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omments4.xml" ContentType="application/vnd.openxmlformats-officedocument.spreadsheetml.comments+xml"/>
  <Override PartName="/xl/drawings/drawing4.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omments5.xml" ContentType="application/vnd.openxmlformats-officedocument.spreadsheetml.comments+xml"/>
  <Override PartName="/xl/drawings/drawing5.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omments7.xml" ContentType="application/vnd.openxmlformats-officedocument.spreadsheetml.comments+xml"/>
  <Override PartName="/xl/drawings/drawing7.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omments9.xml" ContentType="application/vnd.openxmlformats-officedocument.spreadsheetml.comments+xml"/>
  <Override PartName="/xl/drawings/drawing9.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omments11.xml" ContentType="application/vnd.openxmlformats-officedocument.spreadsheetml.comments+xml"/>
  <Override PartName="/xl/drawings/drawing11.xml" ContentType="application/vnd.openxmlformats-officedocument.drawing+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omments12.xml" ContentType="application/vnd.openxmlformats-officedocument.spreadsheetml.comments+xml"/>
  <Override PartName="/xl/drawings/drawing12.xml" ContentType="application/vnd.openxmlformats-officedocument.drawing+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drawings/drawing13.xml" ContentType="application/vnd.openxmlformats-officedocument.drawing+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omments13.xml" ContentType="application/vnd.openxmlformats-officedocument.spreadsheetml.comments+xml"/>
  <Override PartName="/xl/drawings/drawing14.xml" ContentType="application/vnd.openxmlformats-officedocument.drawing+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omments14.xml" ContentType="application/vnd.openxmlformats-officedocument.spreadsheetml.comments+xml"/>
  <Override PartName="/xl/drawings/drawing15.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omments15.xml" ContentType="application/vnd.openxmlformats-officedocument.spreadsheetml.comments+xml"/>
  <Override PartName="/xl/drawings/drawing16.xml" ContentType="application/vnd.openxmlformats-officedocument.drawing+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omments16.xml" ContentType="application/vnd.openxmlformats-officedocument.spreadsheetml.comments+xml"/>
  <Override PartName="/xl/drawings/drawing17.xml" ContentType="application/vnd.openxmlformats-officedocument.drawing+xml"/>
  <Override PartName="/xl/ctrlProps/ctrlProp463.xml" ContentType="application/vnd.ms-excel.controlproperties+xml"/>
  <Override PartName="/xl/ctrlProps/ctrlProp464.xml" ContentType="application/vnd.ms-excel.controlproperties+xml"/>
  <Override PartName="/xl/comments17.xml" ContentType="application/vnd.openxmlformats-officedocument.spreadsheetml.comments+xml"/>
  <Override PartName="/xl/drawings/drawing18.xml" ContentType="application/vnd.openxmlformats-officedocument.drawing+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omments18.xml" ContentType="application/vnd.openxmlformats-officedocument.spreadsheetml.comments+xml"/>
  <Override PartName="/xl/drawings/drawing19.xml" ContentType="application/vnd.openxmlformats-officedocument.drawing+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0.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https://d.docs.live.net/3bd0adf73d0d9788/Documenten/Oiconomy/Oiconomy files/Oiconomy App/"/>
    </mc:Choice>
  </mc:AlternateContent>
  <xr:revisionPtr revIDLastSave="63" documentId="8_{BB96F6AB-ABE3-4C2C-B683-D3343F9F57F9}" xr6:coauthVersionLast="47" xr6:coauthVersionMax="47" xr10:uidLastSave="{F3B76451-B91B-46B4-91E5-63B73A96DE8D}"/>
  <bookViews>
    <workbookView xWindow="-110" yWindow="-110" windowWidth="19420" windowHeight="10560" tabRatio="882" activeTab="2" xr2:uid="{00000000-000D-0000-FFFF-FFFF00000000}"/>
  </bookViews>
  <sheets>
    <sheet name="How does it work" sheetId="30" r:id="rId1"/>
    <sheet name="Def.-Instr." sheetId="18" r:id="rId2"/>
    <sheet name="ESCU Matrix" sheetId="27" r:id="rId3"/>
    <sheet name=" Preparation" sheetId="2" r:id="rId4"/>
    <sheet name="Suppliers" sheetId="16" r:id="rId5"/>
    <sheet name="Pollution &amp; Climate" sheetId="1" r:id="rId6"/>
    <sheet name="Pol.Data" sheetId="23" r:id="rId7"/>
    <sheet name="Idemat Data" sheetId="24" r:id="rId8"/>
    <sheet name="Depletion" sheetId="3" r:id="rId9"/>
    <sheet name="Land Occ." sheetId="4" r:id="rId10"/>
    <sheet name="Biodiversity" sheetId="5" r:id="rId11"/>
    <sheet name="Disposal-Waste" sheetId="6" r:id="rId12"/>
    <sheet name="Public Health" sheetId="8" r:id="rId13"/>
    <sheet name="Labor" sheetId="9" r:id="rId14"/>
    <sheet name="Var.Social" sheetId="10" r:id="rId15"/>
    <sheet name="Economic" sheetId="7" r:id="rId16"/>
    <sheet name="Corr &amp; Confl." sheetId="11" r:id="rId17"/>
    <sheet name="Use- Depl" sheetId="12" r:id="rId18"/>
    <sheet name="Use-pollution" sheetId="14" r:id="rId19"/>
    <sheet name="Use-Health" sheetId="13" r:id="rId20"/>
    <sheet name="Use-Social" sheetId="15" r:id="rId21"/>
    <sheet name="End-of-Life" sheetId="19" r:id="rId22"/>
    <sheet name="Bonus" sheetId="17" r:id="rId23"/>
    <sheet name="Data" sheetId="20" state="hidden" r:id="rId24"/>
    <sheet name="D" sheetId="31" state="hidden" r:id="rId25"/>
    <sheet name="P" sheetId="34" state="hidden" r:id="rId26"/>
    <sheet name="I" sheetId="33" state="hidden" r:id="rId27"/>
    <sheet name="Gov. Level" sheetId="22" r:id="rId28"/>
  </sheets>
  <definedNames>
    <definedName name="_xlnm._FilterDatabase" localSheetId="5" hidden="1">'Pollution &amp; Climate'!$A$88:$G$101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 i="17" l="1"/>
  <c r="G33" i="17"/>
  <c r="G32" i="17"/>
  <c r="G31" i="17"/>
  <c r="G30" i="17"/>
  <c r="G29" i="17"/>
  <c r="G28" i="17"/>
  <c r="G27" i="17"/>
  <c r="G26" i="17"/>
  <c r="G25" i="17"/>
  <c r="G24" i="17"/>
  <c r="G23" i="17"/>
  <c r="G22" i="17"/>
  <c r="G21" i="17"/>
  <c r="G20" i="17"/>
  <c r="G19" i="17"/>
  <c r="G18" i="17"/>
  <c r="G17" i="17"/>
  <c r="G16" i="17"/>
  <c r="G15" i="17"/>
  <c r="G14" i="17"/>
  <c r="G13" i="17"/>
  <c r="G12" i="17"/>
  <c r="G11" i="17"/>
  <c r="G10" i="17"/>
  <c r="G9" i="17"/>
  <c r="G8" i="17"/>
  <c r="G7" i="17"/>
  <c r="G4" i="17"/>
  <c r="F9" i="10"/>
  <c r="F10" i="10" s="1"/>
  <c r="G6" i="10"/>
  <c r="G6" i="8"/>
  <c r="F8" i="8"/>
  <c r="G4" i="8"/>
  <c r="F26" i="4"/>
  <c r="G6" i="4"/>
  <c r="G5" i="4"/>
  <c r="G111" i="1"/>
  <c r="G110" i="1"/>
  <c r="F41" i="1"/>
  <c r="T17" i="3" l="1"/>
  <c r="T16" i="3"/>
  <c r="T15" i="3"/>
  <c r="T14" i="3"/>
  <c r="T13" i="3"/>
  <c r="T12" i="3"/>
  <c r="T11" i="3"/>
  <c r="T10" i="3"/>
  <c r="T9" i="3"/>
  <c r="T8" i="3"/>
  <c r="T7" i="3"/>
  <c r="T6" i="3"/>
  <c r="G26" i="3"/>
  <c r="G21" i="3"/>
  <c r="G17" i="3"/>
  <c r="G15" i="3"/>
  <c r="L17" i="3"/>
  <c r="L16" i="3"/>
  <c r="L15" i="3"/>
  <c r="L14" i="3"/>
  <c r="L13" i="3"/>
  <c r="L12" i="3"/>
  <c r="L11" i="3"/>
  <c r="L10" i="3"/>
  <c r="L9" i="3"/>
  <c r="L8" i="3"/>
  <c r="L7" i="3"/>
  <c r="L6" i="3"/>
  <c r="G18" i="3"/>
  <c r="F8" i="3" l="1"/>
  <c r="F7" i="3"/>
  <c r="F15" i="9"/>
  <c r="G12" i="9" l="1"/>
  <c r="G8" i="9"/>
  <c r="C9" i="9" l="1"/>
  <c r="G10" i="11" l="1"/>
  <c r="F10" i="9" l="1"/>
  <c r="F97" i="27" l="1"/>
  <c r="F92" i="27"/>
  <c r="F91" i="27"/>
  <c r="F94" i="27"/>
  <c r="F85" i="27"/>
  <c r="G8" i="15"/>
  <c r="E34" i="15"/>
  <c r="G6" i="15"/>
  <c r="F80" i="27"/>
  <c r="F79" i="27"/>
  <c r="D124" i="9"/>
  <c r="F67" i="27"/>
  <c r="F66" i="27"/>
  <c r="F62" i="27"/>
  <c r="R10" i="27"/>
  <c r="F9" i="12"/>
  <c r="D25" i="12" s="1"/>
  <c r="F61" i="27"/>
  <c r="F58" i="27"/>
  <c r="D45" i="4"/>
  <c r="F41" i="27"/>
  <c r="F40" i="27"/>
  <c r="F39" i="27"/>
  <c r="F35" i="27"/>
  <c r="F37" i="27"/>
  <c r="F32" i="27"/>
  <c r="F31" i="27"/>
  <c r="D123" i="1"/>
  <c r="F11" i="13"/>
  <c r="V10" i="27" s="1"/>
  <c r="I4" i="2"/>
  <c r="H4" i="2"/>
  <c r="H12" i="27" s="1"/>
  <c r="D13" i="13"/>
  <c r="D28" i="5"/>
  <c r="D127" i="1"/>
  <c r="D124" i="1"/>
  <c r="D125" i="9"/>
  <c r="D12" i="27" l="1"/>
  <c r="E10" i="27"/>
  <c r="F46" i="27"/>
  <c r="I10" i="27"/>
  <c r="F7" i="8"/>
  <c r="F9" i="8" l="1"/>
  <c r="F36" i="9"/>
  <c r="F78" i="9"/>
  <c r="G77" i="9"/>
  <c r="F33" i="9"/>
  <c r="F35" i="9"/>
  <c r="G33" i="9"/>
  <c r="G34" i="9"/>
  <c r="G26" i="9"/>
  <c r="G25" i="9"/>
  <c r="K22" i="9"/>
  <c r="D118" i="9" l="1"/>
  <c r="F72" i="27"/>
  <c r="G22" i="9"/>
  <c r="G21" i="9"/>
  <c r="AB1" i="17"/>
  <c r="AA13" i="17"/>
  <c r="AA12" i="17"/>
  <c r="AA11" i="17"/>
  <c r="AA10" i="17"/>
  <c r="AA9" i="17"/>
  <c r="AA8" i="17"/>
  <c r="AA7" i="17"/>
  <c r="AA6" i="17"/>
  <c r="AA5" i="17"/>
  <c r="AA4" i="17"/>
  <c r="D49" i="6"/>
  <c r="D48" i="6"/>
  <c r="D47" i="6"/>
  <c r="D46" i="6"/>
  <c r="D45" i="6"/>
  <c r="D44" i="6"/>
  <c r="D43" i="6"/>
  <c r="D42" i="6"/>
  <c r="D41" i="6"/>
  <c r="D40" i="6"/>
  <c r="D39" i="6"/>
  <c r="D38" i="6"/>
  <c r="D37" i="6"/>
  <c r="D36" i="6"/>
  <c r="D35" i="6"/>
  <c r="D34" i="6"/>
  <c r="D33" i="6"/>
  <c r="D32" i="6"/>
  <c r="D31" i="6"/>
  <c r="D30" i="6"/>
  <c r="D28" i="6"/>
  <c r="D29" i="6"/>
  <c r="D27" i="6"/>
  <c r="D26" i="6"/>
  <c r="D25" i="6"/>
  <c r="D24" i="6"/>
  <c r="D23" i="6"/>
  <c r="D22" i="6"/>
  <c r="D21" i="6"/>
  <c r="D20" i="6"/>
  <c r="N42" i="6"/>
  <c r="N41" i="6"/>
  <c r="N40" i="6"/>
  <c r="N39" i="6"/>
  <c r="N38" i="6"/>
  <c r="N37" i="6"/>
  <c r="N36" i="6"/>
  <c r="N35" i="6"/>
  <c r="N34" i="6"/>
  <c r="N33" i="6"/>
  <c r="N32" i="6"/>
  <c r="N31" i="6"/>
  <c r="N30" i="6"/>
  <c r="N29" i="6"/>
  <c r="N28" i="6"/>
  <c r="N27" i="6"/>
  <c r="N26" i="6"/>
  <c r="N25" i="6"/>
  <c r="N24" i="6"/>
  <c r="N23" i="6"/>
  <c r="S26" i="17"/>
  <c r="R26" i="17"/>
  <c r="Q26" i="17"/>
  <c r="P26" i="17"/>
  <c r="O26" i="17"/>
  <c r="N26" i="17"/>
  <c r="M26" i="17"/>
  <c r="L26" i="17"/>
  <c r="K26" i="17"/>
  <c r="J26" i="17"/>
  <c r="S25" i="17"/>
  <c r="R25" i="17"/>
  <c r="Q25" i="17"/>
  <c r="P25" i="17"/>
  <c r="O25" i="17"/>
  <c r="N25" i="17"/>
  <c r="M25" i="17"/>
  <c r="L25" i="17"/>
  <c r="K25" i="17"/>
  <c r="J25" i="17"/>
  <c r="S24" i="17"/>
  <c r="R24" i="17"/>
  <c r="Q24" i="17"/>
  <c r="P24" i="17"/>
  <c r="O24" i="17"/>
  <c r="N24" i="17"/>
  <c r="M24" i="17"/>
  <c r="L24" i="17"/>
  <c r="K24" i="17"/>
  <c r="J24" i="17"/>
  <c r="S19" i="17"/>
  <c r="R19" i="17"/>
  <c r="Q19" i="17"/>
  <c r="P19" i="17"/>
  <c r="O19" i="17"/>
  <c r="N19" i="17"/>
  <c r="M19" i="17"/>
  <c r="L19" i="17"/>
  <c r="K19" i="17"/>
  <c r="J19" i="17"/>
  <c r="S9" i="17"/>
  <c r="R9" i="17"/>
  <c r="Q9" i="17"/>
  <c r="P9" i="17"/>
  <c r="O9" i="17"/>
  <c r="N9" i="17"/>
  <c r="M9" i="17"/>
  <c r="L9" i="17"/>
  <c r="K9" i="17"/>
  <c r="F74" i="9"/>
  <c r="F8" i="9"/>
  <c r="F25" i="2"/>
  <c r="V8" i="27"/>
  <c r="I8" i="27" s="1"/>
  <c r="Q8" i="27"/>
  <c r="D8" i="27" s="1"/>
  <c r="J33" i="17"/>
  <c r="J31" i="17"/>
  <c r="J30" i="17"/>
  <c r="J29" i="17"/>
  <c r="R28" i="17"/>
  <c r="Q27" i="17"/>
  <c r="P23" i="17"/>
  <c r="P22" i="17"/>
  <c r="P21" i="17"/>
  <c r="Q20" i="17"/>
  <c r="R18" i="17"/>
  <c r="R17" i="17"/>
  <c r="Q16" i="17"/>
  <c r="Q15" i="17"/>
  <c r="Q14" i="17"/>
  <c r="Q13" i="17"/>
  <c r="Q12" i="17"/>
  <c r="P11" i="17"/>
  <c r="M10" i="17"/>
  <c r="R4" i="17"/>
  <c r="AA15" i="17" l="1"/>
  <c r="F6" i="17" s="1"/>
  <c r="N32" i="17"/>
  <c r="F23" i="15"/>
  <c r="G20" i="15"/>
  <c r="F17" i="15"/>
  <c r="G16" i="15"/>
  <c r="G15" i="15"/>
  <c r="G14" i="15"/>
  <c r="D39" i="14"/>
  <c r="F35" i="14"/>
  <c r="F28" i="14"/>
  <c r="O19" i="15"/>
  <c r="O11" i="15"/>
  <c r="G7" i="15" s="1"/>
  <c r="F8" i="13"/>
  <c r="F9" i="13" s="1"/>
  <c r="F10" i="14"/>
  <c r="G18" i="14"/>
  <c r="E45" i="14"/>
  <c r="I45" i="14" s="1"/>
  <c r="E62" i="14"/>
  <c r="I62" i="14" s="1"/>
  <c r="E61" i="14"/>
  <c r="I61" i="14" s="1"/>
  <c r="E60" i="14"/>
  <c r="I60" i="14" s="1"/>
  <c r="E59" i="14"/>
  <c r="I59" i="14" s="1"/>
  <c r="E58" i="14"/>
  <c r="I58" i="14" s="1"/>
  <c r="E57" i="14"/>
  <c r="I57" i="14" s="1"/>
  <c r="E56" i="14"/>
  <c r="I56" i="14" s="1"/>
  <c r="E55" i="14"/>
  <c r="I55" i="14" s="1"/>
  <c r="E54" i="14"/>
  <c r="I54" i="14" s="1"/>
  <c r="E53" i="14"/>
  <c r="I53" i="14" s="1"/>
  <c r="E52" i="14"/>
  <c r="I52" i="14" s="1"/>
  <c r="E51" i="14"/>
  <c r="I51" i="14" s="1"/>
  <c r="E50" i="14"/>
  <c r="I50" i="14" s="1"/>
  <c r="E49" i="14"/>
  <c r="I49" i="14" s="1"/>
  <c r="E48" i="14"/>
  <c r="I48" i="14" s="1"/>
  <c r="E47" i="14"/>
  <c r="I47" i="14" s="1"/>
  <c r="E46" i="14"/>
  <c r="I46" i="14" s="1"/>
  <c r="N15" i="14"/>
  <c r="N14" i="14"/>
  <c r="N13" i="14"/>
  <c r="N12" i="14"/>
  <c r="N11" i="14"/>
  <c r="N10" i="14"/>
  <c r="N9" i="14"/>
  <c r="N8" i="14"/>
  <c r="N7" i="14"/>
  <c r="N6" i="14"/>
  <c r="N5" i="14"/>
  <c r="F7" i="14"/>
  <c r="AP21" i="14" s="1"/>
  <c r="AF18" i="14"/>
  <c r="AF17" i="14"/>
  <c r="AF16" i="14"/>
  <c r="AF15" i="14"/>
  <c r="AF14" i="14"/>
  <c r="AF13" i="14"/>
  <c r="AF12" i="14"/>
  <c r="AF11" i="14"/>
  <c r="AF10" i="14"/>
  <c r="AF9" i="14"/>
  <c r="AF8" i="14"/>
  <c r="AF7" i="14"/>
  <c r="AF6" i="14"/>
  <c r="F19" i="2"/>
  <c r="AN1" i="24"/>
  <c r="AG1" i="16"/>
  <c r="U1" i="16"/>
  <c r="F11" i="15" l="1"/>
  <c r="G6" i="17"/>
  <c r="N6" i="17" s="1"/>
  <c r="F86" i="27"/>
  <c r="E35" i="15"/>
  <c r="M5" i="14"/>
  <c r="M13" i="14"/>
  <c r="AH7" i="14"/>
  <c r="AH15" i="14"/>
  <c r="AP6" i="14"/>
  <c r="AP14" i="14"/>
  <c r="M6" i="14"/>
  <c r="M14" i="14"/>
  <c r="X11" i="14"/>
  <c r="AH8" i="14"/>
  <c r="AH16" i="14"/>
  <c r="AP7" i="14"/>
  <c r="AP15" i="14"/>
  <c r="M7" i="14"/>
  <c r="M15" i="14"/>
  <c r="X12" i="14"/>
  <c r="AH9" i="14"/>
  <c r="AH17" i="14"/>
  <c r="AP8" i="14"/>
  <c r="AP16" i="14"/>
  <c r="M8" i="14"/>
  <c r="X5" i="14"/>
  <c r="X13" i="14"/>
  <c r="AH10" i="14"/>
  <c r="AH18" i="14"/>
  <c r="AP9" i="14"/>
  <c r="AP17" i="14"/>
  <c r="M10" i="14"/>
  <c r="X7" i="14"/>
  <c r="X15" i="14"/>
  <c r="AH12" i="14"/>
  <c r="AH20" i="14"/>
  <c r="AP11" i="14"/>
  <c r="AP19" i="14"/>
  <c r="M11" i="14"/>
  <c r="X8" i="14"/>
  <c r="AH5" i="14"/>
  <c r="AH13" i="14"/>
  <c r="AH21" i="14"/>
  <c r="AP12" i="14"/>
  <c r="AP20" i="14"/>
  <c r="M12" i="14"/>
  <c r="X9" i="14"/>
  <c r="AH6" i="14"/>
  <c r="AH14" i="14"/>
  <c r="AP5" i="14"/>
  <c r="AP13" i="14"/>
  <c r="X10" i="14"/>
  <c r="M9" i="14"/>
  <c r="X6" i="14"/>
  <c r="X14" i="14"/>
  <c r="AH11" i="14"/>
  <c r="AH19" i="14"/>
  <c r="AP10" i="14"/>
  <c r="AP18" i="14"/>
  <c r="F10" i="4" l="1"/>
  <c r="D99" i="23"/>
  <c r="D104" i="23"/>
  <c r="D108" i="23"/>
  <c r="D112" i="23"/>
  <c r="F26" i="7"/>
  <c r="F99" i="1" l="1"/>
  <c r="X2" i="27"/>
  <c r="Q42" i="6"/>
  <c r="Q41" i="6"/>
  <c r="Q40" i="6"/>
  <c r="Q39" i="6"/>
  <c r="Q38" i="6"/>
  <c r="Q37" i="6"/>
  <c r="Q36" i="6"/>
  <c r="Q35" i="6"/>
  <c r="Q34" i="6"/>
  <c r="Q33" i="6"/>
  <c r="Q32" i="6"/>
  <c r="Q31" i="6"/>
  <c r="Q30" i="6"/>
  <c r="Q29" i="6"/>
  <c r="Q28" i="6"/>
  <c r="Q27" i="6"/>
  <c r="Q26" i="6"/>
  <c r="E7" i="12"/>
  <c r="G4" i="12"/>
  <c r="AQ7" i="14"/>
  <c r="AT7" i="14" s="1"/>
  <c r="AU7" i="14" s="1"/>
  <c r="AI7" i="14"/>
  <c r="AL7" i="14" s="1"/>
  <c r="AM7" i="14" s="1"/>
  <c r="AQ21" i="14"/>
  <c r="AT21" i="14" s="1"/>
  <c r="AU21" i="14" s="1"/>
  <c r="AI21" i="14"/>
  <c r="AL21" i="14" s="1"/>
  <c r="AM21" i="14" s="1"/>
  <c r="AT20" i="14"/>
  <c r="AU20" i="14" s="1"/>
  <c r="AQ20" i="14"/>
  <c r="AL20" i="14"/>
  <c r="AM20" i="14" s="1"/>
  <c r="AI20" i="14"/>
  <c r="AQ19" i="14"/>
  <c r="AT19" i="14" s="1"/>
  <c r="AU19" i="14" s="1"/>
  <c r="AI19" i="14"/>
  <c r="AL19" i="14" s="1"/>
  <c r="AM19" i="14" s="1"/>
  <c r="AQ18" i="14"/>
  <c r="AT18" i="14" s="1"/>
  <c r="AU18" i="14" s="1"/>
  <c r="AI18" i="14"/>
  <c r="AL18" i="14" s="1"/>
  <c r="AM18" i="14" s="1"/>
  <c r="AQ17" i="14"/>
  <c r="AT17" i="14" s="1"/>
  <c r="AU17" i="14" s="1"/>
  <c r="AI17" i="14"/>
  <c r="AL17" i="14" s="1"/>
  <c r="AM17" i="14" s="1"/>
  <c r="AQ16" i="14"/>
  <c r="AT16" i="14" s="1"/>
  <c r="AU16" i="14" s="1"/>
  <c r="AI16" i="14"/>
  <c r="AL16" i="14" s="1"/>
  <c r="AM16" i="14" s="1"/>
  <c r="AQ15" i="14"/>
  <c r="AT15" i="14" s="1"/>
  <c r="AU15" i="14" s="1"/>
  <c r="AI15" i="14"/>
  <c r="AL15" i="14" s="1"/>
  <c r="AM15" i="14" s="1"/>
  <c r="Y15" i="14"/>
  <c r="AB15" i="14" s="1"/>
  <c r="AC15" i="14" s="1"/>
  <c r="Q15" i="14"/>
  <c r="R15" i="14" s="1"/>
  <c r="AQ14" i="14"/>
  <c r="AT14" i="14" s="1"/>
  <c r="AU14" i="14" s="1"/>
  <c r="AI14" i="14"/>
  <c r="AL14" i="14" s="1"/>
  <c r="AM14" i="14" s="1"/>
  <c r="Y14" i="14"/>
  <c r="AB14" i="14" s="1"/>
  <c r="AC14" i="14" s="1"/>
  <c r="Q14" i="14"/>
  <c r="R14" i="14" s="1"/>
  <c r="AQ13" i="14"/>
  <c r="AT13" i="14" s="1"/>
  <c r="AU13" i="14" s="1"/>
  <c r="AI13" i="14"/>
  <c r="AL13" i="14" s="1"/>
  <c r="AM13" i="14" s="1"/>
  <c r="Y13" i="14"/>
  <c r="AB13" i="14" s="1"/>
  <c r="AC13" i="14" s="1"/>
  <c r="Q13" i="14"/>
  <c r="R13" i="14" s="1"/>
  <c r="AQ12" i="14"/>
  <c r="AT12" i="14" s="1"/>
  <c r="AU12" i="14" s="1"/>
  <c r="AI12" i="14"/>
  <c r="AL12" i="14" s="1"/>
  <c r="AM12" i="14" s="1"/>
  <c r="Q12" i="14"/>
  <c r="R12" i="14" s="1"/>
  <c r="AQ11" i="14"/>
  <c r="AT11" i="14" s="1"/>
  <c r="AU11" i="14" s="1"/>
  <c r="AI11" i="14"/>
  <c r="AL11" i="14" s="1"/>
  <c r="AM11" i="14" s="1"/>
  <c r="Q11" i="14"/>
  <c r="R11" i="14" s="1"/>
  <c r="AQ10" i="14"/>
  <c r="AT10" i="14" s="1"/>
  <c r="AU10" i="14" s="1"/>
  <c r="AI10" i="14"/>
  <c r="AL10" i="14" s="1"/>
  <c r="AM10" i="14" s="1"/>
  <c r="Y10" i="14"/>
  <c r="AB10" i="14" s="1"/>
  <c r="AC10" i="14" s="1"/>
  <c r="Q10" i="14"/>
  <c r="R10" i="14" s="1"/>
  <c r="AQ9" i="14"/>
  <c r="AT9" i="14" s="1"/>
  <c r="AU9" i="14" s="1"/>
  <c r="AI9" i="14"/>
  <c r="AL9" i="14" s="1"/>
  <c r="AM9" i="14" s="1"/>
  <c r="Y9" i="14"/>
  <c r="AB9" i="14" s="1"/>
  <c r="AC9" i="14" s="1"/>
  <c r="Q9" i="14"/>
  <c r="R9" i="14" s="1"/>
  <c r="AQ8" i="14"/>
  <c r="AT8" i="14" s="1"/>
  <c r="AU8" i="14" s="1"/>
  <c r="AI8" i="14"/>
  <c r="AL8" i="14" s="1"/>
  <c r="AM8" i="14" s="1"/>
  <c r="Y8" i="14"/>
  <c r="AB8" i="14" s="1"/>
  <c r="AC8" i="14" s="1"/>
  <c r="Q8" i="14"/>
  <c r="R8" i="14" s="1"/>
  <c r="Y7" i="14"/>
  <c r="AB7" i="14" s="1"/>
  <c r="AC7" i="14" s="1"/>
  <c r="Q7" i="14"/>
  <c r="R7" i="14" s="1"/>
  <c r="AQ6" i="14"/>
  <c r="AT6" i="14" s="1"/>
  <c r="AU6" i="14" s="1"/>
  <c r="AI6" i="14"/>
  <c r="AL6" i="14" s="1"/>
  <c r="AM6" i="14" s="1"/>
  <c r="Y6" i="14"/>
  <c r="AB6" i="14" s="1"/>
  <c r="AC6" i="14" s="1"/>
  <c r="Q6" i="14"/>
  <c r="R6" i="14" s="1"/>
  <c r="AQ5" i="14"/>
  <c r="AT5" i="14" s="1"/>
  <c r="AU5" i="14" s="1"/>
  <c r="AI5" i="14"/>
  <c r="AL5" i="14" s="1"/>
  <c r="AM5" i="14" s="1"/>
  <c r="Q5" i="14"/>
  <c r="R5" i="14" s="1"/>
  <c r="AT1" i="14"/>
  <c r="AH1" i="14"/>
  <c r="W1" i="14"/>
  <c r="N1" i="14"/>
  <c r="G5" i="14"/>
  <c r="E7" i="14"/>
  <c r="G13" i="14"/>
  <c r="W7" i="12"/>
  <c r="K17" i="9"/>
  <c r="W1" i="12"/>
  <c r="M1" i="12"/>
  <c r="G101" i="9"/>
  <c r="G102" i="9"/>
  <c r="G99" i="9"/>
  <c r="G100" i="9"/>
  <c r="G97" i="9"/>
  <c r="E96" i="9"/>
  <c r="F96" i="9" s="1"/>
  <c r="G103" i="9"/>
  <c r="G13" i="9"/>
  <c r="F7" i="9"/>
  <c r="G95" i="1"/>
  <c r="F90" i="1"/>
  <c r="G79" i="1"/>
  <c r="G84" i="1"/>
  <c r="G76" i="1"/>
  <c r="F101" i="1" l="1"/>
  <c r="F36" i="27" s="1"/>
  <c r="R17" i="14"/>
  <c r="AU24" i="14"/>
  <c r="AM24" i="14"/>
  <c r="F15" i="14" s="1"/>
  <c r="F16" i="14" s="1"/>
  <c r="F37" i="14" s="1"/>
  <c r="Q10" i="27" s="1"/>
  <c r="D10" i="27" s="1"/>
  <c r="G96" i="9"/>
  <c r="G21" i="1"/>
  <c r="G20" i="1"/>
  <c r="G18" i="1"/>
  <c r="G23" i="1"/>
  <c r="F18" i="1"/>
  <c r="G10" i="1"/>
  <c r="AJ101" i="16"/>
  <c r="AI101" i="16"/>
  <c r="AH101" i="16"/>
  <c r="AG101" i="16"/>
  <c r="AF101" i="16"/>
  <c r="AE101" i="16"/>
  <c r="AD101" i="16"/>
  <c r="AC101" i="16"/>
  <c r="AB101" i="16"/>
  <c r="AA101" i="16"/>
  <c r="AJ100" i="16"/>
  <c r="AI100" i="16"/>
  <c r="AH100" i="16"/>
  <c r="AG100" i="16"/>
  <c r="AF100" i="16"/>
  <c r="AE100" i="16"/>
  <c r="AD100" i="16"/>
  <c r="AC100" i="16"/>
  <c r="AB100" i="16"/>
  <c r="AA100" i="16"/>
  <c r="AJ99" i="16"/>
  <c r="AI99" i="16"/>
  <c r="AH99" i="16"/>
  <c r="AG99" i="16"/>
  <c r="AF99" i="16"/>
  <c r="AE99" i="16"/>
  <c r="AD99" i="16"/>
  <c r="AC99" i="16"/>
  <c r="AB99" i="16"/>
  <c r="AA99" i="16"/>
  <c r="AJ98" i="16"/>
  <c r="AI98" i="16"/>
  <c r="AH98" i="16"/>
  <c r="AG98" i="16"/>
  <c r="AF98" i="16"/>
  <c r="AE98" i="16"/>
  <c r="AD98" i="16"/>
  <c r="AC98" i="16"/>
  <c r="AB98" i="16"/>
  <c r="AA98" i="16"/>
  <c r="AJ97" i="16"/>
  <c r="AI97" i="16"/>
  <c r="AH97" i="16"/>
  <c r="AG97" i="16"/>
  <c r="AF97" i="16"/>
  <c r="AE97" i="16"/>
  <c r="AD97" i="16"/>
  <c r="AC97" i="16"/>
  <c r="AB97" i="16"/>
  <c r="AA97" i="16"/>
  <c r="AJ96" i="16"/>
  <c r="AI96" i="16"/>
  <c r="AH96" i="16"/>
  <c r="AG96" i="16"/>
  <c r="AF96" i="16"/>
  <c r="AE96" i="16"/>
  <c r="AD96" i="16"/>
  <c r="AC96" i="16"/>
  <c r="AB96" i="16"/>
  <c r="AA96" i="16"/>
  <c r="AJ95" i="16"/>
  <c r="AI95" i="16"/>
  <c r="AH95" i="16"/>
  <c r="AG95" i="16"/>
  <c r="AF95" i="16"/>
  <c r="AE95" i="16"/>
  <c r="AD95" i="16"/>
  <c r="AC95" i="16"/>
  <c r="AB95" i="16"/>
  <c r="AA95" i="16"/>
  <c r="AJ94" i="16"/>
  <c r="AI94" i="16"/>
  <c r="AH94" i="16"/>
  <c r="AG94" i="16"/>
  <c r="AF94" i="16"/>
  <c r="AE94" i="16"/>
  <c r="AD94" i="16"/>
  <c r="AC94" i="16"/>
  <c r="AB94" i="16"/>
  <c r="AA94" i="16"/>
  <c r="AJ93" i="16"/>
  <c r="AI93" i="16"/>
  <c r="AH93" i="16"/>
  <c r="AG93" i="16"/>
  <c r="AF93" i="16"/>
  <c r="AE93" i="16"/>
  <c r="AD93" i="16"/>
  <c r="AC93" i="16"/>
  <c r="AB93" i="16"/>
  <c r="AA93" i="16"/>
  <c r="AJ92" i="16"/>
  <c r="AI92" i="16"/>
  <c r="AH92" i="16"/>
  <c r="AG92" i="16"/>
  <c r="AF92" i="16"/>
  <c r="AE92" i="16"/>
  <c r="AD92" i="16"/>
  <c r="AC92" i="16"/>
  <c r="AB92" i="16"/>
  <c r="AA92" i="16"/>
  <c r="AJ91" i="16"/>
  <c r="AI91" i="16"/>
  <c r="AH91" i="16"/>
  <c r="AG91" i="16"/>
  <c r="AF91" i="16"/>
  <c r="AE91" i="16"/>
  <c r="AD91" i="16"/>
  <c r="AC91" i="16"/>
  <c r="AB91" i="16"/>
  <c r="AA91" i="16"/>
  <c r="AJ90" i="16"/>
  <c r="AI90" i="16"/>
  <c r="AH90" i="16"/>
  <c r="AG90" i="16"/>
  <c r="AF90" i="16"/>
  <c r="AE90" i="16"/>
  <c r="AD90" i="16"/>
  <c r="AC90" i="16"/>
  <c r="AB90" i="16"/>
  <c r="AA90" i="16"/>
  <c r="AJ89" i="16"/>
  <c r="AI89" i="16"/>
  <c r="AH89" i="16"/>
  <c r="AG89" i="16"/>
  <c r="AF89" i="16"/>
  <c r="AE89" i="16"/>
  <c r="AD89" i="16"/>
  <c r="AC89" i="16"/>
  <c r="AB89" i="16"/>
  <c r="AA89" i="16"/>
  <c r="AJ88" i="16"/>
  <c r="AI88" i="16"/>
  <c r="AH88" i="16"/>
  <c r="AG88" i="16"/>
  <c r="AF88" i="16"/>
  <c r="AE88" i="16"/>
  <c r="AD88" i="16"/>
  <c r="AC88" i="16"/>
  <c r="AB88" i="16"/>
  <c r="AA88" i="16"/>
  <c r="AJ87" i="16"/>
  <c r="AI87" i="16"/>
  <c r="AH87" i="16"/>
  <c r="AG87" i="16"/>
  <c r="AF87" i="16"/>
  <c r="AE87" i="16"/>
  <c r="AD87" i="16"/>
  <c r="AC87" i="16"/>
  <c r="AB87" i="16"/>
  <c r="AA87" i="16"/>
  <c r="AJ86" i="16"/>
  <c r="AI86" i="16"/>
  <c r="AH86" i="16"/>
  <c r="AG86" i="16"/>
  <c r="AF86" i="16"/>
  <c r="AE86" i="16"/>
  <c r="AD86" i="16"/>
  <c r="AC86" i="16"/>
  <c r="AB86" i="16"/>
  <c r="AA86" i="16"/>
  <c r="AJ85" i="16"/>
  <c r="AI85" i="16"/>
  <c r="AH85" i="16"/>
  <c r="AG85" i="16"/>
  <c r="AF85" i="16"/>
  <c r="AE85" i="16"/>
  <c r="AD85" i="16"/>
  <c r="AC85" i="16"/>
  <c r="AB85" i="16"/>
  <c r="AA85" i="16"/>
  <c r="AJ84" i="16"/>
  <c r="AI84" i="16"/>
  <c r="AH84" i="16"/>
  <c r="AG84" i="16"/>
  <c r="AF84" i="16"/>
  <c r="AE84" i="16"/>
  <c r="AD84" i="16"/>
  <c r="AC84" i="16"/>
  <c r="AB84" i="16"/>
  <c r="AA84" i="16"/>
  <c r="AJ83" i="16"/>
  <c r="AI83" i="16"/>
  <c r="AH83" i="16"/>
  <c r="AG83" i="16"/>
  <c r="AF83" i="16"/>
  <c r="AE83" i="16"/>
  <c r="AD83" i="16"/>
  <c r="AC83" i="16"/>
  <c r="AB83" i="16"/>
  <c r="AA83" i="16"/>
  <c r="AJ82" i="16"/>
  <c r="AI82" i="16"/>
  <c r="AH82" i="16"/>
  <c r="AG82" i="16"/>
  <c r="AF82" i="16"/>
  <c r="AE82" i="16"/>
  <c r="AD82" i="16"/>
  <c r="AC82" i="16"/>
  <c r="AB82" i="16"/>
  <c r="AA82" i="16"/>
  <c r="AJ81" i="16"/>
  <c r="AI81" i="16"/>
  <c r="AH81" i="16"/>
  <c r="AG81" i="16"/>
  <c r="AF81" i="16"/>
  <c r="AE81" i="16"/>
  <c r="AD81" i="16"/>
  <c r="AC81" i="16"/>
  <c r="AB81" i="16"/>
  <c r="AA81" i="16"/>
  <c r="AJ80" i="16"/>
  <c r="AI80" i="16"/>
  <c r="AH80" i="16"/>
  <c r="AG80" i="16"/>
  <c r="AF80" i="16"/>
  <c r="AE80" i="16"/>
  <c r="AD80" i="16"/>
  <c r="AC80" i="16"/>
  <c r="AB80" i="16"/>
  <c r="AA80" i="16"/>
  <c r="AJ79" i="16"/>
  <c r="AI79" i="16"/>
  <c r="AH79" i="16"/>
  <c r="AG79" i="16"/>
  <c r="AF79" i="16"/>
  <c r="AE79" i="16"/>
  <c r="AD79" i="16"/>
  <c r="AC79" i="16"/>
  <c r="AB79" i="16"/>
  <c r="AA79" i="16"/>
  <c r="AJ78" i="16"/>
  <c r="AI78" i="16"/>
  <c r="AH78" i="16"/>
  <c r="AG78" i="16"/>
  <c r="AF78" i="16"/>
  <c r="AE78" i="16"/>
  <c r="AD78" i="16"/>
  <c r="AC78" i="16"/>
  <c r="AB78" i="16"/>
  <c r="AA78" i="16"/>
  <c r="AJ77" i="16"/>
  <c r="AI77" i="16"/>
  <c r="AH77" i="16"/>
  <c r="AG77" i="16"/>
  <c r="AF77" i="16"/>
  <c r="AE77" i="16"/>
  <c r="AD77" i="16"/>
  <c r="AC77" i="16"/>
  <c r="AB77" i="16"/>
  <c r="AA77" i="16"/>
  <c r="AJ76" i="16"/>
  <c r="AI76" i="16"/>
  <c r="AH76" i="16"/>
  <c r="AG76" i="16"/>
  <c r="AF76" i="16"/>
  <c r="AE76" i="16"/>
  <c r="AD76" i="16"/>
  <c r="AC76" i="16"/>
  <c r="AB76" i="16"/>
  <c r="AA76" i="16"/>
  <c r="AJ75" i="16"/>
  <c r="AI75" i="16"/>
  <c r="AH75" i="16"/>
  <c r="AG75" i="16"/>
  <c r="AF75" i="16"/>
  <c r="AE75" i="16"/>
  <c r="AD75" i="16"/>
  <c r="AC75" i="16"/>
  <c r="AB75" i="16"/>
  <c r="AA75" i="16"/>
  <c r="AJ74" i="16"/>
  <c r="AI74" i="16"/>
  <c r="AH74" i="16"/>
  <c r="AG74" i="16"/>
  <c r="AF74" i="16"/>
  <c r="AE74" i="16"/>
  <c r="AD74" i="16"/>
  <c r="AC74" i="16"/>
  <c r="AB74" i="16"/>
  <c r="AA74" i="16"/>
  <c r="AJ73" i="16"/>
  <c r="AI73" i="16"/>
  <c r="AH73" i="16"/>
  <c r="AG73" i="16"/>
  <c r="AF73" i="16"/>
  <c r="AE73" i="16"/>
  <c r="AD73" i="16"/>
  <c r="AC73" i="16"/>
  <c r="AB73" i="16"/>
  <c r="AA73" i="16"/>
  <c r="AJ72" i="16"/>
  <c r="AI72" i="16"/>
  <c r="AH72" i="16"/>
  <c r="AG72" i="16"/>
  <c r="AF72" i="16"/>
  <c r="AE72" i="16"/>
  <c r="AD72" i="16"/>
  <c r="AC72" i="16"/>
  <c r="AB72" i="16"/>
  <c r="AA72" i="16"/>
  <c r="AJ71" i="16"/>
  <c r="AI71" i="16"/>
  <c r="AH71" i="16"/>
  <c r="AG71" i="16"/>
  <c r="AF71" i="16"/>
  <c r="AE71" i="16"/>
  <c r="AD71" i="16"/>
  <c r="AC71" i="16"/>
  <c r="AB71" i="16"/>
  <c r="AA71" i="16"/>
  <c r="AJ70" i="16"/>
  <c r="AI70" i="16"/>
  <c r="AH70" i="16"/>
  <c r="AG70" i="16"/>
  <c r="AF70" i="16"/>
  <c r="AE70" i="16"/>
  <c r="AD70" i="16"/>
  <c r="AC70" i="16"/>
  <c r="AB70" i="16"/>
  <c r="AA70" i="16"/>
  <c r="AJ69" i="16"/>
  <c r="AI69" i="16"/>
  <c r="AH69" i="16"/>
  <c r="AG69" i="16"/>
  <c r="AF69" i="16"/>
  <c r="AE69" i="16"/>
  <c r="AD69" i="16"/>
  <c r="AC69" i="16"/>
  <c r="AB69" i="16"/>
  <c r="AA69" i="16"/>
  <c r="AJ68" i="16"/>
  <c r="AI68" i="16"/>
  <c r="AH68" i="16"/>
  <c r="AG68" i="16"/>
  <c r="AF68" i="16"/>
  <c r="AE68" i="16"/>
  <c r="AD68" i="16"/>
  <c r="AC68" i="16"/>
  <c r="AB68" i="16"/>
  <c r="AA68" i="16"/>
  <c r="AJ67" i="16"/>
  <c r="AI67" i="16"/>
  <c r="AH67" i="16"/>
  <c r="AG67" i="16"/>
  <c r="AF67" i="16"/>
  <c r="AE67" i="16"/>
  <c r="AD67" i="16"/>
  <c r="AC67" i="16"/>
  <c r="AB67" i="16"/>
  <c r="AA67" i="16"/>
  <c r="AJ66" i="16"/>
  <c r="AI66" i="16"/>
  <c r="AH66" i="16"/>
  <c r="AG66" i="16"/>
  <c r="AF66" i="16"/>
  <c r="AE66" i="16"/>
  <c r="AD66" i="16"/>
  <c r="AC66" i="16"/>
  <c r="AB66" i="16"/>
  <c r="AA66" i="16"/>
  <c r="AJ65" i="16"/>
  <c r="AI65" i="16"/>
  <c r="AH65" i="16"/>
  <c r="AG65" i="16"/>
  <c r="AF65" i="16"/>
  <c r="AE65" i="16"/>
  <c r="AD65" i="16"/>
  <c r="AC65" i="16"/>
  <c r="AB65" i="16"/>
  <c r="AA65" i="16"/>
  <c r="AJ64" i="16"/>
  <c r="AI64" i="16"/>
  <c r="AH64" i="16"/>
  <c r="AG64" i="16"/>
  <c r="AF64" i="16"/>
  <c r="AE64" i="16"/>
  <c r="AD64" i="16"/>
  <c r="AC64" i="16"/>
  <c r="AB64" i="16"/>
  <c r="AA64" i="16"/>
  <c r="AJ63" i="16"/>
  <c r="AI63" i="16"/>
  <c r="AH63" i="16"/>
  <c r="AG63" i="16"/>
  <c r="AF63" i="16"/>
  <c r="AE63" i="16"/>
  <c r="AD63" i="16"/>
  <c r="AC63" i="16"/>
  <c r="AB63" i="16"/>
  <c r="AA63" i="16"/>
  <c r="AJ62" i="16"/>
  <c r="AI62" i="16"/>
  <c r="AH62" i="16"/>
  <c r="AG62" i="16"/>
  <c r="AF62" i="16"/>
  <c r="AE62" i="16"/>
  <c r="AD62" i="16"/>
  <c r="AC62" i="16"/>
  <c r="AB62" i="16"/>
  <c r="AA62" i="16"/>
  <c r="AJ61" i="16"/>
  <c r="AI61" i="16"/>
  <c r="AH61" i="16"/>
  <c r="AG61" i="16"/>
  <c r="AF61" i="16"/>
  <c r="AE61" i="16"/>
  <c r="AD61" i="16"/>
  <c r="AC61" i="16"/>
  <c r="AB61" i="16"/>
  <c r="AA61" i="16"/>
  <c r="AJ60" i="16"/>
  <c r="AI60" i="16"/>
  <c r="AH60" i="16"/>
  <c r="AG60" i="16"/>
  <c r="AF60" i="16"/>
  <c r="AE60" i="16"/>
  <c r="AD60" i="16"/>
  <c r="AC60" i="16"/>
  <c r="AB60" i="16"/>
  <c r="AA60" i="16"/>
  <c r="AJ59" i="16"/>
  <c r="AI59" i="16"/>
  <c r="AH59" i="16"/>
  <c r="AG59" i="16"/>
  <c r="AF59" i="16"/>
  <c r="AE59" i="16"/>
  <c r="AD59" i="16"/>
  <c r="AC59" i="16"/>
  <c r="AB59" i="16"/>
  <c r="AA59" i="16"/>
  <c r="AJ58" i="16"/>
  <c r="AI58" i="16"/>
  <c r="AH58" i="16"/>
  <c r="AG58" i="16"/>
  <c r="AF58" i="16"/>
  <c r="AE58" i="16"/>
  <c r="AD58" i="16"/>
  <c r="AC58" i="16"/>
  <c r="AB58" i="16"/>
  <c r="AA58" i="16"/>
  <c r="AJ57" i="16"/>
  <c r="AI57" i="16"/>
  <c r="AH57" i="16"/>
  <c r="AG57" i="16"/>
  <c r="AF57" i="16"/>
  <c r="AE57" i="16"/>
  <c r="AD57" i="16"/>
  <c r="AC57" i="16"/>
  <c r="AB57" i="16"/>
  <c r="AA57" i="16"/>
  <c r="AJ56" i="16"/>
  <c r="AI56" i="16"/>
  <c r="AH56" i="16"/>
  <c r="AG56" i="16"/>
  <c r="AF56" i="16"/>
  <c r="AE56" i="16"/>
  <c r="AD56" i="16"/>
  <c r="AC56" i="16"/>
  <c r="AB56" i="16"/>
  <c r="AA56" i="16"/>
  <c r="AJ55" i="16"/>
  <c r="AI55" i="16"/>
  <c r="AH55" i="16"/>
  <c r="AG55" i="16"/>
  <c r="AF55" i="16"/>
  <c r="AE55" i="16"/>
  <c r="AD55" i="16"/>
  <c r="AC55" i="16"/>
  <c r="AB55" i="16"/>
  <c r="AA55" i="16"/>
  <c r="AJ54" i="16"/>
  <c r="AI54" i="16"/>
  <c r="AH54" i="16"/>
  <c r="AG54" i="16"/>
  <c r="AF54" i="16"/>
  <c r="AE54" i="16"/>
  <c r="AD54" i="16"/>
  <c r="AC54" i="16"/>
  <c r="AB54" i="16"/>
  <c r="AA54" i="16"/>
  <c r="AJ53" i="16"/>
  <c r="AI53" i="16"/>
  <c r="AH53" i="16"/>
  <c r="AG53" i="16"/>
  <c r="AF53" i="16"/>
  <c r="AE53" i="16"/>
  <c r="AD53" i="16"/>
  <c r="AC53" i="16"/>
  <c r="AB53" i="16"/>
  <c r="AA53" i="16"/>
  <c r="AJ52" i="16"/>
  <c r="AI52" i="16"/>
  <c r="AH52" i="16"/>
  <c r="AG52" i="16"/>
  <c r="AF52" i="16"/>
  <c r="AE52" i="16"/>
  <c r="AD52" i="16"/>
  <c r="AC52" i="16"/>
  <c r="AB52" i="16"/>
  <c r="AA52" i="16"/>
  <c r="AJ51" i="16"/>
  <c r="AI51" i="16"/>
  <c r="AH51" i="16"/>
  <c r="AG51" i="16"/>
  <c r="AF51" i="16"/>
  <c r="AE51" i="16"/>
  <c r="AD51" i="16"/>
  <c r="AC51" i="16"/>
  <c r="AB51" i="16"/>
  <c r="AA51" i="16"/>
  <c r="AJ50" i="16"/>
  <c r="AI50" i="16"/>
  <c r="AH50" i="16"/>
  <c r="AG50" i="16"/>
  <c r="AF50" i="16"/>
  <c r="AE50" i="16"/>
  <c r="AD50" i="16"/>
  <c r="AC50" i="16"/>
  <c r="AB50" i="16"/>
  <c r="AA50" i="16"/>
  <c r="AJ49" i="16"/>
  <c r="AI49" i="16"/>
  <c r="AH49" i="16"/>
  <c r="AG49" i="16"/>
  <c r="AF49" i="16"/>
  <c r="AE49" i="16"/>
  <c r="AD49" i="16"/>
  <c r="AC49" i="16"/>
  <c r="AB49" i="16"/>
  <c r="AA49" i="16"/>
  <c r="AJ48" i="16"/>
  <c r="AI48" i="16"/>
  <c r="AH48" i="16"/>
  <c r="AG48" i="16"/>
  <c r="AF48" i="16"/>
  <c r="AE48" i="16"/>
  <c r="AD48" i="16"/>
  <c r="AC48" i="16"/>
  <c r="AB48" i="16"/>
  <c r="AA48" i="16"/>
  <c r="AJ47" i="16"/>
  <c r="AI47" i="16"/>
  <c r="AH47" i="16"/>
  <c r="AG47" i="16"/>
  <c r="AF47" i="16"/>
  <c r="AE47" i="16"/>
  <c r="AD47" i="16"/>
  <c r="AC47" i="16"/>
  <c r="AB47" i="16"/>
  <c r="AA47" i="16"/>
  <c r="AJ46" i="16"/>
  <c r="AI46" i="16"/>
  <c r="AH46" i="16"/>
  <c r="AG46" i="16"/>
  <c r="AF46" i="16"/>
  <c r="AE46" i="16"/>
  <c r="AD46" i="16"/>
  <c r="AC46" i="16"/>
  <c r="AB46" i="16"/>
  <c r="AA46" i="16"/>
  <c r="AJ45" i="16"/>
  <c r="AI45" i="16"/>
  <c r="AH45" i="16"/>
  <c r="AG45" i="16"/>
  <c r="AF45" i="16"/>
  <c r="AE45" i="16"/>
  <c r="AD45" i="16"/>
  <c r="AC45" i="16"/>
  <c r="AB45" i="16"/>
  <c r="AA45" i="16"/>
  <c r="AJ44" i="16"/>
  <c r="AI44" i="16"/>
  <c r="AH44" i="16"/>
  <c r="AG44" i="16"/>
  <c r="AF44" i="16"/>
  <c r="AE44" i="16"/>
  <c r="AD44" i="16"/>
  <c r="AC44" i="16"/>
  <c r="AB44" i="16"/>
  <c r="AA44" i="16"/>
  <c r="AJ43" i="16"/>
  <c r="AI43" i="16"/>
  <c r="AH43" i="16"/>
  <c r="AG43" i="16"/>
  <c r="AF43" i="16"/>
  <c r="AE43" i="16"/>
  <c r="AD43" i="16"/>
  <c r="AC43" i="16"/>
  <c r="AB43" i="16"/>
  <c r="AA43" i="16"/>
  <c r="AJ42" i="16"/>
  <c r="AI42" i="16"/>
  <c r="AH42" i="16"/>
  <c r="AG42" i="16"/>
  <c r="AF42" i="16"/>
  <c r="AE42" i="16"/>
  <c r="AD42" i="16"/>
  <c r="AC42" i="16"/>
  <c r="AB42" i="16"/>
  <c r="AA42" i="16"/>
  <c r="AJ41" i="16"/>
  <c r="AI41" i="16"/>
  <c r="AH41" i="16"/>
  <c r="AG41" i="16"/>
  <c r="AF41" i="16"/>
  <c r="AE41" i="16"/>
  <c r="AD41" i="16"/>
  <c r="AC41" i="16"/>
  <c r="AB41" i="16"/>
  <c r="AA41" i="16"/>
  <c r="AJ40" i="16"/>
  <c r="AI40" i="16"/>
  <c r="AH40" i="16"/>
  <c r="AG40" i="16"/>
  <c r="AF40" i="16"/>
  <c r="AE40" i="16"/>
  <c r="AD40" i="16"/>
  <c r="AC40" i="16"/>
  <c r="AB40" i="16"/>
  <c r="AA40" i="16"/>
  <c r="AJ39" i="16"/>
  <c r="AI39" i="16"/>
  <c r="AH39" i="16"/>
  <c r="AG39" i="16"/>
  <c r="AF39" i="16"/>
  <c r="AE39" i="16"/>
  <c r="AD39" i="16"/>
  <c r="AC39" i="16"/>
  <c r="AB39" i="16"/>
  <c r="AA39" i="16"/>
  <c r="AJ38" i="16"/>
  <c r="AI38" i="16"/>
  <c r="AH38" i="16"/>
  <c r="AG38" i="16"/>
  <c r="AF38" i="16"/>
  <c r="AE38" i="16"/>
  <c r="AD38" i="16"/>
  <c r="AC38" i="16"/>
  <c r="AB38" i="16"/>
  <c r="AA38" i="16"/>
  <c r="AJ37" i="16"/>
  <c r="AI37" i="16"/>
  <c r="AH37" i="16"/>
  <c r="AG37" i="16"/>
  <c r="AF37" i="16"/>
  <c r="AE37" i="16"/>
  <c r="AD37" i="16"/>
  <c r="AC37" i="16"/>
  <c r="AB37" i="16"/>
  <c r="AA37" i="16"/>
  <c r="AJ36" i="16"/>
  <c r="AI36" i="16"/>
  <c r="AH36" i="16"/>
  <c r="AG36" i="16"/>
  <c r="AF36" i="16"/>
  <c r="AE36" i="16"/>
  <c r="AD36" i="16"/>
  <c r="AC36" i="16"/>
  <c r="AB36" i="16"/>
  <c r="AA36" i="16"/>
  <c r="AJ35" i="16"/>
  <c r="AI35" i="16"/>
  <c r="AH35" i="16"/>
  <c r="AG35" i="16"/>
  <c r="AF35" i="16"/>
  <c r="AE35" i="16"/>
  <c r="AD35" i="16"/>
  <c r="AC35" i="16"/>
  <c r="AB35" i="16"/>
  <c r="AA35" i="16"/>
  <c r="AJ34" i="16"/>
  <c r="AI34" i="16"/>
  <c r="AH34" i="16"/>
  <c r="AG34" i="16"/>
  <c r="AF34" i="16"/>
  <c r="AE34" i="16"/>
  <c r="AD34" i="16"/>
  <c r="AC34" i="16"/>
  <c r="AB34" i="16"/>
  <c r="AA34" i="16"/>
  <c r="AJ33" i="16"/>
  <c r="AI33" i="16"/>
  <c r="AH33" i="16"/>
  <c r="AG33" i="16"/>
  <c r="AF33" i="16"/>
  <c r="AE33" i="16"/>
  <c r="AD33" i="16"/>
  <c r="AC33" i="16"/>
  <c r="AB33" i="16"/>
  <c r="AA33" i="16"/>
  <c r="AJ32" i="16"/>
  <c r="AI32" i="16"/>
  <c r="AH32" i="16"/>
  <c r="AG32" i="16"/>
  <c r="AF32" i="16"/>
  <c r="AE32" i="16"/>
  <c r="AD32" i="16"/>
  <c r="AC32" i="16"/>
  <c r="AB32" i="16"/>
  <c r="AA32" i="16"/>
  <c r="AJ31" i="16"/>
  <c r="AI31" i="16"/>
  <c r="AH31" i="16"/>
  <c r="AG31" i="16"/>
  <c r="AF31" i="16"/>
  <c r="AE31" i="16"/>
  <c r="AD31" i="16"/>
  <c r="AC31" i="16"/>
  <c r="AB31" i="16"/>
  <c r="AA31" i="16"/>
  <c r="AJ30" i="16"/>
  <c r="AI30" i="16"/>
  <c r="AH30" i="16"/>
  <c r="AG30" i="16"/>
  <c r="AF30" i="16"/>
  <c r="AE30" i="16"/>
  <c r="AD30" i="16"/>
  <c r="AC30" i="16"/>
  <c r="AB30" i="16"/>
  <c r="AA30" i="16"/>
  <c r="AJ29" i="16"/>
  <c r="AI29" i="16"/>
  <c r="AH29" i="16"/>
  <c r="AG29" i="16"/>
  <c r="AF29" i="16"/>
  <c r="AE29" i="16"/>
  <c r="AD29" i="16"/>
  <c r="AC29" i="16"/>
  <c r="AB29" i="16"/>
  <c r="AA29" i="16"/>
  <c r="AJ28" i="16"/>
  <c r="AI28" i="16"/>
  <c r="AH28" i="16"/>
  <c r="AG28" i="16"/>
  <c r="AF28" i="16"/>
  <c r="AE28" i="16"/>
  <c r="AD28" i="16"/>
  <c r="AC28" i="16"/>
  <c r="AB28" i="16"/>
  <c r="AA28" i="16"/>
  <c r="AJ27" i="16"/>
  <c r="AI27" i="16"/>
  <c r="AH27" i="16"/>
  <c r="AG27" i="16"/>
  <c r="AF27" i="16"/>
  <c r="AE27" i="16"/>
  <c r="AD27" i="16"/>
  <c r="AC27" i="16"/>
  <c r="AB27" i="16"/>
  <c r="AA27" i="16"/>
  <c r="AJ26" i="16"/>
  <c r="AI26" i="16"/>
  <c r="AH26" i="16"/>
  <c r="AG26" i="16"/>
  <c r="AF26" i="16"/>
  <c r="AE26" i="16"/>
  <c r="AD26" i="16"/>
  <c r="AC26" i="16"/>
  <c r="AB26" i="16"/>
  <c r="AA26" i="16"/>
  <c r="AJ25" i="16"/>
  <c r="AI25" i="16"/>
  <c r="AH25" i="16"/>
  <c r="AG25" i="16"/>
  <c r="AF25" i="16"/>
  <c r="AE25" i="16"/>
  <c r="AD25" i="16"/>
  <c r="AC25" i="16"/>
  <c r="AB25" i="16"/>
  <c r="AA25" i="16"/>
  <c r="AJ24" i="16"/>
  <c r="AI24" i="16"/>
  <c r="AH24" i="16"/>
  <c r="AG24" i="16"/>
  <c r="AF24" i="16"/>
  <c r="AE24" i="16"/>
  <c r="AD24" i="16"/>
  <c r="AC24" i="16"/>
  <c r="AB24" i="16"/>
  <c r="AA24" i="16"/>
  <c r="AJ23" i="16"/>
  <c r="AI23" i="16"/>
  <c r="AH23" i="16"/>
  <c r="AG23" i="16"/>
  <c r="AF23" i="16"/>
  <c r="AE23" i="16"/>
  <c r="AD23" i="16"/>
  <c r="AC23" i="16"/>
  <c r="AB23" i="16"/>
  <c r="AA23" i="16"/>
  <c r="AJ22" i="16"/>
  <c r="AI22" i="16"/>
  <c r="AH22" i="16"/>
  <c r="AG22" i="16"/>
  <c r="AF22" i="16"/>
  <c r="AE22" i="16"/>
  <c r="AD22" i="16"/>
  <c r="AC22" i="16"/>
  <c r="AB22" i="16"/>
  <c r="AA22" i="16"/>
  <c r="AJ21" i="16"/>
  <c r="AI21" i="16"/>
  <c r="AH21" i="16"/>
  <c r="AG21" i="16"/>
  <c r="AF21" i="16"/>
  <c r="AE21" i="16"/>
  <c r="AD21" i="16"/>
  <c r="AC21" i="16"/>
  <c r="AB21" i="16"/>
  <c r="AA21" i="16"/>
  <c r="AJ20" i="16"/>
  <c r="AI20" i="16"/>
  <c r="AH20" i="16"/>
  <c r="AG20" i="16"/>
  <c r="AF20" i="16"/>
  <c r="AE20" i="16"/>
  <c r="AD20" i="16"/>
  <c r="AC20" i="16"/>
  <c r="AB20" i="16"/>
  <c r="AA20" i="16"/>
  <c r="AJ19" i="16"/>
  <c r="AI19" i="16"/>
  <c r="AH19" i="16"/>
  <c r="AG19" i="16"/>
  <c r="AF19" i="16"/>
  <c r="AE19" i="16"/>
  <c r="AD19" i="16"/>
  <c r="AC19" i="16"/>
  <c r="AB19" i="16"/>
  <c r="AA19" i="16"/>
  <c r="AJ18" i="16"/>
  <c r="AI18" i="16"/>
  <c r="AH18" i="16"/>
  <c r="AG18" i="16"/>
  <c r="AF18" i="16"/>
  <c r="AE18" i="16"/>
  <c r="AD18" i="16"/>
  <c r="AC18" i="16"/>
  <c r="AB18" i="16"/>
  <c r="AA18" i="16"/>
  <c r="AJ17" i="16"/>
  <c r="AI17" i="16"/>
  <c r="AH17" i="16"/>
  <c r="AG17" i="16"/>
  <c r="AF17" i="16"/>
  <c r="AE17" i="16"/>
  <c r="AD17" i="16"/>
  <c r="AC17" i="16"/>
  <c r="AB17" i="16"/>
  <c r="AA17" i="16"/>
  <c r="AJ16" i="16"/>
  <c r="AI16" i="16"/>
  <c r="AH16" i="16"/>
  <c r="AG16" i="16"/>
  <c r="AF16" i="16"/>
  <c r="AE16" i="16"/>
  <c r="AD16" i="16"/>
  <c r="AC16" i="16"/>
  <c r="AB16" i="16"/>
  <c r="AA16" i="16"/>
  <c r="AJ15" i="16"/>
  <c r="AI15" i="16"/>
  <c r="AH15" i="16"/>
  <c r="AG15" i="16"/>
  <c r="AF15" i="16"/>
  <c r="AE15" i="16"/>
  <c r="AD15" i="16"/>
  <c r="AC15" i="16"/>
  <c r="AB15" i="16"/>
  <c r="AA15" i="16"/>
  <c r="AJ14" i="16"/>
  <c r="AI14" i="16"/>
  <c r="AH14" i="16"/>
  <c r="AG14" i="16"/>
  <c r="AF14" i="16"/>
  <c r="AE14" i="16"/>
  <c r="AD14" i="16"/>
  <c r="AC14" i="16"/>
  <c r="AB14" i="16"/>
  <c r="AA14" i="16"/>
  <c r="AJ13" i="16"/>
  <c r="AI13" i="16"/>
  <c r="AH13" i="16"/>
  <c r="AG13" i="16"/>
  <c r="AF13" i="16"/>
  <c r="AE13" i="16"/>
  <c r="AD13" i="16"/>
  <c r="AC13" i="16"/>
  <c r="AB13" i="16"/>
  <c r="AA13" i="16"/>
  <c r="AJ12" i="16"/>
  <c r="AI12" i="16"/>
  <c r="AH12" i="16"/>
  <c r="AG12" i="16"/>
  <c r="AF12" i="16"/>
  <c r="AE12" i="16"/>
  <c r="AD12" i="16"/>
  <c r="AC12" i="16"/>
  <c r="AB12" i="16"/>
  <c r="AA12" i="16"/>
  <c r="AJ11" i="16"/>
  <c r="AI11" i="16"/>
  <c r="AH11" i="16"/>
  <c r="AG11" i="16"/>
  <c r="AF11" i="16"/>
  <c r="AE11" i="16"/>
  <c r="AD11" i="16"/>
  <c r="AC11" i="16"/>
  <c r="AB11" i="16"/>
  <c r="AA11" i="16"/>
  <c r="AJ10" i="16"/>
  <c r="AI10" i="16"/>
  <c r="AH10" i="16"/>
  <c r="AG10" i="16"/>
  <c r="AF10" i="16"/>
  <c r="AE10" i="16"/>
  <c r="AD10" i="16"/>
  <c r="AC10" i="16"/>
  <c r="AB10" i="16"/>
  <c r="AA10" i="16"/>
  <c r="AJ9" i="16"/>
  <c r="AI9" i="16"/>
  <c r="AH9" i="16"/>
  <c r="AG9" i="16"/>
  <c r="AF9" i="16"/>
  <c r="AE9" i="16"/>
  <c r="AD9" i="16"/>
  <c r="AC9" i="16"/>
  <c r="AB9" i="16"/>
  <c r="AA9" i="16"/>
  <c r="AJ8" i="16"/>
  <c r="AI8" i="16"/>
  <c r="AH8" i="16"/>
  <c r="AG8" i="16"/>
  <c r="AF8" i="16"/>
  <c r="AE8" i="16"/>
  <c r="AD8" i="16"/>
  <c r="AC8" i="16"/>
  <c r="AB8" i="16"/>
  <c r="AA8" i="16"/>
  <c r="AJ7" i="16"/>
  <c r="AI7" i="16"/>
  <c r="AH7" i="16"/>
  <c r="AG7" i="16"/>
  <c r="AF7" i="16"/>
  <c r="AE7" i="16"/>
  <c r="AD7" i="16"/>
  <c r="AC7" i="16"/>
  <c r="AB7" i="16"/>
  <c r="AA7" i="16"/>
  <c r="AJ6" i="16"/>
  <c r="AI6" i="16"/>
  <c r="AH6" i="16"/>
  <c r="AG6" i="16"/>
  <c r="AF6" i="16"/>
  <c r="AE6" i="16"/>
  <c r="AD6" i="16"/>
  <c r="AC6" i="16"/>
  <c r="AB6" i="16"/>
  <c r="AA6" i="16"/>
  <c r="AJ5" i="16"/>
  <c r="AI5" i="16"/>
  <c r="AH5" i="16"/>
  <c r="AG5" i="16"/>
  <c r="AF5" i="16"/>
  <c r="AE5" i="16"/>
  <c r="AD5" i="16"/>
  <c r="AC5" i="16"/>
  <c r="AB5" i="16"/>
  <c r="AA5" i="16"/>
  <c r="G7" i="16"/>
  <c r="G37" i="2"/>
  <c r="G38" i="2"/>
  <c r="D128" i="1" l="1"/>
  <c r="AK14" i="16"/>
  <c r="AK22" i="16"/>
  <c r="AK30" i="16"/>
  <c r="AK38" i="16"/>
  <c r="AK46" i="16"/>
  <c r="AK54" i="16"/>
  <c r="AK58" i="16"/>
  <c r="AK62" i="16"/>
  <c r="AK66" i="16"/>
  <c r="AK70" i="16"/>
  <c r="AK74" i="16"/>
  <c r="AK78" i="16"/>
  <c r="AK80" i="16"/>
  <c r="AK82" i="16"/>
  <c r="AK86" i="16"/>
  <c r="AK88" i="16"/>
  <c r="AK90" i="16"/>
  <c r="AK94" i="16"/>
  <c r="AK96" i="16"/>
  <c r="AK6" i="16"/>
  <c r="AK19" i="16"/>
  <c r="AK43" i="16"/>
  <c r="AK47" i="16"/>
  <c r="AK51" i="16"/>
  <c r="AK59" i="16"/>
  <c r="AK63" i="16"/>
  <c r="AK67" i="16"/>
  <c r="AK71" i="16"/>
  <c r="AK75" i="16"/>
  <c r="AK79" i="16"/>
  <c r="AK87" i="16"/>
  <c r="AK95" i="16"/>
  <c r="AK99" i="16"/>
  <c r="AK8" i="16"/>
  <c r="AK12" i="16"/>
  <c r="AK20" i="16"/>
  <c r="AK32" i="16"/>
  <c r="AK40" i="16"/>
  <c r="AK48" i="16"/>
  <c r="AK52" i="16"/>
  <c r="AK60" i="16"/>
  <c r="AK64" i="16"/>
  <c r="AK72" i="16"/>
  <c r="AK76" i="16"/>
  <c r="AK92" i="16"/>
  <c r="AK5" i="16"/>
  <c r="AK9" i="16"/>
  <c r="AK13" i="16"/>
  <c r="AK17" i="16"/>
  <c r="AK21" i="16"/>
  <c r="AK29" i="16"/>
  <c r="AK41" i="16"/>
  <c r="AK45" i="16"/>
  <c r="AK53" i="16"/>
  <c r="AK57" i="16"/>
  <c r="AK61" i="16"/>
  <c r="AK65" i="16"/>
  <c r="AK69" i="16"/>
  <c r="AK73" i="16"/>
  <c r="AK77" i="16"/>
  <c r="AK81" i="16"/>
  <c r="AK85" i="16"/>
  <c r="AK89" i="16"/>
  <c r="AK93" i="16"/>
  <c r="AK97" i="16"/>
  <c r="AK10" i="16"/>
  <c r="AK18" i="16"/>
  <c r="AK26" i="16"/>
  <c r="AK34" i="16"/>
  <c r="AK42" i="16"/>
  <c r="AK50" i="16"/>
  <c r="AK35" i="16"/>
  <c r="AK98" i="16"/>
  <c r="AK7" i="16"/>
  <c r="AK11" i="16"/>
  <c r="AK15" i="16"/>
  <c r="AK23" i="16"/>
  <c r="AK27" i="16"/>
  <c r="AK31" i="16"/>
  <c r="AK39" i="16"/>
  <c r="AK55" i="16"/>
  <c r="AK83" i="16"/>
  <c r="AK91" i="16"/>
  <c r="AK16" i="16"/>
  <c r="AK24" i="16"/>
  <c r="AK28" i="16"/>
  <c r="AK36" i="16"/>
  <c r="AK44" i="16"/>
  <c r="AK56" i="16"/>
  <c r="AK68" i="16"/>
  <c r="AK84" i="16"/>
  <c r="AK100" i="16"/>
  <c r="AK25" i="16"/>
  <c r="AK33" i="16"/>
  <c r="AK37" i="16"/>
  <c r="AK49" i="16"/>
  <c r="AK101" i="16"/>
  <c r="AD4" i="16"/>
  <c r="T6" i="27" s="1"/>
  <c r="G6" i="27" s="1"/>
  <c r="AE4" i="16"/>
  <c r="U6" i="27" s="1"/>
  <c r="H6" i="27" s="1"/>
  <c r="AG4" i="16"/>
  <c r="W6" i="27" s="1"/>
  <c r="J6" i="27" s="1"/>
  <c r="AC4" i="16"/>
  <c r="S6" i="27" s="1"/>
  <c r="F6" i="27" s="1"/>
  <c r="AB4" i="16"/>
  <c r="R6" i="27" s="1"/>
  <c r="E6" i="27" s="1"/>
  <c r="AJ4" i="16"/>
  <c r="Z6" i="27" s="1"/>
  <c r="M6" i="27" s="1"/>
  <c r="AH4" i="16"/>
  <c r="X6" i="27" s="1"/>
  <c r="K6" i="27" s="1"/>
  <c r="AI4" i="16"/>
  <c r="Y6" i="27" s="1"/>
  <c r="L6" i="27" s="1"/>
  <c r="AF4" i="16"/>
  <c r="V6" i="27" s="1"/>
  <c r="I6" i="27" s="1"/>
  <c r="AA4" i="16"/>
  <c r="Q6" i="27" s="1"/>
  <c r="D6" i="27" s="1"/>
  <c r="AA12" i="27"/>
  <c r="N12" i="27" s="1"/>
  <c r="F1" i="19"/>
  <c r="F1" i="17"/>
  <c r="F1" i="15"/>
  <c r="F1" i="13"/>
  <c r="F1" i="14"/>
  <c r="F1" i="12"/>
  <c r="F1" i="9"/>
  <c r="I2" i="23"/>
  <c r="F1" i="1"/>
  <c r="D50" i="6"/>
  <c r="AE37" i="20"/>
  <c r="AE36" i="20"/>
  <c r="AE35" i="20"/>
  <c r="AE34" i="20"/>
  <c r="AE33" i="20"/>
  <c r="AE32" i="20"/>
  <c r="AE31" i="20"/>
  <c r="AE30" i="20"/>
  <c r="AE29" i="20"/>
  <c r="AE28" i="20"/>
  <c r="AE27" i="20"/>
  <c r="AE26" i="20"/>
  <c r="AE25" i="20"/>
  <c r="AE24" i="20"/>
  <c r="AE23" i="20"/>
  <c r="AE22" i="20"/>
  <c r="AE21" i="20"/>
  <c r="AE20" i="20"/>
  <c r="AE19" i="20"/>
  <c r="AE18" i="20"/>
  <c r="AE17" i="20"/>
  <c r="AE16" i="20"/>
  <c r="AE15" i="20"/>
  <c r="AE14" i="20"/>
  <c r="AE13" i="20"/>
  <c r="AE12" i="20"/>
  <c r="AE11" i="20"/>
  <c r="AE10" i="20"/>
  <c r="AE9" i="20"/>
  <c r="AE8" i="20"/>
  <c r="AE7" i="20"/>
  <c r="AE6" i="20"/>
  <c r="AE5" i="20"/>
  <c r="AE4" i="20"/>
  <c r="AE3" i="20"/>
  <c r="AE2" i="20"/>
  <c r="AK4" i="16" l="1"/>
  <c r="AA6" i="27" s="1"/>
  <c r="R2" i="6"/>
  <c r="AF2" i="24"/>
  <c r="Y2" i="24"/>
  <c r="N2" i="24"/>
  <c r="M2" i="3"/>
  <c r="F1" i="16"/>
  <c r="F1" i="10"/>
  <c r="F1" i="11"/>
  <c r="F1" i="8"/>
  <c r="F1" i="7"/>
  <c r="F1" i="6"/>
  <c r="F1" i="5"/>
  <c r="F1" i="4"/>
  <c r="F1" i="3"/>
  <c r="AE22" i="24"/>
  <c r="AE14" i="24"/>
  <c r="AE11" i="24"/>
  <c r="Y1027" i="24"/>
  <c r="Y1026" i="24"/>
  <c r="Y985" i="24"/>
  <c r="Y984" i="24"/>
  <c r="Y983" i="24"/>
  <c r="Y971" i="24"/>
  <c r="Y970" i="24"/>
  <c r="Y957" i="24"/>
  <c r="Y956" i="24"/>
  <c r="Y947" i="24"/>
  <c r="Y946" i="24"/>
  <c r="Y943" i="24"/>
  <c r="Y942" i="24"/>
  <c r="Y939" i="24"/>
  <c r="Y938" i="24"/>
  <c r="Y887" i="24"/>
  <c r="Y886" i="24"/>
  <c r="Y864" i="24"/>
  <c r="Y863" i="24"/>
  <c r="Y852" i="24"/>
  <c r="Y851" i="24"/>
  <c r="Y827" i="24"/>
  <c r="Y826" i="24"/>
  <c r="Y599" i="24"/>
  <c r="Y598" i="24"/>
  <c r="Y592" i="24"/>
  <c r="Y591" i="24"/>
  <c r="Y582" i="24"/>
  <c r="Y581" i="24"/>
  <c r="Y573" i="24"/>
  <c r="Y572" i="24"/>
  <c r="Y567" i="24"/>
  <c r="Y566" i="24"/>
  <c r="Y481" i="24"/>
  <c r="Y480" i="24"/>
  <c r="Y473" i="24"/>
  <c r="Y472" i="24"/>
  <c r="Y466" i="24"/>
  <c r="Y465" i="24"/>
  <c r="Y192" i="24"/>
  <c r="Y191" i="24"/>
  <c r="Y147" i="24"/>
  <c r="Y146" i="24"/>
  <c r="Y131" i="24"/>
  <c r="Y130" i="24"/>
  <c r="Y118" i="24"/>
  <c r="Y117" i="24"/>
  <c r="Y110" i="24"/>
  <c r="Y109" i="24"/>
  <c r="Y104" i="24"/>
  <c r="Y103" i="24"/>
  <c r="Y96" i="24"/>
  <c r="Y95" i="24"/>
  <c r="Y92" i="24"/>
  <c r="Y91" i="24"/>
  <c r="Y70" i="24"/>
  <c r="Y69" i="24"/>
  <c r="Y66" i="24"/>
  <c r="Y65" i="24"/>
  <c r="Y57" i="24"/>
  <c r="Y56" i="24"/>
  <c r="Y21" i="24"/>
  <c r="Y20" i="24"/>
  <c r="X1027" i="24"/>
  <c r="X1026" i="24"/>
  <c r="X985" i="24"/>
  <c r="X984" i="24"/>
  <c r="X983" i="24"/>
  <c r="X971" i="24"/>
  <c r="X970" i="24"/>
  <c r="X957" i="24"/>
  <c r="X956" i="24"/>
  <c r="X947" i="24"/>
  <c r="X946" i="24"/>
  <c r="X943" i="24"/>
  <c r="X942" i="24"/>
  <c r="X939" i="24"/>
  <c r="X938" i="24"/>
  <c r="X887" i="24"/>
  <c r="X886" i="24"/>
  <c r="X864" i="24"/>
  <c r="X863" i="24"/>
  <c r="X852" i="24"/>
  <c r="X851" i="24"/>
  <c r="X827" i="24"/>
  <c r="X826" i="24"/>
  <c r="X599" i="24"/>
  <c r="X598" i="24"/>
  <c r="X592" i="24"/>
  <c r="X591" i="24"/>
  <c r="X582" i="24"/>
  <c r="X581" i="24"/>
  <c r="X573" i="24"/>
  <c r="X572" i="24"/>
  <c r="X567" i="24"/>
  <c r="X566" i="24"/>
  <c r="X481" i="24"/>
  <c r="X480" i="24"/>
  <c r="X473" i="24"/>
  <c r="X472" i="24"/>
  <c r="X466" i="24"/>
  <c r="X465" i="24"/>
  <c r="X192" i="24"/>
  <c r="X191" i="24"/>
  <c r="X147" i="24"/>
  <c r="X146" i="24"/>
  <c r="X131" i="24"/>
  <c r="X130" i="24"/>
  <c r="X118" i="24"/>
  <c r="X117" i="24"/>
  <c r="X110" i="24"/>
  <c r="X109" i="24"/>
  <c r="X104" i="24"/>
  <c r="X103" i="24"/>
  <c r="X96" i="24"/>
  <c r="X95" i="24"/>
  <c r="X92" i="24"/>
  <c r="X91" i="24"/>
  <c r="X70" i="24"/>
  <c r="X69" i="24"/>
  <c r="X66" i="24"/>
  <c r="X65" i="24"/>
  <c r="X57" i="24"/>
  <c r="X56" i="24"/>
  <c r="X21" i="24"/>
  <c r="X20" i="24"/>
  <c r="W1027" i="24"/>
  <c r="W1026" i="24"/>
  <c r="W985" i="24"/>
  <c r="W984" i="24"/>
  <c r="W983" i="24"/>
  <c r="W971" i="24"/>
  <c r="W970" i="24"/>
  <c r="W957" i="24"/>
  <c r="W956" i="24"/>
  <c r="W947" i="24"/>
  <c r="W946" i="24"/>
  <c r="W943" i="24"/>
  <c r="W942" i="24"/>
  <c r="W939" i="24"/>
  <c r="W938" i="24"/>
  <c r="W887" i="24"/>
  <c r="W886" i="24"/>
  <c r="W864" i="24"/>
  <c r="W863" i="24"/>
  <c r="W852" i="24"/>
  <c r="W851" i="24"/>
  <c r="W827" i="24"/>
  <c r="W826" i="24"/>
  <c r="W599" i="24"/>
  <c r="W598" i="24"/>
  <c r="W592" i="24"/>
  <c r="W591" i="24"/>
  <c r="W582" i="24"/>
  <c r="W581" i="24"/>
  <c r="W573" i="24"/>
  <c r="W572" i="24"/>
  <c r="W567" i="24"/>
  <c r="W566" i="24"/>
  <c r="W481" i="24"/>
  <c r="W480" i="24"/>
  <c r="W473" i="24"/>
  <c r="W472" i="24"/>
  <c r="W466" i="24"/>
  <c r="W465" i="24"/>
  <c r="W192" i="24"/>
  <c r="W191" i="24"/>
  <c r="W147" i="24"/>
  <c r="W146" i="24"/>
  <c r="W131" i="24"/>
  <c r="W130" i="24"/>
  <c r="W118" i="24"/>
  <c r="W117" i="24"/>
  <c r="W110" i="24"/>
  <c r="W109" i="24"/>
  <c r="W104" i="24"/>
  <c r="W103" i="24"/>
  <c r="W96" i="24"/>
  <c r="W95" i="24"/>
  <c r="W92" i="24"/>
  <c r="W91" i="24"/>
  <c r="W70" i="24"/>
  <c r="W69" i="24"/>
  <c r="W66" i="24"/>
  <c r="W65" i="24"/>
  <c r="W57" i="24"/>
  <c r="W56" i="24"/>
  <c r="W21" i="24"/>
  <c r="W20" i="24"/>
  <c r="Q1124" i="24" l="1"/>
  <c r="P1124" i="24"/>
  <c r="O1124" i="24"/>
  <c r="Q1123" i="24"/>
  <c r="O1123" i="24"/>
  <c r="Q1122" i="24"/>
  <c r="O1122" i="24"/>
  <c r="Q1121" i="24"/>
  <c r="O1121" i="24"/>
  <c r="Q1120" i="24"/>
  <c r="O1120" i="24"/>
  <c r="Q1119" i="24"/>
  <c r="O1119" i="24"/>
  <c r="Q1118" i="24"/>
  <c r="O1118" i="24"/>
  <c r="Q1117" i="24"/>
  <c r="O1117" i="24"/>
  <c r="Q1116" i="24"/>
  <c r="O1116" i="24"/>
  <c r="Q1115" i="24"/>
  <c r="O1115" i="24"/>
  <c r="Q1114" i="24"/>
  <c r="P1114" i="24"/>
  <c r="O1114" i="24"/>
  <c r="Q1113" i="24"/>
  <c r="O1113" i="24"/>
  <c r="Q1112" i="24"/>
  <c r="O1112" i="24"/>
  <c r="Q1111" i="24"/>
  <c r="O1111" i="24"/>
  <c r="Q1110" i="24"/>
  <c r="O1110" i="24"/>
  <c r="Q1109" i="24"/>
  <c r="O1109" i="24"/>
  <c r="Q1108" i="24"/>
  <c r="O1108" i="24"/>
  <c r="Q1107" i="24"/>
  <c r="O1107" i="24"/>
  <c r="Q1106" i="24"/>
  <c r="O1106" i="24"/>
  <c r="Q1105" i="24"/>
  <c r="O1105" i="24"/>
  <c r="Q1104" i="24"/>
  <c r="O1104" i="24"/>
  <c r="Q1103" i="24"/>
  <c r="O1103" i="24"/>
  <c r="Q1102" i="24"/>
  <c r="O1102" i="24"/>
  <c r="Q1101" i="24"/>
  <c r="O1101" i="24"/>
  <c r="Q1100" i="24"/>
  <c r="O1100" i="24"/>
  <c r="Q1099" i="24"/>
  <c r="O1099" i="24"/>
  <c r="Q1098" i="24"/>
  <c r="O1098" i="24"/>
  <c r="Q1097" i="24"/>
  <c r="O1097" i="24"/>
  <c r="Q1096" i="24"/>
  <c r="O1096" i="24"/>
  <c r="Q1095" i="24"/>
  <c r="P1095" i="24"/>
  <c r="O1095" i="24"/>
  <c r="Q1094" i="24"/>
  <c r="O1094" i="24"/>
  <c r="Q1093" i="24"/>
  <c r="O1093" i="24"/>
  <c r="Q1092" i="24"/>
  <c r="O1092" i="24"/>
  <c r="Q1091" i="24"/>
  <c r="O1091" i="24"/>
  <c r="Q1090" i="24"/>
  <c r="O1090" i="24"/>
  <c r="Q1089" i="24"/>
  <c r="O1089" i="24"/>
  <c r="Q1088" i="24"/>
  <c r="O1088" i="24"/>
  <c r="Q1087" i="24"/>
  <c r="O1087" i="24"/>
  <c r="Q1086" i="24"/>
  <c r="O1086" i="24"/>
  <c r="Q1085" i="24"/>
  <c r="O1085" i="24"/>
  <c r="Q1084" i="24"/>
  <c r="O1084" i="24"/>
  <c r="Q1083" i="24"/>
  <c r="O1083" i="24"/>
  <c r="Q1082" i="24"/>
  <c r="O1082" i="24"/>
  <c r="Q1081" i="24"/>
  <c r="O1081" i="24"/>
  <c r="Q1080" i="24"/>
  <c r="O1080" i="24"/>
  <c r="Q1079" i="24"/>
  <c r="O1079" i="24"/>
  <c r="Q1078" i="24"/>
  <c r="O1078" i="24"/>
  <c r="Q1077" i="24"/>
  <c r="O1077" i="24"/>
  <c r="Q1076" i="24"/>
  <c r="O1076" i="24"/>
  <c r="Q1075" i="24"/>
  <c r="O1075" i="24"/>
  <c r="Q1074" i="24"/>
  <c r="O1074" i="24"/>
  <c r="Q1073" i="24"/>
  <c r="O1073" i="24"/>
  <c r="Q1072" i="24"/>
  <c r="O1072" i="24"/>
  <c r="Q1071" i="24"/>
  <c r="O1071" i="24"/>
  <c r="Q1070" i="24"/>
  <c r="O1070" i="24"/>
  <c r="Q1069" i="24"/>
  <c r="O1069" i="24"/>
  <c r="Q1068" i="24"/>
  <c r="P1068" i="24"/>
  <c r="O1068" i="24"/>
  <c r="Q1067" i="24"/>
  <c r="O1067" i="24"/>
  <c r="Q1066" i="24"/>
  <c r="O1066" i="24"/>
  <c r="Q1065" i="24"/>
  <c r="O1065" i="24"/>
  <c r="Q1064" i="24"/>
  <c r="O1064" i="24"/>
  <c r="Q1063" i="24"/>
  <c r="O1063" i="24"/>
  <c r="Q1062" i="24"/>
  <c r="O1062" i="24"/>
  <c r="Q1061" i="24"/>
  <c r="O1061" i="24"/>
  <c r="Q1060" i="24"/>
  <c r="O1060" i="24"/>
  <c r="Q1059" i="24"/>
  <c r="O1059" i="24"/>
  <c r="Q1058" i="24"/>
  <c r="O1058" i="24"/>
  <c r="Q1057" i="24"/>
  <c r="O1057" i="24"/>
  <c r="Q1056" i="24"/>
  <c r="O1056" i="24"/>
  <c r="Q1055" i="24"/>
  <c r="O1055" i="24"/>
  <c r="Q1054" i="24"/>
  <c r="O1054" i="24"/>
  <c r="Q1053" i="24"/>
  <c r="O1053" i="24"/>
  <c r="Q1052" i="24"/>
  <c r="O1052" i="24"/>
  <c r="Q1051" i="24"/>
  <c r="O1051" i="24"/>
  <c r="Q1050" i="24"/>
  <c r="P1050" i="24"/>
  <c r="O1050" i="24"/>
  <c r="Q1049" i="24"/>
  <c r="Q1048" i="24"/>
  <c r="Q1047" i="24"/>
  <c r="Q1046" i="24"/>
  <c r="Q1045" i="24"/>
  <c r="Q1044" i="24"/>
  <c r="Q1043" i="24"/>
  <c r="Q1042" i="24"/>
  <c r="Q1041" i="24"/>
  <c r="Q1040" i="24"/>
  <c r="Q1039" i="24"/>
  <c r="Q1038" i="24"/>
  <c r="Q1037" i="24"/>
  <c r="Q1036" i="24"/>
  <c r="Q1035" i="24"/>
  <c r="Q1034" i="24"/>
  <c r="Q1033" i="24"/>
  <c r="Q1032" i="24"/>
  <c r="Q1031" i="24"/>
  <c r="Q1030" i="24"/>
  <c r="Q1029" i="24"/>
  <c r="Q1028" i="24"/>
  <c r="Q1027" i="24"/>
  <c r="Q1026" i="24"/>
  <c r="Q1025" i="24"/>
  <c r="Q1024" i="24"/>
  <c r="Q1023" i="24"/>
  <c r="P1023" i="24"/>
  <c r="O1023" i="24"/>
  <c r="Q1022" i="24"/>
  <c r="Q1021" i="24"/>
  <c r="Q1020" i="24"/>
  <c r="Q1019" i="24"/>
  <c r="Q1018" i="24"/>
  <c r="Q1017" i="24"/>
  <c r="Q1016" i="24"/>
  <c r="P1016" i="24"/>
  <c r="O1016" i="24"/>
  <c r="Q1015" i="24"/>
  <c r="Q1014" i="24"/>
  <c r="Q1013" i="24"/>
  <c r="Q1012" i="24"/>
  <c r="Q1011" i="24"/>
  <c r="Q1010" i="24"/>
  <c r="Q1009" i="24"/>
  <c r="Q1008" i="24"/>
  <c r="Q1007" i="24"/>
  <c r="Q1006" i="24"/>
  <c r="Q1005" i="24"/>
  <c r="Q1004" i="24"/>
  <c r="Q1003" i="24"/>
  <c r="Q1002" i="24"/>
  <c r="Q1001" i="24"/>
  <c r="Q1000" i="24"/>
  <c r="Q999" i="24"/>
  <c r="Q998" i="24"/>
  <c r="Q997" i="24"/>
  <c r="Q996" i="24"/>
  <c r="P996" i="24"/>
  <c r="O996" i="24"/>
  <c r="Q995" i="24"/>
  <c r="Q994" i="24"/>
  <c r="Q993" i="24"/>
  <c r="Q992" i="24"/>
  <c r="Q991" i="24"/>
  <c r="Q990" i="24"/>
  <c r="Q989" i="24"/>
  <c r="Q988" i="24"/>
  <c r="Q987" i="24"/>
  <c r="Q986" i="24"/>
  <c r="Q985" i="24"/>
  <c r="Q984" i="24"/>
  <c r="P984" i="24"/>
  <c r="O984" i="24"/>
  <c r="Q983" i="24"/>
  <c r="Q982" i="24"/>
  <c r="Q981" i="24"/>
  <c r="Q980" i="24"/>
  <c r="Q979" i="24"/>
  <c r="Q978" i="24"/>
  <c r="Q977" i="24"/>
  <c r="P977" i="24"/>
  <c r="O977" i="24"/>
  <c r="Q976" i="24"/>
  <c r="Q975" i="24"/>
  <c r="Q974" i="24"/>
  <c r="Q973" i="24"/>
  <c r="Q972" i="24"/>
  <c r="Q971" i="24"/>
  <c r="Q970" i="24"/>
  <c r="P970" i="24"/>
  <c r="O970" i="24"/>
  <c r="Q969" i="24"/>
  <c r="P969" i="24"/>
  <c r="O969" i="24"/>
  <c r="Q968" i="24"/>
  <c r="P968" i="24"/>
  <c r="O968" i="24"/>
  <c r="Q967" i="24"/>
  <c r="P967" i="24"/>
  <c r="O967" i="24"/>
  <c r="Q966" i="24"/>
  <c r="Q965" i="24"/>
  <c r="Q964" i="24"/>
  <c r="Q963" i="24"/>
  <c r="Q962" i="24"/>
  <c r="P962" i="24"/>
  <c r="O962" i="24"/>
  <c r="Q961" i="24"/>
  <c r="Q960" i="24"/>
  <c r="Q959" i="24"/>
  <c r="Q958" i="24"/>
  <c r="Q957" i="24"/>
  <c r="Q956" i="24"/>
  <c r="Q955" i="24"/>
  <c r="Q954" i="24"/>
  <c r="Q953" i="24"/>
  <c r="Q952" i="24"/>
  <c r="P952" i="24"/>
  <c r="O952" i="24"/>
  <c r="Q951" i="24"/>
  <c r="Q950" i="24"/>
  <c r="Q949" i="24"/>
  <c r="Q948" i="24"/>
  <c r="Q947" i="24"/>
  <c r="Q946" i="24"/>
  <c r="Q945" i="24"/>
  <c r="Q944" i="24"/>
  <c r="Q943" i="24"/>
  <c r="Q942" i="24"/>
  <c r="Q941" i="24"/>
  <c r="Q940" i="24"/>
  <c r="Q939" i="24"/>
  <c r="Q938" i="24"/>
  <c r="Q937" i="24"/>
  <c r="Q936" i="24"/>
  <c r="Q935" i="24"/>
  <c r="Q934" i="24"/>
  <c r="Q933" i="24"/>
  <c r="Q932" i="24"/>
  <c r="Q931" i="24"/>
  <c r="Q930" i="24"/>
  <c r="Q929" i="24"/>
  <c r="Q928" i="24"/>
  <c r="Q927" i="24"/>
  <c r="Q926" i="24"/>
  <c r="Q925" i="24"/>
  <c r="Q924" i="24"/>
  <c r="Q923" i="24"/>
  <c r="Q922" i="24"/>
  <c r="Q921" i="24"/>
  <c r="Q920" i="24"/>
  <c r="Q919" i="24"/>
  <c r="Q918" i="24"/>
  <c r="Q917" i="24"/>
  <c r="P917" i="24"/>
  <c r="O917" i="24"/>
  <c r="Q916" i="24"/>
  <c r="Q915" i="24"/>
  <c r="Q914" i="24"/>
  <c r="Q913" i="24"/>
  <c r="Q912" i="24"/>
  <c r="P912" i="24"/>
  <c r="O912" i="24"/>
  <c r="Q911" i="24"/>
  <c r="Q910" i="24"/>
  <c r="Q909" i="24"/>
  <c r="Q908" i="24"/>
  <c r="Q907" i="24"/>
  <c r="Q906" i="24"/>
  <c r="Q905" i="24"/>
  <c r="Q904" i="24"/>
  <c r="Q903" i="24"/>
  <c r="Q902" i="24"/>
  <c r="Q901" i="24"/>
  <c r="P901" i="24"/>
  <c r="O901" i="24"/>
  <c r="Q900" i="24"/>
  <c r="Q899" i="24"/>
  <c r="Q898" i="24"/>
  <c r="Q897" i="24"/>
  <c r="P897" i="24"/>
  <c r="O897" i="24"/>
  <c r="Q896" i="24"/>
  <c r="Q895" i="24"/>
  <c r="Q894" i="24"/>
  <c r="P894" i="24"/>
  <c r="O894" i="24"/>
  <c r="Q893" i="24"/>
  <c r="P893" i="24"/>
  <c r="O893" i="24"/>
  <c r="Q892" i="24"/>
  <c r="O892" i="24"/>
  <c r="Q891" i="24"/>
  <c r="O891" i="24"/>
  <c r="Q890" i="24"/>
  <c r="O890" i="24"/>
  <c r="Q889" i="24"/>
  <c r="O889" i="24"/>
  <c r="Q888" i="24"/>
  <c r="O888" i="24"/>
  <c r="Q887" i="24"/>
  <c r="O887" i="24"/>
  <c r="Q886" i="24"/>
  <c r="O886" i="24"/>
  <c r="Q885" i="24"/>
  <c r="O885" i="24"/>
  <c r="Q884" i="24"/>
  <c r="P884" i="24"/>
  <c r="O884" i="24"/>
  <c r="Q883" i="24"/>
  <c r="O883" i="24"/>
  <c r="Q882" i="24"/>
  <c r="O882" i="24"/>
  <c r="Q881" i="24"/>
  <c r="O881" i="24"/>
  <c r="Q880" i="24"/>
  <c r="O880" i="24"/>
  <c r="Q879" i="24"/>
  <c r="O879" i="24"/>
  <c r="Q878" i="24"/>
  <c r="O878" i="24"/>
  <c r="Q877" i="24"/>
  <c r="P877" i="24"/>
  <c r="O877" i="24"/>
  <c r="Q876" i="24"/>
  <c r="O876" i="24"/>
  <c r="Q875" i="24"/>
  <c r="O875" i="24"/>
  <c r="Q874" i="24"/>
  <c r="P874" i="24"/>
  <c r="O874" i="24"/>
  <c r="Q873" i="24"/>
  <c r="O873" i="24"/>
  <c r="Q872" i="24"/>
  <c r="O872" i="24"/>
  <c r="Q871" i="24"/>
  <c r="O871" i="24"/>
  <c r="Q870" i="24"/>
  <c r="O870" i="24"/>
  <c r="Q869" i="24"/>
  <c r="P869" i="24"/>
  <c r="O869" i="24"/>
  <c r="Q868" i="24"/>
  <c r="P868" i="24"/>
  <c r="O868" i="24"/>
  <c r="Q867" i="24"/>
  <c r="O867" i="24"/>
  <c r="Q866" i="24"/>
  <c r="O866" i="24"/>
  <c r="Q865" i="24"/>
  <c r="O865" i="24"/>
  <c r="Q864" i="24"/>
  <c r="O864" i="24"/>
  <c r="Q863" i="24"/>
  <c r="O863" i="24"/>
  <c r="Q862" i="24"/>
  <c r="O862" i="24"/>
  <c r="Q861" i="24"/>
  <c r="O861" i="24"/>
  <c r="Q860" i="24"/>
  <c r="O860" i="24"/>
  <c r="Q859" i="24"/>
  <c r="P859" i="24"/>
  <c r="O859" i="24"/>
  <c r="Q858" i="24"/>
  <c r="P858" i="24"/>
  <c r="O858" i="24"/>
  <c r="Q857" i="24"/>
  <c r="Q856" i="24"/>
  <c r="Q855" i="24"/>
  <c r="Q854" i="24"/>
  <c r="Q853" i="24"/>
  <c r="Q852" i="24"/>
  <c r="Q851" i="24"/>
  <c r="Q850" i="24"/>
  <c r="Q849" i="24"/>
  <c r="Q848" i="24"/>
  <c r="Q847" i="24"/>
  <c r="Q846" i="24"/>
  <c r="Q845" i="24"/>
  <c r="Q844" i="24"/>
  <c r="Q843" i="24"/>
  <c r="Q842" i="24"/>
  <c r="Q841" i="24"/>
  <c r="P841" i="24"/>
  <c r="O841" i="24"/>
  <c r="Q840" i="24"/>
  <c r="Q839" i="24"/>
  <c r="Q838" i="24"/>
  <c r="Q837" i="24"/>
  <c r="Q836" i="24"/>
  <c r="Q835" i="24"/>
  <c r="Q834" i="24"/>
  <c r="Q833" i="24"/>
  <c r="Q832" i="24"/>
  <c r="Q831" i="24"/>
  <c r="Q830" i="24"/>
  <c r="P830" i="24"/>
  <c r="O830" i="24"/>
  <c r="Q829" i="24"/>
  <c r="Q828" i="24"/>
  <c r="Q827" i="24"/>
  <c r="Q826" i="24"/>
  <c r="Q825" i="24"/>
  <c r="Q824" i="24"/>
  <c r="Q823" i="24"/>
  <c r="Q822" i="24"/>
  <c r="Q821" i="24"/>
  <c r="Q820" i="24"/>
  <c r="Q819" i="24"/>
  <c r="Q818" i="24"/>
  <c r="Q817" i="24"/>
  <c r="Q816" i="24"/>
  <c r="Q815" i="24"/>
  <c r="Q814" i="24"/>
  <c r="Q813" i="24"/>
  <c r="Q812" i="24"/>
  <c r="Q811" i="24"/>
  <c r="Q810" i="24"/>
  <c r="Q809" i="24"/>
  <c r="Q808" i="24"/>
  <c r="Q807" i="24"/>
  <c r="Q806" i="24"/>
  <c r="Q805" i="24"/>
  <c r="Q804" i="24"/>
  <c r="Q803" i="24"/>
  <c r="Q802" i="24"/>
  <c r="Q801" i="24"/>
  <c r="Q800" i="24"/>
  <c r="Q799" i="24"/>
  <c r="P799" i="24"/>
  <c r="O799" i="24"/>
  <c r="Q798" i="24"/>
  <c r="Q797" i="24"/>
  <c r="Q796" i="24"/>
  <c r="Q795" i="24"/>
  <c r="Q794" i="24"/>
  <c r="Q793" i="24"/>
  <c r="Q792" i="24"/>
  <c r="Q791" i="24"/>
  <c r="Q790" i="24"/>
  <c r="Q789" i="24"/>
  <c r="Q788" i="24"/>
  <c r="Q787" i="24"/>
  <c r="Q786" i="24"/>
  <c r="Q785" i="24"/>
  <c r="Q784" i="24"/>
  <c r="Q783" i="24"/>
  <c r="Q782" i="24"/>
  <c r="Q781" i="24"/>
  <c r="Q780" i="24"/>
  <c r="Q779" i="24"/>
  <c r="Q778" i="24"/>
  <c r="Q777" i="24"/>
  <c r="Q776" i="24"/>
  <c r="Q775" i="24"/>
  <c r="Q774" i="24"/>
  <c r="Q773" i="24"/>
  <c r="Q772" i="24"/>
  <c r="Q771" i="24"/>
  <c r="Q770" i="24"/>
  <c r="Q769" i="24"/>
  <c r="Q768" i="24"/>
  <c r="Q767" i="24"/>
  <c r="P767" i="24"/>
  <c r="O767" i="24"/>
  <c r="Q766" i="24"/>
  <c r="Q765" i="24"/>
  <c r="Q764" i="24"/>
  <c r="Q763" i="24"/>
  <c r="Q762" i="24"/>
  <c r="Q761" i="24"/>
  <c r="Q760" i="24"/>
  <c r="Q759" i="24"/>
  <c r="Q758" i="24"/>
  <c r="Q757" i="24"/>
  <c r="Q756" i="24"/>
  <c r="Q755" i="24"/>
  <c r="Q754" i="24"/>
  <c r="Q753" i="24"/>
  <c r="Q752" i="24"/>
  <c r="Q751" i="24"/>
  <c r="Q750" i="24"/>
  <c r="Q749" i="24"/>
  <c r="Q748" i="24"/>
  <c r="Q747" i="24"/>
  <c r="Q746" i="24"/>
  <c r="Q745" i="24"/>
  <c r="Q744" i="24"/>
  <c r="Q743" i="24"/>
  <c r="Q742" i="24"/>
  <c r="Q741" i="24"/>
  <c r="Q740" i="24"/>
  <c r="Q739" i="24"/>
  <c r="P739" i="24"/>
  <c r="O739" i="24"/>
  <c r="Q738" i="24"/>
  <c r="Q737" i="24"/>
  <c r="Q736" i="24"/>
  <c r="Q735" i="24"/>
  <c r="Q734" i="24"/>
  <c r="Q733" i="24"/>
  <c r="Q732" i="24"/>
  <c r="Q731" i="24"/>
  <c r="Q730" i="24"/>
  <c r="Q729" i="24"/>
  <c r="Q728" i="24"/>
  <c r="Q727" i="24"/>
  <c r="Q726" i="24"/>
  <c r="Q725" i="24"/>
  <c r="Q724" i="24"/>
  <c r="Q723" i="24"/>
  <c r="Q722" i="24"/>
  <c r="Q721" i="24"/>
  <c r="Q720" i="24"/>
  <c r="Q719" i="24"/>
  <c r="Q718" i="24"/>
  <c r="Q717" i="24"/>
  <c r="Q716" i="24"/>
  <c r="Q715" i="24"/>
  <c r="Q714" i="24"/>
  <c r="Q713" i="24"/>
  <c r="Q712" i="24"/>
  <c r="Q711" i="24"/>
  <c r="Q710" i="24"/>
  <c r="Q709" i="24"/>
  <c r="Q708" i="24"/>
  <c r="Q707" i="24"/>
  <c r="Q706" i="24"/>
  <c r="Q705" i="24"/>
  <c r="Q704" i="24"/>
  <c r="Q703" i="24"/>
  <c r="P703" i="24"/>
  <c r="O703" i="24"/>
  <c r="Q702" i="24"/>
  <c r="Q701" i="24"/>
  <c r="Q700" i="24"/>
  <c r="Q699" i="24"/>
  <c r="Q698" i="24"/>
  <c r="Q697" i="24"/>
  <c r="Q696" i="24"/>
  <c r="Q695" i="24"/>
  <c r="Q694" i="24"/>
  <c r="Q693" i="24"/>
  <c r="Q692" i="24"/>
  <c r="Q691" i="24"/>
  <c r="Q690" i="24"/>
  <c r="Q689" i="24"/>
  <c r="Q688" i="24"/>
  <c r="Q687" i="24"/>
  <c r="Q686" i="24"/>
  <c r="Q685" i="24"/>
  <c r="Q684" i="24"/>
  <c r="Q683" i="24"/>
  <c r="Q682" i="24"/>
  <c r="Q681" i="24"/>
  <c r="Q680" i="24"/>
  <c r="Q679" i="24"/>
  <c r="Q678" i="24"/>
  <c r="Q677" i="24"/>
  <c r="Q676" i="24"/>
  <c r="Q675" i="24"/>
  <c r="Q674" i="24"/>
  <c r="Q673" i="24"/>
  <c r="Q672" i="24"/>
  <c r="Q671" i="24"/>
  <c r="P671" i="24"/>
  <c r="O671" i="24"/>
  <c r="Q670" i="24"/>
  <c r="Q669" i="24"/>
  <c r="Q668" i="24"/>
  <c r="Q667" i="24"/>
  <c r="Q666" i="24"/>
  <c r="Q665" i="24"/>
  <c r="Q664" i="24"/>
  <c r="Q663" i="24"/>
  <c r="Q662" i="24"/>
  <c r="Q661" i="24"/>
  <c r="Q660" i="24"/>
  <c r="Q659" i="24"/>
  <c r="Q658" i="24"/>
  <c r="Q657" i="24"/>
  <c r="Q656" i="24"/>
  <c r="Q655" i="24"/>
  <c r="Q654" i="24"/>
  <c r="Q653" i="24"/>
  <c r="Q652" i="24"/>
  <c r="Q651" i="24"/>
  <c r="Q650" i="24"/>
  <c r="Q649" i="24"/>
  <c r="P649" i="24"/>
  <c r="O649" i="24"/>
  <c r="Q648" i="24"/>
  <c r="P648" i="24"/>
  <c r="O648" i="24"/>
  <c r="Q647" i="24"/>
  <c r="P647" i="24"/>
  <c r="O647" i="24"/>
  <c r="Q598" i="24"/>
  <c r="P598" i="24"/>
  <c r="O598" i="24"/>
  <c r="Q597" i="24"/>
  <c r="P597" i="24"/>
  <c r="O597" i="24"/>
  <c r="Q581" i="24"/>
  <c r="P581" i="24"/>
  <c r="O581" i="24"/>
  <c r="Q566" i="24"/>
  <c r="P566" i="24"/>
  <c r="O566" i="24"/>
  <c r="Q533" i="24"/>
  <c r="P533" i="24"/>
  <c r="O533" i="24"/>
  <c r="Q521" i="24"/>
  <c r="P521" i="24"/>
  <c r="O521" i="24"/>
  <c r="Q496" i="24"/>
  <c r="P496" i="24"/>
  <c r="O496" i="24"/>
  <c r="Q488" i="24"/>
  <c r="P488" i="24"/>
  <c r="O488" i="24"/>
  <c r="Q487" i="24"/>
  <c r="P487" i="24"/>
  <c r="O487" i="24"/>
  <c r="Q483" i="24"/>
  <c r="P483" i="24"/>
  <c r="O483" i="24"/>
  <c r="Q469" i="24"/>
  <c r="P469" i="24"/>
  <c r="O469" i="24"/>
  <c r="Q457" i="24"/>
  <c r="P457" i="24"/>
  <c r="O457" i="24"/>
  <c r="Q456" i="24"/>
  <c r="P456" i="24"/>
  <c r="O456" i="24"/>
  <c r="Q450" i="24"/>
  <c r="P450" i="24"/>
  <c r="O450" i="24"/>
  <c r="Q444" i="24"/>
  <c r="P444" i="24"/>
  <c r="O444" i="24"/>
  <c r="Q440" i="24"/>
  <c r="P440" i="24"/>
  <c r="O440" i="24"/>
  <c r="Q426" i="24"/>
  <c r="P426" i="24"/>
  <c r="O426" i="24"/>
  <c r="Q415" i="24"/>
  <c r="P415" i="24"/>
  <c r="O415" i="24"/>
  <c r="Q392" i="24"/>
  <c r="P392" i="24"/>
  <c r="O392" i="24"/>
  <c r="Q391" i="24"/>
  <c r="P391" i="24"/>
  <c r="O391" i="24"/>
  <c r="Q369" i="24"/>
  <c r="P369" i="24"/>
  <c r="O369" i="24"/>
  <c r="Q302" i="24"/>
  <c r="P302" i="24"/>
  <c r="O302" i="24"/>
  <c r="Q301" i="24"/>
  <c r="P301" i="24"/>
  <c r="O301" i="24"/>
  <c r="Q296" i="24"/>
  <c r="P296" i="24"/>
  <c r="O296" i="24"/>
  <c r="Q289" i="24"/>
  <c r="P289" i="24"/>
  <c r="O289" i="24"/>
  <c r="Q284" i="24"/>
  <c r="P284" i="24"/>
  <c r="O284" i="24"/>
  <c r="Q266" i="24"/>
  <c r="P266" i="24"/>
  <c r="O266" i="24"/>
  <c r="Q261" i="24"/>
  <c r="P261" i="24"/>
  <c r="O261" i="24"/>
  <c r="Q256" i="24"/>
  <c r="P256" i="24"/>
  <c r="O256" i="24"/>
  <c r="Q247" i="24"/>
  <c r="P247" i="24"/>
  <c r="O247" i="24"/>
  <c r="Q242" i="24"/>
  <c r="P242" i="24"/>
  <c r="O242" i="24"/>
  <c r="Q221" i="24"/>
  <c r="P221" i="24"/>
  <c r="O221" i="24"/>
  <c r="Q212" i="24"/>
  <c r="P212" i="24"/>
  <c r="O212" i="24"/>
  <c r="Q207" i="24"/>
  <c r="P207" i="24"/>
  <c r="O207" i="24"/>
  <c r="Q206" i="24"/>
  <c r="P206" i="24"/>
  <c r="O206" i="24"/>
  <c r="Q200" i="24"/>
  <c r="P200" i="24"/>
  <c r="O200" i="24"/>
  <c r="Q199" i="24"/>
  <c r="P199" i="24"/>
  <c r="O199" i="24"/>
  <c r="Q191" i="24"/>
  <c r="P191" i="24"/>
  <c r="O191" i="24"/>
  <c r="Q189" i="24"/>
  <c r="P189" i="24"/>
  <c r="O189" i="24"/>
  <c r="Q188" i="24"/>
  <c r="P188" i="24"/>
  <c r="O188" i="24"/>
  <c r="Q176" i="24"/>
  <c r="P176" i="24"/>
  <c r="O176" i="24"/>
  <c r="Q171" i="24"/>
  <c r="P171" i="24"/>
  <c r="O171" i="24"/>
  <c r="Q168" i="24"/>
  <c r="P168" i="24"/>
  <c r="O168" i="24"/>
  <c r="Q166" i="24"/>
  <c r="P166" i="24"/>
  <c r="O166" i="24"/>
  <c r="Q164" i="24"/>
  <c r="P164" i="24"/>
  <c r="O164" i="24"/>
  <c r="Q158" i="24"/>
  <c r="P158" i="24"/>
  <c r="O158" i="24"/>
  <c r="Q157" i="24"/>
  <c r="P157" i="24"/>
  <c r="O157" i="24"/>
  <c r="Q153" i="24"/>
  <c r="P153" i="24"/>
  <c r="O153" i="24"/>
  <c r="Q152" i="24"/>
  <c r="P152" i="24"/>
  <c r="O152" i="24"/>
  <c r="Q128" i="24"/>
  <c r="P128" i="24"/>
  <c r="O128" i="24"/>
  <c r="Q127" i="24"/>
  <c r="P127" i="24"/>
  <c r="O127" i="24"/>
  <c r="Q119" i="24"/>
  <c r="P119" i="24"/>
  <c r="O119" i="24"/>
  <c r="Q110" i="24"/>
  <c r="P110" i="24"/>
  <c r="O110" i="24"/>
  <c r="Q106" i="24"/>
  <c r="P106" i="24"/>
  <c r="O106" i="24"/>
  <c r="Q103" i="24"/>
  <c r="P103" i="24"/>
  <c r="O103" i="24"/>
  <c r="Q98" i="24"/>
  <c r="P98" i="24"/>
  <c r="O98" i="24"/>
  <c r="Q96" i="24"/>
  <c r="P96" i="24"/>
  <c r="O96" i="24"/>
  <c r="Q92" i="24"/>
  <c r="P92" i="24"/>
  <c r="O92" i="24"/>
  <c r="Q91" i="24"/>
  <c r="P91" i="24"/>
  <c r="O91" i="24"/>
  <c r="Q89" i="24"/>
  <c r="P89" i="24"/>
  <c r="O89" i="24"/>
  <c r="Q85" i="24"/>
  <c r="P85" i="24"/>
  <c r="O85" i="24"/>
  <c r="Q74" i="24"/>
  <c r="P74" i="24"/>
  <c r="O74" i="24"/>
  <c r="Q59" i="24"/>
  <c r="P59" i="24"/>
  <c r="O59" i="24"/>
  <c r="Q53" i="24"/>
  <c r="P53" i="24"/>
  <c r="O53" i="24"/>
  <c r="Q49" i="24"/>
  <c r="P49" i="24"/>
  <c r="O49" i="24"/>
  <c r="Q47" i="24"/>
  <c r="P47" i="24"/>
  <c r="O47" i="24"/>
  <c r="Q43" i="24"/>
  <c r="P43" i="24"/>
  <c r="O43" i="24"/>
  <c r="Q42" i="24"/>
  <c r="P42" i="24"/>
  <c r="O42" i="24"/>
  <c r="Q28" i="24"/>
  <c r="P28" i="24"/>
  <c r="O28" i="24"/>
  <c r="Q27" i="24"/>
  <c r="P27" i="24"/>
  <c r="O27" i="24"/>
  <c r="Q12" i="24"/>
  <c r="P12" i="24"/>
  <c r="O12" i="24"/>
  <c r="Q8" i="24"/>
  <c r="P8" i="24"/>
  <c r="O8" i="24"/>
  <c r="K1123" i="24"/>
  <c r="K1122" i="24"/>
  <c r="K1121" i="24"/>
  <c r="K1120" i="24"/>
  <c r="K1119" i="24"/>
  <c r="K1118" i="24"/>
  <c r="K1117" i="24"/>
  <c r="K1116" i="24"/>
  <c r="K1115" i="24"/>
  <c r="K1114" i="24"/>
  <c r="K1113" i="24"/>
  <c r="K1112" i="24"/>
  <c r="K1111" i="24"/>
  <c r="K1110" i="24"/>
  <c r="K1109" i="24"/>
  <c r="K1108" i="24"/>
  <c r="K1107" i="24"/>
  <c r="K1106" i="24"/>
  <c r="K1105" i="24"/>
  <c r="K1104" i="24"/>
  <c r="K1103" i="24"/>
  <c r="K1102" i="24"/>
  <c r="K1101" i="24"/>
  <c r="K1100" i="24"/>
  <c r="K1099" i="24"/>
  <c r="K1098" i="24"/>
  <c r="K1097" i="24"/>
  <c r="K1096" i="24"/>
  <c r="K1095" i="24"/>
  <c r="K1094" i="24"/>
  <c r="K1093" i="24"/>
  <c r="K1092" i="24"/>
  <c r="K1091" i="24"/>
  <c r="K1090" i="24"/>
  <c r="K1089" i="24"/>
  <c r="K1088" i="24"/>
  <c r="K1087" i="24"/>
  <c r="K1086" i="24"/>
  <c r="K1085" i="24"/>
  <c r="K1084" i="24"/>
  <c r="K1083" i="24"/>
  <c r="K1082" i="24"/>
  <c r="K1081" i="24"/>
  <c r="K1080" i="24"/>
  <c r="K1079" i="24"/>
  <c r="K1078" i="24"/>
  <c r="K1077" i="24"/>
  <c r="K1076" i="24"/>
  <c r="K1075" i="24"/>
  <c r="K1074" i="24"/>
  <c r="K1073" i="24"/>
  <c r="K1072" i="24"/>
  <c r="K1071" i="24"/>
  <c r="K1070" i="24"/>
  <c r="K1069" i="24"/>
  <c r="K1068" i="24"/>
  <c r="K1067" i="24"/>
  <c r="K1066" i="24"/>
  <c r="K1065" i="24"/>
  <c r="K1064" i="24"/>
  <c r="K1063" i="24"/>
  <c r="K1062" i="24"/>
  <c r="K1061" i="24"/>
  <c r="K1060" i="24"/>
  <c r="K1059" i="24"/>
  <c r="K1058" i="24"/>
  <c r="K1057" i="24"/>
  <c r="K1056" i="24"/>
  <c r="K1055" i="24"/>
  <c r="K1054" i="24"/>
  <c r="K1053" i="24"/>
  <c r="K1052" i="24"/>
  <c r="K1051" i="24"/>
  <c r="K1050" i="24"/>
  <c r="K1023" i="24"/>
  <c r="K1016" i="24"/>
  <c r="K996" i="24"/>
  <c r="K984" i="24"/>
  <c r="K977" i="24"/>
  <c r="K970" i="24"/>
  <c r="K969" i="24"/>
  <c r="K968" i="24"/>
  <c r="K967" i="24"/>
  <c r="K962" i="24"/>
  <c r="K952" i="24"/>
  <c r="K917" i="24"/>
  <c r="K912" i="24"/>
  <c r="K901" i="24"/>
  <c r="K897" i="24"/>
  <c r="K894" i="24"/>
  <c r="K893" i="24"/>
  <c r="K884" i="24"/>
  <c r="K877" i="24"/>
  <c r="K874" i="24"/>
  <c r="K869" i="24"/>
  <c r="K868" i="24"/>
  <c r="K859" i="24"/>
  <c r="K858" i="24"/>
  <c r="K841" i="24"/>
  <c r="K830" i="24"/>
  <c r="K799" i="24"/>
  <c r="K767" i="24"/>
  <c r="K739" i="24"/>
  <c r="K703" i="24"/>
  <c r="K671" i="24"/>
  <c r="K649" i="24"/>
  <c r="K648" i="24"/>
  <c r="K647" i="24"/>
  <c r="K598" i="24"/>
  <c r="K597" i="24"/>
  <c r="K581" i="24"/>
  <c r="K566" i="24"/>
  <c r="K533" i="24"/>
  <c r="K521" i="24"/>
  <c r="K496" i="24"/>
  <c r="K488" i="24"/>
  <c r="K487" i="24"/>
  <c r="K483" i="24"/>
  <c r="K469" i="24"/>
  <c r="K457" i="24"/>
  <c r="K456" i="24"/>
  <c r="K450" i="24"/>
  <c r="K444" i="24"/>
  <c r="K440" i="24"/>
  <c r="K426" i="24"/>
  <c r="K415" i="24"/>
  <c r="K392" i="24"/>
  <c r="K391" i="24"/>
  <c r="K369" i="24"/>
  <c r="K302" i="24"/>
  <c r="K301" i="24"/>
  <c r="K296" i="24"/>
  <c r="K289" i="24"/>
  <c r="K284" i="24"/>
  <c r="K266" i="24"/>
  <c r="K261" i="24"/>
  <c r="K256" i="24"/>
  <c r="K247" i="24"/>
  <c r="K242" i="24"/>
  <c r="K221" i="24"/>
  <c r="K212" i="24"/>
  <c r="K207" i="24"/>
  <c r="K206" i="24"/>
  <c r="K200" i="24"/>
  <c r="K199" i="24"/>
  <c r="K191" i="24"/>
  <c r="K189" i="24"/>
  <c r="K188" i="24"/>
  <c r="K176" i="24"/>
  <c r="K171" i="24"/>
  <c r="K168" i="24"/>
  <c r="K166" i="24"/>
  <c r="K164" i="24"/>
  <c r="K158" i="24"/>
  <c r="K157" i="24"/>
  <c r="K153" i="24"/>
  <c r="K152" i="24"/>
  <c r="K128" i="24"/>
  <c r="K127" i="24"/>
  <c r="K119" i="24"/>
  <c r="K110" i="24"/>
  <c r="K106" i="24"/>
  <c r="K103" i="24"/>
  <c r="K98" i="24"/>
  <c r="K96" i="24"/>
  <c r="K92" i="24"/>
  <c r="K91" i="24"/>
  <c r="K89" i="24"/>
  <c r="K85" i="24"/>
  <c r="K74" i="24"/>
  <c r="K59" i="24"/>
  <c r="K53" i="24"/>
  <c r="K49" i="24"/>
  <c r="K47" i="24"/>
  <c r="K43" i="24"/>
  <c r="K42" i="24"/>
  <c r="K28" i="24"/>
  <c r="K27" i="24"/>
  <c r="K12" i="24"/>
  <c r="K8" i="24"/>
  <c r="C2" i="24"/>
  <c r="R1" i="23"/>
  <c r="D234" i="23" l="1"/>
  <c r="D227" i="23"/>
  <c r="D226" i="23"/>
  <c r="D221" i="23"/>
  <c r="D219" i="23"/>
  <c r="D212" i="23"/>
  <c r="D211" i="23"/>
  <c r="D209" i="23"/>
  <c r="D208" i="23"/>
  <c r="D207" i="23"/>
  <c r="D203" i="23"/>
  <c r="D199" i="23"/>
  <c r="D198" i="23"/>
  <c r="D194" i="23"/>
  <c r="D193" i="23"/>
  <c r="D192" i="23"/>
  <c r="D184" i="23"/>
  <c r="D183" i="23"/>
  <c r="D177" i="23"/>
  <c r="D168" i="23"/>
  <c r="D164" i="23"/>
  <c r="D163" i="23"/>
  <c r="D161" i="23"/>
  <c r="D160" i="23"/>
  <c r="D158" i="23"/>
  <c r="D157" i="23"/>
  <c r="D151" i="23"/>
  <c r="D150" i="23"/>
  <c r="D147" i="23"/>
  <c r="D144" i="23"/>
  <c r="D142" i="23"/>
  <c r="D122" i="23"/>
  <c r="D121" i="23"/>
  <c r="D120" i="23"/>
  <c r="D119" i="23"/>
  <c r="D117" i="23"/>
  <c r="D98" i="23"/>
  <c r="D89" i="23"/>
  <c r="D85" i="23"/>
  <c r="D84" i="23"/>
  <c r="D83" i="23"/>
  <c r="D79" i="23"/>
  <c r="D78" i="23"/>
  <c r="D77" i="23"/>
  <c r="D66" i="23"/>
  <c r="D63" i="23"/>
  <c r="D60" i="23"/>
  <c r="D54" i="23"/>
  <c r="D50" i="23"/>
  <c r="A2" i="20"/>
  <c r="W2" i="20"/>
  <c r="D194" i="31"/>
  <c r="D193" i="31"/>
  <c r="D191" i="31"/>
  <c r="D189" i="31"/>
  <c r="D188" i="31"/>
  <c r="D187" i="31"/>
  <c r="D186" i="31"/>
  <c r="D185" i="31"/>
  <c r="D184" i="31"/>
  <c r="D183" i="31"/>
  <c r="D182" i="31"/>
  <c r="D181" i="31"/>
  <c r="D180" i="31"/>
  <c r="D179" i="31"/>
  <c r="D178" i="31"/>
  <c r="D177" i="31"/>
  <c r="D176" i="31"/>
  <c r="D175" i="31"/>
  <c r="D174" i="31"/>
  <c r="D173" i="31"/>
  <c r="D172" i="31"/>
  <c r="D171" i="31"/>
  <c r="D169" i="31"/>
  <c r="D168" i="31"/>
  <c r="D166" i="31"/>
  <c r="D165" i="31"/>
  <c r="D164" i="31"/>
  <c r="D163" i="31"/>
  <c r="D162" i="31"/>
  <c r="D161" i="31"/>
  <c r="D160" i="31"/>
  <c r="D159" i="31"/>
  <c r="D158" i="31"/>
  <c r="D157" i="31"/>
  <c r="D156" i="31"/>
  <c r="D155" i="31"/>
  <c r="D154" i="31"/>
  <c r="D153" i="31"/>
  <c r="D152" i="31"/>
  <c r="D151" i="31"/>
  <c r="D150" i="31"/>
  <c r="D149" i="31"/>
  <c r="D148" i="31"/>
  <c r="D147" i="31"/>
  <c r="D146" i="31"/>
  <c r="D145" i="31"/>
  <c r="D144" i="31"/>
  <c r="D143" i="31"/>
  <c r="D142" i="31"/>
  <c r="D141" i="31"/>
  <c r="D140" i="31"/>
  <c r="D139" i="31"/>
  <c r="D138" i="31"/>
  <c r="D137" i="31"/>
  <c r="D136" i="31"/>
  <c r="D135" i="31"/>
  <c r="D134" i="31"/>
  <c r="D133" i="31"/>
  <c r="D132" i="31"/>
  <c r="D131" i="31"/>
  <c r="D130" i="31"/>
  <c r="D129" i="31"/>
  <c r="D128" i="31"/>
  <c r="D127" i="31"/>
  <c r="D126" i="31"/>
  <c r="D125" i="31"/>
  <c r="D124" i="31"/>
  <c r="D123" i="31"/>
  <c r="D122" i="31"/>
  <c r="D121" i="31"/>
  <c r="D120" i="31"/>
  <c r="D119" i="31"/>
  <c r="D118" i="31"/>
  <c r="D117" i="31"/>
  <c r="D116" i="31"/>
  <c r="D115" i="31"/>
  <c r="D114" i="31"/>
  <c r="D113" i="31"/>
  <c r="D112" i="31"/>
  <c r="D109" i="31"/>
  <c r="D107" i="31"/>
  <c r="D106" i="31"/>
  <c r="D105" i="31"/>
  <c r="D104" i="31"/>
  <c r="D103" i="31"/>
  <c r="D102" i="31"/>
  <c r="D101" i="31"/>
  <c r="D100" i="31"/>
  <c r="D99" i="31"/>
  <c r="D97" i="31"/>
  <c r="D96" i="31"/>
  <c r="D95" i="31"/>
  <c r="D94" i="31"/>
  <c r="D92" i="31"/>
  <c r="D91" i="31"/>
  <c r="D90" i="31"/>
  <c r="D89" i="31"/>
  <c r="D87" i="31"/>
  <c r="D86" i="31"/>
  <c r="D85" i="31"/>
  <c r="D84" i="31"/>
  <c r="D83" i="31"/>
  <c r="D82" i="31"/>
  <c r="D81" i="31"/>
  <c r="D80" i="31"/>
  <c r="D79" i="31"/>
  <c r="D78" i="31"/>
  <c r="D77" i="31"/>
  <c r="D76" i="31"/>
  <c r="D75" i="31"/>
  <c r="D73" i="31"/>
  <c r="D72" i="31"/>
  <c r="D71" i="31"/>
  <c r="D70" i="31"/>
  <c r="D69" i="31"/>
  <c r="D68" i="31"/>
  <c r="D67" i="31"/>
  <c r="D66" i="31"/>
  <c r="D65" i="31"/>
  <c r="D64" i="31"/>
  <c r="D63" i="31"/>
  <c r="D62" i="31"/>
  <c r="D61" i="31"/>
  <c r="D59" i="31"/>
  <c r="D58" i="31"/>
  <c r="D57" i="31"/>
  <c r="D56" i="31"/>
  <c r="D55" i="31"/>
  <c r="D54" i="31"/>
  <c r="D53" i="31"/>
  <c r="D52" i="31"/>
  <c r="D51" i="31"/>
  <c r="D50" i="31"/>
  <c r="D49" i="31"/>
  <c r="D48" i="31"/>
  <c r="D47" i="31"/>
  <c r="D46" i="31"/>
  <c r="D45" i="31"/>
  <c r="D44" i="31"/>
  <c r="D43" i="31"/>
  <c r="D42" i="31"/>
  <c r="D41" i="31"/>
  <c r="D40" i="31"/>
  <c r="D39" i="31"/>
  <c r="D38" i="31"/>
  <c r="D37" i="31"/>
  <c r="D36" i="31"/>
  <c r="D35" i="31"/>
  <c r="D34" i="31"/>
  <c r="D33" i="31"/>
  <c r="D32" i="31"/>
  <c r="D31" i="31"/>
  <c r="D30" i="31"/>
  <c r="D28" i="31"/>
  <c r="D27" i="31"/>
  <c r="D26" i="31"/>
  <c r="D25" i="31"/>
  <c r="D24" i="31"/>
  <c r="D23" i="31"/>
  <c r="D22" i="31"/>
  <c r="D21" i="31"/>
  <c r="D20" i="31"/>
  <c r="D19" i="31"/>
  <c r="D18" i="31"/>
  <c r="D17" i="31"/>
  <c r="D16" i="31"/>
  <c r="D15" i="31"/>
  <c r="D14" i="31"/>
  <c r="D13" i="31"/>
  <c r="D12" i="31"/>
  <c r="D11" i="31"/>
  <c r="D10" i="31"/>
  <c r="D9" i="31"/>
  <c r="D8" i="31"/>
  <c r="D7" i="31"/>
  <c r="D6" i="31"/>
  <c r="D5" i="31"/>
  <c r="L4" i="20"/>
  <c r="N6" i="27" l="1"/>
  <c r="A4" i="20"/>
  <c r="S1" i="23"/>
  <c r="AM5" i="23" s="1"/>
  <c r="D2" i="24"/>
  <c r="M9" i="22"/>
  <c r="L9" i="22"/>
  <c r="K9" i="22"/>
  <c r="J9" i="22"/>
  <c r="I9" i="22"/>
  <c r="H9" i="22"/>
  <c r="G9" i="22"/>
  <c r="F9" i="22"/>
  <c r="E9" i="22"/>
  <c r="M8" i="22"/>
  <c r="L8" i="22"/>
  <c r="K8" i="22"/>
  <c r="J8" i="22"/>
  <c r="I8" i="22"/>
  <c r="H8" i="22"/>
  <c r="G8" i="22"/>
  <c r="F8" i="22"/>
  <c r="E8" i="22"/>
  <c r="M7" i="22"/>
  <c r="L7" i="22"/>
  <c r="K7" i="22"/>
  <c r="J7" i="22"/>
  <c r="I7" i="22"/>
  <c r="H7" i="22"/>
  <c r="G7" i="22"/>
  <c r="F7" i="22"/>
  <c r="E7" i="22"/>
  <c r="M6" i="22"/>
  <c r="L6" i="22"/>
  <c r="K6" i="22"/>
  <c r="J6" i="22"/>
  <c r="I6" i="22"/>
  <c r="H6" i="22"/>
  <c r="G6" i="22"/>
  <c r="F6" i="22"/>
  <c r="E6" i="22"/>
  <c r="D7" i="22"/>
  <c r="F191" i="20" l="1"/>
  <c r="F187" i="20"/>
  <c r="F183" i="20"/>
  <c r="F179" i="20"/>
  <c r="F175" i="20"/>
  <c r="F171" i="20"/>
  <c r="F167" i="20"/>
  <c r="F163" i="20"/>
  <c r="F159" i="20"/>
  <c r="F155" i="20"/>
  <c r="F151" i="20"/>
  <c r="F147" i="20"/>
  <c r="F143" i="20"/>
  <c r="F139" i="20"/>
  <c r="F135" i="20"/>
  <c r="F131" i="20"/>
  <c r="F127" i="20"/>
  <c r="F123" i="20"/>
  <c r="F119" i="20"/>
  <c r="F115" i="20"/>
  <c r="F111" i="20"/>
  <c r="F107" i="20"/>
  <c r="F103" i="20"/>
  <c r="F99" i="20"/>
  <c r="F95" i="20"/>
  <c r="F91" i="20"/>
  <c r="F87" i="20"/>
  <c r="F83" i="20"/>
  <c r="F79" i="20"/>
  <c r="F75" i="20"/>
  <c r="F71" i="20"/>
  <c r="F67" i="20"/>
  <c r="F63" i="20"/>
  <c r="F59" i="20"/>
  <c r="F55" i="20"/>
  <c r="F51" i="20"/>
  <c r="F47" i="20"/>
  <c r="F43" i="20"/>
  <c r="F39" i="20"/>
  <c r="F35" i="20"/>
  <c r="F31" i="20"/>
  <c r="F27" i="20"/>
  <c r="F23" i="20"/>
  <c r="F19" i="20"/>
  <c r="F15" i="20"/>
  <c r="F11" i="20"/>
  <c r="F7" i="20"/>
  <c r="F5" i="20"/>
  <c r="E191" i="20"/>
  <c r="E187" i="20"/>
  <c r="E183" i="20"/>
  <c r="E179" i="20"/>
  <c r="E175" i="20"/>
  <c r="E171" i="20"/>
  <c r="E167" i="20"/>
  <c r="E163" i="20"/>
  <c r="E159" i="20"/>
  <c r="E155" i="20"/>
  <c r="E151" i="20"/>
  <c r="E147" i="20"/>
  <c r="E143" i="20"/>
  <c r="E139" i="20"/>
  <c r="E135" i="20"/>
  <c r="E131" i="20"/>
  <c r="E127" i="20"/>
  <c r="E123" i="20"/>
  <c r="E119" i="20"/>
  <c r="E115" i="20"/>
  <c r="E111" i="20"/>
  <c r="E107" i="20"/>
  <c r="E103" i="20"/>
  <c r="E99" i="20"/>
  <c r="E95" i="20"/>
  <c r="E91" i="20"/>
  <c r="E87" i="20"/>
  <c r="E83" i="20"/>
  <c r="E79" i="20"/>
  <c r="F194" i="20"/>
  <c r="F190" i="20"/>
  <c r="F186" i="20"/>
  <c r="F182" i="20"/>
  <c r="F178" i="20"/>
  <c r="F174" i="20"/>
  <c r="F170" i="20"/>
  <c r="F166" i="20"/>
  <c r="F162" i="20"/>
  <c r="F158" i="20"/>
  <c r="F154" i="20"/>
  <c r="F150" i="20"/>
  <c r="F146" i="20"/>
  <c r="F142" i="20"/>
  <c r="F138" i="20"/>
  <c r="F134" i="20"/>
  <c r="F130" i="20"/>
  <c r="F126" i="20"/>
  <c r="F122" i="20"/>
  <c r="F118" i="20"/>
  <c r="F114" i="20"/>
  <c r="F110" i="20"/>
  <c r="F106" i="20"/>
  <c r="F102" i="20"/>
  <c r="F98" i="20"/>
  <c r="F94" i="20"/>
  <c r="F90" i="20"/>
  <c r="F86" i="20"/>
  <c r="F82" i="20"/>
  <c r="F78" i="20"/>
  <c r="F74" i="20"/>
  <c r="F70" i="20"/>
  <c r="F66" i="20"/>
  <c r="F62" i="20"/>
  <c r="F58" i="20"/>
  <c r="F54" i="20"/>
  <c r="F50" i="20"/>
  <c r="F46" i="20"/>
  <c r="F42" i="20"/>
  <c r="F38" i="20"/>
  <c r="F34" i="20"/>
  <c r="F30" i="20"/>
  <c r="F26" i="20"/>
  <c r="F22" i="20"/>
  <c r="F18" i="20"/>
  <c r="F14" i="20"/>
  <c r="F10" i="20"/>
  <c r="F6" i="20"/>
  <c r="E194" i="20"/>
  <c r="E190" i="20"/>
  <c r="E186" i="20"/>
  <c r="E182" i="20"/>
  <c r="E178" i="20"/>
  <c r="E174" i="20"/>
  <c r="E170" i="20"/>
  <c r="E166" i="20"/>
  <c r="E162" i="20"/>
  <c r="E158" i="20"/>
  <c r="E154" i="20"/>
  <c r="E150" i="20"/>
  <c r="E146" i="20"/>
  <c r="E142" i="20"/>
  <c r="E138" i="20"/>
  <c r="E134" i="20"/>
  <c r="E130" i="20"/>
  <c r="E126" i="20"/>
  <c r="E122" i="20"/>
  <c r="E118" i="20"/>
  <c r="E114" i="20"/>
  <c r="E110" i="20"/>
  <c r="E106" i="20"/>
  <c r="E102" i="20"/>
  <c r="E98" i="20"/>
  <c r="E94" i="20"/>
  <c r="E90" i="20"/>
  <c r="E86" i="20"/>
  <c r="E82" i="20"/>
  <c r="E78" i="20"/>
  <c r="E74" i="20"/>
  <c r="F193" i="20"/>
  <c r="F189" i="20"/>
  <c r="F185" i="20"/>
  <c r="F181" i="20"/>
  <c r="F177" i="20"/>
  <c r="F173" i="20"/>
  <c r="F169" i="20"/>
  <c r="F165" i="20"/>
  <c r="F161" i="20"/>
  <c r="F157" i="20"/>
  <c r="F153" i="20"/>
  <c r="F149" i="20"/>
  <c r="F145" i="20"/>
  <c r="F141" i="20"/>
  <c r="F137" i="20"/>
  <c r="F133" i="20"/>
  <c r="F129" i="20"/>
  <c r="F125" i="20"/>
  <c r="F121" i="20"/>
  <c r="F117" i="20"/>
  <c r="F113" i="20"/>
  <c r="F109" i="20"/>
  <c r="F105" i="20"/>
  <c r="F101" i="20"/>
  <c r="F97" i="20"/>
  <c r="F93" i="20"/>
  <c r="F89" i="20"/>
  <c r="F85" i="20"/>
  <c r="F81" i="20"/>
  <c r="F77" i="20"/>
  <c r="F73" i="20"/>
  <c r="F69" i="20"/>
  <c r="F65" i="20"/>
  <c r="F61" i="20"/>
  <c r="F57" i="20"/>
  <c r="F53" i="20"/>
  <c r="F49" i="20"/>
  <c r="F45" i="20"/>
  <c r="F41" i="20"/>
  <c r="F37" i="20"/>
  <c r="F33" i="20"/>
  <c r="F29" i="20"/>
  <c r="F25" i="20"/>
  <c r="F21" i="20"/>
  <c r="F17" i="20"/>
  <c r="F13" i="20"/>
  <c r="F9" i="20"/>
  <c r="F4" i="20"/>
  <c r="E193" i="20"/>
  <c r="E189" i="20"/>
  <c r="E185" i="20"/>
  <c r="E181" i="20"/>
  <c r="E177" i="20"/>
  <c r="E173" i="20"/>
  <c r="E169" i="20"/>
  <c r="E165" i="20"/>
  <c r="E161" i="20"/>
  <c r="E157" i="20"/>
  <c r="E153" i="20"/>
  <c r="E149" i="20"/>
  <c r="E145" i="20"/>
  <c r="E141" i="20"/>
  <c r="E137" i="20"/>
  <c r="E133" i="20"/>
  <c r="E129" i="20"/>
  <c r="E125" i="20"/>
  <c r="E121" i="20"/>
  <c r="E117" i="20"/>
  <c r="E113" i="20"/>
  <c r="E109" i="20"/>
  <c r="E105" i="20"/>
  <c r="E101" i="20"/>
  <c r="E97" i="20"/>
  <c r="E93" i="20"/>
  <c r="E89" i="20"/>
  <c r="E85" i="20"/>
  <c r="E81" i="20"/>
  <c r="E77" i="20"/>
  <c r="E73" i="20"/>
  <c r="E69" i="20"/>
  <c r="E65" i="20"/>
  <c r="F192" i="20"/>
  <c r="F12" i="9" s="1"/>
  <c r="F14" i="9" s="1"/>
  <c r="F188" i="20"/>
  <c r="F184" i="20"/>
  <c r="F180" i="20"/>
  <c r="F176" i="20"/>
  <c r="F172" i="20"/>
  <c r="F168" i="20"/>
  <c r="F164" i="20"/>
  <c r="F160" i="20"/>
  <c r="F156" i="20"/>
  <c r="F152" i="20"/>
  <c r="F148" i="20"/>
  <c r="F144" i="20"/>
  <c r="F140" i="20"/>
  <c r="F136" i="20"/>
  <c r="F132" i="20"/>
  <c r="F128" i="20"/>
  <c r="F124" i="20"/>
  <c r="F120" i="20"/>
  <c r="F116" i="20"/>
  <c r="F112" i="20"/>
  <c r="F108" i="20"/>
  <c r="F104" i="20"/>
  <c r="F100" i="20"/>
  <c r="F96" i="20"/>
  <c r="F92" i="20"/>
  <c r="F88" i="20"/>
  <c r="F84" i="20"/>
  <c r="F80" i="20"/>
  <c r="F76" i="20"/>
  <c r="F72" i="20"/>
  <c r="F68" i="20"/>
  <c r="F64" i="20"/>
  <c r="F60" i="20"/>
  <c r="F56" i="20"/>
  <c r="F52" i="20"/>
  <c r="F48" i="20"/>
  <c r="F44" i="20"/>
  <c r="F40" i="20"/>
  <c r="F36" i="20"/>
  <c r="F32" i="20"/>
  <c r="F28" i="20"/>
  <c r="F24" i="20"/>
  <c r="F20" i="20"/>
  <c r="F16" i="20"/>
  <c r="F12" i="20"/>
  <c r="F8" i="20"/>
  <c r="F3" i="20"/>
  <c r="E192" i="20"/>
  <c r="E188" i="20"/>
  <c r="E184" i="20"/>
  <c r="E180" i="20"/>
  <c r="E176" i="20"/>
  <c r="E172" i="20"/>
  <c r="E168" i="20"/>
  <c r="E164" i="20"/>
  <c r="E160" i="20"/>
  <c r="E156" i="20"/>
  <c r="E152" i="20"/>
  <c r="E148" i="20"/>
  <c r="E144" i="20"/>
  <c r="E140" i="20"/>
  <c r="E136" i="20"/>
  <c r="E132" i="20"/>
  <c r="E128" i="20"/>
  <c r="E124" i="20"/>
  <c r="E120" i="20"/>
  <c r="E116" i="20"/>
  <c r="E112" i="20"/>
  <c r="E108" i="20"/>
  <c r="E104" i="20"/>
  <c r="E100" i="20"/>
  <c r="E96" i="20"/>
  <c r="E92" i="20"/>
  <c r="E88" i="20"/>
  <c r="E84" i="20"/>
  <c r="E80" i="20"/>
  <c r="E76" i="20"/>
  <c r="E72" i="20"/>
  <c r="E68" i="20"/>
  <c r="E64" i="20"/>
  <c r="E60" i="20"/>
  <c r="E56" i="20"/>
  <c r="E52" i="20"/>
  <c r="E48" i="20"/>
  <c r="E71" i="20"/>
  <c r="E63" i="20"/>
  <c r="E58" i="20"/>
  <c r="E53" i="20"/>
  <c r="E47" i="20"/>
  <c r="E43" i="20"/>
  <c r="E39" i="20"/>
  <c r="E35" i="20"/>
  <c r="E31" i="20"/>
  <c r="E27" i="20"/>
  <c r="E23" i="20"/>
  <c r="E19" i="20"/>
  <c r="E15" i="20"/>
  <c r="E11" i="20"/>
  <c r="E7" i="20"/>
  <c r="E5" i="20"/>
  <c r="E61" i="20"/>
  <c r="E50" i="20"/>
  <c r="E41" i="20"/>
  <c r="E33" i="20"/>
  <c r="E25" i="20"/>
  <c r="E17" i="20"/>
  <c r="E9" i="20"/>
  <c r="E75" i="20"/>
  <c r="E59" i="20"/>
  <c r="E49" i="20"/>
  <c r="E40" i="20"/>
  <c r="E32" i="20"/>
  <c r="E24" i="20"/>
  <c r="E16" i="20"/>
  <c r="E8" i="20"/>
  <c r="E70" i="20"/>
  <c r="E62" i="20"/>
  <c r="E57" i="20"/>
  <c r="E51" i="20"/>
  <c r="E46" i="20"/>
  <c r="E42" i="20"/>
  <c r="E38" i="20"/>
  <c r="E34" i="20"/>
  <c r="E30" i="20"/>
  <c r="E26" i="20"/>
  <c r="E22" i="20"/>
  <c r="E18" i="20"/>
  <c r="E14" i="20"/>
  <c r="E10" i="20"/>
  <c r="E6" i="20"/>
  <c r="E67" i="20"/>
  <c r="E55" i="20"/>
  <c r="E45" i="20"/>
  <c r="E37" i="20"/>
  <c r="E29" i="20"/>
  <c r="E21" i="20"/>
  <c r="E13" i="20"/>
  <c r="E4" i="20"/>
  <c r="E66" i="20"/>
  <c r="E54" i="20"/>
  <c r="E44" i="20"/>
  <c r="E36" i="20"/>
  <c r="E28" i="20"/>
  <c r="E20" i="20"/>
  <c r="E12" i="20"/>
  <c r="E3" i="20"/>
  <c r="BG23" i="20"/>
  <c r="AT30" i="20"/>
  <c r="D12" i="20"/>
  <c r="D117" i="20"/>
  <c r="D167" i="20"/>
  <c r="Z7" i="20"/>
  <c r="D180" i="20"/>
  <c r="W24" i="20"/>
  <c r="D103" i="20"/>
  <c r="D26" i="20"/>
  <c r="D121" i="20"/>
  <c r="D116" i="20"/>
  <c r="Z9" i="20"/>
  <c r="W26" i="20"/>
  <c r="D137" i="20"/>
  <c r="D130" i="20"/>
  <c r="D129" i="20"/>
  <c r="AT23" i="20"/>
  <c r="AT26" i="20"/>
  <c r="D66" i="20"/>
  <c r="D182" i="20"/>
  <c r="D94" i="20"/>
  <c r="AT15" i="20"/>
  <c r="D53" i="20"/>
  <c r="W20" i="20"/>
  <c r="AT5" i="20"/>
  <c r="BG13" i="20"/>
  <c r="D9" i="20"/>
  <c r="D157" i="20"/>
  <c r="D138" i="20"/>
  <c r="D63" i="20"/>
  <c r="D194" i="20"/>
  <c r="D52" i="20"/>
  <c r="D118" i="20"/>
  <c r="D32" i="20"/>
  <c r="D178" i="20"/>
  <c r="D166" i="20"/>
  <c r="D193" i="20"/>
  <c r="D76" i="20"/>
  <c r="D181" i="20"/>
  <c r="D74" i="20"/>
  <c r="AT21" i="20"/>
  <c r="D127" i="20"/>
  <c r="D145" i="20"/>
  <c r="D101" i="20"/>
  <c r="AT13" i="20"/>
  <c r="D102" i="20"/>
  <c r="D140" i="20"/>
  <c r="Z2" i="20"/>
  <c r="D177" i="20"/>
  <c r="D16" i="20"/>
  <c r="D115" i="20"/>
  <c r="W16" i="20"/>
  <c r="D162" i="20"/>
  <c r="D41" i="20"/>
  <c r="Z6" i="20"/>
  <c r="D143" i="20"/>
  <c r="AT28" i="20"/>
  <c r="D156" i="20"/>
  <c r="Z3" i="20"/>
  <c r="F12" i="4" s="1"/>
  <c r="W19" i="20"/>
  <c r="AT7" i="20"/>
  <c r="D37" i="20"/>
  <c r="W8" i="20"/>
  <c r="D98" i="20"/>
  <c r="D23" i="20"/>
  <c r="D33" i="20"/>
  <c r="D79" i="20"/>
  <c r="D15" i="20"/>
  <c r="AT20" i="20"/>
  <c r="D92" i="20"/>
  <c r="D161" i="20"/>
  <c r="D190" i="20"/>
  <c r="W11" i="20"/>
  <c r="D141" i="20"/>
  <c r="D17" i="20"/>
  <c r="D131" i="20"/>
  <c r="D34" i="20"/>
  <c r="W4" i="20"/>
  <c r="D183" i="20"/>
  <c r="AC3" i="20"/>
  <c r="W6" i="20"/>
  <c r="D44" i="20"/>
  <c r="D153" i="20"/>
  <c r="W3" i="20"/>
  <c r="D77" i="20"/>
  <c r="D3" i="20"/>
  <c r="D99" i="20"/>
  <c r="D13" i="20"/>
  <c r="D88" i="20"/>
  <c r="D171" i="20"/>
  <c r="D112" i="20"/>
  <c r="D90" i="20"/>
  <c r="D191" i="20"/>
  <c r="D87" i="20"/>
  <c r="D55" i="20"/>
  <c r="W21" i="20"/>
  <c r="Z5" i="20"/>
  <c r="D108" i="20"/>
  <c r="D4" i="20"/>
  <c r="D110" i="20"/>
  <c r="AT24" i="20"/>
  <c r="Z8" i="20"/>
  <c r="D165" i="20"/>
  <c r="D61" i="20"/>
  <c r="D134" i="20"/>
  <c r="D80" i="20"/>
  <c r="D19" i="20"/>
  <c r="D38" i="20"/>
  <c r="D154" i="20"/>
  <c r="D50" i="20"/>
  <c r="D7" i="20"/>
  <c r="D151" i="20"/>
  <c r="W5" i="20"/>
  <c r="D158" i="20"/>
  <c r="W22" i="20"/>
  <c r="D172" i="20"/>
  <c r="D68" i="20"/>
  <c r="AT11" i="20"/>
  <c r="D89" i="20"/>
  <c r="D150" i="20"/>
  <c r="BG3" i="20"/>
  <c r="AT16" i="20"/>
  <c r="W25" i="20"/>
  <c r="D125" i="20"/>
  <c r="D29" i="20"/>
  <c r="D31" i="20"/>
  <c r="D65" i="20"/>
  <c r="D86" i="20"/>
  <c r="D114" i="20"/>
  <c r="D10" i="20"/>
  <c r="AT27" i="20"/>
  <c r="AT29" i="20"/>
  <c r="D119" i="20"/>
  <c r="W14" i="20"/>
  <c r="D132" i="20"/>
  <c r="D28" i="20"/>
  <c r="D142" i="20"/>
  <c r="AT25" i="20"/>
  <c r="AT8" i="20"/>
  <c r="D189" i="20"/>
  <c r="D93" i="20"/>
  <c r="BG12" i="20"/>
  <c r="D57" i="20"/>
  <c r="D78" i="20"/>
  <c r="D96" i="20"/>
  <c r="D184" i="20"/>
  <c r="K44" i="23"/>
  <c r="K43" i="23"/>
  <c r="K41" i="23"/>
  <c r="K42" i="23"/>
  <c r="D51" i="20"/>
  <c r="D83" i="20"/>
  <c r="D22" i="20"/>
  <c r="D155" i="20"/>
  <c r="BG22" i="20"/>
  <c r="D43" i="20"/>
  <c r="D75" i="20"/>
  <c r="D91" i="20"/>
  <c r="D179" i="20"/>
  <c r="D160" i="20"/>
  <c r="D120" i="20"/>
  <c r="D48" i="20"/>
  <c r="D176" i="20"/>
  <c r="D27" i="20"/>
  <c r="D67" i="20"/>
  <c r="D136" i="20"/>
  <c r="D35" i="20"/>
  <c r="BG19" i="20"/>
  <c r="D103" i="23"/>
  <c r="C113" i="23"/>
  <c r="C109" i="23"/>
  <c r="D113" i="23"/>
  <c r="C100" i="23"/>
  <c r="D100" i="23"/>
  <c r="C105" i="23"/>
  <c r="D109" i="23"/>
  <c r="C114" i="23"/>
  <c r="C101" i="23"/>
  <c r="D105" i="23"/>
  <c r="C110" i="23"/>
  <c r="D114" i="23"/>
  <c r="D101" i="23"/>
  <c r="C106" i="23"/>
  <c r="D110" i="23"/>
  <c r="C115" i="23"/>
  <c r="C102" i="23"/>
  <c r="D106" i="23"/>
  <c r="C111" i="23"/>
  <c r="D115" i="23"/>
  <c r="D102" i="23"/>
  <c r="C107" i="23"/>
  <c r="D111" i="23"/>
  <c r="C103" i="23"/>
  <c r="D107" i="23"/>
  <c r="AT22" i="20"/>
  <c r="D170" i="20"/>
  <c r="D106" i="20"/>
  <c r="D42" i="20"/>
  <c r="D39" i="20"/>
  <c r="Z4" i="20"/>
  <c r="W23" i="20"/>
  <c r="D159" i="20"/>
  <c r="D95" i="20"/>
  <c r="D169" i="20"/>
  <c r="D97" i="20"/>
  <c r="AT12" i="20"/>
  <c r="D148" i="20"/>
  <c r="D84" i="20"/>
  <c r="D20" i="20"/>
  <c r="W13" i="20"/>
  <c r="AT17" i="20"/>
  <c r="W18" i="20"/>
  <c r="W17" i="20"/>
  <c r="D133" i="20"/>
  <c r="D69" i="20"/>
  <c r="D5" i="20"/>
  <c r="D49" i="20"/>
  <c r="D11" i="20"/>
  <c r="D128" i="20"/>
  <c r="D139" i="20"/>
  <c r="D163" i="20"/>
  <c r="D54" i="20"/>
  <c r="D30" i="20"/>
  <c r="D56" i="20"/>
  <c r="D123" i="20"/>
  <c r="D24" i="20"/>
  <c r="D40" i="20"/>
  <c r="D64" i="20"/>
  <c r="AT14" i="20"/>
  <c r="D146" i="20"/>
  <c r="D82" i="20"/>
  <c r="D18" i="20"/>
  <c r="W15" i="20"/>
  <c r="D135" i="20"/>
  <c r="D71" i="20"/>
  <c r="D47" i="20"/>
  <c r="AT18" i="20"/>
  <c r="D126" i="20"/>
  <c r="AT4" i="20"/>
  <c r="D188" i="20"/>
  <c r="D124" i="20"/>
  <c r="D60" i="20"/>
  <c r="D174" i="20"/>
  <c r="BG4" i="20"/>
  <c r="F30" i="3" s="1"/>
  <c r="AT9" i="20"/>
  <c r="D187" i="20"/>
  <c r="W10" i="20"/>
  <c r="W9" i="20"/>
  <c r="D173" i="20"/>
  <c r="D109" i="20"/>
  <c r="D45" i="20"/>
  <c r="D8" i="20"/>
  <c r="D152" i="20"/>
  <c r="D62" i="20"/>
  <c r="D70" i="20"/>
  <c r="D168" i="20"/>
  <c r="AT6" i="20"/>
  <c r="D186" i="20"/>
  <c r="D122" i="20"/>
  <c r="D58" i="20"/>
  <c r="D185" i="20"/>
  <c r="D81" i="20"/>
  <c r="AT10" i="20"/>
  <c r="W7" i="20"/>
  <c r="D175" i="20"/>
  <c r="D111" i="20"/>
  <c r="AT19" i="20"/>
  <c r="D73" i="20"/>
  <c r="Z11" i="20"/>
  <c r="AC4" i="20"/>
  <c r="D164" i="20"/>
  <c r="D100" i="20"/>
  <c r="D36" i="20"/>
  <c r="D113" i="20"/>
  <c r="W12" i="20"/>
  <c r="Z10" i="20"/>
  <c r="AT32" i="20"/>
  <c r="AT31" i="20"/>
  <c r="D149" i="20"/>
  <c r="D85" i="20"/>
  <c r="D21" i="20"/>
  <c r="D105" i="20"/>
  <c r="D25" i="20"/>
  <c r="D59" i="20"/>
  <c r="D46" i="20"/>
  <c r="D14" i="20"/>
  <c r="D72" i="20"/>
  <c r="D147" i="20"/>
  <c r="D107" i="20"/>
  <c r="D144" i="20"/>
  <c r="D6" i="20"/>
  <c r="D104" i="20"/>
  <c r="D192" i="20"/>
  <c r="K40" i="23"/>
  <c r="K32" i="23"/>
  <c r="K39" i="23"/>
  <c r="K31" i="23"/>
  <c r="K38" i="23"/>
  <c r="K30" i="23"/>
  <c r="K37" i="23"/>
  <c r="K29" i="23"/>
  <c r="K36" i="23"/>
  <c r="K35" i="23"/>
  <c r="K34" i="23"/>
  <c r="K33" i="23"/>
  <c r="AN17" i="24"/>
  <c r="Y12" i="14" s="1"/>
  <c r="AB12" i="14" s="1"/>
  <c r="AC12" i="14" s="1"/>
  <c r="AN9" i="24"/>
  <c r="AE26" i="24"/>
  <c r="AE18" i="24"/>
  <c r="AE10" i="24"/>
  <c r="Y1082" i="24"/>
  <c r="Y1074" i="24"/>
  <c r="Y1066" i="24"/>
  <c r="Y1058" i="24"/>
  <c r="Y1050" i="24"/>
  <c r="Y1042" i="24"/>
  <c r="Y1034" i="24"/>
  <c r="Y1018" i="24"/>
  <c r="Y1010" i="24"/>
  <c r="Y1002" i="24"/>
  <c r="Y994" i="24"/>
  <c r="Y986" i="24"/>
  <c r="Y978" i="24"/>
  <c r="Y962" i="24"/>
  <c r="Y954" i="24"/>
  <c r="Y930" i="24"/>
  <c r="Y922" i="24"/>
  <c r="Y914" i="24"/>
  <c r="Y906" i="24"/>
  <c r="Y898" i="24"/>
  <c r="Y890" i="24"/>
  <c r="Y882" i="24"/>
  <c r="Y874" i="24"/>
  <c r="Y866" i="24"/>
  <c r="Y858" i="24"/>
  <c r="Y850" i="24"/>
  <c r="Y842" i="24"/>
  <c r="Y834" i="24"/>
  <c r="Y818" i="24"/>
  <c r="Y810" i="24"/>
  <c r="Y802" i="24"/>
  <c r="Y794" i="24"/>
  <c r="Y786" i="24"/>
  <c r="Y778" i="24"/>
  <c r="Y770" i="24"/>
  <c r="Y762" i="24"/>
  <c r="Y754" i="24"/>
  <c r="Y746" i="24"/>
  <c r="Y738" i="24"/>
  <c r="Y730" i="24"/>
  <c r="Y722" i="24"/>
  <c r="Y714" i="24"/>
  <c r="Y706" i="24"/>
  <c r="Y698" i="24"/>
  <c r="Y690" i="24"/>
  <c r="Y682" i="24"/>
  <c r="Y674" i="24"/>
  <c r="Y666" i="24"/>
  <c r="Y658" i="24"/>
  <c r="Y650" i="24"/>
  <c r="Y642" i="24"/>
  <c r="Y634" i="24"/>
  <c r="Y626" i="24"/>
  <c r="Y618" i="24"/>
  <c r="Y610" i="24"/>
  <c r="Y602" i="24"/>
  <c r="Y594" i="24"/>
  <c r="Y586" i="24"/>
  <c r="Y578" i="24"/>
  <c r="Y570" i="24"/>
  <c r="Y562" i="24"/>
  <c r="Y554" i="24"/>
  <c r="Y546" i="24"/>
  <c r="Y538" i="24"/>
  <c r="Y530" i="24"/>
  <c r="Y522" i="24"/>
  <c r="Y514" i="24"/>
  <c r="Y506" i="24"/>
  <c r="Y498" i="24"/>
  <c r="Y490" i="24"/>
  <c r="Y482" i="24"/>
  <c r="Y474" i="24"/>
  <c r="Y458" i="24"/>
  <c r="Y450" i="24"/>
  <c r="Y442" i="24"/>
  <c r="Y434" i="24"/>
  <c r="AN16" i="24"/>
  <c r="AN8" i="24"/>
  <c r="AE25" i="24"/>
  <c r="AE17" i="24"/>
  <c r="AE9" i="24"/>
  <c r="Y1081" i="24"/>
  <c r="Y1073" i="24"/>
  <c r="Y1065" i="24"/>
  <c r="Y1057" i="24"/>
  <c r="Y1049" i="24"/>
  <c r="Y1041" i="24"/>
  <c r="Y1033" i="24"/>
  <c r="Y1025" i="24"/>
  <c r="Y1017" i="24"/>
  <c r="Y1009" i="24"/>
  <c r="Y1001" i="24"/>
  <c r="Y993" i="24"/>
  <c r="Y977" i="24"/>
  <c r="Y969" i="24"/>
  <c r="Y961" i="24"/>
  <c r="Y953" i="24"/>
  <c r="Y945" i="24"/>
  <c r="Y937" i="24"/>
  <c r="Y929" i="24"/>
  <c r="Y921" i="24"/>
  <c r="Y913" i="24"/>
  <c r="Y905" i="24"/>
  <c r="Y897" i="24"/>
  <c r="Y889" i="24"/>
  <c r="Y881" i="24"/>
  <c r="Y873" i="24"/>
  <c r="Y865" i="24"/>
  <c r="Y857" i="24"/>
  <c r="Y849" i="24"/>
  <c r="Y841" i="24"/>
  <c r="Y833" i="24"/>
  <c r="Y825" i="24"/>
  <c r="Y817" i="24"/>
  <c r="Y809" i="24"/>
  <c r="Y801" i="24"/>
  <c r="Y793" i="24"/>
  <c r="Y785" i="24"/>
  <c r="Y777" i="24"/>
  <c r="Y769" i="24"/>
  <c r="Y761" i="24"/>
  <c r="Y753" i="24"/>
  <c r="Y745" i="24"/>
  <c r="Y737" i="24"/>
  <c r="Y729" i="24"/>
  <c r="Y721" i="24"/>
  <c r="Y713" i="24"/>
  <c r="Y705" i="24"/>
  <c r="Y697" i="24"/>
  <c r="Y689" i="24"/>
  <c r="Y681" i="24"/>
  <c r="Y673" i="24"/>
  <c r="Y665" i="24"/>
  <c r="Y657" i="24"/>
  <c r="Y649" i="24"/>
  <c r="Y641" i="24"/>
  <c r="Y633" i="24"/>
  <c r="Y625" i="24"/>
  <c r="Y617" i="24"/>
  <c r="Y609" i="24"/>
  <c r="Y601" i="24"/>
  <c r="Y593" i="24"/>
  <c r="Y585" i="24"/>
  <c r="Y577" i="24"/>
  <c r="Y569" i="24"/>
  <c r="Y561" i="24"/>
  <c r="Y553" i="24"/>
  <c r="Y545" i="24"/>
  <c r="Y537" i="24"/>
  <c r="Y529" i="24"/>
  <c r="Y521" i="24"/>
  <c r="Y513" i="24"/>
  <c r="Y505" i="24"/>
  <c r="Y497" i="24"/>
  <c r="Y489" i="24"/>
  <c r="Y457" i="24"/>
  <c r="Y449" i="24"/>
  <c r="AN15" i="24"/>
  <c r="Y5" i="14" s="1"/>
  <c r="AB5" i="14" s="1"/>
  <c r="AC5" i="14" s="1"/>
  <c r="AN7" i="24"/>
  <c r="AE24" i="24"/>
  <c r="AE16" i="24"/>
  <c r="AE8" i="24"/>
  <c r="Y1080" i="24"/>
  <c r="Y1072" i="24"/>
  <c r="Y1064" i="24"/>
  <c r="Y1056" i="24"/>
  <c r="Y1048" i="24"/>
  <c r="Y1040" i="24"/>
  <c r="Y1032" i="24"/>
  <c r="Y1024" i="24"/>
  <c r="Y1016" i="24"/>
  <c r="Y1008" i="24"/>
  <c r="Y1000" i="24"/>
  <c r="Y992" i="24"/>
  <c r="Y976" i="24"/>
  <c r="Y968" i="24"/>
  <c r="Y960" i="24"/>
  <c r="Y952" i="24"/>
  <c r="Y944" i="24"/>
  <c r="Y936" i="24"/>
  <c r="Y928" i="24"/>
  <c r="Y920" i="24"/>
  <c r="Y912" i="24"/>
  <c r="Y904" i="24"/>
  <c r="Y896" i="24"/>
  <c r="Y888" i="24"/>
  <c r="Y880" i="24"/>
  <c r="Y872" i="24"/>
  <c r="Y856" i="24"/>
  <c r="Y848" i="24"/>
  <c r="Y840" i="24"/>
  <c r="Y832" i="24"/>
  <c r="Y824" i="24"/>
  <c r="Y816" i="24"/>
  <c r="Y808" i="24"/>
  <c r="Y800" i="24"/>
  <c r="Y792" i="24"/>
  <c r="Y784" i="24"/>
  <c r="Y776" i="24"/>
  <c r="Y768" i="24"/>
  <c r="Y760" i="24"/>
  <c r="Y752" i="24"/>
  <c r="Y744" i="24"/>
  <c r="Y736" i="24"/>
  <c r="Y728" i="24"/>
  <c r="Y720" i="24"/>
  <c r="Y712" i="24"/>
  <c r="Y704" i="24"/>
  <c r="Y696" i="24"/>
  <c r="Y688" i="24"/>
  <c r="Y680" i="24"/>
  <c r="Y672" i="24"/>
  <c r="Y664" i="24"/>
  <c r="Y656" i="24"/>
  <c r="Y648" i="24"/>
  <c r="Y640" i="24"/>
  <c r="Y632" i="24"/>
  <c r="Y624" i="24"/>
  <c r="Y616" i="24"/>
  <c r="Y608" i="24"/>
  <c r="Y600" i="24"/>
  <c r="Y584" i="24"/>
  <c r="Y576" i="24"/>
  <c r="Y568" i="24"/>
  <c r="Y560" i="24"/>
  <c r="Y552" i="24"/>
  <c r="Y544" i="24"/>
  <c r="Y536" i="24"/>
  <c r="Y528" i="24"/>
  <c r="Y520" i="24"/>
  <c r="AN14" i="24"/>
  <c r="AN6" i="24"/>
  <c r="AE23" i="24"/>
  <c r="AE15" i="24"/>
  <c r="AE7" i="24"/>
  <c r="Y1079" i="24"/>
  <c r="Y1071" i="24"/>
  <c r="Y1063" i="24"/>
  <c r="Y1055" i="24"/>
  <c r="Y1047" i="24"/>
  <c r="Y1039" i="24"/>
  <c r="Y1031" i="24"/>
  <c r="Y1023" i="24"/>
  <c r="Y1015" i="24"/>
  <c r="Y1007" i="24"/>
  <c r="Y999" i="24"/>
  <c r="Y991" i="24"/>
  <c r="Y975" i="24"/>
  <c r="Y967" i="24"/>
  <c r="Y959" i="24"/>
  <c r="Y951" i="24"/>
  <c r="Y935" i="24"/>
  <c r="Y927" i="24"/>
  <c r="Y919" i="24"/>
  <c r="Y911" i="24"/>
  <c r="Y903" i="24"/>
  <c r="Y895" i="24"/>
  <c r="Y879" i="24"/>
  <c r="Y871" i="24"/>
  <c r="Y855" i="24"/>
  <c r="Y847" i="24"/>
  <c r="Y839" i="24"/>
  <c r="Y831" i="24"/>
  <c r="Y823" i="24"/>
  <c r="Y815" i="24"/>
  <c r="Y807" i="24"/>
  <c r="Y799" i="24"/>
  <c r="Y791" i="24"/>
  <c r="Y783" i="24"/>
  <c r="Y775" i="24"/>
  <c r="Y767" i="24"/>
  <c r="Y759" i="24"/>
  <c r="Y751" i="24"/>
  <c r="Y743" i="24"/>
  <c r="Y735" i="24"/>
  <c r="Y727" i="24"/>
  <c r="Y719" i="24"/>
  <c r="Y711" i="24"/>
  <c r="Y703" i="24"/>
  <c r="Y695" i="24"/>
  <c r="Y687" i="24"/>
  <c r="Y679" i="24"/>
  <c r="Y671" i="24"/>
  <c r="Y663" i="24"/>
  <c r="Y655" i="24"/>
  <c r="Y647" i="24"/>
  <c r="Y639" i="24"/>
  <c r="Y631" i="24"/>
  <c r="Y623" i="24"/>
  <c r="Y615" i="24"/>
  <c r="Y607" i="24"/>
  <c r="Y583" i="24"/>
  <c r="Y575" i="24"/>
  <c r="Y559" i="24"/>
  <c r="Y551" i="24"/>
  <c r="Y543" i="24"/>
  <c r="Y535" i="24"/>
  <c r="Y527" i="24"/>
  <c r="Y519" i="24"/>
  <c r="Y511" i="24"/>
  <c r="Y503" i="24"/>
  <c r="Y495" i="24"/>
  <c r="Y487" i="24"/>
  <c r="Y479" i="24"/>
  <c r="Y471" i="24"/>
  <c r="Y463" i="24"/>
  <c r="Y455" i="24"/>
  <c r="Y447" i="24"/>
  <c r="AN13" i="24"/>
  <c r="AE30" i="24"/>
  <c r="Y1086" i="24"/>
  <c r="Y1078" i="24"/>
  <c r="Y1070" i="24"/>
  <c r="Y1062" i="24"/>
  <c r="Y1054" i="24"/>
  <c r="Y1046" i="24"/>
  <c r="Y1038" i="24"/>
  <c r="Y1030" i="24"/>
  <c r="Y1022" i="24"/>
  <c r="Y1014" i="24"/>
  <c r="Y1006" i="24"/>
  <c r="Y998" i="24"/>
  <c r="Y990" i="24"/>
  <c r="Y982" i="24"/>
  <c r="Y974" i="24"/>
  <c r="Y966" i="24"/>
  <c r="Y958" i="24"/>
  <c r="Y950" i="24"/>
  <c r="Y934" i="24"/>
  <c r="Y926" i="24"/>
  <c r="Y918" i="24"/>
  <c r="Y910" i="24"/>
  <c r="Y902" i="24"/>
  <c r="Y894" i="24"/>
  <c r="Y878" i="24"/>
  <c r="Y870" i="24"/>
  <c r="Y862" i="24"/>
  <c r="Y854" i="24"/>
  <c r="Y846" i="24"/>
  <c r="Y838" i="24"/>
  <c r="Y830" i="24"/>
  <c r="Y822" i="24"/>
  <c r="Y814" i="24"/>
  <c r="Y806" i="24"/>
  <c r="Y798" i="24"/>
  <c r="Y790" i="24"/>
  <c r="Y782" i="24"/>
  <c r="Y774" i="24"/>
  <c r="Y766" i="24"/>
  <c r="Y758" i="24"/>
  <c r="Y750" i="24"/>
  <c r="Y742" i="24"/>
  <c r="Y734" i="24"/>
  <c r="Y726" i="24"/>
  <c r="Y718" i="24"/>
  <c r="Y710" i="24"/>
  <c r="Y702" i="24"/>
  <c r="Y694" i="24"/>
  <c r="Y686" i="24"/>
  <c r="Y678" i="24"/>
  <c r="Y670" i="24"/>
  <c r="Y662" i="24"/>
  <c r="Y654" i="24"/>
  <c r="Y646" i="24"/>
  <c r="Y638" i="24"/>
  <c r="Y630" i="24"/>
  <c r="Y622" i="24"/>
  <c r="Y614" i="24"/>
  <c r="Y606" i="24"/>
  <c r="Y590" i="24"/>
  <c r="AN12" i="24"/>
  <c r="AE29" i="24"/>
  <c r="AE21" i="24"/>
  <c r="AE13" i="24"/>
  <c r="Y1085" i="24"/>
  <c r="Y1077" i="24"/>
  <c r="Y1069" i="24"/>
  <c r="Y1061" i="24"/>
  <c r="Y1053" i="24"/>
  <c r="Y1045" i="24"/>
  <c r="Y1037" i="24"/>
  <c r="Y1029" i="24"/>
  <c r="Y1021" i="24"/>
  <c r="Y1013" i="24"/>
  <c r="Y1005" i="24"/>
  <c r="Y997" i="24"/>
  <c r="Y989" i="24"/>
  <c r="Y981" i="24"/>
  <c r="Y973" i="24"/>
  <c r="Y965" i="24"/>
  <c r="Y949" i="24"/>
  <c r="Y941" i="24"/>
  <c r="Y933" i="24"/>
  <c r="Y925" i="24"/>
  <c r="Y917" i="24"/>
  <c r="Y909" i="24"/>
  <c r="Y901" i="24"/>
  <c r="Y893" i="24"/>
  <c r="Y885" i="24"/>
  <c r="Y877" i="24"/>
  <c r="Y869" i="24"/>
  <c r="Y861" i="24"/>
  <c r="Y853" i="24"/>
  <c r="Y845" i="24"/>
  <c r="Y837" i="24"/>
  <c r="Y829" i="24"/>
  <c r="Y821" i="24"/>
  <c r="Y813" i="24"/>
  <c r="Y805" i="24"/>
  <c r="Y797" i="24"/>
  <c r="Y789" i="24"/>
  <c r="Y781" i="24"/>
  <c r="Y773" i="24"/>
  <c r="Y765" i="24"/>
  <c r="Y757" i="24"/>
  <c r="Y749" i="24"/>
  <c r="Y741" i="24"/>
  <c r="Y733" i="24"/>
  <c r="Y725" i="24"/>
  <c r="Y717" i="24"/>
  <c r="Y709" i="24"/>
  <c r="Y701" i="24"/>
  <c r="Y693" i="24"/>
  <c r="Y685" i="24"/>
  <c r="Y677" i="24"/>
  <c r="Y669" i="24"/>
  <c r="Y661" i="24"/>
  <c r="Y653" i="24"/>
  <c r="Y645" i="24"/>
  <c r="Y637" i="24"/>
  <c r="Y629" i="24"/>
  <c r="Y621" i="24"/>
  <c r="Y613" i="24"/>
  <c r="Y605" i="24"/>
  <c r="Y597" i="24"/>
  <c r="Y589" i="24"/>
  <c r="Y565" i="24"/>
  <c r="Y557" i="24"/>
  <c r="Y549" i="24"/>
  <c r="Y541" i="24"/>
  <c r="Y533" i="24"/>
  <c r="Y525" i="24"/>
  <c r="Y517" i="24"/>
  <c r="Y509" i="24"/>
  <c r="Y501" i="24"/>
  <c r="Y493" i="24"/>
  <c r="Y485" i="24"/>
  <c r="Y477" i="24"/>
  <c r="Y469" i="24"/>
  <c r="Y461" i="24"/>
  <c r="Y453" i="24"/>
  <c r="Y445" i="24"/>
  <c r="Y437" i="24"/>
  <c r="Y429" i="24"/>
  <c r="AN11" i="24"/>
  <c r="AE28" i="24"/>
  <c r="AE20" i="24"/>
  <c r="AE12" i="24"/>
  <c r="Y1084" i="24"/>
  <c r="Y1076" i="24"/>
  <c r="Y1068" i="24"/>
  <c r="Y1060" i="24"/>
  <c r="Y1052" i="24"/>
  <c r="Y1044" i="24"/>
  <c r="Y1036" i="24"/>
  <c r="Y1028" i="24"/>
  <c r="Y1020" i="24"/>
  <c r="Y1012" i="24"/>
  <c r="Y1004" i="24"/>
  <c r="Y996" i="24"/>
  <c r="Y988" i="24"/>
  <c r="Y980" i="24"/>
  <c r="Y972" i="24"/>
  <c r="Y964" i="24"/>
  <c r="Y948" i="24"/>
  <c r="Y940" i="24"/>
  <c r="Y932" i="24"/>
  <c r="Y924" i="24"/>
  <c r="Y916" i="24"/>
  <c r="Y908" i="24"/>
  <c r="Y900" i="24"/>
  <c r="Y892" i="24"/>
  <c r="Y884" i="24"/>
  <c r="Y876" i="24"/>
  <c r="Y868" i="24"/>
  <c r="Y860" i="24"/>
  <c r="Y844" i="24"/>
  <c r="Y836" i="24"/>
  <c r="Y828" i="24"/>
  <c r="Y820" i="24"/>
  <c r="Y812" i="24"/>
  <c r="Y804" i="24"/>
  <c r="Y796" i="24"/>
  <c r="Y788" i="24"/>
  <c r="Y780" i="24"/>
  <c r="Y772" i="24"/>
  <c r="Y764" i="24"/>
  <c r="Y756" i="24"/>
  <c r="Y748" i="24"/>
  <c r="Y740" i="24"/>
  <c r="Y732" i="24"/>
  <c r="Y724" i="24"/>
  <c r="Y716" i="24"/>
  <c r="Y708" i="24"/>
  <c r="Y700" i="24"/>
  <c r="Y692" i="24"/>
  <c r="Y684" i="24"/>
  <c r="Y676" i="24"/>
  <c r="Y668" i="24"/>
  <c r="Y660" i="24"/>
  <c r="Y652" i="24"/>
  <c r="Y644" i="24"/>
  <c r="Y636" i="24"/>
  <c r="Y628" i="24"/>
  <c r="Y620" i="24"/>
  <c r="Y612" i="24"/>
  <c r="Y604" i="24"/>
  <c r="Y596" i="24"/>
  <c r="Y588" i="24"/>
  <c r="Y580" i="24"/>
  <c r="Y564" i="24"/>
  <c r="Y556" i="24"/>
  <c r="Y548" i="24"/>
  <c r="Y540" i="24"/>
  <c r="Y532" i="24"/>
  <c r="Y524" i="24"/>
  <c r="Y516" i="24"/>
  <c r="Y508" i="24"/>
  <c r="Y500" i="24"/>
  <c r="Y492" i="24"/>
  <c r="Y484" i="24"/>
  <c r="Y476" i="24"/>
  <c r="Y468" i="24"/>
  <c r="Y460" i="24"/>
  <c r="Y452" i="24"/>
  <c r="Y444" i="24"/>
  <c r="Y436" i="24"/>
  <c r="Y428" i="24"/>
  <c r="Y420" i="24"/>
  <c r="AN10" i="24"/>
  <c r="Y1067" i="24"/>
  <c r="Y1011" i="24"/>
  <c r="Y899" i="24"/>
  <c r="Y819" i="24"/>
  <c r="Y755" i="24"/>
  <c r="Y691" i="24"/>
  <c r="Y627" i="24"/>
  <c r="Y571" i="24"/>
  <c r="Y542" i="24"/>
  <c r="Y512" i="24"/>
  <c r="Y491" i="24"/>
  <c r="Y459" i="24"/>
  <c r="Y440" i="24"/>
  <c r="Y427" i="24"/>
  <c r="Y418" i="24"/>
  <c r="Y410" i="24"/>
  <c r="Y402" i="24"/>
  <c r="Y394" i="24"/>
  <c r="Y386" i="24"/>
  <c r="Y378" i="24"/>
  <c r="Y370" i="24"/>
  <c r="Y362" i="24"/>
  <c r="Y354" i="24"/>
  <c r="Y346" i="24"/>
  <c r="Y338" i="24"/>
  <c r="Y330" i="24"/>
  <c r="Y322" i="24"/>
  <c r="Y314" i="24"/>
  <c r="Y306" i="24"/>
  <c r="Y298" i="24"/>
  <c r="Y290" i="24"/>
  <c r="Y282" i="24"/>
  <c r="Y274" i="24"/>
  <c r="Y266" i="24"/>
  <c r="Y258" i="24"/>
  <c r="Y250" i="24"/>
  <c r="Y242" i="24"/>
  <c r="Y234" i="24"/>
  <c r="Y226" i="24"/>
  <c r="Y218" i="24"/>
  <c r="Y210" i="24"/>
  <c r="Y202" i="24"/>
  <c r="Y194" i="24"/>
  <c r="Y186" i="24"/>
  <c r="Y178" i="24"/>
  <c r="Y170" i="24"/>
  <c r="Y162" i="24"/>
  <c r="Y154" i="24"/>
  <c r="Y138" i="24"/>
  <c r="Y122" i="24"/>
  <c r="Y114" i="24"/>
  <c r="Y106" i="24"/>
  <c r="Y98" i="24"/>
  <c r="Y90" i="24"/>
  <c r="Y82" i="24"/>
  <c r="Y74" i="24"/>
  <c r="Y58" i="24"/>
  <c r="Y50" i="24"/>
  <c r="Y42" i="24"/>
  <c r="Y34" i="24"/>
  <c r="Y26" i="24"/>
  <c r="Y18" i="24"/>
  <c r="Y10" i="24"/>
  <c r="X1082" i="24"/>
  <c r="X1074" i="24"/>
  <c r="X1066" i="24"/>
  <c r="X1058" i="24"/>
  <c r="X1050" i="24"/>
  <c r="X1042" i="24"/>
  <c r="X1034" i="24"/>
  <c r="X1018" i="24"/>
  <c r="X1010" i="24"/>
  <c r="X1002" i="24"/>
  <c r="X994" i="24"/>
  <c r="X986" i="24"/>
  <c r="X978" i="24"/>
  <c r="X962" i="24"/>
  <c r="X954" i="24"/>
  <c r="X930" i="24"/>
  <c r="X922" i="24"/>
  <c r="X914" i="24"/>
  <c r="X906" i="24"/>
  <c r="X898" i="24"/>
  <c r="X890" i="24"/>
  <c r="AE27" i="24"/>
  <c r="Y1059" i="24"/>
  <c r="Y1003" i="24"/>
  <c r="Y891" i="24"/>
  <c r="Y859" i="24"/>
  <c r="Y811" i="24"/>
  <c r="Y747" i="24"/>
  <c r="Y683" i="24"/>
  <c r="Y619" i="24"/>
  <c r="Y587" i="24"/>
  <c r="Y539" i="24"/>
  <c r="Y510" i="24"/>
  <c r="Y488" i="24"/>
  <c r="Y456" i="24"/>
  <c r="Y439" i="24"/>
  <c r="Y426" i="24"/>
  <c r="Y417" i="24"/>
  <c r="Y409" i="24"/>
  <c r="Y401" i="24"/>
  <c r="Y393" i="24"/>
  <c r="Y385" i="24"/>
  <c r="Y377" i="24"/>
  <c r="Y369" i="24"/>
  <c r="Y361" i="24"/>
  <c r="Y353" i="24"/>
  <c r="Y345" i="24"/>
  <c r="Y337" i="24"/>
  <c r="Y329" i="24"/>
  <c r="Y321" i="24"/>
  <c r="Y313" i="24"/>
  <c r="Y305" i="24"/>
  <c r="Y297" i="24"/>
  <c r="Y289" i="24"/>
  <c r="Y281" i="24"/>
  <c r="Y273" i="24"/>
  <c r="Y265" i="24"/>
  <c r="Y257" i="24"/>
  <c r="Y249" i="24"/>
  <c r="Y241" i="24"/>
  <c r="Y233" i="24"/>
  <c r="Y225" i="24"/>
  <c r="Y217" i="24"/>
  <c r="Y209" i="24"/>
  <c r="Y201" i="24"/>
  <c r="Y193" i="24"/>
  <c r="Y185" i="24"/>
  <c r="Y177" i="24"/>
  <c r="Y169" i="24"/>
  <c r="Y161" i="24"/>
  <c r="Y153" i="24"/>
  <c r="Y145" i="24"/>
  <c r="Y137" i="24"/>
  <c r="Y129" i="24"/>
  <c r="Y121" i="24"/>
  <c r="Y113" i="24"/>
  <c r="Y105" i="24"/>
  <c r="Y97" i="24"/>
  <c r="Y89" i="24"/>
  <c r="Y81" i="24"/>
  <c r="Y73" i="24"/>
  <c r="Y49" i="24"/>
  <c r="Y41" i="24"/>
  <c r="Y33" i="24"/>
  <c r="Y25" i="24"/>
  <c r="Y17" i="24"/>
  <c r="Y9" i="24"/>
  <c r="X1081" i="24"/>
  <c r="X1073" i="24"/>
  <c r="X1065" i="24"/>
  <c r="X1057" i="24"/>
  <c r="X1049" i="24"/>
  <c r="X1041" i="24"/>
  <c r="X1033" i="24"/>
  <c r="X1025" i="24"/>
  <c r="X1017" i="24"/>
  <c r="X1009" i="24"/>
  <c r="Y1051" i="24"/>
  <c r="Y995" i="24"/>
  <c r="Y963" i="24"/>
  <c r="Y803" i="24"/>
  <c r="Y739" i="24"/>
  <c r="Y675" i="24"/>
  <c r="Y611" i="24"/>
  <c r="Y534" i="24"/>
  <c r="Y507" i="24"/>
  <c r="Y486" i="24"/>
  <c r="Y470" i="24"/>
  <c r="Y454" i="24"/>
  <c r="Y438" i="24"/>
  <c r="Y425" i="24"/>
  <c r="Y416" i="24"/>
  <c r="Y408" i="24"/>
  <c r="Y400" i="24"/>
  <c r="Y392" i="24"/>
  <c r="Y384" i="24"/>
  <c r="Y376" i="24"/>
  <c r="Y368" i="24"/>
  <c r="Y360" i="24"/>
  <c r="Y352" i="24"/>
  <c r="Y344" i="24"/>
  <c r="Y336" i="24"/>
  <c r="Y328" i="24"/>
  <c r="Y320" i="24"/>
  <c r="Y312" i="24"/>
  <c r="Y304" i="24"/>
  <c r="Y296" i="24"/>
  <c r="Y288" i="24"/>
  <c r="Y280" i="24"/>
  <c r="Y272" i="24"/>
  <c r="Y264" i="24"/>
  <c r="Y256" i="24"/>
  <c r="Y248" i="24"/>
  <c r="Y240" i="24"/>
  <c r="Y232" i="24"/>
  <c r="Y224" i="24"/>
  <c r="Y216" i="24"/>
  <c r="Y208" i="24"/>
  <c r="Y200" i="24"/>
  <c r="Y184" i="24"/>
  <c r="Y176" i="24"/>
  <c r="Y168" i="24"/>
  <c r="Y160" i="24"/>
  <c r="Y152" i="24"/>
  <c r="Y144" i="24"/>
  <c r="Y136" i="24"/>
  <c r="Y128" i="24"/>
  <c r="Y120" i="24"/>
  <c r="Y112" i="24"/>
  <c r="Y88" i="24"/>
  <c r="Y80" i="24"/>
  <c r="Y72" i="24"/>
  <c r="Y64" i="24"/>
  <c r="Y48" i="24"/>
  <c r="Y40" i="24"/>
  <c r="Y32" i="24"/>
  <c r="Y24" i="24"/>
  <c r="Y16" i="24"/>
  <c r="Y8" i="24"/>
  <c r="X1080" i="24"/>
  <c r="X1072" i="24"/>
  <c r="X1064" i="24"/>
  <c r="X1056" i="24"/>
  <c r="X1048" i="24"/>
  <c r="X1040" i="24"/>
  <c r="X1032" i="24"/>
  <c r="X1024" i="24"/>
  <c r="X1016" i="24"/>
  <c r="X1008" i="24"/>
  <c r="X1000" i="24"/>
  <c r="X992" i="24"/>
  <c r="X976" i="24"/>
  <c r="X968" i="24"/>
  <c r="AE19" i="24"/>
  <c r="Y1043" i="24"/>
  <c r="Y987" i="24"/>
  <c r="Y795" i="24"/>
  <c r="Y731" i="24"/>
  <c r="Y667" i="24"/>
  <c r="Y603" i="24"/>
  <c r="Y563" i="24"/>
  <c r="Y531" i="24"/>
  <c r="Y504" i="24"/>
  <c r="Y483" i="24"/>
  <c r="Y467" i="24"/>
  <c r="Y451" i="24"/>
  <c r="Y435" i="24"/>
  <c r="Y424" i="24"/>
  <c r="Y415" i="24"/>
  <c r="Y407" i="24"/>
  <c r="Y399" i="24"/>
  <c r="Y391" i="24"/>
  <c r="Y383" i="24"/>
  <c r="Y375" i="24"/>
  <c r="Y367" i="24"/>
  <c r="Y359" i="24"/>
  <c r="Y351" i="24"/>
  <c r="Y343" i="24"/>
  <c r="Y335" i="24"/>
  <c r="Y327" i="24"/>
  <c r="Y319" i="24"/>
  <c r="Y311" i="24"/>
  <c r="Y303" i="24"/>
  <c r="Y295" i="24"/>
  <c r="Y287" i="24"/>
  <c r="Y279" i="24"/>
  <c r="Y271" i="24"/>
  <c r="Y263" i="24"/>
  <c r="Y255" i="24"/>
  <c r="Y247" i="24"/>
  <c r="Y239" i="24"/>
  <c r="Y231" i="24"/>
  <c r="Y223" i="24"/>
  <c r="Y215" i="24"/>
  <c r="Y207" i="24"/>
  <c r="Y199" i="24"/>
  <c r="Y183" i="24"/>
  <c r="Y175" i="24"/>
  <c r="Y167" i="24"/>
  <c r="Y159" i="24"/>
  <c r="Y151" i="24"/>
  <c r="Y143" i="24"/>
  <c r="Y135" i="24"/>
  <c r="Y127" i="24"/>
  <c r="Y119" i="24"/>
  <c r="Y111" i="24"/>
  <c r="Y87" i="24"/>
  <c r="Y79" i="24"/>
  <c r="Y71" i="24"/>
  <c r="Y63" i="24"/>
  <c r="Y55" i="24"/>
  <c r="Y47" i="24"/>
  <c r="Y39" i="24"/>
  <c r="Y31" i="24"/>
  <c r="Y23" i="24"/>
  <c r="Y15" i="24"/>
  <c r="Y7" i="24"/>
  <c r="X1079" i="24"/>
  <c r="X1071" i="24"/>
  <c r="X1063" i="24"/>
  <c r="X1055" i="24"/>
  <c r="X1047" i="24"/>
  <c r="X1039" i="24"/>
  <c r="Y1035" i="24"/>
  <c r="Y931" i="24"/>
  <c r="Y883" i="24"/>
  <c r="Y843" i="24"/>
  <c r="Y787" i="24"/>
  <c r="Y723" i="24"/>
  <c r="Y659" i="24"/>
  <c r="Y579" i="24"/>
  <c r="Y558" i="24"/>
  <c r="Y526" i="24"/>
  <c r="Y502" i="24"/>
  <c r="Y448" i="24"/>
  <c r="Y433" i="24"/>
  <c r="Y423" i="24"/>
  <c r="Y414" i="24"/>
  <c r="Y406" i="24"/>
  <c r="Y398" i="24"/>
  <c r="Y390" i="24"/>
  <c r="Y382" i="24"/>
  <c r="Y374" i="24"/>
  <c r="Y366" i="24"/>
  <c r="Y358" i="24"/>
  <c r="Y350" i="24"/>
  <c r="Y342" i="24"/>
  <c r="Y334" i="24"/>
  <c r="Y326" i="24"/>
  <c r="Y318" i="24"/>
  <c r="Y310" i="24"/>
  <c r="Y302" i="24"/>
  <c r="Y294" i="24"/>
  <c r="Y286" i="24"/>
  <c r="Y278" i="24"/>
  <c r="Y270" i="24"/>
  <c r="Y262" i="24"/>
  <c r="Y254" i="24"/>
  <c r="Y246" i="24"/>
  <c r="Y238" i="24"/>
  <c r="Y230" i="24"/>
  <c r="Y222" i="24"/>
  <c r="Y214" i="24"/>
  <c r="Y206" i="24"/>
  <c r="Y198" i="24"/>
  <c r="Y190" i="24"/>
  <c r="Y182" i="24"/>
  <c r="Y955" i="24"/>
  <c r="Y923" i="24"/>
  <c r="Y875" i="24"/>
  <c r="Y835" i="24"/>
  <c r="Y779" i="24"/>
  <c r="Y715" i="24"/>
  <c r="Y651" i="24"/>
  <c r="Y574" i="24"/>
  <c r="Y555" i="24"/>
  <c r="Y523" i="24"/>
  <c r="Y499" i="24"/>
  <c r="Y446" i="24"/>
  <c r="Y432" i="24"/>
  <c r="Y422" i="24"/>
  <c r="Y413" i="24"/>
  <c r="Y405" i="24"/>
  <c r="Y397" i="24"/>
  <c r="Y389" i="24"/>
  <c r="Y381" i="24"/>
  <c r="Y373" i="24"/>
  <c r="Y365" i="24"/>
  <c r="Y357" i="24"/>
  <c r="Y349" i="24"/>
  <c r="Y341" i="24"/>
  <c r="Y333" i="24"/>
  <c r="Y325" i="24"/>
  <c r="Y317" i="24"/>
  <c r="Y1083" i="24"/>
  <c r="Y915" i="24"/>
  <c r="Y867" i="24"/>
  <c r="Y771" i="24"/>
  <c r="Y707" i="24"/>
  <c r="Y643" i="24"/>
  <c r="Y595" i="24"/>
  <c r="Y550" i="24"/>
  <c r="Y518" i="24"/>
  <c r="Y496" i="24"/>
  <c r="Y478" i="24"/>
  <c r="Y464" i="24"/>
  <c r="Y443" i="24"/>
  <c r="Y431" i="24"/>
  <c r="Y421" i="24"/>
  <c r="Y412" i="24"/>
  <c r="Y404" i="24"/>
  <c r="Y396" i="24"/>
  <c r="Y388" i="24"/>
  <c r="Y380" i="24"/>
  <c r="Y372" i="24"/>
  <c r="Y364" i="24"/>
  <c r="Y356" i="24"/>
  <c r="Y348" i="24"/>
  <c r="Y340" i="24"/>
  <c r="Y332" i="24"/>
  <c r="Y324" i="24"/>
  <c r="Y316" i="24"/>
  <c r="Y308" i="24"/>
  <c r="Y300" i="24"/>
  <c r="Y292" i="24"/>
  <c r="Y284" i="24"/>
  <c r="Y276" i="24"/>
  <c r="Y268" i="24"/>
  <c r="Y260" i="24"/>
  <c r="Y252" i="24"/>
  <c r="Y244" i="24"/>
  <c r="Y236" i="24"/>
  <c r="Y228" i="24"/>
  <c r="Y220" i="24"/>
  <c r="Y212" i="24"/>
  <c r="Y204" i="24"/>
  <c r="Y196" i="24"/>
  <c r="Y188" i="24"/>
  <c r="Y180" i="24"/>
  <c r="Y172" i="24"/>
  <c r="Y164" i="24"/>
  <c r="Y156" i="24"/>
  <c r="Y148" i="24"/>
  <c r="Y140" i="24"/>
  <c r="Y132" i="24"/>
  <c r="Y124" i="24"/>
  <c r="Y116" i="24"/>
  <c r="Y108" i="24"/>
  <c r="Y100" i="24"/>
  <c r="Y84" i="24"/>
  <c r="Y76" i="24"/>
  <c r="Y68" i="24"/>
  <c r="Y60" i="24"/>
  <c r="Y52" i="24"/>
  <c r="Y44" i="24"/>
  <c r="Y36" i="24"/>
  <c r="Y28" i="24"/>
  <c r="Y12" i="24"/>
  <c r="X1084" i="24"/>
  <c r="X1076" i="24"/>
  <c r="X1068" i="24"/>
  <c r="X1060" i="24"/>
  <c r="X1052" i="24"/>
  <c r="X1044" i="24"/>
  <c r="X1036" i="24"/>
  <c r="X1028" i="24"/>
  <c r="X1020" i="24"/>
  <c r="X1012" i="24"/>
  <c r="X1004" i="24"/>
  <c r="X996" i="24"/>
  <c r="X988" i="24"/>
  <c r="X980" i="24"/>
  <c r="X972" i="24"/>
  <c r="X964" i="24"/>
  <c r="X948" i="24"/>
  <c r="X940" i="24"/>
  <c r="X932" i="24"/>
  <c r="X924" i="24"/>
  <c r="X916" i="24"/>
  <c r="X908" i="24"/>
  <c r="X900" i="24"/>
  <c r="X892" i="24"/>
  <c r="X884" i="24"/>
  <c r="Y635" i="24"/>
  <c r="Y475" i="24"/>
  <c r="Y419" i="24"/>
  <c r="Y355" i="24"/>
  <c r="Y301" i="24"/>
  <c r="Y269" i="24"/>
  <c r="Y237" i="24"/>
  <c r="Y205" i="24"/>
  <c r="Y181" i="24"/>
  <c r="Y158" i="24"/>
  <c r="Y141" i="24"/>
  <c r="Y123" i="24"/>
  <c r="Y38" i="24"/>
  <c r="X1078" i="24"/>
  <c r="X1059" i="24"/>
  <c r="X1037" i="24"/>
  <c r="X1022" i="24"/>
  <c r="X1006" i="24"/>
  <c r="X993" i="24"/>
  <c r="X982" i="24"/>
  <c r="X959" i="24"/>
  <c r="X950" i="24"/>
  <c r="X941" i="24"/>
  <c r="X931" i="24"/>
  <c r="X920" i="24"/>
  <c r="X910" i="24"/>
  <c r="X899" i="24"/>
  <c r="X888" i="24"/>
  <c r="X879" i="24"/>
  <c r="X871" i="24"/>
  <c r="X855" i="24"/>
  <c r="X847" i="24"/>
  <c r="X839" i="24"/>
  <c r="X831" i="24"/>
  <c r="X823" i="24"/>
  <c r="X815" i="24"/>
  <c r="X807" i="24"/>
  <c r="X799" i="24"/>
  <c r="X791" i="24"/>
  <c r="X783" i="24"/>
  <c r="X775" i="24"/>
  <c r="X767" i="24"/>
  <c r="X759" i="24"/>
  <c r="X751" i="24"/>
  <c r="X743" i="24"/>
  <c r="X735" i="24"/>
  <c r="X727" i="24"/>
  <c r="X719" i="24"/>
  <c r="X711" i="24"/>
  <c r="X703" i="24"/>
  <c r="X695" i="24"/>
  <c r="X687" i="24"/>
  <c r="X679" i="24"/>
  <c r="X671" i="24"/>
  <c r="X663" i="24"/>
  <c r="X655" i="24"/>
  <c r="X647" i="24"/>
  <c r="X639" i="24"/>
  <c r="X631" i="24"/>
  <c r="X623" i="24"/>
  <c r="X615" i="24"/>
  <c r="X607" i="24"/>
  <c r="X583" i="24"/>
  <c r="X575" i="24"/>
  <c r="X559" i="24"/>
  <c r="Y411" i="24"/>
  <c r="Y347" i="24"/>
  <c r="Y299" i="24"/>
  <c r="Y267" i="24"/>
  <c r="Y235" i="24"/>
  <c r="Y203" i="24"/>
  <c r="Y179" i="24"/>
  <c r="Y157" i="24"/>
  <c r="Y139" i="24"/>
  <c r="Y102" i="24"/>
  <c r="Y37" i="24"/>
  <c r="Y19" i="24"/>
  <c r="X1077" i="24"/>
  <c r="X1054" i="24"/>
  <c r="X1035" i="24"/>
  <c r="X1021" i="24"/>
  <c r="X1005" i="24"/>
  <c r="X991" i="24"/>
  <c r="X981" i="24"/>
  <c r="X969" i="24"/>
  <c r="X958" i="24"/>
  <c r="X949" i="24"/>
  <c r="X929" i="24"/>
  <c r="X919" i="24"/>
  <c r="X909" i="24"/>
  <c r="X897" i="24"/>
  <c r="X878" i="24"/>
  <c r="X870" i="24"/>
  <c r="X862" i="24"/>
  <c r="X854" i="24"/>
  <c r="X846" i="24"/>
  <c r="X838" i="24"/>
  <c r="X830" i="24"/>
  <c r="X822" i="24"/>
  <c r="X814" i="24"/>
  <c r="X806" i="24"/>
  <c r="X798" i="24"/>
  <c r="X790" i="24"/>
  <c r="X782" i="24"/>
  <c r="X774" i="24"/>
  <c r="X766" i="24"/>
  <c r="X758" i="24"/>
  <c r="X750" i="24"/>
  <c r="X742" i="24"/>
  <c r="X734" i="24"/>
  <c r="X726" i="24"/>
  <c r="Y979" i="24"/>
  <c r="Y403" i="24"/>
  <c r="Y339" i="24"/>
  <c r="Y293" i="24"/>
  <c r="Y261" i="24"/>
  <c r="Y229" i="24"/>
  <c r="Y197" i="24"/>
  <c r="Y174" i="24"/>
  <c r="Y155" i="24"/>
  <c r="Y134" i="24"/>
  <c r="Y101" i="24"/>
  <c r="Y86" i="24"/>
  <c r="Y67" i="24"/>
  <c r="Y54" i="24"/>
  <c r="Y35" i="24"/>
  <c r="Y14" i="24"/>
  <c r="X1075" i="24"/>
  <c r="X1053" i="24"/>
  <c r="X1031" i="24"/>
  <c r="X1019" i="24"/>
  <c r="X1003" i="24"/>
  <c r="X990" i="24"/>
  <c r="X979" i="24"/>
  <c r="X967" i="24"/>
  <c r="X928" i="24"/>
  <c r="X918" i="24"/>
  <c r="X907" i="24"/>
  <c r="X896" i="24"/>
  <c r="X877" i="24"/>
  <c r="X869" i="24"/>
  <c r="X861" i="24"/>
  <c r="X853" i="24"/>
  <c r="X845" i="24"/>
  <c r="X837" i="24"/>
  <c r="X829" i="24"/>
  <c r="X821" i="24"/>
  <c r="X813" i="24"/>
  <c r="X805" i="24"/>
  <c r="X797" i="24"/>
  <c r="X789" i="24"/>
  <c r="X781" i="24"/>
  <c r="X773" i="24"/>
  <c r="X765" i="24"/>
  <c r="X757" i="24"/>
  <c r="X749" i="24"/>
  <c r="X741" i="24"/>
  <c r="X733" i="24"/>
  <c r="X725" i="24"/>
  <c r="X717" i="24"/>
  <c r="X709" i="24"/>
  <c r="X701" i="24"/>
  <c r="X693" i="24"/>
  <c r="X685" i="24"/>
  <c r="X677" i="24"/>
  <c r="X669" i="24"/>
  <c r="X661" i="24"/>
  <c r="X653" i="24"/>
  <c r="X645" i="24"/>
  <c r="X637" i="24"/>
  <c r="X629" i="24"/>
  <c r="X621" i="24"/>
  <c r="X613" i="24"/>
  <c r="X605" i="24"/>
  <c r="X597" i="24"/>
  <c r="X589" i="24"/>
  <c r="X565" i="24"/>
  <c r="X557" i="24"/>
  <c r="X549" i="24"/>
  <c r="X541" i="24"/>
  <c r="X533" i="24"/>
  <c r="X525" i="24"/>
  <c r="X517" i="24"/>
  <c r="X509" i="24"/>
  <c r="X501" i="24"/>
  <c r="X493" i="24"/>
  <c r="X485" i="24"/>
  <c r="X477" i="24"/>
  <c r="X469" i="24"/>
  <c r="X461" i="24"/>
  <c r="X453" i="24"/>
  <c r="X445" i="24"/>
  <c r="X437" i="24"/>
  <c r="X429" i="24"/>
  <c r="X421" i="24"/>
  <c r="X413" i="24"/>
  <c r="Y1075" i="24"/>
  <c r="Y547" i="24"/>
  <c r="Y395" i="24"/>
  <c r="Y331" i="24"/>
  <c r="Y291" i="24"/>
  <c r="Y259" i="24"/>
  <c r="Y227" i="24"/>
  <c r="Y195" i="24"/>
  <c r="Y173" i="24"/>
  <c r="Y150" i="24"/>
  <c r="Y133" i="24"/>
  <c r="Y115" i="24"/>
  <c r="Y99" i="24"/>
  <c r="Y85" i="24"/>
  <c r="Y53" i="24"/>
  <c r="Y30" i="24"/>
  <c r="Y13" i="24"/>
  <c r="X1070" i="24"/>
  <c r="X1051" i="24"/>
  <c r="X1030" i="24"/>
  <c r="X1015" i="24"/>
  <c r="X1001" i="24"/>
  <c r="X989" i="24"/>
  <c r="X977" i="24"/>
  <c r="X966" i="24"/>
  <c r="X937" i="24"/>
  <c r="X927" i="24"/>
  <c r="X917" i="24"/>
  <c r="X905" i="24"/>
  <c r="X895" i="24"/>
  <c r="X885" i="24"/>
  <c r="X876" i="24"/>
  <c r="X868" i="24"/>
  <c r="X860" i="24"/>
  <c r="X844" i="24"/>
  <c r="X836" i="24"/>
  <c r="X828" i="24"/>
  <c r="X820" i="24"/>
  <c r="X812" i="24"/>
  <c r="X804" i="24"/>
  <c r="X796" i="24"/>
  <c r="X788" i="24"/>
  <c r="X780" i="24"/>
  <c r="X772" i="24"/>
  <c r="X764" i="24"/>
  <c r="X756" i="24"/>
  <c r="X748" i="24"/>
  <c r="X740" i="24"/>
  <c r="X732" i="24"/>
  <c r="Y515" i="24"/>
  <c r="Y387" i="24"/>
  <c r="Y323" i="24"/>
  <c r="Y285" i="24"/>
  <c r="Y253" i="24"/>
  <c r="Y221" i="24"/>
  <c r="Y171" i="24"/>
  <c r="Y149" i="24"/>
  <c r="Y83" i="24"/>
  <c r="Y51" i="24"/>
  <c r="Y29" i="24"/>
  <c r="Y11" i="24"/>
  <c r="Y907" i="24"/>
  <c r="Y494" i="24"/>
  <c r="Y462" i="24"/>
  <c r="Y379" i="24"/>
  <c r="Y315" i="24"/>
  <c r="Y283" i="24"/>
  <c r="Y251" i="24"/>
  <c r="Y219" i="24"/>
  <c r="Y166" i="24"/>
  <c r="Y78" i="24"/>
  <c r="Y62" i="24"/>
  <c r="Y1019" i="24"/>
  <c r="Y763" i="24"/>
  <c r="Y441" i="24"/>
  <c r="Y371" i="24"/>
  <c r="Y309" i="24"/>
  <c r="Y277" i="24"/>
  <c r="Y245" i="24"/>
  <c r="Y213" i="24"/>
  <c r="Y189" i="24"/>
  <c r="Y165" i="24"/>
  <c r="Y126" i="24"/>
  <c r="Y107" i="24"/>
  <c r="Y94" i="24"/>
  <c r="Y77" i="24"/>
  <c r="Y61" i="24"/>
  <c r="Y45" i="24"/>
  <c r="Y22" i="24"/>
  <c r="X1085" i="24"/>
  <c r="X1062" i="24"/>
  <c r="X1043" i="24"/>
  <c r="X1011" i="24"/>
  <c r="X997" i="24"/>
  <c r="X973" i="24"/>
  <c r="X961" i="24"/>
  <c r="X952" i="24"/>
  <c r="X934" i="24"/>
  <c r="X923" i="24"/>
  <c r="X912" i="24"/>
  <c r="X902" i="24"/>
  <c r="X891" i="24"/>
  <c r="X881" i="24"/>
  <c r="X873" i="24"/>
  <c r="X865" i="24"/>
  <c r="X857" i="24"/>
  <c r="X849" i="24"/>
  <c r="X841" i="24"/>
  <c r="X833" i="24"/>
  <c r="X825" i="24"/>
  <c r="X817" i="24"/>
  <c r="X809" i="24"/>
  <c r="X801" i="24"/>
  <c r="X793" i="24"/>
  <c r="X785" i="24"/>
  <c r="X777" i="24"/>
  <c r="X769" i="24"/>
  <c r="X761" i="24"/>
  <c r="X753" i="24"/>
  <c r="X745" i="24"/>
  <c r="X737" i="24"/>
  <c r="X729" i="24"/>
  <c r="X721" i="24"/>
  <c r="X713" i="24"/>
  <c r="X705" i="24"/>
  <c r="X697" i="24"/>
  <c r="X689" i="24"/>
  <c r="X681" i="24"/>
  <c r="X673" i="24"/>
  <c r="X665" i="24"/>
  <c r="X657" i="24"/>
  <c r="X649" i="24"/>
  <c r="X641" i="24"/>
  <c r="X633" i="24"/>
  <c r="X625" i="24"/>
  <c r="X617" i="24"/>
  <c r="X609" i="24"/>
  <c r="X601" i="24"/>
  <c r="X593" i="24"/>
  <c r="X585" i="24"/>
  <c r="X577" i="24"/>
  <c r="X569" i="24"/>
  <c r="X561" i="24"/>
  <c r="X553" i="24"/>
  <c r="X545" i="24"/>
  <c r="X537" i="24"/>
  <c r="X529" i="24"/>
  <c r="X521" i="24"/>
  <c r="X513" i="24"/>
  <c r="X505" i="24"/>
  <c r="X497" i="24"/>
  <c r="X489" i="24"/>
  <c r="X457" i="24"/>
  <c r="X449" i="24"/>
  <c r="X441" i="24"/>
  <c r="Y211" i="24"/>
  <c r="Y27" i="24"/>
  <c r="X1046" i="24"/>
  <c r="X1013" i="24"/>
  <c r="X944" i="24"/>
  <c r="X926" i="24"/>
  <c r="X901" i="24"/>
  <c r="X880" i="24"/>
  <c r="X859" i="24"/>
  <c r="X842" i="24"/>
  <c r="X819" i="24"/>
  <c r="X800" i="24"/>
  <c r="X778" i="24"/>
  <c r="X755" i="24"/>
  <c r="X736" i="24"/>
  <c r="X718" i="24"/>
  <c r="X706" i="24"/>
  <c r="X692" i="24"/>
  <c r="X680" i="24"/>
  <c r="X667" i="24"/>
  <c r="X654" i="24"/>
  <c r="X642" i="24"/>
  <c r="X628" i="24"/>
  <c r="X616" i="24"/>
  <c r="X603" i="24"/>
  <c r="X571" i="24"/>
  <c r="X560" i="24"/>
  <c r="X548" i="24"/>
  <c r="X538" i="24"/>
  <c r="X527" i="24"/>
  <c r="X516" i="24"/>
  <c r="X506" i="24"/>
  <c r="X495" i="24"/>
  <c r="X484" i="24"/>
  <c r="X475" i="24"/>
  <c r="X456" i="24"/>
  <c r="X446" i="24"/>
  <c r="X435" i="24"/>
  <c r="X426" i="24"/>
  <c r="X417" i="24"/>
  <c r="X408" i="24"/>
  <c r="X400" i="24"/>
  <c r="X392" i="24"/>
  <c r="X384" i="24"/>
  <c r="X376" i="24"/>
  <c r="X368" i="24"/>
  <c r="X360" i="24"/>
  <c r="X352" i="24"/>
  <c r="X344" i="24"/>
  <c r="X336" i="24"/>
  <c r="X328" i="24"/>
  <c r="X320" i="24"/>
  <c r="X312" i="24"/>
  <c r="X304" i="24"/>
  <c r="X296" i="24"/>
  <c r="X288" i="24"/>
  <c r="X280" i="24"/>
  <c r="X272" i="24"/>
  <c r="X264" i="24"/>
  <c r="X256" i="24"/>
  <c r="X248" i="24"/>
  <c r="X240" i="24"/>
  <c r="X232" i="24"/>
  <c r="X224" i="24"/>
  <c r="X216" i="24"/>
  <c r="X208" i="24"/>
  <c r="X200" i="24"/>
  <c r="X184" i="24"/>
  <c r="X176" i="24"/>
  <c r="X168" i="24"/>
  <c r="X160" i="24"/>
  <c r="X152" i="24"/>
  <c r="X144" i="24"/>
  <c r="X136" i="24"/>
  <c r="X128" i="24"/>
  <c r="X120" i="24"/>
  <c r="X112" i="24"/>
  <c r="X88" i="24"/>
  <c r="X80" i="24"/>
  <c r="X72" i="24"/>
  <c r="X64" i="24"/>
  <c r="X48" i="24"/>
  <c r="X40" i="24"/>
  <c r="X32" i="24"/>
  <c r="X24" i="24"/>
  <c r="X16" i="24"/>
  <c r="X8" i="24"/>
  <c r="W1080" i="24"/>
  <c r="W1072" i="24"/>
  <c r="W1064" i="24"/>
  <c r="W1056" i="24"/>
  <c r="W1048" i="24"/>
  <c r="W1040" i="24"/>
  <c r="W1032" i="24"/>
  <c r="W1024" i="24"/>
  <c r="W1016" i="24"/>
  <c r="W1008" i="24"/>
  <c r="W1000" i="24"/>
  <c r="W992" i="24"/>
  <c r="W976" i="24"/>
  <c r="W968" i="24"/>
  <c r="W960" i="24"/>
  <c r="W952" i="24"/>
  <c r="W944" i="24"/>
  <c r="W936" i="24"/>
  <c r="W928" i="24"/>
  <c r="W920" i="24"/>
  <c r="W912" i="24"/>
  <c r="W904" i="24"/>
  <c r="W896" i="24"/>
  <c r="W888" i="24"/>
  <c r="W880" i="24"/>
  <c r="W872" i="24"/>
  <c r="W856" i="24"/>
  <c r="W848" i="24"/>
  <c r="W840" i="24"/>
  <c r="W832" i="24"/>
  <c r="W824" i="24"/>
  <c r="W816" i="24"/>
  <c r="W808" i="24"/>
  <c r="X1045" i="24"/>
  <c r="X1007" i="24"/>
  <c r="X975" i="24"/>
  <c r="X925" i="24"/>
  <c r="X894" i="24"/>
  <c r="X875" i="24"/>
  <c r="X858" i="24"/>
  <c r="X840" i="24"/>
  <c r="X818" i="24"/>
  <c r="X795" i="24"/>
  <c r="X776" i="24"/>
  <c r="X754" i="24"/>
  <c r="X731" i="24"/>
  <c r="X716" i="24"/>
  <c r="X704" i="24"/>
  <c r="X691" i="24"/>
  <c r="X678" i="24"/>
  <c r="X666" i="24"/>
  <c r="X652" i="24"/>
  <c r="X640" i="24"/>
  <c r="X627" i="24"/>
  <c r="X614" i="24"/>
  <c r="X602" i="24"/>
  <c r="X580" i="24"/>
  <c r="X570" i="24"/>
  <c r="X558" i="24"/>
  <c r="X547" i="24"/>
  <c r="X536" i="24"/>
  <c r="X526" i="24"/>
  <c r="X515" i="24"/>
  <c r="X504" i="24"/>
  <c r="X494" i="24"/>
  <c r="X483" i="24"/>
  <c r="X474" i="24"/>
  <c r="X455" i="24"/>
  <c r="X444" i="24"/>
  <c r="X434" i="24"/>
  <c r="X425" i="24"/>
  <c r="X416" i="24"/>
  <c r="X407" i="24"/>
  <c r="X399" i="24"/>
  <c r="X391" i="24"/>
  <c r="X383" i="24"/>
  <c r="X375" i="24"/>
  <c r="X367" i="24"/>
  <c r="X359" i="24"/>
  <c r="X351" i="24"/>
  <c r="X343" i="24"/>
  <c r="X335" i="24"/>
  <c r="X327" i="24"/>
  <c r="X319" i="24"/>
  <c r="X311" i="24"/>
  <c r="X303" i="24"/>
  <c r="X295" i="24"/>
  <c r="X287" i="24"/>
  <c r="X279" i="24"/>
  <c r="X271" i="24"/>
  <c r="X263" i="24"/>
  <c r="X255" i="24"/>
  <c r="X247" i="24"/>
  <c r="X239" i="24"/>
  <c r="X231" i="24"/>
  <c r="X223" i="24"/>
  <c r="X215" i="24"/>
  <c r="X207" i="24"/>
  <c r="X199" i="24"/>
  <c r="X183" i="24"/>
  <c r="X175" i="24"/>
  <c r="X167" i="24"/>
  <c r="X159" i="24"/>
  <c r="X151" i="24"/>
  <c r="X143" i="24"/>
  <c r="X135" i="24"/>
  <c r="X127" i="24"/>
  <c r="X119" i="24"/>
  <c r="X111" i="24"/>
  <c r="X87" i="24"/>
  <c r="X79" i="24"/>
  <c r="X71" i="24"/>
  <c r="X63" i="24"/>
  <c r="X55" i="24"/>
  <c r="X47" i="24"/>
  <c r="X39" i="24"/>
  <c r="X31" i="24"/>
  <c r="Y699" i="24"/>
  <c r="Y125" i="24"/>
  <c r="X1038" i="24"/>
  <c r="X999" i="24"/>
  <c r="X974" i="24"/>
  <c r="X955" i="24"/>
  <c r="X921" i="24"/>
  <c r="X893" i="24"/>
  <c r="X874" i="24"/>
  <c r="X856" i="24"/>
  <c r="X835" i="24"/>
  <c r="X816" i="24"/>
  <c r="X794" i="24"/>
  <c r="X771" i="24"/>
  <c r="X752" i="24"/>
  <c r="X730" i="24"/>
  <c r="X715" i="24"/>
  <c r="X702" i="24"/>
  <c r="X690" i="24"/>
  <c r="X676" i="24"/>
  <c r="X664" i="24"/>
  <c r="X651" i="24"/>
  <c r="X638" i="24"/>
  <c r="X626" i="24"/>
  <c r="X612" i="24"/>
  <c r="X600" i="24"/>
  <c r="X590" i="24"/>
  <c r="X579" i="24"/>
  <c r="X568" i="24"/>
  <c r="X556" i="24"/>
  <c r="X546" i="24"/>
  <c r="X535" i="24"/>
  <c r="X524" i="24"/>
  <c r="X514" i="24"/>
  <c r="X503" i="24"/>
  <c r="X492" i="24"/>
  <c r="X482" i="24"/>
  <c r="X464" i="24"/>
  <c r="X454" i="24"/>
  <c r="X443" i="24"/>
  <c r="X433" i="24"/>
  <c r="X424" i="24"/>
  <c r="X415" i="24"/>
  <c r="X406" i="24"/>
  <c r="X398" i="24"/>
  <c r="X390" i="24"/>
  <c r="X382" i="24"/>
  <c r="X374" i="24"/>
  <c r="X366" i="24"/>
  <c r="X358" i="24"/>
  <c r="X350" i="24"/>
  <c r="X342" i="24"/>
  <c r="X334" i="24"/>
  <c r="X326" i="24"/>
  <c r="X318" i="24"/>
  <c r="X310" i="24"/>
  <c r="X302" i="24"/>
  <c r="X294" i="24"/>
  <c r="X286" i="24"/>
  <c r="X278" i="24"/>
  <c r="X270" i="24"/>
  <c r="X262" i="24"/>
  <c r="X254" i="24"/>
  <c r="X246" i="24"/>
  <c r="X238" i="24"/>
  <c r="X230" i="24"/>
  <c r="X222" i="24"/>
  <c r="X214" i="24"/>
  <c r="X206" i="24"/>
  <c r="X198" i="24"/>
  <c r="X190" i="24"/>
  <c r="X182" i="24"/>
  <c r="X174" i="24"/>
  <c r="X166" i="24"/>
  <c r="X158" i="24"/>
  <c r="X150" i="24"/>
  <c r="X142" i="24"/>
  <c r="X134" i="24"/>
  <c r="X126" i="24"/>
  <c r="X102" i="24"/>
  <c r="X94" i="24"/>
  <c r="X86" i="24"/>
  <c r="X78" i="24"/>
  <c r="X62" i="24"/>
  <c r="X54" i="24"/>
  <c r="X46" i="24"/>
  <c r="X38" i="24"/>
  <c r="X30" i="24"/>
  <c r="X22" i="24"/>
  <c r="X14" i="24"/>
  <c r="W1086" i="24"/>
  <c r="W1078" i="24"/>
  <c r="W1070" i="24"/>
  <c r="W1062" i="24"/>
  <c r="W1054" i="24"/>
  <c r="W1046" i="24"/>
  <c r="W1038" i="24"/>
  <c r="W1030" i="24"/>
  <c r="W1022" i="24"/>
  <c r="W1014" i="24"/>
  <c r="W1006" i="24"/>
  <c r="W998" i="24"/>
  <c r="Y430" i="24"/>
  <c r="Y187" i="24"/>
  <c r="Y93" i="24"/>
  <c r="Y59" i="24"/>
  <c r="X1086" i="24"/>
  <c r="X1029" i="24"/>
  <c r="X998" i="24"/>
  <c r="X953" i="24"/>
  <c r="X915" i="24"/>
  <c r="X889" i="24"/>
  <c r="X872" i="24"/>
  <c r="X834" i="24"/>
  <c r="X811" i="24"/>
  <c r="X792" i="24"/>
  <c r="X770" i="24"/>
  <c r="X747" i="24"/>
  <c r="X728" i="24"/>
  <c r="X714" i="24"/>
  <c r="X700" i="24"/>
  <c r="X688" i="24"/>
  <c r="X675" i="24"/>
  <c r="X662" i="24"/>
  <c r="X650" i="24"/>
  <c r="X636" i="24"/>
  <c r="X624" i="24"/>
  <c r="X611" i="24"/>
  <c r="X588" i="24"/>
  <c r="X578" i="24"/>
  <c r="X555" i="24"/>
  <c r="X544" i="24"/>
  <c r="X534" i="24"/>
  <c r="X523" i="24"/>
  <c r="X512" i="24"/>
  <c r="X502" i="24"/>
  <c r="X491" i="24"/>
  <c r="X463" i="24"/>
  <c r="X452" i="24"/>
  <c r="X442" i="24"/>
  <c r="X432" i="24"/>
  <c r="X423" i="24"/>
  <c r="X414" i="24"/>
  <c r="X405" i="24"/>
  <c r="X397" i="24"/>
  <c r="X389" i="24"/>
  <c r="X381" i="24"/>
  <c r="X373" i="24"/>
  <c r="X365" i="24"/>
  <c r="X357" i="24"/>
  <c r="X349" i="24"/>
  <c r="X341" i="24"/>
  <c r="X333" i="24"/>
  <c r="X325" i="24"/>
  <c r="X317" i="24"/>
  <c r="X309" i="24"/>
  <c r="X301" i="24"/>
  <c r="X293" i="24"/>
  <c r="X285" i="24"/>
  <c r="X277" i="24"/>
  <c r="X269" i="24"/>
  <c r="X261" i="24"/>
  <c r="X253" i="24"/>
  <c r="X245" i="24"/>
  <c r="X237" i="24"/>
  <c r="X229" i="24"/>
  <c r="X221" i="24"/>
  <c r="X213" i="24"/>
  <c r="X205" i="24"/>
  <c r="X197" i="24"/>
  <c r="X189" i="24"/>
  <c r="X181" i="24"/>
  <c r="X173" i="24"/>
  <c r="X165" i="24"/>
  <c r="X157" i="24"/>
  <c r="X149" i="24"/>
  <c r="X141" i="24"/>
  <c r="X133" i="24"/>
  <c r="X125" i="24"/>
  <c r="X101" i="24"/>
  <c r="X93" i="24"/>
  <c r="X85" i="24"/>
  <c r="X77" i="24"/>
  <c r="X61" i="24"/>
  <c r="X53" i="24"/>
  <c r="X45" i="24"/>
  <c r="X37" i="24"/>
  <c r="Y363" i="24"/>
  <c r="Y163" i="24"/>
  <c r="X1083" i="24"/>
  <c r="X995" i="24"/>
  <c r="X951" i="24"/>
  <c r="X913" i="24"/>
  <c r="X867" i="24"/>
  <c r="X832" i="24"/>
  <c r="X810" i="24"/>
  <c r="X787" i="24"/>
  <c r="X768" i="24"/>
  <c r="X746" i="24"/>
  <c r="X724" i="24"/>
  <c r="X712" i="24"/>
  <c r="X699" i="24"/>
  <c r="X686" i="24"/>
  <c r="X674" i="24"/>
  <c r="X660" i="24"/>
  <c r="X648" i="24"/>
  <c r="X635" i="24"/>
  <c r="X622" i="24"/>
  <c r="X610" i="24"/>
  <c r="X587" i="24"/>
  <c r="X576" i="24"/>
  <c r="X554" i="24"/>
  <c r="X543" i="24"/>
  <c r="X532" i="24"/>
  <c r="X522" i="24"/>
  <c r="X511" i="24"/>
  <c r="X500" i="24"/>
  <c r="X490" i="24"/>
  <c r="X471" i="24"/>
  <c r="X462" i="24"/>
  <c r="X451" i="24"/>
  <c r="X440" i="24"/>
  <c r="X431" i="24"/>
  <c r="X422" i="24"/>
  <c r="X412" i="24"/>
  <c r="X404" i="24"/>
  <c r="X396" i="24"/>
  <c r="X388" i="24"/>
  <c r="X380" i="24"/>
  <c r="X372" i="24"/>
  <c r="X364" i="24"/>
  <c r="X356" i="24"/>
  <c r="X348" i="24"/>
  <c r="X340" i="24"/>
  <c r="X332" i="24"/>
  <c r="X324" i="24"/>
  <c r="X316" i="24"/>
  <c r="X308" i="24"/>
  <c r="X300" i="24"/>
  <c r="X292" i="24"/>
  <c r="X284" i="24"/>
  <c r="Y307" i="24"/>
  <c r="X1069" i="24"/>
  <c r="X987" i="24"/>
  <c r="X965" i="24"/>
  <c r="X936" i="24"/>
  <c r="X911" i="24"/>
  <c r="X866" i="24"/>
  <c r="X850" i="24"/>
  <c r="X808" i="24"/>
  <c r="X786" i="24"/>
  <c r="X763" i="24"/>
  <c r="X744" i="24"/>
  <c r="X723" i="24"/>
  <c r="X710" i="24"/>
  <c r="X698" i="24"/>
  <c r="X684" i="24"/>
  <c r="X672" i="24"/>
  <c r="X659" i="24"/>
  <c r="X646" i="24"/>
  <c r="X634" i="24"/>
  <c r="X620" i="24"/>
  <c r="X608" i="24"/>
  <c r="X596" i="24"/>
  <c r="X586" i="24"/>
  <c r="X574" i="24"/>
  <c r="X564" i="24"/>
  <c r="X552" i="24"/>
  <c r="X542" i="24"/>
  <c r="X531" i="24"/>
  <c r="X520" i="24"/>
  <c r="X510" i="24"/>
  <c r="X499" i="24"/>
  <c r="X488" i="24"/>
  <c r="X479" i="24"/>
  <c r="Y275" i="24"/>
  <c r="Y75" i="24"/>
  <c r="Y46" i="24"/>
  <c r="X1067" i="24"/>
  <c r="X1023" i="24"/>
  <c r="X963" i="24"/>
  <c r="X935" i="24"/>
  <c r="X904" i="24"/>
  <c r="X883" i="24"/>
  <c r="X848" i="24"/>
  <c r="X803" i="24"/>
  <c r="X784" i="24"/>
  <c r="X762" i="24"/>
  <c r="X739" i="24"/>
  <c r="X722" i="24"/>
  <c r="X708" i="24"/>
  <c r="X696" i="24"/>
  <c r="X683" i="24"/>
  <c r="X670" i="24"/>
  <c r="X658" i="24"/>
  <c r="X644" i="24"/>
  <c r="X632" i="24"/>
  <c r="X619" i="24"/>
  <c r="X606" i="24"/>
  <c r="X595" i="24"/>
  <c r="X584" i="24"/>
  <c r="X563" i="24"/>
  <c r="X551" i="24"/>
  <c r="X540" i="24"/>
  <c r="X530" i="24"/>
  <c r="X519" i="24"/>
  <c r="X508" i="24"/>
  <c r="X498" i="24"/>
  <c r="X487" i="24"/>
  <c r="X478" i="24"/>
  <c r="X468" i="24"/>
  <c r="X459" i="24"/>
  <c r="X448" i="24"/>
  <c r="X438" i="24"/>
  <c r="X428" i="24"/>
  <c r="X419" i="24"/>
  <c r="X410" i="24"/>
  <c r="X402" i="24"/>
  <c r="X394" i="24"/>
  <c r="X386" i="24"/>
  <c r="X378" i="24"/>
  <c r="X370" i="24"/>
  <c r="X362" i="24"/>
  <c r="X354" i="24"/>
  <c r="X346" i="24"/>
  <c r="X338" i="24"/>
  <c r="X330" i="24"/>
  <c r="X322" i="24"/>
  <c r="X314" i="24"/>
  <c r="X306" i="24"/>
  <c r="X298" i="24"/>
  <c r="X290" i="24"/>
  <c r="X282" i="24"/>
  <c r="X274" i="24"/>
  <c r="X266" i="24"/>
  <c r="X258" i="24"/>
  <c r="X250" i="24"/>
  <c r="X242" i="24"/>
  <c r="X234" i="24"/>
  <c r="X226" i="24"/>
  <c r="X218" i="24"/>
  <c r="X210" i="24"/>
  <c r="X202" i="24"/>
  <c r="X194" i="24"/>
  <c r="X186" i="24"/>
  <c r="X178" i="24"/>
  <c r="X170" i="24"/>
  <c r="X162" i="24"/>
  <c r="X154" i="24"/>
  <c r="X138" i="24"/>
  <c r="X122" i="24"/>
  <c r="X114" i="24"/>
  <c r="X106" i="24"/>
  <c r="X98" i="24"/>
  <c r="X90" i="24"/>
  <c r="X82" i="24"/>
  <c r="X74" i="24"/>
  <c r="X58" i="24"/>
  <c r="X50" i="24"/>
  <c r="X42" i="24"/>
  <c r="X34" i="24"/>
  <c r="X26" i="24"/>
  <c r="X18" i="24"/>
  <c r="X10" i="24"/>
  <c r="W1082" i="24"/>
  <c r="W1074" i="24"/>
  <c r="W1066" i="24"/>
  <c r="W1058" i="24"/>
  <c r="W1050" i="24"/>
  <c r="W1042" i="24"/>
  <c r="W1034" i="24"/>
  <c r="W1018" i="24"/>
  <c r="W1010" i="24"/>
  <c r="W1002" i="24"/>
  <c r="W994" i="24"/>
  <c r="W986" i="24"/>
  <c r="W978" i="24"/>
  <c r="W962" i="24"/>
  <c r="W954" i="24"/>
  <c r="W930" i="24"/>
  <c r="W922" i="24"/>
  <c r="W914" i="24"/>
  <c r="W906" i="24"/>
  <c r="W898" i="24"/>
  <c r="W890" i="24"/>
  <c r="W882" i="24"/>
  <c r="W874" i="24"/>
  <c r="W866" i="24"/>
  <c r="W858" i="24"/>
  <c r="W850" i="24"/>
  <c r="W842" i="24"/>
  <c r="W834" i="24"/>
  <c r="X1014" i="24"/>
  <c r="X933" i="24"/>
  <c r="X738" i="24"/>
  <c r="X630" i="24"/>
  <c r="X539" i="24"/>
  <c r="X476" i="24"/>
  <c r="X458" i="24"/>
  <c r="X418" i="24"/>
  <c r="X385" i="24"/>
  <c r="X353" i="24"/>
  <c r="X321" i="24"/>
  <c r="X289" i="24"/>
  <c r="X265" i="24"/>
  <c r="X243" i="24"/>
  <c r="X220" i="24"/>
  <c r="X201" i="24"/>
  <c r="X185" i="24"/>
  <c r="X163" i="24"/>
  <c r="X145" i="24"/>
  <c r="X124" i="24"/>
  <c r="X99" i="24"/>
  <c r="X83" i="24"/>
  <c r="X67" i="24"/>
  <c r="X51" i="24"/>
  <c r="X29" i="24"/>
  <c r="X17" i="24"/>
  <c r="W1084" i="24"/>
  <c r="W1071" i="24"/>
  <c r="W1059" i="24"/>
  <c r="W1045" i="24"/>
  <c r="W1033" i="24"/>
  <c r="W1021" i="24"/>
  <c r="W1009" i="24"/>
  <c r="W996" i="24"/>
  <c r="W975" i="24"/>
  <c r="W966" i="24"/>
  <c r="W937" i="24"/>
  <c r="W926" i="24"/>
  <c r="W916" i="24"/>
  <c r="W905" i="24"/>
  <c r="W894" i="24"/>
  <c r="W884" i="24"/>
  <c r="W873" i="24"/>
  <c r="W853" i="24"/>
  <c r="W843" i="24"/>
  <c r="W831" i="24"/>
  <c r="W822" i="24"/>
  <c r="W813" i="24"/>
  <c r="W804" i="24"/>
  <c r="W796" i="24"/>
  <c r="W788" i="24"/>
  <c r="W780" i="24"/>
  <c r="W772" i="24"/>
  <c r="W764" i="24"/>
  <c r="W756" i="24"/>
  <c r="W748" i="24"/>
  <c r="W740" i="24"/>
  <c r="W732" i="24"/>
  <c r="W724" i="24"/>
  <c r="W716" i="24"/>
  <c r="W708" i="24"/>
  <c r="W700" i="24"/>
  <c r="W692" i="24"/>
  <c r="W684" i="24"/>
  <c r="W676" i="24"/>
  <c r="W668" i="24"/>
  <c r="W660" i="24"/>
  <c r="W652" i="24"/>
  <c r="W644" i="24"/>
  <c r="W636" i="24"/>
  <c r="W628" i="24"/>
  <c r="W620" i="24"/>
  <c r="W612" i="24"/>
  <c r="W604" i="24"/>
  <c r="W596" i="24"/>
  <c r="W588" i="24"/>
  <c r="W580" i="24"/>
  <c r="W564" i="24"/>
  <c r="W556" i="24"/>
  <c r="W548" i="24"/>
  <c r="W540" i="24"/>
  <c r="W532" i="24"/>
  <c r="W524" i="24"/>
  <c r="W516" i="24"/>
  <c r="W508" i="24"/>
  <c r="W500" i="24"/>
  <c r="W492" i="24"/>
  <c r="W484" i="24"/>
  <c r="W476" i="24"/>
  <c r="W468" i="24"/>
  <c r="W460" i="24"/>
  <c r="W452" i="24"/>
  <c r="W444" i="24"/>
  <c r="W436" i="24"/>
  <c r="W428" i="24"/>
  <c r="W420" i="24"/>
  <c r="W412" i="24"/>
  <c r="W404" i="24"/>
  <c r="W396" i="24"/>
  <c r="W388" i="24"/>
  <c r="W380" i="24"/>
  <c r="W372" i="24"/>
  <c r="W364" i="24"/>
  <c r="W356" i="24"/>
  <c r="W348" i="24"/>
  <c r="W340" i="24"/>
  <c r="W332" i="24"/>
  <c r="W324" i="24"/>
  <c r="W316" i="24"/>
  <c r="W308" i="24"/>
  <c r="W300" i="24"/>
  <c r="W292" i="24"/>
  <c r="W284" i="24"/>
  <c r="W276" i="24"/>
  <c r="W268" i="24"/>
  <c r="W260" i="24"/>
  <c r="W252" i="24"/>
  <c r="W244" i="24"/>
  <c r="W236" i="24"/>
  <c r="W228" i="24"/>
  <c r="W220" i="24"/>
  <c r="W212" i="24"/>
  <c r="W204" i="24"/>
  <c r="W196" i="24"/>
  <c r="W188" i="24"/>
  <c r="W180" i="24"/>
  <c r="W172" i="24"/>
  <c r="W164" i="24"/>
  <c r="W156" i="24"/>
  <c r="W148" i="24"/>
  <c r="W140" i="24"/>
  <c r="W132" i="24"/>
  <c r="W124" i="24"/>
  <c r="W116" i="24"/>
  <c r="X903" i="24"/>
  <c r="X843" i="24"/>
  <c r="X720" i="24"/>
  <c r="X618" i="24"/>
  <c r="X528" i="24"/>
  <c r="X450" i="24"/>
  <c r="X411" i="24"/>
  <c r="X379" i="24"/>
  <c r="X347" i="24"/>
  <c r="X315" i="24"/>
  <c r="X283" i="24"/>
  <c r="X260" i="24"/>
  <c r="X241" i="24"/>
  <c r="X219" i="24"/>
  <c r="X196" i="24"/>
  <c r="X180" i="24"/>
  <c r="X161" i="24"/>
  <c r="X140" i="24"/>
  <c r="X123" i="24"/>
  <c r="X97" i="24"/>
  <c r="X81" i="24"/>
  <c r="X49" i="24"/>
  <c r="X28" i="24"/>
  <c r="X15" i="24"/>
  <c r="W1083" i="24"/>
  <c r="W1069" i="24"/>
  <c r="W1057" i="24"/>
  <c r="W1044" i="24"/>
  <c r="W1031" i="24"/>
  <c r="W1020" i="24"/>
  <c r="W1007" i="24"/>
  <c r="W995" i="24"/>
  <c r="W974" i="24"/>
  <c r="W965" i="24"/>
  <c r="W955" i="24"/>
  <c r="W945" i="24"/>
  <c r="W935" i="24"/>
  <c r="W925" i="24"/>
  <c r="W915" i="24"/>
  <c r="W903" i="24"/>
  <c r="W893" i="24"/>
  <c r="W883" i="24"/>
  <c r="W871" i="24"/>
  <c r="W862" i="24"/>
  <c r="W841" i="24"/>
  <c r="W830" i="24"/>
  <c r="W821" i="24"/>
  <c r="W812" i="24"/>
  <c r="W803" i="24"/>
  <c r="W795" i="24"/>
  <c r="W787" i="24"/>
  <c r="W779" i="24"/>
  <c r="W771" i="24"/>
  <c r="W763" i="24"/>
  <c r="W755" i="24"/>
  <c r="W747" i="24"/>
  <c r="W739" i="24"/>
  <c r="W731" i="24"/>
  <c r="W723" i="24"/>
  <c r="W715" i="24"/>
  <c r="W707" i="24"/>
  <c r="W699" i="24"/>
  <c r="W691" i="24"/>
  <c r="W683" i="24"/>
  <c r="W675" i="24"/>
  <c r="W667" i="24"/>
  <c r="W659" i="24"/>
  <c r="W651" i="24"/>
  <c r="W643" i="24"/>
  <c r="W635" i="24"/>
  <c r="W627" i="24"/>
  <c r="W619" i="24"/>
  <c r="W611" i="24"/>
  <c r="W603" i="24"/>
  <c r="W595" i="24"/>
  <c r="W587" i="24"/>
  <c r="W579" i="24"/>
  <c r="W571" i="24"/>
  <c r="W563" i="24"/>
  <c r="W555" i="24"/>
  <c r="W547" i="24"/>
  <c r="W539" i="24"/>
  <c r="W531" i="24"/>
  <c r="W523" i="24"/>
  <c r="W515" i="24"/>
  <c r="Y243" i="24"/>
  <c r="Y43" i="24"/>
  <c r="X707" i="24"/>
  <c r="X604" i="24"/>
  <c r="X518" i="24"/>
  <c r="X447" i="24"/>
  <c r="X409" i="24"/>
  <c r="X377" i="24"/>
  <c r="X345" i="24"/>
  <c r="X313" i="24"/>
  <c r="X281" i="24"/>
  <c r="X259" i="24"/>
  <c r="X236" i="24"/>
  <c r="X217" i="24"/>
  <c r="X195" i="24"/>
  <c r="X179" i="24"/>
  <c r="X156" i="24"/>
  <c r="X139" i="24"/>
  <c r="X121" i="24"/>
  <c r="X108" i="24"/>
  <c r="X76" i="24"/>
  <c r="X44" i="24"/>
  <c r="X27" i="24"/>
  <c r="X13" i="24"/>
  <c r="W1081" i="24"/>
  <c r="W1068" i="24"/>
  <c r="W1055" i="24"/>
  <c r="W1043" i="24"/>
  <c r="W1029" i="24"/>
  <c r="W1019" i="24"/>
  <c r="W1005" i="24"/>
  <c r="W993" i="24"/>
  <c r="W973" i="24"/>
  <c r="W964" i="24"/>
  <c r="W953" i="24"/>
  <c r="W934" i="24"/>
  <c r="W924" i="24"/>
  <c r="W913" i="24"/>
  <c r="W902" i="24"/>
  <c r="W892" i="24"/>
  <c r="W881" i="24"/>
  <c r="W870" i="24"/>
  <c r="W861" i="24"/>
  <c r="W839" i="24"/>
  <c r="W829" i="24"/>
  <c r="W820" i="24"/>
  <c r="W811" i="24"/>
  <c r="W802" i="24"/>
  <c r="W794" i="24"/>
  <c r="W786" i="24"/>
  <c r="W778" i="24"/>
  <c r="W770" i="24"/>
  <c r="W762" i="24"/>
  <c r="W754" i="24"/>
  <c r="W746" i="24"/>
  <c r="W738" i="24"/>
  <c r="W730" i="24"/>
  <c r="W722" i="24"/>
  <c r="W714" i="24"/>
  <c r="W706" i="24"/>
  <c r="W698" i="24"/>
  <c r="W690" i="24"/>
  <c r="W682" i="24"/>
  <c r="W674" i="24"/>
  <c r="W666" i="24"/>
  <c r="W658" i="24"/>
  <c r="W650" i="24"/>
  <c r="W642" i="24"/>
  <c r="W634" i="24"/>
  <c r="W626" i="24"/>
  <c r="W618" i="24"/>
  <c r="W610" i="24"/>
  <c r="W602" i="24"/>
  <c r="W594" i="24"/>
  <c r="W586" i="24"/>
  <c r="W578" i="24"/>
  <c r="W570" i="24"/>
  <c r="W562" i="24"/>
  <c r="W554" i="24"/>
  <c r="W546" i="24"/>
  <c r="W538" i="24"/>
  <c r="W530" i="24"/>
  <c r="W522" i="24"/>
  <c r="W514" i="24"/>
  <c r="X945" i="24"/>
  <c r="X694" i="24"/>
  <c r="X507" i="24"/>
  <c r="X470" i="24"/>
  <c r="X439" i="24"/>
  <c r="X403" i="24"/>
  <c r="X371" i="24"/>
  <c r="X339" i="24"/>
  <c r="X307" i="24"/>
  <c r="X276" i="24"/>
  <c r="X257" i="24"/>
  <c r="X235" i="24"/>
  <c r="X212" i="24"/>
  <c r="X193" i="24"/>
  <c r="X177" i="24"/>
  <c r="X155" i="24"/>
  <c r="X137" i="24"/>
  <c r="X107" i="24"/>
  <c r="X75" i="24"/>
  <c r="X60" i="24"/>
  <c r="X43" i="24"/>
  <c r="X25" i="24"/>
  <c r="X12" i="24"/>
  <c r="W1079" i="24"/>
  <c r="W1067" i="24"/>
  <c r="W1053" i="24"/>
  <c r="W1041" i="24"/>
  <c r="W1028" i="24"/>
  <c r="W1017" i="24"/>
  <c r="W1004" i="24"/>
  <c r="W991" i="24"/>
  <c r="W982" i="24"/>
  <c r="W972" i="24"/>
  <c r="W963" i="24"/>
  <c r="W951" i="24"/>
  <c r="W933" i="24"/>
  <c r="W923" i="24"/>
  <c r="W911" i="24"/>
  <c r="W901" i="24"/>
  <c r="W891" i="24"/>
  <c r="W879" i="24"/>
  <c r="W869" i="24"/>
  <c r="W860" i="24"/>
  <c r="W849" i="24"/>
  <c r="W838" i="24"/>
  <c r="W828" i="24"/>
  <c r="W819" i="24"/>
  <c r="W810" i="24"/>
  <c r="W801" i="24"/>
  <c r="W793" i="24"/>
  <c r="W785" i="24"/>
  <c r="W777" i="24"/>
  <c r="W769" i="24"/>
  <c r="W761" i="24"/>
  <c r="W753" i="24"/>
  <c r="W745" i="24"/>
  <c r="W737" i="24"/>
  <c r="W729" i="24"/>
  <c r="W721" i="24"/>
  <c r="W713" i="24"/>
  <c r="W705" i="24"/>
  <c r="W697" i="24"/>
  <c r="W689" i="24"/>
  <c r="W681" i="24"/>
  <c r="W673" i="24"/>
  <c r="W665" i="24"/>
  <c r="W657" i="24"/>
  <c r="W649" i="24"/>
  <c r="W641" i="24"/>
  <c r="W633" i="24"/>
  <c r="W625" i="24"/>
  <c r="W617" i="24"/>
  <c r="W609" i="24"/>
  <c r="W601" i="24"/>
  <c r="W593" i="24"/>
  <c r="W585" i="24"/>
  <c r="W577" i="24"/>
  <c r="W569" i="24"/>
  <c r="W561" i="24"/>
  <c r="W553" i="24"/>
  <c r="W545" i="24"/>
  <c r="W537" i="24"/>
  <c r="W529" i="24"/>
  <c r="W521" i="24"/>
  <c r="W513" i="24"/>
  <c r="W505" i="24"/>
  <c r="W497" i="24"/>
  <c r="W489" i="24"/>
  <c r="W457" i="24"/>
  <c r="W449" i="24"/>
  <c r="W441" i="24"/>
  <c r="W433" i="24"/>
  <c r="W425" i="24"/>
  <c r="W417" i="24"/>
  <c r="W409" i="24"/>
  <c r="X882" i="24"/>
  <c r="X824" i="24"/>
  <c r="X682" i="24"/>
  <c r="X496" i="24"/>
  <c r="X467" i="24"/>
  <c r="X436" i="24"/>
  <c r="X401" i="24"/>
  <c r="X369" i="24"/>
  <c r="X337" i="24"/>
  <c r="X305" i="24"/>
  <c r="X275" i="24"/>
  <c r="X252" i="24"/>
  <c r="X233" i="24"/>
  <c r="X211" i="24"/>
  <c r="X172" i="24"/>
  <c r="X153" i="24"/>
  <c r="X132" i="24"/>
  <c r="X105" i="24"/>
  <c r="X73" i="24"/>
  <c r="X59" i="24"/>
  <c r="X41" i="24"/>
  <c r="X23" i="24"/>
  <c r="X11" i="24"/>
  <c r="W1077" i="24"/>
  <c r="W1065" i="24"/>
  <c r="W1052" i="24"/>
  <c r="W1039" i="24"/>
  <c r="W1015" i="24"/>
  <c r="W1003" i="24"/>
  <c r="W990" i="24"/>
  <c r="W981" i="24"/>
  <c r="W961" i="24"/>
  <c r="W950" i="24"/>
  <c r="W941" i="24"/>
  <c r="X1061" i="24"/>
  <c r="X802" i="24"/>
  <c r="X668" i="24"/>
  <c r="X594" i="24"/>
  <c r="X486" i="24"/>
  <c r="X430" i="24"/>
  <c r="X395" i="24"/>
  <c r="X363" i="24"/>
  <c r="X331" i="24"/>
  <c r="X299" i="24"/>
  <c r="X273" i="24"/>
  <c r="X251" i="24"/>
  <c r="X228" i="24"/>
  <c r="X209" i="24"/>
  <c r="X171" i="24"/>
  <c r="X148" i="24"/>
  <c r="X116" i="24"/>
  <c r="X36" i="24"/>
  <c r="X9" i="24"/>
  <c r="W1076" i="24"/>
  <c r="W1063" i="24"/>
  <c r="W1051" i="24"/>
  <c r="W1037" i="24"/>
  <c r="W1013" i="24"/>
  <c r="W1001" i="24"/>
  <c r="W989" i="24"/>
  <c r="W980" i="24"/>
  <c r="W959" i="24"/>
  <c r="W949" i="24"/>
  <c r="X960" i="24"/>
  <c r="X779" i="24"/>
  <c r="X656" i="24"/>
  <c r="X562" i="24"/>
  <c r="X427" i="24"/>
  <c r="X393" i="24"/>
  <c r="X361" i="24"/>
  <c r="X329" i="24"/>
  <c r="X297" i="24"/>
  <c r="X268" i="24"/>
  <c r="X249" i="24"/>
  <c r="X227" i="24"/>
  <c r="X204" i="24"/>
  <c r="X188" i="24"/>
  <c r="X169" i="24"/>
  <c r="X115" i="24"/>
  <c r="X89" i="24"/>
  <c r="X35" i="24"/>
  <c r="X7" i="24"/>
  <c r="W1075" i="24"/>
  <c r="W1061" i="24"/>
  <c r="W1049" i="24"/>
  <c r="W1036" i="24"/>
  <c r="W1025" i="24"/>
  <c r="W1012" i="24"/>
  <c r="W999" i="24"/>
  <c r="W988" i="24"/>
  <c r="W979" i="24"/>
  <c r="W969" i="24"/>
  <c r="W958" i="24"/>
  <c r="W948" i="24"/>
  <c r="W929" i="24"/>
  <c r="W918" i="24"/>
  <c r="W908" i="24"/>
  <c r="W897" i="24"/>
  <c r="W876" i="24"/>
  <c r="W865" i="24"/>
  <c r="W855" i="24"/>
  <c r="W845" i="24"/>
  <c r="W835" i="24"/>
  <c r="W825" i="24"/>
  <c r="W815" i="24"/>
  <c r="W806" i="24"/>
  <c r="W798" i="24"/>
  <c r="W790" i="24"/>
  <c r="W782" i="24"/>
  <c r="W774" i="24"/>
  <c r="W766" i="24"/>
  <c r="W758" i="24"/>
  <c r="W750" i="24"/>
  <c r="W742" i="24"/>
  <c r="W734" i="24"/>
  <c r="W726" i="24"/>
  <c r="W718" i="24"/>
  <c r="W710" i="24"/>
  <c r="W702" i="24"/>
  <c r="W694" i="24"/>
  <c r="W686" i="24"/>
  <c r="W678" i="24"/>
  <c r="W670" i="24"/>
  <c r="W662" i="24"/>
  <c r="W654" i="24"/>
  <c r="W646" i="24"/>
  <c r="W638" i="24"/>
  <c r="W630" i="24"/>
  <c r="W622" i="24"/>
  <c r="W614" i="24"/>
  <c r="W606" i="24"/>
  <c r="W590" i="24"/>
  <c r="W574" i="24"/>
  <c r="W558" i="24"/>
  <c r="W550" i="24"/>
  <c r="W542" i="24"/>
  <c r="W534" i="24"/>
  <c r="W526" i="24"/>
  <c r="W518" i="24"/>
  <c r="W510" i="24"/>
  <c r="W502" i="24"/>
  <c r="W494" i="24"/>
  <c r="W486" i="24"/>
  <c r="W478" i="24"/>
  <c r="W470" i="24"/>
  <c r="W462" i="24"/>
  <c r="W454" i="24"/>
  <c r="W446" i="24"/>
  <c r="W438" i="24"/>
  <c r="W430" i="24"/>
  <c r="W422" i="24"/>
  <c r="W414" i="24"/>
  <c r="W406" i="24"/>
  <c r="W398" i="24"/>
  <c r="W390" i="24"/>
  <c r="W382" i="24"/>
  <c r="W374" i="24"/>
  <c r="W366" i="24"/>
  <c r="W358" i="24"/>
  <c r="W350" i="24"/>
  <c r="W342" i="24"/>
  <c r="W334" i="24"/>
  <c r="W326" i="24"/>
  <c r="W318" i="24"/>
  <c r="W310" i="24"/>
  <c r="W302" i="24"/>
  <c r="W294" i="24"/>
  <c r="W286" i="24"/>
  <c r="W278" i="24"/>
  <c r="W270" i="24"/>
  <c r="W262" i="24"/>
  <c r="W254" i="24"/>
  <c r="W246" i="24"/>
  <c r="W238" i="24"/>
  <c r="W230" i="24"/>
  <c r="W222" i="24"/>
  <c r="W214" i="24"/>
  <c r="W206" i="24"/>
  <c r="W198" i="24"/>
  <c r="W190" i="24"/>
  <c r="W182" i="24"/>
  <c r="W174" i="24"/>
  <c r="W166" i="24"/>
  <c r="W158" i="24"/>
  <c r="W150" i="24"/>
  <c r="W142" i="24"/>
  <c r="W134" i="24"/>
  <c r="W126" i="24"/>
  <c r="X355" i="24"/>
  <c r="X19" i="24"/>
  <c r="W1023" i="24"/>
  <c r="W919" i="24"/>
  <c r="W889" i="24"/>
  <c r="W867" i="24"/>
  <c r="W847" i="24"/>
  <c r="W823" i="24"/>
  <c r="W799" i="24"/>
  <c r="W776" i="24"/>
  <c r="W757" i="24"/>
  <c r="W735" i="24"/>
  <c r="W712" i="24"/>
  <c r="W693" i="24"/>
  <c r="W671" i="24"/>
  <c r="W648" i="24"/>
  <c r="W629" i="24"/>
  <c r="W607" i="24"/>
  <c r="W589" i="24"/>
  <c r="W552" i="24"/>
  <c r="W533" i="24"/>
  <c r="W511" i="24"/>
  <c r="W498" i="24"/>
  <c r="W485" i="24"/>
  <c r="W474" i="24"/>
  <c r="W464" i="24"/>
  <c r="W451" i="24"/>
  <c r="W439" i="24"/>
  <c r="W426" i="24"/>
  <c r="W413" i="24"/>
  <c r="W401" i="24"/>
  <c r="W391" i="24"/>
  <c r="W379" i="24"/>
  <c r="W369" i="24"/>
  <c r="W359" i="24"/>
  <c r="W347" i="24"/>
  <c r="W337" i="24"/>
  <c r="W327" i="24"/>
  <c r="W315" i="24"/>
  <c r="W305" i="24"/>
  <c r="W295" i="24"/>
  <c r="W283" i="24"/>
  <c r="W273" i="24"/>
  <c r="W263" i="24"/>
  <c r="W251" i="24"/>
  <c r="W241" i="24"/>
  <c r="W231" i="24"/>
  <c r="W219" i="24"/>
  <c r="W209" i="24"/>
  <c r="W199" i="24"/>
  <c r="W187" i="24"/>
  <c r="W177" i="24"/>
  <c r="W167" i="24"/>
  <c r="W155" i="24"/>
  <c r="W145" i="24"/>
  <c r="W135" i="24"/>
  <c r="W123" i="24"/>
  <c r="W114" i="24"/>
  <c r="W106" i="24"/>
  <c r="W98" i="24"/>
  <c r="W90" i="24"/>
  <c r="W82" i="24"/>
  <c r="W74" i="24"/>
  <c r="W58" i="24"/>
  <c r="W50" i="24"/>
  <c r="W42" i="24"/>
  <c r="W34" i="24"/>
  <c r="W26" i="24"/>
  <c r="W18" i="24"/>
  <c r="W10" i="24"/>
  <c r="W336" i="24"/>
  <c r="W293" i="24"/>
  <c r="W261" i="24"/>
  <c r="W240" i="24"/>
  <c r="W229" i="24"/>
  <c r="W208" i="24"/>
  <c r="W197" i="24"/>
  <c r="W176" i="24"/>
  <c r="W154" i="24"/>
  <c r="W133" i="24"/>
  <c r="W113" i="24"/>
  <c r="W105" i="24"/>
  <c r="W89" i="24"/>
  <c r="W73" i="24"/>
  <c r="W33" i="24"/>
  <c r="W17" i="24"/>
  <c r="W47" i="24"/>
  <c r="W31" i="24"/>
  <c r="W491" i="24"/>
  <c r="W395" i="24"/>
  <c r="W353" i="24"/>
  <c r="W311" i="24"/>
  <c r="W267" i="24"/>
  <c r="W235" i="24"/>
  <c r="W183" i="24"/>
  <c r="W129" i="24"/>
  <c r="W78" i="24"/>
  <c r="W46" i="24"/>
  <c r="W352" i="24"/>
  <c r="W245" i="24"/>
  <c r="W170" i="24"/>
  <c r="W101" i="24"/>
  <c r="W45" i="24"/>
  <c r="W349" i="24"/>
  <c r="W285" i="24"/>
  <c r="W221" i="24"/>
  <c r="W157" i="24"/>
  <c r="W27" i="24"/>
  <c r="X323" i="24"/>
  <c r="X187" i="24"/>
  <c r="W1085" i="24"/>
  <c r="W1011" i="24"/>
  <c r="W940" i="24"/>
  <c r="W917" i="24"/>
  <c r="W846" i="24"/>
  <c r="W818" i="24"/>
  <c r="W797" i="24"/>
  <c r="W775" i="24"/>
  <c r="W752" i="24"/>
  <c r="W733" i="24"/>
  <c r="W711" i="24"/>
  <c r="W688" i="24"/>
  <c r="W669" i="24"/>
  <c r="W647" i="24"/>
  <c r="W624" i="24"/>
  <c r="W605" i="24"/>
  <c r="W584" i="24"/>
  <c r="W568" i="24"/>
  <c r="W551" i="24"/>
  <c r="W528" i="24"/>
  <c r="W509" i="24"/>
  <c r="W496" i="24"/>
  <c r="W483" i="24"/>
  <c r="W463" i="24"/>
  <c r="W450" i="24"/>
  <c r="W437" i="24"/>
  <c r="W424" i="24"/>
  <c r="W411" i="24"/>
  <c r="W400" i="24"/>
  <c r="W389" i="24"/>
  <c r="W378" i="24"/>
  <c r="W368" i="24"/>
  <c r="W357" i="24"/>
  <c r="W346" i="24"/>
  <c r="W325" i="24"/>
  <c r="W314" i="24"/>
  <c r="W304" i="24"/>
  <c r="W282" i="24"/>
  <c r="W272" i="24"/>
  <c r="W250" i="24"/>
  <c r="W218" i="24"/>
  <c r="W186" i="24"/>
  <c r="W165" i="24"/>
  <c r="W144" i="24"/>
  <c r="W122" i="24"/>
  <c r="W97" i="24"/>
  <c r="W81" i="24"/>
  <c r="W49" i="24"/>
  <c r="W41" i="24"/>
  <c r="W25" i="24"/>
  <c r="W9" i="24"/>
  <c r="W15" i="24"/>
  <c r="W469" i="24"/>
  <c r="W385" i="24"/>
  <c r="W299" i="24"/>
  <c r="W215" i="24"/>
  <c r="W171" i="24"/>
  <c r="W119" i="24"/>
  <c r="W86" i="24"/>
  <c r="W62" i="24"/>
  <c r="W38" i="24"/>
  <c r="Y6" i="24"/>
  <c r="W330" i="24"/>
  <c r="W288" i="24"/>
  <c r="W256" i="24"/>
  <c r="W138" i="24"/>
  <c r="W85" i="24"/>
  <c r="W61" i="24"/>
  <c r="W29" i="24"/>
  <c r="W338" i="24"/>
  <c r="W242" i="24"/>
  <c r="W178" i="24"/>
  <c r="W99" i="24"/>
  <c r="W59" i="24"/>
  <c r="W35" i="24"/>
  <c r="X760" i="24"/>
  <c r="X291" i="24"/>
  <c r="X164" i="24"/>
  <c r="X113" i="24"/>
  <c r="W1073" i="24"/>
  <c r="W997" i="24"/>
  <c r="W967" i="24"/>
  <c r="W910" i="24"/>
  <c r="W844" i="24"/>
  <c r="W817" i="24"/>
  <c r="W792" i="24"/>
  <c r="W773" i="24"/>
  <c r="W751" i="24"/>
  <c r="W728" i="24"/>
  <c r="W709" i="24"/>
  <c r="W687" i="24"/>
  <c r="W664" i="24"/>
  <c r="W645" i="24"/>
  <c r="W623" i="24"/>
  <c r="W600" i="24"/>
  <c r="W583" i="24"/>
  <c r="W549" i="24"/>
  <c r="W527" i="24"/>
  <c r="W507" i="24"/>
  <c r="W495" i="24"/>
  <c r="W482" i="24"/>
  <c r="W461" i="24"/>
  <c r="W448" i="24"/>
  <c r="W435" i="24"/>
  <c r="W423" i="24"/>
  <c r="W410" i="24"/>
  <c r="W399" i="24"/>
  <c r="W387" i="24"/>
  <c r="W377" i="24"/>
  <c r="W367" i="24"/>
  <c r="W355" i="24"/>
  <c r="W345" i="24"/>
  <c r="W335" i="24"/>
  <c r="W323" i="24"/>
  <c r="W313" i="24"/>
  <c r="W303" i="24"/>
  <c r="W291" i="24"/>
  <c r="W281" i="24"/>
  <c r="W271" i="24"/>
  <c r="W259" i="24"/>
  <c r="W249" i="24"/>
  <c r="W239" i="24"/>
  <c r="W227" i="24"/>
  <c r="W217" i="24"/>
  <c r="W207" i="24"/>
  <c r="W195" i="24"/>
  <c r="W185" i="24"/>
  <c r="W175" i="24"/>
  <c r="W163" i="24"/>
  <c r="W153" i="24"/>
  <c r="W143" i="24"/>
  <c r="W121" i="24"/>
  <c r="W112" i="24"/>
  <c r="W88" i="24"/>
  <c r="W80" i="24"/>
  <c r="W72" i="24"/>
  <c r="W64" i="24"/>
  <c r="W48" i="24"/>
  <c r="W40" i="24"/>
  <c r="W32" i="24"/>
  <c r="W24" i="24"/>
  <c r="W16" i="24"/>
  <c r="W8" i="24"/>
  <c r="W205" i="24"/>
  <c r="W173" i="24"/>
  <c r="W152" i="24"/>
  <c r="W141" i="24"/>
  <c r="W120" i="24"/>
  <c r="W111" i="24"/>
  <c r="W79" i="24"/>
  <c r="W63" i="24"/>
  <c r="W39" i="24"/>
  <c r="W7" i="24"/>
  <c r="W458" i="24"/>
  <c r="W419" i="24"/>
  <c r="W363" i="24"/>
  <c r="W343" i="24"/>
  <c r="W321" i="24"/>
  <c r="W279" i="24"/>
  <c r="W247" i="24"/>
  <c r="W193" i="24"/>
  <c r="W139" i="24"/>
  <c r="W102" i="24"/>
  <c r="W14" i="24"/>
  <c r="W341" i="24"/>
  <c r="W234" i="24"/>
  <c r="W160" i="24"/>
  <c r="W77" i="24"/>
  <c r="W306" i="24"/>
  <c r="W210" i="24"/>
  <c r="W168" i="24"/>
  <c r="W125" i="24"/>
  <c r="W67" i="24"/>
  <c r="X643" i="24"/>
  <c r="X267" i="24"/>
  <c r="W1060" i="24"/>
  <c r="W987" i="24"/>
  <c r="W909" i="24"/>
  <c r="W885" i="24"/>
  <c r="W859" i="24"/>
  <c r="W837" i="24"/>
  <c r="W814" i="24"/>
  <c r="W791" i="24"/>
  <c r="W768" i="24"/>
  <c r="W749" i="24"/>
  <c r="W727" i="24"/>
  <c r="W704" i="24"/>
  <c r="W685" i="24"/>
  <c r="W663" i="24"/>
  <c r="W640" i="24"/>
  <c r="W621" i="24"/>
  <c r="W544" i="24"/>
  <c r="W525" i="24"/>
  <c r="W506" i="24"/>
  <c r="W493" i="24"/>
  <c r="W471" i="24"/>
  <c r="W459" i="24"/>
  <c r="W447" i="24"/>
  <c r="W434" i="24"/>
  <c r="W421" i="24"/>
  <c r="W408" i="24"/>
  <c r="W397" i="24"/>
  <c r="W386" i="24"/>
  <c r="W376" i="24"/>
  <c r="W365" i="24"/>
  <c r="W354" i="24"/>
  <c r="W344" i="24"/>
  <c r="W333" i="24"/>
  <c r="W322" i="24"/>
  <c r="W312" i="24"/>
  <c r="W301" i="24"/>
  <c r="W290" i="24"/>
  <c r="W280" i="24"/>
  <c r="W269" i="24"/>
  <c r="W258" i="24"/>
  <c r="W248" i="24"/>
  <c r="W237" i="24"/>
  <c r="W226" i="24"/>
  <c r="W216" i="24"/>
  <c r="W194" i="24"/>
  <c r="W184" i="24"/>
  <c r="W162" i="24"/>
  <c r="W87" i="24"/>
  <c r="W71" i="24"/>
  <c r="W55" i="24"/>
  <c r="W23" i="24"/>
  <c r="W445" i="24"/>
  <c r="W375" i="24"/>
  <c r="W289" i="24"/>
  <c r="W257" i="24"/>
  <c r="W203" i="24"/>
  <c r="W161" i="24"/>
  <c r="W54" i="24"/>
  <c r="W22" i="24"/>
  <c r="W362" i="24"/>
  <c r="W298" i="24"/>
  <c r="W266" i="24"/>
  <c r="W213" i="24"/>
  <c r="W181" i="24"/>
  <c r="W149" i="24"/>
  <c r="W93" i="24"/>
  <c r="W53" i="24"/>
  <c r="W37" i="24"/>
  <c r="W13" i="24"/>
  <c r="W317" i="24"/>
  <c r="W232" i="24"/>
  <c r="W189" i="24"/>
  <c r="W136" i="24"/>
  <c r="W75" i="24"/>
  <c r="W43" i="24"/>
  <c r="X244" i="24"/>
  <c r="X84" i="24"/>
  <c r="X52" i="24"/>
  <c r="W1047" i="24"/>
  <c r="W932" i="24"/>
  <c r="W907" i="24"/>
  <c r="W878" i="24"/>
  <c r="W857" i="24"/>
  <c r="W836" i="24"/>
  <c r="W809" i="24"/>
  <c r="W789" i="24"/>
  <c r="W767" i="24"/>
  <c r="W744" i="24"/>
  <c r="W725" i="24"/>
  <c r="W703" i="24"/>
  <c r="W680" i="24"/>
  <c r="W661" i="24"/>
  <c r="W639" i="24"/>
  <c r="W616" i="24"/>
  <c r="W565" i="24"/>
  <c r="W543" i="24"/>
  <c r="W520" i="24"/>
  <c r="W504" i="24"/>
  <c r="W432" i="24"/>
  <c r="W407" i="24"/>
  <c r="W331" i="24"/>
  <c r="W225" i="24"/>
  <c r="W151" i="24"/>
  <c r="W94" i="24"/>
  <c r="W30" i="24"/>
  <c r="W320" i="24"/>
  <c r="W224" i="24"/>
  <c r="W128" i="24"/>
  <c r="W264" i="24"/>
  <c r="W107" i="24"/>
  <c r="W19" i="24"/>
  <c r="X460" i="24"/>
  <c r="X225" i="24"/>
  <c r="X33" i="24"/>
  <c r="W1035" i="24"/>
  <c r="W931" i="24"/>
  <c r="W900" i="24"/>
  <c r="W877" i="24"/>
  <c r="W854" i="24"/>
  <c r="W833" i="24"/>
  <c r="W807" i="24"/>
  <c r="W784" i="24"/>
  <c r="W765" i="24"/>
  <c r="W743" i="24"/>
  <c r="W720" i="24"/>
  <c r="W701" i="24"/>
  <c r="W679" i="24"/>
  <c r="W656" i="24"/>
  <c r="W637" i="24"/>
  <c r="W615" i="24"/>
  <c r="W597" i="24"/>
  <c r="W576" i="24"/>
  <c r="W560" i="24"/>
  <c r="W541" i="24"/>
  <c r="W519" i="24"/>
  <c r="W503" i="24"/>
  <c r="W490" i="24"/>
  <c r="W479" i="24"/>
  <c r="W467" i="24"/>
  <c r="W456" i="24"/>
  <c r="W443" i="24"/>
  <c r="W431" i="24"/>
  <c r="W418" i="24"/>
  <c r="W405" i="24"/>
  <c r="W394" i="24"/>
  <c r="W384" i="24"/>
  <c r="W373" i="24"/>
  <c r="W309" i="24"/>
  <c r="W277" i="24"/>
  <c r="W202" i="24"/>
  <c r="X6" i="24"/>
  <c r="W274" i="24"/>
  <c r="W115" i="24"/>
  <c r="Y142" i="24"/>
  <c r="X550" i="24"/>
  <c r="X420" i="24"/>
  <c r="X203" i="24"/>
  <c r="W927" i="24"/>
  <c r="W899" i="24"/>
  <c r="W875" i="24"/>
  <c r="W805" i="24"/>
  <c r="W783" i="24"/>
  <c r="W760" i="24"/>
  <c r="W741" i="24"/>
  <c r="W719" i="24"/>
  <c r="W696" i="24"/>
  <c r="W677" i="24"/>
  <c r="W655" i="24"/>
  <c r="W632" i="24"/>
  <c r="W613" i="24"/>
  <c r="W575" i="24"/>
  <c r="W559" i="24"/>
  <c r="W536" i="24"/>
  <c r="W517" i="24"/>
  <c r="W501" i="24"/>
  <c r="W488" i="24"/>
  <c r="W477" i="24"/>
  <c r="W455" i="24"/>
  <c r="W442" i="24"/>
  <c r="W429" i="24"/>
  <c r="W416" i="24"/>
  <c r="W403" i="24"/>
  <c r="W393" i="24"/>
  <c r="W383" i="24"/>
  <c r="W371" i="24"/>
  <c r="W361" i="24"/>
  <c r="W351" i="24"/>
  <c r="W339" i="24"/>
  <c r="W329" i="24"/>
  <c r="W319" i="24"/>
  <c r="W307" i="24"/>
  <c r="W297" i="24"/>
  <c r="W287" i="24"/>
  <c r="W275" i="24"/>
  <c r="W265" i="24"/>
  <c r="W255" i="24"/>
  <c r="W243" i="24"/>
  <c r="W233" i="24"/>
  <c r="W223" i="24"/>
  <c r="W211" i="24"/>
  <c r="W201" i="24"/>
  <c r="W179" i="24"/>
  <c r="W169" i="24"/>
  <c r="W159" i="24"/>
  <c r="W137" i="24"/>
  <c r="W127" i="24"/>
  <c r="W108" i="24"/>
  <c r="W100" i="24"/>
  <c r="W84" i="24"/>
  <c r="W76" i="24"/>
  <c r="W68" i="24"/>
  <c r="W60" i="24"/>
  <c r="W52" i="24"/>
  <c r="W44" i="24"/>
  <c r="W36" i="24"/>
  <c r="W28" i="24"/>
  <c r="W12" i="24"/>
  <c r="W6" i="24"/>
  <c r="X387" i="24"/>
  <c r="X129" i="24"/>
  <c r="X100" i="24"/>
  <c r="X68" i="24"/>
  <c r="W977" i="24"/>
  <c r="W921" i="24"/>
  <c r="W895" i="24"/>
  <c r="W868" i="24"/>
  <c r="W800" i="24"/>
  <c r="W781" i="24"/>
  <c r="W759" i="24"/>
  <c r="W736" i="24"/>
  <c r="W717" i="24"/>
  <c r="W695" i="24"/>
  <c r="W672" i="24"/>
  <c r="W653" i="24"/>
  <c r="W631" i="24"/>
  <c r="W608" i="24"/>
  <c r="W557" i="24"/>
  <c r="W535" i="24"/>
  <c r="W512" i="24"/>
  <c r="W499" i="24"/>
  <c r="W487" i="24"/>
  <c r="W475" i="24"/>
  <c r="W453" i="24"/>
  <c r="W440" i="24"/>
  <c r="W427" i="24"/>
  <c r="W415" i="24"/>
  <c r="W402" i="24"/>
  <c r="W392" i="24"/>
  <c r="W381" i="24"/>
  <c r="W370" i="24"/>
  <c r="W360" i="24"/>
  <c r="W328" i="24"/>
  <c r="W296" i="24"/>
  <c r="W253" i="24"/>
  <c r="W200" i="24"/>
  <c r="W83" i="24"/>
  <c r="W51" i="24"/>
  <c r="W11" i="24"/>
  <c r="P1119" i="24"/>
  <c r="P1111" i="24"/>
  <c r="P1103" i="24"/>
  <c r="P1092" i="24"/>
  <c r="P1084" i="24"/>
  <c r="P1076" i="24"/>
  <c r="P1060" i="24"/>
  <c r="P1052" i="24"/>
  <c r="O1047" i="24"/>
  <c r="P1044" i="24"/>
  <c r="O1039" i="24"/>
  <c r="P1036" i="24"/>
  <c r="O1031" i="24"/>
  <c r="P1028" i="24"/>
  <c r="P1020" i="24"/>
  <c r="O1015" i="24"/>
  <c r="P1012" i="24"/>
  <c r="O1007" i="24"/>
  <c r="P1004" i="24"/>
  <c r="O999" i="24"/>
  <c r="O991" i="24"/>
  <c r="P988" i="24"/>
  <c r="O983" i="24"/>
  <c r="P980" i="24"/>
  <c r="O975" i="24"/>
  <c r="P972" i="24"/>
  <c r="P964" i="24"/>
  <c r="O959" i="24"/>
  <c r="P956" i="24"/>
  <c r="O951" i="24"/>
  <c r="P948" i="24"/>
  <c r="O943" i="24"/>
  <c r="P940" i="24"/>
  <c r="O935" i="24"/>
  <c r="P932" i="24"/>
  <c r="O927" i="24"/>
  <c r="P924" i="24"/>
  <c r="O919" i="24"/>
  <c r="P916" i="24"/>
  <c r="O911" i="24"/>
  <c r="P908" i="24"/>
  <c r="O903" i="24"/>
  <c r="P900" i="24"/>
  <c r="O895" i="24"/>
  <c r="P892" i="24"/>
  <c r="P876" i="24"/>
  <c r="P860" i="24"/>
  <c r="O855" i="24"/>
  <c r="P852" i="24"/>
  <c r="O847" i="24"/>
  <c r="P844" i="24"/>
  <c r="O839" i="24"/>
  <c r="P836" i="24"/>
  <c r="O831" i="24"/>
  <c r="P828" i="24"/>
  <c r="O823" i="24"/>
  <c r="P820" i="24"/>
  <c r="O815" i="24"/>
  <c r="P812" i="24"/>
  <c r="O807" i="24"/>
  <c r="P804" i="24"/>
  <c r="P796" i="24"/>
  <c r="O791" i="24"/>
  <c r="P788" i="24"/>
  <c r="O783" i="24"/>
  <c r="P780" i="24"/>
  <c r="O775" i="24"/>
  <c r="P772" i="24"/>
  <c r="P764" i="24"/>
  <c r="O759" i="24"/>
  <c r="P756" i="24"/>
  <c r="O751" i="24"/>
  <c r="P748" i="24"/>
  <c r="O743" i="24"/>
  <c r="P740" i="24"/>
  <c r="O735" i="24"/>
  <c r="P732" i="24"/>
  <c r="O727" i="24"/>
  <c r="P724" i="24"/>
  <c r="O719" i="24"/>
  <c r="P716" i="24"/>
  <c r="O711" i="24"/>
  <c r="P708" i="24"/>
  <c r="P700" i="24"/>
  <c r="O695" i="24"/>
  <c r="P692" i="24"/>
  <c r="O687" i="24"/>
  <c r="P684" i="24"/>
  <c r="O679" i="24"/>
  <c r="P676" i="24"/>
  <c r="P668" i="24"/>
  <c r="O663" i="24"/>
  <c r="P660" i="24"/>
  <c r="O655" i="24"/>
  <c r="P652" i="24"/>
  <c r="P644" i="24"/>
  <c r="Q641" i="24"/>
  <c r="O639" i="24"/>
  <c r="P636" i="24"/>
  <c r="Q633" i="24"/>
  <c r="O631" i="24"/>
  <c r="P628" i="24"/>
  <c r="Q625" i="24"/>
  <c r="O623" i="24"/>
  <c r="P620" i="24"/>
  <c r="Q617" i="24"/>
  <c r="O615" i="24"/>
  <c r="P612" i="24"/>
  <c r="Q609" i="24"/>
  <c r="O607" i="24"/>
  <c r="P604" i="24"/>
  <c r="Q601" i="24"/>
  <c r="O599" i="24"/>
  <c r="P596" i="24"/>
  <c r="Q593" i="24"/>
  <c r="O591" i="24"/>
  <c r="P588" i="24"/>
  <c r="Q585" i="24"/>
  <c r="O583" i="24"/>
  <c r="P580" i="24"/>
  <c r="Q577" i="24"/>
  <c r="O575" i="24"/>
  <c r="P572" i="24"/>
  <c r="Q569" i="24"/>
  <c r="O567" i="24"/>
  <c r="P564" i="24"/>
  <c r="Q561" i="24"/>
  <c r="O559" i="24"/>
  <c r="P556" i="24"/>
  <c r="Q553" i="24"/>
  <c r="O551" i="24"/>
  <c r="P548" i="24"/>
  <c r="Q545" i="24"/>
  <c r="T5" i="3" s="1"/>
  <c r="T19" i="3" s="1"/>
  <c r="O543" i="24"/>
  <c r="P540" i="24"/>
  <c r="P1116" i="24"/>
  <c r="P1108" i="24"/>
  <c r="P1100" i="24"/>
  <c r="P1089" i="24"/>
  <c r="P1081" i="24"/>
  <c r="P1073" i="24"/>
  <c r="P1065" i="24"/>
  <c r="P1057" i="24"/>
  <c r="P1049" i="24"/>
  <c r="O1044" i="24"/>
  <c r="P1041" i="24"/>
  <c r="O1036" i="24"/>
  <c r="P1033" i="24"/>
  <c r="O1028" i="24"/>
  <c r="P1025" i="24"/>
  <c r="O1020" i="24"/>
  <c r="P1017" i="24"/>
  <c r="O1012" i="24"/>
  <c r="P1009" i="24"/>
  <c r="O1004" i="24"/>
  <c r="P1001" i="24"/>
  <c r="P993" i="24"/>
  <c r="O988" i="24"/>
  <c r="P985" i="24"/>
  <c r="O980" i="24"/>
  <c r="O972" i="24"/>
  <c r="O964" i="24"/>
  <c r="P961" i="24"/>
  <c r="O956" i="24"/>
  <c r="P953" i="24"/>
  <c r="O948" i="24"/>
  <c r="P945" i="24"/>
  <c r="O940" i="24"/>
  <c r="P937" i="24"/>
  <c r="O932" i="24"/>
  <c r="P929" i="24"/>
  <c r="O924" i="24"/>
  <c r="P921" i="24"/>
  <c r="O916" i="24"/>
  <c r="P913" i="24"/>
  <c r="O908" i="24"/>
  <c r="P905" i="24"/>
  <c r="O900" i="24"/>
  <c r="P889" i="24"/>
  <c r="P881" i="24"/>
  <c r="P873" i="24"/>
  <c r="P865" i="24"/>
  <c r="P857" i="24"/>
  <c r="O852" i="24"/>
  <c r="P849" i="24"/>
  <c r="O844" i="24"/>
  <c r="O836" i="24"/>
  <c r="P833" i="24"/>
  <c r="O828" i="24"/>
  <c r="P825" i="24"/>
  <c r="O820" i="24"/>
  <c r="P817" i="24"/>
  <c r="O812" i="24"/>
  <c r="P809" i="24"/>
  <c r="O804" i="24"/>
  <c r="P801" i="24"/>
  <c r="O796" i="24"/>
  <c r="P793" i="24"/>
  <c r="O788" i="24"/>
  <c r="P785" i="24"/>
  <c r="O780" i="24"/>
  <c r="P777" i="24"/>
  <c r="O772" i="24"/>
  <c r="P769" i="24"/>
  <c r="O764" i="24"/>
  <c r="P761" i="24"/>
  <c r="O756" i="24"/>
  <c r="P753" i="24"/>
  <c r="O748" i="24"/>
  <c r="P745" i="24"/>
  <c r="O740" i="24"/>
  <c r="P737" i="24"/>
  <c r="O732" i="24"/>
  <c r="P729" i="24"/>
  <c r="O724" i="24"/>
  <c r="P721" i="24"/>
  <c r="O716" i="24"/>
  <c r="P713" i="24"/>
  <c r="O708" i="24"/>
  <c r="P705" i="24"/>
  <c r="O700" i="24"/>
  <c r="P697" i="24"/>
  <c r="O692" i="24"/>
  <c r="P689" i="24"/>
  <c r="O684" i="24"/>
  <c r="P681" i="24"/>
  <c r="O676" i="24"/>
  <c r="P673" i="24"/>
  <c r="O668" i="24"/>
  <c r="P665" i="24"/>
  <c r="O660" i="24"/>
  <c r="P657" i="24"/>
  <c r="O652" i="24"/>
  <c r="Q646" i="24"/>
  <c r="O644" i="24"/>
  <c r="P641" i="24"/>
  <c r="Q638" i="24"/>
  <c r="O636" i="24"/>
  <c r="P633" i="24"/>
  <c r="Q630" i="24"/>
  <c r="O628" i="24"/>
  <c r="P625" i="24"/>
  <c r="Q622" i="24"/>
  <c r="O620" i="24"/>
  <c r="P617" i="24"/>
  <c r="Q614" i="24"/>
  <c r="O612" i="24"/>
  <c r="P609" i="24"/>
  <c r="Q606" i="24"/>
  <c r="O604" i="24"/>
  <c r="P601" i="24"/>
  <c r="O596" i="24"/>
  <c r="P593" i="24"/>
  <c r="Q590" i="24"/>
  <c r="O588" i="24"/>
  <c r="P585" i="24"/>
  <c r="Q582" i="24"/>
  <c r="O580" i="24"/>
  <c r="P577" i="24"/>
  <c r="Q574" i="24"/>
  <c r="O572" i="24"/>
  <c r="P569" i="24"/>
  <c r="O564" i="24"/>
  <c r="P561" i="24"/>
  <c r="Q558" i="24"/>
  <c r="O556" i="24"/>
  <c r="P553" i="24"/>
  <c r="Q550" i="24"/>
  <c r="O548" i="24"/>
  <c r="P545" i="24"/>
  <c r="L5" i="3" s="1"/>
  <c r="Q542" i="24"/>
  <c r="P1121" i="24"/>
  <c r="P1113" i="24"/>
  <c r="P1105" i="24"/>
  <c r="P1097" i="24"/>
  <c r="P1086" i="24"/>
  <c r="P1078" i="24"/>
  <c r="P1070" i="24"/>
  <c r="P1062" i="24"/>
  <c r="P1054" i="24"/>
  <c r="O1049" i="24"/>
  <c r="P1046" i="24"/>
  <c r="O1041" i="24"/>
  <c r="P1038" i="24"/>
  <c r="O1033" i="24"/>
  <c r="P1030" i="24"/>
  <c r="O1025" i="24"/>
  <c r="P1022" i="24"/>
  <c r="O1017" i="24"/>
  <c r="P1014" i="24"/>
  <c r="O1009" i="24"/>
  <c r="P1006" i="24"/>
  <c r="O1001" i="24"/>
  <c r="P998" i="24"/>
  <c r="O993" i="24"/>
  <c r="P990" i="24"/>
  <c r="O985" i="24"/>
  <c r="P982" i="24"/>
  <c r="P974" i="24"/>
  <c r="P966" i="24"/>
  <c r="O961" i="24"/>
  <c r="P958" i="24"/>
  <c r="O953" i="24"/>
  <c r="P950" i="24"/>
  <c r="O945" i="24"/>
  <c r="P942" i="24"/>
  <c r="O937" i="24"/>
  <c r="P934" i="24"/>
  <c r="O929" i="24"/>
  <c r="P926" i="24"/>
  <c r="O921" i="24"/>
  <c r="P918" i="24"/>
  <c r="O913" i="24"/>
  <c r="P910" i="24"/>
  <c r="O905" i="24"/>
  <c r="P902" i="24"/>
  <c r="P886" i="24"/>
  <c r="P878" i="24"/>
  <c r="P870" i="24"/>
  <c r="P862" i="24"/>
  <c r="O857" i="24"/>
  <c r="P854" i="24"/>
  <c r="O849" i="24"/>
  <c r="P846" i="24"/>
  <c r="P838" i="24"/>
  <c r="O833" i="24"/>
  <c r="O825" i="24"/>
  <c r="P822" i="24"/>
  <c r="O817" i="24"/>
  <c r="P814" i="24"/>
  <c r="O809" i="24"/>
  <c r="P806" i="24"/>
  <c r="O801" i="24"/>
  <c r="P798" i="24"/>
  <c r="O793" i="24"/>
  <c r="P790" i="24"/>
  <c r="O785" i="24"/>
  <c r="P782" i="24"/>
  <c r="O777" i="24"/>
  <c r="P774" i="24"/>
  <c r="O769" i="24"/>
  <c r="P766" i="24"/>
  <c r="O761" i="24"/>
  <c r="P758" i="24"/>
  <c r="O753" i="24"/>
  <c r="P750" i="24"/>
  <c r="O745" i="24"/>
  <c r="P742" i="24"/>
  <c r="O737" i="24"/>
  <c r="P734" i="24"/>
  <c r="O729" i="24"/>
  <c r="P726" i="24"/>
  <c r="O721" i="24"/>
  <c r="P718" i="24"/>
  <c r="P1118" i="24"/>
  <c r="P1110" i="24"/>
  <c r="P1102" i="24"/>
  <c r="P1091" i="24"/>
  <c r="P1083" i="24"/>
  <c r="P1075" i="24"/>
  <c r="P1067" i="24"/>
  <c r="P1059" i="24"/>
  <c r="P1051" i="24"/>
  <c r="O1046" i="24"/>
  <c r="P1043" i="24"/>
  <c r="O1038" i="24"/>
  <c r="P1035" i="24"/>
  <c r="O1030" i="24"/>
  <c r="P1027" i="24"/>
  <c r="O1022" i="24"/>
  <c r="P1019" i="24"/>
  <c r="O1014" i="24"/>
  <c r="P1011" i="24"/>
  <c r="O1006" i="24"/>
  <c r="P1003" i="24"/>
  <c r="O998" i="24"/>
  <c r="P995" i="24"/>
  <c r="O990" i="24"/>
  <c r="P987" i="24"/>
  <c r="O982" i="24"/>
  <c r="P979" i="24"/>
  <c r="O974" i="24"/>
  <c r="P971" i="24"/>
  <c r="O966" i="24"/>
  <c r="P963" i="24"/>
  <c r="O958" i="24"/>
  <c r="P955" i="24"/>
  <c r="O950" i="24"/>
  <c r="P947" i="24"/>
  <c r="O942" i="24"/>
  <c r="P939" i="24"/>
  <c r="O934" i="24"/>
  <c r="P931" i="24"/>
  <c r="O926" i="24"/>
  <c r="P923" i="24"/>
  <c r="O918" i="24"/>
  <c r="P915" i="24"/>
  <c r="O910" i="24"/>
  <c r="P907" i="24"/>
  <c r="O902" i="24"/>
  <c r="P899" i="24"/>
  <c r="P891" i="24"/>
  <c r="P883" i="24"/>
  <c r="P875" i="24"/>
  <c r="P867" i="24"/>
  <c r="O854" i="24"/>
  <c r="P851" i="24"/>
  <c r="O846" i="24"/>
  <c r="P843" i="24"/>
  <c r="O838" i="24"/>
  <c r="P835" i="24"/>
  <c r="P827" i="24"/>
  <c r="O822" i="24"/>
  <c r="P819" i="24"/>
  <c r="O814" i="24"/>
  <c r="P811" i="24"/>
  <c r="O806" i="24"/>
  <c r="P803" i="24"/>
  <c r="O798" i="24"/>
  <c r="P795" i="24"/>
  <c r="O790" i="24"/>
  <c r="P787" i="24"/>
  <c r="O782" i="24"/>
  <c r="P779" i="24"/>
  <c r="O774" i="24"/>
  <c r="P771" i="24"/>
  <c r="O766" i="24"/>
  <c r="P763" i="24"/>
  <c r="O758" i="24"/>
  <c r="P755" i="24"/>
  <c r="O750" i="24"/>
  <c r="P747" i="24"/>
  <c r="O742" i="24"/>
  <c r="O734" i="24"/>
  <c r="P731" i="24"/>
  <c r="O726" i="24"/>
  <c r="P723" i="24"/>
  <c r="O718" i="24"/>
  <c r="P715" i="24"/>
  <c r="O710" i="24"/>
  <c r="P707" i="24"/>
  <c r="O702" i="24"/>
  <c r="P699" i="24"/>
  <c r="O694" i="24"/>
  <c r="P691" i="24"/>
  <c r="O686" i="24"/>
  <c r="P683" i="24"/>
  <c r="O678" i="24"/>
  <c r="P675" i="24"/>
  <c r="O670" i="24"/>
  <c r="P667" i="24"/>
  <c r="O662" i="24"/>
  <c r="P659" i="24"/>
  <c r="O654" i="24"/>
  <c r="P651" i="24"/>
  <c r="O646" i="24"/>
  <c r="P643" i="24"/>
  <c r="Q640" i="24"/>
  <c r="O638" i="24"/>
  <c r="P635" i="24"/>
  <c r="Q632" i="24"/>
  <c r="O630" i="24"/>
  <c r="P627" i="24"/>
  <c r="Q624" i="24"/>
  <c r="O622" i="24"/>
  <c r="P619" i="24"/>
  <c r="Q616" i="24"/>
  <c r="O614" i="24"/>
  <c r="P611" i="24"/>
  <c r="Q608" i="24"/>
  <c r="O606" i="24"/>
  <c r="P603" i="24"/>
  <c r="Q600" i="24"/>
  <c r="P595" i="24"/>
  <c r="Q592" i="24"/>
  <c r="O590" i="24"/>
  <c r="P587" i="24"/>
  <c r="Q584" i="24"/>
  <c r="O582" i="24"/>
  <c r="P579" i="24"/>
  <c r="Q576" i="24"/>
  <c r="O574" i="24"/>
  <c r="P571" i="24"/>
  <c r="Q568" i="24"/>
  <c r="P563" i="24"/>
  <c r="Q560" i="24"/>
  <c r="O558" i="24"/>
  <c r="P555" i="24"/>
  <c r="Q552" i="24"/>
  <c r="O550" i="24"/>
  <c r="P547" i="24"/>
  <c r="Q544" i="24"/>
  <c r="O542" i="24"/>
  <c r="P539" i="24"/>
  <c r="Q536" i="24"/>
  <c r="O534" i="24"/>
  <c r="P531" i="24"/>
  <c r="Q528" i="24"/>
  <c r="O526" i="24"/>
  <c r="P523" i="24"/>
  <c r="P1123" i="24"/>
  <c r="P1115" i="24"/>
  <c r="P1107" i="24"/>
  <c r="P1099" i="24"/>
  <c r="P1088" i="24"/>
  <c r="P1080" i="24"/>
  <c r="P1072" i="24"/>
  <c r="P1064" i="24"/>
  <c r="P1056" i="24"/>
  <c r="P1048" i="24"/>
  <c r="O1043" i="24"/>
  <c r="P1040" i="24"/>
  <c r="O1035" i="24"/>
  <c r="P1032" i="24"/>
  <c r="O1027" i="24"/>
  <c r="P1024" i="24"/>
  <c r="O1019" i="24"/>
  <c r="O1011" i="24"/>
  <c r="P1008" i="24"/>
  <c r="O1003" i="24"/>
  <c r="P1000" i="24"/>
  <c r="O995" i="24"/>
  <c r="P992" i="24"/>
  <c r="O987" i="24"/>
  <c r="O979" i="24"/>
  <c r="P976" i="24"/>
  <c r="O971" i="24"/>
  <c r="O963" i="24"/>
  <c r="P960" i="24"/>
  <c r="O955" i="24"/>
  <c r="O947" i="24"/>
  <c r="P944" i="24"/>
  <c r="O939" i="24"/>
  <c r="P936" i="24"/>
  <c r="O931" i="24"/>
  <c r="P928" i="24"/>
  <c r="O923" i="24"/>
  <c r="P920" i="24"/>
  <c r="O915" i="24"/>
  <c r="O907" i="24"/>
  <c r="P904" i="24"/>
  <c r="O899" i="24"/>
  <c r="P896" i="24"/>
  <c r="P888" i="24"/>
  <c r="P880" i="24"/>
  <c r="P872" i="24"/>
  <c r="P864" i="24"/>
  <c r="P856" i="24"/>
  <c r="O851" i="24"/>
  <c r="P848" i="24"/>
  <c r="O843" i="24"/>
  <c r="P840" i="24"/>
  <c r="O835" i="24"/>
  <c r="P832" i="24"/>
  <c r="O827" i="24"/>
  <c r="P824" i="24"/>
  <c r="O819" i="24"/>
  <c r="P816" i="24"/>
  <c r="O811" i="24"/>
  <c r="P808" i="24"/>
  <c r="O803" i="24"/>
  <c r="P800" i="24"/>
  <c r="O795" i="24"/>
  <c r="P792" i="24"/>
  <c r="O787" i="24"/>
  <c r="P784" i="24"/>
  <c r="O779" i="24"/>
  <c r="P776" i="24"/>
  <c r="O771" i="24"/>
  <c r="P768" i="24"/>
  <c r="O763" i="24"/>
  <c r="P760" i="24"/>
  <c r="O755" i="24"/>
  <c r="P752" i="24"/>
  <c r="O747" i="24"/>
  <c r="P744" i="24"/>
  <c r="P736" i="24"/>
  <c r="O731" i="24"/>
  <c r="P728" i="24"/>
  <c r="O723" i="24"/>
  <c r="P720" i="24"/>
  <c r="O715" i="24"/>
  <c r="P712" i="24"/>
  <c r="O707" i="24"/>
  <c r="P704" i="24"/>
  <c r="P1120" i="24"/>
  <c r="P1112" i="24"/>
  <c r="P1104" i="24"/>
  <c r="P1096" i="24"/>
  <c r="P1093" i="24"/>
  <c r="P1085" i="24"/>
  <c r="P1077" i="24"/>
  <c r="P1069" i="24"/>
  <c r="P1061" i="24"/>
  <c r="P1053" i="24"/>
  <c r="O1048" i="24"/>
  <c r="P1045" i="24"/>
  <c r="O1040" i="24"/>
  <c r="P1037" i="24"/>
  <c r="O1032" i="24"/>
  <c r="P1029" i="24"/>
  <c r="O1024" i="24"/>
  <c r="P1021" i="24"/>
  <c r="P1013" i="24"/>
  <c r="O1008" i="24"/>
  <c r="P1005" i="24"/>
  <c r="O1000" i="24"/>
  <c r="P997" i="24"/>
  <c r="O992" i="24"/>
  <c r="P989" i="24"/>
  <c r="P981" i="24"/>
  <c r="O976" i="24"/>
  <c r="P973" i="24"/>
  <c r="P965" i="24"/>
  <c r="O960" i="24"/>
  <c r="P957" i="24"/>
  <c r="P949" i="24"/>
  <c r="O944" i="24"/>
  <c r="P941" i="24"/>
  <c r="O936" i="24"/>
  <c r="P933" i="24"/>
  <c r="O928" i="24"/>
  <c r="P925" i="24"/>
  <c r="O920" i="24"/>
  <c r="P909" i="24"/>
  <c r="O904" i="24"/>
  <c r="O896" i="24"/>
  <c r="P885" i="24"/>
  <c r="P861" i="24"/>
  <c r="O856" i="24"/>
  <c r="P853" i="24"/>
  <c r="O848" i="24"/>
  <c r="P845" i="24"/>
  <c r="O840" i="24"/>
  <c r="P837" i="24"/>
  <c r="O832" i="24"/>
  <c r="P829" i="24"/>
  <c r="O824" i="24"/>
  <c r="P821" i="24"/>
  <c r="O816" i="24"/>
  <c r="P813" i="24"/>
  <c r="O808" i="24"/>
  <c r="P805" i="24"/>
  <c r="O800" i="24"/>
  <c r="P797" i="24"/>
  <c r="O792" i="24"/>
  <c r="P789" i="24"/>
  <c r="O784" i="24"/>
  <c r="P781" i="24"/>
  <c r="O776" i="24"/>
  <c r="P773" i="24"/>
  <c r="O768" i="24"/>
  <c r="P765" i="24"/>
  <c r="O760" i="24"/>
  <c r="P757" i="24"/>
  <c r="O752" i="24"/>
  <c r="P749" i="24"/>
  <c r="O744" i="24"/>
  <c r="P741" i="24"/>
  <c r="O736" i="24"/>
  <c r="P733" i="24"/>
  <c r="O728" i="24"/>
  <c r="P725" i="24"/>
  <c r="O720" i="24"/>
  <c r="P717" i="24"/>
  <c r="O712" i="24"/>
  <c r="P709" i="24"/>
  <c r="P1117" i="24"/>
  <c r="P1109" i="24"/>
  <c r="P1101" i="24"/>
  <c r="P1090" i="24"/>
  <c r="P1082" i="24"/>
  <c r="P1074" i="24"/>
  <c r="P1066" i="24"/>
  <c r="P1058" i="24"/>
  <c r="O1045" i="24"/>
  <c r="P1042" i="24"/>
  <c r="O1037" i="24"/>
  <c r="P1034" i="24"/>
  <c r="O1029" i="24"/>
  <c r="P1026" i="24"/>
  <c r="O1021" i="24"/>
  <c r="P1018" i="24"/>
  <c r="O1013" i="24"/>
  <c r="P1010" i="24"/>
  <c r="O1005" i="24"/>
  <c r="P1002" i="24"/>
  <c r="O997" i="24"/>
  <c r="P994" i="24"/>
  <c r="O989" i="24"/>
  <c r="P986" i="24"/>
  <c r="O981" i="24"/>
  <c r="P978" i="24"/>
  <c r="O973" i="24"/>
  <c r="O965" i="24"/>
  <c r="O957" i="24"/>
  <c r="P954" i="24"/>
  <c r="O949" i="24"/>
  <c r="P946" i="24"/>
  <c r="O941" i="24"/>
  <c r="P938" i="24"/>
  <c r="O933" i="24"/>
  <c r="P930" i="24"/>
  <c r="O925" i="24"/>
  <c r="P922" i="24"/>
  <c r="P914" i="24"/>
  <c r="O909" i="24"/>
  <c r="P906" i="24"/>
  <c r="P898" i="24"/>
  <c r="P890" i="24"/>
  <c r="P882" i="24"/>
  <c r="P866" i="24"/>
  <c r="O853" i="24"/>
  <c r="P850" i="24"/>
  <c r="O845" i="24"/>
  <c r="P842" i="24"/>
  <c r="O837" i="24"/>
  <c r="P834" i="24"/>
  <c r="O829" i="24"/>
  <c r="P826" i="24"/>
  <c r="O821" i="24"/>
  <c r="P818" i="24"/>
  <c r="O813" i="24"/>
  <c r="P810" i="24"/>
  <c r="O805" i="24"/>
  <c r="P802" i="24"/>
  <c r="O797" i="24"/>
  <c r="P794" i="24"/>
  <c r="O789" i="24"/>
  <c r="P786" i="24"/>
  <c r="O781" i="24"/>
  <c r="P778" i="24"/>
  <c r="O773" i="24"/>
  <c r="P770" i="24"/>
  <c r="O765" i="24"/>
  <c r="P762" i="24"/>
  <c r="O757" i="24"/>
  <c r="P754" i="24"/>
  <c r="O749" i="24"/>
  <c r="P746" i="24"/>
  <c r="O741" i="24"/>
  <c r="P738" i="24"/>
  <c r="O733" i="24"/>
  <c r="P730" i="24"/>
  <c r="O725" i="24"/>
  <c r="P722" i="24"/>
  <c r="O717" i="24"/>
  <c r="P714" i="24"/>
  <c r="O709" i="24"/>
  <c r="P706" i="24"/>
  <c r="O701" i="24"/>
  <c r="P698" i="24"/>
  <c r="O693" i="24"/>
  <c r="P690" i="24"/>
  <c r="O685" i="24"/>
  <c r="P682" i="24"/>
  <c r="O677" i="24"/>
  <c r="P674" i="24"/>
  <c r="O669" i="24"/>
  <c r="P666" i="24"/>
  <c r="O661" i="24"/>
  <c r="P658" i="24"/>
  <c r="O653" i="24"/>
  <c r="P650" i="24"/>
  <c r="O645" i="24"/>
  <c r="P642" i="24"/>
  <c r="Q639" i="24"/>
  <c r="O637" i="24"/>
  <c r="P634" i="24"/>
  <c r="Q631" i="24"/>
  <c r="O629" i="24"/>
  <c r="P626" i="24"/>
  <c r="Q623" i="24"/>
  <c r="O621" i="24"/>
  <c r="P618" i="24"/>
  <c r="Q615" i="24"/>
  <c r="O613" i="24"/>
  <c r="P610" i="24"/>
  <c r="Q607" i="24"/>
  <c r="O605" i="24"/>
  <c r="P602" i="24"/>
  <c r="Q599" i="24"/>
  <c r="P594" i="24"/>
  <c r="Q591" i="24"/>
  <c r="O589" i="24"/>
  <c r="P586" i="24"/>
  <c r="Q583" i="24"/>
  <c r="P578" i="24"/>
  <c r="Q575" i="24"/>
  <c r="O573" i="24"/>
  <c r="P570" i="24"/>
  <c r="Q567" i="24"/>
  <c r="O565" i="24"/>
  <c r="P562" i="24"/>
  <c r="Q559" i="24"/>
  <c r="O557" i="24"/>
  <c r="P554" i="24"/>
  <c r="Q551" i="24"/>
  <c r="O549" i="24"/>
  <c r="P546" i="24"/>
  <c r="Q543" i="24"/>
  <c r="O541" i="24"/>
  <c r="P538" i="24"/>
  <c r="P1106" i="24"/>
  <c r="P1039" i="24"/>
  <c r="O1026" i="24"/>
  <c r="P951" i="24"/>
  <c r="O938" i="24"/>
  <c r="P919" i="24"/>
  <c r="O914" i="24"/>
  <c r="P903" i="24"/>
  <c r="O898" i="24"/>
  <c r="P887" i="24"/>
  <c r="P863" i="24"/>
  <c r="P783" i="24"/>
  <c r="O770" i="24"/>
  <c r="P710" i="24"/>
  <c r="P701" i="24"/>
  <c r="P693" i="24"/>
  <c r="P685" i="24"/>
  <c r="P677" i="24"/>
  <c r="O665" i="24"/>
  <c r="O657" i="24"/>
  <c r="P646" i="24"/>
  <c r="O641" i="24"/>
  <c r="Q635" i="24"/>
  <c r="P630" i="24"/>
  <c r="O625" i="24"/>
  <c r="Q619" i="24"/>
  <c r="P614" i="24"/>
  <c r="O609" i="24"/>
  <c r="Q603" i="24"/>
  <c r="O595" i="24"/>
  <c r="Q589" i="24"/>
  <c r="P584" i="24"/>
  <c r="Q579" i="24"/>
  <c r="P574" i="24"/>
  <c r="O569" i="24"/>
  <c r="P565" i="24"/>
  <c r="O560" i="24"/>
  <c r="Q554" i="24"/>
  <c r="P549" i="24"/>
  <c r="O544" i="24"/>
  <c r="O539" i="24"/>
  <c r="Q535" i="24"/>
  <c r="Q532" i="24"/>
  <c r="Q529" i="24"/>
  <c r="Q526" i="24"/>
  <c r="Q523" i="24"/>
  <c r="Q520" i="24"/>
  <c r="O518" i="24"/>
  <c r="P515" i="24"/>
  <c r="Q512" i="24"/>
  <c r="O510" i="24"/>
  <c r="P507" i="24"/>
  <c r="Q504" i="24"/>
  <c r="O502" i="24"/>
  <c r="P499" i="24"/>
  <c r="O494" i="24"/>
  <c r="P491" i="24"/>
  <c r="O486" i="24"/>
  <c r="Q480" i="24"/>
  <c r="O478" i="24"/>
  <c r="P475" i="24"/>
  <c r="Q472" i="24"/>
  <c r="O470" i="24"/>
  <c r="P467" i="24"/>
  <c r="Q464" i="24"/>
  <c r="O462" i="24"/>
  <c r="P459" i="24"/>
  <c r="O454" i="24"/>
  <c r="P451" i="24"/>
  <c r="Q448" i="24"/>
  <c r="O446" i="24"/>
  <c r="P443" i="24"/>
  <c r="O438" i="24"/>
  <c r="P435" i="24"/>
  <c r="Q432" i="24"/>
  <c r="O430" i="24"/>
  <c r="P427" i="24"/>
  <c r="Q424" i="24"/>
  <c r="O422" i="24"/>
  <c r="P419" i="24"/>
  <c r="Q416" i="24"/>
  <c r="O414" i="24"/>
  <c r="P411" i="24"/>
  <c r="Q408" i="24"/>
  <c r="O406" i="24"/>
  <c r="P403" i="24"/>
  <c r="Q400" i="24"/>
  <c r="O398" i="24"/>
  <c r="P395" i="24"/>
  <c r="O390" i="24"/>
  <c r="P387" i="24"/>
  <c r="Q384" i="24"/>
  <c r="O382" i="24"/>
  <c r="P379" i="24"/>
  <c r="Q376" i="24"/>
  <c r="O374" i="24"/>
  <c r="P371" i="24"/>
  <c r="Q368" i="24"/>
  <c r="O366" i="24"/>
  <c r="P363" i="24"/>
  <c r="Q360" i="24"/>
  <c r="O358" i="24"/>
  <c r="P355" i="24"/>
  <c r="Q352" i="24"/>
  <c r="O350" i="24"/>
  <c r="P347" i="24"/>
  <c r="Q344" i="24"/>
  <c r="O342" i="24"/>
  <c r="P339" i="24"/>
  <c r="Q336" i="24"/>
  <c r="O334" i="24"/>
  <c r="P331" i="24"/>
  <c r="Q328" i="24"/>
  <c r="O326" i="24"/>
  <c r="P323" i="24"/>
  <c r="Q320" i="24"/>
  <c r="O318" i="24"/>
  <c r="P315" i="24"/>
  <c r="Q312" i="24"/>
  <c r="O310" i="24"/>
  <c r="P307" i="24"/>
  <c r="Q304" i="24"/>
  <c r="P299" i="24"/>
  <c r="O294" i="24"/>
  <c r="P291" i="24"/>
  <c r="Q288" i="24"/>
  <c r="O286" i="24"/>
  <c r="P283" i="24"/>
  <c r="Q280" i="24"/>
  <c r="O278" i="24"/>
  <c r="P275" i="24"/>
  <c r="Q272" i="24"/>
  <c r="O270" i="24"/>
  <c r="P267" i="24"/>
  <c r="Q264" i="24"/>
  <c r="O262" i="24"/>
  <c r="P259" i="24"/>
  <c r="O254" i="24"/>
  <c r="P251" i="24"/>
  <c r="Q248" i="24"/>
  <c r="O246" i="24"/>
  <c r="P243" i="24"/>
  <c r="Q240" i="24"/>
  <c r="O238" i="24"/>
  <c r="P235" i="24"/>
  <c r="Q232" i="24"/>
  <c r="O230" i="24"/>
  <c r="P227" i="24"/>
  <c r="Q224" i="24"/>
  <c r="O222" i="24"/>
  <c r="P219" i="24"/>
  <c r="Q216" i="24"/>
  <c r="O214" i="24"/>
  <c r="P211" i="24"/>
  <c r="Q208" i="24"/>
  <c r="P203" i="24"/>
  <c r="O198" i="24"/>
  <c r="P195" i="24"/>
  <c r="Q192" i="24"/>
  <c r="O190" i="24"/>
  <c r="P187" i="24"/>
  <c r="Q184" i="24"/>
  <c r="O182" i="24"/>
  <c r="P179" i="24"/>
  <c r="O174" i="24"/>
  <c r="P1098" i="24"/>
  <c r="P1087" i="24"/>
  <c r="P1015" i="24"/>
  <c r="O1002" i="24"/>
  <c r="P991" i="24"/>
  <c r="P975" i="24"/>
  <c r="P855" i="24"/>
  <c r="O842" i="24"/>
  <c r="P831" i="24"/>
  <c r="O826" i="24"/>
  <c r="P807" i="24"/>
  <c r="P751" i="24"/>
  <c r="P727" i="24"/>
  <c r="O714" i="24"/>
  <c r="O704" i="24"/>
  <c r="P696" i="24"/>
  <c r="P688" i="24"/>
  <c r="P680" i="24"/>
  <c r="P672" i="24"/>
  <c r="P669" i="24"/>
  <c r="P661" i="24"/>
  <c r="P653" i="24"/>
  <c r="Q645" i="24"/>
  <c r="P640" i="24"/>
  <c r="O635" i="24"/>
  <c r="Q629" i="24"/>
  <c r="P624" i="24"/>
  <c r="O619" i="24"/>
  <c r="Q613" i="24"/>
  <c r="P608" i="24"/>
  <c r="O603" i="24"/>
  <c r="Q594" i="24"/>
  <c r="P589" i="24"/>
  <c r="O584" i="24"/>
  <c r="O579" i="24"/>
  <c r="Q573" i="24"/>
  <c r="P568" i="24"/>
  <c r="Q564" i="24"/>
  <c r="P559" i="24"/>
  <c r="O554" i="24"/>
  <c r="Q548" i="24"/>
  <c r="P543" i="24"/>
  <c r="Q538" i="24"/>
  <c r="P535" i="24"/>
  <c r="P532" i="24"/>
  <c r="P529" i="24"/>
  <c r="P526" i="24"/>
  <c r="O523" i="24"/>
  <c r="P520" i="24"/>
  <c r="Q517" i="24"/>
  <c r="O515" i="24"/>
  <c r="P512" i="24"/>
  <c r="Q509" i="24"/>
  <c r="O507" i="24"/>
  <c r="P504" i="24"/>
  <c r="Q501" i="24"/>
  <c r="O499" i="24"/>
  <c r="Q493" i="24"/>
  <c r="O491" i="24"/>
  <c r="Q485" i="24"/>
  <c r="P480" i="24"/>
  <c r="Q477" i="24"/>
  <c r="O475" i="24"/>
  <c r="P472" i="24"/>
  <c r="O467" i="24"/>
  <c r="P464" i="24"/>
  <c r="Q461" i="24"/>
  <c r="O459" i="24"/>
  <c r="Q453" i="24"/>
  <c r="O451" i="24"/>
  <c r="P448" i="24"/>
  <c r="Q445" i="24"/>
  <c r="O443" i="24"/>
  <c r="Q437" i="24"/>
  <c r="O435" i="24"/>
  <c r="P432" i="24"/>
  <c r="Q429" i="24"/>
  <c r="O427" i="24"/>
  <c r="P424" i="24"/>
  <c r="Q421" i="24"/>
  <c r="O419" i="24"/>
  <c r="P416" i="24"/>
  <c r="Q413" i="24"/>
  <c r="O411" i="24"/>
  <c r="P408" i="24"/>
  <c r="Q405" i="24"/>
  <c r="O403" i="24"/>
  <c r="P400" i="24"/>
  <c r="Q397" i="24"/>
  <c r="O395" i="24"/>
  <c r="Q389" i="24"/>
  <c r="O387" i="24"/>
  <c r="P384" i="24"/>
  <c r="Q381" i="24"/>
  <c r="O379" i="24"/>
  <c r="P376" i="24"/>
  <c r="Q373" i="24"/>
  <c r="O371" i="24"/>
  <c r="P368" i="24"/>
  <c r="Q365" i="24"/>
  <c r="O363" i="24"/>
  <c r="P360" i="24"/>
  <c r="Q357" i="24"/>
  <c r="O355" i="24"/>
  <c r="P352" i="24"/>
  <c r="Q349" i="24"/>
  <c r="O347" i="24"/>
  <c r="P344" i="24"/>
  <c r="Q341" i="24"/>
  <c r="O339" i="24"/>
  <c r="P336" i="24"/>
  <c r="Q333" i="24"/>
  <c r="P1079" i="24"/>
  <c r="P1031" i="24"/>
  <c r="O954" i="24"/>
  <c r="P943" i="24"/>
  <c r="O930" i="24"/>
  <c r="P879" i="24"/>
  <c r="O794" i="24"/>
  <c r="P775" i="24"/>
  <c r="O696" i="24"/>
  <c r="O688" i="24"/>
  <c r="O680" i="24"/>
  <c r="O672" i="24"/>
  <c r="P664" i="24"/>
  <c r="P656" i="24"/>
  <c r="P645" i="24"/>
  <c r="O640" i="24"/>
  <c r="Q634" i="24"/>
  <c r="P629" i="24"/>
  <c r="O624" i="24"/>
  <c r="Q618" i="24"/>
  <c r="P613" i="24"/>
  <c r="O608" i="24"/>
  <c r="Q602" i="24"/>
  <c r="O594" i="24"/>
  <c r="Q588" i="24"/>
  <c r="P583" i="24"/>
  <c r="Q578" i="24"/>
  <c r="P573" i="24"/>
  <c r="O568" i="24"/>
  <c r="Q563" i="24"/>
  <c r="P558" i="24"/>
  <c r="O553" i="24"/>
  <c r="Q547" i="24"/>
  <c r="P542" i="24"/>
  <c r="O538" i="24"/>
  <c r="O535" i="24"/>
  <c r="O532" i="24"/>
  <c r="O529" i="24"/>
  <c r="Q525" i="24"/>
  <c r="Q522" i="24"/>
  <c r="O520" i="24"/>
  <c r="P517" i="24"/>
  <c r="Q514" i="24"/>
  <c r="O512" i="24"/>
  <c r="P509" i="24"/>
  <c r="Q506" i="24"/>
  <c r="O504" i="24"/>
  <c r="P501" i="24"/>
  <c r="Q498" i="24"/>
  <c r="P493" i="24"/>
  <c r="Q490" i="24"/>
  <c r="P485" i="24"/>
  <c r="Q482" i="24"/>
  <c r="O480" i="24"/>
  <c r="P477" i="24"/>
  <c r="Q474" i="24"/>
  <c r="O472" i="24"/>
  <c r="Q466" i="24"/>
  <c r="O464" i="24"/>
  <c r="P461" i="24"/>
  <c r="Q458" i="24"/>
  <c r="P453" i="24"/>
  <c r="O448" i="24"/>
  <c r="P445" i="24"/>
  <c r="Q442" i="24"/>
  <c r="P437" i="24"/>
  <c r="Q434" i="24"/>
  <c r="O432" i="24"/>
  <c r="P429" i="24"/>
  <c r="O424" i="24"/>
  <c r="P421" i="24"/>
  <c r="Q418" i="24"/>
  <c r="O416" i="24"/>
  <c r="P413" i="24"/>
  <c r="Q410" i="24"/>
  <c r="O408" i="24"/>
  <c r="P405" i="24"/>
  <c r="Q402" i="24"/>
  <c r="O400" i="24"/>
  <c r="P397" i="24"/>
  <c r="Q394" i="24"/>
  <c r="P389" i="24"/>
  <c r="Q386" i="24"/>
  <c r="O384" i="24"/>
  <c r="P381" i="24"/>
  <c r="Q378" i="24"/>
  <c r="O376" i="24"/>
  <c r="P373" i="24"/>
  <c r="Q370" i="24"/>
  <c r="O368" i="24"/>
  <c r="P365" i="24"/>
  <c r="Q362" i="24"/>
  <c r="O360" i="24"/>
  <c r="P357" i="24"/>
  <c r="Q354" i="24"/>
  <c r="O352" i="24"/>
  <c r="P349" i="24"/>
  <c r="Q346" i="24"/>
  <c r="O344" i="24"/>
  <c r="P341" i="24"/>
  <c r="Q338" i="24"/>
  <c r="O336" i="24"/>
  <c r="P333" i="24"/>
  <c r="Q330" i="24"/>
  <c r="O328" i="24"/>
  <c r="P325" i="24"/>
  <c r="Q322" i="24"/>
  <c r="O320" i="24"/>
  <c r="P317" i="24"/>
  <c r="Q314" i="24"/>
  <c r="O312" i="24"/>
  <c r="P309" i="24"/>
  <c r="Q306" i="24"/>
  <c r="O304" i="24"/>
  <c r="Q298" i="24"/>
  <c r="P293" i="24"/>
  <c r="Q290" i="24"/>
  <c r="O288" i="24"/>
  <c r="P285" i="24"/>
  <c r="Q282" i="24"/>
  <c r="O280" i="24"/>
  <c r="P277" i="24"/>
  <c r="Q274" i="24"/>
  <c r="O272" i="24"/>
  <c r="P269" i="24"/>
  <c r="O264" i="24"/>
  <c r="Q258" i="24"/>
  <c r="P253" i="24"/>
  <c r="Q250" i="24"/>
  <c r="O248" i="24"/>
  <c r="P245" i="24"/>
  <c r="O240" i="24"/>
  <c r="P237" i="24"/>
  <c r="Q234" i="24"/>
  <c r="O232" i="24"/>
  <c r="P229" i="24"/>
  <c r="Q226" i="24"/>
  <c r="O224" i="24"/>
  <c r="Q218" i="24"/>
  <c r="O216" i="24"/>
  <c r="P213" i="24"/>
  <c r="Q210" i="24"/>
  <c r="O208" i="24"/>
  <c r="P205" i="24"/>
  <c r="Q202" i="24"/>
  <c r="P197" i="24"/>
  <c r="Q194" i="24"/>
  <c r="O192" i="24"/>
  <c r="Q186" i="24"/>
  <c r="O184" i="24"/>
  <c r="P181" i="24"/>
  <c r="Q178" i="24"/>
  <c r="P173" i="24"/>
  <c r="Q170" i="24"/>
  <c r="P1071" i="24"/>
  <c r="O1018" i="24"/>
  <c r="P1007" i="24"/>
  <c r="O978" i="24"/>
  <c r="P847" i="24"/>
  <c r="O818" i="24"/>
  <c r="O762" i="24"/>
  <c r="P743" i="24"/>
  <c r="O738" i="24"/>
  <c r="P719" i="24"/>
  <c r="O713" i="24"/>
  <c r="O699" i="24"/>
  <c r="O691" i="24"/>
  <c r="O683" i="24"/>
  <c r="O675" i="24"/>
  <c r="O664" i="24"/>
  <c r="O656" i="24"/>
  <c r="Q644" i="24"/>
  <c r="P639" i="24"/>
  <c r="O634" i="24"/>
  <c r="Q628" i="24"/>
  <c r="P623" i="24"/>
  <c r="O618" i="24"/>
  <c r="Q612" i="24"/>
  <c r="P607" i="24"/>
  <c r="O602" i="24"/>
  <c r="O593" i="24"/>
  <c r="Q587" i="24"/>
  <c r="P582" i="24"/>
  <c r="O578" i="24"/>
  <c r="Q572" i="24"/>
  <c r="P567" i="24"/>
  <c r="O563" i="24"/>
  <c r="Q557" i="24"/>
  <c r="P552" i="24"/>
  <c r="O547" i="24"/>
  <c r="Q541" i="24"/>
  <c r="Q537" i="24"/>
  <c r="Q534" i="24"/>
  <c r="Q531" i="24"/>
  <c r="P528" i="24"/>
  <c r="P525" i="24"/>
  <c r="P522" i="24"/>
  <c r="Q519" i="24"/>
  <c r="O517" i="24"/>
  <c r="P514" i="24"/>
  <c r="Q511" i="24"/>
  <c r="O509" i="24"/>
  <c r="P506" i="24"/>
  <c r="Q503" i="24"/>
  <c r="O501" i="24"/>
  <c r="P498" i="24"/>
  <c r="Q495" i="24"/>
  <c r="O493" i="24"/>
  <c r="P490" i="24"/>
  <c r="O485" i="24"/>
  <c r="P482" i="24"/>
  <c r="Q479" i="24"/>
  <c r="O477" i="24"/>
  <c r="P474" i="24"/>
  <c r="Q471" i="24"/>
  <c r="P466" i="24"/>
  <c r="Q463" i="24"/>
  <c r="O461" i="24"/>
  <c r="P458" i="24"/>
  <c r="Q455" i="24"/>
  <c r="O453" i="24"/>
  <c r="Q447" i="24"/>
  <c r="O445" i="24"/>
  <c r="P442" i="24"/>
  <c r="Q439" i="24"/>
  <c r="O437" i="24"/>
  <c r="P434" i="24"/>
  <c r="Q431" i="24"/>
  <c r="O429" i="24"/>
  <c r="Q423" i="24"/>
  <c r="O421" i="24"/>
  <c r="P418" i="24"/>
  <c r="O413" i="24"/>
  <c r="P410" i="24"/>
  <c r="Q407" i="24"/>
  <c r="O405" i="24"/>
  <c r="P402" i="24"/>
  <c r="Q399" i="24"/>
  <c r="O397" i="24"/>
  <c r="P394" i="24"/>
  <c r="O389" i="24"/>
  <c r="P386" i="24"/>
  <c r="Q383" i="24"/>
  <c r="O381" i="24"/>
  <c r="P378" i="24"/>
  <c r="Q375" i="24"/>
  <c r="O373" i="24"/>
  <c r="P370" i="24"/>
  <c r="Q367" i="24"/>
  <c r="O365" i="24"/>
  <c r="P362" i="24"/>
  <c r="Q359" i="24"/>
  <c r="O357" i="24"/>
  <c r="P354" i="24"/>
  <c r="Q351" i="24"/>
  <c r="O349" i="24"/>
  <c r="P346" i="24"/>
  <c r="Q343" i="24"/>
  <c r="O341" i="24"/>
  <c r="P338" i="24"/>
  <c r="Q335" i="24"/>
  <c r="O333" i="24"/>
  <c r="O1042" i="24"/>
  <c r="P959" i="24"/>
  <c r="P935" i="24"/>
  <c r="O922" i="24"/>
  <c r="O906" i="24"/>
  <c r="O786" i="24"/>
  <c r="P695" i="24"/>
  <c r="P687" i="24"/>
  <c r="P679" i="24"/>
  <c r="O667" i="24"/>
  <c r="O659" i="24"/>
  <c r="O651" i="24"/>
  <c r="Q643" i="24"/>
  <c r="P638" i="24"/>
  <c r="O633" i="24"/>
  <c r="Q627" i="24"/>
  <c r="P622" i="24"/>
  <c r="O617" i="24"/>
  <c r="Q611" i="24"/>
  <c r="P606" i="24"/>
  <c r="O601" i="24"/>
  <c r="P592" i="24"/>
  <c r="O587" i="24"/>
  <c r="O577" i="24"/>
  <c r="Q571" i="24"/>
  <c r="Q562" i="24"/>
  <c r="P557" i="24"/>
  <c r="O552" i="24"/>
  <c r="Q546" i="24"/>
  <c r="P541" i="24"/>
  <c r="P537" i="24"/>
  <c r="P534" i="24"/>
  <c r="O531" i="24"/>
  <c r="O528" i="24"/>
  <c r="O525" i="24"/>
  <c r="O522" i="24"/>
  <c r="P519" i="24"/>
  <c r="Q516" i="24"/>
  <c r="O514" i="24"/>
  <c r="P511" i="24"/>
  <c r="Q508" i="24"/>
  <c r="O506" i="24"/>
  <c r="P503" i="24"/>
  <c r="Q500" i="24"/>
  <c r="O498" i="24"/>
  <c r="P495" i="24"/>
  <c r="Q492" i="24"/>
  <c r="O490" i="24"/>
  <c r="Q484" i="24"/>
  <c r="O482" i="24"/>
  <c r="P479" i="24"/>
  <c r="Q476" i="24"/>
  <c r="O474" i="24"/>
  <c r="P471" i="24"/>
  <c r="Q468" i="24"/>
  <c r="O466" i="24"/>
  <c r="P463" i="24"/>
  <c r="Q460" i="24"/>
  <c r="O458" i="24"/>
  <c r="P455" i="24"/>
  <c r="Q452" i="24"/>
  <c r="P447" i="24"/>
  <c r="O442" i="24"/>
  <c r="P439" i="24"/>
  <c r="Q436" i="24"/>
  <c r="O434" i="24"/>
  <c r="P431" i="24"/>
  <c r="Q428" i="24"/>
  <c r="P423" i="24"/>
  <c r="P1063" i="24"/>
  <c r="P999" i="24"/>
  <c r="O994" i="24"/>
  <c r="P983" i="24"/>
  <c r="P871" i="24"/>
  <c r="O834" i="24"/>
  <c r="P823" i="24"/>
  <c r="O810" i="24"/>
  <c r="O754" i="24"/>
  <c r="O730" i="24"/>
  <c r="O706" i="24"/>
  <c r="O698" i="24"/>
  <c r="O690" i="24"/>
  <c r="O682" i="24"/>
  <c r="O674" i="24"/>
  <c r="P663" i="24"/>
  <c r="P655" i="24"/>
  <c r="O643" i="24"/>
  <c r="Q637" i="24"/>
  <c r="P632" i="24"/>
  <c r="O627" i="24"/>
  <c r="Q621" i="24"/>
  <c r="P616" i="24"/>
  <c r="O611" i="24"/>
  <c r="Q605" i="24"/>
  <c r="P600" i="24"/>
  <c r="O592" i="24"/>
  <c r="Q586" i="24"/>
  <c r="P576" i="24"/>
  <c r="O571" i="24"/>
  <c r="O562" i="24"/>
  <c r="Q556" i="24"/>
  <c r="P551" i="24"/>
  <c r="O546" i="24"/>
  <c r="Q540" i="24"/>
  <c r="O537" i="24"/>
  <c r="Q530" i="24"/>
  <c r="Q527" i="24"/>
  <c r="Q524" i="24"/>
  <c r="O519" i="24"/>
  <c r="P516" i="24"/>
  <c r="Q513" i="24"/>
  <c r="O511" i="24"/>
  <c r="P508" i="24"/>
  <c r="Q505" i="24"/>
  <c r="O503" i="24"/>
  <c r="P500" i="24"/>
  <c r="Q497" i="24"/>
  <c r="O495" i="24"/>
  <c r="P492" i="24"/>
  <c r="Q489" i="24"/>
  <c r="P484" i="24"/>
  <c r="Q481" i="24"/>
  <c r="O479" i="24"/>
  <c r="P476" i="24"/>
  <c r="Q473" i="24"/>
  <c r="O471" i="24"/>
  <c r="P1122" i="24"/>
  <c r="P1055" i="24"/>
  <c r="P1047" i="24"/>
  <c r="O1034" i="24"/>
  <c r="O946" i="24"/>
  <c r="P927" i="24"/>
  <c r="P911" i="24"/>
  <c r="P895" i="24"/>
  <c r="P791" i="24"/>
  <c r="O778" i="24"/>
  <c r="P711" i="24"/>
  <c r="P702" i="24"/>
  <c r="P694" i="24"/>
  <c r="P686" i="24"/>
  <c r="P678" i="24"/>
  <c r="O666" i="24"/>
  <c r="O658" i="24"/>
  <c r="O650" i="24"/>
  <c r="Q642" i="24"/>
  <c r="P637" i="24"/>
  <c r="O632" i="24"/>
  <c r="Q626" i="24"/>
  <c r="P621" i="24"/>
  <c r="O616" i="24"/>
  <c r="Q610" i="24"/>
  <c r="P605" i="24"/>
  <c r="O600" i="24"/>
  <c r="Q596" i="24"/>
  <c r="P591" i="24"/>
  <c r="O586" i="24"/>
  <c r="O576" i="24"/>
  <c r="Q570" i="24"/>
  <c r="O561" i="24"/>
  <c r="Q555" i="24"/>
  <c r="P550" i="24"/>
  <c r="O545" i="24"/>
  <c r="O540" i="24"/>
  <c r="P536" i="24"/>
  <c r="P530" i="24"/>
  <c r="P527" i="24"/>
  <c r="P524" i="24"/>
  <c r="Q518" i="24"/>
  <c r="O516" i="24"/>
  <c r="P513" i="24"/>
  <c r="Q510" i="24"/>
  <c r="O508" i="24"/>
  <c r="P505" i="24"/>
  <c r="Q502" i="24"/>
  <c r="O500" i="24"/>
  <c r="P497" i="24"/>
  <c r="Q494" i="24"/>
  <c r="O492" i="24"/>
  <c r="P489" i="24"/>
  <c r="Q486" i="24"/>
  <c r="O484" i="24"/>
  <c r="P481" i="24"/>
  <c r="Q478" i="24"/>
  <c r="O476" i="24"/>
  <c r="P473" i="24"/>
  <c r="Q470" i="24"/>
  <c r="O468" i="24"/>
  <c r="P465" i="24"/>
  <c r="Q462" i="24"/>
  <c r="O460" i="24"/>
  <c r="Q454" i="24"/>
  <c r="O452" i="24"/>
  <c r="P449" i="24"/>
  <c r="Q446" i="24"/>
  <c r="P441" i="24"/>
  <c r="Q438" i="24"/>
  <c r="O436" i="24"/>
  <c r="P433" i="24"/>
  <c r="Q430" i="24"/>
  <c r="O428" i="24"/>
  <c r="P425" i="24"/>
  <c r="Q422" i="24"/>
  <c r="O420" i="24"/>
  <c r="P417" i="24"/>
  <c r="Q414" i="24"/>
  <c r="O412" i="24"/>
  <c r="P409" i="24"/>
  <c r="Q406" i="24"/>
  <c r="O404" i="24"/>
  <c r="P401" i="24"/>
  <c r="Q398" i="24"/>
  <c r="O396" i="24"/>
  <c r="P393" i="24"/>
  <c r="Q390" i="24"/>
  <c r="O388" i="24"/>
  <c r="P385" i="24"/>
  <c r="Q382" i="24"/>
  <c r="O380" i="24"/>
  <c r="P377" i="24"/>
  <c r="Q374" i="24"/>
  <c r="O372" i="24"/>
  <c r="Q366" i="24"/>
  <c r="O364" i="24"/>
  <c r="P361" i="24"/>
  <c r="Q358" i="24"/>
  <c r="O356" i="24"/>
  <c r="P353" i="24"/>
  <c r="Q350" i="24"/>
  <c r="O348" i="24"/>
  <c r="P345" i="24"/>
  <c r="Q342" i="24"/>
  <c r="O340" i="24"/>
  <c r="P337" i="24"/>
  <c r="Q334" i="24"/>
  <c r="O332" i="24"/>
  <c r="P329" i="24"/>
  <c r="Q326" i="24"/>
  <c r="O324" i="24"/>
  <c r="P321" i="24"/>
  <c r="Q318" i="24"/>
  <c r="O316" i="24"/>
  <c r="P313" i="24"/>
  <c r="Q310" i="24"/>
  <c r="O308" i="24"/>
  <c r="P305" i="24"/>
  <c r="O300" i="24"/>
  <c r="P297" i="24"/>
  <c r="Q294" i="24"/>
  <c r="O292" i="24"/>
  <c r="Q286" i="24"/>
  <c r="P281" i="24"/>
  <c r="Q278" i="24"/>
  <c r="O276" i="24"/>
  <c r="P273" i="24"/>
  <c r="Q270" i="24"/>
  <c r="O268" i="24"/>
  <c r="P265" i="24"/>
  <c r="Q262" i="24"/>
  <c r="O260" i="24"/>
  <c r="P257" i="24"/>
  <c r="Q254" i="24"/>
  <c r="O252" i="24"/>
  <c r="P249" i="24"/>
  <c r="Q246" i="24"/>
  <c r="O244" i="24"/>
  <c r="P241" i="24"/>
  <c r="Q238" i="24"/>
  <c r="O236" i="24"/>
  <c r="P233" i="24"/>
  <c r="Q230" i="24"/>
  <c r="O228" i="24"/>
  <c r="P225" i="24"/>
  <c r="Q222" i="24"/>
  <c r="O220" i="24"/>
  <c r="P217" i="24"/>
  <c r="Q214" i="24"/>
  <c r="P209" i="24"/>
  <c r="O204" i="24"/>
  <c r="P201" i="24"/>
  <c r="Q198" i="24"/>
  <c r="O196" i="24"/>
  <c r="P193" i="24"/>
  <c r="Q190" i="24"/>
  <c r="P185" i="24"/>
  <c r="Q182" i="24"/>
  <c r="O180" i="24"/>
  <c r="P177" i="24"/>
  <c r="Q174" i="24"/>
  <c r="O172" i="24"/>
  <c r="P169" i="24"/>
  <c r="P161" i="24"/>
  <c r="O156" i="24"/>
  <c r="Q150" i="24"/>
  <c r="O148" i="24"/>
  <c r="P145" i="24"/>
  <c r="Q142" i="24"/>
  <c r="O802" i="24"/>
  <c r="P759" i="24"/>
  <c r="O689" i="24"/>
  <c r="P670" i="24"/>
  <c r="O642" i="24"/>
  <c r="P599" i="24"/>
  <c r="P590" i="24"/>
  <c r="Q539" i="24"/>
  <c r="O505" i="24"/>
  <c r="Q491" i="24"/>
  <c r="P486" i="24"/>
  <c r="P470" i="24"/>
  <c r="O463" i="24"/>
  <c r="Q443" i="24"/>
  <c r="P436" i="24"/>
  <c r="P420" i="24"/>
  <c r="P414" i="24"/>
  <c r="O407" i="24"/>
  <c r="P399" i="24"/>
  <c r="O393" i="24"/>
  <c r="Q388" i="24"/>
  <c r="P382" i="24"/>
  <c r="O375" i="24"/>
  <c r="Q361" i="24"/>
  <c r="O354" i="24"/>
  <c r="Q347" i="24"/>
  <c r="P340" i="24"/>
  <c r="Q332" i="24"/>
  <c r="P328" i="24"/>
  <c r="P324" i="24"/>
  <c r="Q319" i="24"/>
  <c r="Q315" i="24"/>
  <c r="P311" i="24"/>
  <c r="O307" i="24"/>
  <c r="O303" i="24"/>
  <c r="P300" i="24"/>
  <c r="Q292" i="24"/>
  <c r="O281" i="24"/>
  <c r="Q276" i="24"/>
  <c r="P272" i="24"/>
  <c r="P268" i="24"/>
  <c r="P264" i="24"/>
  <c r="Q260" i="24"/>
  <c r="O253" i="24"/>
  <c r="O249" i="24"/>
  <c r="Q244" i="24"/>
  <c r="O241" i="24"/>
  <c r="Q236" i="24"/>
  <c r="P232" i="24"/>
  <c r="P228" i="24"/>
  <c r="Q223" i="24"/>
  <c r="P220" i="24"/>
  <c r="Q215" i="24"/>
  <c r="Q204" i="24"/>
  <c r="O197" i="24"/>
  <c r="O193" i="24"/>
  <c r="Q185" i="24"/>
  <c r="O181" i="24"/>
  <c r="O177" i="24"/>
  <c r="Q173" i="24"/>
  <c r="O170" i="24"/>
  <c r="O167" i="24"/>
  <c r="Q161" i="24"/>
  <c r="Q155" i="24"/>
  <c r="O150" i="24"/>
  <c r="O147" i="24"/>
  <c r="O144" i="24"/>
  <c r="O141" i="24"/>
  <c r="P138" i="24"/>
  <c r="Q135" i="24"/>
  <c r="O133" i="24"/>
  <c r="P130" i="24"/>
  <c r="O125" i="24"/>
  <c r="P122" i="24"/>
  <c r="O117" i="24"/>
  <c r="P114" i="24"/>
  <c r="Q111" i="24"/>
  <c r="O109" i="24"/>
  <c r="O101" i="24"/>
  <c r="Q95" i="24"/>
  <c r="O93" i="24"/>
  <c r="P90" i="24"/>
  <c r="Q87" i="24"/>
  <c r="O850" i="24"/>
  <c r="O681" i="24"/>
  <c r="P662" i="24"/>
  <c r="Q636" i="24"/>
  <c r="O585" i="24"/>
  <c r="O536" i="24"/>
  <c r="P502" i="24"/>
  <c r="O489" i="24"/>
  <c r="P462" i="24"/>
  <c r="Q449" i="24"/>
  <c r="Q441" i="24"/>
  <c r="Q435" i="24"/>
  <c r="Q419" i="24"/>
  <c r="Q412" i="24"/>
  <c r="P406" i="24"/>
  <c r="O399" i="24"/>
  <c r="P388" i="24"/>
  <c r="Q380" i="24"/>
  <c r="P374" i="24"/>
  <c r="P367" i="24"/>
  <c r="O361" i="24"/>
  <c r="Q353" i="24"/>
  <c r="O346" i="24"/>
  <c r="Q339" i="24"/>
  <c r="P332" i="24"/>
  <c r="Q327" i="24"/>
  <c r="Q323" i="24"/>
  <c r="P319" i="24"/>
  <c r="O315" i="24"/>
  <c r="O311" i="24"/>
  <c r="P306" i="24"/>
  <c r="Q299" i="24"/>
  <c r="P292" i="24"/>
  <c r="P288" i="24"/>
  <c r="P280" i="24"/>
  <c r="P276" i="24"/>
  <c r="Q271" i="24"/>
  <c r="Q267" i="24"/>
  <c r="Q263" i="24"/>
  <c r="P260" i="24"/>
  <c r="Q252" i="24"/>
  <c r="P248" i="24"/>
  <c r="P244" i="24"/>
  <c r="P240" i="24"/>
  <c r="P236" i="24"/>
  <c r="Q231" i="24"/>
  <c r="Q227" i="24"/>
  <c r="P223" i="24"/>
  <c r="Q219" i="24"/>
  <c r="P215" i="24"/>
  <c r="Q211" i="24"/>
  <c r="O986" i="24"/>
  <c r="P815" i="24"/>
  <c r="O722" i="24"/>
  <c r="O673" i="24"/>
  <c r="P654" i="24"/>
  <c r="P631" i="24"/>
  <c r="Q499" i="24"/>
  <c r="P460" i="24"/>
  <c r="O455" i="24"/>
  <c r="O449" i="24"/>
  <c r="O441" i="24"/>
  <c r="Q433" i="24"/>
  <c r="O418" i="24"/>
  <c r="P412" i="24"/>
  <c r="Q404" i="24"/>
  <c r="P398" i="24"/>
  <c r="Q387" i="24"/>
  <c r="P380" i="24"/>
  <c r="Q372" i="24"/>
  <c r="O367" i="24"/>
  <c r="P359" i="24"/>
  <c r="O353" i="24"/>
  <c r="Q345" i="24"/>
  <c r="O338" i="24"/>
  <c r="Q331" i="24"/>
  <c r="P327" i="24"/>
  <c r="O323" i="24"/>
  <c r="O319" i="24"/>
  <c r="P314" i="24"/>
  <c r="P310" i="24"/>
  <c r="O306" i="24"/>
  <c r="O299" i="24"/>
  <c r="Q295" i="24"/>
  <c r="Q291" i="24"/>
  <c r="Q287" i="24"/>
  <c r="Q279" i="24"/>
  <c r="Q275" i="24"/>
  <c r="P271" i="24"/>
  <c r="O267" i="24"/>
  <c r="P263" i="24"/>
  <c r="Q259" i="24"/>
  <c r="P252" i="24"/>
  <c r="Q243" i="24"/>
  <c r="Q239" i="24"/>
  <c r="Q235" i="24"/>
  <c r="P231" i="24"/>
  <c r="O227" i="24"/>
  <c r="O223" i="24"/>
  <c r="O219" i="24"/>
  <c r="O215" i="24"/>
  <c r="O211" i="24"/>
  <c r="Q203" i="24"/>
  <c r="P196" i="24"/>
  <c r="P184" i="24"/>
  <c r="P180" i="24"/>
  <c r="Q172" i="24"/>
  <c r="O169" i="24"/>
  <c r="Q163" i="24"/>
  <c r="Q160" i="24"/>
  <c r="O155" i="24"/>
  <c r="P149" i="24"/>
  <c r="P146" i="24"/>
  <c r="P143" i="24"/>
  <c r="P140" i="24"/>
  <c r="Q137" i="24"/>
  <c r="O135" i="24"/>
  <c r="P132" i="24"/>
  <c r="Q129" i="24"/>
  <c r="P124" i="24"/>
  <c r="Q121" i="24"/>
  <c r="P116" i="24"/>
  <c r="Q113" i="24"/>
  <c r="O111" i="24"/>
  <c r="P108" i="24"/>
  <c r="Q105" i="24"/>
  <c r="P100" i="24"/>
  <c r="Q97" i="24"/>
  <c r="O95" i="24"/>
  <c r="O87" i="24"/>
  <c r="P84" i="24"/>
  <c r="O626" i="24"/>
  <c r="Q565" i="24"/>
  <c r="P518" i="24"/>
  <c r="O497" i="24"/>
  <c r="Q459" i="24"/>
  <c r="P454" i="24"/>
  <c r="O447" i="24"/>
  <c r="O433" i="24"/>
  <c r="Q425" i="24"/>
  <c r="Q417" i="24"/>
  <c r="Q411" i="24"/>
  <c r="P404" i="24"/>
  <c r="Q396" i="24"/>
  <c r="O386" i="24"/>
  <c r="Q379" i="24"/>
  <c r="P372" i="24"/>
  <c r="P366" i="24"/>
  <c r="O359" i="24"/>
  <c r="P351" i="24"/>
  <c r="O345" i="24"/>
  <c r="Q337" i="24"/>
  <c r="O331" i="24"/>
  <c r="O327" i="24"/>
  <c r="P322" i="24"/>
  <c r="P318" i="24"/>
  <c r="O314" i="24"/>
  <c r="Q309" i="24"/>
  <c r="Q305" i="24"/>
  <c r="P298" i="24"/>
  <c r="P295" i="24"/>
  <c r="O291" i="24"/>
  <c r="P287" i="24"/>
  <c r="Q283" i="24"/>
  <c r="P279" i="24"/>
  <c r="O275" i="24"/>
  <c r="O271" i="24"/>
  <c r="O263" i="24"/>
  <c r="O259" i="24"/>
  <c r="Q255" i="24"/>
  <c r="Q251" i="24"/>
  <c r="O243" i="24"/>
  <c r="P239" i="24"/>
  <c r="O235" i="24"/>
  <c r="O231" i="24"/>
  <c r="P226" i="24"/>
  <c r="P222" i="24"/>
  <c r="P218" i="24"/>
  <c r="P214" i="24"/>
  <c r="P210" i="24"/>
  <c r="O203" i="24"/>
  <c r="Q195" i="24"/>
  <c r="P735" i="24"/>
  <c r="O705" i="24"/>
  <c r="Q620" i="24"/>
  <c r="P560" i="24"/>
  <c r="Q515" i="24"/>
  <c r="O481" i="24"/>
  <c r="P468" i="24"/>
  <c r="P452" i="24"/>
  <c r="P446" i="24"/>
  <c r="O431" i="24"/>
  <c r="O425" i="24"/>
  <c r="O417" i="24"/>
  <c r="O410" i="24"/>
  <c r="Q403" i="24"/>
  <c r="P396" i="24"/>
  <c r="Q385" i="24"/>
  <c r="O378" i="24"/>
  <c r="Q371" i="24"/>
  <c r="Q364" i="24"/>
  <c r="P358" i="24"/>
  <c r="O351" i="24"/>
  <c r="P615" i="24"/>
  <c r="Q580" i="24"/>
  <c r="O555" i="24"/>
  <c r="O530" i="24"/>
  <c r="O513" i="24"/>
  <c r="P478" i="24"/>
  <c r="Q467" i="24"/>
  <c r="Q451" i="24"/>
  <c r="P430" i="24"/>
  <c r="O423" i="24"/>
  <c r="Q409" i="24"/>
  <c r="O402" i="24"/>
  <c r="Q395" i="24"/>
  <c r="O385" i="24"/>
  <c r="Q377" i="24"/>
  <c r="O370" i="24"/>
  <c r="P364" i="24"/>
  <c r="Q356" i="24"/>
  <c r="P350" i="24"/>
  <c r="O343" i="24"/>
  <c r="P335" i="24"/>
  <c r="O330" i="24"/>
  <c r="Q325" i="24"/>
  <c r="O746" i="24"/>
  <c r="O610" i="24"/>
  <c r="P575" i="24"/>
  <c r="Q549" i="24"/>
  <c r="O527" i="24"/>
  <c r="P510" i="24"/>
  <c r="Q475" i="24"/>
  <c r="Q465" i="24"/>
  <c r="O439" i="24"/>
  <c r="P428" i="24"/>
  <c r="P422" i="24"/>
  <c r="O409" i="24"/>
  <c r="Q401" i="24"/>
  <c r="O394" i="24"/>
  <c r="P383" i="24"/>
  <c r="O377" i="24"/>
  <c r="Q363" i="24"/>
  <c r="P356" i="24"/>
  <c r="Q348" i="24"/>
  <c r="P342" i="24"/>
  <c r="O335" i="24"/>
  <c r="Q329" i="24"/>
  <c r="O325" i="24"/>
  <c r="O321" i="24"/>
  <c r="Q316" i="24"/>
  <c r="P312" i="24"/>
  <c r="P308" i="24"/>
  <c r="Q303" i="24"/>
  <c r="O297" i="24"/>
  <c r="Q293" i="24"/>
  <c r="Q285" i="24"/>
  <c r="O282" i="24"/>
  <c r="Q277" i="24"/>
  <c r="Q273" i="24"/>
  <c r="O269" i="24"/>
  <c r="Q265" i="24"/>
  <c r="Q257" i="24"/>
  <c r="P254" i="24"/>
  <c r="O250" i="24"/>
  <c r="Q245" i="24"/>
  <c r="Q237" i="24"/>
  <c r="Q233" i="24"/>
  <c r="O229" i="24"/>
  <c r="O225" i="24"/>
  <c r="O217" i="24"/>
  <c r="O209" i="24"/>
  <c r="Q205" i="24"/>
  <c r="Q201" i="24"/>
  <c r="P198" i="24"/>
  <c r="O194" i="24"/>
  <c r="P186" i="24"/>
  <c r="P182" i="24"/>
  <c r="O178" i="24"/>
  <c r="O175" i="24"/>
  <c r="Q167" i="24"/>
  <c r="O165" i="24"/>
  <c r="P162" i="24"/>
  <c r="P159" i="24"/>
  <c r="Q156" i="24"/>
  <c r="O151" i="24"/>
  <c r="Q147" i="24"/>
  <c r="Q144" i="24"/>
  <c r="Q141" i="24"/>
  <c r="O139" i="24"/>
  <c r="P136" i="24"/>
  <c r="Q133" i="24"/>
  <c r="O131" i="24"/>
  <c r="Q125" i="24"/>
  <c r="O123" i="24"/>
  <c r="P120" i="24"/>
  <c r="Q117" i="24"/>
  <c r="O115" i="24"/>
  <c r="P112" i="24"/>
  <c r="Q109" i="24"/>
  <c r="O107" i="24"/>
  <c r="P104" i="24"/>
  <c r="Q101" i="24"/>
  <c r="O99" i="24"/>
  <c r="Q93" i="24"/>
  <c r="P88" i="24"/>
  <c r="O83" i="24"/>
  <c r="P80" i="24"/>
  <c r="O1010" i="24"/>
  <c r="P839" i="24"/>
  <c r="O697" i="24"/>
  <c r="Q604" i="24"/>
  <c r="Q595" i="24"/>
  <c r="O570" i="24"/>
  <c r="P544" i="24"/>
  <c r="O524" i="24"/>
  <c r="Q507" i="24"/>
  <c r="P494" i="24"/>
  <c r="O473" i="24"/>
  <c r="O465" i="24"/>
  <c r="P438" i="24"/>
  <c r="Q427" i="24"/>
  <c r="Q420" i="24"/>
  <c r="P407" i="24"/>
  <c r="O401" i="24"/>
  <c r="Q393" i="24"/>
  <c r="P390" i="24"/>
  <c r="O383" i="24"/>
  <c r="P375" i="24"/>
  <c r="O362" i="24"/>
  <c r="Q355" i="24"/>
  <c r="P348" i="24"/>
  <c r="Q340" i="24"/>
  <c r="P334" i="24"/>
  <c r="O329" i="24"/>
  <c r="Q324" i="24"/>
  <c r="P320" i="24"/>
  <c r="P316" i="24"/>
  <c r="Q311" i="24"/>
  <c r="Q307" i="24"/>
  <c r="P303" i="24"/>
  <c r="Q300" i="24"/>
  <c r="O293" i="24"/>
  <c r="O285" i="24"/>
  <c r="Q281" i="24"/>
  <c r="O277" i="24"/>
  <c r="O273" i="24"/>
  <c r="Q268" i="24"/>
  <c r="O265" i="24"/>
  <c r="O257" i="24"/>
  <c r="Q253" i="24"/>
  <c r="Q249" i="24"/>
  <c r="O245" i="24"/>
  <c r="Q241" i="24"/>
  <c r="O237" i="24"/>
  <c r="O233" i="24"/>
  <c r="Q228" i="24"/>
  <c r="P224" i="24"/>
  <c r="Q220" i="24"/>
  <c r="P216" i="24"/>
  <c r="P208" i="24"/>
  <c r="O205" i="24"/>
  <c r="O201" i="24"/>
  <c r="Q197" i="24"/>
  <c r="Q193" i="24"/>
  <c r="O186" i="24"/>
  <c r="Q181" i="24"/>
  <c r="Q177" i="24"/>
  <c r="P174" i="24"/>
  <c r="P170" i="24"/>
  <c r="P167" i="24"/>
  <c r="O162" i="24"/>
  <c r="O159" i="24"/>
  <c r="P156" i="24"/>
  <c r="P150" i="24"/>
  <c r="P147" i="24"/>
  <c r="P144" i="24"/>
  <c r="P141" i="24"/>
  <c r="Q138" i="24"/>
  <c r="O136" i="24"/>
  <c r="P133" i="24"/>
  <c r="Q130" i="24"/>
  <c r="P125" i="24"/>
  <c r="Q122" i="24"/>
  <c r="O120" i="24"/>
  <c r="P117" i="24"/>
  <c r="Q114" i="24"/>
  <c r="O112" i="24"/>
  <c r="P109" i="24"/>
  <c r="O104" i="24"/>
  <c r="P101" i="24"/>
  <c r="P93" i="24"/>
  <c r="Q90" i="24"/>
  <c r="P326" i="24"/>
  <c r="Q308" i="24"/>
  <c r="P290" i="24"/>
  <c r="P270" i="24"/>
  <c r="O251" i="24"/>
  <c r="Q225" i="24"/>
  <c r="Q180" i="24"/>
  <c r="P175" i="24"/>
  <c r="Q159" i="24"/>
  <c r="Q154" i="24"/>
  <c r="O146" i="24"/>
  <c r="O140" i="24"/>
  <c r="Q134" i="24"/>
  <c r="P129" i="24"/>
  <c r="Q126" i="24"/>
  <c r="P121" i="24"/>
  <c r="O118" i="24"/>
  <c r="Q112" i="24"/>
  <c r="P107" i="24"/>
  <c r="P99" i="24"/>
  <c r="O88" i="24"/>
  <c r="Q84" i="24"/>
  <c r="P81" i="24"/>
  <c r="P78" i="24"/>
  <c r="Q75" i="24"/>
  <c r="O73" i="24"/>
  <c r="P70" i="24"/>
  <c r="Q67" i="24"/>
  <c r="O65" i="24"/>
  <c r="P62" i="24"/>
  <c r="O57" i="24"/>
  <c r="P54" i="24"/>
  <c r="Q51" i="24"/>
  <c r="P46" i="24"/>
  <c r="O41" i="24"/>
  <c r="P38" i="24"/>
  <c r="Q35" i="24"/>
  <c r="O33" i="24"/>
  <c r="P30" i="24"/>
  <c r="O25" i="24"/>
  <c r="P22" i="24"/>
  <c r="Q19" i="24"/>
  <c r="O17" i="24"/>
  <c r="P14" i="24"/>
  <c r="Q11" i="24"/>
  <c r="O9" i="24"/>
  <c r="P6" i="24"/>
  <c r="K1048" i="24"/>
  <c r="K1040" i="24"/>
  <c r="K1032" i="24"/>
  <c r="K1024" i="24"/>
  <c r="K1008" i="24"/>
  <c r="K1000" i="24"/>
  <c r="K992" i="24"/>
  <c r="K976" i="24"/>
  <c r="K960" i="24"/>
  <c r="K944" i="24"/>
  <c r="K936" i="24"/>
  <c r="K928" i="24"/>
  <c r="K920" i="24"/>
  <c r="K904" i="24"/>
  <c r="K896" i="24"/>
  <c r="K888" i="24"/>
  <c r="K880" i="24"/>
  <c r="K872" i="24"/>
  <c r="K864" i="24"/>
  <c r="K856" i="24"/>
  <c r="K848" i="24"/>
  <c r="K840" i="24"/>
  <c r="K832" i="24"/>
  <c r="K824" i="24"/>
  <c r="K816" i="24"/>
  <c r="K808" i="24"/>
  <c r="K800" i="24"/>
  <c r="K792" i="24"/>
  <c r="K784" i="24"/>
  <c r="K776" i="24"/>
  <c r="K768" i="24"/>
  <c r="K760" i="24"/>
  <c r="K752" i="24"/>
  <c r="K744" i="24"/>
  <c r="K736" i="24"/>
  <c r="K728" i="24"/>
  <c r="K720" i="24"/>
  <c r="K712" i="24"/>
  <c r="K704" i="24"/>
  <c r="K696" i="24"/>
  <c r="K688" i="24"/>
  <c r="K680" i="24"/>
  <c r="K672" i="24"/>
  <c r="K664" i="24"/>
  <c r="K656" i="24"/>
  <c r="K640" i="24"/>
  <c r="K632" i="24"/>
  <c r="K624" i="24"/>
  <c r="K616" i="24"/>
  <c r="K608" i="24"/>
  <c r="K600" i="24"/>
  <c r="K592" i="24"/>
  <c r="K584" i="24"/>
  <c r="K576" i="24"/>
  <c r="K568" i="24"/>
  <c r="K560" i="24"/>
  <c r="K552" i="24"/>
  <c r="K544" i="24"/>
  <c r="K536" i="24"/>
  <c r="K528" i="24"/>
  <c r="K520" i="24"/>
  <c r="K512" i="24"/>
  <c r="K504" i="24"/>
  <c r="K480" i="24"/>
  <c r="K472" i="24"/>
  <c r="K464" i="24"/>
  <c r="K448" i="24"/>
  <c r="K432" i="24"/>
  <c r="K424" i="24"/>
  <c r="K416" i="24"/>
  <c r="K408" i="24"/>
  <c r="K400" i="24"/>
  <c r="K384" i="24"/>
  <c r="K376" i="24"/>
  <c r="K368" i="24"/>
  <c r="K360" i="24"/>
  <c r="K352" i="24"/>
  <c r="K344" i="24"/>
  <c r="K336" i="24"/>
  <c r="K328" i="24"/>
  <c r="K320" i="24"/>
  <c r="K312" i="24"/>
  <c r="K304" i="24"/>
  <c r="K288" i="24"/>
  <c r="K280" i="24"/>
  <c r="K272" i="24"/>
  <c r="K264" i="24"/>
  <c r="K248" i="24"/>
  <c r="K240" i="24"/>
  <c r="K232" i="24"/>
  <c r="K224" i="24"/>
  <c r="K216" i="24"/>
  <c r="K208" i="24"/>
  <c r="K192" i="24"/>
  <c r="K184" i="24"/>
  <c r="K160" i="24"/>
  <c r="K144" i="24"/>
  <c r="K136" i="24"/>
  <c r="K120" i="24"/>
  <c r="K112" i="24"/>
  <c r="K104" i="24"/>
  <c r="K80" i="24"/>
  <c r="K72" i="24"/>
  <c r="K56" i="24"/>
  <c r="O322" i="24"/>
  <c r="O305" i="24"/>
  <c r="O298" i="24"/>
  <c r="O290" i="24"/>
  <c r="Q269" i="24"/>
  <c r="P258" i="24"/>
  <c r="P250" i="24"/>
  <c r="O239" i="24"/>
  <c r="Q179" i="24"/>
  <c r="O173" i="24"/>
  <c r="P154" i="24"/>
  <c r="Q151" i="24"/>
  <c r="Q145" i="24"/>
  <c r="Q139" i="24"/>
  <c r="P134" i="24"/>
  <c r="O129" i="24"/>
  <c r="P126" i="24"/>
  <c r="O121" i="24"/>
  <c r="Q116" i="24"/>
  <c r="P111" i="24"/>
  <c r="P95" i="24"/>
  <c r="P87" i="24"/>
  <c r="O84" i="24"/>
  <c r="O81" i="24"/>
  <c r="O78" i="24"/>
  <c r="P75" i="24"/>
  <c r="Q72" i="24"/>
  <c r="O70" i="24"/>
  <c r="P67" i="24"/>
  <c r="Q64" i="24"/>
  <c r="O62" i="24"/>
  <c r="Q56" i="24"/>
  <c r="O54" i="24"/>
  <c r="P51" i="24"/>
  <c r="Q48" i="24"/>
  <c r="O46" i="24"/>
  <c r="Q40" i="24"/>
  <c r="O38" i="24"/>
  <c r="P35" i="24"/>
  <c r="Q32" i="24"/>
  <c r="O30" i="24"/>
  <c r="Q24" i="24"/>
  <c r="O22" i="24"/>
  <c r="P19" i="24"/>
  <c r="Q16" i="24"/>
  <c r="O14" i="24"/>
  <c r="P11" i="24"/>
  <c r="O6" i="24"/>
  <c r="K1047" i="24"/>
  <c r="K1039" i="24"/>
  <c r="K1031" i="24"/>
  <c r="K1015" i="24"/>
  <c r="K1007" i="24"/>
  <c r="K999" i="24"/>
  <c r="K991" i="24"/>
  <c r="K983" i="24"/>
  <c r="K975" i="24"/>
  <c r="K959" i="24"/>
  <c r="K951" i="24"/>
  <c r="K943" i="24"/>
  <c r="K935" i="24"/>
  <c r="K927" i="24"/>
  <c r="K919" i="24"/>
  <c r="K911" i="24"/>
  <c r="K903" i="24"/>
  <c r="K895" i="24"/>
  <c r="K887" i="24"/>
  <c r="K879" i="24"/>
  <c r="K871" i="24"/>
  <c r="K863" i="24"/>
  <c r="K855" i="24"/>
  <c r="K847" i="24"/>
  <c r="K839" i="24"/>
  <c r="K831" i="24"/>
  <c r="K823" i="24"/>
  <c r="K815" i="24"/>
  <c r="K807" i="24"/>
  <c r="K791" i="24"/>
  <c r="K783" i="24"/>
  <c r="K775" i="24"/>
  <c r="K759" i="24"/>
  <c r="K751" i="24"/>
  <c r="K743" i="24"/>
  <c r="K735" i="24"/>
  <c r="K727" i="24"/>
  <c r="K719" i="24"/>
  <c r="K711" i="24"/>
  <c r="K695" i="24"/>
  <c r="K687" i="24"/>
  <c r="K679" i="24"/>
  <c r="K663" i="24"/>
  <c r="K655" i="24"/>
  <c r="K639" i="24"/>
  <c r="K631" i="24"/>
  <c r="K623" i="24"/>
  <c r="K615" i="24"/>
  <c r="K607" i="24"/>
  <c r="K599" i="24"/>
  <c r="K591" i="24"/>
  <c r="K583" i="24"/>
  <c r="K575" i="24"/>
  <c r="K567" i="24"/>
  <c r="K559" i="24"/>
  <c r="K551" i="24"/>
  <c r="K543" i="24"/>
  <c r="K535" i="24"/>
  <c r="K527" i="24"/>
  <c r="K519" i="24"/>
  <c r="K511" i="24"/>
  <c r="K503" i="24"/>
  <c r="K495" i="24"/>
  <c r="K479" i="24"/>
  <c r="K471" i="24"/>
  <c r="K463" i="24"/>
  <c r="K455" i="24"/>
  <c r="K447" i="24"/>
  <c r="K439" i="24"/>
  <c r="K431" i="24"/>
  <c r="K423" i="24"/>
  <c r="K407" i="24"/>
  <c r="K399" i="24"/>
  <c r="K383" i="24"/>
  <c r="K375" i="24"/>
  <c r="K367" i="24"/>
  <c r="K359" i="24"/>
  <c r="K351" i="24"/>
  <c r="K343" i="24"/>
  <c r="K335" i="24"/>
  <c r="K327" i="24"/>
  <c r="K319" i="24"/>
  <c r="K311" i="24"/>
  <c r="K303" i="24"/>
  <c r="K295" i="24"/>
  <c r="K287" i="24"/>
  <c r="K279" i="24"/>
  <c r="K271" i="24"/>
  <c r="K263" i="24"/>
  <c r="K255" i="24"/>
  <c r="K239" i="24"/>
  <c r="K231" i="24"/>
  <c r="K223" i="24"/>
  <c r="K215" i="24"/>
  <c r="K183" i="24"/>
  <c r="K175" i="24"/>
  <c r="K167" i="24"/>
  <c r="K159" i="24"/>
  <c r="K151" i="24"/>
  <c r="K143" i="24"/>
  <c r="K135" i="24"/>
  <c r="K111" i="24"/>
  <c r="K95" i="24"/>
  <c r="Q321" i="24"/>
  <c r="P304" i="24"/>
  <c r="Q297" i="24"/>
  <c r="O283" i="24"/>
  <c r="O258" i="24"/>
  <c r="P238" i="24"/>
  <c r="Q187" i="24"/>
  <c r="O179" i="24"/>
  <c r="P172" i="24"/>
  <c r="P163" i="24"/>
  <c r="O154" i="24"/>
  <c r="P151" i="24"/>
  <c r="O145" i="24"/>
  <c r="P139" i="24"/>
  <c r="O134" i="24"/>
  <c r="O126" i="24"/>
  <c r="Q120" i="24"/>
  <c r="O116" i="24"/>
  <c r="Q102" i="24"/>
  <c r="Q94" i="24"/>
  <c r="Q86" i="24"/>
  <c r="Q83" i="24"/>
  <c r="Q80" i="24"/>
  <c r="Q77" i="24"/>
  <c r="O75" i="24"/>
  <c r="P72" i="24"/>
  <c r="Q69" i="24"/>
  <c r="O67" i="24"/>
  <c r="P64" i="24"/>
  <c r="Q61" i="24"/>
  <c r="P56" i="24"/>
  <c r="O51" i="24"/>
  <c r="P48" i="24"/>
  <c r="Q45" i="24"/>
  <c r="P40" i="24"/>
  <c r="Q37" i="24"/>
  <c r="O35" i="24"/>
  <c r="P32" i="24"/>
  <c r="Q29" i="24"/>
  <c r="P24" i="24"/>
  <c r="Q21" i="24"/>
  <c r="O19" i="24"/>
  <c r="P16" i="24"/>
  <c r="Q13" i="24"/>
  <c r="O11" i="24"/>
  <c r="Q5" i="24"/>
  <c r="K1046" i="24"/>
  <c r="K1038" i="24"/>
  <c r="K1030" i="24"/>
  <c r="K1022" i="24"/>
  <c r="K1014" i="24"/>
  <c r="K1006" i="24"/>
  <c r="K998" i="24"/>
  <c r="K990" i="24"/>
  <c r="K982" i="24"/>
  <c r="K974" i="24"/>
  <c r="K966" i="24"/>
  <c r="K958" i="24"/>
  <c r="K950" i="24"/>
  <c r="K942" i="24"/>
  <c r="K934" i="24"/>
  <c r="K926" i="24"/>
  <c r="K918" i="24"/>
  <c r="K910" i="24"/>
  <c r="K902" i="24"/>
  <c r="K886" i="24"/>
  <c r="K878" i="24"/>
  <c r="K870" i="24"/>
  <c r="K862" i="24"/>
  <c r="K854" i="24"/>
  <c r="K846" i="24"/>
  <c r="K838" i="24"/>
  <c r="K822" i="24"/>
  <c r="K814" i="24"/>
  <c r="K806" i="24"/>
  <c r="Q317" i="24"/>
  <c r="P282" i="24"/>
  <c r="P234" i="24"/>
  <c r="O210" i="24"/>
  <c r="P204" i="24"/>
  <c r="P190" i="24"/>
  <c r="O187" i="24"/>
  <c r="P178" i="24"/>
  <c r="O163" i="24"/>
  <c r="Q149" i="24"/>
  <c r="Q143" i="24"/>
  <c r="O138" i="24"/>
  <c r="Q132" i="24"/>
  <c r="Q124" i="24"/>
  <c r="Q115" i="24"/>
  <c r="P102" i="24"/>
  <c r="P94" i="24"/>
  <c r="O90" i="24"/>
  <c r="P86" i="24"/>
  <c r="P83" i="24"/>
  <c r="O80" i="24"/>
  <c r="P77" i="24"/>
  <c r="O72" i="24"/>
  <c r="P69" i="24"/>
  <c r="Q66" i="24"/>
  <c r="O64" i="24"/>
  <c r="P61" i="24"/>
  <c r="Q58" i="24"/>
  <c r="O56" i="24"/>
  <c r="Q50" i="24"/>
  <c r="O48" i="24"/>
  <c r="P45" i="24"/>
  <c r="O317" i="24"/>
  <c r="O279" i="24"/>
  <c r="O234" i="24"/>
  <c r="O218" i="24"/>
  <c r="Q209" i="24"/>
  <c r="P202" i="24"/>
  <c r="Q196" i="24"/>
  <c r="O185" i="24"/>
  <c r="Q162" i="24"/>
  <c r="O149" i="24"/>
  <c r="O143" i="24"/>
  <c r="P137" i="24"/>
  <c r="O132" i="24"/>
  <c r="O124" i="24"/>
  <c r="P115" i="24"/>
  <c r="P105" i="24"/>
  <c r="O102" i="24"/>
  <c r="P97" i="24"/>
  <c r="O94" i="24"/>
  <c r="O86" i="24"/>
  <c r="Q82" i="24"/>
  <c r="Q79" i="24"/>
  <c r="O77" i="24"/>
  <c r="Q71" i="24"/>
  <c r="O69" i="24"/>
  <c r="P66" i="24"/>
  <c r="Q63" i="24"/>
  <c r="O61" i="24"/>
  <c r="P58" i="24"/>
  <c r="Q55" i="24"/>
  <c r="P50" i="24"/>
  <c r="O45" i="24"/>
  <c r="Q39" i="24"/>
  <c r="O37" i="24"/>
  <c r="P34" i="24"/>
  <c r="Q31" i="24"/>
  <c r="O29" i="24"/>
  <c r="P26" i="24"/>
  <c r="Q23" i="24"/>
  <c r="O21" i="24"/>
  <c r="P18" i="24"/>
  <c r="P343" i="24"/>
  <c r="Q313" i="24"/>
  <c r="O287" i="24"/>
  <c r="P278" i="24"/>
  <c r="P262" i="24"/>
  <c r="P246" i="24"/>
  <c r="P230" i="24"/>
  <c r="Q217" i="24"/>
  <c r="O202" i="24"/>
  <c r="O195" i="24"/>
  <c r="Q183" i="24"/>
  <c r="Q165" i="24"/>
  <c r="O161" i="24"/>
  <c r="Q148" i="24"/>
  <c r="P142" i="24"/>
  <c r="O137" i="24"/>
  <c r="Q131" i="24"/>
  <c r="Q123" i="24"/>
  <c r="O114" i="24"/>
  <c r="Q108" i="24"/>
  <c r="O105" i="24"/>
  <c r="Q100" i="24"/>
  <c r="O97" i="24"/>
  <c r="P82" i="24"/>
  <c r="P79" i="24"/>
  <c r="Q76" i="24"/>
  <c r="P71" i="24"/>
  <c r="Q68" i="24"/>
  <c r="O66" i="24"/>
  <c r="P63" i="24"/>
  <c r="Q60" i="24"/>
  <c r="O58" i="24"/>
  <c r="P55" i="24"/>
  <c r="Q52" i="24"/>
  <c r="O50" i="24"/>
  <c r="Q44" i="24"/>
  <c r="P39" i="24"/>
  <c r="Q36" i="24"/>
  <c r="O34" i="24"/>
  <c r="P31" i="24"/>
  <c r="O26" i="24"/>
  <c r="P23" i="24"/>
  <c r="Q20" i="24"/>
  <c r="O337" i="24"/>
  <c r="O313" i="24"/>
  <c r="O295" i="24"/>
  <c r="P286" i="24"/>
  <c r="P274" i="24"/>
  <c r="P255" i="24"/>
  <c r="Q229" i="24"/>
  <c r="Q213" i="24"/>
  <c r="P194" i="24"/>
  <c r="P183" i="24"/>
  <c r="Q169" i="24"/>
  <c r="P165" i="24"/>
  <c r="P160" i="24"/>
  <c r="P148" i="24"/>
  <c r="O142" i="24"/>
  <c r="Q136" i="24"/>
  <c r="P131" i="24"/>
  <c r="P123" i="24"/>
  <c r="Q118" i="24"/>
  <c r="P113" i="24"/>
  <c r="O108" i="24"/>
  <c r="Q104" i="24"/>
  <c r="O100" i="24"/>
  <c r="O82" i="24"/>
  <c r="O79" i="24"/>
  <c r="P76" i="24"/>
  <c r="Q73" i="24"/>
  <c r="O71" i="24"/>
  <c r="P68" i="24"/>
  <c r="Q65" i="24"/>
  <c r="O63" i="24"/>
  <c r="P60" i="24"/>
  <c r="Q57" i="24"/>
  <c r="O55" i="24"/>
  <c r="P52" i="24"/>
  <c r="P44" i="24"/>
  <c r="Q41" i="24"/>
  <c r="O39" i="24"/>
  <c r="P36" i="24"/>
  <c r="Q33" i="24"/>
  <c r="O31" i="24"/>
  <c r="Q25" i="24"/>
  <c r="P330" i="24"/>
  <c r="O309" i="24"/>
  <c r="P294" i="24"/>
  <c r="O274" i="24"/>
  <c r="O255" i="24"/>
  <c r="O226" i="24"/>
  <c r="O213" i="24"/>
  <c r="P192" i="24"/>
  <c r="O183" i="24"/>
  <c r="Q175" i="24"/>
  <c r="O160" i="24"/>
  <c r="P155" i="24"/>
  <c r="Q146" i="24"/>
  <c r="Q140" i="24"/>
  <c r="P135" i="24"/>
  <c r="O130" i="24"/>
  <c r="O122" i="24"/>
  <c r="P118" i="24"/>
  <c r="O113" i="24"/>
  <c r="Q107" i="24"/>
  <c r="Q99" i="24"/>
  <c r="Q88" i="24"/>
  <c r="Q81" i="24"/>
  <c r="Q78" i="24"/>
  <c r="O76" i="24"/>
  <c r="P73" i="24"/>
  <c r="Q70" i="24"/>
  <c r="O68" i="24"/>
  <c r="P65" i="24"/>
  <c r="Q62" i="24"/>
  <c r="O60" i="24"/>
  <c r="P57" i="24"/>
  <c r="Q54" i="24"/>
  <c r="O52" i="24"/>
  <c r="Q46" i="24"/>
  <c r="O44" i="24"/>
  <c r="P41" i="24"/>
  <c r="Q38" i="24"/>
  <c r="O36" i="24"/>
  <c r="P33" i="24"/>
  <c r="Q30" i="24"/>
  <c r="P25" i="24"/>
  <c r="Q22" i="24"/>
  <c r="O20" i="24"/>
  <c r="P17" i="24"/>
  <c r="Q14" i="24"/>
  <c r="P9" i="24"/>
  <c r="Q6" i="24"/>
  <c r="K1049" i="24"/>
  <c r="K1041" i="24"/>
  <c r="K1033" i="24"/>
  <c r="K1025" i="24"/>
  <c r="K1017" i="24"/>
  <c r="K1009" i="24"/>
  <c r="K1001" i="24"/>
  <c r="K993" i="24"/>
  <c r="K985" i="24"/>
  <c r="K961" i="24"/>
  <c r="K953" i="24"/>
  <c r="K945" i="24"/>
  <c r="K937" i="24"/>
  <c r="K929" i="24"/>
  <c r="K921" i="24"/>
  <c r="K913" i="24"/>
  <c r="K905" i="24"/>
  <c r="K889" i="24"/>
  <c r="K881" i="24"/>
  <c r="K873" i="24"/>
  <c r="K865" i="24"/>
  <c r="K857" i="24"/>
  <c r="K849" i="24"/>
  <c r="K833" i="24"/>
  <c r="K825" i="24"/>
  <c r="K817" i="24"/>
  <c r="K809" i="24"/>
  <c r="K801" i="24"/>
  <c r="K793" i="24"/>
  <c r="K785" i="24"/>
  <c r="K777" i="24"/>
  <c r="K769" i="24"/>
  <c r="K761" i="24"/>
  <c r="K753" i="24"/>
  <c r="K745" i="24"/>
  <c r="K737" i="24"/>
  <c r="K729" i="24"/>
  <c r="K721" i="24"/>
  <c r="K713" i="24"/>
  <c r="K705" i="24"/>
  <c r="K697" i="24"/>
  <c r="K689" i="24"/>
  <c r="K681" i="24"/>
  <c r="K673" i="24"/>
  <c r="K665" i="24"/>
  <c r="K657" i="24"/>
  <c r="K641" i="24"/>
  <c r="K633" i="24"/>
  <c r="K625" i="24"/>
  <c r="K617" i="24"/>
  <c r="K609" i="24"/>
  <c r="K601" i="24"/>
  <c r="K593" i="24"/>
  <c r="K585" i="24"/>
  <c r="K577" i="24"/>
  <c r="K569" i="24"/>
  <c r="K561" i="24"/>
  <c r="K553" i="24"/>
  <c r="K545" i="24"/>
  <c r="K537" i="24"/>
  <c r="K529" i="24"/>
  <c r="K513" i="24"/>
  <c r="K505" i="24"/>
  <c r="K497" i="24"/>
  <c r="K489" i="24"/>
  <c r="K481" i="24"/>
  <c r="K473" i="24"/>
  <c r="K465" i="24"/>
  <c r="K449" i="24"/>
  <c r="K441" i="24"/>
  <c r="K433" i="24"/>
  <c r="K425" i="24"/>
  <c r="K417" i="24"/>
  <c r="K409" i="24"/>
  <c r="K401" i="24"/>
  <c r="K393" i="24"/>
  <c r="K385" i="24"/>
  <c r="K377" i="24"/>
  <c r="K361" i="24"/>
  <c r="K353" i="24"/>
  <c r="K345" i="24"/>
  <c r="K337" i="24"/>
  <c r="K329" i="24"/>
  <c r="K321" i="24"/>
  <c r="K313" i="24"/>
  <c r="K305" i="24"/>
  <c r="K297" i="24"/>
  <c r="K281" i="24"/>
  <c r="K273" i="24"/>
  <c r="K265" i="24"/>
  <c r="K257" i="24"/>
  <c r="K249" i="24"/>
  <c r="K241" i="24"/>
  <c r="K233" i="24"/>
  <c r="K225" i="24"/>
  <c r="K217" i="24"/>
  <c r="K209" i="24"/>
  <c r="K201" i="24"/>
  <c r="K193" i="24"/>
  <c r="K185" i="24"/>
  <c r="K177" i="24"/>
  <c r="K169" i="24"/>
  <c r="K161" i="24"/>
  <c r="K145" i="24"/>
  <c r="K137" i="24"/>
  <c r="K129" i="24"/>
  <c r="K121" i="24"/>
  <c r="K113" i="24"/>
  <c r="K105" i="24"/>
  <c r="K97" i="24"/>
  <c r="K81" i="24"/>
  <c r="K73" i="24"/>
  <c r="K65" i="24"/>
  <c r="K57" i="24"/>
  <c r="K41" i="24"/>
  <c r="K33" i="24"/>
  <c r="K25" i="24"/>
  <c r="K17" i="24"/>
  <c r="K9" i="24"/>
  <c r="K88" i="24"/>
  <c r="K64" i="24"/>
  <c r="P21" i="24"/>
  <c r="O15" i="24"/>
  <c r="O10" i="24"/>
  <c r="P5" i="24"/>
  <c r="K1037" i="24"/>
  <c r="K1011" i="24"/>
  <c r="K995" i="24"/>
  <c r="K980" i="24"/>
  <c r="K956" i="24"/>
  <c r="K941" i="24"/>
  <c r="K925" i="24"/>
  <c r="K898" i="24"/>
  <c r="K852" i="24"/>
  <c r="K837" i="24"/>
  <c r="K826" i="24"/>
  <c r="K810" i="24"/>
  <c r="K796" i="24"/>
  <c r="K782" i="24"/>
  <c r="K771" i="24"/>
  <c r="K758" i="24"/>
  <c r="K747" i="24"/>
  <c r="K733" i="24"/>
  <c r="K722" i="24"/>
  <c r="K708" i="24"/>
  <c r="K698" i="24"/>
  <c r="K684" i="24"/>
  <c r="K660" i="24"/>
  <c r="K638" i="24"/>
  <c r="K627" i="24"/>
  <c r="K613" i="24"/>
  <c r="K602" i="24"/>
  <c r="K588" i="24"/>
  <c r="K574" i="24"/>
  <c r="K563" i="24"/>
  <c r="K549" i="24"/>
  <c r="K538" i="24"/>
  <c r="K524" i="24"/>
  <c r="K514" i="24"/>
  <c r="K500" i="24"/>
  <c r="K490" i="24"/>
  <c r="K478" i="24"/>
  <c r="K467" i="24"/>
  <c r="K434" i="24"/>
  <c r="K420" i="24"/>
  <c r="K410" i="24"/>
  <c r="K396" i="24"/>
  <c r="K387" i="24"/>
  <c r="K373" i="24"/>
  <c r="K363" i="24"/>
  <c r="K349" i="24"/>
  <c r="K338" i="24"/>
  <c r="K324" i="24"/>
  <c r="K310" i="24"/>
  <c r="K299" i="24"/>
  <c r="K276" i="24"/>
  <c r="K262" i="24"/>
  <c r="K252" i="24"/>
  <c r="K228" i="24"/>
  <c r="K214" i="24"/>
  <c r="K204" i="24"/>
  <c r="K195" i="24"/>
  <c r="K182" i="24"/>
  <c r="K172" i="24"/>
  <c r="K162" i="24"/>
  <c r="K150" i="24"/>
  <c r="K117" i="24"/>
  <c r="K94" i="24"/>
  <c r="K75" i="24"/>
  <c r="K63" i="24"/>
  <c r="K45" i="24"/>
  <c r="K62" i="24"/>
  <c r="K35" i="24"/>
  <c r="K7" i="24"/>
  <c r="K804" i="24"/>
  <c r="K693" i="24"/>
  <c r="K636" i="24"/>
  <c r="K509" i="24"/>
  <c r="K476" i="24"/>
  <c r="K429" i="24"/>
  <c r="K394" i="24"/>
  <c r="K371" i="24"/>
  <c r="K333" i="24"/>
  <c r="K274" i="24"/>
  <c r="K250" i="24"/>
  <c r="K226" i="24"/>
  <c r="K180" i="24"/>
  <c r="K134" i="24"/>
  <c r="K102" i="24"/>
  <c r="K83" i="24"/>
  <c r="K6" i="24"/>
  <c r="I56" i="23" s="1"/>
  <c r="K819" i="24"/>
  <c r="K766" i="24"/>
  <c r="K692" i="24"/>
  <c r="K621" i="24"/>
  <c r="K557" i="24"/>
  <c r="K461" i="24"/>
  <c r="K428" i="24"/>
  <c r="K381" i="24"/>
  <c r="K332" i="24"/>
  <c r="K294" i="24"/>
  <c r="K236" i="24"/>
  <c r="K179" i="24"/>
  <c r="K156" i="24"/>
  <c r="K124" i="24"/>
  <c r="K82" i="24"/>
  <c r="K50" i="24"/>
  <c r="K23" i="24"/>
  <c r="K5" i="24"/>
  <c r="K556" i="24"/>
  <c r="K518" i="24"/>
  <c r="K485" i="24"/>
  <c r="K460" i="24"/>
  <c r="K403" i="24"/>
  <c r="K331" i="24"/>
  <c r="K283" i="24"/>
  <c r="K235" i="24"/>
  <c r="K178" i="24"/>
  <c r="K132" i="24"/>
  <c r="K100" i="24"/>
  <c r="K69" i="24"/>
  <c r="K40" i="24"/>
  <c r="K13" i="24"/>
  <c r="K459" i="24"/>
  <c r="K413" i="24"/>
  <c r="K379" i="24"/>
  <c r="K330" i="24"/>
  <c r="K268" i="24"/>
  <c r="K220" i="24"/>
  <c r="K165" i="24"/>
  <c r="K131" i="24"/>
  <c r="K78" i="24"/>
  <c r="K354" i="24"/>
  <c r="K315" i="24"/>
  <c r="K278" i="24"/>
  <c r="K230" i="24"/>
  <c r="K174" i="24"/>
  <c r="K87" i="24"/>
  <c r="P20" i="24"/>
  <c r="P13" i="24"/>
  <c r="Q9" i="24"/>
  <c r="O5" i="24"/>
  <c r="K1036" i="24"/>
  <c r="K1021" i="24"/>
  <c r="K1010" i="24"/>
  <c r="K994" i="24"/>
  <c r="K979" i="24"/>
  <c r="K955" i="24"/>
  <c r="K940" i="24"/>
  <c r="K924" i="24"/>
  <c r="K909" i="24"/>
  <c r="K883" i="24"/>
  <c r="K867" i="24"/>
  <c r="K851" i="24"/>
  <c r="K836" i="24"/>
  <c r="K821" i="24"/>
  <c r="K805" i="24"/>
  <c r="K795" i="24"/>
  <c r="K781" i="24"/>
  <c r="K770" i="24"/>
  <c r="K757" i="24"/>
  <c r="K746" i="24"/>
  <c r="K732" i="24"/>
  <c r="K718" i="24"/>
  <c r="K707" i="24"/>
  <c r="K694" i="24"/>
  <c r="K683" i="24"/>
  <c r="K670" i="24"/>
  <c r="K659" i="24"/>
  <c r="K637" i="24"/>
  <c r="K626" i="24"/>
  <c r="K612" i="24"/>
  <c r="K587" i="24"/>
  <c r="K573" i="24"/>
  <c r="K562" i="24"/>
  <c r="K548" i="24"/>
  <c r="K534" i="24"/>
  <c r="K523" i="24"/>
  <c r="K510" i="24"/>
  <c r="K499" i="24"/>
  <c r="K477" i="24"/>
  <c r="K466" i="24"/>
  <c r="K454" i="24"/>
  <c r="K443" i="24"/>
  <c r="K430" i="24"/>
  <c r="K419" i="24"/>
  <c r="K406" i="24"/>
  <c r="K395" i="24"/>
  <c r="K386" i="24"/>
  <c r="K372" i="24"/>
  <c r="K362" i="24"/>
  <c r="K348" i="24"/>
  <c r="K334" i="24"/>
  <c r="K323" i="24"/>
  <c r="K309" i="24"/>
  <c r="K298" i="24"/>
  <c r="K286" i="24"/>
  <c r="K275" i="24"/>
  <c r="K251" i="24"/>
  <c r="K238" i="24"/>
  <c r="K227" i="24"/>
  <c r="K213" i="24"/>
  <c r="K203" i="24"/>
  <c r="K194" i="24"/>
  <c r="K181" i="24"/>
  <c r="K149" i="24"/>
  <c r="K138" i="24"/>
  <c r="K126" i="24"/>
  <c r="K116" i="24"/>
  <c r="K93" i="24"/>
  <c r="K84" i="24"/>
  <c r="K44" i="24"/>
  <c r="K16" i="24"/>
  <c r="K794" i="24"/>
  <c r="K731" i="24"/>
  <c r="K706" i="24"/>
  <c r="K682" i="24"/>
  <c r="K669" i="24"/>
  <c r="K622" i="24"/>
  <c r="K586" i="24"/>
  <c r="K547" i="24"/>
  <c r="K522" i="24"/>
  <c r="K498" i="24"/>
  <c r="K442" i="24"/>
  <c r="K405" i="24"/>
  <c r="K358" i="24"/>
  <c r="K285" i="24"/>
  <c r="K237" i="24"/>
  <c r="K202" i="24"/>
  <c r="K115" i="24"/>
  <c r="K71" i="24"/>
  <c r="K34" i="24"/>
  <c r="K15" i="24"/>
  <c r="K834" i="24"/>
  <c r="K755" i="24"/>
  <c r="K716" i="24"/>
  <c r="K678" i="24"/>
  <c r="K646" i="24"/>
  <c r="K596" i="24"/>
  <c r="K546" i="24"/>
  <c r="K475" i="24"/>
  <c r="K452" i="24"/>
  <c r="K370" i="24"/>
  <c r="K318" i="24"/>
  <c r="K211" i="24"/>
  <c r="K147" i="24"/>
  <c r="K60" i="24"/>
  <c r="K14" i="24"/>
  <c r="K494" i="24"/>
  <c r="K451" i="24"/>
  <c r="K342" i="24"/>
  <c r="K306" i="24"/>
  <c r="K269" i="24"/>
  <c r="K210" i="24"/>
  <c r="K123" i="24"/>
  <c r="K79" i="24"/>
  <c r="K31" i="24"/>
  <c r="K484" i="24"/>
  <c r="K402" i="24"/>
  <c r="K341" i="24"/>
  <c r="K282" i="24"/>
  <c r="K245" i="24"/>
  <c r="K198" i="24"/>
  <c r="K154" i="24"/>
  <c r="K109" i="24"/>
  <c r="K39" i="24"/>
  <c r="K378" i="24"/>
  <c r="K254" i="24"/>
  <c r="K38" i="24"/>
  <c r="O40" i="24"/>
  <c r="Q18" i="24"/>
  <c r="O13" i="24"/>
  <c r="K1035" i="24"/>
  <c r="K1020" i="24"/>
  <c r="K1005" i="24"/>
  <c r="K989" i="24"/>
  <c r="K978" i="24"/>
  <c r="K954" i="24"/>
  <c r="K939" i="24"/>
  <c r="K923" i="24"/>
  <c r="K908" i="24"/>
  <c r="K882" i="24"/>
  <c r="K866" i="24"/>
  <c r="K850" i="24"/>
  <c r="K820" i="24"/>
  <c r="K780" i="24"/>
  <c r="K756" i="24"/>
  <c r="K742" i="24"/>
  <c r="K717" i="24"/>
  <c r="K658" i="24"/>
  <c r="K558" i="24"/>
  <c r="K453" i="24"/>
  <c r="K322" i="24"/>
  <c r="K170" i="24"/>
  <c r="K61" i="24"/>
  <c r="K803" i="24"/>
  <c r="K654" i="24"/>
  <c r="K582" i="24"/>
  <c r="K508" i="24"/>
  <c r="K346" i="24"/>
  <c r="K270" i="24"/>
  <c r="K190" i="24"/>
  <c r="K114" i="24"/>
  <c r="K32" i="24"/>
  <c r="K542" i="24"/>
  <c r="K438" i="24"/>
  <c r="K317" i="24"/>
  <c r="K258" i="24"/>
  <c r="K155" i="24"/>
  <c r="K90" i="24"/>
  <c r="K22" i="24"/>
  <c r="K437" i="24"/>
  <c r="K366" i="24"/>
  <c r="K142" i="24"/>
  <c r="K68" i="24"/>
  <c r="K365" i="24"/>
  <c r="K291" i="24"/>
  <c r="K219" i="24"/>
  <c r="K108" i="24"/>
  <c r="K55" i="24"/>
  <c r="K11" i="24"/>
  <c r="P37" i="24"/>
  <c r="O18" i="24"/>
  <c r="K1034" i="24"/>
  <c r="K1019" i="24"/>
  <c r="K1004" i="24"/>
  <c r="K988" i="24"/>
  <c r="K965" i="24"/>
  <c r="K938" i="24"/>
  <c r="K922" i="24"/>
  <c r="K907" i="24"/>
  <c r="K861" i="24"/>
  <c r="K790" i="24"/>
  <c r="K779" i="24"/>
  <c r="K741" i="24"/>
  <c r="K610" i="24"/>
  <c r="K259" i="24"/>
  <c r="K122" i="24"/>
  <c r="K21" i="24"/>
  <c r="K340" i="24"/>
  <c r="K197" i="24"/>
  <c r="K20" i="24"/>
  <c r="Q34" i="24"/>
  <c r="Q17" i="24"/>
  <c r="K1045" i="24"/>
  <c r="K1029" i="24"/>
  <c r="K1018" i="24"/>
  <c r="K1003" i="24"/>
  <c r="K987" i="24"/>
  <c r="K973" i="24"/>
  <c r="K964" i="24"/>
  <c r="K949" i="24"/>
  <c r="K933" i="24"/>
  <c r="K906" i="24"/>
  <c r="K892" i="24"/>
  <c r="K876" i="24"/>
  <c r="K860" i="24"/>
  <c r="K844" i="24"/>
  <c r="K818" i="24"/>
  <c r="K802" i="24"/>
  <c r="K789" i="24"/>
  <c r="K778" i="24"/>
  <c r="K765" i="24"/>
  <c r="K754" i="24"/>
  <c r="K740" i="24"/>
  <c r="K726" i="24"/>
  <c r="K715" i="24"/>
  <c r="K702" i="24"/>
  <c r="K691" i="24"/>
  <c r="K677" i="24"/>
  <c r="K667" i="24"/>
  <c r="K653" i="24"/>
  <c r="K645" i="24"/>
  <c r="K634" i="24"/>
  <c r="K620" i="24"/>
  <c r="K606" i="24"/>
  <c r="K595" i="24"/>
  <c r="K531" i="24"/>
  <c r="K414" i="24"/>
  <c r="K48" i="24"/>
  <c r="K398" i="24"/>
  <c r="K187" i="24"/>
  <c r="O32" i="24"/>
  <c r="Q26" i="24"/>
  <c r="O16" i="24"/>
  <c r="Q7" i="24"/>
  <c r="K1044" i="24"/>
  <c r="K1028" i="24"/>
  <c r="K1002" i="24"/>
  <c r="K986" i="24"/>
  <c r="K972" i="24"/>
  <c r="K963" i="24"/>
  <c r="K948" i="24"/>
  <c r="K932" i="24"/>
  <c r="K916" i="24"/>
  <c r="K891" i="24"/>
  <c r="K875" i="24"/>
  <c r="K843" i="24"/>
  <c r="K829" i="24"/>
  <c r="K813" i="24"/>
  <c r="K788" i="24"/>
  <c r="K774" i="24"/>
  <c r="K764" i="24"/>
  <c r="K750" i="24"/>
  <c r="K725" i="24"/>
  <c r="K714" i="24"/>
  <c r="K701" i="24"/>
  <c r="K690" i="24"/>
  <c r="K676" i="24"/>
  <c r="K666" i="24"/>
  <c r="K652" i="24"/>
  <c r="K644" i="24"/>
  <c r="K630" i="24"/>
  <c r="K619" i="24"/>
  <c r="K605" i="24"/>
  <c r="K594" i="24"/>
  <c r="K580" i="24"/>
  <c r="K555" i="24"/>
  <c r="K541" i="24"/>
  <c r="K530" i="24"/>
  <c r="K517" i="24"/>
  <c r="K506" i="24"/>
  <c r="K493" i="24"/>
  <c r="K470" i="24"/>
  <c r="K316" i="24"/>
  <c r="K58" i="24"/>
  <c r="K67" i="24"/>
  <c r="P29" i="24"/>
  <c r="O24" i="24"/>
  <c r="Q15" i="24"/>
  <c r="Q10" i="24"/>
  <c r="P7" i="24"/>
  <c r="K1043" i="24"/>
  <c r="K1027" i="24"/>
  <c r="K1013" i="24"/>
  <c r="K997" i="24"/>
  <c r="K971" i="24"/>
  <c r="K947" i="24"/>
  <c r="K931" i="24"/>
  <c r="K915" i="24"/>
  <c r="K900" i="24"/>
  <c r="K890" i="24"/>
  <c r="K842" i="24"/>
  <c r="K828" i="24"/>
  <c r="K812" i="24"/>
  <c r="K798" i="24"/>
  <c r="K787" i="24"/>
  <c r="K773" i="24"/>
  <c r="K763" i="24"/>
  <c r="K749" i="24"/>
  <c r="K738" i="24"/>
  <c r="K724" i="24"/>
  <c r="K710" i="24"/>
  <c r="K700" i="24"/>
  <c r="K686" i="24"/>
  <c r="K675" i="24"/>
  <c r="K662" i="24"/>
  <c r="K651" i="24"/>
  <c r="K643" i="24"/>
  <c r="K629" i="24"/>
  <c r="K618" i="24"/>
  <c r="K604" i="24"/>
  <c r="K590" i="24"/>
  <c r="K579" i="24"/>
  <c r="K565" i="24"/>
  <c r="K554" i="24"/>
  <c r="K540" i="24"/>
  <c r="K526" i="24"/>
  <c r="K516" i="24"/>
  <c r="K502" i="24"/>
  <c r="K492" i="24"/>
  <c r="K458" i="24"/>
  <c r="K446" i="24"/>
  <c r="K436" i="24"/>
  <c r="K422" i="24"/>
  <c r="K412" i="24"/>
  <c r="K389" i="24"/>
  <c r="K326" i="24"/>
  <c r="K267" i="24"/>
  <c r="K130" i="24"/>
  <c r="O23" i="24"/>
  <c r="P15" i="24"/>
  <c r="P10" i="24"/>
  <c r="O7" i="24"/>
  <c r="K1042" i="24"/>
  <c r="K1026" i="24"/>
  <c r="K1012" i="24"/>
  <c r="K981" i="24"/>
  <c r="K957" i="24"/>
  <c r="K946" i="24"/>
  <c r="K930" i="24"/>
  <c r="K914" i="24"/>
  <c r="K899" i="24"/>
  <c r="K885" i="24"/>
  <c r="K853" i="24"/>
  <c r="K827" i="24"/>
  <c r="K811" i="24"/>
  <c r="K797" i="24"/>
  <c r="K786" i="24"/>
  <c r="K772" i="24"/>
  <c r="K762" i="24"/>
  <c r="K748" i="24"/>
  <c r="K734" i="24"/>
  <c r="K723" i="24"/>
  <c r="K709" i="24"/>
  <c r="K699" i="24"/>
  <c r="K685" i="24"/>
  <c r="K674" i="24"/>
  <c r="K661" i="24"/>
  <c r="K650" i="24"/>
  <c r="K642" i="24"/>
  <c r="K628" i="24"/>
  <c r="K614" i="24"/>
  <c r="K603" i="24"/>
  <c r="K589" i="24"/>
  <c r="K578" i="24"/>
  <c r="K564" i="24"/>
  <c r="K550" i="24"/>
  <c r="K539" i="24"/>
  <c r="K525" i="24"/>
  <c r="K515" i="24"/>
  <c r="K501" i="24"/>
  <c r="K491" i="24"/>
  <c r="K482" i="24"/>
  <c r="K468" i="24"/>
  <c r="K445" i="24"/>
  <c r="K435" i="24"/>
  <c r="K421" i="24"/>
  <c r="K411" i="24"/>
  <c r="K397" i="24"/>
  <c r="K388" i="24"/>
  <c r="K374" i="24"/>
  <c r="K364" i="24"/>
  <c r="K350" i="24"/>
  <c r="K339" i="24"/>
  <c r="K325" i="24"/>
  <c r="K314" i="24"/>
  <c r="K300" i="24"/>
  <c r="K290" i="24"/>
  <c r="K277" i="24"/>
  <c r="K253" i="24"/>
  <c r="K243" i="24"/>
  <c r="K229" i="24"/>
  <c r="K218" i="24"/>
  <c r="K205" i="24"/>
  <c r="K196" i="24"/>
  <c r="K186" i="24"/>
  <c r="K173" i="24"/>
  <c r="K163" i="24"/>
  <c r="K140" i="24"/>
  <c r="K118" i="24"/>
  <c r="K107" i="24"/>
  <c r="K86" i="24"/>
  <c r="K76" i="24"/>
  <c r="K66" i="24"/>
  <c r="K54" i="24"/>
  <c r="K46" i="24"/>
  <c r="K37" i="24"/>
  <c r="K19" i="24"/>
  <c r="K10" i="24"/>
  <c r="K139" i="24"/>
  <c r="K36" i="24"/>
  <c r="K18" i="24"/>
  <c r="K52" i="24"/>
  <c r="K26" i="24"/>
  <c r="K835" i="24"/>
  <c r="K611" i="24"/>
  <c r="K572" i="24"/>
  <c r="K462" i="24"/>
  <c r="K418" i="24"/>
  <c r="K382" i="24"/>
  <c r="K347" i="24"/>
  <c r="K308" i="24"/>
  <c r="K260" i="24"/>
  <c r="K148" i="24"/>
  <c r="K125" i="24"/>
  <c r="K51" i="24"/>
  <c r="K24" i="24"/>
  <c r="K845" i="24"/>
  <c r="K730" i="24"/>
  <c r="K668" i="24"/>
  <c r="K635" i="24"/>
  <c r="K571" i="24"/>
  <c r="K532" i="24"/>
  <c r="K486" i="24"/>
  <c r="K404" i="24"/>
  <c r="K357" i="24"/>
  <c r="K307" i="24"/>
  <c r="K222" i="24"/>
  <c r="K133" i="24"/>
  <c r="K101" i="24"/>
  <c r="K70" i="24"/>
  <c r="K570" i="24"/>
  <c r="K507" i="24"/>
  <c r="K474" i="24"/>
  <c r="K427" i="24"/>
  <c r="K380" i="24"/>
  <c r="K356" i="24"/>
  <c r="K293" i="24"/>
  <c r="K246" i="24"/>
  <c r="K146" i="24"/>
  <c r="K390" i="24"/>
  <c r="K355" i="24"/>
  <c r="K292" i="24"/>
  <c r="K234" i="24"/>
  <c r="K99" i="24"/>
  <c r="K30" i="24"/>
  <c r="K244" i="24"/>
  <c r="K141" i="24"/>
  <c r="K77" i="24"/>
  <c r="K29" i="24"/>
  <c r="D74" i="23"/>
  <c r="D235" i="23"/>
  <c r="D195" i="23"/>
  <c r="D187" i="23"/>
  <c r="D179" i="23"/>
  <c r="D171" i="23"/>
  <c r="D155" i="23"/>
  <c r="D139" i="23"/>
  <c r="D131" i="23"/>
  <c r="D123" i="23"/>
  <c r="D91" i="23"/>
  <c r="D72" i="23"/>
  <c r="D62" i="23"/>
  <c r="C216" i="23"/>
  <c r="C202" i="23"/>
  <c r="C189" i="23"/>
  <c r="C223" i="23"/>
  <c r="C239" i="23"/>
  <c r="C179" i="23"/>
  <c r="C169" i="23"/>
  <c r="C154" i="23"/>
  <c r="C140" i="23"/>
  <c r="C130" i="23"/>
  <c r="C118" i="23"/>
  <c r="C96" i="23"/>
  <c r="C87" i="23"/>
  <c r="C73" i="23"/>
  <c r="C61" i="23"/>
  <c r="D48" i="23"/>
  <c r="AQ41" i="23"/>
  <c r="AQ33" i="23"/>
  <c r="AQ23" i="23"/>
  <c r="AQ14" i="23"/>
  <c r="AQ6" i="23"/>
  <c r="AL21" i="23"/>
  <c r="AL13" i="23"/>
  <c r="AL5" i="23"/>
  <c r="V4234" i="23"/>
  <c r="V4226" i="23"/>
  <c r="V4218" i="23"/>
  <c r="V4210" i="23"/>
  <c r="V4202" i="23"/>
  <c r="V4194" i="23"/>
  <c r="V4186" i="23"/>
  <c r="V4178" i="23"/>
  <c r="V4170" i="23"/>
  <c r="V4162" i="23"/>
  <c r="V4154" i="23"/>
  <c r="V4146" i="23"/>
  <c r="V4138" i="23"/>
  <c r="V4130" i="23"/>
  <c r="V4122" i="23"/>
  <c r="V4114" i="23"/>
  <c r="V4106" i="23"/>
  <c r="V4098" i="23"/>
  <c r="V4090" i="23"/>
  <c r="V4082" i="23"/>
  <c r="V4074" i="23"/>
  <c r="V4066" i="23"/>
  <c r="V4058" i="23"/>
  <c r="V4050" i="23"/>
  <c r="V4042" i="23"/>
  <c r="V4034" i="23"/>
  <c r="V4026" i="23"/>
  <c r="V4018" i="23"/>
  <c r="V4010" i="23"/>
  <c r="V4002" i="23"/>
  <c r="V3994" i="23"/>
  <c r="V3986" i="23"/>
  <c r="V3978" i="23"/>
  <c r="V3970" i="23"/>
  <c r="V3962" i="23"/>
  <c r="V3954" i="23"/>
  <c r="V3946" i="23"/>
  <c r="V3938" i="23"/>
  <c r="V3930" i="23"/>
  <c r="V3922" i="23"/>
  <c r="V3914" i="23"/>
  <c r="V3906" i="23"/>
  <c r="V3898" i="23"/>
  <c r="V3890" i="23"/>
  <c r="V3882" i="23"/>
  <c r="V3874" i="23"/>
  <c r="V3866" i="23"/>
  <c r="V3858" i="23"/>
  <c r="V3850" i="23"/>
  <c r="V3842" i="23"/>
  <c r="V3834" i="23"/>
  <c r="V3826" i="23"/>
  <c r="V3818" i="23"/>
  <c r="V3810" i="23"/>
  <c r="V3802" i="23"/>
  <c r="V3794" i="23"/>
  <c r="V3786" i="23"/>
  <c r="V3778" i="23"/>
  <c r="V3770" i="23"/>
  <c r="V3762" i="23"/>
  <c r="V3754" i="23"/>
  <c r="V3746" i="23"/>
  <c r="V3738" i="23"/>
  <c r="V3730" i="23"/>
  <c r="V3722" i="23"/>
  <c r="V3714" i="23"/>
  <c r="V3706" i="23"/>
  <c r="V3698" i="23"/>
  <c r="V3690" i="23"/>
  <c r="V3682" i="23"/>
  <c r="V3674" i="23"/>
  <c r="V3666" i="23"/>
  <c r="V3658" i="23"/>
  <c r="V3650" i="23"/>
  <c r="V3642" i="23"/>
  <c r="V3634" i="23"/>
  <c r="V3626" i="23"/>
  <c r="V3618" i="23"/>
  <c r="V3610" i="23"/>
  <c r="V3602" i="23"/>
  <c r="V3594" i="23"/>
  <c r="V3586" i="23"/>
  <c r="V3578" i="23"/>
  <c r="V3570" i="23"/>
  <c r="V3562" i="23"/>
  <c r="V3554" i="23"/>
  <c r="V3546" i="23"/>
  <c r="V3538" i="23"/>
  <c r="V3530" i="23"/>
  <c r="V3522" i="23"/>
  <c r="V3514" i="23"/>
  <c r="V3506" i="23"/>
  <c r="V3498" i="23"/>
  <c r="V3490" i="23"/>
  <c r="V3482" i="23"/>
  <c r="V3474" i="23"/>
  <c r="V3466" i="23"/>
  <c r="V3458" i="23"/>
  <c r="V3450" i="23"/>
  <c r="V3442" i="23"/>
  <c r="V3434" i="23"/>
  <c r="V3426" i="23"/>
  <c r="V3418" i="23"/>
  <c r="V3410" i="23"/>
  <c r="V3402" i="23"/>
  <c r="V3394" i="23"/>
  <c r="V3386" i="23"/>
  <c r="V3378" i="23"/>
  <c r="V3370" i="23"/>
  <c r="V3362" i="23"/>
  <c r="V3354" i="23"/>
  <c r="V3346" i="23"/>
  <c r="V3338" i="23"/>
  <c r="V3330" i="23"/>
  <c r="V3322" i="23"/>
  <c r="V3314" i="23"/>
  <c r="V3306" i="23"/>
  <c r="V3298" i="23"/>
  <c r="V3290" i="23"/>
  <c r="V3282" i="23"/>
  <c r="V3274" i="23"/>
  <c r="V3266" i="23"/>
  <c r="V3258" i="23"/>
  <c r="V3250" i="23"/>
  <c r="V3242" i="23"/>
  <c r="V3234" i="23"/>
  <c r="V3226" i="23"/>
  <c r="D75" i="23"/>
  <c r="D218" i="23"/>
  <c r="D210" i="23"/>
  <c r="D202" i="23"/>
  <c r="D186" i="23"/>
  <c r="D178" i="23"/>
  <c r="D170" i="23"/>
  <c r="D162" i="23"/>
  <c r="D154" i="23"/>
  <c r="D146" i="23"/>
  <c r="D138" i="23"/>
  <c r="D130" i="23"/>
  <c r="D90" i="23"/>
  <c r="D82" i="23"/>
  <c r="D71" i="23"/>
  <c r="D61" i="23"/>
  <c r="D53" i="23"/>
  <c r="C215" i="23"/>
  <c r="C201" i="23"/>
  <c r="C188" i="23"/>
  <c r="C222" i="23"/>
  <c r="C238" i="23"/>
  <c r="C178" i="23"/>
  <c r="C167" i="23"/>
  <c r="C152" i="23"/>
  <c r="C139" i="23"/>
  <c r="C129" i="23"/>
  <c r="C116" i="23"/>
  <c r="C95" i="23"/>
  <c r="C86" i="23"/>
  <c r="C72" i="23"/>
  <c r="C59" i="23"/>
  <c r="C48" i="23"/>
  <c r="AQ40" i="23"/>
  <c r="AQ32" i="23"/>
  <c r="AQ21" i="23"/>
  <c r="AQ13" i="23"/>
  <c r="AQ5" i="23"/>
  <c r="AL20" i="23"/>
  <c r="AL12" i="23"/>
  <c r="V4241" i="23"/>
  <c r="V4233" i="23"/>
  <c r="V4225" i="23"/>
  <c r="V4217" i="23"/>
  <c r="V4209" i="23"/>
  <c r="V4201" i="23"/>
  <c r="V4193" i="23"/>
  <c r="V4185" i="23"/>
  <c r="V4177" i="23"/>
  <c r="V4169" i="23"/>
  <c r="V4161" i="23"/>
  <c r="V4153" i="23"/>
  <c r="V4145" i="23"/>
  <c r="V4137" i="23"/>
  <c r="V4129" i="23"/>
  <c r="V4121" i="23"/>
  <c r="V4113" i="23"/>
  <c r="V4105" i="23"/>
  <c r="V4097" i="23"/>
  <c r="V4089" i="23"/>
  <c r="V4081" i="23"/>
  <c r="V4073" i="23"/>
  <c r="V4065" i="23"/>
  <c r="V4057" i="23"/>
  <c r="V4049" i="23"/>
  <c r="V4041" i="23"/>
  <c r="V4033" i="23"/>
  <c r="V4025" i="23"/>
  <c r="V4017" i="23"/>
  <c r="V4009" i="23"/>
  <c r="V4001" i="23"/>
  <c r="V3993" i="23"/>
  <c r="V3985" i="23"/>
  <c r="V3977" i="23"/>
  <c r="V3969" i="23"/>
  <c r="V3961" i="23"/>
  <c r="V3953" i="23"/>
  <c r="V3945" i="23"/>
  <c r="V3937" i="23"/>
  <c r="V3929" i="23"/>
  <c r="V3921" i="23"/>
  <c r="V3913" i="23"/>
  <c r="V3905" i="23"/>
  <c r="V3897" i="23"/>
  <c r="V3889" i="23"/>
  <c r="V3881" i="23"/>
  <c r="V3873" i="23"/>
  <c r="V3865" i="23"/>
  <c r="V3857" i="23"/>
  <c r="V3849" i="23"/>
  <c r="V3841" i="23"/>
  <c r="V3833" i="23"/>
  <c r="V3825" i="23"/>
  <c r="V3817" i="23"/>
  <c r="V3809" i="23"/>
  <c r="V3801" i="23"/>
  <c r="V3793" i="23"/>
  <c r="V3785" i="23"/>
  <c r="V3777" i="23"/>
  <c r="V3769" i="23"/>
  <c r="V3761" i="23"/>
  <c r="V3753" i="23"/>
  <c r="V3745" i="23"/>
  <c r="V3737" i="23"/>
  <c r="V3729" i="23"/>
  <c r="V3721" i="23"/>
  <c r="V3713" i="23"/>
  <c r="V3705" i="23"/>
  <c r="V3697" i="23"/>
  <c r="V3689" i="23"/>
  <c r="V3681" i="23"/>
  <c r="V3673" i="23"/>
  <c r="V3665" i="23"/>
  <c r="V3657" i="23"/>
  <c r="V3649" i="23"/>
  <c r="V3641" i="23"/>
  <c r="V3633" i="23"/>
  <c r="V3625" i="23"/>
  <c r="V3617" i="23"/>
  <c r="V3609" i="23"/>
  <c r="V3601" i="23"/>
  <c r="V3593" i="23"/>
  <c r="V3585" i="23"/>
  <c r="V3577" i="23"/>
  <c r="V3569" i="23"/>
  <c r="V3561" i="23"/>
  <c r="V3553" i="23"/>
  <c r="V3545" i="23"/>
  <c r="V3537" i="23"/>
  <c r="V3529" i="23"/>
  <c r="V3521" i="23"/>
  <c r="V3513" i="23"/>
  <c r="V3505" i="23"/>
  <c r="V3497" i="23"/>
  <c r="V3489" i="23"/>
  <c r="V3481" i="23"/>
  <c r="V3473" i="23"/>
  <c r="V3465" i="23"/>
  <c r="V3457" i="23"/>
  <c r="V3449" i="23"/>
  <c r="V3441" i="23"/>
  <c r="V3433" i="23"/>
  <c r="V3425" i="23"/>
  <c r="V3417" i="23"/>
  <c r="V3409" i="23"/>
  <c r="V3401" i="23"/>
  <c r="V3393" i="23"/>
  <c r="V3385" i="23"/>
  <c r="V3377" i="23"/>
  <c r="V3369" i="23"/>
  <c r="V3361" i="23"/>
  <c r="V3353" i="23"/>
  <c r="V3345" i="23"/>
  <c r="V3337" i="23"/>
  <c r="V3329" i="23"/>
  <c r="V3321" i="23"/>
  <c r="V3313" i="23"/>
  <c r="V3305" i="23"/>
  <c r="V3297" i="23"/>
  <c r="V3289" i="23"/>
  <c r="V3281" i="23"/>
  <c r="V3273" i="23"/>
  <c r="V3265" i="23"/>
  <c r="V3257" i="23"/>
  <c r="V3249" i="23"/>
  <c r="V3241" i="23"/>
  <c r="V3233" i="23"/>
  <c r="D76" i="23"/>
  <c r="D233" i="23"/>
  <c r="D225" i="23"/>
  <c r="D217" i="23"/>
  <c r="D201" i="23"/>
  <c r="D185" i="23"/>
  <c r="D169" i="23"/>
  <c r="D153" i="23"/>
  <c r="D145" i="23"/>
  <c r="D137" i="23"/>
  <c r="D129" i="23"/>
  <c r="D97" i="23"/>
  <c r="D81" i="23"/>
  <c r="D70" i="23"/>
  <c r="D52" i="23"/>
  <c r="C214" i="23"/>
  <c r="C200" i="23"/>
  <c r="C187" i="23"/>
  <c r="C233" i="23"/>
  <c r="C237" i="23"/>
  <c r="F21" i="3" s="1"/>
  <c r="C176" i="23"/>
  <c r="C166" i="23"/>
  <c r="C149" i="23"/>
  <c r="C137" i="23"/>
  <c r="C128" i="23"/>
  <c r="C94" i="23"/>
  <c r="C82" i="23"/>
  <c r="C71" i="23"/>
  <c r="C58" i="23"/>
  <c r="AQ48" i="23"/>
  <c r="AQ39" i="23"/>
  <c r="AQ31" i="23"/>
  <c r="AQ20" i="23"/>
  <c r="AQ12" i="23"/>
  <c r="AL27" i="23"/>
  <c r="AL19" i="23"/>
  <c r="AL11" i="23"/>
  <c r="V4240" i="23"/>
  <c r="V4232" i="23"/>
  <c r="V4224" i="23"/>
  <c r="V4216" i="23"/>
  <c r="V4208" i="23"/>
  <c r="V4200" i="23"/>
  <c r="V4192" i="23"/>
  <c r="V4184" i="23"/>
  <c r="V4176" i="23"/>
  <c r="V4168" i="23"/>
  <c r="V4160" i="23"/>
  <c r="V4152" i="23"/>
  <c r="V4144" i="23"/>
  <c r="V4136" i="23"/>
  <c r="V4128" i="23"/>
  <c r="V4120" i="23"/>
  <c r="V4112" i="23"/>
  <c r="V4104" i="23"/>
  <c r="V4096" i="23"/>
  <c r="V4088" i="23"/>
  <c r="V4080" i="23"/>
  <c r="V4072" i="23"/>
  <c r="V4064" i="23"/>
  <c r="V4056" i="23"/>
  <c r="V4048" i="23"/>
  <c r="V4040" i="23"/>
  <c r="V4032" i="23"/>
  <c r="V4024" i="23"/>
  <c r="V4016" i="23"/>
  <c r="V4008" i="23"/>
  <c r="V4000" i="23"/>
  <c r="V3992" i="23"/>
  <c r="V3984" i="23"/>
  <c r="C51" i="23"/>
  <c r="D232" i="23"/>
  <c r="D224" i="23"/>
  <c r="D216" i="23"/>
  <c r="D200" i="23"/>
  <c r="D176" i="23"/>
  <c r="D152" i="23"/>
  <c r="D136" i="23"/>
  <c r="D128" i="23"/>
  <c r="D96" i="23"/>
  <c r="D88" i="23"/>
  <c r="D80" i="23"/>
  <c r="D67" i="23"/>
  <c r="D59" i="23"/>
  <c r="C213" i="23"/>
  <c r="C197" i="23"/>
  <c r="C186" i="23"/>
  <c r="C232" i="23"/>
  <c r="C236" i="23"/>
  <c r="C175" i="23"/>
  <c r="C165" i="23"/>
  <c r="C148" i="23"/>
  <c r="C136" i="23"/>
  <c r="C127" i="23"/>
  <c r="C93" i="23"/>
  <c r="C81" i="23"/>
  <c r="C70" i="23"/>
  <c r="C57" i="23"/>
  <c r="AQ47" i="23"/>
  <c r="AQ38" i="23"/>
  <c r="AQ30" i="23"/>
  <c r="AQ19" i="23"/>
  <c r="AQ11" i="23"/>
  <c r="AL26" i="23"/>
  <c r="D239" i="23"/>
  <c r="D231" i="23"/>
  <c r="D223" i="23"/>
  <c r="D215" i="23"/>
  <c r="D191" i="23"/>
  <c r="D175" i="23"/>
  <c r="D167" i="23"/>
  <c r="D159" i="23"/>
  <c r="D143" i="23"/>
  <c r="D135" i="23"/>
  <c r="D127" i="23"/>
  <c r="D95" i="23"/>
  <c r="D87" i="23"/>
  <c r="D58" i="23"/>
  <c r="D51" i="23"/>
  <c r="C210" i="23"/>
  <c r="C196" i="23"/>
  <c r="C185" i="23"/>
  <c r="C231" i="23"/>
  <c r="C235" i="23"/>
  <c r="C174" i="23"/>
  <c r="C162" i="23"/>
  <c r="C146" i="23"/>
  <c r="C135" i="23"/>
  <c r="C126" i="23"/>
  <c r="C92" i="23"/>
  <c r="C80" i="23"/>
  <c r="C67" i="23"/>
  <c r="C56" i="23"/>
  <c r="AQ46" i="23"/>
  <c r="AQ37" i="23"/>
  <c r="AQ28" i="23"/>
  <c r="AQ18" i="23"/>
  <c r="AQ10" i="23"/>
  <c r="AL25" i="23"/>
  <c r="D238" i="23"/>
  <c r="D230" i="23"/>
  <c r="D222" i="23"/>
  <c r="D214" i="23"/>
  <c r="D206" i="23"/>
  <c r="D190" i="23"/>
  <c r="D182" i="23"/>
  <c r="D174" i="23"/>
  <c r="D166" i="23"/>
  <c r="D134" i="23"/>
  <c r="D126" i="23"/>
  <c r="D118" i="23"/>
  <c r="D94" i="23"/>
  <c r="D86" i="23"/>
  <c r="D65" i="23"/>
  <c r="D57" i="23"/>
  <c r="C220" i="23"/>
  <c r="C206" i="23"/>
  <c r="C195" i="23"/>
  <c r="C184" i="23"/>
  <c r="C230" i="23"/>
  <c r="C182" i="23"/>
  <c r="C173" i="23"/>
  <c r="C159" i="23"/>
  <c r="C145" i="23"/>
  <c r="C134" i="23"/>
  <c r="C125" i="23"/>
  <c r="C91" i="23"/>
  <c r="C76" i="23"/>
  <c r="C65" i="23"/>
  <c r="C55" i="23"/>
  <c r="AQ44" i="23"/>
  <c r="AQ36" i="23"/>
  <c r="AQ26" i="23"/>
  <c r="AQ17" i="23"/>
  <c r="AQ9" i="23"/>
  <c r="AL24" i="23"/>
  <c r="D237" i="23"/>
  <c r="D229" i="23"/>
  <c r="D213" i="23"/>
  <c r="D205" i="23"/>
  <c r="D197" i="23"/>
  <c r="D189" i="23"/>
  <c r="D181" i="23"/>
  <c r="D173" i="23"/>
  <c r="D165" i="23"/>
  <c r="D149" i="23"/>
  <c r="D141" i="23"/>
  <c r="D133" i="23"/>
  <c r="D125" i="23"/>
  <c r="D93" i="23"/>
  <c r="D64" i="23"/>
  <c r="D56" i="23"/>
  <c r="C218" i="23"/>
  <c r="C205" i="23"/>
  <c r="C191" i="23"/>
  <c r="C225" i="23"/>
  <c r="C229" i="23"/>
  <c r="C181" i="23"/>
  <c r="C172" i="23"/>
  <c r="C156" i="23"/>
  <c r="C143" i="23"/>
  <c r="C132" i="23"/>
  <c r="C124" i="23"/>
  <c r="C90" i="23"/>
  <c r="C75" i="23"/>
  <c r="C64" i="23"/>
  <c r="C53" i="23"/>
  <c r="AQ43" i="23"/>
  <c r="AQ35" i="23"/>
  <c r="AQ25" i="23"/>
  <c r="AQ16" i="23"/>
  <c r="AQ8" i="23"/>
  <c r="AL23" i="23"/>
  <c r="D236" i="23"/>
  <c r="D228" i="23"/>
  <c r="D220" i="23"/>
  <c r="D204" i="23"/>
  <c r="D196" i="23"/>
  <c r="D188" i="23"/>
  <c r="D180" i="23"/>
  <c r="D172" i="23"/>
  <c r="D156" i="23"/>
  <c r="D148" i="23"/>
  <c r="D140" i="23"/>
  <c r="D132" i="23"/>
  <c r="D124" i="23"/>
  <c r="D116" i="23"/>
  <c r="D92" i="23"/>
  <c r="D73" i="23"/>
  <c r="D55" i="23"/>
  <c r="C217" i="23"/>
  <c r="C204" i="23"/>
  <c r="C190" i="23"/>
  <c r="C224" i="23"/>
  <c r="C228" i="23"/>
  <c r="C180" i="23"/>
  <c r="C170" i="23"/>
  <c r="C155" i="23"/>
  <c r="C141" i="23"/>
  <c r="C131" i="23"/>
  <c r="C123" i="23"/>
  <c r="C97" i="23"/>
  <c r="C88" i="23"/>
  <c r="C74" i="23"/>
  <c r="C62" i="23"/>
  <c r="C52" i="23"/>
  <c r="AQ42" i="23"/>
  <c r="AQ34" i="23"/>
  <c r="AQ24" i="23"/>
  <c r="AQ15" i="23"/>
  <c r="AQ7" i="23"/>
  <c r="AL22" i="23"/>
  <c r="AL14" i="23"/>
  <c r="AL6" i="23"/>
  <c r="V4235" i="23"/>
  <c r="V4227" i="23"/>
  <c r="V4219" i="23"/>
  <c r="V4211" i="23"/>
  <c r="V4203" i="23"/>
  <c r="V4195" i="23"/>
  <c r="V4187" i="23"/>
  <c r="V4179" i="23"/>
  <c r="V4171" i="23"/>
  <c r="V4163" i="23"/>
  <c r="V4155" i="23"/>
  <c r="V4147" i="23"/>
  <c r="V4139" i="23"/>
  <c r="V4131" i="23"/>
  <c r="V4123" i="23"/>
  <c r="V4115" i="23"/>
  <c r="V4107" i="23"/>
  <c r="V4099" i="23"/>
  <c r="V4091" i="23"/>
  <c r="V4083" i="23"/>
  <c r="V4075" i="23"/>
  <c r="V4067" i="23"/>
  <c r="V4059" i="23"/>
  <c r="V4051" i="23"/>
  <c r="V4043" i="23"/>
  <c r="V4035" i="23"/>
  <c r="V4027" i="23"/>
  <c r="V4019" i="23"/>
  <c r="V4011" i="23"/>
  <c r="V4003" i="23"/>
  <c r="V3995" i="23"/>
  <c r="V3987" i="23"/>
  <c r="V3979" i="23"/>
  <c r="V3971" i="23"/>
  <c r="V3963" i="23"/>
  <c r="V3955" i="23"/>
  <c r="V3947" i="23"/>
  <c r="V3939" i="23"/>
  <c r="V3931" i="23"/>
  <c r="V3923" i="23"/>
  <c r="V3915" i="23"/>
  <c r="V3907" i="23"/>
  <c r="V3899" i="23"/>
  <c r="V3891" i="23"/>
  <c r="V3883" i="23"/>
  <c r="V3875" i="23"/>
  <c r="V3867" i="23"/>
  <c r="V3859" i="23"/>
  <c r="V3851" i="23"/>
  <c r="V3843" i="23"/>
  <c r="V3835" i="23"/>
  <c r="V3827" i="23"/>
  <c r="V3819" i="23"/>
  <c r="V3811" i="23"/>
  <c r="V3803" i="23"/>
  <c r="V3795" i="23"/>
  <c r="V3787" i="23"/>
  <c r="V3779" i="23"/>
  <c r="V3771" i="23"/>
  <c r="V3763" i="23"/>
  <c r="V3755" i="23"/>
  <c r="V3747" i="23"/>
  <c r="V3739" i="23"/>
  <c r="V3731" i="23"/>
  <c r="V3723" i="23"/>
  <c r="V3715" i="23"/>
  <c r="V3707" i="23"/>
  <c r="V3699" i="23"/>
  <c r="V3691" i="23"/>
  <c r="V3683" i="23"/>
  <c r="V3675" i="23"/>
  <c r="V3667" i="23"/>
  <c r="V3659" i="23"/>
  <c r="V3651" i="23"/>
  <c r="V3643" i="23"/>
  <c r="V3635" i="23"/>
  <c r="V3627" i="23"/>
  <c r="V3619" i="23"/>
  <c r="V3611" i="23"/>
  <c r="V3603" i="23"/>
  <c r="V3595" i="23"/>
  <c r="V3587" i="23"/>
  <c r="V3579" i="23"/>
  <c r="V3571" i="23"/>
  <c r="V3563" i="23"/>
  <c r="V3555" i="23"/>
  <c r="V3547" i="23"/>
  <c r="V3539" i="23"/>
  <c r="V3531" i="23"/>
  <c r="V3523" i="23"/>
  <c r="V3515" i="23"/>
  <c r="V3507" i="23"/>
  <c r="V3499" i="23"/>
  <c r="V3491" i="23"/>
  <c r="V3483" i="23"/>
  <c r="V3475" i="23"/>
  <c r="V3467" i="23"/>
  <c r="V3459" i="23"/>
  <c r="V3451" i="23"/>
  <c r="V3443" i="23"/>
  <c r="V3435" i="23"/>
  <c r="V3427" i="23"/>
  <c r="V3419" i="23"/>
  <c r="V3411" i="23"/>
  <c r="V3403" i="23"/>
  <c r="V3395" i="23"/>
  <c r="V3387" i="23"/>
  <c r="V3379" i="23"/>
  <c r="V3371" i="23"/>
  <c r="V3363" i="23"/>
  <c r="V3355" i="23"/>
  <c r="V3347" i="23"/>
  <c r="V3339" i="23"/>
  <c r="V3331" i="23"/>
  <c r="V3323" i="23"/>
  <c r="V3315" i="23"/>
  <c r="V3307" i="23"/>
  <c r="V3299" i="23"/>
  <c r="V3291" i="23"/>
  <c r="V3283" i="23"/>
  <c r="V3275" i="23"/>
  <c r="V3267" i="23"/>
  <c r="V3259" i="23"/>
  <c r="V3251" i="23"/>
  <c r="V3243" i="23"/>
  <c r="V3235" i="23"/>
  <c r="AL15" i="23"/>
  <c r="V4236" i="23"/>
  <c r="V4220" i="23"/>
  <c r="V4204" i="23"/>
  <c r="V4188" i="23"/>
  <c r="V4172" i="23"/>
  <c r="V4156" i="23"/>
  <c r="V4140" i="23"/>
  <c r="V4124" i="23"/>
  <c r="V4108" i="23"/>
  <c r="V4092" i="23"/>
  <c r="V4076" i="23"/>
  <c r="V4060" i="23"/>
  <c r="V4044" i="23"/>
  <c r="V4028" i="23"/>
  <c r="V4012" i="23"/>
  <c r="V3996" i="23"/>
  <c r="V3980" i="23"/>
  <c r="V3966" i="23"/>
  <c r="V3952" i="23"/>
  <c r="V3941" i="23"/>
  <c r="V3927" i="23"/>
  <c r="V3916" i="23"/>
  <c r="V3902" i="23"/>
  <c r="V3888" i="23"/>
  <c r="V3877" i="23"/>
  <c r="V3863" i="23"/>
  <c r="V3852" i="23"/>
  <c r="V3838" i="23"/>
  <c r="V3824" i="23"/>
  <c r="V3813" i="23"/>
  <c r="V3799" i="23"/>
  <c r="V3788" i="23"/>
  <c r="V3774" i="23"/>
  <c r="V3760" i="23"/>
  <c r="V3749" i="23"/>
  <c r="V3735" i="23"/>
  <c r="V3724" i="23"/>
  <c r="V3710" i="23"/>
  <c r="V3696" i="23"/>
  <c r="V3685" i="23"/>
  <c r="V3671" i="23"/>
  <c r="V3660" i="23"/>
  <c r="V3646" i="23"/>
  <c r="V3632" i="23"/>
  <c r="V3621" i="23"/>
  <c r="V3607" i="23"/>
  <c r="V3596" i="23"/>
  <c r="V3582" i="23"/>
  <c r="V3568" i="23"/>
  <c r="V3557" i="23"/>
  <c r="V3543" i="23"/>
  <c r="V3532" i="23"/>
  <c r="V3518" i="23"/>
  <c r="V3504" i="23"/>
  <c r="V3493" i="23"/>
  <c r="V3479" i="23"/>
  <c r="V3468" i="23"/>
  <c r="V3454" i="23"/>
  <c r="V3440" i="23"/>
  <c r="V3429" i="23"/>
  <c r="V3415" i="23"/>
  <c r="V3404" i="23"/>
  <c r="V3390" i="23"/>
  <c r="V3376" i="23"/>
  <c r="V3365" i="23"/>
  <c r="V3351" i="23"/>
  <c r="V3340" i="23"/>
  <c r="V3326" i="23"/>
  <c r="V3312" i="23"/>
  <c r="V3301" i="23"/>
  <c r="V3287" i="23"/>
  <c r="V3276" i="23"/>
  <c r="V3262" i="23"/>
  <c r="V3248" i="23"/>
  <c r="V3237" i="23"/>
  <c r="V3225" i="23"/>
  <c r="V3217" i="23"/>
  <c r="V3209" i="23"/>
  <c r="V3201" i="23"/>
  <c r="V3193" i="23"/>
  <c r="V3185" i="23"/>
  <c r="V3177" i="23"/>
  <c r="V3169" i="23"/>
  <c r="V3161" i="23"/>
  <c r="V3153" i="23"/>
  <c r="V3145" i="23"/>
  <c r="V3137" i="23"/>
  <c r="V3129" i="23"/>
  <c r="V3121" i="23"/>
  <c r="V3113" i="23"/>
  <c r="V3105" i="23"/>
  <c r="V3097" i="23"/>
  <c r="V3089" i="23"/>
  <c r="V3081" i="23"/>
  <c r="V3073" i="23"/>
  <c r="V3065" i="23"/>
  <c r="V3057" i="23"/>
  <c r="V3049" i="23"/>
  <c r="V3041" i="23"/>
  <c r="V3033" i="23"/>
  <c r="V3025" i="23"/>
  <c r="V3017" i="23"/>
  <c r="V3009" i="23"/>
  <c r="V3001" i="23"/>
  <c r="V2993" i="23"/>
  <c r="V2985" i="23"/>
  <c r="V2977" i="23"/>
  <c r="V2969" i="23"/>
  <c r="V2961" i="23"/>
  <c r="V2953" i="23"/>
  <c r="V2945" i="23"/>
  <c r="V2937" i="23"/>
  <c r="V2929" i="23"/>
  <c r="V2921" i="23"/>
  <c r="V2913" i="23"/>
  <c r="V2905" i="23"/>
  <c r="V2897" i="23"/>
  <c r="V2889" i="23"/>
  <c r="V2881" i="23"/>
  <c r="V2873" i="23"/>
  <c r="V2865" i="23"/>
  <c r="V2857" i="23"/>
  <c r="V2849" i="23"/>
  <c r="V2841" i="23"/>
  <c r="V2833" i="23"/>
  <c r="V2825" i="23"/>
  <c r="V2817" i="23"/>
  <c r="V2809" i="23"/>
  <c r="V2801" i="23"/>
  <c r="V2793" i="23"/>
  <c r="V2785" i="23"/>
  <c r="V2777" i="23"/>
  <c r="V2769" i="23"/>
  <c r="V2761" i="23"/>
  <c r="V2753" i="23"/>
  <c r="V2745" i="23"/>
  <c r="V2737" i="23"/>
  <c r="V2729" i="23"/>
  <c r="V2721" i="23"/>
  <c r="V2713" i="23"/>
  <c r="V2705" i="23"/>
  <c r="V2697" i="23"/>
  <c r="V2689" i="23"/>
  <c r="V2681" i="23"/>
  <c r="V2673" i="23"/>
  <c r="V2665" i="23"/>
  <c r="V2657" i="23"/>
  <c r="V2649" i="23"/>
  <c r="V2641" i="23"/>
  <c r="V2633" i="23"/>
  <c r="V2625" i="23"/>
  <c r="V2617" i="23"/>
  <c r="V2609" i="23"/>
  <c r="V2601" i="23"/>
  <c r="V2593" i="23"/>
  <c r="V2585" i="23"/>
  <c r="V2577" i="23"/>
  <c r="V2569" i="23"/>
  <c r="V2561" i="23"/>
  <c r="V2553" i="23"/>
  <c r="V2545" i="23"/>
  <c r="V2537" i="23"/>
  <c r="V2529" i="23"/>
  <c r="V2521" i="23"/>
  <c r="V2513" i="23"/>
  <c r="V2505" i="23"/>
  <c r="V2497" i="23"/>
  <c r="V2489" i="23"/>
  <c r="V2481" i="23"/>
  <c r="AL10" i="23"/>
  <c r="V4231" i="23"/>
  <c r="V4215" i="23"/>
  <c r="V4199" i="23"/>
  <c r="V4183" i="23"/>
  <c r="V4167" i="23"/>
  <c r="V4151" i="23"/>
  <c r="V4135" i="23"/>
  <c r="V4119" i="23"/>
  <c r="V4103" i="23"/>
  <c r="V4087" i="23"/>
  <c r="V4071" i="23"/>
  <c r="V4055" i="23"/>
  <c r="V4039" i="23"/>
  <c r="V4023" i="23"/>
  <c r="V4007" i="23"/>
  <c r="V3991" i="23"/>
  <c r="V3976" i="23"/>
  <c r="V3965" i="23"/>
  <c r="V3951" i="23"/>
  <c r="V3940" i="23"/>
  <c r="V3926" i="23"/>
  <c r="V3912" i="23"/>
  <c r="V3901" i="23"/>
  <c r="V3887" i="23"/>
  <c r="V3876" i="23"/>
  <c r="V3862" i="23"/>
  <c r="V3848" i="23"/>
  <c r="V3837" i="23"/>
  <c r="V3823" i="23"/>
  <c r="V3812" i="23"/>
  <c r="V3798" i="23"/>
  <c r="V3784" i="23"/>
  <c r="V3773" i="23"/>
  <c r="V3759" i="23"/>
  <c r="V3748" i="23"/>
  <c r="V3734" i="23"/>
  <c r="V3720" i="23"/>
  <c r="V3709" i="23"/>
  <c r="V3695" i="23"/>
  <c r="V3684" i="23"/>
  <c r="V3670" i="23"/>
  <c r="V3656" i="23"/>
  <c r="V3645" i="23"/>
  <c r="V3631" i="23"/>
  <c r="V3620" i="23"/>
  <c r="V3606" i="23"/>
  <c r="V3592" i="23"/>
  <c r="V3581" i="23"/>
  <c r="V3567" i="23"/>
  <c r="V3556" i="23"/>
  <c r="V3542" i="23"/>
  <c r="V3528" i="23"/>
  <c r="V3517" i="23"/>
  <c r="V3503" i="23"/>
  <c r="V3492" i="23"/>
  <c r="V3478" i="23"/>
  <c r="V3464" i="23"/>
  <c r="V3453" i="23"/>
  <c r="V3439" i="23"/>
  <c r="V3428" i="23"/>
  <c r="V3414" i="23"/>
  <c r="V3400" i="23"/>
  <c r="V3389" i="23"/>
  <c r="V3375" i="23"/>
  <c r="V3364" i="23"/>
  <c r="V3350" i="23"/>
  <c r="V3336" i="23"/>
  <c r="V3325" i="23"/>
  <c r="V3311" i="23"/>
  <c r="V3300" i="23"/>
  <c r="V3286" i="23"/>
  <c r="V3272" i="23"/>
  <c r="V3261" i="23"/>
  <c r="V3247" i="23"/>
  <c r="V3236" i="23"/>
  <c r="V3224" i="23"/>
  <c r="V3216" i="23"/>
  <c r="V3208" i="23"/>
  <c r="V3200" i="23"/>
  <c r="V3192" i="23"/>
  <c r="V3184" i="23"/>
  <c r="V3176" i="23"/>
  <c r="V3168" i="23"/>
  <c r="V3160" i="23"/>
  <c r="V3152" i="23"/>
  <c r="V3144" i="23"/>
  <c r="V3136" i="23"/>
  <c r="V3128" i="23"/>
  <c r="V3120" i="23"/>
  <c r="V3112" i="23"/>
  <c r="V3104" i="23"/>
  <c r="V3096" i="23"/>
  <c r="V3088" i="23"/>
  <c r="V3080" i="23"/>
  <c r="V3072" i="23"/>
  <c r="V3064" i="23"/>
  <c r="V3056" i="23"/>
  <c r="V3048" i="23"/>
  <c r="V3040" i="23"/>
  <c r="V3032" i="23"/>
  <c r="V3024" i="23"/>
  <c r="V3016" i="23"/>
  <c r="V3008" i="23"/>
  <c r="V3000" i="23"/>
  <c r="V2992" i="23"/>
  <c r="V2984" i="23"/>
  <c r="V2976" i="23"/>
  <c r="V2968" i="23"/>
  <c r="V2960" i="23"/>
  <c r="V2952" i="23"/>
  <c r="V2944" i="23"/>
  <c r="V2936" i="23"/>
  <c r="V2928" i="23"/>
  <c r="V2920" i="23"/>
  <c r="V2912" i="23"/>
  <c r="V2904" i="23"/>
  <c r="V2896" i="23"/>
  <c r="V2888" i="23"/>
  <c r="V2880" i="23"/>
  <c r="V2872" i="23"/>
  <c r="V2864" i="23"/>
  <c r="V2856" i="23"/>
  <c r="V2848" i="23"/>
  <c r="V2840" i="23"/>
  <c r="V2832" i="23"/>
  <c r="V2824" i="23"/>
  <c r="V2816" i="23"/>
  <c r="V2808" i="23"/>
  <c r="V2800" i="23"/>
  <c r="V2792" i="23"/>
  <c r="V2784" i="23"/>
  <c r="V2776" i="23"/>
  <c r="V2768" i="23"/>
  <c r="V2760" i="23"/>
  <c r="V2752" i="23"/>
  <c r="V2744" i="23"/>
  <c r="V2736" i="23"/>
  <c r="V2728" i="23"/>
  <c r="V2720" i="23"/>
  <c r="V2712" i="23"/>
  <c r="V2704" i="23"/>
  <c r="V2696" i="23"/>
  <c r="V2688" i="23"/>
  <c r="V2680" i="23"/>
  <c r="V2672" i="23"/>
  <c r="V2664" i="23"/>
  <c r="V2656" i="23"/>
  <c r="V2648" i="23"/>
  <c r="V2640" i="23"/>
  <c r="V2632" i="23"/>
  <c r="V2624" i="23"/>
  <c r="V2616" i="23"/>
  <c r="V2608" i="23"/>
  <c r="V2600" i="23"/>
  <c r="V2592" i="23"/>
  <c r="V2584" i="23"/>
  <c r="V2576" i="23"/>
  <c r="V2568" i="23"/>
  <c r="V2560" i="23"/>
  <c r="V2552" i="23"/>
  <c r="V2544" i="23"/>
  <c r="V2536" i="23"/>
  <c r="V2528" i="23"/>
  <c r="V2520" i="23"/>
  <c r="V2512" i="23"/>
  <c r="V2504" i="23"/>
  <c r="V2496" i="23"/>
  <c r="V2488" i="23"/>
  <c r="V2480" i="23"/>
  <c r="AL9" i="23"/>
  <c r="V4230" i="23"/>
  <c r="V4214" i="23"/>
  <c r="V4198" i="23"/>
  <c r="V4182" i="23"/>
  <c r="V4166" i="23"/>
  <c r="V4150" i="23"/>
  <c r="V4134" i="23"/>
  <c r="V4118" i="23"/>
  <c r="V4102" i="23"/>
  <c r="V4086" i="23"/>
  <c r="V4070" i="23"/>
  <c r="V4054" i="23"/>
  <c r="V4038" i="23"/>
  <c r="V4022" i="23"/>
  <c r="V4006" i="23"/>
  <c r="V3990" i="23"/>
  <c r="V3975" i="23"/>
  <c r="V3964" i="23"/>
  <c r="V3950" i="23"/>
  <c r="V3936" i="23"/>
  <c r="V3925" i="23"/>
  <c r="V3911" i="23"/>
  <c r="V3900" i="23"/>
  <c r="V3886" i="23"/>
  <c r="V3872" i="23"/>
  <c r="V3861" i="23"/>
  <c r="V3847" i="23"/>
  <c r="V3836" i="23"/>
  <c r="V3822" i="23"/>
  <c r="V3808" i="23"/>
  <c r="V3797" i="23"/>
  <c r="V3783" i="23"/>
  <c r="V3772" i="23"/>
  <c r="V3758" i="23"/>
  <c r="V3744" i="23"/>
  <c r="V3733" i="23"/>
  <c r="V3719" i="23"/>
  <c r="V3708" i="23"/>
  <c r="V3694" i="23"/>
  <c r="V3680" i="23"/>
  <c r="V3669" i="23"/>
  <c r="V3655" i="23"/>
  <c r="V3644" i="23"/>
  <c r="V3630" i="23"/>
  <c r="V3616" i="23"/>
  <c r="V3605" i="23"/>
  <c r="V3591" i="23"/>
  <c r="AL8" i="23"/>
  <c r="V4229" i="23"/>
  <c r="V4213" i="23"/>
  <c r="V4197" i="23"/>
  <c r="V4181" i="23"/>
  <c r="V4165" i="23"/>
  <c r="V4149" i="23"/>
  <c r="V4133" i="23"/>
  <c r="V4117" i="23"/>
  <c r="V4101" i="23"/>
  <c r="V4085" i="23"/>
  <c r="V4069" i="23"/>
  <c r="V4053" i="23"/>
  <c r="V4037" i="23"/>
  <c r="V4021" i="23"/>
  <c r="V4005" i="23"/>
  <c r="V3989" i="23"/>
  <c r="V3974" i="23"/>
  <c r="V3960" i="23"/>
  <c r="V3949" i="23"/>
  <c r="V3935" i="23"/>
  <c r="V3924" i="23"/>
  <c r="V3910" i="23"/>
  <c r="V3896" i="23"/>
  <c r="V3885" i="23"/>
  <c r="V3871" i="23"/>
  <c r="V3860" i="23"/>
  <c r="V3846" i="23"/>
  <c r="V3832" i="23"/>
  <c r="V3821" i="23"/>
  <c r="V3807" i="23"/>
  <c r="V3796" i="23"/>
  <c r="V3782" i="23"/>
  <c r="V3768" i="23"/>
  <c r="V3757" i="23"/>
  <c r="V3743" i="23"/>
  <c r="V3732" i="23"/>
  <c r="V3718" i="23"/>
  <c r="V3704" i="23"/>
  <c r="V3693" i="23"/>
  <c r="V3679" i="23"/>
  <c r="V3668" i="23"/>
  <c r="V3654" i="23"/>
  <c r="V3640" i="23"/>
  <c r="V3629" i="23"/>
  <c r="V3615" i="23"/>
  <c r="V3604" i="23"/>
  <c r="V3590" i="23"/>
  <c r="V3576" i="23"/>
  <c r="AL7" i="23"/>
  <c r="V4228" i="23"/>
  <c r="V4212" i="23"/>
  <c r="V4196" i="23"/>
  <c r="V4180" i="23"/>
  <c r="V4164" i="23"/>
  <c r="V4148" i="23"/>
  <c r="V4132" i="23"/>
  <c r="V4116" i="23"/>
  <c r="V4100" i="23"/>
  <c r="V4084" i="23"/>
  <c r="V4068" i="23"/>
  <c r="V4052" i="23"/>
  <c r="V4036" i="23"/>
  <c r="V4020" i="23"/>
  <c r="V4004" i="23"/>
  <c r="V3988" i="23"/>
  <c r="V3973" i="23"/>
  <c r="V3959" i="23"/>
  <c r="V3948" i="23"/>
  <c r="V3934" i="23"/>
  <c r="V3920" i="23"/>
  <c r="V3909" i="23"/>
  <c r="V3895" i="23"/>
  <c r="V3884" i="23"/>
  <c r="V3870" i="23"/>
  <c r="V3856" i="23"/>
  <c r="V3845" i="23"/>
  <c r="V3831" i="23"/>
  <c r="V3820" i="23"/>
  <c r="V3806" i="23"/>
  <c r="V3792" i="23"/>
  <c r="V3781" i="23"/>
  <c r="V3767" i="23"/>
  <c r="V3756" i="23"/>
  <c r="V3742" i="23"/>
  <c r="V3728" i="23"/>
  <c r="V3717" i="23"/>
  <c r="V3703" i="23"/>
  <c r="V3692" i="23"/>
  <c r="V3678" i="23"/>
  <c r="V3664" i="23"/>
  <c r="V3653" i="23"/>
  <c r="V3639" i="23"/>
  <c r="V3628" i="23"/>
  <c r="V3614" i="23"/>
  <c r="V3600" i="23"/>
  <c r="V3589" i="23"/>
  <c r="AL18" i="23"/>
  <c r="V4239" i="23"/>
  <c r="V4223" i="23"/>
  <c r="V4207" i="23"/>
  <c r="V4191" i="23"/>
  <c r="V4175" i="23"/>
  <c r="V4159" i="23"/>
  <c r="V4143" i="23"/>
  <c r="V4127" i="23"/>
  <c r="V4111" i="23"/>
  <c r="V4095" i="23"/>
  <c r="V4079" i="23"/>
  <c r="V4063" i="23"/>
  <c r="V4047" i="23"/>
  <c r="V4031" i="23"/>
  <c r="V4015" i="23"/>
  <c r="V3999" i="23"/>
  <c r="V3983" i="23"/>
  <c r="V3972" i="23"/>
  <c r="V3958" i="23"/>
  <c r="V3944" i="23"/>
  <c r="V3933" i="23"/>
  <c r="V3919" i="23"/>
  <c r="V3908" i="23"/>
  <c r="V3894" i="23"/>
  <c r="V3880" i="23"/>
  <c r="V3869" i="23"/>
  <c r="V3855" i="23"/>
  <c r="V3844" i="23"/>
  <c r="V3830" i="23"/>
  <c r="V3816" i="23"/>
  <c r="V3805" i="23"/>
  <c r="V3791" i="23"/>
  <c r="V3780" i="23"/>
  <c r="V3766" i="23"/>
  <c r="V3752" i="23"/>
  <c r="V3741" i="23"/>
  <c r="V3727" i="23"/>
  <c r="V3716" i="23"/>
  <c r="V3702" i="23"/>
  <c r="V3688" i="23"/>
  <c r="V3677" i="23"/>
  <c r="V3663" i="23"/>
  <c r="V3652" i="23"/>
  <c r="V3638" i="23"/>
  <c r="V3624" i="23"/>
  <c r="V3613" i="23"/>
  <c r="V3599" i="23"/>
  <c r="V3588" i="23"/>
  <c r="V3574" i="23"/>
  <c r="AL17" i="23"/>
  <c r="V4238" i="23"/>
  <c r="V4222" i="23"/>
  <c r="V4206" i="23"/>
  <c r="V4190" i="23"/>
  <c r="V4174" i="23"/>
  <c r="V4158" i="23"/>
  <c r="V4142" i="23"/>
  <c r="V4126" i="23"/>
  <c r="V4110" i="23"/>
  <c r="V4094" i="23"/>
  <c r="V4078" i="23"/>
  <c r="V4062" i="23"/>
  <c r="V4046" i="23"/>
  <c r="V4030" i="23"/>
  <c r="V4014" i="23"/>
  <c r="V3998" i="23"/>
  <c r="V3982" i="23"/>
  <c r="V3968" i="23"/>
  <c r="V3957" i="23"/>
  <c r="V3943" i="23"/>
  <c r="V3932" i="23"/>
  <c r="V3918" i="23"/>
  <c r="V3904" i="23"/>
  <c r="V3893" i="23"/>
  <c r="V3879" i="23"/>
  <c r="V3868" i="23"/>
  <c r="V3854" i="23"/>
  <c r="V3840" i="23"/>
  <c r="V3829" i="23"/>
  <c r="V3815" i="23"/>
  <c r="V3804" i="23"/>
  <c r="V3790" i="23"/>
  <c r="V3776" i="23"/>
  <c r="V3765" i="23"/>
  <c r="V3751" i="23"/>
  <c r="V3740" i="23"/>
  <c r="V3726" i="23"/>
  <c r="V3712" i="23"/>
  <c r="V3701" i="23"/>
  <c r="V3687" i="23"/>
  <c r="V3676" i="23"/>
  <c r="V3662" i="23"/>
  <c r="V3648" i="23"/>
  <c r="V3637" i="23"/>
  <c r="V3623" i="23"/>
  <c r="V3612" i="23"/>
  <c r="V3598" i="23"/>
  <c r="V3584" i="23"/>
  <c r="AL16" i="23"/>
  <c r="V4237" i="23"/>
  <c r="V4221" i="23"/>
  <c r="V4205" i="23"/>
  <c r="V4189" i="23"/>
  <c r="V4173" i="23"/>
  <c r="V4157" i="23"/>
  <c r="V4141" i="23"/>
  <c r="V4125" i="23"/>
  <c r="V4109" i="23"/>
  <c r="V4093" i="23"/>
  <c r="V4077" i="23"/>
  <c r="V4061" i="23"/>
  <c r="V4045" i="23"/>
  <c r="V4029" i="23"/>
  <c r="V4013" i="23"/>
  <c r="V3997" i="23"/>
  <c r="V3981" i="23"/>
  <c r="V3967" i="23"/>
  <c r="V3956" i="23"/>
  <c r="V3942" i="23"/>
  <c r="V3928" i="23"/>
  <c r="V3917" i="23"/>
  <c r="V3903" i="23"/>
  <c r="V3892" i="23"/>
  <c r="V3878" i="23"/>
  <c r="V3864" i="23"/>
  <c r="V3853" i="23"/>
  <c r="V3839" i="23"/>
  <c r="V3828" i="23"/>
  <c r="V3814" i="23"/>
  <c r="V3800" i="23"/>
  <c r="V3789" i="23"/>
  <c r="V3775" i="23"/>
  <c r="V3764" i="23"/>
  <c r="V3750" i="23"/>
  <c r="V3736" i="23"/>
  <c r="V3725" i="23"/>
  <c r="V3711" i="23"/>
  <c r="V3700" i="23"/>
  <c r="V3686" i="23"/>
  <c r="V3672" i="23"/>
  <c r="V3661" i="23"/>
  <c r="V3647" i="23"/>
  <c r="V3636" i="23"/>
  <c r="V3622" i="23"/>
  <c r="V3608" i="23"/>
  <c r="V3597" i="23"/>
  <c r="V3583" i="23"/>
  <c r="V3572" i="23"/>
  <c r="V3558" i="23"/>
  <c r="V3544" i="23"/>
  <c r="V3533" i="23"/>
  <c r="V3519" i="23"/>
  <c r="V3508" i="23"/>
  <c r="V3494" i="23"/>
  <c r="V3480" i="23"/>
  <c r="V3469" i="23"/>
  <c r="V3455" i="23"/>
  <c r="V3444" i="23"/>
  <c r="V3430" i="23"/>
  <c r="V3416" i="23"/>
  <c r="V3405" i="23"/>
  <c r="V3391" i="23"/>
  <c r="V3380" i="23"/>
  <c r="V3366" i="23"/>
  <c r="V3352" i="23"/>
  <c r="V3341" i="23"/>
  <c r="V3327" i="23"/>
  <c r="V3316" i="23"/>
  <c r="V3302" i="23"/>
  <c r="V3288" i="23"/>
  <c r="V3277" i="23"/>
  <c r="V3263" i="23"/>
  <c r="V3252" i="23"/>
  <c r="V3238" i="23"/>
  <c r="V3227" i="23"/>
  <c r="V3218" i="23"/>
  <c r="V3210" i="23"/>
  <c r="V3202" i="23"/>
  <c r="V3194" i="23"/>
  <c r="V3186" i="23"/>
  <c r="V3178" i="23"/>
  <c r="V3170" i="23"/>
  <c r="V3162" i="23"/>
  <c r="V3154" i="23"/>
  <c r="V3146" i="23"/>
  <c r="V3138" i="23"/>
  <c r="V3130" i="23"/>
  <c r="V3122" i="23"/>
  <c r="V3114" i="23"/>
  <c r="V3106" i="23"/>
  <c r="V3098" i="23"/>
  <c r="V3090" i="23"/>
  <c r="V3082" i="23"/>
  <c r="V3074" i="23"/>
  <c r="V3066" i="23"/>
  <c r="V3058" i="23"/>
  <c r="V3050" i="23"/>
  <c r="V3042" i="23"/>
  <c r="V3034" i="23"/>
  <c r="V3026" i="23"/>
  <c r="V3018" i="23"/>
  <c r="V3010" i="23"/>
  <c r="V3002" i="23"/>
  <c r="V2994" i="23"/>
  <c r="V2986" i="23"/>
  <c r="V2978" i="23"/>
  <c r="V2970" i="23"/>
  <c r="V2962" i="23"/>
  <c r="V2954" i="23"/>
  <c r="V2946" i="23"/>
  <c r="V2938" i="23"/>
  <c r="V2930" i="23"/>
  <c r="V2922" i="23"/>
  <c r="V2914" i="23"/>
  <c r="V2906" i="23"/>
  <c r="V2898" i="23"/>
  <c r="V2890" i="23"/>
  <c r="V2882" i="23"/>
  <c r="V2874" i="23"/>
  <c r="V2866" i="23"/>
  <c r="V2858" i="23"/>
  <c r="V2850" i="23"/>
  <c r="V2842" i="23"/>
  <c r="V2834" i="23"/>
  <c r="V2826" i="23"/>
  <c r="V2818" i="23"/>
  <c r="V2810" i="23"/>
  <c r="V2802" i="23"/>
  <c r="V2794" i="23"/>
  <c r="V2786" i="23"/>
  <c r="V2778" i="23"/>
  <c r="V2770" i="23"/>
  <c r="V2762" i="23"/>
  <c r="V2754" i="23"/>
  <c r="V2746" i="23"/>
  <c r="V2738" i="23"/>
  <c r="V2730" i="23"/>
  <c r="V2722" i="23"/>
  <c r="V2714" i="23"/>
  <c r="V2706" i="23"/>
  <c r="V2698" i="23"/>
  <c r="V2690" i="23"/>
  <c r="V2682" i="23"/>
  <c r="V2674" i="23"/>
  <c r="V2666" i="23"/>
  <c r="V2658" i="23"/>
  <c r="V2650" i="23"/>
  <c r="V2642" i="23"/>
  <c r="V2634" i="23"/>
  <c r="V2626" i="23"/>
  <c r="V2618" i="23"/>
  <c r="V2610" i="23"/>
  <c r="V2602" i="23"/>
  <c r="V2594" i="23"/>
  <c r="V2586" i="23"/>
  <c r="V2578" i="23"/>
  <c r="V2570" i="23"/>
  <c r="V2562" i="23"/>
  <c r="V2554" i="23"/>
  <c r="V2546" i="23"/>
  <c r="V2538" i="23"/>
  <c r="V2530" i="23"/>
  <c r="V2522" i="23"/>
  <c r="V2514" i="23"/>
  <c r="V2506" i="23"/>
  <c r="V2498" i="23"/>
  <c r="V2490" i="23"/>
  <c r="V2482" i="23"/>
  <c r="V2474" i="23"/>
  <c r="V2466" i="23"/>
  <c r="V2458" i="23"/>
  <c r="V2450" i="23"/>
  <c r="V2442" i="23"/>
  <c r="V2434" i="23"/>
  <c r="V2426" i="23"/>
  <c r="V2418" i="23"/>
  <c r="V2410" i="23"/>
  <c r="V2402" i="23"/>
  <c r="V2394" i="23"/>
  <c r="V3566" i="23"/>
  <c r="V3549" i="23"/>
  <c r="V3526" i="23"/>
  <c r="V3509" i="23"/>
  <c r="V3486" i="23"/>
  <c r="V3463" i="23"/>
  <c r="V3446" i="23"/>
  <c r="V3423" i="23"/>
  <c r="V3406" i="23"/>
  <c r="V3383" i="23"/>
  <c r="V3360" i="23"/>
  <c r="V3343" i="23"/>
  <c r="V3320" i="23"/>
  <c r="V3303" i="23"/>
  <c r="V3280" i="23"/>
  <c r="V3260" i="23"/>
  <c r="V3240" i="23"/>
  <c r="V3222" i="23"/>
  <c r="V3211" i="23"/>
  <c r="V3197" i="23"/>
  <c r="V3183" i="23"/>
  <c r="V3172" i="23"/>
  <c r="V3158" i="23"/>
  <c r="V3147" i="23"/>
  <c r="V3133" i="23"/>
  <c r="V3119" i="23"/>
  <c r="V3108" i="23"/>
  <c r="V3094" i="23"/>
  <c r="V3083" i="23"/>
  <c r="V3069" i="23"/>
  <c r="V3055" i="23"/>
  <c r="V3044" i="23"/>
  <c r="V3030" i="23"/>
  <c r="V3019" i="23"/>
  <c r="V3005" i="23"/>
  <c r="V2991" i="23"/>
  <c r="V2980" i="23"/>
  <c r="V2966" i="23"/>
  <c r="V2955" i="23"/>
  <c r="V2941" i="23"/>
  <c r="V2927" i="23"/>
  <c r="V2916" i="23"/>
  <c r="V2902" i="23"/>
  <c r="V2891" i="23"/>
  <c r="V2877" i="23"/>
  <c r="V2863" i="23"/>
  <c r="V2852" i="23"/>
  <c r="V2838" i="23"/>
  <c r="V2827" i="23"/>
  <c r="V2813" i="23"/>
  <c r="V2799" i="23"/>
  <c r="V2788" i="23"/>
  <c r="V2774" i="23"/>
  <c r="V2763" i="23"/>
  <c r="V2749" i="23"/>
  <c r="V2735" i="23"/>
  <c r="V2724" i="23"/>
  <c r="V2710" i="23"/>
  <c r="V2699" i="23"/>
  <c r="V2685" i="23"/>
  <c r="V2671" i="23"/>
  <c r="V2660" i="23"/>
  <c r="V2646" i="23"/>
  <c r="V2635" i="23"/>
  <c r="V2621" i="23"/>
  <c r="V2607" i="23"/>
  <c r="V2596" i="23"/>
  <c r="V2582" i="23"/>
  <c r="V2571" i="23"/>
  <c r="V2557" i="23"/>
  <c r="V2543" i="23"/>
  <c r="V2532" i="23"/>
  <c r="V2518" i="23"/>
  <c r="V2507" i="23"/>
  <c r="V2493" i="23"/>
  <c r="V2479" i="23"/>
  <c r="V2470" i="23"/>
  <c r="V2461" i="23"/>
  <c r="V2452" i="23"/>
  <c r="V2443" i="23"/>
  <c r="V2433" i="23"/>
  <c r="V2424" i="23"/>
  <c r="V2415" i="23"/>
  <c r="V2406" i="23"/>
  <c r="V2397" i="23"/>
  <c r="V2388" i="23"/>
  <c r="V2380" i="23"/>
  <c r="V2372" i="23"/>
  <c r="V2364" i="23"/>
  <c r="V2356" i="23"/>
  <c r="V2348" i="23"/>
  <c r="V2340" i="23"/>
  <c r="V2332" i="23"/>
  <c r="V2324" i="23"/>
  <c r="V2316" i="23"/>
  <c r="V2308" i="23"/>
  <c r="V2300" i="23"/>
  <c r="V2292" i="23"/>
  <c r="V2284" i="23"/>
  <c r="V2276" i="23"/>
  <c r="V2268" i="23"/>
  <c r="V2260" i="23"/>
  <c r="V2252" i="23"/>
  <c r="V2244" i="23"/>
  <c r="V2236" i="23"/>
  <c r="V2228" i="23"/>
  <c r="V2220" i="23"/>
  <c r="V2212" i="23"/>
  <c r="V2204" i="23"/>
  <c r="V2196" i="23"/>
  <c r="V2188" i="23"/>
  <c r="V2180" i="23"/>
  <c r="V2172" i="23"/>
  <c r="V2164" i="23"/>
  <c r="V2156" i="23"/>
  <c r="V2148" i="23"/>
  <c r="V2140" i="23"/>
  <c r="V2132" i="23"/>
  <c r="V2124" i="23"/>
  <c r="V2116" i="23"/>
  <c r="V2108" i="23"/>
  <c r="V2100" i="23"/>
  <c r="V2092" i="23"/>
  <c r="V2084" i="23"/>
  <c r="V2076" i="23"/>
  <c r="V2068" i="23"/>
  <c r="V2060" i="23"/>
  <c r="V2052" i="23"/>
  <c r="V2044" i="23"/>
  <c r="V2036" i="23"/>
  <c r="V2028" i="23"/>
  <c r="V2020" i="23"/>
  <c r="V2012" i="23"/>
  <c r="V2004" i="23"/>
  <c r="V1996" i="23"/>
  <c r="V1988" i="23"/>
  <c r="V1980" i="23"/>
  <c r="V1972" i="23"/>
  <c r="V1964" i="23"/>
  <c r="V1956" i="23"/>
  <c r="V1948" i="23"/>
  <c r="V1940" i="23"/>
  <c r="V1932" i="23"/>
  <c r="V1924" i="23"/>
  <c r="V1916" i="23"/>
  <c r="V1908" i="23"/>
  <c r="V1900" i="23"/>
  <c r="V1892" i="23"/>
  <c r="V1884" i="23"/>
  <c r="V1876" i="23"/>
  <c r="V1868" i="23"/>
  <c r="V1860" i="23"/>
  <c r="V1852" i="23"/>
  <c r="V1844" i="23"/>
  <c r="V1836" i="23"/>
  <c r="V1828" i="23"/>
  <c r="V1820" i="23"/>
  <c r="V1812" i="23"/>
  <c r="V1804" i="23"/>
  <c r="V1796" i="23"/>
  <c r="V1788" i="23"/>
  <c r="V1780" i="23"/>
  <c r="V1772" i="23"/>
  <c r="V1764" i="23"/>
  <c r="V1756" i="23"/>
  <c r="V1748" i="23"/>
  <c r="V1740" i="23"/>
  <c r="V1732" i="23"/>
  <c r="V1724" i="23"/>
  <c r="V1716" i="23"/>
  <c r="V1708" i="23"/>
  <c r="V1700" i="23"/>
  <c r="V1692" i="23"/>
  <c r="V1684" i="23"/>
  <c r="V1676" i="23"/>
  <c r="V1668" i="23"/>
  <c r="V1660" i="23"/>
  <c r="V1652" i="23"/>
  <c r="V1644" i="23"/>
  <c r="V1636" i="23"/>
  <c r="V1628" i="23"/>
  <c r="V1620" i="23"/>
  <c r="V1612" i="23"/>
  <c r="V1604" i="23"/>
  <c r="V1596" i="23"/>
  <c r="V1588" i="23"/>
  <c r="V1580" i="23"/>
  <c r="V1572" i="23"/>
  <c r="V1564" i="23"/>
  <c r="V1556" i="23"/>
  <c r="V1548" i="23"/>
  <c r="V1540" i="23"/>
  <c r="V1532" i="23"/>
  <c r="V1524" i="23"/>
  <c r="V1516" i="23"/>
  <c r="V1508" i="23"/>
  <c r="V1500" i="23"/>
  <c r="V1492" i="23"/>
  <c r="V1484" i="23"/>
  <c r="V1476" i="23"/>
  <c r="V1468" i="23"/>
  <c r="V1460" i="23"/>
  <c r="V1452" i="23"/>
  <c r="V1444" i="23"/>
  <c r="V1436" i="23"/>
  <c r="V1428" i="23"/>
  <c r="V1420" i="23"/>
  <c r="V1412" i="23"/>
  <c r="V1404" i="23"/>
  <c r="V1396" i="23"/>
  <c r="V1388" i="23"/>
  <c r="V1380" i="23"/>
  <c r="V1372" i="23"/>
  <c r="V1364" i="23"/>
  <c r="V1356" i="23"/>
  <c r="V1348" i="23"/>
  <c r="V1340" i="23"/>
  <c r="V1332" i="23"/>
  <c r="V1324" i="23"/>
  <c r="V1316" i="23"/>
  <c r="V1308" i="23"/>
  <c r="V1300" i="23"/>
  <c r="V1292" i="23"/>
  <c r="V1284" i="23"/>
  <c r="V1276" i="23"/>
  <c r="V1268" i="23"/>
  <c r="V1260" i="23"/>
  <c r="V1252" i="23"/>
  <c r="V1244" i="23"/>
  <c r="V1236" i="23"/>
  <c r="V1228" i="23"/>
  <c r="V1220" i="23"/>
  <c r="V1212" i="23"/>
  <c r="V1204" i="23"/>
  <c r="V1196" i="23"/>
  <c r="V1188" i="23"/>
  <c r="V1180" i="23"/>
  <c r="V1172" i="23"/>
  <c r="V1164" i="23"/>
  <c r="V1156" i="23"/>
  <c r="V1148" i="23"/>
  <c r="V1140" i="23"/>
  <c r="V1132" i="23"/>
  <c r="V1124" i="23"/>
  <c r="V1116" i="23"/>
  <c r="V1108" i="23"/>
  <c r="V3565" i="23"/>
  <c r="V3548" i="23"/>
  <c r="V3525" i="23"/>
  <c r="V3502" i="23"/>
  <c r="V3485" i="23"/>
  <c r="V3462" i="23"/>
  <c r="V3445" i="23"/>
  <c r="V3422" i="23"/>
  <c r="V3399" i="23"/>
  <c r="V3382" i="23"/>
  <c r="V3359" i="23"/>
  <c r="V3342" i="23"/>
  <c r="V3319" i="23"/>
  <c r="V3296" i="23"/>
  <c r="V3279" i="23"/>
  <c r="V3256" i="23"/>
  <c r="V3239" i="23"/>
  <c r="V3221" i="23"/>
  <c r="V3207" i="23"/>
  <c r="V3196" i="23"/>
  <c r="V3182" i="23"/>
  <c r="V3171" i="23"/>
  <c r="V3157" i="23"/>
  <c r="V3143" i="23"/>
  <c r="V3132" i="23"/>
  <c r="V3118" i="23"/>
  <c r="V3107" i="23"/>
  <c r="V3093" i="23"/>
  <c r="V3079" i="23"/>
  <c r="V3068" i="23"/>
  <c r="V3054" i="23"/>
  <c r="V3043" i="23"/>
  <c r="V3029" i="23"/>
  <c r="V3015" i="23"/>
  <c r="V3004" i="23"/>
  <c r="V2990" i="23"/>
  <c r="V2979" i="23"/>
  <c r="V2965" i="23"/>
  <c r="V2951" i="23"/>
  <c r="V2940" i="23"/>
  <c r="V2926" i="23"/>
  <c r="V2915" i="23"/>
  <c r="V2901" i="23"/>
  <c r="V2887" i="23"/>
  <c r="V2876" i="23"/>
  <c r="V2862" i="23"/>
  <c r="V2851" i="23"/>
  <c r="V2837" i="23"/>
  <c r="V2823" i="23"/>
  <c r="V2812" i="23"/>
  <c r="V2798" i="23"/>
  <c r="V2787" i="23"/>
  <c r="V2773" i="23"/>
  <c r="V2759" i="23"/>
  <c r="V2748" i="23"/>
  <c r="V2734" i="23"/>
  <c r="V2723" i="23"/>
  <c r="V2709" i="23"/>
  <c r="V2695" i="23"/>
  <c r="V2684" i="23"/>
  <c r="V2670" i="23"/>
  <c r="V2659" i="23"/>
  <c r="V2645" i="23"/>
  <c r="V2631" i="23"/>
  <c r="V2620" i="23"/>
  <c r="V2606" i="23"/>
  <c r="V2595" i="23"/>
  <c r="V2581" i="23"/>
  <c r="V2567" i="23"/>
  <c r="V2556" i="23"/>
  <c r="V2542" i="23"/>
  <c r="V2531" i="23"/>
  <c r="V2517" i="23"/>
  <c r="V2503" i="23"/>
  <c r="V2492" i="23"/>
  <c r="V2478" i="23"/>
  <c r="V2469" i="23"/>
  <c r="V2460" i="23"/>
  <c r="V2451" i="23"/>
  <c r="V2441" i="23"/>
  <c r="V2432" i="23"/>
  <c r="V2423" i="23"/>
  <c r="V2414" i="23"/>
  <c r="V2405" i="23"/>
  <c r="V2396" i="23"/>
  <c r="V2387" i="23"/>
  <c r="V2379" i="23"/>
  <c r="V2371" i="23"/>
  <c r="V2363" i="23"/>
  <c r="V2355" i="23"/>
  <c r="V2347" i="23"/>
  <c r="V2339" i="23"/>
  <c r="V2331" i="23"/>
  <c r="V2323" i="23"/>
  <c r="V2315" i="23"/>
  <c r="V2307" i="23"/>
  <c r="V2299" i="23"/>
  <c r="V2291" i="23"/>
  <c r="V2283" i="23"/>
  <c r="V2275" i="23"/>
  <c r="V2267" i="23"/>
  <c r="V2259" i="23"/>
  <c r="V2251" i="23"/>
  <c r="V2243" i="23"/>
  <c r="V2235" i="23"/>
  <c r="V2227" i="23"/>
  <c r="V2219" i="23"/>
  <c r="V2211" i="23"/>
  <c r="V2203" i="23"/>
  <c r="V2195" i="23"/>
  <c r="V2187" i="23"/>
  <c r="V2179" i="23"/>
  <c r="V2171" i="23"/>
  <c r="V2163" i="23"/>
  <c r="V2155" i="23"/>
  <c r="V2147" i="23"/>
  <c r="V2139" i="23"/>
  <c r="V2131" i="23"/>
  <c r="V2123" i="23"/>
  <c r="V2115" i="23"/>
  <c r="V2107" i="23"/>
  <c r="V2099" i="23"/>
  <c r="V2091" i="23"/>
  <c r="V2083" i="23"/>
  <c r="V2075" i="23"/>
  <c r="V2067" i="23"/>
  <c r="V2059" i="23"/>
  <c r="V2051" i="23"/>
  <c r="V2043" i="23"/>
  <c r="V2035" i="23"/>
  <c r="V2027" i="23"/>
  <c r="V2019" i="23"/>
  <c r="V2011" i="23"/>
  <c r="V2003" i="23"/>
  <c r="V1995" i="23"/>
  <c r="V1987" i="23"/>
  <c r="V1979" i="23"/>
  <c r="V1971" i="23"/>
  <c r="V1963" i="23"/>
  <c r="V1955" i="23"/>
  <c r="V1947" i="23"/>
  <c r="V1939" i="23"/>
  <c r="V1931" i="23"/>
  <c r="V1923" i="23"/>
  <c r="V1915" i="23"/>
  <c r="V1907" i="23"/>
  <c r="V1899" i="23"/>
  <c r="V1891" i="23"/>
  <c r="V1883" i="23"/>
  <c r="V1875" i="23"/>
  <c r="V1867" i="23"/>
  <c r="V1859" i="23"/>
  <c r="V1851" i="23"/>
  <c r="V1843" i="23"/>
  <c r="V1835" i="23"/>
  <c r="V1827" i="23"/>
  <c r="V1819" i="23"/>
  <c r="V1811" i="23"/>
  <c r="V1803" i="23"/>
  <c r="V1795" i="23"/>
  <c r="V1787" i="23"/>
  <c r="V1779" i="23"/>
  <c r="V1771" i="23"/>
  <c r="V1763" i="23"/>
  <c r="V1755" i="23"/>
  <c r="V1747" i="23"/>
  <c r="V1739" i="23"/>
  <c r="V1731" i="23"/>
  <c r="V1723" i="23"/>
  <c r="V1715" i="23"/>
  <c r="V1707" i="23"/>
  <c r="V1699" i="23"/>
  <c r="V1691" i="23"/>
  <c r="V1683" i="23"/>
  <c r="V1675" i="23"/>
  <c r="V1667" i="23"/>
  <c r="V1659" i="23"/>
  <c r="V1651" i="23"/>
  <c r="V1643" i="23"/>
  <c r="V1635" i="23"/>
  <c r="V1627" i="23"/>
  <c r="V1619" i="23"/>
  <c r="V1611" i="23"/>
  <c r="V1603" i="23"/>
  <c r="V1595" i="23"/>
  <c r="V1587" i="23"/>
  <c r="V1579" i="23"/>
  <c r="V1571" i="23"/>
  <c r="V1563" i="23"/>
  <c r="V1555" i="23"/>
  <c r="V1547" i="23"/>
  <c r="V1539" i="23"/>
  <c r="V1531" i="23"/>
  <c r="V1523" i="23"/>
  <c r="V1515" i="23"/>
  <c r="V1507" i="23"/>
  <c r="V1499" i="23"/>
  <c r="V1491" i="23"/>
  <c r="V1483" i="23"/>
  <c r="V1475" i="23"/>
  <c r="V1467" i="23"/>
  <c r="V1459" i="23"/>
  <c r="V1451" i="23"/>
  <c r="V1443" i="23"/>
  <c r="V1435" i="23"/>
  <c r="V1427" i="23"/>
  <c r="V1419" i="23"/>
  <c r="V1411" i="23"/>
  <c r="V1403" i="23"/>
  <c r="V1395" i="23"/>
  <c r="V1387" i="23"/>
  <c r="V1379" i="23"/>
  <c r="V1371" i="23"/>
  <c r="V1363" i="23"/>
  <c r="V1355" i="23"/>
  <c r="V1347" i="23"/>
  <c r="V1339" i="23"/>
  <c r="V1331" i="23"/>
  <c r="V1323" i="23"/>
  <c r="V1315" i="23"/>
  <c r="V1307" i="23"/>
  <c r="V1299" i="23"/>
  <c r="V1291" i="23"/>
  <c r="V1283" i="23"/>
  <c r="V1275" i="23"/>
  <c r="V1267" i="23"/>
  <c r="V1259" i="23"/>
  <c r="V1251" i="23"/>
  <c r="V1243" i="23"/>
  <c r="V1235" i="23"/>
  <c r="V1227" i="23"/>
  <c r="V1219" i="23"/>
  <c r="V1211" i="23"/>
  <c r="V1203" i="23"/>
  <c r="V1195" i="23"/>
  <c r="V1187" i="23"/>
  <c r="V1179" i="23"/>
  <c r="V1171" i="23"/>
  <c r="V1163" i="23"/>
  <c r="V1155" i="23"/>
  <c r="V1147" i="23"/>
  <c r="V1139" i="23"/>
  <c r="V1131" i="23"/>
  <c r="V1123" i="23"/>
  <c r="V1115" i="23"/>
  <c r="V3564" i="23"/>
  <c r="V3541" i="23"/>
  <c r="V3524" i="23"/>
  <c r="V3501" i="23"/>
  <c r="V3484" i="23"/>
  <c r="V3461" i="23"/>
  <c r="V3438" i="23"/>
  <c r="V3421" i="23"/>
  <c r="V3398" i="23"/>
  <c r="V3381" i="23"/>
  <c r="V3358" i="23"/>
  <c r="V3335" i="23"/>
  <c r="V3318" i="23"/>
  <c r="V3295" i="23"/>
  <c r="V3278" i="23"/>
  <c r="V3255" i="23"/>
  <c r="V3232" i="23"/>
  <c r="V3220" i="23"/>
  <c r="V3206" i="23"/>
  <c r="V3195" i="23"/>
  <c r="V3181" i="23"/>
  <c r="V3167" i="23"/>
  <c r="V3156" i="23"/>
  <c r="V3142" i="23"/>
  <c r="V3131" i="23"/>
  <c r="V3117" i="23"/>
  <c r="V3103" i="23"/>
  <c r="V3092" i="23"/>
  <c r="V3078" i="23"/>
  <c r="V3067" i="23"/>
  <c r="V3053" i="23"/>
  <c r="V3039" i="23"/>
  <c r="V3028" i="23"/>
  <c r="V3014" i="23"/>
  <c r="V3003" i="23"/>
  <c r="V2989" i="23"/>
  <c r="V2975" i="23"/>
  <c r="V2964" i="23"/>
  <c r="V2950" i="23"/>
  <c r="V2939" i="23"/>
  <c r="V2925" i="23"/>
  <c r="V2911" i="23"/>
  <c r="V2900" i="23"/>
  <c r="V2886" i="23"/>
  <c r="V2875" i="23"/>
  <c r="V2861" i="23"/>
  <c r="V2847" i="23"/>
  <c r="V2836" i="23"/>
  <c r="V2822" i="23"/>
  <c r="V2811" i="23"/>
  <c r="V2797" i="23"/>
  <c r="V2783" i="23"/>
  <c r="V2772" i="23"/>
  <c r="V2758" i="23"/>
  <c r="V2747" i="23"/>
  <c r="V2733" i="23"/>
  <c r="V2719" i="23"/>
  <c r="V2708" i="23"/>
  <c r="V2694" i="23"/>
  <c r="V2683" i="23"/>
  <c r="V2669" i="23"/>
  <c r="V2655" i="23"/>
  <c r="V2644" i="23"/>
  <c r="V2630" i="23"/>
  <c r="V2619" i="23"/>
  <c r="V2605" i="23"/>
  <c r="V2591" i="23"/>
  <c r="V2580" i="23"/>
  <c r="V2566" i="23"/>
  <c r="V2555" i="23"/>
  <c r="V2541" i="23"/>
  <c r="V2527" i="23"/>
  <c r="V2516" i="23"/>
  <c r="V2502" i="23"/>
  <c r="V2491" i="23"/>
  <c r="V2477" i="23"/>
  <c r="V2468" i="23"/>
  <c r="V2459" i="23"/>
  <c r="V2449" i="23"/>
  <c r="V2440" i="23"/>
  <c r="V2431" i="23"/>
  <c r="V2422" i="23"/>
  <c r="V2413" i="23"/>
  <c r="V2404" i="23"/>
  <c r="V2395" i="23"/>
  <c r="V2386" i="23"/>
  <c r="V2378" i="23"/>
  <c r="V2370" i="23"/>
  <c r="V2362" i="23"/>
  <c r="V2354" i="23"/>
  <c r="V2346" i="23"/>
  <c r="V2338" i="23"/>
  <c r="V2330" i="23"/>
  <c r="V2322" i="23"/>
  <c r="V2314" i="23"/>
  <c r="V2306" i="23"/>
  <c r="V2298" i="23"/>
  <c r="V2290" i="23"/>
  <c r="V2282" i="23"/>
  <c r="V2274" i="23"/>
  <c r="V2266" i="23"/>
  <c r="V2258" i="23"/>
  <c r="V2250" i="23"/>
  <c r="V2242" i="23"/>
  <c r="V2234" i="23"/>
  <c r="V2226" i="23"/>
  <c r="V2218" i="23"/>
  <c r="V2210" i="23"/>
  <c r="V2202" i="23"/>
  <c r="V2194" i="23"/>
  <c r="V2186" i="23"/>
  <c r="V2178" i="23"/>
  <c r="V2170" i="23"/>
  <c r="V2162" i="23"/>
  <c r="V2154" i="23"/>
  <c r="V2146" i="23"/>
  <c r="V2138" i="23"/>
  <c r="V2130" i="23"/>
  <c r="V2122" i="23"/>
  <c r="V2114" i="23"/>
  <c r="V2106" i="23"/>
  <c r="V2098" i="23"/>
  <c r="V2090" i="23"/>
  <c r="V2082" i="23"/>
  <c r="V2074" i="23"/>
  <c r="V2066" i="23"/>
  <c r="V2058" i="23"/>
  <c r="V2050" i="23"/>
  <c r="V2042" i="23"/>
  <c r="V2034" i="23"/>
  <c r="V2026" i="23"/>
  <c r="V2018" i="23"/>
  <c r="V2010" i="23"/>
  <c r="V2002" i="23"/>
  <c r="V1994" i="23"/>
  <c r="V1986" i="23"/>
  <c r="V1978" i="23"/>
  <c r="V1970" i="23"/>
  <c r="V1962" i="23"/>
  <c r="V1954" i="23"/>
  <c r="V1946" i="23"/>
  <c r="V1938" i="23"/>
  <c r="V1930" i="23"/>
  <c r="V1922" i="23"/>
  <c r="V1914" i="23"/>
  <c r="V1906" i="23"/>
  <c r="V1898" i="23"/>
  <c r="V1890" i="23"/>
  <c r="V1882" i="23"/>
  <c r="V1874" i="23"/>
  <c r="V1866" i="23"/>
  <c r="V1858" i="23"/>
  <c r="V1850" i="23"/>
  <c r="V1842" i="23"/>
  <c r="V1834" i="23"/>
  <c r="V1826" i="23"/>
  <c r="V1818" i="23"/>
  <c r="V1810" i="23"/>
  <c r="V1802" i="23"/>
  <c r="V1794" i="23"/>
  <c r="V1786" i="23"/>
  <c r="V1778" i="23"/>
  <c r="V3560" i="23"/>
  <c r="V3540" i="23"/>
  <c r="V3520" i="23"/>
  <c r="V3500" i="23"/>
  <c r="V3477" i="23"/>
  <c r="V3460" i="23"/>
  <c r="V3437" i="23"/>
  <c r="V3420" i="23"/>
  <c r="V3397" i="23"/>
  <c r="V3374" i="23"/>
  <c r="V3357" i="23"/>
  <c r="V3334" i="23"/>
  <c r="V3317" i="23"/>
  <c r="V3294" i="23"/>
  <c r="V3271" i="23"/>
  <c r="V3254" i="23"/>
  <c r="V3231" i="23"/>
  <c r="V3219" i="23"/>
  <c r="V3205" i="23"/>
  <c r="V3191" i="23"/>
  <c r="V3180" i="23"/>
  <c r="V3166" i="23"/>
  <c r="V3155" i="23"/>
  <c r="V3141" i="23"/>
  <c r="V3127" i="23"/>
  <c r="V3116" i="23"/>
  <c r="V3102" i="23"/>
  <c r="V3091" i="23"/>
  <c r="V3077" i="23"/>
  <c r="V3063" i="23"/>
  <c r="V3052" i="23"/>
  <c r="V3038" i="23"/>
  <c r="V3027" i="23"/>
  <c r="V3013" i="23"/>
  <c r="V2999" i="23"/>
  <c r="V2988" i="23"/>
  <c r="V2974" i="23"/>
  <c r="V2963" i="23"/>
  <c r="V2949" i="23"/>
  <c r="V2935" i="23"/>
  <c r="V2924" i="23"/>
  <c r="V2910" i="23"/>
  <c r="V2899" i="23"/>
  <c r="V2885" i="23"/>
  <c r="V2871" i="23"/>
  <c r="V2860" i="23"/>
  <c r="V2846" i="23"/>
  <c r="V2835" i="23"/>
  <c r="V2821" i="23"/>
  <c r="V2807" i="23"/>
  <c r="V2796" i="23"/>
  <c r="V2782" i="23"/>
  <c r="V2771" i="23"/>
  <c r="V2757" i="23"/>
  <c r="V2743" i="23"/>
  <c r="V2732" i="23"/>
  <c r="V2718" i="23"/>
  <c r="V2707" i="23"/>
  <c r="V2693" i="23"/>
  <c r="V2679" i="23"/>
  <c r="V2668" i="23"/>
  <c r="V2654" i="23"/>
  <c r="V2643" i="23"/>
  <c r="V2629" i="23"/>
  <c r="V2615" i="23"/>
  <c r="V2604" i="23"/>
  <c r="V2590" i="23"/>
  <c r="V2579" i="23"/>
  <c r="V2565" i="23"/>
  <c r="V2551" i="23"/>
  <c r="V2540" i="23"/>
  <c r="V2526" i="23"/>
  <c r="V2515" i="23"/>
  <c r="V2501" i="23"/>
  <c r="V2487" i="23"/>
  <c r="V2476" i="23"/>
  <c r="V2467" i="23"/>
  <c r="V2457" i="23"/>
  <c r="V2448" i="23"/>
  <c r="V2439" i="23"/>
  <c r="V2430" i="23"/>
  <c r="V2421" i="23"/>
  <c r="V2412" i="23"/>
  <c r="V2403" i="23"/>
  <c r="V2393" i="23"/>
  <c r="V3559" i="23"/>
  <c r="V3536" i="23"/>
  <c r="V3516" i="23"/>
  <c r="V3496" i="23"/>
  <c r="V3476" i="23"/>
  <c r="V3456" i="23"/>
  <c r="V3436" i="23"/>
  <c r="V3413" i="23"/>
  <c r="V3396" i="23"/>
  <c r="V3373" i="23"/>
  <c r="V3356" i="23"/>
  <c r="V3333" i="23"/>
  <c r="V3310" i="23"/>
  <c r="V3293" i="23"/>
  <c r="V3270" i="23"/>
  <c r="V3253" i="23"/>
  <c r="V3230" i="23"/>
  <c r="V3215" i="23"/>
  <c r="V3204" i="23"/>
  <c r="V3190" i="23"/>
  <c r="V3179" i="23"/>
  <c r="V3165" i="23"/>
  <c r="V3151" i="23"/>
  <c r="V3140" i="23"/>
  <c r="V3126" i="23"/>
  <c r="V3115" i="23"/>
  <c r="V3101" i="23"/>
  <c r="V3087" i="23"/>
  <c r="V3076" i="23"/>
  <c r="V3062" i="23"/>
  <c r="V3051" i="23"/>
  <c r="V3037" i="23"/>
  <c r="V3023" i="23"/>
  <c r="V3012" i="23"/>
  <c r="V2998" i="23"/>
  <c r="V2987" i="23"/>
  <c r="V2973" i="23"/>
  <c r="V2959" i="23"/>
  <c r="V2948" i="23"/>
  <c r="V2934" i="23"/>
  <c r="V2923" i="23"/>
  <c r="V2909" i="23"/>
  <c r="V2895" i="23"/>
  <c r="V2884" i="23"/>
  <c r="V2870" i="23"/>
  <c r="V2859" i="23"/>
  <c r="V2845" i="23"/>
  <c r="V2831" i="23"/>
  <c r="V2820" i="23"/>
  <c r="V2806" i="23"/>
  <c r="V2795" i="23"/>
  <c r="V2781" i="23"/>
  <c r="V2767" i="23"/>
  <c r="V2756" i="23"/>
  <c r="V2742" i="23"/>
  <c r="V2731" i="23"/>
  <c r="V2717" i="23"/>
  <c r="V2703" i="23"/>
  <c r="V2692" i="23"/>
  <c r="V2678" i="23"/>
  <c r="V2667" i="23"/>
  <c r="V2653" i="23"/>
  <c r="V2639" i="23"/>
  <c r="V2628" i="23"/>
  <c r="V2614" i="23"/>
  <c r="V2603" i="23"/>
  <c r="V2589" i="23"/>
  <c r="V2575" i="23"/>
  <c r="V2564" i="23"/>
  <c r="V2550" i="23"/>
  <c r="V2539" i="23"/>
  <c r="V2525" i="23"/>
  <c r="V2511" i="23"/>
  <c r="V2500" i="23"/>
  <c r="V2486" i="23"/>
  <c r="V2475" i="23"/>
  <c r="V2465" i="23"/>
  <c r="V2456" i="23"/>
  <c r="V2447" i="23"/>
  <c r="V2438" i="23"/>
  <c r="V2429" i="23"/>
  <c r="V2420" i="23"/>
  <c r="V2411" i="23"/>
  <c r="V2401" i="23"/>
  <c r="V2392" i="23"/>
  <c r="V2384" i="23"/>
  <c r="V3580" i="23"/>
  <c r="V3552" i="23"/>
  <c r="V3535" i="23"/>
  <c r="V3512" i="23"/>
  <c r="V3495" i="23"/>
  <c r="V3472" i="23"/>
  <c r="V3452" i="23"/>
  <c r="V3432" i="23"/>
  <c r="V3412" i="23"/>
  <c r="V3392" i="23"/>
  <c r="V3372" i="23"/>
  <c r="V3349" i="23"/>
  <c r="V3332" i="23"/>
  <c r="V3309" i="23"/>
  <c r="V3292" i="23"/>
  <c r="V3269" i="23"/>
  <c r="V3246" i="23"/>
  <c r="V3229" i="23"/>
  <c r="V3214" i="23"/>
  <c r="V3203" i="23"/>
  <c r="V3189" i="23"/>
  <c r="V3175" i="23"/>
  <c r="V3164" i="23"/>
  <c r="V3150" i="23"/>
  <c r="V3139" i="23"/>
  <c r="V3125" i="23"/>
  <c r="V3111" i="23"/>
  <c r="V3100" i="23"/>
  <c r="V3086" i="23"/>
  <c r="V3075" i="23"/>
  <c r="V3061" i="23"/>
  <c r="V3047" i="23"/>
  <c r="V3036" i="23"/>
  <c r="V3022" i="23"/>
  <c r="V3011" i="23"/>
  <c r="V2997" i="23"/>
  <c r="V2983" i="23"/>
  <c r="V2972" i="23"/>
  <c r="V2958" i="23"/>
  <c r="V2947" i="23"/>
  <c r="V2933" i="23"/>
  <c r="V2919" i="23"/>
  <c r="V2908" i="23"/>
  <c r="V2894" i="23"/>
  <c r="V2883" i="23"/>
  <c r="V2869" i="23"/>
  <c r="V2855" i="23"/>
  <c r="V2844" i="23"/>
  <c r="V2830" i="23"/>
  <c r="V2819" i="23"/>
  <c r="V2805" i="23"/>
  <c r="V2791" i="23"/>
  <c r="V2780" i="23"/>
  <c r="V2766" i="23"/>
  <c r="V2755" i="23"/>
  <c r="V2741" i="23"/>
  <c r="V2727" i="23"/>
  <c r="V2716" i="23"/>
  <c r="V2702" i="23"/>
  <c r="V2691" i="23"/>
  <c r="V2677" i="23"/>
  <c r="V2663" i="23"/>
  <c r="V2652" i="23"/>
  <c r="V2638" i="23"/>
  <c r="V2627" i="23"/>
  <c r="V2613" i="23"/>
  <c r="V2599" i="23"/>
  <c r="V2588" i="23"/>
  <c r="V2574" i="23"/>
  <c r="V2563" i="23"/>
  <c r="V2549" i="23"/>
  <c r="V2535" i="23"/>
  <c r="V2524" i="23"/>
  <c r="V2510" i="23"/>
  <c r="V2499" i="23"/>
  <c r="V2485" i="23"/>
  <c r="V2473" i="23"/>
  <c r="V2464" i="23"/>
  <c r="V2455" i="23"/>
  <c r="V2446" i="23"/>
  <c r="V2437" i="23"/>
  <c r="V2428" i="23"/>
  <c r="V2419" i="23"/>
  <c r="V2409" i="23"/>
  <c r="V2400" i="23"/>
  <c r="V3575" i="23"/>
  <c r="V3551" i="23"/>
  <c r="V3534" i="23"/>
  <c r="V3511" i="23"/>
  <c r="V3488" i="23"/>
  <c r="V3471" i="23"/>
  <c r="V3448" i="23"/>
  <c r="V3431" i="23"/>
  <c r="V3408" i="23"/>
  <c r="V3388" i="23"/>
  <c r="V3368" i="23"/>
  <c r="V3348" i="23"/>
  <c r="V3328" i="23"/>
  <c r="V3308" i="23"/>
  <c r="V3285" i="23"/>
  <c r="V3268" i="23"/>
  <c r="V3245" i="23"/>
  <c r="V3228" i="23"/>
  <c r="V3213" i="23"/>
  <c r="V3199" i="23"/>
  <c r="V3188" i="23"/>
  <c r="V3174" i="23"/>
  <c r="V3163" i="23"/>
  <c r="V3149" i="23"/>
  <c r="V3135" i="23"/>
  <c r="V3124" i="23"/>
  <c r="V3110" i="23"/>
  <c r="V3099" i="23"/>
  <c r="V3085" i="23"/>
  <c r="V3071" i="23"/>
  <c r="V3060" i="23"/>
  <c r="V3046" i="23"/>
  <c r="V3035" i="23"/>
  <c r="V3021" i="23"/>
  <c r="V3007" i="23"/>
  <c r="V2996" i="23"/>
  <c r="V2982" i="23"/>
  <c r="V2971" i="23"/>
  <c r="V2957" i="23"/>
  <c r="V2943" i="23"/>
  <c r="V2932" i="23"/>
  <c r="V2918" i="23"/>
  <c r="V2907" i="23"/>
  <c r="V2893" i="23"/>
  <c r="V2879" i="23"/>
  <c r="V2868" i="23"/>
  <c r="V2854" i="23"/>
  <c r="V2843" i="23"/>
  <c r="V2829" i="23"/>
  <c r="V2815" i="23"/>
  <c r="V2804" i="23"/>
  <c r="V2790" i="23"/>
  <c r="V2779" i="23"/>
  <c r="V2765" i="23"/>
  <c r="V2751" i="23"/>
  <c r="V2740" i="23"/>
  <c r="V2726" i="23"/>
  <c r="V2715" i="23"/>
  <c r="V2701" i="23"/>
  <c r="V2687" i="23"/>
  <c r="V2676" i="23"/>
  <c r="V2662" i="23"/>
  <c r="V2651" i="23"/>
  <c r="V2637" i="23"/>
  <c r="V2623" i="23"/>
  <c r="V2612" i="23"/>
  <c r="V2598" i="23"/>
  <c r="V2587" i="23"/>
  <c r="V2573" i="23"/>
  <c r="V2559" i="23"/>
  <c r="V2548" i="23"/>
  <c r="V2534" i="23"/>
  <c r="V2523" i="23"/>
  <c r="V2509" i="23"/>
  <c r="V2495" i="23"/>
  <c r="V2484" i="23"/>
  <c r="V2472" i="23"/>
  <c r="V2463" i="23"/>
  <c r="V2454" i="23"/>
  <c r="V2445" i="23"/>
  <c r="V2436" i="23"/>
  <c r="V2427" i="23"/>
  <c r="V2417" i="23"/>
  <c r="V2408" i="23"/>
  <c r="V2399" i="23"/>
  <c r="V2390" i="23"/>
  <c r="V2382" i="23"/>
  <c r="V2374" i="23"/>
  <c r="V2366" i="23"/>
  <c r="V2358" i="23"/>
  <c r="V3573" i="23"/>
  <c r="V3550" i="23"/>
  <c r="V3527" i="23"/>
  <c r="V3510" i="23"/>
  <c r="V3487" i="23"/>
  <c r="V3470" i="23"/>
  <c r="V3447" i="23"/>
  <c r="V3424" i="23"/>
  <c r="V3407" i="23"/>
  <c r="V3384" i="23"/>
  <c r="V3367" i="23"/>
  <c r="V3344" i="23"/>
  <c r="V3324" i="23"/>
  <c r="V3304" i="23"/>
  <c r="V3284" i="23"/>
  <c r="V3264" i="23"/>
  <c r="V3244" i="23"/>
  <c r="V3223" i="23"/>
  <c r="V3212" i="23"/>
  <c r="V3198" i="23"/>
  <c r="V3187" i="23"/>
  <c r="V3173" i="23"/>
  <c r="V3159" i="23"/>
  <c r="V3148" i="23"/>
  <c r="V3134" i="23"/>
  <c r="V3123" i="23"/>
  <c r="V3109" i="23"/>
  <c r="V3095" i="23"/>
  <c r="V3084" i="23"/>
  <c r="V3070" i="23"/>
  <c r="V3059" i="23"/>
  <c r="V3045" i="23"/>
  <c r="V3031" i="23"/>
  <c r="V3020" i="23"/>
  <c r="V3006" i="23"/>
  <c r="V2995" i="23"/>
  <c r="V2981" i="23"/>
  <c r="V2967" i="23"/>
  <c r="V2956" i="23"/>
  <c r="V2942" i="23"/>
  <c r="V2931" i="23"/>
  <c r="V2917" i="23"/>
  <c r="V2903" i="23"/>
  <c r="V2892" i="23"/>
  <c r="V2878" i="23"/>
  <c r="V2867" i="23"/>
  <c r="V2853" i="23"/>
  <c r="V2839" i="23"/>
  <c r="V2828" i="23"/>
  <c r="V2814" i="23"/>
  <c r="V2803" i="23"/>
  <c r="V2789" i="23"/>
  <c r="V2775" i="23"/>
  <c r="V2764" i="23"/>
  <c r="V2750" i="23"/>
  <c r="V2739" i="23"/>
  <c r="V2725" i="23"/>
  <c r="V2711" i="23"/>
  <c r="V2700" i="23"/>
  <c r="V2686" i="23"/>
  <c r="V2675" i="23"/>
  <c r="V2661" i="23"/>
  <c r="V2647" i="23"/>
  <c r="V2636" i="23"/>
  <c r="V2622" i="23"/>
  <c r="V2611" i="23"/>
  <c r="V2597" i="23"/>
  <c r="V2583" i="23"/>
  <c r="V2572" i="23"/>
  <c r="V2558" i="23"/>
  <c r="V2547" i="23"/>
  <c r="V2533" i="23"/>
  <c r="V2519" i="23"/>
  <c r="V2508" i="23"/>
  <c r="V2494" i="23"/>
  <c r="V2483" i="23"/>
  <c r="V2471" i="23"/>
  <c r="V2462" i="23"/>
  <c r="V2453" i="23"/>
  <c r="V2444" i="23"/>
  <c r="V2435" i="23"/>
  <c r="V2425" i="23"/>
  <c r="V2416" i="23"/>
  <c r="V2407" i="23"/>
  <c r="V2398" i="23"/>
  <c r="V2389" i="23"/>
  <c r="V2381" i="23"/>
  <c r="V2373" i="23"/>
  <c r="V2365" i="23"/>
  <c r="V2357" i="23"/>
  <c r="V2349" i="23"/>
  <c r="V2341" i="23"/>
  <c r="V2333" i="23"/>
  <c r="V2325" i="23"/>
  <c r="V2317" i="23"/>
  <c r="V2309" i="23"/>
  <c r="V2301" i="23"/>
  <c r="V2293" i="23"/>
  <c r="V2285" i="23"/>
  <c r="V2277" i="23"/>
  <c r="V2269" i="23"/>
  <c r="V2261" i="23"/>
  <c r="V2253" i="23"/>
  <c r="V2245" i="23"/>
  <c r="V2237" i="23"/>
  <c r="V2229" i="23"/>
  <c r="V2221" i="23"/>
  <c r="V2213" i="23"/>
  <c r="V2205" i="23"/>
  <c r="V2197" i="23"/>
  <c r="V2189" i="23"/>
  <c r="V2181" i="23"/>
  <c r="V2173" i="23"/>
  <c r="V2165" i="23"/>
  <c r="V2157" i="23"/>
  <c r="V2149" i="23"/>
  <c r="V2141" i="23"/>
  <c r="V2133" i="23"/>
  <c r="V2125" i="23"/>
  <c r="V2117" i="23"/>
  <c r="V2109" i="23"/>
  <c r="V2101" i="23"/>
  <c r="V2093" i="23"/>
  <c r="V2085" i="23"/>
  <c r="V2077" i="23"/>
  <c r="V2069" i="23"/>
  <c r="V2061" i="23"/>
  <c r="V2053" i="23"/>
  <c r="V2045" i="23"/>
  <c r="V2037" i="23"/>
  <c r="V2029" i="23"/>
  <c r="V2021" i="23"/>
  <c r="V2013" i="23"/>
  <c r="V2005" i="23"/>
  <c r="V1997" i="23"/>
  <c r="V1989" i="23"/>
  <c r="V1981" i="23"/>
  <c r="V1973" i="23"/>
  <c r="V1965" i="23"/>
  <c r="V1957" i="23"/>
  <c r="V1949" i="23"/>
  <c r="V1941" i="23"/>
  <c r="V1933" i="23"/>
  <c r="V1925" i="23"/>
  <c r="V1917" i="23"/>
  <c r="V1909" i="23"/>
  <c r="V1901" i="23"/>
  <c r="V1893" i="23"/>
  <c r="V1885" i="23"/>
  <c r="V1877" i="23"/>
  <c r="V1869" i="23"/>
  <c r="V1861" i="23"/>
  <c r="V1853" i="23"/>
  <c r="V1845" i="23"/>
  <c r="V1837" i="23"/>
  <c r="V1829" i="23"/>
  <c r="V1821" i="23"/>
  <c r="V1813" i="23"/>
  <c r="V1805" i="23"/>
  <c r="V1797" i="23"/>
  <c r="V1789" i="23"/>
  <c r="V1781" i="23"/>
  <c r="V1773" i="23"/>
  <c r="V1765" i="23"/>
  <c r="V1757" i="23"/>
  <c r="V1749" i="23"/>
  <c r="V1741" i="23"/>
  <c r="V1733" i="23"/>
  <c r="V1725" i="23"/>
  <c r="V1717" i="23"/>
  <c r="V1709" i="23"/>
  <c r="V1701" i="23"/>
  <c r="V1693" i="23"/>
  <c r="V1685" i="23"/>
  <c r="V1677" i="23"/>
  <c r="V1669" i="23"/>
  <c r="V1661" i="23"/>
  <c r="V1653" i="23"/>
  <c r="V1645" i="23"/>
  <c r="V1637" i="23"/>
  <c r="V1629" i="23"/>
  <c r="V1621" i="23"/>
  <c r="V1613" i="23"/>
  <c r="V1605" i="23"/>
  <c r="V1597" i="23"/>
  <c r="V1589" i="23"/>
  <c r="V1581" i="23"/>
  <c r="V1573" i="23"/>
  <c r="V1565" i="23"/>
  <c r="V1557" i="23"/>
  <c r="V1549" i="23"/>
  <c r="V1541" i="23"/>
  <c r="V1533" i="23"/>
  <c r="V1525" i="23"/>
  <c r="V1517" i="23"/>
  <c r="V1509" i="23"/>
  <c r="V1501" i="23"/>
  <c r="V1493" i="23"/>
  <c r="V1485" i="23"/>
  <c r="V1477" i="23"/>
  <c r="V1469" i="23"/>
  <c r="V1461" i="23"/>
  <c r="V1453" i="23"/>
  <c r="V1445" i="23"/>
  <c r="V1437" i="23"/>
  <c r="V1429" i="23"/>
  <c r="V1421" i="23"/>
  <c r="V1413" i="23"/>
  <c r="V1405" i="23"/>
  <c r="V1397" i="23"/>
  <c r="V1389" i="23"/>
  <c r="V1381" i="23"/>
  <c r="V1373" i="23"/>
  <c r="V1365" i="23"/>
  <c r="V1357" i="23"/>
  <c r="V1349" i="23"/>
  <c r="V1341" i="23"/>
  <c r="V1333" i="23"/>
  <c r="V1325" i="23"/>
  <c r="V1317" i="23"/>
  <c r="V1309" i="23"/>
  <c r="V1301" i="23"/>
  <c r="V1293" i="23"/>
  <c r="V1285" i="23"/>
  <c r="V1277" i="23"/>
  <c r="V1269" i="23"/>
  <c r="V1261" i="23"/>
  <c r="V1253" i="23"/>
  <c r="V1245" i="23"/>
  <c r="V1237" i="23"/>
  <c r="V1229" i="23"/>
  <c r="V1221" i="23"/>
  <c r="V1213" i="23"/>
  <c r="V1205" i="23"/>
  <c r="V1197" i="23"/>
  <c r="V1189" i="23"/>
  <c r="V1181" i="23"/>
  <c r="V1173" i="23"/>
  <c r="V1165" i="23"/>
  <c r="V1157" i="23"/>
  <c r="V1149" i="23"/>
  <c r="V1141" i="23"/>
  <c r="V1133" i="23"/>
  <c r="V1125" i="23"/>
  <c r="V1117" i="23"/>
  <c r="V1109" i="23"/>
  <c r="V1101" i="23"/>
  <c r="V1093" i="23"/>
  <c r="V1085" i="23"/>
  <c r="V1077" i="23"/>
  <c r="V1069" i="23"/>
  <c r="V1061" i="23"/>
  <c r="V1053" i="23"/>
  <c r="V1045" i="23"/>
  <c r="V1037" i="23"/>
  <c r="V1029" i="23"/>
  <c r="V1021" i="23"/>
  <c r="V1013" i="23"/>
  <c r="V1005" i="23"/>
  <c r="V997" i="23"/>
  <c r="V989" i="23"/>
  <c r="V981" i="23"/>
  <c r="V973" i="23"/>
  <c r="V965" i="23"/>
  <c r="V957" i="23"/>
  <c r="V949" i="23"/>
  <c r="V2377" i="23"/>
  <c r="V2359" i="23"/>
  <c r="V2342" i="23"/>
  <c r="V2326" i="23"/>
  <c r="V2310" i="23"/>
  <c r="V2294" i="23"/>
  <c r="V2278" i="23"/>
  <c r="V2262" i="23"/>
  <c r="V2246" i="23"/>
  <c r="V2230" i="23"/>
  <c r="V2214" i="23"/>
  <c r="V2198" i="23"/>
  <c r="V2182" i="23"/>
  <c r="V2166" i="23"/>
  <c r="V2150" i="23"/>
  <c r="V2134" i="23"/>
  <c r="V2118" i="23"/>
  <c r="V2102" i="23"/>
  <c r="V2086" i="23"/>
  <c r="V2070" i="23"/>
  <c r="V2054" i="23"/>
  <c r="V2038" i="23"/>
  <c r="V2022" i="23"/>
  <c r="V2006" i="23"/>
  <c r="V1990" i="23"/>
  <c r="V1974" i="23"/>
  <c r="V1958" i="23"/>
  <c r="V1942" i="23"/>
  <c r="V1926" i="23"/>
  <c r="V1910" i="23"/>
  <c r="V1894" i="23"/>
  <c r="V1878" i="23"/>
  <c r="V1862" i="23"/>
  <c r="V1846" i="23"/>
  <c r="V1830" i="23"/>
  <c r="V1814" i="23"/>
  <c r="V1798" i="23"/>
  <c r="V1782" i="23"/>
  <c r="V1767" i="23"/>
  <c r="V1753" i="23"/>
  <c r="V1742" i="23"/>
  <c r="V1728" i="23"/>
  <c r="V1714" i="23"/>
  <c r="V1703" i="23"/>
  <c r="V1689" i="23"/>
  <c r="V1678" i="23"/>
  <c r="V1664" i="23"/>
  <c r="V1650" i="23"/>
  <c r="V1639" i="23"/>
  <c r="V1625" i="23"/>
  <c r="V1614" i="23"/>
  <c r="V1600" i="23"/>
  <c r="V1586" i="23"/>
  <c r="V1575" i="23"/>
  <c r="V1561" i="23"/>
  <c r="V1550" i="23"/>
  <c r="V1536" i="23"/>
  <c r="V1522" i="23"/>
  <c r="V1511" i="23"/>
  <c r="V1497" i="23"/>
  <c r="V1486" i="23"/>
  <c r="V1472" i="23"/>
  <c r="V1458" i="23"/>
  <c r="V1447" i="23"/>
  <c r="V1433" i="23"/>
  <c r="V1422" i="23"/>
  <c r="V1408" i="23"/>
  <c r="V1394" i="23"/>
  <c r="V1383" i="23"/>
  <c r="V1369" i="23"/>
  <c r="V1358" i="23"/>
  <c r="V1344" i="23"/>
  <c r="V1330" i="23"/>
  <c r="V1319" i="23"/>
  <c r="V1305" i="23"/>
  <c r="V1294" i="23"/>
  <c r="V1280" i="23"/>
  <c r="V1266" i="23"/>
  <c r="V1255" i="23"/>
  <c r="V1241" i="23"/>
  <c r="V1230" i="23"/>
  <c r="V1216" i="23"/>
  <c r="V1202" i="23"/>
  <c r="V1191" i="23"/>
  <c r="V1177" i="23"/>
  <c r="V1166" i="23"/>
  <c r="V1152" i="23"/>
  <c r="V1138" i="23"/>
  <c r="V1127" i="23"/>
  <c r="V1113" i="23"/>
  <c r="V1103" i="23"/>
  <c r="V1094" i="23"/>
  <c r="V1084" i="23"/>
  <c r="V1075" i="23"/>
  <c r="V1066" i="23"/>
  <c r="V1057" i="23"/>
  <c r="V1048" i="23"/>
  <c r="V1039" i="23"/>
  <c r="V1030" i="23"/>
  <c r="V1020" i="23"/>
  <c r="V1011" i="23"/>
  <c r="V1002" i="23"/>
  <c r="V993" i="23"/>
  <c r="V984" i="23"/>
  <c r="V975" i="23"/>
  <c r="V966" i="23"/>
  <c r="V956" i="23"/>
  <c r="V947" i="23"/>
  <c r="V939" i="23"/>
  <c r="V931" i="23"/>
  <c r="V923" i="23"/>
  <c r="V915" i="23"/>
  <c r="V907" i="23"/>
  <c r="V899" i="23"/>
  <c r="V891" i="23"/>
  <c r="V883" i="23"/>
  <c r="V875" i="23"/>
  <c r="V867" i="23"/>
  <c r="V859" i="23"/>
  <c r="V851" i="23"/>
  <c r="V843" i="23"/>
  <c r="V835" i="23"/>
  <c r="V827" i="23"/>
  <c r="V819" i="23"/>
  <c r="V811" i="23"/>
  <c r="V803" i="23"/>
  <c r="V795" i="23"/>
  <c r="V787" i="23"/>
  <c r="V779" i="23"/>
  <c r="V771" i="23"/>
  <c r="V763" i="23"/>
  <c r="V755" i="23"/>
  <c r="V747" i="23"/>
  <c r="V739" i="23"/>
  <c r="V731" i="23"/>
  <c r="V723" i="23"/>
  <c r="V715" i="23"/>
  <c r="V707" i="23"/>
  <c r="V699" i="23"/>
  <c r="V691" i="23"/>
  <c r="V683" i="23"/>
  <c r="V675" i="23"/>
  <c r="V667" i="23"/>
  <c r="V659" i="23"/>
  <c r="V651" i="23"/>
  <c r="V643" i="23"/>
  <c r="V635" i="23"/>
  <c r="V627" i="23"/>
  <c r="V619" i="23"/>
  <c r="V611" i="23"/>
  <c r="V603" i="23"/>
  <c r="V595" i="23"/>
  <c r="V587" i="23"/>
  <c r="V579" i="23"/>
  <c r="V571" i="23"/>
  <c r="V563" i="23"/>
  <c r="V555" i="23"/>
  <c r="V547" i="23"/>
  <c r="V539" i="23"/>
  <c r="V531" i="23"/>
  <c r="V523" i="23"/>
  <c r="V515" i="23"/>
  <c r="V507" i="23"/>
  <c r="V499" i="23"/>
  <c r="V491" i="23"/>
  <c r="V483" i="23"/>
  <c r="V475" i="23"/>
  <c r="V467" i="23"/>
  <c r="V459" i="23"/>
  <c r="V451" i="23"/>
  <c r="V443" i="23"/>
  <c r="V435" i="23"/>
  <c r="V427" i="23"/>
  <c r="V419" i="23"/>
  <c r="V411" i="23"/>
  <c r="V403" i="23"/>
  <c r="V395" i="23"/>
  <c r="V387" i="23"/>
  <c r="V379" i="23"/>
  <c r="V371" i="23"/>
  <c r="V363" i="23"/>
  <c r="V355" i="23"/>
  <c r="V347" i="23"/>
  <c r="V339" i="23"/>
  <c r="V331" i="23"/>
  <c r="V323" i="23"/>
  <c r="V315" i="23"/>
  <c r="V307" i="23"/>
  <c r="V299" i="23"/>
  <c r="V291" i="23"/>
  <c r="V283" i="23"/>
  <c r="V275" i="23"/>
  <c r="V267" i="23"/>
  <c r="V259" i="23"/>
  <c r="V251" i="23"/>
  <c r="V243" i="23"/>
  <c r="V235" i="23"/>
  <c r="V227" i="23"/>
  <c r="V219" i="23"/>
  <c r="V211" i="23"/>
  <c r="V203" i="23"/>
  <c r="V195" i="23"/>
  <c r="V187" i="23"/>
  <c r="V179" i="23"/>
  <c r="V171" i="23"/>
  <c r="V163" i="23"/>
  <c r="V155" i="23"/>
  <c r="V147" i="23"/>
  <c r="V139" i="23"/>
  <c r="V131" i="23"/>
  <c r="V123" i="23"/>
  <c r="V115" i="23"/>
  <c r="V107" i="23"/>
  <c r="V99" i="23"/>
  <c r="V91" i="23"/>
  <c r="V83" i="23"/>
  <c r="V75" i="23"/>
  <c r="V67" i="23"/>
  <c r="V59" i="23"/>
  <c r="V51" i="23"/>
  <c r="V43" i="23"/>
  <c r="V35" i="23"/>
  <c r="V27" i="23"/>
  <c r="V19" i="23"/>
  <c r="V11" i="23"/>
  <c r="AF3586" i="23"/>
  <c r="AF3578" i="23"/>
  <c r="AF3570" i="23"/>
  <c r="AF3562" i="23"/>
  <c r="AF3554" i="23"/>
  <c r="AF3546" i="23"/>
  <c r="AF3538" i="23"/>
  <c r="AF3530" i="23"/>
  <c r="AF3522" i="23"/>
  <c r="AF3514" i="23"/>
  <c r="AF3506" i="23"/>
  <c r="AF3498" i="23"/>
  <c r="AF3490" i="23"/>
  <c r="AF3482" i="23"/>
  <c r="AF3474" i="23"/>
  <c r="AF3466" i="23"/>
  <c r="AF3458" i="23"/>
  <c r="AF3450" i="23"/>
  <c r="AF3442" i="23"/>
  <c r="AF3434" i="23"/>
  <c r="AF3426" i="23"/>
  <c r="AF3418" i="23"/>
  <c r="AF3410" i="23"/>
  <c r="AF3402" i="23"/>
  <c r="AF3394" i="23"/>
  <c r="AF3386" i="23"/>
  <c r="AF3378" i="23"/>
  <c r="AF3370" i="23"/>
  <c r="AF3362" i="23"/>
  <c r="AF3354" i="23"/>
  <c r="AF3346" i="23"/>
  <c r="AF3338" i="23"/>
  <c r="AF3330" i="23"/>
  <c r="AF3322" i="23"/>
  <c r="AF3314" i="23"/>
  <c r="AF3306" i="23"/>
  <c r="AF3298" i="23"/>
  <c r="AF3290" i="23"/>
  <c r="AF3282" i="23"/>
  <c r="AF3274" i="23"/>
  <c r="AF3266" i="23"/>
  <c r="AF3258" i="23"/>
  <c r="AF3250" i="23"/>
  <c r="V2376" i="23"/>
  <c r="V2353" i="23"/>
  <c r="V2337" i="23"/>
  <c r="V2321" i="23"/>
  <c r="V2305" i="23"/>
  <c r="V2289" i="23"/>
  <c r="V2273" i="23"/>
  <c r="V2257" i="23"/>
  <c r="V2241" i="23"/>
  <c r="V2225" i="23"/>
  <c r="V2209" i="23"/>
  <c r="V2193" i="23"/>
  <c r="V2177" i="23"/>
  <c r="V2161" i="23"/>
  <c r="V2145" i="23"/>
  <c r="V2129" i="23"/>
  <c r="V2113" i="23"/>
  <c r="V2097" i="23"/>
  <c r="V2081" i="23"/>
  <c r="V2065" i="23"/>
  <c r="V2049" i="23"/>
  <c r="V2033" i="23"/>
  <c r="V2017" i="23"/>
  <c r="V2001" i="23"/>
  <c r="V1985" i="23"/>
  <c r="V1969" i="23"/>
  <c r="V1953" i="23"/>
  <c r="V1937" i="23"/>
  <c r="V1921" i="23"/>
  <c r="V1905" i="23"/>
  <c r="V1889" i="23"/>
  <c r="V1873" i="23"/>
  <c r="V1857" i="23"/>
  <c r="V1841" i="23"/>
  <c r="V1825" i="23"/>
  <c r="V1809" i="23"/>
  <c r="V1793" i="23"/>
  <c r="V1777" i="23"/>
  <c r="V1766" i="23"/>
  <c r="V1752" i="23"/>
  <c r="V1738" i="23"/>
  <c r="V1727" i="23"/>
  <c r="V1713" i="23"/>
  <c r="V1702" i="23"/>
  <c r="V1688" i="23"/>
  <c r="V1674" i="23"/>
  <c r="V1663" i="23"/>
  <c r="V1649" i="23"/>
  <c r="V1638" i="23"/>
  <c r="V1624" i="23"/>
  <c r="V1610" i="23"/>
  <c r="V1599" i="23"/>
  <c r="V1585" i="23"/>
  <c r="V1574" i="23"/>
  <c r="V1560" i="23"/>
  <c r="V1546" i="23"/>
  <c r="V1535" i="23"/>
  <c r="V1521" i="23"/>
  <c r="V1510" i="23"/>
  <c r="V1496" i="23"/>
  <c r="V1482" i="23"/>
  <c r="V1471" i="23"/>
  <c r="V1457" i="23"/>
  <c r="V1446" i="23"/>
  <c r="V1432" i="23"/>
  <c r="V1418" i="23"/>
  <c r="V1407" i="23"/>
  <c r="V1393" i="23"/>
  <c r="V1382" i="23"/>
  <c r="V1368" i="23"/>
  <c r="V1354" i="23"/>
  <c r="V1343" i="23"/>
  <c r="V1329" i="23"/>
  <c r="V1318" i="23"/>
  <c r="V1304" i="23"/>
  <c r="V1290" i="23"/>
  <c r="V1279" i="23"/>
  <c r="V1265" i="23"/>
  <c r="V1254" i="23"/>
  <c r="V1240" i="23"/>
  <c r="V1226" i="23"/>
  <c r="V1215" i="23"/>
  <c r="V1201" i="23"/>
  <c r="V1190" i="23"/>
  <c r="V1176" i="23"/>
  <c r="V1162" i="23"/>
  <c r="V1151" i="23"/>
  <c r="V1137" i="23"/>
  <c r="V1126" i="23"/>
  <c r="V1112" i="23"/>
  <c r="V1102" i="23"/>
  <c r="V1092" i="23"/>
  <c r="V1083" i="23"/>
  <c r="V1074" i="23"/>
  <c r="V1065" i="23"/>
  <c r="V1056" i="23"/>
  <c r="V1047" i="23"/>
  <c r="V1038" i="23"/>
  <c r="V1028" i="23"/>
  <c r="V1019" i="23"/>
  <c r="V1010" i="23"/>
  <c r="V1001" i="23"/>
  <c r="V992" i="23"/>
  <c r="V983" i="23"/>
  <c r="V974" i="23"/>
  <c r="V964" i="23"/>
  <c r="V955" i="23"/>
  <c r="V946" i="23"/>
  <c r="V938" i="23"/>
  <c r="V930" i="23"/>
  <c r="V922" i="23"/>
  <c r="V914" i="23"/>
  <c r="V906" i="23"/>
  <c r="V898" i="23"/>
  <c r="V890" i="23"/>
  <c r="V882" i="23"/>
  <c r="V874" i="23"/>
  <c r="V866" i="23"/>
  <c r="V858" i="23"/>
  <c r="V850" i="23"/>
  <c r="V842" i="23"/>
  <c r="V834" i="23"/>
  <c r="V826" i="23"/>
  <c r="V818" i="23"/>
  <c r="V810" i="23"/>
  <c r="V802" i="23"/>
  <c r="V794" i="23"/>
  <c r="V786" i="23"/>
  <c r="V778" i="23"/>
  <c r="V770" i="23"/>
  <c r="V762" i="23"/>
  <c r="V754" i="23"/>
  <c r="V746" i="23"/>
  <c r="V738" i="23"/>
  <c r="V730" i="23"/>
  <c r="V722" i="23"/>
  <c r="V714" i="23"/>
  <c r="V706" i="23"/>
  <c r="V698" i="23"/>
  <c r="V690" i="23"/>
  <c r="V682" i="23"/>
  <c r="V674" i="23"/>
  <c r="V666" i="23"/>
  <c r="V658" i="23"/>
  <c r="V650" i="23"/>
  <c r="V642" i="23"/>
  <c r="V634" i="23"/>
  <c r="V626" i="23"/>
  <c r="V618" i="23"/>
  <c r="V610" i="23"/>
  <c r="V602" i="23"/>
  <c r="V594" i="23"/>
  <c r="V586" i="23"/>
  <c r="V578" i="23"/>
  <c r="V570" i="23"/>
  <c r="V562" i="23"/>
  <c r="V554" i="23"/>
  <c r="V546" i="23"/>
  <c r="V538" i="23"/>
  <c r="V530" i="23"/>
  <c r="V522" i="23"/>
  <c r="V514" i="23"/>
  <c r="V506" i="23"/>
  <c r="V498" i="23"/>
  <c r="V490" i="23"/>
  <c r="V482" i="23"/>
  <c r="V474" i="23"/>
  <c r="V466" i="23"/>
  <c r="V458" i="23"/>
  <c r="V450" i="23"/>
  <c r="V442" i="23"/>
  <c r="V434" i="23"/>
  <c r="V426" i="23"/>
  <c r="V418" i="23"/>
  <c r="V410" i="23"/>
  <c r="V402" i="23"/>
  <c r="V394" i="23"/>
  <c r="V386" i="23"/>
  <c r="V378" i="23"/>
  <c r="V370" i="23"/>
  <c r="V362" i="23"/>
  <c r="V354" i="23"/>
  <c r="V346" i="23"/>
  <c r="V338" i="23"/>
  <c r="V330" i="23"/>
  <c r="V322" i="23"/>
  <c r="V314" i="23"/>
  <c r="V306" i="23"/>
  <c r="V298" i="23"/>
  <c r="V290" i="23"/>
  <c r="V282" i="23"/>
  <c r="V274" i="23"/>
  <c r="V266" i="23"/>
  <c r="V258" i="23"/>
  <c r="V250" i="23"/>
  <c r="V242" i="23"/>
  <c r="V234" i="23"/>
  <c r="V226" i="23"/>
  <c r="V218" i="23"/>
  <c r="V210" i="23"/>
  <c r="V202" i="23"/>
  <c r="V194" i="23"/>
  <c r="V186" i="23"/>
  <c r="V178" i="23"/>
  <c r="V170" i="23"/>
  <c r="V162" i="23"/>
  <c r="V154" i="23"/>
  <c r="V146" i="23"/>
  <c r="V138" i="23"/>
  <c r="V130" i="23"/>
  <c r="V122" i="23"/>
  <c r="V114" i="23"/>
  <c r="V106" i="23"/>
  <c r="V98" i="23"/>
  <c r="V90" i="23"/>
  <c r="V82" i="23"/>
  <c r="V74" i="23"/>
  <c r="V66" i="23"/>
  <c r="V58" i="23"/>
  <c r="V50" i="23"/>
  <c r="V42" i="23"/>
  <c r="V34" i="23"/>
  <c r="V26" i="23"/>
  <c r="V18" i="23"/>
  <c r="V10" i="23"/>
  <c r="AF3585" i="23"/>
  <c r="AF3577" i="23"/>
  <c r="AF3569" i="23"/>
  <c r="AF3561" i="23"/>
  <c r="AF3553" i="23"/>
  <c r="AF3545" i="23"/>
  <c r="AF3537" i="23"/>
  <c r="AF3529" i="23"/>
  <c r="AF3521" i="23"/>
  <c r="AF3513" i="23"/>
  <c r="AF3505" i="23"/>
  <c r="AF3497" i="23"/>
  <c r="AF3489" i="23"/>
  <c r="AF3481" i="23"/>
  <c r="AF3473" i="23"/>
  <c r="AF3465" i="23"/>
  <c r="AF3457" i="23"/>
  <c r="AF3449" i="23"/>
  <c r="AF3441" i="23"/>
  <c r="AF3433" i="23"/>
  <c r="AF3425" i="23"/>
  <c r="AF3417" i="23"/>
  <c r="AF3409" i="23"/>
  <c r="AF3401" i="23"/>
  <c r="AF3393" i="23"/>
  <c r="AF3385" i="23"/>
  <c r="AF3377" i="23"/>
  <c r="AF3369" i="23"/>
  <c r="AF3361" i="23"/>
  <c r="AF3353" i="23"/>
  <c r="AF3345" i="23"/>
  <c r="AF3337" i="23"/>
  <c r="AF3329" i="23"/>
  <c r="AF3321" i="23"/>
  <c r="AF3313" i="23"/>
  <c r="AF3305" i="23"/>
  <c r="AF3297" i="23"/>
  <c r="AF3289" i="23"/>
  <c r="AF3281" i="23"/>
  <c r="AF3273" i="23"/>
  <c r="AF3265" i="23"/>
  <c r="AF3257" i="23"/>
  <c r="AF3249" i="23"/>
  <c r="V2375" i="23"/>
  <c r="V2352" i="23"/>
  <c r="V2336" i="23"/>
  <c r="V2320" i="23"/>
  <c r="V2304" i="23"/>
  <c r="V2288" i="23"/>
  <c r="V2272" i="23"/>
  <c r="V2256" i="23"/>
  <c r="V2240" i="23"/>
  <c r="V2224" i="23"/>
  <c r="V2208" i="23"/>
  <c r="V2192" i="23"/>
  <c r="V2176" i="23"/>
  <c r="V2160" i="23"/>
  <c r="V2144" i="23"/>
  <c r="V2128" i="23"/>
  <c r="V2112" i="23"/>
  <c r="V2096" i="23"/>
  <c r="V2080" i="23"/>
  <c r="V2064" i="23"/>
  <c r="V2048" i="23"/>
  <c r="V2032" i="23"/>
  <c r="V2016" i="23"/>
  <c r="V2000" i="23"/>
  <c r="V1984" i="23"/>
  <c r="V1968" i="23"/>
  <c r="V1952" i="23"/>
  <c r="V1936" i="23"/>
  <c r="V1920" i="23"/>
  <c r="V1904" i="23"/>
  <c r="V1888" i="23"/>
  <c r="V1872" i="23"/>
  <c r="V1856" i="23"/>
  <c r="V1840" i="23"/>
  <c r="V1824" i="23"/>
  <c r="V1808" i="23"/>
  <c r="V1792" i="23"/>
  <c r="V1776" i="23"/>
  <c r="V1762" i="23"/>
  <c r="V1751" i="23"/>
  <c r="V1737" i="23"/>
  <c r="V1726" i="23"/>
  <c r="V1712" i="23"/>
  <c r="V1698" i="23"/>
  <c r="V1687" i="23"/>
  <c r="V1673" i="23"/>
  <c r="V1662" i="23"/>
  <c r="V1648" i="23"/>
  <c r="V1634" i="23"/>
  <c r="V1623" i="23"/>
  <c r="V1609" i="23"/>
  <c r="V1598" i="23"/>
  <c r="V1584" i="23"/>
  <c r="V1570" i="23"/>
  <c r="V1559" i="23"/>
  <c r="V1545" i="23"/>
  <c r="V1534" i="23"/>
  <c r="V1520" i="23"/>
  <c r="V1506" i="23"/>
  <c r="V1495" i="23"/>
  <c r="V1481" i="23"/>
  <c r="V1470" i="23"/>
  <c r="V1456" i="23"/>
  <c r="V1442" i="23"/>
  <c r="V1431" i="23"/>
  <c r="V1417" i="23"/>
  <c r="V1406" i="23"/>
  <c r="V1392" i="23"/>
  <c r="V1378" i="23"/>
  <c r="V1367" i="23"/>
  <c r="V1353" i="23"/>
  <c r="V1342" i="23"/>
  <c r="V1328" i="23"/>
  <c r="V1314" i="23"/>
  <c r="V1303" i="23"/>
  <c r="V1289" i="23"/>
  <c r="V1278" i="23"/>
  <c r="V1264" i="23"/>
  <c r="V1250" i="23"/>
  <c r="V1239" i="23"/>
  <c r="V1225" i="23"/>
  <c r="V1214" i="23"/>
  <c r="V1200" i="23"/>
  <c r="V1186" i="23"/>
  <c r="V1175" i="23"/>
  <c r="V1161" i="23"/>
  <c r="V1150" i="23"/>
  <c r="V1136" i="23"/>
  <c r="V1122" i="23"/>
  <c r="V1111" i="23"/>
  <c r="V1100" i="23"/>
  <c r="V1091" i="23"/>
  <c r="V1082" i="23"/>
  <c r="V1073" i="23"/>
  <c r="V1064" i="23"/>
  <c r="V1055" i="23"/>
  <c r="V1046" i="23"/>
  <c r="V1036" i="23"/>
  <c r="V1027" i="23"/>
  <c r="V1018" i="23"/>
  <c r="V1009" i="23"/>
  <c r="V1000" i="23"/>
  <c r="V991" i="23"/>
  <c r="V982" i="23"/>
  <c r="V972" i="23"/>
  <c r="V963" i="23"/>
  <c r="V954" i="23"/>
  <c r="V945" i="23"/>
  <c r="V937" i="23"/>
  <c r="V929" i="23"/>
  <c r="V921" i="23"/>
  <c r="V913" i="23"/>
  <c r="V905" i="23"/>
  <c r="V897" i="23"/>
  <c r="V889" i="23"/>
  <c r="V881" i="23"/>
  <c r="V873" i="23"/>
  <c r="V865" i="23"/>
  <c r="V857" i="23"/>
  <c r="V849" i="23"/>
  <c r="V841" i="23"/>
  <c r="V833" i="23"/>
  <c r="V825" i="23"/>
  <c r="V817" i="23"/>
  <c r="V809" i="23"/>
  <c r="V801" i="23"/>
  <c r="V793" i="23"/>
  <c r="V785" i="23"/>
  <c r="V777" i="23"/>
  <c r="V769" i="23"/>
  <c r="V761" i="23"/>
  <c r="V753" i="23"/>
  <c r="V745" i="23"/>
  <c r="V737" i="23"/>
  <c r="V729" i="23"/>
  <c r="V721" i="23"/>
  <c r="V713" i="23"/>
  <c r="V705" i="23"/>
  <c r="V697" i="23"/>
  <c r="V689" i="23"/>
  <c r="V681" i="23"/>
  <c r="V673" i="23"/>
  <c r="V665" i="23"/>
  <c r="V657" i="23"/>
  <c r="V649" i="23"/>
  <c r="V641" i="23"/>
  <c r="V633" i="23"/>
  <c r="V625" i="23"/>
  <c r="V617" i="23"/>
  <c r="V609" i="23"/>
  <c r="V601" i="23"/>
  <c r="V593" i="23"/>
  <c r="V585" i="23"/>
  <c r="V577" i="23"/>
  <c r="V569" i="23"/>
  <c r="V561" i="23"/>
  <c r="V553" i="23"/>
  <c r="V545" i="23"/>
  <c r="V537" i="23"/>
  <c r="V529" i="23"/>
  <c r="V521" i="23"/>
  <c r="V513" i="23"/>
  <c r="V505" i="23"/>
  <c r="V497" i="23"/>
  <c r="V489" i="23"/>
  <c r="V481" i="23"/>
  <c r="V473" i="23"/>
  <c r="V465" i="23"/>
  <c r="V457" i="23"/>
  <c r="V449" i="23"/>
  <c r="V2369" i="23"/>
  <c r="V2351" i="23"/>
  <c r="V2335" i="23"/>
  <c r="V2319" i="23"/>
  <c r="V2303" i="23"/>
  <c r="V2287" i="23"/>
  <c r="V2271" i="23"/>
  <c r="V2255" i="23"/>
  <c r="V2239" i="23"/>
  <c r="V2223" i="23"/>
  <c r="V2207" i="23"/>
  <c r="V2191" i="23"/>
  <c r="V2175" i="23"/>
  <c r="V2159" i="23"/>
  <c r="V2143" i="23"/>
  <c r="V2127" i="23"/>
  <c r="V2111" i="23"/>
  <c r="V2095" i="23"/>
  <c r="V2079" i="23"/>
  <c r="V2063" i="23"/>
  <c r="V2047" i="23"/>
  <c r="V2031" i="23"/>
  <c r="V2015" i="23"/>
  <c r="V1999" i="23"/>
  <c r="V1983" i="23"/>
  <c r="V1967" i="23"/>
  <c r="V1951" i="23"/>
  <c r="V1935" i="23"/>
  <c r="V1919" i="23"/>
  <c r="V1903" i="23"/>
  <c r="V1887" i="23"/>
  <c r="V1871" i="23"/>
  <c r="V1855" i="23"/>
  <c r="V1839" i="23"/>
  <c r="V1823" i="23"/>
  <c r="V1807" i="23"/>
  <c r="V1791" i="23"/>
  <c r="V1775" i="23"/>
  <c r="V1761" i="23"/>
  <c r="V1750" i="23"/>
  <c r="V1736" i="23"/>
  <c r="V1722" i="23"/>
  <c r="V1711" i="23"/>
  <c r="V1697" i="23"/>
  <c r="V1686" i="23"/>
  <c r="V1672" i="23"/>
  <c r="V1658" i="23"/>
  <c r="V1647" i="23"/>
  <c r="V1633" i="23"/>
  <c r="V1622" i="23"/>
  <c r="V1608" i="23"/>
  <c r="V2368" i="23"/>
  <c r="V2350" i="23"/>
  <c r="V2334" i="23"/>
  <c r="V2318" i="23"/>
  <c r="V2302" i="23"/>
  <c r="V2286" i="23"/>
  <c r="V2270" i="23"/>
  <c r="V2254" i="23"/>
  <c r="V2238" i="23"/>
  <c r="V2222" i="23"/>
  <c r="V2206" i="23"/>
  <c r="V2190" i="23"/>
  <c r="V2174" i="23"/>
  <c r="V2158" i="23"/>
  <c r="V2142" i="23"/>
  <c r="V2126" i="23"/>
  <c r="V2110" i="23"/>
  <c r="V2094" i="23"/>
  <c r="V2078" i="23"/>
  <c r="V2062" i="23"/>
  <c r="V2046" i="23"/>
  <c r="V2030" i="23"/>
  <c r="V2014" i="23"/>
  <c r="V1998" i="23"/>
  <c r="V1982" i="23"/>
  <c r="V1966" i="23"/>
  <c r="V1950" i="23"/>
  <c r="V1934" i="23"/>
  <c r="V1918" i="23"/>
  <c r="V1902" i="23"/>
  <c r="V1886" i="23"/>
  <c r="V1870" i="23"/>
  <c r="V1854" i="23"/>
  <c r="V1838" i="23"/>
  <c r="V1822" i="23"/>
  <c r="V1806" i="23"/>
  <c r="V1790" i="23"/>
  <c r="V1774" i="23"/>
  <c r="V1760" i="23"/>
  <c r="V1746" i="23"/>
  <c r="V1735" i="23"/>
  <c r="V1721" i="23"/>
  <c r="V1710" i="23"/>
  <c r="V1696" i="23"/>
  <c r="V1682" i="23"/>
  <c r="V1671" i="23"/>
  <c r="V1657" i="23"/>
  <c r="V1646" i="23"/>
  <c r="V1632" i="23"/>
  <c r="V1618" i="23"/>
  <c r="V1607" i="23"/>
  <c r="V2391" i="23"/>
  <c r="V2367" i="23"/>
  <c r="V2345" i="23"/>
  <c r="V2329" i="23"/>
  <c r="V2313" i="23"/>
  <c r="V2297" i="23"/>
  <c r="V2281" i="23"/>
  <c r="V2265" i="23"/>
  <c r="V2249" i="23"/>
  <c r="V2233" i="23"/>
  <c r="V2217" i="23"/>
  <c r="V2201" i="23"/>
  <c r="V2185" i="23"/>
  <c r="V2169" i="23"/>
  <c r="V2153" i="23"/>
  <c r="V2137" i="23"/>
  <c r="V2121" i="23"/>
  <c r="V2105" i="23"/>
  <c r="V2089" i="23"/>
  <c r="V2073" i="23"/>
  <c r="V2057" i="23"/>
  <c r="V2041" i="23"/>
  <c r="V2025" i="23"/>
  <c r="V2009" i="23"/>
  <c r="V1993" i="23"/>
  <c r="V1977" i="23"/>
  <c r="V1961" i="23"/>
  <c r="V1945" i="23"/>
  <c r="V1929" i="23"/>
  <c r="V1913" i="23"/>
  <c r="V1897" i="23"/>
  <c r="V1881" i="23"/>
  <c r="V1865" i="23"/>
  <c r="V1849" i="23"/>
  <c r="V1833" i="23"/>
  <c r="V1817" i="23"/>
  <c r="V1801" i="23"/>
  <c r="V1785" i="23"/>
  <c r="V1770" i="23"/>
  <c r="V1759" i="23"/>
  <c r="V1745" i="23"/>
  <c r="V1734" i="23"/>
  <c r="V1720" i="23"/>
  <c r="V1706" i="23"/>
  <c r="V1695" i="23"/>
  <c r="V1681" i="23"/>
  <c r="V1670" i="23"/>
  <c r="V1656" i="23"/>
  <c r="V1642" i="23"/>
  <c r="V1631" i="23"/>
  <c r="V1617" i="23"/>
  <c r="V1606" i="23"/>
  <c r="V2385" i="23"/>
  <c r="V2361" i="23"/>
  <c r="V2344" i="23"/>
  <c r="V2328" i="23"/>
  <c r="V2312" i="23"/>
  <c r="V2296" i="23"/>
  <c r="V2280" i="23"/>
  <c r="V2264" i="23"/>
  <c r="V2248" i="23"/>
  <c r="V2232" i="23"/>
  <c r="V2216" i="23"/>
  <c r="V2200" i="23"/>
  <c r="V2184" i="23"/>
  <c r="V2168" i="23"/>
  <c r="V2152" i="23"/>
  <c r="V2136" i="23"/>
  <c r="V2120" i="23"/>
  <c r="V2104" i="23"/>
  <c r="V2088" i="23"/>
  <c r="V2072" i="23"/>
  <c r="V2056" i="23"/>
  <c r="V2040" i="23"/>
  <c r="V2024" i="23"/>
  <c r="V2008" i="23"/>
  <c r="V1992" i="23"/>
  <c r="V1976" i="23"/>
  <c r="V1960" i="23"/>
  <c r="V1944" i="23"/>
  <c r="V1928" i="23"/>
  <c r="V1912" i="23"/>
  <c r="V1896" i="23"/>
  <c r="V1880" i="23"/>
  <c r="V1864" i="23"/>
  <c r="V1848" i="23"/>
  <c r="V1832" i="23"/>
  <c r="V1816" i="23"/>
  <c r="V1800" i="23"/>
  <c r="V1784" i="23"/>
  <c r="V1769" i="23"/>
  <c r="V1758" i="23"/>
  <c r="V1744" i="23"/>
  <c r="V1730" i="23"/>
  <c r="V1719" i="23"/>
  <c r="V1705" i="23"/>
  <c r="V1694" i="23"/>
  <c r="V1680" i="23"/>
  <c r="V1666" i="23"/>
  <c r="V1655" i="23"/>
  <c r="V1641" i="23"/>
  <c r="V1630" i="23"/>
  <c r="V1616" i="23"/>
  <c r="V2383" i="23"/>
  <c r="V2360" i="23"/>
  <c r="V2343" i="23"/>
  <c r="V2327" i="23"/>
  <c r="V2311" i="23"/>
  <c r="V2295" i="23"/>
  <c r="V2279" i="23"/>
  <c r="V2263" i="23"/>
  <c r="V2247" i="23"/>
  <c r="V2231" i="23"/>
  <c r="V2215" i="23"/>
  <c r="V2199" i="23"/>
  <c r="V2183" i="23"/>
  <c r="V2167" i="23"/>
  <c r="V2151" i="23"/>
  <c r="V2135" i="23"/>
  <c r="V2119" i="23"/>
  <c r="V2103" i="23"/>
  <c r="V2087" i="23"/>
  <c r="V2071" i="23"/>
  <c r="V2055" i="23"/>
  <c r="V2039" i="23"/>
  <c r="V2023" i="23"/>
  <c r="V2007" i="23"/>
  <c r="V1991" i="23"/>
  <c r="V1975" i="23"/>
  <c r="V1959" i="23"/>
  <c r="V1943" i="23"/>
  <c r="V1927" i="23"/>
  <c r="V1911" i="23"/>
  <c r="V1895" i="23"/>
  <c r="V1879" i="23"/>
  <c r="V1863" i="23"/>
  <c r="V1847" i="23"/>
  <c r="V1831" i="23"/>
  <c r="V1815" i="23"/>
  <c r="V1799" i="23"/>
  <c r="V1783" i="23"/>
  <c r="V1768" i="23"/>
  <c r="V1754" i="23"/>
  <c r="V1743" i="23"/>
  <c r="V1729" i="23"/>
  <c r="V1718" i="23"/>
  <c r="V1704" i="23"/>
  <c r="V1690" i="23"/>
  <c r="V1679" i="23"/>
  <c r="V1665" i="23"/>
  <c r="V1654" i="23"/>
  <c r="V1640" i="23"/>
  <c r="V1626" i="23"/>
  <c r="V1615" i="23"/>
  <c r="V1601" i="23"/>
  <c r="V1590" i="23"/>
  <c r="V1576" i="23"/>
  <c r="V1562" i="23"/>
  <c r="V1551" i="23"/>
  <c r="V1537" i="23"/>
  <c r="V1526" i="23"/>
  <c r="V1512" i="23"/>
  <c r="V1498" i="23"/>
  <c r="V1487" i="23"/>
  <c r="V1473" i="23"/>
  <c r="V1462" i="23"/>
  <c r="V1448" i="23"/>
  <c r="V1434" i="23"/>
  <c r="V1423" i="23"/>
  <c r="V1409" i="23"/>
  <c r="V1398" i="23"/>
  <c r="V1384" i="23"/>
  <c r="V1370" i="23"/>
  <c r="V1359" i="23"/>
  <c r="V1345" i="23"/>
  <c r="V1334" i="23"/>
  <c r="V1320" i="23"/>
  <c r="V1306" i="23"/>
  <c r="V1295" i="23"/>
  <c r="V1281" i="23"/>
  <c r="V1270" i="23"/>
  <c r="V1256" i="23"/>
  <c r="V1242" i="23"/>
  <c r="V1231" i="23"/>
  <c r="V1217" i="23"/>
  <c r="V1206" i="23"/>
  <c r="V1192" i="23"/>
  <c r="V1178" i="23"/>
  <c r="V1167" i="23"/>
  <c r="V1153" i="23"/>
  <c r="V1142" i="23"/>
  <c r="V1128" i="23"/>
  <c r="V1114" i="23"/>
  <c r="V1104" i="23"/>
  <c r="V1095" i="23"/>
  <c r="V1086" i="23"/>
  <c r="V1076" i="23"/>
  <c r="V1067" i="23"/>
  <c r="V1058" i="23"/>
  <c r="V1049" i="23"/>
  <c r="V1040" i="23"/>
  <c r="V1031" i="23"/>
  <c r="V1022" i="23"/>
  <c r="V1012" i="23"/>
  <c r="V1003" i="23"/>
  <c r="V994" i="23"/>
  <c r="V985" i="23"/>
  <c r="V976" i="23"/>
  <c r="V967" i="23"/>
  <c r="V958" i="23"/>
  <c r="V948" i="23"/>
  <c r="V940" i="23"/>
  <c r="V932" i="23"/>
  <c r="V924" i="23"/>
  <c r="V916" i="23"/>
  <c r="V908" i="23"/>
  <c r="V900" i="23"/>
  <c r="V892" i="23"/>
  <c r="V884" i="23"/>
  <c r="V876" i="23"/>
  <c r="V868" i="23"/>
  <c r="V860" i="23"/>
  <c r="V852" i="23"/>
  <c r="V844" i="23"/>
  <c r="V836" i="23"/>
  <c r="V828" i="23"/>
  <c r="V820" i="23"/>
  <c r="V812" i="23"/>
  <c r="V804" i="23"/>
  <c r="V796" i="23"/>
  <c r="V788" i="23"/>
  <c r="V780" i="23"/>
  <c r="V772" i="23"/>
  <c r="V764" i="23"/>
  <c r="V756" i="23"/>
  <c r="V748" i="23"/>
  <c r="V740" i="23"/>
  <c r="V732" i="23"/>
  <c r="V724" i="23"/>
  <c r="V716" i="23"/>
  <c r="V708" i="23"/>
  <c r="V700" i="23"/>
  <c r="V692" i="23"/>
  <c r="V684" i="23"/>
  <c r="V676" i="23"/>
  <c r="V668" i="23"/>
  <c r="V660" i="23"/>
  <c r="V652" i="23"/>
  <c r="V644" i="23"/>
  <c r="V636" i="23"/>
  <c r="V628" i="23"/>
  <c r="V620" i="23"/>
  <c r="V612" i="23"/>
  <c r="V604" i="23"/>
  <c r="V596" i="23"/>
  <c r="V588" i="23"/>
  <c r="V580" i="23"/>
  <c r="V572" i="23"/>
  <c r="V564" i="23"/>
  <c r="V556" i="23"/>
  <c r="V548" i="23"/>
  <c r="V540" i="23"/>
  <c r="V532" i="23"/>
  <c r="V524" i="23"/>
  <c r="V516" i="23"/>
  <c r="V508" i="23"/>
  <c r="V500" i="23"/>
  <c r="V492" i="23"/>
  <c r="V484" i="23"/>
  <c r="V476" i="23"/>
  <c r="V468" i="23"/>
  <c r="V460" i="23"/>
  <c r="V452" i="23"/>
  <c r="V444" i="23"/>
  <c r="V436" i="23"/>
  <c r="V428" i="23"/>
  <c r="V420" i="23"/>
  <c r="V412" i="23"/>
  <c r="V404" i="23"/>
  <c r="V396" i="23"/>
  <c r="V388" i="23"/>
  <c r="V380" i="23"/>
  <c r="V372" i="23"/>
  <c r="V364" i="23"/>
  <c r="V356" i="23"/>
  <c r="V348" i="23"/>
  <c r="V340" i="23"/>
  <c r="V332" i="23"/>
  <c r="V324" i="23"/>
  <c r="V316" i="23"/>
  <c r="V308" i="23"/>
  <c r="V300" i="23"/>
  <c r="V292" i="23"/>
  <c r="V284" i="23"/>
  <c r="V276" i="23"/>
  <c r="V268" i="23"/>
  <c r="V260" i="23"/>
  <c r="V252" i="23"/>
  <c r="V244" i="23"/>
  <c r="V236" i="23"/>
  <c r="V228" i="23"/>
  <c r="V220" i="23"/>
  <c r="V212" i="23"/>
  <c r="V204" i="23"/>
  <c r="V196" i="23"/>
  <c r="V188" i="23"/>
  <c r="V180" i="23"/>
  <c r="V172" i="23"/>
  <c r="V164" i="23"/>
  <c r="V156" i="23"/>
  <c r="V148" i="23"/>
  <c r="V140" i="23"/>
  <c r="V132" i="23"/>
  <c r="V124" i="23"/>
  <c r="V116" i="23"/>
  <c r="V108" i="23"/>
  <c r="V100" i="23"/>
  <c r="V92" i="23"/>
  <c r="V84" i="23"/>
  <c r="V76" i="23"/>
  <c r="V68" i="23"/>
  <c r="V60" i="23"/>
  <c r="V52" i="23"/>
  <c r="V44" i="23"/>
  <c r="V36" i="23"/>
  <c r="V28" i="23"/>
  <c r="V20" i="23"/>
  <c r="V12" i="23"/>
  <c r="AF3587" i="23"/>
  <c r="AF3579" i="23"/>
  <c r="AF3571" i="23"/>
  <c r="AF3563" i="23"/>
  <c r="AF3555" i="23"/>
  <c r="AF3547" i="23"/>
  <c r="AF3539" i="23"/>
  <c r="AF3531" i="23"/>
  <c r="AF3523" i="23"/>
  <c r="AF3515" i="23"/>
  <c r="AF3507" i="23"/>
  <c r="AF3499" i="23"/>
  <c r="AF3491" i="23"/>
  <c r="AF3483" i="23"/>
  <c r="AF3475" i="23"/>
  <c r="AF3467" i="23"/>
  <c r="AF3459" i="23"/>
  <c r="AF3451" i="23"/>
  <c r="AF3443" i="23"/>
  <c r="AF3435" i="23"/>
  <c r="AF3427" i="23"/>
  <c r="AF3419" i="23"/>
  <c r="AF3411" i="23"/>
  <c r="AF3403" i="23"/>
  <c r="AF3395" i="23"/>
  <c r="AF3387" i="23"/>
  <c r="AF3379" i="23"/>
  <c r="AF3371" i="23"/>
  <c r="AF3363" i="23"/>
  <c r="AF3355" i="23"/>
  <c r="AF3347" i="23"/>
  <c r="AF3339" i="23"/>
  <c r="AF3331" i="23"/>
  <c r="AF3323" i="23"/>
  <c r="AF3315" i="23"/>
  <c r="AF3307" i="23"/>
  <c r="AF3299" i="23"/>
  <c r="AF3291" i="23"/>
  <c r="AF3283" i="23"/>
  <c r="AF3275" i="23"/>
  <c r="AF3267" i="23"/>
  <c r="AF3259" i="23"/>
  <c r="AF3251" i="23"/>
  <c r="AF3243" i="23"/>
  <c r="AF3235" i="23"/>
  <c r="AF3227" i="23"/>
  <c r="AF3219" i="23"/>
  <c r="AF3211" i="23"/>
  <c r="AF3203" i="23"/>
  <c r="AF3195" i="23"/>
  <c r="AF3187" i="23"/>
  <c r="AF3179" i="23"/>
  <c r="AF3171" i="23"/>
  <c r="AF3163" i="23"/>
  <c r="AF3155" i="23"/>
  <c r="AF3147" i="23"/>
  <c r="AF3139" i="23"/>
  <c r="AF3131" i="23"/>
  <c r="AF3123" i="23"/>
  <c r="AF3115" i="23"/>
  <c r="AF3107" i="23"/>
  <c r="AF3099" i="23"/>
  <c r="AF3091" i="23"/>
  <c r="AF3083" i="23"/>
  <c r="AF3075" i="23"/>
  <c r="AF3067" i="23"/>
  <c r="AF3059" i="23"/>
  <c r="AF3051" i="23"/>
  <c r="AF3043" i="23"/>
  <c r="AF3035" i="23"/>
  <c r="AF3027" i="23"/>
  <c r="AF3019" i="23"/>
  <c r="AF3011" i="23"/>
  <c r="AF3003" i="23"/>
  <c r="AF2995" i="23"/>
  <c r="V1592" i="23"/>
  <c r="V1567" i="23"/>
  <c r="V1542" i="23"/>
  <c r="V1514" i="23"/>
  <c r="V1489" i="23"/>
  <c r="V1464" i="23"/>
  <c r="V1439" i="23"/>
  <c r="V1414" i="23"/>
  <c r="V1386" i="23"/>
  <c r="V1361" i="23"/>
  <c r="V1336" i="23"/>
  <c r="V1311" i="23"/>
  <c r="V1286" i="23"/>
  <c r="V1258" i="23"/>
  <c r="V1233" i="23"/>
  <c r="V1208" i="23"/>
  <c r="V1183" i="23"/>
  <c r="V1158" i="23"/>
  <c r="V1130" i="23"/>
  <c r="V1106" i="23"/>
  <c r="V1088" i="23"/>
  <c r="V1070" i="23"/>
  <c r="V1051" i="23"/>
  <c r="V1033" i="23"/>
  <c r="V1015" i="23"/>
  <c r="V996" i="23"/>
  <c r="V978" i="23"/>
  <c r="V960" i="23"/>
  <c r="V942" i="23"/>
  <c r="V926" i="23"/>
  <c r="V910" i="23"/>
  <c r="V894" i="23"/>
  <c r="V878" i="23"/>
  <c r="V862" i="23"/>
  <c r="V846" i="23"/>
  <c r="V830" i="23"/>
  <c r="V814" i="23"/>
  <c r="V798" i="23"/>
  <c r="V782" i="23"/>
  <c r="V766" i="23"/>
  <c r="V750" i="23"/>
  <c r="V734" i="23"/>
  <c r="V718" i="23"/>
  <c r="V702" i="23"/>
  <c r="V686" i="23"/>
  <c r="V670" i="23"/>
  <c r="V654" i="23"/>
  <c r="V638" i="23"/>
  <c r="V622" i="23"/>
  <c r="V606" i="23"/>
  <c r="V590" i="23"/>
  <c r="V574" i="23"/>
  <c r="V558" i="23"/>
  <c r="V542" i="23"/>
  <c r="V526" i="23"/>
  <c r="V510" i="23"/>
  <c r="V494" i="23"/>
  <c r="V478" i="23"/>
  <c r="V462" i="23"/>
  <c r="V446" i="23"/>
  <c r="V432" i="23"/>
  <c r="V421" i="23"/>
  <c r="V407" i="23"/>
  <c r="V393" i="23"/>
  <c r="V382" i="23"/>
  <c r="V368" i="23"/>
  <c r="V357" i="23"/>
  <c r="V343" i="23"/>
  <c r="V329" i="23"/>
  <c r="V318" i="23"/>
  <c r="V304" i="23"/>
  <c r="V293" i="23"/>
  <c r="V279" i="23"/>
  <c r="V265" i="23"/>
  <c r="V254" i="23"/>
  <c r="V240" i="23"/>
  <c r="V229" i="23"/>
  <c r="V215" i="23"/>
  <c r="V201" i="23"/>
  <c r="V190" i="23"/>
  <c r="V176" i="23"/>
  <c r="V165" i="23"/>
  <c r="V151" i="23"/>
  <c r="V137" i="23"/>
  <c r="V126" i="23"/>
  <c r="V112" i="23"/>
  <c r="V101" i="23"/>
  <c r="V87" i="23"/>
  <c r="V73" i="23"/>
  <c r="V62" i="23"/>
  <c r="V48" i="23"/>
  <c r="V37" i="23"/>
  <c r="V23" i="23"/>
  <c r="V9" i="23"/>
  <c r="AF3581" i="23"/>
  <c r="AF3567" i="23"/>
  <c r="AF3556" i="23"/>
  <c r="AF3542" i="23"/>
  <c r="AF3528" i="23"/>
  <c r="AF3517" i="23"/>
  <c r="AF3503" i="23"/>
  <c r="AF3492" i="23"/>
  <c r="AF3478" i="23"/>
  <c r="AF3464" i="23"/>
  <c r="AF3453" i="23"/>
  <c r="AF3439" i="23"/>
  <c r="AF3428" i="23"/>
  <c r="AF3414" i="23"/>
  <c r="AF3400" i="23"/>
  <c r="AF3389" i="23"/>
  <c r="AF3375" i="23"/>
  <c r="AF3364" i="23"/>
  <c r="AF3350" i="23"/>
  <c r="AF3336" i="23"/>
  <c r="AF3325" i="23"/>
  <c r="AF3311" i="23"/>
  <c r="AF3300" i="23"/>
  <c r="AF3286" i="23"/>
  <c r="AF3272" i="23"/>
  <c r="AF3261" i="23"/>
  <c r="AF3247" i="23"/>
  <c r="AF3238" i="23"/>
  <c r="AF3229" i="23"/>
  <c r="AF3220" i="23"/>
  <c r="AF3210" i="23"/>
  <c r="AF3201" i="23"/>
  <c r="AF3192" i="23"/>
  <c r="AF3183" i="23"/>
  <c r="AF3174" i="23"/>
  <c r="AF3165" i="23"/>
  <c r="AF3156" i="23"/>
  <c r="AF3146" i="23"/>
  <c r="AF3137" i="23"/>
  <c r="AF3128" i="23"/>
  <c r="AF3119" i="23"/>
  <c r="AF3110" i="23"/>
  <c r="AF3101" i="23"/>
  <c r="AF3092" i="23"/>
  <c r="AF3082" i="23"/>
  <c r="AF3073" i="23"/>
  <c r="AF3064" i="23"/>
  <c r="AF3055" i="23"/>
  <c r="AF3046" i="23"/>
  <c r="AF3037" i="23"/>
  <c r="AF3028" i="23"/>
  <c r="AF3018" i="23"/>
  <c r="AF3009" i="23"/>
  <c r="AF3000" i="23"/>
  <c r="AF2991" i="23"/>
  <c r="AF2983" i="23"/>
  <c r="AF2975" i="23"/>
  <c r="AF2967" i="23"/>
  <c r="AF2959" i="23"/>
  <c r="AF2951" i="23"/>
  <c r="AF2943" i="23"/>
  <c r="AF2935" i="23"/>
  <c r="AF2927" i="23"/>
  <c r="AF2919" i="23"/>
  <c r="AF2911" i="23"/>
  <c r="AF2903" i="23"/>
  <c r="AF2895" i="23"/>
  <c r="AF2887" i="23"/>
  <c r="AF2879" i="23"/>
  <c r="AF2871" i="23"/>
  <c r="AF2863" i="23"/>
  <c r="AF2855" i="23"/>
  <c r="AF2847" i="23"/>
  <c r="AF2839" i="23"/>
  <c r="AF2831" i="23"/>
  <c r="AF2823" i="23"/>
  <c r="AF2815" i="23"/>
  <c r="AF2807" i="23"/>
  <c r="AF2799" i="23"/>
  <c r="AF2791" i="23"/>
  <c r="AF2783" i="23"/>
  <c r="AF2775" i="23"/>
  <c r="AF2767" i="23"/>
  <c r="AF2759" i="23"/>
  <c r="AF2751" i="23"/>
  <c r="AF2743" i="23"/>
  <c r="AF2735" i="23"/>
  <c r="AF2727" i="23"/>
  <c r="AF2719" i="23"/>
  <c r="AF2711" i="23"/>
  <c r="AF2703" i="23"/>
  <c r="AF2695" i="23"/>
  <c r="AF2687" i="23"/>
  <c r="AF2679" i="23"/>
  <c r="AF2671" i="23"/>
  <c r="AF2663" i="23"/>
  <c r="AF2655" i="23"/>
  <c r="AF2647" i="23"/>
  <c r="AF2639" i="23"/>
  <c r="AF2631" i="23"/>
  <c r="AF2623" i="23"/>
  <c r="AF2615" i="23"/>
  <c r="AF2607" i="23"/>
  <c r="AF2599" i="23"/>
  <c r="AF2591" i="23"/>
  <c r="AF2583" i="23"/>
  <c r="AF2575" i="23"/>
  <c r="AF2567" i="23"/>
  <c r="AF2559" i="23"/>
  <c r="AF2551" i="23"/>
  <c r="AF2543" i="23"/>
  <c r="AF2535" i="23"/>
  <c r="AF2527" i="23"/>
  <c r="AF2519" i="23"/>
  <c r="AF2511" i="23"/>
  <c r="AF2503" i="23"/>
  <c r="AF2495" i="23"/>
  <c r="AF2487" i="23"/>
  <c r="AF2479" i="23"/>
  <c r="AF2471" i="23"/>
  <c r="AF2463" i="23"/>
  <c r="AF2455" i="23"/>
  <c r="AF2447" i="23"/>
  <c r="AF2439" i="23"/>
  <c r="AF2431" i="23"/>
  <c r="AF2423" i="23"/>
  <c r="AF2415" i="23"/>
  <c r="AF2407" i="23"/>
  <c r="AF2399" i="23"/>
  <c r="AF2391" i="23"/>
  <c r="AF2383" i="23"/>
  <c r="AF2375" i="23"/>
  <c r="AF2367" i="23"/>
  <c r="AF2359" i="23"/>
  <c r="AF2351" i="23"/>
  <c r="AF2343" i="23"/>
  <c r="AF2335" i="23"/>
  <c r="AF2327" i="23"/>
  <c r="AF2319" i="23"/>
  <c r="AF2311" i="23"/>
  <c r="AF2303" i="23"/>
  <c r="AF2295" i="23"/>
  <c r="AF2287" i="23"/>
  <c r="AF2279" i="23"/>
  <c r="AF2271" i="23"/>
  <c r="AF2263" i="23"/>
  <c r="AF2255" i="23"/>
  <c r="AF2247" i="23"/>
  <c r="AF2239" i="23"/>
  <c r="AF2231" i="23"/>
  <c r="AF2223" i="23"/>
  <c r="AF2215" i="23"/>
  <c r="AF2207" i="23"/>
  <c r="AF2199" i="23"/>
  <c r="AF2191" i="23"/>
  <c r="AF2183" i="23"/>
  <c r="AF2175" i="23"/>
  <c r="AF2167" i="23"/>
  <c r="AF2159" i="23"/>
  <c r="AF2151" i="23"/>
  <c r="AF2143" i="23"/>
  <c r="AF2135" i="23"/>
  <c r="AF2127" i="23"/>
  <c r="AF2119" i="23"/>
  <c r="AF2111" i="23"/>
  <c r="AF2103" i="23"/>
  <c r="AF2095" i="23"/>
  <c r="AF2087" i="23"/>
  <c r="AF2079" i="23"/>
  <c r="AF2071" i="23"/>
  <c r="AF2063" i="23"/>
  <c r="AF2055" i="23"/>
  <c r="AF2047" i="23"/>
  <c r="AF2039" i="23"/>
  <c r="AF2031" i="23"/>
  <c r="AF2023" i="23"/>
  <c r="AF2015" i="23"/>
  <c r="AF2007" i="23"/>
  <c r="AF1999" i="23"/>
  <c r="AF1991" i="23"/>
  <c r="AF1983" i="23"/>
  <c r="AF1975" i="23"/>
  <c r="AF1967" i="23"/>
  <c r="AF1959" i="23"/>
  <c r="AF1951" i="23"/>
  <c r="AF1943" i="23"/>
  <c r="AF1935" i="23"/>
  <c r="AF1927" i="23"/>
  <c r="AF1919" i="23"/>
  <c r="AF1911" i="23"/>
  <c r="AF1903" i="23"/>
  <c r="AF1895" i="23"/>
  <c r="AF1887" i="23"/>
  <c r="AF1879" i="23"/>
  <c r="AF1871" i="23"/>
  <c r="AF1863" i="23"/>
  <c r="AF1855" i="23"/>
  <c r="AF1847" i="23"/>
  <c r="AF1839" i="23"/>
  <c r="AF1831" i="23"/>
  <c r="AF1823" i="23"/>
  <c r="AF1815" i="23"/>
  <c r="AF1807" i="23"/>
  <c r="AF1799" i="23"/>
  <c r="AF1791" i="23"/>
  <c r="AF1783" i="23"/>
  <c r="AF1775" i="23"/>
  <c r="AF1767" i="23"/>
  <c r="AF1759" i="23"/>
  <c r="AF1751" i="23"/>
  <c r="AF1743" i="23"/>
  <c r="AF1735" i="23"/>
  <c r="AF1727" i="23"/>
  <c r="AF1719" i="23"/>
  <c r="AF1711" i="23"/>
  <c r="AF1703" i="23"/>
  <c r="AF1695" i="23"/>
  <c r="AF1687" i="23"/>
  <c r="AF1679" i="23"/>
  <c r="AF1671" i="23"/>
  <c r="AF1663" i="23"/>
  <c r="AF1655" i="23"/>
  <c r="AF1647" i="23"/>
  <c r="AF1639" i="23"/>
  <c r="AF1631" i="23"/>
  <c r="AF1623" i="23"/>
  <c r="AF1615" i="23"/>
  <c r="AF1607" i="23"/>
  <c r="AF1599" i="23"/>
  <c r="AF1591" i="23"/>
  <c r="AF1583" i="23"/>
  <c r="AF1575" i="23"/>
  <c r="AF1567" i="23"/>
  <c r="AF1559" i="23"/>
  <c r="AF1551" i="23"/>
  <c r="AF1543" i="23"/>
  <c r="AF1535" i="23"/>
  <c r="AF1527" i="23"/>
  <c r="AF1519" i="23"/>
  <c r="AF1511" i="23"/>
  <c r="AF1503" i="23"/>
  <c r="AF1495" i="23"/>
  <c r="AF1487" i="23"/>
  <c r="AF1479" i="23"/>
  <c r="V1591" i="23"/>
  <c r="V1566" i="23"/>
  <c r="V1538" i="23"/>
  <c r="V1513" i="23"/>
  <c r="V1488" i="23"/>
  <c r="V1463" i="23"/>
  <c r="V1438" i="23"/>
  <c r="V1410" i="23"/>
  <c r="V1385" i="23"/>
  <c r="V1360" i="23"/>
  <c r="V1335" i="23"/>
  <c r="V1310" i="23"/>
  <c r="V1282" i="23"/>
  <c r="V1257" i="23"/>
  <c r="V1232" i="23"/>
  <c r="V1207" i="23"/>
  <c r="V1182" i="23"/>
  <c r="V1154" i="23"/>
  <c r="V1129" i="23"/>
  <c r="V1105" i="23"/>
  <c r="V1087" i="23"/>
  <c r="V1068" i="23"/>
  <c r="V1050" i="23"/>
  <c r="V1032" i="23"/>
  <c r="V1014" i="23"/>
  <c r="V995" i="23"/>
  <c r="V977" i="23"/>
  <c r="V959" i="23"/>
  <c r="V941" i="23"/>
  <c r="V925" i="23"/>
  <c r="V909" i="23"/>
  <c r="V893" i="23"/>
  <c r="V877" i="23"/>
  <c r="V861" i="23"/>
  <c r="V845" i="23"/>
  <c r="V829" i="23"/>
  <c r="V813" i="23"/>
  <c r="V797" i="23"/>
  <c r="V781" i="23"/>
  <c r="V765" i="23"/>
  <c r="V749" i="23"/>
  <c r="V733" i="23"/>
  <c r="V717" i="23"/>
  <c r="V701" i="23"/>
  <c r="V685" i="23"/>
  <c r="V669" i="23"/>
  <c r="V653" i="23"/>
  <c r="V637" i="23"/>
  <c r="V621" i="23"/>
  <c r="V605" i="23"/>
  <c r="V589" i="23"/>
  <c r="V573" i="23"/>
  <c r="V557" i="23"/>
  <c r="V541" i="23"/>
  <c r="V525" i="23"/>
  <c r="V509" i="23"/>
  <c r="V493" i="23"/>
  <c r="V477" i="23"/>
  <c r="V461" i="23"/>
  <c r="V445" i="23"/>
  <c r="V431" i="23"/>
  <c r="V417" i="23"/>
  <c r="V406" i="23"/>
  <c r="V392" i="23"/>
  <c r="V381" i="23"/>
  <c r="V367" i="23"/>
  <c r="V353" i="23"/>
  <c r="V342" i="23"/>
  <c r="V328" i="23"/>
  <c r="V317" i="23"/>
  <c r="V303" i="23"/>
  <c r="V289" i="23"/>
  <c r="V278" i="23"/>
  <c r="V264" i="23"/>
  <c r="V253" i="23"/>
  <c r="V239" i="23"/>
  <c r="V225" i="23"/>
  <c r="V214" i="23"/>
  <c r="V200" i="23"/>
  <c r="V189" i="23"/>
  <c r="V175" i="23"/>
  <c r="V161" i="23"/>
  <c r="V150" i="23"/>
  <c r="V136" i="23"/>
  <c r="V125" i="23"/>
  <c r="V111" i="23"/>
  <c r="V97" i="23"/>
  <c r="V86" i="23"/>
  <c r="V72" i="23"/>
  <c r="V61" i="23"/>
  <c r="V47" i="23"/>
  <c r="V33" i="23"/>
  <c r="V22" i="23"/>
  <c r="V8" i="23"/>
  <c r="AF3580" i="23"/>
  <c r="AF3566" i="23"/>
  <c r="AF3552" i="23"/>
  <c r="AF3541" i="23"/>
  <c r="AF3527" i="23"/>
  <c r="AF3516" i="23"/>
  <c r="AF3502" i="23"/>
  <c r="AF3488" i="23"/>
  <c r="AF3477" i="23"/>
  <c r="AF3463" i="23"/>
  <c r="AF3452" i="23"/>
  <c r="AF3438" i="23"/>
  <c r="AF3424" i="23"/>
  <c r="AF3413" i="23"/>
  <c r="AF3399" i="23"/>
  <c r="AF3388" i="23"/>
  <c r="AF3374" i="23"/>
  <c r="AF3360" i="23"/>
  <c r="AF3349" i="23"/>
  <c r="AF3335" i="23"/>
  <c r="AF3324" i="23"/>
  <c r="AF3310" i="23"/>
  <c r="AF3296" i="23"/>
  <c r="AF3285" i="23"/>
  <c r="AF3271" i="23"/>
  <c r="AF3260" i="23"/>
  <c r="AF3246" i="23"/>
  <c r="AF3237" i="23"/>
  <c r="AF3228" i="23"/>
  <c r="AF3218" i="23"/>
  <c r="AF3209" i="23"/>
  <c r="AF3200" i="23"/>
  <c r="AF3191" i="23"/>
  <c r="AF3182" i="23"/>
  <c r="AF3173" i="23"/>
  <c r="AF3164" i="23"/>
  <c r="AF3154" i="23"/>
  <c r="AF3145" i="23"/>
  <c r="AF3136" i="23"/>
  <c r="AF3127" i="23"/>
  <c r="AF3118" i="23"/>
  <c r="AF3109" i="23"/>
  <c r="AF3100" i="23"/>
  <c r="AF3090" i="23"/>
  <c r="AF3081" i="23"/>
  <c r="AF3072" i="23"/>
  <c r="AF3063" i="23"/>
  <c r="AF3054" i="23"/>
  <c r="AF3045" i="23"/>
  <c r="AF3036" i="23"/>
  <c r="AF3026" i="23"/>
  <c r="AF3017" i="23"/>
  <c r="AF3008" i="23"/>
  <c r="AF2999" i="23"/>
  <c r="AF2990" i="23"/>
  <c r="AF2982" i="23"/>
  <c r="AF2974" i="23"/>
  <c r="AF2966" i="23"/>
  <c r="AF2958" i="23"/>
  <c r="AF2950" i="23"/>
  <c r="AF2942" i="23"/>
  <c r="AF2934" i="23"/>
  <c r="AF2926" i="23"/>
  <c r="AF2918" i="23"/>
  <c r="AF2910" i="23"/>
  <c r="AF2902" i="23"/>
  <c r="AF2894" i="23"/>
  <c r="AF2886" i="23"/>
  <c r="AF2878" i="23"/>
  <c r="AF2870" i="23"/>
  <c r="AF2862" i="23"/>
  <c r="AF2854" i="23"/>
  <c r="AF2846" i="23"/>
  <c r="AF2838" i="23"/>
  <c r="AF2830" i="23"/>
  <c r="AF2822" i="23"/>
  <c r="AF2814" i="23"/>
  <c r="AF2806" i="23"/>
  <c r="AF2798" i="23"/>
  <c r="AF2790" i="23"/>
  <c r="AF2782" i="23"/>
  <c r="AF2774" i="23"/>
  <c r="AF2766" i="23"/>
  <c r="AF2758" i="23"/>
  <c r="AF2750" i="23"/>
  <c r="AF2742" i="23"/>
  <c r="AF2734" i="23"/>
  <c r="AF2726" i="23"/>
  <c r="AF2718" i="23"/>
  <c r="AF2710" i="23"/>
  <c r="AF2702" i="23"/>
  <c r="AF2694" i="23"/>
  <c r="AF2686" i="23"/>
  <c r="AF2678" i="23"/>
  <c r="AF2670" i="23"/>
  <c r="AF2662" i="23"/>
  <c r="AF2654" i="23"/>
  <c r="AF2646" i="23"/>
  <c r="AF2638" i="23"/>
  <c r="AF2630" i="23"/>
  <c r="AF2622" i="23"/>
  <c r="AF2614" i="23"/>
  <c r="AF2606" i="23"/>
  <c r="AF2598" i="23"/>
  <c r="AF2590" i="23"/>
  <c r="AF2582" i="23"/>
  <c r="AF2574" i="23"/>
  <c r="AF2566" i="23"/>
  <c r="AF2558" i="23"/>
  <c r="AF2550" i="23"/>
  <c r="AF2542" i="23"/>
  <c r="AF2534" i="23"/>
  <c r="AF2526" i="23"/>
  <c r="AF2518" i="23"/>
  <c r="AF2510" i="23"/>
  <c r="AF2502" i="23"/>
  <c r="AF2494" i="23"/>
  <c r="AF2486" i="23"/>
  <c r="AF2478" i="23"/>
  <c r="AF2470" i="23"/>
  <c r="AF2462" i="23"/>
  <c r="AF2454" i="23"/>
  <c r="AF2446" i="23"/>
  <c r="AF2438" i="23"/>
  <c r="AF2430" i="23"/>
  <c r="AF2422" i="23"/>
  <c r="AF2414" i="23"/>
  <c r="AF2406" i="23"/>
  <c r="AF2398" i="23"/>
  <c r="AF2390" i="23"/>
  <c r="AF2382" i="23"/>
  <c r="AF2374" i="23"/>
  <c r="AF2366" i="23"/>
  <c r="AF2358" i="23"/>
  <c r="AF2350" i="23"/>
  <c r="AF2342" i="23"/>
  <c r="AF2334" i="23"/>
  <c r="AF2326" i="23"/>
  <c r="AF2318" i="23"/>
  <c r="AF2310" i="23"/>
  <c r="AF2302" i="23"/>
  <c r="AF2294" i="23"/>
  <c r="AF2286" i="23"/>
  <c r="AF2278" i="23"/>
  <c r="AF2270" i="23"/>
  <c r="AF2262" i="23"/>
  <c r="AF2254" i="23"/>
  <c r="AF2246" i="23"/>
  <c r="AF2238" i="23"/>
  <c r="AF2230" i="23"/>
  <c r="AF2222" i="23"/>
  <c r="AF2214" i="23"/>
  <c r="AF2206" i="23"/>
  <c r="AF2198" i="23"/>
  <c r="AF2190" i="23"/>
  <c r="AF2182" i="23"/>
  <c r="AF2174" i="23"/>
  <c r="AF2166" i="23"/>
  <c r="AF2158" i="23"/>
  <c r="AF2150" i="23"/>
  <c r="AF2142" i="23"/>
  <c r="AF2134" i="23"/>
  <c r="AF2126" i="23"/>
  <c r="AF2118" i="23"/>
  <c r="AF2110" i="23"/>
  <c r="AF2102" i="23"/>
  <c r="AF2094" i="23"/>
  <c r="AF2086" i="23"/>
  <c r="AF2078" i="23"/>
  <c r="AF2070" i="23"/>
  <c r="AF2062" i="23"/>
  <c r="AF2054" i="23"/>
  <c r="AF2046" i="23"/>
  <c r="AF2038" i="23"/>
  <c r="AF2030" i="23"/>
  <c r="AF2022" i="23"/>
  <c r="AF2014" i="23"/>
  <c r="AF2006" i="23"/>
  <c r="AF1998" i="23"/>
  <c r="AF1990" i="23"/>
  <c r="AF1982" i="23"/>
  <c r="AF1974" i="23"/>
  <c r="AF1966" i="23"/>
  <c r="AF1958" i="23"/>
  <c r="AF1950" i="23"/>
  <c r="AF1942" i="23"/>
  <c r="AF1934" i="23"/>
  <c r="AF1926" i="23"/>
  <c r="AF1918" i="23"/>
  <c r="AF1910" i="23"/>
  <c r="AF1902" i="23"/>
  <c r="AF1894" i="23"/>
  <c r="AF1886" i="23"/>
  <c r="AF1878" i="23"/>
  <c r="AF1870" i="23"/>
  <c r="AF1862" i="23"/>
  <c r="AF1854" i="23"/>
  <c r="AF1846" i="23"/>
  <c r="AF1838" i="23"/>
  <c r="AF1830" i="23"/>
  <c r="AF1822" i="23"/>
  <c r="AF1814" i="23"/>
  <c r="AF1806" i="23"/>
  <c r="AF1798" i="23"/>
  <c r="AF1790" i="23"/>
  <c r="AF1782" i="23"/>
  <c r="AF1774" i="23"/>
  <c r="AF1766" i="23"/>
  <c r="AF1758" i="23"/>
  <c r="AF1750" i="23"/>
  <c r="AF1742" i="23"/>
  <c r="AF1734" i="23"/>
  <c r="AF1726" i="23"/>
  <c r="AF1718" i="23"/>
  <c r="AF1710" i="23"/>
  <c r="AF1702" i="23"/>
  <c r="AF1694" i="23"/>
  <c r="AF1686" i="23"/>
  <c r="AF1678" i="23"/>
  <c r="AF1670" i="23"/>
  <c r="AF1662" i="23"/>
  <c r="AF1654" i="23"/>
  <c r="AF1646" i="23"/>
  <c r="AF1638" i="23"/>
  <c r="AF1630" i="23"/>
  <c r="V1583" i="23"/>
  <c r="V1558" i="23"/>
  <c r="V1530" i="23"/>
  <c r="V1505" i="23"/>
  <c r="V1480" i="23"/>
  <c r="V1455" i="23"/>
  <c r="V1430" i="23"/>
  <c r="V1402" i="23"/>
  <c r="V1377" i="23"/>
  <c r="V1352" i="23"/>
  <c r="V1327" i="23"/>
  <c r="V1302" i="23"/>
  <c r="V1274" i="23"/>
  <c r="V1249" i="23"/>
  <c r="V1224" i="23"/>
  <c r="V1199" i="23"/>
  <c r="V1174" i="23"/>
  <c r="V1146" i="23"/>
  <c r="V1121" i="23"/>
  <c r="V1099" i="23"/>
  <c r="V1081" i="23"/>
  <c r="V1063" i="23"/>
  <c r="V1044" i="23"/>
  <c r="V1026" i="23"/>
  <c r="V1008" i="23"/>
  <c r="V990" i="23"/>
  <c r="V971" i="23"/>
  <c r="V953" i="23"/>
  <c r="V936" i="23"/>
  <c r="V920" i="23"/>
  <c r="V904" i="23"/>
  <c r="V888" i="23"/>
  <c r="V872" i="23"/>
  <c r="V856" i="23"/>
  <c r="V840" i="23"/>
  <c r="V824" i="23"/>
  <c r="V808" i="23"/>
  <c r="V792" i="23"/>
  <c r="V776" i="23"/>
  <c r="V760" i="23"/>
  <c r="V744" i="23"/>
  <c r="V728" i="23"/>
  <c r="V712" i="23"/>
  <c r="V696" i="23"/>
  <c r="V680" i="23"/>
  <c r="V664" i="23"/>
  <c r="V648" i="23"/>
  <c r="V632" i="23"/>
  <c r="V616" i="23"/>
  <c r="V600" i="23"/>
  <c r="V584" i="23"/>
  <c r="V568" i="23"/>
  <c r="V552" i="23"/>
  <c r="V536" i="23"/>
  <c r="V520" i="23"/>
  <c r="V504" i="23"/>
  <c r="V488" i="23"/>
  <c r="V472" i="23"/>
  <c r="V456" i="23"/>
  <c r="V441" i="23"/>
  <c r="V430" i="23"/>
  <c r="V416" i="23"/>
  <c r="V405" i="23"/>
  <c r="V391" i="23"/>
  <c r="V377" i="23"/>
  <c r="V366" i="23"/>
  <c r="V352" i="23"/>
  <c r="V341" i="23"/>
  <c r="V327" i="23"/>
  <c r="V313" i="23"/>
  <c r="V302" i="23"/>
  <c r="V288" i="23"/>
  <c r="V277" i="23"/>
  <c r="V263" i="23"/>
  <c r="V249" i="23"/>
  <c r="V238" i="23"/>
  <c r="V224" i="23"/>
  <c r="V213" i="23"/>
  <c r="V199" i="23"/>
  <c r="V185" i="23"/>
  <c r="V174" i="23"/>
  <c r="V160" i="23"/>
  <c r="V149" i="23"/>
  <c r="V135" i="23"/>
  <c r="V121" i="23"/>
  <c r="V110" i="23"/>
  <c r="V96" i="23"/>
  <c r="V85" i="23"/>
  <c r="V71" i="23"/>
  <c r="V57" i="23"/>
  <c r="V46" i="23"/>
  <c r="V32" i="23"/>
  <c r="V21" i="23"/>
  <c r="V7" i="23"/>
  <c r="AF3576" i="23"/>
  <c r="AF3565" i="23"/>
  <c r="AF3551" i="23"/>
  <c r="AF3540" i="23"/>
  <c r="AF3526" i="23"/>
  <c r="AF3512" i="23"/>
  <c r="AF3501" i="23"/>
  <c r="AF3487" i="23"/>
  <c r="AF3476" i="23"/>
  <c r="AF3462" i="23"/>
  <c r="AF3448" i="23"/>
  <c r="AF3437" i="23"/>
  <c r="AF3423" i="23"/>
  <c r="AF3412" i="23"/>
  <c r="AF3398" i="23"/>
  <c r="AF3384" i="23"/>
  <c r="AF3373" i="23"/>
  <c r="AF3359" i="23"/>
  <c r="AF3348" i="23"/>
  <c r="AF3334" i="23"/>
  <c r="AF3320" i="23"/>
  <c r="AF3309" i="23"/>
  <c r="AF3295" i="23"/>
  <c r="AF3284" i="23"/>
  <c r="AF3270" i="23"/>
  <c r="AF3256" i="23"/>
  <c r="AF3245" i="23"/>
  <c r="AF3236" i="23"/>
  <c r="AF3226" i="23"/>
  <c r="AF3217" i="23"/>
  <c r="AF3208" i="23"/>
  <c r="AF3199" i="23"/>
  <c r="AF3190" i="23"/>
  <c r="AF3181" i="23"/>
  <c r="AF3172" i="23"/>
  <c r="AF3162" i="23"/>
  <c r="AF3153" i="23"/>
  <c r="AF3144" i="23"/>
  <c r="AF3135" i="23"/>
  <c r="AF3126" i="23"/>
  <c r="AF3117" i="23"/>
  <c r="AF3108" i="23"/>
  <c r="AF3098" i="23"/>
  <c r="AF3089" i="23"/>
  <c r="AF3080" i="23"/>
  <c r="AF3071" i="23"/>
  <c r="AF3062" i="23"/>
  <c r="AF3053" i="23"/>
  <c r="AF3044" i="23"/>
  <c r="AF3034" i="23"/>
  <c r="AF3025" i="23"/>
  <c r="AF3016" i="23"/>
  <c r="AF3007" i="23"/>
  <c r="AF2998" i="23"/>
  <c r="AF2989" i="23"/>
  <c r="AF2981" i="23"/>
  <c r="AF2973" i="23"/>
  <c r="AF2965" i="23"/>
  <c r="AF2957" i="23"/>
  <c r="AF2949" i="23"/>
  <c r="AF2941" i="23"/>
  <c r="AF2933" i="23"/>
  <c r="AF2925" i="23"/>
  <c r="AF2917" i="23"/>
  <c r="AF2909" i="23"/>
  <c r="AF2901" i="23"/>
  <c r="AF2893" i="23"/>
  <c r="AF2885" i="23"/>
  <c r="AF2877" i="23"/>
  <c r="AF2869" i="23"/>
  <c r="AF2861" i="23"/>
  <c r="AF2853" i="23"/>
  <c r="AF2845" i="23"/>
  <c r="AF2837" i="23"/>
  <c r="AF2829" i="23"/>
  <c r="AF2821" i="23"/>
  <c r="AF2813" i="23"/>
  <c r="AF2805" i="23"/>
  <c r="AF2797" i="23"/>
  <c r="AF2789" i="23"/>
  <c r="AF2781" i="23"/>
  <c r="AF2773" i="23"/>
  <c r="AF2765" i="23"/>
  <c r="AF2757" i="23"/>
  <c r="AF2749" i="23"/>
  <c r="AF2741" i="23"/>
  <c r="AF2733" i="23"/>
  <c r="AF2725" i="23"/>
  <c r="AF2717" i="23"/>
  <c r="AF2709" i="23"/>
  <c r="AF2701" i="23"/>
  <c r="AF2693" i="23"/>
  <c r="AF2685" i="23"/>
  <c r="AF2677" i="23"/>
  <c r="V1582" i="23"/>
  <c r="V1554" i="23"/>
  <c r="V1529" i="23"/>
  <c r="V1504" i="23"/>
  <c r="V1479" i="23"/>
  <c r="V1454" i="23"/>
  <c r="V1426" i="23"/>
  <c r="V1401" i="23"/>
  <c r="V1376" i="23"/>
  <c r="V1351" i="23"/>
  <c r="V1326" i="23"/>
  <c r="V1298" i="23"/>
  <c r="V1273" i="23"/>
  <c r="V1248" i="23"/>
  <c r="V1223" i="23"/>
  <c r="V1198" i="23"/>
  <c r="V1170" i="23"/>
  <c r="V1145" i="23"/>
  <c r="V1120" i="23"/>
  <c r="V1098" i="23"/>
  <c r="V1080" i="23"/>
  <c r="V1062" i="23"/>
  <c r="V1043" i="23"/>
  <c r="V1025" i="23"/>
  <c r="V1007" i="23"/>
  <c r="V988" i="23"/>
  <c r="V970" i="23"/>
  <c r="V952" i="23"/>
  <c r="V935" i="23"/>
  <c r="V919" i="23"/>
  <c r="V903" i="23"/>
  <c r="V887" i="23"/>
  <c r="V871" i="23"/>
  <c r="V855" i="23"/>
  <c r="V839" i="23"/>
  <c r="V823" i="23"/>
  <c r="V807" i="23"/>
  <c r="V791" i="23"/>
  <c r="V775" i="23"/>
  <c r="V759" i="23"/>
  <c r="V743" i="23"/>
  <c r="V727" i="23"/>
  <c r="V711" i="23"/>
  <c r="V695" i="23"/>
  <c r="V679" i="23"/>
  <c r="V663" i="23"/>
  <c r="V647" i="23"/>
  <c r="V631" i="23"/>
  <c r="V615" i="23"/>
  <c r="V599" i="23"/>
  <c r="V583" i="23"/>
  <c r="V567" i="23"/>
  <c r="V551" i="23"/>
  <c r="V535" i="23"/>
  <c r="V519" i="23"/>
  <c r="V503" i="23"/>
  <c r="V487" i="23"/>
  <c r="V471" i="23"/>
  <c r="V455" i="23"/>
  <c r="V440" i="23"/>
  <c r="V429" i="23"/>
  <c r="V415" i="23"/>
  <c r="V401" i="23"/>
  <c r="V390" i="23"/>
  <c r="V376" i="23"/>
  <c r="V365" i="23"/>
  <c r="V351" i="23"/>
  <c r="V337" i="23"/>
  <c r="V326" i="23"/>
  <c r="V312" i="23"/>
  <c r="V301" i="23"/>
  <c r="V287" i="23"/>
  <c r="V273" i="23"/>
  <c r="V262" i="23"/>
  <c r="V248" i="23"/>
  <c r="V237" i="23"/>
  <c r="V223" i="23"/>
  <c r="V209" i="23"/>
  <c r="V198" i="23"/>
  <c r="V184" i="23"/>
  <c r="V173" i="23"/>
  <c r="V159" i="23"/>
  <c r="V145" i="23"/>
  <c r="V134" i="23"/>
  <c r="V120" i="23"/>
  <c r="V109" i="23"/>
  <c r="V95" i="23"/>
  <c r="V81" i="23"/>
  <c r="V70" i="23"/>
  <c r="V56" i="23"/>
  <c r="V45" i="23"/>
  <c r="V31" i="23"/>
  <c r="V17" i="23"/>
  <c r="V6" i="23"/>
  <c r="V1578" i="23"/>
  <c r="V1553" i="23"/>
  <c r="V1528" i="23"/>
  <c r="V1503" i="23"/>
  <c r="V1478" i="23"/>
  <c r="V1450" i="23"/>
  <c r="V1425" i="23"/>
  <c r="V1400" i="23"/>
  <c r="V1375" i="23"/>
  <c r="V1350" i="23"/>
  <c r="V1322" i="23"/>
  <c r="V1297" i="23"/>
  <c r="V1272" i="23"/>
  <c r="V1247" i="23"/>
  <c r="V1222" i="23"/>
  <c r="V1194" i="23"/>
  <c r="V1169" i="23"/>
  <c r="V1144" i="23"/>
  <c r="V1119" i="23"/>
  <c r="V1097" i="23"/>
  <c r="V1079" i="23"/>
  <c r="V1060" i="23"/>
  <c r="V1042" i="23"/>
  <c r="V1024" i="23"/>
  <c r="V1006" i="23"/>
  <c r="V987" i="23"/>
  <c r="V969" i="23"/>
  <c r="V951" i="23"/>
  <c r="V934" i="23"/>
  <c r="V918" i="23"/>
  <c r="V902" i="23"/>
  <c r="V886" i="23"/>
  <c r="V870" i="23"/>
  <c r="V854" i="23"/>
  <c r="V838" i="23"/>
  <c r="V822" i="23"/>
  <c r="V806" i="23"/>
  <c r="V790" i="23"/>
  <c r="V774" i="23"/>
  <c r="V758" i="23"/>
  <c r="V742" i="23"/>
  <c r="V726" i="23"/>
  <c r="V710" i="23"/>
  <c r="V694" i="23"/>
  <c r="V678" i="23"/>
  <c r="V662" i="23"/>
  <c r="V646" i="23"/>
  <c r="V630" i="23"/>
  <c r="V614" i="23"/>
  <c r="V598" i="23"/>
  <c r="V582" i="23"/>
  <c r="V566" i="23"/>
  <c r="V550" i="23"/>
  <c r="V534" i="23"/>
  <c r="V518" i="23"/>
  <c r="V502" i="23"/>
  <c r="V486" i="23"/>
  <c r="V470" i="23"/>
  <c r="V454" i="23"/>
  <c r="V439" i="23"/>
  <c r="V425" i="23"/>
  <c r="V414" i="23"/>
  <c r="V400" i="23"/>
  <c r="V389" i="23"/>
  <c r="V375" i="23"/>
  <c r="V361" i="23"/>
  <c r="V350" i="23"/>
  <c r="V336" i="23"/>
  <c r="V325" i="23"/>
  <c r="V311" i="23"/>
  <c r="V297" i="23"/>
  <c r="V286" i="23"/>
  <c r="V272" i="23"/>
  <c r="V261" i="23"/>
  <c r="V247" i="23"/>
  <c r="V233" i="23"/>
  <c r="V222" i="23"/>
  <c r="V208" i="23"/>
  <c r="V197" i="23"/>
  <c r="V183" i="23"/>
  <c r="V169" i="23"/>
  <c r="V158" i="23"/>
  <c r="V144" i="23"/>
  <c r="V133" i="23"/>
  <c r="V119" i="23"/>
  <c r="V105" i="23"/>
  <c r="V94" i="23"/>
  <c r="V80" i="23"/>
  <c r="V69" i="23"/>
  <c r="V55" i="23"/>
  <c r="V1602" i="23"/>
  <c r="V1577" i="23"/>
  <c r="V1552" i="23"/>
  <c r="V1527" i="23"/>
  <c r="V1502" i="23"/>
  <c r="V1474" i="23"/>
  <c r="V1449" i="23"/>
  <c r="V1424" i="23"/>
  <c r="V1399" i="23"/>
  <c r="V1374" i="23"/>
  <c r="V1346" i="23"/>
  <c r="V1321" i="23"/>
  <c r="V1296" i="23"/>
  <c r="V1271" i="23"/>
  <c r="V1246" i="23"/>
  <c r="V1218" i="23"/>
  <c r="V1193" i="23"/>
  <c r="V1168" i="23"/>
  <c r="V1143" i="23"/>
  <c r="V1118" i="23"/>
  <c r="V1096" i="23"/>
  <c r="V1078" i="23"/>
  <c r="V1059" i="23"/>
  <c r="V1041" i="23"/>
  <c r="V1023" i="23"/>
  <c r="V1004" i="23"/>
  <c r="V986" i="23"/>
  <c r="V968" i="23"/>
  <c r="V950" i="23"/>
  <c r="V933" i="23"/>
  <c r="V917" i="23"/>
  <c r="V901" i="23"/>
  <c r="V885" i="23"/>
  <c r="V869" i="23"/>
  <c r="V853" i="23"/>
  <c r="V837" i="23"/>
  <c r="V821" i="23"/>
  <c r="V805" i="23"/>
  <c r="V789" i="23"/>
  <c r="V773" i="23"/>
  <c r="V757" i="23"/>
  <c r="V741" i="23"/>
  <c r="V725" i="23"/>
  <c r="V709" i="23"/>
  <c r="V693" i="23"/>
  <c r="V677" i="23"/>
  <c r="V661" i="23"/>
  <c r="V645" i="23"/>
  <c r="V629" i="23"/>
  <c r="V613" i="23"/>
  <c r="V597" i="23"/>
  <c r="V581" i="23"/>
  <c r="V565" i="23"/>
  <c r="V549" i="23"/>
  <c r="V533" i="23"/>
  <c r="V517" i="23"/>
  <c r="V501" i="23"/>
  <c r="V485" i="23"/>
  <c r="V469" i="23"/>
  <c r="V453" i="23"/>
  <c r="V438" i="23"/>
  <c r="V424" i="23"/>
  <c r="V413" i="23"/>
  <c r="V399" i="23"/>
  <c r="V385" i="23"/>
  <c r="V374" i="23"/>
  <c r="V360" i="23"/>
  <c r="V349" i="23"/>
  <c r="V335" i="23"/>
  <c r="V321" i="23"/>
  <c r="V310" i="23"/>
  <c r="V296" i="23"/>
  <c r="V285" i="23"/>
  <c r="V271" i="23"/>
  <c r="V257" i="23"/>
  <c r="V246" i="23"/>
  <c r="V232" i="23"/>
  <c r="V221" i="23"/>
  <c r="V207" i="23"/>
  <c r="V193" i="23"/>
  <c r="V182" i="23"/>
  <c r="V168" i="23"/>
  <c r="V157" i="23"/>
  <c r="V143" i="23"/>
  <c r="V129" i="23"/>
  <c r="V118" i="23"/>
  <c r="V104" i="23"/>
  <c r="V93" i="23"/>
  <c r="V1594" i="23"/>
  <c r="V1569" i="23"/>
  <c r="V1544" i="23"/>
  <c r="V1519" i="23"/>
  <c r="V1494" i="23"/>
  <c r="V1466" i="23"/>
  <c r="V1441" i="23"/>
  <c r="V1416" i="23"/>
  <c r="V1391" i="23"/>
  <c r="V1366" i="23"/>
  <c r="V1338" i="23"/>
  <c r="V1313" i="23"/>
  <c r="V1288" i="23"/>
  <c r="V1263" i="23"/>
  <c r="V1238" i="23"/>
  <c r="V1210" i="23"/>
  <c r="V1185" i="23"/>
  <c r="V1160" i="23"/>
  <c r="V1135" i="23"/>
  <c r="V1110" i="23"/>
  <c r="V1090" i="23"/>
  <c r="V1072" i="23"/>
  <c r="V1054" i="23"/>
  <c r="V1035" i="23"/>
  <c r="V1017" i="23"/>
  <c r="V999" i="23"/>
  <c r="V980" i="23"/>
  <c r="V962" i="23"/>
  <c r="V944" i="23"/>
  <c r="V928" i="23"/>
  <c r="V912" i="23"/>
  <c r="V896" i="23"/>
  <c r="V880" i="23"/>
  <c r="V864" i="23"/>
  <c r="V848" i="23"/>
  <c r="V832" i="23"/>
  <c r="V816" i="23"/>
  <c r="V800" i="23"/>
  <c r="V784" i="23"/>
  <c r="V768" i="23"/>
  <c r="V752" i="23"/>
  <c r="V736" i="23"/>
  <c r="V720" i="23"/>
  <c r="V704" i="23"/>
  <c r="V688" i="23"/>
  <c r="V672" i="23"/>
  <c r="V656" i="23"/>
  <c r="V640" i="23"/>
  <c r="V624" i="23"/>
  <c r="V608" i="23"/>
  <c r="V592" i="23"/>
  <c r="V576" i="23"/>
  <c r="V560" i="23"/>
  <c r="V544" i="23"/>
  <c r="V528" i="23"/>
  <c r="V512" i="23"/>
  <c r="V496" i="23"/>
  <c r="V480" i="23"/>
  <c r="V464" i="23"/>
  <c r="V448" i="23"/>
  <c r="V437" i="23"/>
  <c r="V423" i="23"/>
  <c r="V409" i="23"/>
  <c r="V398" i="23"/>
  <c r="V384" i="23"/>
  <c r="V373" i="23"/>
  <c r="V359" i="23"/>
  <c r="V345" i="23"/>
  <c r="V334" i="23"/>
  <c r="V320" i="23"/>
  <c r="V309" i="23"/>
  <c r="V295" i="23"/>
  <c r="V281" i="23"/>
  <c r="V270" i="23"/>
  <c r="V256" i="23"/>
  <c r="V245" i="23"/>
  <c r="V231" i="23"/>
  <c r="V217" i="23"/>
  <c r="V206" i="23"/>
  <c r="V192" i="23"/>
  <c r="V181" i="23"/>
  <c r="V167" i="23"/>
  <c r="V153" i="23"/>
  <c r="V142" i="23"/>
  <c r="V128" i="23"/>
  <c r="V1593" i="23"/>
  <c r="V1568" i="23"/>
  <c r="V1543" i="23"/>
  <c r="V1518" i="23"/>
  <c r="V1490" i="23"/>
  <c r="V1465" i="23"/>
  <c r="V1440" i="23"/>
  <c r="V1415" i="23"/>
  <c r="V1390" i="23"/>
  <c r="V1362" i="23"/>
  <c r="V1337" i="23"/>
  <c r="V1312" i="23"/>
  <c r="V1287" i="23"/>
  <c r="V1262" i="23"/>
  <c r="V1234" i="23"/>
  <c r="V1209" i="23"/>
  <c r="V1184" i="23"/>
  <c r="V1159" i="23"/>
  <c r="V1134" i="23"/>
  <c r="V1107" i="23"/>
  <c r="V1089" i="23"/>
  <c r="V1071" i="23"/>
  <c r="V1052" i="23"/>
  <c r="V1034" i="23"/>
  <c r="V1016" i="23"/>
  <c r="V998" i="23"/>
  <c r="V979" i="23"/>
  <c r="V961" i="23"/>
  <c r="V943" i="23"/>
  <c r="V927" i="23"/>
  <c r="V911" i="23"/>
  <c r="V895" i="23"/>
  <c r="V879" i="23"/>
  <c r="V863" i="23"/>
  <c r="V847" i="23"/>
  <c r="V831" i="23"/>
  <c r="V815" i="23"/>
  <c r="V799" i="23"/>
  <c r="V783" i="23"/>
  <c r="V767" i="23"/>
  <c r="V751" i="23"/>
  <c r="V735" i="23"/>
  <c r="V719" i="23"/>
  <c r="V703" i="23"/>
  <c r="V687" i="23"/>
  <c r="V671" i="23"/>
  <c r="V655" i="23"/>
  <c r="V639" i="23"/>
  <c r="V623" i="23"/>
  <c r="V607" i="23"/>
  <c r="V591" i="23"/>
  <c r="V575" i="23"/>
  <c r="V559" i="23"/>
  <c r="V543" i="23"/>
  <c r="V527" i="23"/>
  <c r="V511" i="23"/>
  <c r="V495" i="23"/>
  <c r="V479" i="23"/>
  <c r="V463" i="23"/>
  <c r="V447" i="23"/>
  <c r="V433" i="23"/>
  <c r="V422" i="23"/>
  <c r="V408" i="23"/>
  <c r="V397" i="23"/>
  <c r="V383" i="23"/>
  <c r="V369" i="23"/>
  <c r="V358" i="23"/>
  <c r="V344" i="23"/>
  <c r="V333" i="23"/>
  <c r="V319" i="23"/>
  <c r="V305" i="23"/>
  <c r="V294" i="23"/>
  <c r="V280" i="23"/>
  <c r="V269" i="23"/>
  <c r="V255" i="23"/>
  <c r="V241" i="23"/>
  <c r="V230" i="23"/>
  <c r="V216" i="23"/>
  <c r="V205" i="23"/>
  <c r="V191" i="23"/>
  <c r="V177" i="23"/>
  <c r="V166" i="23"/>
  <c r="V152" i="23"/>
  <c r="V141" i="23"/>
  <c r="V127" i="23"/>
  <c r="V113" i="23"/>
  <c r="V102" i="23"/>
  <c r="V88" i="23"/>
  <c r="V77" i="23"/>
  <c r="V63" i="23"/>
  <c r="V49" i="23"/>
  <c r="V38" i="23"/>
  <c r="V24" i="23"/>
  <c r="V13" i="23"/>
  <c r="AF3582" i="23"/>
  <c r="AF3568" i="23"/>
  <c r="AF3557" i="23"/>
  <c r="AF3543" i="23"/>
  <c r="AF3532" i="23"/>
  <c r="AF3518" i="23"/>
  <c r="AF3504" i="23"/>
  <c r="AF3493" i="23"/>
  <c r="AF3479" i="23"/>
  <c r="AF3468" i="23"/>
  <c r="AF3454" i="23"/>
  <c r="AF3440" i="23"/>
  <c r="AF3429" i="23"/>
  <c r="AF3415" i="23"/>
  <c r="AF3404" i="23"/>
  <c r="AF3390" i="23"/>
  <c r="AF3376" i="23"/>
  <c r="AF3365" i="23"/>
  <c r="AF3351" i="23"/>
  <c r="AF3340" i="23"/>
  <c r="AF3326" i="23"/>
  <c r="AF3312" i="23"/>
  <c r="AF3301" i="23"/>
  <c r="AF3287" i="23"/>
  <c r="AF3276" i="23"/>
  <c r="AF3262" i="23"/>
  <c r="AF3248" i="23"/>
  <c r="AF3239" i="23"/>
  <c r="AF3230" i="23"/>
  <c r="AF3221" i="23"/>
  <c r="AF3212" i="23"/>
  <c r="AF3202" i="23"/>
  <c r="AF3193" i="23"/>
  <c r="AF3184" i="23"/>
  <c r="AF3175" i="23"/>
  <c r="AF3166" i="23"/>
  <c r="AF3157" i="23"/>
  <c r="AF3148" i="23"/>
  <c r="AF3138" i="23"/>
  <c r="AF3129" i="23"/>
  <c r="AF3120" i="23"/>
  <c r="AF3111" i="23"/>
  <c r="AF3102" i="23"/>
  <c r="AF3093" i="23"/>
  <c r="AF3084" i="23"/>
  <c r="AF3074" i="23"/>
  <c r="AF3065" i="23"/>
  <c r="AF3056" i="23"/>
  <c r="AF3047" i="23"/>
  <c r="AF3038" i="23"/>
  <c r="AF3029" i="23"/>
  <c r="AF3020" i="23"/>
  <c r="AF3010" i="23"/>
  <c r="AF3001" i="23"/>
  <c r="AF2992" i="23"/>
  <c r="AF2984" i="23"/>
  <c r="AF2976" i="23"/>
  <c r="AF2968" i="23"/>
  <c r="AF2960" i="23"/>
  <c r="AF2952" i="23"/>
  <c r="AF2944" i="23"/>
  <c r="AF2936" i="23"/>
  <c r="AF2928" i="23"/>
  <c r="AF2920" i="23"/>
  <c r="AF2912" i="23"/>
  <c r="AF2904" i="23"/>
  <c r="AF2896" i="23"/>
  <c r="AF2888" i="23"/>
  <c r="AF2880" i="23"/>
  <c r="AF2872" i="23"/>
  <c r="AF2864" i="23"/>
  <c r="AF2856" i="23"/>
  <c r="AF2848" i="23"/>
  <c r="AF2840" i="23"/>
  <c r="AF2832" i="23"/>
  <c r="AF2824" i="23"/>
  <c r="AF2816" i="23"/>
  <c r="AF2808" i="23"/>
  <c r="AF2800" i="23"/>
  <c r="AF2792" i="23"/>
  <c r="AF2784" i="23"/>
  <c r="AF2776" i="23"/>
  <c r="AF2768" i="23"/>
  <c r="AF2760" i="23"/>
  <c r="AF2752" i="23"/>
  <c r="AF2744" i="23"/>
  <c r="AF2736" i="23"/>
  <c r="AF2728" i="23"/>
  <c r="AF2720" i="23"/>
  <c r="AF2712" i="23"/>
  <c r="AF2704" i="23"/>
  <c r="AF2696" i="23"/>
  <c r="AF2688" i="23"/>
  <c r="AF2680" i="23"/>
  <c r="AF2672" i="23"/>
  <c r="AF2664" i="23"/>
  <c r="AF2656" i="23"/>
  <c r="AF2648" i="23"/>
  <c r="AF2640" i="23"/>
  <c r="AF2632" i="23"/>
  <c r="AF2624" i="23"/>
  <c r="AF2616" i="23"/>
  <c r="AF2608" i="23"/>
  <c r="AF2600" i="23"/>
  <c r="AF2592" i="23"/>
  <c r="AF2584" i="23"/>
  <c r="AF2576" i="23"/>
  <c r="AF2568" i="23"/>
  <c r="AF2560" i="23"/>
  <c r="AF2552" i="23"/>
  <c r="AF2544" i="23"/>
  <c r="AF2536" i="23"/>
  <c r="AF2528" i="23"/>
  <c r="AF2520" i="23"/>
  <c r="AF2512" i="23"/>
  <c r="AF2504" i="23"/>
  <c r="AF2496" i="23"/>
  <c r="AF2488" i="23"/>
  <c r="AF2480" i="23"/>
  <c r="AF2472" i="23"/>
  <c r="AF2464" i="23"/>
  <c r="AF2456" i="23"/>
  <c r="AF2448" i="23"/>
  <c r="AF2440" i="23"/>
  <c r="AF2432" i="23"/>
  <c r="AF2424" i="23"/>
  <c r="AF2416" i="23"/>
  <c r="AF2408" i="23"/>
  <c r="AF2400" i="23"/>
  <c r="AF2392" i="23"/>
  <c r="AF2384" i="23"/>
  <c r="AF2376" i="23"/>
  <c r="AF2368" i="23"/>
  <c r="AF2360" i="23"/>
  <c r="AF2352" i="23"/>
  <c r="AF2344" i="23"/>
  <c r="AF2336" i="23"/>
  <c r="AF2328" i="23"/>
  <c r="AF2320" i="23"/>
  <c r="AF2312" i="23"/>
  <c r="AF2304" i="23"/>
  <c r="AF2296" i="23"/>
  <c r="AF2288" i="23"/>
  <c r="AF2280" i="23"/>
  <c r="AF2272" i="23"/>
  <c r="AF2264" i="23"/>
  <c r="AF2256" i="23"/>
  <c r="AF2248" i="23"/>
  <c r="AF2240" i="23"/>
  <c r="AF2232" i="23"/>
  <c r="AF2224" i="23"/>
  <c r="AF2216" i="23"/>
  <c r="AF2208" i="23"/>
  <c r="AF2200" i="23"/>
  <c r="AF2192" i="23"/>
  <c r="AF2184" i="23"/>
  <c r="AF2176" i="23"/>
  <c r="AF2168" i="23"/>
  <c r="AF2160" i="23"/>
  <c r="AF2152" i="23"/>
  <c r="AF2144" i="23"/>
  <c r="AF2136" i="23"/>
  <c r="AF2128" i="23"/>
  <c r="AF2120" i="23"/>
  <c r="AF2112" i="23"/>
  <c r="AF2104" i="23"/>
  <c r="AF2096" i="23"/>
  <c r="AF2088" i="23"/>
  <c r="AF2080" i="23"/>
  <c r="AF2072" i="23"/>
  <c r="AF2064" i="23"/>
  <c r="AF2056" i="23"/>
  <c r="AF2048" i="23"/>
  <c r="AF2040" i="23"/>
  <c r="AF2032" i="23"/>
  <c r="AF2024" i="23"/>
  <c r="AF2016" i="23"/>
  <c r="AF2008" i="23"/>
  <c r="AF2000" i="23"/>
  <c r="AF1992" i="23"/>
  <c r="AF1984" i="23"/>
  <c r="AF1976" i="23"/>
  <c r="AF1968" i="23"/>
  <c r="AF1960" i="23"/>
  <c r="AF1952" i="23"/>
  <c r="AF1944" i="23"/>
  <c r="AF1936" i="23"/>
  <c r="AF1928" i="23"/>
  <c r="AF1920" i="23"/>
  <c r="AF1912" i="23"/>
  <c r="AF1904" i="23"/>
  <c r="AF1896" i="23"/>
  <c r="AF1888" i="23"/>
  <c r="AF1880" i="23"/>
  <c r="AF1872" i="23"/>
  <c r="AF1864" i="23"/>
  <c r="AF1856" i="23"/>
  <c r="AF1848" i="23"/>
  <c r="AF1840" i="23"/>
  <c r="AF1832" i="23"/>
  <c r="AF1824" i="23"/>
  <c r="AF1816" i="23"/>
  <c r="AF1808" i="23"/>
  <c r="AF1800" i="23"/>
  <c r="AF1792" i="23"/>
  <c r="AF1784" i="23"/>
  <c r="AF1776" i="23"/>
  <c r="AF1768" i="23"/>
  <c r="AF1760" i="23"/>
  <c r="AF1752" i="23"/>
  <c r="AF1744" i="23"/>
  <c r="AF1736" i="23"/>
  <c r="AF1728" i="23"/>
  <c r="AF1720" i="23"/>
  <c r="AF1712" i="23"/>
  <c r="AF1704" i="23"/>
  <c r="AF1696" i="23"/>
  <c r="AF1688" i="23"/>
  <c r="AF1680" i="23"/>
  <c r="AF1672" i="23"/>
  <c r="AF1664" i="23"/>
  <c r="AF1656" i="23"/>
  <c r="AF1648" i="23"/>
  <c r="AF1640" i="23"/>
  <c r="AF1632" i="23"/>
  <c r="AF1624" i="23"/>
  <c r="AF1616" i="23"/>
  <c r="AF1608" i="23"/>
  <c r="AF1600" i="23"/>
  <c r="AF1592" i="23"/>
  <c r="AF1584" i="23"/>
  <c r="AF1576" i="23"/>
  <c r="AF1568" i="23"/>
  <c r="AF1560" i="23"/>
  <c r="AF1552" i="23"/>
  <c r="AF1544" i="23"/>
  <c r="AF1536" i="23"/>
  <c r="AF1528" i="23"/>
  <c r="AF1520" i="23"/>
  <c r="AF1512" i="23"/>
  <c r="AF1504" i="23"/>
  <c r="AF1496" i="23"/>
  <c r="AF1488" i="23"/>
  <c r="AF1480" i="23"/>
  <c r="AF1472" i="23"/>
  <c r="AF1464" i="23"/>
  <c r="AF1456" i="23"/>
  <c r="V79" i="23"/>
  <c r="V39" i="23"/>
  <c r="AF3584" i="23"/>
  <c r="AF3559" i="23"/>
  <c r="AF3534" i="23"/>
  <c r="AF3509" i="23"/>
  <c r="AF3484" i="23"/>
  <c r="AF3456" i="23"/>
  <c r="AF3431" i="23"/>
  <c r="AF3406" i="23"/>
  <c r="AF3381" i="23"/>
  <c r="AF3356" i="23"/>
  <c r="AF3328" i="23"/>
  <c r="AF3303" i="23"/>
  <c r="AF3278" i="23"/>
  <c r="AF3253" i="23"/>
  <c r="AF3232" i="23"/>
  <c r="AF3214" i="23"/>
  <c r="AF3196" i="23"/>
  <c r="AF3177" i="23"/>
  <c r="AF3159" i="23"/>
  <c r="AF3141" i="23"/>
  <c r="AF3122" i="23"/>
  <c r="AF3104" i="23"/>
  <c r="AF3086" i="23"/>
  <c r="AF3068" i="23"/>
  <c r="AF3049" i="23"/>
  <c r="AF3031" i="23"/>
  <c r="AF3013" i="23"/>
  <c r="AF2994" i="23"/>
  <c r="AF2978" i="23"/>
  <c r="AF2962" i="23"/>
  <c r="AF2946" i="23"/>
  <c r="AF2930" i="23"/>
  <c r="AF2914" i="23"/>
  <c r="AF2898" i="23"/>
  <c r="AF2882" i="23"/>
  <c r="AF2866" i="23"/>
  <c r="AF2850" i="23"/>
  <c r="AF2834" i="23"/>
  <c r="AF2818" i="23"/>
  <c r="AF2802" i="23"/>
  <c r="AF2786" i="23"/>
  <c r="AF2770" i="23"/>
  <c r="AF2754" i="23"/>
  <c r="AF2738" i="23"/>
  <c r="AF2722" i="23"/>
  <c r="AF2706" i="23"/>
  <c r="AF2690" i="23"/>
  <c r="AF2674" i="23"/>
  <c r="AF2660" i="23"/>
  <c r="AF2649" i="23"/>
  <c r="AF2635" i="23"/>
  <c r="AF2621" i="23"/>
  <c r="AF2610" i="23"/>
  <c r="AF2596" i="23"/>
  <c r="AF2585" i="23"/>
  <c r="AF2571" i="23"/>
  <c r="AF2557" i="23"/>
  <c r="AF2546" i="23"/>
  <c r="AF2532" i="23"/>
  <c r="AF2521" i="23"/>
  <c r="AF2507" i="23"/>
  <c r="AF2493" i="23"/>
  <c r="AF2482" i="23"/>
  <c r="AF2468" i="23"/>
  <c r="AF2457" i="23"/>
  <c r="AF2443" i="23"/>
  <c r="AF2429" i="23"/>
  <c r="AF2418" i="23"/>
  <c r="AF2404" i="23"/>
  <c r="AF2393" i="23"/>
  <c r="AF2379" i="23"/>
  <c r="AF2365" i="23"/>
  <c r="AF2354" i="23"/>
  <c r="AF2340" i="23"/>
  <c r="AF2329" i="23"/>
  <c r="AF2315" i="23"/>
  <c r="AF2301" i="23"/>
  <c r="AF2290" i="23"/>
  <c r="AF2276" i="23"/>
  <c r="AF2265" i="23"/>
  <c r="AF2251" i="23"/>
  <c r="AF2237" i="23"/>
  <c r="AF2226" i="23"/>
  <c r="AF2212" i="23"/>
  <c r="AF2201" i="23"/>
  <c r="AF2187" i="23"/>
  <c r="AF2173" i="23"/>
  <c r="AF2162" i="23"/>
  <c r="AF2148" i="23"/>
  <c r="AF2137" i="23"/>
  <c r="AF2123" i="23"/>
  <c r="AF2109" i="23"/>
  <c r="AF2098" i="23"/>
  <c r="AF2084" i="23"/>
  <c r="AF2073" i="23"/>
  <c r="AF2059" i="23"/>
  <c r="AF2045" i="23"/>
  <c r="AF2034" i="23"/>
  <c r="AF2020" i="23"/>
  <c r="AF2009" i="23"/>
  <c r="AF1995" i="23"/>
  <c r="AF1981" i="23"/>
  <c r="AF1970" i="23"/>
  <c r="AF1956" i="23"/>
  <c r="AF1945" i="23"/>
  <c r="AF1931" i="23"/>
  <c r="AF1917" i="23"/>
  <c r="AF1906" i="23"/>
  <c r="AF1892" i="23"/>
  <c r="AF1881" i="23"/>
  <c r="AF1867" i="23"/>
  <c r="AF1853" i="23"/>
  <c r="AF1842" i="23"/>
  <c r="AF1828" i="23"/>
  <c r="AF1817" i="23"/>
  <c r="AF1803" i="23"/>
  <c r="AF1789" i="23"/>
  <c r="AF1778" i="23"/>
  <c r="AF1764" i="23"/>
  <c r="AF1753" i="23"/>
  <c r="AF1739" i="23"/>
  <c r="AF1725" i="23"/>
  <c r="AF1714" i="23"/>
  <c r="AF1700" i="23"/>
  <c r="AF1689" i="23"/>
  <c r="AF1675" i="23"/>
  <c r="AF1661" i="23"/>
  <c r="AF1650" i="23"/>
  <c r="AF1636" i="23"/>
  <c r="AF1625" i="23"/>
  <c r="AF1613" i="23"/>
  <c r="AF1603" i="23"/>
  <c r="AF1593" i="23"/>
  <c r="AF1581" i="23"/>
  <c r="AF1571" i="23"/>
  <c r="AF1561" i="23"/>
  <c r="AF1549" i="23"/>
  <c r="AF1539" i="23"/>
  <c r="AF1529" i="23"/>
  <c r="AF1517" i="23"/>
  <c r="AF1507" i="23"/>
  <c r="AF1497" i="23"/>
  <c r="AF1485" i="23"/>
  <c r="AF1475" i="23"/>
  <c r="AF1466" i="23"/>
  <c r="AF1457" i="23"/>
  <c r="AF1448" i="23"/>
  <c r="AF1440" i="23"/>
  <c r="AF1432" i="23"/>
  <c r="AF1424" i="23"/>
  <c r="AF1416" i="23"/>
  <c r="AF1408" i="23"/>
  <c r="AF1400" i="23"/>
  <c r="AF1392" i="23"/>
  <c r="AF1384" i="23"/>
  <c r="AF1376" i="23"/>
  <c r="AF1368" i="23"/>
  <c r="AF1360" i="23"/>
  <c r="AF1352" i="23"/>
  <c r="AF1344" i="23"/>
  <c r="AF1336" i="23"/>
  <c r="AF1328" i="23"/>
  <c r="AF1320" i="23"/>
  <c r="AF1312" i="23"/>
  <c r="AF1304" i="23"/>
  <c r="AF1296" i="23"/>
  <c r="AF1288" i="23"/>
  <c r="AF1280" i="23"/>
  <c r="AF1272" i="23"/>
  <c r="AF1264" i="23"/>
  <c r="AF1256" i="23"/>
  <c r="AF1248" i="23"/>
  <c r="AF1240" i="23"/>
  <c r="AF1232" i="23"/>
  <c r="AF1224" i="23"/>
  <c r="AF1216" i="23"/>
  <c r="AF1208" i="23"/>
  <c r="AF1200" i="23"/>
  <c r="AF1192" i="23"/>
  <c r="AF1184" i="23"/>
  <c r="AF1176" i="23"/>
  <c r="AF1168" i="23"/>
  <c r="AF1160" i="23"/>
  <c r="AF1152" i="23"/>
  <c r="AF1144" i="23"/>
  <c r="AF1136" i="23"/>
  <c r="AF1128" i="23"/>
  <c r="AF1120" i="23"/>
  <c r="AF1112" i="23"/>
  <c r="AF1104" i="23"/>
  <c r="AF1096" i="23"/>
  <c r="AF1088" i="23"/>
  <c r="AF1080" i="23"/>
  <c r="AF1072" i="23"/>
  <c r="AF1064" i="23"/>
  <c r="AF1056" i="23"/>
  <c r="AF1048" i="23"/>
  <c r="AF1040" i="23"/>
  <c r="AF1032" i="23"/>
  <c r="AF1024" i="23"/>
  <c r="AF1016" i="23"/>
  <c r="AF1008" i="23"/>
  <c r="AF1000" i="23"/>
  <c r="AF992" i="23"/>
  <c r="AF984" i="23"/>
  <c r="AF976" i="23"/>
  <c r="AF968" i="23"/>
  <c r="AF960" i="23"/>
  <c r="AF952" i="23"/>
  <c r="AF944" i="23"/>
  <c r="AF936" i="23"/>
  <c r="AF928" i="23"/>
  <c r="AF920" i="23"/>
  <c r="AF912" i="23"/>
  <c r="AF904" i="23"/>
  <c r="AF896" i="23"/>
  <c r="AF888" i="23"/>
  <c r="AF880" i="23"/>
  <c r="AF872" i="23"/>
  <c r="AF864" i="23"/>
  <c r="AF856" i="23"/>
  <c r="AF848" i="23"/>
  <c r="AF840" i="23"/>
  <c r="AF832" i="23"/>
  <c r="AF824" i="23"/>
  <c r="AF816" i="23"/>
  <c r="AF808" i="23"/>
  <c r="AF800" i="23"/>
  <c r="AF792" i="23"/>
  <c r="AF784" i="23"/>
  <c r="AF776" i="23"/>
  <c r="AF768" i="23"/>
  <c r="AF760" i="23"/>
  <c r="AF752" i="23"/>
  <c r="AF744" i="23"/>
  <c r="AF736" i="23"/>
  <c r="AF728" i="23"/>
  <c r="AF720" i="23"/>
  <c r="AF712" i="23"/>
  <c r="AF704" i="23"/>
  <c r="AF696" i="23"/>
  <c r="AF688" i="23"/>
  <c r="AF680" i="23"/>
  <c r="AF672" i="23"/>
  <c r="AF664" i="23"/>
  <c r="AF656" i="23"/>
  <c r="AF648" i="23"/>
  <c r="AF640" i="23"/>
  <c r="AF632" i="23"/>
  <c r="AF624" i="23"/>
  <c r="AF616" i="23"/>
  <c r="AF608" i="23"/>
  <c r="AF600" i="23"/>
  <c r="AF592" i="23"/>
  <c r="AF584" i="23"/>
  <c r="AF576" i="23"/>
  <c r="AF568" i="23"/>
  <c r="AF560" i="23"/>
  <c r="AF552" i="23"/>
  <c r="AF544" i="23"/>
  <c r="AF536" i="23"/>
  <c r="AF528" i="23"/>
  <c r="AF520" i="23"/>
  <c r="AF512" i="23"/>
  <c r="AF504" i="23"/>
  <c r="AF496" i="23"/>
  <c r="AF488" i="23"/>
  <c r="AF480" i="23"/>
  <c r="AF472" i="23"/>
  <c r="AF464" i="23"/>
  <c r="AF456" i="23"/>
  <c r="AF448" i="23"/>
  <c r="AF440" i="23"/>
  <c r="AF432" i="23"/>
  <c r="AF424" i="23"/>
  <c r="AF416" i="23"/>
  <c r="AF408" i="23"/>
  <c r="AF400" i="23"/>
  <c r="AF392" i="23"/>
  <c r="AF384" i="23"/>
  <c r="AF376" i="23"/>
  <c r="AF368" i="23"/>
  <c r="AF360" i="23"/>
  <c r="AF352" i="23"/>
  <c r="AF344" i="23"/>
  <c r="AF336" i="23"/>
  <c r="AF328" i="23"/>
  <c r="AF320" i="23"/>
  <c r="AF312" i="23"/>
  <c r="AF304" i="23"/>
  <c r="AF296" i="23"/>
  <c r="AF288" i="23"/>
  <c r="AF280" i="23"/>
  <c r="AF272" i="23"/>
  <c r="AF264" i="23"/>
  <c r="AF256" i="23"/>
  <c r="AF248" i="23"/>
  <c r="AF240" i="23"/>
  <c r="AF232" i="23"/>
  <c r="AF224" i="23"/>
  <c r="AF216" i="23"/>
  <c r="AF208" i="23"/>
  <c r="AF200" i="23"/>
  <c r="AF192" i="23"/>
  <c r="AF184" i="23"/>
  <c r="AF176" i="23"/>
  <c r="AF168" i="23"/>
  <c r="AF160" i="23"/>
  <c r="AF152" i="23"/>
  <c r="AF144" i="23"/>
  <c r="AF136" i="23"/>
  <c r="AF128" i="23"/>
  <c r="AF120" i="23"/>
  <c r="AF112" i="23"/>
  <c r="AF104" i="23"/>
  <c r="AF96" i="23"/>
  <c r="AF88" i="23"/>
  <c r="AF80" i="23"/>
  <c r="AF72" i="23"/>
  <c r="AF64" i="23"/>
  <c r="AF56" i="23"/>
  <c r="AF48" i="23"/>
  <c r="AF40" i="23"/>
  <c r="AF32" i="23"/>
  <c r="AF24" i="23"/>
  <c r="Q25" i="6" s="1"/>
  <c r="AF16" i="23"/>
  <c r="AF8" i="23"/>
  <c r="AA7149" i="23"/>
  <c r="AA7141" i="23"/>
  <c r="AA7133" i="23"/>
  <c r="AA7125" i="23"/>
  <c r="AA7117" i="23"/>
  <c r="AA7109" i="23"/>
  <c r="AA7101" i="23"/>
  <c r="AA7093" i="23"/>
  <c r="AA7085" i="23"/>
  <c r="AA7077" i="23"/>
  <c r="AA7069" i="23"/>
  <c r="AA7061" i="23"/>
  <c r="V78" i="23"/>
  <c r="V30" i="23"/>
  <c r="AF3583" i="23"/>
  <c r="AF3558" i="23"/>
  <c r="AF3533" i="23"/>
  <c r="AF3508" i="23"/>
  <c r="AF3480" i="23"/>
  <c r="AF3455" i="23"/>
  <c r="AF3430" i="23"/>
  <c r="AF3405" i="23"/>
  <c r="AF3380" i="23"/>
  <c r="AF3352" i="23"/>
  <c r="AF3327" i="23"/>
  <c r="AF3302" i="23"/>
  <c r="AF3277" i="23"/>
  <c r="AF3252" i="23"/>
  <c r="AF3231" i="23"/>
  <c r="AF3213" i="23"/>
  <c r="AF3194" i="23"/>
  <c r="AF3176" i="23"/>
  <c r="AF3158" i="23"/>
  <c r="AF3140" i="23"/>
  <c r="AF3121" i="23"/>
  <c r="AF3103" i="23"/>
  <c r="AF3085" i="23"/>
  <c r="AF3066" i="23"/>
  <c r="AF3048" i="23"/>
  <c r="AF3030" i="23"/>
  <c r="AF3012" i="23"/>
  <c r="AF2993" i="23"/>
  <c r="AF2977" i="23"/>
  <c r="AF2961" i="23"/>
  <c r="AF2945" i="23"/>
  <c r="AF2929" i="23"/>
  <c r="AF2913" i="23"/>
  <c r="AF2897" i="23"/>
  <c r="AF2881" i="23"/>
  <c r="AF2865" i="23"/>
  <c r="AF2849" i="23"/>
  <c r="AF2833" i="23"/>
  <c r="AF2817" i="23"/>
  <c r="AF2801" i="23"/>
  <c r="AF2785" i="23"/>
  <c r="AF2769" i="23"/>
  <c r="AF2753" i="23"/>
  <c r="AF2737" i="23"/>
  <c r="AF2721" i="23"/>
  <c r="AF2705" i="23"/>
  <c r="AF2689" i="23"/>
  <c r="AF2673" i="23"/>
  <c r="AF2659" i="23"/>
  <c r="AF2645" i="23"/>
  <c r="AF2634" i="23"/>
  <c r="AF2620" i="23"/>
  <c r="AF2609" i="23"/>
  <c r="AF2595" i="23"/>
  <c r="AF2581" i="23"/>
  <c r="AF2570" i="23"/>
  <c r="AF2556" i="23"/>
  <c r="AF2545" i="23"/>
  <c r="AF2531" i="23"/>
  <c r="AF2517" i="23"/>
  <c r="AF2506" i="23"/>
  <c r="AF2492" i="23"/>
  <c r="AF2481" i="23"/>
  <c r="AF2467" i="23"/>
  <c r="AF2453" i="23"/>
  <c r="AF2442" i="23"/>
  <c r="AF2428" i="23"/>
  <c r="AF2417" i="23"/>
  <c r="AF2403" i="23"/>
  <c r="AF2389" i="23"/>
  <c r="AF2378" i="23"/>
  <c r="AF2364" i="23"/>
  <c r="AF2353" i="23"/>
  <c r="AF2339" i="23"/>
  <c r="AF2325" i="23"/>
  <c r="AF2314" i="23"/>
  <c r="AF2300" i="23"/>
  <c r="AF2289" i="23"/>
  <c r="AF2275" i="23"/>
  <c r="AF2261" i="23"/>
  <c r="AF2250" i="23"/>
  <c r="AF2236" i="23"/>
  <c r="AF2225" i="23"/>
  <c r="AF2211" i="23"/>
  <c r="AF2197" i="23"/>
  <c r="AF2186" i="23"/>
  <c r="AF2172" i="23"/>
  <c r="AF2161" i="23"/>
  <c r="AF2147" i="23"/>
  <c r="AF2133" i="23"/>
  <c r="AF2122" i="23"/>
  <c r="AF2108" i="23"/>
  <c r="AF2097" i="23"/>
  <c r="AF2083" i="23"/>
  <c r="AF2069" i="23"/>
  <c r="AF2058" i="23"/>
  <c r="AF2044" i="23"/>
  <c r="AF2033" i="23"/>
  <c r="AF2019" i="23"/>
  <c r="AF2005" i="23"/>
  <c r="AF1994" i="23"/>
  <c r="AF1980" i="23"/>
  <c r="AF1969" i="23"/>
  <c r="AF1955" i="23"/>
  <c r="AF1941" i="23"/>
  <c r="AF1930" i="23"/>
  <c r="AF1916" i="23"/>
  <c r="AF1905" i="23"/>
  <c r="AF1891" i="23"/>
  <c r="AF1877" i="23"/>
  <c r="AF1866" i="23"/>
  <c r="AF1852" i="23"/>
  <c r="AF1841" i="23"/>
  <c r="AF1827" i="23"/>
  <c r="AF1813" i="23"/>
  <c r="AF1802" i="23"/>
  <c r="AF1788" i="23"/>
  <c r="AF1777" i="23"/>
  <c r="AF1763" i="23"/>
  <c r="AF1749" i="23"/>
  <c r="AF1738" i="23"/>
  <c r="AF1724" i="23"/>
  <c r="AF1713" i="23"/>
  <c r="AF1699" i="23"/>
  <c r="AF1685" i="23"/>
  <c r="AF1674" i="23"/>
  <c r="AF1660" i="23"/>
  <c r="AF1649" i="23"/>
  <c r="AF1635" i="23"/>
  <c r="AF1622" i="23"/>
  <c r="AF1612" i="23"/>
  <c r="AF1602" i="23"/>
  <c r="AF1590" i="23"/>
  <c r="AF1580" i="23"/>
  <c r="AF1570" i="23"/>
  <c r="AF1558" i="23"/>
  <c r="AF1548" i="23"/>
  <c r="AF1538" i="23"/>
  <c r="AF1526" i="23"/>
  <c r="AF1516" i="23"/>
  <c r="AF1506" i="23"/>
  <c r="AF1494" i="23"/>
  <c r="AF1484" i="23"/>
  <c r="AF1474" i="23"/>
  <c r="AF1465" i="23"/>
  <c r="AF1455" i="23"/>
  <c r="AF1447" i="23"/>
  <c r="AF1439" i="23"/>
  <c r="AF1431" i="23"/>
  <c r="AF1423" i="23"/>
  <c r="AF1415" i="23"/>
  <c r="AF1407" i="23"/>
  <c r="AF1399" i="23"/>
  <c r="AF1391" i="23"/>
  <c r="AF1383" i="23"/>
  <c r="AF1375" i="23"/>
  <c r="AF1367" i="23"/>
  <c r="AF1359" i="23"/>
  <c r="AF1351" i="23"/>
  <c r="AF1343" i="23"/>
  <c r="AF1335" i="23"/>
  <c r="AF1327" i="23"/>
  <c r="AF1319" i="23"/>
  <c r="AF1311" i="23"/>
  <c r="AF1303" i="23"/>
  <c r="AF1295" i="23"/>
  <c r="AF1287" i="23"/>
  <c r="AF1279" i="23"/>
  <c r="AF1271" i="23"/>
  <c r="AF1263" i="23"/>
  <c r="AF1255" i="23"/>
  <c r="AF1247" i="23"/>
  <c r="AF1239" i="23"/>
  <c r="AF1231" i="23"/>
  <c r="AF1223" i="23"/>
  <c r="AF1215" i="23"/>
  <c r="AF1207" i="23"/>
  <c r="AF1199" i="23"/>
  <c r="AF1191" i="23"/>
  <c r="AF1183" i="23"/>
  <c r="AF1175" i="23"/>
  <c r="AF1167" i="23"/>
  <c r="AF1159" i="23"/>
  <c r="AF1151" i="23"/>
  <c r="AF1143" i="23"/>
  <c r="AF1135" i="23"/>
  <c r="AF1127" i="23"/>
  <c r="AF1119" i="23"/>
  <c r="AF1111" i="23"/>
  <c r="AF1103" i="23"/>
  <c r="AF1095" i="23"/>
  <c r="AF1087" i="23"/>
  <c r="AF1079" i="23"/>
  <c r="AF1071" i="23"/>
  <c r="AF1063" i="23"/>
  <c r="AF1055" i="23"/>
  <c r="AF1047" i="23"/>
  <c r="AF1039" i="23"/>
  <c r="AF1031" i="23"/>
  <c r="AF1023" i="23"/>
  <c r="AF1015" i="23"/>
  <c r="AF1007" i="23"/>
  <c r="AF999" i="23"/>
  <c r="AF991" i="23"/>
  <c r="AF983" i="23"/>
  <c r="AF975" i="23"/>
  <c r="AF967" i="23"/>
  <c r="AF959" i="23"/>
  <c r="AF951" i="23"/>
  <c r="AF943" i="23"/>
  <c r="AF935" i="23"/>
  <c r="AF927" i="23"/>
  <c r="AF919" i="23"/>
  <c r="AF911" i="23"/>
  <c r="AF903" i="23"/>
  <c r="AF895" i="23"/>
  <c r="AF887" i="23"/>
  <c r="AF879" i="23"/>
  <c r="AF871" i="23"/>
  <c r="AF863" i="23"/>
  <c r="AF855" i="23"/>
  <c r="AF847" i="23"/>
  <c r="AF839" i="23"/>
  <c r="AF831" i="23"/>
  <c r="AF823" i="23"/>
  <c r="AF815" i="23"/>
  <c r="AF807" i="23"/>
  <c r="AF799" i="23"/>
  <c r="AF791" i="23"/>
  <c r="AF783" i="23"/>
  <c r="AF775" i="23"/>
  <c r="AF767" i="23"/>
  <c r="AF759" i="23"/>
  <c r="AF751" i="23"/>
  <c r="AF743" i="23"/>
  <c r="AF735" i="23"/>
  <c r="AF727" i="23"/>
  <c r="AF719" i="23"/>
  <c r="AF711" i="23"/>
  <c r="AF703" i="23"/>
  <c r="AF695" i="23"/>
  <c r="AF687" i="23"/>
  <c r="AF679" i="23"/>
  <c r="AF671" i="23"/>
  <c r="AF663" i="23"/>
  <c r="AF655" i="23"/>
  <c r="AF647" i="23"/>
  <c r="AF639" i="23"/>
  <c r="AF631" i="23"/>
  <c r="AF623" i="23"/>
  <c r="AF615" i="23"/>
  <c r="AF607" i="23"/>
  <c r="AF599" i="23"/>
  <c r="AF591" i="23"/>
  <c r="AF583" i="23"/>
  <c r="AF575" i="23"/>
  <c r="AF567" i="23"/>
  <c r="AF559" i="23"/>
  <c r="AF551" i="23"/>
  <c r="AF543" i="23"/>
  <c r="AF535" i="23"/>
  <c r="AF527" i="23"/>
  <c r="AF519" i="23"/>
  <c r="AF511" i="23"/>
  <c r="AF503" i="23"/>
  <c r="AF495" i="23"/>
  <c r="AF487" i="23"/>
  <c r="AF479" i="23"/>
  <c r="AF471" i="23"/>
  <c r="AF463" i="23"/>
  <c r="AF455" i="23"/>
  <c r="AF447" i="23"/>
  <c r="AF439" i="23"/>
  <c r="AF431" i="23"/>
  <c r="AF423" i="23"/>
  <c r="AF415" i="23"/>
  <c r="AF407" i="23"/>
  <c r="AF399" i="23"/>
  <c r="AF391" i="23"/>
  <c r="AF383" i="23"/>
  <c r="AF375" i="23"/>
  <c r="AF367" i="23"/>
  <c r="AF359" i="23"/>
  <c r="AF351" i="23"/>
  <c r="AF343" i="23"/>
  <c r="AF335" i="23"/>
  <c r="AF327" i="23"/>
  <c r="AF319" i="23"/>
  <c r="AF311" i="23"/>
  <c r="AF303" i="23"/>
  <c r="AF295" i="23"/>
  <c r="AF287" i="23"/>
  <c r="AF279" i="23"/>
  <c r="AF271" i="23"/>
  <c r="AF263" i="23"/>
  <c r="AF255" i="23"/>
  <c r="AF247" i="23"/>
  <c r="AF239" i="23"/>
  <c r="AF231" i="23"/>
  <c r="AF223" i="23"/>
  <c r="AF215" i="23"/>
  <c r="AF207" i="23"/>
  <c r="AF199" i="23"/>
  <c r="AF191" i="23"/>
  <c r="AF183" i="23"/>
  <c r="AF175" i="23"/>
  <c r="AF167" i="23"/>
  <c r="AF159" i="23"/>
  <c r="AF151" i="23"/>
  <c r="AF143" i="23"/>
  <c r="AF135" i="23"/>
  <c r="AF127" i="23"/>
  <c r="AF119" i="23"/>
  <c r="AF111" i="23"/>
  <c r="AF103" i="23"/>
  <c r="AF95" i="23"/>
  <c r="AF87" i="23"/>
  <c r="AF79" i="23"/>
  <c r="AF71" i="23"/>
  <c r="AF63" i="23"/>
  <c r="AF55" i="23"/>
  <c r="AF47" i="23"/>
  <c r="AF39" i="23"/>
  <c r="AF31" i="23"/>
  <c r="AF23" i="23"/>
  <c r="AF15" i="23"/>
  <c r="AF7" i="23"/>
  <c r="AA7148" i="23"/>
  <c r="AA7140" i="23"/>
  <c r="AA7132" i="23"/>
  <c r="AA7124" i="23"/>
  <c r="V65" i="23"/>
  <c r="V29" i="23"/>
  <c r="AF3575" i="23"/>
  <c r="AF3550" i="23"/>
  <c r="AF3525" i="23"/>
  <c r="AF3500" i="23"/>
  <c r="AF3472" i="23"/>
  <c r="AF3447" i="23"/>
  <c r="AF3422" i="23"/>
  <c r="AF3397" i="23"/>
  <c r="AF3372" i="23"/>
  <c r="AF3344" i="23"/>
  <c r="AF3319" i="23"/>
  <c r="AF3294" i="23"/>
  <c r="AF3269" i="23"/>
  <c r="AF3244" i="23"/>
  <c r="AF3225" i="23"/>
  <c r="AF3207" i="23"/>
  <c r="AF3189" i="23"/>
  <c r="AF3170" i="23"/>
  <c r="AF3152" i="23"/>
  <c r="AF3134" i="23"/>
  <c r="AF3116" i="23"/>
  <c r="AF3097" i="23"/>
  <c r="AF3079" i="23"/>
  <c r="AF3061" i="23"/>
  <c r="AF3042" i="23"/>
  <c r="AF3024" i="23"/>
  <c r="AF3006" i="23"/>
  <c r="AF2988" i="23"/>
  <c r="AF2972" i="23"/>
  <c r="AF2956" i="23"/>
  <c r="AF2940" i="23"/>
  <c r="AF2924" i="23"/>
  <c r="AF2908" i="23"/>
  <c r="AF2892" i="23"/>
  <c r="AF2876" i="23"/>
  <c r="AF2860" i="23"/>
  <c r="AF2844" i="23"/>
  <c r="AF2828" i="23"/>
  <c r="AF2812" i="23"/>
  <c r="AF2796" i="23"/>
  <c r="AF2780" i="23"/>
  <c r="AF2764" i="23"/>
  <c r="AF2748" i="23"/>
  <c r="AF2732" i="23"/>
  <c r="AF2716" i="23"/>
  <c r="AF2700" i="23"/>
  <c r="AF2684" i="23"/>
  <c r="AF2669" i="23"/>
  <c r="AF2658" i="23"/>
  <c r="AF2644" i="23"/>
  <c r="AF2633" i="23"/>
  <c r="AF2619" i="23"/>
  <c r="AF2605" i="23"/>
  <c r="AF2594" i="23"/>
  <c r="AF2580" i="23"/>
  <c r="AF2569" i="23"/>
  <c r="AF2555" i="23"/>
  <c r="AF2541" i="23"/>
  <c r="AF2530" i="23"/>
  <c r="AF2516" i="23"/>
  <c r="AF2505" i="23"/>
  <c r="AF2491" i="23"/>
  <c r="AF2477" i="23"/>
  <c r="AF2466" i="23"/>
  <c r="AF2452" i="23"/>
  <c r="AF2441" i="23"/>
  <c r="AF2427" i="23"/>
  <c r="AF2413" i="23"/>
  <c r="AF2402" i="23"/>
  <c r="AF2388" i="23"/>
  <c r="AF2377" i="23"/>
  <c r="AF2363" i="23"/>
  <c r="AF2349" i="23"/>
  <c r="AF2338" i="23"/>
  <c r="AF2324" i="23"/>
  <c r="AF2313" i="23"/>
  <c r="AF2299" i="23"/>
  <c r="AF2285" i="23"/>
  <c r="AF2274" i="23"/>
  <c r="AF2260" i="23"/>
  <c r="AF2249" i="23"/>
  <c r="AF2235" i="23"/>
  <c r="AF2221" i="23"/>
  <c r="AF2210" i="23"/>
  <c r="AF2196" i="23"/>
  <c r="AF2185" i="23"/>
  <c r="AF2171" i="23"/>
  <c r="AF2157" i="23"/>
  <c r="AF2146" i="23"/>
  <c r="AF2132" i="23"/>
  <c r="AF2121" i="23"/>
  <c r="AF2107" i="23"/>
  <c r="AF2093" i="23"/>
  <c r="AF2082" i="23"/>
  <c r="AF2068" i="23"/>
  <c r="AF2057" i="23"/>
  <c r="AF2043" i="23"/>
  <c r="AF2029" i="23"/>
  <c r="AF2018" i="23"/>
  <c r="AF2004" i="23"/>
  <c r="AF1993" i="23"/>
  <c r="AF1979" i="23"/>
  <c r="AF1965" i="23"/>
  <c r="AF1954" i="23"/>
  <c r="AF1940" i="23"/>
  <c r="AF1929" i="23"/>
  <c r="AF1915" i="23"/>
  <c r="AF1901" i="23"/>
  <c r="AF1890" i="23"/>
  <c r="AF1876" i="23"/>
  <c r="AF1865" i="23"/>
  <c r="AF1851" i="23"/>
  <c r="AF1837" i="23"/>
  <c r="AF1826" i="23"/>
  <c r="AF1812" i="23"/>
  <c r="AF1801" i="23"/>
  <c r="AF1787" i="23"/>
  <c r="AF1773" i="23"/>
  <c r="AF1762" i="23"/>
  <c r="AF1748" i="23"/>
  <c r="AF1737" i="23"/>
  <c r="AF1723" i="23"/>
  <c r="AF1709" i="23"/>
  <c r="AF1698" i="23"/>
  <c r="AF1684" i="23"/>
  <c r="AF1673" i="23"/>
  <c r="AF1659" i="23"/>
  <c r="AF1645" i="23"/>
  <c r="AF1634" i="23"/>
  <c r="AF1621" i="23"/>
  <c r="AF1611" i="23"/>
  <c r="AF1601" i="23"/>
  <c r="AF1589" i="23"/>
  <c r="AF1579" i="23"/>
  <c r="AF1569" i="23"/>
  <c r="AF1557" i="23"/>
  <c r="AF1547" i="23"/>
  <c r="AF1537" i="23"/>
  <c r="AF1525" i="23"/>
  <c r="AF1515" i="23"/>
  <c r="AF1505" i="23"/>
  <c r="AF1493" i="23"/>
  <c r="AF1483" i="23"/>
  <c r="AF1473" i="23"/>
  <c r="AF1463" i="23"/>
  <c r="AF1454" i="23"/>
  <c r="AF1446" i="23"/>
  <c r="AF1438" i="23"/>
  <c r="AF1430" i="23"/>
  <c r="AF1422" i="23"/>
  <c r="AF1414" i="23"/>
  <c r="AF1406" i="23"/>
  <c r="AF1398" i="23"/>
  <c r="AF1390" i="23"/>
  <c r="AF1382" i="23"/>
  <c r="AF1374" i="23"/>
  <c r="AF1366" i="23"/>
  <c r="AF1358" i="23"/>
  <c r="AF1350" i="23"/>
  <c r="AF1342" i="23"/>
  <c r="AF1334" i="23"/>
  <c r="AF1326" i="23"/>
  <c r="AF1318" i="23"/>
  <c r="AF1310" i="23"/>
  <c r="AF1302" i="23"/>
  <c r="AF1294" i="23"/>
  <c r="AF1286" i="23"/>
  <c r="AF1278" i="23"/>
  <c r="AF1270" i="23"/>
  <c r="AF1262" i="23"/>
  <c r="AF1254" i="23"/>
  <c r="AF1246" i="23"/>
  <c r="AF1238" i="23"/>
  <c r="AF1230" i="23"/>
  <c r="AF1222" i="23"/>
  <c r="AF1214" i="23"/>
  <c r="AF1206" i="23"/>
  <c r="AF1198" i="23"/>
  <c r="AF1190" i="23"/>
  <c r="AF1182" i="23"/>
  <c r="AF1174" i="23"/>
  <c r="AF1166" i="23"/>
  <c r="AF1158" i="23"/>
  <c r="AF1150" i="23"/>
  <c r="AF1142" i="23"/>
  <c r="AF1134" i="23"/>
  <c r="AF1126" i="23"/>
  <c r="AF1118" i="23"/>
  <c r="AF1110" i="23"/>
  <c r="AF1102" i="23"/>
  <c r="AF1094" i="23"/>
  <c r="AF1086" i="23"/>
  <c r="V64" i="23"/>
  <c r="V25" i="23"/>
  <c r="AF3574" i="23"/>
  <c r="AF3549" i="23"/>
  <c r="AF3524" i="23"/>
  <c r="AF3496" i="23"/>
  <c r="AF3471" i="23"/>
  <c r="AF3446" i="23"/>
  <c r="AF3421" i="23"/>
  <c r="AF3396" i="23"/>
  <c r="AF3368" i="23"/>
  <c r="AF3343" i="23"/>
  <c r="AF3318" i="23"/>
  <c r="AF3293" i="23"/>
  <c r="AF3268" i="23"/>
  <c r="AF3242" i="23"/>
  <c r="AF3224" i="23"/>
  <c r="AF3206" i="23"/>
  <c r="AF3188" i="23"/>
  <c r="AF3169" i="23"/>
  <c r="AF3151" i="23"/>
  <c r="AF3133" i="23"/>
  <c r="AF3114" i="23"/>
  <c r="AF3096" i="23"/>
  <c r="AF3078" i="23"/>
  <c r="AF3060" i="23"/>
  <c r="AF3041" i="23"/>
  <c r="AF3023" i="23"/>
  <c r="AF3005" i="23"/>
  <c r="AF2987" i="23"/>
  <c r="AF2971" i="23"/>
  <c r="AF2955" i="23"/>
  <c r="AF2939" i="23"/>
  <c r="AF2923" i="23"/>
  <c r="AF2907" i="23"/>
  <c r="AF2891" i="23"/>
  <c r="AF2875" i="23"/>
  <c r="AF2859" i="23"/>
  <c r="AF2843" i="23"/>
  <c r="AF2827" i="23"/>
  <c r="AF2811" i="23"/>
  <c r="AF2795" i="23"/>
  <c r="AF2779" i="23"/>
  <c r="AF2763" i="23"/>
  <c r="AF2747" i="23"/>
  <c r="AF2731" i="23"/>
  <c r="AF2715" i="23"/>
  <c r="AF2699" i="23"/>
  <c r="AF2683" i="23"/>
  <c r="AF2668" i="23"/>
  <c r="AF2657" i="23"/>
  <c r="AF2643" i="23"/>
  <c r="AF2629" i="23"/>
  <c r="AF2618" i="23"/>
  <c r="AF2604" i="23"/>
  <c r="AF2593" i="23"/>
  <c r="AF2579" i="23"/>
  <c r="AF2565" i="23"/>
  <c r="AF2554" i="23"/>
  <c r="AF2540" i="23"/>
  <c r="AF2529" i="23"/>
  <c r="V54" i="23"/>
  <c r="V16" i="23"/>
  <c r="AF3573" i="23"/>
  <c r="AF3548" i="23"/>
  <c r="AF3520" i="23"/>
  <c r="AF3495" i="23"/>
  <c r="AF3470" i="23"/>
  <c r="AF3445" i="23"/>
  <c r="AF3420" i="23"/>
  <c r="AF3392" i="23"/>
  <c r="AF3367" i="23"/>
  <c r="AF3342" i="23"/>
  <c r="AF3317" i="23"/>
  <c r="AF3292" i="23"/>
  <c r="AF3264" i="23"/>
  <c r="AF3241" i="23"/>
  <c r="AF3223" i="23"/>
  <c r="AF3205" i="23"/>
  <c r="AF3186" i="23"/>
  <c r="AF3168" i="23"/>
  <c r="AF3150" i="23"/>
  <c r="AF3132" i="23"/>
  <c r="AF3113" i="23"/>
  <c r="AF3095" i="23"/>
  <c r="AF3077" i="23"/>
  <c r="AF3058" i="23"/>
  <c r="AF3040" i="23"/>
  <c r="AF3022" i="23"/>
  <c r="AF3004" i="23"/>
  <c r="AF2986" i="23"/>
  <c r="AF2970" i="23"/>
  <c r="AF2954" i="23"/>
  <c r="AF2938" i="23"/>
  <c r="AF2922" i="23"/>
  <c r="AF2906" i="23"/>
  <c r="AF2890" i="23"/>
  <c r="AF2874" i="23"/>
  <c r="AF2858" i="23"/>
  <c r="AF2842" i="23"/>
  <c r="AF2826" i="23"/>
  <c r="AF2810" i="23"/>
  <c r="AF2794" i="23"/>
  <c r="AF2778" i="23"/>
  <c r="AF2762" i="23"/>
  <c r="AF2746" i="23"/>
  <c r="AF2730" i="23"/>
  <c r="AF2714" i="23"/>
  <c r="AF2698" i="23"/>
  <c r="AF2682" i="23"/>
  <c r="AF2667" i="23"/>
  <c r="AF2653" i="23"/>
  <c r="AF2642" i="23"/>
  <c r="AF2628" i="23"/>
  <c r="AF2617" i="23"/>
  <c r="AF2603" i="23"/>
  <c r="AF2589" i="23"/>
  <c r="AF2578" i="23"/>
  <c r="AF2564" i="23"/>
  <c r="AF2553" i="23"/>
  <c r="AF2539" i="23"/>
  <c r="V117" i="23"/>
  <c r="V53" i="23"/>
  <c r="V15" i="23"/>
  <c r="AF3572" i="23"/>
  <c r="AF3544" i="23"/>
  <c r="AF3519" i="23"/>
  <c r="AF3494" i="23"/>
  <c r="AF3469" i="23"/>
  <c r="AF3444" i="23"/>
  <c r="AF3416" i="23"/>
  <c r="AF3391" i="23"/>
  <c r="AF3366" i="23"/>
  <c r="AF3341" i="23"/>
  <c r="AF3316" i="23"/>
  <c r="AF3288" i="23"/>
  <c r="AF3263" i="23"/>
  <c r="AF3240" i="23"/>
  <c r="AF3222" i="23"/>
  <c r="AF3204" i="23"/>
  <c r="AF3185" i="23"/>
  <c r="AF3167" i="23"/>
  <c r="AF3149" i="23"/>
  <c r="AF3130" i="23"/>
  <c r="AF3112" i="23"/>
  <c r="AF3094" i="23"/>
  <c r="AF3076" i="23"/>
  <c r="AF3057" i="23"/>
  <c r="AF3039" i="23"/>
  <c r="AF3021" i="23"/>
  <c r="AF3002" i="23"/>
  <c r="AF2985" i="23"/>
  <c r="AF2969" i="23"/>
  <c r="AF2953" i="23"/>
  <c r="AF2937" i="23"/>
  <c r="AF2921" i="23"/>
  <c r="AF2905" i="23"/>
  <c r="AF2889" i="23"/>
  <c r="AF2873" i="23"/>
  <c r="AF2857" i="23"/>
  <c r="AF2841" i="23"/>
  <c r="AF2825" i="23"/>
  <c r="AF2809" i="23"/>
  <c r="AF2793" i="23"/>
  <c r="AF2777" i="23"/>
  <c r="AF2761" i="23"/>
  <c r="AF2745" i="23"/>
  <c r="AF2729" i="23"/>
  <c r="AF2713" i="23"/>
  <c r="AF2697" i="23"/>
  <c r="AF2681" i="23"/>
  <c r="AF2666" i="23"/>
  <c r="AF2652" i="23"/>
  <c r="AF2641" i="23"/>
  <c r="AF2627" i="23"/>
  <c r="AF2613" i="23"/>
  <c r="AF2602" i="23"/>
  <c r="AF2588" i="23"/>
  <c r="AF2577" i="23"/>
  <c r="AF2563" i="23"/>
  <c r="AF2549" i="23"/>
  <c r="AF2538" i="23"/>
  <c r="AF2524" i="23"/>
  <c r="V103" i="23"/>
  <c r="V41" i="23"/>
  <c r="V14" i="23"/>
  <c r="AF3564" i="23"/>
  <c r="AF3536" i="23"/>
  <c r="AF3511" i="23"/>
  <c r="AF3486" i="23"/>
  <c r="AF3461" i="23"/>
  <c r="AF3436" i="23"/>
  <c r="AF3408" i="23"/>
  <c r="AF3383" i="23"/>
  <c r="AF3358" i="23"/>
  <c r="AF3333" i="23"/>
  <c r="AF3308" i="23"/>
  <c r="AF3280" i="23"/>
  <c r="AF3255" i="23"/>
  <c r="AF3234" i="23"/>
  <c r="AF3216" i="23"/>
  <c r="AF3198" i="23"/>
  <c r="AF3180" i="23"/>
  <c r="AF3161" i="23"/>
  <c r="AF3143" i="23"/>
  <c r="AF3125" i="23"/>
  <c r="AF3106" i="23"/>
  <c r="AF3088" i="23"/>
  <c r="AF3070" i="23"/>
  <c r="AF3052" i="23"/>
  <c r="AF3033" i="23"/>
  <c r="AF3015" i="23"/>
  <c r="AF2997" i="23"/>
  <c r="AF2980" i="23"/>
  <c r="AF2964" i="23"/>
  <c r="AF2948" i="23"/>
  <c r="AF2932" i="23"/>
  <c r="AF2916" i="23"/>
  <c r="AF2900" i="23"/>
  <c r="AF2884" i="23"/>
  <c r="AF2868" i="23"/>
  <c r="AF2852" i="23"/>
  <c r="AF2836" i="23"/>
  <c r="AF2820" i="23"/>
  <c r="AF2804" i="23"/>
  <c r="AF2788" i="23"/>
  <c r="AF2772" i="23"/>
  <c r="AF2756" i="23"/>
  <c r="AF2740" i="23"/>
  <c r="AF2724" i="23"/>
  <c r="AF2708" i="23"/>
  <c r="AF2692" i="23"/>
  <c r="AF2676" i="23"/>
  <c r="AF2665" i="23"/>
  <c r="AF2651" i="23"/>
  <c r="AF2637" i="23"/>
  <c r="AF2626" i="23"/>
  <c r="AF2612" i="23"/>
  <c r="AF2601" i="23"/>
  <c r="AF2587" i="23"/>
  <c r="AF2573" i="23"/>
  <c r="AF2562" i="23"/>
  <c r="AF2548" i="23"/>
  <c r="AF2537" i="23"/>
  <c r="AF2523" i="23"/>
  <c r="V89" i="23"/>
  <c r="V40" i="23"/>
  <c r="V5" i="23"/>
  <c r="AF3560" i="23"/>
  <c r="AF3535" i="23"/>
  <c r="AF3510" i="23"/>
  <c r="AF3485" i="23"/>
  <c r="AF3460" i="23"/>
  <c r="AF3432" i="23"/>
  <c r="AF3407" i="23"/>
  <c r="AF3382" i="23"/>
  <c r="AF3357" i="23"/>
  <c r="AF3332" i="23"/>
  <c r="AF3304" i="23"/>
  <c r="AF3279" i="23"/>
  <c r="AF3254" i="23"/>
  <c r="AF3233" i="23"/>
  <c r="AF3215" i="23"/>
  <c r="AF3197" i="23"/>
  <c r="AF3178" i="23"/>
  <c r="AF3160" i="23"/>
  <c r="AF3142" i="23"/>
  <c r="AF3124" i="23"/>
  <c r="AF3105" i="23"/>
  <c r="AF3087" i="23"/>
  <c r="AF3069" i="23"/>
  <c r="AF3050" i="23"/>
  <c r="AF3032" i="23"/>
  <c r="AF3014" i="23"/>
  <c r="AF2996" i="23"/>
  <c r="AF2979" i="23"/>
  <c r="AF2963" i="23"/>
  <c r="AF2947" i="23"/>
  <c r="AF2931" i="23"/>
  <c r="AF2915" i="23"/>
  <c r="AF2899" i="23"/>
  <c r="AF2883" i="23"/>
  <c r="AF2867" i="23"/>
  <c r="AF2851" i="23"/>
  <c r="AF2835" i="23"/>
  <c r="AF2819" i="23"/>
  <c r="AF2803" i="23"/>
  <c r="AF2787" i="23"/>
  <c r="AF2771" i="23"/>
  <c r="AF2755" i="23"/>
  <c r="AF2739" i="23"/>
  <c r="AF2723" i="23"/>
  <c r="AF2707" i="23"/>
  <c r="AF2691" i="23"/>
  <c r="AF2675" i="23"/>
  <c r="AF2661" i="23"/>
  <c r="AF2650" i="23"/>
  <c r="AF2636" i="23"/>
  <c r="AF2625" i="23"/>
  <c r="AF2611" i="23"/>
  <c r="AF2597" i="23"/>
  <c r="AF2586" i="23"/>
  <c r="AF2572" i="23"/>
  <c r="AF2561" i="23"/>
  <c r="AF2547" i="23"/>
  <c r="AF2533" i="23"/>
  <c r="AF2522" i="23"/>
  <c r="AF2508" i="23"/>
  <c r="AF2497" i="23"/>
  <c r="AF2483" i="23"/>
  <c r="AF2469" i="23"/>
  <c r="AF2458" i="23"/>
  <c r="AF2444" i="23"/>
  <c r="AF2433" i="23"/>
  <c r="AF2419" i="23"/>
  <c r="AF2405" i="23"/>
  <c r="AF2394" i="23"/>
  <c r="AF2380" i="23"/>
  <c r="AF2369" i="23"/>
  <c r="AF2355" i="23"/>
  <c r="AF2341" i="23"/>
  <c r="AF2330" i="23"/>
  <c r="AF2316" i="23"/>
  <c r="AF2305" i="23"/>
  <c r="AF2291" i="23"/>
  <c r="AF2277" i="23"/>
  <c r="AF2266" i="23"/>
  <c r="AF2252" i="23"/>
  <c r="AF2241" i="23"/>
  <c r="AF2227" i="23"/>
  <c r="AF2213" i="23"/>
  <c r="AF2202" i="23"/>
  <c r="AF2188" i="23"/>
  <c r="AF2177" i="23"/>
  <c r="AF2163" i="23"/>
  <c r="AF2149" i="23"/>
  <c r="AF2138" i="23"/>
  <c r="AF2124" i="23"/>
  <c r="AF2113" i="23"/>
  <c r="AF2099" i="23"/>
  <c r="AF2085" i="23"/>
  <c r="AF2074" i="23"/>
  <c r="AF2060" i="23"/>
  <c r="AF2049" i="23"/>
  <c r="AF2035" i="23"/>
  <c r="AF2021" i="23"/>
  <c r="AF2010" i="23"/>
  <c r="AF1996" i="23"/>
  <c r="AF1985" i="23"/>
  <c r="AF1971" i="23"/>
  <c r="AF1957" i="23"/>
  <c r="AF1946" i="23"/>
  <c r="AF1932" i="23"/>
  <c r="AF1921" i="23"/>
  <c r="AF1907" i="23"/>
  <c r="AF1893" i="23"/>
  <c r="AF1882" i="23"/>
  <c r="AF1868" i="23"/>
  <c r="AF1857" i="23"/>
  <c r="AF1843" i="23"/>
  <c r="AF1829" i="23"/>
  <c r="AF1818" i="23"/>
  <c r="AF1804" i="23"/>
  <c r="AF1793" i="23"/>
  <c r="AF1779" i="23"/>
  <c r="AF1765" i="23"/>
  <c r="AF1754" i="23"/>
  <c r="AF1740" i="23"/>
  <c r="AF1729" i="23"/>
  <c r="AF1715" i="23"/>
  <c r="AF1701" i="23"/>
  <c r="AF1690" i="23"/>
  <c r="AF1676" i="23"/>
  <c r="AF1665" i="23"/>
  <c r="AF1651" i="23"/>
  <c r="AF1637" i="23"/>
  <c r="AF1626" i="23"/>
  <c r="AF1614" i="23"/>
  <c r="AF1604" i="23"/>
  <c r="AF1594" i="23"/>
  <c r="AF1582" i="23"/>
  <c r="AF1572" i="23"/>
  <c r="AF1562" i="23"/>
  <c r="AF1550" i="23"/>
  <c r="AF1540" i="23"/>
  <c r="AF1530" i="23"/>
  <c r="AF1518" i="23"/>
  <c r="AF1508" i="23"/>
  <c r="AF1498" i="23"/>
  <c r="AF1486" i="23"/>
  <c r="AF1476" i="23"/>
  <c r="AF1467" i="23"/>
  <c r="AF1458" i="23"/>
  <c r="AF1449" i="23"/>
  <c r="AF1441" i="23"/>
  <c r="AF1433" i="23"/>
  <c r="AF1425" i="23"/>
  <c r="AF1417" i="23"/>
  <c r="AF1409" i="23"/>
  <c r="AF1401" i="23"/>
  <c r="AF1393" i="23"/>
  <c r="AF1385" i="23"/>
  <c r="AF1377" i="23"/>
  <c r="AF1369" i="23"/>
  <c r="AF1361" i="23"/>
  <c r="AF1353" i="23"/>
  <c r="AF1345" i="23"/>
  <c r="AF1337" i="23"/>
  <c r="AF1329" i="23"/>
  <c r="AF1321" i="23"/>
  <c r="AF1313" i="23"/>
  <c r="AF1305" i="23"/>
  <c r="AF1297" i="23"/>
  <c r="AF1289" i="23"/>
  <c r="AF1281" i="23"/>
  <c r="AF1273" i="23"/>
  <c r="AF1265" i="23"/>
  <c r="AF1257" i="23"/>
  <c r="AF1249" i="23"/>
  <c r="AF1241" i="23"/>
  <c r="AF1233" i="23"/>
  <c r="AF1225" i="23"/>
  <c r="AF1217" i="23"/>
  <c r="AF1209" i="23"/>
  <c r="AF1201" i="23"/>
  <c r="AF1193" i="23"/>
  <c r="AF1185" i="23"/>
  <c r="AF1177" i="23"/>
  <c r="AF1169" i="23"/>
  <c r="AF1161" i="23"/>
  <c r="AF1153" i="23"/>
  <c r="AF1145" i="23"/>
  <c r="AF1137" i="23"/>
  <c r="AF1129" i="23"/>
  <c r="AF1121" i="23"/>
  <c r="AF1113" i="23"/>
  <c r="AF1105" i="23"/>
  <c r="AF1097" i="23"/>
  <c r="AF1089" i="23"/>
  <c r="AF1081" i="23"/>
  <c r="AF1073" i="23"/>
  <c r="AF1065" i="23"/>
  <c r="AF1057" i="23"/>
  <c r="AF1049" i="23"/>
  <c r="AF1041" i="23"/>
  <c r="AF1033" i="23"/>
  <c r="AF1025" i="23"/>
  <c r="AF1017" i="23"/>
  <c r="AF1009" i="23"/>
  <c r="AF1001" i="23"/>
  <c r="AF993" i="23"/>
  <c r="AF985" i="23"/>
  <c r="AF977" i="23"/>
  <c r="AF969" i="23"/>
  <c r="AF961" i="23"/>
  <c r="AF953" i="23"/>
  <c r="AF945" i="23"/>
  <c r="AF937" i="23"/>
  <c r="AF929" i="23"/>
  <c r="AF921" i="23"/>
  <c r="AF913" i="23"/>
  <c r="AF905" i="23"/>
  <c r="AF897" i="23"/>
  <c r="AF889" i="23"/>
  <c r="AF881" i="23"/>
  <c r="AF873" i="23"/>
  <c r="AF865" i="23"/>
  <c r="AF857" i="23"/>
  <c r="AF849" i="23"/>
  <c r="AF841" i="23"/>
  <c r="AF833" i="23"/>
  <c r="AF825" i="23"/>
  <c r="AF817" i="23"/>
  <c r="AF809" i="23"/>
  <c r="AF801" i="23"/>
  <c r="AF793" i="23"/>
  <c r="AF785" i="23"/>
  <c r="AF777" i="23"/>
  <c r="AF769" i="23"/>
  <c r="AF761" i="23"/>
  <c r="AF753" i="23"/>
  <c r="AF745" i="23"/>
  <c r="AF737" i="23"/>
  <c r="AF729" i="23"/>
  <c r="AF721" i="23"/>
  <c r="AF713" i="23"/>
  <c r="AF705" i="23"/>
  <c r="AF697" i="23"/>
  <c r="AF689" i="23"/>
  <c r="AF681" i="23"/>
  <c r="AF673" i="23"/>
  <c r="AF665" i="23"/>
  <c r="AF657" i="23"/>
  <c r="AF649" i="23"/>
  <c r="AF641" i="23"/>
  <c r="AF633" i="23"/>
  <c r="AF625" i="23"/>
  <c r="AF617" i="23"/>
  <c r="AF609" i="23"/>
  <c r="AF601" i="23"/>
  <c r="AF593" i="23"/>
  <c r="AF585" i="23"/>
  <c r="AF577" i="23"/>
  <c r="AF569" i="23"/>
  <c r="AF561" i="23"/>
  <c r="AF553" i="23"/>
  <c r="AF545" i="23"/>
  <c r="AF537" i="23"/>
  <c r="AF529" i="23"/>
  <c r="AF521" i="23"/>
  <c r="AF513" i="23"/>
  <c r="AF505" i="23"/>
  <c r="AF497" i="23"/>
  <c r="AF489" i="23"/>
  <c r="AF481" i="23"/>
  <c r="AF473" i="23"/>
  <c r="AF465" i="23"/>
  <c r="AF457" i="23"/>
  <c r="AF449" i="23"/>
  <c r="AF441" i="23"/>
  <c r="AF433" i="23"/>
  <c r="AF425" i="23"/>
  <c r="AF417" i="23"/>
  <c r="AF409" i="23"/>
  <c r="AF401" i="23"/>
  <c r="AF393" i="23"/>
  <c r="AF385" i="23"/>
  <c r="AF377" i="23"/>
  <c r="AF369" i="23"/>
  <c r="AF361" i="23"/>
  <c r="AF353" i="23"/>
  <c r="AF345" i="23"/>
  <c r="AF337" i="23"/>
  <c r="AF329" i="23"/>
  <c r="AF321" i="23"/>
  <c r="AF313" i="23"/>
  <c r="AF305" i="23"/>
  <c r="AF297" i="23"/>
  <c r="AF289" i="23"/>
  <c r="AF281" i="23"/>
  <c r="AF273" i="23"/>
  <c r="AF265" i="23"/>
  <c r="AF257" i="23"/>
  <c r="AF249" i="23"/>
  <c r="AF241" i="23"/>
  <c r="AF233" i="23"/>
  <c r="AF225" i="23"/>
  <c r="AF217" i="23"/>
  <c r="AF209" i="23"/>
  <c r="AF201" i="23"/>
  <c r="AF193" i="23"/>
  <c r="AF185" i="23"/>
  <c r="AF177" i="23"/>
  <c r="AF169" i="23"/>
  <c r="AF161" i="23"/>
  <c r="AF153" i="23"/>
  <c r="AF145" i="23"/>
  <c r="AF137" i="23"/>
  <c r="AF129" i="23"/>
  <c r="AF121" i="23"/>
  <c r="AF113" i="23"/>
  <c r="AF105" i="23"/>
  <c r="AF97" i="23"/>
  <c r="AF89" i="23"/>
  <c r="AF81" i="23"/>
  <c r="AF73" i="23"/>
  <c r="AF65" i="23"/>
  <c r="AF57" i="23"/>
  <c r="AF49" i="23"/>
  <c r="AF41" i="23"/>
  <c r="AF33" i="23"/>
  <c r="AF25" i="23"/>
  <c r="AF17" i="23"/>
  <c r="AF9" i="23"/>
  <c r="AA7150" i="23"/>
  <c r="AA7142" i="23"/>
  <c r="AA7134" i="23"/>
  <c r="AA7126" i="23"/>
  <c r="AA7118" i="23"/>
  <c r="AA7110" i="23"/>
  <c r="AA7102" i="23"/>
  <c r="AA7094" i="23"/>
  <c r="AA7086" i="23"/>
  <c r="AA7078" i="23"/>
  <c r="AA7070" i="23"/>
  <c r="AA7062" i="23"/>
  <c r="AA7054" i="23"/>
  <c r="AA7046" i="23"/>
  <c r="AA7038" i="23"/>
  <c r="AA7030" i="23"/>
  <c r="AA7022" i="23"/>
  <c r="AA7014" i="23"/>
  <c r="AA7006" i="23"/>
  <c r="AA6998" i="23"/>
  <c r="AA6990" i="23"/>
  <c r="AA6982" i="23"/>
  <c r="AA6974" i="23"/>
  <c r="AA6966" i="23"/>
  <c r="AA6958" i="23"/>
  <c r="AA6950" i="23"/>
  <c r="AA6942" i="23"/>
  <c r="AA6934" i="23"/>
  <c r="AA6926" i="23"/>
  <c r="AA6918" i="23"/>
  <c r="AA6910" i="23"/>
  <c r="AA6902" i="23"/>
  <c r="AF2513" i="23"/>
  <c r="AF2485" i="23"/>
  <c r="AF2460" i="23"/>
  <c r="AF2435" i="23"/>
  <c r="AF2410" i="23"/>
  <c r="AF2385" i="23"/>
  <c r="AF2357" i="23"/>
  <c r="AF2332" i="23"/>
  <c r="AF2307" i="23"/>
  <c r="AF2282" i="23"/>
  <c r="AF2257" i="23"/>
  <c r="AF2229" i="23"/>
  <c r="AF2204" i="23"/>
  <c r="AF2179" i="23"/>
  <c r="AF2154" i="23"/>
  <c r="AF2129" i="23"/>
  <c r="AF2101" i="23"/>
  <c r="AF2076" i="23"/>
  <c r="AF2051" i="23"/>
  <c r="AF2026" i="23"/>
  <c r="AF2001" i="23"/>
  <c r="AF1973" i="23"/>
  <c r="AF1948" i="23"/>
  <c r="AF1923" i="23"/>
  <c r="AF1898" i="23"/>
  <c r="AF1873" i="23"/>
  <c r="AF1845" i="23"/>
  <c r="AF1820" i="23"/>
  <c r="AF1795" i="23"/>
  <c r="AF1770" i="23"/>
  <c r="AF1745" i="23"/>
  <c r="AF1717" i="23"/>
  <c r="AF1692" i="23"/>
  <c r="AF1667" i="23"/>
  <c r="AF1642" i="23"/>
  <c r="AF1618" i="23"/>
  <c r="AF1596" i="23"/>
  <c r="AF1574" i="23"/>
  <c r="AF1554" i="23"/>
  <c r="AF1532" i="23"/>
  <c r="AF1510" i="23"/>
  <c r="AF1490" i="23"/>
  <c r="AF1469" i="23"/>
  <c r="AF1451" i="23"/>
  <c r="AF1435" i="23"/>
  <c r="AF1419" i="23"/>
  <c r="AF1403" i="23"/>
  <c r="AF1387" i="23"/>
  <c r="AF1371" i="23"/>
  <c r="AF1355" i="23"/>
  <c r="AF1339" i="23"/>
  <c r="AF1323" i="23"/>
  <c r="AF1307" i="23"/>
  <c r="AF1291" i="23"/>
  <c r="AF1275" i="23"/>
  <c r="AF1259" i="23"/>
  <c r="AF1243" i="23"/>
  <c r="AF1227" i="23"/>
  <c r="AF1211" i="23"/>
  <c r="AF1195" i="23"/>
  <c r="AF1179" i="23"/>
  <c r="AF1163" i="23"/>
  <c r="AF1147" i="23"/>
  <c r="AF1131" i="23"/>
  <c r="AF1115" i="23"/>
  <c r="AF1099" i="23"/>
  <c r="AF1083" i="23"/>
  <c r="AF1069" i="23"/>
  <c r="AF1058" i="23"/>
  <c r="AF1044" i="23"/>
  <c r="AF1030" i="23"/>
  <c r="AF1019" i="23"/>
  <c r="AF1005" i="23"/>
  <c r="AF994" i="23"/>
  <c r="AF980" i="23"/>
  <c r="AF966" i="23"/>
  <c r="AF955" i="23"/>
  <c r="AF941" i="23"/>
  <c r="AF930" i="23"/>
  <c r="AF916" i="23"/>
  <c r="AF902" i="23"/>
  <c r="AF891" i="23"/>
  <c r="AF877" i="23"/>
  <c r="AF866" i="23"/>
  <c r="AF852" i="23"/>
  <c r="AF838" i="23"/>
  <c r="AF827" i="23"/>
  <c r="AF813" i="23"/>
  <c r="AF802" i="23"/>
  <c r="AF788" i="23"/>
  <c r="AF774" i="23"/>
  <c r="AF763" i="23"/>
  <c r="AF749" i="23"/>
  <c r="AF738" i="23"/>
  <c r="AF724" i="23"/>
  <c r="AF710" i="23"/>
  <c r="AF699" i="23"/>
  <c r="AF685" i="23"/>
  <c r="AF674" i="23"/>
  <c r="AF660" i="23"/>
  <c r="AF646" i="23"/>
  <c r="AF635" i="23"/>
  <c r="AF621" i="23"/>
  <c r="AF610" i="23"/>
  <c r="AF596" i="23"/>
  <c r="AF582" i="23"/>
  <c r="AF571" i="23"/>
  <c r="AF557" i="23"/>
  <c r="AF546" i="23"/>
  <c r="AF532" i="23"/>
  <c r="AF518" i="23"/>
  <c r="AF507" i="23"/>
  <c r="AF493" i="23"/>
  <c r="AF482" i="23"/>
  <c r="AF468" i="23"/>
  <c r="AF454" i="23"/>
  <c r="AF443" i="23"/>
  <c r="AF429" i="23"/>
  <c r="AF418" i="23"/>
  <c r="AF404" i="23"/>
  <c r="AF390" i="23"/>
  <c r="AF379" i="23"/>
  <c r="AF365" i="23"/>
  <c r="AF354" i="23"/>
  <c r="AF340" i="23"/>
  <c r="AF326" i="23"/>
  <c r="AF315" i="23"/>
  <c r="AF301" i="23"/>
  <c r="AF290" i="23"/>
  <c r="AF276" i="23"/>
  <c r="AF262" i="23"/>
  <c r="AF251" i="23"/>
  <c r="AF237" i="23"/>
  <c r="AF226" i="23"/>
  <c r="AF212" i="23"/>
  <c r="AF198" i="23"/>
  <c r="AF187" i="23"/>
  <c r="AF173" i="23"/>
  <c r="AF162" i="23"/>
  <c r="AF148" i="23"/>
  <c r="AF134" i="23"/>
  <c r="AF123" i="23"/>
  <c r="AF109" i="23"/>
  <c r="AF98" i="23"/>
  <c r="AF84" i="23"/>
  <c r="AF70" i="23"/>
  <c r="AF59" i="23"/>
  <c r="AF45" i="23"/>
  <c r="AF34" i="23"/>
  <c r="Q23" i="6" s="1"/>
  <c r="AF20" i="23"/>
  <c r="AF6" i="23"/>
  <c r="AA7144" i="23"/>
  <c r="AA7130" i="23"/>
  <c r="AA7119" i="23"/>
  <c r="AA7107" i="23"/>
  <c r="AA7097" i="23"/>
  <c r="AA7087" i="23"/>
  <c r="AA7075" i="23"/>
  <c r="AA7065" i="23"/>
  <c r="AA7055" i="23"/>
  <c r="AA7045" i="23"/>
  <c r="AA7036" i="23"/>
  <c r="AA7027" i="23"/>
  <c r="AA7018" i="23"/>
  <c r="AA7009" i="23"/>
  <c r="AA7000" i="23"/>
  <c r="AA6991" i="23"/>
  <c r="AA6981" i="23"/>
  <c r="AA6972" i="23"/>
  <c r="AA6963" i="23"/>
  <c r="AA6954" i="23"/>
  <c r="AA6945" i="23"/>
  <c r="AA6936" i="23"/>
  <c r="AA6927" i="23"/>
  <c r="AA6917" i="23"/>
  <c r="AA6908" i="23"/>
  <c r="AA6899" i="23"/>
  <c r="AA6891" i="23"/>
  <c r="AA6883" i="23"/>
  <c r="AA6875" i="23"/>
  <c r="AA6867" i="23"/>
  <c r="AA6859" i="23"/>
  <c r="AA6851" i="23"/>
  <c r="AA6843" i="23"/>
  <c r="AA6835" i="23"/>
  <c r="AA6827" i="23"/>
  <c r="AA6819" i="23"/>
  <c r="AA6811" i="23"/>
  <c r="AA6803" i="23"/>
  <c r="AA6795" i="23"/>
  <c r="AA6787" i="23"/>
  <c r="AA6779" i="23"/>
  <c r="AA6771" i="23"/>
  <c r="AA6763" i="23"/>
  <c r="AA6755" i="23"/>
  <c r="AA6747" i="23"/>
  <c r="AA6739" i="23"/>
  <c r="AA6731" i="23"/>
  <c r="AA6723" i="23"/>
  <c r="AA6715" i="23"/>
  <c r="AA6707" i="23"/>
  <c r="AA6699" i="23"/>
  <c r="AA6691" i="23"/>
  <c r="AA6683" i="23"/>
  <c r="AA6675" i="23"/>
  <c r="AA6667" i="23"/>
  <c r="AA6659" i="23"/>
  <c r="AA6651" i="23"/>
  <c r="AA6643" i="23"/>
  <c r="AA6635" i="23"/>
  <c r="AA6627" i="23"/>
  <c r="AA6619" i="23"/>
  <c r="AA6611" i="23"/>
  <c r="AA6603" i="23"/>
  <c r="AA6595" i="23"/>
  <c r="AA6587" i="23"/>
  <c r="AA6579" i="23"/>
  <c r="AA6571" i="23"/>
  <c r="AA6563" i="23"/>
  <c r="AA6555" i="23"/>
  <c r="AA6547" i="23"/>
  <c r="AA6539" i="23"/>
  <c r="AA6531" i="23"/>
  <c r="AA6523" i="23"/>
  <c r="AA6515" i="23"/>
  <c r="AA6507" i="23"/>
  <c r="AA6499" i="23"/>
  <c r="AA6491" i="23"/>
  <c r="AA6483" i="23"/>
  <c r="AA6475" i="23"/>
  <c r="AA6467" i="23"/>
  <c r="AA6459" i="23"/>
  <c r="AA6451" i="23"/>
  <c r="AA6443" i="23"/>
  <c r="AA6435" i="23"/>
  <c r="AA6427" i="23"/>
  <c r="AA6419" i="23"/>
  <c r="AA6411" i="23"/>
  <c r="AA6403" i="23"/>
  <c r="AA6395" i="23"/>
  <c r="AA6387" i="23"/>
  <c r="AA6379" i="23"/>
  <c r="AA6371" i="23"/>
  <c r="AA6363" i="23"/>
  <c r="AA6355" i="23"/>
  <c r="AA6347" i="23"/>
  <c r="AA6339" i="23"/>
  <c r="AA6331" i="23"/>
  <c r="AA6323" i="23"/>
  <c r="AA6315" i="23"/>
  <c r="AA6307" i="23"/>
  <c r="AA6299" i="23"/>
  <c r="AA6291" i="23"/>
  <c r="AA6283" i="23"/>
  <c r="AA6275" i="23"/>
  <c r="AA6267" i="23"/>
  <c r="AA6259" i="23"/>
  <c r="AA6251" i="23"/>
  <c r="AA6243" i="23"/>
  <c r="AA6235" i="23"/>
  <c r="AA6227" i="23"/>
  <c r="AA6219" i="23"/>
  <c r="AA6211" i="23"/>
  <c r="AA6203" i="23"/>
  <c r="AA6195" i="23"/>
  <c r="AA6187" i="23"/>
  <c r="AA6179" i="23"/>
  <c r="AA6171" i="23"/>
  <c r="AA6163" i="23"/>
  <c r="AA6155" i="23"/>
  <c r="AA6147" i="23"/>
  <c r="AA6139" i="23"/>
  <c r="AA6131" i="23"/>
  <c r="AA6123" i="23"/>
  <c r="AA6115" i="23"/>
  <c r="AA6107" i="23"/>
  <c r="AA6099" i="23"/>
  <c r="AA6091" i="23"/>
  <c r="AA6083" i="23"/>
  <c r="AA6075" i="23"/>
  <c r="AA6067" i="23"/>
  <c r="AA6059" i="23"/>
  <c r="AA6051" i="23"/>
  <c r="AA6043" i="23"/>
  <c r="AA6035" i="23"/>
  <c r="AA6027" i="23"/>
  <c r="AA6019" i="23"/>
  <c r="AA6011" i="23"/>
  <c r="AA6003" i="23"/>
  <c r="AA5995" i="23"/>
  <c r="AA5987" i="23"/>
  <c r="AA5979" i="23"/>
  <c r="AA5971" i="23"/>
  <c r="AA5963" i="23"/>
  <c r="AA5955" i="23"/>
  <c r="AA5947" i="23"/>
  <c r="AA5939" i="23"/>
  <c r="AA5931" i="23"/>
  <c r="AA5923" i="23"/>
  <c r="AA5915" i="23"/>
  <c r="AA5907" i="23"/>
  <c r="AA5899" i="23"/>
  <c r="AA5891" i="23"/>
  <c r="AA5883" i="23"/>
  <c r="AA5875" i="23"/>
  <c r="AA5867" i="23"/>
  <c r="AA5859" i="23"/>
  <c r="AA5851" i="23"/>
  <c r="AA5843" i="23"/>
  <c r="AA5835" i="23"/>
  <c r="AA5827" i="23"/>
  <c r="AA5819" i="23"/>
  <c r="AA5811" i="23"/>
  <c r="AA5803" i="23"/>
  <c r="AA5795" i="23"/>
  <c r="AA5787" i="23"/>
  <c r="AA5779" i="23"/>
  <c r="AA5771" i="23"/>
  <c r="AA5763" i="23"/>
  <c r="AA5755" i="23"/>
  <c r="AA5747" i="23"/>
  <c r="AA5739" i="23"/>
  <c r="AA5731" i="23"/>
  <c r="AA5723" i="23"/>
  <c r="AA5715" i="23"/>
  <c r="AA5707" i="23"/>
  <c r="AA5699" i="23"/>
  <c r="AA5691" i="23"/>
  <c r="AA5683" i="23"/>
  <c r="AA5675" i="23"/>
  <c r="AA5667" i="23"/>
  <c r="AA5659" i="23"/>
  <c r="AA5651" i="23"/>
  <c r="AA5643" i="23"/>
  <c r="AA5635" i="23"/>
  <c r="AA5627" i="23"/>
  <c r="AA5619" i="23"/>
  <c r="AA5611" i="23"/>
  <c r="AA5603" i="23"/>
  <c r="AA5595" i="23"/>
  <c r="AA5587" i="23"/>
  <c r="AA5579" i="23"/>
  <c r="AA5571" i="23"/>
  <c r="AA5563" i="23"/>
  <c r="AA5555" i="23"/>
  <c r="AF2509" i="23"/>
  <c r="AF2484" i="23"/>
  <c r="AF2459" i="23"/>
  <c r="AF2434" i="23"/>
  <c r="AF2409" i="23"/>
  <c r="AF2381" i="23"/>
  <c r="AF2356" i="23"/>
  <c r="AF2331" i="23"/>
  <c r="AF2306" i="23"/>
  <c r="AF2281" i="23"/>
  <c r="AF2253" i="23"/>
  <c r="AF2228" i="23"/>
  <c r="AF2203" i="23"/>
  <c r="AF2178" i="23"/>
  <c r="AF2153" i="23"/>
  <c r="AF2125" i="23"/>
  <c r="AF2100" i="23"/>
  <c r="AF2075" i="23"/>
  <c r="AF2050" i="23"/>
  <c r="AF2025" i="23"/>
  <c r="AF1997" i="23"/>
  <c r="AF1972" i="23"/>
  <c r="AF1947" i="23"/>
  <c r="AF1922" i="23"/>
  <c r="AF1897" i="23"/>
  <c r="AF1869" i="23"/>
  <c r="AF1844" i="23"/>
  <c r="AF1819" i="23"/>
  <c r="AF1794" i="23"/>
  <c r="AF1769" i="23"/>
  <c r="AF1741" i="23"/>
  <c r="AF1716" i="23"/>
  <c r="AF1691" i="23"/>
  <c r="AF1666" i="23"/>
  <c r="AF1641" i="23"/>
  <c r="AF1617" i="23"/>
  <c r="AF1595" i="23"/>
  <c r="AF1573" i="23"/>
  <c r="AF1553" i="23"/>
  <c r="AF1531" i="23"/>
  <c r="AF1509" i="23"/>
  <c r="AF1489" i="23"/>
  <c r="AF1468" i="23"/>
  <c r="AF1450" i="23"/>
  <c r="AF1434" i="23"/>
  <c r="AF1418" i="23"/>
  <c r="AF1402" i="23"/>
  <c r="AF1386" i="23"/>
  <c r="AF1370" i="23"/>
  <c r="AF1354" i="23"/>
  <c r="AF1338" i="23"/>
  <c r="AF1322" i="23"/>
  <c r="AF1306" i="23"/>
  <c r="AF1290" i="23"/>
  <c r="AF1274" i="23"/>
  <c r="AF1258" i="23"/>
  <c r="AF1242" i="23"/>
  <c r="AF1226" i="23"/>
  <c r="AF1210" i="23"/>
  <c r="AF1194" i="23"/>
  <c r="AF1178" i="23"/>
  <c r="AF1162" i="23"/>
  <c r="AF1146" i="23"/>
  <c r="AF1130" i="23"/>
  <c r="AF1114" i="23"/>
  <c r="AF1098" i="23"/>
  <c r="AF1082" i="23"/>
  <c r="AF1068" i="23"/>
  <c r="AF1054" i="23"/>
  <c r="AF1043" i="23"/>
  <c r="AF1029" i="23"/>
  <c r="AF1018" i="23"/>
  <c r="AF1004" i="23"/>
  <c r="AF990" i="23"/>
  <c r="AF979" i="23"/>
  <c r="AF965" i="23"/>
  <c r="AF954" i="23"/>
  <c r="AF940" i="23"/>
  <c r="AF926" i="23"/>
  <c r="AF915" i="23"/>
  <c r="AF901" i="23"/>
  <c r="AF890" i="23"/>
  <c r="AF876" i="23"/>
  <c r="AF862" i="23"/>
  <c r="AF851" i="23"/>
  <c r="AF837" i="23"/>
  <c r="AF826" i="23"/>
  <c r="AF812" i="23"/>
  <c r="AF798" i="23"/>
  <c r="AF787" i="23"/>
  <c r="AF773" i="23"/>
  <c r="AF762" i="23"/>
  <c r="AF748" i="23"/>
  <c r="AF734" i="23"/>
  <c r="AF723" i="23"/>
  <c r="AF709" i="23"/>
  <c r="AF698" i="23"/>
  <c r="AF684" i="23"/>
  <c r="AF670" i="23"/>
  <c r="AF659" i="23"/>
  <c r="AF645" i="23"/>
  <c r="AF634" i="23"/>
  <c r="AF620" i="23"/>
  <c r="AF606" i="23"/>
  <c r="AF595" i="23"/>
  <c r="AF581" i="23"/>
  <c r="AF570" i="23"/>
  <c r="AF556" i="23"/>
  <c r="AF542" i="23"/>
  <c r="AF531" i="23"/>
  <c r="AF517" i="23"/>
  <c r="AF506" i="23"/>
  <c r="AF492" i="23"/>
  <c r="AF478" i="23"/>
  <c r="AF467" i="23"/>
  <c r="AF453" i="23"/>
  <c r="AF442" i="23"/>
  <c r="AF428" i="23"/>
  <c r="AF414" i="23"/>
  <c r="AF403" i="23"/>
  <c r="AF389" i="23"/>
  <c r="AF378" i="23"/>
  <c r="AF364" i="23"/>
  <c r="AF350" i="23"/>
  <c r="AF339" i="23"/>
  <c r="AF325" i="23"/>
  <c r="AF314" i="23"/>
  <c r="AF300" i="23"/>
  <c r="AF286" i="23"/>
  <c r="AF275" i="23"/>
  <c r="AF261" i="23"/>
  <c r="AF250" i="23"/>
  <c r="AF236" i="23"/>
  <c r="AF222" i="23"/>
  <c r="AF211" i="23"/>
  <c r="AF197" i="23"/>
  <c r="AF186" i="23"/>
  <c r="AF172" i="23"/>
  <c r="AF158" i="23"/>
  <c r="AF147" i="23"/>
  <c r="AF133" i="23"/>
  <c r="AF122" i="23"/>
  <c r="AF108" i="23"/>
  <c r="AF94" i="23"/>
  <c r="AF83" i="23"/>
  <c r="AF69" i="23"/>
  <c r="AF58" i="23"/>
  <c r="AF44" i="23"/>
  <c r="AF30" i="23"/>
  <c r="AF19" i="23"/>
  <c r="AA7154" i="23"/>
  <c r="AA7143" i="23"/>
  <c r="AA7129" i="23"/>
  <c r="AA7116" i="23"/>
  <c r="AA7106" i="23"/>
  <c r="AA7096" i="23"/>
  <c r="AA7084" i="23"/>
  <c r="AA7074" i="23"/>
  <c r="AA7064" i="23"/>
  <c r="AA7053" i="23"/>
  <c r="AA7044" i="23"/>
  <c r="AA7035" i="23"/>
  <c r="AA7026" i="23"/>
  <c r="AA7017" i="23"/>
  <c r="AA7008" i="23"/>
  <c r="AA6999" i="23"/>
  <c r="AA6989" i="23"/>
  <c r="AA6980" i="23"/>
  <c r="AA6971" i="23"/>
  <c r="AA6962" i="23"/>
  <c r="AA6953" i="23"/>
  <c r="AA6944" i="23"/>
  <c r="AA6935" i="23"/>
  <c r="AA6925" i="23"/>
  <c r="AA6916" i="23"/>
  <c r="AA6907" i="23"/>
  <c r="AA6898" i="23"/>
  <c r="AA6890" i="23"/>
  <c r="AA6882" i="23"/>
  <c r="AA6874" i="23"/>
  <c r="AA6866" i="23"/>
  <c r="AA6858" i="23"/>
  <c r="AA6850" i="23"/>
  <c r="AA6842" i="23"/>
  <c r="AA6834" i="23"/>
  <c r="AA6826" i="23"/>
  <c r="AA6818" i="23"/>
  <c r="AA6810" i="23"/>
  <c r="AA6802" i="23"/>
  <c r="AA6794" i="23"/>
  <c r="AA6786" i="23"/>
  <c r="AA6778" i="23"/>
  <c r="AA6770" i="23"/>
  <c r="AA6762" i="23"/>
  <c r="AA6754" i="23"/>
  <c r="AA6746" i="23"/>
  <c r="AA6738" i="23"/>
  <c r="AA6730" i="23"/>
  <c r="AA6722" i="23"/>
  <c r="AA6714" i="23"/>
  <c r="AA6706" i="23"/>
  <c r="AA6698" i="23"/>
  <c r="AA6690" i="23"/>
  <c r="AA6682" i="23"/>
  <c r="AA6674" i="23"/>
  <c r="AA6666" i="23"/>
  <c r="AA6658" i="23"/>
  <c r="AA6650" i="23"/>
  <c r="AA6642" i="23"/>
  <c r="AA6634" i="23"/>
  <c r="AA6626" i="23"/>
  <c r="AA6618" i="23"/>
  <c r="AA6610" i="23"/>
  <c r="AA6602" i="23"/>
  <c r="AA6594" i="23"/>
  <c r="AA6586" i="23"/>
  <c r="AA6578" i="23"/>
  <c r="AA6570" i="23"/>
  <c r="AA6562" i="23"/>
  <c r="AA6554" i="23"/>
  <c r="AA6546" i="23"/>
  <c r="AA6538" i="23"/>
  <c r="AA6530" i="23"/>
  <c r="AA6522" i="23"/>
  <c r="AA6514" i="23"/>
  <c r="AA6506" i="23"/>
  <c r="AA6498" i="23"/>
  <c r="AA6490" i="23"/>
  <c r="AA6482" i="23"/>
  <c r="AA6474" i="23"/>
  <c r="AA6466" i="23"/>
  <c r="AA6458" i="23"/>
  <c r="AA6450" i="23"/>
  <c r="AA6442" i="23"/>
  <c r="AA6434" i="23"/>
  <c r="AA6426" i="23"/>
  <c r="AA6418" i="23"/>
  <c r="AA6410" i="23"/>
  <c r="AA6402" i="23"/>
  <c r="AA6394" i="23"/>
  <c r="AA6386" i="23"/>
  <c r="AA6378" i="23"/>
  <c r="AA6370" i="23"/>
  <c r="AA6362" i="23"/>
  <c r="AA6354" i="23"/>
  <c r="AA6346" i="23"/>
  <c r="AA6338" i="23"/>
  <c r="AA6330" i="23"/>
  <c r="AA6322" i="23"/>
  <c r="AA6314" i="23"/>
  <c r="AA6306" i="23"/>
  <c r="AA6298" i="23"/>
  <c r="AA6290" i="23"/>
  <c r="AA6282" i="23"/>
  <c r="AA6274" i="23"/>
  <c r="AA6266" i="23"/>
  <c r="AA6258" i="23"/>
  <c r="AA6250" i="23"/>
  <c r="AA6242" i="23"/>
  <c r="AA6234" i="23"/>
  <c r="AA6226" i="23"/>
  <c r="AA6218" i="23"/>
  <c r="AA6210" i="23"/>
  <c r="AA6202" i="23"/>
  <c r="AA6194" i="23"/>
  <c r="AA6186" i="23"/>
  <c r="AA6178" i="23"/>
  <c r="AA6170" i="23"/>
  <c r="AA6162" i="23"/>
  <c r="AA6154" i="23"/>
  <c r="AA6146" i="23"/>
  <c r="AA6138" i="23"/>
  <c r="AA6130" i="23"/>
  <c r="AA6122" i="23"/>
  <c r="AA6114" i="23"/>
  <c r="AA6106" i="23"/>
  <c r="AA6098" i="23"/>
  <c r="AA6090" i="23"/>
  <c r="AA6082" i="23"/>
  <c r="AA6074" i="23"/>
  <c r="AA6066" i="23"/>
  <c r="AA6058" i="23"/>
  <c r="AA6050" i="23"/>
  <c r="AA6042" i="23"/>
  <c r="AA6034" i="23"/>
  <c r="AA6026" i="23"/>
  <c r="AA6018" i="23"/>
  <c r="AA6010" i="23"/>
  <c r="AA6002" i="23"/>
  <c r="AA5994" i="23"/>
  <c r="AA5986" i="23"/>
  <c r="AA5978" i="23"/>
  <c r="AA5970" i="23"/>
  <c r="AA5962" i="23"/>
  <c r="AA5954" i="23"/>
  <c r="AA5946" i="23"/>
  <c r="AA5938" i="23"/>
  <c r="AA5930" i="23"/>
  <c r="AA5922" i="23"/>
  <c r="AA5914" i="23"/>
  <c r="AA5906" i="23"/>
  <c r="AA5898" i="23"/>
  <c r="AA5890" i="23"/>
  <c r="AA5882" i="23"/>
  <c r="AA5874" i="23"/>
  <c r="AA5866" i="23"/>
  <c r="AA5858" i="23"/>
  <c r="AA5850" i="23"/>
  <c r="AA5842" i="23"/>
  <c r="AA5834" i="23"/>
  <c r="AA5826" i="23"/>
  <c r="AA5818" i="23"/>
  <c r="AA5810" i="23"/>
  <c r="AA5802" i="23"/>
  <c r="AA5794" i="23"/>
  <c r="AA5786" i="23"/>
  <c r="AA5778" i="23"/>
  <c r="AA5770" i="23"/>
  <c r="AA5762" i="23"/>
  <c r="AA5754" i="23"/>
  <c r="AA5746" i="23"/>
  <c r="AA5738" i="23"/>
  <c r="AA5730" i="23"/>
  <c r="AA5722" i="23"/>
  <c r="AA5714" i="23"/>
  <c r="AA5706" i="23"/>
  <c r="AA5698" i="23"/>
  <c r="AA5690" i="23"/>
  <c r="AA5682" i="23"/>
  <c r="AA5674" i="23"/>
  <c r="AA5666" i="23"/>
  <c r="AA5658" i="23"/>
  <c r="AA5650" i="23"/>
  <c r="AA5642" i="23"/>
  <c r="AA5634" i="23"/>
  <c r="AA5626" i="23"/>
  <c r="AA5618" i="23"/>
  <c r="AA5610" i="23"/>
  <c r="AA5602" i="23"/>
  <c r="AA5594" i="23"/>
  <c r="AA5586" i="23"/>
  <c r="AF2501" i="23"/>
  <c r="AF2476" i="23"/>
  <c r="AF2451" i="23"/>
  <c r="AF2426" i="23"/>
  <c r="AF2401" i="23"/>
  <c r="AF2373" i="23"/>
  <c r="AF2348" i="23"/>
  <c r="AF2323" i="23"/>
  <c r="AF2298" i="23"/>
  <c r="AF2273" i="23"/>
  <c r="AF2245" i="23"/>
  <c r="AF2220" i="23"/>
  <c r="AF2195" i="23"/>
  <c r="AF2170" i="23"/>
  <c r="AF2145" i="23"/>
  <c r="AF2117" i="23"/>
  <c r="AF2092" i="23"/>
  <c r="AF2067" i="23"/>
  <c r="AF2042" i="23"/>
  <c r="AF2017" i="23"/>
  <c r="AF1989" i="23"/>
  <c r="AF1964" i="23"/>
  <c r="AF1939" i="23"/>
  <c r="AF1914" i="23"/>
  <c r="AF1889" i="23"/>
  <c r="AF1861" i="23"/>
  <c r="AF1836" i="23"/>
  <c r="AF1811" i="23"/>
  <c r="AF1786" i="23"/>
  <c r="AF1761" i="23"/>
  <c r="AF1733" i="23"/>
  <c r="AF1708" i="23"/>
  <c r="AF1683" i="23"/>
  <c r="AF1658" i="23"/>
  <c r="AF1633" i="23"/>
  <c r="AF1610" i="23"/>
  <c r="AF1588" i="23"/>
  <c r="AF1566" i="23"/>
  <c r="AF1546" i="23"/>
  <c r="AF1524" i="23"/>
  <c r="AF1502" i="23"/>
  <c r="AF1482" i="23"/>
  <c r="AF1462" i="23"/>
  <c r="AF1445" i="23"/>
  <c r="AF1429" i="23"/>
  <c r="AF1413" i="23"/>
  <c r="AF1397" i="23"/>
  <c r="AF1381" i="23"/>
  <c r="AF1365" i="23"/>
  <c r="AF1349" i="23"/>
  <c r="AF1333" i="23"/>
  <c r="AF1317" i="23"/>
  <c r="AF1301" i="23"/>
  <c r="AF1285" i="23"/>
  <c r="AF1269" i="23"/>
  <c r="AF1253" i="23"/>
  <c r="AF1237" i="23"/>
  <c r="AF1221" i="23"/>
  <c r="AF1205" i="23"/>
  <c r="AF1189" i="23"/>
  <c r="AF1173" i="23"/>
  <c r="AF1157" i="23"/>
  <c r="AF1141" i="23"/>
  <c r="AF1125" i="23"/>
  <c r="AF1109" i="23"/>
  <c r="AF1093" i="23"/>
  <c r="AF1078" i="23"/>
  <c r="AF1067" i="23"/>
  <c r="AF1053" i="23"/>
  <c r="AF1042" i="23"/>
  <c r="AF1028" i="23"/>
  <c r="AF1014" i="23"/>
  <c r="AF1003" i="23"/>
  <c r="AF989" i="23"/>
  <c r="AF978" i="23"/>
  <c r="AF964" i="23"/>
  <c r="AF950" i="23"/>
  <c r="AF939" i="23"/>
  <c r="AF925" i="23"/>
  <c r="AF914" i="23"/>
  <c r="AF900" i="23"/>
  <c r="AF886" i="23"/>
  <c r="AF875" i="23"/>
  <c r="AF861" i="23"/>
  <c r="AF850" i="23"/>
  <c r="AF836" i="23"/>
  <c r="AF822" i="23"/>
  <c r="AF811" i="23"/>
  <c r="AF797" i="23"/>
  <c r="AF786" i="23"/>
  <c r="AF772" i="23"/>
  <c r="AF758" i="23"/>
  <c r="AF747" i="23"/>
  <c r="AF733" i="23"/>
  <c r="AF722" i="23"/>
  <c r="AF708" i="23"/>
  <c r="AF694" i="23"/>
  <c r="AF683" i="23"/>
  <c r="AF669" i="23"/>
  <c r="AF658" i="23"/>
  <c r="AF644" i="23"/>
  <c r="AF630" i="23"/>
  <c r="AF619" i="23"/>
  <c r="AF605" i="23"/>
  <c r="AF594" i="23"/>
  <c r="AF580" i="23"/>
  <c r="AF566" i="23"/>
  <c r="AF555" i="23"/>
  <c r="AF541" i="23"/>
  <c r="AF530" i="23"/>
  <c r="AF516" i="23"/>
  <c r="AF502" i="23"/>
  <c r="AF491" i="23"/>
  <c r="AF477" i="23"/>
  <c r="AF466" i="23"/>
  <c r="AF452" i="23"/>
  <c r="AF438" i="23"/>
  <c r="AF427" i="23"/>
  <c r="AF413" i="23"/>
  <c r="AF402" i="23"/>
  <c r="AF388" i="23"/>
  <c r="AF374" i="23"/>
  <c r="AF363" i="23"/>
  <c r="AF349" i="23"/>
  <c r="AF338" i="23"/>
  <c r="AF324" i="23"/>
  <c r="AF310" i="23"/>
  <c r="AF299" i="23"/>
  <c r="AF285" i="23"/>
  <c r="AF274" i="23"/>
  <c r="AF260" i="23"/>
  <c r="AF246" i="23"/>
  <c r="AF235" i="23"/>
  <c r="AF221" i="23"/>
  <c r="AF210" i="23"/>
  <c r="AF196" i="23"/>
  <c r="AF182" i="23"/>
  <c r="AF171" i="23"/>
  <c r="AF157" i="23"/>
  <c r="AF146" i="23"/>
  <c r="AF132" i="23"/>
  <c r="AF118" i="23"/>
  <c r="AF107" i="23"/>
  <c r="AF93" i="23"/>
  <c r="AF82" i="23"/>
  <c r="AF68" i="23"/>
  <c r="AF54" i="23"/>
  <c r="AF43" i="23"/>
  <c r="AF29" i="23"/>
  <c r="AF18" i="23"/>
  <c r="AA7153" i="23"/>
  <c r="AA7139" i="23"/>
  <c r="AA7128" i="23"/>
  <c r="AA7115" i="23"/>
  <c r="AA7105" i="23"/>
  <c r="AA7095" i="23"/>
  <c r="AA7083" i="23"/>
  <c r="AA7073" i="23"/>
  <c r="AA7063" i="23"/>
  <c r="AA7052" i="23"/>
  <c r="AA7043" i="23"/>
  <c r="AA7034" i="23"/>
  <c r="AA7025" i="23"/>
  <c r="AA7016" i="23"/>
  <c r="AA7007" i="23"/>
  <c r="AA6997" i="23"/>
  <c r="AA6988" i="23"/>
  <c r="AA6979" i="23"/>
  <c r="AA6970" i="23"/>
  <c r="AA6961" i="23"/>
  <c r="AA6952" i="23"/>
  <c r="AA6943" i="23"/>
  <c r="AA6933" i="23"/>
  <c r="AA6924" i="23"/>
  <c r="AA6915" i="23"/>
  <c r="AA6906" i="23"/>
  <c r="AA6897" i="23"/>
  <c r="AA6889" i="23"/>
  <c r="AA6881" i="23"/>
  <c r="AA6873" i="23"/>
  <c r="AA6865" i="23"/>
  <c r="AA6857" i="23"/>
  <c r="AA6849" i="23"/>
  <c r="AA6841" i="23"/>
  <c r="AA6833" i="23"/>
  <c r="AA6825" i="23"/>
  <c r="AA6817" i="23"/>
  <c r="AA6809" i="23"/>
  <c r="AA6801" i="23"/>
  <c r="AA6793" i="23"/>
  <c r="AA6785" i="23"/>
  <c r="AA6777" i="23"/>
  <c r="AA6769" i="23"/>
  <c r="AA6761" i="23"/>
  <c r="AA6753" i="23"/>
  <c r="AA6745" i="23"/>
  <c r="AA6737" i="23"/>
  <c r="AA6729" i="23"/>
  <c r="AA6721" i="23"/>
  <c r="AA6713" i="23"/>
  <c r="AA6705" i="23"/>
  <c r="AA6697" i="23"/>
  <c r="AA6689" i="23"/>
  <c r="AA6681" i="23"/>
  <c r="AA6673" i="23"/>
  <c r="AA6665" i="23"/>
  <c r="AA6657" i="23"/>
  <c r="AA6649" i="23"/>
  <c r="AA6641" i="23"/>
  <c r="AA6633" i="23"/>
  <c r="AA6625" i="23"/>
  <c r="AA6617" i="23"/>
  <c r="AA6609" i="23"/>
  <c r="AA6601" i="23"/>
  <c r="AA6593" i="23"/>
  <c r="AA6585" i="23"/>
  <c r="AA6577" i="23"/>
  <c r="AA6569" i="23"/>
  <c r="AA6561" i="23"/>
  <c r="AA6553" i="23"/>
  <c r="AA6545" i="23"/>
  <c r="AA6537" i="23"/>
  <c r="AA6529" i="23"/>
  <c r="AA6521" i="23"/>
  <c r="AA6513" i="23"/>
  <c r="AA6505" i="23"/>
  <c r="AA6497" i="23"/>
  <c r="AA6489" i="23"/>
  <c r="AA6481" i="23"/>
  <c r="AA6473" i="23"/>
  <c r="AA6465" i="23"/>
  <c r="AA6457" i="23"/>
  <c r="AA6449" i="23"/>
  <c r="AA6441" i="23"/>
  <c r="AA6433" i="23"/>
  <c r="AA6425" i="23"/>
  <c r="AA6417" i="23"/>
  <c r="AA6409" i="23"/>
  <c r="AA6401" i="23"/>
  <c r="AA6393" i="23"/>
  <c r="AA6385" i="23"/>
  <c r="AA6377" i="23"/>
  <c r="AA6369" i="23"/>
  <c r="AA6361" i="23"/>
  <c r="AA6353" i="23"/>
  <c r="AA6345" i="23"/>
  <c r="AA6337" i="23"/>
  <c r="AA6329" i="23"/>
  <c r="AA6321" i="23"/>
  <c r="AA6313" i="23"/>
  <c r="AA6305" i="23"/>
  <c r="AA6297" i="23"/>
  <c r="AA6289" i="23"/>
  <c r="AA6281" i="23"/>
  <c r="AA6273" i="23"/>
  <c r="AA6265" i="23"/>
  <c r="AA6257" i="23"/>
  <c r="AA6249" i="23"/>
  <c r="AA6241" i="23"/>
  <c r="AA6233" i="23"/>
  <c r="AA6225" i="23"/>
  <c r="AA6217" i="23"/>
  <c r="AA6209" i="23"/>
  <c r="AA6201" i="23"/>
  <c r="AA6193" i="23"/>
  <c r="AA6185" i="23"/>
  <c r="AA6177" i="23"/>
  <c r="AA6169" i="23"/>
  <c r="AA6161" i="23"/>
  <c r="AA6153" i="23"/>
  <c r="AA6145" i="23"/>
  <c r="AA6137" i="23"/>
  <c r="AA6129" i="23"/>
  <c r="AA6121" i="23"/>
  <c r="AA6113" i="23"/>
  <c r="AA6105" i="23"/>
  <c r="AA6097" i="23"/>
  <c r="AA6089" i="23"/>
  <c r="AA6081" i="23"/>
  <c r="AA6073" i="23"/>
  <c r="AA6065" i="23"/>
  <c r="AA6057" i="23"/>
  <c r="AA6049" i="23"/>
  <c r="AA6041" i="23"/>
  <c r="AA6033" i="23"/>
  <c r="AA6025" i="23"/>
  <c r="AA6017" i="23"/>
  <c r="AA6009" i="23"/>
  <c r="AA6001" i="23"/>
  <c r="AA5993" i="23"/>
  <c r="AA5985" i="23"/>
  <c r="AF2500" i="23"/>
  <c r="AF2475" i="23"/>
  <c r="AF2450" i="23"/>
  <c r="AF2425" i="23"/>
  <c r="AF2397" i="23"/>
  <c r="AF2372" i="23"/>
  <c r="AF2347" i="23"/>
  <c r="AF2322" i="23"/>
  <c r="AF2297" i="23"/>
  <c r="AF2269" i="23"/>
  <c r="AF2244" i="23"/>
  <c r="AF2219" i="23"/>
  <c r="AF2194" i="23"/>
  <c r="AF2169" i="23"/>
  <c r="AF2141" i="23"/>
  <c r="AF2116" i="23"/>
  <c r="AF2091" i="23"/>
  <c r="AF2066" i="23"/>
  <c r="AF2041" i="23"/>
  <c r="AF2013" i="23"/>
  <c r="AF1988" i="23"/>
  <c r="AF1963" i="23"/>
  <c r="AF1938" i="23"/>
  <c r="AF1913" i="23"/>
  <c r="AF1885" i="23"/>
  <c r="AF1860" i="23"/>
  <c r="AF1835" i="23"/>
  <c r="AF1810" i="23"/>
  <c r="AF1785" i="23"/>
  <c r="AF1757" i="23"/>
  <c r="AF1732" i="23"/>
  <c r="AF1707" i="23"/>
  <c r="AF1682" i="23"/>
  <c r="AF1657" i="23"/>
  <c r="AF1629" i="23"/>
  <c r="AF1609" i="23"/>
  <c r="AF1587" i="23"/>
  <c r="AF1565" i="23"/>
  <c r="AF1545" i="23"/>
  <c r="AF1523" i="23"/>
  <c r="AF1501" i="23"/>
  <c r="AF1481" i="23"/>
  <c r="AF1461" i="23"/>
  <c r="AF1444" i="23"/>
  <c r="AF1428" i="23"/>
  <c r="AF1412" i="23"/>
  <c r="AF1396" i="23"/>
  <c r="AF1380" i="23"/>
  <c r="AF1364" i="23"/>
  <c r="AF1348" i="23"/>
  <c r="AF1332" i="23"/>
  <c r="AF1316" i="23"/>
  <c r="AF1300" i="23"/>
  <c r="AF1284" i="23"/>
  <c r="AF1268" i="23"/>
  <c r="AF1252" i="23"/>
  <c r="AF1236" i="23"/>
  <c r="AF1220" i="23"/>
  <c r="AF1204" i="23"/>
  <c r="AF1188" i="23"/>
  <c r="AF1172" i="23"/>
  <c r="AF1156" i="23"/>
  <c r="AF1140" i="23"/>
  <c r="AF1124" i="23"/>
  <c r="AF1108" i="23"/>
  <c r="AF2499" i="23"/>
  <c r="AF2474" i="23"/>
  <c r="AF2449" i="23"/>
  <c r="AF2421" i="23"/>
  <c r="AF2396" i="23"/>
  <c r="AF2371" i="23"/>
  <c r="AF2346" i="23"/>
  <c r="AF2321" i="23"/>
  <c r="AF2293" i="23"/>
  <c r="AF2268" i="23"/>
  <c r="AF2243" i="23"/>
  <c r="AF2218" i="23"/>
  <c r="AF2193" i="23"/>
  <c r="AF2165" i="23"/>
  <c r="AF2140" i="23"/>
  <c r="AF2115" i="23"/>
  <c r="AF2090" i="23"/>
  <c r="AF2065" i="23"/>
  <c r="AF2037" i="23"/>
  <c r="AF2012" i="23"/>
  <c r="AF1987" i="23"/>
  <c r="AF1962" i="23"/>
  <c r="AF1937" i="23"/>
  <c r="AF1909" i="23"/>
  <c r="AF1884" i="23"/>
  <c r="AF1859" i="23"/>
  <c r="AF1834" i="23"/>
  <c r="AF1809" i="23"/>
  <c r="AF1781" i="23"/>
  <c r="AF1756" i="23"/>
  <c r="AF1731" i="23"/>
  <c r="AF1706" i="23"/>
  <c r="AF1681" i="23"/>
  <c r="AF1653" i="23"/>
  <c r="AF1628" i="23"/>
  <c r="AF1606" i="23"/>
  <c r="AF1586" i="23"/>
  <c r="AF1564" i="23"/>
  <c r="AF1542" i="23"/>
  <c r="AF1522" i="23"/>
  <c r="AF1500" i="23"/>
  <c r="AF1478" i="23"/>
  <c r="AF1460" i="23"/>
  <c r="AF1443" i="23"/>
  <c r="AF1427" i="23"/>
  <c r="AF1411" i="23"/>
  <c r="AF1395" i="23"/>
  <c r="AF1379" i="23"/>
  <c r="AF1363" i="23"/>
  <c r="AF1347" i="23"/>
  <c r="AF1331" i="23"/>
  <c r="AF1315" i="23"/>
  <c r="AF1299" i="23"/>
  <c r="AF1283" i="23"/>
  <c r="AF1267" i="23"/>
  <c r="AF1251" i="23"/>
  <c r="AF1235" i="23"/>
  <c r="AF1219" i="23"/>
  <c r="AF1203" i="23"/>
  <c r="AF1187" i="23"/>
  <c r="AF1171" i="23"/>
  <c r="AF1155" i="23"/>
  <c r="AF1139" i="23"/>
  <c r="AF1123" i="23"/>
  <c r="AF1107" i="23"/>
  <c r="AF2525" i="23"/>
  <c r="AF2498" i="23"/>
  <c r="AF2473" i="23"/>
  <c r="AF2445" i="23"/>
  <c r="AF2420" i="23"/>
  <c r="AF2395" i="23"/>
  <c r="AF2370" i="23"/>
  <c r="AF2345" i="23"/>
  <c r="AF2317" i="23"/>
  <c r="AF2292" i="23"/>
  <c r="AF2267" i="23"/>
  <c r="AF2242" i="23"/>
  <c r="AF2217" i="23"/>
  <c r="AF2189" i="23"/>
  <c r="AF2164" i="23"/>
  <c r="AF2139" i="23"/>
  <c r="AF2114" i="23"/>
  <c r="AF2089" i="23"/>
  <c r="AF2061" i="23"/>
  <c r="AF2036" i="23"/>
  <c r="AF2011" i="23"/>
  <c r="AF1986" i="23"/>
  <c r="AF1961" i="23"/>
  <c r="AF1933" i="23"/>
  <c r="AF1908" i="23"/>
  <c r="AF1883" i="23"/>
  <c r="AF1858" i="23"/>
  <c r="AF1833" i="23"/>
  <c r="AF1805" i="23"/>
  <c r="AF1780" i="23"/>
  <c r="AF1755" i="23"/>
  <c r="AF1730" i="23"/>
  <c r="AF1705" i="23"/>
  <c r="AF1677" i="23"/>
  <c r="AF1652" i="23"/>
  <c r="AF1627" i="23"/>
  <c r="AF1605" i="23"/>
  <c r="AF1585" i="23"/>
  <c r="AF1563" i="23"/>
  <c r="AF1541" i="23"/>
  <c r="AF1521" i="23"/>
  <c r="AF1499" i="23"/>
  <c r="AF1477" i="23"/>
  <c r="AF1459" i="23"/>
  <c r="AF1442" i="23"/>
  <c r="AF1426" i="23"/>
  <c r="AF1410" i="23"/>
  <c r="AF1394" i="23"/>
  <c r="AF1378" i="23"/>
  <c r="AF1362" i="23"/>
  <c r="AF1346" i="23"/>
  <c r="AF1330" i="23"/>
  <c r="AF1314" i="23"/>
  <c r="AF1298" i="23"/>
  <c r="AF1282" i="23"/>
  <c r="AF1266" i="23"/>
  <c r="AF1250" i="23"/>
  <c r="AF1234" i="23"/>
  <c r="AF1218" i="23"/>
  <c r="AF1202" i="23"/>
  <c r="AF1186" i="23"/>
  <c r="AF1170" i="23"/>
  <c r="AF1154" i="23"/>
  <c r="AF1138" i="23"/>
  <c r="AF1122" i="23"/>
  <c r="AF1106" i="23"/>
  <c r="AF2515" i="23"/>
  <c r="AF2490" i="23"/>
  <c r="AF2465" i="23"/>
  <c r="AF2437" i="23"/>
  <c r="AF2412" i="23"/>
  <c r="AF2387" i="23"/>
  <c r="AF2362" i="23"/>
  <c r="AF2337" i="23"/>
  <c r="AF2309" i="23"/>
  <c r="AF2284" i="23"/>
  <c r="AF2259" i="23"/>
  <c r="AF2234" i="23"/>
  <c r="AF2209" i="23"/>
  <c r="AF2181" i="23"/>
  <c r="AF2156" i="23"/>
  <c r="AF2131" i="23"/>
  <c r="AF2106" i="23"/>
  <c r="AF2081" i="23"/>
  <c r="AF2053" i="23"/>
  <c r="AF2028" i="23"/>
  <c r="AF2003" i="23"/>
  <c r="AF1978" i="23"/>
  <c r="AF1953" i="23"/>
  <c r="AF1925" i="23"/>
  <c r="AF1900" i="23"/>
  <c r="AF1875" i="23"/>
  <c r="AF1850" i="23"/>
  <c r="AF1825" i="23"/>
  <c r="AF1797" i="23"/>
  <c r="AF1772" i="23"/>
  <c r="AF1747" i="23"/>
  <c r="AF1722" i="23"/>
  <c r="AF1697" i="23"/>
  <c r="AF1669" i="23"/>
  <c r="AF1644" i="23"/>
  <c r="AF1620" i="23"/>
  <c r="AF1598" i="23"/>
  <c r="AF1578" i="23"/>
  <c r="AF1556" i="23"/>
  <c r="AF1534" i="23"/>
  <c r="AF1514" i="23"/>
  <c r="AF1492" i="23"/>
  <c r="AF1471" i="23"/>
  <c r="AF1453" i="23"/>
  <c r="AF1437" i="23"/>
  <c r="AF1421" i="23"/>
  <c r="AF1405" i="23"/>
  <c r="AF1389" i="23"/>
  <c r="AF1373" i="23"/>
  <c r="AF1357" i="23"/>
  <c r="AF1341" i="23"/>
  <c r="AF1325" i="23"/>
  <c r="AF1309" i="23"/>
  <c r="AF1293" i="23"/>
  <c r="AF1277" i="23"/>
  <c r="AF1261" i="23"/>
  <c r="AF1245" i="23"/>
  <c r="AF1229" i="23"/>
  <c r="AF1213" i="23"/>
  <c r="AF1197" i="23"/>
  <c r="AF1181" i="23"/>
  <c r="AF1165" i="23"/>
  <c r="AF1149" i="23"/>
  <c r="AF1133" i="23"/>
  <c r="AF1117" i="23"/>
  <c r="AF1101" i="23"/>
  <c r="AF2514" i="23"/>
  <c r="AF2489" i="23"/>
  <c r="AF2461" i="23"/>
  <c r="AF2436" i="23"/>
  <c r="AF2411" i="23"/>
  <c r="AF2386" i="23"/>
  <c r="AF2361" i="23"/>
  <c r="AF2333" i="23"/>
  <c r="AF2308" i="23"/>
  <c r="AF2283" i="23"/>
  <c r="AF2258" i="23"/>
  <c r="AF2233" i="23"/>
  <c r="AF2205" i="23"/>
  <c r="AF2180" i="23"/>
  <c r="AF2155" i="23"/>
  <c r="AF2130" i="23"/>
  <c r="AF2105" i="23"/>
  <c r="AF2077" i="23"/>
  <c r="AF2052" i="23"/>
  <c r="AF2027" i="23"/>
  <c r="AF2002" i="23"/>
  <c r="AF1977" i="23"/>
  <c r="AF1949" i="23"/>
  <c r="AF1924" i="23"/>
  <c r="AF1899" i="23"/>
  <c r="AF1874" i="23"/>
  <c r="AF1849" i="23"/>
  <c r="AF1821" i="23"/>
  <c r="AF1796" i="23"/>
  <c r="AF1771" i="23"/>
  <c r="AF1746" i="23"/>
  <c r="AF1721" i="23"/>
  <c r="AF1693" i="23"/>
  <c r="AF1668" i="23"/>
  <c r="AF1643" i="23"/>
  <c r="AF1619" i="23"/>
  <c r="AF1597" i="23"/>
  <c r="AF1577" i="23"/>
  <c r="AF1555" i="23"/>
  <c r="AF1533" i="23"/>
  <c r="AF1513" i="23"/>
  <c r="AF1491" i="23"/>
  <c r="AF1470" i="23"/>
  <c r="AF1452" i="23"/>
  <c r="AF1436" i="23"/>
  <c r="AF1420" i="23"/>
  <c r="AF1404" i="23"/>
  <c r="AF1388" i="23"/>
  <c r="AF1372" i="23"/>
  <c r="AF1356" i="23"/>
  <c r="AF1340" i="23"/>
  <c r="AF1324" i="23"/>
  <c r="AF1308" i="23"/>
  <c r="AF1292" i="23"/>
  <c r="AF1276" i="23"/>
  <c r="AF1260" i="23"/>
  <c r="AF1244" i="23"/>
  <c r="AF1228" i="23"/>
  <c r="AF1212" i="23"/>
  <c r="AF1196" i="23"/>
  <c r="AF1180" i="23"/>
  <c r="AF1164" i="23"/>
  <c r="AF1148" i="23"/>
  <c r="AF1132" i="23"/>
  <c r="AF1116" i="23"/>
  <c r="AF1100" i="23"/>
  <c r="AF1084" i="23"/>
  <c r="AF1070" i="23"/>
  <c r="AF1059" i="23"/>
  <c r="AF1045" i="23"/>
  <c r="AF1034" i="23"/>
  <c r="AF1020" i="23"/>
  <c r="AF1006" i="23"/>
  <c r="AF995" i="23"/>
  <c r="AF981" i="23"/>
  <c r="AF970" i="23"/>
  <c r="AF956" i="23"/>
  <c r="AF942" i="23"/>
  <c r="AF931" i="23"/>
  <c r="AF917" i="23"/>
  <c r="AF906" i="23"/>
  <c r="AF892" i="23"/>
  <c r="AF878" i="23"/>
  <c r="AF867" i="23"/>
  <c r="AF853" i="23"/>
  <c r="AF842" i="23"/>
  <c r="AF828" i="23"/>
  <c r="AF814" i="23"/>
  <c r="AF803" i="23"/>
  <c r="AF789" i="23"/>
  <c r="AF778" i="23"/>
  <c r="AF764" i="23"/>
  <c r="AF750" i="23"/>
  <c r="AF739" i="23"/>
  <c r="AF725" i="23"/>
  <c r="AF714" i="23"/>
  <c r="AF700" i="23"/>
  <c r="AF686" i="23"/>
  <c r="AF675" i="23"/>
  <c r="AF661" i="23"/>
  <c r="AF650" i="23"/>
  <c r="AF636" i="23"/>
  <c r="AF622" i="23"/>
  <c r="AF611" i="23"/>
  <c r="AF597" i="23"/>
  <c r="AF586" i="23"/>
  <c r="AF572" i="23"/>
  <c r="AF558" i="23"/>
  <c r="AF547" i="23"/>
  <c r="AF533" i="23"/>
  <c r="AF522" i="23"/>
  <c r="AF508" i="23"/>
  <c r="AF494" i="23"/>
  <c r="AF483" i="23"/>
  <c r="AF469" i="23"/>
  <c r="AF458" i="23"/>
  <c r="AF444" i="23"/>
  <c r="AF430" i="23"/>
  <c r="AF419" i="23"/>
  <c r="AF405" i="23"/>
  <c r="AF394" i="23"/>
  <c r="AF380" i="23"/>
  <c r="AF366" i="23"/>
  <c r="AF355" i="23"/>
  <c r="AF341" i="23"/>
  <c r="AF330" i="23"/>
  <c r="AF316" i="23"/>
  <c r="AF302" i="23"/>
  <c r="AF291" i="23"/>
  <c r="AF277" i="23"/>
  <c r="AF266" i="23"/>
  <c r="AF252" i="23"/>
  <c r="AF238" i="23"/>
  <c r="AF227" i="23"/>
  <c r="AF213" i="23"/>
  <c r="AF202" i="23"/>
  <c r="AF188" i="23"/>
  <c r="AF174" i="23"/>
  <c r="AF163" i="23"/>
  <c r="AF149" i="23"/>
  <c r="AF138" i="23"/>
  <c r="AF124" i="23"/>
  <c r="AF110" i="23"/>
  <c r="AF99" i="23"/>
  <c r="AF85" i="23"/>
  <c r="AF74" i="23"/>
  <c r="AF60" i="23"/>
  <c r="AF46" i="23"/>
  <c r="AF35" i="23"/>
  <c r="AF21" i="23"/>
  <c r="AF10" i="23"/>
  <c r="AA7145" i="23"/>
  <c r="AA7131" i="23"/>
  <c r="AA7120" i="23"/>
  <c r="AA7108" i="23"/>
  <c r="AA7098" i="23"/>
  <c r="AA7088" i="23"/>
  <c r="AA7076" i="23"/>
  <c r="AA7066" i="23"/>
  <c r="AA7056" i="23"/>
  <c r="AA7047" i="23"/>
  <c r="AA7037" i="23"/>
  <c r="AA7028" i="23"/>
  <c r="AA7019" i="23"/>
  <c r="AA7010" i="23"/>
  <c r="AA7001" i="23"/>
  <c r="AA6992" i="23"/>
  <c r="AA6983" i="23"/>
  <c r="AA6973" i="23"/>
  <c r="AA6964" i="23"/>
  <c r="AA6955" i="23"/>
  <c r="AA6946" i="23"/>
  <c r="AA6937" i="23"/>
  <c r="AA6928" i="23"/>
  <c r="AA6919" i="23"/>
  <c r="AA6909" i="23"/>
  <c r="AA6900" i="23"/>
  <c r="AA6892" i="23"/>
  <c r="AA6884" i="23"/>
  <c r="AA6876" i="23"/>
  <c r="AA6868" i="23"/>
  <c r="AA6860" i="23"/>
  <c r="AA6852" i="23"/>
  <c r="AA6844" i="23"/>
  <c r="AA6836" i="23"/>
  <c r="AA6828" i="23"/>
  <c r="AA6820" i="23"/>
  <c r="AA6812" i="23"/>
  <c r="AA6804" i="23"/>
  <c r="AA6796" i="23"/>
  <c r="AA6788" i="23"/>
  <c r="AA6780" i="23"/>
  <c r="AA6772" i="23"/>
  <c r="AA6764" i="23"/>
  <c r="AA6756" i="23"/>
  <c r="AA6748" i="23"/>
  <c r="AA6740" i="23"/>
  <c r="AA6732" i="23"/>
  <c r="AA6724" i="23"/>
  <c r="AA6716" i="23"/>
  <c r="AA6708" i="23"/>
  <c r="AA6700" i="23"/>
  <c r="AA6692" i="23"/>
  <c r="AA6684" i="23"/>
  <c r="AA6676" i="23"/>
  <c r="AA6668" i="23"/>
  <c r="AA6660" i="23"/>
  <c r="AA6652" i="23"/>
  <c r="AA6644" i="23"/>
  <c r="AA6636" i="23"/>
  <c r="AA6628" i="23"/>
  <c r="AA6620" i="23"/>
  <c r="AA6612" i="23"/>
  <c r="AA6604" i="23"/>
  <c r="AA6596" i="23"/>
  <c r="AA6588" i="23"/>
  <c r="AA6580" i="23"/>
  <c r="AA6572" i="23"/>
  <c r="AA6564" i="23"/>
  <c r="AA6556" i="23"/>
  <c r="AA6548" i="23"/>
  <c r="AA6540" i="23"/>
  <c r="AA6532" i="23"/>
  <c r="AA6524" i="23"/>
  <c r="AA6516" i="23"/>
  <c r="AA6508" i="23"/>
  <c r="AA6500" i="23"/>
  <c r="AA6492" i="23"/>
  <c r="AA6484" i="23"/>
  <c r="AA6476" i="23"/>
  <c r="AA6468" i="23"/>
  <c r="AA6460" i="23"/>
  <c r="AA6452" i="23"/>
  <c r="AA6444" i="23"/>
  <c r="AA6436" i="23"/>
  <c r="AA6428" i="23"/>
  <c r="AA6420" i="23"/>
  <c r="AA6412" i="23"/>
  <c r="AA6404" i="23"/>
  <c r="AA6396" i="23"/>
  <c r="AA6388" i="23"/>
  <c r="AA6380" i="23"/>
  <c r="AA6372" i="23"/>
  <c r="AA6364" i="23"/>
  <c r="AA6356" i="23"/>
  <c r="AA6348" i="23"/>
  <c r="AA6340" i="23"/>
  <c r="AA6332" i="23"/>
  <c r="AA6324" i="23"/>
  <c r="AA6316" i="23"/>
  <c r="AA6308" i="23"/>
  <c r="AA6300" i="23"/>
  <c r="AA6292" i="23"/>
  <c r="AA6284" i="23"/>
  <c r="AA6276" i="23"/>
  <c r="AA6268" i="23"/>
  <c r="AA6260" i="23"/>
  <c r="AA6252" i="23"/>
  <c r="AA6244" i="23"/>
  <c r="AA6236" i="23"/>
  <c r="AA6228" i="23"/>
  <c r="AA6220" i="23"/>
  <c r="AA6212" i="23"/>
  <c r="AA6204" i="23"/>
  <c r="AA6196" i="23"/>
  <c r="AA6188" i="23"/>
  <c r="AA6180" i="23"/>
  <c r="AA6172" i="23"/>
  <c r="AA6164" i="23"/>
  <c r="AA6156" i="23"/>
  <c r="AA6148" i="23"/>
  <c r="AA6140" i="23"/>
  <c r="AA6132" i="23"/>
  <c r="AA6124" i="23"/>
  <c r="AA6116" i="23"/>
  <c r="AA6108" i="23"/>
  <c r="AA6100" i="23"/>
  <c r="AA6092" i="23"/>
  <c r="AA6084" i="23"/>
  <c r="AA6076" i="23"/>
  <c r="AA6068" i="23"/>
  <c r="AA6060" i="23"/>
  <c r="AA6052" i="23"/>
  <c r="AA6044" i="23"/>
  <c r="AA6036" i="23"/>
  <c r="AA6028" i="23"/>
  <c r="AA6020" i="23"/>
  <c r="AA6012" i="23"/>
  <c r="AA6004" i="23"/>
  <c r="AA5996" i="23"/>
  <c r="AA5988" i="23"/>
  <c r="AA5980" i="23"/>
  <c r="AA5972" i="23"/>
  <c r="AA5964" i="23"/>
  <c r="AA5956" i="23"/>
  <c r="AA5948" i="23"/>
  <c r="AA5940" i="23"/>
  <c r="AA5932" i="23"/>
  <c r="AA5924" i="23"/>
  <c r="AA5916" i="23"/>
  <c r="AA5908" i="23"/>
  <c r="AA5900" i="23"/>
  <c r="AA5892" i="23"/>
  <c r="AA5884" i="23"/>
  <c r="AA5876" i="23"/>
  <c r="AA5868" i="23"/>
  <c r="AA5860" i="23"/>
  <c r="AA5852" i="23"/>
  <c r="AA5844" i="23"/>
  <c r="AA5836" i="23"/>
  <c r="AA5828" i="23"/>
  <c r="AA5820" i="23"/>
  <c r="AA5812" i="23"/>
  <c r="AA5804" i="23"/>
  <c r="AA5796" i="23"/>
  <c r="AA5788" i="23"/>
  <c r="AA5780" i="23"/>
  <c r="AA5772" i="23"/>
  <c r="AA5764" i="23"/>
  <c r="AA5756" i="23"/>
  <c r="AA5748" i="23"/>
  <c r="AA5740" i="23"/>
  <c r="AA5732" i="23"/>
  <c r="AA5724" i="23"/>
  <c r="AA5716" i="23"/>
  <c r="AA5708" i="23"/>
  <c r="AA5700" i="23"/>
  <c r="AA5692" i="23"/>
  <c r="AA5684" i="23"/>
  <c r="AA5676" i="23"/>
  <c r="AA5668" i="23"/>
  <c r="AA5660" i="23"/>
  <c r="AA5652" i="23"/>
  <c r="AA5644" i="23"/>
  <c r="AA5636" i="23"/>
  <c r="AA5628" i="23"/>
  <c r="AA5620" i="23"/>
  <c r="AA5612" i="23"/>
  <c r="AA5604" i="23"/>
  <c r="AA5596" i="23"/>
  <c r="AA5588" i="23"/>
  <c r="AA5580" i="23"/>
  <c r="AA5572" i="23"/>
  <c r="AA5564" i="23"/>
  <c r="AA5556" i="23"/>
  <c r="AA5548" i="23"/>
  <c r="AA5540" i="23"/>
  <c r="AA5532" i="23"/>
  <c r="AA5524" i="23"/>
  <c r="AA5516" i="23"/>
  <c r="AA5508" i="23"/>
  <c r="AA5500" i="23"/>
  <c r="AA5492" i="23"/>
  <c r="AA5484" i="23"/>
  <c r="AA5476" i="23"/>
  <c r="AA5468" i="23"/>
  <c r="AA5460" i="23"/>
  <c r="AA5452" i="23"/>
  <c r="AA5444" i="23"/>
  <c r="AA5436" i="23"/>
  <c r="AA5428" i="23"/>
  <c r="AA5420" i="23"/>
  <c r="AA5412" i="23"/>
  <c r="AF1085" i="23"/>
  <c r="AF1060" i="23"/>
  <c r="AF1035" i="23"/>
  <c r="AF1010" i="23"/>
  <c r="AF982" i="23"/>
  <c r="AF957" i="23"/>
  <c r="AF932" i="23"/>
  <c r="AF907" i="23"/>
  <c r="AF882" i="23"/>
  <c r="AF854" i="23"/>
  <c r="AF829" i="23"/>
  <c r="AF804" i="23"/>
  <c r="AF779" i="23"/>
  <c r="AF754" i="23"/>
  <c r="AF726" i="23"/>
  <c r="AF701" i="23"/>
  <c r="AF676" i="23"/>
  <c r="AF651" i="23"/>
  <c r="AF626" i="23"/>
  <c r="AF598" i="23"/>
  <c r="AF573" i="23"/>
  <c r="AF548" i="23"/>
  <c r="AF523" i="23"/>
  <c r="AF498" i="23"/>
  <c r="AF470" i="23"/>
  <c r="AF445" i="23"/>
  <c r="AF420" i="23"/>
  <c r="AF395" i="23"/>
  <c r="AF370" i="23"/>
  <c r="AF342" i="23"/>
  <c r="AF317" i="23"/>
  <c r="AF292" i="23"/>
  <c r="AF267" i="23"/>
  <c r="AF242" i="23"/>
  <c r="AF214" i="23"/>
  <c r="AF189" i="23"/>
  <c r="AF164" i="23"/>
  <c r="AF139" i="23"/>
  <c r="AF114" i="23"/>
  <c r="AF86" i="23"/>
  <c r="AF61" i="23"/>
  <c r="AF36" i="23"/>
  <c r="AF11" i="23"/>
  <c r="AA7135" i="23"/>
  <c r="AA7111" i="23"/>
  <c r="AA7089" i="23"/>
  <c r="AA7067" i="23"/>
  <c r="AA7048" i="23"/>
  <c r="AA7029" i="23"/>
  <c r="AA7011" i="23"/>
  <c r="AA6993" i="23"/>
  <c r="AA6975" i="23"/>
  <c r="AA6956" i="23"/>
  <c r="AA6938" i="23"/>
  <c r="AA6920" i="23"/>
  <c r="AA6901" i="23"/>
  <c r="AA6885" i="23"/>
  <c r="AA6869" i="23"/>
  <c r="AA6853" i="23"/>
  <c r="AA6837" i="23"/>
  <c r="AA6821" i="23"/>
  <c r="AA6805" i="23"/>
  <c r="AA6789" i="23"/>
  <c r="AA6773" i="23"/>
  <c r="AA6757" i="23"/>
  <c r="AA6741" i="23"/>
  <c r="AA6725" i="23"/>
  <c r="AA6709" i="23"/>
  <c r="AA6693" i="23"/>
  <c r="AA6677" i="23"/>
  <c r="AA6661" i="23"/>
  <c r="AA6645" i="23"/>
  <c r="AA6629" i="23"/>
  <c r="AA6613" i="23"/>
  <c r="AA6597" i="23"/>
  <c r="AA6581" i="23"/>
  <c r="AA6565" i="23"/>
  <c r="AA6549" i="23"/>
  <c r="AA6533" i="23"/>
  <c r="AA6517" i="23"/>
  <c r="AA6501" i="23"/>
  <c r="AA6485" i="23"/>
  <c r="AA6469" i="23"/>
  <c r="AA6453" i="23"/>
  <c r="AA6437" i="23"/>
  <c r="AA6421" i="23"/>
  <c r="AA6405" i="23"/>
  <c r="AA6389" i="23"/>
  <c r="AA6373" i="23"/>
  <c r="AA6357" i="23"/>
  <c r="AA6341" i="23"/>
  <c r="AA6325" i="23"/>
  <c r="AA6309" i="23"/>
  <c r="AA6293" i="23"/>
  <c r="AA6277" i="23"/>
  <c r="AA6261" i="23"/>
  <c r="AA6245" i="23"/>
  <c r="AA6229" i="23"/>
  <c r="AA6213" i="23"/>
  <c r="AA6197" i="23"/>
  <c r="AA6181" i="23"/>
  <c r="AA6165" i="23"/>
  <c r="AA6149" i="23"/>
  <c r="AA6133" i="23"/>
  <c r="AA6117" i="23"/>
  <c r="AA6101" i="23"/>
  <c r="AA6085" i="23"/>
  <c r="AA6069" i="23"/>
  <c r="AA6053" i="23"/>
  <c r="AA6037" i="23"/>
  <c r="AA6021" i="23"/>
  <c r="AA6005" i="23"/>
  <c r="AA5989" i="23"/>
  <c r="AA5974" i="23"/>
  <c r="AA5960" i="23"/>
  <c r="AA5949" i="23"/>
  <c r="AA5935" i="23"/>
  <c r="AA5921" i="23"/>
  <c r="AA5910" i="23"/>
  <c r="AA5896" i="23"/>
  <c r="AA5885" i="23"/>
  <c r="AA5871" i="23"/>
  <c r="AA5857" i="23"/>
  <c r="AA5846" i="23"/>
  <c r="AA5832" i="23"/>
  <c r="AA5821" i="23"/>
  <c r="AA5807" i="23"/>
  <c r="AA5793" i="23"/>
  <c r="AA5782" i="23"/>
  <c r="AA5768" i="23"/>
  <c r="AA5757" i="23"/>
  <c r="AA5743" i="23"/>
  <c r="AA5729" i="23"/>
  <c r="AA5718" i="23"/>
  <c r="AA5704" i="23"/>
  <c r="AA5693" i="23"/>
  <c r="AA5679" i="23"/>
  <c r="AA5665" i="23"/>
  <c r="AA5654" i="23"/>
  <c r="AA5640" i="23"/>
  <c r="AA5629" i="23"/>
  <c r="AA5615" i="23"/>
  <c r="AA5601" i="23"/>
  <c r="AA5590" i="23"/>
  <c r="AA5577" i="23"/>
  <c r="AA5567" i="23"/>
  <c r="AA5557" i="23"/>
  <c r="AA5546" i="23"/>
  <c r="AA5537" i="23"/>
  <c r="AA5528" i="23"/>
  <c r="AA5519" i="23"/>
  <c r="AA5510" i="23"/>
  <c r="AA5501" i="23"/>
  <c r="AA5491" i="23"/>
  <c r="AA5482" i="23"/>
  <c r="AA5473" i="23"/>
  <c r="AA5464" i="23"/>
  <c r="AA5455" i="23"/>
  <c r="AA5446" i="23"/>
  <c r="AA5437" i="23"/>
  <c r="AA5427" i="23"/>
  <c r="AA5418" i="23"/>
  <c r="AA5409" i="23"/>
  <c r="AA5401" i="23"/>
  <c r="AA5393" i="23"/>
  <c r="AA5385" i="23"/>
  <c r="AA5377" i="23"/>
  <c r="AA5369" i="23"/>
  <c r="AA5361" i="23"/>
  <c r="AA5353" i="23"/>
  <c r="AA5345" i="23"/>
  <c r="AA5337" i="23"/>
  <c r="AA5329" i="23"/>
  <c r="AA5321" i="23"/>
  <c r="AA5313" i="23"/>
  <c r="AA5305" i="23"/>
  <c r="AA5297" i="23"/>
  <c r="AA5289" i="23"/>
  <c r="AA5281" i="23"/>
  <c r="AA5273" i="23"/>
  <c r="AA5265" i="23"/>
  <c r="AA5257" i="23"/>
  <c r="AA5249" i="23"/>
  <c r="AA5241" i="23"/>
  <c r="AA5233" i="23"/>
  <c r="AA5225" i="23"/>
  <c r="AA5217" i="23"/>
  <c r="AA5209" i="23"/>
  <c r="AA5201" i="23"/>
  <c r="AA5193" i="23"/>
  <c r="AA5185" i="23"/>
  <c r="AA5177" i="23"/>
  <c r="AA5169" i="23"/>
  <c r="AA5161" i="23"/>
  <c r="AA5153" i="23"/>
  <c r="AA5145" i="23"/>
  <c r="AA5137" i="23"/>
  <c r="AA5129" i="23"/>
  <c r="AA5121" i="23"/>
  <c r="AA5113" i="23"/>
  <c r="AA5105" i="23"/>
  <c r="AA5097" i="23"/>
  <c r="AA5089" i="23"/>
  <c r="AA5081" i="23"/>
  <c r="AA5073" i="23"/>
  <c r="AA5065" i="23"/>
  <c r="AA5057" i="23"/>
  <c r="AA5049" i="23"/>
  <c r="AA5041" i="23"/>
  <c r="AA5033" i="23"/>
  <c r="AA5025" i="23"/>
  <c r="AA5017" i="23"/>
  <c r="AA5009" i="23"/>
  <c r="AA5001" i="23"/>
  <c r="AA4993" i="23"/>
  <c r="AA4985" i="23"/>
  <c r="AA4977" i="23"/>
  <c r="AA4969" i="23"/>
  <c r="AA4961" i="23"/>
  <c r="AA4953" i="23"/>
  <c r="AA4945" i="23"/>
  <c r="AA4937" i="23"/>
  <c r="AA4929" i="23"/>
  <c r="AA4921" i="23"/>
  <c r="AA4913" i="23"/>
  <c r="AA4905" i="23"/>
  <c r="AA4897" i="23"/>
  <c r="AA4889" i="23"/>
  <c r="AA4881" i="23"/>
  <c r="AA4873" i="23"/>
  <c r="AA4865" i="23"/>
  <c r="AA4857" i="23"/>
  <c r="AA4849" i="23"/>
  <c r="AA4841" i="23"/>
  <c r="AA4833" i="23"/>
  <c r="AA4825" i="23"/>
  <c r="AA4817" i="23"/>
  <c r="AA4809" i="23"/>
  <c r="AA4801" i="23"/>
  <c r="AA4793" i="23"/>
  <c r="AA4785" i="23"/>
  <c r="AA4777" i="23"/>
  <c r="AA4769" i="23"/>
  <c r="AA4761" i="23"/>
  <c r="AA4753" i="23"/>
  <c r="AA4745" i="23"/>
  <c r="AA4737" i="23"/>
  <c r="AA4729" i="23"/>
  <c r="AA4721" i="23"/>
  <c r="AA4713" i="23"/>
  <c r="AA4705" i="23"/>
  <c r="AA4697" i="23"/>
  <c r="AA4689" i="23"/>
  <c r="AA4681" i="23"/>
  <c r="AA4673" i="23"/>
  <c r="AA4665" i="23"/>
  <c r="AA4657" i="23"/>
  <c r="AA4649" i="23"/>
  <c r="AA4641" i="23"/>
  <c r="AA4633" i="23"/>
  <c r="AA4625" i="23"/>
  <c r="AA4617" i="23"/>
  <c r="AA4609" i="23"/>
  <c r="AA4601" i="23"/>
  <c r="AA4593" i="23"/>
  <c r="AA4585" i="23"/>
  <c r="AA4577" i="23"/>
  <c r="AA4569" i="23"/>
  <c r="AA4561" i="23"/>
  <c r="AA4553" i="23"/>
  <c r="AA4545" i="23"/>
  <c r="AA4537" i="23"/>
  <c r="AA4529" i="23"/>
  <c r="AA4521" i="23"/>
  <c r="AA4513" i="23"/>
  <c r="AA4505" i="23"/>
  <c r="AA4497" i="23"/>
  <c r="AA4489" i="23"/>
  <c r="AA4481" i="23"/>
  <c r="AA4473" i="23"/>
  <c r="AA4465" i="23"/>
  <c r="AA4457" i="23"/>
  <c r="AA4449" i="23"/>
  <c r="AA4441" i="23"/>
  <c r="AA4433" i="23"/>
  <c r="AA4425" i="23"/>
  <c r="AA4417" i="23"/>
  <c r="AA4409" i="23"/>
  <c r="AA4401" i="23"/>
  <c r="AA4393" i="23"/>
  <c r="AA4385" i="23"/>
  <c r="AA4377" i="23"/>
  <c r="AA4369" i="23"/>
  <c r="AA4361" i="23"/>
  <c r="AA4353" i="23"/>
  <c r="AA4345" i="23"/>
  <c r="AA4337" i="23"/>
  <c r="AA4329" i="23"/>
  <c r="AA4321" i="23"/>
  <c r="AA4313" i="23"/>
  <c r="AA4305" i="23"/>
  <c r="AA4297" i="23"/>
  <c r="AA4289" i="23"/>
  <c r="AA4281" i="23"/>
  <c r="AA4273" i="23"/>
  <c r="AA4265" i="23"/>
  <c r="AA4257" i="23"/>
  <c r="AA4249" i="23"/>
  <c r="AA4241" i="23"/>
  <c r="AA4233" i="23"/>
  <c r="AA4225" i="23"/>
  <c r="AA4217" i="23"/>
  <c r="AF1077" i="23"/>
  <c r="AF1052" i="23"/>
  <c r="AF1027" i="23"/>
  <c r="AF1002" i="23"/>
  <c r="AF974" i="23"/>
  <c r="AF949" i="23"/>
  <c r="AF924" i="23"/>
  <c r="AF899" i="23"/>
  <c r="AF874" i="23"/>
  <c r="AF846" i="23"/>
  <c r="AF821" i="23"/>
  <c r="AF796" i="23"/>
  <c r="AF771" i="23"/>
  <c r="AF746" i="23"/>
  <c r="AF718" i="23"/>
  <c r="AF693" i="23"/>
  <c r="AF668" i="23"/>
  <c r="AF643" i="23"/>
  <c r="AF618" i="23"/>
  <c r="AF590" i="23"/>
  <c r="AF565" i="23"/>
  <c r="AF540" i="23"/>
  <c r="AF515" i="23"/>
  <c r="AF490" i="23"/>
  <c r="AF462" i="23"/>
  <c r="AF437" i="23"/>
  <c r="AF412" i="23"/>
  <c r="AF387" i="23"/>
  <c r="AF362" i="23"/>
  <c r="AF334" i="23"/>
  <c r="AF309" i="23"/>
  <c r="AF284" i="23"/>
  <c r="AF259" i="23"/>
  <c r="AF234" i="23"/>
  <c r="AF206" i="23"/>
  <c r="AF181" i="23"/>
  <c r="AF156" i="23"/>
  <c r="AF131" i="23"/>
  <c r="AF106" i="23"/>
  <c r="AF78" i="23"/>
  <c r="AF53" i="23"/>
  <c r="AF28" i="23"/>
  <c r="AA7152" i="23"/>
  <c r="AA7127" i="23"/>
  <c r="AA7104" i="23"/>
  <c r="AA7082" i="23"/>
  <c r="AA7060" i="23"/>
  <c r="AA7042" i="23"/>
  <c r="AA7024" i="23"/>
  <c r="AA7005" i="23"/>
  <c r="AA6987" i="23"/>
  <c r="AA6969" i="23"/>
  <c r="AA6951" i="23"/>
  <c r="AA6932" i="23"/>
  <c r="AA6914" i="23"/>
  <c r="AA6896" i="23"/>
  <c r="AA6880" i="23"/>
  <c r="AA6864" i="23"/>
  <c r="AA6848" i="23"/>
  <c r="AA6832" i="23"/>
  <c r="AA6816" i="23"/>
  <c r="AA6800" i="23"/>
  <c r="AA6784" i="23"/>
  <c r="AA6768" i="23"/>
  <c r="AA6752" i="23"/>
  <c r="AA6736" i="23"/>
  <c r="AA6720" i="23"/>
  <c r="AA6704" i="23"/>
  <c r="AA6688" i="23"/>
  <c r="AA6672" i="23"/>
  <c r="AA6656" i="23"/>
  <c r="AA6640" i="23"/>
  <c r="AA6624" i="23"/>
  <c r="AA6608" i="23"/>
  <c r="AA6592" i="23"/>
  <c r="AA6576" i="23"/>
  <c r="AA6560" i="23"/>
  <c r="AA6544" i="23"/>
  <c r="AA6528" i="23"/>
  <c r="AA6512" i="23"/>
  <c r="AA6496" i="23"/>
  <c r="AA6480" i="23"/>
  <c r="AA6464" i="23"/>
  <c r="AA6448" i="23"/>
  <c r="AA6432" i="23"/>
  <c r="AA6416" i="23"/>
  <c r="AA6400" i="23"/>
  <c r="AA6384" i="23"/>
  <c r="AA6368" i="23"/>
  <c r="AA6352" i="23"/>
  <c r="AA6336" i="23"/>
  <c r="AA6320" i="23"/>
  <c r="AA6304" i="23"/>
  <c r="AA6288" i="23"/>
  <c r="AA6272" i="23"/>
  <c r="AA6256" i="23"/>
  <c r="AA6240" i="23"/>
  <c r="AA6224" i="23"/>
  <c r="AA6208" i="23"/>
  <c r="AA6192" i="23"/>
  <c r="AA6176" i="23"/>
  <c r="AA6160" i="23"/>
  <c r="AA6144" i="23"/>
  <c r="AA6128" i="23"/>
  <c r="AA6112" i="23"/>
  <c r="AA6096" i="23"/>
  <c r="AA6080" i="23"/>
  <c r="AA6064" i="23"/>
  <c r="AA6048" i="23"/>
  <c r="AA6032" i="23"/>
  <c r="AA6016" i="23"/>
  <c r="AA6000" i="23"/>
  <c r="AA5984" i="23"/>
  <c r="AA5973" i="23"/>
  <c r="AA5959" i="23"/>
  <c r="AA5945" i="23"/>
  <c r="AA5934" i="23"/>
  <c r="AA5920" i="23"/>
  <c r="AA5909" i="23"/>
  <c r="AA5895" i="23"/>
  <c r="AA5881" i="23"/>
  <c r="AA5870" i="23"/>
  <c r="AA5856" i="23"/>
  <c r="AA5845" i="23"/>
  <c r="AA5831" i="23"/>
  <c r="AA5817" i="23"/>
  <c r="AA5806" i="23"/>
  <c r="AA5792" i="23"/>
  <c r="AA5781" i="23"/>
  <c r="AA5767" i="23"/>
  <c r="AA5753" i="23"/>
  <c r="AA5742" i="23"/>
  <c r="AA5728" i="23"/>
  <c r="AA5717" i="23"/>
  <c r="AA5703" i="23"/>
  <c r="AA5689" i="23"/>
  <c r="AA5678" i="23"/>
  <c r="AA5664" i="23"/>
  <c r="AA5653" i="23"/>
  <c r="AA5639" i="23"/>
  <c r="AA5625" i="23"/>
  <c r="AA5614" i="23"/>
  <c r="AA5600" i="23"/>
  <c r="AA5589" i="23"/>
  <c r="AA5576" i="23"/>
  <c r="AA5566" i="23"/>
  <c r="AA5554" i="23"/>
  <c r="AA5545" i="23"/>
  <c r="AA5536" i="23"/>
  <c r="AA5527" i="23"/>
  <c r="AA5518" i="23"/>
  <c r="AA5509" i="23"/>
  <c r="AA5499" i="23"/>
  <c r="AA5490" i="23"/>
  <c r="AA5481" i="23"/>
  <c r="AA5472" i="23"/>
  <c r="AA5463" i="23"/>
  <c r="AA5454" i="23"/>
  <c r="AA5445" i="23"/>
  <c r="AA5435" i="23"/>
  <c r="AA5426" i="23"/>
  <c r="AA5417" i="23"/>
  <c r="AA5408" i="23"/>
  <c r="AA5400" i="23"/>
  <c r="AA5392" i="23"/>
  <c r="AA5384" i="23"/>
  <c r="AA5376" i="23"/>
  <c r="AA5368" i="23"/>
  <c r="AA5360" i="23"/>
  <c r="AA5352" i="23"/>
  <c r="AA5344" i="23"/>
  <c r="AA5336" i="23"/>
  <c r="AA5328" i="23"/>
  <c r="AA5320" i="23"/>
  <c r="AA5312" i="23"/>
  <c r="AA5304" i="23"/>
  <c r="AA5296" i="23"/>
  <c r="AA5288" i="23"/>
  <c r="AA5280" i="23"/>
  <c r="AA5272" i="23"/>
  <c r="AA5264" i="23"/>
  <c r="AA5256" i="23"/>
  <c r="AA5248" i="23"/>
  <c r="AA5240" i="23"/>
  <c r="AA5232" i="23"/>
  <c r="AA5224" i="23"/>
  <c r="AA5216" i="23"/>
  <c r="AA5208" i="23"/>
  <c r="AA5200" i="23"/>
  <c r="AA5192" i="23"/>
  <c r="AA5184" i="23"/>
  <c r="AA5176" i="23"/>
  <c r="AA5168" i="23"/>
  <c r="AA5160" i="23"/>
  <c r="AA5152" i="23"/>
  <c r="AA5144" i="23"/>
  <c r="AA5136" i="23"/>
  <c r="AA5128" i="23"/>
  <c r="AA5120" i="23"/>
  <c r="AA5112" i="23"/>
  <c r="AA5104" i="23"/>
  <c r="AA5096" i="23"/>
  <c r="AA5088" i="23"/>
  <c r="AA5080" i="23"/>
  <c r="AA5072" i="23"/>
  <c r="AA5064" i="23"/>
  <c r="AA5056" i="23"/>
  <c r="AA5048" i="23"/>
  <c r="AA5040" i="23"/>
  <c r="AA5032" i="23"/>
  <c r="AA5024" i="23"/>
  <c r="AA5016" i="23"/>
  <c r="AA5008" i="23"/>
  <c r="AA5000" i="23"/>
  <c r="AA4992" i="23"/>
  <c r="AA4984" i="23"/>
  <c r="AA4976" i="23"/>
  <c r="AA4968" i="23"/>
  <c r="AA4960" i="23"/>
  <c r="AA4952" i="23"/>
  <c r="AA4944" i="23"/>
  <c r="AA4936" i="23"/>
  <c r="AA4928" i="23"/>
  <c r="AA4920" i="23"/>
  <c r="AA4912" i="23"/>
  <c r="AA4904" i="23"/>
  <c r="AA4896" i="23"/>
  <c r="AA4888" i="23"/>
  <c r="AA4880" i="23"/>
  <c r="AA4872" i="23"/>
  <c r="AA4864" i="23"/>
  <c r="AA4856" i="23"/>
  <c r="AA4848" i="23"/>
  <c r="AA4840" i="23"/>
  <c r="AA4832" i="23"/>
  <c r="AA4824" i="23"/>
  <c r="AA4816" i="23"/>
  <c r="AA4808" i="23"/>
  <c r="AA4800" i="23"/>
  <c r="AA4792" i="23"/>
  <c r="AA4784" i="23"/>
  <c r="AA4776" i="23"/>
  <c r="AA4768" i="23"/>
  <c r="AA4760" i="23"/>
  <c r="AA4752" i="23"/>
  <c r="AA4744" i="23"/>
  <c r="AA4736" i="23"/>
  <c r="AA4728" i="23"/>
  <c r="AA4720" i="23"/>
  <c r="AA4712" i="23"/>
  <c r="AA4704" i="23"/>
  <c r="AA4696" i="23"/>
  <c r="AA4688" i="23"/>
  <c r="AA4680" i="23"/>
  <c r="AA4672" i="23"/>
  <c r="AA4664" i="23"/>
  <c r="AA4656" i="23"/>
  <c r="AA4648" i="23"/>
  <c r="AA4640" i="23"/>
  <c r="AA4632" i="23"/>
  <c r="AA4624" i="23"/>
  <c r="AA4616" i="23"/>
  <c r="AA4608" i="23"/>
  <c r="AA4600" i="23"/>
  <c r="AA4592" i="23"/>
  <c r="AA4584" i="23"/>
  <c r="AA4576" i="23"/>
  <c r="AA4568" i="23"/>
  <c r="AA4560" i="23"/>
  <c r="AA4552" i="23"/>
  <c r="AA4544" i="23"/>
  <c r="AA4536" i="23"/>
  <c r="AA4528" i="23"/>
  <c r="AA4520" i="23"/>
  <c r="AA4512" i="23"/>
  <c r="AA4504" i="23"/>
  <c r="AA4496" i="23"/>
  <c r="AA4488" i="23"/>
  <c r="AA4480" i="23"/>
  <c r="AA4472" i="23"/>
  <c r="AA4464" i="23"/>
  <c r="AA4456" i="23"/>
  <c r="AA4448" i="23"/>
  <c r="AA4440" i="23"/>
  <c r="AA4432" i="23"/>
  <c r="AA4424" i="23"/>
  <c r="AA4416" i="23"/>
  <c r="AA4408" i="23"/>
  <c r="AA4400" i="23"/>
  <c r="AA4392" i="23"/>
  <c r="AA4384" i="23"/>
  <c r="AA4376" i="23"/>
  <c r="AA4368" i="23"/>
  <c r="AA4360" i="23"/>
  <c r="AA4352" i="23"/>
  <c r="AA4344" i="23"/>
  <c r="AA4336" i="23"/>
  <c r="AA4328" i="23"/>
  <c r="AA4320" i="23"/>
  <c r="AA4312" i="23"/>
  <c r="AA4304" i="23"/>
  <c r="AA4296" i="23"/>
  <c r="AA4288" i="23"/>
  <c r="AA4280" i="23"/>
  <c r="AA4272" i="23"/>
  <c r="AA4264" i="23"/>
  <c r="AA4256" i="23"/>
  <c r="AA4248" i="23"/>
  <c r="AA4240" i="23"/>
  <c r="AA4232" i="23"/>
  <c r="AA4224" i="23"/>
  <c r="AA4216" i="23"/>
  <c r="AA4208" i="23"/>
  <c r="AA4200" i="23"/>
  <c r="AA4192" i="23"/>
  <c r="AA4184" i="23"/>
  <c r="AA4176" i="23"/>
  <c r="AA4168" i="23"/>
  <c r="AA4160" i="23"/>
  <c r="AA4152" i="23"/>
  <c r="AA4144" i="23"/>
  <c r="AA4136" i="23"/>
  <c r="AA4128" i="23"/>
  <c r="AA4120" i="23"/>
  <c r="AA4112" i="23"/>
  <c r="AA4104" i="23"/>
  <c r="AA4096" i="23"/>
  <c r="AA4088" i="23"/>
  <c r="AA4080" i="23"/>
  <c r="AA4072" i="23"/>
  <c r="AA4064" i="23"/>
  <c r="AA4056" i="23"/>
  <c r="AA4048" i="23"/>
  <c r="AA4040" i="23"/>
  <c r="AA4032" i="23"/>
  <c r="AA4024" i="23"/>
  <c r="AA4016" i="23"/>
  <c r="AA4008" i="23"/>
  <c r="AA4000" i="23"/>
  <c r="AA3992" i="23"/>
  <c r="AF1076" i="23"/>
  <c r="AF1051" i="23"/>
  <c r="AF1026" i="23"/>
  <c r="AF998" i="23"/>
  <c r="AF973" i="23"/>
  <c r="AF948" i="23"/>
  <c r="AF923" i="23"/>
  <c r="AF898" i="23"/>
  <c r="AF870" i="23"/>
  <c r="AF845" i="23"/>
  <c r="AF820" i="23"/>
  <c r="AF795" i="23"/>
  <c r="AF770" i="23"/>
  <c r="AF742" i="23"/>
  <c r="AF717" i="23"/>
  <c r="AF692" i="23"/>
  <c r="AF667" i="23"/>
  <c r="AF642" i="23"/>
  <c r="AF614" i="23"/>
  <c r="AF589" i="23"/>
  <c r="AF564" i="23"/>
  <c r="AF539" i="23"/>
  <c r="AF514" i="23"/>
  <c r="AF486" i="23"/>
  <c r="AF461" i="23"/>
  <c r="AF436" i="23"/>
  <c r="AF411" i="23"/>
  <c r="AF386" i="23"/>
  <c r="AF358" i="23"/>
  <c r="AF333" i="23"/>
  <c r="AF308" i="23"/>
  <c r="AF283" i="23"/>
  <c r="AF258" i="23"/>
  <c r="AF230" i="23"/>
  <c r="AF205" i="23"/>
  <c r="AF180" i="23"/>
  <c r="AF155" i="23"/>
  <c r="AF130" i="23"/>
  <c r="AF102" i="23"/>
  <c r="AF77" i="23"/>
  <c r="AF52" i="23"/>
  <c r="AF27" i="23"/>
  <c r="AA7151" i="23"/>
  <c r="AA7123" i="23"/>
  <c r="AA7103" i="23"/>
  <c r="AA7081" i="23"/>
  <c r="AA7059" i="23"/>
  <c r="AA7041" i="23"/>
  <c r="AA7023" i="23"/>
  <c r="AA7004" i="23"/>
  <c r="AA6986" i="23"/>
  <c r="AA6968" i="23"/>
  <c r="AA6949" i="23"/>
  <c r="AA6931" i="23"/>
  <c r="AA6913" i="23"/>
  <c r="AA6895" i="23"/>
  <c r="AA6879" i="23"/>
  <c r="AA6863" i="23"/>
  <c r="AA6847" i="23"/>
  <c r="AA6831" i="23"/>
  <c r="AA6815" i="23"/>
  <c r="AA6799" i="23"/>
  <c r="AA6783" i="23"/>
  <c r="AA6767" i="23"/>
  <c r="AA6751" i="23"/>
  <c r="AA6735" i="23"/>
  <c r="AA6719" i="23"/>
  <c r="AA6703" i="23"/>
  <c r="AA6687" i="23"/>
  <c r="AA6671" i="23"/>
  <c r="AA6655" i="23"/>
  <c r="AA6639" i="23"/>
  <c r="AA6623" i="23"/>
  <c r="AA6607" i="23"/>
  <c r="AA6591" i="23"/>
  <c r="AA6575" i="23"/>
  <c r="AA6559" i="23"/>
  <c r="AA6543" i="23"/>
  <c r="AA6527" i="23"/>
  <c r="AA6511" i="23"/>
  <c r="AA6495" i="23"/>
  <c r="AA6479" i="23"/>
  <c r="AA6463" i="23"/>
  <c r="AA6447" i="23"/>
  <c r="AA6431" i="23"/>
  <c r="AA6415" i="23"/>
  <c r="AA6399" i="23"/>
  <c r="AA6383" i="23"/>
  <c r="AA6367" i="23"/>
  <c r="AA6351" i="23"/>
  <c r="AA6335" i="23"/>
  <c r="AA6319" i="23"/>
  <c r="AA6303" i="23"/>
  <c r="AA6287" i="23"/>
  <c r="AA6271" i="23"/>
  <c r="AA6255" i="23"/>
  <c r="AA6239" i="23"/>
  <c r="AA6223" i="23"/>
  <c r="AA6207" i="23"/>
  <c r="AA6191" i="23"/>
  <c r="AA6175" i="23"/>
  <c r="AA6159" i="23"/>
  <c r="AA6143" i="23"/>
  <c r="AA6127" i="23"/>
  <c r="AA6111" i="23"/>
  <c r="AA6095" i="23"/>
  <c r="AA6079" i="23"/>
  <c r="AA6063" i="23"/>
  <c r="AA6047" i="23"/>
  <c r="AA6031" i="23"/>
  <c r="AA6015" i="23"/>
  <c r="AA5999" i="23"/>
  <c r="AA5983" i="23"/>
  <c r="AA5969" i="23"/>
  <c r="AA5958" i="23"/>
  <c r="AA5944" i="23"/>
  <c r="AA5933" i="23"/>
  <c r="AA5919" i="23"/>
  <c r="AA5905" i="23"/>
  <c r="AA5894" i="23"/>
  <c r="AA5880" i="23"/>
  <c r="AA5869" i="23"/>
  <c r="AA5855" i="23"/>
  <c r="AA5841" i="23"/>
  <c r="AA5830" i="23"/>
  <c r="AA5816" i="23"/>
  <c r="AA5805" i="23"/>
  <c r="AA5791" i="23"/>
  <c r="AA5777" i="23"/>
  <c r="AA5766" i="23"/>
  <c r="AA5752" i="23"/>
  <c r="AA5741" i="23"/>
  <c r="AA5727" i="23"/>
  <c r="AA5713" i="23"/>
  <c r="AA5702" i="23"/>
  <c r="AA5688" i="23"/>
  <c r="AA5677" i="23"/>
  <c r="AA5663" i="23"/>
  <c r="AA5649" i="23"/>
  <c r="AA5638" i="23"/>
  <c r="AA5624" i="23"/>
  <c r="AA5613" i="23"/>
  <c r="AA5599" i="23"/>
  <c r="AA5585" i="23"/>
  <c r="AA5575" i="23"/>
  <c r="AA5565" i="23"/>
  <c r="AA5553" i="23"/>
  <c r="AA5544" i="23"/>
  <c r="AA5535" i="23"/>
  <c r="AA5526" i="23"/>
  <c r="AA5517" i="23"/>
  <c r="AA5507" i="23"/>
  <c r="AA5498" i="23"/>
  <c r="AA5489" i="23"/>
  <c r="AA5480" i="23"/>
  <c r="AA5471" i="23"/>
  <c r="AA5462" i="23"/>
  <c r="AA5453" i="23"/>
  <c r="AA5443" i="23"/>
  <c r="AA5434" i="23"/>
  <c r="AA5425" i="23"/>
  <c r="AA5416" i="23"/>
  <c r="AA5407" i="23"/>
  <c r="AA5399" i="23"/>
  <c r="AA5391" i="23"/>
  <c r="AA5383" i="23"/>
  <c r="AA5375" i="23"/>
  <c r="AA5367" i="23"/>
  <c r="AA5359" i="23"/>
  <c r="AA5351" i="23"/>
  <c r="AA5343" i="23"/>
  <c r="AA5335" i="23"/>
  <c r="AA5327" i="23"/>
  <c r="AA5319" i="23"/>
  <c r="AA5311" i="23"/>
  <c r="AA5303" i="23"/>
  <c r="AA5295" i="23"/>
  <c r="AA5287" i="23"/>
  <c r="AA5279" i="23"/>
  <c r="AA5271" i="23"/>
  <c r="AA5263" i="23"/>
  <c r="AA5255" i="23"/>
  <c r="AA5247" i="23"/>
  <c r="AA5239" i="23"/>
  <c r="AA5231" i="23"/>
  <c r="AA5223" i="23"/>
  <c r="AA5215" i="23"/>
  <c r="AA5207" i="23"/>
  <c r="AA5199" i="23"/>
  <c r="AA5191" i="23"/>
  <c r="AA5183" i="23"/>
  <c r="AA5175" i="23"/>
  <c r="AA5167" i="23"/>
  <c r="AA5159" i="23"/>
  <c r="AA5151" i="23"/>
  <c r="AA5143" i="23"/>
  <c r="AA5135" i="23"/>
  <c r="AA5127" i="23"/>
  <c r="AA5119" i="23"/>
  <c r="AA5111" i="23"/>
  <c r="AA5103" i="23"/>
  <c r="AA5095" i="23"/>
  <c r="AA5087" i="23"/>
  <c r="AA5079" i="23"/>
  <c r="AA5071" i="23"/>
  <c r="AA5063" i="23"/>
  <c r="AA5055" i="23"/>
  <c r="AA5047" i="23"/>
  <c r="AA5039" i="23"/>
  <c r="AA5031" i="23"/>
  <c r="AA5023" i="23"/>
  <c r="AA5015" i="23"/>
  <c r="AA5007" i="23"/>
  <c r="AA4999" i="23"/>
  <c r="AA4991" i="23"/>
  <c r="AA4983" i="23"/>
  <c r="AA4975" i="23"/>
  <c r="AA4967" i="23"/>
  <c r="AA4959" i="23"/>
  <c r="AA4951" i="23"/>
  <c r="AA4943" i="23"/>
  <c r="AA4935" i="23"/>
  <c r="AA4927" i="23"/>
  <c r="AA4919" i="23"/>
  <c r="AA4911" i="23"/>
  <c r="AA4903" i="23"/>
  <c r="AA4895" i="23"/>
  <c r="AA4887" i="23"/>
  <c r="AA4879" i="23"/>
  <c r="AA4871" i="23"/>
  <c r="AA4863" i="23"/>
  <c r="AA4855" i="23"/>
  <c r="AA4847" i="23"/>
  <c r="AA4839" i="23"/>
  <c r="AA4831" i="23"/>
  <c r="AA4823" i="23"/>
  <c r="AA4815" i="23"/>
  <c r="AA4807" i="23"/>
  <c r="AA4799" i="23"/>
  <c r="AA4791" i="23"/>
  <c r="AA4783" i="23"/>
  <c r="AA4775" i="23"/>
  <c r="AA4767" i="23"/>
  <c r="AA4759" i="23"/>
  <c r="AA4751" i="23"/>
  <c r="AA4743" i="23"/>
  <c r="AA4735" i="23"/>
  <c r="AA4727" i="23"/>
  <c r="AA4719" i="23"/>
  <c r="AA4711" i="23"/>
  <c r="AA4703" i="23"/>
  <c r="AA4695" i="23"/>
  <c r="AA4687" i="23"/>
  <c r="AA4679" i="23"/>
  <c r="AA4671" i="23"/>
  <c r="AA4663" i="23"/>
  <c r="AA4655" i="23"/>
  <c r="AA4647" i="23"/>
  <c r="AA4639" i="23"/>
  <c r="AA4631" i="23"/>
  <c r="AA4623" i="23"/>
  <c r="AA4615" i="23"/>
  <c r="AA4607" i="23"/>
  <c r="AA4599" i="23"/>
  <c r="AA4591" i="23"/>
  <c r="AA4583" i="23"/>
  <c r="AA4575" i="23"/>
  <c r="AA4567" i="23"/>
  <c r="AA4559" i="23"/>
  <c r="AA4551" i="23"/>
  <c r="AA4543" i="23"/>
  <c r="AA4535" i="23"/>
  <c r="AA4527" i="23"/>
  <c r="AA4519" i="23"/>
  <c r="AA4511" i="23"/>
  <c r="AA4503" i="23"/>
  <c r="AA4495" i="23"/>
  <c r="AA4487" i="23"/>
  <c r="AA4479" i="23"/>
  <c r="AA4471" i="23"/>
  <c r="AA4463" i="23"/>
  <c r="AA4455" i="23"/>
  <c r="AA4447" i="23"/>
  <c r="AA4439" i="23"/>
  <c r="AA4431" i="23"/>
  <c r="AA4423" i="23"/>
  <c r="AA4415" i="23"/>
  <c r="AA4407" i="23"/>
  <c r="AA4399" i="23"/>
  <c r="AA4391" i="23"/>
  <c r="AA4383" i="23"/>
  <c r="AA4375" i="23"/>
  <c r="AA4367" i="23"/>
  <c r="AA4359" i="23"/>
  <c r="AA4351" i="23"/>
  <c r="AA4343" i="23"/>
  <c r="AA4335" i="23"/>
  <c r="AA4327" i="23"/>
  <c r="AA4319" i="23"/>
  <c r="AA4311" i="23"/>
  <c r="AA4303" i="23"/>
  <c r="AA4295" i="23"/>
  <c r="AA4287" i="23"/>
  <c r="AA4279" i="23"/>
  <c r="AA4271" i="23"/>
  <c r="AA4263" i="23"/>
  <c r="AA4255" i="23"/>
  <c r="AA4247" i="23"/>
  <c r="AA4239" i="23"/>
  <c r="AA4231" i="23"/>
  <c r="AA4223" i="23"/>
  <c r="AF1075" i="23"/>
  <c r="AF1050" i="23"/>
  <c r="AF1022" i="23"/>
  <c r="AF997" i="23"/>
  <c r="AF972" i="23"/>
  <c r="AF947" i="23"/>
  <c r="AF922" i="23"/>
  <c r="AF894" i="23"/>
  <c r="AF869" i="23"/>
  <c r="AF844" i="23"/>
  <c r="AF819" i="23"/>
  <c r="AF794" i="23"/>
  <c r="AF766" i="23"/>
  <c r="AF741" i="23"/>
  <c r="AF716" i="23"/>
  <c r="AF691" i="23"/>
  <c r="AF666" i="23"/>
  <c r="AF638" i="23"/>
  <c r="AF613" i="23"/>
  <c r="AF588" i="23"/>
  <c r="AF563" i="23"/>
  <c r="AF538" i="23"/>
  <c r="AF510" i="23"/>
  <c r="AF485" i="23"/>
  <c r="AF460" i="23"/>
  <c r="AF435" i="23"/>
  <c r="AF410" i="23"/>
  <c r="AF382" i="23"/>
  <c r="AF357" i="23"/>
  <c r="AF332" i="23"/>
  <c r="AF307" i="23"/>
  <c r="AF282" i="23"/>
  <c r="AF254" i="23"/>
  <c r="AF229" i="23"/>
  <c r="AF204" i="23"/>
  <c r="AF179" i="23"/>
  <c r="AF154" i="23"/>
  <c r="AF126" i="23"/>
  <c r="AF101" i="23"/>
  <c r="AF76" i="23"/>
  <c r="AF51" i="23"/>
  <c r="AF26" i="23"/>
  <c r="AA7147" i="23"/>
  <c r="AA7122" i="23"/>
  <c r="AA7100" i="23"/>
  <c r="AA7080" i="23"/>
  <c r="AA7058" i="23"/>
  <c r="AA7040" i="23"/>
  <c r="AA7021" i="23"/>
  <c r="AA7003" i="23"/>
  <c r="AA6985" i="23"/>
  <c r="AA6967" i="23"/>
  <c r="AA6948" i="23"/>
  <c r="AA6930" i="23"/>
  <c r="AA6912" i="23"/>
  <c r="AA6894" i="23"/>
  <c r="AA6878" i="23"/>
  <c r="AA6862" i="23"/>
  <c r="AA6846" i="23"/>
  <c r="AA6830" i="23"/>
  <c r="AA6814" i="23"/>
  <c r="AA6798" i="23"/>
  <c r="AA6782" i="23"/>
  <c r="AA6766" i="23"/>
  <c r="AA6750" i="23"/>
  <c r="AA6734" i="23"/>
  <c r="AA6718" i="23"/>
  <c r="AA6702" i="23"/>
  <c r="AA6686" i="23"/>
  <c r="AA6670" i="23"/>
  <c r="AA6654" i="23"/>
  <c r="AA6638" i="23"/>
  <c r="AA6622" i="23"/>
  <c r="AA6606" i="23"/>
  <c r="AA6590" i="23"/>
  <c r="AA6574" i="23"/>
  <c r="AA6558" i="23"/>
  <c r="AA6542" i="23"/>
  <c r="AA6526" i="23"/>
  <c r="AA6510" i="23"/>
  <c r="AA6494" i="23"/>
  <c r="AA6478" i="23"/>
  <c r="AA6462" i="23"/>
  <c r="AA6446" i="23"/>
  <c r="AA6430" i="23"/>
  <c r="AA6414" i="23"/>
  <c r="AA6398" i="23"/>
  <c r="AA6382" i="23"/>
  <c r="AA6366" i="23"/>
  <c r="AA6350" i="23"/>
  <c r="AA6334" i="23"/>
  <c r="AA6318" i="23"/>
  <c r="AA6302" i="23"/>
  <c r="AA6286" i="23"/>
  <c r="AA6270" i="23"/>
  <c r="AA6254" i="23"/>
  <c r="AA6238" i="23"/>
  <c r="AA6222" i="23"/>
  <c r="AA6206" i="23"/>
  <c r="AA6190" i="23"/>
  <c r="AA6174" i="23"/>
  <c r="AA6158" i="23"/>
  <c r="AA6142" i="23"/>
  <c r="AA6126" i="23"/>
  <c r="AA6110" i="23"/>
  <c r="AA6094" i="23"/>
  <c r="AA6078" i="23"/>
  <c r="AA6062" i="23"/>
  <c r="AA6046" i="23"/>
  <c r="AA6030" i="23"/>
  <c r="AA6014" i="23"/>
  <c r="AA5998" i="23"/>
  <c r="AA5982" i="23"/>
  <c r="AA5968" i="23"/>
  <c r="AA5957" i="23"/>
  <c r="AA5943" i="23"/>
  <c r="AA5929" i="23"/>
  <c r="AA5918" i="23"/>
  <c r="AA5904" i="23"/>
  <c r="AA5893" i="23"/>
  <c r="AA5879" i="23"/>
  <c r="AA5865" i="23"/>
  <c r="AA5854" i="23"/>
  <c r="AA5840" i="23"/>
  <c r="AA5829" i="23"/>
  <c r="AA5815" i="23"/>
  <c r="AA5801" i="23"/>
  <c r="AA5790" i="23"/>
  <c r="AA5776" i="23"/>
  <c r="AA5765" i="23"/>
  <c r="AA5751" i="23"/>
  <c r="AA5737" i="23"/>
  <c r="AA5726" i="23"/>
  <c r="AA5712" i="23"/>
  <c r="AA5701" i="23"/>
  <c r="AA5687" i="23"/>
  <c r="AA5673" i="23"/>
  <c r="AA5662" i="23"/>
  <c r="AA5648" i="23"/>
  <c r="AA5637" i="23"/>
  <c r="AA5623" i="23"/>
  <c r="AA5609" i="23"/>
  <c r="AA5598" i="23"/>
  <c r="AA5584" i="23"/>
  <c r="AA5574" i="23"/>
  <c r="AA5562" i="23"/>
  <c r="AA5552" i="23"/>
  <c r="AA5543" i="23"/>
  <c r="AA5534" i="23"/>
  <c r="AA5525" i="23"/>
  <c r="AA5515" i="23"/>
  <c r="AA5506" i="23"/>
  <c r="AA5497" i="23"/>
  <c r="AA5488" i="23"/>
  <c r="AA5479" i="23"/>
  <c r="AA5470" i="23"/>
  <c r="AA5461" i="23"/>
  <c r="AA5451" i="23"/>
  <c r="AA5442" i="23"/>
  <c r="AA5433" i="23"/>
  <c r="AA5424" i="23"/>
  <c r="AA5415" i="23"/>
  <c r="AA5406" i="23"/>
  <c r="AA5398" i="23"/>
  <c r="AA5390" i="23"/>
  <c r="AA5382" i="23"/>
  <c r="AA5374" i="23"/>
  <c r="AA5366" i="23"/>
  <c r="AF1074" i="23"/>
  <c r="AF1046" i="23"/>
  <c r="AF1021" i="23"/>
  <c r="AF996" i="23"/>
  <c r="AF971" i="23"/>
  <c r="AF946" i="23"/>
  <c r="AF918" i="23"/>
  <c r="AF893" i="23"/>
  <c r="AF868" i="23"/>
  <c r="AF843" i="23"/>
  <c r="AF818" i="23"/>
  <c r="AF790" i="23"/>
  <c r="AF765" i="23"/>
  <c r="AF740" i="23"/>
  <c r="AF715" i="23"/>
  <c r="AF690" i="23"/>
  <c r="AF662" i="23"/>
  <c r="AF637" i="23"/>
  <c r="AF612" i="23"/>
  <c r="AF587" i="23"/>
  <c r="AF562" i="23"/>
  <c r="AF534" i="23"/>
  <c r="AF509" i="23"/>
  <c r="AF484" i="23"/>
  <c r="AF459" i="23"/>
  <c r="AF434" i="23"/>
  <c r="AF406" i="23"/>
  <c r="AF381" i="23"/>
  <c r="AF356" i="23"/>
  <c r="AF331" i="23"/>
  <c r="AF306" i="23"/>
  <c r="AF278" i="23"/>
  <c r="AF253" i="23"/>
  <c r="AF228" i="23"/>
  <c r="AF203" i="23"/>
  <c r="AF178" i="23"/>
  <c r="AF150" i="23"/>
  <c r="AF125" i="23"/>
  <c r="AF100" i="23"/>
  <c r="AF75" i="23"/>
  <c r="AF50" i="23"/>
  <c r="AF22" i="23"/>
  <c r="AA7146" i="23"/>
  <c r="AA7121" i="23"/>
  <c r="AA7099" i="23"/>
  <c r="AA7079" i="23"/>
  <c r="AA7057" i="23"/>
  <c r="AA7039" i="23"/>
  <c r="AA7020" i="23"/>
  <c r="AA7002" i="23"/>
  <c r="AA6984" i="23"/>
  <c r="AA6965" i="23"/>
  <c r="AA6947" i="23"/>
  <c r="AA6929" i="23"/>
  <c r="AA6911" i="23"/>
  <c r="AA6893" i="23"/>
  <c r="AA6877" i="23"/>
  <c r="AA6861" i="23"/>
  <c r="AA6845" i="23"/>
  <c r="AA6829" i="23"/>
  <c r="AA6813" i="23"/>
  <c r="AA6797" i="23"/>
  <c r="AA6781" i="23"/>
  <c r="AA6765" i="23"/>
  <c r="AA6749" i="23"/>
  <c r="AA6733" i="23"/>
  <c r="AA6717" i="23"/>
  <c r="AA6701" i="23"/>
  <c r="AA6685" i="23"/>
  <c r="AA6669" i="23"/>
  <c r="AA6653" i="23"/>
  <c r="AA6637" i="23"/>
  <c r="AA6621" i="23"/>
  <c r="AA6605" i="23"/>
  <c r="AA6589" i="23"/>
  <c r="AA6573" i="23"/>
  <c r="AA6557" i="23"/>
  <c r="AA6541" i="23"/>
  <c r="AA6525" i="23"/>
  <c r="AA6509" i="23"/>
  <c r="AA6493" i="23"/>
  <c r="AA6477" i="23"/>
  <c r="AA6461" i="23"/>
  <c r="AA6445" i="23"/>
  <c r="AA6429" i="23"/>
  <c r="AA6413" i="23"/>
  <c r="AA6397" i="23"/>
  <c r="AA6381" i="23"/>
  <c r="AA6365" i="23"/>
  <c r="AA6349" i="23"/>
  <c r="AA6333" i="23"/>
  <c r="AA6317" i="23"/>
  <c r="AA6301" i="23"/>
  <c r="AA6285" i="23"/>
  <c r="AA6269" i="23"/>
  <c r="AA6253" i="23"/>
  <c r="AA6237" i="23"/>
  <c r="AA6221" i="23"/>
  <c r="AA6205" i="23"/>
  <c r="AA6189" i="23"/>
  <c r="AA6173" i="23"/>
  <c r="AA6157" i="23"/>
  <c r="AA6141" i="23"/>
  <c r="AA6125" i="23"/>
  <c r="AA6109" i="23"/>
  <c r="AA6093" i="23"/>
  <c r="AA6077" i="23"/>
  <c r="AA6061" i="23"/>
  <c r="AA6045" i="23"/>
  <c r="AA6029" i="23"/>
  <c r="AA6013" i="23"/>
  <c r="AA5997" i="23"/>
  <c r="AA5981" i="23"/>
  <c r="AA5967" i="23"/>
  <c r="AA5953" i="23"/>
  <c r="AA5942" i="23"/>
  <c r="AA5928" i="23"/>
  <c r="AA5917" i="23"/>
  <c r="AA5903" i="23"/>
  <c r="AA5889" i="23"/>
  <c r="AA5878" i="23"/>
  <c r="AA5864" i="23"/>
  <c r="AA5853" i="23"/>
  <c r="AA5839" i="23"/>
  <c r="AA5825" i="23"/>
  <c r="AA5814" i="23"/>
  <c r="AA5800" i="23"/>
  <c r="AA5789" i="23"/>
  <c r="AA5775" i="23"/>
  <c r="AA5761" i="23"/>
  <c r="AA5750" i="23"/>
  <c r="AA5736" i="23"/>
  <c r="AA5725" i="23"/>
  <c r="AA5711" i="23"/>
  <c r="AA5697" i="23"/>
  <c r="AA5686" i="23"/>
  <c r="AA5672" i="23"/>
  <c r="AA5661" i="23"/>
  <c r="AA5647" i="23"/>
  <c r="AA5633" i="23"/>
  <c r="AA5622" i="23"/>
  <c r="AA5608" i="23"/>
  <c r="AA5597" i="23"/>
  <c r="AA5583" i="23"/>
  <c r="AA5573" i="23"/>
  <c r="AA5561" i="23"/>
  <c r="AA5551" i="23"/>
  <c r="AA5542" i="23"/>
  <c r="AA5533" i="23"/>
  <c r="AA5523" i="23"/>
  <c r="AA5514" i="23"/>
  <c r="AA5505" i="23"/>
  <c r="AA5496" i="23"/>
  <c r="AA5487" i="23"/>
  <c r="AA5478" i="23"/>
  <c r="AA5469" i="23"/>
  <c r="AA5459" i="23"/>
  <c r="AA5450" i="23"/>
  <c r="AA5441" i="23"/>
  <c r="AA5432" i="23"/>
  <c r="AA5423" i="23"/>
  <c r="AA5414" i="23"/>
  <c r="AA5405" i="23"/>
  <c r="AA5397" i="23"/>
  <c r="AA5389" i="23"/>
  <c r="AA5381" i="23"/>
  <c r="AA5373" i="23"/>
  <c r="AA5365" i="23"/>
  <c r="AA5357" i="23"/>
  <c r="AA5349" i="23"/>
  <c r="AF1092" i="23"/>
  <c r="AF1066" i="23"/>
  <c r="AF1038" i="23"/>
  <c r="AF1013" i="23"/>
  <c r="AF988" i="23"/>
  <c r="AF963" i="23"/>
  <c r="AF938" i="23"/>
  <c r="AF910" i="23"/>
  <c r="AF885" i="23"/>
  <c r="AF860" i="23"/>
  <c r="AF835" i="23"/>
  <c r="AF810" i="23"/>
  <c r="AF782" i="23"/>
  <c r="AF757" i="23"/>
  <c r="AF732" i="23"/>
  <c r="AF707" i="23"/>
  <c r="AF682" i="23"/>
  <c r="AF654" i="23"/>
  <c r="AF629" i="23"/>
  <c r="AF604" i="23"/>
  <c r="AF579" i="23"/>
  <c r="AF554" i="23"/>
  <c r="AF526" i="23"/>
  <c r="AF501" i="23"/>
  <c r="AF476" i="23"/>
  <c r="AF451" i="23"/>
  <c r="AF426" i="23"/>
  <c r="AF398" i="23"/>
  <c r="AF373" i="23"/>
  <c r="AF348" i="23"/>
  <c r="AF323" i="23"/>
  <c r="AF298" i="23"/>
  <c r="AF270" i="23"/>
  <c r="AF245" i="23"/>
  <c r="AF220" i="23"/>
  <c r="AF195" i="23"/>
  <c r="AF170" i="23"/>
  <c r="AF142" i="23"/>
  <c r="AF117" i="23"/>
  <c r="AF92" i="23"/>
  <c r="AF67" i="23"/>
  <c r="AF42" i="23"/>
  <c r="AF14" i="23"/>
  <c r="AA7138" i="23"/>
  <c r="AA7114" i="23"/>
  <c r="AA7092" i="23"/>
  <c r="AA7072" i="23"/>
  <c r="AA7051" i="23"/>
  <c r="AA7033" i="23"/>
  <c r="AA7015" i="23"/>
  <c r="AA6996" i="23"/>
  <c r="AA6978" i="23"/>
  <c r="AA6960" i="23"/>
  <c r="AA6941" i="23"/>
  <c r="AA6923" i="23"/>
  <c r="AA6905" i="23"/>
  <c r="AA6888" i="23"/>
  <c r="AA6872" i="23"/>
  <c r="AA6856" i="23"/>
  <c r="AA6840" i="23"/>
  <c r="AA6824" i="23"/>
  <c r="AA6808" i="23"/>
  <c r="AA6792" i="23"/>
  <c r="AA6776" i="23"/>
  <c r="AA6760" i="23"/>
  <c r="AA6744" i="23"/>
  <c r="AA6728" i="23"/>
  <c r="AA6712" i="23"/>
  <c r="AA6696" i="23"/>
  <c r="AA6680" i="23"/>
  <c r="AA6664" i="23"/>
  <c r="AA6648" i="23"/>
  <c r="AA6632" i="23"/>
  <c r="AA6616" i="23"/>
  <c r="AA6600" i="23"/>
  <c r="AA6584" i="23"/>
  <c r="AA6568" i="23"/>
  <c r="AA6552" i="23"/>
  <c r="AA6536" i="23"/>
  <c r="AA6520" i="23"/>
  <c r="AA6504" i="23"/>
  <c r="AA6488" i="23"/>
  <c r="AA6472" i="23"/>
  <c r="AA6456" i="23"/>
  <c r="AA6440" i="23"/>
  <c r="AA6424" i="23"/>
  <c r="AA6408" i="23"/>
  <c r="AA6392" i="23"/>
  <c r="AA6376" i="23"/>
  <c r="AA6360" i="23"/>
  <c r="AA6344" i="23"/>
  <c r="AA6328" i="23"/>
  <c r="AA6312" i="23"/>
  <c r="AA6296" i="23"/>
  <c r="AA6280" i="23"/>
  <c r="AA6264" i="23"/>
  <c r="AA6248" i="23"/>
  <c r="AA6232" i="23"/>
  <c r="AA6216" i="23"/>
  <c r="AA6200" i="23"/>
  <c r="AA6184" i="23"/>
  <c r="AA6168" i="23"/>
  <c r="AA6152" i="23"/>
  <c r="AA6136" i="23"/>
  <c r="AA6120" i="23"/>
  <c r="AA6104" i="23"/>
  <c r="AA6088" i="23"/>
  <c r="AA6072" i="23"/>
  <c r="AA6056" i="23"/>
  <c r="AA6040" i="23"/>
  <c r="AA6024" i="23"/>
  <c r="AA6008" i="23"/>
  <c r="AA5992" i="23"/>
  <c r="AA5977" i="23"/>
  <c r="AA5966" i="23"/>
  <c r="AA5952" i="23"/>
  <c r="AA5941" i="23"/>
  <c r="AA5927" i="23"/>
  <c r="AA5913" i="23"/>
  <c r="AA5902" i="23"/>
  <c r="AA5888" i="23"/>
  <c r="AA5877" i="23"/>
  <c r="AA5863" i="23"/>
  <c r="AA5849" i="23"/>
  <c r="AA5838" i="23"/>
  <c r="AA5824" i="23"/>
  <c r="AA5813" i="23"/>
  <c r="AA5799" i="23"/>
  <c r="AA5785" i="23"/>
  <c r="AA5774" i="23"/>
  <c r="AA5760" i="23"/>
  <c r="AA5749" i="23"/>
  <c r="AA5735" i="23"/>
  <c r="AA5721" i="23"/>
  <c r="AA5710" i="23"/>
  <c r="AA5696" i="23"/>
  <c r="AA5685" i="23"/>
  <c r="AA5671" i="23"/>
  <c r="AA5657" i="23"/>
  <c r="AA5646" i="23"/>
  <c r="AA5632" i="23"/>
  <c r="AA5621" i="23"/>
  <c r="AA5607" i="23"/>
  <c r="AA5593" i="23"/>
  <c r="AA5582" i="23"/>
  <c r="AA5570" i="23"/>
  <c r="AA5560" i="23"/>
  <c r="AA5550" i="23"/>
  <c r="AA5541" i="23"/>
  <c r="AA5531" i="23"/>
  <c r="AA5522" i="23"/>
  <c r="AA5513" i="23"/>
  <c r="AA5504" i="23"/>
  <c r="AA5495" i="23"/>
  <c r="AA5486" i="23"/>
  <c r="AA5477" i="23"/>
  <c r="AA5467" i="23"/>
  <c r="AA5458" i="23"/>
  <c r="AA5449" i="23"/>
  <c r="AA5440" i="23"/>
  <c r="AA5431" i="23"/>
  <c r="AA5422" i="23"/>
  <c r="AA5413" i="23"/>
  <c r="AA5404" i="23"/>
  <c r="AA5396" i="23"/>
  <c r="AA5388" i="23"/>
  <c r="AA5380" i="23"/>
  <c r="AA5372" i="23"/>
  <c r="AF1091" i="23"/>
  <c r="AF1062" i="23"/>
  <c r="AF1037" i="23"/>
  <c r="AF1012" i="23"/>
  <c r="AF987" i="23"/>
  <c r="AF962" i="23"/>
  <c r="AF934" i="23"/>
  <c r="AF909" i="23"/>
  <c r="AF884" i="23"/>
  <c r="AF859" i="23"/>
  <c r="AF834" i="23"/>
  <c r="AF806" i="23"/>
  <c r="AF781" i="23"/>
  <c r="AF756" i="23"/>
  <c r="AF731" i="23"/>
  <c r="AF706" i="23"/>
  <c r="AF678" i="23"/>
  <c r="AF653" i="23"/>
  <c r="AF628" i="23"/>
  <c r="AF603" i="23"/>
  <c r="AF578" i="23"/>
  <c r="AF550" i="23"/>
  <c r="AF525" i="23"/>
  <c r="AF500" i="23"/>
  <c r="AF475" i="23"/>
  <c r="AF450" i="23"/>
  <c r="AF422" i="23"/>
  <c r="AF397" i="23"/>
  <c r="AF372" i="23"/>
  <c r="AF347" i="23"/>
  <c r="AF322" i="23"/>
  <c r="AF294" i="23"/>
  <c r="AF269" i="23"/>
  <c r="AF244" i="23"/>
  <c r="AF219" i="23"/>
  <c r="AF194" i="23"/>
  <c r="AF166" i="23"/>
  <c r="AF141" i="23"/>
  <c r="AF116" i="23"/>
  <c r="AF91" i="23"/>
  <c r="AF66" i="23"/>
  <c r="AF38" i="23"/>
  <c r="AF13" i="23"/>
  <c r="AA7137" i="23"/>
  <c r="AA7113" i="23"/>
  <c r="AA7091" i="23"/>
  <c r="AA7071" i="23"/>
  <c r="AA7050" i="23"/>
  <c r="AA7032" i="23"/>
  <c r="AA7013" i="23"/>
  <c r="AA6995" i="23"/>
  <c r="AA6977" i="23"/>
  <c r="AA6959" i="23"/>
  <c r="AA6940" i="23"/>
  <c r="AA6922" i="23"/>
  <c r="AA6904" i="23"/>
  <c r="AA6887" i="23"/>
  <c r="AA6871" i="23"/>
  <c r="AA6855" i="23"/>
  <c r="AA6839" i="23"/>
  <c r="AA6823" i="23"/>
  <c r="AA6807" i="23"/>
  <c r="AA6791" i="23"/>
  <c r="AA6775" i="23"/>
  <c r="AA6759" i="23"/>
  <c r="AA6743" i="23"/>
  <c r="AA6727" i="23"/>
  <c r="AA6711" i="23"/>
  <c r="AA6695" i="23"/>
  <c r="AA6679" i="23"/>
  <c r="AA6663" i="23"/>
  <c r="AA6647" i="23"/>
  <c r="AA6631" i="23"/>
  <c r="AA6615" i="23"/>
  <c r="AA6599" i="23"/>
  <c r="AA6583" i="23"/>
  <c r="AA6567" i="23"/>
  <c r="AA6551" i="23"/>
  <c r="AA6535" i="23"/>
  <c r="AA6519" i="23"/>
  <c r="AA6503" i="23"/>
  <c r="AA6487" i="23"/>
  <c r="AA6471" i="23"/>
  <c r="AA6455" i="23"/>
  <c r="AA6439" i="23"/>
  <c r="AA6423" i="23"/>
  <c r="AA6407" i="23"/>
  <c r="AA6391" i="23"/>
  <c r="AA6375" i="23"/>
  <c r="AA6359" i="23"/>
  <c r="AA6343" i="23"/>
  <c r="AA6327" i="23"/>
  <c r="AA6311" i="23"/>
  <c r="AA6295" i="23"/>
  <c r="AA6279" i="23"/>
  <c r="AA6263" i="23"/>
  <c r="AA6247" i="23"/>
  <c r="AA6231" i="23"/>
  <c r="AA6215" i="23"/>
  <c r="AA6199" i="23"/>
  <c r="AA6183" i="23"/>
  <c r="AA6167" i="23"/>
  <c r="AA6151" i="23"/>
  <c r="AA6135" i="23"/>
  <c r="AA6119" i="23"/>
  <c r="AA6103" i="23"/>
  <c r="AA6087" i="23"/>
  <c r="AA6071" i="23"/>
  <c r="AA6055" i="23"/>
  <c r="AA6039" i="23"/>
  <c r="AA6023" i="23"/>
  <c r="AA6007" i="23"/>
  <c r="AA5991" i="23"/>
  <c r="AA5976" i="23"/>
  <c r="AA5965" i="23"/>
  <c r="AA5951" i="23"/>
  <c r="AA5937" i="23"/>
  <c r="AA5926" i="23"/>
  <c r="AA5912" i="23"/>
  <c r="AA5901" i="23"/>
  <c r="AA5887" i="23"/>
  <c r="AA5873" i="23"/>
  <c r="AA5862" i="23"/>
  <c r="AA5848" i="23"/>
  <c r="AA5837" i="23"/>
  <c r="AA5823" i="23"/>
  <c r="AA5809" i="23"/>
  <c r="AA5798" i="23"/>
  <c r="AA5784" i="23"/>
  <c r="AA5773" i="23"/>
  <c r="AA5759" i="23"/>
  <c r="AA5745" i="23"/>
  <c r="AA5734" i="23"/>
  <c r="AA5720" i="23"/>
  <c r="AA5709" i="23"/>
  <c r="AA5695" i="23"/>
  <c r="AA5681" i="23"/>
  <c r="AA5670" i="23"/>
  <c r="AA5656" i="23"/>
  <c r="AA5645" i="23"/>
  <c r="AA5631" i="23"/>
  <c r="AA5617" i="23"/>
  <c r="AA5606" i="23"/>
  <c r="AA5592" i="23"/>
  <c r="AA5581" i="23"/>
  <c r="AA5569" i="23"/>
  <c r="AA5559" i="23"/>
  <c r="AA5549" i="23"/>
  <c r="AA5539" i="23"/>
  <c r="AA5530" i="23"/>
  <c r="AA5521" i="23"/>
  <c r="AA5512" i="23"/>
  <c r="AA5503" i="23"/>
  <c r="AA5494" i="23"/>
  <c r="AA5485" i="23"/>
  <c r="AA5475" i="23"/>
  <c r="AA5466" i="23"/>
  <c r="AA5457" i="23"/>
  <c r="AA5448" i="23"/>
  <c r="AA5439" i="23"/>
  <c r="AA5430" i="23"/>
  <c r="AA5421" i="23"/>
  <c r="AA5411" i="23"/>
  <c r="AA5403" i="23"/>
  <c r="AA5395" i="23"/>
  <c r="AA5387" i="23"/>
  <c r="AA5379" i="23"/>
  <c r="AA5371" i="23"/>
  <c r="AA5363" i="23"/>
  <c r="AA5355" i="23"/>
  <c r="AA5347" i="23"/>
  <c r="AF1090" i="23"/>
  <c r="AF1061" i="23"/>
  <c r="AF1036" i="23"/>
  <c r="AF1011" i="23"/>
  <c r="AF986" i="23"/>
  <c r="AF958" i="23"/>
  <c r="AF933" i="23"/>
  <c r="AF908" i="23"/>
  <c r="AF883" i="23"/>
  <c r="AF858" i="23"/>
  <c r="AF830" i="23"/>
  <c r="AF805" i="23"/>
  <c r="AF780" i="23"/>
  <c r="AF755" i="23"/>
  <c r="AF730" i="23"/>
  <c r="AF702" i="23"/>
  <c r="AF677" i="23"/>
  <c r="AF652" i="23"/>
  <c r="AF627" i="23"/>
  <c r="AF602" i="23"/>
  <c r="AF574" i="23"/>
  <c r="AF549" i="23"/>
  <c r="AF524" i="23"/>
  <c r="AF499" i="23"/>
  <c r="AF474" i="23"/>
  <c r="AF446" i="23"/>
  <c r="AF421" i="23"/>
  <c r="AF396" i="23"/>
  <c r="AF371" i="23"/>
  <c r="AF346" i="23"/>
  <c r="AF318" i="23"/>
  <c r="AF293" i="23"/>
  <c r="AF268" i="23"/>
  <c r="AF243" i="23"/>
  <c r="AF218" i="23"/>
  <c r="AF190" i="23"/>
  <c r="AF165" i="23"/>
  <c r="AF140" i="23"/>
  <c r="AF115" i="23"/>
  <c r="AF90" i="23"/>
  <c r="AF62" i="23"/>
  <c r="AF37" i="23"/>
  <c r="AF12" i="23"/>
  <c r="Q24" i="6" s="1"/>
  <c r="AA7136" i="23"/>
  <c r="AA7112" i="23"/>
  <c r="AA7090" i="23"/>
  <c r="AA7068" i="23"/>
  <c r="AA7049" i="23"/>
  <c r="AA7031" i="23"/>
  <c r="AA7012" i="23"/>
  <c r="AA6994" i="23"/>
  <c r="AA6976" i="23"/>
  <c r="AA6957" i="23"/>
  <c r="AA6939" i="23"/>
  <c r="AA6921" i="23"/>
  <c r="AA6903" i="23"/>
  <c r="AA6886" i="23"/>
  <c r="AA6870" i="23"/>
  <c r="AA6854" i="23"/>
  <c r="AA6838" i="23"/>
  <c r="AA6822" i="23"/>
  <c r="AA6806" i="23"/>
  <c r="AA6790" i="23"/>
  <c r="AA6774" i="23"/>
  <c r="AA6758" i="23"/>
  <c r="AA6742" i="23"/>
  <c r="AA6726" i="23"/>
  <c r="AA6710" i="23"/>
  <c r="AA6694" i="23"/>
  <c r="AA6678" i="23"/>
  <c r="AA6662" i="23"/>
  <c r="AA6646" i="23"/>
  <c r="AA6630" i="23"/>
  <c r="AA6614" i="23"/>
  <c r="AA6598" i="23"/>
  <c r="AA6582" i="23"/>
  <c r="AA6566" i="23"/>
  <c r="AA6550" i="23"/>
  <c r="AA6534" i="23"/>
  <c r="AA6518" i="23"/>
  <c r="AA6502" i="23"/>
  <c r="AA6486" i="23"/>
  <c r="AA6470" i="23"/>
  <c r="AA6454" i="23"/>
  <c r="AA6438" i="23"/>
  <c r="AA6422" i="23"/>
  <c r="AA6406" i="23"/>
  <c r="AA6390" i="23"/>
  <c r="AA6374" i="23"/>
  <c r="AA6358" i="23"/>
  <c r="AA6342" i="23"/>
  <c r="AA6326" i="23"/>
  <c r="AA6310" i="23"/>
  <c r="AA6294" i="23"/>
  <c r="AA6278" i="23"/>
  <c r="AA6262" i="23"/>
  <c r="AA6246" i="23"/>
  <c r="AA6230" i="23"/>
  <c r="AA6214" i="23"/>
  <c r="AA6198" i="23"/>
  <c r="AA6182" i="23"/>
  <c r="AA6166" i="23"/>
  <c r="AA6150" i="23"/>
  <c r="AA6134" i="23"/>
  <c r="AA6118" i="23"/>
  <c r="AA6102" i="23"/>
  <c r="AA6086" i="23"/>
  <c r="AA6070" i="23"/>
  <c r="AA6054" i="23"/>
  <c r="AA6038" i="23"/>
  <c r="AA6022" i="23"/>
  <c r="AA6006" i="23"/>
  <c r="AA5990" i="23"/>
  <c r="AA5975" i="23"/>
  <c r="AA5961" i="23"/>
  <c r="AA5950" i="23"/>
  <c r="AA5936" i="23"/>
  <c r="AA5925" i="23"/>
  <c r="AA5911" i="23"/>
  <c r="AA5897" i="23"/>
  <c r="AA5886" i="23"/>
  <c r="AA5872" i="23"/>
  <c r="AA5861" i="23"/>
  <c r="AA5847" i="23"/>
  <c r="AA5833" i="23"/>
  <c r="AA5822" i="23"/>
  <c r="AA5808" i="23"/>
  <c r="AA5797" i="23"/>
  <c r="AA5783" i="23"/>
  <c r="AA5769" i="23"/>
  <c r="AA5758" i="23"/>
  <c r="AA5744" i="23"/>
  <c r="AA5733" i="23"/>
  <c r="AA5719" i="23"/>
  <c r="AA5705" i="23"/>
  <c r="AA5694" i="23"/>
  <c r="AA5680" i="23"/>
  <c r="AA5669" i="23"/>
  <c r="AA5655" i="23"/>
  <c r="AA5641" i="23"/>
  <c r="AA5630" i="23"/>
  <c r="AA5616" i="23"/>
  <c r="AA5605" i="23"/>
  <c r="AA5591" i="23"/>
  <c r="AA5578" i="23"/>
  <c r="AA5568" i="23"/>
  <c r="AA5558" i="23"/>
  <c r="AA5547" i="23"/>
  <c r="AA5538" i="23"/>
  <c r="AA5529" i="23"/>
  <c r="AA5520" i="23"/>
  <c r="AA5511" i="23"/>
  <c r="AA5502" i="23"/>
  <c r="AA5493" i="23"/>
  <c r="AA5483" i="23"/>
  <c r="AA5474" i="23"/>
  <c r="AA5465" i="23"/>
  <c r="AA5456" i="23"/>
  <c r="AA5447" i="23"/>
  <c r="AA5438" i="23"/>
  <c r="AA5429" i="23"/>
  <c r="AA5419" i="23"/>
  <c r="AA5410" i="23"/>
  <c r="AA5402" i="23"/>
  <c r="AA5394" i="23"/>
  <c r="AA5386" i="23"/>
  <c r="AA5378" i="23"/>
  <c r="AA5370" i="23"/>
  <c r="AA5362" i="23"/>
  <c r="AA5354" i="23"/>
  <c r="AA5346" i="23"/>
  <c r="AA5338" i="23"/>
  <c r="AA5330" i="23"/>
  <c r="AA5322" i="23"/>
  <c r="AA5314" i="23"/>
  <c r="AA5306" i="23"/>
  <c r="AA5298" i="23"/>
  <c r="AA5290" i="23"/>
  <c r="AA5282" i="23"/>
  <c r="AA5274" i="23"/>
  <c r="AA5266" i="23"/>
  <c r="AA5258" i="23"/>
  <c r="AA5250" i="23"/>
  <c r="AA5242" i="23"/>
  <c r="AA5234" i="23"/>
  <c r="AA5226" i="23"/>
  <c r="AA5218" i="23"/>
  <c r="AA5210" i="23"/>
  <c r="AA5202" i="23"/>
  <c r="AA5194" i="23"/>
  <c r="AA5186" i="23"/>
  <c r="AA5178" i="23"/>
  <c r="AA5170" i="23"/>
  <c r="AA5162" i="23"/>
  <c r="AA5154" i="23"/>
  <c r="AA5146" i="23"/>
  <c r="AA5138" i="23"/>
  <c r="AA5130" i="23"/>
  <c r="AA5122" i="23"/>
  <c r="AA5114" i="23"/>
  <c r="AA5106" i="23"/>
  <c r="AA5098" i="23"/>
  <c r="AA5090" i="23"/>
  <c r="AA5082" i="23"/>
  <c r="AA5074" i="23"/>
  <c r="AA5066" i="23"/>
  <c r="AA5058" i="23"/>
  <c r="AA5050" i="23"/>
  <c r="AA5042" i="23"/>
  <c r="AA5034" i="23"/>
  <c r="AA5026" i="23"/>
  <c r="AA5018" i="23"/>
  <c r="AA5010" i="23"/>
  <c r="AA5002" i="23"/>
  <c r="AA4994" i="23"/>
  <c r="AA4986" i="23"/>
  <c r="AA4978" i="23"/>
  <c r="AA4970" i="23"/>
  <c r="AA4962" i="23"/>
  <c r="AA4954" i="23"/>
  <c r="AA4946" i="23"/>
  <c r="AA4938" i="23"/>
  <c r="AA4930" i="23"/>
  <c r="AA4922" i="23"/>
  <c r="AA4914" i="23"/>
  <c r="AA4906" i="23"/>
  <c r="AA4898" i="23"/>
  <c r="AA4890" i="23"/>
  <c r="AA4882" i="23"/>
  <c r="AA4874" i="23"/>
  <c r="AA4866" i="23"/>
  <c r="AA4858" i="23"/>
  <c r="AA4850" i="23"/>
  <c r="AA4842" i="23"/>
  <c r="AA4834" i="23"/>
  <c r="AA4826" i="23"/>
  <c r="AA4818" i="23"/>
  <c r="AA4810" i="23"/>
  <c r="AA4802" i="23"/>
  <c r="AA4794" i="23"/>
  <c r="AA4786" i="23"/>
  <c r="AA4778" i="23"/>
  <c r="AA4770" i="23"/>
  <c r="AA4762" i="23"/>
  <c r="AA4754" i="23"/>
  <c r="AA4746" i="23"/>
  <c r="AA4738" i="23"/>
  <c r="AA4730" i="23"/>
  <c r="AA4722" i="23"/>
  <c r="AA4714" i="23"/>
  <c r="AA4706" i="23"/>
  <c r="AA4698" i="23"/>
  <c r="AA4690" i="23"/>
  <c r="AA4682" i="23"/>
  <c r="AA4674" i="23"/>
  <c r="AA4666" i="23"/>
  <c r="AA4658" i="23"/>
  <c r="AA4650" i="23"/>
  <c r="AA4642" i="23"/>
  <c r="AA4634" i="23"/>
  <c r="AA4626" i="23"/>
  <c r="AA4618" i="23"/>
  <c r="AA4610" i="23"/>
  <c r="AA4602" i="23"/>
  <c r="AA4594" i="23"/>
  <c r="AA4586" i="23"/>
  <c r="AA4578" i="23"/>
  <c r="AA4570" i="23"/>
  <c r="AA4562" i="23"/>
  <c r="AA4554" i="23"/>
  <c r="AA4546" i="23"/>
  <c r="AA4538" i="23"/>
  <c r="AA4530" i="23"/>
  <c r="AA4522" i="23"/>
  <c r="AA4514" i="23"/>
  <c r="AA4506" i="23"/>
  <c r="AA4498" i="23"/>
  <c r="AA4490" i="23"/>
  <c r="AA4482" i="23"/>
  <c r="AA4474" i="23"/>
  <c r="AA4466" i="23"/>
  <c r="AA4458" i="23"/>
  <c r="AA4450" i="23"/>
  <c r="AA4442" i="23"/>
  <c r="AA4434" i="23"/>
  <c r="AA4426" i="23"/>
  <c r="AA4418" i="23"/>
  <c r="AA4410" i="23"/>
  <c r="AA4402" i="23"/>
  <c r="AA4394" i="23"/>
  <c r="AA4386" i="23"/>
  <c r="AA4378" i="23"/>
  <c r="AA4370" i="23"/>
  <c r="AA4362" i="23"/>
  <c r="AA4354" i="23"/>
  <c r="AA4346" i="23"/>
  <c r="AA4338" i="23"/>
  <c r="AA4330" i="23"/>
  <c r="AA4322" i="23"/>
  <c r="AA4314" i="23"/>
  <c r="AA4306" i="23"/>
  <c r="AA4298" i="23"/>
  <c r="AA4290" i="23"/>
  <c r="AA4282" i="23"/>
  <c r="AA4274" i="23"/>
  <c r="AA4266" i="23"/>
  <c r="AA4258" i="23"/>
  <c r="AA4250" i="23"/>
  <c r="AA4242" i="23"/>
  <c r="AA4234" i="23"/>
  <c r="AA4226" i="23"/>
  <c r="AA4218" i="23"/>
  <c r="AA4210" i="23"/>
  <c r="AA4202" i="23"/>
  <c r="AA4194" i="23"/>
  <c r="AA4186" i="23"/>
  <c r="AA4178" i="23"/>
  <c r="AA4170" i="23"/>
  <c r="AA4162" i="23"/>
  <c r="AA4154" i="23"/>
  <c r="AA4146" i="23"/>
  <c r="AA4138" i="23"/>
  <c r="AA4130" i="23"/>
  <c r="AA4122" i="23"/>
  <c r="AA4114" i="23"/>
  <c r="AA4106" i="23"/>
  <c r="AA4098" i="23"/>
  <c r="AA4090" i="23"/>
  <c r="AA4082" i="23"/>
  <c r="AA4074" i="23"/>
  <c r="AA4066" i="23"/>
  <c r="AA4058" i="23"/>
  <c r="AA4050" i="23"/>
  <c r="AA4042" i="23"/>
  <c r="AA4034" i="23"/>
  <c r="AA4026" i="23"/>
  <c r="AA4018" i="23"/>
  <c r="AA4010" i="23"/>
  <c r="AA4002" i="23"/>
  <c r="AA3994" i="23"/>
  <c r="AA3986" i="23"/>
  <c r="AA3978" i="23"/>
  <c r="AA5350" i="23"/>
  <c r="AA5332" i="23"/>
  <c r="AA5316" i="23"/>
  <c r="AA5300" i="23"/>
  <c r="AA5284" i="23"/>
  <c r="AA5268" i="23"/>
  <c r="AA5252" i="23"/>
  <c r="AA5236" i="23"/>
  <c r="AA5220" i="23"/>
  <c r="AA5204" i="23"/>
  <c r="AA5188" i="23"/>
  <c r="AA5172" i="23"/>
  <c r="AA5156" i="23"/>
  <c r="AA5140" i="23"/>
  <c r="AA5124" i="23"/>
  <c r="AA5108" i="23"/>
  <c r="AA5092" i="23"/>
  <c r="AA5076" i="23"/>
  <c r="AA5060" i="23"/>
  <c r="AA5044" i="23"/>
  <c r="AA5028" i="23"/>
  <c r="AA5012" i="23"/>
  <c r="AA4996" i="23"/>
  <c r="AA4980" i="23"/>
  <c r="AA4964" i="23"/>
  <c r="AA4948" i="23"/>
  <c r="AA4932" i="23"/>
  <c r="AA4916" i="23"/>
  <c r="AA4900" i="23"/>
  <c r="AA4884" i="23"/>
  <c r="AA4868" i="23"/>
  <c r="AA4852" i="23"/>
  <c r="AA4836" i="23"/>
  <c r="AA4820" i="23"/>
  <c r="AA4804" i="23"/>
  <c r="AA4788" i="23"/>
  <c r="AA4772" i="23"/>
  <c r="AA4756" i="23"/>
  <c r="AA4740" i="23"/>
  <c r="AA4724" i="23"/>
  <c r="AA4708" i="23"/>
  <c r="AA4692" i="23"/>
  <c r="AA4676" i="23"/>
  <c r="AA4660" i="23"/>
  <c r="AA4644" i="23"/>
  <c r="AA4628" i="23"/>
  <c r="AA4612" i="23"/>
  <c r="AA4596" i="23"/>
  <c r="AA4580" i="23"/>
  <c r="AA4564" i="23"/>
  <c r="AA4548" i="23"/>
  <c r="AA4532" i="23"/>
  <c r="AA4516" i="23"/>
  <c r="AA4500" i="23"/>
  <c r="AA4484" i="23"/>
  <c r="AA4468" i="23"/>
  <c r="AA4452" i="23"/>
  <c r="AA4436" i="23"/>
  <c r="AA4420" i="23"/>
  <c r="AA4404" i="23"/>
  <c r="AA4388" i="23"/>
  <c r="AA4372" i="23"/>
  <c r="AA4356" i="23"/>
  <c r="AA4340" i="23"/>
  <c r="AA4324" i="23"/>
  <c r="AA4308" i="23"/>
  <c r="AA4292" i="23"/>
  <c r="AA4276" i="23"/>
  <c r="AA4260" i="23"/>
  <c r="AA4244" i="23"/>
  <c r="AA4228" i="23"/>
  <c r="AA4213" i="23"/>
  <c r="AA4203" i="23"/>
  <c r="AA4191" i="23"/>
  <c r="AA4181" i="23"/>
  <c r="AA4171" i="23"/>
  <c r="AA4159" i="23"/>
  <c r="AA4149" i="23"/>
  <c r="AA4139" i="23"/>
  <c r="AA4127" i="23"/>
  <c r="AA4117" i="23"/>
  <c r="AA4107" i="23"/>
  <c r="AA4095" i="23"/>
  <c r="AA4085" i="23"/>
  <c r="AA4075" i="23"/>
  <c r="AA4063" i="23"/>
  <c r="AA4053" i="23"/>
  <c r="AA4043" i="23"/>
  <c r="AA4031" i="23"/>
  <c r="AA4021" i="23"/>
  <c r="AA4011" i="23"/>
  <c r="AA3999" i="23"/>
  <c r="AA3989" i="23"/>
  <c r="AA3980" i="23"/>
  <c r="AA3971" i="23"/>
  <c r="AA3963" i="23"/>
  <c r="AA3955" i="23"/>
  <c r="AA3947" i="23"/>
  <c r="AA3939" i="23"/>
  <c r="AA3931" i="23"/>
  <c r="AA3923" i="23"/>
  <c r="AA3915" i="23"/>
  <c r="AA3907" i="23"/>
  <c r="AA3899" i="23"/>
  <c r="AA3891" i="23"/>
  <c r="AA3883" i="23"/>
  <c r="AA3875" i="23"/>
  <c r="AA3867" i="23"/>
  <c r="AA3859" i="23"/>
  <c r="AA3851" i="23"/>
  <c r="AA3843" i="23"/>
  <c r="AA3835" i="23"/>
  <c r="AA3827" i="23"/>
  <c r="AA3819" i="23"/>
  <c r="AA3811" i="23"/>
  <c r="AA3803" i="23"/>
  <c r="AA3795" i="23"/>
  <c r="AA3787" i="23"/>
  <c r="AA3779" i="23"/>
  <c r="AA3771" i="23"/>
  <c r="AA3763" i="23"/>
  <c r="AA3755" i="23"/>
  <c r="AA3747" i="23"/>
  <c r="AA3739" i="23"/>
  <c r="AA3731" i="23"/>
  <c r="AA3723" i="23"/>
  <c r="AA3715" i="23"/>
  <c r="AA3707" i="23"/>
  <c r="AA3699" i="23"/>
  <c r="AA3691" i="23"/>
  <c r="AA3683" i="23"/>
  <c r="AA3675" i="23"/>
  <c r="AA3667" i="23"/>
  <c r="AA3659" i="23"/>
  <c r="AA3651" i="23"/>
  <c r="AA3643" i="23"/>
  <c r="AA3635" i="23"/>
  <c r="AA3627" i="23"/>
  <c r="AA3619" i="23"/>
  <c r="AA3611" i="23"/>
  <c r="AA3603" i="23"/>
  <c r="AA3595" i="23"/>
  <c r="AA3587" i="23"/>
  <c r="AA3579" i="23"/>
  <c r="AA3571" i="23"/>
  <c r="AA3563" i="23"/>
  <c r="AA3555" i="23"/>
  <c r="AA3547" i="23"/>
  <c r="AA3539" i="23"/>
  <c r="AA3531" i="23"/>
  <c r="AA3523" i="23"/>
  <c r="AA3515" i="23"/>
  <c r="AA3507" i="23"/>
  <c r="AA3499" i="23"/>
  <c r="AA3491" i="23"/>
  <c r="AA3483" i="23"/>
  <c r="AA3475" i="23"/>
  <c r="AA3467" i="23"/>
  <c r="AA3459" i="23"/>
  <c r="AA3451" i="23"/>
  <c r="AA3443" i="23"/>
  <c r="AA3435" i="23"/>
  <c r="AA3427" i="23"/>
  <c r="AA3419" i="23"/>
  <c r="AA3411" i="23"/>
  <c r="AA3403" i="23"/>
  <c r="AA3395" i="23"/>
  <c r="AA3387" i="23"/>
  <c r="AA3379" i="23"/>
  <c r="AA3371" i="23"/>
  <c r="AA3363" i="23"/>
  <c r="AA3355" i="23"/>
  <c r="AA3347" i="23"/>
  <c r="AA3339" i="23"/>
  <c r="AA3331" i="23"/>
  <c r="AA3323" i="23"/>
  <c r="AA3315" i="23"/>
  <c r="AA3307" i="23"/>
  <c r="AA3299" i="23"/>
  <c r="AA3291" i="23"/>
  <c r="AA3283" i="23"/>
  <c r="AA3275" i="23"/>
  <c r="AA3267" i="23"/>
  <c r="AA3259" i="23"/>
  <c r="AA3251" i="23"/>
  <c r="AA3243" i="23"/>
  <c r="AA3235" i="23"/>
  <c r="AA3227" i="23"/>
  <c r="AA3219" i="23"/>
  <c r="AA3211" i="23"/>
  <c r="AA3203" i="23"/>
  <c r="AA3195" i="23"/>
  <c r="AA3187" i="23"/>
  <c r="AA3179" i="23"/>
  <c r="AA3171" i="23"/>
  <c r="AA3163" i="23"/>
  <c r="AA3155" i="23"/>
  <c r="AA3147" i="23"/>
  <c r="AA3139" i="23"/>
  <c r="AA3131" i="23"/>
  <c r="AA3123" i="23"/>
  <c r="AA3115" i="23"/>
  <c r="AA3107" i="23"/>
  <c r="AA3099" i="23"/>
  <c r="AA3091" i="23"/>
  <c r="AA3083" i="23"/>
  <c r="AA3075" i="23"/>
  <c r="AA3067" i="23"/>
  <c r="AA3059" i="23"/>
  <c r="AA3051" i="23"/>
  <c r="AA3043" i="23"/>
  <c r="AA3035" i="23"/>
  <c r="AA3027" i="23"/>
  <c r="AA3019" i="23"/>
  <c r="AA3011" i="23"/>
  <c r="AA3003" i="23"/>
  <c r="AA2995" i="23"/>
  <c r="AA2987" i="23"/>
  <c r="AA2979" i="23"/>
  <c r="AA2971" i="23"/>
  <c r="AA2963" i="23"/>
  <c r="AA2955" i="23"/>
  <c r="AA2947" i="23"/>
  <c r="AA2939" i="23"/>
  <c r="AA2931" i="23"/>
  <c r="AA2923" i="23"/>
  <c r="AA2915" i="23"/>
  <c r="AA2907" i="23"/>
  <c r="AA2899" i="23"/>
  <c r="AA2891" i="23"/>
  <c r="AA2883" i="23"/>
  <c r="AA2875" i="23"/>
  <c r="AA2867" i="23"/>
  <c r="AA2859" i="23"/>
  <c r="AA2851" i="23"/>
  <c r="AA2843" i="23"/>
  <c r="AA2835" i="23"/>
  <c r="AA2827" i="23"/>
  <c r="AA2819" i="23"/>
  <c r="AA2811" i="23"/>
  <c r="AA2803" i="23"/>
  <c r="AA2795" i="23"/>
  <c r="AA2787" i="23"/>
  <c r="AA2779" i="23"/>
  <c r="AA2771" i="23"/>
  <c r="AA2763" i="23"/>
  <c r="AA2755" i="23"/>
  <c r="AA2747" i="23"/>
  <c r="AA2739" i="23"/>
  <c r="AA2731" i="23"/>
  <c r="AA2723" i="23"/>
  <c r="AA2715" i="23"/>
  <c r="AA2707" i="23"/>
  <c r="AA2699" i="23"/>
  <c r="AA2691" i="23"/>
  <c r="AA2683" i="23"/>
  <c r="AA2675" i="23"/>
  <c r="AA2667" i="23"/>
  <c r="AA2659" i="23"/>
  <c r="AA2651" i="23"/>
  <c r="AA2643" i="23"/>
  <c r="AA2635" i="23"/>
  <c r="AA2627" i="23"/>
  <c r="AA2619" i="23"/>
  <c r="AA2611" i="23"/>
  <c r="AA2603" i="23"/>
  <c r="AA2595" i="23"/>
  <c r="AA2587" i="23"/>
  <c r="AA2579" i="23"/>
  <c r="AA2571" i="23"/>
  <c r="AA2563" i="23"/>
  <c r="AA2555" i="23"/>
  <c r="AA5348" i="23"/>
  <c r="AA5331" i="23"/>
  <c r="AA5315" i="23"/>
  <c r="AA5299" i="23"/>
  <c r="AA5283" i="23"/>
  <c r="AA5267" i="23"/>
  <c r="AA5251" i="23"/>
  <c r="AA5235" i="23"/>
  <c r="AA5219" i="23"/>
  <c r="AA5203" i="23"/>
  <c r="AA5187" i="23"/>
  <c r="AA5171" i="23"/>
  <c r="AA5155" i="23"/>
  <c r="AA5139" i="23"/>
  <c r="AA5123" i="23"/>
  <c r="AA5107" i="23"/>
  <c r="AA5091" i="23"/>
  <c r="AA5075" i="23"/>
  <c r="AA5059" i="23"/>
  <c r="AA5043" i="23"/>
  <c r="AA5027" i="23"/>
  <c r="AA5011" i="23"/>
  <c r="AA4995" i="23"/>
  <c r="AA4979" i="23"/>
  <c r="AA4963" i="23"/>
  <c r="AA4947" i="23"/>
  <c r="AA4931" i="23"/>
  <c r="AA4915" i="23"/>
  <c r="AA4899" i="23"/>
  <c r="AA4883" i="23"/>
  <c r="AA4867" i="23"/>
  <c r="AA4851" i="23"/>
  <c r="AA4835" i="23"/>
  <c r="AA4819" i="23"/>
  <c r="AA4803" i="23"/>
  <c r="AA4787" i="23"/>
  <c r="AA4771" i="23"/>
  <c r="AA4755" i="23"/>
  <c r="AA4739" i="23"/>
  <c r="AA4723" i="23"/>
  <c r="AA4707" i="23"/>
  <c r="AA4691" i="23"/>
  <c r="AA4675" i="23"/>
  <c r="AA4659" i="23"/>
  <c r="AA4643" i="23"/>
  <c r="AA4627" i="23"/>
  <c r="AA4611" i="23"/>
  <c r="AA4595" i="23"/>
  <c r="AA4579" i="23"/>
  <c r="AA4563" i="23"/>
  <c r="AA4547" i="23"/>
  <c r="AA4531" i="23"/>
  <c r="AA4515" i="23"/>
  <c r="AA4499" i="23"/>
  <c r="AA4483" i="23"/>
  <c r="AA4467" i="23"/>
  <c r="AA4451" i="23"/>
  <c r="AA4435" i="23"/>
  <c r="AA4419" i="23"/>
  <c r="AA4403" i="23"/>
  <c r="AA4387" i="23"/>
  <c r="AA4371" i="23"/>
  <c r="AA4355" i="23"/>
  <c r="AA4339" i="23"/>
  <c r="AA4323" i="23"/>
  <c r="AA4307" i="23"/>
  <c r="AA4291" i="23"/>
  <c r="AA4275" i="23"/>
  <c r="AA4259" i="23"/>
  <c r="AA4243" i="23"/>
  <c r="AA4227" i="23"/>
  <c r="AA4212" i="23"/>
  <c r="AA4201" i="23"/>
  <c r="AA4190" i="23"/>
  <c r="AA4180" i="23"/>
  <c r="AA4169" i="23"/>
  <c r="AA4158" i="23"/>
  <c r="AA4148" i="23"/>
  <c r="AA4137" i="23"/>
  <c r="AA4126" i="23"/>
  <c r="AA4116" i="23"/>
  <c r="AA4105" i="23"/>
  <c r="AA4094" i="23"/>
  <c r="AA4084" i="23"/>
  <c r="AA4073" i="23"/>
  <c r="AA4062" i="23"/>
  <c r="AA4052" i="23"/>
  <c r="AA4041" i="23"/>
  <c r="AA4030" i="23"/>
  <c r="AA4020" i="23"/>
  <c r="AA4009" i="23"/>
  <c r="AA3998" i="23"/>
  <c r="AA3988" i="23"/>
  <c r="AA3979" i="23"/>
  <c r="AA3970" i="23"/>
  <c r="AA3962" i="23"/>
  <c r="AA3954" i="23"/>
  <c r="AA3946" i="23"/>
  <c r="AA3938" i="23"/>
  <c r="AA3930" i="23"/>
  <c r="AA3922" i="23"/>
  <c r="AA3914" i="23"/>
  <c r="AA3906" i="23"/>
  <c r="AA3898" i="23"/>
  <c r="AA3890" i="23"/>
  <c r="AA3882" i="23"/>
  <c r="AA3874" i="23"/>
  <c r="AA3866" i="23"/>
  <c r="AA3858" i="23"/>
  <c r="AA3850" i="23"/>
  <c r="AA3842" i="23"/>
  <c r="AA3834" i="23"/>
  <c r="AA3826" i="23"/>
  <c r="AA3818" i="23"/>
  <c r="AA3810" i="23"/>
  <c r="AA3802" i="23"/>
  <c r="AA3794" i="23"/>
  <c r="AA3786" i="23"/>
  <c r="AA3778" i="23"/>
  <c r="AA3770" i="23"/>
  <c r="AA3762" i="23"/>
  <c r="AA3754" i="23"/>
  <c r="AA3746" i="23"/>
  <c r="AA3738" i="23"/>
  <c r="AA3730" i="23"/>
  <c r="AA3722" i="23"/>
  <c r="AA3714" i="23"/>
  <c r="AA3706" i="23"/>
  <c r="AA3698" i="23"/>
  <c r="AA3690" i="23"/>
  <c r="AA3682" i="23"/>
  <c r="AA3674" i="23"/>
  <c r="AA3666" i="23"/>
  <c r="AA3658" i="23"/>
  <c r="AA3650" i="23"/>
  <c r="AA3642" i="23"/>
  <c r="AA3634" i="23"/>
  <c r="AA3626" i="23"/>
  <c r="AA3618" i="23"/>
  <c r="AA3610" i="23"/>
  <c r="AA3602" i="23"/>
  <c r="AA3594" i="23"/>
  <c r="AA3586" i="23"/>
  <c r="AA3578" i="23"/>
  <c r="AA3570" i="23"/>
  <c r="AA3562" i="23"/>
  <c r="AA3554" i="23"/>
  <c r="AA3546" i="23"/>
  <c r="AA3538" i="23"/>
  <c r="AA3530" i="23"/>
  <c r="AA3522" i="23"/>
  <c r="AA3514" i="23"/>
  <c r="AA3506" i="23"/>
  <c r="AA3498" i="23"/>
  <c r="AA3490" i="23"/>
  <c r="AA3482" i="23"/>
  <c r="AA3474" i="23"/>
  <c r="AA3466" i="23"/>
  <c r="AA3458" i="23"/>
  <c r="AA3450" i="23"/>
  <c r="AA3442" i="23"/>
  <c r="AA3434" i="23"/>
  <c r="AA3426" i="23"/>
  <c r="AA3418" i="23"/>
  <c r="AA3410" i="23"/>
  <c r="AA3402" i="23"/>
  <c r="AA3394" i="23"/>
  <c r="AA3386" i="23"/>
  <c r="AA3378" i="23"/>
  <c r="AA3370" i="23"/>
  <c r="AA3362" i="23"/>
  <c r="AA3354" i="23"/>
  <c r="AA3346" i="23"/>
  <c r="AA3338" i="23"/>
  <c r="AA3330" i="23"/>
  <c r="AA3322" i="23"/>
  <c r="AA3314" i="23"/>
  <c r="AA3306" i="23"/>
  <c r="AA3298" i="23"/>
  <c r="AA3290" i="23"/>
  <c r="AA3282" i="23"/>
  <c r="AA3274" i="23"/>
  <c r="AA3266" i="23"/>
  <c r="AA3258" i="23"/>
  <c r="AA3250" i="23"/>
  <c r="AA3242" i="23"/>
  <c r="AA3234" i="23"/>
  <c r="AA3226" i="23"/>
  <c r="AA3218" i="23"/>
  <c r="AA3210" i="23"/>
  <c r="AA3202" i="23"/>
  <c r="AA3194" i="23"/>
  <c r="AA3186" i="23"/>
  <c r="AA3178" i="23"/>
  <c r="AA3170" i="23"/>
  <c r="AA3162" i="23"/>
  <c r="AA3154" i="23"/>
  <c r="AA3146" i="23"/>
  <c r="AA3138" i="23"/>
  <c r="AA3130" i="23"/>
  <c r="AA3122" i="23"/>
  <c r="AA3114" i="23"/>
  <c r="AA3106" i="23"/>
  <c r="AA3098" i="23"/>
  <c r="AA3090" i="23"/>
  <c r="AA3082" i="23"/>
  <c r="AA3074" i="23"/>
  <c r="AA3066" i="23"/>
  <c r="AA3058" i="23"/>
  <c r="AA3050" i="23"/>
  <c r="AA3042" i="23"/>
  <c r="AA3034" i="23"/>
  <c r="AA3026" i="23"/>
  <c r="AA3018" i="23"/>
  <c r="AA3010" i="23"/>
  <c r="AA3002" i="23"/>
  <c r="AA2994" i="23"/>
  <c r="AA2986" i="23"/>
  <c r="AA2978" i="23"/>
  <c r="AA2970" i="23"/>
  <c r="AA2962" i="23"/>
  <c r="AA2954" i="23"/>
  <c r="AA2946" i="23"/>
  <c r="AA2938" i="23"/>
  <c r="AA2930" i="23"/>
  <c r="AA2922" i="23"/>
  <c r="AA2914" i="23"/>
  <c r="AA2906" i="23"/>
  <c r="AA2898" i="23"/>
  <c r="AA5342" i="23"/>
  <c r="AA5326" i="23"/>
  <c r="AA5310" i="23"/>
  <c r="AA5294" i="23"/>
  <c r="AA5278" i="23"/>
  <c r="AA5262" i="23"/>
  <c r="AA5246" i="23"/>
  <c r="AA5230" i="23"/>
  <c r="AA5214" i="23"/>
  <c r="AA5198" i="23"/>
  <c r="AA5182" i="23"/>
  <c r="AA5166" i="23"/>
  <c r="AA5150" i="23"/>
  <c r="AA5134" i="23"/>
  <c r="AA5118" i="23"/>
  <c r="AA5102" i="23"/>
  <c r="AA5086" i="23"/>
  <c r="AA5070" i="23"/>
  <c r="AA5054" i="23"/>
  <c r="AA5038" i="23"/>
  <c r="AA5022" i="23"/>
  <c r="AA5006" i="23"/>
  <c r="AA4990" i="23"/>
  <c r="AA4974" i="23"/>
  <c r="AA4958" i="23"/>
  <c r="AA4942" i="23"/>
  <c r="AA4926" i="23"/>
  <c r="AA4910" i="23"/>
  <c r="AA4894" i="23"/>
  <c r="AA4878" i="23"/>
  <c r="AA4862" i="23"/>
  <c r="AA4846" i="23"/>
  <c r="AA4830" i="23"/>
  <c r="AA4814" i="23"/>
  <c r="AA4798" i="23"/>
  <c r="AA4782" i="23"/>
  <c r="AA4766" i="23"/>
  <c r="AA4750" i="23"/>
  <c r="AA4734" i="23"/>
  <c r="AA4718" i="23"/>
  <c r="AA4702" i="23"/>
  <c r="AA4686" i="23"/>
  <c r="AA4670" i="23"/>
  <c r="AA4654" i="23"/>
  <c r="AA4638" i="23"/>
  <c r="AA4622" i="23"/>
  <c r="AA4606" i="23"/>
  <c r="AA4590" i="23"/>
  <c r="AA4574" i="23"/>
  <c r="AA4558" i="23"/>
  <c r="AA4542" i="23"/>
  <c r="AA4526" i="23"/>
  <c r="AA4510" i="23"/>
  <c r="AA4494" i="23"/>
  <c r="AA4478" i="23"/>
  <c r="AA4462" i="23"/>
  <c r="AA4446" i="23"/>
  <c r="AA4430" i="23"/>
  <c r="AA4414" i="23"/>
  <c r="AA4398" i="23"/>
  <c r="AA4382" i="23"/>
  <c r="AA4366" i="23"/>
  <c r="AA4350" i="23"/>
  <c r="AA4334" i="23"/>
  <c r="AA4318" i="23"/>
  <c r="AA4302" i="23"/>
  <c r="AA4286" i="23"/>
  <c r="AA4270" i="23"/>
  <c r="AA4254" i="23"/>
  <c r="AA4238" i="23"/>
  <c r="AA4222" i="23"/>
  <c r="AA4211" i="23"/>
  <c r="AA4199" i="23"/>
  <c r="AA4189" i="23"/>
  <c r="AA4179" i="23"/>
  <c r="AA4167" i="23"/>
  <c r="AA4157" i="23"/>
  <c r="AA4147" i="23"/>
  <c r="AA4135" i="23"/>
  <c r="AA4125" i="23"/>
  <c r="AA4115" i="23"/>
  <c r="AA4103" i="23"/>
  <c r="AA4093" i="23"/>
  <c r="AA4083" i="23"/>
  <c r="AA4071" i="23"/>
  <c r="AA4061" i="23"/>
  <c r="AA4051" i="23"/>
  <c r="AA4039" i="23"/>
  <c r="AA4029" i="23"/>
  <c r="AA4019" i="23"/>
  <c r="AA4007" i="23"/>
  <c r="AA3997" i="23"/>
  <c r="AA3987" i="23"/>
  <c r="AA3977" i="23"/>
  <c r="AA3969" i="23"/>
  <c r="AA3961" i="23"/>
  <c r="AA3953" i="23"/>
  <c r="AA3945" i="23"/>
  <c r="AA3937" i="23"/>
  <c r="AA3929" i="23"/>
  <c r="AA3921" i="23"/>
  <c r="AA3913" i="23"/>
  <c r="AA3905" i="23"/>
  <c r="AA3897" i="23"/>
  <c r="AA3889" i="23"/>
  <c r="AA3881" i="23"/>
  <c r="AA3873" i="23"/>
  <c r="AA3865" i="23"/>
  <c r="AA3857" i="23"/>
  <c r="AA3849" i="23"/>
  <c r="AA3841" i="23"/>
  <c r="AA3833" i="23"/>
  <c r="AA3825" i="23"/>
  <c r="AA3817" i="23"/>
  <c r="AA3809" i="23"/>
  <c r="AA3801" i="23"/>
  <c r="AA3793" i="23"/>
  <c r="AA3785" i="23"/>
  <c r="AA3777" i="23"/>
  <c r="AA3769" i="23"/>
  <c r="AA3761" i="23"/>
  <c r="AA3753" i="23"/>
  <c r="AA3745" i="23"/>
  <c r="AA3737" i="23"/>
  <c r="AA3729" i="23"/>
  <c r="AA3721" i="23"/>
  <c r="AA3713" i="23"/>
  <c r="AA3705" i="23"/>
  <c r="AA3697" i="23"/>
  <c r="AA3689" i="23"/>
  <c r="AA3681" i="23"/>
  <c r="AA3673" i="23"/>
  <c r="AA3665" i="23"/>
  <c r="AA3657" i="23"/>
  <c r="AA3649" i="23"/>
  <c r="AA3641" i="23"/>
  <c r="AA3633" i="23"/>
  <c r="AA3625" i="23"/>
  <c r="AA3617" i="23"/>
  <c r="AA3609" i="23"/>
  <c r="AA3601" i="23"/>
  <c r="AA3593" i="23"/>
  <c r="AA3585" i="23"/>
  <c r="AA3577" i="23"/>
  <c r="AA3569" i="23"/>
  <c r="AA3561" i="23"/>
  <c r="AA3553" i="23"/>
  <c r="AA3545" i="23"/>
  <c r="AA3537" i="23"/>
  <c r="AA3529" i="23"/>
  <c r="AA3521" i="23"/>
  <c r="AA3513" i="23"/>
  <c r="AA3505" i="23"/>
  <c r="AA3497" i="23"/>
  <c r="AA3489" i="23"/>
  <c r="AA3481" i="23"/>
  <c r="AA3473" i="23"/>
  <c r="AA3465" i="23"/>
  <c r="AA3457" i="23"/>
  <c r="AA3449" i="23"/>
  <c r="AA3441" i="23"/>
  <c r="AA3433" i="23"/>
  <c r="AA3425" i="23"/>
  <c r="AA3417" i="23"/>
  <c r="AA3409" i="23"/>
  <c r="AA3401" i="23"/>
  <c r="AA3393" i="23"/>
  <c r="AA3385" i="23"/>
  <c r="AA3377" i="23"/>
  <c r="AA3369" i="23"/>
  <c r="AA3361" i="23"/>
  <c r="AA3353" i="23"/>
  <c r="AA3345" i="23"/>
  <c r="AA3337" i="23"/>
  <c r="AA3329" i="23"/>
  <c r="AA3321" i="23"/>
  <c r="AA3313" i="23"/>
  <c r="AA3305" i="23"/>
  <c r="AA3297" i="23"/>
  <c r="AA3289" i="23"/>
  <c r="AA3281" i="23"/>
  <c r="AA3273" i="23"/>
  <c r="AA3265" i="23"/>
  <c r="AA3257" i="23"/>
  <c r="AA3249" i="23"/>
  <c r="AA3241" i="23"/>
  <c r="AA3233" i="23"/>
  <c r="AA3225" i="23"/>
  <c r="AA3217" i="23"/>
  <c r="AA3209" i="23"/>
  <c r="AA3201" i="23"/>
  <c r="AA3193" i="23"/>
  <c r="AA3185" i="23"/>
  <c r="AA3177" i="23"/>
  <c r="AA3169" i="23"/>
  <c r="AA3161" i="23"/>
  <c r="AA3153" i="23"/>
  <c r="AA3145" i="23"/>
  <c r="AA3137" i="23"/>
  <c r="AA3129" i="23"/>
  <c r="AA3121" i="23"/>
  <c r="AA3113" i="23"/>
  <c r="AA3105" i="23"/>
  <c r="AA3097" i="23"/>
  <c r="AA3089" i="23"/>
  <c r="AA3081" i="23"/>
  <c r="AA3073" i="23"/>
  <c r="AA3065" i="23"/>
  <c r="AA3057" i="23"/>
  <c r="AA3049" i="23"/>
  <c r="AA3041" i="23"/>
  <c r="AA3033" i="23"/>
  <c r="AA3025" i="23"/>
  <c r="AA3017" i="23"/>
  <c r="AA3009" i="23"/>
  <c r="AA3001" i="23"/>
  <c r="AA2993" i="23"/>
  <c r="AA2985" i="23"/>
  <c r="AA2977" i="23"/>
  <c r="AA2969" i="23"/>
  <c r="AA2961" i="23"/>
  <c r="AA2953" i="23"/>
  <c r="AA2945" i="23"/>
  <c r="AA2937" i="23"/>
  <c r="AA2929" i="23"/>
  <c r="AA2921" i="23"/>
  <c r="AA2913" i="23"/>
  <c r="AA2905" i="23"/>
  <c r="AA2897" i="23"/>
  <c r="AA5341" i="23"/>
  <c r="AA5325" i="23"/>
  <c r="AA5309" i="23"/>
  <c r="AA5293" i="23"/>
  <c r="AA5277" i="23"/>
  <c r="AA5261" i="23"/>
  <c r="AA5245" i="23"/>
  <c r="AA5229" i="23"/>
  <c r="AA5213" i="23"/>
  <c r="AA5197" i="23"/>
  <c r="AA5181" i="23"/>
  <c r="AA5165" i="23"/>
  <c r="AA5149" i="23"/>
  <c r="AA5133" i="23"/>
  <c r="AA5117" i="23"/>
  <c r="AA5101" i="23"/>
  <c r="AA5085" i="23"/>
  <c r="AA5069" i="23"/>
  <c r="AA5053" i="23"/>
  <c r="AA5037" i="23"/>
  <c r="AA5021" i="23"/>
  <c r="AA5005" i="23"/>
  <c r="AA4989" i="23"/>
  <c r="AA4973" i="23"/>
  <c r="AA4957" i="23"/>
  <c r="AA4941" i="23"/>
  <c r="AA4925" i="23"/>
  <c r="AA4909" i="23"/>
  <c r="AA4893" i="23"/>
  <c r="AA4877" i="23"/>
  <c r="AA4861" i="23"/>
  <c r="AA4845" i="23"/>
  <c r="AA4829" i="23"/>
  <c r="AA4813" i="23"/>
  <c r="AA4797" i="23"/>
  <c r="AA4781" i="23"/>
  <c r="AA4765" i="23"/>
  <c r="AA4749" i="23"/>
  <c r="AA4733" i="23"/>
  <c r="AA4717" i="23"/>
  <c r="AA4701" i="23"/>
  <c r="AA4685" i="23"/>
  <c r="AA4669" i="23"/>
  <c r="AA4653" i="23"/>
  <c r="AA4637" i="23"/>
  <c r="AA4621" i="23"/>
  <c r="AA4605" i="23"/>
  <c r="AA4589" i="23"/>
  <c r="AA4573" i="23"/>
  <c r="AA4557" i="23"/>
  <c r="AA4541" i="23"/>
  <c r="AA4525" i="23"/>
  <c r="AA4509" i="23"/>
  <c r="AA4493" i="23"/>
  <c r="AA4477" i="23"/>
  <c r="AA4461" i="23"/>
  <c r="AA4445" i="23"/>
  <c r="AA4429" i="23"/>
  <c r="AA4413" i="23"/>
  <c r="AA4397" i="23"/>
  <c r="AA4381" i="23"/>
  <c r="AA4365" i="23"/>
  <c r="AA4349" i="23"/>
  <c r="AA4333" i="23"/>
  <c r="AA4317" i="23"/>
  <c r="AA4301" i="23"/>
  <c r="AA4285" i="23"/>
  <c r="AA4269" i="23"/>
  <c r="AA4253" i="23"/>
  <c r="AA4237" i="23"/>
  <c r="AA4221" i="23"/>
  <c r="AA4209" i="23"/>
  <c r="AA4198" i="23"/>
  <c r="AA4188" i="23"/>
  <c r="AA4177" i="23"/>
  <c r="AA4166" i="23"/>
  <c r="AA4156" i="23"/>
  <c r="AA4145" i="23"/>
  <c r="AA4134" i="23"/>
  <c r="AA4124" i="23"/>
  <c r="AA4113" i="23"/>
  <c r="AA4102" i="23"/>
  <c r="AA4092" i="23"/>
  <c r="AA4081" i="23"/>
  <c r="AA4070" i="23"/>
  <c r="AA4060" i="23"/>
  <c r="AA4049" i="23"/>
  <c r="AA4038" i="23"/>
  <c r="AA4028" i="23"/>
  <c r="AA4017" i="23"/>
  <c r="AA4006" i="23"/>
  <c r="AA3996" i="23"/>
  <c r="AA3985" i="23"/>
  <c r="AA3976" i="23"/>
  <c r="AA3968" i="23"/>
  <c r="AA3960" i="23"/>
  <c r="AA3952" i="23"/>
  <c r="AA3944" i="23"/>
  <c r="AA3936" i="23"/>
  <c r="AA3928" i="23"/>
  <c r="AA3920" i="23"/>
  <c r="AA3912" i="23"/>
  <c r="AA3904" i="23"/>
  <c r="AA3896" i="23"/>
  <c r="AA3888" i="23"/>
  <c r="AA3880" i="23"/>
  <c r="AA3872" i="23"/>
  <c r="AA3864" i="23"/>
  <c r="AA3856" i="23"/>
  <c r="AA3848" i="23"/>
  <c r="AA3840" i="23"/>
  <c r="AA3832" i="23"/>
  <c r="AA3824" i="23"/>
  <c r="AA3816" i="23"/>
  <c r="AA3808" i="23"/>
  <c r="AA3800" i="23"/>
  <c r="AA3792" i="23"/>
  <c r="AA3784" i="23"/>
  <c r="AA3776" i="23"/>
  <c r="AA3768" i="23"/>
  <c r="AA3760" i="23"/>
  <c r="AA3752" i="23"/>
  <c r="AA3744" i="23"/>
  <c r="AA3736" i="23"/>
  <c r="AA3728" i="23"/>
  <c r="AA3720" i="23"/>
  <c r="AA3712" i="23"/>
  <c r="AA3704" i="23"/>
  <c r="AA3696" i="23"/>
  <c r="AA3688" i="23"/>
  <c r="AA3680" i="23"/>
  <c r="AA3672" i="23"/>
  <c r="AA3664" i="23"/>
  <c r="AA3656" i="23"/>
  <c r="AA3648" i="23"/>
  <c r="AA3640" i="23"/>
  <c r="AA3632" i="23"/>
  <c r="AA3624" i="23"/>
  <c r="AA3616" i="23"/>
  <c r="AA3608" i="23"/>
  <c r="AA3600" i="23"/>
  <c r="AA3592" i="23"/>
  <c r="AA3584" i="23"/>
  <c r="AA3576" i="23"/>
  <c r="AA3568" i="23"/>
  <c r="AA3560" i="23"/>
  <c r="AA3552" i="23"/>
  <c r="AA3544" i="23"/>
  <c r="AA3536" i="23"/>
  <c r="AA3528" i="23"/>
  <c r="AA3520" i="23"/>
  <c r="AA3512" i="23"/>
  <c r="AA3504" i="23"/>
  <c r="AA3496" i="23"/>
  <c r="AA3488" i="23"/>
  <c r="AA3480" i="23"/>
  <c r="AA3472" i="23"/>
  <c r="AA3464" i="23"/>
  <c r="AA3456" i="23"/>
  <c r="AA3448" i="23"/>
  <c r="AA3440" i="23"/>
  <c r="AA3432" i="23"/>
  <c r="AA3424" i="23"/>
  <c r="AA3416" i="23"/>
  <c r="AA3408" i="23"/>
  <c r="AA3400" i="23"/>
  <c r="AA3392" i="23"/>
  <c r="AA3384" i="23"/>
  <c r="AA3376" i="23"/>
  <c r="AA3368" i="23"/>
  <c r="AA5340" i="23"/>
  <c r="AA5324" i="23"/>
  <c r="AA5308" i="23"/>
  <c r="AA5292" i="23"/>
  <c r="AA5276" i="23"/>
  <c r="AA5260" i="23"/>
  <c r="AA5244" i="23"/>
  <c r="AA5228" i="23"/>
  <c r="AA5212" i="23"/>
  <c r="AA5196" i="23"/>
  <c r="AA5180" i="23"/>
  <c r="AA5164" i="23"/>
  <c r="AA5148" i="23"/>
  <c r="AA5132" i="23"/>
  <c r="AA5116" i="23"/>
  <c r="AA5100" i="23"/>
  <c r="AA5084" i="23"/>
  <c r="AA5068" i="23"/>
  <c r="AA5052" i="23"/>
  <c r="AA5036" i="23"/>
  <c r="AA5020" i="23"/>
  <c r="AA5004" i="23"/>
  <c r="AA4988" i="23"/>
  <c r="AA4972" i="23"/>
  <c r="AA4956" i="23"/>
  <c r="AA4940" i="23"/>
  <c r="AA4924" i="23"/>
  <c r="AA4908" i="23"/>
  <c r="AA4892" i="23"/>
  <c r="AA4876" i="23"/>
  <c r="AA4860" i="23"/>
  <c r="AA4844" i="23"/>
  <c r="AA4828" i="23"/>
  <c r="AA4812" i="23"/>
  <c r="AA4796" i="23"/>
  <c r="AA4780" i="23"/>
  <c r="AA4764" i="23"/>
  <c r="AA4748" i="23"/>
  <c r="AA4732" i="23"/>
  <c r="AA4716" i="23"/>
  <c r="AA4700" i="23"/>
  <c r="AA4684" i="23"/>
  <c r="AA4668" i="23"/>
  <c r="AA4652" i="23"/>
  <c r="AA4636" i="23"/>
  <c r="AA4620" i="23"/>
  <c r="AA4604" i="23"/>
  <c r="AA4588" i="23"/>
  <c r="AA4572" i="23"/>
  <c r="AA4556" i="23"/>
  <c r="AA4540" i="23"/>
  <c r="AA4524" i="23"/>
  <c r="AA4508" i="23"/>
  <c r="AA4492" i="23"/>
  <c r="AA4476" i="23"/>
  <c r="AA4460" i="23"/>
  <c r="AA4444" i="23"/>
  <c r="AA4428" i="23"/>
  <c r="AA4412" i="23"/>
  <c r="AA4396" i="23"/>
  <c r="AA4380" i="23"/>
  <c r="AA4364" i="23"/>
  <c r="AA4348" i="23"/>
  <c r="AA4332" i="23"/>
  <c r="AA4316" i="23"/>
  <c r="AA4300" i="23"/>
  <c r="AA4284" i="23"/>
  <c r="AA4268" i="23"/>
  <c r="AA4252" i="23"/>
  <c r="AA4236" i="23"/>
  <c r="AA4220" i="23"/>
  <c r="AA4207" i="23"/>
  <c r="AA4197" i="23"/>
  <c r="AA4187" i="23"/>
  <c r="AA4175" i="23"/>
  <c r="AA4165" i="23"/>
  <c r="AA4155" i="23"/>
  <c r="AA4143" i="23"/>
  <c r="AA4133" i="23"/>
  <c r="AA4123" i="23"/>
  <c r="AA4111" i="23"/>
  <c r="AA4101" i="23"/>
  <c r="AA4091" i="23"/>
  <c r="AA4079" i="23"/>
  <c r="AA4069" i="23"/>
  <c r="AA4059" i="23"/>
  <c r="AA4047" i="23"/>
  <c r="AA4037" i="23"/>
  <c r="AA4027" i="23"/>
  <c r="AA4015" i="23"/>
  <c r="AA4005" i="23"/>
  <c r="AA3995" i="23"/>
  <c r="AA3984" i="23"/>
  <c r="AA3975" i="23"/>
  <c r="AA3967" i="23"/>
  <c r="AA3959" i="23"/>
  <c r="AA3951" i="23"/>
  <c r="AA3943" i="23"/>
  <c r="AA3935" i="23"/>
  <c r="AA3927" i="23"/>
  <c r="AA3919" i="23"/>
  <c r="AA3911" i="23"/>
  <c r="AA3903" i="23"/>
  <c r="AA3895" i="23"/>
  <c r="AA3887" i="23"/>
  <c r="AA3879" i="23"/>
  <c r="AA3871" i="23"/>
  <c r="AA3863" i="23"/>
  <c r="AA3855" i="23"/>
  <c r="AA3847" i="23"/>
  <c r="AA3839" i="23"/>
  <c r="AA3831" i="23"/>
  <c r="AA3823" i="23"/>
  <c r="AA3815" i="23"/>
  <c r="AA3807" i="23"/>
  <c r="AA3799" i="23"/>
  <c r="AA3791" i="23"/>
  <c r="AA3783" i="23"/>
  <c r="AA3775" i="23"/>
  <c r="AA3767" i="23"/>
  <c r="AA3759" i="23"/>
  <c r="AA3751" i="23"/>
  <c r="AA3743" i="23"/>
  <c r="AA3735" i="23"/>
  <c r="AA3727" i="23"/>
  <c r="AA3719" i="23"/>
  <c r="AA3711" i="23"/>
  <c r="AA3703" i="23"/>
  <c r="AA3695" i="23"/>
  <c r="AA3687" i="23"/>
  <c r="AA3679" i="23"/>
  <c r="AA3671" i="23"/>
  <c r="AA3663" i="23"/>
  <c r="AA3655" i="23"/>
  <c r="AA3647" i="23"/>
  <c r="AA3639" i="23"/>
  <c r="AA3631" i="23"/>
  <c r="AA3623" i="23"/>
  <c r="AA3615" i="23"/>
  <c r="AA3607" i="23"/>
  <c r="AA3599" i="23"/>
  <c r="AA3591" i="23"/>
  <c r="AA3583" i="23"/>
  <c r="AA3575" i="23"/>
  <c r="AA3567" i="23"/>
  <c r="AA3559" i="23"/>
  <c r="AA3551" i="23"/>
  <c r="AA3543" i="23"/>
  <c r="AA3535" i="23"/>
  <c r="AA3527" i="23"/>
  <c r="AA3519" i="23"/>
  <c r="AA3511" i="23"/>
  <c r="AA3503" i="23"/>
  <c r="AA3495" i="23"/>
  <c r="AA3487" i="23"/>
  <c r="AA3479" i="23"/>
  <c r="AA5364" i="23"/>
  <c r="AA5339" i="23"/>
  <c r="AA5323" i="23"/>
  <c r="AA5307" i="23"/>
  <c r="AA5291" i="23"/>
  <c r="AA5275" i="23"/>
  <c r="AA5259" i="23"/>
  <c r="AA5243" i="23"/>
  <c r="AA5227" i="23"/>
  <c r="AA5211" i="23"/>
  <c r="AA5195" i="23"/>
  <c r="AA5179" i="23"/>
  <c r="AA5163" i="23"/>
  <c r="AA5147" i="23"/>
  <c r="AA5131" i="23"/>
  <c r="AA5115" i="23"/>
  <c r="AA5099" i="23"/>
  <c r="AA5083" i="23"/>
  <c r="AA5067" i="23"/>
  <c r="AA5051" i="23"/>
  <c r="AA5035" i="23"/>
  <c r="AA5019" i="23"/>
  <c r="AA5003" i="23"/>
  <c r="AA4987" i="23"/>
  <c r="AA4971" i="23"/>
  <c r="AA4955" i="23"/>
  <c r="AA4939" i="23"/>
  <c r="AA4923" i="23"/>
  <c r="AA4907" i="23"/>
  <c r="AA4891" i="23"/>
  <c r="AA4875" i="23"/>
  <c r="AA4859" i="23"/>
  <c r="AA4843" i="23"/>
  <c r="AA4827" i="23"/>
  <c r="AA4811" i="23"/>
  <c r="AA4795" i="23"/>
  <c r="AA4779" i="23"/>
  <c r="AA4763" i="23"/>
  <c r="AA4747" i="23"/>
  <c r="AA4731" i="23"/>
  <c r="AA4715" i="23"/>
  <c r="AA4699" i="23"/>
  <c r="AA4683" i="23"/>
  <c r="AA4667" i="23"/>
  <c r="AA4651" i="23"/>
  <c r="AA4635" i="23"/>
  <c r="AA4619" i="23"/>
  <c r="AA4603" i="23"/>
  <c r="AA4587" i="23"/>
  <c r="AA4571" i="23"/>
  <c r="AA4555" i="23"/>
  <c r="AA4539" i="23"/>
  <c r="AA4523" i="23"/>
  <c r="AA4507" i="23"/>
  <c r="AA4491" i="23"/>
  <c r="AA4475" i="23"/>
  <c r="AA4459" i="23"/>
  <c r="AA4443" i="23"/>
  <c r="AA4427" i="23"/>
  <c r="AA4411" i="23"/>
  <c r="AA4395" i="23"/>
  <c r="AA4379" i="23"/>
  <c r="AA4363" i="23"/>
  <c r="AA4347" i="23"/>
  <c r="AA4331" i="23"/>
  <c r="AA4315" i="23"/>
  <c r="AA4299" i="23"/>
  <c r="AA4283" i="23"/>
  <c r="AA4267" i="23"/>
  <c r="AA4251" i="23"/>
  <c r="AA4235" i="23"/>
  <c r="AA4219" i="23"/>
  <c r="AA4206" i="23"/>
  <c r="AA4196" i="23"/>
  <c r="AA4185" i="23"/>
  <c r="AA4174" i="23"/>
  <c r="AA4164" i="23"/>
  <c r="AA4153" i="23"/>
  <c r="AA4142" i="23"/>
  <c r="AA4132" i="23"/>
  <c r="AA4121" i="23"/>
  <c r="AA4110" i="23"/>
  <c r="AA4100" i="23"/>
  <c r="AA4089" i="23"/>
  <c r="AA4078" i="23"/>
  <c r="AA4068" i="23"/>
  <c r="AA4057" i="23"/>
  <c r="AA4046" i="23"/>
  <c r="AA4036" i="23"/>
  <c r="AA4025" i="23"/>
  <c r="AA4014" i="23"/>
  <c r="AA4004" i="23"/>
  <c r="AA3993" i="23"/>
  <c r="AA3983" i="23"/>
  <c r="AA3974" i="23"/>
  <c r="AA3966" i="23"/>
  <c r="AA3958" i="23"/>
  <c r="AA3950" i="23"/>
  <c r="AA3942" i="23"/>
  <c r="AA3934" i="23"/>
  <c r="AA3926" i="23"/>
  <c r="AA3918" i="23"/>
  <c r="AA3910" i="23"/>
  <c r="AA3902" i="23"/>
  <c r="AA3894" i="23"/>
  <c r="AA3886" i="23"/>
  <c r="AA3878" i="23"/>
  <c r="AA3870" i="23"/>
  <c r="AA3862" i="23"/>
  <c r="AA3854" i="23"/>
  <c r="AA3846" i="23"/>
  <c r="AA3838" i="23"/>
  <c r="AA3830" i="23"/>
  <c r="AA3822" i="23"/>
  <c r="AA3814" i="23"/>
  <c r="AA3806" i="23"/>
  <c r="AA3798" i="23"/>
  <c r="AA3790" i="23"/>
  <c r="AA3782" i="23"/>
  <c r="AA3774" i="23"/>
  <c r="AA3766" i="23"/>
  <c r="AA3758" i="23"/>
  <c r="AA3750" i="23"/>
  <c r="AA3742" i="23"/>
  <c r="AA3734" i="23"/>
  <c r="AA3726" i="23"/>
  <c r="AA3718" i="23"/>
  <c r="AA3710" i="23"/>
  <c r="AA3702" i="23"/>
  <c r="AA3694" i="23"/>
  <c r="AA3686" i="23"/>
  <c r="AA3678" i="23"/>
  <c r="AA3670" i="23"/>
  <c r="AA3662" i="23"/>
  <c r="AA3654" i="23"/>
  <c r="AA3646" i="23"/>
  <c r="AA3638" i="23"/>
  <c r="AA3630" i="23"/>
  <c r="AA3622" i="23"/>
  <c r="AA3614" i="23"/>
  <c r="AA3606" i="23"/>
  <c r="AA3598" i="23"/>
  <c r="AA3590" i="23"/>
  <c r="AA3582" i="23"/>
  <c r="AA3574" i="23"/>
  <c r="AA3566" i="23"/>
  <c r="AA3558" i="23"/>
  <c r="AA3550" i="23"/>
  <c r="AA3542" i="23"/>
  <c r="AA3534" i="23"/>
  <c r="AA3526" i="23"/>
  <c r="AA3518" i="23"/>
  <c r="AA3510" i="23"/>
  <c r="AA3502" i="23"/>
  <c r="AA3494" i="23"/>
  <c r="AA3486" i="23"/>
  <c r="AA3478" i="23"/>
  <c r="AA5358" i="23"/>
  <c r="AA5334" i="23"/>
  <c r="AA5318" i="23"/>
  <c r="AA5302" i="23"/>
  <c r="AA5286" i="23"/>
  <c r="AA5270" i="23"/>
  <c r="AA5254" i="23"/>
  <c r="AA5238" i="23"/>
  <c r="AA5222" i="23"/>
  <c r="AA5206" i="23"/>
  <c r="AA5190" i="23"/>
  <c r="AA5174" i="23"/>
  <c r="AA5158" i="23"/>
  <c r="AA5142" i="23"/>
  <c r="AA5126" i="23"/>
  <c r="AA5110" i="23"/>
  <c r="AA5094" i="23"/>
  <c r="AA5078" i="23"/>
  <c r="AA5062" i="23"/>
  <c r="AA5046" i="23"/>
  <c r="AA5030" i="23"/>
  <c r="AA5014" i="23"/>
  <c r="AA4998" i="23"/>
  <c r="AA4982" i="23"/>
  <c r="AA4966" i="23"/>
  <c r="AA4950" i="23"/>
  <c r="AA4934" i="23"/>
  <c r="AA4918" i="23"/>
  <c r="AA4902" i="23"/>
  <c r="AA4886" i="23"/>
  <c r="AA4870" i="23"/>
  <c r="AA4854" i="23"/>
  <c r="AA4838" i="23"/>
  <c r="AA4822" i="23"/>
  <c r="AA4806" i="23"/>
  <c r="AA4790" i="23"/>
  <c r="AA4774" i="23"/>
  <c r="AA4758" i="23"/>
  <c r="AA4742" i="23"/>
  <c r="AA4726" i="23"/>
  <c r="AA4710" i="23"/>
  <c r="AA4694" i="23"/>
  <c r="AA4678" i="23"/>
  <c r="AA4662" i="23"/>
  <c r="AA4646" i="23"/>
  <c r="AA4630" i="23"/>
  <c r="AA4614" i="23"/>
  <c r="AA4598" i="23"/>
  <c r="AA4582" i="23"/>
  <c r="AA4566" i="23"/>
  <c r="AA4550" i="23"/>
  <c r="AA4534" i="23"/>
  <c r="AA4518" i="23"/>
  <c r="AA4502" i="23"/>
  <c r="AA4486" i="23"/>
  <c r="AA4470" i="23"/>
  <c r="AA4454" i="23"/>
  <c r="AA4438" i="23"/>
  <c r="AA4422" i="23"/>
  <c r="AA4406" i="23"/>
  <c r="AA4390" i="23"/>
  <c r="AA4374" i="23"/>
  <c r="AA4358" i="23"/>
  <c r="AA4342" i="23"/>
  <c r="AA4326" i="23"/>
  <c r="AA4310" i="23"/>
  <c r="AA4294" i="23"/>
  <c r="AA4278" i="23"/>
  <c r="AA4262" i="23"/>
  <c r="AA4246" i="23"/>
  <c r="AA4230" i="23"/>
  <c r="AA4215" i="23"/>
  <c r="AA4205" i="23"/>
  <c r="AA4195" i="23"/>
  <c r="AA4183" i="23"/>
  <c r="AA4173" i="23"/>
  <c r="AA4163" i="23"/>
  <c r="AA4151" i="23"/>
  <c r="AA4141" i="23"/>
  <c r="AA4131" i="23"/>
  <c r="AA4119" i="23"/>
  <c r="AA4109" i="23"/>
  <c r="AA4099" i="23"/>
  <c r="AA4087" i="23"/>
  <c r="AA4077" i="23"/>
  <c r="AA4067" i="23"/>
  <c r="AA4055" i="23"/>
  <c r="AA4045" i="23"/>
  <c r="AA4035" i="23"/>
  <c r="AA4023" i="23"/>
  <c r="AA4013" i="23"/>
  <c r="AA4003" i="23"/>
  <c r="AA3991" i="23"/>
  <c r="AA3982" i="23"/>
  <c r="AA3973" i="23"/>
  <c r="AA3965" i="23"/>
  <c r="AA3957" i="23"/>
  <c r="AA3949" i="23"/>
  <c r="AA3941" i="23"/>
  <c r="AA3933" i="23"/>
  <c r="AA3925" i="23"/>
  <c r="AA3917" i="23"/>
  <c r="AA3909" i="23"/>
  <c r="AA3901" i="23"/>
  <c r="AA3893" i="23"/>
  <c r="AA3885" i="23"/>
  <c r="AA3877" i="23"/>
  <c r="AA3869" i="23"/>
  <c r="AA3861" i="23"/>
  <c r="AA3853" i="23"/>
  <c r="AA3845" i="23"/>
  <c r="AA3837" i="23"/>
  <c r="AA3829" i="23"/>
  <c r="AA3821" i="23"/>
  <c r="AA3813" i="23"/>
  <c r="AA3805" i="23"/>
  <c r="AA3797" i="23"/>
  <c r="AA3789" i="23"/>
  <c r="AA3781" i="23"/>
  <c r="AA3773" i="23"/>
  <c r="AA3765" i="23"/>
  <c r="AA3757" i="23"/>
  <c r="AA3749" i="23"/>
  <c r="AA3741" i="23"/>
  <c r="AA3733" i="23"/>
  <c r="AA3725" i="23"/>
  <c r="AA3717" i="23"/>
  <c r="AA3709" i="23"/>
  <c r="AA3701" i="23"/>
  <c r="AA3693" i="23"/>
  <c r="AA3685" i="23"/>
  <c r="AA3677" i="23"/>
  <c r="AA3669" i="23"/>
  <c r="AA3661" i="23"/>
  <c r="AA3653" i="23"/>
  <c r="AA3645" i="23"/>
  <c r="AA3637" i="23"/>
  <c r="AA3629" i="23"/>
  <c r="AA3621" i="23"/>
  <c r="AA3613" i="23"/>
  <c r="AA3605" i="23"/>
  <c r="AA3597" i="23"/>
  <c r="AA3589" i="23"/>
  <c r="AA3581" i="23"/>
  <c r="AA3573" i="23"/>
  <c r="AA3565" i="23"/>
  <c r="AA3557" i="23"/>
  <c r="AA3549" i="23"/>
  <c r="AA3541" i="23"/>
  <c r="AA3533" i="23"/>
  <c r="AA3525" i="23"/>
  <c r="AA3517" i="23"/>
  <c r="AA3509" i="23"/>
  <c r="AA3501" i="23"/>
  <c r="AA3493" i="23"/>
  <c r="AA3485" i="23"/>
  <c r="AA3477" i="23"/>
  <c r="AA5356" i="23"/>
  <c r="AA5333" i="23"/>
  <c r="AA5317" i="23"/>
  <c r="AA5301" i="23"/>
  <c r="AA5285" i="23"/>
  <c r="AA5269" i="23"/>
  <c r="AA5253" i="23"/>
  <c r="AA5237" i="23"/>
  <c r="AA5221" i="23"/>
  <c r="AA5205" i="23"/>
  <c r="AA5189" i="23"/>
  <c r="AA5173" i="23"/>
  <c r="AA5157" i="23"/>
  <c r="AA5141" i="23"/>
  <c r="AA5125" i="23"/>
  <c r="AA5109" i="23"/>
  <c r="AA5093" i="23"/>
  <c r="AA5077" i="23"/>
  <c r="AA5061" i="23"/>
  <c r="AA5045" i="23"/>
  <c r="AA5029" i="23"/>
  <c r="AA5013" i="23"/>
  <c r="AA4997" i="23"/>
  <c r="AA4981" i="23"/>
  <c r="AA4965" i="23"/>
  <c r="AA4949" i="23"/>
  <c r="AA4933" i="23"/>
  <c r="AA4917" i="23"/>
  <c r="AA4901" i="23"/>
  <c r="AA4885" i="23"/>
  <c r="AA4869" i="23"/>
  <c r="AA4853" i="23"/>
  <c r="AA4837" i="23"/>
  <c r="AA4821" i="23"/>
  <c r="AA4805" i="23"/>
  <c r="AA4789" i="23"/>
  <c r="AA4773" i="23"/>
  <c r="AA4757" i="23"/>
  <c r="AA4741" i="23"/>
  <c r="AA4725" i="23"/>
  <c r="AA4709" i="23"/>
  <c r="AA4693" i="23"/>
  <c r="AA4677" i="23"/>
  <c r="AA4661" i="23"/>
  <c r="AA4645" i="23"/>
  <c r="AA4629" i="23"/>
  <c r="AA4613" i="23"/>
  <c r="AA4597" i="23"/>
  <c r="AA4581" i="23"/>
  <c r="AA4565" i="23"/>
  <c r="AA4549" i="23"/>
  <c r="AA4533" i="23"/>
  <c r="AA4517" i="23"/>
  <c r="AA4501" i="23"/>
  <c r="AA4485" i="23"/>
  <c r="AA4469" i="23"/>
  <c r="AA4453" i="23"/>
  <c r="AA4437" i="23"/>
  <c r="AA4421" i="23"/>
  <c r="AA4405" i="23"/>
  <c r="AA4389" i="23"/>
  <c r="AA4373" i="23"/>
  <c r="AA4357" i="23"/>
  <c r="AA4341" i="23"/>
  <c r="AA4325" i="23"/>
  <c r="AA4309" i="23"/>
  <c r="AA4293" i="23"/>
  <c r="AA4277" i="23"/>
  <c r="AA4261" i="23"/>
  <c r="AA4245" i="23"/>
  <c r="AA4229" i="23"/>
  <c r="AA4214" i="23"/>
  <c r="AA4204" i="23"/>
  <c r="AA4193" i="23"/>
  <c r="AA4182" i="23"/>
  <c r="AA4172" i="23"/>
  <c r="AA4161" i="23"/>
  <c r="AA4150" i="23"/>
  <c r="AA4140" i="23"/>
  <c r="AA4129" i="23"/>
  <c r="AA4118" i="23"/>
  <c r="AA4108" i="23"/>
  <c r="AA4097" i="23"/>
  <c r="AA4086" i="23"/>
  <c r="AA4076" i="23"/>
  <c r="AA4065" i="23"/>
  <c r="AA4054" i="23"/>
  <c r="AA4044" i="23"/>
  <c r="AA4033" i="23"/>
  <c r="AA4022" i="23"/>
  <c r="AA4012" i="23"/>
  <c r="AA4001" i="23"/>
  <c r="AA3990" i="23"/>
  <c r="AA3981" i="23"/>
  <c r="AA3972" i="23"/>
  <c r="AA3964" i="23"/>
  <c r="AA3956" i="23"/>
  <c r="AA3948" i="23"/>
  <c r="AA3940" i="23"/>
  <c r="AA3932" i="23"/>
  <c r="AA3924" i="23"/>
  <c r="AA3916" i="23"/>
  <c r="AA3908" i="23"/>
  <c r="AA3900" i="23"/>
  <c r="AA3892" i="23"/>
  <c r="AA3884" i="23"/>
  <c r="AA3876" i="23"/>
  <c r="AA3868" i="23"/>
  <c r="AA3860" i="23"/>
  <c r="AA3852" i="23"/>
  <c r="AA3844" i="23"/>
  <c r="AA3836" i="23"/>
  <c r="AA3828" i="23"/>
  <c r="AA3820" i="23"/>
  <c r="AA3812" i="23"/>
  <c r="AA3804" i="23"/>
  <c r="AA3796" i="23"/>
  <c r="AA3788" i="23"/>
  <c r="AA3780" i="23"/>
  <c r="AA3772" i="23"/>
  <c r="AA3764" i="23"/>
  <c r="AA3756" i="23"/>
  <c r="AA3748" i="23"/>
  <c r="AA3740" i="23"/>
  <c r="AA3732" i="23"/>
  <c r="AA3724" i="23"/>
  <c r="AA3716" i="23"/>
  <c r="AA3708" i="23"/>
  <c r="AA3700" i="23"/>
  <c r="AA3692" i="23"/>
  <c r="AA3684" i="23"/>
  <c r="AA3676" i="23"/>
  <c r="AA3668" i="23"/>
  <c r="AA3660" i="23"/>
  <c r="AA3652" i="23"/>
  <c r="AA3644" i="23"/>
  <c r="AA3636" i="23"/>
  <c r="AA3628" i="23"/>
  <c r="AA3620" i="23"/>
  <c r="AA3612" i="23"/>
  <c r="AA3604" i="23"/>
  <c r="AA3596" i="23"/>
  <c r="AA3588" i="23"/>
  <c r="AA3580" i="23"/>
  <c r="AA3572" i="23"/>
  <c r="AA3564" i="23"/>
  <c r="AA3556" i="23"/>
  <c r="AA3548" i="23"/>
  <c r="AA3540" i="23"/>
  <c r="AA3532" i="23"/>
  <c r="AA3524" i="23"/>
  <c r="AA3516" i="23"/>
  <c r="AA3508" i="23"/>
  <c r="AA3500" i="23"/>
  <c r="AA3492" i="23"/>
  <c r="AA3484" i="23"/>
  <c r="AA3476" i="23"/>
  <c r="AA3468" i="23"/>
  <c r="AA3460" i="23"/>
  <c r="AA3452" i="23"/>
  <c r="AA3444" i="23"/>
  <c r="AA3436" i="23"/>
  <c r="AA3428" i="23"/>
  <c r="AA3420" i="23"/>
  <c r="AA3412" i="23"/>
  <c r="AA3404" i="23"/>
  <c r="AA3396" i="23"/>
  <c r="AA3388" i="23"/>
  <c r="AA3380" i="23"/>
  <c r="AA3372" i="23"/>
  <c r="AA3364" i="23"/>
  <c r="AA3356" i="23"/>
  <c r="AA3348" i="23"/>
  <c r="AA3340" i="23"/>
  <c r="AA3332" i="23"/>
  <c r="AA3324" i="23"/>
  <c r="AA3316" i="23"/>
  <c r="AA3308" i="23"/>
  <c r="AA3300" i="23"/>
  <c r="AA3292" i="23"/>
  <c r="AA3284" i="23"/>
  <c r="AA3276" i="23"/>
  <c r="AA3268" i="23"/>
  <c r="AA3260" i="23"/>
  <c r="AA3252" i="23"/>
  <c r="AA3244" i="23"/>
  <c r="AA3236" i="23"/>
  <c r="AA3228" i="23"/>
  <c r="AA3220" i="23"/>
  <c r="AA3212" i="23"/>
  <c r="AA3204" i="23"/>
  <c r="AA3196" i="23"/>
  <c r="AA3188" i="23"/>
  <c r="AA3180" i="23"/>
  <c r="AA3172" i="23"/>
  <c r="AA3164" i="23"/>
  <c r="AA3156" i="23"/>
  <c r="AA3148" i="23"/>
  <c r="AA3140" i="23"/>
  <c r="AA3132" i="23"/>
  <c r="AA3124" i="23"/>
  <c r="AA3116" i="23"/>
  <c r="AA3108" i="23"/>
  <c r="AA3100" i="23"/>
  <c r="AA3092" i="23"/>
  <c r="AA3084" i="23"/>
  <c r="AA3076" i="23"/>
  <c r="AA3068" i="23"/>
  <c r="AA3060" i="23"/>
  <c r="AA3052" i="23"/>
  <c r="AA3044" i="23"/>
  <c r="AA3036" i="23"/>
  <c r="AA3028" i="23"/>
  <c r="AA3020" i="23"/>
  <c r="AA3012" i="23"/>
  <c r="AA3004" i="23"/>
  <c r="AA2996" i="23"/>
  <c r="AA2988" i="23"/>
  <c r="AA2980" i="23"/>
  <c r="AA2972" i="23"/>
  <c r="AA2964" i="23"/>
  <c r="AA2956" i="23"/>
  <c r="AA2948" i="23"/>
  <c r="AA2940" i="23"/>
  <c r="AA2932" i="23"/>
  <c r="AA2924" i="23"/>
  <c r="AA2916" i="23"/>
  <c r="AA2908" i="23"/>
  <c r="AA2900" i="23"/>
  <c r="AA2892" i="23"/>
  <c r="AA2884" i="23"/>
  <c r="AA2876" i="23"/>
  <c r="AA2868" i="23"/>
  <c r="AA2860" i="23"/>
  <c r="AA2852" i="23"/>
  <c r="AA2844" i="23"/>
  <c r="AA2836" i="23"/>
  <c r="AA2828" i="23"/>
  <c r="AA2820" i="23"/>
  <c r="AA2812" i="23"/>
  <c r="AA2804" i="23"/>
  <c r="AA2796" i="23"/>
  <c r="AA2788" i="23"/>
  <c r="AA2780" i="23"/>
  <c r="AA2772" i="23"/>
  <c r="AA2764" i="23"/>
  <c r="AA2756" i="23"/>
  <c r="AA2748" i="23"/>
  <c r="AA2740" i="23"/>
  <c r="AA2732" i="23"/>
  <c r="AA2724" i="23"/>
  <c r="AA2716" i="23"/>
  <c r="AA2708" i="23"/>
  <c r="AA2700" i="23"/>
  <c r="AA2692" i="23"/>
  <c r="AA2684" i="23"/>
  <c r="AA2676" i="23"/>
  <c r="AA2668" i="23"/>
  <c r="AA2660" i="23"/>
  <c r="AA2652" i="23"/>
  <c r="AA2644" i="23"/>
  <c r="AA2636" i="23"/>
  <c r="AA2628" i="23"/>
  <c r="AA2620" i="23"/>
  <c r="AA2612" i="23"/>
  <c r="AA2604" i="23"/>
  <c r="AA2596" i="23"/>
  <c r="AA2588" i="23"/>
  <c r="AA2580" i="23"/>
  <c r="AA2572" i="23"/>
  <c r="AA2564" i="23"/>
  <c r="AA2556" i="23"/>
  <c r="AA2548" i="23"/>
  <c r="AA2540" i="23"/>
  <c r="AA2532" i="23"/>
  <c r="AA2524" i="23"/>
  <c r="AA2516" i="23"/>
  <c r="AA2508" i="23"/>
  <c r="AA2500" i="23"/>
  <c r="AA2492" i="23"/>
  <c r="AA2484" i="23"/>
  <c r="AA2476" i="23"/>
  <c r="AA2468" i="23"/>
  <c r="AA2460" i="23"/>
  <c r="AA2452" i="23"/>
  <c r="AA2444" i="23"/>
  <c r="AA2436" i="23"/>
  <c r="AA2428" i="23"/>
  <c r="AA2420" i="23"/>
  <c r="AA3463" i="23"/>
  <c r="AA3445" i="23"/>
  <c r="AA3422" i="23"/>
  <c r="AA3399" i="23"/>
  <c r="AA3381" i="23"/>
  <c r="AA3359" i="23"/>
  <c r="AA3343" i="23"/>
  <c r="AA3327" i="23"/>
  <c r="AA3311" i="23"/>
  <c r="AA3295" i="23"/>
  <c r="AA3279" i="23"/>
  <c r="AA3263" i="23"/>
  <c r="AA3247" i="23"/>
  <c r="AA3231" i="23"/>
  <c r="AA3215" i="23"/>
  <c r="AA3199" i="23"/>
  <c r="AA3183" i="23"/>
  <c r="AA3167" i="23"/>
  <c r="AA3151" i="23"/>
  <c r="AA3135" i="23"/>
  <c r="AA3119" i="23"/>
  <c r="AA3103" i="23"/>
  <c r="AA3087" i="23"/>
  <c r="AA3071" i="23"/>
  <c r="AA3055" i="23"/>
  <c r="AA3039" i="23"/>
  <c r="AA3023" i="23"/>
  <c r="AA3007" i="23"/>
  <c r="AA2991" i="23"/>
  <c r="AA2975" i="23"/>
  <c r="AA2959" i="23"/>
  <c r="AA2943" i="23"/>
  <c r="AA2927" i="23"/>
  <c r="AA2911" i="23"/>
  <c r="AA2895" i="23"/>
  <c r="AA2885" i="23"/>
  <c r="AA2873" i="23"/>
  <c r="AA2863" i="23"/>
  <c r="AA2853" i="23"/>
  <c r="AA2841" i="23"/>
  <c r="AA2831" i="23"/>
  <c r="AA2821" i="23"/>
  <c r="AA2809" i="23"/>
  <c r="AA2799" i="23"/>
  <c r="AA2789" i="23"/>
  <c r="AA2777" i="23"/>
  <c r="AA2767" i="23"/>
  <c r="AA2757" i="23"/>
  <c r="AA2745" i="23"/>
  <c r="AA2735" i="23"/>
  <c r="AA2725" i="23"/>
  <c r="AA2713" i="23"/>
  <c r="AA2703" i="23"/>
  <c r="AA2693" i="23"/>
  <c r="AA2681" i="23"/>
  <c r="AA2671" i="23"/>
  <c r="AA2661" i="23"/>
  <c r="AA2649" i="23"/>
  <c r="AA2639" i="23"/>
  <c r="AA2629" i="23"/>
  <c r="AA2617" i="23"/>
  <c r="AA2607" i="23"/>
  <c r="AA2597" i="23"/>
  <c r="AA2585" i="23"/>
  <c r="AA2575" i="23"/>
  <c r="AA2565" i="23"/>
  <c r="AA2553" i="23"/>
  <c r="AA2544" i="23"/>
  <c r="AA2535" i="23"/>
  <c r="AA2526" i="23"/>
  <c r="AA2517" i="23"/>
  <c r="AA2507" i="23"/>
  <c r="AA2498" i="23"/>
  <c r="AA2489" i="23"/>
  <c r="AA2480" i="23"/>
  <c r="AA2471" i="23"/>
  <c r="AA2462" i="23"/>
  <c r="AA2453" i="23"/>
  <c r="AA2443" i="23"/>
  <c r="AA2434" i="23"/>
  <c r="AA2425" i="23"/>
  <c r="AA2416" i="23"/>
  <c r="AA2408" i="23"/>
  <c r="AA2400" i="23"/>
  <c r="AA2392" i="23"/>
  <c r="AA2384" i="23"/>
  <c r="AA2376" i="23"/>
  <c r="AA2368" i="23"/>
  <c r="AA2360" i="23"/>
  <c r="AA2352" i="23"/>
  <c r="AA2344" i="23"/>
  <c r="AA2336" i="23"/>
  <c r="AA2328" i="23"/>
  <c r="AA2320" i="23"/>
  <c r="AA2312" i="23"/>
  <c r="AA2304" i="23"/>
  <c r="AA2296" i="23"/>
  <c r="AA2288" i="23"/>
  <c r="AA2280" i="23"/>
  <c r="AA2272" i="23"/>
  <c r="AA2264" i="23"/>
  <c r="AA2256" i="23"/>
  <c r="AA2248" i="23"/>
  <c r="AA2240" i="23"/>
  <c r="AA2232" i="23"/>
  <c r="AA2224" i="23"/>
  <c r="AA2216" i="23"/>
  <c r="AA2208" i="23"/>
  <c r="AA2200" i="23"/>
  <c r="AA2192" i="23"/>
  <c r="AA2184" i="23"/>
  <c r="AA2176" i="23"/>
  <c r="AA2168" i="23"/>
  <c r="AA2160" i="23"/>
  <c r="AA2152" i="23"/>
  <c r="AA2144" i="23"/>
  <c r="AA2136" i="23"/>
  <c r="AA2128" i="23"/>
  <c r="AA2120" i="23"/>
  <c r="AA2112" i="23"/>
  <c r="AA2104" i="23"/>
  <c r="AA2096" i="23"/>
  <c r="AA2088" i="23"/>
  <c r="AA2080" i="23"/>
  <c r="AA2072" i="23"/>
  <c r="AA2064" i="23"/>
  <c r="AA2056" i="23"/>
  <c r="AA2048" i="23"/>
  <c r="AA2040" i="23"/>
  <c r="AA2032" i="23"/>
  <c r="AA2024" i="23"/>
  <c r="AA2016" i="23"/>
  <c r="AA2008" i="23"/>
  <c r="AA2000" i="23"/>
  <c r="AA1992" i="23"/>
  <c r="AA1984" i="23"/>
  <c r="AA1976" i="23"/>
  <c r="AA1968" i="23"/>
  <c r="AA1960" i="23"/>
  <c r="AA1952" i="23"/>
  <c r="AA1944" i="23"/>
  <c r="AA1936" i="23"/>
  <c r="AA1928" i="23"/>
  <c r="AA1920" i="23"/>
  <c r="AA1912" i="23"/>
  <c r="AA1904" i="23"/>
  <c r="AA1896" i="23"/>
  <c r="AA1888" i="23"/>
  <c r="AA1880" i="23"/>
  <c r="AA1872" i="23"/>
  <c r="AA1864" i="23"/>
  <c r="AA1856" i="23"/>
  <c r="AA1848" i="23"/>
  <c r="AA1840" i="23"/>
  <c r="AA1832" i="23"/>
  <c r="AA1824" i="23"/>
  <c r="AA1816" i="23"/>
  <c r="AA1808" i="23"/>
  <c r="AA1800" i="23"/>
  <c r="AA1792" i="23"/>
  <c r="AA1784" i="23"/>
  <c r="AA1776" i="23"/>
  <c r="AA1768" i="23"/>
  <c r="AA1760" i="23"/>
  <c r="AA1752" i="23"/>
  <c r="AA1744" i="23"/>
  <c r="AA1736" i="23"/>
  <c r="AA1728" i="23"/>
  <c r="AA1720" i="23"/>
  <c r="AA1712" i="23"/>
  <c r="AA1704" i="23"/>
  <c r="AA1696" i="23"/>
  <c r="AA1688" i="23"/>
  <c r="AA1680" i="23"/>
  <c r="AA1672" i="23"/>
  <c r="AA1664" i="23"/>
  <c r="AA1656" i="23"/>
  <c r="AA1648" i="23"/>
  <c r="AA1640" i="23"/>
  <c r="AA1632" i="23"/>
  <c r="AA1624" i="23"/>
  <c r="AA1616" i="23"/>
  <c r="AA1608" i="23"/>
  <c r="AA1600" i="23"/>
  <c r="AA1592" i="23"/>
  <c r="AA1584" i="23"/>
  <c r="AA1576" i="23"/>
  <c r="AA1568" i="23"/>
  <c r="AA1560" i="23"/>
  <c r="AA1552" i="23"/>
  <c r="AA1544" i="23"/>
  <c r="AA1536" i="23"/>
  <c r="AA1528" i="23"/>
  <c r="AA1520" i="23"/>
  <c r="AA1512" i="23"/>
  <c r="AA1504" i="23"/>
  <c r="AA1496" i="23"/>
  <c r="AA1488" i="23"/>
  <c r="AA1480" i="23"/>
  <c r="AA1472" i="23"/>
  <c r="AA1464" i="23"/>
  <c r="AA1456" i="23"/>
  <c r="AA1448" i="23"/>
  <c r="AA1440" i="23"/>
  <c r="AA1432" i="23"/>
  <c r="AA1424" i="23"/>
  <c r="AA1416" i="23"/>
  <c r="AA1408" i="23"/>
  <c r="AA1400" i="23"/>
  <c r="AA1392" i="23"/>
  <c r="AA1384" i="23"/>
  <c r="AA1376" i="23"/>
  <c r="AA1368" i="23"/>
  <c r="AA1360" i="23"/>
  <c r="AA1352" i="23"/>
  <c r="AA1344" i="23"/>
  <c r="AA1336" i="23"/>
  <c r="AA1328" i="23"/>
  <c r="AA1320" i="23"/>
  <c r="AA1312" i="23"/>
  <c r="AA1304" i="23"/>
  <c r="AA1296" i="23"/>
  <c r="AA1288" i="23"/>
  <c r="AA1280" i="23"/>
  <c r="AA1272" i="23"/>
  <c r="AA1264" i="23"/>
  <c r="AA1256" i="23"/>
  <c r="AA1248" i="23"/>
  <c r="AA1240" i="23"/>
  <c r="AA1232" i="23"/>
  <c r="AA1224" i="23"/>
  <c r="AA1216" i="23"/>
  <c r="AA1208" i="23"/>
  <c r="AA1200" i="23"/>
  <c r="AA1192" i="23"/>
  <c r="AA1184" i="23"/>
  <c r="AA1176" i="23"/>
  <c r="AA1168" i="23"/>
  <c r="AA1160" i="23"/>
  <c r="AA1152" i="23"/>
  <c r="AA1144" i="23"/>
  <c r="AA1136" i="23"/>
  <c r="AA1128" i="23"/>
  <c r="AA1120" i="23"/>
  <c r="AA1112" i="23"/>
  <c r="AA1104" i="23"/>
  <c r="AA1096" i="23"/>
  <c r="AA1088" i="23"/>
  <c r="AA1080" i="23"/>
  <c r="AA1072" i="23"/>
  <c r="AA1064" i="23"/>
  <c r="AA1056" i="23"/>
  <c r="AA1048" i="23"/>
  <c r="AA1040" i="23"/>
  <c r="AA1032" i="23"/>
  <c r="AA1024" i="23"/>
  <c r="AA1016" i="23"/>
  <c r="AA1008" i="23"/>
  <c r="AA1000" i="23"/>
  <c r="AA992" i="23"/>
  <c r="AA984" i="23"/>
  <c r="AA976" i="23"/>
  <c r="AA968" i="23"/>
  <c r="AA960" i="23"/>
  <c r="AA952" i="23"/>
  <c r="AA944" i="23"/>
  <c r="AA936" i="23"/>
  <c r="AA928" i="23"/>
  <c r="AA920" i="23"/>
  <c r="AA912" i="23"/>
  <c r="AA904" i="23"/>
  <c r="AA896" i="23"/>
  <c r="AA888" i="23"/>
  <c r="AA880" i="23"/>
  <c r="AA872" i="23"/>
  <c r="AA864" i="23"/>
  <c r="AA856" i="23"/>
  <c r="AA848" i="23"/>
  <c r="AA840" i="23"/>
  <c r="AA832" i="23"/>
  <c r="AA824" i="23"/>
  <c r="AA816" i="23"/>
  <c r="AA808" i="23"/>
  <c r="AA800" i="23"/>
  <c r="AA792" i="23"/>
  <c r="AA784" i="23"/>
  <c r="AA776" i="23"/>
  <c r="AA768" i="23"/>
  <c r="AA760" i="23"/>
  <c r="AA752" i="23"/>
  <c r="AA744" i="23"/>
  <c r="AA736" i="23"/>
  <c r="AA728" i="23"/>
  <c r="AA720" i="23"/>
  <c r="AA712" i="23"/>
  <c r="AA704" i="23"/>
  <c r="AA696" i="23"/>
  <c r="AA688" i="23"/>
  <c r="AA680" i="23"/>
  <c r="AA672" i="23"/>
  <c r="AA664" i="23"/>
  <c r="AA656" i="23"/>
  <c r="AA648" i="23"/>
  <c r="AA640" i="23"/>
  <c r="AA632" i="23"/>
  <c r="AA624" i="23"/>
  <c r="AA616" i="23"/>
  <c r="AA608" i="23"/>
  <c r="AA600" i="23"/>
  <c r="AA592" i="23"/>
  <c r="AA584" i="23"/>
  <c r="AA576" i="23"/>
  <c r="AA568" i="23"/>
  <c r="AA560" i="23"/>
  <c r="AA552" i="23"/>
  <c r="AA544" i="23"/>
  <c r="AA536" i="23"/>
  <c r="AA528" i="23"/>
  <c r="AA520" i="23"/>
  <c r="AA512" i="23"/>
  <c r="AA504" i="23"/>
  <c r="AA496" i="23"/>
  <c r="AA488" i="23"/>
  <c r="AA480" i="23"/>
  <c r="AA472" i="23"/>
  <c r="AA464" i="23"/>
  <c r="AA456" i="23"/>
  <c r="AA448" i="23"/>
  <c r="AA440" i="23"/>
  <c r="AA432" i="23"/>
  <c r="AA424" i="23"/>
  <c r="AA416" i="23"/>
  <c r="AA408" i="23"/>
  <c r="AA400" i="23"/>
  <c r="AA392" i="23"/>
  <c r="AA384" i="23"/>
  <c r="AA376" i="23"/>
  <c r="AA368" i="23"/>
  <c r="AA360" i="23"/>
  <c r="AA352" i="23"/>
  <c r="AA344" i="23"/>
  <c r="AA336" i="23"/>
  <c r="AA328" i="23"/>
  <c r="AA320" i="23"/>
  <c r="AA312" i="23"/>
  <c r="AA304" i="23"/>
  <c r="AA296" i="23"/>
  <c r="AA288" i="23"/>
  <c r="AA280" i="23"/>
  <c r="AA272" i="23"/>
  <c r="AA264" i="23"/>
  <c r="AA256" i="23"/>
  <c r="AA248" i="23"/>
  <c r="AA240" i="23"/>
  <c r="AA232" i="23"/>
  <c r="AA224" i="23"/>
  <c r="AA216" i="23"/>
  <c r="AA3462" i="23"/>
  <c r="AA3439" i="23"/>
  <c r="AA3421" i="23"/>
  <c r="AA3398" i="23"/>
  <c r="AA3375" i="23"/>
  <c r="AA3358" i="23"/>
  <c r="AA3342" i="23"/>
  <c r="AA3326" i="23"/>
  <c r="AA3310" i="23"/>
  <c r="AA3294" i="23"/>
  <c r="AA3278" i="23"/>
  <c r="AA3262" i="23"/>
  <c r="AA3246" i="23"/>
  <c r="AA3230" i="23"/>
  <c r="AA3214" i="23"/>
  <c r="AA3198" i="23"/>
  <c r="AA3182" i="23"/>
  <c r="AA3166" i="23"/>
  <c r="AA3150" i="23"/>
  <c r="AA3134" i="23"/>
  <c r="AA3118" i="23"/>
  <c r="AA3102" i="23"/>
  <c r="AA3086" i="23"/>
  <c r="AA3070" i="23"/>
  <c r="AA3054" i="23"/>
  <c r="AA3038" i="23"/>
  <c r="AA3022" i="23"/>
  <c r="AA3006" i="23"/>
  <c r="AA2990" i="23"/>
  <c r="AA2974" i="23"/>
  <c r="AA2958" i="23"/>
  <c r="AA2942" i="23"/>
  <c r="AA2926" i="23"/>
  <c r="AA2910" i="23"/>
  <c r="AA2894" i="23"/>
  <c r="AA2882" i="23"/>
  <c r="AA2872" i="23"/>
  <c r="AA2862" i="23"/>
  <c r="AA2850" i="23"/>
  <c r="AA2840" i="23"/>
  <c r="AA2830" i="23"/>
  <c r="AA2818" i="23"/>
  <c r="AA2808" i="23"/>
  <c r="AA2798" i="23"/>
  <c r="AA2786" i="23"/>
  <c r="AA2776" i="23"/>
  <c r="AA2766" i="23"/>
  <c r="AA2754" i="23"/>
  <c r="AA2744" i="23"/>
  <c r="AA2734" i="23"/>
  <c r="AA2722" i="23"/>
  <c r="AA2712" i="23"/>
  <c r="AA2702" i="23"/>
  <c r="AA2690" i="23"/>
  <c r="AA2680" i="23"/>
  <c r="AA2670" i="23"/>
  <c r="AA2658" i="23"/>
  <c r="AA2648" i="23"/>
  <c r="AA2638" i="23"/>
  <c r="AA2626" i="23"/>
  <c r="AA2616" i="23"/>
  <c r="AA2606" i="23"/>
  <c r="AA2594" i="23"/>
  <c r="AA2584" i="23"/>
  <c r="AA2574" i="23"/>
  <c r="AA2562" i="23"/>
  <c r="AA2552" i="23"/>
  <c r="AA2543" i="23"/>
  <c r="AA2534" i="23"/>
  <c r="AA2525" i="23"/>
  <c r="AA2515" i="23"/>
  <c r="AA2506" i="23"/>
  <c r="AA2497" i="23"/>
  <c r="AA2488" i="23"/>
  <c r="AA2479" i="23"/>
  <c r="AA2470" i="23"/>
  <c r="AA2461" i="23"/>
  <c r="AA2451" i="23"/>
  <c r="AA2442" i="23"/>
  <c r="AA2433" i="23"/>
  <c r="AA2424" i="23"/>
  <c r="AA2415" i="23"/>
  <c r="AA2407" i="23"/>
  <c r="AA2399" i="23"/>
  <c r="AA2391" i="23"/>
  <c r="AA2383" i="23"/>
  <c r="AA2375" i="23"/>
  <c r="AA2367" i="23"/>
  <c r="AA2359" i="23"/>
  <c r="AA2351" i="23"/>
  <c r="AA2343" i="23"/>
  <c r="AA2335" i="23"/>
  <c r="AA2327" i="23"/>
  <c r="AA2319" i="23"/>
  <c r="AA2311" i="23"/>
  <c r="AA2303" i="23"/>
  <c r="AA2295" i="23"/>
  <c r="AA2287" i="23"/>
  <c r="AA2279" i="23"/>
  <c r="AA2271" i="23"/>
  <c r="AA2263" i="23"/>
  <c r="AA2255" i="23"/>
  <c r="AA2247" i="23"/>
  <c r="AA2239" i="23"/>
  <c r="AA2231" i="23"/>
  <c r="AA2223" i="23"/>
  <c r="AA2215" i="23"/>
  <c r="AA2207" i="23"/>
  <c r="AA2199" i="23"/>
  <c r="AA2191" i="23"/>
  <c r="AA2183" i="23"/>
  <c r="AA2175" i="23"/>
  <c r="AA2167" i="23"/>
  <c r="AA2159" i="23"/>
  <c r="AA2151" i="23"/>
  <c r="AA2143" i="23"/>
  <c r="AA2135" i="23"/>
  <c r="AA2127" i="23"/>
  <c r="AA2119" i="23"/>
  <c r="AA2111" i="23"/>
  <c r="AA2103" i="23"/>
  <c r="AA2095" i="23"/>
  <c r="AA2087" i="23"/>
  <c r="AA2079" i="23"/>
  <c r="AA2071" i="23"/>
  <c r="AA2063" i="23"/>
  <c r="AA2055" i="23"/>
  <c r="AA2047" i="23"/>
  <c r="AA2039" i="23"/>
  <c r="AA2031" i="23"/>
  <c r="AA2023" i="23"/>
  <c r="AA2015" i="23"/>
  <c r="AA2007" i="23"/>
  <c r="AA1999" i="23"/>
  <c r="AA1991" i="23"/>
  <c r="AA1983" i="23"/>
  <c r="AA1975" i="23"/>
  <c r="AA1967" i="23"/>
  <c r="AA1959" i="23"/>
  <c r="AA1951" i="23"/>
  <c r="AA1943" i="23"/>
  <c r="AA1935" i="23"/>
  <c r="AA1927" i="23"/>
  <c r="AA1919" i="23"/>
  <c r="AA1911" i="23"/>
  <c r="AA1903" i="23"/>
  <c r="AA1895" i="23"/>
  <c r="AA1887" i="23"/>
  <c r="AA1879" i="23"/>
  <c r="AA1871" i="23"/>
  <c r="AA1863" i="23"/>
  <c r="AA1855" i="23"/>
  <c r="AA1847" i="23"/>
  <c r="AA1839" i="23"/>
  <c r="AA1831" i="23"/>
  <c r="AA1823" i="23"/>
  <c r="AA1815" i="23"/>
  <c r="AA1807" i="23"/>
  <c r="AA1799" i="23"/>
  <c r="AA1791" i="23"/>
  <c r="AA1783" i="23"/>
  <c r="AA1775" i="23"/>
  <c r="AA1767" i="23"/>
  <c r="AA1759" i="23"/>
  <c r="AA1751" i="23"/>
  <c r="AA1743" i="23"/>
  <c r="AA1735" i="23"/>
  <c r="AA1727" i="23"/>
  <c r="AA1719" i="23"/>
  <c r="AA1711" i="23"/>
  <c r="AA1703" i="23"/>
  <c r="AA1695" i="23"/>
  <c r="AA1687" i="23"/>
  <c r="AA1679" i="23"/>
  <c r="AA1671" i="23"/>
  <c r="AA1663" i="23"/>
  <c r="AA1655" i="23"/>
  <c r="AA1647" i="23"/>
  <c r="AA1639" i="23"/>
  <c r="AA1631" i="23"/>
  <c r="AA1623" i="23"/>
  <c r="AA1615" i="23"/>
  <c r="AA1607" i="23"/>
  <c r="AA1599" i="23"/>
  <c r="AA1591" i="23"/>
  <c r="AA1583" i="23"/>
  <c r="AA1575" i="23"/>
  <c r="AA1567" i="23"/>
  <c r="AA1559" i="23"/>
  <c r="AA1551" i="23"/>
  <c r="AA1543" i="23"/>
  <c r="AA1535" i="23"/>
  <c r="AA1527" i="23"/>
  <c r="AA1519" i="23"/>
  <c r="AA1511" i="23"/>
  <c r="AA1503" i="23"/>
  <c r="AA1495" i="23"/>
  <c r="AA1487" i="23"/>
  <c r="AA1479" i="23"/>
  <c r="AA1471" i="23"/>
  <c r="AA1463" i="23"/>
  <c r="AA1455" i="23"/>
  <c r="AA1447" i="23"/>
  <c r="AA1439" i="23"/>
  <c r="AA1431" i="23"/>
  <c r="AA1423" i="23"/>
  <c r="AA1415" i="23"/>
  <c r="AA1407" i="23"/>
  <c r="AA1399" i="23"/>
  <c r="AA1391" i="23"/>
  <c r="AA1383" i="23"/>
  <c r="AA1375" i="23"/>
  <c r="AA1367" i="23"/>
  <c r="AA1359" i="23"/>
  <c r="AA1351" i="23"/>
  <c r="AA1343" i="23"/>
  <c r="AA1335" i="23"/>
  <c r="AA1327" i="23"/>
  <c r="AA1319" i="23"/>
  <c r="AA1311" i="23"/>
  <c r="AA1303" i="23"/>
  <c r="AA1295" i="23"/>
  <c r="AA1287" i="23"/>
  <c r="AA1279" i="23"/>
  <c r="AA1271" i="23"/>
  <c r="AA1263" i="23"/>
  <c r="AA1255" i="23"/>
  <c r="AA1247" i="23"/>
  <c r="AA1239" i="23"/>
  <c r="AA1231" i="23"/>
  <c r="AA1223" i="23"/>
  <c r="AA1215" i="23"/>
  <c r="AA1207" i="23"/>
  <c r="AA1199" i="23"/>
  <c r="AA1191" i="23"/>
  <c r="AA1183" i="23"/>
  <c r="AA1175" i="23"/>
  <c r="AA1167" i="23"/>
  <c r="AA1159" i="23"/>
  <c r="AA1151" i="23"/>
  <c r="AA1143" i="23"/>
  <c r="AA1135" i="23"/>
  <c r="AA1127" i="23"/>
  <c r="AA1119" i="23"/>
  <c r="AA1111" i="23"/>
  <c r="AA1103" i="23"/>
  <c r="AA1095" i="23"/>
  <c r="AA1087" i="23"/>
  <c r="AA1079" i="23"/>
  <c r="AA1071" i="23"/>
  <c r="AA1063" i="23"/>
  <c r="AA1055" i="23"/>
  <c r="AA1047" i="23"/>
  <c r="AA1039" i="23"/>
  <c r="AA1031" i="23"/>
  <c r="AA1023" i="23"/>
  <c r="AA1015" i="23"/>
  <c r="AA1007" i="23"/>
  <c r="AA999" i="23"/>
  <c r="AA991" i="23"/>
  <c r="AA983" i="23"/>
  <c r="AA975" i="23"/>
  <c r="AA967" i="23"/>
  <c r="AA959" i="23"/>
  <c r="AA951" i="23"/>
  <c r="AA943" i="23"/>
  <c r="AA935" i="23"/>
  <c r="AA927" i="23"/>
  <c r="AA919" i="23"/>
  <c r="AA911" i="23"/>
  <c r="AA903" i="23"/>
  <c r="AA895" i="23"/>
  <c r="AA887" i="23"/>
  <c r="AA879" i="23"/>
  <c r="AA871" i="23"/>
  <c r="AA863" i="23"/>
  <c r="AA855" i="23"/>
  <c r="AA847" i="23"/>
  <c r="AA839" i="23"/>
  <c r="AA831" i="23"/>
  <c r="AA823" i="23"/>
  <c r="AA815" i="23"/>
  <c r="AA807" i="23"/>
  <c r="AA799" i="23"/>
  <c r="AA791" i="23"/>
  <c r="AA783" i="23"/>
  <c r="AA775" i="23"/>
  <c r="AA767" i="23"/>
  <c r="AA759" i="23"/>
  <c r="AA751" i="23"/>
  <c r="AA743" i="23"/>
  <c r="AA735" i="23"/>
  <c r="AA727" i="23"/>
  <c r="AA719" i="23"/>
  <c r="AA711" i="23"/>
  <c r="AA703" i="23"/>
  <c r="AA695" i="23"/>
  <c r="AA687" i="23"/>
  <c r="AA679" i="23"/>
  <c r="AA671" i="23"/>
  <c r="AA663" i="23"/>
  <c r="AA655" i="23"/>
  <c r="AA647" i="23"/>
  <c r="AA639" i="23"/>
  <c r="AA631" i="23"/>
  <c r="AA623" i="23"/>
  <c r="AA615" i="23"/>
  <c r="AA3461" i="23"/>
  <c r="AA3438" i="23"/>
  <c r="AA3415" i="23"/>
  <c r="AA3397" i="23"/>
  <c r="AA3374" i="23"/>
  <c r="AA3357" i="23"/>
  <c r="AA3341" i="23"/>
  <c r="AA3325" i="23"/>
  <c r="AA3309" i="23"/>
  <c r="AA3293" i="23"/>
  <c r="AA3277" i="23"/>
  <c r="AA3261" i="23"/>
  <c r="AA3245" i="23"/>
  <c r="AA3229" i="23"/>
  <c r="AA3213" i="23"/>
  <c r="AA3197" i="23"/>
  <c r="AA3181" i="23"/>
  <c r="AA3165" i="23"/>
  <c r="AA3149" i="23"/>
  <c r="AA3133" i="23"/>
  <c r="AA3117" i="23"/>
  <c r="AA3101" i="23"/>
  <c r="AA3085" i="23"/>
  <c r="AA3069" i="23"/>
  <c r="AA3053" i="23"/>
  <c r="AA3037" i="23"/>
  <c r="AA3021" i="23"/>
  <c r="AA3005" i="23"/>
  <c r="AA2989" i="23"/>
  <c r="AA2973" i="23"/>
  <c r="AA2957" i="23"/>
  <c r="AA2941" i="23"/>
  <c r="AA2925" i="23"/>
  <c r="AA2909" i="23"/>
  <c r="AA2893" i="23"/>
  <c r="AA2881" i="23"/>
  <c r="AA2871" i="23"/>
  <c r="AA2861" i="23"/>
  <c r="AA2849" i="23"/>
  <c r="AA2839" i="23"/>
  <c r="AA2829" i="23"/>
  <c r="AA2817" i="23"/>
  <c r="AA2807" i="23"/>
  <c r="AA2797" i="23"/>
  <c r="AA2785" i="23"/>
  <c r="AA2775" i="23"/>
  <c r="AA2765" i="23"/>
  <c r="AA2753" i="23"/>
  <c r="AA2743" i="23"/>
  <c r="AA2733" i="23"/>
  <c r="AA2721" i="23"/>
  <c r="AA2711" i="23"/>
  <c r="AA2701" i="23"/>
  <c r="AA2689" i="23"/>
  <c r="AA2679" i="23"/>
  <c r="AA2669" i="23"/>
  <c r="AA2657" i="23"/>
  <c r="AA2647" i="23"/>
  <c r="AA2637" i="23"/>
  <c r="AA2625" i="23"/>
  <c r="AA2615" i="23"/>
  <c r="AA2605" i="23"/>
  <c r="AA2593" i="23"/>
  <c r="AA2583" i="23"/>
  <c r="AA2573" i="23"/>
  <c r="AA2561" i="23"/>
  <c r="AA2551" i="23"/>
  <c r="AA2542" i="23"/>
  <c r="AA2533" i="23"/>
  <c r="AA2523" i="23"/>
  <c r="AA2514" i="23"/>
  <c r="AA2505" i="23"/>
  <c r="AA2496" i="23"/>
  <c r="AA2487" i="23"/>
  <c r="AA2478" i="23"/>
  <c r="AA2469" i="23"/>
  <c r="AA2459" i="23"/>
  <c r="AA2450" i="23"/>
  <c r="AA2441" i="23"/>
  <c r="AA2432" i="23"/>
  <c r="AA2423" i="23"/>
  <c r="AA2414" i="23"/>
  <c r="AA2406" i="23"/>
  <c r="AA2398" i="23"/>
  <c r="AA2390" i="23"/>
  <c r="AA2382" i="23"/>
  <c r="AA2374" i="23"/>
  <c r="AA2366" i="23"/>
  <c r="AA2358" i="23"/>
  <c r="AA2350" i="23"/>
  <c r="AA2342" i="23"/>
  <c r="AA2334" i="23"/>
  <c r="AA2326" i="23"/>
  <c r="AA2318" i="23"/>
  <c r="AA2310" i="23"/>
  <c r="AA2302" i="23"/>
  <c r="AA2294" i="23"/>
  <c r="AA2286" i="23"/>
  <c r="AA2278" i="23"/>
  <c r="AA2270" i="23"/>
  <c r="AA2262" i="23"/>
  <c r="AA2254" i="23"/>
  <c r="AA2246" i="23"/>
  <c r="AA2238" i="23"/>
  <c r="AA2230" i="23"/>
  <c r="AA2222" i="23"/>
  <c r="AA2214" i="23"/>
  <c r="AA2206" i="23"/>
  <c r="AA2198" i="23"/>
  <c r="AA2190" i="23"/>
  <c r="AA2182" i="23"/>
  <c r="AA2174" i="23"/>
  <c r="AA2166" i="23"/>
  <c r="AA2158" i="23"/>
  <c r="AA2150" i="23"/>
  <c r="AA2142" i="23"/>
  <c r="AA2134" i="23"/>
  <c r="AA2126" i="23"/>
  <c r="AA2118" i="23"/>
  <c r="AA2110" i="23"/>
  <c r="AA2102" i="23"/>
  <c r="AA2094" i="23"/>
  <c r="AA2086" i="23"/>
  <c r="AA2078" i="23"/>
  <c r="AA2070" i="23"/>
  <c r="AA2062" i="23"/>
  <c r="AA2054" i="23"/>
  <c r="AA2046" i="23"/>
  <c r="AA2038" i="23"/>
  <c r="AA2030" i="23"/>
  <c r="AA2022" i="23"/>
  <c r="AA2014" i="23"/>
  <c r="AA2006" i="23"/>
  <c r="AA1998" i="23"/>
  <c r="AA1990" i="23"/>
  <c r="AA1982" i="23"/>
  <c r="AA1974" i="23"/>
  <c r="AA1966" i="23"/>
  <c r="AA1958" i="23"/>
  <c r="AA1950" i="23"/>
  <c r="AA1942" i="23"/>
  <c r="AA1934" i="23"/>
  <c r="AA1926" i="23"/>
  <c r="AA1918" i="23"/>
  <c r="AA1910" i="23"/>
  <c r="AA1902" i="23"/>
  <c r="AA1894" i="23"/>
  <c r="AA1886" i="23"/>
  <c r="AA1878" i="23"/>
  <c r="AA1870" i="23"/>
  <c r="AA1862" i="23"/>
  <c r="AA1854" i="23"/>
  <c r="AA1846" i="23"/>
  <c r="AA1838" i="23"/>
  <c r="AA1830" i="23"/>
  <c r="AA1822" i="23"/>
  <c r="AA1814" i="23"/>
  <c r="AA1806" i="23"/>
  <c r="AA1798" i="23"/>
  <c r="AA1790" i="23"/>
  <c r="AA1782" i="23"/>
  <c r="AA1774" i="23"/>
  <c r="AA1766" i="23"/>
  <c r="AA1758" i="23"/>
  <c r="AA1750" i="23"/>
  <c r="AA1742" i="23"/>
  <c r="AA1734" i="23"/>
  <c r="AA1726" i="23"/>
  <c r="AA1718" i="23"/>
  <c r="AA1710" i="23"/>
  <c r="AA1702" i="23"/>
  <c r="AA1694" i="23"/>
  <c r="AA1686" i="23"/>
  <c r="AA1678" i="23"/>
  <c r="AA1670" i="23"/>
  <c r="AA1662" i="23"/>
  <c r="AA1654" i="23"/>
  <c r="AA1646" i="23"/>
  <c r="AA1638" i="23"/>
  <c r="AA1630" i="23"/>
  <c r="AA1622" i="23"/>
  <c r="AA1614" i="23"/>
  <c r="AA1606" i="23"/>
  <c r="AA1598" i="23"/>
  <c r="AA1590" i="23"/>
  <c r="AA1582" i="23"/>
  <c r="AA1574" i="23"/>
  <c r="AA1566" i="23"/>
  <c r="AA1558" i="23"/>
  <c r="AA1550" i="23"/>
  <c r="AA1542" i="23"/>
  <c r="AA1534" i="23"/>
  <c r="AA1526" i="23"/>
  <c r="AA1518" i="23"/>
  <c r="AA1510" i="23"/>
  <c r="AA1502" i="23"/>
  <c r="AA1494" i="23"/>
  <c r="AA1486" i="23"/>
  <c r="AA1478" i="23"/>
  <c r="AA1470" i="23"/>
  <c r="AA1462" i="23"/>
  <c r="AA1454" i="23"/>
  <c r="AA1446" i="23"/>
  <c r="AA1438" i="23"/>
  <c r="AA1430" i="23"/>
  <c r="AA1422" i="23"/>
  <c r="AA1414" i="23"/>
  <c r="AA1406" i="23"/>
  <c r="AA1398" i="23"/>
  <c r="AA1390" i="23"/>
  <c r="AA1382" i="23"/>
  <c r="AA1374" i="23"/>
  <c r="AA1366" i="23"/>
  <c r="AA1358" i="23"/>
  <c r="AA1350" i="23"/>
  <c r="AA1342" i="23"/>
  <c r="AA1334" i="23"/>
  <c r="AA1326" i="23"/>
  <c r="AA1318" i="23"/>
  <c r="AA1310" i="23"/>
  <c r="AA1302" i="23"/>
  <c r="AA1294" i="23"/>
  <c r="AA1286" i="23"/>
  <c r="AA1278" i="23"/>
  <c r="AA1270" i="23"/>
  <c r="AA1262" i="23"/>
  <c r="AA1254" i="23"/>
  <c r="AA1246" i="23"/>
  <c r="AA1238" i="23"/>
  <c r="AA1230" i="23"/>
  <c r="AA1222" i="23"/>
  <c r="AA1214" i="23"/>
  <c r="AA1206" i="23"/>
  <c r="AA1198" i="23"/>
  <c r="AA1190" i="23"/>
  <c r="AA1182" i="23"/>
  <c r="AA1174" i="23"/>
  <c r="AA1166" i="23"/>
  <c r="AA1158" i="23"/>
  <c r="AA1150" i="23"/>
  <c r="AA1142" i="23"/>
  <c r="AA1134" i="23"/>
  <c r="AA1126" i="23"/>
  <c r="AA1118" i="23"/>
  <c r="AA1110" i="23"/>
  <c r="AA1102" i="23"/>
  <c r="AA1094" i="23"/>
  <c r="AA1086" i="23"/>
  <c r="AA1078" i="23"/>
  <c r="AA1070" i="23"/>
  <c r="AA1062" i="23"/>
  <c r="AA1054" i="23"/>
  <c r="AA1046" i="23"/>
  <c r="AA1038" i="23"/>
  <c r="AA1030" i="23"/>
  <c r="AA1022" i="23"/>
  <c r="AA1014" i="23"/>
  <c r="AA1006" i="23"/>
  <c r="AA998" i="23"/>
  <c r="AA990" i="23"/>
  <c r="AA982" i="23"/>
  <c r="AA974" i="23"/>
  <c r="AA966" i="23"/>
  <c r="AA958" i="23"/>
  <c r="AA950" i="23"/>
  <c r="AA942" i="23"/>
  <c r="AA934" i="23"/>
  <c r="AA926" i="23"/>
  <c r="AA918" i="23"/>
  <c r="AA910" i="23"/>
  <c r="AA902" i="23"/>
  <c r="AA894" i="23"/>
  <c r="AA886" i="23"/>
  <c r="AA878" i="23"/>
  <c r="AA870" i="23"/>
  <c r="AA862" i="23"/>
  <c r="AA854" i="23"/>
  <c r="AA846" i="23"/>
  <c r="AA838" i="23"/>
  <c r="AA830" i="23"/>
  <c r="AA822" i="23"/>
  <c r="AA814" i="23"/>
  <c r="AA806" i="23"/>
  <c r="AA798" i="23"/>
  <c r="AA790" i="23"/>
  <c r="AA782" i="23"/>
  <c r="AA774" i="23"/>
  <c r="AA766" i="23"/>
  <c r="AA758" i="23"/>
  <c r="AA750" i="23"/>
  <c r="AA742" i="23"/>
  <c r="AA734" i="23"/>
  <c r="AA726" i="23"/>
  <c r="AA718" i="23"/>
  <c r="AA710" i="23"/>
  <c r="AA702" i="23"/>
  <c r="AA694" i="23"/>
  <c r="AA686" i="23"/>
  <c r="AA678" i="23"/>
  <c r="AA670" i="23"/>
  <c r="AA662" i="23"/>
  <c r="AA654" i="23"/>
  <c r="AA646" i="23"/>
  <c r="AA638" i="23"/>
  <c r="AA630" i="23"/>
  <c r="AA622" i="23"/>
  <c r="AA3455" i="23"/>
  <c r="AA3437" i="23"/>
  <c r="AA3414" i="23"/>
  <c r="AA3391" i="23"/>
  <c r="AA3373" i="23"/>
  <c r="AA3352" i="23"/>
  <c r="AA3336" i="23"/>
  <c r="AA3320" i="23"/>
  <c r="AA3304" i="23"/>
  <c r="AA3288" i="23"/>
  <c r="AA3272" i="23"/>
  <c r="AA3256" i="23"/>
  <c r="AA3240" i="23"/>
  <c r="AA3224" i="23"/>
  <c r="AA3208" i="23"/>
  <c r="AA3192" i="23"/>
  <c r="AA3176" i="23"/>
  <c r="AA3160" i="23"/>
  <c r="AA3144" i="23"/>
  <c r="AA3128" i="23"/>
  <c r="AA3112" i="23"/>
  <c r="AA3096" i="23"/>
  <c r="AA3080" i="23"/>
  <c r="AA3064" i="23"/>
  <c r="AA3048" i="23"/>
  <c r="AA3032" i="23"/>
  <c r="AA3016" i="23"/>
  <c r="AA3000" i="23"/>
  <c r="AA2984" i="23"/>
  <c r="AA2968" i="23"/>
  <c r="AA2952" i="23"/>
  <c r="AA2936" i="23"/>
  <c r="AA2920" i="23"/>
  <c r="AA2904" i="23"/>
  <c r="AA2890" i="23"/>
  <c r="AA2880" i="23"/>
  <c r="AA2870" i="23"/>
  <c r="AA2858" i="23"/>
  <c r="AA2848" i="23"/>
  <c r="AA2838" i="23"/>
  <c r="AA2826" i="23"/>
  <c r="AA2816" i="23"/>
  <c r="AA2806" i="23"/>
  <c r="AA2794" i="23"/>
  <c r="AA2784" i="23"/>
  <c r="AA2774" i="23"/>
  <c r="AA2762" i="23"/>
  <c r="AA2752" i="23"/>
  <c r="AA2742" i="23"/>
  <c r="AA2730" i="23"/>
  <c r="AA2720" i="23"/>
  <c r="AA2710" i="23"/>
  <c r="AA2698" i="23"/>
  <c r="AA2688" i="23"/>
  <c r="AA2678" i="23"/>
  <c r="AA2666" i="23"/>
  <c r="AA2656" i="23"/>
  <c r="AA2646" i="23"/>
  <c r="AA2634" i="23"/>
  <c r="AA2624" i="23"/>
  <c r="AA2614" i="23"/>
  <c r="AA2602" i="23"/>
  <c r="AA2592" i="23"/>
  <c r="AA2582" i="23"/>
  <c r="AA2570" i="23"/>
  <c r="AA2560" i="23"/>
  <c r="AA2550" i="23"/>
  <c r="AA2541" i="23"/>
  <c r="AA2531" i="23"/>
  <c r="AA2522" i="23"/>
  <c r="AA2513" i="23"/>
  <c r="AA2504" i="23"/>
  <c r="AA2495" i="23"/>
  <c r="AA2486" i="23"/>
  <c r="AA2477" i="23"/>
  <c r="AA2467" i="23"/>
  <c r="AA2458" i="23"/>
  <c r="AA2449" i="23"/>
  <c r="AA2440" i="23"/>
  <c r="AA2431" i="23"/>
  <c r="AA2422" i="23"/>
  <c r="AA2413" i="23"/>
  <c r="AA2405" i="23"/>
  <c r="AA2397" i="23"/>
  <c r="AA2389" i="23"/>
  <c r="AA2381" i="23"/>
  <c r="AA2373" i="23"/>
  <c r="AA2365" i="23"/>
  <c r="AA2357" i="23"/>
  <c r="AA2349" i="23"/>
  <c r="AA2341" i="23"/>
  <c r="AA2333" i="23"/>
  <c r="AA2325" i="23"/>
  <c r="AA2317" i="23"/>
  <c r="AA2309" i="23"/>
  <c r="AA2301" i="23"/>
  <c r="AA2293" i="23"/>
  <c r="AA2285" i="23"/>
  <c r="AA2277" i="23"/>
  <c r="AA2269" i="23"/>
  <c r="AA2261" i="23"/>
  <c r="AA2253" i="23"/>
  <c r="AA2245" i="23"/>
  <c r="AA2237" i="23"/>
  <c r="AA2229" i="23"/>
  <c r="AA2221" i="23"/>
  <c r="AA2213" i="23"/>
  <c r="AA2205" i="23"/>
  <c r="AA2197" i="23"/>
  <c r="AA2189" i="23"/>
  <c r="AA2181" i="23"/>
  <c r="AA2173" i="23"/>
  <c r="AA2165" i="23"/>
  <c r="AA2157" i="23"/>
  <c r="AA2149" i="23"/>
  <c r="AA2141" i="23"/>
  <c r="AA2133" i="23"/>
  <c r="AA2125" i="23"/>
  <c r="AA2117" i="23"/>
  <c r="AA2109" i="23"/>
  <c r="AA2101" i="23"/>
  <c r="AA2093" i="23"/>
  <c r="AA2085" i="23"/>
  <c r="AA2077" i="23"/>
  <c r="AA2069" i="23"/>
  <c r="AA2061" i="23"/>
  <c r="AA2053" i="23"/>
  <c r="AA2045" i="23"/>
  <c r="AA2037" i="23"/>
  <c r="AA2029" i="23"/>
  <c r="AA2021" i="23"/>
  <c r="AA2013" i="23"/>
  <c r="AA2005" i="23"/>
  <c r="AA1997" i="23"/>
  <c r="AA1989" i="23"/>
  <c r="AA1981" i="23"/>
  <c r="AA1973" i="23"/>
  <c r="AA1965" i="23"/>
  <c r="AA1957" i="23"/>
  <c r="AA1949" i="23"/>
  <c r="AA1941" i="23"/>
  <c r="AA1933" i="23"/>
  <c r="AA1925" i="23"/>
  <c r="AA1917" i="23"/>
  <c r="AA1909" i="23"/>
  <c r="AA1901" i="23"/>
  <c r="AA1893" i="23"/>
  <c r="AA1885" i="23"/>
  <c r="AA1877" i="23"/>
  <c r="AA1869" i="23"/>
  <c r="AA1861" i="23"/>
  <c r="AA1853" i="23"/>
  <c r="AA1845" i="23"/>
  <c r="AA1837" i="23"/>
  <c r="AA1829" i="23"/>
  <c r="AA1821" i="23"/>
  <c r="AA1813" i="23"/>
  <c r="AA1805" i="23"/>
  <c r="AA1797" i="23"/>
  <c r="AA1789" i="23"/>
  <c r="AA1781" i="23"/>
  <c r="AA1773" i="23"/>
  <c r="AA1765" i="23"/>
  <c r="AA1757" i="23"/>
  <c r="AA1749" i="23"/>
  <c r="AA1741" i="23"/>
  <c r="AA1733" i="23"/>
  <c r="AA1725" i="23"/>
  <c r="AA1717" i="23"/>
  <c r="AA1709" i="23"/>
  <c r="AA3454" i="23"/>
  <c r="AA3431" i="23"/>
  <c r="AA3413" i="23"/>
  <c r="AA3390" i="23"/>
  <c r="AA3367" i="23"/>
  <c r="AA3351" i="23"/>
  <c r="AA3335" i="23"/>
  <c r="AA3319" i="23"/>
  <c r="AA3303" i="23"/>
  <c r="AA3287" i="23"/>
  <c r="AA3271" i="23"/>
  <c r="AA3255" i="23"/>
  <c r="AA3239" i="23"/>
  <c r="AA3223" i="23"/>
  <c r="AA3207" i="23"/>
  <c r="AA3191" i="23"/>
  <c r="AA3175" i="23"/>
  <c r="AA3159" i="23"/>
  <c r="AA3143" i="23"/>
  <c r="AA3127" i="23"/>
  <c r="AA3111" i="23"/>
  <c r="AA3095" i="23"/>
  <c r="AA3079" i="23"/>
  <c r="AA3063" i="23"/>
  <c r="AA3047" i="23"/>
  <c r="AA3031" i="23"/>
  <c r="AA3015" i="23"/>
  <c r="AA2999" i="23"/>
  <c r="AA2983" i="23"/>
  <c r="AA2967" i="23"/>
  <c r="AA2951" i="23"/>
  <c r="AA2935" i="23"/>
  <c r="AA2919" i="23"/>
  <c r="AA2903" i="23"/>
  <c r="AA2889" i="23"/>
  <c r="AA2879" i="23"/>
  <c r="AA2869" i="23"/>
  <c r="AA2857" i="23"/>
  <c r="AA2847" i="23"/>
  <c r="AA2837" i="23"/>
  <c r="AA2825" i="23"/>
  <c r="AA2815" i="23"/>
  <c r="AA2805" i="23"/>
  <c r="AA2793" i="23"/>
  <c r="AA2783" i="23"/>
  <c r="AA2773" i="23"/>
  <c r="AA2761" i="23"/>
  <c r="AA2751" i="23"/>
  <c r="AA2741" i="23"/>
  <c r="AA2729" i="23"/>
  <c r="AA2719" i="23"/>
  <c r="AA2709" i="23"/>
  <c r="AA2697" i="23"/>
  <c r="AA2687" i="23"/>
  <c r="AA2677" i="23"/>
  <c r="AA2665" i="23"/>
  <c r="AA2655" i="23"/>
  <c r="AA2645" i="23"/>
  <c r="AA2633" i="23"/>
  <c r="AA2623" i="23"/>
  <c r="AA2613" i="23"/>
  <c r="AA2601" i="23"/>
  <c r="AA2591" i="23"/>
  <c r="AA2581" i="23"/>
  <c r="AA2569" i="23"/>
  <c r="AA2559" i="23"/>
  <c r="AA2549" i="23"/>
  <c r="AA2539" i="23"/>
  <c r="AA2530" i="23"/>
  <c r="AA2521" i="23"/>
  <c r="AA2512" i="23"/>
  <c r="AA2503" i="23"/>
  <c r="AA2494" i="23"/>
  <c r="AA2485" i="23"/>
  <c r="AA2475" i="23"/>
  <c r="AA2466" i="23"/>
  <c r="AA2457" i="23"/>
  <c r="AA2448" i="23"/>
  <c r="AA2439" i="23"/>
  <c r="AA2430" i="23"/>
  <c r="AA2421" i="23"/>
  <c r="AA2412" i="23"/>
  <c r="AA2404" i="23"/>
  <c r="AA2396" i="23"/>
  <c r="AA2388" i="23"/>
  <c r="AA2380" i="23"/>
  <c r="AA2372" i="23"/>
  <c r="AA2364" i="23"/>
  <c r="AA2356" i="23"/>
  <c r="AA2348" i="23"/>
  <c r="AA2340" i="23"/>
  <c r="AA2332" i="23"/>
  <c r="AA2324" i="23"/>
  <c r="AA2316" i="23"/>
  <c r="AA2308" i="23"/>
  <c r="AA2300" i="23"/>
  <c r="AA2292" i="23"/>
  <c r="AA2284" i="23"/>
  <c r="AA2276" i="23"/>
  <c r="AA2268" i="23"/>
  <c r="AA2260" i="23"/>
  <c r="AA2252" i="23"/>
  <c r="AA2244" i="23"/>
  <c r="AA2236" i="23"/>
  <c r="AA2228" i="23"/>
  <c r="AA2220" i="23"/>
  <c r="AA2212" i="23"/>
  <c r="AA2204" i="23"/>
  <c r="AA2196" i="23"/>
  <c r="AA2188" i="23"/>
  <c r="AA2180" i="23"/>
  <c r="AA2172" i="23"/>
  <c r="AA2164" i="23"/>
  <c r="AA2156" i="23"/>
  <c r="AA2148" i="23"/>
  <c r="AA2140" i="23"/>
  <c r="AA2132" i="23"/>
  <c r="AA2124" i="23"/>
  <c r="AA2116" i="23"/>
  <c r="AA2108" i="23"/>
  <c r="AA2100" i="23"/>
  <c r="AA2092" i="23"/>
  <c r="AA2084" i="23"/>
  <c r="AA2076" i="23"/>
  <c r="AA2068" i="23"/>
  <c r="AA2060" i="23"/>
  <c r="AA2052" i="23"/>
  <c r="AA2044" i="23"/>
  <c r="AA2036" i="23"/>
  <c r="AA2028" i="23"/>
  <c r="AA2020" i="23"/>
  <c r="AA2012" i="23"/>
  <c r="AA2004" i="23"/>
  <c r="AA1996" i="23"/>
  <c r="AA1988" i="23"/>
  <c r="AA1980" i="23"/>
  <c r="AA1972" i="23"/>
  <c r="AA1964" i="23"/>
  <c r="AA1956" i="23"/>
  <c r="AA1948" i="23"/>
  <c r="AA1940" i="23"/>
  <c r="AA1932" i="23"/>
  <c r="AA1924" i="23"/>
  <c r="AA1916" i="23"/>
  <c r="AA1908" i="23"/>
  <c r="AA1900" i="23"/>
  <c r="AA1892" i="23"/>
  <c r="AA1884" i="23"/>
  <c r="AA1876" i="23"/>
  <c r="AA1868" i="23"/>
  <c r="AA1860" i="23"/>
  <c r="AA1852" i="23"/>
  <c r="AA1844" i="23"/>
  <c r="AA1836" i="23"/>
  <c r="AA1828" i="23"/>
  <c r="AA1820" i="23"/>
  <c r="AA1812" i="23"/>
  <c r="AA1804" i="23"/>
  <c r="AA1796" i="23"/>
  <c r="AA1788" i="23"/>
  <c r="AA1780" i="23"/>
  <c r="AA1772" i="23"/>
  <c r="AA1764" i="23"/>
  <c r="AA1756" i="23"/>
  <c r="AA1748" i="23"/>
  <c r="AA1740" i="23"/>
  <c r="AA1732" i="23"/>
  <c r="AA1724" i="23"/>
  <c r="AA1716" i="23"/>
  <c r="AA1708" i="23"/>
  <c r="AA1700" i="23"/>
  <c r="AA1692" i="23"/>
  <c r="AA1684" i="23"/>
  <c r="AA1676" i="23"/>
  <c r="AA3471" i="23"/>
  <c r="AA3453" i="23"/>
  <c r="AA3430" i="23"/>
  <c r="AA3407" i="23"/>
  <c r="AA3389" i="23"/>
  <c r="AA3366" i="23"/>
  <c r="AA3350" i="23"/>
  <c r="AA3334" i="23"/>
  <c r="AA3318" i="23"/>
  <c r="AA3302" i="23"/>
  <c r="AA3286" i="23"/>
  <c r="AA3270" i="23"/>
  <c r="AA3254" i="23"/>
  <c r="AA3238" i="23"/>
  <c r="AA3222" i="23"/>
  <c r="AA3206" i="23"/>
  <c r="AA3190" i="23"/>
  <c r="AA3174" i="23"/>
  <c r="AA3158" i="23"/>
  <c r="AA3142" i="23"/>
  <c r="AA3126" i="23"/>
  <c r="AA3110" i="23"/>
  <c r="AA3094" i="23"/>
  <c r="AA3078" i="23"/>
  <c r="AA3062" i="23"/>
  <c r="AA3046" i="23"/>
  <c r="AA3030" i="23"/>
  <c r="AA3014" i="23"/>
  <c r="AA2998" i="23"/>
  <c r="AA2982" i="23"/>
  <c r="AA2966" i="23"/>
  <c r="AA2950" i="23"/>
  <c r="AA2934" i="23"/>
  <c r="AA2918" i="23"/>
  <c r="AA2902" i="23"/>
  <c r="AA2888" i="23"/>
  <c r="AA2878" i="23"/>
  <c r="AA2866" i="23"/>
  <c r="AA2856" i="23"/>
  <c r="AA2846" i="23"/>
  <c r="AA2834" i="23"/>
  <c r="AA2824" i="23"/>
  <c r="AA2814" i="23"/>
  <c r="AA2802" i="23"/>
  <c r="AA2792" i="23"/>
  <c r="AA2782" i="23"/>
  <c r="AA2770" i="23"/>
  <c r="AA2760" i="23"/>
  <c r="AA2750" i="23"/>
  <c r="AA2738" i="23"/>
  <c r="AA2728" i="23"/>
  <c r="AA2718" i="23"/>
  <c r="AA2706" i="23"/>
  <c r="AA2696" i="23"/>
  <c r="AA2686" i="23"/>
  <c r="AA2674" i="23"/>
  <c r="AA2664" i="23"/>
  <c r="AA2654" i="23"/>
  <c r="AA2642" i="23"/>
  <c r="AA2632" i="23"/>
  <c r="AA2622" i="23"/>
  <c r="AA2610" i="23"/>
  <c r="AA2600" i="23"/>
  <c r="AA2590" i="23"/>
  <c r="AA2578" i="23"/>
  <c r="AA2568" i="23"/>
  <c r="AA2558" i="23"/>
  <c r="AA2547" i="23"/>
  <c r="AA2538" i="23"/>
  <c r="AA2529" i="23"/>
  <c r="AA2520" i="23"/>
  <c r="AA2511" i="23"/>
  <c r="AA2502" i="23"/>
  <c r="AA2493" i="23"/>
  <c r="AA2483" i="23"/>
  <c r="AA2474" i="23"/>
  <c r="AA2465" i="23"/>
  <c r="AA2456" i="23"/>
  <c r="AA2447" i="23"/>
  <c r="AA2438" i="23"/>
  <c r="AA2429" i="23"/>
  <c r="AA2419" i="23"/>
  <c r="AA2411" i="23"/>
  <c r="AA2403" i="23"/>
  <c r="AA2395" i="23"/>
  <c r="AA2387" i="23"/>
  <c r="AA2379" i="23"/>
  <c r="AA2371" i="23"/>
  <c r="AA2363" i="23"/>
  <c r="AA2355" i="23"/>
  <c r="AA2347" i="23"/>
  <c r="AA2339" i="23"/>
  <c r="AA2331" i="23"/>
  <c r="AA2323" i="23"/>
  <c r="AA2315" i="23"/>
  <c r="AA2307" i="23"/>
  <c r="AA2299" i="23"/>
  <c r="AA2291" i="23"/>
  <c r="AA2283" i="23"/>
  <c r="AA2275" i="23"/>
  <c r="AA2267" i="23"/>
  <c r="AA2259" i="23"/>
  <c r="AA2251" i="23"/>
  <c r="AA2243" i="23"/>
  <c r="AA2235" i="23"/>
  <c r="AA2227" i="23"/>
  <c r="AA2219" i="23"/>
  <c r="AA2211" i="23"/>
  <c r="AA2203" i="23"/>
  <c r="AA2195" i="23"/>
  <c r="AA2187" i="23"/>
  <c r="AA2179" i="23"/>
  <c r="AA2171" i="23"/>
  <c r="AA2163" i="23"/>
  <c r="AA2155" i="23"/>
  <c r="AA2147" i="23"/>
  <c r="AA2139" i="23"/>
  <c r="AA2131" i="23"/>
  <c r="AA2123" i="23"/>
  <c r="AA2115" i="23"/>
  <c r="AA2107" i="23"/>
  <c r="AA2099" i="23"/>
  <c r="AA2091" i="23"/>
  <c r="AA2083" i="23"/>
  <c r="AA2075" i="23"/>
  <c r="AA2067" i="23"/>
  <c r="AA2059" i="23"/>
  <c r="AA2051" i="23"/>
  <c r="AA2043" i="23"/>
  <c r="AA2035" i="23"/>
  <c r="AA2027" i="23"/>
  <c r="AA2019" i="23"/>
  <c r="AA2011" i="23"/>
  <c r="AA2003" i="23"/>
  <c r="AA1995" i="23"/>
  <c r="AA1987" i="23"/>
  <c r="AA1979" i="23"/>
  <c r="AA1971" i="23"/>
  <c r="AA1963" i="23"/>
  <c r="AA1955" i="23"/>
  <c r="AA1947" i="23"/>
  <c r="AA1939" i="23"/>
  <c r="AA1931" i="23"/>
  <c r="AA1923" i="23"/>
  <c r="AA1915" i="23"/>
  <c r="AA1907" i="23"/>
  <c r="AA1899" i="23"/>
  <c r="AA1891" i="23"/>
  <c r="AA1883" i="23"/>
  <c r="AA1875" i="23"/>
  <c r="AA1867" i="23"/>
  <c r="AA1859" i="23"/>
  <c r="AA1851" i="23"/>
  <c r="AA1843" i="23"/>
  <c r="AA1835" i="23"/>
  <c r="AA1827" i="23"/>
  <c r="AA1819" i="23"/>
  <c r="AA1811" i="23"/>
  <c r="AA1803" i="23"/>
  <c r="AA1795" i="23"/>
  <c r="AA1787" i="23"/>
  <c r="AA1779" i="23"/>
  <c r="AA1771" i="23"/>
  <c r="AA1763" i="23"/>
  <c r="AA1755" i="23"/>
  <c r="AA1747" i="23"/>
  <c r="AA1739" i="23"/>
  <c r="AA1731" i="23"/>
  <c r="AA1723" i="23"/>
  <c r="AA1715" i="23"/>
  <c r="AA3470" i="23"/>
  <c r="AA3447" i="23"/>
  <c r="AA3429" i="23"/>
  <c r="AA3406" i="23"/>
  <c r="AA3383" i="23"/>
  <c r="AA3365" i="23"/>
  <c r="AA3349" i="23"/>
  <c r="AA3333" i="23"/>
  <c r="AA3317" i="23"/>
  <c r="AA3301" i="23"/>
  <c r="AA3285" i="23"/>
  <c r="AA3269" i="23"/>
  <c r="AA3253" i="23"/>
  <c r="AA3237" i="23"/>
  <c r="AA3221" i="23"/>
  <c r="AA3205" i="23"/>
  <c r="AA3189" i="23"/>
  <c r="AA3173" i="23"/>
  <c r="AA3157" i="23"/>
  <c r="AA3141" i="23"/>
  <c r="AA3125" i="23"/>
  <c r="AA3109" i="23"/>
  <c r="AA3093" i="23"/>
  <c r="AA3077" i="23"/>
  <c r="AA3061" i="23"/>
  <c r="AA3045" i="23"/>
  <c r="AA3029" i="23"/>
  <c r="AA3013" i="23"/>
  <c r="AA2997" i="23"/>
  <c r="AA2981" i="23"/>
  <c r="AA2965" i="23"/>
  <c r="AA2949" i="23"/>
  <c r="AA2933" i="23"/>
  <c r="AA2917" i="23"/>
  <c r="AA2901" i="23"/>
  <c r="AA2887" i="23"/>
  <c r="AA2877" i="23"/>
  <c r="AA2865" i="23"/>
  <c r="AA2855" i="23"/>
  <c r="AA2845" i="23"/>
  <c r="AA2833" i="23"/>
  <c r="AA2823" i="23"/>
  <c r="AA2813" i="23"/>
  <c r="AA2801" i="23"/>
  <c r="AA2791" i="23"/>
  <c r="AA2781" i="23"/>
  <c r="AA2769" i="23"/>
  <c r="AA2759" i="23"/>
  <c r="AA2749" i="23"/>
  <c r="AA2737" i="23"/>
  <c r="AA2727" i="23"/>
  <c r="AA2717" i="23"/>
  <c r="AA2705" i="23"/>
  <c r="AA2695" i="23"/>
  <c r="AA2685" i="23"/>
  <c r="AA2673" i="23"/>
  <c r="AA2663" i="23"/>
  <c r="AA2653" i="23"/>
  <c r="AA2641" i="23"/>
  <c r="AA2631" i="23"/>
  <c r="AA2621" i="23"/>
  <c r="AA2609" i="23"/>
  <c r="AA2599" i="23"/>
  <c r="AA2589" i="23"/>
  <c r="AA2577" i="23"/>
  <c r="AA2567" i="23"/>
  <c r="AA2557" i="23"/>
  <c r="AA2546" i="23"/>
  <c r="AA2537" i="23"/>
  <c r="AA2528" i="23"/>
  <c r="AA2519" i="23"/>
  <c r="AA2510" i="23"/>
  <c r="AA2501" i="23"/>
  <c r="AA2491" i="23"/>
  <c r="AA2482" i="23"/>
  <c r="AA2473" i="23"/>
  <c r="AA2464" i="23"/>
  <c r="AA2455" i="23"/>
  <c r="AA2446" i="23"/>
  <c r="AA2437" i="23"/>
  <c r="AA2427" i="23"/>
  <c r="AA2418" i="23"/>
  <c r="AA2410" i="23"/>
  <c r="AA2402" i="23"/>
  <c r="AA2394" i="23"/>
  <c r="AA2386" i="23"/>
  <c r="AA2378" i="23"/>
  <c r="AA2370" i="23"/>
  <c r="AA2362" i="23"/>
  <c r="AA2354" i="23"/>
  <c r="AA2346" i="23"/>
  <c r="AA2338" i="23"/>
  <c r="AA2330" i="23"/>
  <c r="AA2322" i="23"/>
  <c r="AA2314" i="23"/>
  <c r="AA2306" i="23"/>
  <c r="AA2298" i="23"/>
  <c r="AA2290" i="23"/>
  <c r="AA2282" i="23"/>
  <c r="AA2274" i="23"/>
  <c r="AA2266" i="23"/>
  <c r="AA2258" i="23"/>
  <c r="AA2250" i="23"/>
  <c r="AA2242" i="23"/>
  <c r="AA2234" i="23"/>
  <c r="AA2226" i="23"/>
  <c r="AA2218" i="23"/>
  <c r="AA2210" i="23"/>
  <c r="AA2202" i="23"/>
  <c r="AA2194" i="23"/>
  <c r="AA2186" i="23"/>
  <c r="AA2178" i="23"/>
  <c r="AA2170" i="23"/>
  <c r="AA2162" i="23"/>
  <c r="AA2154" i="23"/>
  <c r="AA2146" i="23"/>
  <c r="AA2138" i="23"/>
  <c r="AA2130" i="23"/>
  <c r="AA2122" i="23"/>
  <c r="AA2114" i="23"/>
  <c r="AA2106" i="23"/>
  <c r="AA2098" i="23"/>
  <c r="AA2090" i="23"/>
  <c r="AA2082" i="23"/>
  <c r="AA2074" i="23"/>
  <c r="AA2066" i="23"/>
  <c r="AA2058" i="23"/>
  <c r="AA2050" i="23"/>
  <c r="AA2042" i="23"/>
  <c r="AA2034" i="23"/>
  <c r="AA2026" i="23"/>
  <c r="AA2018" i="23"/>
  <c r="AA2010" i="23"/>
  <c r="AA2002" i="23"/>
  <c r="AA1994" i="23"/>
  <c r="AA1986" i="23"/>
  <c r="AA1978" i="23"/>
  <c r="AA1970" i="23"/>
  <c r="AA1962" i="23"/>
  <c r="AA1954" i="23"/>
  <c r="AA1946" i="23"/>
  <c r="AA1938" i="23"/>
  <c r="AA1930" i="23"/>
  <c r="AA1922" i="23"/>
  <c r="AA1914" i="23"/>
  <c r="AA1906" i="23"/>
  <c r="AA1898" i="23"/>
  <c r="AA1890" i="23"/>
  <c r="AA1882" i="23"/>
  <c r="AA1874" i="23"/>
  <c r="AA1866" i="23"/>
  <c r="AA1858" i="23"/>
  <c r="AA1850" i="23"/>
  <c r="AA1842" i="23"/>
  <c r="AA1834" i="23"/>
  <c r="AA1826" i="23"/>
  <c r="AA1818" i="23"/>
  <c r="AA1810" i="23"/>
  <c r="AA1802" i="23"/>
  <c r="AA1794" i="23"/>
  <c r="AA1786" i="23"/>
  <c r="AA1778" i="23"/>
  <c r="AA1770" i="23"/>
  <c r="AA1762" i="23"/>
  <c r="AA1754" i="23"/>
  <c r="AA1746" i="23"/>
  <c r="AA1738" i="23"/>
  <c r="AA1730" i="23"/>
  <c r="AA1722" i="23"/>
  <c r="AA1714" i="23"/>
  <c r="AA1706" i="23"/>
  <c r="AA1698" i="23"/>
  <c r="AA1690" i="23"/>
  <c r="AA1682" i="23"/>
  <c r="AA1674" i="23"/>
  <c r="AA1666" i="23"/>
  <c r="AA1658" i="23"/>
  <c r="AA3469" i="23"/>
  <c r="AA3446" i="23"/>
  <c r="AA3423" i="23"/>
  <c r="AA3405" i="23"/>
  <c r="AA3382" i="23"/>
  <c r="AA3360" i="23"/>
  <c r="AA3344" i="23"/>
  <c r="AA3328" i="23"/>
  <c r="AA3312" i="23"/>
  <c r="AA3296" i="23"/>
  <c r="AA3280" i="23"/>
  <c r="AA3264" i="23"/>
  <c r="AA3248" i="23"/>
  <c r="AA3232" i="23"/>
  <c r="AA3216" i="23"/>
  <c r="AA3200" i="23"/>
  <c r="AA3184" i="23"/>
  <c r="AA3168" i="23"/>
  <c r="AA3152" i="23"/>
  <c r="AA3136" i="23"/>
  <c r="AA3120" i="23"/>
  <c r="AA3104" i="23"/>
  <c r="AA3088" i="23"/>
  <c r="AA3072" i="23"/>
  <c r="AA3056" i="23"/>
  <c r="AA3040" i="23"/>
  <c r="AA3024" i="23"/>
  <c r="AA3008" i="23"/>
  <c r="AA2992" i="23"/>
  <c r="AA2976" i="23"/>
  <c r="AA2960" i="23"/>
  <c r="AA2944" i="23"/>
  <c r="AA2928" i="23"/>
  <c r="AA2912" i="23"/>
  <c r="AA2896" i="23"/>
  <c r="AA2886" i="23"/>
  <c r="AA2874" i="23"/>
  <c r="AA2864" i="23"/>
  <c r="AA2854" i="23"/>
  <c r="AA2842" i="23"/>
  <c r="AA2832" i="23"/>
  <c r="AA2822" i="23"/>
  <c r="AA2810" i="23"/>
  <c r="AA2800" i="23"/>
  <c r="AA2790" i="23"/>
  <c r="AA2778" i="23"/>
  <c r="AA2768" i="23"/>
  <c r="AA2758" i="23"/>
  <c r="AA2746" i="23"/>
  <c r="AA2736" i="23"/>
  <c r="AA2726" i="23"/>
  <c r="AA2714" i="23"/>
  <c r="AA2704" i="23"/>
  <c r="AA2694" i="23"/>
  <c r="AA2682" i="23"/>
  <c r="AA2672" i="23"/>
  <c r="AA2662" i="23"/>
  <c r="AA2650" i="23"/>
  <c r="AA2640" i="23"/>
  <c r="AA2630" i="23"/>
  <c r="AA2618" i="23"/>
  <c r="AA2608" i="23"/>
  <c r="AA2598" i="23"/>
  <c r="AA2586" i="23"/>
  <c r="AA2576" i="23"/>
  <c r="AA2566" i="23"/>
  <c r="AA2554" i="23"/>
  <c r="AA2545" i="23"/>
  <c r="AA2536" i="23"/>
  <c r="AA2527" i="23"/>
  <c r="AA2518" i="23"/>
  <c r="AA2509" i="23"/>
  <c r="AA2499" i="23"/>
  <c r="AA2490" i="23"/>
  <c r="AA2481" i="23"/>
  <c r="AA2472" i="23"/>
  <c r="AA2463" i="23"/>
  <c r="AA2454" i="23"/>
  <c r="AA2445" i="23"/>
  <c r="AA2435" i="23"/>
  <c r="AA2426" i="23"/>
  <c r="AA2417" i="23"/>
  <c r="AA2409" i="23"/>
  <c r="AA2401" i="23"/>
  <c r="AA2393" i="23"/>
  <c r="AA2385" i="23"/>
  <c r="AA2377" i="23"/>
  <c r="AA2369" i="23"/>
  <c r="AA2361" i="23"/>
  <c r="AA2353" i="23"/>
  <c r="AA2345" i="23"/>
  <c r="AA2337" i="23"/>
  <c r="AA2329" i="23"/>
  <c r="AA2321" i="23"/>
  <c r="AA2313" i="23"/>
  <c r="AA2305" i="23"/>
  <c r="AA2297" i="23"/>
  <c r="AA2289" i="23"/>
  <c r="AA2281" i="23"/>
  <c r="AA2273" i="23"/>
  <c r="AA2265" i="23"/>
  <c r="AA2257" i="23"/>
  <c r="AA2249" i="23"/>
  <c r="AA2241" i="23"/>
  <c r="AA2233" i="23"/>
  <c r="AA2225" i="23"/>
  <c r="AA2217" i="23"/>
  <c r="AA2209" i="23"/>
  <c r="AA2201" i="23"/>
  <c r="AA2193" i="23"/>
  <c r="AA2185" i="23"/>
  <c r="AA2177" i="23"/>
  <c r="AA2169" i="23"/>
  <c r="AA2161" i="23"/>
  <c r="AA2153" i="23"/>
  <c r="AA2145" i="23"/>
  <c r="AA2137" i="23"/>
  <c r="AA2129" i="23"/>
  <c r="AA2121" i="23"/>
  <c r="AA2113" i="23"/>
  <c r="AA2105" i="23"/>
  <c r="AA2097" i="23"/>
  <c r="AA2089" i="23"/>
  <c r="AA2081" i="23"/>
  <c r="AA2073" i="23"/>
  <c r="AA2065" i="23"/>
  <c r="AA2057" i="23"/>
  <c r="AA2049" i="23"/>
  <c r="AA2041" i="23"/>
  <c r="AA2033" i="23"/>
  <c r="AA2025" i="23"/>
  <c r="AA2017" i="23"/>
  <c r="AA2009" i="23"/>
  <c r="AA2001" i="23"/>
  <c r="AA1993" i="23"/>
  <c r="AA1985" i="23"/>
  <c r="AA1977" i="23"/>
  <c r="AA1969" i="23"/>
  <c r="AA1961" i="23"/>
  <c r="AA1953" i="23"/>
  <c r="AA1945" i="23"/>
  <c r="AA1937" i="23"/>
  <c r="AA1929" i="23"/>
  <c r="AA1921" i="23"/>
  <c r="AA1913" i="23"/>
  <c r="AA1905" i="23"/>
  <c r="AA1897" i="23"/>
  <c r="AA1889" i="23"/>
  <c r="AA1881" i="23"/>
  <c r="AA1873" i="23"/>
  <c r="AA1865" i="23"/>
  <c r="AA1857" i="23"/>
  <c r="AA1849" i="23"/>
  <c r="AA1841" i="23"/>
  <c r="AA1833" i="23"/>
  <c r="AA1825" i="23"/>
  <c r="AA1817" i="23"/>
  <c r="AA1809" i="23"/>
  <c r="AA1801" i="23"/>
  <c r="AA1793" i="23"/>
  <c r="AA1785" i="23"/>
  <c r="AA1777" i="23"/>
  <c r="AA1769" i="23"/>
  <c r="AA1761" i="23"/>
  <c r="AA1753" i="23"/>
  <c r="AA1745" i="23"/>
  <c r="AA1737" i="23"/>
  <c r="AA1729" i="23"/>
  <c r="AA1721" i="23"/>
  <c r="AA1713" i="23"/>
  <c r="AA1705" i="23"/>
  <c r="AA1697" i="23"/>
  <c r="AA1689" i="23"/>
  <c r="AA1681" i="23"/>
  <c r="AA1673" i="23"/>
  <c r="AA1665" i="23"/>
  <c r="AA1657" i="23"/>
  <c r="AA1649" i="23"/>
  <c r="AA1641" i="23"/>
  <c r="AA1633" i="23"/>
  <c r="AA1625" i="23"/>
  <c r="AA1617" i="23"/>
  <c r="AA1609" i="23"/>
  <c r="AA1601" i="23"/>
  <c r="AA1593" i="23"/>
  <c r="AA1585" i="23"/>
  <c r="AA1577" i="23"/>
  <c r="AA1569" i="23"/>
  <c r="AA1561" i="23"/>
  <c r="AA1553" i="23"/>
  <c r="AA1545" i="23"/>
  <c r="AA1537" i="23"/>
  <c r="AA1529" i="23"/>
  <c r="AA1521" i="23"/>
  <c r="AA1513" i="23"/>
  <c r="AA1505" i="23"/>
  <c r="AA1497" i="23"/>
  <c r="AA1489" i="23"/>
  <c r="AA1481" i="23"/>
  <c r="AA1473" i="23"/>
  <c r="AA1465" i="23"/>
  <c r="AA1457" i="23"/>
  <c r="AA1449" i="23"/>
  <c r="AA1441" i="23"/>
  <c r="AA1433" i="23"/>
  <c r="AA1425" i="23"/>
  <c r="AA1417" i="23"/>
  <c r="AA1409" i="23"/>
  <c r="AA1401" i="23"/>
  <c r="AA1393" i="23"/>
  <c r="AA1385" i="23"/>
  <c r="AA1377" i="23"/>
  <c r="AA1369" i="23"/>
  <c r="AA1361" i="23"/>
  <c r="AA1353" i="23"/>
  <c r="AA1345" i="23"/>
  <c r="AA1337" i="23"/>
  <c r="AA1329" i="23"/>
  <c r="AA1321" i="23"/>
  <c r="AA1313" i="23"/>
  <c r="AA1305" i="23"/>
  <c r="AA1297" i="23"/>
  <c r="AA1289" i="23"/>
  <c r="AA1281" i="23"/>
  <c r="AA1273" i="23"/>
  <c r="AA1265" i="23"/>
  <c r="AA1257" i="23"/>
  <c r="AA1249" i="23"/>
  <c r="AA1241" i="23"/>
  <c r="AA1233" i="23"/>
  <c r="AA1225" i="23"/>
  <c r="AA1217" i="23"/>
  <c r="AA1209" i="23"/>
  <c r="AA1201" i="23"/>
  <c r="AA1193" i="23"/>
  <c r="AA1185" i="23"/>
  <c r="AA1177" i="23"/>
  <c r="AA1169" i="23"/>
  <c r="AA1161" i="23"/>
  <c r="AA1153" i="23"/>
  <c r="AA1145" i="23"/>
  <c r="AA1137" i="23"/>
  <c r="AA1129" i="23"/>
  <c r="AA1121" i="23"/>
  <c r="AA1113" i="23"/>
  <c r="AA1105" i="23"/>
  <c r="AA1097" i="23"/>
  <c r="AA1089" i="23"/>
  <c r="AA1081" i="23"/>
  <c r="AA1073" i="23"/>
  <c r="AA1065" i="23"/>
  <c r="AA1057" i="23"/>
  <c r="AA1049" i="23"/>
  <c r="AA1041" i="23"/>
  <c r="AA1033" i="23"/>
  <c r="AA1025" i="23"/>
  <c r="AA1017" i="23"/>
  <c r="AA1009" i="23"/>
  <c r="AA1001" i="23"/>
  <c r="AA993" i="23"/>
  <c r="AA985" i="23"/>
  <c r="AA977" i="23"/>
  <c r="AA969" i="23"/>
  <c r="AA961" i="23"/>
  <c r="AA953" i="23"/>
  <c r="AA945" i="23"/>
  <c r="AA937" i="23"/>
  <c r="AA929" i="23"/>
  <c r="AA921" i="23"/>
  <c r="AA913" i="23"/>
  <c r="AA905" i="23"/>
  <c r="AA897" i="23"/>
  <c r="AA889" i="23"/>
  <c r="AA881" i="23"/>
  <c r="AA873" i="23"/>
  <c r="AA865" i="23"/>
  <c r="AA857" i="23"/>
  <c r="AA849" i="23"/>
  <c r="AA841" i="23"/>
  <c r="AA833" i="23"/>
  <c r="AA825" i="23"/>
  <c r="AA817" i="23"/>
  <c r="AA809" i="23"/>
  <c r="AA801" i="23"/>
  <c r="AA793" i="23"/>
  <c r="AA785" i="23"/>
  <c r="AA777" i="23"/>
  <c r="AA769" i="23"/>
  <c r="AA761" i="23"/>
  <c r="AA753" i="23"/>
  <c r="AA745" i="23"/>
  <c r="AA737" i="23"/>
  <c r="AA729" i="23"/>
  <c r="AA721" i="23"/>
  <c r="AA713" i="23"/>
  <c r="AA705" i="23"/>
  <c r="AA697" i="23"/>
  <c r="AA689" i="23"/>
  <c r="AA681" i="23"/>
  <c r="AA673" i="23"/>
  <c r="AA665" i="23"/>
  <c r="AA657" i="23"/>
  <c r="AA649" i="23"/>
  <c r="AA641" i="23"/>
  <c r="AA633" i="23"/>
  <c r="AA625" i="23"/>
  <c r="AA617" i="23"/>
  <c r="AA609" i="23"/>
  <c r="AA601" i="23"/>
  <c r="AA593" i="23"/>
  <c r="AA585" i="23"/>
  <c r="AA577" i="23"/>
  <c r="AA569" i="23"/>
  <c r="AA561" i="23"/>
  <c r="AA553" i="23"/>
  <c r="AA545" i="23"/>
  <c r="AA537" i="23"/>
  <c r="AA529" i="23"/>
  <c r="AA521" i="23"/>
  <c r="AA513" i="23"/>
  <c r="AA505" i="23"/>
  <c r="AA497" i="23"/>
  <c r="AA489" i="23"/>
  <c r="AA481" i="23"/>
  <c r="AA473" i="23"/>
  <c r="AA465" i="23"/>
  <c r="AA457" i="23"/>
  <c r="AA449" i="23"/>
  <c r="AA441" i="23"/>
  <c r="AA433" i="23"/>
  <c r="AA425" i="23"/>
  <c r="AA417" i="23"/>
  <c r="AA409" i="23"/>
  <c r="AA401" i="23"/>
  <c r="AA393" i="23"/>
  <c r="AA385" i="23"/>
  <c r="AA377" i="23"/>
  <c r="AA369" i="23"/>
  <c r="AA361" i="23"/>
  <c r="AA353" i="23"/>
  <c r="AA345" i="23"/>
  <c r="AA337" i="23"/>
  <c r="AA329" i="23"/>
  <c r="AA321" i="23"/>
  <c r="AA313" i="23"/>
  <c r="AA305" i="23"/>
  <c r="AA297" i="23"/>
  <c r="AA289" i="23"/>
  <c r="AA281" i="23"/>
  <c r="AA273" i="23"/>
  <c r="AA265" i="23"/>
  <c r="AA257" i="23"/>
  <c r="AA249" i="23"/>
  <c r="AA241" i="23"/>
  <c r="AA233" i="23"/>
  <c r="AA225" i="23"/>
  <c r="AA217" i="23"/>
  <c r="AA209" i="23"/>
  <c r="AA201" i="23"/>
  <c r="AA193" i="23"/>
  <c r="AA185" i="23"/>
  <c r="AA177" i="23"/>
  <c r="AA169" i="23"/>
  <c r="AA161" i="23"/>
  <c r="AA153" i="23"/>
  <c r="AA145" i="23"/>
  <c r="AA137" i="23"/>
  <c r="AA129" i="23"/>
  <c r="AA121" i="23"/>
  <c r="AA113" i="23"/>
  <c r="AA105" i="23"/>
  <c r="AA97" i="23"/>
  <c r="AA89" i="23"/>
  <c r="AA81" i="23"/>
  <c r="AA73" i="23"/>
  <c r="AA65" i="23"/>
  <c r="AA57" i="23"/>
  <c r="AA49" i="23"/>
  <c r="AA41" i="23"/>
  <c r="AA33" i="23"/>
  <c r="AA25" i="23"/>
  <c r="AA17" i="23"/>
  <c r="AA9" i="23"/>
  <c r="AA1693" i="23"/>
  <c r="AA1667" i="23"/>
  <c r="AA1645" i="23"/>
  <c r="AA1629" i="23"/>
  <c r="AA1613" i="23"/>
  <c r="AA1597" i="23"/>
  <c r="AA1581" i="23"/>
  <c r="AA1565" i="23"/>
  <c r="AA1549" i="23"/>
  <c r="AA1533" i="23"/>
  <c r="AA1517" i="23"/>
  <c r="AA1501" i="23"/>
  <c r="AA1485" i="23"/>
  <c r="AA1469" i="23"/>
  <c r="AA1453" i="23"/>
  <c r="AA1437" i="23"/>
  <c r="AA1421" i="23"/>
  <c r="AA1405" i="23"/>
  <c r="AA1389" i="23"/>
  <c r="AA1373" i="23"/>
  <c r="AA1357" i="23"/>
  <c r="AA1341" i="23"/>
  <c r="AA1325" i="23"/>
  <c r="AA1309" i="23"/>
  <c r="AA1293" i="23"/>
  <c r="AA1277" i="23"/>
  <c r="AA1261" i="23"/>
  <c r="AA1245" i="23"/>
  <c r="AA1229" i="23"/>
  <c r="AA1213" i="23"/>
  <c r="AA1197" i="23"/>
  <c r="AA1181" i="23"/>
  <c r="AA1165" i="23"/>
  <c r="AA1149" i="23"/>
  <c r="AA1133" i="23"/>
  <c r="AA1117" i="23"/>
  <c r="AA1101" i="23"/>
  <c r="AA1085" i="23"/>
  <c r="AA1069" i="23"/>
  <c r="AA1053" i="23"/>
  <c r="AA1037" i="23"/>
  <c r="AA1021" i="23"/>
  <c r="AA1005" i="23"/>
  <c r="AA989" i="23"/>
  <c r="AA973" i="23"/>
  <c r="AA957" i="23"/>
  <c r="AA941" i="23"/>
  <c r="AA925" i="23"/>
  <c r="AA909" i="23"/>
  <c r="AA893" i="23"/>
  <c r="AA877" i="23"/>
  <c r="AA861" i="23"/>
  <c r="AA845" i="23"/>
  <c r="AA829" i="23"/>
  <c r="AA813" i="23"/>
  <c r="AA797" i="23"/>
  <c r="AA781" i="23"/>
  <c r="AA765" i="23"/>
  <c r="AA749" i="23"/>
  <c r="AA733" i="23"/>
  <c r="AA717" i="23"/>
  <c r="AA701" i="23"/>
  <c r="AA685" i="23"/>
  <c r="AA669" i="23"/>
  <c r="AA653" i="23"/>
  <c r="AA637" i="23"/>
  <c r="AA621" i="23"/>
  <c r="AA610" i="23"/>
  <c r="AA598" i="23"/>
  <c r="AA588" i="23"/>
  <c r="AA578" i="23"/>
  <c r="AA566" i="23"/>
  <c r="AA556" i="23"/>
  <c r="AA546" i="23"/>
  <c r="AA534" i="23"/>
  <c r="AA524" i="23"/>
  <c r="AA514" i="23"/>
  <c r="AA502" i="23"/>
  <c r="AA492" i="23"/>
  <c r="AA482" i="23"/>
  <c r="AA470" i="23"/>
  <c r="AA460" i="23"/>
  <c r="AA450" i="23"/>
  <c r="AA438" i="23"/>
  <c r="AA428" i="23"/>
  <c r="AA418" i="23"/>
  <c r="AA406" i="23"/>
  <c r="AA396" i="23"/>
  <c r="AA386" i="23"/>
  <c r="AA374" i="23"/>
  <c r="AA364" i="23"/>
  <c r="AA354" i="23"/>
  <c r="AA342" i="23"/>
  <c r="AA332" i="23"/>
  <c r="AA322" i="23"/>
  <c r="AA310" i="23"/>
  <c r="AA300" i="23"/>
  <c r="AA290" i="23"/>
  <c r="AA278" i="23"/>
  <c r="AA268" i="23"/>
  <c r="AA258" i="23"/>
  <c r="AA246" i="23"/>
  <c r="AA236" i="23"/>
  <c r="AA226" i="23"/>
  <c r="AA214" i="23"/>
  <c r="AA205" i="23"/>
  <c r="AA196" i="23"/>
  <c r="AA187" i="23"/>
  <c r="AA178" i="23"/>
  <c r="AA168" i="23"/>
  <c r="AA159" i="23"/>
  <c r="AA150" i="23"/>
  <c r="AA141" i="23"/>
  <c r="AA132" i="23"/>
  <c r="AA123" i="23"/>
  <c r="AA114" i="23"/>
  <c r="AA104" i="23"/>
  <c r="AA95" i="23"/>
  <c r="AA86" i="23"/>
  <c r="AA77" i="23"/>
  <c r="AA68" i="23"/>
  <c r="AA59" i="23"/>
  <c r="AA50" i="23"/>
  <c r="AA40" i="23"/>
  <c r="AA31" i="23"/>
  <c r="AA22" i="23"/>
  <c r="AA13" i="23"/>
  <c r="AA5" i="23"/>
  <c r="AA285" i="23"/>
  <c r="AA174" i="23"/>
  <c r="AA101" i="23"/>
  <c r="AA64" i="23"/>
  <c r="AA28" i="23"/>
  <c r="AA1691" i="23"/>
  <c r="AA1661" i="23"/>
  <c r="AA1644" i="23"/>
  <c r="AA1628" i="23"/>
  <c r="AA1612" i="23"/>
  <c r="AA1596" i="23"/>
  <c r="AA1580" i="23"/>
  <c r="AA1564" i="23"/>
  <c r="AA1548" i="23"/>
  <c r="AA1532" i="23"/>
  <c r="AA1516" i="23"/>
  <c r="AA1500" i="23"/>
  <c r="AA1484" i="23"/>
  <c r="AA1468" i="23"/>
  <c r="AA1452" i="23"/>
  <c r="AA1436" i="23"/>
  <c r="AA1420" i="23"/>
  <c r="AA1404" i="23"/>
  <c r="AA1388" i="23"/>
  <c r="AA1372" i="23"/>
  <c r="AA1356" i="23"/>
  <c r="AA1340" i="23"/>
  <c r="AA1324" i="23"/>
  <c r="AA1308" i="23"/>
  <c r="AA1292" i="23"/>
  <c r="AA1276" i="23"/>
  <c r="AA1260" i="23"/>
  <c r="AA1244" i="23"/>
  <c r="AA1228" i="23"/>
  <c r="AA1212" i="23"/>
  <c r="AA1196" i="23"/>
  <c r="AA1180" i="23"/>
  <c r="AA1164" i="23"/>
  <c r="AA1148" i="23"/>
  <c r="AA1132" i="23"/>
  <c r="AA1116" i="23"/>
  <c r="AA1100" i="23"/>
  <c r="AA1084" i="23"/>
  <c r="AA1068" i="23"/>
  <c r="AA1052" i="23"/>
  <c r="AA1036" i="23"/>
  <c r="AA1020" i="23"/>
  <c r="AA1004" i="23"/>
  <c r="AA988" i="23"/>
  <c r="AA972" i="23"/>
  <c r="AA956" i="23"/>
  <c r="AA940" i="23"/>
  <c r="AA924" i="23"/>
  <c r="AA908" i="23"/>
  <c r="AA892" i="23"/>
  <c r="AA876" i="23"/>
  <c r="AA860" i="23"/>
  <c r="AA844" i="23"/>
  <c r="AA828" i="23"/>
  <c r="AA812" i="23"/>
  <c r="AA796" i="23"/>
  <c r="AA780" i="23"/>
  <c r="AA764" i="23"/>
  <c r="AA748" i="23"/>
  <c r="AA732" i="23"/>
  <c r="AA716" i="23"/>
  <c r="AA700" i="23"/>
  <c r="AA684" i="23"/>
  <c r="AA668" i="23"/>
  <c r="AA652" i="23"/>
  <c r="AA636" i="23"/>
  <c r="AA620" i="23"/>
  <c r="AA607" i="23"/>
  <c r="AA597" i="23"/>
  <c r="AA587" i="23"/>
  <c r="AA575" i="23"/>
  <c r="AA565" i="23"/>
  <c r="AA555" i="23"/>
  <c r="AA543" i="23"/>
  <c r="AA533" i="23"/>
  <c r="AA523" i="23"/>
  <c r="AA511" i="23"/>
  <c r="AA501" i="23"/>
  <c r="AA491" i="23"/>
  <c r="AA479" i="23"/>
  <c r="AA469" i="23"/>
  <c r="AA459" i="23"/>
  <c r="AA447" i="23"/>
  <c r="AA437" i="23"/>
  <c r="AA427" i="23"/>
  <c r="AA415" i="23"/>
  <c r="AA405" i="23"/>
  <c r="AA395" i="23"/>
  <c r="AA383" i="23"/>
  <c r="AA373" i="23"/>
  <c r="AA363" i="23"/>
  <c r="AA351" i="23"/>
  <c r="AA341" i="23"/>
  <c r="AA331" i="23"/>
  <c r="AA319" i="23"/>
  <c r="AA309" i="23"/>
  <c r="AA299" i="23"/>
  <c r="AA287" i="23"/>
  <c r="AA277" i="23"/>
  <c r="AA267" i="23"/>
  <c r="AA255" i="23"/>
  <c r="AA245" i="23"/>
  <c r="AA235" i="23"/>
  <c r="AA223" i="23"/>
  <c r="AA213" i="23"/>
  <c r="AA204" i="23"/>
  <c r="AA195" i="23"/>
  <c r="AA186" i="23"/>
  <c r="AA176" i="23"/>
  <c r="AA167" i="23"/>
  <c r="AA158" i="23"/>
  <c r="AA149" i="23"/>
  <c r="AA140" i="23"/>
  <c r="AA131" i="23"/>
  <c r="AA122" i="23"/>
  <c r="AA112" i="23"/>
  <c r="AA103" i="23"/>
  <c r="AA94" i="23"/>
  <c r="AA85" i="23"/>
  <c r="AA76" i="23"/>
  <c r="AA67" i="23"/>
  <c r="AA58" i="23"/>
  <c r="AA48" i="23"/>
  <c r="AA39" i="23"/>
  <c r="AA30" i="23"/>
  <c r="AA21" i="23"/>
  <c r="AA12" i="23"/>
  <c r="AA275" i="23"/>
  <c r="AA183" i="23"/>
  <c r="AA92" i="23"/>
  <c r="AA46" i="23"/>
  <c r="AA10" i="23"/>
  <c r="AA1685" i="23"/>
  <c r="AA1660" i="23"/>
  <c r="AA1643" i="23"/>
  <c r="AA1627" i="23"/>
  <c r="AA1611" i="23"/>
  <c r="AA1595" i="23"/>
  <c r="AA1579" i="23"/>
  <c r="AA1563" i="23"/>
  <c r="AA1547" i="23"/>
  <c r="AA1531" i="23"/>
  <c r="AA1515" i="23"/>
  <c r="AA1499" i="23"/>
  <c r="AA1483" i="23"/>
  <c r="AA1467" i="23"/>
  <c r="AA1451" i="23"/>
  <c r="AA1435" i="23"/>
  <c r="AA1419" i="23"/>
  <c r="AA1403" i="23"/>
  <c r="AA1387" i="23"/>
  <c r="AA1371" i="23"/>
  <c r="AA1355" i="23"/>
  <c r="AA1339" i="23"/>
  <c r="AA1323" i="23"/>
  <c r="AA1307" i="23"/>
  <c r="AA1291" i="23"/>
  <c r="AA1275" i="23"/>
  <c r="AA1259" i="23"/>
  <c r="AA1243" i="23"/>
  <c r="AA1227" i="23"/>
  <c r="AA1211" i="23"/>
  <c r="AA1195" i="23"/>
  <c r="AA1179" i="23"/>
  <c r="AA1163" i="23"/>
  <c r="AA1147" i="23"/>
  <c r="AA1131" i="23"/>
  <c r="AA1115" i="23"/>
  <c r="AA1099" i="23"/>
  <c r="AA1083" i="23"/>
  <c r="AA1067" i="23"/>
  <c r="AA1051" i="23"/>
  <c r="AA1035" i="23"/>
  <c r="AA1019" i="23"/>
  <c r="AA1003" i="23"/>
  <c r="AA987" i="23"/>
  <c r="AA971" i="23"/>
  <c r="AA955" i="23"/>
  <c r="AA939" i="23"/>
  <c r="AA923" i="23"/>
  <c r="AA907" i="23"/>
  <c r="AA891" i="23"/>
  <c r="AA875" i="23"/>
  <c r="AA859" i="23"/>
  <c r="AA843" i="23"/>
  <c r="AA827" i="23"/>
  <c r="AA811" i="23"/>
  <c r="AA795" i="23"/>
  <c r="AA779" i="23"/>
  <c r="AA763" i="23"/>
  <c r="AA747" i="23"/>
  <c r="AA731" i="23"/>
  <c r="AA715" i="23"/>
  <c r="AA699" i="23"/>
  <c r="AA683" i="23"/>
  <c r="AA667" i="23"/>
  <c r="AA651" i="23"/>
  <c r="AA635" i="23"/>
  <c r="AA619" i="23"/>
  <c r="AA606" i="23"/>
  <c r="AA596" i="23"/>
  <c r="AA586" i="23"/>
  <c r="AA574" i="23"/>
  <c r="AA564" i="23"/>
  <c r="AA554" i="23"/>
  <c r="AA542" i="23"/>
  <c r="AA532" i="23"/>
  <c r="AA522" i="23"/>
  <c r="AA510" i="23"/>
  <c r="AA500" i="23"/>
  <c r="AA490" i="23"/>
  <c r="AA478" i="23"/>
  <c r="AA468" i="23"/>
  <c r="AA458" i="23"/>
  <c r="AA446" i="23"/>
  <c r="AA436" i="23"/>
  <c r="AA426" i="23"/>
  <c r="AA414" i="23"/>
  <c r="AA404" i="23"/>
  <c r="AA394" i="23"/>
  <c r="AA382" i="23"/>
  <c r="AA372" i="23"/>
  <c r="AA362" i="23"/>
  <c r="AA350" i="23"/>
  <c r="AA340" i="23"/>
  <c r="AA330" i="23"/>
  <c r="AA318" i="23"/>
  <c r="AA308" i="23"/>
  <c r="AA298" i="23"/>
  <c r="AA286" i="23"/>
  <c r="AA276" i="23"/>
  <c r="AA266" i="23"/>
  <c r="AA254" i="23"/>
  <c r="AA244" i="23"/>
  <c r="AA234" i="23"/>
  <c r="AA222" i="23"/>
  <c r="AA212" i="23"/>
  <c r="AA203" i="23"/>
  <c r="AA194" i="23"/>
  <c r="AA184" i="23"/>
  <c r="AA175" i="23"/>
  <c r="AA166" i="23"/>
  <c r="AA157" i="23"/>
  <c r="AA148" i="23"/>
  <c r="AA139" i="23"/>
  <c r="AA130" i="23"/>
  <c r="AA120" i="23"/>
  <c r="AA111" i="23"/>
  <c r="AA102" i="23"/>
  <c r="AA93" i="23"/>
  <c r="AA84" i="23"/>
  <c r="AA75" i="23"/>
  <c r="AA66" i="23"/>
  <c r="AA56" i="23"/>
  <c r="AA47" i="23"/>
  <c r="AA38" i="23"/>
  <c r="AA29" i="23"/>
  <c r="AA20" i="23"/>
  <c r="AA11" i="23"/>
  <c r="AA359" i="23"/>
  <c r="AA221" i="23"/>
  <c r="AA192" i="23"/>
  <c r="AA165" i="23"/>
  <c r="AA147" i="23"/>
  <c r="AA128" i="23"/>
  <c r="AA119" i="23"/>
  <c r="AA110" i="23"/>
  <c r="AA83" i="23"/>
  <c r="AA55" i="23"/>
  <c r="AA19" i="23"/>
  <c r="AA1683" i="23"/>
  <c r="AA1659" i="23"/>
  <c r="AA1642" i="23"/>
  <c r="AA1626" i="23"/>
  <c r="AA1610" i="23"/>
  <c r="AA1594" i="23"/>
  <c r="AA1578" i="23"/>
  <c r="AA1562" i="23"/>
  <c r="AA1546" i="23"/>
  <c r="AA1530" i="23"/>
  <c r="AA1514" i="23"/>
  <c r="AA1498" i="23"/>
  <c r="AA1482" i="23"/>
  <c r="AA1466" i="23"/>
  <c r="AA1450" i="23"/>
  <c r="AA1434" i="23"/>
  <c r="AA1418" i="23"/>
  <c r="AA1402" i="23"/>
  <c r="AA1386" i="23"/>
  <c r="AA1370" i="23"/>
  <c r="AA1354" i="23"/>
  <c r="AA1338" i="23"/>
  <c r="AA1322" i="23"/>
  <c r="AA1306" i="23"/>
  <c r="AA1290" i="23"/>
  <c r="AA1274" i="23"/>
  <c r="AA1258" i="23"/>
  <c r="AA1242" i="23"/>
  <c r="AA1226" i="23"/>
  <c r="AA1210" i="23"/>
  <c r="AA1194" i="23"/>
  <c r="AA1178" i="23"/>
  <c r="AA1162" i="23"/>
  <c r="AA1146" i="23"/>
  <c r="AA1130" i="23"/>
  <c r="AA1114" i="23"/>
  <c r="AA1098" i="23"/>
  <c r="AA1082" i="23"/>
  <c r="AA1066" i="23"/>
  <c r="AA1050" i="23"/>
  <c r="AA1034" i="23"/>
  <c r="AA1018" i="23"/>
  <c r="AA1002" i="23"/>
  <c r="AA986" i="23"/>
  <c r="AA970" i="23"/>
  <c r="AA954" i="23"/>
  <c r="AA938" i="23"/>
  <c r="AA922" i="23"/>
  <c r="AA906" i="23"/>
  <c r="AA890" i="23"/>
  <c r="AA874" i="23"/>
  <c r="AA858" i="23"/>
  <c r="AA842" i="23"/>
  <c r="AA826" i="23"/>
  <c r="AA810" i="23"/>
  <c r="AA794" i="23"/>
  <c r="AA778" i="23"/>
  <c r="AA762" i="23"/>
  <c r="AA746" i="23"/>
  <c r="AA730" i="23"/>
  <c r="AA714" i="23"/>
  <c r="AA698" i="23"/>
  <c r="AA682" i="23"/>
  <c r="AA666" i="23"/>
  <c r="AA650" i="23"/>
  <c r="AA634" i="23"/>
  <c r="AA618" i="23"/>
  <c r="AA605" i="23"/>
  <c r="AA595" i="23"/>
  <c r="AA583" i="23"/>
  <c r="AA573" i="23"/>
  <c r="AA563" i="23"/>
  <c r="AA551" i="23"/>
  <c r="AA541" i="23"/>
  <c r="AA531" i="23"/>
  <c r="AA519" i="23"/>
  <c r="AA509" i="23"/>
  <c r="AA499" i="23"/>
  <c r="AA487" i="23"/>
  <c r="AA477" i="23"/>
  <c r="AA467" i="23"/>
  <c r="AA455" i="23"/>
  <c r="AA445" i="23"/>
  <c r="AA435" i="23"/>
  <c r="AA423" i="23"/>
  <c r="AA413" i="23"/>
  <c r="AA403" i="23"/>
  <c r="AA391" i="23"/>
  <c r="AA381" i="23"/>
  <c r="AA371" i="23"/>
  <c r="AA349" i="23"/>
  <c r="AA339" i="23"/>
  <c r="AA327" i="23"/>
  <c r="AA317" i="23"/>
  <c r="AA295" i="23"/>
  <c r="AA263" i="23"/>
  <c r="AA253" i="23"/>
  <c r="AA243" i="23"/>
  <c r="AA231" i="23"/>
  <c r="AA211" i="23"/>
  <c r="AA202" i="23"/>
  <c r="AA156" i="23"/>
  <c r="AA1677" i="23"/>
  <c r="AA1653" i="23"/>
  <c r="AA1637" i="23"/>
  <c r="AA1621" i="23"/>
  <c r="AA1605" i="23"/>
  <c r="AA1589" i="23"/>
  <c r="AA1573" i="23"/>
  <c r="AA1557" i="23"/>
  <c r="AA1541" i="23"/>
  <c r="AA1525" i="23"/>
  <c r="AA1509" i="23"/>
  <c r="AA1493" i="23"/>
  <c r="AA1477" i="23"/>
  <c r="AA1461" i="23"/>
  <c r="AA1445" i="23"/>
  <c r="AA1429" i="23"/>
  <c r="AA1413" i="23"/>
  <c r="AA1397" i="23"/>
  <c r="AA1381" i="23"/>
  <c r="AA1365" i="23"/>
  <c r="AA1349" i="23"/>
  <c r="AA1333" i="23"/>
  <c r="AA1317" i="23"/>
  <c r="AA1301" i="23"/>
  <c r="AA1285" i="23"/>
  <c r="AA1269" i="23"/>
  <c r="AA1253" i="23"/>
  <c r="AA1237" i="23"/>
  <c r="AA1221" i="23"/>
  <c r="AA1205" i="23"/>
  <c r="AA1189" i="23"/>
  <c r="AA1173" i="23"/>
  <c r="AA1157" i="23"/>
  <c r="AA1141" i="23"/>
  <c r="AA1125" i="23"/>
  <c r="AA1109" i="23"/>
  <c r="AA1093" i="23"/>
  <c r="AA1077" i="23"/>
  <c r="AA1061" i="23"/>
  <c r="AA1045" i="23"/>
  <c r="AA1029" i="23"/>
  <c r="AA1013" i="23"/>
  <c r="AA997" i="23"/>
  <c r="AA981" i="23"/>
  <c r="AA965" i="23"/>
  <c r="AA949" i="23"/>
  <c r="AA933" i="23"/>
  <c r="AA917" i="23"/>
  <c r="AA901" i="23"/>
  <c r="AA885" i="23"/>
  <c r="AA869" i="23"/>
  <c r="AA853" i="23"/>
  <c r="AA837" i="23"/>
  <c r="AA821" i="23"/>
  <c r="AA805" i="23"/>
  <c r="AA789" i="23"/>
  <c r="AA773" i="23"/>
  <c r="AA757" i="23"/>
  <c r="AA741" i="23"/>
  <c r="AA725" i="23"/>
  <c r="AA709" i="23"/>
  <c r="AA693" i="23"/>
  <c r="AA677" i="23"/>
  <c r="AA661" i="23"/>
  <c r="AA645" i="23"/>
  <c r="AA629" i="23"/>
  <c r="AA614" i="23"/>
  <c r="AA604" i="23"/>
  <c r="AA594" i="23"/>
  <c r="AA582" i="23"/>
  <c r="AA572" i="23"/>
  <c r="AA562" i="23"/>
  <c r="AA550" i="23"/>
  <c r="AA540" i="23"/>
  <c r="AA530" i="23"/>
  <c r="AA518" i="23"/>
  <c r="AA508" i="23"/>
  <c r="AA498" i="23"/>
  <c r="AA486" i="23"/>
  <c r="AA476" i="23"/>
  <c r="AA466" i="23"/>
  <c r="AA454" i="23"/>
  <c r="AA444" i="23"/>
  <c r="AA434" i="23"/>
  <c r="AA422" i="23"/>
  <c r="AA412" i="23"/>
  <c r="AA402" i="23"/>
  <c r="AA390" i="23"/>
  <c r="AA380" i="23"/>
  <c r="AA370" i="23"/>
  <c r="AA358" i="23"/>
  <c r="AA348" i="23"/>
  <c r="AA338" i="23"/>
  <c r="AA326" i="23"/>
  <c r="AA316" i="23"/>
  <c r="AA306" i="23"/>
  <c r="AA294" i="23"/>
  <c r="AA284" i="23"/>
  <c r="AA274" i="23"/>
  <c r="AA262" i="23"/>
  <c r="AA252" i="23"/>
  <c r="AA242" i="23"/>
  <c r="AA230" i="23"/>
  <c r="AA220" i="23"/>
  <c r="AA210" i="23"/>
  <c r="AA200" i="23"/>
  <c r="AA191" i="23"/>
  <c r="AA182" i="23"/>
  <c r="AA173" i="23"/>
  <c r="AA164" i="23"/>
  <c r="AA155" i="23"/>
  <c r="AA146" i="23"/>
  <c r="AA136" i="23"/>
  <c r="AA127" i="23"/>
  <c r="AA118" i="23"/>
  <c r="AA109" i="23"/>
  <c r="AA100" i="23"/>
  <c r="AA91" i="23"/>
  <c r="AA82" i="23"/>
  <c r="AA72" i="23"/>
  <c r="AA63" i="23"/>
  <c r="AA54" i="23"/>
  <c r="AA45" i="23"/>
  <c r="AA36" i="23"/>
  <c r="AA27" i="23"/>
  <c r="AA18" i="23"/>
  <c r="AA8" i="23"/>
  <c r="AA1707" i="23"/>
  <c r="AA1675" i="23"/>
  <c r="AA1652" i="23"/>
  <c r="AA1636" i="23"/>
  <c r="AA1620" i="23"/>
  <c r="AA1604" i="23"/>
  <c r="AA1588" i="23"/>
  <c r="AA1572" i="23"/>
  <c r="AA1556" i="23"/>
  <c r="AA1540" i="23"/>
  <c r="AA1524" i="23"/>
  <c r="AA1508" i="23"/>
  <c r="AA1492" i="23"/>
  <c r="AA1476" i="23"/>
  <c r="AA1460" i="23"/>
  <c r="AA1444" i="23"/>
  <c r="AA1428" i="23"/>
  <c r="AA1412" i="23"/>
  <c r="AA1396" i="23"/>
  <c r="AA1380" i="23"/>
  <c r="AA1364" i="23"/>
  <c r="AA1348" i="23"/>
  <c r="AA1332" i="23"/>
  <c r="AA1316" i="23"/>
  <c r="AA1300" i="23"/>
  <c r="AA1284" i="23"/>
  <c r="AA1268" i="23"/>
  <c r="AA1252" i="23"/>
  <c r="AA1236" i="23"/>
  <c r="AA1220" i="23"/>
  <c r="AA1204" i="23"/>
  <c r="AA1188" i="23"/>
  <c r="AA1172" i="23"/>
  <c r="AA1156" i="23"/>
  <c r="AA1140" i="23"/>
  <c r="AA1124" i="23"/>
  <c r="AA1108" i="23"/>
  <c r="AA1092" i="23"/>
  <c r="AA1076" i="23"/>
  <c r="AA1060" i="23"/>
  <c r="AA1044" i="23"/>
  <c r="AA1028" i="23"/>
  <c r="AA1012" i="23"/>
  <c r="AA996" i="23"/>
  <c r="AA980" i="23"/>
  <c r="AA964" i="23"/>
  <c r="AA948" i="23"/>
  <c r="AA932" i="23"/>
  <c r="AA916" i="23"/>
  <c r="AA900" i="23"/>
  <c r="AA884" i="23"/>
  <c r="AA868" i="23"/>
  <c r="AA852" i="23"/>
  <c r="AA836" i="23"/>
  <c r="AA820" i="23"/>
  <c r="AA804" i="23"/>
  <c r="AA788" i="23"/>
  <c r="AA772" i="23"/>
  <c r="AA756" i="23"/>
  <c r="AA740" i="23"/>
  <c r="AA724" i="23"/>
  <c r="AA708" i="23"/>
  <c r="AA692" i="23"/>
  <c r="AA676" i="23"/>
  <c r="AA660" i="23"/>
  <c r="AA644" i="23"/>
  <c r="AA628" i="23"/>
  <c r="AA613" i="23"/>
  <c r="AA603" i="23"/>
  <c r="AA591" i="23"/>
  <c r="AA581" i="23"/>
  <c r="AA571" i="23"/>
  <c r="AA559" i="23"/>
  <c r="AA549" i="23"/>
  <c r="AA539" i="23"/>
  <c r="AA527" i="23"/>
  <c r="AA517" i="23"/>
  <c r="AA507" i="23"/>
  <c r="AA495" i="23"/>
  <c r="AA485" i="23"/>
  <c r="AA475" i="23"/>
  <c r="AA463" i="23"/>
  <c r="AA453" i="23"/>
  <c r="AA443" i="23"/>
  <c r="AA431" i="23"/>
  <c r="AA421" i="23"/>
  <c r="AA411" i="23"/>
  <c r="AA399" i="23"/>
  <c r="AA389" i="23"/>
  <c r="AA379" i="23"/>
  <c r="AA367" i="23"/>
  <c r="AA357" i="23"/>
  <c r="AA347" i="23"/>
  <c r="AA335" i="23"/>
  <c r="AA325" i="23"/>
  <c r="AA315" i="23"/>
  <c r="AA303" i="23"/>
  <c r="AA293" i="23"/>
  <c r="AA283" i="23"/>
  <c r="AA271" i="23"/>
  <c r="AA261" i="23"/>
  <c r="AA251" i="23"/>
  <c r="AA239" i="23"/>
  <c r="AA229" i="23"/>
  <c r="AA219" i="23"/>
  <c r="AA208" i="23"/>
  <c r="AA199" i="23"/>
  <c r="AA190" i="23"/>
  <c r="AA181" i="23"/>
  <c r="AA172" i="23"/>
  <c r="AA163" i="23"/>
  <c r="AA154" i="23"/>
  <c r="AA144" i="23"/>
  <c r="AA135" i="23"/>
  <c r="AA126" i="23"/>
  <c r="AA117" i="23"/>
  <c r="AA108" i="23"/>
  <c r="AA99" i="23"/>
  <c r="AA90" i="23"/>
  <c r="AA80" i="23"/>
  <c r="AA71" i="23"/>
  <c r="AA62" i="23"/>
  <c r="AA53" i="23"/>
  <c r="AA44" i="23"/>
  <c r="AA35" i="23"/>
  <c r="AA26" i="23"/>
  <c r="AA16" i="23"/>
  <c r="AA7" i="23"/>
  <c r="AA1701" i="23"/>
  <c r="AA1669" i="23"/>
  <c r="AA1651" i="23"/>
  <c r="AA1635" i="23"/>
  <c r="AA1619" i="23"/>
  <c r="AA1603" i="23"/>
  <c r="AA1587" i="23"/>
  <c r="AA1571" i="23"/>
  <c r="AA1555" i="23"/>
  <c r="AA1539" i="23"/>
  <c r="AA1523" i="23"/>
  <c r="AA1507" i="23"/>
  <c r="AA1491" i="23"/>
  <c r="AA1475" i="23"/>
  <c r="AA1459" i="23"/>
  <c r="AA1443" i="23"/>
  <c r="AA1427" i="23"/>
  <c r="AA1411" i="23"/>
  <c r="AA1395" i="23"/>
  <c r="AA1379" i="23"/>
  <c r="AA1363" i="23"/>
  <c r="AA1347" i="23"/>
  <c r="AA1331" i="23"/>
  <c r="AA1315" i="23"/>
  <c r="AA1299" i="23"/>
  <c r="AA1283" i="23"/>
  <c r="AA1267" i="23"/>
  <c r="AA1251" i="23"/>
  <c r="AA1235" i="23"/>
  <c r="AA1219" i="23"/>
  <c r="AA1203" i="23"/>
  <c r="AA1187" i="23"/>
  <c r="AA1171" i="23"/>
  <c r="AA1155" i="23"/>
  <c r="AA1139" i="23"/>
  <c r="AA1123" i="23"/>
  <c r="AA1107" i="23"/>
  <c r="AA1091" i="23"/>
  <c r="AA1075" i="23"/>
  <c r="AA1059" i="23"/>
  <c r="AA1043" i="23"/>
  <c r="AA1027" i="23"/>
  <c r="AA1011" i="23"/>
  <c r="AA995" i="23"/>
  <c r="AA979" i="23"/>
  <c r="AA963" i="23"/>
  <c r="AA947" i="23"/>
  <c r="AA931" i="23"/>
  <c r="AA915" i="23"/>
  <c r="AA899" i="23"/>
  <c r="AA883" i="23"/>
  <c r="AA867" i="23"/>
  <c r="AA851" i="23"/>
  <c r="AA835" i="23"/>
  <c r="AA819" i="23"/>
  <c r="AA803" i="23"/>
  <c r="AA787" i="23"/>
  <c r="AA771" i="23"/>
  <c r="AA755" i="23"/>
  <c r="AA739" i="23"/>
  <c r="AA723" i="23"/>
  <c r="AA707" i="23"/>
  <c r="AA691" i="23"/>
  <c r="AA675" i="23"/>
  <c r="AA659" i="23"/>
  <c r="AA643" i="23"/>
  <c r="AA627" i="23"/>
  <c r="AA612" i="23"/>
  <c r="AA602" i="23"/>
  <c r="AA590" i="23"/>
  <c r="AA580" i="23"/>
  <c r="AA570" i="23"/>
  <c r="AA558" i="23"/>
  <c r="AA548" i="23"/>
  <c r="AA538" i="23"/>
  <c r="AA526" i="23"/>
  <c r="AA516" i="23"/>
  <c r="AA506" i="23"/>
  <c r="AA494" i="23"/>
  <c r="AA484" i="23"/>
  <c r="AA474" i="23"/>
  <c r="AA462" i="23"/>
  <c r="AA452" i="23"/>
  <c r="AA442" i="23"/>
  <c r="AA430" i="23"/>
  <c r="AA420" i="23"/>
  <c r="AA410" i="23"/>
  <c r="AA398" i="23"/>
  <c r="AA388" i="23"/>
  <c r="AA378" i="23"/>
  <c r="AA366" i="23"/>
  <c r="AA356" i="23"/>
  <c r="AA346" i="23"/>
  <c r="AA334" i="23"/>
  <c r="AA324" i="23"/>
  <c r="AA314" i="23"/>
  <c r="AA302" i="23"/>
  <c r="AA292" i="23"/>
  <c r="AA282" i="23"/>
  <c r="AA270" i="23"/>
  <c r="AA260" i="23"/>
  <c r="AA250" i="23"/>
  <c r="AA238" i="23"/>
  <c r="AA228" i="23"/>
  <c r="AA218" i="23"/>
  <c r="AA207" i="23"/>
  <c r="AA198" i="23"/>
  <c r="AA189" i="23"/>
  <c r="AA180" i="23"/>
  <c r="AA171" i="23"/>
  <c r="AA162" i="23"/>
  <c r="AA152" i="23"/>
  <c r="AA143" i="23"/>
  <c r="AA134" i="23"/>
  <c r="AA125" i="23"/>
  <c r="AA116" i="23"/>
  <c r="AA107" i="23"/>
  <c r="AA98" i="23"/>
  <c r="AA88" i="23"/>
  <c r="AA79" i="23"/>
  <c r="AA70" i="23"/>
  <c r="AA61" i="23"/>
  <c r="AA52" i="23"/>
  <c r="AA43" i="23"/>
  <c r="AA34" i="23"/>
  <c r="AA24" i="23"/>
  <c r="AA15" i="23"/>
  <c r="AA6" i="23"/>
  <c r="AA1699" i="23"/>
  <c r="AA1668" i="23"/>
  <c r="AA1650" i="23"/>
  <c r="AA1634" i="23"/>
  <c r="AA1618" i="23"/>
  <c r="AA1602" i="23"/>
  <c r="AA1586" i="23"/>
  <c r="AA1570" i="23"/>
  <c r="AA1554" i="23"/>
  <c r="AA1538" i="23"/>
  <c r="AA1522" i="23"/>
  <c r="AA1506" i="23"/>
  <c r="AA1490" i="23"/>
  <c r="AA1474" i="23"/>
  <c r="AA1458" i="23"/>
  <c r="AA1442" i="23"/>
  <c r="AA1426" i="23"/>
  <c r="AA1410" i="23"/>
  <c r="AA1394" i="23"/>
  <c r="AA1378" i="23"/>
  <c r="AA1362" i="23"/>
  <c r="AA1346" i="23"/>
  <c r="AA1330" i="23"/>
  <c r="AA1314" i="23"/>
  <c r="AA1298" i="23"/>
  <c r="AA1282" i="23"/>
  <c r="AA1266" i="23"/>
  <c r="AA1250" i="23"/>
  <c r="AA1234" i="23"/>
  <c r="AA1218" i="23"/>
  <c r="AA1202" i="23"/>
  <c r="AA1186" i="23"/>
  <c r="AA1170" i="23"/>
  <c r="AA1154" i="23"/>
  <c r="AA1138" i="23"/>
  <c r="AA1122" i="23"/>
  <c r="AA1106" i="23"/>
  <c r="AA1090" i="23"/>
  <c r="AA1074" i="23"/>
  <c r="AA1058" i="23"/>
  <c r="AA1042" i="23"/>
  <c r="AA1026" i="23"/>
  <c r="AA1010" i="23"/>
  <c r="AA994" i="23"/>
  <c r="AA978" i="23"/>
  <c r="AA962" i="23"/>
  <c r="AA946" i="23"/>
  <c r="AA930" i="23"/>
  <c r="AA914" i="23"/>
  <c r="AA898" i="23"/>
  <c r="AA882" i="23"/>
  <c r="AA866" i="23"/>
  <c r="AA850" i="23"/>
  <c r="AA834" i="23"/>
  <c r="AA818" i="23"/>
  <c r="AA802" i="23"/>
  <c r="AA786" i="23"/>
  <c r="AA770" i="23"/>
  <c r="AA754" i="23"/>
  <c r="AA738" i="23"/>
  <c r="AA722" i="23"/>
  <c r="AA706" i="23"/>
  <c r="AA690" i="23"/>
  <c r="AA674" i="23"/>
  <c r="AA658" i="23"/>
  <c r="AA642" i="23"/>
  <c r="AA626" i="23"/>
  <c r="AA611" i="23"/>
  <c r="AA599" i="23"/>
  <c r="AA589" i="23"/>
  <c r="AA579" i="23"/>
  <c r="AA567" i="23"/>
  <c r="AA557" i="23"/>
  <c r="AA547" i="23"/>
  <c r="AA535" i="23"/>
  <c r="AA525" i="23"/>
  <c r="AA515" i="23"/>
  <c r="AA503" i="23"/>
  <c r="AA493" i="23"/>
  <c r="AA483" i="23"/>
  <c r="AA471" i="23"/>
  <c r="AA461" i="23"/>
  <c r="AA451" i="23"/>
  <c r="AA439" i="23"/>
  <c r="AA429" i="23"/>
  <c r="AA419" i="23"/>
  <c r="AA407" i="23"/>
  <c r="AA397" i="23"/>
  <c r="AA387" i="23"/>
  <c r="AA375" i="23"/>
  <c r="AA365" i="23"/>
  <c r="AA355" i="23"/>
  <c r="AA343" i="23"/>
  <c r="AA333" i="23"/>
  <c r="AA323" i="23"/>
  <c r="AA311" i="23"/>
  <c r="AA301" i="23"/>
  <c r="AA291" i="23"/>
  <c r="AA279" i="23"/>
  <c r="AA269" i="23"/>
  <c r="AA259" i="23"/>
  <c r="AA247" i="23"/>
  <c r="AA237" i="23"/>
  <c r="AA227" i="23"/>
  <c r="AA215" i="23"/>
  <c r="AA206" i="23"/>
  <c r="AA197" i="23"/>
  <c r="AA188" i="23"/>
  <c r="AA179" i="23"/>
  <c r="AA170" i="23"/>
  <c r="AA160" i="23"/>
  <c r="AA151" i="23"/>
  <c r="AA142" i="23"/>
  <c r="AA133" i="23"/>
  <c r="AA124" i="23"/>
  <c r="AA115" i="23"/>
  <c r="AA106" i="23"/>
  <c r="AA96" i="23"/>
  <c r="AA87" i="23"/>
  <c r="AA78" i="23"/>
  <c r="AA69" i="23"/>
  <c r="AA60" i="23"/>
  <c r="AA51" i="23"/>
  <c r="AA42" i="23"/>
  <c r="AA32" i="23"/>
  <c r="AA23" i="23"/>
  <c r="AA14" i="23"/>
  <c r="AF5" i="23"/>
  <c r="AA307" i="23"/>
  <c r="AA138" i="23"/>
  <c r="AA74" i="23"/>
  <c r="AA37" i="23"/>
  <c r="G8" i="5"/>
  <c r="F23" i="5"/>
  <c r="F24" i="9" l="1"/>
  <c r="F29" i="3"/>
  <c r="F13" i="5"/>
  <c r="F22" i="1"/>
  <c r="K20" i="12"/>
  <c r="Y11" i="14"/>
  <c r="AB11" i="14" s="1"/>
  <c r="AC11" i="14" s="1"/>
  <c r="AC17" i="14" s="1"/>
  <c r="F8" i="14" s="1"/>
  <c r="S35" i="17"/>
  <c r="Z14" i="27" s="1"/>
  <c r="M14" i="27" s="1"/>
  <c r="J35" i="17"/>
  <c r="Q14" i="27" s="1"/>
  <c r="D14" i="27" s="1"/>
  <c r="P35" i="17"/>
  <c r="W14" i="27" s="1"/>
  <c r="J14" i="27" s="1"/>
  <c r="R35" i="17"/>
  <c r="Y14" i="27" s="1"/>
  <c r="L14" i="27" s="1"/>
  <c r="L35" i="17"/>
  <c r="S14" i="27" s="1"/>
  <c r="F14" i="27" s="1"/>
  <c r="K35" i="17"/>
  <c r="R14" i="27" s="1"/>
  <c r="E14" i="27" s="1"/>
  <c r="M35" i="17"/>
  <c r="T14" i="27" s="1"/>
  <c r="G14" i="27" s="1"/>
  <c r="N35" i="17"/>
  <c r="U14" i="27" s="1"/>
  <c r="H14" i="27" s="1"/>
  <c r="O35" i="17"/>
  <c r="V14" i="27" s="1"/>
  <c r="I14" i="27" s="1"/>
  <c r="Q35" i="17"/>
  <c r="X14" i="27" s="1"/>
  <c r="K14" i="27" s="1"/>
  <c r="G35" i="17"/>
  <c r="AA14" i="27" s="1"/>
  <c r="N14" i="27" s="1"/>
  <c r="D253" i="23"/>
  <c r="G253" i="23" s="1"/>
  <c r="D258" i="23"/>
  <c r="G258" i="23" s="1"/>
  <c r="D252" i="23"/>
  <c r="G252" i="23" s="1"/>
  <c r="D251" i="23"/>
  <c r="G251" i="23" s="1"/>
  <c r="D257" i="23"/>
  <c r="G257" i="23" s="1"/>
  <c r="D250" i="23"/>
  <c r="G250" i="23" s="1"/>
  <c r="D256" i="23"/>
  <c r="G256" i="23" s="1"/>
  <c r="D255" i="23"/>
  <c r="G255" i="23" s="1"/>
  <c r="D249" i="23"/>
  <c r="G249" i="23" s="1"/>
  <c r="D254" i="23"/>
  <c r="G254" i="23" s="1"/>
  <c r="D248" i="23"/>
  <c r="G248" i="23" s="1"/>
  <c r="D247" i="23"/>
  <c r="Q44" i="6"/>
  <c r="F13" i="6" s="1"/>
  <c r="BG15" i="20"/>
  <c r="BG17" i="20" s="1"/>
  <c r="BG15" i="31"/>
  <c r="BG17" i="31" s="1"/>
  <c r="BG14" i="31"/>
  <c r="BG16" i="31" s="1"/>
  <c r="BG14" i="20"/>
  <c r="BG16" i="20" s="1"/>
  <c r="V16" i="27" l="1"/>
  <c r="G247" i="23"/>
  <c r="G260" i="23" s="1"/>
  <c r="F24" i="1" s="1"/>
  <c r="D260" i="23"/>
  <c r="G8" i="3"/>
  <c r="G6" i="3"/>
  <c r="G5" i="3"/>
  <c r="F9" i="3"/>
  <c r="F10" i="3" s="1"/>
  <c r="G7" i="3"/>
  <c r="F31" i="3" l="1"/>
  <c r="F48" i="1"/>
  <c r="D36" i="3" l="1"/>
  <c r="F47" i="27"/>
  <c r="D126" i="1"/>
  <c r="F34" i="27"/>
  <c r="F62" i="9"/>
  <c r="F19" i="9"/>
  <c r="F28" i="9" s="1"/>
  <c r="F34" i="7"/>
  <c r="F52" i="7"/>
  <c r="G5" i="5"/>
  <c r="F39" i="4"/>
  <c r="F54" i="27" s="1"/>
  <c r="F38" i="4"/>
  <c r="W14" i="12"/>
  <c r="W13" i="12"/>
  <c r="W12" i="12"/>
  <c r="W11" i="12"/>
  <c r="W10" i="12"/>
  <c r="W9" i="12"/>
  <c r="F30" i="15"/>
  <c r="F15" i="7"/>
  <c r="F14" i="7"/>
  <c r="F11" i="7"/>
  <c r="F10" i="7"/>
  <c r="X17" i="6"/>
  <c r="X16" i="6"/>
  <c r="X15" i="6"/>
  <c r="X14" i="6"/>
  <c r="X13" i="6"/>
  <c r="X12" i="6"/>
  <c r="X11" i="6"/>
  <c r="X10" i="6"/>
  <c r="X9" i="6"/>
  <c r="X8" i="6"/>
  <c r="X7" i="6"/>
  <c r="X6" i="6"/>
  <c r="X5" i="6"/>
  <c r="X4" i="6"/>
  <c r="F40" i="1"/>
  <c r="F23" i="1"/>
  <c r="G4" i="19"/>
  <c r="D117" i="9" l="1"/>
  <c r="F71" i="27"/>
  <c r="G20" i="9"/>
  <c r="F20" i="9"/>
  <c r="E37" i="15"/>
  <c r="F88" i="27"/>
  <c r="D46" i="4"/>
  <c r="E20" i="9"/>
  <c r="X19" i="6"/>
  <c r="F32" i="15"/>
  <c r="X10" i="27" s="1"/>
  <c r="K10" i="27" s="1"/>
  <c r="F23" i="2"/>
  <c r="F85" i="9" l="1"/>
  <c r="F48" i="9"/>
  <c r="F49" i="9" s="1"/>
  <c r="O4" i="6"/>
  <c r="M76" i="7"/>
  <c r="M75" i="7"/>
  <c r="M74" i="7"/>
  <c r="M73" i="7"/>
  <c r="M72" i="7"/>
  <c r="M71" i="7"/>
  <c r="M70" i="7"/>
  <c r="M69" i="7"/>
  <c r="M68" i="7"/>
  <c r="M67" i="7"/>
  <c r="M66" i="7"/>
  <c r="M65" i="7"/>
  <c r="M64" i="7"/>
  <c r="M63" i="7"/>
  <c r="M62" i="7"/>
  <c r="M61" i="7"/>
  <c r="M60" i="7"/>
  <c r="M59" i="7"/>
  <c r="M58" i="7"/>
  <c r="M57" i="7"/>
  <c r="F58" i="7"/>
  <c r="F30" i="7"/>
  <c r="F29" i="7"/>
  <c r="G27" i="7"/>
  <c r="G22" i="7"/>
  <c r="G23" i="7"/>
  <c r="G6" i="7"/>
  <c r="G5" i="7"/>
  <c r="L77" i="7"/>
  <c r="K77" i="7"/>
  <c r="I58" i="7"/>
  <c r="I59" i="7" s="1"/>
  <c r="I60" i="7" s="1"/>
  <c r="I61" i="7" s="1"/>
  <c r="I62" i="7" s="1"/>
  <c r="I63" i="7" s="1"/>
  <c r="I64" i="7" s="1"/>
  <c r="I65" i="7" s="1"/>
  <c r="I66" i="7" s="1"/>
  <c r="I67" i="7" s="1"/>
  <c r="I68" i="7" s="1"/>
  <c r="I69" i="7" s="1"/>
  <c r="I70" i="7" s="1"/>
  <c r="I71" i="7" s="1"/>
  <c r="I72" i="7" s="1"/>
  <c r="I73" i="7" s="1"/>
  <c r="I74" i="7" s="1"/>
  <c r="I75" i="7" s="1"/>
  <c r="I76" i="7" s="1"/>
  <c r="D120" i="9" l="1"/>
  <c r="F74" i="27"/>
  <c r="D67" i="7"/>
  <c r="D66" i="7"/>
  <c r="N71" i="7"/>
  <c r="N63" i="7"/>
  <c r="N70" i="7"/>
  <c r="N62" i="7"/>
  <c r="N69" i="7"/>
  <c r="N61" i="7"/>
  <c r="N76" i="7"/>
  <c r="N68" i="7"/>
  <c r="N60" i="7"/>
  <c r="N75" i="7"/>
  <c r="N67" i="7"/>
  <c r="N59" i="7"/>
  <c r="N74" i="7"/>
  <c r="N66" i="7"/>
  <c r="N58" i="7"/>
  <c r="N73" i="7"/>
  <c r="N65" i="7"/>
  <c r="N57" i="7"/>
  <c r="N64" i="7"/>
  <c r="N72" i="7"/>
  <c r="F16" i="7"/>
  <c r="F12" i="7"/>
  <c r="F18" i="7" l="1"/>
  <c r="H23" i="16"/>
  <c r="H22" i="16"/>
  <c r="H21" i="16"/>
  <c r="G7" i="5"/>
  <c r="G10" i="5"/>
  <c r="F14" i="5"/>
  <c r="F57" i="27" s="1"/>
  <c r="G12" i="12"/>
  <c r="D65" i="7" l="1"/>
  <c r="F25" i="5"/>
  <c r="T8" i="27" s="1"/>
  <c r="G8" i="27" s="1"/>
  <c r="D27" i="5"/>
  <c r="N20" i="12"/>
  <c r="G7" i="6"/>
  <c r="F22" i="5"/>
  <c r="G18" i="5"/>
  <c r="G22" i="4"/>
  <c r="G13" i="4"/>
  <c r="F16" i="4"/>
  <c r="F17" i="4" s="1"/>
  <c r="F110" i="9"/>
  <c r="F109" i="9"/>
  <c r="G6" i="9"/>
  <c r="G82" i="9"/>
  <c r="G65" i="9"/>
  <c r="T16" i="27" l="1"/>
  <c r="G16" i="27" s="1"/>
  <c r="F111" i="9"/>
  <c r="F112" i="9" s="1"/>
  <c r="F76" i="9"/>
  <c r="F77" i="9" s="1"/>
  <c r="G17" i="10"/>
  <c r="F19" i="10"/>
  <c r="G14" i="10"/>
  <c r="E6" i="12"/>
  <c r="G22" i="15"/>
  <c r="F12" i="11"/>
  <c r="F21" i="10" l="1"/>
  <c r="F84" i="27" s="1"/>
  <c r="F20" i="10"/>
  <c r="E26" i="10"/>
  <c r="G4" i="13"/>
  <c r="G6" i="13"/>
  <c r="G28" i="2" l="1"/>
  <c r="F115" i="1"/>
  <c r="F117" i="1" s="1"/>
  <c r="F118" i="1" s="1"/>
  <c r="F106" i="1"/>
  <c r="D129" i="1" s="1"/>
  <c r="G104" i="1"/>
  <c r="F34" i="1"/>
  <c r="G17" i="1"/>
  <c r="G30" i="1"/>
  <c r="G37" i="1"/>
  <c r="F61" i="1"/>
  <c r="F84" i="1"/>
  <c r="F86" i="1" s="1"/>
  <c r="G80" i="1"/>
  <c r="G77" i="1"/>
  <c r="G75" i="1"/>
  <c r="G74" i="1"/>
  <c r="G96" i="1"/>
  <c r="G92" i="1"/>
  <c r="G91" i="1"/>
  <c r="D130" i="1" l="1"/>
  <c r="F38" i="27"/>
  <c r="F5" i="19"/>
  <c r="I64" i="14"/>
  <c r="F14" i="1"/>
  <c r="G9" i="1"/>
  <c r="G5" i="1"/>
  <c r="L32" i="1"/>
  <c r="O32" i="1" s="1"/>
  <c r="L31" i="1"/>
  <c r="O31" i="1" s="1"/>
  <c r="L30" i="1"/>
  <c r="O30" i="1" s="1"/>
  <c r="L29" i="1"/>
  <c r="O29" i="1" s="1"/>
  <c r="L28" i="1"/>
  <c r="O28" i="1" s="1"/>
  <c r="G50" i="1"/>
  <c r="L50" i="1"/>
  <c r="O50" i="1" s="1"/>
  <c r="AH30" i="24"/>
  <c r="AH29" i="24"/>
  <c r="AH28" i="24"/>
  <c r="AH27" i="24"/>
  <c r="AH26" i="24"/>
  <c r="AH25" i="24"/>
  <c r="AH24" i="24"/>
  <c r="AH23" i="24"/>
  <c r="AH21" i="24"/>
  <c r="AH20" i="24"/>
  <c r="AH19" i="24"/>
  <c r="AH18" i="24"/>
  <c r="AH17" i="24"/>
  <c r="AH16" i="24"/>
  <c r="AH15" i="24"/>
  <c r="AH13" i="24"/>
  <c r="AH12" i="24"/>
  <c r="AH10" i="24"/>
  <c r="AH9" i="24"/>
  <c r="AH8" i="24"/>
  <c r="AH7" i="24"/>
  <c r="L51" i="1"/>
  <c r="O51" i="1" s="1"/>
  <c r="L49" i="1"/>
  <c r="O49" i="1" s="1"/>
  <c r="L48" i="1"/>
  <c r="O48" i="1" s="1"/>
  <c r="L47" i="1"/>
  <c r="O47" i="1" s="1"/>
  <c r="L46" i="1"/>
  <c r="O46" i="1" s="1"/>
  <c r="L45" i="1"/>
  <c r="O45" i="1" s="1"/>
  <c r="L44" i="1"/>
  <c r="O44" i="1" s="1"/>
  <c r="L43" i="1"/>
  <c r="O43" i="1" s="1"/>
  <c r="L42" i="1"/>
  <c r="O42" i="1" s="1"/>
  <c r="L41" i="1"/>
  <c r="O41" i="1" s="1"/>
  <c r="L40" i="1"/>
  <c r="O40" i="1" s="1"/>
  <c r="L39" i="1"/>
  <c r="O39" i="1" s="1"/>
  <c r="F42" i="1"/>
  <c r="D125" i="1" l="1"/>
  <c r="F33" i="27"/>
  <c r="D122" i="1"/>
  <c r="F30" i="27"/>
  <c r="D65" i="1"/>
  <c r="F47" i="1"/>
  <c r="O33" i="1"/>
  <c r="F32" i="1" s="1"/>
  <c r="O52" i="1"/>
  <c r="F92" i="9" l="1"/>
  <c r="F23" i="9" l="1"/>
  <c r="F25" i="9" s="1"/>
  <c r="G89" i="9"/>
  <c r="F70" i="27" l="1"/>
  <c r="D116" i="9"/>
  <c r="F27" i="9"/>
  <c r="F18" i="4"/>
  <c r="D43" i="4" s="1"/>
  <c r="G7" i="4"/>
  <c r="E106" i="9"/>
  <c r="D106" i="9"/>
  <c r="G83" i="9"/>
  <c r="G54" i="9"/>
  <c r="E9" i="9"/>
  <c r="F51" i="27" l="1"/>
  <c r="C38" i="2" l="1"/>
  <c r="D4" i="23" l="1"/>
  <c r="D5" i="23"/>
  <c r="D6" i="23"/>
  <c r="D7" i="23"/>
  <c r="D8" i="23"/>
  <c r="D9" i="23"/>
  <c r="D10" i="23"/>
  <c r="D11" i="23"/>
  <c r="D12" i="23"/>
  <c r="D13" i="23"/>
  <c r="D14" i="23"/>
  <c r="D15" i="23"/>
  <c r="D16" i="23"/>
  <c r="D17" i="23"/>
  <c r="D18" i="23"/>
  <c r="D19" i="23"/>
  <c r="D20" i="23"/>
  <c r="D21" i="23"/>
  <c r="D22" i="23"/>
  <c r="D23" i="23"/>
  <c r="D29" i="23"/>
  <c r="D30" i="23"/>
  <c r="F27" i="4" s="1"/>
  <c r="D31" i="23"/>
  <c r="G31" i="23" s="1"/>
  <c r="D32" i="23"/>
  <c r="G32" i="23" s="1"/>
  <c r="D33" i="23"/>
  <c r="G33" i="23" s="1"/>
  <c r="D34" i="23"/>
  <c r="G34" i="23" s="1"/>
  <c r="D35" i="23"/>
  <c r="G35" i="23" s="1"/>
  <c r="D36" i="23"/>
  <c r="G36" i="23" s="1"/>
  <c r="D37" i="23"/>
  <c r="G37" i="23" s="1"/>
  <c r="D38" i="23"/>
  <c r="G38" i="23" s="1"/>
  <c r="D39" i="23"/>
  <c r="G39" i="23" s="1"/>
  <c r="D40" i="23"/>
  <c r="G40" i="23" s="1"/>
  <c r="I4" i="23"/>
  <c r="I5" i="23"/>
  <c r="I6" i="23"/>
  <c r="I7" i="23"/>
  <c r="I8" i="23"/>
  <c r="I9" i="23"/>
  <c r="I10" i="23"/>
  <c r="I11" i="23"/>
  <c r="I12" i="23"/>
  <c r="I13" i="23"/>
  <c r="I14" i="23"/>
  <c r="I15" i="23"/>
  <c r="I16" i="23"/>
  <c r="I17" i="23"/>
  <c r="I18" i="23"/>
  <c r="I19" i="23"/>
  <c r="I20" i="23"/>
  <c r="I21" i="23"/>
  <c r="I22" i="23"/>
  <c r="I23" i="23"/>
  <c r="N23" i="23"/>
  <c r="N22" i="23"/>
  <c r="N21" i="23"/>
  <c r="N20" i="23"/>
  <c r="N19" i="23"/>
  <c r="N18" i="23"/>
  <c r="N17" i="23"/>
  <c r="N16" i="23"/>
  <c r="N15" i="23"/>
  <c r="N14" i="23"/>
  <c r="N13" i="23"/>
  <c r="N11" i="23"/>
  <c r="N10" i="23"/>
  <c r="N9" i="23"/>
  <c r="N8" i="23"/>
  <c r="N7" i="23"/>
  <c r="N6" i="23"/>
  <c r="N5" i="23"/>
  <c r="N4" i="23"/>
  <c r="N12" i="23"/>
  <c r="W8" i="12"/>
  <c r="W6" i="12"/>
  <c r="W5" i="12"/>
  <c r="W4" i="12"/>
  <c r="M4" i="12"/>
  <c r="M14" i="12"/>
  <c r="M13" i="12"/>
  <c r="M12" i="12"/>
  <c r="M11" i="12"/>
  <c r="M10" i="12"/>
  <c r="M9" i="12"/>
  <c r="M8" i="12"/>
  <c r="M6" i="12"/>
  <c r="M5" i="12"/>
  <c r="N21" i="12"/>
  <c r="F20" i="12" s="1"/>
  <c r="F21" i="12" s="1"/>
  <c r="F52" i="27" l="1"/>
  <c r="D44" i="4"/>
  <c r="F41" i="4"/>
  <c r="S8" i="27" s="1"/>
  <c r="F48" i="27"/>
  <c r="D26" i="12"/>
  <c r="F23" i="12"/>
  <c r="G29" i="23"/>
  <c r="D42" i="23"/>
  <c r="F54" i="9"/>
  <c r="F55" i="9" s="1"/>
  <c r="F42" i="9"/>
  <c r="F43" i="9" s="1"/>
  <c r="F79" i="9"/>
  <c r="F24" i="15"/>
  <c r="F10" i="8"/>
  <c r="F84" i="9"/>
  <c r="F86" i="9"/>
  <c r="F91" i="9"/>
  <c r="F93" i="9" s="1"/>
  <c r="G30" i="23"/>
  <c r="R11" i="19"/>
  <c r="U11" i="19" s="1"/>
  <c r="R19" i="19"/>
  <c r="U19" i="19" s="1"/>
  <c r="R20" i="19"/>
  <c r="U20" i="19" s="1"/>
  <c r="R21" i="19"/>
  <c r="U21" i="19" s="1"/>
  <c r="R6" i="19"/>
  <c r="U6" i="19" s="1"/>
  <c r="R14" i="19"/>
  <c r="U14" i="19" s="1"/>
  <c r="R22" i="19"/>
  <c r="U22" i="19" s="1"/>
  <c r="R10" i="19"/>
  <c r="U10" i="19" s="1"/>
  <c r="R5" i="19"/>
  <c r="U5" i="19" s="1"/>
  <c r="R7" i="19"/>
  <c r="U7" i="19" s="1"/>
  <c r="R15" i="19"/>
  <c r="U15" i="19" s="1"/>
  <c r="R23" i="19"/>
  <c r="U23" i="19" s="1"/>
  <c r="R18" i="19"/>
  <c r="U18" i="19" s="1"/>
  <c r="R12" i="19"/>
  <c r="U12" i="19" s="1"/>
  <c r="R13" i="19"/>
  <c r="U13" i="19" s="1"/>
  <c r="R8" i="19"/>
  <c r="U8" i="19" s="1"/>
  <c r="R16" i="19"/>
  <c r="U16" i="19" s="1"/>
  <c r="R9" i="19"/>
  <c r="U9" i="19" s="1"/>
  <c r="R17" i="19"/>
  <c r="U17" i="19" s="1"/>
  <c r="Q5" i="23"/>
  <c r="Q13" i="23"/>
  <c r="Q21" i="23"/>
  <c r="Q4" i="23"/>
  <c r="Q12" i="23"/>
  <c r="Q16" i="23"/>
  <c r="Q17" i="23"/>
  <c r="Q14" i="23"/>
  <c r="Q18" i="23"/>
  <c r="Q8" i="23"/>
  <c r="Q9" i="23"/>
  <c r="Q7" i="23"/>
  <c r="Q11" i="23"/>
  <c r="Q15" i="23"/>
  <c r="Q19" i="23"/>
  <c r="Q23" i="23"/>
  <c r="Q20" i="23"/>
  <c r="Q6" i="23"/>
  <c r="Q10" i="23"/>
  <c r="Q22" i="23"/>
  <c r="F8" i="27" l="1"/>
  <c r="S16" i="27"/>
  <c r="F16" i="27" s="1"/>
  <c r="F73" i="27"/>
  <c r="D119" i="9"/>
  <c r="D121" i="9"/>
  <c r="F75" i="27"/>
  <c r="D123" i="9"/>
  <c r="F78" i="27"/>
  <c r="F114" i="9"/>
  <c r="D122" i="9"/>
  <c r="F77" i="27"/>
  <c r="G42" i="23"/>
  <c r="F26" i="1" s="1"/>
  <c r="D66" i="1" s="1"/>
  <c r="U25" i="19"/>
  <c r="G13" i="15"/>
  <c r="F25" i="15" l="1"/>
  <c r="F26" i="15" s="1"/>
  <c r="G21" i="15"/>
  <c r="F5" i="11"/>
  <c r="F4" i="11"/>
  <c r="O13" i="6"/>
  <c r="O12" i="6"/>
  <c r="O11" i="6"/>
  <c r="O10" i="6"/>
  <c r="E26" i="24"/>
  <c r="E36" i="15" l="1"/>
  <c r="F87" i="27"/>
  <c r="G8" i="11"/>
  <c r="I16" i="27"/>
  <c r="F14" i="11"/>
  <c r="Z8" i="27" s="1"/>
  <c r="M8" i="27" s="1"/>
  <c r="G20" i="6"/>
  <c r="G50" i="6"/>
  <c r="G49" i="6"/>
  <c r="G48" i="6"/>
  <c r="G47" i="6"/>
  <c r="G46" i="6"/>
  <c r="G45" i="6"/>
  <c r="G44" i="6"/>
  <c r="G43" i="6"/>
  <c r="G22" i="6"/>
  <c r="G21" i="6"/>
  <c r="O15" i="6"/>
  <c r="O8" i="6"/>
  <c r="O7" i="6"/>
  <c r="O6" i="6"/>
  <c r="O5" i="6"/>
  <c r="G59" i="9"/>
  <c r="Z16" i="27" l="1"/>
  <c r="M16" i="27" s="1"/>
  <c r="F11" i="10"/>
  <c r="O9" i="6"/>
  <c r="O17" i="6"/>
  <c r="O14" i="6"/>
  <c r="O16" i="6"/>
  <c r="E25" i="10" l="1"/>
  <c r="F83" i="27"/>
  <c r="F23" i="10"/>
  <c r="X8" i="27" s="1"/>
  <c r="K8" i="27" s="1"/>
  <c r="X16" i="27" l="1"/>
  <c r="K16" i="27" s="1"/>
  <c r="AH32" i="24"/>
  <c r="F53" i="1" s="1"/>
  <c r="G45" i="1"/>
  <c r="F54" i="1" l="1"/>
  <c r="F56" i="1" s="1"/>
  <c r="G90" i="1"/>
  <c r="G5" i="24"/>
  <c r="G6" i="24" s="1"/>
  <c r="G7" i="24" s="1"/>
  <c r="G8" i="24" s="1"/>
  <c r="G9" i="24" s="1"/>
  <c r="G10" i="24" s="1"/>
  <c r="G11" i="24" s="1"/>
  <c r="G12" i="24" s="1"/>
  <c r="G13" i="24" s="1"/>
  <c r="G14" i="24" s="1"/>
  <c r="G15" i="24" s="1"/>
  <c r="G16" i="24" s="1"/>
  <c r="G17" i="24" s="1"/>
  <c r="G18" i="24" s="1"/>
  <c r="G19" i="24" s="1"/>
  <c r="G20" i="24" s="1"/>
  <c r="G21" i="24" s="1"/>
  <c r="G22" i="24" s="1"/>
  <c r="G23" i="24" s="1"/>
  <c r="G24" i="24" s="1"/>
  <c r="G25" i="24" s="1"/>
  <c r="G26" i="24" s="1"/>
  <c r="G27" i="24" s="1"/>
  <c r="G28" i="24" s="1"/>
  <c r="G29" i="24" s="1"/>
  <c r="G30" i="24" s="1"/>
  <c r="G31" i="24" s="1"/>
  <c r="G32" i="24" s="1"/>
  <c r="G33" i="24" s="1"/>
  <c r="G34" i="24" s="1"/>
  <c r="G35" i="24" s="1"/>
  <c r="G36" i="24" s="1"/>
  <c r="G37" i="24" s="1"/>
  <c r="G38" i="24" s="1"/>
  <c r="G39" i="24" s="1"/>
  <c r="G40" i="24" s="1"/>
  <c r="G41" i="24" s="1"/>
  <c r="G42" i="24" s="1"/>
  <c r="G43" i="24" s="1"/>
  <c r="G44" i="24" s="1"/>
  <c r="G45" i="24" s="1"/>
  <c r="G46" i="24" s="1"/>
  <c r="G47" i="24" s="1"/>
  <c r="G48" i="24" s="1"/>
  <c r="G49" i="24" s="1"/>
  <c r="G50" i="24" s="1"/>
  <c r="G51" i="24" s="1"/>
  <c r="G52" i="24" s="1"/>
  <c r="G53" i="24" s="1"/>
  <c r="G54" i="24" s="1"/>
  <c r="G55" i="24" s="1"/>
  <c r="G56" i="24" s="1"/>
  <c r="G57" i="24" s="1"/>
  <c r="G58" i="24" s="1"/>
  <c r="G59" i="24" s="1"/>
  <c r="G60" i="24" s="1"/>
  <c r="G61" i="24" s="1"/>
  <c r="G62" i="24" s="1"/>
  <c r="G63" i="24" s="1"/>
  <c r="G64" i="24" s="1"/>
  <c r="G65" i="24" s="1"/>
  <c r="G66" i="24" s="1"/>
  <c r="G67" i="24" s="1"/>
  <c r="G68" i="24" s="1"/>
  <c r="G69" i="24" s="1"/>
  <c r="G70" i="24" s="1"/>
  <c r="G71" i="24" s="1"/>
  <c r="G72" i="24" s="1"/>
  <c r="G73" i="24" s="1"/>
  <c r="G74" i="24" s="1"/>
  <c r="G75" i="24" s="1"/>
  <c r="G76" i="24" s="1"/>
  <c r="G77" i="24" s="1"/>
  <c r="G78" i="24" s="1"/>
  <c r="G79" i="24" s="1"/>
  <c r="G80" i="24" s="1"/>
  <c r="G81" i="24" s="1"/>
  <c r="G82" i="24" s="1"/>
  <c r="G83" i="24" s="1"/>
  <c r="G84" i="24" s="1"/>
  <c r="G85" i="24" s="1"/>
  <c r="G86" i="24" s="1"/>
  <c r="G87" i="24" s="1"/>
  <c r="G88" i="24" s="1"/>
  <c r="G89" i="24" s="1"/>
  <c r="G90" i="24" s="1"/>
  <c r="G91" i="24" s="1"/>
  <c r="G92" i="24" s="1"/>
  <c r="G93" i="24" s="1"/>
  <c r="G94" i="24" s="1"/>
  <c r="G95" i="24" s="1"/>
  <c r="G96" i="24" s="1"/>
  <c r="G97" i="24" s="1"/>
  <c r="G98" i="24" s="1"/>
  <c r="G99" i="24" s="1"/>
  <c r="G100" i="24" s="1"/>
  <c r="G101" i="24" s="1"/>
  <c r="G102" i="24" s="1"/>
  <c r="G103" i="24" s="1"/>
  <c r="G104" i="24" s="1"/>
  <c r="G105" i="24" s="1"/>
  <c r="G106" i="24" s="1"/>
  <c r="G107" i="24" s="1"/>
  <c r="G108" i="24" s="1"/>
  <c r="G109" i="24" s="1"/>
  <c r="G110" i="24" s="1"/>
  <c r="G111" i="24" s="1"/>
  <c r="G112" i="24" s="1"/>
  <c r="G113" i="24" s="1"/>
  <c r="G114" i="24" s="1"/>
  <c r="G115" i="24" s="1"/>
  <c r="G116" i="24" s="1"/>
  <c r="G117" i="24" s="1"/>
  <c r="G118" i="24" s="1"/>
  <c r="G119" i="24" s="1"/>
  <c r="G120" i="24" s="1"/>
  <c r="G121" i="24" s="1"/>
  <c r="G122" i="24" s="1"/>
  <c r="G123" i="24" s="1"/>
  <c r="G124" i="24" s="1"/>
  <c r="G125" i="24" s="1"/>
  <c r="G126" i="24" s="1"/>
  <c r="G127" i="24" s="1"/>
  <c r="G128" i="24" s="1"/>
  <c r="G129" i="24" s="1"/>
  <c r="G130" i="24" s="1"/>
  <c r="G131" i="24" s="1"/>
  <c r="G132" i="24" s="1"/>
  <c r="G133" i="24" s="1"/>
  <c r="G134" i="24" s="1"/>
  <c r="G135" i="24" s="1"/>
  <c r="G136" i="24" s="1"/>
  <c r="G137" i="24" s="1"/>
  <c r="G138" i="24" s="1"/>
  <c r="G139" i="24" s="1"/>
  <c r="G140" i="24" s="1"/>
  <c r="G141" i="24" s="1"/>
  <c r="G142" i="24" s="1"/>
  <c r="G143" i="24" s="1"/>
  <c r="G144" i="24" s="1"/>
  <c r="G145" i="24" s="1"/>
  <c r="G146" i="24" s="1"/>
  <c r="G147" i="24" s="1"/>
  <c r="G148" i="24" s="1"/>
  <c r="G149" i="24" s="1"/>
  <c r="G150" i="24" s="1"/>
  <c r="G151" i="24" s="1"/>
  <c r="G152" i="24" s="1"/>
  <c r="G153" i="24" s="1"/>
  <c r="G154" i="24" s="1"/>
  <c r="G155" i="24" s="1"/>
  <c r="G156" i="24" s="1"/>
  <c r="G157" i="24" s="1"/>
  <c r="G158" i="24" s="1"/>
  <c r="G159" i="24" s="1"/>
  <c r="G160" i="24" s="1"/>
  <c r="G161" i="24" s="1"/>
  <c r="G162" i="24" s="1"/>
  <c r="G163" i="24" s="1"/>
  <c r="G164" i="24" s="1"/>
  <c r="G165" i="24" s="1"/>
  <c r="G166" i="24" s="1"/>
  <c r="G167" i="24" s="1"/>
  <c r="G168" i="24" s="1"/>
  <c r="G169" i="24" s="1"/>
  <c r="G170" i="24" s="1"/>
  <c r="G171" i="24" s="1"/>
  <c r="G172" i="24" s="1"/>
  <c r="G173" i="24" s="1"/>
  <c r="G174" i="24" s="1"/>
  <c r="G175" i="24" s="1"/>
  <c r="G176" i="24" s="1"/>
  <c r="G177" i="24" s="1"/>
  <c r="G178" i="24" s="1"/>
  <c r="G179" i="24" s="1"/>
  <c r="G180" i="24" s="1"/>
  <c r="G181" i="24" s="1"/>
  <c r="G182" i="24" s="1"/>
  <c r="G183" i="24" s="1"/>
  <c r="G184" i="24" s="1"/>
  <c r="G185" i="24" s="1"/>
  <c r="G186" i="24" s="1"/>
  <c r="G187" i="24" s="1"/>
  <c r="G188" i="24" s="1"/>
  <c r="G189" i="24" s="1"/>
  <c r="G190" i="24" s="1"/>
  <c r="G191" i="24" s="1"/>
  <c r="G192" i="24" s="1"/>
  <c r="G193" i="24" s="1"/>
  <c r="G194" i="24" s="1"/>
  <c r="G195" i="24" s="1"/>
  <c r="G196" i="24" s="1"/>
  <c r="G197" i="24" s="1"/>
  <c r="G198" i="24" s="1"/>
  <c r="G199" i="24" s="1"/>
  <c r="G200" i="24" s="1"/>
  <c r="G201" i="24" s="1"/>
  <c r="G202" i="24" s="1"/>
  <c r="G203" i="24" s="1"/>
  <c r="G204" i="24" s="1"/>
  <c r="G205" i="24" s="1"/>
  <c r="G206" i="24" s="1"/>
  <c r="G207" i="24" s="1"/>
  <c r="G208" i="24" s="1"/>
  <c r="G209" i="24" s="1"/>
  <c r="G210" i="24" s="1"/>
  <c r="G211" i="24" s="1"/>
  <c r="G212" i="24" s="1"/>
  <c r="G213" i="24" s="1"/>
  <c r="G214" i="24" s="1"/>
  <c r="G215" i="24" s="1"/>
  <c r="G216" i="24" s="1"/>
  <c r="G217" i="24" s="1"/>
  <c r="G218" i="24" s="1"/>
  <c r="G219" i="24" s="1"/>
  <c r="G220" i="24" s="1"/>
  <c r="G221" i="24" s="1"/>
  <c r="G222" i="24" s="1"/>
  <c r="G223" i="24" s="1"/>
  <c r="G224" i="24" s="1"/>
  <c r="G225" i="24" s="1"/>
  <c r="G226" i="24" s="1"/>
  <c r="G227" i="24" s="1"/>
  <c r="G228" i="24" s="1"/>
  <c r="G229" i="24" s="1"/>
  <c r="G230" i="24" s="1"/>
  <c r="G231" i="24" s="1"/>
  <c r="G232" i="24" s="1"/>
  <c r="G233" i="24" s="1"/>
  <c r="G234" i="24" s="1"/>
  <c r="G235" i="24" s="1"/>
  <c r="G236" i="24" s="1"/>
  <c r="G237" i="24" s="1"/>
  <c r="G238" i="24" s="1"/>
  <c r="G239" i="24" s="1"/>
  <c r="G240" i="24" s="1"/>
  <c r="G241" i="24" s="1"/>
  <c r="G242" i="24" s="1"/>
  <c r="G243" i="24" s="1"/>
  <c r="G244" i="24" s="1"/>
  <c r="G245" i="24" s="1"/>
  <c r="G246" i="24" s="1"/>
  <c r="G247" i="24" s="1"/>
  <c r="G248" i="24" s="1"/>
  <c r="G249" i="24" s="1"/>
  <c r="G250" i="24" s="1"/>
  <c r="G251" i="24" s="1"/>
  <c r="G252" i="24" s="1"/>
  <c r="G253" i="24" s="1"/>
  <c r="G254" i="24" s="1"/>
  <c r="G255" i="24" s="1"/>
  <c r="G256" i="24" s="1"/>
  <c r="G257" i="24" s="1"/>
  <c r="G258" i="24" s="1"/>
  <c r="G259" i="24" s="1"/>
  <c r="G260" i="24" s="1"/>
  <c r="G261" i="24" s="1"/>
  <c r="G262" i="24" s="1"/>
  <c r="G263" i="24" s="1"/>
  <c r="G264" i="24" s="1"/>
  <c r="G265" i="24" s="1"/>
  <c r="G266" i="24" s="1"/>
  <c r="G267" i="24" s="1"/>
  <c r="G268" i="24" s="1"/>
  <c r="G269" i="24" s="1"/>
  <c r="G270" i="24" s="1"/>
  <c r="G271" i="24" s="1"/>
  <c r="G272" i="24" s="1"/>
  <c r="G273" i="24" s="1"/>
  <c r="G274" i="24" s="1"/>
  <c r="G275" i="24" s="1"/>
  <c r="G276" i="24" s="1"/>
  <c r="G277" i="24" s="1"/>
  <c r="G278" i="24" s="1"/>
  <c r="G279" i="24" s="1"/>
  <c r="G280" i="24" s="1"/>
  <c r="G281" i="24" s="1"/>
  <c r="G282" i="24" s="1"/>
  <c r="G283" i="24" s="1"/>
  <c r="G284" i="24" s="1"/>
  <c r="G285" i="24" s="1"/>
  <c r="G286" i="24" s="1"/>
  <c r="G287" i="24" s="1"/>
  <c r="G288" i="24" s="1"/>
  <c r="G289" i="24" s="1"/>
  <c r="G290" i="24" s="1"/>
  <c r="G291" i="24" s="1"/>
  <c r="G292" i="24" s="1"/>
  <c r="G293" i="24" s="1"/>
  <c r="G294" i="24" s="1"/>
  <c r="G295" i="24" s="1"/>
  <c r="G296" i="24" s="1"/>
  <c r="G297" i="24" s="1"/>
  <c r="G298" i="24" s="1"/>
  <c r="G299" i="24" s="1"/>
  <c r="G300" i="24" s="1"/>
  <c r="G301" i="24" s="1"/>
  <c r="G302" i="24" s="1"/>
  <c r="G303" i="24" s="1"/>
  <c r="G304" i="24" s="1"/>
  <c r="G305" i="24" s="1"/>
  <c r="G306" i="24" s="1"/>
  <c r="G307" i="24" s="1"/>
  <c r="G308" i="24" s="1"/>
  <c r="G309" i="24" s="1"/>
  <c r="G310" i="24" s="1"/>
  <c r="G311" i="24" s="1"/>
  <c r="G312" i="24" s="1"/>
  <c r="G313" i="24" s="1"/>
  <c r="G314" i="24" s="1"/>
  <c r="G315" i="24" s="1"/>
  <c r="G316" i="24" s="1"/>
  <c r="G317" i="24" s="1"/>
  <c r="G318" i="24" s="1"/>
  <c r="G319" i="24" s="1"/>
  <c r="G320" i="24" s="1"/>
  <c r="G321" i="24" s="1"/>
  <c r="G322" i="24" s="1"/>
  <c r="G323" i="24" s="1"/>
  <c r="G324" i="24" s="1"/>
  <c r="G325" i="24" s="1"/>
  <c r="G326" i="24" s="1"/>
  <c r="G327" i="24" s="1"/>
  <c r="G328" i="24" s="1"/>
  <c r="G329" i="24" s="1"/>
  <c r="G330" i="24" s="1"/>
  <c r="G331" i="24" s="1"/>
  <c r="G332" i="24" s="1"/>
  <c r="G333" i="24" s="1"/>
  <c r="G334" i="24" s="1"/>
  <c r="G335" i="24" s="1"/>
  <c r="G336" i="24" s="1"/>
  <c r="G337" i="24" s="1"/>
  <c r="G338" i="24" s="1"/>
  <c r="G339" i="24" s="1"/>
  <c r="G340" i="24" s="1"/>
  <c r="G341" i="24" s="1"/>
  <c r="G342" i="24" s="1"/>
  <c r="G343" i="24" s="1"/>
  <c r="G344" i="24" s="1"/>
  <c r="G345" i="24" s="1"/>
  <c r="G346" i="24" s="1"/>
  <c r="G347" i="24" s="1"/>
  <c r="G348" i="24" s="1"/>
  <c r="G349" i="24" s="1"/>
  <c r="G350" i="24" s="1"/>
  <c r="G351" i="24" s="1"/>
  <c r="G352" i="24" s="1"/>
  <c r="G353" i="24" s="1"/>
  <c r="G354" i="24" s="1"/>
  <c r="G355" i="24" s="1"/>
  <c r="G356" i="24" s="1"/>
  <c r="G357" i="24" s="1"/>
  <c r="G358" i="24" s="1"/>
  <c r="G359" i="24" s="1"/>
  <c r="G360" i="24" s="1"/>
  <c r="G361" i="24" s="1"/>
  <c r="G362" i="24" s="1"/>
  <c r="G363" i="24" s="1"/>
  <c r="G364" i="24" s="1"/>
  <c r="G365" i="24" s="1"/>
  <c r="G366" i="24" s="1"/>
  <c r="G367" i="24" s="1"/>
  <c r="G368" i="24" s="1"/>
  <c r="G369" i="24" s="1"/>
  <c r="G370" i="24" s="1"/>
  <c r="G371" i="24" s="1"/>
  <c r="G372" i="24" s="1"/>
  <c r="G373" i="24" s="1"/>
  <c r="G374" i="24" s="1"/>
  <c r="G375" i="24" s="1"/>
  <c r="G376" i="24" s="1"/>
  <c r="G377" i="24" s="1"/>
  <c r="G378" i="24" s="1"/>
  <c r="G379" i="24" s="1"/>
  <c r="G380" i="24" s="1"/>
  <c r="G381" i="24" s="1"/>
  <c r="G382" i="24" s="1"/>
  <c r="G383" i="24" s="1"/>
  <c r="G384" i="24" s="1"/>
  <c r="G385" i="24" s="1"/>
  <c r="G386" i="24" s="1"/>
  <c r="G387" i="24" s="1"/>
  <c r="G388" i="24" s="1"/>
  <c r="G389" i="24" s="1"/>
  <c r="G390" i="24" s="1"/>
  <c r="G391" i="24" s="1"/>
  <c r="G392" i="24" s="1"/>
  <c r="G393" i="24" s="1"/>
  <c r="G394" i="24" s="1"/>
  <c r="G395" i="24" s="1"/>
  <c r="G396" i="24" s="1"/>
  <c r="G397" i="24" s="1"/>
  <c r="G398" i="24" s="1"/>
  <c r="G399" i="24" s="1"/>
  <c r="G400" i="24" s="1"/>
  <c r="G401" i="24" s="1"/>
  <c r="G402" i="24" s="1"/>
  <c r="G403" i="24" s="1"/>
  <c r="G404" i="24" s="1"/>
  <c r="G405" i="24" s="1"/>
  <c r="G406" i="24" s="1"/>
  <c r="G407" i="24" s="1"/>
  <c r="G408" i="24" s="1"/>
  <c r="G409" i="24" s="1"/>
  <c r="G410" i="24" s="1"/>
  <c r="G411" i="24" s="1"/>
  <c r="G412" i="24" s="1"/>
  <c r="G413" i="24" s="1"/>
  <c r="G414" i="24" s="1"/>
  <c r="G415" i="24" s="1"/>
  <c r="G416" i="24" s="1"/>
  <c r="G417" i="24" s="1"/>
  <c r="G418" i="24" s="1"/>
  <c r="G419" i="24" s="1"/>
  <c r="G420" i="24" s="1"/>
  <c r="G421" i="24" s="1"/>
  <c r="G422" i="24" s="1"/>
  <c r="G423" i="24" s="1"/>
  <c r="G424" i="24" s="1"/>
  <c r="G425" i="24" s="1"/>
  <c r="G426" i="24" s="1"/>
  <c r="G427" i="24" s="1"/>
  <c r="G428" i="24" s="1"/>
  <c r="G429" i="24" s="1"/>
  <c r="G430" i="24" s="1"/>
  <c r="G431" i="24" s="1"/>
  <c r="G432" i="24" s="1"/>
  <c r="G433" i="24" s="1"/>
  <c r="G434" i="24" s="1"/>
  <c r="G435" i="24" s="1"/>
  <c r="G436" i="24" s="1"/>
  <c r="G437" i="24" s="1"/>
  <c r="G438" i="24" s="1"/>
  <c r="G439" i="24" s="1"/>
  <c r="G440" i="24" s="1"/>
  <c r="G441" i="24" s="1"/>
  <c r="G442" i="24" s="1"/>
  <c r="G443" i="24" s="1"/>
  <c r="G444" i="24" s="1"/>
  <c r="G445" i="24" s="1"/>
  <c r="G446" i="24" s="1"/>
  <c r="G447" i="24" s="1"/>
  <c r="G448" i="24" s="1"/>
  <c r="G449" i="24" s="1"/>
  <c r="G450" i="24" s="1"/>
  <c r="G451" i="24" s="1"/>
  <c r="G452" i="24" s="1"/>
  <c r="G453" i="24" s="1"/>
  <c r="G454" i="24" s="1"/>
  <c r="G455" i="24" s="1"/>
  <c r="G456" i="24" s="1"/>
  <c r="G457" i="24" s="1"/>
  <c r="G458" i="24" s="1"/>
  <c r="G459" i="24" s="1"/>
  <c r="G460" i="24" s="1"/>
  <c r="G461" i="24" s="1"/>
  <c r="G462" i="24" s="1"/>
  <c r="G463" i="24" s="1"/>
  <c r="G464" i="24" s="1"/>
  <c r="G465" i="24" s="1"/>
  <c r="G466" i="24" s="1"/>
  <c r="G467" i="24" s="1"/>
  <c r="G468" i="24" s="1"/>
  <c r="G469" i="24" s="1"/>
  <c r="G470" i="24" s="1"/>
  <c r="G471" i="24" s="1"/>
  <c r="G472" i="24" s="1"/>
  <c r="G473" i="24" s="1"/>
  <c r="G474" i="24" s="1"/>
  <c r="G475" i="24" s="1"/>
  <c r="G476" i="24" s="1"/>
  <c r="G477" i="24" s="1"/>
  <c r="G478" i="24" s="1"/>
  <c r="G479" i="24" s="1"/>
  <c r="G480" i="24" s="1"/>
  <c r="G481" i="24" s="1"/>
  <c r="G482" i="24" s="1"/>
  <c r="G483" i="24" s="1"/>
  <c r="G484" i="24" s="1"/>
  <c r="G485" i="24" s="1"/>
  <c r="G486" i="24" s="1"/>
  <c r="G487" i="24" s="1"/>
  <c r="G488" i="24" s="1"/>
  <c r="G489" i="24" s="1"/>
  <c r="G490" i="24" s="1"/>
  <c r="G491" i="24" s="1"/>
  <c r="G492" i="24" s="1"/>
  <c r="G493" i="24" s="1"/>
  <c r="G494" i="24" s="1"/>
  <c r="G495" i="24" s="1"/>
  <c r="G496" i="24" s="1"/>
  <c r="G497" i="24" s="1"/>
  <c r="G498" i="24" s="1"/>
  <c r="G499" i="24" s="1"/>
  <c r="G500" i="24" s="1"/>
  <c r="G501" i="24" s="1"/>
  <c r="G502" i="24" s="1"/>
  <c r="G503" i="24" s="1"/>
  <c r="G504" i="24" s="1"/>
  <c r="G505" i="24" s="1"/>
  <c r="G506" i="24" s="1"/>
  <c r="G507" i="24" s="1"/>
  <c r="G508" i="24" s="1"/>
  <c r="G509" i="24" s="1"/>
  <c r="G510" i="24" s="1"/>
  <c r="G511" i="24" s="1"/>
  <c r="G512" i="24" s="1"/>
  <c r="G513" i="24" s="1"/>
  <c r="G514" i="24" s="1"/>
  <c r="G515" i="24" s="1"/>
  <c r="G516" i="24" s="1"/>
  <c r="G517" i="24" s="1"/>
  <c r="G518" i="24" s="1"/>
  <c r="G519" i="24" s="1"/>
  <c r="G520" i="24" s="1"/>
  <c r="G521" i="24" s="1"/>
  <c r="G522" i="24" s="1"/>
  <c r="G523" i="24" s="1"/>
  <c r="G524" i="24" s="1"/>
  <c r="G525" i="24" s="1"/>
  <c r="G526" i="24" s="1"/>
  <c r="G527" i="24" s="1"/>
  <c r="G528" i="24" s="1"/>
  <c r="G529" i="24" s="1"/>
  <c r="G530" i="24" s="1"/>
  <c r="G531" i="24" s="1"/>
  <c r="G532" i="24" s="1"/>
  <c r="G533" i="24" s="1"/>
  <c r="G534" i="24" s="1"/>
  <c r="G535" i="24" s="1"/>
  <c r="G536" i="24" s="1"/>
  <c r="G537" i="24" s="1"/>
  <c r="G538" i="24" s="1"/>
  <c r="G539" i="24" s="1"/>
  <c r="G540" i="24" s="1"/>
  <c r="G541" i="24" s="1"/>
  <c r="G542" i="24" s="1"/>
  <c r="G543" i="24" s="1"/>
  <c r="G544" i="24" s="1"/>
  <c r="G545" i="24" s="1"/>
  <c r="G546" i="24" s="1"/>
  <c r="G547" i="24" s="1"/>
  <c r="G548" i="24" s="1"/>
  <c r="G549" i="24" s="1"/>
  <c r="G550" i="24" s="1"/>
  <c r="G551" i="24" s="1"/>
  <c r="G552" i="24" s="1"/>
  <c r="G553" i="24" s="1"/>
  <c r="G554" i="24" s="1"/>
  <c r="G555" i="24" s="1"/>
  <c r="G556" i="24" s="1"/>
  <c r="G557" i="24" s="1"/>
  <c r="G558" i="24" s="1"/>
  <c r="G559" i="24" s="1"/>
  <c r="G560" i="24" s="1"/>
  <c r="G561" i="24" l="1"/>
  <c r="G562" i="24" s="1"/>
  <c r="G563" i="24" s="1"/>
  <c r="Z7" i="12"/>
  <c r="AA7" i="12" s="1"/>
  <c r="Z13" i="12"/>
  <c r="AA13" i="12" s="1"/>
  <c r="Z9" i="12"/>
  <c r="AA9" i="12" s="1"/>
  <c r="Z10" i="12"/>
  <c r="AA10" i="12" s="1"/>
  <c r="Z11" i="12"/>
  <c r="AA11" i="12" s="1"/>
  <c r="Z14" i="12"/>
  <c r="AA14" i="12" s="1"/>
  <c r="Z12" i="12"/>
  <c r="AA12" i="12" s="1"/>
  <c r="P5" i="12"/>
  <c r="Q5" i="12" s="1"/>
  <c r="P8" i="12"/>
  <c r="Q8" i="12" s="1"/>
  <c r="Z8" i="12"/>
  <c r="AA8" i="12" s="1"/>
  <c r="P4" i="12"/>
  <c r="Q4" i="12" s="1"/>
  <c r="P14" i="12"/>
  <c r="Q14" i="12" s="1"/>
  <c r="P9" i="12"/>
  <c r="Q9" i="12" s="1"/>
  <c r="Z4" i="12"/>
  <c r="AA4" i="12" s="1"/>
  <c r="P10" i="12"/>
  <c r="Q10" i="12" s="1"/>
  <c r="P6" i="12"/>
  <c r="Q6" i="12" s="1"/>
  <c r="Z6" i="12"/>
  <c r="AA6" i="12" s="1"/>
  <c r="P11" i="12"/>
  <c r="Q11" i="12" s="1"/>
  <c r="Z5" i="12"/>
  <c r="AA5" i="12" s="1"/>
  <c r="P12" i="12"/>
  <c r="Q12" i="12" s="1"/>
  <c r="P13" i="12"/>
  <c r="Q13" i="12" s="1"/>
  <c r="D70" i="1"/>
  <c r="F63" i="1"/>
  <c r="F120" i="1" s="1"/>
  <c r="G564" i="24"/>
  <c r="G565" i="24" s="1"/>
  <c r="G566" i="24" s="1"/>
  <c r="G567" i="24" s="1"/>
  <c r="G568" i="24" s="1"/>
  <c r="G569" i="24" s="1"/>
  <c r="G570" i="24" s="1"/>
  <c r="G571" i="24" s="1"/>
  <c r="G572" i="24" s="1"/>
  <c r="G573" i="24" s="1"/>
  <c r="G574" i="24" s="1"/>
  <c r="G575" i="24" s="1"/>
  <c r="G576" i="24" s="1"/>
  <c r="G577" i="24" s="1"/>
  <c r="G578" i="24" s="1"/>
  <c r="G579" i="24" s="1"/>
  <c r="G580" i="24" s="1"/>
  <c r="G581" i="24" s="1"/>
  <c r="G582" i="24" s="1"/>
  <c r="G583" i="24" s="1"/>
  <c r="G584" i="24" s="1"/>
  <c r="G585" i="24" s="1"/>
  <c r="G586" i="24" s="1"/>
  <c r="G587" i="24" s="1"/>
  <c r="G588" i="24" s="1"/>
  <c r="G589" i="24" s="1"/>
  <c r="G590" i="24" s="1"/>
  <c r="G591" i="24" s="1"/>
  <c r="G592" i="24" s="1"/>
  <c r="G593" i="24" s="1"/>
  <c r="G594" i="24" s="1"/>
  <c r="G595" i="24" s="1"/>
  <c r="G596" i="24" s="1"/>
  <c r="G597" i="24" s="1"/>
  <c r="G598" i="24" s="1"/>
  <c r="G599" i="24" s="1"/>
  <c r="G600" i="24" s="1"/>
  <c r="G601" i="24" s="1"/>
  <c r="G602" i="24" s="1"/>
  <c r="G603" i="24" s="1"/>
  <c r="G604" i="24" s="1"/>
  <c r="G605" i="24" s="1"/>
  <c r="G606" i="24" s="1"/>
  <c r="G607" i="24" s="1"/>
  <c r="G608" i="24" s="1"/>
  <c r="G609" i="24" s="1"/>
  <c r="G610" i="24" s="1"/>
  <c r="G611" i="24" s="1"/>
  <c r="G612" i="24" s="1"/>
  <c r="G613" i="24" s="1"/>
  <c r="G614" i="24" s="1"/>
  <c r="G615" i="24" s="1"/>
  <c r="G616" i="24" s="1"/>
  <c r="G617" i="24" s="1"/>
  <c r="G618" i="24" s="1"/>
  <c r="G619" i="24" s="1"/>
  <c r="G620" i="24" s="1"/>
  <c r="G621" i="24" s="1"/>
  <c r="G622" i="24" s="1"/>
  <c r="G623" i="24" s="1"/>
  <c r="G624" i="24" s="1"/>
  <c r="G625" i="24" s="1"/>
  <c r="G626" i="24" s="1"/>
  <c r="G627" i="24" s="1"/>
  <c r="G628" i="24" s="1"/>
  <c r="G629" i="24" s="1"/>
  <c r="G630" i="24" s="1"/>
  <c r="G631" i="24" s="1"/>
  <c r="G632" i="24" s="1"/>
  <c r="G633" i="24" s="1"/>
  <c r="G634" i="24" s="1"/>
  <c r="G635" i="24" s="1"/>
  <c r="G636" i="24" s="1"/>
  <c r="G637" i="24" s="1"/>
  <c r="G638" i="24" s="1"/>
  <c r="G639" i="24" s="1"/>
  <c r="G640" i="24" s="1"/>
  <c r="G641" i="24" s="1"/>
  <c r="G642" i="24" s="1"/>
  <c r="G643" i="24" s="1"/>
  <c r="G644" i="24" s="1"/>
  <c r="G645" i="24" s="1"/>
  <c r="G646" i="24" s="1"/>
  <c r="G647" i="24" s="1"/>
  <c r="G648" i="24" s="1"/>
  <c r="G649" i="24" s="1"/>
  <c r="G650" i="24" s="1"/>
  <c r="G651" i="24" s="1"/>
  <c r="G652" i="24" s="1"/>
  <c r="G653" i="24" s="1"/>
  <c r="G654" i="24" s="1"/>
  <c r="G655" i="24" s="1"/>
  <c r="G656" i="24" s="1"/>
  <c r="G657" i="24" s="1"/>
  <c r="G658" i="24" s="1"/>
  <c r="G659" i="24" s="1"/>
  <c r="G660" i="24" s="1"/>
  <c r="G661" i="24" s="1"/>
  <c r="G662" i="24" s="1"/>
  <c r="G663" i="24" s="1"/>
  <c r="G664" i="24" s="1"/>
  <c r="G665" i="24" s="1"/>
  <c r="G666" i="24" s="1"/>
  <c r="G667" i="24" s="1"/>
  <c r="G668" i="24" s="1"/>
  <c r="G669" i="24" s="1"/>
  <c r="G670" i="24" s="1"/>
  <c r="G671" i="24" s="1"/>
  <c r="G672" i="24" s="1"/>
  <c r="G673" i="24" s="1"/>
  <c r="G674" i="24" s="1"/>
  <c r="G675" i="24" s="1"/>
  <c r="G676" i="24" s="1"/>
  <c r="G677" i="24" s="1"/>
  <c r="G678" i="24" s="1"/>
  <c r="G679" i="24" s="1"/>
  <c r="G680" i="24" s="1"/>
  <c r="G681" i="24" s="1"/>
  <c r="G682" i="24" s="1"/>
  <c r="G683" i="24" s="1"/>
  <c r="G684" i="24" s="1"/>
  <c r="G685" i="24" s="1"/>
  <c r="G686" i="24" s="1"/>
  <c r="G687" i="24" s="1"/>
  <c r="G688" i="24" s="1"/>
  <c r="G689" i="24" s="1"/>
  <c r="G690" i="24" s="1"/>
  <c r="G691" i="24" s="1"/>
  <c r="G692" i="24" s="1"/>
  <c r="G693" i="24" s="1"/>
  <c r="G694" i="24" s="1"/>
  <c r="G695" i="24" s="1"/>
  <c r="G696" i="24" s="1"/>
  <c r="G697" i="24" s="1"/>
  <c r="G698" i="24" s="1"/>
  <c r="G699" i="24" s="1"/>
  <c r="G700" i="24" s="1"/>
  <c r="G701" i="24" s="1"/>
  <c r="G702" i="24" s="1"/>
  <c r="G703" i="24" s="1"/>
  <c r="G704" i="24" s="1"/>
  <c r="G705" i="24" s="1"/>
  <c r="G706" i="24" s="1"/>
  <c r="G707" i="24" s="1"/>
  <c r="G708" i="24" s="1"/>
  <c r="G709" i="24" s="1"/>
  <c r="G710" i="24" s="1"/>
  <c r="G711" i="24" s="1"/>
  <c r="G712" i="24" s="1"/>
  <c r="G713" i="24" s="1"/>
  <c r="G714" i="24" s="1"/>
  <c r="G715" i="24" s="1"/>
  <c r="G716" i="24" s="1"/>
  <c r="G717" i="24" s="1"/>
  <c r="G718" i="24" s="1"/>
  <c r="G719" i="24" s="1"/>
  <c r="G720" i="24" s="1"/>
  <c r="G721" i="24" s="1"/>
  <c r="G722" i="24" s="1"/>
  <c r="G723" i="24" s="1"/>
  <c r="G724" i="24" s="1"/>
  <c r="G725" i="24" s="1"/>
  <c r="G726" i="24" s="1"/>
  <c r="G727" i="24" s="1"/>
  <c r="G728" i="24" s="1"/>
  <c r="G729" i="24" s="1"/>
  <c r="G730" i="24" s="1"/>
  <c r="G731" i="24" s="1"/>
  <c r="G732" i="24" s="1"/>
  <c r="G733" i="24" s="1"/>
  <c r="G734" i="24" s="1"/>
  <c r="G735" i="24" s="1"/>
  <c r="G736" i="24" s="1"/>
  <c r="G737" i="24" s="1"/>
  <c r="G738" i="24" s="1"/>
  <c r="G739" i="24" s="1"/>
  <c r="G740" i="24" s="1"/>
  <c r="G741" i="24" s="1"/>
  <c r="G742" i="24" s="1"/>
  <c r="G743" i="24" s="1"/>
  <c r="G744" i="24" s="1"/>
  <c r="G745" i="24" s="1"/>
  <c r="G746" i="24" s="1"/>
  <c r="G747" i="24" s="1"/>
  <c r="G748" i="24" s="1"/>
  <c r="G749" i="24" s="1"/>
  <c r="G750" i="24" s="1"/>
  <c r="G751" i="24" s="1"/>
  <c r="G752" i="24" s="1"/>
  <c r="G753" i="24" s="1"/>
  <c r="G754" i="24" s="1"/>
  <c r="G755" i="24" s="1"/>
  <c r="G756" i="24" s="1"/>
  <c r="G757" i="24" s="1"/>
  <c r="G758" i="24" s="1"/>
  <c r="G759" i="24" s="1"/>
  <c r="G760" i="24" s="1"/>
  <c r="G761" i="24" s="1"/>
  <c r="G762" i="24" s="1"/>
  <c r="G763" i="24" s="1"/>
  <c r="G764" i="24" s="1"/>
  <c r="G765" i="24" s="1"/>
  <c r="G766" i="24" s="1"/>
  <c r="G767" i="24" s="1"/>
  <c r="G768" i="24" s="1"/>
  <c r="G769" i="24" s="1"/>
  <c r="G770" i="24" s="1"/>
  <c r="G771" i="24" s="1"/>
  <c r="G772" i="24" s="1"/>
  <c r="G773" i="24" s="1"/>
  <c r="G774" i="24" s="1"/>
  <c r="G775" i="24" s="1"/>
  <c r="G776" i="24" s="1"/>
  <c r="G777" i="24" s="1"/>
  <c r="G778" i="24" s="1"/>
  <c r="G779" i="24" s="1"/>
  <c r="G780" i="24" s="1"/>
  <c r="G781" i="24" s="1"/>
  <c r="G782" i="24" s="1"/>
  <c r="G783" i="24" s="1"/>
  <c r="G784" i="24" s="1"/>
  <c r="G785" i="24" s="1"/>
  <c r="G786" i="24" s="1"/>
  <c r="G787" i="24" s="1"/>
  <c r="G788" i="24" s="1"/>
  <c r="G789" i="24" s="1"/>
  <c r="G790" i="24" s="1"/>
  <c r="G791" i="24" s="1"/>
  <c r="G792" i="24" s="1"/>
  <c r="G793" i="24" s="1"/>
  <c r="G794" i="24" s="1"/>
  <c r="G795" i="24" s="1"/>
  <c r="G796" i="24" s="1"/>
  <c r="G797" i="24" s="1"/>
  <c r="G798" i="24" s="1"/>
  <c r="G799" i="24" s="1"/>
  <c r="G800" i="24" s="1"/>
  <c r="G801" i="24" s="1"/>
  <c r="G802" i="24" s="1"/>
  <c r="G803" i="24" s="1"/>
  <c r="G804" i="24" s="1"/>
  <c r="G805" i="24" s="1"/>
  <c r="G806" i="24" s="1"/>
  <c r="G807" i="24" s="1"/>
  <c r="G808" i="24" s="1"/>
  <c r="G809" i="24" s="1"/>
  <c r="G810" i="24" s="1"/>
  <c r="G811" i="24" s="1"/>
  <c r="G812" i="24" s="1"/>
  <c r="G813" i="24" s="1"/>
  <c r="G814" i="24" s="1"/>
  <c r="G815" i="24" s="1"/>
  <c r="G816" i="24" s="1"/>
  <c r="G817" i="24" s="1"/>
  <c r="G818" i="24" s="1"/>
  <c r="G819" i="24" s="1"/>
  <c r="G820" i="24" s="1"/>
  <c r="G821" i="24" s="1"/>
  <c r="G822" i="24" s="1"/>
  <c r="G823" i="24" s="1"/>
  <c r="G824" i="24" s="1"/>
  <c r="G825" i="24" s="1"/>
  <c r="G826" i="24" s="1"/>
  <c r="G827" i="24" s="1"/>
  <c r="G828" i="24" s="1"/>
  <c r="G829" i="24" s="1"/>
  <c r="G830" i="24" s="1"/>
  <c r="G831" i="24" s="1"/>
  <c r="G832" i="24" s="1"/>
  <c r="G833" i="24" s="1"/>
  <c r="G834" i="24" s="1"/>
  <c r="G835" i="24" s="1"/>
  <c r="G836" i="24" s="1"/>
  <c r="G837" i="24" s="1"/>
  <c r="G838" i="24" s="1"/>
  <c r="G839" i="24" s="1"/>
  <c r="G840" i="24" s="1"/>
  <c r="G841" i="24" s="1"/>
  <c r="G842" i="24" s="1"/>
  <c r="G843" i="24" s="1"/>
  <c r="G844" i="24" s="1"/>
  <c r="G845" i="24" s="1"/>
  <c r="G846" i="24" s="1"/>
  <c r="G847" i="24" s="1"/>
  <c r="G848" i="24" s="1"/>
  <c r="G849" i="24" s="1"/>
  <c r="G850" i="24" s="1"/>
  <c r="G851" i="24" s="1"/>
  <c r="G852" i="24" s="1"/>
  <c r="G853" i="24" s="1"/>
  <c r="G854" i="24" s="1"/>
  <c r="G855" i="24" s="1"/>
  <c r="G856" i="24" s="1"/>
  <c r="G857" i="24" s="1"/>
  <c r="G858" i="24" s="1"/>
  <c r="G859" i="24" s="1"/>
  <c r="G860" i="24" s="1"/>
  <c r="G861" i="24" s="1"/>
  <c r="G862" i="24" s="1"/>
  <c r="G863" i="24" s="1"/>
  <c r="G864" i="24" s="1"/>
  <c r="G865" i="24" s="1"/>
  <c r="G866" i="24" s="1"/>
  <c r="G867" i="24" s="1"/>
  <c r="G868" i="24" s="1"/>
  <c r="G869" i="24" s="1"/>
  <c r="G870" i="24" s="1"/>
  <c r="G871" i="24" s="1"/>
  <c r="G872" i="24" s="1"/>
  <c r="G873" i="24" s="1"/>
  <c r="G874" i="24" s="1"/>
  <c r="G875" i="24" s="1"/>
  <c r="G876" i="24" s="1"/>
  <c r="G877" i="24" s="1"/>
  <c r="G878" i="24" s="1"/>
  <c r="G879" i="24" s="1"/>
  <c r="G880" i="24" s="1"/>
  <c r="G881" i="24" s="1"/>
  <c r="G882" i="24" s="1"/>
  <c r="G883" i="24" s="1"/>
  <c r="G884" i="24" s="1"/>
  <c r="G885" i="24" s="1"/>
  <c r="G886" i="24" s="1"/>
  <c r="G887" i="24" s="1"/>
  <c r="G888" i="24" s="1"/>
  <c r="G889" i="24" s="1"/>
  <c r="G890" i="24" s="1"/>
  <c r="G891" i="24" s="1"/>
  <c r="G892" i="24" s="1"/>
  <c r="G893" i="24" s="1"/>
  <c r="G894" i="24" s="1"/>
  <c r="G895" i="24" s="1"/>
  <c r="G896" i="24" s="1"/>
  <c r="G897" i="24" s="1"/>
  <c r="G898" i="24" s="1"/>
  <c r="G899" i="24" s="1"/>
  <c r="G900" i="24" s="1"/>
  <c r="G901" i="24" s="1"/>
  <c r="G902" i="24" s="1"/>
  <c r="G903" i="24" s="1"/>
  <c r="G904" i="24" s="1"/>
  <c r="G905" i="24" s="1"/>
  <c r="G906" i="24" s="1"/>
  <c r="G907" i="24" s="1"/>
  <c r="G908" i="24" s="1"/>
  <c r="G909" i="24" s="1"/>
  <c r="G910" i="24" s="1"/>
  <c r="G911" i="24" s="1"/>
  <c r="G912" i="24" s="1"/>
  <c r="G913" i="24" s="1"/>
  <c r="G914" i="24" s="1"/>
  <c r="G915" i="24" s="1"/>
  <c r="G916" i="24" s="1"/>
  <c r="G917" i="24" s="1"/>
  <c r="G918" i="24" s="1"/>
  <c r="G919" i="24" s="1"/>
  <c r="G920" i="24" s="1"/>
  <c r="G921" i="24" s="1"/>
  <c r="G922" i="24" s="1"/>
  <c r="G923" i="24" s="1"/>
  <c r="G924" i="24" s="1"/>
  <c r="G925" i="24" s="1"/>
  <c r="G926" i="24" s="1"/>
  <c r="G927" i="24" s="1"/>
  <c r="G928" i="24" s="1"/>
  <c r="G929" i="24" s="1"/>
  <c r="G930" i="24" s="1"/>
  <c r="G931" i="24" s="1"/>
  <c r="G932" i="24" s="1"/>
  <c r="G933" i="24" s="1"/>
  <c r="G934" i="24" s="1"/>
  <c r="G935" i="24" s="1"/>
  <c r="G936" i="24" s="1"/>
  <c r="G937" i="24" s="1"/>
  <c r="G938" i="24" s="1"/>
  <c r="G939" i="24" s="1"/>
  <c r="G940" i="24" s="1"/>
  <c r="G941" i="24" s="1"/>
  <c r="G942" i="24" s="1"/>
  <c r="G943" i="24" s="1"/>
  <c r="G944" i="24" s="1"/>
  <c r="G945" i="24" s="1"/>
  <c r="G946" i="24" s="1"/>
  <c r="G947" i="24" s="1"/>
  <c r="G948" i="24" s="1"/>
  <c r="G949" i="24" s="1"/>
  <c r="G950" i="24" s="1"/>
  <c r="G951" i="24" s="1"/>
  <c r="G952" i="24" s="1"/>
  <c r="G953" i="24" s="1"/>
  <c r="G954" i="24" s="1"/>
  <c r="G955" i="24" s="1"/>
  <c r="G956" i="24" s="1"/>
  <c r="G957" i="24" s="1"/>
  <c r="G958" i="24" s="1"/>
  <c r="G959" i="24" s="1"/>
  <c r="G960" i="24" s="1"/>
  <c r="G961" i="24" s="1"/>
  <c r="G962" i="24" s="1"/>
  <c r="G963" i="24" s="1"/>
  <c r="G964" i="24" s="1"/>
  <c r="G965" i="24" s="1"/>
  <c r="G966" i="24" s="1"/>
  <c r="G967" i="24" s="1"/>
  <c r="G968" i="24" s="1"/>
  <c r="G969" i="24" s="1"/>
  <c r="G970" i="24" s="1"/>
  <c r="G971" i="24" s="1"/>
  <c r="G972" i="24" s="1"/>
  <c r="G973" i="24" s="1"/>
  <c r="G974" i="24" s="1"/>
  <c r="G975" i="24" s="1"/>
  <c r="G976" i="24" s="1"/>
  <c r="G977" i="24" s="1"/>
  <c r="G978" i="24" s="1"/>
  <c r="G979" i="24" s="1"/>
  <c r="G980" i="24" s="1"/>
  <c r="G981" i="24" s="1"/>
  <c r="G982" i="24" s="1"/>
  <c r="G983" i="24" s="1"/>
  <c r="G984" i="24" s="1"/>
  <c r="G985" i="24" s="1"/>
  <c r="G986" i="24" s="1"/>
  <c r="G987" i="24" s="1"/>
  <c r="G988" i="24" s="1"/>
  <c r="G989" i="24" s="1"/>
  <c r="G990" i="24" s="1"/>
  <c r="G991" i="24" s="1"/>
  <c r="G992" i="24" s="1"/>
  <c r="G993" i="24" s="1"/>
  <c r="G994" i="24" s="1"/>
  <c r="G995" i="24" s="1"/>
  <c r="G996" i="24" s="1"/>
  <c r="G997" i="24" s="1"/>
  <c r="G998" i="24" s="1"/>
  <c r="G999" i="24" s="1"/>
  <c r="G1000" i="24" s="1"/>
  <c r="G1001" i="24" s="1"/>
  <c r="G1002" i="24" s="1"/>
  <c r="G1003" i="24" s="1"/>
  <c r="G1004" i="24" s="1"/>
  <c r="G1005" i="24" s="1"/>
  <c r="G1006" i="24" s="1"/>
  <c r="G1007" i="24" s="1"/>
  <c r="G1008" i="24" s="1"/>
  <c r="G1009" i="24" s="1"/>
  <c r="G1010" i="24" s="1"/>
  <c r="G1011" i="24" s="1"/>
  <c r="G1012" i="24" s="1"/>
  <c r="G1013" i="24" s="1"/>
  <c r="G1014" i="24" s="1"/>
  <c r="G1015" i="24" s="1"/>
  <c r="G1016" i="24" s="1"/>
  <c r="G1017" i="24" s="1"/>
  <c r="G1018" i="24" s="1"/>
  <c r="G1019" i="24" s="1"/>
  <c r="G1020" i="24" s="1"/>
  <c r="G1021" i="24" s="1"/>
  <c r="G1022" i="24" s="1"/>
  <c r="G1023" i="24" s="1"/>
  <c r="G1024" i="24" s="1"/>
  <c r="G1025" i="24" s="1"/>
  <c r="G1026" i="24" s="1"/>
  <c r="G1027" i="24" s="1"/>
  <c r="G1028" i="24" s="1"/>
  <c r="G1029" i="24" s="1"/>
  <c r="G1030" i="24" s="1"/>
  <c r="G1031" i="24" s="1"/>
  <c r="G1032" i="24" s="1"/>
  <c r="G1033" i="24" s="1"/>
  <c r="G1034" i="24" s="1"/>
  <c r="G1035" i="24" s="1"/>
  <c r="G1036" i="24" s="1"/>
  <c r="G1037" i="24" s="1"/>
  <c r="G1038" i="24" s="1"/>
  <c r="G1039" i="24" s="1"/>
  <c r="G1040" i="24" s="1"/>
  <c r="G1041" i="24" s="1"/>
  <c r="G1042" i="24" s="1"/>
  <c r="G1043" i="24" s="1"/>
  <c r="G1044" i="24" s="1"/>
  <c r="G1045" i="24" s="1"/>
  <c r="G1046" i="24" s="1"/>
  <c r="G1047" i="24" s="1"/>
  <c r="G1048" i="24" s="1"/>
  <c r="G1049" i="24" s="1"/>
  <c r="G1050" i="24" s="1"/>
  <c r="G1051" i="24" s="1"/>
  <c r="G1052" i="24" s="1"/>
  <c r="G1053" i="24" s="1"/>
  <c r="G1054" i="24" s="1"/>
  <c r="G1055" i="24" s="1"/>
  <c r="G1056" i="24" s="1"/>
  <c r="G1057" i="24" s="1"/>
  <c r="G1058" i="24" s="1"/>
  <c r="G1059" i="24" s="1"/>
  <c r="G1060" i="24" s="1"/>
  <c r="G1061" i="24" s="1"/>
  <c r="G1062" i="24" s="1"/>
  <c r="D17" i="24" s="1"/>
  <c r="AA16" i="12" l="1"/>
  <c r="Q16" i="12"/>
  <c r="I87" i="23"/>
  <c r="I78" i="23"/>
  <c r="I94" i="23"/>
  <c r="I86" i="23"/>
  <c r="I77" i="23"/>
  <c r="I80" i="23"/>
  <c r="I93" i="23"/>
  <c r="I85" i="23"/>
  <c r="I76" i="23"/>
  <c r="I89" i="23"/>
  <c r="I92" i="23"/>
  <c r="I84" i="23"/>
  <c r="I75" i="23"/>
  <c r="I88" i="23"/>
  <c r="I91" i="23"/>
  <c r="I82" i="23"/>
  <c r="I74" i="23"/>
  <c r="I90" i="23"/>
  <c r="I81" i="23"/>
  <c r="I79" i="23"/>
  <c r="I83" i="23"/>
  <c r="O16" i="3"/>
  <c r="N64" i="23"/>
  <c r="N56" i="23"/>
  <c r="N48" i="23"/>
  <c r="N55" i="23"/>
  <c r="N47" i="23"/>
  <c r="N62" i="23"/>
  <c r="N54" i="23"/>
  <c r="N61" i="23"/>
  <c r="N53" i="23"/>
  <c r="O6" i="3"/>
  <c r="N67" i="23"/>
  <c r="N66" i="23"/>
  <c r="N65" i="23"/>
  <c r="N49" i="23"/>
  <c r="N63" i="23"/>
  <c r="N60" i="23"/>
  <c r="N52" i="23"/>
  <c r="N59" i="23"/>
  <c r="N51" i="23"/>
  <c r="N58" i="23"/>
  <c r="N50" i="23"/>
  <c r="N57" i="23"/>
  <c r="I47" i="23"/>
  <c r="O8" i="3"/>
  <c r="O5" i="3"/>
  <c r="O7" i="3"/>
  <c r="O17" i="3"/>
  <c r="O15" i="3"/>
  <c r="O11" i="3"/>
  <c r="O10" i="3"/>
  <c r="O9" i="3"/>
  <c r="O14" i="3"/>
  <c r="O13" i="3"/>
  <c r="O12" i="3"/>
  <c r="I62" i="23"/>
  <c r="I54" i="23"/>
  <c r="I61" i="23"/>
  <c r="I53" i="23"/>
  <c r="I60" i="23"/>
  <c r="I50" i="23"/>
  <c r="I65" i="23"/>
  <c r="I49" i="23"/>
  <c r="I55" i="23"/>
  <c r="I52" i="23"/>
  <c r="I67" i="23"/>
  <c r="I59" i="23"/>
  <c r="I51" i="23"/>
  <c r="I66" i="23"/>
  <c r="I58" i="23"/>
  <c r="I57" i="23"/>
  <c r="I64" i="23"/>
  <c r="I48" i="23"/>
  <c r="I63" i="23"/>
  <c r="Q16" i="27"/>
  <c r="D16" i="27" s="1"/>
  <c r="D16" i="24"/>
  <c r="D15" i="24"/>
  <c r="D18" i="24"/>
  <c r="D10" i="24"/>
  <c r="D22" i="24"/>
  <c r="D14" i="24"/>
  <c r="D8" i="24"/>
  <c r="D13" i="24"/>
  <c r="D11" i="24"/>
  <c r="D21" i="24"/>
  <c r="D20" i="24"/>
  <c r="G1063" i="24"/>
  <c r="G1064" i="24" s="1"/>
  <c r="G1065" i="24" s="1"/>
  <c r="G1066" i="24" s="1"/>
  <c r="G1067" i="24" s="1"/>
  <c r="G1068" i="24" s="1"/>
  <c r="G1069" i="24" s="1"/>
  <c r="G1070" i="24" s="1"/>
  <c r="G1071" i="24" s="1"/>
  <c r="G1072" i="24" s="1"/>
  <c r="G1073" i="24" s="1"/>
  <c r="G1074" i="24" s="1"/>
  <c r="G1075" i="24" s="1"/>
  <c r="G1076" i="24" s="1"/>
  <c r="G1077" i="24" s="1"/>
  <c r="G1078" i="24" s="1"/>
  <c r="G1079" i="24" s="1"/>
  <c r="G1080" i="24" s="1"/>
  <c r="G1081" i="24" s="1"/>
  <c r="G1082" i="24" s="1"/>
  <c r="G1083" i="24" s="1"/>
  <c r="G1084" i="24" s="1"/>
  <c r="G1085" i="24" s="1"/>
  <c r="G1086" i="24" s="1"/>
  <c r="G1087" i="24" s="1"/>
  <c r="G1088" i="24" s="1"/>
  <c r="G1089" i="24" s="1"/>
  <c r="G1090" i="24" s="1"/>
  <c r="G1091" i="24" s="1"/>
  <c r="G1092" i="24" s="1"/>
  <c r="G1093" i="24" s="1"/>
  <c r="G1094" i="24" s="1"/>
  <c r="G1095" i="24" s="1"/>
  <c r="G1096" i="24" s="1"/>
  <c r="G1097" i="24" s="1"/>
  <c r="G1098" i="24" s="1"/>
  <c r="G1099" i="24" s="1"/>
  <c r="G1100" i="24" s="1"/>
  <c r="G1101" i="24" s="1"/>
  <c r="G1102" i="24" s="1"/>
  <c r="G1103" i="24" s="1"/>
  <c r="G1104" i="24" s="1"/>
  <c r="G1105" i="24" s="1"/>
  <c r="G1106" i="24" s="1"/>
  <c r="G1107" i="24" s="1"/>
  <c r="G1108" i="24" s="1"/>
  <c r="G1109" i="24" s="1"/>
  <c r="G1110" i="24" s="1"/>
  <c r="G1111" i="24" s="1"/>
  <c r="G1112" i="24" s="1"/>
  <c r="G1113" i="24" s="1"/>
  <c r="G1114" i="24" s="1"/>
  <c r="G1115" i="24" s="1"/>
  <c r="G1116" i="24" s="1"/>
  <c r="G1117" i="24" s="1"/>
  <c r="G1118" i="24" s="1"/>
  <c r="G1119" i="24" s="1"/>
  <c r="G1120" i="24" s="1"/>
  <c r="G1121" i="24" s="1"/>
  <c r="G1122" i="24" s="1"/>
  <c r="G1123" i="24" s="1"/>
  <c r="D19" i="24"/>
  <c r="D6" i="24"/>
  <c r="D23" i="24"/>
  <c r="D5" i="24"/>
  <c r="D4" i="24"/>
  <c r="D9" i="24"/>
  <c r="D7" i="24"/>
  <c r="D12" i="24"/>
  <c r="Q25" i="23"/>
  <c r="I69" i="23" l="1"/>
  <c r="F6" i="1" s="1"/>
  <c r="N69" i="23"/>
  <c r="I96" i="23"/>
  <c r="Y11" i="6"/>
  <c r="W11" i="6" s="1"/>
  <c r="Y7" i="6"/>
  <c r="W7" i="6" s="1"/>
  <c r="Y17" i="6"/>
  <c r="W17" i="6" s="1"/>
  <c r="Y4" i="6"/>
  <c r="W4" i="6" s="1"/>
  <c r="Y15" i="6"/>
  <c r="W15" i="6" s="1"/>
  <c r="Y6" i="6"/>
  <c r="W6" i="6" s="1"/>
  <c r="Y9" i="6"/>
  <c r="W9" i="6" s="1"/>
  <c r="Y16" i="6"/>
  <c r="W16" i="6" s="1"/>
  <c r="Y8" i="6"/>
  <c r="W8" i="6" s="1"/>
  <c r="Y14" i="6"/>
  <c r="W14" i="6" s="1"/>
  <c r="Y13" i="6"/>
  <c r="W13" i="6" s="1"/>
  <c r="Y5" i="6"/>
  <c r="W5" i="6" s="1"/>
  <c r="Y12" i="6"/>
  <c r="W12" i="6" s="1"/>
  <c r="Y10" i="6"/>
  <c r="W10" i="6" s="1"/>
  <c r="D25" i="24"/>
  <c r="O19" i="3"/>
  <c r="F11" i="3" s="1"/>
  <c r="F12" i="3" s="1"/>
  <c r="F33" i="3" s="1"/>
  <c r="D9" i="22"/>
  <c r="D8" i="22"/>
  <c r="D6" i="22"/>
  <c r="D35" i="3" l="1"/>
  <c r="F45" i="27"/>
  <c r="W19" i="6"/>
  <c r="F14" i="6" s="1"/>
  <c r="U8" i="27" s="1"/>
  <c r="H8" i="27" s="1"/>
  <c r="L10" i="22"/>
  <c r="L11" i="22" s="1"/>
  <c r="E10" i="22"/>
  <c r="E11" i="22" s="1"/>
  <c r="M10" i="22"/>
  <c r="M11" i="22" s="1"/>
  <c r="D10" i="22"/>
  <c r="D11" i="22" s="1"/>
  <c r="F10" i="22"/>
  <c r="F11" i="22" s="1"/>
  <c r="G10" i="22"/>
  <c r="G11" i="22" s="1"/>
  <c r="H10" i="22"/>
  <c r="H11" i="22" s="1"/>
  <c r="I10" i="22"/>
  <c r="I11" i="22" s="1"/>
  <c r="J10" i="22"/>
  <c r="J11" i="22" s="1"/>
  <c r="K10" i="22"/>
  <c r="K11" i="22" s="1"/>
  <c r="G35" i="4" l="1"/>
  <c r="R8" i="27" l="1"/>
  <c r="E8" i="27" s="1"/>
  <c r="W8" i="27" l="1"/>
  <c r="J8" i="27" s="1"/>
  <c r="G5" i="8"/>
  <c r="W16" i="27" l="1"/>
  <c r="J16" i="27" s="1"/>
  <c r="G60" i="9"/>
  <c r="N77" i="7" l="1"/>
  <c r="N78" i="7" l="1"/>
  <c r="F59" i="7" s="1"/>
  <c r="F61" i="7" s="1"/>
  <c r="F63" i="7" s="1"/>
  <c r="Y8" i="27" s="1"/>
  <c r="L8" i="27" l="1"/>
  <c r="Y16" i="27"/>
  <c r="L16" i="27" s="1"/>
  <c r="AA8" i="27"/>
  <c r="N8" i="27" s="1"/>
  <c r="AT3" i="20"/>
  <c r="U10" i="27" l="1"/>
  <c r="H10" i="27" s="1"/>
  <c r="R16" i="27" l="1"/>
  <c r="E16" i="27" s="1"/>
  <c r="AA10" i="27"/>
  <c r="N10" i="27" s="1"/>
  <c r="U16" i="27"/>
  <c r="H16" i="27" s="1"/>
  <c r="AA16" i="27" l="1"/>
  <c r="N16" i="27" s="1"/>
  <c r="M23" i="27" l="1"/>
  <c r="E23" i="27"/>
  <c r="F22" i="27"/>
  <c r="G21" i="27"/>
  <c r="I19" i="27"/>
  <c r="H19" i="27"/>
  <c r="K23" i="27"/>
  <c r="L22" i="27"/>
  <c r="M21" i="27"/>
  <c r="E21" i="27"/>
  <c r="F20" i="27"/>
  <c r="G19" i="27"/>
  <c r="K22" i="27"/>
  <c r="L21" i="27"/>
  <c r="E20" i="27"/>
  <c r="F19" i="27"/>
  <c r="I23" i="27"/>
  <c r="J22" i="27"/>
  <c r="K21" i="27"/>
  <c r="L20" i="27"/>
  <c r="M19" i="27"/>
  <c r="E19" i="27"/>
  <c r="H23" i="27"/>
  <c r="K20" i="27"/>
  <c r="L19" i="27"/>
  <c r="H22" i="27"/>
  <c r="H21" i="27"/>
  <c r="L23" i="27"/>
  <c r="M22" i="27"/>
  <c r="E22" i="27"/>
  <c r="F21" i="27"/>
  <c r="G20" i="27"/>
  <c r="I22" i="27"/>
  <c r="I21" i="27"/>
  <c r="F23" i="27"/>
  <c r="I20" i="27"/>
  <c r="J23" i="27"/>
  <c r="J21" i="27"/>
  <c r="G23" i="27"/>
  <c r="K19" i="27"/>
  <c r="G22" i="27"/>
  <c r="J19" i="27"/>
  <c r="M20" i="27"/>
  <c r="H20" i="27"/>
  <c r="J20" i="27"/>
  <c r="D22" i="27"/>
  <c r="D23" i="27"/>
  <c r="D20" i="27"/>
  <c r="D21" i="27"/>
  <c r="D19" i="27"/>
  <c r="G24" i="27" l="1"/>
  <c r="F24" i="27"/>
  <c r="M24" i="27"/>
  <c r="J24" i="27"/>
  <c r="L24" i="27"/>
  <c r="H24" i="27"/>
  <c r="K24" i="27"/>
  <c r="I24" i="27"/>
  <c r="D24" i="27"/>
  <c r="E24" i="27"/>
  <c r="N20" i="27"/>
  <c r="N21" i="27"/>
  <c r="N22" i="27"/>
  <c r="N23" i="27"/>
  <c r="N19" i="27"/>
  <c r="N24"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A3" authorId="0" shapeId="0" xr:uid="{9A2EF6DD-D1AA-4565-8111-4E45A87159D7}">
      <text>
        <r>
          <rPr>
            <b/>
            <sz val="9"/>
            <color indexed="81"/>
            <rFont val="Tahoma"/>
            <family val="2"/>
          </rPr>
          <t>Info 1: This questionnaire leads to the calculation of the preventative costs, the extra costs, required for the fully sustainable and responsible version of the product. Prevention costs are expressed in
            "Eco Social Cost Units (ESCU's) and are equal to à currency selected in sheet "Preparation", preferably in Euro's or US Dollars. In all sheets, the ESCU's are expressed in the selected currency. 
             Also where costs are required and ESCU's are indicated as currency unit, enter the costs in the selected currency. Therefore, "ESCU's" are both used as sustainability measure, and as unit for the costs to
             achieve sustainability. All ESCU's are the product of a quantitative factor and a price factor. 
Info 2: Unless otherwise indicated, all questions in this questionnaire must be considered specifically related to the product, and determined per unit of product.
Info 3: After recent changes, or at too many uncertainties or variations, use last year's averages. ("last year" at own choice defined as calander year or as date to date year).
Info 4: "Foreground" data are data, that can be demonstrated for the specific product; Foreground data may be from the organization-own data, but also demonstrable data from other stages in the specific 
             supply chain. "Background" data are non-product specific data obtained from other sources.
Info 5: The word "demonstrate", often used in this questionnaire, indicates that the organization must provide verifiable evidence for the requested  information.
Info 6: This questionaire regularly asks for foreground mitigation costs. Any therefore required increase in ESCU's for processes or materials on other that the mitigated aspect,  must be included or avoided. 
            For instance, if extra labor is required, the calculated wages must be at least fair minimum wages or extra ESCU's calculated. (see under labor).
Info 7: Take care that the Oiconomy Database is also available on the same computer. Compliance to the Oiconomy Standard is required for certification; Guidance from the standard is required at uncertainties 
            arising from filling this questionnaire.
Info 8: The expressions "upstream" or "upstream supply chain" refers to the supply chain before the current stage; "downstream" refers to after the current stage.
Info 9: "Vergin materials" are new materials, used for the first time, obtained by extraction (from land, sea or air) or farming. Usually these are produced by origin suppliers but may also be added by others in
             the supply chain.
Info 10:  An "origin supplier" is the step in the supply chain where both the purchased value ratio (purchased value/sales price) and the purchased weight ratio (purchased dry weigth/ sold dry wight) is below
            20% (see O.S. section 11.4.3), but for agriculture back to the producer of the used chemicals). 
11: The Oiconomy system is intended to calculate and transfer ESCU's through the supply chain in a similar manner as with normal prices. 
             In order to make that happen, require your suppliers to contribute to the system en require ESCU's. Complete supply chains in the system has the following advantages:
                1. Nobody needs to assess the upstream supply chain, but gets the data from the suppliers and therefore needs limited efforts to find the data.
                2. All quantitative data are product-specific unless indicated differently. In most sheets, the organizations are challenged to self determine and demonstrate their specific mitigation costs, with the 
                    goal and consequence that the ESCU's become a real estimate for the extra costs for the sustainable version of the product.
                3. Negotiations between parties on standard economic prices and prevention costs are enabled.
                4. Suppliers can be assessed and compared on their sustainability and their cost distance to sustainability, based on standardized measurements. (see sheet "suppliers").
                5. ESCU's are usually determined for one product. However, if they demonstrably belong to a group of very similar products and supply chains, they may be used for the group of products. 
                6. If is referred to a value with a number of the questions (e.g. "W11"), it refers to the calculated or stated value in column F of question W11.
12. Because anno 2021 many first- or further-tier suppliers suppliers cannot yet provide their ESCU's, this questionaire also provides means to calculate default values for each stage in the supply chain. This however, is much more work, and usually results in lower ESCU's, than with the intended transfer of data. Therefore, it is strongly advised to really require ESCU's from the suppliers.</t>
        </r>
        <r>
          <rPr>
            <sz val="9"/>
            <color indexed="81"/>
            <rFont val="Tahoma"/>
            <family val="2"/>
          </rPr>
          <t xml:space="preserve">
</t>
        </r>
      </text>
    </comment>
    <comment ref="B37" authorId="0" shapeId="0" xr:uid="{A5CB2D2C-4BDF-4A16-8F42-846E4411F1FD}">
      <text>
        <r>
          <rPr>
            <sz val="9"/>
            <color indexed="81"/>
            <rFont val="Tahoma"/>
            <family val="2"/>
          </rPr>
          <t xml:space="preserve">Example of a note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E1F6440D-6400-4D7E-907A-7C6FC3A134D5}">
      <text>
        <r>
          <rPr>
            <b/>
            <sz val="9"/>
            <color indexed="81"/>
            <rFont val="Tahoma"/>
            <family val="2"/>
          </rPr>
          <t>Info 1: This sheet concerns disposal of industrial waste; the disposal at end-of-product life is considered in sheet "End-of-Life"
Info 2: Don't start using this sheet before having read and completed the sheets "How does it work", "Def.-Instr.", "Preparation" and 
            "Suppliers"
Info 3: Determine the ESCU's for all other sustainability-categories for the product before starting disposal and waste. The Disposal and
            Waste aspect should be the last aspect to calculate, because the ESCU's for the other aspects (incl. suplliers) are used in the 
            calculations.
Info 4: Reset before start all choice buttons in colums F, L and N to "select" and empty all red boxes in the columns F, K, M, P, Q, R, S, T, U
            and V. and in form "foreground calculation of price factors" in this sheet (B 39- G 72)
Info 5: Calculate all requested quantities per unit of product.
Info 6: Filling out the forms, only change the selection boxes and red boxes.
Info 7: Note that "ESCU" in the tekst refers to both the assessed externalities as to costs in the chosen currency.</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C4" authorId="0" shapeId="0" xr:uid="{43FCCC0E-98F7-4B93-8973-D90DBEC0AA4C}">
      <text>
        <r>
          <rPr>
            <b/>
            <sz val="9"/>
            <color indexed="81"/>
            <rFont val="Tahoma"/>
            <family val="2"/>
          </rPr>
          <t xml:space="preserve">O.F. 19
This list is in development and therefore only an example, not complete and not checked. Preliminarily don't use it unless it can be demonstrated that a certificate covers the intended scope.
Abbreviation   Full name website
FSC               Forest Stewardship Council                           https://ic.fsc.org/
RA                Rainforest Allience                                       http://www.rainforest-alliance.org/certification-verification
MSC              Marine Stewardship Council                          http://www.msc.org/
ASC              Aquaculture Stewardship Council                   https://www.asc-aqua.org/
ISO 14001     Environmental Management System               https://www.asc-aqua.org/
ISO 45001     Occupational health and safety                      https://www.iso.org/iso-45001-occupational-health-and-safety.html
ISO 9001      Quality Management System                         https://www.iso.org/standard/62085.html
RSPO for palm oil    RSPO_Principles_Criteria_for_the_Production_of_Sustainable_Palm_Oil_2013          http://www.rspo.org; http://greenpalm.org
GOTS            Global Organic Textile Standard                   https://www.global-standard.org
SA 8000        Social Accountability 8000                           http://www.sa-intl.org
ISO 37001     Anti-bribery management systems               https://www.iso.org/iso-37001-anti-bribery-management.html
Organic         The IFOAM familiy of standards                   https://www.ifoam.bio/en/ifoam-family-standards-0
Demeter        Organic                                                     https://www.stichtingdemeter.nl/certificering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174CAB2C-230F-4E70-A6ED-F09CAE7DFE7C}">
      <text>
        <r>
          <rPr>
            <b/>
            <sz val="9"/>
            <color indexed="81"/>
            <rFont val="Tahoma"/>
            <family val="2"/>
          </rPr>
          <t xml:space="preserve">Info 1: </t>
        </r>
        <r>
          <rPr>
            <sz val="9"/>
            <color indexed="81"/>
            <rFont val="Tahoma"/>
            <family val="2"/>
          </rPr>
          <t>Reset before start all choice buttons to "select" and empty all red boxes in column F.</t>
        </r>
        <r>
          <rPr>
            <b/>
            <sz val="9"/>
            <color indexed="81"/>
            <rFont val="Tahoma"/>
            <family val="2"/>
          </rPr>
          <t xml:space="preserve">
Info 2: </t>
        </r>
        <r>
          <rPr>
            <sz val="9"/>
            <color indexed="81"/>
            <rFont val="Tahoma"/>
            <family val="2"/>
          </rPr>
          <t>All below described ESCU's shall be the sum of costs for all workers and proportional to their workhours related to the product, including indirect
            personnel (e.g. management; administration, procurement, marketing, cleaning, engineering, mainenance, etc.).</t>
        </r>
        <r>
          <rPr>
            <b/>
            <sz val="9"/>
            <color indexed="81"/>
            <rFont val="Tahoma"/>
            <family val="2"/>
          </rPr>
          <t xml:space="preserve">
Info 3: </t>
        </r>
        <r>
          <rPr>
            <sz val="9"/>
            <color indexed="81"/>
            <rFont val="Tahoma"/>
            <family val="2"/>
          </rPr>
          <t>For all data: If available, use company's own cost allocation methods to divide ESCU's between company's different products. Without availability of 
            such method, calculate companies total ESCU's for the aspects and allocate proportionally to product's financial turnovers.</t>
        </r>
        <r>
          <rPr>
            <b/>
            <sz val="9"/>
            <color indexed="81"/>
            <rFont val="Tahoma"/>
            <family val="2"/>
          </rPr>
          <t xml:space="preserve">
Info 4: </t>
        </r>
        <r>
          <rPr>
            <sz val="9"/>
            <color indexed="81"/>
            <rFont val="Tahoma"/>
            <family val="2"/>
          </rPr>
          <t>Note that "ESCU" in the tekst refers to both the assessed externalities as to costs in the chosen currency.</t>
        </r>
        <r>
          <rPr>
            <b/>
            <sz val="9"/>
            <color indexed="81"/>
            <rFont val="Tahoma"/>
            <family val="2"/>
          </rPr>
          <t xml:space="preserve">
Info 5: </t>
        </r>
        <r>
          <rPr>
            <sz val="9"/>
            <color indexed="81"/>
            <rFont val="Tahoma"/>
            <family val="2"/>
          </rPr>
          <t>All questions on labor consider both workers in the organization itself, and external workers in for instance workshops (incl. homeworkers) without a
            supplier-customer relationship that includes the exchange of ESCU's.</t>
        </r>
        <r>
          <rPr>
            <b/>
            <sz val="9"/>
            <color indexed="81"/>
            <rFont val="Tahoma"/>
            <family val="2"/>
          </rPr>
          <t xml:space="preserve">
Info 6: </t>
        </r>
        <r>
          <rPr>
            <sz val="9"/>
            <color indexed="81"/>
            <rFont val="Tahoma"/>
            <family val="2"/>
          </rPr>
          <t>If the requested data are not available yet for the current product, use last years' data from a very similar product.</t>
        </r>
        <r>
          <rPr>
            <b/>
            <sz val="9"/>
            <color indexed="81"/>
            <rFont val="Tahoma"/>
            <family val="2"/>
          </rPr>
          <t xml:space="preserve">
Info 7: </t>
        </r>
        <r>
          <rPr>
            <sz val="9"/>
            <color indexed="81"/>
            <rFont val="Tahoma"/>
            <family val="2"/>
          </rPr>
          <t>For Child Labor, this questionnaire is meant to determine the own gate to gate ESCU's, but can be used for calculation of unknown supplier data. 
            (based on worst cases). For other aspects, a similar questionnaire is in development.</t>
        </r>
        <r>
          <rPr>
            <b/>
            <sz val="9"/>
            <color indexed="81"/>
            <rFont val="Tahoma"/>
            <family val="2"/>
          </rPr>
          <t xml:space="preserve">
Info 8: </t>
        </r>
        <r>
          <rPr>
            <sz val="9"/>
            <color indexed="81"/>
            <rFont val="Tahoma"/>
            <family val="2"/>
          </rPr>
          <t>A red colored field asks to be filled by the practitioner.</t>
        </r>
        <r>
          <rPr>
            <b/>
            <sz val="9"/>
            <color indexed="81"/>
            <rFont val="Tahoma"/>
            <family val="2"/>
          </rPr>
          <t xml:space="preserve">
Info 9: </t>
        </r>
        <r>
          <rPr>
            <sz val="9"/>
            <color indexed="81"/>
            <rFont val="Tahoma"/>
            <family val="2"/>
          </rPr>
          <t>Don't start using this sheet before having read and completed the sheets "How does it work", "Def.-Instr.", "Preparation" and "Suppliers".</t>
        </r>
        <r>
          <rPr>
            <b/>
            <sz val="9"/>
            <color indexed="81"/>
            <rFont val="Tahoma"/>
            <family val="2"/>
          </rPr>
          <t xml:space="preserve">
Info 10: </t>
        </r>
        <r>
          <rPr>
            <sz val="9"/>
            <color indexed="81"/>
            <rFont val="Tahoma"/>
            <family val="2"/>
          </rPr>
          <t>The result of the section "Remuneration" depends on other sections in this sheet. It is only valid after completing the whole sheet.</t>
        </r>
        <r>
          <rPr>
            <b/>
            <sz val="9"/>
            <color indexed="81"/>
            <rFont val="Tahoma"/>
            <family val="2"/>
          </rPr>
          <t xml:space="preserve">
Info 11: </t>
        </r>
        <r>
          <rPr>
            <sz val="9"/>
            <color indexed="81"/>
            <rFont val="Tahoma"/>
            <family val="2"/>
          </rPr>
          <t xml:space="preserve">The Oiconomy standard of "fair" should not be considered a maximum. E.g. most wages in higher income countries are far above the fair minimum 
              wage.
</t>
        </r>
        <r>
          <rPr>
            <b/>
            <sz val="9"/>
            <color indexed="81"/>
            <rFont val="Tahoma"/>
            <family val="2"/>
          </rPr>
          <t>Info 12:</t>
        </r>
        <r>
          <rPr>
            <sz val="9"/>
            <color indexed="81"/>
            <rFont val="Tahoma"/>
            <family val="2"/>
          </rPr>
          <t xml:space="preserve"> Don't make the error to consider the Fair wages and contributions as maximums. E.g. higher wages than FMW are commonly paid.
</t>
        </r>
      </text>
    </comment>
    <comment ref="C7" authorId="0" shapeId="0" xr:uid="{474FD36D-3F21-45DF-8615-A0A260D307BB}">
      <text>
        <r>
          <rPr>
            <b/>
            <sz val="9"/>
            <color indexed="81"/>
            <rFont val="Tahoma"/>
            <family val="2"/>
          </rPr>
          <t xml:space="preserve">The list shall include their gross wages, bonusses, granted shares and options, contributions to pensions, insurances, not-work-related transport, housing and other extra's and subtract all sums withheld. Separately include their payments for overhours. Included shall be 13th and 14th month- and holiday- bonusses.
Not included are dividends and differences between realized and granted shares or options from amounts that are already in the possession of the employee.
If data are in other time-units, calculate these back to payments per hour.
</t>
        </r>
        <r>
          <rPr>
            <sz val="9"/>
            <color indexed="81"/>
            <rFont val="Tahoma"/>
            <family val="2"/>
          </rPr>
          <t xml:space="preserve">
</t>
        </r>
      </text>
    </comment>
    <comment ref="C12" authorId="0" shapeId="0" xr:uid="{9E626AA7-A3EC-4D66-9F5D-A072EEDD56C2}">
      <text>
        <r>
          <rPr>
            <b/>
            <sz val="9"/>
            <color indexed="81"/>
            <rFont val="Tahoma"/>
            <family val="2"/>
          </rPr>
          <t>The database, searched by the system contains a list of Fair Minimum Wages for almost all countries. The system will find the relevant FMW based on the entered country (either foreground or background).</t>
        </r>
        <r>
          <rPr>
            <sz val="9"/>
            <color indexed="81"/>
            <rFont val="Tahoma"/>
            <family val="2"/>
          </rPr>
          <t xml:space="preserve">
</t>
        </r>
      </text>
    </comment>
    <comment ref="C18" authorId="0" shapeId="0" xr:uid="{0F6BB060-D0DC-4C82-A366-2476A13ED600}">
      <text>
        <r>
          <rPr>
            <b/>
            <sz val="9"/>
            <color indexed="81"/>
            <rFont val="Tahoma"/>
            <family val="2"/>
          </rPr>
          <t>Inequality is a neglected but major threat to sustainability and therefore included in the 17 SDG's of the UN.
Fair income inequality is based on the ratio between the president/premier and the statutory minimum wage the 20% best performing and democratic countries in the world, augmented with 20% for semi-governmental bodies and another 20% for companies.
The result is a maximum ratio of 23,8. The marginal preventative measure is to raise all wages to a minimum of 1/23,8 of the higest wage. The system compensates for expats and currency and purchase power differences.</t>
        </r>
        <r>
          <rPr>
            <sz val="9"/>
            <color indexed="81"/>
            <rFont val="Tahoma"/>
            <family val="2"/>
          </rPr>
          <t xml:space="preserve">
</t>
        </r>
      </text>
    </comment>
    <comment ref="C26" authorId="0" shapeId="0" xr:uid="{924B68A8-94AB-4805-938E-BEB3252D61EF}">
      <text>
        <r>
          <rPr>
            <b/>
            <sz val="9"/>
            <color rgb="FF000000"/>
            <rFont val="Tahoma"/>
            <family val="2"/>
          </rPr>
          <t xml:space="preserve">1. The distance of the lowest wage to the FMW is covered above, avoiding double counting. Therefore, assume every wage the highest of the actual wage and the FMW.
</t>
        </r>
        <r>
          <rPr>
            <b/>
            <sz val="9"/>
            <color rgb="FF000000"/>
            <rFont val="Tahoma"/>
            <family val="2"/>
          </rPr>
          <t xml:space="preserve">2. Compensating country prosperity differences, the income-difference factor is multiplied with relative prosperity factor, presented in RI 2. (If the highest paid person is an expatriate, the country of his/her nationality may be taken as reference country or the last country of residence). 
</t>
        </r>
        <r>
          <rPr>
            <b/>
            <sz val="9"/>
            <color rgb="FF000000"/>
            <rFont val="Tahoma"/>
            <family val="2"/>
          </rPr>
          <t>3. Usually, lowering the income of the highest paid person will be far cheaper, but in this case, that mitigation opportunity  may not be used as a foreground preventative measure.</t>
        </r>
        <r>
          <rPr>
            <sz val="9"/>
            <color rgb="FF000000"/>
            <rFont val="Tahoma"/>
            <family val="2"/>
          </rPr>
          <t xml:space="preserve">
</t>
        </r>
      </text>
    </comment>
    <comment ref="D60" authorId="0" shapeId="0" xr:uid="{3A1F9B12-83F6-4A47-ABA2-8AC93D0B7A44}">
      <text>
        <r>
          <rPr>
            <b/>
            <sz val="9"/>
            <color indexed="81"/>
            <rFont val="Tahoma"/>
            <family val="2"/>
          </rPr>
          <t xml:space="preserve">7. Temporary Work. 
For use of temporary workers longer than for 2 months, [O.F.-16 Labor Aspects] lists the ESCU’s to be allocated. Excepted are jobs that are clearly of temporary nature (&lt; 1 year), jobs that clearly are for training purposes, new jobs that exist no longer than 2 years, and replacement for performance reasons.
8. Minimum employment time. 
This standard assumes that people that are hired for short terms need one month time to find a new job after leaving the organization. The responsible organization pays the full month. (exception for seasonal work and incidental emergencies; subcontractors shall apply the same rule if they don’t provide a time joining new job). [O.F.-16 Labor Aspects] lists the ESCU’s to be allocated.
</t>
        </r>
        <r>
          <rPr>
            <sz val="9"/>
            <color indexed="81"/>
            <rFont val="Tahoma"/>
            <family val="2"/>
          </rPr>
          <t xml:space="preserve">
</t>
        </r>
      </text>
    </comment>
    <comment ref="D82" authorId="0" shapeId="0" xr:uid="{AD379CE1-06B7-482F-A216-A0D3490623EC}">
      <text>
        <r>
          <rPr>
            <b/>
            <sz val="9"/>
            <color indexed="81"/>
            <rFont val="Tahoma"/>
            <family val="2"/>
          </rPr>
          <t xml:space="preserve">O.F. 19
This list is in development and therefore only an example, not complete and not checked. Preliminarily don't use it unless it can be demonstrated that a certificate covers the intended scope.
Abbreviation   Full name website
FSC               Forest Stewardship Council                           https://ic.fsc.org/
RA                Rainforest Allience                                       http://www.rainforest-alliance.org/certification-verification
MSC              Marine Stewardship Council                          http://www.msc.org/
ASC              Aquaculture Stewardship Council                   https://www.asc-aqua.org/
ISO 14001     Environmental Management System               https://www.asc-aqua.org/
ISO 45001     Occupational health and safety                      https://www.iso.org/iso-45001-occupational-health-and-safety.html
ISO 9001      Quality Management System                         https://www.iso.org/standard/62085.html
RSPO for palm oil    RSPO_Principles_Criteria_for_the_Production_of_Sustainable_Palm_Oil_2013          http://www.rspo.org; http://greenpalm.org
GOTS            Global Organic Textile Standard                   https://www.global-standard.org
SA 8000        Social Accountability 8000                           http://www.sa-intl.org
ISO 37001     Anti-bribery management systems               https://www.iso.org/iso-37001-anti-bribery-management.html
Organic         The IFOAM familiy of standards                   https://www.ifoam.bio/en/ifoam-family-standards-0
Demeter        Organic                                                     https://www.stichtingdemeter.nl/certificering
</t>
        </r>
        <r>
          <rPr>
            <sz val="9"/>
            <color indexed="81"/>
            <rFont val="Tahoma"/>
            <family val="2"/>
          </rPr>
          <t xml:space="preserve">
</t>
        </r>
      </text>
    </comment>
    <comment ref="D89" authorId="0" shapeId="0" xr:uid="{E9003EAD-5DEC-4910-8366-1348500191C1}">
      <text>
        <r>
          <rPr>
            <b/>
            <sz val="9"/>
            <color indexed="81"/>
            <rFont val="Tahoma"/>
            <family val="2"/>
          </rPr>
          <t xml:space="preserve">O.F. 19
This list is in development and therefore only an example, not complete and not checked. Preliminarily don't use it unless it can be demonstrated that a certificate covers the intended scope.
Abbreviation   Full name website
FSC               Forest Stewardship Council                           https://ic.fsc.org/
RA                Rainforest Allience                                       http://www.rainforest-alliance.org/certification-verification
MSC              Marine Stewardship Council                          http://www.msc.org/
ASC              Aquaculture Stewardship Council                   https://www.asc-aqua.org/
ISO 14001     Environmental Management System               https://www.asc-aqua.org/
ISO 45001     Occupational health and safety                      https://www.iso.org/iso-45001-occupational-health-and-safety.html
ISO 9001      Quality Management System                         https://www.iso.org/standard/62085.html
RSPO for palm oil    RSPO_Principles_Criteria_for_the_Production_of_Sustainable_Palm_Oil_2013          http://www.rspo.org; http://greenpalm.org
GOTS            Global Organic Textile Standard                   https://www.global-standard.org
SA 8000        Social Accountability 8000                           http://www.sa-intl.org
ISO 37001     Anti-bribery management systems               https://www.iso.org/iso-37001-anti-bribery-management.html
Organic         The IFOAM familiy of standards                   https://www.ifoam.bio/en/ifoam-family-standards-0
Demeter        Organic                                                     https://www.stichtingdemeter.nl/certificering
  </t>
        </r>
        <r>
          <rPr>
            <sz val="9"/>
            <color indexed="81"/>
            <rFont val="Tahoma"/>
            <family val="2"/>
          </rPr>
          <t xml:space="preserve">
</t>
        </r>
      </text>
    </comment>
    <comment ref="C90" authorId="0" shapeId="0" xr:uid="{F049368A-C827-4210-AAFF-2F739A506A43}">
      <text>
        <r>
          <rPr>
            <b/>
            <sz val="9"/>
            <color indexed="81"/>
            <rFont val="Tahoma"/>
            <family val="2"/>
          </rPr>
          <t xml:space="preserve">1. Nobody within or outside of the organization is confronted with discrimination of any type and from anyone.
2. Employees have complete freedom of association.
3. At least 60% of the workers are of local origin, sufficiently present in management positions and of sufficient level of education, in order to be aware of all aspects that could harm the local community or environment and of labor conditions that could harm the workers and the local community. If necessary, education and training is provided.
4. No workers are forced or tending to work more than 48 hours per week.
5. The standard workweek for employees is no longer than 40 hours. Overtime hours and -payment are kept on file. This does not apply to owners.
6. All workers are free in their work and the nature of the work is not compulsory to an extent that it could physically or mentally harm the worker. No physical enforcement is used to any person.
7. All workers have freedom of speech, even if conflicting with the organizations’ policies, but may be required to respect secrecy about companies’ intellectual- and financial assets.
8. Immediate and proper action is taken against violence afflicted by or to employees in the performance of their duties. The organization regularly assesses if every worker feels safe and takes actions where people don’t.
9. The work periods of employees give enough room for rest and time for privacy and sufficient paid vacation (minimum 15 working days per year) is permitted for this purpose.
10. First aid healthcare, trained people and provisions for handicapped people are available at the site. (for organizations &gt; 10 persons)
11. Official personal documents, such as birth certificates and passports are consulted and their data kept on file, safe from unauthorized access. None of such documents is taken from the worker.
The organization, at all times, can demonstrate that all people working for the organization, including via subcontractors, are legally registered as employees or self-employed worker.
12. Employment- and apprenticeship contracts, internal and external education, trainings and apprentice programs for all employees are kept on file.
13. Employment contracts, in understandable language for all involved, systematically include wage, working time, annual holidays and length of personal holiday and terms of resignation, which ensure employees voluntary leave of employment, and are kept on file.
14. All workers are free to file complaints without repercussions and are ensured a fair response and uniform and confidential treatment. Complaints and responses are kept on file.
15. At end of employment, a letter of resignation is handed to the employee. The organization sees to, that intermediates do the same. The worker is notified about ending employment at least one month in advance.
16. If housing or transport is provided, that must be voluntary for the worker, of good standard quality, reasonably priced compared to the wage and with respect to the worker’s freedom and privacy.
17. Food provided by the organization is of high quality and reasonably priced.
18. Loans, credits and other financial schemes, are all by contract, transparent, reasonably priced, not strangling at resignation, and kept on file.
19. Known whistleblowers are taken seriously and their points thoroughly investigated by an independent and qualified person; The identity of unknown whistleblowers is not investigated.
20. Privacy is well protected. All personnel data are well protected by demonstrable best available technology, but preferably not connected to the internet, and physically in locked and safe conditions.
21. Any security personnel used by the organization is trained in human rights and first aid.
22. The organization only works with legally recognized contractors or intermediates, after assessment if their social performance complies with companies’ social policies. In addition, the contractor is a supplier and shall provide ESCU’s and allow independent verification.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346812EC-729B-4C5D-9BB4-91DBA55C78CB}">
      <text>
        <r>
          <rPr>
            <b/>
            <sz val="9"/>
            <color indexed="81"/>
            <rFont val="Tahoma"/>
            <family val="2"/>
          </rPr>
          <t>Info 1: A Low Developed Supplier (LDS) is a not-certified supplier, without a clear management structure, without the knowledge to 
            understand this standard, without relevant contacts reaching beyond its direct activities, or heavily instructed by the 
            organization. (e.g. private person or family, a workshop, a farmer, a small cooperative). This section shall be executed for each
            different type of activities executed by LDS's and thereafter the ESCU's for all LDS's aggregated.
Info 2: This aspect can only be used if the sheet "preparation" and the aspect "remuneration" on sheet "labor" has been completed.
Info 3: Don't start using this sheet before having read and completed the sheets "How does it work", "Def.-Instr.", "Preparation" and 
            "Suppliers"
Info 4: Reset before start all choice buttons to "select" and empty all red boxes in column F.
Info 5: Net Operating Margin to be calculated as: Sales value/ (Direct and indirect Costs of labor + Purchased value + depreciation).
Info 6: If the organization uses low developed suppliers, this section can only be completed with a completed sheet "labor".
Info 7:  Note that "ESCU" in the tekst refers to both the assessed externalities as to costs in the chosen currency.</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D8" authorId="0" shapeId="0" xr:uid="{C661A356-F93C-42E6-8497-C4EE4F52AFC3}">
      <text>
        <r>
          <rPr>
            <b/>
            <sz val="9"/>
            <color indexed="81"/>
            <rFont val="Tahoma"/>
            <family val="2"/>
          </rPr>
          <t xml:space="preserve">O.F. 19
This list is in development and therefore only an example, not complete and not checked. Preliminarily don't use it unless it can be demonstrated that a certificate covers the intended scope.
Abbreviation   Full name website
FSC               Forest Stewardship Council                           https://ic.fsc.org/
RA                Rainforest Allience                                       http://www.rainforest-alliance.org/certification-verification
MSC              Marine Stewardship Council                          http://www.msc.org/
ASC              Aquaculture Stewardship Council                   https://www.asc-aqua.org/
ISO 14001     Environmental Management System               https://www.asc-aqua.org/
ISO 45001     Occupational health and safety                      https://www.iso.org/iso-45001-occupational-health-and-safety.html
ISO 9001      Quality Management System                         https://www.iso.org/standard/62085.html
RSPO for palm oil    RSPO_Principles_Criteria_for_the_Production_of_Sustainable_Palm_Oil_2013          http://www.rspo.org; http://greenpalm.org
GOTS            Global Organic Textile Standard                   https://www.global-standard.org
SA 8000        Social Accountability 8000                           http://www.sa-intl.org
ISO 37001     Anti-bribery management systems               https://www.iso.org/iso-37001-anti-bribery-management.html
Organic         The IFOAM familiy of standards                   https://www.ifoam.bio/en/ifoam-family-standards-0
Demeter        Organic                                                     https://www.stichtingdemeter.nl/certificering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8CA2FCD2-DA9F-49AA-A91D-2F6F52F550F8}">
      <text>
        <r>
          <rPr>
            <b/>
            <sz val="9"/>
            <color indexed="81"/>
            <rFont val="Tahoma"/>
            <family val="2"/>
          </rPr>
          <t xml:space="preserve">Info 1. The questions in this sheet are only for end-producers.
Info 2: Reset before start all choice buttons to "select" and empty all red boxes in column F, 
            including the used forms.
Info 3: This aspect only covers foreground assessment.
Info 4: The lifetime of utensils is preliminarily maximized at 10 years under the assumption 
            that the emissions and depletions can be eliminated by that time.
Info 5: In this sheet, "utensils" are distinguished from "transport means", although generally 
            in the O.S., "utensils" include "transport means".
Info 6: Don't start using this sheet before having read and completed the sheets "How does it
            work", "Def.-Instr.", "Preparation".
Info 7: If the product is a means to consume other products, but not the functional cause (e.g. a water 
           hose) --&gt; No ESCU's are allocated.
Info 8: If the product affects the quantity of use, but not the functional cause, (e.g. a shower head, 
           affecting the quantity) --&gt; no ESCU's are allocated. 
Info 9: Note that "ESCU" in the tekst refers to both the assessed externalities as to costs in the chosen currency.
</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AAAF6113-15ED-4698-B47A-4B0A05A08006}">
      <text>
        <r>
          <rPr>
            <b/>
            <sz val="9"/>
            <color indexed="81"/>
            <rFont val="Tahoma"/>
            <family val="2"/>
          </rPr>
          <t>Info 1. The questions in this sheet are only for end-producers.
Info 2: Reset before start all choice buttons to "select" and empty all red boxes in column F, 
            including the used forms.
Info 3: This aspect only covers foreground assessment.
Info 4: The lifetime of utensils is preliminarily maximized at 10 years under the assumption 
            that the emissions and depletions can be eliminated by that time.
Info 5: In this sheet, "utensils" are distinguished from "transport means", although generally 
            in the O.S., "utensils" include "transport means".
Info 6: Don't start using this sheet before having read and completed the sheets "How does it
            work", "Def.-Instr.", "Preparation".
Info 7:  Note that "ESCU" in the tekst refers to both the assessed externalities as to costs in
             the chosen currency.</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687FE015-29BD-45D3-AF9D-33AE4C08BB6A}">
      <text>
        <r>
          <rPr>
            <b/>
            <sz val="9"/>
            <color indexed="81"/>
            <rFont val="Tahoma"/>
            <family val="2"/>
          </rPr>
          <t>Info 1. The questions in this sheet are only for end-producers (see sheet "preparation").
Info 2: Reset before start all choice buttons to "select" and empty all red boxes in column F, including the form in 
            cells G5-H5
Info 3: This aspect only covers foreground assessment.
Info 4: The preliminary calculations are based on the data of OHS risks in the sector; not yet on the use of the 
            product. At good governance, the differences with reality will be low, but at poor governance may be
            substantial.
Info 5:  Don't start using this sheet before having read and completed the sheets "How does it work", "Def.-Instr.",
            "Preparation".
Info 6:  Note that "ESCU" in the tekst refers to both the assessed externalities as to costs in the chosen currency.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E09B2F89-7FB0-4E0F-B363-B3EBE79334D1}">
      <text>
        <r>
          <rPr>
            <b/>
            <sz val="9"/>
            <color indexed="81"/>
            <rFont val="Tahoma"/>
            <family val="2"/>
          </rPr>
          <t>Info 1. The questions in this sheet are only for end-producers.
Info 2: Reset before start all choice buttons to "select" and empty all red boxes in column F, including the red 
            fields in the forms
Info 3: This aspect only covers foreground assessment.
Info 4: The questions on instructions for use and on noise only apply on noise making utensils; the questions on
            quality, instructions and warrenties on all types of products.
Info 5:  Don't start using this sheet before having read and completed the sheets "How does it work", 
           "Def.-Instr.", "Preparation".
Info 6:  Note that "ESCU" in the tekst refers to both the assessed externalities as to costs in the chosen 
             currency.</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7174AD32-39D3-48A7-A873-14185BE4FF52}">
      <text>
        <r>
          <rPr>
            <b/>
            <sz val="9"/>
            <color indexed="81"/>
            <rFont val="Tahoma"/>
            <family val="2"/>
          </rPr>
          <t xml:space="preserve">Info 1: Bonus-ESCU's are allocated for benefits, materials or activities with positive impact. They must reduce the sum of other ESCU's and are 
            therefore negative.
Info 2: Equal to other ESCU's, Bonus-ESCU's represent "externalities", costs or benefits for others than the actors in the supply chain itself. 
            Therefore, for benefits for the organization itself or its customers, no Bonus-ESCU's are allocated.
Info 3: With a few exceptions, the Bonus-ESCU's are equal to the demonstrable expenditures by the organization for the considered aspect.
Info 4: Bonus-ESCU's are always foreground (calculated by the organization and considering the specific product. Background (default) Bonus-ESCU's
            do not exist.
Info 5: Bonus-ESCU's may only be allocated under compliance with the conditions described in section O.F.-12.7.1.1. and the extra conditions in 
            column D.
Info 6: "Sustainability" and "sustainability enhancing" refers to any of the aspects, included in the Oiconomy Standard and this questionnaire.
</t>
        </r>
        <r>
          <rPr>
            <b/>
            <sz val="10"/>
            <color indexed="81"/>
            <rFont val="Tahoma"/>
            <family val="2"/>
          </rPr>
          <t>Info 7: Bonus-ESCU's may only be allocated for products and activities that the organization is not paid for.</t>
        </r>
        <r>
          <rPr>
            <b/>
            <sz val="9"/>
            <color indexed="81"/>
            <rFont val="Tahoma"/>
            <family val="2"/>
          </rPr>
          <t xml:space="preserve">
Info 8:  All Bonus-ESCU's shall be entered in organization-based quantities in column F and will be calculated per total quantity of product in column G.
               For some bonusses, the aspect-category must be selected in column I. Therefore always inspect column I for a selection box.
Info 9:  Don't start using this sheet before having read and completed the sheets "How does it work", "Def.-Instr.", "Preparation".
Info 10: Reset before start all choice buttons to "select" and empty all red boxes in column F.
Info 11: Contrary to most other aspects, the yearly Bonus-expenditures are requested whereafter the system calculates these to ESCU's per unit of 
               product.
Info 12:  Note that "ESCU" in the tekst refers to both the assessed externalities as to costs in the chosen currency.</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C19" authorId="0" shapeId="0" xr:uid="{83080514-1F0A-479C-BFC8-954E74AED2C1}">
      <text>
        <r>
          <rPr>
            <b/>
            <sz val="9"/>
            <color indexed="81"/>
            <rFont val="Tahoma"/>
            <family val="2"/>
          </rPr>
          <t xml:space="preserve">11.2 The product and its normal use.
The organization that is the end-producer or a producer of a product with one major function that is practiced by more than 80% of the users, shall define and disclose what is the function and what is “normal use” of the product, including the intended methods of disposal. If a product has significantly different categories of use, different categories of “normal use” may be defined, provided that it can be demonstrated that the relevant category of use is communicated to the downstream supply chain. The organization shall also investigate practices of use in the market (in each country of use) and determine most common uses and most common methods of disposal. Deviations of its definition of normal use from average use shall be justified. The organization shall determine, in practice, the expected product life at normal use (does not need to be equal to the warranty period). For the product life a maximum of 100 years may be taken. For this definition, the organization shall investigate the product life of similar products in the market. Reasons for differences between the definition of the products’ expected life and practice of similar products shall be based on substantial and demonstrable product- or market differences.
For services, including the use of tangible products defined as service-product (e.g. “an hour of light”), no definition of the product life time is required.
If the definition of the product and its normal use involves the risk of disputes on the responsibility for sustainability aspects of the product (e.g. disposal), these responsibilities shall be agreed upon with all involved parties, and the definition of normal use based on the agreement.
</t>
        </r>
        <r>
          <rPr>
            <sz val="9"/>
            <color indexed="81"/>
            <rFont val="Tahoma"/>
            <family val="2"/>
          </rPr>
          <t xml:space="preserve">
</t>
        </r>
      </text>
    </comment>
    <comment ref="C20" authorId="0" shapeId="0" xr:uid="{C58EF23B-AA1D-498B-8156-5307DF57ADA3}">
      <text>
        <r>
          <rPr>
            <b/>
            <sz val="9"/>
            <color rgb="FF000000"/>
            <rFont val="Tahoma"/>
            <family val="2"/>
          </rPr>
          <t>Pim Croes:</t>
        </r>
        <r>
          <rPr>
            <sz val="9"/>
            <color rgb="FF000000"/>
            <rFont val="Tahoma"/>
            <family val="2"/>
          </rPr>
          <t xml:space="preserve">
</t>
        </r>
        <r>
          <rPr>
            <sz val="9"/>
            <color rgb="FF000000"/>
            <rFont val="Tahoma"/>
            <family val="2"/>
          </rPr>
          <t>Differences in Gate 2 gate matters may occur due to legislation, distances with transport under own responsibility and internal work due to responsibility for waste and end-of life recycling. Differences in external transport, use- and end-of life aspects are very likely).</t>
        </r>
      </text>
    </comment>
    <comment ref="C25" authorId="0" shapeId="0" xr:uid="{A27CEB3E-B663-4DEA-9691-39AD3E6BF378}">
      <text>
        <r>
          <rPr>
            <sz val="9"/>
            <color rgb="FF000000"/>
            <rFont val="Tahoma"/>
            <family val="2"/>
          </rPr>
          <t xml:space="preserve">Here, the average time (usually hours)
</t>
        </r>
        <r>
          <rPr>
            <sz val="9"/>
            <color rgb="FF000000"/>
            <rFont val="Tahoma"/>
            <family val="2"/>
          </rPr>
          <t xml:space="preserve"> of actual being uses is requested, where in Pr 14, the time of existance is requested.
</t>
        </r>
      </text>
    </comment>
    <comment ref="C26" authorId="0" shapeId="0" xr:uid="{D5E08F54-84E9-4C23-81DB-5A3EBEA6F1E4}">
      <text>
        <r>
          <rPr>
            <b/>
            <sz val="9"/>
            <color indexed="81"/>
            <rFont val="Tahoma"/>
            <family val="2"/>
          </rPr>
          <t xml:space="preserve">If not available derive a default value for the purchased value ratio as follows:
1. Download from http://www.wiod.org/database the most recent WIOD_SEA database.
2. Remove all years except for the last (leaving the last year in column D) and set filter on.
3. Select the country in column A
    If the country is not in the database, select Brazil for American countries and India for 
    Asian and African countries.
4. Select in column B the Intermediate Inputs ("II") and the Value Added ("VA")
5. Select in column C the description of the industry sector
6. Calculate the Purchased Value Ratio as II/(II+VA)
7. Check if no better data can be found than obtained in this way.
</t>
        </r>
      </text>
    </comment>
    <comment ref="C27" authorId="0" shapeId="0" xr:uid="{A3245647-EB18-41CF-9440-891179586B90}">
      <text>
        <r>
          <rPr>
            <b/>
            <sz val="9"/>
            <color indexed="81"/>
            <rFont val="Tahoma"/>
            <family val="2"/>
          </rPr>
          <t xml:space="preserve">The only reason for knowing the purchased weight ratio is to know if the organization is an origin supplier that does not need to investigate further upstream in the supply chain. If (and only if) there are no data available for an upstream supplier, use the following method:
1. Consider that a PWR &lt; 0,2 only occurs if very little material goods are purchased, such as for suppliers of services. It may also apply to organic farmers and some types of miners, although the last usually need energy or extracting chemicals. Be also aware that activities may be split in stages, e.g. one company mines the ore and the next extracts the metal from the ore.
Therefore, act as follows:
1. If Pr 21 shows a PVR &gt; 0,2 --&gt; already no origin supplier; enter zero
2. If the product is a service without material content, enter zero
3. If the product comes from an organic farm, investigate the question by using the internet or contact farmers
4. If the organization is the producer of the chemicals for a farm or mine, enter zero
In all other cases, enter a value &gt; 0,20 --&gt; further upstream suppliers need to be assessed.
In all cases, requiring ESCU's from the direct supplier is a better option.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61F7ED43-76DD-46BC-AF29-DAD7BFC7CDE4}">
      <text>
        <r>
          <rPr>
            <b/>
            <sz val="9"/>
            <color indexed="81"/>
            <rFont val="Tahoma"/>
            <family val="2"/>
          </rPr>
          <t>Info 1: Suppliers are by definition not end-producers. They therefore do not need to answer the questions on the USE of the product (O.S. section 12.5) and END-OF-LIFE
            (O.S. section 12.6), unless they commit themselves to share responsibility for parts or for the use- and/or end-of life stages.
Info 2. The Oiconomy system is intended to transfer and aggregate costs of preventing impact through the supply chain. Every actor collects ESCU's from the suppliers, 
            calculates his own and transfers the aggregated result to the customers, equal to the system of normal cost build-up in the supply chain. If every actor does this, the 
            amount of work is limited, because only the own contribution to ESCU's need to be determined. Therefore, every actor is required to put pressure on his suppliers to
            provide ESCU's. The intention remains to gradually grow to transfer of really foreground ESCU's. Therefore, if it is reasonably feasible to determine foreground ESCU's,
            background data shall not be used. However, because it will take some time to reach that ideal situation, this questionnaire is designed to detemine the own gate to
            gate ESCU's, but also to find background data.
Info 3: If complete ESCU's are provided by the supplier, no assessment of the upstream supply chain is required. However, the organization may ask for the extent that the
            provided ESCU's are of foreground nature as an indication of how they may improve in the future.
Info 4: Reset before start all choice buttons to "select" and empty all red boxes in column F.
Info 5: Don't start using this sheet before having read and completed the sheets "How does it work", "Def.-Instr." and "Preparation".
Info 6. Input - Output Databases contain quantities of imported and exported goods by sector and country. From these databases, the 80% most likely source-countries can 
            often be derived. Examples of usefull databases are WIOD_SEA (world Bank) and ADB_MRIO (Asian Bank), GTAP databases, the Hotspot database. In addition, many 
            LCA's can be found on the internet, including LCI's and literature references to the supply chains.
Info 7: Some raw materials for the product may be earlier disposed materials from other products. These carry ESCU's proportional to their value, paid or obtained for the 
            material. At zero or vary low price, the material would probably not even appear in the SCID list (see sheet "preparation") and have zero ESCU's. If the organization is
            paid for recycling a material, the material does not appear on the SCID list, the paid price can be allocated as Negative Bonus ESCU's for the origin product (see sheet
            "Bonus") and appears in a market price bonus for the destination product.</t>
        </r>
        <r>
          <rPr>
            <sz val="9"/>
            <color indexed="81"/>
            <rFont val="Tahoma"/>
            <family val="2"/>
          </rPr>
          <t xml:space="preserve">
</t>
        </r>
      </text>
    </comment>
    <comment ref="N3" authorId="0" shapeId="0" xr:uid="{64FB7097-5C07-4E78-9C77-2F15EB248785}">
      <text>
        <r>
          <rPr>
            <b/>
            <sz val="9"/>
            <color indexed="81"/>
            <rFont val="Tahoma"/>
            <family val="2"/>
          </rPr>
          <t xml:space="preserve"> (value purchased for one unit of product/average product sales price)</t>
        </r>
        <r>
          <rPr>
            <sz val="9"/>
            <color indexed="81"/>
            <rFont val="Tahoma"/>
            <family val="2"/>
          </rPr>
          <t xml:space="preserve">
</t>
        </r>
      </text>
    </comment>
    <comment ref="O3" authorId="0" shapeId="0" xr:uid="{241BB60B-0FA7-49AA-932D-222F18F4C692}">
      <text>
        <r>
          <rPr>
            <b/>
            <sz val="10"/>
            <color indexed="81"/>
            <rFont val="Tahoma"/>
            <family val="2"/>
          </rPr>
          <t xml:space="preserve">dry weight purchased for one dry unit of product/product's weight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3" authorId="0" shapeId="0" xr:uid="{0B2B91EF-CC8A-4E21-8BEB-814542EA8375}">
      <text>
        <r>
          <rPr>
            <b/>
            <sz val="9"/>
            <color indexed="81"/>
            <rFont val="Tahoma"/>
            <family val="2"/>
          </rPr>
          <t xml:space="preserve">Info 1: Reset before start all choice buttons to "select" and empty all red boxes in column F, including every time before using a form. 
Info 2: Don't start using this sheet before having read and completed the sheets "How does it work", "Def.-Instr.", "Preparation" and "Suppliers".
Info 3: Before using forms in Pol.Data or Idemat Data, empty the red fields and set all choose-boxes to "select", unless it is specifically
              indicated to keep the existing data or to add data to the existing data.
Info 4: Explanation types of pollution:
            A. Air Pollution by the emission of bulk gasses.
            B. Pollution of air, land or water by agricultural practices, not easily measurable, best prevented by best practices, and best
                 measured by the level of governance.
            C. Pollution of air, land or water, with measurable quantities of harmful substances.
            D. Heat pollution.
            E. Potential pollution by incident-caused emissions of any type.
Info 5: All questions, unless indicated otherwise, need to be answered, related and limited to the product.
Info 6: Before completing the section of employee commuting, first complete the section "Labor - Remuneration", because pieces of 
              those data are required here.
Info 7: Read the note connected to the total ESCU's from this sheet.
Info 8: Note that "ESCU" in the tekst refers to both the assessed externalities as to costs in the chosen currency. 
</t>
        </r>
        <r>
          <rPr>
            <sz val="9"/>
            <color indexed="81"/>
            <rFont val="Tahoma"/>
            <family val="2"/>
          </rPr>
          <t xml:space="preserve">
</t>
        </r>
      </text>
    </comment>
    <comment ref="C13" authorId="0" shapeId="0" xr:uid="{AD14243D-C595-4B93-8DE6-534F8204D2C7}">
      <text>
        <r>
          <rPr>
            <b/>
            <sz val="9"/>
            <color indexed="81"/>
            <rFont val="Tahoma"/>
            <family val="2"/>
          </rPr>
          <t xml:space="preserve">By manually entering the ESCU's here, these data are kept for internal use.
To the value in P-Ab 6, ESCU's will added in the following sections, all contributing to type A pollution.
 </t>
        </r>
        <r>
          <rPr>
            <sz val="9"/>
            <color indexed="81"/>
            <rFont val="Tahoma"/>
            <family val="2"/>
          </rPr>
          <t xml:space="preserve">
</t>
        </r>
      </text>
    </comment>
    <comment ref="C41" authorId="0" shapeId="0" xr:uid="{83CF5A22-CD96-4494-90A4-FF0F36ECDEC1}">
      <text>
        <r>
          <rPr>
            <sz val="9"/>
            <color indexed="81"/>
            <rFont val="Tahoma"/>
            <charset val="1"/>
          </rPr>
          <t>For this calculation, it is required to first answer the question in Labor - RW 5 on the background amount of workhours per unit of product.</t>
        </r>
      </text>
    </comment>
    <comment ref="D74" authorId="0" shapeId="0" xr:uid="{EA8F1334-2D5E-40A3-A3F8-78CCA40B5AB9}">
      <text>
        <r>
          <rPr>
            <sz val="9"/>
            <color indexed="10"/>
            <rFont val="Tahoma"/>
            <family val="2"/>
          </rPr>
          <t>O.F. 19
This list is in development and therefore only an example, not complete and not checked. Preliminarily don't use it unless it can be demonstrated that a certificate covers the intended scope.</t>
        </r>
        <r>
          <rPr>
            <sz val="9"/>
            <color indexed="81"/>
            <rFont val="Tahoma"/>
            <family val="2"/>
          </rPr>
          <t xml:space="preserve">
Abbreviation   Full name website
FSC               Forest Stewardship Council                           https://ic.fsc.org/
RA                Rainforest Allience                                       http://www.rainforest-alliance.org/certification-verification
MSC              Marine Stewardship Council                          http://www.msc.org/
ASC              Aquaculture Stewardship Council                   https://www.asc-aqua.org/
ISO 14001     Environmental Management System               https://www.asc-aqua.org/
ISO 45001     Occupational health and safety                      https://www.iso.org/iso-45001-occupational-health-and-safety.html
ISO 9001      Quality Management System                         https://www.iso.org/standard/62085.html
RSPO for palm oil    RSPO_Principles_Criteria_for_the_Production_of_Sustainable_Palm_Oil_2013          http://www.rspo.org; http://greenpalm.org
GOTS            Global Organic Textile Standard                   https://www.global-standard.org
SA 8000        Social Accountability 8000                           http://www.sa-intl.org
ISO 37001     Anti-bribery management systems               https://www.iso.org/iso-37001-anti-bribery-management.html
Organic         The IFOAM familiy of standards                   https://www.ifoam.bio/en/ifoam-family-standards-0
Demeter        Organic                                                     https://www.stichtingdemeter.nl/certificering
  </t>
        </r>
      </text>
    </comment>
    <comment ref="C115" authorId="0" shapeId="0" xr:uid="{6A2A7EBC-A4D7-40B9-B306-6BCC755579D8}">
      <text>
        <r>
          <rPr>
            <sz val="9"/>
            <color indexed="81"/>
            <rFont val="Tahoma"/>
            <charset val="1"/>
          </rPr>
          <t xml:space="preserve">If an unknown supply chain actor is concerned:
Often, world marktet prices are available on materials in the upstream supply chain.
One can also request prices or try buy products from actors in the relevant stage in the supply chain.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A1" authorId="0" shapeId="0" xr:uid="{88303B9A-5CA2-4E0F-9AE6-4DEA73B6D614}">
      <text>
        <r>
          <rPr>
            <b/>
            <sz val="10"/>
            <color indexed="81"/>
            <rFont val="Tahoma"/>
            <family val="2"/>
          </rPr>
          <t xml:space="preserve">Info 1: In each selection-box, the chemical needs to be selected by its chemical name. If it is difficult to find the chemical,
            study the columns F - AF whereabout the chemical can be found.
Info 2: Pol.data forms may be used several times, overwriting earlier data. Therefore, the result is always manually copied to the 
            questionnaire. It is also advised to copy a completed form to a different Excell-file. Do this with copy - past values (without the 
            formulas), but note that the copy of a selection box shows the number in a file (e.g. for chemicals in air emissions in column S). 
            Before everu use of a form, reset all selection-boxes to "select" and set all red boxes to zero. Thereafter, select 
            all relevant chemicals in the selection-boxes and enter the requested data in the red boxes.
            The data are requested for the three mediums (air, soil and water)  If more than one of these mediums are 
            concerned, enter both. 
Info 3: The quantities need to represent the quantities per unit of product.
Info 4: The result, appearing in box H25 needs to be manually transfered to the location that lead to this worksheet and
            thereafter reset choice boxes to "select" and red boxes to zero, ready for the next use. It is advised to, before 
            resetting, copy and save the completed form to another file on your computer. (use copy-paste value)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A1" authorId="0" shapeId="0" xr:uid="{F2AE37BD-7847-4007-BBF0-8491D70AF686}">
      <text>
        <r>
          <rPr>
            <b/>
            <sz val="10"/>
            <color indexed="81"/>
            <rFont val="Tahoma"/>
            <family val="2"/>
          </rPr>
          <t xml:space="preserve">Info 1: In each selection-box, the chemical needs to be selected by its chemical name. It is automatically selected from 
            sheet "Pol.Data". If it is difficult to find the chemical, study the columns J whereabout the item  can be found.
Info 2: Reset all selection-boxes in column B to "select" and set all red boxes in columns C, AD, AF and AG to zero. 
           Thereafter, select the relevant items in the selection-boxes and enter the requested data red boxes.   
Info 3: The quantities need to represent the quantities per unit of product.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4" authorId="0" shapeId="0" xr:uid="{8471519A-6BCF-4B64-8AB6-9B71C10F385A}">
      <text>
        <r>
          <rPr>
            <b/>
            <sz val="9"/>
            <color indexed="81"/>
            <rFont val="Tahoma"/>
            <family val="2"/>
          </rPr>
          <t>Info 1: Don't start using this sheet before having read and completed the sheets "How does it work", "Def.-Instr.", 
            "Preparation" and "Suppliers".
Info 2: Reset before start all choice buttons to "select", empty all red boxes in column F and L and in colums K,M and N
Info 3: Complete upstream depletion data can usually not exclusively be derived from the composition of the end-product. 
            Be aware of downstream-invisible depletion. e.g. phosphates in agriculture, chemicals in mining and fuels for 
            transport and processing. Study LCA's and the internet if assessing unknown upstream stages in the supply chain.
            But especially require the data from the supplier and involve the complete supply chain.
Info 4: If completing this sheet for an upstream stage in the supply chain, it is especially important to really answer the 
            data really to imagin to be the relevant organization in the supply chain.
Info 5: Note that "ESCU" in the tekst refers to both the assessed externalities as to costs in the chosen currency.</t>
        </r>
        <r>
          <rPr>
            <sz val="9"/>
            <color indexed="81"/>
            <rFont val="Tahoma"/>
            <family val="2"/>
          </rPr>
          <t xml:space="preserve">
</t>
        </r>
      </text>
    </comment>
    <comment ref="C26" authorId="0" shapeId="0" xr:uid="{38770FC9-9107-4B9E-A77F-73B530E555F9}">
      <text>
        <r>
          <rPr>
            <b/>
            <sz val="9"/>
            <color indexed="81"/>
            <rFont val="Tahoma"/>
            <charset val="1"/>
          </rPr>
          <t xml:space="preserve">Explanation use Aqueduct atlas
1. Open www.wri.org/applications/aqueduct/water-risk-atlas.
2. Choose "Water Stress" and thereafter the address by either click on the map or entering the address.
3. Choose "apply analyse" and download as CSV.
4. Open the CSV and convert the komma separated text to columns by selecting both the 1 and 2 rows--&gt; Data--&gt; Text to Columns--&gt; Comma separated --&gt; layout--&gt; automatic adaptation of column width.
5. Select BWD_raw (at last check in column X). The Value in X 2 is the value to be entered in row WD 9.
</t>
        </r>
        <r>
          <rPr>
            <sz val="9"/>
            <color indexed="81"/>
            <rFont val="Tahoma"/>
            <charset val="1"/>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B4" authorId="0" shapeId="0" xr:uid="{3D9D4515-DC3F-4168-84A3-818DD6B464E4}">
      <text>
        <r>
          <rPr>
            <b/>
            <sz val="9"/>
            <color indexed="81"/>
            <rFont val="Tahoma"/>
            <family val="2"/>
          </rPr>
          <t xml:space="preserve">Info 1: Don't start using this sheet before having read and completed the sheets "How does it work", "Def.-Instr.", 
           "Preparation" and "Suppliers".
Info 2: Reset before start all choice buttons to "select" and empty all red boxes in column F.
Info 3: Note that also farmers have suppliers (nutrients, pesiticides). ESCU's must be requested from suppliers back to the
            producers of the individual chemicals, and without those supplier-ESCU's investigated folowing the procedures 
            described in sheet "Suppliers".
Info 4 :Note that this section allocates ESCU's for land occupation because of the scarcity of land. The next sheet on 
            Biodiversity allocates ESCU's for (lack of) biodiversity.
Info 5: Next to land use, also carbon emissions from forest clearing (carbon content from forest en soil) need to be  
            calculated in sheet Pollution &amp; Climate - Indirect Gas Emissions.
Info 6: The assessment of land occupation balances yields and biodiversity and should not be applied without assessment
            of biodiversity.
Info 7: Note that "ESCU" in the tekst refers to both the assessed externalities as to costs in the chosen currency.
Info 8: This section consists of 4 sections for different cat   egories of land purposes, the last of which, starting at row 34, is:
            "land occupation for non agricultural purposes". If the land use belongs to this purpose, land occupation usually leads
            to zero ESCU's or needs no assessment. Therefore check this first.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Pim Croes</author>
  </authors>
  <commentList>
    <comment ref="C8" authorId="0" shapeId="0" xr:uid="{7D179DF5-E15B-4E69-8F56-C90F95694921}">
      <text>
        <r>
          <rPr>
            <sz val="9"/>
            <color indexed="81"/>
            <rFont val="Tahoma"/>
            <charset val="1"/>
          </rPr>
          <t xml:space="preserve">This methods compares the existing biodiversity with a benchmark of the locally natural biodiversity.
This can only be done by a qualified expert.
Without such assessment, select "no".
</t>
        </r>
      </text>
    </comment>
  </commentList>
</comments>
</file>

<file path=xl/sharedStrings.xml><?xml version="1.0" encoding="utf-8"?>
<sst xmlns="http://schemas.openxmlformats.org/spreadsheetml/2006/main" count="74382" uniqueCount="9008">
  <si>
    <t xml:space="preserve">             Purchased Value Ratio (Purchased Value/Sales Value Product}</t>
  </si>
  <si>
    <t>Supplier ESCU's</t>
  </si>
  <si>
    <t>O.F.-19 Approved Standards</t>
  </si>
  <si>
    <t>ESCU's for indirect emissions</t>
  </si>
  <si>
    <t>[O.F.-17 Economic Risks]</t>
  </si>
  <si>
    <r>
      <t>2.</t>
    </r>
    <r>
      <rPr>
        <sz val="7"/>
        <color theme="1"/>
        <rFont val="Times New Roman"/>
        <family val="1"/>
      </rPr>
      <t xml:space="preserve">       </t>
    </r>
    <r>
      <rPr>
        <sz val="11"/>
        <color theme="1"/>
        <rFont val="Calibri"/>
        <family val="2"/>
        <scheme val="minor"/>
      </rPr>
      <t xml:space="preserve">For investments in deposits or bonds of states with a too low credit status.  </t>
    </r>
  </si>
  <si>
    <r>
      <t>5.</t>
    </r>
    <r>
      <rPr>
        <sz val="7"/>
        <color theme="1"/>
        <rFont val="Times New Roman"/>
        <family val="1"/>
      </rPr>
      <t xml:space="preserve">       </t>
    </r>
    <r>
      <rPr>
        <sz val="11"/>
        <color theme="1"/>
        <rFont val="Calibri"/>
        <family val="2"/>
        <scheme val="minor"/>
      </rPr>
      <t>For investment companies or states with no or low credit rating.</t>
    </r>
  </si>
  <si>
    <r>
      <t>6.</t>
    </r>
    <r>
      <rPr>
        <sz val="7"/>
        <color theme="1"/>
        <rFont val="Times New Roman"/>
        <family val="1"/>
      </rPr>
      <t xml:space="preserve">       </t>
    </r>
    <r>
      <rPr>
        <sz val="11"/>
        <color theme="1"/>
        <rFont val="Calibri"/>
        <family val="2"/>
        <scheme val="minor"/>
      </rPr>
      <t>For speculative investment in agricultural or food resources.</t>
    </r>
  </si>
  <si>
    <r>
      <t>7.</t>
    </r>
    <r>
      <rPr>
        <sz val="7"/>
        <color theme="1"/>
        <rFont val="Times New Roman"/>
        <family val="1"/>
      </rPr>
      <t xml:space="preserve">       </t>
    </r>
    <r>
      <rPr>
        <sz val="11"/>
        <color theme="1"/>
        <rFont val="Calibri"/>
        <family val="2"/>
        <scheme val="minor"/>
      </rPr>
      <t>For investment in derivatives with leverage, unless exclusively used for protecting the company against temporal price or currency fluctuations.</t>
    </r>
  </si>
  <si>
    <r>
      <t>8.</t>
    </r>
    <r>
      <rPr>
        <sz val="7"/>
        <color theme="1"/>
        <rFont val="Times New Roman"/>
        <family val="1"/>
      </rPr>
      <t xml:space="preserve">       </t>
    </r>
    <r>
      <rPr>
        <sz val="11"/>
        <color theme="1"/>
        <rFont val="Calibri"/>
        <family val="2"/>
        <scheme val="minor"/>
      </rPr>
      <t>For investments in companies involved in weapons, bonds of countries with a corruption perception index &gt; 4.0, or uncertified companies not being able to demonstrate fair payment and labor conditions by an unannounced audit on these aspects.</t>
    </r>
  </si>
  <si>
    <r>
      <t>10.</t>
    </r>
    <r>
      <rPr>
        <sz val="7"/>
        <color theme="1"/>
        <rFont val="Times New Roman"/>
        <family val="1"/>
      </rPr>
      <t xml:space="preserve">   </t>
    </r>
    <r>
      <rPr>
        <sz val="11"/>
        <color theme="1"/>
        <rFont val="Calibri"/>
        <family val="2"/>
        <scheme val="minor"/>
      </rPr>
      <t>For banking with banks with insufficiently focus on sustainability.</t>
    </r>
  </si>
  <si>
    <t>[O.F.-16 Labor Aspects]</t>
  </si>
  <si>
    <t>Overwork wages</t>
  </si>
  <si>
    <t>Pension Plans</t>
  </si>
  <si>
    <t>Health Insurance</t>
  </si>
  <si>
    <t>Certificates</t>
  </si>
  <si>
    <t>Assessment</t>
  </si>
  <si>
    <t>Labor Conditions</t>
  </si>
  <si>
    <t>ESCU calculation</t>
  </si>
  <si>
    <t>Actual yield</t>
  </si>
  <si>
    <t>Yield Factor</t>
  </si>
  <si>
    <t>[O.F.-19 Approved Standards]</t>
  </si>
  <si>
    <t>Livestock derived products</t>
  </si>
  <si>
    <t>Bonus ESCU's</t>
  </si>
  <si>
    <t>Own farm-based ESCU's</t>
  </si>
  <si>
    <t>Biotope</t>
  </si>
  <si>
    <t>ESCU's</t>
  </si>
  <si>
    <t>Occupational Health and Safety (OHS)</t>
  </si>
  <si>
    <t>[O.F.-10 Health Risks]</t>
  </si>
  <si>
    <t>Corruption Perception Index</t>
  </si>
  <si>
    <t>[O.F.-04 Country Statement]</t>
  </si>
  <si>
    <t>Weapons and conflict</t>
  </si>
  <si>
    <t>Maximum ESCU's</t>
  </si>
  <si>
    <t>Determine Lifetime</t>
  </si>
  <si>
    <t>Hours of use</t>
  </si>
  <si>
    <t>Scarce materials</t>
  </si>
  <si>
    <t>Lost materials</t>
  </si>
  <si>
    <t>Pollution</t>
  </si>
  <si>
    <t>[O.F.-14 Pollution Substances]</t>
  </si>
  <si>
    <t>Determine the average total hours or kilometers of use at the determined lifetime.</t>
  </si>
  <si>
    <t>Totals</t>
  </si>
  <si>
    <t>Noise</t>
  </si>
  <si>
    <t>[O.F.-21 Responsibility Levels]</t>
  </si>
  <si>
    <t>Instructions for use</t>
  </si>
  <si>
    <t>Components</t>
  </si>
  <si>
    <t>Harmfull chemicals</t>
  </si>
  <si>
    <t>End-of -Life Responsibilities</t>
  </si>
  <si>
    <t>O.S. section 12.6.1</t>
  </si>
  <si>
    <t>Calculations</t>
  </si>
  <si>
    <t>Use Financial Bookkeeping</t>
  </si>
  <si>
    <t>The Oiconomy system is a bookkeeping system.</t>
  </si>
  <si>
    <r>
      <t>1.</t>
    </r>
    <r>
      <rPr>
        <sz val="7"/>
        <color theme="1"/>
        <rFont val="Times New Roman"/>
        <family val="1"/>
      </rPr>
      <t xml:space="preserve">       </t>
    </r>
    <r>
      <rPr>
        <sz val="11"/>
        <color theme="1"/>
        <rFont val="Calibri"/>
        <family val="2"/>
        <scheme val="minor"/>
      </rPr>
      <t>For insufficient Debt-to-Equity ratio (valid for all products of the organization).</t>
    </r>
  </si>
  <si>
    <r>
      <t>3.</t>
    </r>
    <r>
      <rPr>
        <sz val="7"/>
        <color theme="1"/>
        <rFont val="Times New Roman"/>
        <family val="1"/>
      </rPr>
      <t xml:space="preserve">       </t>
    </r>
    <r>
      <rPr>
        <sz val="11"/>
        <color theme="1"/>
        <rFont val="Calibri"/>
        <family val="2"/>
        <scheme val="minor"/>
      </rPr>
      <t>For speculative Price-to-Earnings ratio. The ESCU’s for criteria 2 and 3 may be replaced with demonstrable interests of significant amounts of recently acquired capital.</t>
    </r>
  </si>
  <si>
    <r>
      <t>4.</t>
    </r>
    <r>
      <rPr>
        <sz val="7"/>
        <color theme="1"/>
        <rFont val="Times New Roman"/>
        <family val="1"/>
      </rPr>
      <t xml:space="preserve">       </t>
    </r>
    <r>
      <rPr>
        <sz val="11"/>
        <color theme="1"/>
        <rFont val="Calibri"/>
        <family val="2"/>
        <scheme val="minor"/>
      </rPr>
      <t xml:space="preserve">For investments in companies involved in fossil energy unless it can be demonstrated that these are changing to renewable energy at least 5% per year. </t>
    </r>
  </si>
  <si>
    <t>Where O.S. criteria mention Capital goods</t>
  </si>
  <si>
    <t xml:space="preserve">Where the O.S. requires accredited measurements </t>
  </si>
  <si>
    <t>Where the O.S. requires certified suppliers</t>
  </si>
  <si>
    <t xml:space="preserve">    - depreciation must be based on realistic life times of the depreciated capital goods.</t>
  </si>
  <si>
    <t>Rule/Remark</t>
  </si>
  <si>
    <t>O.S. Questionnaire - General Rules and Information</t>
  </si>
  <si>
    <t>Define the  product, number, description, purpose and place in the market</t>
  </si>
  <si>
    <t>SCID list</t>
  </si>
  <si>
    <t>Collect Supplier ESCU's</t>
  </si>
  <si>
    <t>ESCU's if available</t>
  </si>
  <si>
    <t>Material composition of the product</t>
  </si>
  <si>
    <t>Avoid Double counting</t>
  </si>
  <si>
    <t>Suppliers</t>
  </si>
  <si>
    <t>Data source</t>
  </si>
  <si>
    <t>Water Scarcity Factor</t>
  </si>
  <si>
    <t>Internal Data</t>
  </si>
  <si>
    <t>www.fao.org/faostat/en/#data/QC</t>
  </si>
  <si>
    <t xml:space="preserve">Reference yield by country </t>
  </si>
  <si>
    <t>ESCU's/ha.</t>
  </si>
  <si>
    <t>ESCU's/kg.</t>
  </si>
  <si>
    <t>Occupied land</t>
  </si>
  <si>
    <t>ESCU's/m3</t>
  </si>
  <si>
    <t>Internal data</t>
  </si>
  <si>
    <t>Applicability</t>
  </si>
  <si>
    <t>ESCU's/unit of product</t>
  </si>
  <si>
    <t>Quantities of indirect emissions</t>
  </si>
  <si>
    <t>Internal data and O.F.-12 Examples of Indirect Emissions</t>
  </si>
  <si>
    <t>ESCU's for indirect gas emissions</t>
  </si>
  <si>
    <t>No.</t>
  </si>
  <si>
    <t>Purchased fuels</t>
  </si>
  <si>
    <t>Transport of goods under company-responsibility</t>
  </si>
  <si>
    <t>Reducing Governance level factor</t>
  </si>
  <si>
    <t>Necessity of calculations</t>
  </si>
  <si>
    <t>Potential incidental emissions</t>
  </si>
  <si>
    <t>ESCU's reduced by governance level factor</t>
  </si>
  <si>
    <t>Info</t>
  </si>
  <si>
    <t>Transparency (O.S. 12.4.6.2)</t>
  </si>
  <si>
    <t>Calculation</t>
  </si>
  <si>
    <t>Quantitative product composition</t>
  </si>
  <si>
    <t>Internal or supplier data</t>
  </si>
  <si>
    <t>Quantitative list of polluting substances</t>
  </si>
  <si>
    <t xml:space="preserve">only for “hidden positives” (externalities); not for products or activities which the organization is paid for.  </t>
  </si>
  <si>
    <t>Paid environmental taxes.</t>
  </si>
  <si>
    <t>Paid certificates for sustainability related rights.</t>
  </si>
  <si>
    <t>Beneficial by-products (e.g. heat from a chemical company, used for municipal heating), are considered a product, resulting in ESCU – reduction of organization’s other products.</t>
  </si>
  <si>
    <t>All ESCU's are calculated, but divided over several products.</t>
  </si>
  <si>
    <t>The cost reduction must be based on demonstrable average prices of current alternatives.</t>
  </si>
  <si>
    <t xml:space="preserve">All not hidden activities (internalities) and products that reduce costs in addition to a sustainability improvement.  </t>
  </si>
  <si>
    <t>12. For extraction of money or value from companies within 5 years from their acquisition.</t>
  </si>
  <si>
    <t>13. For payout ratio’s &gt;20% while the debt-to-equity ratio is lower 2.</t>
  </si>
  <si>
    <t>14. For loans between allied organizations against interest rates higher than Libor- or Euribor + 1%.</t>
  </si>
  <si>
    <t>15. For remunerations with shares or financial leverage products to employees or other stakeholders that can be cashed within 5 years.</t>
  </si>
  <si>
    <t>11.  For banking: per % &lt; 50% of the higest possible total score of the bank in  the fairfinance guide (http://fairfinanceguide.org/)</t>
  </si>
  <si>
    <t>Ecosystem Exemption</t>
  </si>
  <si>
    <t xml:space="preserve">    - must be calculated based on the realistic expected mitigation of the impact. </t>
  </si>
  <si>
    <t>ESCU calculation procedure for each aspect</t>
  </si>
  <si>
    <t xml:space="preserve">    - the remaining quantity must be calculated and ESCU-allocated with the default price factor.</t>
  </si>
  <si>
    <t>Organization</t>
  </si>
  <si>
    <t>Country</t>
  </si>
  <si>
    <t>Name, schedule and activities</t>
  </si>
  <si>
    <t>€</t>
  </si>
  <si>
    <t>Zambia</t>
  </si>
  <si>
    <t>Zimbadwe</t>
  </si>
  <si>
    <t>End-producer</t>
  </si>
  <si>
    <t>Yes</t>
  </si>
  <si>
    <t>No</t>
  </si>
  <si>
    <t>At a market in different countries, for each country a different calculation shall be made.</t>
  </si>
  <si>
    <t>Liter</t>
  </si>
  <si>
    <t>kilogram</t>
  </si>
  <si>
    <t>Piece</t>
  </si>
  <si>
    <t>Hour</t>
  </si>
  <si>
    <t>Weight-Sorted list</t>
  </si>
  <si>
    <t>Minors removed</t>
  </si>
  <si>
    <t>Services added</t>
  </si>
  <si>
    <t>Unique number</t>
  </si>
  <si>
    <t xml:space="preserve">Purchased Value Ratio </t>
  </si>
  <si>
    <t xml:space="preserve">Purchased Weight Ratio </t>
  </si>
  <si>
    <t>SCID list with for each item:</t>
  </si>
  <si>
    <t>Person(s) and qualifications</t>
  </si>
  <si>
    <t>Address</t>
  </si>
  <si>
    <t>Industry sector</t>
  </si>
  <si>
    <t>Education</t>
  </si>
  <si>
    <t>Make a Life Cycle Inventory</t>
  </si>
  <si>
    <t>Repetition for each unknown stage</t>
  </si>
  <si>
    <t>Literature, internet, databases</t>
  </si>
  <si>
    <t>suppliers, analysis bodies</t>
  </si>
  <si>
    <t>Corrected location for water depletion</t>
  </si>
  <si>
    <t>Corrected ESCU's for water depletion</t>
  </si>
  <si>
    <t>Water depletion</t>
  </si>
  <si>
    <t xml:space="preserve">                         </t>
  </si>
  <si>
    <t>Personnel documentation</t>
  </si>
  <si>
    <t>The organization</t>
  </si>
  <si>
    <t>ESCU's for keeping workers without contract</t>
  </si>
  <si>
    <t>[O.F.-16 Labor Aspects - nr. 11</t>
  </si>
  <si>
    <t>Wages</t>
  </si>
  <si>
    <t>Result/ Action</t>
  </si>
  <si>
    <t>Aspect</t>
  </si>
  <si>
    <t>Answer/ Data</t>
  </si>
  <si>
    <t>Control over External labor</t>
  </si>
  <si>
    <t>Country related Child labor risk</t>
  </si>
  <si>
    <t>Is the only failing issue a too low children's wage (including at external labor providers)?</t>
  </si>
  <si>
    <t>Hours</t>
  </si>
  <si>
    <t>HDI</t>
  </si>
  <si>
    <t>Fair minimum wage</t>
  </si>
  <si>
    <t>FMW</t>
  </si>
  <si>
    <t>Total ESCU's for Child Labor</t>
  </si>
  <si>
    <t>CL 1</t>
  </si>
  <si>
    <t>CL 2</t>
  </si>
  <si>
    <t>CL 3</t>
  </si>
  <si>
    <t>CL 8</t>
  </si>
  <si>
    <t>CL 4</t>
  </si>
  <si>
    <t>CL 5</t>
  </si>
  <si>
    <t>CL 9</t>
  </si>
  <si>
    <t>CL 6</t>
  </si>
  <si>
    <t>CL 7</t>
  </si>
  <si>
    <t>OHS 1</t>
  </si>
  <si>
    <t>OHS 2</t>
  </si>
  <si>
    <t>OHS 3</t>
  </si>
  <si>
    <t>OHS 4</t>
  </si>
  <si>
    <t>LC 1</t>
  </si>
  <si>
    <t>LC 2</t>
  </si>
  <si>
    <t>LC 3</t>
  </si>
  <si>
    <t>S 1</t>
  </si>
  <si>
    <t>S 2</t>
  </si>
  <si>
    <t>S 3</t>
  </si>
  <si>
    <t>S 4</t>
  </si>
  <si>
    <t>S 5</t>
  </si>
  <si>
    <t>S 6</t>
  </si>
  <si>
    <t>S 7</t>
  </si>
  <si>
    <t>S 8</t>
  </si>
  <si>
    <t>S 9</t>
  </si>
  <si>
    <t>S 10</t>
  </si>
  <si>
    <t>CL 10</t>
  </si>
  <si>
    <t>CL 11</t>
  </si>
  <si>
    <t>CL 12</t>
  </si>
  <si>
    <t>CL 13</t>
  </si>
  <si>
    <t>CL 14</t>
  </si>
  <si>
    <t>CL 15</t>
  </si>
  <si>
    <t>Wage sum</t>
  </si>
  <si>
    <t>Antibiotics</t>
  </si>
  <si>
    <t>Above most severe standards in the production- and destination countries</t>
  </si>
  <si>
    <t>Antibiotics resistant bacteria</t>
  </si>
  <si>
    <t>Any quantity</t>
  </si>
  <si>
    <t>Antibiotics treated animal material</t>
  </si>
  <si>
    <t>Asbestos</t>
  </si>
  <si>
    <t>As pure material or above most severe standards in the production- and destination countries</t>
  </si>
  <si>
    <t>Bacteria, able to infect humans, animals or plants</t>
  </si>
  <si>
    <t>CFK's</t>
  </si>
  <si>
    <t>Dioxines</t>
  </si>
  <si>
    <t>Equipment needing radio active materials</t>
  </si>
  <si>
    <t xml:space="preserve">Explosives </t>
  </si>
  <si>
    <t>Only materials, commonly uses as explosive</t>
  </si>
  <si>
    <t>Heavy metals</t>
  </si>
  <si>
    <t>Hormones other than naturally occuring</t>
  </si>
  <si>
    <t>Materials from protected animals</t>
  </si>
  <si>
    <t>Materials from protected plants</t>
  </si>
  <si>
    <t>Narcotics</t>
  </si>
  <si>
    <t>Other persistant organic pollutants</t>
  </si>
  <si>
    <t>Other severely toxic materials</t>
  </si>
  <si>
    <t>PAC's</t>
  </si>
  <si>
    <t>PCB's</t>
  </si>
  <si>
    <t>Pesticides</t>
  </si>
  <si>
    <t>Phamaceuticals</t>
  </si>
  <si>
    <t>Pornographic materials</t>
  </si>
  <si>
    <t>Radio Active Materials</t>
  </si>
  <si>
    <t>Radiation above most severe standards in the production- and destination countries</t>
  </si>
  <si>
    <t>Transport</t>
  </si>
  <si>
    <t>Virusses able to infect humans, animals or plants</t>
  </si>
  <si>
    <t>Weapons</t>
  </si>
  <si>
    <t>Result/Action</t>
  </si>
  <si>
    <t>Data Source</t>
  </si>
  <si>
    <t>Results/Action</t>
  </si>
  <si>
    <t>WD 1</t>
  </si>
  <si>
    <t>WD 2</t>
  </si>
  <si>
    <t>WD 3</t>
  </si>
  <si>
    <t>WD 4</t>
  </si>
  <si>
    <t>WD 5</t>
  </si>
  <si>
    <t>WD 6</t>
  </si>
  <si>
    <t>WD 7</t>
  </si>
  <si>
    <t>I 1</t>
  </si>
  <si>
    <t>I 2</t>
  </si>
  <si>
    <t>External Labor</t>
  </si>
  <si>
    <t xml:space="preserve">
WageIndicator.org
</t>
  </si>
  <si>
    <t>RW 1</t>
  </si>
  <si>
    <t>RW 2</t>
  </si>
  <si>
    <t>RW 3</t>
  </si>
  <si>
    <t>RW 4</t>
  </si>
  <si>
    <t>RW 5</t>
  </si>
  <si>
    <t>RW 6</t>
  </si>
  <si>
    <t>RI 1</t>
  </si>
  <si>
    <t>Inequality</t>
  </si>
  <si>
    <t>MAIR</t>
  </si>
  <si>
    <t>RI 2</t>
  </si>
  <si>
    <t>RI 3</t>
  </si>
  <si>
    <t>RI 4</t>
  </si>
  <si>
    <t>RI 5</t>
  </si>
  <si>
    <t>RI 6</t>
  </si>
  <si>
    <t>Risk</t>
  </si>
  <si>
    <t>Total ESCU's for inequality</t>
  </si>
  <si>
    <t>Default country</t>
  </si>
  <si>
    <t>RI 7</t>
  </si>
  <si>
    <t>RI 8</t>
  </si>
  <si>
    <t>RW 8</t>
  </si>
  <si>
    <t>Organization and location</t>
  </si>
  <si>
    <t>Navigation</t>
  </si>
  <si>
    <t>Relative prosperity</t>
  </si>
  <si>
    <t xml:space="preserve">MAIR                                 </t>
  </si>
  <si>
    <t>RO 1</t>
  </si>
  <si>
    <t>RP 1</t>
  </si>
  <si>
    <t>RH 1</t>
  </si>
  <si>
    <t>RD 1</t>
  </si>
  <si>
    <t>Personal Development</t>
  </si>
  <si>
    <t>RT 1</t>
  </si>
  <si>
    <t>RV 1</t>
  </si>
  <si>
    <t>RO 2</t>
  </si>
  <si>
    <t>RO 3</t>
  </si>
  <si>
    <t>RO 4</t>
  </si>
  <si>
    <t>Calculation of default ESCU's</t>
  </si>
  <si>
    <t>Total ESCU's</t>
  </si>
  <si>
    <t>RP 2</t>
  </si>
  <si>
    <t>RP 3</t>
  </si>
  <si>
    <t>Corrected total ESCU's</t>
  </si>
  <si>
    <t>RH 2</t>
  </si>
  <si>
    <t>RH 3</t>
  </si>
  <si>
    <t>Total ESCU's for insufficient Pension plans</t>
  </si>
  <si>
    <t>Total ESCU's for insufficient Overhour Payment</t>
  </si>
  <si>
    <t>RD 2</t>
  </si>
  <si>
    <t>RD 3</t>
  </si>
  <si>
    <t>RT 2</t>
  </si>
  <si>
    <t>RT 3</t>
  </si>
  <si>
    <t>RT 4</t>
  </si>
  <si>
    <t>Total ESCU's for Employment time</t>
  </si>
  <si>
    <t>Calculate the ESCU's for keeping workers without a contract and without justifying reasons as described in section 12.4.8.1.1 of the O.S.  And for employment of people shorter than 1 month (see exceptions in section 12.4.8.1.1 of the O.S.):</t>
  </si>
  <si>
    <t>Total ESCU's for Various Labor Related Aspects</t>
  </si>
  <si>
    <r>
      <t xml:space="preserve">Total ESCU's for wages, </t>
    </r>
    <r>
      <rPr>
        <sz val="11"/>
        <color theme="1"/>
        <rFont val="Calibri"/>
        <family val="2"/>
        <scheme val="minor"/>
      </rPr>
      <t>corrected for pension plans and health insurances. The ESCU's for pension plans (RP 4) and insurances (RH 4) may be subtracted.</t>
    </r>
  </si>
  <si>
    <t xml:space="preserve">Are the organization and its location known (including corporate organization), does it allow unannounced audits and are the data on following issues complete? </t>
  </si>
  <si>
    <t>RV 2</t>
  </si>
  <si>
    <t>Violations</t>
  </si>
  <si>
    <t>RV 3</t>
  </si>
  <si>
    <t>RV 4</t>
  </si>
  <si>
    <t>RV 5</t>
  </si>
  <si>
    <t>RW 9</t>
  </si>
  <si>
    <t>Violations/hour</t>
  </si>
  <si>
    <r>
      <t>Hourly Fair Minimum Wage (</t>
    </r>
    <r>
      <rPr>
        <b/>
        <sz val="11"/>
        <color theme="1"/>
        <rFont val="Calibri"/>
        <family val="2"/>
        <scheme val="minor"/>
      </rPr>
      <t>FMW</t>
    </r>
    <r>
      <rPr>
        <sz val="11"/>
        <color theme="1"/>
        <rFont val="Calibri"/>
        <family val="2"/>
        <scheme val="minor"/>
      </rPr>
      <t>) for the country:</t>
    </r>
  </si>
  <si>
    <t>Various Labor Related aspects</t>
  </si>
  <si>
    <t>Calculated foreground ESCU's</t>
  </si>
  <si>
    <t>RV 6</t>
  </si>
  <si>
    <t>RV 7</t>
  </si>
  <si>
    <t>Total work hours</t>
  </si>
  <si>
    <t>Total ESCU's for Occupational Health and Safety (OHS)</t>
  </si>
  <si>
    <t>Internal Data
[O.F. database - 19]</t>
  </si>
  <si>
    <t>Crop and animal production, hunting and related service activities</t>
  </si>
  <si>
    <t>Forestry and logging</t>
  </si>
  <si>
    <t>Fishing and aquaculture</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</si>
  <si>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</si>
  <si>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</si>
  <si>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</si>
  <si>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</si>
  <si>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</si>
  <si>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</si>
  <si>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</si>
  <si>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</si>
  <si>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</si>
  <si>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</si>
  <si>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</si>
  <si>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</si>
  <si>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</si>
  <si>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</si>
  <si>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</si>
  <si>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</si>
  <si>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</si>
  <si>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</si>
  <si>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</si>
  <si>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</si>
  <si>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</si>
  <si>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</si>
  <si>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</si>
  <si>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</si>
  <si>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</si>
  <si>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</si>
  <si>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</si>
  <si>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</si>
  <si>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Electricity, gas, steam and air conditioning supply</t>
  </si>
  <si>
    <t>Water supply; sewerage, waste management and remediation activities</t>
  </si>
  <si>
    <t>Water collection, treatment and supply</t>
  </si>
  <si>
    <t>Sewerage</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</si>
  <si>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</si>
  <si>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</si>
  <si>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</si>
  <si>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</si>
  <si>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</si>
  <si>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</si>
  <si>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</si>
  <si>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</si>
  <si>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</si>
  <si>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</si>
  <si>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</si>
  <si>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</si>
  <si>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</si>
  <si>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</si>
  <si>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Motion picture, video and television programme production, sound recording and music publishing activities</t>
  </si>
  <si>
    <t>Programming and broadcasting activities</t>
  </si>
  <si>
    <t>Telecommunications</t>
  </si>
  <si>
    <t>Computer programming, consultancy and related activities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</si>
  <si>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</si>
  <si>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</si>
  <si>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</si>
  <si>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</si>
  <si>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</si>
  <si>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</si>
  <si>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</si>
  <si>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</si>
  <si>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</si>
  <si>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</si>
  <si>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</si>
  <si>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Rental and leasing activities</t>
  </si>
  <si>
    <t>Employment activities</t>
  </si>
  <si>
    <t>Travel agency, tour operator and other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</si>
  <si>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</si>
  <si>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</si>
  <si>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</si>
  <si>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</si>
  <si>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Human health activities</t>
  </si>
  <si>
    <t>Residential care activities</t>
  </si>
  <si>
    <t>Social work activities without accommodation</t>
  </si>
  <si>
    <t>Creative, arts and entertainment activities</t>
  </si>
  <si>
    <t>Libraries, archives, museums and other cultural activities</t>
  </si>
  <si>
    <t>Activities of membership organisations</t>
  </si>
  <si>
    <t>Repair of computers and personal and household goods</t>
  </si>
  <si>
    <t>Other personal service activities</t>
  </si>
  <si>
    <t>Activities of households as employers; undifferentiated goods- and services-producing activities of households for own use</t>
  </si>
  <si>
    <t>Activities of households as employers of domestic personnel</t>
  </si>
  <si>
    <t>Undifferentiated goods- and services-producing activities of private households for own use</t>
  </si>
  <si>
    <t>Activities of extraterritorial organisations and bodies</t>
  </si>
  <si>
    <t>Unknown NACE activity</t>
  </si>
  <si>
    <t>Does the organization have a certificate on OHS, listed in O.F. -19. (Answer "No" if unknown)</t>
  </si>
  <si>
    <t>Governance Level Assessment</t>
  </si>
  <si>
    <t>Total ESCU's for Labor conditions</t>
  </si>
  <si>
    <t>O.S. 12.4.8.3;
[O.F.-23 Governance Level scoring model]</t>
  </si>
  <si>
    <t>Does the organization have a certificate including public (external) health and safety risks, listed in O.F. -19. (Answer "No" if unknown)</t>
  </si>
  <si>
    <t>Related to O.S. section 12.4.7</t>
  </si>
  <si>
    <t>Related to O.S. section 12.4.8</t>
  </si>
  <si>
    <t>PHS 1</t>
  </si>
  <si>
    <t>PHS 2</t>
  </si>
  <si>
    <t>PHS 4</t>
  </si>
  <si>
    <t>Remuneration (wages)</t>
  </si>
  <si>
    <t>Related to O.S. section 12.4.6</t>
  </si>
  <si>
    <t>Fair Transactions (O.S. 12.4.6.1)</t>
  </si>
  <si>
    <t>Finance Related Criteria (O.S. 12.4.6.3)</t>
  </si>
  <si>
    <t xml:space="preserve">Pollution and Climate </t>
  </si>
  <si>
    <t>Related to O.S. section 12.4.1</t>
  </si>
  <si>
    <t>Type B Pollution (Emission of Harmfull Agrichemicals - O.S. 12.4.1.2)</t>
  </si>
  <si>
    <t>Type E Pollution (Potential pollution by incident-caused emissions  - O.S. 12.4.1.5)</t>
  </si>
  <si>
    <t>FT 1</t>
  </si>
  <si>
    <t>Total ESCU's for Fair Transactions</t>
  </si>
  <si>
    <t>Use of LDS's</t>
  </si>
  <si>
    <t>FT 2</t>
  </si>
  <si>
    <t>FT 3</t>
  </si>
  <si>
    <t>FT 4</t>
  </si>
  <si>
    <t>Non-labor costs</t>
  </si>
  <si>
    <t>FT 5</t>
  </si>
  <si>
    <t>Paid Price</t>
  </si>
  <si>
    <t>FT 6</t>
  </si>
  <si>
    <t>Typical Income</t>
  </si>
  <si>
    <t>FT 7</t>
  </si>
  <si>
    <t>Fair Minimum Wage</t>
  </si>
  <si>
    <t>FT 8</t>
  </si>
  <si>
    <t>Calculated ESCU's</t>
  </si>
  <si>
    <t>Calculated ESCU's for transactions</t>
  </si>
  <si>
    <t>FT 9</t>
  </si>
  <si>
    <t>FT 10</t>
  </si>
  <si>
    <t>FT 11</t>
  </si>
  <si>
    <t>FT 12</t>
  </si>
  <si>
    <t>Labor - RW 5</t>
  </si>
  <si>
    <t>Default ESCU's for unfair transactions</t>
  </si>
  <si>
    <t xml:space="preserve">Paid price for the activities of the LDS </t>
  </si>
  <si>
    <r>
      <t>9.</t>
    </r>
    <r>
      <rPr>
        <sz val="7"/>
        <color theme="1"/>
        <rFont val="Times New Roman"/>
        <family val="1"/>
      </rPr>
      <t xml:space="preserve">       </t>
    </r>
    <r>
      <rPr>
        <sz val="11"/>
        <color theme="1"/>
        <rFont val="Calibri"/>
        <family val="2"/>
        <scheme val="minor"/>
      </rPr>
      <t>For banking with organizations not complying to Basel III requirements.</t>
    </r>
  </si>
  <si>
    <t>O.S. 12.4.6.2</t>
  </si>
  <si>
    <t>Tr 1</t>
  </si>
  <si>
    <t>Tr 2</t>
  </si>
  <si>
    <t>Tr 3</t>
  </si>
  <si>
    <t>Tr 4</t>
  </si>
  <si>
    <t>50% transparency</t>
  </si>
  <si>
    <t>Poor or no transparency</t>
  </si>
  <si>
    <t>Total ESCU's for Transparency</t>
  </si>
  <si>
    <t>Tr 6</t>
  </si>
  <si>
    <t>Tr 7</t>
  </si>
  <si>
    <t>Can the organization demonstrate full transparent and correct communication at 50% - 80% of locations of sales and advertising?</t>
  </si>
  <si>
    <t>Tr 8</t>
  </si>
  <si>
    <t>Multiplier</t>
  </si>
  <si>
    <t>Final determination of the reducing multiplier based on demonstrable transparency.</t>
  </si>
  <si>
    <t xml:space="preserve">Total ESCU's for Transparency   </t>
  </si>
  <si>
    <t xml:space="preserve">Prosperity (Economic) Criteria </t>
  </si>
  <si>
    <t>Taxes  (O.S. 12.4.6.4)</t>
  </si>
  <si>
    <t>Tax 1</t>
  </si>
  <si>
    <t>Tax 2</t>
  </si>
  <si>
    <t>Tax 3</t>
  </si>
  <si>
    <t>Tax 4</t>
  </si>
  <si>
    <t>Tax 5</t>
  </si>
  <si>
    <t>Tax 6</t>
  </si>
  <si>
    <t>Work hour distribution</t>
  </si>
  <si>
    <t>Nr.</t>
  </si>
  <si>
    <t>Responsible tax</t>
  </si>
  <si>
    <t xml:space="preserve">Corporate tax rate </t>
  </si>
  <si>
    <t>Netherlands</t>
  </si>
  <si>
    <t>Belgium</t>
  </si>
  <si>
    <t>Jersey</t>
  </si>
  <si>
    <t>Standard emissions?</t>
  </si>
  <si>
    <t>I 3</t>
  </si>
  <si>
    <t>I 4</t>
  </si>
  <si>
    <t>I 5</t>
  </si>
  <si>
    <t>I 6</t>
  </si>
  <si>
    <t>I 7</t>
  </si>
  <si>
    <t>Read the criteria in O.S. 12.3.1. Preliminarily they are excluded, except for suppliers of sustainability equipment.</t>
  </si>
  <si>
    <t>I 9</t>
  </si>
  <si>
    <t>Questions to be answered by the practitioner</t>
  </si>
  <si>
    <t>Related to O.S. section 11.4</t>
  </si>
  <si>
    <t>Currency</t>
  </si>
  <si>
    <t>Endproducer</t>
  </si>
  <si>
    <t>No Endproducer</t>
  </si>
  <si>
    <t>Verification</t>
  </si>
  <si>
    <t>Market</t>
  </si>
  <si>
    <t>Afghanistan</t>
  </si>
  <si>
    <t>Albania</t>
  </si>
  <si>
    <t>Algeria</t>
  </si>
  <si>
    <t>Angola</t>
  </si>
  <si>
    <t>Antigua and Barbuda</t>
  </si>
  <si>
    <t>Argentina</t>
  </si>
  <si>
    <t>Armenia</t>
  </si>
  <si>
    <t>Australia</t>
  </si>
  <si>
    <t>Austria</t>
  </si>
  <si>
    <t>Azerbaijan</t>
  </si>
  <si>
    <t>Bahamas, The</t>
  </si>
  <si>
    <t>Bahgrain</t>
  </si>
  <si>
    <t>Bangladesh</t>
  </si>
  <si>
    <t>Barbados</t>
  </si>
  <si>
    <t>Belarus</t>
  </si>
  <si>
    <t>Belize</t>
  </si>
  <si>
    <t>Benin</t>
  </si>
  <si>
    <t>Bermuda</t>
  </si>
  <si>
    <t>Bhutan</t>
  </si>
  <si>
    <t>Bolivia</t>
  </si>
  <si>
    <t>Bosnia and Herzegovina</t>
  </si>
  <si>
    <t>Botswana</t>
  </si>
  <si>
    <t>Brazil</t>
  </si>
  <si>
    <t>British Virgin Islands</t>
  </si>
  <si>
    <t>Brunei Darussalam</t>
  </si>
  <si>
    <t>Bulgaria</t>
  </si>
  <si>
    <t>Burkina Faso</t>
  </si>
  <si>
    <t>Burundi</t>
  </si>
  <si>
    <t>Cabo Verde</t>
  </si>
  <si>
    <t>Cambodia</t>
  </si>
  <si>
    <t>Cameroon</t>
  </si>
  <si>
    <t>Canada</t>
  </si>
  <si>
    <t>Cayman Islands</t>
  </si>
  <si>
    <t>Central African Republic</t>
  </si>
  <si>
    <t>Chad</t>
  </si>
  <si>
    <t>Chile</t>
  </si>
  <si>
    <t>China</t>
  </si>
  <si>
    <t>Columbia</t>
  </si>
  <si>
    <t>Comoros</t>
  </si>
  <si>
    <t>Congo, Democratic Republic of the</t>
  </si>
  <si>
    <t xml:space="preserve">Congo, Republic of the </t>
  </si>
  <si>
    <t>Costa Rica</t>
  </si>
  <si>
    <t>Cote d'Ivoire</t>
  </si>
  <si>
    <t>Croatia</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</si>
  <si>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</si>
  <si>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</si>
  <si>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</si>
  <si>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</si>
  <si>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</si>
  <si>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</si>
  <si>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</si>
  <si>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</si>
  <si>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</si>
  <si>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</si>
  <si>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</si>
  <si>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</si>
  <si>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</si>
  <si>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</si>
  <si>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</si>
  <si>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</si>
  <si>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Gabon</t>
  </si>
  <si>
    <t>Gambia, The</t>
  </si>
  <si>
    <t>Georgia</t>
  </si>
  <si>
    <t>Germany</t>
  </si>
  <si>
    <t>Ghana</t>
  </si>
  <si>
    <t>Greece</t>
  </si>
  <si>
    <t>Grenada</t>
  </si>
  <si>
    <t>Guatemala</t>
  </si>
  <si>
    <t>Guernsey</t>
  </si>
  <si>
    <t>Guinea</t>
  </si>
  <si>
    <t>Guinea-Bissau</t>
  </si>
  <si>
    <t>Guyana</t>
  </si>
  <si>
    <t>Haiti</t>
  </si>
  <si>
    <t>Honduras</t>
  </si>
  <si>
    <t>Hong Kong SAR, China</t>
  </si>
  <si>
    <t>Hungary</t>
  </si>
  <si>
    <t>Iceland</t>
  </si>
  <si>
    <t>India</t>
  </si>
  <si>
    <t>Indonesia</t>
  </si>
  <si>
    <t>Iran, Islamic Rep.</t>
  </si>
  <si>
    <t>Iraq</t>
  </si>
  <si>
    <t>Ireland</t>
  </si>
  <si>
    <t>Isle of Man</t>
  </si>
  <si>
    <t>Israel</t>
  </si>
  <si>
    <t>Italy</t>
  </si>
  <si>
    <t>Jamaica</t>
  </si>
  <si>
    <t>Japan</t>
  </si>
  <si>
    <t>Jordan</t>
  </si>
  <si>
    <t>Kazakhstan</t>
  </si>
  <si>
    <t>Kenya</t>
  </si>
  <si>
    <t>Kiribati</t>
  </si>
  <si>
    <t>Korea, Rep.</t>
  </si>
  <si>
    <t>Kosovo</t>
  </si>
  <si>
    <t>Kuwait</t>
  </si>
  <si>
    <t>Kyrgyzstan</t>
  </si>
  <si>
    <t>Lao PDR</t>
  </si>
  <si>
    <t>Latvia</t>
  </si>
  <si>
    <t>Lebanon</t>
  </si>
  <si>
    <t>Lesotho</t>
  </si>
  <si>
    <t>Liberia</t>
  </si>
  <si>
    <t>Libya</t>
  </si>
  <si>
    <t>Liechtenstein</t>
  </si>
  <si>
    <t>Lithuania</t>
  </si>
  <si>
    <t>Luxembourg</t>
  </si>
  <si>
    <t>Macedonia, North</t>
  </si>
  <si>
    <t>Madagascar</t>
  </si>
  <si>
    <t>Malawi</t>
  </si>
  <si>
    <t>Malaysia</t>
  </si>
  <si>
    <t>Maldives</t>
  </si>
  <si>
    <t>Mali</t>
  </si>
  <si>
    <t>Malta</t>
  </si>
  <si>
    <t>Mauretania</t>
  </si>
  <si>
    <t>Mauritius</t>
  </si>
  <si>
    <t>Mexico</t>
  </si>
  <si>
    <t>Moldova</t>
  </si>
  <si>
    <t>Mongolia</t>
  </si>
  <si>
    <t>Montenegro</t>
  </si>
  <si>
    <t>Morocco</t>
  </si>
  <si>
    <t>Mozambique</t>
  </si>
  <si>
    <t>Myanmar</t>
  </si>
  <si>
    <t>Namibia</t>
  </si>
  <si>
    <t>Nepal</t>
  </si>
  <si>
    <t>New Zealand</t>
  </si>
  <si>
    <t>Nicaragua</t>
  </si>
  <si>
    <t>Niger</t>
  </si>
  <si>
    <t>Nigeria</t>
  </si>
  <si>
    <t>Norway</t>
  </si>
  <si>
    <t>Oman</t>
  </si>
  <si>
    <t>Pakistan</t>
  </si>
  <si>
    <t>Panama</t>
  </si>
  <si>
    <t>Papua New Guinea</t>
  </si>
  <si>
    <t>Paraguay</t>
  </si>
  <si>
    <t>Peru</t>
  </si>
  <si>
    <t>Phillippines</t>
  </si>
  <si>
    <t>Poland</t>
  </si>
  <si>
    <t>Portugal</t>
  </si>
  <si>
    <t>Qatar</t>
  </si>
  <si>
    <t>Romania</t>
  </si>
  <si>
    <t>Russian Federation</t>
  </si>
  <si>
    <t>Rwanda</t>
  </si>
  <si>
    <t>Samoa</t>
  </si>
  <si>
    <t>Sao Tome and Principe</t>
  </si>
  <si>
    <t>Saudi Arabia</t>
  </si>
  <si>
    <t>Senegal</t>
  </si>
  <si>
    <t>Serbia</t>
  </si>
  <si>
    <t>Seychelles</t>
  </si>
  <si>
    <t>Sierra Leone</t>
  </si>
  <si>
    <t>Singapore</t>
  </si>
  <si>
    <t>Slovak Republic</t>
  </si>
  <si>
    <t>Slovenia</t>
  </si>
  <si>
    <t>Solomon Islands</t>
  </si>
  <si>
    <t>South Africa</t>
  </si>
  <si>
    <t>Spain</t>
  </si>
  <si>
    <t>Sri Lanka</t>
  </si>
  <si>
    <t>St Kitts and Nevis</t>
  </si>
  <si>
    <t>St Lucia</t>
  </si>
  <si>
    <t>St Vincent and Grenadines</t>
  </si>
  <si>
    <t>Sudan</t>
  </si>
  <si>
    <t>Suriname</t>
  </si>
  <si>
    <t>Swaziland</t>
  </si>
  <si>
    <t>Sweden</t>
  </si>
  <si>
    <t>Switserland</t>
  </si>
  <si>
    <t>Syrian Arab Republic</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</si>
  <si>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</si>
  <si>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</si>
  <si>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</si>
  <si>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</si>
  <si>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</si>
  <si>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</si>
  <si>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</si>
  <si>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</si>
  <si>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</si>
  <si>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</si>
  <si>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</si>
  <si>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</si>
  <si>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</si>
  <si>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</si>
  <si>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</si>
  <si>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t>
  </si>
  <si>
    <t>Uruguay</t>
  </si>
  <si>
    <t>Uzbekistan</t>
  </si>
  <si>
    <t>Vanuatu</t>
  </si>
  <si>
    <t>Venezuela</t>
  </si>
  <si>
    <t>Vietnam</t>
  </si>
  <si>
    <t>Yemen</t>
  </si>
  <si>
    <t>Repair and installation of machinery and equipment</t>
  </si>
  <si>
    <t>Waste collection, treatment and disposal activities; materials recovery</t>
  </si>
  <si>
    <t>Construction</t>
  </si>
  <si>
    <t>Transportation and storage</t>
  </si>
  <si>
    <t>Publishing activities</t>
  </si>
  <si>
    <t>Professional, scientific and technical activities</t>
  </si>
  <si>
    <t>Veterinary activities</t>
  </si>
  <si>
    <t>Administrative and support service activities</t>
  </si>
  <si>
    <t>Gambling and betting activities</t>
  </si>
  <si>
    <t>Sports activities and amusement and recreation activities</t>
  </si>
  <si>
    <t>Other service activities</t>
  </si>
  <si>
    <t>Countries</t>
  </si>
  <si>
    <t>Unit</t>
  </si>
  <si>
    <t>High impact items</t>
  </si>
  <si>
    <t>Normal Use</t>
  </si>
  <si>
    <t xml:space="preserve">  Internal qualified person(s), responsible for the data and what are the persons' qualifications?</t>
  </si>
  <si>
    <t>Product</t>
  </si>
  <si>
    <t>Product Unit</t>
  </si>
  <si>
    <t>Purchased value ratio</t>
  </si>
  <si>
    <t>Purchased weight ratio</t>
  </si>
  <si>
    <t>End-producer?</t>
  </si>
  <si>
    <t>Pr 2</t>
  </si>
  <si>
    <t>Pr 1</t>
  </si>
  <si>
    <t>Pr 3</t>
  </si>
  <si>
    <t>Pr 7</t>
  </si>
  <si>
    <t>Pr 5</t>
  </si>
  <si>
    <t>Pr 6</t>
  </si>
  <si>
    <t>Qualifications</t>
  </si>
  <si>
    <t>Organization turnover</t>
  </si>
  <si>
    <t>CC 1</t>
  </si>
  <si>
    <t>CC 2</t>
  </si>
  <si>
    <t>CC 3</t>
  </si>
  <si>
    <t>CC 4</t>
  </si>
  <si>
    <t>CC 5</t>
  </si>
  <si>
    <t>CC 6</t>
  </si>
  <si>
    <t>CC 7</t>
  </si>
  <si>
    <t>VS 1</t>
  </si>
  <si>
    <t>VS 2</t>
  </si>
  <si>
    <t>VS 3</t>
  </si>
  <si>
    <t>Total and category-Supplier ESCU's</t>
  </si>
  <si>
    <t xml:space="preserve">     And</t>
  </si>
  <si>
    <t>List of 3 Potential inventories</t>
  </si>
  <si>
    <t>List for each material with incomplete ESCU's the top 3 (or maximum of 80% of the relevant material flows) potential supply chains including the involved countries of the origin of the material or of the activities.</t>
  </si>
  <si>
    <t>LCI</t>
  </si>
  <si>
    <t>Description of the LCI</t>
  </si>
  <si>
    <t>Most probable LCI's</t>
  </si>
  <si>
    <t>Related to O.S. section 12.4.2</t>
  </si>
  <si>
    <t>Related to O.S.section 12.4.3</t>
  </si>
  <si>
    <t>Related to O.S. section 12.3</t>
  </si>
  <si>
    <t>Qualified experts or recognized data</t>
  </si>
  <si>
    <t>LO 1</t>
  </si>
  <si>
    <t>LO 2</t>
  </si>
  <si>
    <t>LO 3</t>
  </si>
  <si>
    <t>LO 4</t>
  </si>
  <si>
    <t>LO 5</t>
  </si>
  <si>
    <t>LO 7</t>
  </si>
  <si>
    <t>LO 8</t>
  </si>
  <si>
    <t>LO 9</t>
  </si>
  <si>
    <t>LO 10</t>
  </si>
  <si>
    <t>80% biodiversity?</t>
  </si>
  <si>
    <t>Foreground data available?</t>
  </si>
  <si>
    <t>LO 11</t>
  </si>
  <si>
    <t>LO 12</t>
  </si>
  <si>
    <t>Continuous urban area</t>
  </si>
  <si>
    <t>Discontinuous urban area</t>
  </si>
  <si>
    <t>Urban fallow</t>
  </si>
  <si>
    <t>Continuous Industrial area</t>
  </si>
  <si>
    <t>Discontinuous Industrial area</t>
  </si>
  <si>
    <t>Rail area</t>
  </si>
  <si>
    <t>Sea-, river- and airports</t>
  </si>
  <si>
    <t>Industrial fallow</t>
  </si>
  <si>
    <t>Open-pit Mining Area</t>
  </si>
  <si>
    <t>Mining fallow</t>
  </si>
  <si>
    <t>Green urban area</t>
  </si>
  <si>
    <t>Built-up land</t>
  </si>
  <si>
    <t>Conventional arable agriculture</t>
  </si>
  <si>
    <t>Organic arable agriculture</t>
  </si>
  <si>
    <t>Intensive meadow</t>
  </si>
  <si>
    <t>Less intensive meadow</t>
  </si>
  <si>
    <t>Organic meadow</t>
  </si>
  <si>
    <t xml:space="preserve">(ESCU's in € per hectare) </t>
  </si>
  <si>
    <r>
      <t xml:space="preserve">ESCU's = </t>
    </r>
    <r>
      <rPr>
        <b/>
        <sz val="11"/>
        <rFont val="Calibri"/>
        <family val="2"/>
        <scheme val="minor"/>
      </rPr>
      <t>(1-YF) x the ESCU's</t>
    </r>
    <r>
      <rPr>
        <sz val="11"/>
        <rFont val="Calibri"/>
        <family val="2"/>
        <scheme val="minor"/>
      </rPr>
      <t xml:space="preserve"> for agricultural land occupation.</t>
    </r>
  </si>
  <si>
    <t xml:space="preserve">Can the organization can demonstrate its own specific costs to increase the yield/ha?  </t>
  </si>
  <si>
    <t>Foreground costs?</t>
  </si>
  <si>
    <t>LO 13</t>
  </si>
  <si>
    <t>Internal evidence</t>
  </si>
  <si>
    <t>Foreground costs/ha.</t>
  </si>
  <si>
    <t>Convert to ESCU's/kg by dividing by the yield per hectare.</t>
  </si>
  <si>
    <t>FLO 1</t>
  </si>
  <si>
    <t>LLO 1</t>
  </si>
  <si>
    <t>NALO 1</t>
  </si>
  <si>
    <t>Approved certificate?</t>
  </si>
  <si>
    <t>Certificate?</t>
  </si>
  <si>
    <t>FLO 2</t>
  </si>
  <si>
    <t xml:space="preserve">Does the organization have an approved certificate on the product, listed in [O.F.-19 Approved Standards], or  can 80% biodiversity of locally natural ecosystem be demonstrated? </t>
  </si>
  <si>
    <t>Procedure LO</t>
  </si>
  <si>
    <t>FLO 3</t>
  </si>
  <si>
    <t>FLO 4</t>
  </si>
  <si>
    <t>FLO 5</t>
  </si>
  <si>
    <t>Total ESCU's for Land occupation for non-food forest- and tree derived products</t>
  </si>
  <si>
    <t>General</t>
  </si>
  <si>
    <t>Purpose of land use</t>
  </si>
  <si>
    <t>Agricultural or forestry for food purposes</t>
  </si>
  <si>
    <t>Forestry for non-food purposes</t>
  </si>
  <si>
    <t>Non agricultural products</t>
  </si>
  <si>
    <t xml:space="preserve">Are the location and size of the occupied land and the yield of the crop (or product) known? </t>
  </si>
  <si>
    <t>Background ESCU's/Ha.</t>
  </si>
  <si>
    <t>Land occupation for non-food forestry products</t>
  </si>
  <si>
    <t>Land occupation for livestock derived products</t>
  </si>
  <si>
    <t>Land occupation for non-agricultural products</t>
  </si>
  <si>
    <t>NALO 2</t>
  </si>
  <si>
    <t>NALO 3</t>
  </si>
  <si>
    <t>NALO 4</t>
  </si>
  <si>
    <t>NALO 5</t>
  </si>
  <si>
    <t>Yield</t>
  </si>
  <si>
    <t>Total ESCU's for Land occupation non agricultural- or forestry products</t>
  </si>
  <si>
    <t>Related to O.S. section 12.4.4</t>
  </si>
  <si>
    <t xml:space="preserve">O.F.-09 Land Use </t>
  </si>
  <si>
    <t>For landfill, roads and construction for underground mining</t>
  </si>
  <si>
    <t>Park resembling native ecosystem</t>
  </si>
  <si>
    <t>High biodiversity park, not resembling native ecosystem</t>
  </si>
  <si>
    <t>Biotope / type of water ecosystems</t>
  </si>
  <si>
    <t>Activities within 10 km from corals, kelp or other marine biodiversity hotspot</t>
  </si>
  <si>
    <t>Activities outside of 10 km from corals, kelp or other marine biodiversity hotspot</t>
  </si>
  <si>
    <t>Foreground biodiversity?</t>
  </si>
  <si>
    <t>Foreground BF available?</t>
  </si>
  <si>
    <t>Foreground BF</t>
  </si>
  <si>
    <t>Foreground biodiversity data</t>
  </si>
  <si>
    <t>Not available</t>
  </si>
  <si>
    <t>Costs of restauration</t>
  </si>
  <si>
    <t>Costs of protection</t>
  </si>
  <si>
    <t>Expected BF</t>
  </si>
  <si>
    <t>Restauration</t>
  </si>
  <si>
    <t>Total ESCU's for Land degradation and biodiversity</t>
  </si>
  <si>
    <t>Land Degradation and Biodiversity</t>
  </si>
  <si>
    <t>LB 1</t>
  </si>
  <si>
    <t>LB 2</t>
  </si>
  <si>
    <t>LB 3</t>
  </si>
  <si>
    <t>LB 4</t>
  </si>
  <si>
    <t>LB 5</t>
  </si>
  <si>
    <t>LB 6</t>
  </si>
  <si>
    <t>LB 7</t>
  </si>
  <si>
    <t>LB 8</t>
  </si>
  <si>
    <t>LB 10</t>
  </si>
  <si>
    <t>Goto LB 10</t>
  </si>
  <si>
    <t>Total ESCU's/year</t>
  </si>
  <si>
    <t>Used sea</t>
  </si>
  <si>
    <t>Total ESCU's per year</t>
  </si>
  <si>
    <t>Related to O.S. section 12.4.5</t>
  </si>
  <si>
    <t>Related to O.S. section 12.5.2</t>
  </si>
  <si>
    <t>Related to O.S. section 12.5.1</t>
  </si>
  <si>
    <t xml:space="preserve"> Use-Public Health Risks</t>
  </si>
  <si>
    <t xml:space="preserve"> Use-Pollution</t>
  </si>
  <si>
    <t xml:space="preserve"> Use-Social Responsibility</t>
  </si>
  <si>
    <t>End of Life</t>
  </si>
  <si>
    <t>Related to O.S. section 12.5.3</t>
  </si>
  <si>
    <t>Related to O.S. section 12.6</t>
  </si>
  <si>
    <t>Related to O.S. section 12.5.4</t>
  </si>
  <si>
    <t>Labor</t>
  </si>
  <si>
    <t>Various Social Aspects</t>
  </si>
  <si>
    <t xml:space="preserve">   Corruption and Conflict</t>
  </si>
  <si>
    <t>Related to O.S. section 12.4.9</t>
  </si>
  <si>
    <t>CPI</t>
  </si>
  <si>
    <t>Conflict country</t>
  </si>
  <si>
    <t>Y</t>
  </si>
  <si>
    <t>N</t>
  </si>
  <si>
    <t>Owner interference</t>
  </si>
  <si>
    <t>Does the organization or corporate mother have owners possessing &gt; 5%, that interfere with any decisions of the organization?</t>
  </si>
  <si>
    <t>PDCA Class and Subnr</t>
  </si>
  <si>
    <t>General Organization Governance</t>
  </si>
  <si>
    <t>Type-B pollution</t>
  </si>
  <si>
    <t>Type-E pollution</t>
  </si>
  <si>
    <t>Public Health (external)</t>
  </si>
  <si>
    <t>Labor conditions</t>
  </si>
  <si>
    <t>Corruption and Conflict situations.</t>
  </si>
  <si>
    <t>Various Social Responsibilities</t>
  </si>
  <si>
    <t>Animal Welfare</t>
  </si>
  <si>
    <t>Product Health and Safety Risks</t>
  </si>
  <si>
    <t>Plan</t>
  </si>
  <si>
    <t>Do</t>
  </si>
  <si>
    <t>Check</t>
  </si>
  <si>
    <t>Act</t>
  </si>
  <si>
    <t>Company Score</t>
  </si>
  <si>
    <t>Reducing Multiplication Factor (RMF), to be multiplied with maximum ESCU score</t>
  </si>
  <si>
    <t>Policy on the relevant aspect.</t>
  </si>
  <si>
    <t>1.1</t>
  </si>
  <si>
    <t>Policy defined, appropriate and up to date, and approved by the highest local management and by the corporate highest management.</t>
  </si>
  <si>
    <t>1.2</t>
  </si>
  <si>
    <t>Policy is aimed on continual improvement.</t>
  </si>
  <si>
    <t>1.3</t>
  </si>
  <si>
    <t>Policy includes compliance to the national law and to the requirements of this standard.</t>
  </si>
  <si>
    <t>1.4</t>
  </si>
  <si>
    <t>Documented, maintained and implemented plan of goals in a (at least 5 years) plan. Decision structure and T.C.R.’s (*1) defined.</t>
  </si>
  <si>
    <t>Risk analysis on the relevant aspect.</t>
  </si>
  <si>
    <t>2.1</t>
  </si>
  <si>
    <t>Procedure for a risk analysis.</t>
  </si>
  <si>
    <t>2.2</t>
  </si>
  <si>
    <t>Analysis of the relevant risks for all stakeholders.</t>
  </si>
  <si>
    <t xml:space="preserve">All risks  listed in the relevant section of the Oiconomy Standard included in the analysis. </t>
  </si>
  <si>
    <t>2.3</t>
  </si>
  <si>
    <t>Risks are ranked and priorities are set based on the seriousness and frequency (or ease) of occurrence.</t>
  </si>
  <si>
    <t>Legal requirements on the relevant aspect.</t>
  </si>
  <si>
    <t>3.1</t>
  </si>
  <si>
    <t>Goals on the relevant aspect.</t>
  </si>
  <si>
    <t>4.1</t>
  </si>
  <si>
    <t>Conversion of the policy goals into SMART goals. (Specific, Measurable, Acceptable, Realistic, Time limited)</t>
  </si>
  <si>
    <t>4.2</t>
  </si>
  <si>
    <t>Plan of implementation and monitoring on the SMART goals.</t>
  </si>
  <si>
    <t>Resources available for the relevant aspect.</t>
  </si>
  <si>
    <t>5.1</t>
  </si>
  <si>
    <t>Qualified people with defined T.C.R.’s, funds, time and investments.</t>
  </si>
  <si>
    <t>5.2</t>
  </si>
  <si>
    <t>Qualified coordinator with access to the highest management.</t>
  </si>
  <si>
    <t>5.3</t>
  </si>
  <si>
    <t>Top management commitment demonstrated by the documentation and communication.</t>
  </si>
  <si>
    <t>5.4</t>
  </si>
  <si>
    <t>Required capital investments determined and approved by the highest (corporate) management, and in the planned stage of execution.</t>
  </si>
  <si>
    <t>Knowledge and training on the relevant aspect.</t>
  </si>
  <si>
    <t>6.1</t>
  </si>
  <si>
    <t>Required knowledge and skills trhoughout the organization defined and made available.</t>
  </si>
  <si>
    <t>6.2</t>
  </si>
  <si>
    <t>Needs for training analysed and training provided where necessary.</t>
  </si>
  <si>
    <t>6.3</t>
  </si>
  <si>
    <t>Availability of knowledge documents and, where necessary, contacts with relevant experts.</t>
  </si>
  <si>
    <t xml:space="preserve"> Internal and external communication the relevant aspect.</t>
  </si>
  <si>
    <t>7.1</t>
  </si>
  <si>
    <t>The plan and T.C.R.’s are communicated internally and plan externally.</t>
  </si>
  <si>
    <t>7.2</t>
  </si>
  <si>
    <t>Consciousness and relevant knowledge on the relevant aspect throughout the organization, contractors and subcontractors.</t>
  </si>
  <si>
    <t>7.3</t>
  </si>
  <si>
    <t>Analysis of all internal and external stakeholders that may have an interest or influence on the relevant aspect.</t>
  </si>
  <si>
    <t>7.4</t>
  </si>
  <si>
    <t>Analysis of all internal and en external stakeholders that may experience an adverse effect regarding the relevant aspect.</t>
  </si>
  <si>
    <t>7.5</t>
  </si>
  <si>
    <t>Plan of communication with all defined stakeholders.</t>
  </si>
  <si>
    <t>7.6</t>
  </si>
  <si>
    <t>All risks and information are communicated to the relevant stakeholders in a clear, readily accessible, understandable, unambiguous way. The company is readily available for internal and external complaints and protects internal persons reporting violations (e.g. wistleblowers).</t>
  </si>
  <si>
    <t>Documentation on the relevant aspect.</t>
  </si>
  <si>
    <t>8.1</t>
  </si>
  <si>
    <t>Policy, scope and working of the relevant management system are documented.</t>
  </si>
  <si>
    <t>8.2</t>
  </si>
  <si>
    <t>Documents required by this standard.</t>
  </si>
  <si>
    <t>8.4</t>
  </si>
  <si>
    <t>Procedures that regulate the working of the system.</t>
  </si>
  <si>
    <t>Methods of measuring and sampling.</t>
  </si>
  <si>
    <t>8.5</t>
  </si>
  <si>
    <t>Descriptions of functions, T.C.R.’s and the organization structure.</t>
  </si>
  <si>
    <t>Document control on the relevant aspect.</t>
  </si>
  <si>
    <t>9.1</t>
  </si>
  <si>
    <t>Authorization of documents for first use and for revision.</t>
  </si>
  <si>
    <t>9.2</t>
  </si>
  <si>
    <t>Documents identifiable, up to date, legible and readily available where needed.</t>
  </si>
  <si>
    <t>9.3</t>
  </si>
  <si>
    <t>Prevention of use of unauthorized documents.</t>
  </si>
  <si>
    <t>9.4</t>
  </si>
  <si>
    <t>Identification of required external documents and controlled distribution thereof to the relevant locations and functions.</t>
  </si>
  <si>
    <t>Operational control on the relevant aspect.</t>
  </si>
  <si>
    <t>10.1</t>
  </si>
  <si>
    <t>Criteria identified based on requirements, risk analysis and goals.</t>
  </si>
  <si>
    <t>10.2</t>
  </si>
  <si>
    <t>System of preventative measures on identified risks. Analysis of those (critical control) points internally (and if necessary externally) where prevention can be achieved. Effective prevention systems on these points.</t>
  </si>
  <si>
    <t>10.3</t>
  </si>
  <si>
    <t>Procedures to discover shortcomings and to convert these into improvements, including a procedure for handling complaints and incidents with a time limit for completing these.</t>
  </si>
  <si>
    <t>10.4</t>
  </si>
  <si>
    <t>Control of the influence of third parties on the relevant aspect, including a procedure to monitor and evaluate the quality of the suppliers and the transparency of their communication.</t>
  </si>
  <si>
    <t>Emergency plans (if applicable for the aspect)</t>
  </si>
  <si>
    <t>11.1</t>
  </si>
  <si>
    <t>Action plans (including communication plans and procedures) plans for social emergency situations (e.g. violence, discrimination, accidents, incidents, theft, serious violations of internal or external rules; cases of or corrupt proposals).</t>
  </si>
  <si>
    <t>11.2</t>
  </si>
  <si>
    <t>Yearly evaluation of emergency situations.</t>
  </si>
  <si>
    <t>11.3</t>
  </si>
  <si>
    <t>Yearly tests of emergency situations where practical.</t>
  </si>
  <si>
    <t>Required by this standard, disregarding the aspect (11.4;11.5;11.6)</t>
  </si>
  <si>
    <t>11.4</t>
  </si>
  <si>
    <t>Traceability at least 1 step backwards and 1 step forwards, including waste flows.</t>
  </si>
  <si>
    <t>11.5</t>
  </si>
  <si>
    <t>Procedure to recall products with shortcomings, including for waste flows.</t>
  </si>
  <si>
    <t>11.6</t>
  </si>
  <si>
    <t>Yearly test of traceability (including waste) and recall procedure.</t>
  </si>
  <si>
    <t>Monitoring and measurement on the relevant aspect.</t>
  </si>
  <si>
    <t>12.1</t>
  </si>
  <si>
    <t>Plan and execution of monitoring (what, when, where and how), fit for demonstration that the control system is effective. Inclusion of near-accidents and near-incidents, where applicable.</t>
  </si>
  <si>
    <t>12.2</t>
  </si>
  <si>
    <t xml:space="preserve">Use of calibrated means (wheres applicalbe) of measurement using validated methods for measurement and sampling only. </t>
  </si>
  <si>
    <t>Evaluation of the relevant aspect.</t>
  </si>
  <si>
    <t>13.1</t>
  </si>
  <si>
    <t>Procedures for periodical evaluation of the monitoring results against the requirements and goals.</t>
  </si>
  <si>
    <t>13.2</t>
  </si>
  <si>
    <t>Procedures for registration and communication of the monitoring results and of the conclusions of the evaluation.</t>
  </si>
  <si>
    <t>Preventive and corrective measures on the relevant aspect.</t>
  </si>
  <si>
    <t>14.1</t>
  </si>
  <si>
    <t>Procedures to discover the root causes of shortcomings, incidents and complaints and to prevent repetition thereof. (Consider the possibility that top management ultimately may be the root cause, especially at repetition of the shortcoming).</t>
  </si>
  <si>
    <t>14.2</t>
  </si>
  <si>
    <t>Procedures for preventive measurements based upon the risks found in the risk analysis.</t>
  </si>
  <si>
    <t>14.3</t>
  </si>
  <si>
    <t>Procedures to analyse trends in incidents, shortcomings and complaints and to improve the policy.</t>
  </si>
  <si>
    <t>14.4</t>
  </si>
  <si>
    <t>Procedures to compensate, remove or minimize the damage that has been caused by incidents or shortcomings.</t>
  </si>
  <si>
    <t>14.5</t>
  </si>
  <si>
    <t>Monitoring on and registration of preventive and corrective measures.</t>
  </si>
  <si>
    <t>14.6</t>
  </si>
  <si>
    <t>Procedures to regularly verify and evaluate the adequacy of earlier taken preventive and corrective measures.</t>
  </si>
  <si>
    <t>Registration and control.</t>
  </si>
  <si>
    <t>15.1</t>
  </si>
  <si>
    <t>Meeting the requirements is demonstrable by registered data.</t>
  </si>
  <si>
    <t>15.2</t>
  </si>
  <si>
    <t>Registered data are traceable, stored in a protected way, available for at least 5 years, legible and identifiable.</t>
  </si>
  <si>
    <t>15.3</t>
  </si>
  <si>
    <t>Coherent and communicated system of registration locations.</t>
  </si>
  <si>
    <t>Internal audit on the relevant aspect.</t>
  </si>
  <si>
    <t>16.1</t>
  </si>
  <si>
    <t>At least yearly internal audit by independent (no auditing of persons own responsibilities), objective and qualified persons against the requirements.</t>
  </si>
  <si>
    <t>16.2</t>
  </si>
  <si>
    <t>Written report with information to the management.</t>
  </si>
  <si>
    <t>16.3</t>
  </si>
  <si>
    <t>Audit procedure with criteria, scope, method, frequency, reporting, shortcomings, requirements for evaluation and corrective measures.</t>
  </si>
  <si>
    <t>Management review on the relevant aspect.</t>
  </si>
  <si>
    <t>17.1</t>
  </si>
  <si>
    <t>At least yearly management review.</t>
  </si>
  <si>
    <t>17.2</t>
  </si>
  <si>
    <t>Top management responsibility is demonstrable in practice.</t>
  </si>
  <si>
    <t>17.3</t>
  </si>
  <si>
    <t>Documented input: Internal audit, complaints, incidents, relevant communication with authorities and other stakeholders, evaluations, status of preventive en corrective measures, result of the decisions of the last MR, changes in this standard, legislation and other requirements and improvement propositions.</t>
  </si>
  <si>
    <t>17.4</t>
  </si>
  <si>
    <t>Documented output: assessment of the effectiveness of the system, decisions for improvement; adjustments in the policy, goals and plans.</t>
  </si>
  <si>
    <t>Total Control level</t>
  </si>
  <si>
    <t>Sheet Gov.Level</t>
  </si>
  <si>
    <t>Interfering owners?</t>
  </si>
  <si>
    <t xml:space="preserve"> Bonus ESCU's</t>
  </si>
  <si>
    <t>B 2</t>
  </si>
  <si>
    <t>B 1</t>
  </si>
  <si>
    <t>B 3</t>
  </si>
  <si>
    <t>B 4</t>
  </si>
  <si>
    <t>B 5</t>
  </si>
  <si>
    <t>B 6</t>
  </si>
  <si>
    <t>B 7</t>
  </si>
  <si>
    <t>B 8</t>
  </si>
  <si>
    <t>B 9</t>
  </si>
  <si>
    <t>B 10</t>
  </si>
  <si>
    <t>B 11</t>
  </si>
  <si>
    <t>B 12</t>
  </si>
  <si>
    <t>B 13</t>
  </si>
  <si>
    <t>B 14</t>
  </si>
  <si>
    <t>B 15</t>
  </si>
  <si>
    <t>B 16</t>
  </si>
  <si>
    <t>B 17</t>
  </si>
  <si>
    <t>B 18</t>
  </si>
  <si>
    <t>B 19</t>
  </si>
  <si>
    <t>B 20</t>
  </si>
  <si>
    <t>B 21</t>
  </si>
  <si>
    <t>B 22</t>
  </si>
  <si>
    <t>B 23</t>
  </si>
  <si>
    <t>B 24</t>
  </si>
  <si>
    <t>B 25</t>
  </si>
  <si>
    <t>B 26</t>
  </si>
  <si>
    <t>B 27</t>
  </si>
  <si>
    <t>B 28</t>
  </si>
  <si>
    <r>
      <t xml:space="preserve">Aspect </t>
    </r>
    <r>
      <rPr>
        <b/>
        <sz val="12"/>
        <color theme="1"/>
        <rFont val="Calibri"/>
        <family val="2"/>
        <scheme val="minor"/>
      </rPr>
      <t>(Related to O.S. section 12.7.2)</t>
    </r>
  </si>
  <si>
    <t>Beneficial products sold below cost price (E.g. medicines for the underprivilaged).</t>
  </si>
  <si>
    <t>Extra conditions/criteria</t>
  </si>
  <si>
    <t>Contributions to the local social development around the organization.</t>
  </si>
  <si>
    <t>Provision of medical or mental care (not the insurances).</t>
  </si>
  <si>
    <t>Provision of emergency relief (excluding incidents caused by the organization itself).</t>
  </si>
  <si>
    <t>Peace initiatives and community bonding.</t>
  </si>
  <si>
    <t>Employing people with distance to the labor market. Bonus ESCU's are equal to the extra costs of employing them compared to other workers.</t>
  </si>
  <si>
    <t>Including costs of demonstrable lower efficiency by community sustaining activities, but excluding employment.</t>
  </si>
  <si>
    <t>Note that subsidies for their employment must be subtracted from the Bonus ESCU's.</t>
  </si>
  <si>
    <t>Only if it raises their capacity, also outside the organization.</t>
  </si>
  <si>
    <t>For work related harm excluded.</t>
  </si>
  <si>
    <t>Incidents caused by the organization excluded.</t>
  </si>
  <si>
    <t>Only the average of total provided micro credits.</t>
  </si>
  <si>
    <t>Corruption Perception index (CPI) &gt; 40.</t>
  </si>
  <si>
    <t>Without production necessity or advertising purposes.</t>
  </si>
  <si>
    <t>If unpaid for and exclusively designed for mitigation</t>
  </si>
  <si>
    <t>B 29</t>
  </si>
  <si>
    <t>Total Bonus ESCU's</t>
  </si>
  <si>
    <t>Captured CO2 (kg.)</t>
  </si>
  <si>
    <t>Product Financial Turnover</t>
  </si>
  <si>
    <t xml:space="preserve">Internal data             </t>
  </si>
  <si>
    <t>Depletion</t>
  </si>
  <si>
    <t>MD 1</t>
  </si>
  <si>
    <t>MD 2</t>
  </si>
  <si>
    <t>MD 3</t>
  </si>
  <si>
    <t>MD 4</t>
  </si>
  <si>
    <t>Investigated Actor</t>
  </si>
  <si>
    <t>Disposal and Waste</t>
  </si>
  <si>
    <t>Foreground quantities</t>
  </si>
  <si>
    <t>MD 5</t>
  </si>
  <si>
    <t>MD 6</t>
  </si>
  <si>
    <t xml:space="preserve">ESCU's </t>
  </si>
  <si>
    <t>Idemat2021 Palm oil</t>
  </si>
  <si>
    <t>Idemat2021 Jute fibres, trade mix</t>
  </si>
  <si>
    <t>Idemat2021 Phosphoric acid</t>
  </si>
  <si>
    <t>Idemat2021 Sulphur</t>
  </si>
  <si>
    <t>Idemat2021 Carbon fibre</t>
  </si>
  <si>
    <t>m2</t>
  </si>
  <si>
    <t>Idemat2021 Leather processed with Chromium III</t>
  </si>
  <si>
    <t>Idemat2021 Leather processed with Chromium VI</t>
  </si>
  <si>
    <t>kg</t>
  </si>
  <si>
    <t>Idemat2021 Wool (at farm US, transported to rotterdam)</t>
  </si>
  <si>
    <t xml:space="preserve">materials, agricultural, plant oils </t>
  </si>
  <si>
    <t>Idemat2021 Rape oil</t>
  </si>
  <si>
    <t>Idemat2021 Soybean oil</t>
  </si>
  <si>
    <t>materials, agricultural, plant production</t>
  </si>
  <si>
    <t>Idemat2021 bio-Cotton, China</t>
  </si>
  <si>
    <t>Idemat2021 bio-Cotton, USA</t>
  </si>
  <si>
    <t>Idemat2021 Cotton, China</t>
  </si>
  <si>
    <t>Idemat2021 Cotton, trade mix</t>
  </si>
  <si>
    <t>Idemat2021 Cotton, rest of the world</t>
  </si>
  <si>
    <t>Idemat2021 Cotton, USA</t>
  </si>
  <si>
    <t>Idemat2021 Jute fibres, Bangladesh</t>
  </si>
  <si>
    <t>Idemat2021 Jute fibres, Bangladesh, rainfed</t>
  </si>
  <si>
    <t>Idemat2021 Jute fibres, India</t>
  </si>
  <si>
    <t>Idemat2021 Jute fibres, India, rainfed</t>
  </si>
  <si>
    <t>Idemat2021 Kenaf fibres, India</t>
  </si>
  <si>
    <t>Idemat2021 Kenaf fibres, Italy</t>
  </si>
  <si>
    <t>Idemat2021 Linseed</t>
  </si>
  <si>
    <t xml:space="preserve">materials, ceramics </t>
  </si>
  <si>
    <t>Idemat2021 Alumina estimate</t>
  </si>
  <si>
    <t>Idemat2021 Aluminium Nitride</t>
  </si>
  <si>
    <t>Idemat2021 Boron Carbide</t>
  </si>
  <si>
    <t>Idemat2021 Germanium</t>
  </si>
  <si>
    <t>Idemat2021 Glaze (in addition to Porcelain and Stoneware)</t>
  </si>
  <si>
    <t>Idemat2021 Porcelain</t>
  </si>
  <si>
    <t>Idemat2021 PZT Piezo-electric ceramic</t>
  </si>
  <si>
    <t>Idemat2021 Silicon carbide</t>
  </si>
  <si>
    <t>Idemat2021 Silicon estimate</t>
  </si>
  <si>
    <t>Idemat2021 Silicon Nitride estimate</t>
  </si>
  <si>
    <t>Idemat2021 Stoneware</t>
  </si>
  <si>
    <t>Idemat2021 Tungsten Carbide</t>
  </si>
  <si>
    <t>Idemat2021 Zirconia</t>
  </si>
  <si>
    <t xml:space="preserve">materials, chemicals, acids inorganic </t>
  </si>
  <si>
    <t>Idemat2018 HCL</t>
  </si>
  <si>
    <t>Idemat2021 Sulphuric acid</t>
  </si>
  <si>
    <t xml:space="preserve">materials, chemicals, acids organic                                                                     </t>
  </si>
  <si>
    <t>Idemat2021 Acetic acid trade mix.</t>
  </si>
  <si>
    <t>materials, chemicals, fertilisers inorganic and organic</t>
  </si>
  <si>
    <t>Idemat2021 Fertilizer-N</t>
  </si>
  <si>
    <t>Idemat2021 Fertilizer-P</t>
  </si>
  <si>
    <t>Idemat2021 Fertilizers-K</t>
  </si>
  <si>
    <t xml:space="preserve">materials, chemicals, gases </t>
  </si>
  <si>
    <t>Idemat2021 Argon</t>
  </si>
  <si>
    <t>Idemat2021 Carbon dioxide, liquid</t>
  </si>
  <si>
    <t>Idemat2021 Hydrogen, liquid</t>
  </si>
  <si>
    <t>Idemat2021 Nitrogen, liquid</t>
  </si>
  <si>
    <t>Idemat2021 Oxigen, liquid</t>
  </si>
  <si>
    <t xml:space="preserve">materials, chemicals, inorganic </t>
  </si>
  <si>
    <t>Idemat2021 Boron</t>
  </si>
  <si>
    <t>Idemat2021 Cobalt oxide (CoO)</t>
  </si>
  <si>
    <t>Idemat2021 Graphite for batteries</t>
  </si>
  <si>
    <t>Idemat2021 H2O2, 70% in H2O</t>
  </si>
  <si>
    <t>Idemat2021 KOH</t>
  </si>
  <si>
    <t>Idemat2021 Lime</t>
  </si>
  <si>
    <t>Idemat2021 Manganese dioxide</t>
  </si>
  <si>
    <t>Idemat2021 Silicagel</t>
  </si>
  <si>
    <t>Idemat2021 Sodium silicate</t>
  </si>
  <si>
    <t>Idemat2021 Sodium sulphate</t>
  </si>
  <si>
    <t>Idemat2021 Titanium dioxide</t>
  </si>
  <si>
    <t>Idemat2021 Urea</t>
  </si>
  <si>
    <t>Idemat2021 Zinc Oxide</t>
  </si>
  <si>
    <t xml:space="preserve">materials, chemicals, organic               </t>
  </si>
  <si>
    <t>Idemat2021 Acetic Anhydride trade mix</t>
  </si>
  <si>
    <t>Idemat2021 Acetic Anhydride, Halcon process</t>
  </si>
  <si>
    <t>Idemat2021 Acetic anhydride, Ketene process</t>
  </si>
  <si>
    <t>Idemat2021 Acrylonitrile</t>
  </si>
  <si>
    <t>Idemat2021 Benzene</t>
  </si>
  <si>
    <t>Idemat2021 Ethanol, bio-based from agricultural waste</t>
  </si>
  <si>
    <t>Idemat2021 Pentane blowing agent</t>
  </si>
  <si>
    <t>.</t>
  </si>
  <si>
    <t>Idemat2021 Phenol</t>
  </si>
  <si>
    <t>Idemat2021 Propylene</t>
  </si>
  <si>
    <t>Idemat2021 Styrene</t>
  </si>
  <si>
    <t xml:space="preserve">materials, chemicals, others </t>
  </si>
  <si>
    <t>Idemat2021 Carbon black</t>
  </si>
  <si>
    <t>Idemat2021 Pigments (general, e.g. for offset).</t>
  </si>
  <si>
    <t>Idemat2021 Refinery products (avg)</t>
  </si>
  <si>
    <t xml:space="preserve">materials, chemicals, pesticides </t>
  </si>
  <si>
    <t>Idemat2021 Pesticides (unspecified)</t>
  </si>
  <si>
    <t xml:space="preserve">materials, construction, binders </t>
  </si>
  <si>
    <t>Idemat2021 Cement (blastfurnace CEM III B 42.5 N)</t>
  </si>
  <si>
    <t>Idemat2021 Cement (Portland CEM I 52.5 N)</t>
  </si>
  <si>
    <t>Idemat2021 Gypsum, from exhaust gas desulferization</t>
  </si>
  <si>
    <t xml:space="preserve">materials, construction, bitumen </t>
  </si>
  <si>
    <t>Idemat2021 Bitumen</t>
  </si>
  <si>
    <t xml:space="preserve">materials, construction, bricks </t>
  </si>
  <si>
    <t>Idemat2021  Red Clay Brick, for housing and roads, packed</t>
  </si>
  <si>
    <t>Idemat2021 Concrete blocks, light (439 kg/m3)</t>
  </si>
  <si>
    <t>Idemat2021 Roof tiles</t>
  </si>
  <si>
    <t>Idemat2021 Sand-lime bricks, light (600 kg/m3)</t>
  </si>
  <si>
    <t>materials, construction, concrete</t>
  </si>
  <si>
    <t>m3</t>
  </si>
  <si>
    <t>Idemat2021 Concrete</t>
  </si>
  <si>
    <t>Idemat2021 Concrete (reinforced, 40 kg steel per 1000 kg)</t>
  </si>
  <si>
    <t>materials, construction, insulation</t>
  </si>
  <si>
    <t>Idemat2021 cork slab insulation</t>
  </si>
  <si>
    <t>Idemat2021 glass wool</t>
  </si>
  <si>
    <t>Idemat2021 stone wool</t>
  </si>
  <si>
    <t>materials, construction, others</t>
  </si>
  <si>
    <t>Idemat2021 blastfurnace slags</t>
  </si>
  <si>
    <t>Idemat2021 Clinker</t>
  </si>
  <si>
    <t>Idemat2021 crushed concrete aggregate (recycled)</t>
  </si>
  <si>
    <t>Idemat2021 Gravel</t>
  </si>
  <si>
    <t>Idemat2021 Ground (earthmoving)</t>
  </si>
  <si>
    <t>Idemat2021 Linoleum</t>
  </si>
  <si>
    <t>Idemat2021 Plasticizers for concrete</t>
  </si>
  <si>
    <t>Idemat2021 Sand</t>
  </si>
  <si>
    <t>materials, construction, paints</t>
  </si>
  <si>
    <t>Idemat2021 Acrylic varnish transparent , liquid, water based</t>
  </si>
  <si>
    <t>Idemat2021 Acrylic varnish white , liquid, water based</t>
  </si>
  <si>
    <t>Idemat2021 Alkyd paint transparent, liquid, solvent based</t>
  </si>
  <si>
    <t>Idemat2021 Alkyd paint transparent, liquid, water based</t>
  </si>
  <si>
    <t>Idemat2021 Alkyd paint white, liquid, solvent based</t>
  </si>
  <si>
    <t>Idemat2021 Alkyd paint white, liquid, water based</t>
  </si>
  <si>
    <t>Idemat2021 Alkyd paint, solvent based, emissions during painting</t>
  </si>
  <si>
    <t>materials, electronics, others</t>
  </si>
  <si>
    <t>p</t>
  </si>
  <si>
    <t>Idemat2021 AA cell battery (Alkaline)</t>
  </si>
  <si>
    <t>Idemat2021 AA cell battery (Li-ion)</t>
  </si>
  <si>
    <t>Idemat2021 Computer desktop, including 27 inch display</t>
  </si>
  <si>
    <t>Idemat2021 Computer laptop, 15 inch display</t>
  </si>
  <si>
    <t>m</t>
  </si>
  <si>
    <t>Idemat2021 Electric cord, 6A (1320W), 3x0.75 mm2, domestic (per m)</t>
  </si>
  <si>
    <t>Idemat2021 Electric motor, less than 500 W, estimate</t>
  </si>
  <si>
    <t>Idemat2021 IC die (not packaged), 1 mm2 = 1.8 mg (laptop 850 mg)</t>
  </si>
  <si>
    <t>Idemat2021 IC package (laptop: 21 g)</t>
  </si>
  <si>
    <t>Idemat2021 LCD flat screen, 27 inch, including casing and electronics</t>
  </si>
  <si>
    <t>Idemat2021 Lead battery cars (39 Wh per kg)</t>
  </si>
  <si>
    <t>Idemat2021 LED light bulb 8 watt.</t>
  </si>
  <si>
    <t>Idemat2021 Lithium-ion LiCoO2 laptop battery (180 Wh/kg)</t>
  </si>
  <si>
    <t>Idemat2021 Lithium-ion LiFePO4 battery  (118 Wh per kg)</t>
  </si>
  <si>
    <t>Idemat2021 Lithium Nickel Manganese Cobalt oxide, NMC 811 (200 Wh per kg)</t>
  </si>
  <si>
    <t>Idemat2021 Mica (fire proof electric insulation) estimate</t>
  </si>
  <si>
    <t>Idemat2021 NiCd battery AA-cell</t>
  </si>
  <si>
    <t>Idemat2021 NiCd battery C-cell</t>
  </si>
  <si>
    <t>Idemat2021 NiMH battery for laptops (54 Wh per kg)</t>
  </si>
  <si>
    <t>Idemat2021 PCB = Printed Circuit Board (including ICs)</t>
  </si>
  <si>
    <t>Idemat2021 PV cell</t>
  </si>
  <si>
    <t>Idemat2021 solder Lead Tin/Lead  60/40 (normal)</t>
  </si>
  <si>
    <t>Idemat2021 solder leadfree electronic industry (Ag3.9, Cu0.6)</t>
  </si>
  <si>
    <t>Idemat2021 solder Tin/Lead 63/37 solder electronic industry</t>
  </si>
  <si>
    <t>materials, fibers</t>
  </si>
  <si>
    <t>Idemat2021 Aramid st gr</t>
  </si>
  <si>
    <t>Idemat2021 Glass fibre</t>
  </si>
  <si>
    <t>materials, fuels, biofuels</t>
  </si>
  <si>
    <t>Idemat2021 biodiesel (palm oil methyl ester)</t>
  </si>
  <si>
    <t>Idemat2021 biodiesel (rape methyl ester)</t>
  </si>
  <si>
    <t>Idemat2021 biodiesel (soyabean ester, US)</t>
  </si>
  <si>
    <t>Idemat2021 ethanol</t>
  </si>
  <si>
    <t>Idemat2021 petrol (85% ethanol)</t>
  </si>
  <si>
    <t>materials, fuels, coal</t>
  </si>
  <si>
    <t>Idemat2021 coal at power plant (average EU-27) (excluding combustion)</t>
  </si>
  <si>
    <t>materials, fuels, lignite</t>
  </si>
  <si>
    <t>Idemat2021 Lignite at open pit mine (excluding combustion)</t>
  </si>
  <si>
    <t>materials, fuels, LPG</t>
  </si>
  <si>
    <t>Idemat2021 LPG (excluding combustion)</t>
  </si>
  <si>
    <t>Idemat2021 LPG including combustion</t>
  </si>
  <si>
    <t>materials, fuels, natural gas</t>
  </si>
  <si>
    <t>Idemat2021 CNG (compressed natural gas) incl mat depl, excl. combustion</t>
  </si>
  <si>
    <t>Idemat2021 CNG (compressed natural gas) including combustion</t>
  </si>
  <si>
    <t>Idemat2021 Natural gas general EU for heat (excl mat depl. excl. combustion)</t>
  </si>
  <si>
    <t>Idemat2021 Natural gas general EU for heat (excl mat depl. incl. combustion)</t>
  </si>
  <si>
    <t xml:space="preserve">materials, fuels, oil                                           </t>
  </si>
  <si>
    <t>Idemat2021 Crude oil EU General (excl. combustion)</t>
  </si>
  <si>
    <t>Idemat2021 Crude oil US General) (excl. combustion)</t>
  </si>
  <si>
    <t>Idemat2021 Diesel low-sulphur (excluding combustion)</t>
  </si>
  <si>
    <t>Idemat2021 Diesel low-sulphur including combustion</t>
  </si>
  <si>
    <t>MJ</t>
  </si>
  <si>
    <t>Idemat2021 Diesel low-sulphur including combustion per MJ</t>
  </si>
  <si>
    <t>Idemat2021 Heavy fuel oil in transport (excluding combustion)</t>
  </si>
  <si>
    <t>Idemat2021 Kerosene (excluding combustion)</t>
  </si>
  <si>
    <t>Idemat2021 Kerosene including combustion</t>
  </si>
  <si>
    <t>Idemat2021 Liquid propane/butane (excluding combustion)</t>
  </si>
  <si>
    <t>Idemat2021 Petrol (excluding combustion)</t>
  </si>
  <si>
    <t>Idemat2021 Petrol including combustion</t>
  </si>
  <si>
    <t>materials, glass, construction</t>
  </si>
  <si>
    <t>Ideamtapp2020 glass cladding and windows</t>
  </si>
  <si>
    <t>materials,  glass, other glass</t>
  </si>
  <si>
    <t>Idemat2021 Borosilicate estimate</t>
  </si>
  <si>
    <t>Idemat2021 Ceramic glass estimate</t>
  </si>
  <si>
    <t>Idemat2021 Recycled borosilicate glass estimate</t>
  </si>
  <si>
    <t>Idemat2021 Recycled silica glass estimate</t>
  </si>
  <si>
    <t>Idemat2021 Silica glass estimate</t>
  </si>
  <si>
    <t>Idemat2021 Glass bottles, recycled (estimate)</t>
  </si>
  <si>
    <t>Idemat2021 Glass bottles, virgin</t>
  </si>
  <si>
    <t>materials, laminates</t>
  </si>
  <si>
    <t>Idemat2021 Glare 1-3/2-0.3</t>
  </si>
  <si>
    <t>Idemat2021 Glare 3-3/2-0.2</t>
  </si>
  <si>
    <t>Idemat2021 Glare 3-6/5-0.4</t>
  </si>
  <si>
    <t>Idemat2021 Glare 4-6/5-0.4</t>
  </si>
  <si>
    <t>Idemat2021 Hylite (1 m2, 1.2 mm thickness, 1.8 ton/m3)</t>
  </si>
  <si>
    <t>materials, metals, ferro</t>
  </si>
  <si>
    <t>Idemat2021 Steel  USA</t>
  </si>
  <si>
    <t>Idemat2021 Steel (21% sec = trade mix average)</t>
  </si>
  <si>
    <t>Idemat2021 Steel (secondary)</t>
  </si>
  <si>
    <t>Idemat2021 Steel beams, pipes, sheet (from trade mix 44% recycled)</t>
  </si>
  <si>
    <t>materials, metals, ferro, cast irons</t>
  </si>
  <si>
    <t>Idemat2021 GG15</t>
  </si>
  <si>
    <t>Idemat2021 GG35</t>
  </si>
  <si>
    <t>Idemat2021 GGG-NiCr</t>
  </si>
  <si>
    <t>Idemat2021 GGG-NiSiCr</t>
  </si>
  <si>
    <t>Idemat2021 GGG40</t>
  </si>
  <si>
    <t>Idemat2021 GGG60</t>
  </si>
  <si>
    <t>Idemat2021 GGG70</t>
  </si>
  <si>
    <t>Idemat2021 GGL-NiCuCr</t>
  </si>
  <si>
    <t xml:space="preserve">Materials, metals, ferro, stainless steel </t>
  </si>
  <si>
    <t>Idemat2021  Stainless Steel (secondary), average, estimate</t>
  </si>
  <si>
    <t>Idemat2021 GX12Cr14 (CA15)</t>
  </si>
  <si>
    <t>Idemat2021 GX5CrNi19 10 (CF8)</t>
  </si>
  <si>
    <t>Idemat2021 X10Cr13 (mart 410)</t>
  </si>
  <si>
    <t>Idemat2021 X10CrNiMoNb</t>
  </si>
  <si>
    <t>Idemat2021 X10CrNiS (303)</t>
  </si>
  <si>
    <t>Idemat2021 X12Cr13 (416)</t>
  </si>
  <si>
    <t>Idemat2021 X12CrNi17 7 (301)</t>
  </si>
  <si>
    <t>Idemat2021 X20Cr13 (420)</t>
  </si>
  <si>
    <t>Idemat2021 X22CrNi17 (431)</t>
  </si>
  <si>
    <t>Idemat2021 X2CrNiMo1712 (316L)</t>
  </si>
  <si>
    <t>Idemat2021 X30Cr13 (~420)</t>
  </si>
  <si>
    <t>Idemat2021 X35CrMo17</t>
  </si>
  <si>
    <t>Idemat2021 X5CrNi18 (304)</t>
  </si>
  <si>
    <t>Idemat2021 X5CrNiMo18 (316)</t>
  </si>
  <si>
    <t>Idemat2021 X6Cr17 (430)</t>
  </si>
  <si>
    <t>Idemat2021 X6CrNi18 (~304)</t>
  </si>
  <si>
    <t>Idemat2021 X7CrAl13 (405)</t>
  </si>
  <si>
    <t>Idemat2021 X90CrCoMoV17</t>
  </si>
  <si>
    <t>Idemat2021 X90CrMoV18 (440B)</t>
  </si>
  <si>
    <t xml:space="preserve">Materials, metals, ferro, steel automation </t>
  </si>
  <si>
    <t>Idemat2021 10SPb20 (1.0721)</t>
  </si>
  <si>
    <t>Idemat2021 35S20 (1.0726)</t>
  </si>
  <si>
    <t>Idemat2021 9S20</t>
  </si>
  <si>
    <t>Idemat2021 9SMnPb (1.0718)</t>
  </si>
  <si>
    <t xml:space="preserve">Materials, metals, ferro, steel cast </t>
  </si>
  <si>
    <t>Idemat2021 GS-10Ni6</t>
  </si>
  <si>
    <t>Idemat2021 GS-22Mo4</t>
  </si>
  <si>
    <t>Idemat2021 GS-25CrMo4</t>
  </si>
  <si>
    <t>Idemat2021 GS-45.3</t>
  </si>
  <si>
    <t>Idemat2021 GS-70</t>
  </si>
  <si>
    <t>Idemat2021 GS-X40CrNiSi 25 12</t>
  </si>
  <si>
    <t>Idemat2021 HA</t>
  </si>
  <si>
    <t>Idemat2021 HT</t>
  </si>
  <si>
    <t xml:space="preserve">Materials, metals, ferro, steel construction </t>
  </si>
  <si>
    <t>Idemat2021 Fe360</t>
  </si>
  <si>
    <t>Idemat2021 Fe470</t>
  </si>
  <si>
    <t>Idemat2021 Fe520</t>
  </si>
  <si>
    <t>Idemat2021 St13</t>
  </si>
  <si>
    <t xml:space="preserve">Materials, metals, ferro, steel draw </t>
  </si>
  <si>
    <t>Idemat2021 A517a</t>
  </si>
  <si>
    <t>Idemat2021 A517b</t>
  </si>
  <si>
    <t>Idemat2021 S355J2G1W</t>
  </si>
  <si>
    <t>Idemat2021 St14</t>
  </si>
  <si>
    <t xml:space="preserve">Materials, metals, ferro, steel high grade </t>
  </si>
  <si>
    <t>Idemat2021 14NiCr14</t>
  </si>
  <si>
    <t>Idemat2021 15Cr3</t>
  </si>
  <si>
    <t>Idemat2021 18NiCr8</t>
  </si>
  <si>
    <t>Idemat2021 25CrMo4</t>
  </si>
  <si>
    <t>Idemat2021 30CrNiMo8</t>
  </si>
  <si>
    <t>Idemat2021 34Cr4</t>
  </si>
  <si>
    <t>Idemat2021 34CrAl6</t>
  </si>
  <si>
    <t>Idemat2021 35NiCr18</t>
  </si>
  <si>
    <t>Idemat2021 36NiCr6</t>
  </si>
  <si>
    <t>Idemat2021 37MnSi5</t>
  </si>
  <si>
    <t>Idemat2021 42CrMo4</t>
  </si>
  <si>
    <t>Idemat2021 50 CrV4</t>
  </si>
  <si>
    <t>Idemat2021 C15</t>
  </si>
  <si>
    <t>Idemat2021 C35</t>
  </si>
  <si>
    <t>Idemat2021 C45</t>
  </si>
  <si>
    <t>Idemat2021 C55</t>
  </si>
  <si>
    <t>Idemat2021 C60</t>
  </si>
  <si>
    <t xml:space="preserve">Materials, metals, ferro, steel high temperature </t>
  </si>
  <si>
    <t>Idemat2021 13CrMo4 5 (1.7335)</t>
  </si>
  <si>
    <t>Idemat2021 21MoV53</t>
  </si>
  <si>
    <t>Idemat2021 22Mo4</t>
  </si>
  <si>
    <t>Idemat2021 28NiCrMo4</t>
  </si>
  <si>
    <t xml:space="preserve">Materials, metals, ferro, steel low temperature </t>
  </si>
  <si>
    <t>Idemat2021 15NiMn6 (1.6228)</t>
  </si>
  <si>
    <t>Idemat2021 A514(A)</t>
  </si>
  <si>
    <t>Idemat2021 ASt35 (1.0346)</t>
  </si>
  <si>
    <t>Idemat2021 X12CrNi 18 9</t>
  </si>
  <si>
    <t>Idemat2021 X12Ni5 (1.5680)</t>
  </si>
  <si>
    <t>Idemat2021 X8Ni9</t>
  </si>
  <si>
    <t xml:space="preserve">Materials, metals, ferro, steel spring </t>
  </si>
  <si>
    <t>Idemat2021 38Si6</t>
  </si>
  <si>
    <t>Idemat2021 50CrV4</t>
  </si>
  <si>
    <t>Idemat2021 55Si7</t>
  </si>
  <si>
    <t>Idemat2021 67SiCr5</t>
  </si>
  <si>
    <t xml:space="preserve">Materials, metals, non ferro </t>
  </si>
  <si>
    <t>Idemat2021 Aluminium  (primary)</t>
  </si>
  <si>
    <t>Idemat2021 Aluminium (secondary)</t>
  </si>
  <si>
    <t>Idemat2021 Aluminium trade mix (66% prim 33% sec)</t>
  </si>
  <si>
    <t>Idemat2021 Antimony, CRM (virgin)</t>
  </si>
  <si>
    <t>Idemat2021 Cadmium</t>
  </si>
  <si>
    <t>Idemat2021 Chromium, CRM (virgin)</t>
  </si>
  <si>
    <t>Idemat2021 Cobalt, CRM (virgin)</t>
  </si>
  <si>
    <t>Idemat2021 Copper (primary)</t>
  </si>
  <si>
    <t>Idemat2021 Copper (secondary)</t>
  </si>
  <si>
    <t>Idemat2021 Copper wire, plate, pipe, trade mix ( 56% prim 44% sec)</t>
  </si>
  <si>
    <t>Idemat2021 Gallium, CRM (virgin)</t>
  </si>
  <si>
    <t>Idemat2021 Gold (primary)</t>
  </si>
  <si>
    <t>Idemat2021 Gold (secondary)</t>
  </si>
  <si>
    <t>Idemat2021 Gold trade mix (47% prim 53% sec)</t>
  </si>
  <si>
    <t>Idemat2021 Indium, CRM (virgin)</t>
  </si>
  <si>
    <t>Idemat2021 Lead (primary)</t>
  </si>
  <si>
    <t>Idemat2021 Lead (secondary)</t>
  </si>
  <si>
    <t>Idemat2021 Lead trade mix ( 25% prim 75% sec)</t>
  </si>
  <si>
    <t>Idemat2021 Lithium</t>
  </si>
  <si>
    <t>Idemat2021 Magnesium, CRM (primary)</t>
  </si>
  <si>
    <t>Idemat2021 Magnesium, CRM (secondary)</t>
  </si>
  <si>
    <t>Idemat2021 Magnesium, CRM, trade mix (57% prim 43% sec)</t>
  </si>
  <si>
    <t>Idemat2021 Manganese</t>
  </si>
  <si>
    <t>Idemat2021 Mercury (primary)</t>
  </si>
  <si>
    <t>Idemat2021 Molybdenum</t>
  </si>
  <si>
    <t>Idemat2021 Nickel (primary)</t>
  </si>
  <si>
    <t>Idemat2021 Nickel (secondary)</t>
  </si>
  <si>
    <t>Idemat2021 Nickel trade mix (70% prim 30% sec)</t>
  </si>
  <si>
    <t>Idemat2021 Palladium, CRM (primary)</t>
  </si>
  <si>
    <t>Idemat2021 Palladium, CRM (secondary)</t>
  </si>
  <si>
    <t>Idemat2021 Palladium, CRM, trade mix (97% prim 3% sec)</t>
  </si>
  <si>
    <t>Idemat2021 Platinum, CRM (primary)</t>
  </si>
  <si>
    <t>Idemat2021 Platinum, CRM (secondary)</t>
  </si>
  <si>
    <t>Idemat2021 Platinum, CRM, trade mix (95% prim 5% sec)</t>
  </si>
  <si>
    <t>Idemat2021 Rhodium, CRM (primary)</t>
  </si>
  <si>
    <t>Idemat2021 Rhodium, CRM (secondary)</t>
  </si>
  <si>
    <t>Idemat2021 Rhodium, CRM, trade mix (85% prim 15% sec)</t>
  </si>
  <si>
    <t>Idemat2021 Silicon</t>
  </si>
  <si>
    <t>Idemat2021 Silver (primary)</t>
  </si>
  <si>
    <t>Idemat2021 Silver (secondary)</t>
  </si>
  <si>
    <t>Idemat2021 Silver trade mix (34% prim 66% sec)</t>
  </si>
  <si>
    <t>Idemat2021 Tantalum</t>
  </si>
  <si>
    <t>Idemat2021 Tellurium</t>
  </si>
  <si>
    <t>Idemat2021 Tin</t>
  </si>
  <si>
    <t>Idemat2021 Titanium (primary)</t>
  </si>
  <si>
    <t>Idemat2021 Titanium (secondary)</t>
  </si>
  <si>
    <t>Idemat2021 Titanium trade mix (77% prim, 23% sec)</t>
  </si>
  <si>
    <t>Idemat2021 Tungsten, CRM (virgin)</t>
  </si>
  <si>
    <t>Idemat2021 Vanadium</t>
  </si>
  <si>
    <t>Idemat2021 Zinc (primary)</t>
  </si>
  <si>
    <t>Idemat2021 Zinc (secondary)</t>
  </si>
  <si>
    <t>Idemat2021 Zinc trade mix (77% prim 23% sec)</t>
  </si>
  <si>
    <t>Idemat2021 Rare Earth Cerium</t>
  </si>
  <si>
    <t>Idemat2021 Rare Earth Dysprosium</t>
  </si>
  <si>
    <t>Idemat2021 Rare Earth Erbium</t>
  </si>
  <si>
    <t>Idemat2021 Rare Earth Eutropium</t>
  </si>
  <si>
    <t>Idemat2021 Rare Earth Gadolinium</t>
  </si>
  <si>
    <t>Idemat2021 Rare Earth Lanthanum</t>
  </si>
  <si>
    <t>Idemat2021 Rare Earth Mischmetal: Cerium 67%, lanthanum 20%, Neodimium 11%, rest 2%</t>
  </si>
  <si>
    <t>Idemat2021 Rare Earth Neodymium</t>
  </si>
  <si>
    <t>Idemat2021 Rare Earth Praseodymium</t>
  </si>
  <si>
    <t>Idemat2021 Rare Earth Samarium</t>
  </si>
  <si>
    <t>Idemat2021 Rare Earth Scandium</t>
  </si>
  <si>
    <t>Idemat2021 Rare Earth Terbium</t>
  </si>
  <si>
    <t>Idemat2021 Rare Earth Ytterbium</t>
  </si>
  <si>
    <t>Idemat2021 Rare Earth Yttrium</t>
  </si>
  <si>
    <t xml:space="preserve">Materials, metals, non ferro, aluminiums </t>
  </si>
  <si>
    <t>Idemat2021 Al99</t>
  </si>
  <si>
    <t>Idemat2021 AlCuMg1 (2017)</t>
  </si>
  <si>
    <t>Idemat2021 AlCuMg2 (2024)</t>
  </si>
  <si>
    <t>Idemat2021 AlCuMgPb (2011)</t>
  </si>
  <si>
    <t>Idemat2021 AlCuSiMg (2036)</t>
  </si>
  <si>
    <t>Idemat2021 AlMg1 (5005)</t>
  </si>
  <si>
    <t>Idemat2021 AlMg3 (5754a)</t>
  </si>
  <si>
    <t>Idemat2021 AlMg4.5Mn (5182)</t>
  </si>
  <si>
    <t>Idemat2021 AlMgSi0.5 (6060)</t>
  </si>
  <si>
    <t>Idemat2021 AlMgSi0.7 (6005)</t>
  </si>
  <si>
    <t>Idemat2021 AlMn1 (3003)</t>
  </si>
  <si>
    <t>Idemat2021 AlMn1.2Mg1 (3004)</t>
  </si>
  <si>
    <t>Idemat2021 AlSiMgMn (6009)</t>
  </si>
  <si>
    <t>Idemat2021 AlZnCuMg (7075)</t>
  </si>
  <si>
    <t>Idemat2021 G-AlCu4TiMg (204)</t>
  </si>
  <si>
    <t>Idemat2021 G-AlMg3 (242)</t>
  </si>
  <si>
    <t>Idemat2021 G-AlMg5 (314)</t>
  </si>
  <si>
    <t>Idemat2021 G-AlSi12 (230)</t>
  </si>
  <si>
    <t>Idemat2021 G-AlSi12Cu (231)</t>
  </si>
  <si>
    <t>Idemat2021 G-AlSi7Mg (Thixo)</t>
  </si>
  <si>
    <t>Idemat2021 G-AlSi8Cu3 (380)</t>
  </si>
  <si>
    <t xml:space="preserve">Materials, metals, non ferro, coppers </t>
  </si>
  <si>
    <t>Idemat2021 Copper (primary in Europe)</t>
  </si>
  <si>
    <t>Idemat2021 Cu-E</t>
  </si>
  <si>
    <t>Idemat2021 CuAg-E</t>
  </si>
  <si>
    <t>Idemat2021 CuAl5</t>
  </si>
  <si>
    <t>Idemat2021 CuNi10Fe</t>
  </si>
  <si>
    <t>Idemat2021 CuNi18Zn</t>
  </si>
  <si>
    <t>Idemat2021 CuNi44Mn</t>
  </si>
  <si>
    <t>Idemat2021 CuSn6.7P</t>
  </si>
  <si>
    <t>Idemat2021 CuSn8</t>
  </si>
  <si>
    <t>Idemat2021 CuZn15</t>
  </si>
  <si>
    <t>Idemat2021 CuZn30</t>
  </si>
  <si>
    <t>Idemat2021 CuZn37</t>
  </si>
  <si>
    <t>Idemat2021 CuZn40</t>
  </si>
  <si>
    <t>Idemat2021 CuZn40Pb (Brass, alpha-beta, machinable)</t>
  </si>
  <si>
    <t>Idemat2021 G-CuAl10Fe</t>
  </si>
  <si>
    <t>Idemat2021 G-CuAl10Ni</t>
  </si>
  <si>
    <t>Idemat2021 G-CuNi10</t>
  </si>
  <si>
    <t>Idemat2021 G-CuSn10</t>
  </si>
  <si>
    <t>Idemat2021 G-CuSn12</t>
  </si>
  <si>
    <t>Idemat2021 G-CuSn5Zn5Pb5</t>
  </si>
  <si>
    <t>Idemat2021 G-CuZn15</t>
  </si>
  <si>
    <t>Idemat2021 G-CuZn37Pb</t>
  </si>
  <si>
    <t>Idemat2021 G-CuZn40</t>
  </si>
  <si>
    <t>Materials, metals, non ferro, magnesiums</t>
  </si>
  <si>
    <t>Idemat2021 AM100A</t>
  </si>
  <si>
    <t>Idemat2021 AM503</t>
  </si>
  <si>
    <t>Idemat2021 G-MgAl6Zn3</t>
  </si>
  <si>
    <t>Idemat2021 G-MgAl8Zn1</t>
  </si>
  <si>
    <t>Idemat2021 G-MgAl9Zn2</t>
  </si>
  <si>
    <t>Idemat2021 GD-MgAl9Zn1</t>
  </si>
  <si>
    <t>Idemat2021 MgAl3Zn</t>
  </si>
  <si>
    <t>Idemat2021 MgAl6Zn</t>
  </si>
  <si>
    <t>Idemat2021 MgMn1.5</t>
  </si>
  <si>
    <t>Idemat2021 MgZn6Zr</t>
  </si>
  <si>
    <t>Materials, metals, non ferro, nickels</t>
  </si>
  <si>
    <t>Idemat2021 Duranik</t>
  </si>
  <si>
    <t>Idemat2021 Invar</t>
  </si>
  <si>
    <t>Idemat2021 Mumetal</t>
  </si>
  <si>
    <t>Idemat2021 Ni 99.6</t>
  </si>
  <si>
    <t>Idemat2021 Ni span C902</t>
  </si>
  <si>
    <t>Idemat2021 NiCr 80 20</t>
  </si>
  <si>
    <t>Idemat2021 NiCr20Co18Ti</t>
  </si>
  <si>
    <t>Idemat2021 NiCr20TiAl</t>
  </si>
  <si>
    <t>Idemat2021 NiCu30Al</t>
  </si>
  <si>
    <t>Idemat2021 NiCu30Fe</t>
  </si>
  <si>
    <t>Idemat2021 NiFe 50 50</t>
  </si>
  <si>
    <t>Idemat2021 NiMo30</t>
  </si>
  <si>
    <t>Idemat2021 Supermalloy</t>
  </si>
  <si>
    <t>Materials, metals, non ferro, titaniums</t>
  </si>
  <si>
    <t>Idemat2021 TiAl5Sn2</t>
  </si>
  <si>
    <t>Idemat2021 TiAl6V4</t>
  </si>
  <si>
    <t>Idemat2021 TiV15SnCrAl3</t>
  </si>
  <si>
    <t>Materials, metals, non ferro, zincs</t>
  </si>
  <si>
    <t>Idemat2021 G-ZnAlCu</t>
  </si>
  <si>
    <t>Idemat2021 Zamak3</t>
  </si>
  <si>
    <t>Idemat2021 Zamak5</t>
  </si>
  <si>
    <t>Idemat2021 Zinc (super plastic)</t>
  </si>
  <si>
    <t>Idemat2021 ZnCuTi</t>
  </si>
  <si>
    <t>Materials, metals, others</t>
  </si>
  <si>
    <t>Idemat2021 Barium Ferrite magnet, ceramic 4 MGOe</t>
  </si>
  <si>
    <t>Idemat2021 Neonybium magnet (NdFeB, NEO) 50 MGOe</t>
  </si>
  <si>
    <t>Idemat2021 Neonybium magnet (NdFeB, NEO) corrosion resistant, 50 MGOe</t>
  </si>
  <si>
    <t>Idemat2021 Nitride magnet (Fe16N2), 130 MGOe</t>
  </si>
  <si>
    <t>Idemat2021 SmCo (1:5) magnet, 20 MGOe</t>
  </si>
  <si>
    <t>Materials, packaging, general</t>
  </si>
  <si>
    <t>Idemat2021 Board and recycled paper (test liner and fluting)</t>
  </si>
  <si>
    <t>Idemat2021 Brown paper (kraft liner), FSC</t>
  </si>
  <si>
    <t>Idemat2021 Brown paper (kraft liner), FSC 70 gr/m2</t>
  </si>
  <si>
    <t>Idemat2021 Brown paper (kraft liner), unsustainable</t>
  </si>
  <si>
    <t>Idemat2021 Molded fiber products</t>
  </si>
  <si>
    <t>Idemat2021 Paper, woodfree uncoated (virgin paper), FSC</t>
  </si>
  <si>
    <t>Idemat2021 Paper, woodfree uncoated (virgin paper), FSC 80 gr/m2</t>
  </si>
  <si>
    <t>Idemat2021 Paper, woodfree uncoated (virgin paper), unsustainable</t>
  </si>
  <si>
    <t>Idemat2021 Printing, flexography with coating</t>
  </si>
  <si>
    <t>Idemat2021 Semichemical fluting, virgin, FSC</t>
  </si>
  <si>
    <t>Idemat2021 Semichemical fluting, virgin, unsustainable</t>
  </si>
  <si>
    <t>Materials, packaging MAP films</t>
  </si>
  <si>
    <t>Idemat2021 film HDPE 50 mu</t>
  </si>
  <si>
    <t>Idemat2021 film LDPE 50 mu</t>
  </si>
  <si>
    <t>Idemat2021 film PC 50 mu</t>
  </si>
  <si>
    <t>Idemat2021 film PET / PE+EVOH+PE 62 mu for MAP</t>
  </si>
  <si>
    <t>Idemat2021 film PET 50 mu</t>
  </si>
  <si>
    <t>Idemat2021 film PET+ALOx / LDPE 62 mu for MAP</t>
  </si>
  <si>
    <t>Idemat2021 film PET+PVOH / LDPE 62 mu for MAP</t>
  </si>
  <si>
    <t>Idemat2021 film PLA (biobased) 50 mu</t>
  </si>
  <si>
    <t>Idemat2021 film PP 50 mu</t>
  </si>
  <si>
    <t>Idemat2021 film PP+PVDC 62 mu for MAP</t>
  </si>
  <si>
    <t>Idemat2021 film PS (shrink) 50 mu</t>
  </si>
  <si>
    <t>Idemat2021 film PVC (stiff, shrink) 50 mu</t>
  </si>
  <si>
    <t>Idemat2021 Printing of multilayer film</t>
  </si>
  <si>
    <t>Materials, packaging MAP gasses</t>
  </si>
  <si>
    <t>Idemat2021 MAP Carbon Dioxide gas at 1 bar 0 degr C</t>
  </si>
  <si>
    <t>Idemat2021 MAP Nitrogen gas at 1 bar 0 degr C</t>
  </si>
  <si>
    <t>Idemat2021 MAP Oxygen gas at 1 bar 0 degr C</t>
  </si>
  <si>
    <t>Materials, plastics, biopolymers</t>
  </si>
  <si>
    <t>Idemat2021 bio-PE (Polyethylene) not biodegradable</t>
  </si>
  <si>
    <t>Idemat2021 bio-PET (bottle grade) not biodegradable</t>
  </si>
  <si>
    <t>Idemat2021 CA (Cellulose polymers, bio-based not biodegradable) estimate</t>
  </si>
  <si>
    <t>Idemat2021 PA-11 (Nylon-11), bio-based not biodegradable, estimate</t>
  </si>
  <si>
    <t>Idemat2021 PHA or PHB (Polyhydroxyalkanoates, biodegradeble), estimate</t>
  </si>
  <si>
    <t>Idemat2021 PLA (Polylactide, biodegradeble)</t>
  </si>
  <si>
    <t>Idemat2021 TPS (Starch-based thermoplastics, biodegradable), estimate</t>
  </si>
  <si>
    <t>Materials, plastics, upcycled plastics</t>
  </si>
  <si>
    <t>Idemat2021 ABS (Acrylonitrile butadiene styrene) upcycled (estimate)</t>
  </si>
  <si>
    <t>Idemat2021 CA (Cellelose polymers) upcycled (estimate)</t>
  </si>
  <si>
    <t>Idemat2021 EVA (Ethylene vinyl acetate) upcycled (estimate)</t>
  </si>
  <si>
    <t>Idemat2021 Flexible Polymeer Foam (PE), upcycled (estimate)</t>
  </si>
  <si>
    <t>Idemat2021 Ionomer, upcycled (estimate)</t>
  </si>
  <si>
    <t>Idemat2021 Moulded Recycled mixed polymer</t>
  </si>
  <si>
    <t>Idemat2021 PA-11 (Nylon-11), upcycled, estimate</t>
  </si>
  <si>
    <t>Idemat2021 PA (Nylons) upcycled (estimate)</t>
  </si>
  <si>
    <t>Idemat2021 PC (Polycarbonate) upclycled (estimate)</t>
  </si>
  <si>
    <t>Idemat2021 PE/bio-PE (Polyethylene) upcycled (estimate)</t>
  </si>
  <si>
    <t>Idemat2021 PEEK (Polyetheretherketone) upcycled (estimate)</t>
  </si>
  <si>
    <t>Idemat2021 PET/bio-PET upcycled (estimate)</t>
  </si>
  <si>
    <t>Idemat2021 PHA and PHB (Polyhydroxyalkanoates, biodegradeble), upcycled (estimate)</t>
  </si>
  <si>
    <t>Idemat2021 PLA (Polylactide, starch based biodegradeble plastic), upcycled (estimate)</t>
  </si>
  <si>
    <t>Idemat2021 PMMA (Polymethyl methacrylate) upcycled (estimate)</t>
  </si>
  <si>
    <t>Idemat2021 POM (Polyoxymethylene) upcycled (estimate)</t>
  </si>
  <si>
    <t>Idemat2021 PP (Polypropylene) upcycled (estimate)</t>
  </si>
  <si>
    <t>Idemat2021 PS (Polystyrene) upcycled (estimate)</t>
  </si>
  <si>
    <t>Idemat2021 PTFE (Teflon), upcycled (estimate)</t>
  </si>
  <si>
    <t>Idemat2021 PTT (Polyltrimethylene terephthalate), upcycled, estimate</t>
  </si>
  <si>
    <t>Idemat2021 PUR (Polyurethane) upcycled (estimate)</t>
  </si>
  <si>
    <t>Idemat2021 PVC (Polyvinylchloride) upcycled (estimate)</t>
  </si>
  <si>
    <t>Idemat2021 TPS (Starch-based thermoplastics) upcycled (estimate)</t>
  </si>
  <si>
    <t>Idemat2021. mechanical recycled plastic pellets (downcycled)</t>
  </si>
  <si>
    <t xml:space="preserve">Materials, plastics, rubbers             </t>
  </si>
  <si>
    <t>Idemat2021 BR and PIB (butadiene rubber and butyl rubber)</t>
  </si>
  <si>
    <t>Idemat2021 EPDM (ethylene propylene diene monomer rubber)</t>
  </si>
  <si>
    <t>Idemat2021 EVA (ethylene vinyl acetate rubber) estimate</t>
  </si>
  <si>
    <t>Idemat2021 IR (polyisoprene rubber) estimate</t>
  </si>
  <si>
    <t>Idemat2021 Natural rubber</t>
  </si>
  <si>
    <t>Idemat2021 NBR (nitrile rubber)</t>
  </si>
  <si>
    <t>Idemat2021 Polychloroprene (Neoprene , CR) rubber estimate</t>
  </si>
  <si>
    <t>Idemat2021 PU (polyurethane) rubber for shoe soles</t>
  </si>
  <si>
    <t>Idemat2021 SAN (Styrene-acrylonitrile copolymer)</t>
  </si>
  <si>
    <t>Idemat2021 SBR (Styrene butadiene rubber)</t>
  </si>
  <si>
    <t>Idemat2021 Silicone rubber, estimate</t>
  </si>
  <si>
    <t xml:space="preserve">Materials, plastics, Thermoplasts                         </t>
  </si>
  <si>
    <t>Idemat2021 ABS (Acrylonitrile butadiene styrene)</t>
  </si>
  <si>
    <t>Idemat2021 ABS 30% glass fibre</t>
  </si>
  <si>
    <t>Idemat2021 Ionomer, estimate</t>
  </si>
  <si>
    <t>Idemat2021 PA 6 (Nylon 6, Polyamide 6)</t>
  </si>
  <si>
    <t>Idemat2021 PA 6 GF30</t>
  </si>
  <si>
    <t>Idemat2021 PA 66 (Nylon 66, Polyamide 6-6)</t>
  </si>
  <si>
    <t>Idemat2021 PA 66 GF30</t>
  </si>
  <si>
    <t>Idemat2021 PB (Polybutadiene)</t>
  </si>
  <si>
    <t>Idemat2021 PC (Polycarbonate)</t>
  </si>
  <si>
    <t>Idemat2021 PC 30% glass fibre</t>
  </si>
  <si>
    <t>Idemat2021 PE (HDPE, High density Polyethylene)</t>
  </si>
  <si>
    <t>Idemat2021 PE (LDPE, Low density Polyethylene)</t>
  </si>
  <si>
    <t>Idemat2021 PE (LLDPE, Linear low density Polyethylene)</t>
  </si>
  <si>
    <t>Idemat2021 PE (Polyethylene) expanded</t>
  </si>
  <si>
    <t>Idemat2021 PEEK (Polyetheretherketone), estimate</t>
  </si>
  <si>
    <t>Idemat2021 PET 30% glass fibre</t>
  </si>
  <si>
    <t>Idemat2021 PET amorphous</t>
  </si>
  <si>
    <t>Idemat2021 PET bottle grade</t>
  </si>
  <si>
    <t>Idemat2021 PMMA (Polymethyl methacrylate)</t>
  </si>
  <si>
    <t>Idemat2021 POM (Polyoxymethyleen, polyacetaal)</t>
  </si>
  <si>
    <t>Idemat2021 PP (Polypropylene)</t>
  </si>
  <si>
    <t>Idemat2021 PP GF30</t>
  </si>
  <si>
    <t>Idemat2021 PS (EPS, expandable polystyrene)</t>
  </si>
  <si>
    <t>Idemat2021 PS (GPPS, general purpose polystyrene)</t>
  </si>
  <si>
    <t>Idemat2021 PS (HIPS, high impact polysyrene)</t>
  </si>
  <si>
    <t>Idemat2021 PTFE (Teflon, Polytetrafluoroethylene), estimate</t>
  </si>
  <si>
    <t>Idemat2021 PTT (Polyltrimethylene terephthalate), estimate</t>
  </si>
  <si>
    <t>Idemat2021 PVAC (wood glue)</t>
  </si>
  <si>
    <t>Idemat2021 PVC (Polyvinylchloride emulsion polymerised)</t>
  </si>
  <si>
    <t>Idemat2021 PVC (Polyvinylchloride suspension polymerised)</t>
  </si>
  <si>
    <t>Idemat2021 PVC (Polyvinylchloride, trade mix)</t>
  </si>
  <si>
    <t>Idemat2021 PVDC (Polyvinyliden chloride)</t>
  </si>
  <si>
    <t xml:space="preserve">Materials, plastics, Thermosets                          </t>
  </si>
  <si>
    <t>Idemat2021 CFRP 25% carbon</t>
  </si>
  <si>
    <t>Idemat2021 Epoxy resin</t>
  </si>
  <si>
    <t>Idemat2021 MF (resin)</t>
  </si>
  <si>
    <t>Idemat2021 PF (resin)</t>
  </si>
  <si>
    <t>Idemat2021 Phenolics (Bakelite)</t>
  </si>
  <si>
    <t>Idemat2021 Polyester (unsaturated)</t>
  </si>
  <si>
    <t>Idemat2021 PUR flex. block foam TDI</t>
  </si>
  <si>
    <t>Idemat2021 PUR flex. moulded  TDI with flame retardant</t>
  </si>
  <si>
    <t>Idemat2021 PUR flex. moulded TDI</t>
  </si>
  <si>
    <t>Idemat2021 PUR flex. moulded. MDI</t>
  </si>
  <si>
    <t>Idemat2021 PUR rigid foam MDI</t>
  </si>
  <si>
    <t>Idemat2021 SMC and DMC 25% GL</t>
  </si>
  <si>
    <t>Idemat2021 SMC and DMC 50% GL</t>
  </si>
  <si>
    <t>Idemat2021 UF (resin)</t>
  </si>
  <si>
    <t xml:space="preserve">Materials, plastics, Special              </t>
  </si>
  <si>
    <t>Idemat2021 Bisphenol A</t>
  </si>
  <si>
    <t>Idemat2021 DEHP (phthalate)</t>
  </si>
  <si>
    <t>Idemat2021 DINP (phthalate)</t>
  </si>
  <si>
    <t>Idemat2021 Epichlorohydrin</t>
  </si>
  <si>
    <t>Idemat2021 EVOH (film barrier of gasses)</t>
  </si>
  <si>
    <t>Idemat2021 Formaldehyde</t>
  </si>
  <si>
    <t>Idemat2021 MDI</t>
  </si>
  <si>
    <t>Idemat2021 MMA monomer</t>
  </si>
  <si>
    <t>Idemat2021 Nafion</t>
  </si>
  <si>
    <t>Idemat2021 Paperfoam</t>
  </si>
  <si>
    <t>Idemat2021 PET upcycled Ioniqa process</t>
  </si>
  <si>
    <t>Idemat2021 Polyether-polyols</t>
  </si>
  <si>
    <t>Idemat2021 PPS</t>
  </si>
  <si>
    <t>Idemat2021 PVOH or PVA (water-soluble film)</t>
  </si>
  <si>
    <t>Idemat2021 TDI</t>
  </si>
  <si>
    <t>Materials, textiles; A.140.02 Materials, textile processes; A.140.03 Materials, textile products</t>
  </si>
  <si>
    <t>Idemat2021 Acryl (100% Acrylonitrile) polymer pellet production</t>
  </si>
  <si>
    <t>Idemat2021 BioCotton fibre from China/India (without global seatransport)</t>
  </si>
  <si>
    <t>Idemat2021 BioCotton fibre from USA (without global seatransport)</t>
  </si>
  <si>
    <t>Idemat2021 Cotton fibre from China (without global seatransport)</t>
  </si>
  <si>
    <t>Idemat2021 Cotton fibre from USA (without global seatransport)</t>
  </si>
  <si>
    <t>Idemat2021 Cotton fibre trade mix (without global seatransport)</t>
  </si>
  <si>
    <t>Idemat2021 Elastane (polyurethane) polymer pellet production</t>
  </si>
  <si>
    <t>Idemat2021 Fleece from recycled PET bottles</t>
  </si>
  <si>
    <t>Idemat2021 Jute fibre trade mix, degummed</t>
  </si>
  <si>
    <t>Idemat2021 Jute fibre, India, irrigation, degummed</t>
  </si>
  <si>
    <t>Idemat2021 Jute fibre, India, rain fed, degummed with renewable fuel</t>
  </si>
  <si>
    <t>Idemat2021 Kenaf fibre, India, degummed</t>
  </si>
  <si>
    <t>Idemat2021 Kenaf fibre, Italy, degummed with renewable fuel</t>
  </si>
  <si>
    <t>Idemat2021 Nylon polymer pellet production</t>
  </si>
  <si>
    <t>Idemat2021 PET polymer pellet production</t>
  </si>
  <si>
    <t>Idemat2021 PLA (polylactide) pellet production</t>
  </si>
  <si>
    <t>Idemat2021 Sorona (PTT) biobased</t>
  </si>
  <si>
    <t>Idemat2021 Viscose production</t>
  </si>
  <si>
    <t>Idemat2021 Wool from US (with transport to rotterdam)</t>
  </si>
  <si>
    <t>Idemat2021. dyeing, with pollution, without materials input, India</t>
  </si>
  <si>
    <t>Idemat2021. dyeing, without materials input, Europe</t>
  </si>
  <si>
    <t>Idemat2021. heat setting and washing synthetic fabrics</t>
  </si>
  <si>
    <t>Idemat2021. knitting  83 dtex</t>
  </si>
  <si>
    <t>Idemat2021. knitting 200 dtex</t>
  </si>
  <si>
    <t>Idemat2021. knitting 300 dtex</t>
  </si>
  <si>
    <t>Idemat2021. pretreatment of cotton</t>
  </si>
  <si>
    <t>Idemat2021. spinning cotton  45 dtex</t>
  </si>
  <si>
    <t>Idemat2021. spinning cotton  70 dtex</t>
  </si>
  <si>
    <t>Idemat2021. spinning cotton 100 dtex</t>
  </si>
  <si>
    <t>Idemat2021. spinning cotton 150 dtex</t>
  </si>
  <si>
    <t>Idemat2021. spinning cotton 200 dtex</t>
  </si>
  <si>
    <t>Idemat2021. spinning cotton 300 dtex</t>
  </si>
  <si>
    <t>Idemat2021. spinning cotton 400 dtex</t>
  </si>
  <si>
    <t>Idemat2021. spinning cotton 500 dtex</t>
  </si>
  <si>
    <t>Idemat2021. spinning extruder polymer filaments  (80 - 500 dtex)</t>
  </si>
  <si>
    <t>Idemat2021. spinning viscose fibres (80-500 dtex)</t>
  </si>
  <si>
    <t>Idemat2021. texturing polymer fibres</t>
  </si>
  <si>
    <t>Idemat2021. weaving  15 dtex</t>
  </si>
  <si>
    <t>Idemat2021. weaving  30 dtex</t>
  </si>
  <si>
    <t>Idemat2021. weaving  45 dtex</t>
  </si>
  <si>
    <t>Idemat2021. weaving  70 dtex</t>
  </si>
  <si>
    <t>Idemat2021. weaving 100 dtex</t>
  </si>
  <si>
    <t>Idemat2021. weaving 150 dtex</t>
  </si>
  <si>
    <t>Idemat2021. weaving 200 dtex</t>
  </si>
  <si>
    <t>Idemat2021. weaving 300 dtex</t>
  </si>
  <si>
    <t>Idemat2021. weaving 400 dtex</t>
  </si>
  <si>
    <t>Idemat2021. weaving 500 dtex</t>
  </si>
  <si>
    <t>Idemat2021.. Geotextiles (PP, 500 dTex, woven)</t>
  </si>
  <si>
    <t>Note: all wood is at warehouse in Rotterdam, unless specified otherwise</t>
  </si>
  <si>
    <t>Materials, wood, Class I (&gt;25y)</t>
  </si>
  <si>
    <t>Idemat2021 Afrormosia FSC/PEFC 700 (kg/m3)</t>
  </si>
  <si>
    <t>Idemat2021 Afrormosia natural forest 700 (kg/m3)</t>
  </si>
  <si>
    <t>Idemat2021 Afzelia FCS/PEFCt 820 (kg/m3)</t>
  </si>
  <si>
    <t>Idemat2021 Afzelia natural forest 820 (kg/m3)</t>
  </si>
  <si>
    <t>Idemat2021 Guaiacum wood FSC/PEFC 1250 (kg/m3)</t>
  </si>
  <si>
    <t>Idemat2021 Guaiacum wood natural forest 1250 (kg/m3)</t>
  </si>
  <si>
    <t>Idemat2021 Iroko FSC/PEFC 650 (kg/m3)</t>
  </si>
  <si>
    <t>Idemat2021 Iroko natural forest 650 (kg/m3)</t>
  </si>
  <si>
    <t>Idemat2021 Makore FSC/PEFC 660 (kg/m3)</t>
  </si>
  <si>
    <t>Idemat2021 Makore natural forest 660 (kg/m3)</t>
  </si>
  <si>
    <t>Idemat2021 Mansonia FSC/PEFC 620 (kg/m3)</t>
  </si>
  <si>
    <t>Idemat2021 Mansonia natural forest 620 (kg/m3)</t>
  </si>
  <si>
    <t>Idemat2021 Moabi FSC/PEFC 815 (kg/m3)</t>
  </si>
  <si>
    <t>Idemat2021 Moabi natural forest 815 (kg/m3)</t>
  </si>
  <si>
    <t>Idemat2021 Padouk, African FSC/PEFC 740 (kg/m3)</t>
  </si>
  <si>
    <t>Idemat2021 Padouk, African natural forest 740 (kg/m3)</t>
  </si>
  <si>
    <t>Idemat2021 Palissander, Indisch FSC/PEFC 850 (kg/m3)</t>
  </si>
  <si>
    <t>Idemat2021 Palissander, Indisch natural forest 850 (kg/m3)</t>
  </si>
  <si>
    <t>Idemat2021 Robinia FSC/PEFC 740 (kg/m3)</t>
  </si>
  <si>
    <t>Idemat2021 Teak FSC/PEFC 665 (kg/m3)</t>
  </si>
  <si>
    <t>Idemat2021 Teak natural forest 665 (kg/m3)</t>
  </si>
  <si>
    <t>Materials, wood, Class II (15-25y)</t>
  </si>
  <si>
    <t>Idemat2021 Agba FSC/PEFC 500 (kg/m3)</t>
  </si>
  <si>
    <t>Idemat2021 Agba natural forest 500 (kg/m3)</t>
  </si>
  <si>
    <t>Idemat2021 Angelique FSC 735 (kg/m3)</t>
  </si>
  <si>
    <t>Idemat2021 Angelique natural forest 735 (kg/m3)</t>
  </si>
  <si>
    <t>Idemat2021 Azobé FSC/PEFC 1060 (kg/m3)</t>
  </si>
  <si>
    <t>Idemat2021 Azobé natural forest 1060 (kg/m3)</t>
  </si>
  <si>
    <t>Idemat2021 Bosse clair FSC/PEFC 575 (kg/m3)</t>
  </si>
  <si>
    <t>Idemat2021 Bosse clair natural forest 575 (kg/m3)</t>
  </si>
  <si>
    <t>Idemat2021 Bubinga FSC/PEFC 830 (kg/m3)</t>
  </si>
  <si>
    <t>Idemat2021 Bubinga natural forest 830 (kg/m3)</t>
  </si>
  <si>
    <t>Idemat2021 Cedar, American FSC/PEFC 490 (kg/m3)</t>
  </si>
  <si>
    <t>Idemat2021 Cedar, American natural forest 490 (kg/m3)</t>
  </si>
  <si>
    <t>Idemat2021 Chestnut FSC/PEFC 540 (kg/m3)</t>
  </si>
  <si>
    <t>Idemat2021 Cordia FCS/PEFC 540 (kg/m3)</t>
  </si>
  <si>
    <t>Idemat2021 Cordia natural forest 540 (kg/m3)</t>
  </si>
  <si>
    <t>Idemat2021 Idigbo FSC/PEFC 550 (kg/m3)</t>
  </si>
  <si>
    <t>Idemat2021 Idigbo natural forest 550 (kg/m3)</t>
  </si>
  <si>
    <t>Idemat2021 Mahogany FSC/PEFC 1110 (kg/m3)</t>
  </si>
  <si>
    <t>Idemat2021 Mahogany natural forest 1110 (kg/m3)</t>
  </si>
  <si>
    <t>Idemat2021 Meranti FSC/PEFC 640 (kg/m3)</t>
  </si>
  <si>
    <t>Idemat2021 Meranti natural forest 640 (kg/m3)</t>
  </si>
  <si>
    <t>Idemat2021 Merbau FSC/PEFC 800 (kg/m3)</t>
  </si>
  <si>
    <t>Idemat2021 Merbau natural forest 800 (kg/m3)</t>
  </si>
  <si>
    <t>Idemat2021 Oak, European FSC/PEFC 710 (kg/m3)</t>
  </si>
  <si>
    <t>Idemat2021 Purpleheart FSC/PEFC 850 (kg/m3)</t>
  </si>
  <si>
    <t>Idemat2021 Purpleheart natural forest 850 (kg/m3)</t>
  </si>
  <si>
    <t>Idemat2021 Red Cedar, Western 370 (kg/m3)</t>
  </si>
  <si>
    <t>Idemat2021 Utile FSC/PEFC 640 (kg/m3)</t>
  </si>
  <si>
    <t>Idemat2021 Utile natural forest 640 (kg/m3)</t>
  </si>
  <si>
    <t>Idemat2021 Wengé FSC/PEFC 830 (kg/m3)</t>
  </si>
  <si>
    <t>Idemat2021 Wengé natural forest 830 (kg/m3)</t>
  </si>
  <si>
    <t>Materials, wood, Class III (10-15y)</t>
  </si>
  <si>
    <t>Idemat2021 Carapa FSC/PEFC 610 (kg/m3)</t>
  </si>
  <si>
    <t>Idemat2021 Carapa natural forest 610 (kg/m3)</t>
  </si>
  <si>
    <t>Idemat2021 Dibetou FSC/PEFC550 (kg/m3)</t>
  </si>
  <si>
    <t>Idemat2021 Dibetou natural forest 550 (kg/m3)</t>
  </si>
  <si>
    <t>Idemat2021 Kauri FSC/PEFC 485 (kg/m3)</t>
  </si>
  <si>
    <t>Idemat2021 Kauri natural forest 485 (kg/m3)</t>
  </si>
  <si>
    <t>Idemat2021 Kotibe FSC/PEFCt 760 (kg/m3)</t>
  </si>
  <si>
    <t>Idemat2021 Kotibe natural forest 760 (kg/m3)</t>
  </si>
  <si>
    <t>Idemat2021 Larch FSC/PEFC 600 (kg/m3)</t>
  </si>
  <si>
    <t>Idemat2021 Mahogany, African FSC/PEFC 640 (kg/m3)</t>
  </si>
  <si>
    <t>Idemat2021 Mahogany, African natural forest 640 (kg/m3)</t>
  </si>
  <si>
    <t>Idemat2021 Movigui FSC/PEFC 710 (kg/m3)</t>
  </si>
  <si>
    <t>Idemat2021 Movigui natural forest 710 (kg/m3)</t>
  </si>
  <si>
    <t>Idemat2021 Mutenye FSC/PEFCt 820 (kg/m3)</t>
  </si>
  <si>
    <t>Idemat2021 Mutenye natural forest 820 (kg/m3)</t>
  </si>
  <si>
    <t>Idemat2021 Niangon FSC/PEFC 710 (kg/m3)</t>
  </si>
  <si>
    <t>Idemat2021 Niangon natural forest 710 (kg/m3)</t>
  </si>
  <si>
    <t>Idemat2021 Olon FSC/PEFC 485 (kg/m3)</t>
  </si>
  <si>
    <t>Idemat2021 Olon natural forest 485 (kg/m3)</t>
  </si>
  <si>
    <t>Idemat2021 Oregon Pine FSC/PEFC 505 (kg/m3)</t>
  </si>
  <si>
    <t>Idemat2021 Oregon Pine natural forest 505 (kg/m3)</t>
  </si>
  <si>
    <t>Idemat2021 Peroba FSC/PEFC 750 (kg/m3)</t>
  </si>
  <si>
    <t>Idemat2021 Peroba natural forest 750 (kg/m3)</t>
  </si>
  <si>
    <t>Idemat2021 Pitch Pine FSC/PEFC 750 (kg/m3)</t>
  </si>
  <si>
    <t>Idemat2021 Pitch Pine natural forest 750 (kg/m3)</t>
  </si>
  <si>
    <t>Idemat2021 Sapelli FSC/PEFC 650 (kg/m3)</t>
  </si>
  <si>
    <t>Idemat2021 Sapelli natural forest 650 (kg/m3)</t>
  </si>
  <si>
    <t>Idemat2021 Scots pine FSC/PEFC 520 (kg/m3)</t>
  </si>
  <si>
    <t>Idemat2021 Tchitola FSC/PEFC 630 (kg/m3)</t>
  </si>
  <si>
    <t>Idemat2021 Tchitola natural forest 630 (kg/m3)</t>
  </si>
  <si>
    <t>Idemat2021 Tiama FSC/PEFC 560 (kg/m3)</t>
  </si>
  <si>
    <t>Idemat2021 Tiama natural forest 560 (kg/m3)</t>
  </si>
  <si>
    <t>Idemat2021 Walnut FSC/PEFC 670 (kg/m3)</t>
  </si>
  <si>
    <t>Idemat2021 Yang FSC/PEFC 750 (kg/m3)</t>
  </si>
  <si>
    <t>Idemat2021 Yang natural forest 750 (kg/m3)</t>
  </si>
  <si>
    <t>Materials, wood, Class IV (5-10y)</t>
  </si>
  <si>
    <t>Idemat2021 Aningre FSC/PEFC 580 (kg/m3)</t>
  </si>
  <si>
    <t>Idemat2021 Aningre natural forest 580 (kg/m3)</t>
  </si>
  <si>
    <t>Idemat2021 Avodire FSC/PEFC 550 (kg/m3)</t>
  </si>
  <si>
    <t>Idemat2021 Avodire natural forest 550 (kg/m3)</t>
  </si>
  <si>
    <t>Idemat2021 Balsa FSC/PEFC 150 (kg/m3)</t>
  </si>
  <si>
    <t>Idemat2021 Balsa natural forest 150 (kg/m3)</t>
  </si>
  <si>
    <t>Idemat2021 Birch FSC/PEFC 660 (kg/m3)</t>
  </si>
  <si>
    <t>Idemat2021 Elm FSC/PEFC 650 (kg/m3)</t>
  </si>
  <si>
    <t>Idemat2021 Emeri FSC/PEFC 515 (kg/m3)</t>
  </si>
  <si>
    <t>Idemat2021 Emeri natural forest 515 (kg/m3)</t>
  </si>
  <si>
    <t>Idemat2021 Hemlock FSC/PEFCt 490 (kg/m3)</t>
  </si>
  <si>
    <t>Idemat2021 Hickory FSC/PEFCt 800 (kg/m3)</t>
  </si>
  <si>
    <t>Idemat2021 Limba FSC/PEFC 560 (kg/m3)</t>
  </si>
  <si>
    <t>Idemat2021 Limba natural forest 560 (kg/m3)</t>
  </si>
  <si>
    <t>Idemat2021 Menkulang FSC/PEFC 710 (kg/m3)</t>
  </si>
  <si>
    <t>Idemat2021 Menkulang natural forest 710 (kg/m3)</t>
  </si>
  <si>
    <t>Idemat2021 Mersawa FSC/PEFC 640 (kg/m3)</t>
  </si>
  <si>
    <t>Idemat2021 Mersawa natural forest 640 (kg/m3)</t>
  </si>
  <si>
    <t>Idemat2021 Okoume FSC/PEFC forest 440 (kg/m3)</t>
  </si>
  <si>
    <t>Idemat2021 Okoume natural forest 440 (kg/m3)</t>
  </si>
  <si>
    <t>Idemat2021 Parana Pine FSC/PEFC 540 (kg/m3)</t>
  </si>
  <si>
    <t>Idemat2021 Parana Pine natural forest 540 (kg/m3)</t>
  </si>
  <si>
    <t>Idemat2021 Radiata Pine FSC/PEFC 450 (kg/m3)</t>
  </si>
  <si>
    <t>Idemat2021 Red oak FSC/PEFC 700 (kg/m3)</t>
  </si>
  <si>
    <t>Idemat2021 Silver fir FSC/PEFC 450 (kg/m3)</t>
  </si>
  <si>
    <t>Idemat2021 Spruce, European FSC/PEFC 460 (kg/m3)</t>
  </si>
  <si>
    <t>Idemat2021 Yellow pine FSC/PEFC 540 (kg/m3)</t>
  </si>
  <si>
    <t>Materials, wood, Class V (&lt;5y)</t>
  </si>
  <si>
    <t>Idemat2021 Abura FSC/PEFC 560 (kg/m3)</t>
  </si>
  <si>
    <t>Idemat2021 Abura natural forest 560 (kg/m3)</t>
  </si>
  <si>
    <t>Idemat2021 Ahorn FSC/PEFC 640 (kg/m3)</t>
  </si>
  <si>
    <t>Idemat2021 Alder FSC/PEFC 530 (kg/m3)</t>
  </si>
  <si>
    <t>Idemat2021 Antiaris FSC/PEFC 445 (kg/m3)</t>
  </si>
  <si>
    <t>Idemat2021 Antiaris natural forest 445 (kg/m3)</t>
  </si>
  <si>
    <t>Idemat2021 Ash FSC/PEFC 700 (kg/m3)</t>
  </si>
  <si>
    <t>Idemat2021 Aspen FSC/PEFC 440 (kg/m3)</t>
  </si>
  <si>
    <t>Idemat2021 Baboen FSC/PEFC 410 (kg/m3)</t>
  </si>
  <si>
    <t>Idemat2021 Baboen natural forest 410 (kg/m3)</t>
  </si>
  <si>
    <t>Idemat2021 Beech, European FSC/PEFC 710 (kg/m3)</t>
  </si>
  <si>
    <t>Idemat2021 Black poplar FSC/PEFC 440 (kg/m3)</t>
  </si>
  <si>
    <t>Idemat2021 Blue gum FSC/PEFC 900 (kg/m3)</t>
  </si>
  <si>
    <t>Idemat2021 Blue gum natural forest 900 (kg/m3)</t>
  </si>
  <si>
    <t>Idemat2021 Canaria FSC/PEFC 830 (kg/m3)</t>
  </si>
  <si>
    <t>Idemat2021 Canaria natural forest 830 (kg/m3)</t>
  </si>
  <si>
    <t>Idemat2021 Cottonwood FSC/PEFC 440 (kg/m3)</t>
  </si>
  <si>
    <t>Idemat2021 Cottonwood natural forest 440 (kg/m3)</t>
  </si>
  <si>
    <t>Idemat2021 Hornbean FSC/PEFC 750 (kg/m3)</t>
  </si>
  <si>
    <t>Idemat2021 Horse chestnut FSC/PEFC 450 (kg/m3)</t>
  </si>
  <si>
    <t>Idemat2021 Ilomba FSC/PEFC 480 (kg/m3)</t>
  </si>
  <si>
    <t>Idemat2021 Ilomba natural forest 480 (kg/m3)</t>
  </si>
  <si>
    <t>Idemat2021 Koto FSC/PEFC 560 (kg/m3)</t>
  </si>
  <si>
    <t>Idemat2021 Koto natural forest 560 (kg/m3)</t>
  </si>
  <si>
    <t>Idemat2021 Linde FSC/PEFC 540 (kg/m3)</t>
  </si>
  <si>
    <t>Idemat2021 Platan FSC/PEFC 620 (kg/m3)</t>
  </si>
  <si>
    <t>Idemat2021 Poplar FSC/PEFC 440 (kg/m3)</t>
  </si>
  <si>
    <t>Idemat2021 Sycamore FSC/PEFC 615 (kg/m3)</t>
  </si>
  <si>
    <t>Idemat2021 Wawa FSC/PEFC 390 (kg/m3)</t>
  </si>
  <si>
    <t>Idemat2021 Wawa natural forest 390 (kg/m3)</t>
  </si>
  <si>
    <t>Idemat2021 Willow FSC/PEFC 450 (kg/m3)</t>
  </si>
  <si>
    <t>Materials, wood, unknown durability</t>
  </si>
  <si>
    <t>Idemat2021 Anzala/Mukulungu FSC/PEFC 940 (kg/m3)</t>
  </si>
  <si>
    <t>Idemat2021 Anzala/Mukulungu natural forest 940 (kg/m3)</t>
  </si>
  <si>
    <t>Idemat2021 Coromandel Ebony FSC/PEFC 1100 (kg/m3)</t>
  </si>
  <si>
    <t>Idemat2021 Coromandel Ebony natural forest 1100 (kg/m3)</t>
  </si>
  <si>
    <t>Idemat2021 Dabema FSC/PEFC 690 (kg/m3)</t>
  </si>
  <si>
    <t>Idemat2021 Dabema natural forest 690 (kg/m3)</t>
  </si>
  <si>
    <t>Idemat2021 Emien FSC/PEFC 360 (kg/m3)</t>
  </si>
  <si>
    <t>Idemat2021 Emien natural forest 360 (kg/m3)</t>
  </si>
  <si>
    <t>Idemat2021 Incense cedar FSC/PEFC 385 (kg/m3)</t>
  </si>
  <si>
    <t>Idemat2021 Missanda/Tali FSC/PEFC 900 (kg/m3)</t>
  </si>
  <si>
    <t>Idemat2021 Missanda/Tali natural forest 900 (kg/m3)</t>
  </si>
  <si>
    <t>Idemat2021 Mountain ash, European FEC/PEFC 700 (kg/m3)</t>
  </si>
  <si>
    <t>Idemat2021 Mubura FSC/PEFC 830 (kg/m3)</t>
  </si>
  <si>
    <t>Idemat2021 Mubura natural forest 830 (kg/m3)</t>
  </si>
  <si>
    <t>Idemat2021 Niove FSC/PEFC 850 (kg/m3)</t>
  </si>
  <si>
    <t>Idemat2021 Niove natural forest 850 (kg/m3)</t>
  </si>
  <si>
    <t>Idemat2021 Onzabili FSC/PEFCt 550 (kg/m3)</t>
  </si>
  <si>
    <t>Idemat2021 Onzabili natural forest 550 (kg/m3)</t>
  </si>
  <si>
    <t>Idemat2021 Ozigo/Igaganga FSC/PEFC 650 (kg/m3)</t>
  </si>
  <si>
    <t>Idemat2021 Ozigo/Igaganga natural forest 650 (kg/m3)</t>
  </si>
  <si>
    <t>Idemat2021 Parasolier FSC/PEFC 190 (kg/m3)</t>
  </si>
  <si>
    <t>Idemat2021 Parasolier natural forest 190 (kg/m3)</t>
  </si>
  <si>
    <t>Idemat2021 Pear FSC/PEFC 680 (kg/m3)</t>
  </si>
  <si>
    <t>Idemat2021 Pockwood FSC/PEFC1250 (kg/m3)</t>
  </si>
  <si>
    <t>Idemat2021 Pockwood natural forest 1250 (kg/m3)</t>
  </si>
  <si>
    <t>Idemat2021 Simmon/Persimmon FSC/PEFC 835 (kg/m3)</t>
  </si>
  <si>
    <t>Idemat2021 Sterculia/Niangon FSC/PEFC 700 (kg/m3)</t>
  </si>
  <si>
    <t>Idemat2021 Sterculia/Niangon natural forest 700 (kg/m3)</t>
  </si>
  <si>
    <t>Idemat2021 Zebrano/Goncalo-alvez FSC/PEFC 900 (kg/m3)</t>
  </si>
  <si>
    <t>Idemat2021 Zebrano/Goncalo-alvez natural forest 900 (kg/m3)</t>
  </si>
  <si>
    <t>Materials, wood, fot wet civil engineering</t>
  </si>
  <si>
    <t>Idemat2021 Angelim Vermelho FSC/PEFC 1430 (kg/m3) wet</t>
  </si>
  <si>
    <t>Idemat2021 Angelim Vermelho natural forest 1430 (kg/m3) wet</t>
  </si>
  <si>
    <t>Idemat2021 Cumaru FSC/PEFC 1200 (kg/m3) wet</t>
  </si>
  <si>
    <t>Idemat2021 Cumaru natural forest 1200 (kg/m3) wet</t>
  </si>
  <si>
    <t>Idemat2021 Massaranduba FCS/PEFC 1200 (kg/m3) wet</t>
  </si>
  <si>
    <t>Idemat2021 Massaranduba natural forest 1200 (kg/m3) wet</t>
  </si>
  <si>
    <t>Idemat2021 Okan FSC/PEFC 1075 (kg/m3) wet</t>
  </si>
  <si>
    <t>Idemat2021 Okan natural forest 1075 (kg/m3) wet</t>
  </si>
  <si>
    <t>Idemat2021 Sapupira FSC/PEFC 1075 (kg/m3) wet</t>
  </si>
  <si>
    <t>Idemat2021 Sapupira natural forest 1075 (kg/m3) wet</t>
  </si>
  <si>
    <t>Materials, wood, products</t>
  </si>
  <si>
    <t>Idemat2021 Acetylated Radiata pine = durable wood, s.g. 510 kg/m3 (Netherlands)</t>
  </si>
  <si>
    <t>Idemat2021 Acetylated Scots pine = durable wood, s.g. 540 kg/m3 (Netherlands)</t>
  </si>
  <si>
    <t>Idemat2021 Bamboo (local China)</t>
  </si>
  <si>
    <t>Idemat2021 CCA wood (Scots pine with Cromium, Copper and Asenic) incl EoL</t>
  </si>
  <si>
    <t>Idemat2021 Cork at factory gate in Portugal 150 kg/m3</t>
  </si>
  <si>
    <t>Idemat2021 Cork at forest road 150 kg/m3</t>
  </si>
  <si>
    <t>Idemat2021 Cork granulate 150 kg/m3</t>
  </si>
  <si>
    <t>Idemat2021 Cork granulate glued = aggregate (e.g. slab for insulation) 150 kg/m3</t>
  </si>
  <si>
    <t>Idemat2021 Fibreboard hard (740 kg/m3)</t>
  </si>
  <si>
    <t>Idemat2021 MDF (740 kg/m3)</t>
  </si>
  <si>
    <t>Idemat2021 Particle board indoor use 600kg/m3</t>
  </si>
  <si>
    <t>Idemat2021 Particle board outdoor use 600kg/m3</t>
  </si>
  <si>
    <t>Idemat2021 Plato wood = thermal treated European Spruce, s.g. 420 kg/m3</t>
  </si>
  <si>
    <t>Idemat2021 Plywood Bamboo (density approx 700 kg/m3)</t>
  </si>
  <si>
    <t>Idemat2021 Plywood, indoor use (softwood 600 kg/m3)</t>
  </si>
  <si>
    <t>Idemat2021 Plywood, outdoor use, Okoumei plantation (500 kg/m3)</t>
  </si>
  <si>
    <t>Energy, heat</t>
  </si>
  <si>
    <t>Idemat2021  Industrial Heat, General</t>
  </si>
  <si>
    <t>Idemat2021 Domestic Heat, General</t>
  </si>
  <si>
    <t>Idemat2021 Energy gas, condensing, domestic (=heat)</t>
  </si>
  <si>
    <t>Idemat2021 Heat from steam (heavy oil) for chemical processes</t>
  </si>
  <si>
    <t>Idemat2021 Heat from steam (natural gas) for chemical processes</t>
  </si>
  <si>
    <t>Idemat2021 Wood chips and saw dust, credit per kg EoL, 0% MC</t>
  </si>
  <si>
    <t>Idemat2021 Wood chips and saw dust, credit per kg EoL, 12% MC</t>
  </si>
  <si>
    <t>Idemat2021 Wood chips and saw dust, credit per kg EoL, 50% MC</t>
  </si>
  <si>
    <t xml:space="preserve">Transport, air-                                                                   </t>
  </si>
  <si>
    <t>tkm</t>
  </si>
  <si>
    <t>Idemat2021 Air traffic continental (min weight/volume ratio 0,167 ton/m3) (tkm)</t>
  </si>
  <si>
    <t>Idemat2021 Air traffic intercontinental (min weight/volume ratio 0,167 ton/m3) (tkm)</t>
  </si>
  <si>
    <t>m3km</t>
  </si>
  <si>
    <t>Idemat2019 Air traffic continental (max weight/volume ratio 0,167 ton/m3) (m3.km)</t>
  </si>
  <si>
    <t>Idemat2019 Air traffic intercontinental (max weight/volume ratio 0,167 ton/m3) (m3.km)</t>
  </si>
  <si>
    <t xml:space="preserve">Transport, rail-                                         </t>
  </si>
  <si>
    <t>Idemat2021 Train, freight diesel USA (tkm)</t>
  </si>
  <si>
    <t>Idemat2021 Train, freight, electric, Europe (tkm)</t>
  </si>
  <si>
    <t xml:space="preserve">Transport, road-                                     </t>
  </si>
  <si>
    <t>Idemat2021 Tractor (240 pk)</t>
  </si>
  <si>
    <t xml:space="preserve">m </t>
  </si>
  <si>
    <t>Idemat2021 Truck +trailer  Euro 6 (meter)</t>
  </si>
  <si>
    <t>Idemat2021 Truck+container, 28 tons net (min weight/volume ratio 0,41 ton/m3) (tkm)</t>
  </si>
  <si>
    <t>Idemat2021 Truck+trailer 24 tons net (min weight/volume ratio 0,32 ton/m3) (tkm)</t>
  </si>
  <si>
    <t>Idemat2019 Truck+container, 28 tons net (max weight/volume ratio 0,41 ton/m3) (m3.km)</t>
  </si>
  <si>
    <t>Idemat2019 Truck+trailer 24 tons net (max weight/volume ratio 0,32 ton/m3) (m3.km)</t>
  </si>
  <si>
    <t xml:space="preserve">Transport, water-                                     </t>
  </si>
  <si>
    <t>Idemat2021 Barge 1475 dwt</t>
  </si>
  <si>
    <t>Idemat2021 Bulk carrier Handysize dwt 16.383, 12.5 knots</t>
  </si>
  <si>
    <t>Idemat2021 Bulk carrier Panamax</t>
  </si>
  <si>
    <t>Idemat2021 Coaster Class A (coast US, North and Baltic sea)</t>
  </si>
  <si>
    <t>Idemat2021 Container feeder Handysize 1577 TEU 13  knots</t>
  </si>
  <si>
    <t>Idemat2021 Container ship (min weight/volume ratio 0,41 ton/m3)</t>
  </si>
  <si>
    <t>Idemat2021 Oil Supertanker</t>
  </si>
  <si>
    <t>Idemat2019 Container ship (max weight/volume ratio 0,41 ton/m3)</t>
  </si>
  <si>
    <t>Processing, metals, chipless shaping (plus laser machining)</t>
  </si>
  <si>
    <t>Idemat2021 Deep drawing steel</t>
  </si>
  <si>
    <t>Idemat2021 Rolling steel</t>
  </si>
  <si>
    <t>Processing, metals, chipping per kg removed, the ecoburden of the removed materials in Idemat not included, in Ecoinvent included</t>
  </si>
  <si>
    <t>Idemat2021 Drilling steel (per kg removed, the removed steel not counted)</t>
  </si>
  <si>
    <t>Idemat2021 Milling steel (per kg removed, revomed steel not counted)</t>
  </si>
  <si>
    <t>Idemat2021 Turrning steel (per kg removed, steel removed not counted)</t>
  </si>
  <si>
    <t xml:space="preserve">Processing, metals, coating </t>
  </si>
  <si>
    <t>Idemat2021 Electroplating Chrome</t>
  </si>
  <si>
    <t>Idemat2021 Electroplating Nickel</t>
  </si>
  <si>
    <t>Idemat2021 Electroplating Zinc, incl. outside use, per 10 years</t>
  </si>
  <si>
    <t>Idemat2021 Electroplating Zinc, inside use or painted (5 micron)</t>
  </si>
  <si>
    <t>Idemat2021 Hot-dip Zinc plating, pieces, outside use</t>
  </si>
  <si>
    <t>Idemat2021 Phosphating (Fe s)</t>
  </si>
  <si>
    <t>Idemat2021 Phosphating (Zn i)</t>
  </si>
  <si>
    <t>Idemat2021 Phosphating (Zn s)</t>
  </si>
  <si>
    <t>Idemat2021 Powder coating aluminium</t>
  </si>
  <si>
    <t>Idemat2021 Powder coating steel</t>
  </si>
  <si>
    <t>Processing, metals, welding steel</t>
  </si>
  <si>
    <t>Idemat2021 Electric MIG welding 4mm steel, 0.125 kg electrode</t>
  </si>
  <si>
    <t>Idemat2021 welding shipbuilding (FCAW) per kg electrode</t>
  </si>
  <si>
    <t>Idemat2021 welding steel arc (MAG) 0.0536 kg electrode</t>
  </si>
  <si>
    <t>Idemat2021 welding steel, gas 0.0536 kg electrode</t>
  </si>
  <si>
    <t>Processing, non-ferro</t>
  </si>
  <si>
    <t>Idemat2021 Anodising</t>
  </si>
  <si>
    <t>Idemat2021 Autogenuous welding Al 1</t>
  </si>
  <si>
    <t>Idemat2021 Autogenuous welding Al 2</t>
  </si>
  <si>
    <t>Idemat2021 Autogenuous welding Al 3</t>
  </si>
  <si>
    <t>Idemat2021 Cold transforming Al</t>
  </si>
  <si>
    <t>Idemat2021 Cutting Al. laser</t>
  </si>
  <si>
    <t>Idemat2021 Cutting Al. shears</t>
  </si>
  <si>
    <t>Idemat2021 Drilling Al. (per kg removed, removed Al not counted)</t>
  </si>
  <si>
    <t>Idemat2021 Extruding alum</t>
  </si>
  <si>
    <t>Idemat2021 Forging aluminium</t>
  </si>
  <si>
    <t>Idemat2021 Machining aluminium</t>
  </si>
  <si>
    <t>Idemat2021 MIG-arc welding Al 10</t>
  </si>
  <si>
    <t>Idemat2021 MIG-arc welding Al 12</t>
  </si>
  <si>
    <t>Idemat2021 MIG-arc welding Al 4</t>
  </si>
  <si>
    <t>Idemat2021 MIG-arc welding Al 5 I-jnt</t>
  </si>
  <si>
    <t>Idemat2021 MIG-arc welding Al 5 V-jnt</t>
  </si>
  <si>
    <t>Idemat2021 MIG-arc welding Al 6 V-jnt</t>
  </si>
  <si>
    <t>Idemat2021 MIG-arc welding Al 8</t>
  </si>
  <si>
    <t>Idemat2021 Milling Al. (per kg removed, removed Al not counted)</t>
  </si>
  <si>
    <t>Idemat2021 Rolling aluminium foil</t>
  </si>
  <si>
    <t>Idemat2021 Rolling aluminium sheet</t>
  </si>
  <si>
    <t>Idemat2021 Rolling brass</t>
  </si>
  <si>
    <t>Idemat2021 Sawing Al. band saw</t>
  </si>
  <si>
    <t>Idemat2021 Sawing Al. circular saw</t>
  </si>
  <si>
    <t>Idemat2021 Scouring aluminium</t>
  </si>
  <si>
    <t>Idemat2021 Seam welding Al. 0.25</t>
  </si>
  <si>
    <t>Idemat2021 Seam welding Al. 1.5</t>
  </si>
  <si>
    <t>Idemat2021 Seam welding Al. 2.5</t>
  </si>
  <si>
    <t>Idemat2021 Spot welding Al. 0.5</t>
  </si>
  <si>
    <t>Idemat2021 Spot welding Al. 1</t>
  </si>
  <si>
    <t>Idemat2021 Spot welding Al. 1.5</t>
  </si>
  <si>
    <t>Idemat2021 Spot welding Al. 3</t>
  </si>
  <si>
    <t>Idemat2021 Turning Al (per kg removed, removed Al not counted)</t>
  </si>
  <si>
    <t>Idemat2021 Welding aluminium arc (0.0183 kg electrode)</t>
  </si>
  <si>
    <t>Processing, plastics</t>
  </si>
  <si>
    <t>Idemat2021 blow moulding, machine only</t>
  </si>
  <si>
    <t>Idemat2021 blow moulding, production site</t>
  </si>
  <si>
    <t>Idemat2021 extrusion, machine only</t>
  </si>
  <si>
    <t>Idemat2021 extrusion, production site</t>
  </si>
  <si>
    <t>Idemat2021 injection moulding, machine only</t>
  </si>
  <si>
    <t>Idemat2021 injection moulding, production site</t>
  </si>
  <si>
    <t>Idemat2021 Recycling mixed polymer</t>
  </si>
  <si>
    <t>Idemat2021 thermo forming, machine only</t>
  </si>
  <si>
    <t>Idemat2021 thermo forming, production site</t>
  </si>
  <si>
    <t>Processing, wood</t>
  </si>
  <si>
    <t>s</t>
  </si>
  <si>
    <t>Idemat2021 Chain sawing</t>
  </si>
  <si>
    <t>Idemat2021 Power sawing (petrol)</t>
  </si>
  <si>
    <t>Idemat2021 Shaving hardwood per kg dry mass removed</t>
  </si>
  <si>
    <t>Idemat2021 Shaving softwood per kg dry mass removed</t>
  </si>
  <si>
    <t>Data for meal ingredients (Food) for the IdematLightLCA app</t>
  </si>
  <si>
    <t>Cereals</t>
  </si>
  <si>
    <t>Idematd'17 Bread, rye fresh</t>
  </si>
  <si>
    <t>Idematd'17 Bread, wheat fresh</t>
  </si>
  <si>
    <t>Idematd'17 Flour, rye fresh</t>
  </si>
  <si>
    <t>Idematd'17 Flour, wheat fresh</t>
  </si>
  <si>
    <t>Idematd'17 Oat flakes</t>
  </si>
  <si>
    <t>Idematd'17 Rolls fresh</t>
  </si>
  <si>
    <t>Dairy</t>
  </si>
  <si>
    <t>Idemata'17 Cheese Dutch</t>
  </si>
  <si>
    <t>Idemata'17 Cream full</t>
  </si>
  <si>
    <t>Idemata'17 Milk full fresh</t>
  </si>
  <si>
    <t>Idemata'17 Milk low fat fresh</t>
  </si>
  <si>
    <t>Idemata'17 Milk powder skimmed</t>
  </si>
  <si>
    <t>Idemata'17 Milk powder whole</t>
  </si>
  <si>
    <t>Fruit</t>
  </si>
  <si>
    <t>Idemats'17 Apple (Switserland) excl transport</t>
  </si>
  <si>
    <t>Idemats'17 Avocado (Israel) excl transport</t>
  </si>
  <si>
    <t>Idemats'17 Banana (Colombia) excl transport</t>
  </si>
  <si>
    <t>Idemats'17 Citrus (Italy) excl transport</t>
  </si>
  <si>
    <t>Idemats'17 Grape (Spain) excl transport</t>
  </si>
  <si>
    <t>Idemats'17 Kiwi (Italy) excl transport</t>
  </si>
  <si>
    <t>Idemats'17 Melon (France) excl transport</t>
  </si>
  <si>
    <t>Idemats'17 Papaya (Brazil) excl transport</t>
  </si>
  <si>
    <t>Idemats'17 Pear (Switserland) excl transport</t>
  </si>
  <si>
    <t>Idemats'17 Pineapple (Costa Rica) excl transport</t>
  </si>
  <si>
    <t>Idemats'17 Strawberry (Switserland) excl transport</t>
  </si>
  <si>
    <t>Meat and fish</t>
  </si>
  <si>
    <t>Idematd'17 Beef, low quality hamburger fresh</t>
  </si>
  <si>
    <t>Idematd'17 Beef, steak fresh</t>
  </si>
  <si>
    <t>Idematd'17 Beef, tenderloin fresh</t>
  </si>
  <si>
    <t>Idematd'17 Chicken fresh</t>
  </si>
  <si>
    <t>Idematd'17 Chicken frozen</t>
  </si>
  <si>
    <t>Idematd'17 Cod fish fillet frozen</t>
  </si>
  <si>
    <t>Idematd'17 Cod fish fresh</t>
  </si>
  <si>
    <t>Idematd'17 Flatfish fillet frozen</t>
  </si>
  <si>
    <t>Idematd'17 Flatfish fresh</t>
  </si>
  <si>
    <t>Idematd'17 Ham and bacon fresh</t>
  </si>
  <si>
    <t>Idematd'17 Herring fillet frozen</t>
  </si>
  <si>
    <t>Idematd'17 Herring fresh</t>
  </si>
  <si>
    <t>Idematd'17 Mackerel fillet frozen</t>
  </si>
  <si>
    <t>Idematd'17 Mackerel fresh</t>
  </si>
  <si>
    <t>Idematd'17 Mussels fresh</t>
  </si>
  <si>
    <t>Idematd'17 Pork fresh</t>
  </si>
  <si>
    <t>Idematd'17 Shrimps fresh</t>
  </si>
  <si>
    <t>Idematd'17 Shrimps frozen</t>
  </si>
  <si>
    <t>Idematd'17 Trout frozen</t>
  </si>
  <si>
    <t>Others</t>
  </si>
  <si>
    <t>Idemata'17 Eggs</t>
  </si>
  <si>
    <t>Idemata'17 Sugar (in kg bag)</t>
  </si>
  <si>
    <t>Idematd'17 Potatoes</t>
  </si>
  <si>
    <t>Idematt'17 Baking (1.5 MJe per kg product)</t>
  </si>
  <si>
    <t>Idematt'17 Boiling (1.1 MJe per kg product)</t>
  </si>
  <si>
    <t>Idematt'17 Roasting chicken (3 MJe per kg product)</t>
  </si>
  <si>
    <t>Vegetables</t>
  </si>
  <si>
    <t>Idemata'17 Beans canned</t>
  </si>
  <si>
    <t>Idemata'17 Broccoli fresh</t>
  </si>
  <si>
    <t>Idemata'17 Carrots fresh</t>
  </si>
  <si>
    <t>Idemata'17 Cauliflower fresh</t>
  </si>
  <si>
    <t>Idemata'17 Kale fresh</t>
  </si>
  <si>
    <t>Idemata'17 Lentils canned</t>
  </si>
  <si>
    <t>Idemata'17 Onion fresh</t>
  </si>
  <si>
    <t>Idemata'17 Peas canned</t>
  </si>
  <si>
    <t>Idemata'17 Spinac fresh</t>
  </si>
  <si>
    <t>Idemats'17 Aubergine (eggplant), greenhouse</t>
  </si>
  <si>
    <t>Idemats'17 Bell pepper fresh from greenhouse</t>
  </si>
  <si>
    <t>Idemats'17 Celery roote fresh</t>
  </si>
  <si>
    <t>Idemats'17 Courgette fresh</t>
  </si>
  <si>
    <t>Idemats'17 Cucumber fresh, greenhouse</t>
  </si>
  <si>
    <t>Idemats'17 Fennele fresh</t>
  </si>
  <si>
    <t>Idemats'17 Green asparagus fresh</t>
  </si>
  <si>
    <t>Idemats'17 Iceberg lettuce fresh</t>
  </si>
  <si>
    <t>Idemats'17 Lettuce fresh</t>
  </si>
  <si>
    <t>Idemats'17 Lettuce fresh, greenhouse</t>
  </si>
  <si>
    <t>Idemats'17 Radish fresh from greenhouse</t>
  </si>
  <si>
    <t>Idemats'17 Red cabbage fresh</t>
  </si>
  <si>
    <t>Idemats'17 Tomatoes fresh from greenhouse</t>
  </si>
  <si>
    <t>Idemats'17 Vine tomatoes fresh from greenhouse</t>
  </si>
  <si>
    <t>Idemats'17 White asparagus fresh</t>
  </si>
  <si>
    <t>Idemats'17 White cabbage fresh</t>
  </si>
  <si>
    <t>Idemats'17 Zucchini fresh</t>
  </si>
  <si>
    <t>Critically Endangered Animal Species (WWF)</t>
  </si>
  <si>
    <t>Amur Leopard</t>
  </si>
  <si>
    <t>Black Rino</t>
  </si>
  <si>
    <t>Bornean Orang Utan</t>
  </si>
  <si>
    <t>Cross River Gorilla</t>
  </si>
  <si>
    <t>Eastern Lowlands Gorilla</t>
  </si>
  <si>
    <t>Hawksbill Turtle</t>
  </si>
  <si>
    <t>Javan Rhino</t>
  </si>
  <si>
    <t>Orang Utan</t>
  </si>
  <si>
    <t>Saola</t>
  </si>
  <si>
    <t>Sumatran Elephant</t>
  </si>
  <si>
    <t>Sumatran Orang Utan</t>
  </si>
  <si>
    <t>Sumatran Rhino</t>
  </si>
  <si>
    <t>Sunda Tiger</t>
  </si>
  <si>
    <t>Vaquita</t>
  </si>
  <si>
    <t>Western Lowland Gorilla</t>
  </si>
  <si>
    <t>Yangze Finless Purpoise</t>
  </si>
  <si>
    <t>African Wild dog</t>
  </si>
  <si>
    <t>Endangered Animal Species (WWF)</t>
  </si>
  <si>
    <t>Asian Elephant</t>
  </si>
  <si>
    <t>Black Footed Ferret</t>
  </si>
  <si>
    <t>Blue Whale</t>
  </si>
  <si>
    <t>Bluefin Tuna</t>
  </si>
  <si>
    <t>Bonobo</t>
  </si>
  <si>
    <t>Borneo Elephant</t>
  </si>
  <si>
    <t>Chimpanzee</t>
  </si>
  <si>
    <t>Fin Whale</t>
  </si>
  <si>
    <t>Galapagos Penguin</t>
  </si>
  <si>
    <t>Gagges River Dolphin</t>
  </si>
  <si>
    <t>Green Turtle</t>
  </si>
  <si>
    <t>Hectors Dolphin</t>
  </si>
  <si>
    <t>Humphead Wrasse</t>
  </si>
  <si>
    <t>Indian Elephant</t>
  </si>
  <si>
    <t>Indus River Dolphin</t>
  </si>
  <si>
    <t>Irrawaddy Dolphin</t>
  </si>
  <si>
    <t>Mountain Gorilla</t>
  </si>
  <si>
    <t>North Atlantic Right Whale</t>
  </si>
  <si>
    <t>Red Panda</t>
  </si>
  <si>
    <t>Sea Lion</t>
  </si>
  <si>
    <t>Sei Whale</t>
  </si>
  <si>
    <t>Sri Lanka Elephant</t>
  </si>
  <si>
    <t>Tiger</t>
  </si>
  <si>
    <t>Whale</t>
  </si>
  <si>
    <t>Whale Shark</t>
  </si>
  <si>
    <t>`1530</t>
  </si>
  <si>
    <t>Vulnarable Species</t>
  </si>
  <si>
    <t>African Elephant</t>
  </si>
  <si>
    <t>Bigeye Tuna</t>
  </si>
  <si>
    <t>Black Spider Monkey</t>
  </si>
  <si>
    <t>Dugong</t>
  </si>
  <si>
    <t>Forest Elephant</t>
  </si>
  <si>
    <t>Giant Panda</t>
  </si>
  <si>
    <t>Giant Tortoise</t>
  </si>
  <si>
    <t>Great White Shark</t>
  </si>
  <si>
    <t>Greater One-horned Rhino</t>
  </si>
  <si>
    <t>Hippopotamus</t>
  </si>
  <si>
    <t>Loggerhead Turtle</t>
  </si>
  <si>
    <t>Polar Bedar</t>
  </si>
  <si>
    <t>Savanna Elephant</t>
  </si>
  <si>
    <t>Snow Leopard</t>
  </si>
  <si>
    <t>Southern Rockhopper Penguin</t>
  </si>
  <si>
    <t>Near Threatened Species</t>
  </si>
  <si>
    <t>Albacore Tuna</t>
  </si>
  <si>
    <t>Beluga</t>
  </si>
  <si>
    <t>Greater Sage-Grouse</t>
  </si>
  <si>
    <t>Jaguar</t>
  </si>
  <si>
    <t>Mountain Plover</t>
  </si>
  <si>
    <t>Narwhal</t>
  </si>
  <si>
    <t>Plains Bison</t>
  </si>
  <si>
    <t>White Rhino</t>
  </si>
  <si>
    <t>Yellowfin Tuna</t>
  </si>
  <si>
    <t>Material</t>
  </si>
  <si>
    <t>What is the purpose of the land occupation?</t>
  </si>
  <si>
    <t>Total ESCU's for Gate to Gate depletion of minerals, plants and animal materials.</t>
  </si>
  <si>
    <t>All questions in this questionnaire consider the product flows, activities and workers of the juridical unit. 
Sister-, daughter- or mother- organizations , providing services or items (e.g. management, finance, marketing) to the organization, are considered suppliers that shall be requested ESCU's.
An exception is the calculation of ESCU's for remuneration-inequality that shall always be based on the largest corporate conglomerate of bodies that the organization belongs to.</t>
  </si>
  <si>
    <t>Preliminarily, suppliers do not need to be certified, but in principle need to accept and assist ununnounced audits.</t>
  </si>
  <si>
    <t>Organization-specific preventative costs calculations shall be based on/include:</t>
  </si>
  <si>
    <t xml:space="preserve">    - own standard cost- and allocation calculations methods, except for depreciations.</t>
  </si>
  <si>
    <t xml:space="preserve">    - ESCU effects of the preventative measures on other aspects than the investigated one shall be assessed for significance and included if significant.</t>
  </si>
  <si>
    <t xml:space="preserve">    If for instance energy or personnel are used for several products, the quantities shall be determined following the same allocations as for costs, and without availability of standard indirect cost allocation methods, proportional to the financial turnovers. </t>
  </si>
  <si>
    <t>A Box in this color asks to be self answered by the practitioner.</t>
  </si>
  <si>
    <t xml:space="preserve"> Preparation</t>
  </si>
  <si>
    <t>Can  existance and maintenance of &gt; 80% biodiversity of the locally natural ecosystem be demonstrated? (determined by qualified experts, or obtained from recognized data)</t>
  </si>
  <si>
    <t>Distance to sea</t>
  </si>
  <si>
    <t xml:space="preserve">Elevation </t>
  </si>
  <si>
    <t>Elevation</t>
  </si>
  <si>
    <t>Distance to the sea</t>
  </si>
  <si>
    <t>Elevation (meters)</t>
  </si>
  <si>
    <t>Distance to the sea (kilometers)</t>
  </si>
  <si>
    <t>Distance to sea (km.)</t>
  </si>
  <si>
    <t>Elevation (m.)</t>
  </si>
  <si>
    <t>WD 8</t>
  </si>
  <si>
    <t>WD 9</t>
  </si>
  <si>
    <t>WD 10</t>
  </si>
  <si>
    <t>Foreground quantities of water</t>
  </si>
  <si>
    <t>Supplier provided water</t>
  </si>
  <si>
    <t>External data</t>
  </si>
  <si>
    <t>WD 11</t>
  </si>
  <si>
    <t>WD 12</t>
  </si>
  <si>
    <t>Foreground price factor?</t>
  </si>
  <si>
    <t>Location of extraction.</t>
  </si>
  <si>
    <t>WD 13</t>
  </si>
  <si>
    <t>Internal and External data</t>
  </si>
  <si>
    <t>Google Earth</t>
  </si>
  <si>
    <t>Google Maps</t>
  </si>
  <si>
    <t>Total ESCU's for Type E Pollution</t>
  </si>
  <si>
    <t>Purchased harmfull chemicals</t>
  </si>
  <si>
    <t>Maximum incidental emissions</t>
  </si>
  <si>
    <t>Certificates?</t>
  </si>
  <si>
    <t>RMF</t>
  </si>
  <si>
    <t>Governance level</t>
  </si>
  <si>
    <t>Sheet Gov.level</t>
  </si>
  <si>
    <t>Foreground price factor</t>
  </si>
  <si>
    <t>Background price factor</t>
  </si>
  <si>
    <t>Pr 8</t>
  </si>
  <si>
    <t>Pr 9</t>
  </si>
  <si>
    <t>Pr 10</t>
  </si>
  <si>
    <t>Pr 11</t>
  </si>
  <si>
    <t>Pr 12</t>
  </si>
  <si>
    <t>Pr 13</t>
  </si>
  <si>
    <t>Pr 14</t>
  </si>
  <si>
    <t>Pr 15</t>
  </si>
  <si>
    <t>Pr 16</t>
  </si>
  <si>
    <t>Pr 17</t>
  </si>
  <si>
    <t>Pr 18</t>
  </si>
  <si>
    <t>Pr 19</t>
  </si>
  <si>
    <t>Pr 20</t>
  </si>
  <si>
    <t>Pr 21</t>
  </si>
  <si>
    <t>Pr 22</t>
  </si>
  <si>
    <t>Pr 23</t>
  </si>
  <si>
    <t>Pr 24</t>
  </si>
  <si>
    <t>b</t>
  </si>
  <si>
    <t>c</t>
  </si>
  <si>
    <t xml:space="preserve">Without a foreground price factor, the price factor is determined by [RMF x Maximum default price factor]: </t>
  </si>
  <si>
    <t xml:space="preserve">Background max. price factor </t>
  </si>
  <si>
    <t>Chemical in air</t>
  </si>
  <si>
    <t>Chemical in soil</t>
  </si>
  <si>
    <t>Chemical in water</t>
  </si>
  <si>
    <t>Does the organization belong to the energy sector?</t>
  </si>
  <si>
    <t>Total ESCU's for Type D pollution (heating of water ecosystems)</t>
  </si>
  <si>
    <t>P-E 1</t>
  </si>
  <si>
    <t>P-E 2</t>
  </si>
  <si>
    <t>P-E 3</t>
  </si>
  <si>
    <t>P-E 4</t>
  </si>
  <si>
    <t>P-E 5</t>
  </si>
  <si>
    <t>P-E 6</t>
  </si>
  <si>
    <t>P-E 7</t>
  </si>
  <si>
    <t>P-E 8</t>
  </si>
  <si>
    <t>P-E 9</t>
  </si>
  <si>
    <t>P-E 10</t>
  </si>
  <si>
    <t>P-D 1</t>
  </si>
  <si>
    <t>P-D 3</t>
  </si>
  <si>
    <t xml:space="preserve">P-D 2 </t>
  </si>
  <si>
    <t>P-C 1</t>
  </si>
  <si>
    <t>P-C 2</t>
  </si>
  <si>
    <t>P-C 3</t>
  </si>
  <si>
    <t>P-C 4</t>
  </si>
  <si>
    <t>P-C 5</t>
  </si>
  <si>
    <t>Product sales price</t>
  </si>
  <si>
    <t>Ziram</t>
  </si>
  <si>
    <t>Soil</t>
  </si>
  <si>
    <t>Zineb</t>
  </si>
  <si>
    <t>Pentanoic acid</t>
  </si>
  <si>
    <t>Zinc</t>
  </si>
  <si>
    <t>Zenite</t>
  </si>
  <si>
    <t>Pentanochlor</t>
  </si>
  <si>
    <t>Zearalenone</t>
  </si>
  <si>
    <t>Xylene</t>
  </si>
  <si>
    <t>Pentanedioic acid, 3,3-dimethyl-</t>
  </si>
  <si>
    <t>Vomitoxin</t>
  </si>
  <si>
    <t>Vitamin E</t>
  </si>
  <si>
    <t>Pentanedinitrile, 2-bromo-2-(bromomethyl)-</t>
  </si>
  <si>
    <t>Vitamin D2</t>
  </si>
  <si>
    <t>Pentane</t>
  </si>
  <si>
    <t>Vinylfluoride</t>
  </si>
  <si>
    <t>Vinyl acetate</t>
  </si>
  <si>
    <t>Pentanal</t>
  </si>
  <si>
    <t>Urea</t>
  </si>
  <si>
    <t>Urapidil</t>
  </si>
  <si>
    <t>Pentafluorothiophenol</t>
  </si>
  <si>
    <t>Uracil</t>
  </si>
  <si>
    <t>Tryptophan</t>
  </si>
  <si>
    <t>Pentafluorophenol</t>
  </si>
  <si>
    <t>Trsodium nitrilotriacetate monohydrate</t>
  </si>
  <si>
    <t>Pentafluor-benzaldehyd</t>
  </si>
  <si>
    <t>Tris(2-ethylhexyl) phosphate</t>
  </si>
  <si>
    <t>Tris(2,3-dibromopropyl) phosphate</t>
  </si>
  <si>
    <t>Pentaerythritol tetranitrate</t>
  </si>
  <si>
    <t>Tris(1,3-dichloroisopropyl) phosphate</t>
  </si>
  <si>
    <t>Trioctonoin</t>
  </si>
  <si>
    <t>Pentaerythritol tetrakis(3-(3,5-di-tert-butyl-4-hydroxyphenyl)propionate)</t>
  </si>
  <si>
    <t>Trimethylaniline, 2,4,5-</t>
  </si>
  <si>
    <t>Trimethylaniline hydrochloride, 2,4,5-</t>
  </si>
  <si>
    <t>Pentaerythritol</t>
  </si>
  <si>
    <t>Trimethoprim</t>
  </si>
  <si>
    <t>Trimethadione</t>
  </si>
  <si>
    <t>Pentadecylamine</t>
  </si>
  <si>
    <t>Trifluralin</t>
  </si>
  <si>
    <t>Pentachlorophenol, na salt</t>
  </si>
  <si>
    <t>Triethylene glycol</t>
  </si>
  <si>
    <t>Triethanolamine</t>
  </si>
  <si>
    <t>Pentachlorobenzyl alcohol</t>
  </si>
  <si>
    <t>Tricresyl phosphate</t>
  </si>
  <si>
    <t>Trichloroacetic acid</t>
  </si>
  <si>
    <t>Pentachloroaniline</t>
  </si>
  <si>
    <t>Trichlorfon</t>
  </si>
  <si>
    <t>Tributyltin oxide</t>
  </si>
  <si>
    <t>Pentabromophenol</t>
  </si>
  <si>
    <t>Tributylphosphate</t>
  </si>
  <si>
    <t>Pendimethalin</t>
  </si>
  <si>
    <t>Triazine, 4,6-diamino-2-(5-nitro-2-furyl)-S-</t>
  </si>
  <si>
    <t>Triamcinolone acetonide</t>
  </si>
  <si>
    <t>Pencycuron</t>
  </si>
  <si>
    <t>trans-Cinnamaldehyde</t>
  </si>
  <si>
    <t>Trans-2-[(dimethylamino)methylimino]-5-[2-(5-nitro-2-furyl)vinyl]-1,3,4-oxadiazo</t>
  </si>
  <si>
    <t>Penconazole</t>
  </si>
  <si>
    <t>trans-1-Methoxy-4-(1-propenyl)benzene</t>
  </si>
  <si>
    <t>Toxaphene</t>
  </si>
  <si>
    <t>Pebulate</t>
  </si>
  <si>
    <t>Toluidine, 5-chloro-o-</t>
  </si>
  <si>
    <t>Toluidine hydrochloride, p-</t>
  </si>
  <si>
    <t>P-dodecylaniline</t>
  </si>
  <si>
    <t>Toluidine hydrochloride, m-</t>
  </si>
  <si>
    <t>P-dimethoxybenzene</t>
  </si>
  <si>
    <t>Toluene, o-nitroso-</t>
  </si>
  <si>
    <t>Toluene, dinitro-</t>
  </si>
  <si>
    <t>P-cyanophenol</t>
  </si>
  <si>
    <t>Toluene, 2,6-dinitro-</t>
  </si>
  <si>
    <t>Toluene, 2,4-dinitro-</t>
  </si>
  <si>
    <t>p-Cresol</t>
  </si>
  <si>
    <t>Toluene, 2,4-diamino-, dihydrochloride</t>
  </si>
  <si>
    <t>Toluene, 2,4-diamine</t>
  </si>
  <si>
    <t>P-chlorophenylurea</t>
  </si>
  <si>
    <t>Toluene, 2,4,6-trinitro-</t>
  </si>
  <si>
    <t>P-chlorophenoxyacetic acid</t>
  </si>
  <si>
    <t>Toluene diisocyanate</t>
  </si>
  <si>
    <t>Toluene</t>
  </si>
  <si>
    <t>P-chlorobenzyl alcohol</t>
  </si>
  <si>
    <t>Tolbutamide</t>
  </si>
  <si>
    <t>Tolazamide</t>
  </si>
  <si>
    <t>P-bromophenol</t>
  </si>
  <si>
    <t>Titanocene Dichloride</t>
  </si>
  <si>
    <t>Tin</t>
  </si>
  <si>
    <t>P-bromoaniline</t>
  </si>
  <si>
    <t>Thymidine, 3'-azido-3'-deoxy-</t>
  </si>
  <si>
    <t>Thiram</t>
  </si>
  <si>
    <t>Paromomycin</t>
  </si>
  <si>
    <t>Thiourea, trimethyl-</t>
  </si>
  <si>
    <t>Parathion-amino</t>
  </si>
  <si>
    <t>Thiourea, N,N'-diethyl-</t>
  </si>
  <si>
    <t>Thiourea, N,N'-dicyclohexyl-</t>
  </si>
  <si>
    <t>Parathion, methyl</t>
  </si>
  <si>
    <t>Thiourea</t>
  </si>
  <si>
    <t>Parathion</t>
  </si>
  <si>
    <t>Thiouracil</t>
  </si>
  <si>
    <t>Thiosemicarbazide</t>
  </si>
  <si>
    <t>Paraquat dichloride</t>
  </si>
  <si>
    <t>Thioacetamide</t>
  </si>
  <si>
    <t>Thiazole, 2-hydrazino-4-(p-nitrophenyl)-</t>
  </si>
  <si>
    <t>Paraquat</t>
  </si>
  <si>
    <t>Thiazole, 2-hydrazino-4-(p-aminophenyl)-</t>
  </si>
  <si>
    <t>Thiazole, 2-hydrazino-4-(5-nitro-2-furyl)-</t>
  </si>
  <si>
    <t>Paraoxon</t>
  </si>
  <si>
    <t>Thiazole, 2-amino-5-nitro-</t>
  </si>
  <si>
    <t>Thiazole, 2-amino-4-(5-nitro-2-furyl)-</t>
  </si>
  <si>
    <t>P-anisidine</t>
  </si>
  <si>
    <t>Thiamphenicol</t>
  </si>
  <si>
    <t>P-aminobenzoic acid, ethyl ester</t>
  </si>
  <si>
    <t>Thiadiazole, 2-amino-5-(5-nitro-2-furyl)-1,3,4-</t>
  </si>
  <si>
    <t>Thiabendazole</t>
  </si>
  <si>
    <t>Palustric acid</t>
  </si>
  <si>
    <t>Theophylline</t>
  </si>
  <si>
    <t>Thenyldiamine</t>
  </si>
  <si>
    <t>Paclobutrazol</t>
  </si>
  <si>
    <t>Tetrasul</t>
  </si>
  <si>
    <t>Tetramethylthiuram</t>
  </si>
  <si>
    <t>p,p'-DDE</t>
  </si>
  <si>
    <t>Tetramethyldiaminobenzophenone</t>
  </si>
  <si>
    <t>P-(t-butyl)toluene</t>
  </si>
  <si>
    <t>Tetrakis(hydroxymethyl)phosphonium chloride</t>
  </si>
  <si>
    <t>Tetrafluoro-m-phenylenediamine dihydrochloride</t>
  </si>
  <si>
    <t>P-(sec-butyl)phenol</t>
  </si>
  <si>
    <t>Tetrafluoroethylene</t>
  </si>
  <si>
    <t>Tetradifon</t>
  </si>
  <si>
    <t>P-(1,1,3,3-tetramethylbutyl)phenol</t>
  </si>
  <si>
    <t>Tetracycline hydrochloride</t>
  </si>
  <si>
    <t>Oxythioquinox</t>
  </si>
  <si>
    <t>Terephthalate, dimethyl</t>
  </si>
  <si>
    <t>Terbutaline</t>
  </si>
  <si>
    <t>Oxytetracycline</t>
  </si>
  <si>
    <t>Temazepam</t>
  </si>
  <si>
    <t>Tellurac</t>
  </si>
  <si>
    <t>o-Xylene</t>
  </si>
  <si>
    <t>t-Butyl methyl ether</t>
  </si>
  <si>
    <t>t-Butyl alcohol</t>
  </si>
  <si>
    <t>Oxyfluorfen</t>
  </si>
  <si>
    <t>Taurine</t>
  </si>
  <si>
    <t>Tartrazine</t>
  </si>
  <si>
    <t>Oxydiazon</t>
  </si>
  <si>
    <t>Tannins</t>
  </si>
  <si>
    <t>Oxydemeton methyl</t>
  </si>
  <si>
    <t>T-2 toxin</t>
  </si>
  <si>
    <t>sulfisoxazole</t>
  </si>
  <si>
    <t>Oxychlordane</t>
  </si>
  <si>
    <t>Sulfasalazine</t>
  </si>
  <si>
    <t>Sulfamethoxazole</t>
  </si>
  <si>
    <t>Oxycarboxin</t>
  </si>
  <si>
    <t>Sulfamethazine</t>
  </si>
  <si>
    <t>Sulfallate</t>
  </si>
  <si>
    <t>Oxolinic acid</t>
  </si>
  <si>
    <t>Sucrose acetate isobutyrate</t>
  </si>
  <si>
    <t>Oxirane, 2-(3,5-dichlorophenyl)-2-(2,2,2-trichlo</t>
  </si>
  <si>
    <t>Sucrose</t>
  </si>
  <si>
    <t>Sucralose</t>
  </si>
  <si>
    <t>Oxirane, (phenoxymethyl)-</t>
  </si>
  <si>
    <t>Succinic anhydride</t>
  </si>
  <si>
    <t>Styrene</t>
  </si>
  <si>
    <t>Oxirane, (2-propenyloxy)methyl -</t>
  </si>
  <si>
    <t>Stevioside</t>
  </si>
  <si>
    <t>Sterigmatocystin</t>
  </si>
  <si>
    <t>Oxirane, (2-ethylhexyl)oxy methyl -</t>
  </si>
  <si>
    <t>Sotalol</t>
  </si>
  <si>
    <t>Sorbic acid</t>
  </si>
  <si>
    <t>Oxazolidine E</t>
  </si>
  <si>
    <t>Sodium saccharin</t>
  </si>
  <si>
    <t>Oxamyl</t>
  </si>
  <si>
    <t>Sodium phenobarbital</t>
  </si>
  <si>
    <t>Sodium o-phenylphenoxide</t>
  </si>
  <si>
    <t>Oxalic acid dihydrate</t>
  </si>
  <si>
    <t>Sodium oleate</t>
  </si>
  <si>
    <t>Sodium erythorbate</t>
  </si>
  <si>
    <t>Oxalic acid</t>
  </si>
  <si>
    <t>Sodium cyclamate</t>
  </si>
  <si>
    <t>Sodium benzoate</t>
  </si>
  <si>
    <t>Oxadixyl</t>
  </si>
  <si>
    <t>Sodium azide</t>
  </si>
  <si>
    <t>O-vanillin</t>
  </si>
  <si>
    <t>Sodium ascorbate</t>
  </si>
  <si>
    <t>Simazine</t>
  </si>
  <si>
    <t>o-Toluidine</t>
  </si>
  <si>
    <t>Sesamol</t>
  </si>
  <si>
    <t>Selenium diethyldithiocarbamate</t>
  </si>
  <si>
    <t>O-t-butylphenol</t>
  </si>
  <si>
    <t>Selenium</t>
  </si>
  <si>
    <t>Salbutamol</t>
  </si>
  <si>
    <t>O-sec-butylphenol</t>
  </si>
  <si>
    <t>Safrole</t>
  </si>
  <si>
    <t>Saccharin</t>
  </si>
  <si>
    <t>Oryzalin</t>
  </si>
  <si>
    <t>S-(+)-2-methyl-N-nitrosopiperidine</t>
  </si>
  <si>
    <t>Orbencarb</t>
  </si>
  <si>
    <t>Rutin</t>
  </si>
  <si>
    <t>Rubeanic acid</t>
  </si>
  <si>
    <t>O-phthalic acid</t>
  </si>
  <si>
    <t>Roxarsone</t>
  </si>
  <si>
    <t>Rotenone</t>
  </si>
  <si>
    <t>o-Phenylenediamine</t>
  </si>
  <si>
    <t>Rosaniline hydrochloride, p-</t>
  </si>
  <si>
    <t>Rosaniline</t>
  </si>
  <si>
    <t>O-nitrobenzaldehyde</t>
  </si>
  <si>
    <t>Rifampicin</t>
  </si>
  <si>
    <t>Oleic acid</t>
  </si>
  <si>
    <t>Retrorsine</t>
  </si>
  <si>
    <t>Retinol, acetate</t>
  </si>
  <si>
    <t>O-hydroxybenzamide</t>
  </si>
  <si>
    <t>Retinoic acid</t>
  </si>
  <si>
    <t>Resperine</t>
  </si>
  <si>
    <t>O-hydroxybenzaldehyde</t>
  </si>
  <si>
    <t>Resorcinol</t>
  </si>
  <si>
    <t>Rabon</t>
  </si>
  <si>
    <t>O-hydroxyacetanilide</t>
  </si>
  <si>
    <t>R-(-)-2-methyl-N-nitrosopiperidine</t>
  </si>
  <si>
    <t>Quinone, 1-hydroxyanthra-</t>
  </si>
  <si>
    <t>Ohric</t>
  </si>
  <si>
    <t>Quinone, 1-amino-2-methylanthra-</t>
  </si>
  <si>
    <t>Quinone</t>
  </si>
  <si>
    <t>O-fluorotoluene</t>
  </si>
  <si>
    <t>Quinoline, 4-(4-(N-methyl-N-nitrosamino)styryl)-</t>
  </si>
  <si>
    <t>O-ethylaniline</t>
  </si>
  <si>
    <t>Quinoline, 2-amino-3-methyl-3H-imidazo(4,5-f)-</t>
  </si>
  <si>
    <t>Quinoline</t>
  </si>
  <si>
    <t>O-ethyl o-(p-(methylthio)phenyl) methyl phospho*</t>
  </si>
  <si>
    <t>Quercetin</t>
  </si>
  <si>
    <t>Pyrrolidine, N-nitroso-</t>
  </si>
  <si>
    <t>O-diethylbenzene</t>
  </si>
  <si>
    <t>Pyrimethamine</t>
  </si>
  <si>
    <t>Pyrilamine maleate</t>
  </si>
  <si>
    <t>O-dibromobenzene</t>
  </si>
  <si>
    <t>Pyridine, N-Nitroso-1,2,3,6-tetrahydro-</t>
  </si>
  <si>
    <t>Pyridine hydrochloride, 3-(chloromethyl)-</t>
  </si>
  <si>
    <t>O-decylhydroxylamine</t>
  </si>
  <si>
    <t>Pyridine</t>
  </si>
  <si>
    <t>Octoxynol</t>
  </si>
  <si>
    <t>Pyrene, 1-nitro-</t>
  </si>
  <si>
    <t>Pyrene</t>
  </si>
  <si>
    <t>Octene (mixture of isomers)</t>
  </si>
  <si>
    <t>Purpurin</t>
  </si>
  <si>
    <t>p-Tolylurea</t>
  </si>
  <si>
    <t>Octanoic acid, sodium salt</t>
  </si>
  <si>
    <t>P-t-butylyphenol</t>
  </si>
  <si>
    <t>Proscar</t>
  </si>
  <si>
    <t>Octanoic acid</t>
  </si>
  <si>
    <t>Proquazone</t>
  </si>
  <si>
    <t>Octanohydroxamic acid</t>
  </si>
  <si>
    <t>Propylthiouracil</t>
  </si>
  <si>
    <t>Propylene oxide</t>
  </si>
  <si>
    <t>Octanedinitrile</t>
  </si>
  <si>
    <t>Propylene glycol</t>
  </si>
  <si>
    <t>Propyl isome</t>
  </si>
  <si>
    <t>Octamethyltetrasiloxane</t>
  </si>
  <si>
    <t>Propyl gallate</t>
  </si>
  <si>
    <t>Propionic acid, 2 (2,4,5-trichlorophenoxy)-</t>
  </si>
  <si>
    <t>Octamethylpyrophosphoramide</t>
  </si>
  <si>
    <t>Propiolactone</t>
  </si>
  <si>
    <t>Propham</t>
  </si>
  <si>
    <t>Octadecylamine</t>
  </si>
  <si>
    <t>Propene, 3-chloro-2-methyl-</t>
  </si>
  <si>
    <t>Octadecyl 3,5-bis(tert-butyl)-4-hydroxybenzenep*</t>
  </si>
  <si>
    <t>Propene, 1-chloro-2-methyl</t>
  </si>
  <si>
    <t>Propene, 1-chloro-1-</t>
  </si>
  <si>
    <t>Octachloronaphthalene</t>
  </si>
  <si>
    <t>Propene, 1,3-dichloro-</t>
  </si>
  <si>
    <t>Propene</t>
  </si>
  <si>
    <t>Oct-2-ynoic acid</t>
  </si>
  <si>
    <t>Propazine</t>
  </si>
  <si>
    <t>Propane, 2-nitro-</t>
  </si>
  <si>
    <t>o-Cresol</t>
  </si>
  <si>
    <t>Propane, 1,2-dichloro-</t>
  </si>
  <si>
    <t>O-chlorobenzylidenemalononitrile</t>
  </si>
  <si>
    <t>Propane, 1,2-dibromo-3-chloro-</t>
  </si>
  <si>
    <t>Propane, 1,2,3-trichloro-</t>
  </si>
  <si>
    <t>O-chloroanisole</t>
  </si>
  <si>
    <t>Propane sultone</t>
  </si>
  <si>
    <t>Pronethalol</t>
  </si>
  <si>
    <t>O-bromophenol</t>
  </si>
  <si>
    <t>Pronamide</t>
  </si>
  <si>
    <t>Prochloraz</t>
  </si>
  <si>
    <t>O-bromonitrobenzene</t>
  </si>
  <si>
    <t>Probenecid</t>
  </si>
  <si>
    <t>Primidone</t>
  </si>
  <si>
    <t>O-bromoaniline</t>
  </si>
  <si>
    <t>Prednisone</t>
  </si>
  <si>
    <t>o-Aminoanisole</t>
  </si>
  <si>
    <t>Prednisolone</t>
  </si>
  <si>
    <t>Prednimustine</t>
  </si>
  <si>
    <t>O,p'-ddt</t>
  </si>
  <si>
    <t>Praziquantel</t>
  </si>
  <si>
    <t>Prazepam</t>
  </si>
  <si>
    <t>N-vinyl-2-pyrrolidinone</t>
  </si>
  <si>
    <t>Prasterone</t>
  </si>
  <si>
    <t>Practolol</t>
  </si>
  <si>
    <t>N-undecylamin</t>
  </si>
  <si>
    <t>p-Quinone dioxime</t>
  </si>
  <si>
    <t>N-propylbenzene</t>
  </si>
  <si>
    <t>P-phenylphenol</t>
  </si>
  <si>
    <t>p-Phenylenediamine hydrochloride</t>
  </si>
  <si>
    <t>N-phenylthiourea</t>
  </si>
  <si>
    <t>p-Phenylenediamine</t>
  </si>
  <si>
    <t>Potassium bis(2-hydroxyethyl)dithiocarbamate</t>
  </si>
  <si>
    <t>N-phenyl-2-naphthylamine</t>
  </si>
  <si>
    <t>Polychlorinated biphenyls</t>
  </si>
  <si>
    <t>Polychlorinated biphenyl, PCB-1260</t>
  </si>
  <si>
    <t>N-pentylamine</t>
  </si>
  <si>
    <t>Polychlorinated biphenyl, PCB-1254</t>
  </si>
  <si>
    <t>Polychlorinated biphenyl, PCB-1016</t>
  </si>
  <si>
    <t>Norflurazon</t>
  </si>
  <si>
    <t>p-Nitrosodiphenylamine</t>
  </si>
  <si>
    <t>Norea</t>
  </si>
  <si>
    <t>p-Nitroaniline</t>
  </si>
  <si>
    <t>P-Methylstyrene</t>
  </si>
  <si>
    <t>Nonylphenol</t>
  </si>
  <si>
    <t>P-methoxyphenol</t>
  </si>
  <si>
    <t>Pivalolactone</t>
  </si>
  <si>
    <t>Nonanonitrile</t>
  </si>
  <si>
    <t>Piroxicam</t>
  </si>
  <si>
    <t>Piperonyl sulfoxide</t>
  </si>
  <si>
    <t>Nonanoic acid</t>
  </si>
  <si>
    <t>Piperonyl butoxide</t>
  </si>
  <si>
    <t>N-octylamine</t>
  </si>
  <si>
    <t>Piperidine, 1,1'-(hexathiodicarbonothioyl)bis-</t>
  </si>
  <si>
    <t>Piperidine</t>
  </si>
  <si>
    <t>N-octane</t>
  </si>
  <si>
    <t>Piperazine</t>
  </si>
  <si>
    <t>Pimaricin (natamycin)</t>
  </si>
  <si>
    <t>N-nonylphenol</t>
  </si>
  <si>
    <t>Picloram</t>
  </si>
  <si>
    <t>P-Hydroxy butyl benzoate</t>
  </si>
  <si>
    <t>N-nonylamine</t>
  </si>
  <si>
    <t>p-Hydrazinobenzoic acid hydrochloride</t>
  </si>
  <si>
    <t>Phthalic anhydride</t>
  </si>
  <si>
    <t>N-Nitroso-N-methylurea</t>
  </si>
  <si>
    <t>Phthalate, dioctyl-</t>
  </si>
  <si>
    <t>N-Nitrosodiphenylamine</t>
  </si>
  <si>
    <t>Phthalate, butyl-benzyl-</t>
  </si>
  <si>
    <t>Phosphonium, tetrakis(hydroxymethyl)-, sulfate (2:1) (salt)</t>
  </si>
  <si>
    <t>N-Nitrosodimethylamine</t>
  </si>
  <si>
    <t>Phosphate, tris(2-chloroethyl)-</t>
  </si>
  <si>
    <t>Phosphate, trimethyl-</t>
  </si>
  <si>
    <t>N-Nitrosodiethylamine</t>
  </si>
  <si>
    <t>Phosphamidon</t>
  </si>
  <si>
    <t>Phenytoin</t>
  </si>
  <si>
    <t>N-methylthiourea</t>
  </si>
  <si>
    <t>Phenylmercuric acetate</t>
  </si>
  <si>
    <t>N-methyl-m-tolylcarbamate</t>
  </si>
  <si>
    <t>Phenylisothiocyanate</t>
  </si>
  <si>
    <t>Phenylephrine HCL</t>
  </si>
  <si>
    <t>N-methyldiethanolamine</t>
  </si>
  <si>
    <t>Phenylbutazone</t>
  </si>
  <si>
    <t>Phenylalanine mustard</t>
  </si>
  <si>
    <t>N-methylaniline</t>
  </si>
  <si>
    <t>Phenyl hydrazine</t>
  </si>
  <si>
    <t>Phenothiazine</t>
  </si>
  <si>
    <t>N-methyl o-sec-butyl phenyl carbamate</t>
  </si>
  <si>
    <t>Phenolphthalein</t>
  </si>
  <si>
    <t>Phenol, pentachloro-</t>
  </si>
  <si>
    <t>N-methyl o-(3-iprphenyl)carbamate</t>
  </si>
  <si>
    <t>Phenol, 4-chloro-2-(phenylmethyl)-</t>
  </si>
  <si>
    <t>N-me-3,4,5-trimephenyl carbamate</t>
  </si>
  <si>
    <t>Phenol, 4,4'-thiobis 2-(1,1-dimethylethyl)-5-methyl-</t>
  </si>
  <si>
    <t>Phenol, 2-amino-5-nitro-</t>
  </si>
  <si>
    <t>N-me-2-chlorophenylcarbamate</t>
  </si>
  <si>
    <t>Phenol, 2-amino-4-nitro-</t>
  </si>
  <si>
    <t>Phenol, 2,6-bis(1,1-dimethylethyl)-4-methyl-</t>
  </si>
  <si>
    <t>Nitrothal-isopropyl</t>
  </si>
  <si>
    <t>Phenol, 2,4-dinitro-</t>
  </si>
  <si>
    <t>Phenol, 2,4-dichloro-</t>
  </si>
  <si>
    <t>Nitrophenol, 4-amino-2-</t>
  </si>
  <si>
    <t>Phenol, 2,4-diamino-, dihydrochloride</t>
  </si>
  <si>
    <t>Nitromethane</t>
  </si>
  <si>
    <t>Phenol, 2,4,6-trichloro-</t>
  </si>
  <si>
    <t>Phenol, 2,2'-thiobis 4,6-dichloro-</t>
  </si>
  <si>
    <t>Nitroglycerin</t>
  </si>
  <si>
    <t>Phenol</t>
  </si>
  <si>
    <t>Phenobarbital</t>
  </si>
  <si>
    <t>Nitrofurazone</t>
  </si>
  <si>
    <t>Pheneturide</t>
  </si>
  <si>
    <t>Phenethyl isothiocyanate</t>
  </si>
  <si>
    <t>Nitrobenzimidazole, 6-</t>
  </si>
  <si>
    <t>Phenazopyridine hydrochloride</t>
  </si>
  <si>
    <t>Phenanthrene</t>
  </si>
  <si>
    <t>Nitrobenzene</t>
  </si>
  <si>
    <t>Phenacetin</t>
  </si>
  <si>
    <t>Nitroanisole, o-</t>
  </si>
  <si>
    <t>Petasitenine</t>
  </si>
  <si>
    <t>Peroxide, (3,3,5-trimethylcyclohexylidene)bis (1,1-dimethylethyl)</t>
  </si>
  <si>
    <t>Nitrilotriacetic acid</t>
  </si>
  <si>
    <t>Pentanal methylformylhydrazone</t>
  </si>
  <si>
    <t>Nitrapyrin</t>
  </si>
  <si>
    <t>p-Cresidine</t>
  </si>
  <si>
    <t>Nitralin</t>
  </si>
  <si>
    <t>Patulin</t>
  </si>
  <si>
    <t>Nicotinic acid</t>
  </si>
  <si>
    <t>Nicotine sulfate</t>
  </si>
  <si>
    <t>P-(Benzyloxy) phenol</t>
  </si>
  <si>
    <t>Oxymetholone</t>
  </si>
  <si>
    <t>Nicotine</t>
  </si>
  <si>
    <t>Nicotinamide</t>
  </si>
  <si>
    <t>Oxazine, tetrahydro-2-nitroso-2H-1,2-</t>
  </si>
  <si>
    <t>Nicosulfuron</t>
  </si>
  <si>
    <t>Oxazine, 3,6-dihydro-2-nitroso-2H-1,2-</t>
  </si>
  <si>
    <t>Niclosamide ethanolamine salt</t>
  </si>
  <si>
    <t>Oxazepam</t>
  </si>
  <si>
    <t>Niclosamide</t>
  </si>
  <si>
    <t>Oxadiazole-2-ol, 5-(5-nitro-2-furyl)-1,3,4-</t>
  </si>
  <si>
    <t>Oxadiazole, 2-amino-5-(5-nitro-2-furyl)-1,3,4-</t>
  </si>
  <si>
    <t>Nickel</t>
  </si>
  <si>
    <t>o-Toluidine, 4-chloro-, hydrochloride</t>
  </si>
  <si>
    <t>o-Toluidine hydrochloride</t>
  </si>
  <si>
    <t>N-hexylamine</t>
  </si>
  <si>
    <t>o-Toluenesulfonamide</t>
  </si>
  <si>
    <t>N-hexyl acetate</t>
  </si>
  <si>
    <t>o-Phenylenediamine dihydrochloride</t>
  </si>
  <si>
    <t>Omeprazole</t>
  </si>
  <si>
    <t>N-hexadecylamine</t>
  </si>
  <si>
    <t>o-Ethoxybenzamide</t>
  </si>
  <si>
    <t>Octachlorostyrene</t>
  </si>
  <si>
    <t>N-ethylthiourea</t>
  </si>
  <si>
    <t>Ochratoxin A</t>
  </si>
  <si>
    <t>N-ethylaniline</t>
  </si>
  <si>
    <t>O,P'-DDD</t>
  </si>
  <si>
    <t>Nerolidol</t>
  </si>
  <si>
    <t>N-propyl-n'-nitro-n-nitrosoguanidine</t>
  </si>
  <si>
    <t>Neotran</t>
  </si>
  <si>
    <t>Neodecanoic acid, oxiranylmethyl ester</t>
  </si>
  <si>
    <t>Norphenazone</t>
  </si>
  <si>
    <t>Norethynodrel</t>
  </si>
  <si>
    <t>Neodecanoic acid, ethenyl ester</t>
  </si>
  <si>
    <t>N-Nitrosothiomorpholine</t>
  </si>
  <si>
    <t>N-Nitrosopiperidine</t>
  </si>
  <si>
    <t>Neburon</t>
  </si>
  <si>
    <t>N-Nitrosopiperazine</t>
  </si>
  <si>
    <t>N-dodecylamine</t>
  </si>
  <si>
    <t>N-Nitroso-N-methyl-n-dodecylamine</t>
  </si>
  <si>
    <t>N-decylamine</t>
  </si>
  <si>
    <t>N-Nitroso-N-isobutylurea</t>
  </si>
  <si>
    <t>N-Nitroso-N-ethylurea</t>
  </si>
  <si>
    <t>N-cyclohexyl-2-benzothiazolesulfenamide</t>
  </si>
  <si>
    <t>N-Nitrosomorpholine</t>
  </si>
  <si>
    <t>N-Nitrosohexamethyleneimine</t>
  </si>
  <si>
    <t>N-butylamine</t>
  </si>
  <si>
    <t>N-Nitrosoephedrine</t>
  </si>
  <si>
    <t>N-Nitrosodipropylamine</t>
  </si>
  <si>
    <t>N-butyl propionate</t>
  </si>
  <si>
    <t>Napropamide</t>
  </si>
  <si>
    <t>Naphthalenesulfonic acids</t>
  </si>
  <si>
    <t>N-Nitrosodiethanolamine</t>
  </si>
  <si>
    <t>N-Nitrosodibutylamine</t>
  </si>
  <si>
    <t>Naphthalene-2-sulfonic acid</t>
  </si>
  <si>
    <t>N-Nitrosobis(2-oxopropyl)amine</t>
  </si>
  <si>
    <t>N-Nitrosobis(2-hydroxypropyl)amine</t>
  </si>
  <si>
    <t>Naphthalene, 2-methyl-</t>
  </si>
  <si>
    <t>N-Nitroso-bis(2,2,2trifet)amine</t>
  </si>
  <si>
    <t>Naphthalene, 2-methoxy-</t>
  </si>
  <si>
    <t>N-Nitrosobenzthiazuron</t>
  </si>
  <si>
    <t>N-Nitrodimethylamine</t>
  </si>
  <si>
    <t>Naphthalene, 1,5-diamino-</t>
  </si>
  <si>
    <t>N-Methylolacrylamide</t>
  </si>
  <si>
    <t>N-methyl-n-nitrosobenzamide</t>
  </si>
  <si>
    <t>Naphthalene, 1,2,3,4-tetrahydro-</t>
  </si>
  <si>
    <t>Nivalenol</t>
  </si>
  <si>
    <t>Nitrous acid, 2-methylpropyl ester</t>
  </si>
  <si>
    <t>Naphthalene</t>
  </si>
  <si>
    <t>Nitrosourea, N-propyl-N-</t>
  </si>
  <si>
    <t>Nitrosourea, 1-amyl-1-</t>
  </si>
  <si>
    <t>N-allyl-anilin</t>
  </si>
  <si>
    <t>Nitrosourea, 1,3-dibutyl-1-</t>
  </si>
  <si>
    <t>Naled</t>
  </si>
  <si>
    <t>Nitrosourea, 1-(2-hydroxyethyl)-1-</t>
  </si>
  <si>
    <t>Nitroso-N-methyl-N-(2-phenylethyl)amine</t>
  </si>
  <si>
    <t>Nabam</t>
  </si>
  <si>
    <t>Nitrosomethylethylamine, N-</t>
  </si>
  <si>
    <t>Nitrosomethylaniline</t>
  </si>
  <si>
    <t>N,n'-diphenylguanidine</t>
  </si>
  <si>
    <t>Nitrosohydantoin, 1-</t>
  </si>
  <si>
    <t>Nitrosoheptamethyleneimine</t>
  </si>
  <si>
    <t>N,n-dimethylthiourea</t>
  </si>
  <si>
    <t>Nitrosoguanidine, N-methyl-N'-nitro-N-</t>
  </si>
  <si>
    <t>N,n-dimethyldodecylamine</t>
  </si>
  <si>
    <t>Nitrosoguanidine, N-ethyl-N'-nitro-N-</t>
  </si>
  <si>
    <t>Nitrosoethylurethan</t>
  </si>
  <si>
    <t>N,n-dimethylbenzylamine</t>
  </si>
  <si>
    <t>Nitrosododecamethyleneimine</t>
  </si>
  <si>
    <t>Nitrosoanabasine</t>
  </si>
  <si>
    <t>N,n'-dimethylacetamide</t>
  </si>
  <si>
    <t>Nitrosamine, dipentyl-</t>
  </si>
  <si>
    <t>Nitrosamine, diallyl-</t>
  </si>
  <si>
    <t>N,n-diethylaniline</t>
  </si>
  <si>
    <t>Nitroquinoline, 8-</t>
  </si>
  <si>
    <t>N,n-dibutylthiourea</t>
  </si>
  <si>
    <t>N,n,n-trimethylmethanaminium, chloride</t>
  </si>
  <si>
    <t>Nitroimidazole, 1,2-dimethyl-5-</t>
  </si>
  <si>
    <t>N,n,4-trimethylaniline</t>
  </si>
  <si>
    <t>Nitrofurantoin</t>
  </si>
  <si>
    <t>N'-(4-chlorophenyl)-N,N-dimethylurea</t>
  </si>
  <si>
    <t>Myristyltrimethylammonium bromide</t>
  </si>
  <si>
    <t>Nitroanthraquinone, 2-methyl-1-</t>
  </si>
  <si>
    <t>Myclobutanil</t>
  </si>
  <si>
    <t>m-Xylene</t>
  </si>
  <si>
    <t>Nithiazide</t>
  </si>
  <si>
    <t>Nifurthiazole</t>
  </si>
  <si>
    <t>Mucochloric acid</t>
  </si>
  <si>
    <t>Nifuradene</t>
  </si>
  <si>
    <t>Nicotinic acid hydrazide</t>
  </si>
  <si>
    <t>M-trifluoromethylphenol</t>
  </si>
  <si>
    <t>M-toluidine</t>
  </si>
  <si>
    <t>M-t-butylphenyl n-methylcarbamate</t>
  </si>
  <si>
    <t>N-Hydroxy-2-acetylaminofluorene</t>
  </si>
  <si>
    <t>m-Phenylenediamine</t>
  </si>
  <si>
    <t>Naphthalenol, 1- (4-methyl-2-nitrophenyl)azo-2-</t>
  </si>
  <si>
    <t>M-phenoxybenzoic acid</t>
  </si>
  <si>
    <t>Morpholine, 2,6-dimethyl-</t>
  </si>
  <si>
    <t>Morpholine</t>
  </si>
  <si>
    <t>Nalidixic acid</t>
  </si>
  <si>
    <t>Nafenopin</t>
  </si>
  <si>
    <t>Monosodium acid methanearsonate</t>
  </si>
  <si>
    <t>N-1-Napthylthiourea</t>
  </si>
  <si>
    <t>Monolinuron</t>
  </si>
  <si>
    <t>N-{[3-(5-nitro-2-furyl)-1,2,4-oxadiazole-5-yl]-methyl}acetamide</t>
  </si>
  <si>
    <t>N-[5-(5-nitro-2-furyl)-1,3,4-thiadiazol-2-yl]acetamide</t>
  </si>
  <si>
    <t>Monoethanolamine</t>
  </si>
  <si>
    <t>N-[4-(5-Nitro-2-furyl)-2-thiazolyl]formamide</t>
  </si>
  <si>
    <t>N,N'-Diphenyl-P-benzenediamine</t>
  </si>
  <si>
    <t>Monocrotophos</t>
  </si>
  <si>
    <t>N,N-Dimethyldodecylamine oxide</t>
  </si>
  <si>
    <t>Molybdenum</t>
  </si>
  <si>
    <t>N,N-Diethylformamide</t>
  </si>
  <si>
    <t>Molinate</t>
  </si>
  <si>
    <t>N,N'-[6-(5-NITRO-2-FURYL)-s-TRIAZINE-2,4-DIYL]BISACETAMIDE</t>
  </si>
  <si>
    <t>M-nitrobenzaldehyde</t>
  </si>
  <si>
    <t>N-(4-(5-Nitro-2-furyl)-2-thiazolyl)acetamide</t>
  </si>
  <si>
    <t>Mylerlan</t>
  </si>
  <si>
    <t>M-methoxyphenol</t>
  </si>
  <si>
    <t>M-methoxyaniline</t>
  </si>
  <si>
    <t>m-Phenylenediamine dihydrochloride</t>
  </si>
  <si>
    <t>Mirex</t>
  </si>
  <si>
    <t>Morpholine, 4-[(4-morpholinylthio)thioxomethyl]-</t>
  </si>
  <si>
    <t>Morpholine, 4-(2-benzothiazolylthio)-</t>
  </si>
  <si>
    <t>M-hydroxybenzoic acid</t>
  </si>
  <si>
    <t>Monocrotaline</t>
  </si>
  <si>
    <t>Misoprostol</t>
  </si>
  <si>
    <t>M-hydroxyacetanilide</t>
  </si>
  <si>
    <t>Mirex, photo</t>
  </si>
  <si>
    <t>Mexacarbate</t>
  </si>
  <si>
    <t>Mevinfos</t>
  </si>
  <si>
    <t>Metronidazole</t>
  </si>
  <si>
    <t>Metoprolol</t>
  </si>
  <si>
    <t>Metsulfuron-methyl</t>
  </si>
  <si>
    <t>Metiram</t>
  </si>
  <si>
    <t>Methylthiouracil</t>
  </si>
  <si>
    <t>Methylnitramine</t>
  </si>
  <si>
    <t>Methylguanidine</t>
  </si>
  <si>
    <t>Metribuzin</t>
  </si>
  <si>
    <t>Methyleugenol</t>
  </si>
  <si>
    <t>Metoxuron</t>
  </si>
  <si>
    <t>Methylbenzyl alcohol, alpha-</t>
  </si>
  <si>
    <t>Methyl selenac</t>
  </si>
  <si>
    <t>Methyl methacrylate</t>
  </si>
  <si>
    <t>Methyl mercury chloride</t>
  </si>
  <si>
    <t>Metomidate</t>
  </si>
  <si>
    <t>Methyl carbamate</t>
  </si>
  <si>
    <t>Methyl (9Z,12Z)-octadeca-9,12-dienoate</t>
  </si>
  <si>
    <t>Metolachlor, (S)</t>
  </si>
  <si>
    <t>Methoxychlor</t>
  </si>
  <si>
    <t>Methotrexate</t>
  </si>
  <si>
    <t>Metolachlor</t>
  </si>
  <si>
    <t>Methimazole</t>
  </si>
  <si>
    <t>Metobromuron</t>
  </si>
  <si>
    <t>Methidathion</t>
  </si>
  <si>
    <t>Methapyrilene hydrochloride</t>
  </si>
  <si>
    <t>Methaphenilene</t>
  </si>
  <si>
    <t>Methanesulfonate, methyl</t>
  </si>
  <si>
    <t>Methylvinylketone</t>
  </si>
  <si>
    <t>Methane, trichlorofluoro-, CFC-11</t>
  </si>
  <si>
    <t>Methane, tetranitro-</t>
  </si>
  <si>
    <t>Methylsulfonyl chloride</t>
  </si>
  <si>
    <t>Methane, tetrachloro-, CFC-10</t>
  </si>
  <si>
    <t>Methylmercury dicyandiamide</t>
  </si>
  <si>
    <t>Methane, dichlorodifluoro-, CFC-12</t>
  </si>
  <si>
    <t>Methane, dichloro-, HCC-30</t>
  </si>
  <si>
    <t>Methylmecaptophos</t>
  </si>
  <si>
    <t>Methane, dibromochloro-</t>
  </si>
  <si>
    <t>Methane, chlorofluoro-, HCFC-31</t>
  </si>
  <si>
    <t>Methane, chlorodifluoro-, HCFC-22</t>
  </si>
  <si>
    <t>Methane, bromodichloro-</t>
  </si>
  <si>
    <t>Methylenebis (thiocyanate)</t>
  </si>
  <si>
    <t>Methane, bromo-, Halon 1001</t>
  </si>
  <si>
    <t>Methane arsonate</t>
  </si>
  <si>
    <t>Methylcyclohexane</t>
  </si>
  <si>
    <t>Methadone hydrochloride</t>
  </si>
  <si>
    <t>Methylamine</t>
  </si>
  <si>
    <t>Metepa</t>
  </si>
  <si>
    <t>meta-Cresidine</t>
  </si>
  <si>
    <t>Methyl p-nitrobenzoate</t>
  </si>
  <si>
    <t>Mestranol</t>
  </si>
  <si>
    <t>Mercury</t>
  </si>
  <si>
    <t>Methyl pentynol</t>
  </si>
  <si>
    <t>Menthol</t>
  </si>
  <si>
    <t>Meloxicam</t>
  </si>
  <si>
    <t>Methyl p-chlorobenzoate</t>
  </si>
  <si>
    <t>Melamine</t>
  </si>
  <si>
    <t>Methyl paraoxon</t>
  </si>
  <si>
    <t>Mannitol</t>
  </si>
  <si>
    <t>Maneb</t>
  </si>
  <si>
    <t>Methyl naphthalenes (mixture of isomers)</t>
  </si>
  <si>
    <t>Malonaldehyde, sodium salt</t>
  </si>
  <si>
    <t>Maleic hydrazide</t>
  </si>
  <si>
    <t>Malathion</t>
  </si>
  <si>
    <t>Malaoxon</t>
  </si>
  <si>
    <t>Methyl lactate</t>
  </si>
  <si>
    <t>Lynestrenol</t>
  </si>
  <si>
    <t>Lovastatin</t>
  </si>
  <si>
    <t>Methyl isothiocyanate</t>
  </si>
  <si>
    <t>Lonidamine</t>
  </si>
  <si>
    <t>Methyl formate</t>
  </si>
  <si>
    <t>Lithocholic acid</t>
  </si>
  <si>
    <t>Lindane, beta-</t>
  </si>
  <si>
    <t>Methyl ethyl ketone</t>
  </si>
  <si>
    <t>Lindane, alpha-</t>
  </si>
  <si>
    <t>Lindane</t>
  </si>
  <si>
    <t>Methyl decyl ketone</t>
  </si>
  <si>
    <t>Lead dimethyldithiocarbamate</t>
  </si>
  <si>
    <t>Lead</t>
  </si>
  <si>
    <t>Methyl chloroacetate</t>
  </si>
  <si>
    <t>L-Cysteine, N-acetyl-</t>
  </si>
  <si>
    <t>Methyl anthranilate</t>
  </si>
  <si>
    <t>Lasiocarpine</t>
  </si>
  <si>
    <t>L-5-MORPHOLINOMETHYL-3-[(5-NITROFURFURYLIDENE)AMINO]-2-OXAZOLIDINONE.hcl</t>
  </si>
  <si>
    <t>Methyl acrylate</t>
  </si>
  <si>
    <t>Ketoprofen</t>
  </si>
  <si>
    <t>Kepone</t>
  </si>
  <si>
    <t>Methyl acetate</t>
  </si>
  <si>
    <t>Kaempferol</t>
  </si>
  <si>
    <t>Josamycin</t>
  </si>
  <si>
    <t>Methyl 4-chloro-2-nitrobenzoate</t>
  </si>
  <si>
    <t>Isosafrole</t>
  </si>
  <si>
    <t>Methyl 2,5-dichlorobenzoate</t>
  </si>
  <si>
    <t>Isoprene</t>
  </si>
  <si>
    <t>Isophorone</t>
  </si>
  <si>
    <t>Methyl 2,4-dihydroxybenzoate</t>
  </si>
  <si>
    <t>Isonicotinic acid</t>
  </si>
  <si>
    <t>Isoniazid</t>
  </si>
  <si>
    <t>Methyl (3,4-dichlorophenyl)carbamate</t>
  </si>
  <si>
    <t>Isomazole</t>
  </si>
  <si>
    <t>Isolan</t>
  </si>
  <si>
    <t>Methoxyflurane</t>
  </si>
  <si>
    <t>Isobutyraldehyde</t>
  </si>
  <si>
    <t>Isobutene</t>
  </si>
  <si>
    <t>Methoxyfenozide</t>
  </si>
  <si>
    <t>Isobenzan</t>
  </si>
  <si>
    <t>Iopromide</t>
  </si>
  <si>
    <t>Iodoform</t>
  </si>
  <si>
    <t>Methoxybenzene</t>
  </si>
  <si>
    <t>Iodoacetamide</t>
  </si>
  <si>
    <t>Iodinated glycerol</t>
  </si>
  <si>
    <t>Methoxy triethylene glycol</t>
  </si>
  <si>
    <t>I-nicotinamide</t>
  </si>
  <si>
    <t>Indomethacin</t>
  </si>
  <si>
    <t>Methoproptryne</t>
  </si>
  <si>
    <t>Indole-3-acetic acid</t>
  </si>
  <si>
    <t>Methoprene</t>
  </si>
  <si>
    <t>Indole</t>
  </si>
  <si>
    <t>Indeno(1,2,3-cd)pyrene</t>
  </si>
  <si>
    <t>Methomyl</t>
  </si>
  <si>
    <t>Ibuprofen</t>
  </si>
  <si>
    <t>Hydroquinone</t>
  </si>
  <si>
    <t>Methionine hydroxy analog</t>
  </si>
  <si>
    <t>Hydrocortisone</t>
  </si>
  <si>
    <t>Hydrochlorothiazide</t>
  </si>
  <si>
    <t>Methiocarb</t>
  </si>
  <si>
    <t>Hydrazinecarboxylic acid, methyl ester</t>
  </si>
  <si>
    <t>Hydrazinecarboxamide, 2-phenyl-</t>
  </si>
  <si>
    <t>Hydrazine, phenylethyl-, sulfate</t>
  </si>
  <si>
    <t>Methanone, 2-hydroxy-4-(octyloxy)phenyl phenyl-</t>
  </si>
  <si>
    <t>Hydrazine, phenyl-, hydrochloride</t>
  </si>
  <si>
    <t>Hydrazine, n-pentyl-, hydrochloride</t>
  </si>
  <si>
    <t>Methanol, (1h,3h,5h-oxazolo[3,4-c]oxazol-7a(7h)-ylmethoxy)-</t>
  </si>
  <si>
    <t>Hydrazine, N-methyl-N-formyl-</t>
  </si>
  <si>
    <t>Hydrazine, n-butyl-, hydrochloride</t>
  </si>
  <si>
    <t>Methanol</t>
  </si>
  <si>
    <t>Hydrazine, monoacetyl-</t>
  </si>
  <si>
    <t>Hydrazine, methyl-</t>
  </si>
  <si>
    <t>Methanesulfinic acid, aminoimino-</t>
  </si>
  <si>
    <t>Hydrazine, formyl-</t>
  </si>
  <si>
    <t>Hydrazine, carbamyl-, hydrochloride</t>
  </si>
  <si>
    <t>Hydrazine, 2-hydroxyethyl-</t>
  </si>
  <si>
    <t>Methane, sulfonylbis trichloro-</t>
  </si>
  <si>
    <t>Hydrazine, 1-acetyl-2-phenyl-</t>
  </si>
  <si>
    <t>Hydrazine, 1-acetyl-2-isonicotinoyl-</t>
  </si>
  <si>
    <t>Methane, monochloro-, R-40</t>
  </si>
  <si>
    <t>Hydrazine, 1,2-diphenyl-</t>
  </si>
  <si>
    <t>Hydrazine, 1,2-dimethyl-, dihydrochloride</t>
  </si>
  <si>
    <t>Methane, dimethoxy-</t>
  </si>
  <si>
    <t>Hydrazine, 1,2-diformyl-</t>
  </si>
  <si>
    <t>Hydrazine, 1,1-di-n-butyl-</t>
  </si>
  <si>
    <t>Hydrazine, 1,1-dimethyl-</t>
  </si>
  <si>
    <t>Hydrazine sulfate</t>
  </si>
  <si>
    <t>Hydrazine</t>
  </si>
  <si>
    <t>Hexanol, 2-ethyl-1-</t>
  </si>
  <si>
    <t>Hexanediamide</t>
  </si>
  <si>
    <t>Hexane</t>
  </si>
  <si>
    <t>Hexanamide</t>
  </si>
  <si>
    <t>Methane, bis(2-chloroethoxy)-</t>
  </si>
  <si>
    <t>Hexamethylphosphoramide</t>
  </si>
  <si>
    <t>Methamidophos</t>
  </si>
  <si>
    <t>Hexamethylenetetramine</t>
  </si>
  <si>
    <t>Hexachlorophene</t>
  </si>
  <si>
    <t>Metham (acid)</t>
  </si>
  <si>
    <t>Hexachlorocyclohexane</t>
  </si>
  <si>
    <t>Hexa(hydroxymethyl)melamine</t>
  </si>
  <si>
    <t>Methacrylic acid, n-butyl ester</t>
  </si>
  <si>
    <t>Heptylamine</t>
  </si>
  <si>
    <t>Heptachlor epoxide</t>
  </si>
  <si>
    <t>Methacrylic acid, i-butyl ester</t>
  </si>
  <si>
    <t>Heptachlor</t>
  </si>
  <si>
    <t>Hematoxylin</t>
  </si>
  <si>
    <t>Methacrylic acid, ethyl ester</t>
  </si>
  <si>
    <t>HC Blue no. 2</t>
  </si>
  <si>
    <t>Methacrylic acid</t>
  </si>
  <si>
    <t>HC Blue no. 1</t>
  </si>
  <si>
    <t>Gyromitrin</t>
  </si>
  <si>
    <t>Methabenzthiazuron</t>
  </si>
  <si>
    <t>Griseofulvin</t>
  </si>
  <si>
    <t>Glycine</t>
  </si>
  <si>
    <t>Metazachlor</t>
  </si>
  <si>
    <t>Glycidylaldehyde</t>
  </si>
  <si>
    <t>Glycidol</t>
  </si>
  <si>
    <t>Metam-sodium dihydrate</t>
  </si>
  <si>
    <t>Glycerol</t>
  </si>
  <si>
    <t>Metamitron</t>
  </si>
  <si>
    <t>Glutaraldehyde</t>
  </si>
  <si>
    <t>Glu-P-2</t>
  </si>
  <si>
    <t>Metaldehyde (tetramer)</t>
  </si>
  <si>
    <t>Glu-P-1</t>
  </si>
  <si>
    <t>Gibberellic acid</t>
  </si>
  <si>
    <t>Metalaxyl-M</t>
  </si>
  <si>
    <t>Genite</t>
  </si>
  <si>
    <t>Gemfibrozil</t>
  </si>
  <si>
    <t>Metalaxil</t>
  </si>
  <si>
    <t>Furosemide</t>
  </si>
  <si>
    <t>Furfural</t>
  </si>
  <si>
    <t>Metacresol, parachloro-</t>
  </si>
  <si>
    <t>Furan, tetrahydro-</t>
  </si>
  <si>
    <t>Merphos</t>
  </si>
  <si>
    <t>Furan</t>
  </si>
  <si>
    <t>Fosetyl-aluminium</t>
  </si>
  <si>
    <t>Formic acid 2-(4-methyl-2-thiazolyl)hydrazide</t>
  </si>
  <si>
    <t>Formaldehyde</t>
  </si>
  <si>
    <t>Mercaptoacetic acid</t>
  </si>
  <si>
    <t>Fomesafen</t>
  </si>
  <si>
    <t>Folpet</t>
  </si>
  <si>
    <t>Mepiquat chloride</t>
  </si>
  <si>
    <t>Fluvastatin</t>
  </si>
  <si>
    <t>Menthol (l)</t>
  </si>
  <si>
    <t>Fluorene</t>
  </si>
  <si>
    <t>Fluoranthene</t>
  </si>
  <si>
    <t>Fluometuron</t>
  </si>
  <si>
    <t>Flavomycelin</t>
  </si>
  <si>
    <t>Mefenacet</t>
  </si>
  <si>
    <t>Ferbam</t>
  </si>
  <si>
    <t>Fenvalerate</t>
  </si>
  <si>
    <t>Mecoprop-P</t>
  </si>
  <si>
    <t>Fentin hydroxide</t>
  </si>
  <si>
    <t>Fentin acetate</t>
  </si>
  <si>
    <t>Mecoprop, potassium salt</t>
  </si>
  <si>
    <t>Fenthion</t>
  </si>
  <si>
    <t>Mecarbam</t>
  </si>
  <si>
    <t>Fenaminosulf</t>
  </si>
  <si>
    <t>Felbamate</t>
  </si>
  <si>
    <t>Mebendazole</t>
  </si>
  <si>
    <t>FD &amp; C red no. 4 s</t>
  </si>
  <si>
    <t>FD &amp; C red no. 2</t>
  </si>
  <si>
    <t>M-diethylbenzene</t>
  </si>
  <si>
    <t>FD &amp; C green no. 2</t>
  </si>
  <si>
    <t>FD &amp; C green no. 1</t>
  </si>
  <si>
    <t>m-Cresol</t>
  </si>
  <si>
    <t>Eugenol</t>
  </si>
  <si>
    <t>MCPB-sodium</t>
  </si>
  <si>
    <t>Etodolac</t>
  </si>
  <si>
    <t>Ethylnitrosocyanamide</t>
  </si>
  <si>
    <t>MCPB-ethyl</t>
  </si>
  <si>
    <t>Ethyleneimine</t>
  </si>
  <si>
    <t>Ethylene thiourea</t>
  </si>
  <si>
    <t>MCPB</t>
  </si>
  <si>
    <t>Ethylene oxide</t>
  </si>
  <si>
    <t>Ethylene glycol</t>
  </si>
  <si>
    <t>MCPA-thioethyl</t>
  </si>
  <si>
    <t>Ethyl ziram</t>
  </si>
  <si>
    <t>Ethyl N-methyl-N-nitrosocarbamate</t>
  </si>
  <si>
    <t>MCPA dimethylamine salt</t>
  </si>
  <si>
    <t>Ethyl cadmate</t>
  </si>
  <si>
    <t>MCPA - sodium salt</t>
  </si>
  <si>
    <t>Ethyl acrylate</t>
  </si>
  <si>
    <t>Ethyl 3-methyl-3-phenylglycidate</t>
  </si>
  <si>
    <t>M-chlorobenzyl alcohol</t>
  </si>
  <si>
    <t>Ethoxyquin</t>
  </si>
  <si>
    <t>Ethionine</t>
  </si>
  <si>
    <t>M-chlorobenzoic acid</t>
  </si>
  <si>
    <t>Ethionamide</t>
  </si>
  <si>
    <t>Ethinyl estradiol</t>
  </si>
  <si>
    <t>M-chloroanisole</t>
  </si>
  <si>
    <t>Ether, 2-chloro-1,1,2-trifluoroethyl difluoromethyl-, HCFE-235ca2 (enflurane)</t>
  </si>
  <si>
    <t>M-bromobenzamide</t>
  </si>
  <si>
    <t>Ethene, trichloro-</t>
  </si>
  <si>
    <t>Ethene, tetrachloro-</t>
  </si>
  <si>
    <t>Manganese</t>
  </si>
  <si>
    <t>Ethene, chloro-</t>
  </si>
  <si>
    <t>Ethene, bromo-</t>
  </si>
  <si>
    <t>Ethene, 1,1-difluoro-, HFC-1132a</t>
  </si>
  <si>
    <t>Ethene, 1,1-dichloro-</t>
  </si>
  <si>
    <t>Mancozeb</t>
  </si>
  <si>
    <t>Ethanol, bromo-</t>
  </si>
  <si>
    <t>Ethanol, 2-butoxy-</t>
  </si>
  <si>
    <t>Malononitrile</t>
  </si>
  <si>
    <t>Ethanol</t>
  </si>
  <si>
    <t>Malonic acid</t>
  </si>
  <si>
    <t>Ethane, Z-ethyl-O,N,N-azoxy-</t>
  </si>
  <si>
    <t>Ethane, pentachloro-</t>
  </si>
  <si>
    <t>Ethane, hexachloro-</t>
  </si>
  <si>
    <t>Ethane, chloro-</t>
  </si>
  <si>
    <t>Maleic anhydride</t>
  </si>
  <si>
    <t>Ethane, bromo-</t>
  </si>
  <si>
    <t>Ethane, 2-chloro-1,1,1-trifluoro-, HCFC-133a</t>
  </si>
  <si>
    <t>Maleic acid</t>
  </si>
  <si>
    <t>Ethane, 2-chloro-1,1,1,2-tetrafluoro-, HCFC-124</t>
  </si>
  <si>
    <t>Ethane, 2,2-dichloro-1,1,1-trifluoro-, HCFC-123</t>
  </si>
  <si>
    <t>Ethane, 1-chloro-2,2,2-trifluoro-(difluoromethoxy)-, HCFE-235da2</t>
  </si>
  <si>
    <t>Ethane, 1,2-dichloro-</t>
  </si>
  <si>
    <t>Ethane, 1,2-dibromo-</t>
  </si>
  <si>
    <t>M-(trifluoromethyl)benzaldehyde</t>
  </si>
  <si>
    <t>Ethane, 1,1-dichloro-1-fluoro-, HCFC-141b</t>
  </si>
  <si>
    <t>Ethane, 1,1-dichloro-</t>
  </si>
  <si>
    <t>Longifolene</t>
  </si>
  <si>
    <t>Ethane, 1,1,2-trichloro-1,2,2-trifluoro-, CFC-113</t>
  </si>
  <si>
    <t>Ethane, 1,1,2-trichloro-</t>
  </si>
  <si>
    <t>L-lactic acid</t>
  </si>
  <si>
    <t>Ethane, 1,1,2,2-tetrachloro-</t>
  </si>
  <si>
    <t>Linuron</t>
  </si>
  <si>
    <t>Ethane, 1,1,1-trichloro-, HCFC-140</t>
  </si>
  <si>
    <t>Ethane, 1,1,1,2-tetrafluoro-, HFC-134a</t>
  </si>
  <si>
    <t>Ethane, 1,1,1,2-tetrachloro-</t>
  </si>
  <si>
    <t>Estradiol mustard</t>
  </si>
  <si>
    <t>Estradiol</t>
  </si>
  <si>
    <t>Estazolam</t>
  </si>
  <si>
    <t>Erythrosine</t>
  </si>
  <si>
    <t>Epichlorohydrin</t>
  </si>
  <si>
    <t>Linalool</t>
  </si>
  <si>
    <t>Enoxolone</t>
  </si>
  <si>
    <t>Limonene</t>
  </si>
  <si>
    <t>Enovid</t>
  </si>
  <si>
    <t>Endrin</t>
  </si>
  <si>
    <t>Lignosulfonic acid, sodium salt</t>
  </si>
  <si>
    <t>Endosulfan</t>
  </si>
  <si>
    <t>Emodin</t>
  </si>
  <si>
    <t>Lignosulfonic acid, ammonium salt</t>
  </si>
  <si>
    <t>Ellagic Acid</t>
  </si>
  <si>
    <t>Edetate trisodium</t>
  </si>
  <si>
    <t>Lethane 60</t>
  </si>
  <si>
    <t>Dulcin</t>
  </si>
  <si>
    <t>Leptophos</t>
  </si>
  <si>
    <t>Dopa</t>
  </si>
  <si>
    <t>Dodine</t>
  </si>
  <si>
    <t>Lenacil</t>
  </si>
  <si>
    <t>DL-Tryptophan</t>
  </si>
  <si>
    <t>DL-Methionine</t>
  </si>
  <si>
    <t>D-limonene</t>
  </si>
  <si>
    <t>DL-ethionine</t>
  </si>
  <si>
    <t>L-arabinose</t>
  </si>
  <si>
    <t>Diuron</t>
  </si>
  <si>
    <t>Disulfiram</t>
  </si>
  <si>
    <t>Lambda-cyhalothrin</t>
  </si>
  <si>
    <t>Dipyrone</t>
  </si>
  <si>
    <t>Lactic acid, butyl ester</t>
  </si>
  <si>
    <t>Dipropylene glycol</t>
  </si>
  <si>
    <t>Diphenylacetonitrile</t>
  </si>
  <si>
    <t>L-2-chloropropionic acid isobutyl ester</t>
  </si>
  <si>
    <t>Dioxin, 2,3,7,8 Tetrachlorodibenzo-p-</t>
  </si>
  <si>
    <t>Dioxathion</t>
  </si>
  <si>
    <t>Kresoxim-methyl</t>
  </si>
  <si>
    <t>Dinoseb</t>
  </si>
  <si>
    <t>Dinitrosopiperazine</t>
  </si>
  <si>
    <t>Di-n-butyl tin diacetate</t>
  </si>
  <si>
    <t>Isoxathion</t>
  </si>
  <si>
    <t>Dimethylcarbamyl chloride</t>
  </si>
  <si>
    <t>Dimethyl morpholinophosphoramidate</t>
  </si>
  <si>
    <t>Isoxaflutole</t>
  </si>
  <si>
    <t>Dimethyl methylphosphonate</t>
  </si>
  <si>
    <t>Dimethyl hydrogen phosphite</t>
  </si>
  <si>
    <t>Isoxaben</t>
  </si>
  <si>
    <t>Dimethyl formamide</t>
  </si>
  <si>
    <t>Dimethoxane</t>
  </si>
  <si>
    <t>Isovaleric acid</t>
  </si>
  <si>
    <t>Dimethoate</t>
  </si>
  <si>
    <t>Dimelin</t>
  </si>
  <si>
    <t>Isotridecanol</t>
  </si>
  <si>
    <t>Diisopropanolamine</t>
  </si>
  <si>
    <t>Isothioate</t>
  </si>
  <si>
    <t>Dihydrosafrole</t>
  </si>
  <si>
    <t>Diglycidyl resorcinol ether</t>
  </si>
  <si>
    <t>Isoquinoline</t>
  </si>
  <si>
    <t>Diftalone</t>
  </si>
  <si>
    <t>Diethylstilbestrol</t>
  </si>
  <si>
    <t>Isoproturon</t>
  </si>
  <si>
    <t>Diethylene glycol</t>
  </si>
  <si>
    <t>Diethylcarbamodithioic acid, sodium salt</t>
  </si>
  <si>
    <t>Isopropylxanthic acid, sodium salt</t>
  </si>
  <si>
    <t>Diethyl maleate</t>
  </si>
  <si>
    <t>Isopropylamine</t>
  </si>
  <si>
    <t>Dieldrin</t>
  </si>
  <si>
    <t>Dicyclopentadiene diepoxide</t>
  </si>
  <si>
    <t>Isopropyl phenyl diphenyl phosphate</t>
  </si>
  <si>
    <t>Dicofol</t>
  </si>
  <si>
    <t>Diclofenac</t>
  </si>
  <si>
    <t>Isopropyl myristate</t>
  </si>
  <si>
    <t>Dichlorvos</t>
  </si>
  <si>
    <t>Dichlorprop</t>
  </si>
  <si>
    <t>Isopropyl methacrylate</t>
  </si>
  <si>
    <t>Dichlone</t>
  </si>
  <si>
    <t>Dibutyldithiocarbamic acid, nickel salt</t>
  </si>
  <si>
    <t>Isopropyl disulfide</t>
  </si>
  <si>
    <t>Dibenzo-p-dioxin</t>
  </si>
  <si>
    <t>Isopropyl acetate</t>
  </si>
  <si>
    <t>Dibenzo[a,h]pyrene-7,14-dione</t>
  </si>
  <si>
    <t>Dibenz(a,h)anthracene</t>
  </si>
  <si>
    <t>Isopropyl 4,4'dibromobenzilate</t>
  </si>
  <si>
    <t>Diazinon</t>
  </si>
  <si>
    <t>Diazepam</t>
  </si>
  <si>
    <t>Isopropalin</t>
  </si>
  <si>
    <t>Diallylphthalate</t>
  </si>
  <si>
    <t>Diallate</t>
  </si>
  <si>
    <t>Isoprocarb</t>
  </si>
  <si>
    <t>Di(p-aminophenyl)sulfone</t>
  </si>
  <si>
    <t>Dexamethasone</t>
  </si>
  <si>
    <t>Deserpidine</t>
  </si>
  <si>
    <t>Isopimaric acid</t>
  </si>
  <si>
    <t>Deltamethrin</t>
  </si>
  <si>
    <t>Dehydroepiandrosterone acetate</t>
  </si>
  <si>
    <t>Isophytol</t>
  </si>
  <si>
    <t>Dehydroacetic acid</t>
  </si>
  <si>
    <t>Deet [n,n,-diet-3-me benzamide]</t>
  </si>
  <si>
    <t>Isophorone diamine</t>
  </si>
  <si>
    <t>Decabromodiphenyl oxide</t>
  </si>
  <si>
    <t>DDT</t>
  </si>
  <si>
    <t>DDE</t>
  </si>
  <si>
    <t>Isooctyl alcohol</t>
  </si>
  <si>
    <t>DDD</t>
  </si>
  <si>
    <t>Daminozide</t>
  </si>
  <si>
    <t>Isooctadecanol</t>
  </si>
  <si>
    <t>Cyclophosphamide</t>
  </si>
  <si>
    <t>Cyclopentanone, oxime</t>
  </si>
  <si>
    <t>Isononanol</t>
  </si>
  <si>
    <t>Cyclopentadiene, hexachloro-</t>
  </si>
  <si>
    <t>Cyclohexene, 4-vinyl-</t>
  </si>
  <si>
    <t>Cyclohexanone</t>
  </si>
  <si>
    <t>Cyclohexaneacetic acid, 1-(aminomethyl)-</t>
  </si>
  <si>
    <t>Cyclochlorotine</t>
  </si>
  <si>
    <t>Cyanazine</t>
  </si>
  <si>
    <t>Curcumin</t>
  </si>
  <si>
    <t>Isoflurophate</t>
  </si>
  <si>
    <t>Cupferron</t>
  </si>
  <si>
    <t>Cumate</t>
  </si>
  <si>
    <t>Isofenphos</t>
  </si>
  <si>
    <t>Crotonaldehyde</t>
  </si>
  <si>
    <t>Coumarin</t>
  </si>
  <si>
    <t>Isodrin</t>
  </si>
  <si>
    <t>Coumafos</t>
  </si>
  <si>
    <t>Isodecyl diphenyl phosphate</t>
  </si>
  <si>
    <t>Compound LY171883</t>
  </si>
  <si>
    <t>Codeine</t>
  </si>
  <si>
    <t>Isodecanol</t>
  </si>
  <si>
    <t>Clofibrate</t>
  </si>
  <si>
    <t>Clobuzarit</t>
  </si>
  <si>
    <t>Isobutyric acid</t>
  </si>
  <si>
    <t>Citrinin</t>
  </si>
  <si>
    <t>Citric acid</t>
  </si>
  <si>
    <t>Citral</t>
  </si>
  <si>
    <t>Isobutyl vinyl ether</t>
  </si>
  <si>
    <t>Ciprofibrate</t>
  </si>
  <si>
    <t>Cinnamyl anthranilate</t>
  </si>
  <si>
    <t>Isobutyl acrylate</t>
  </si>
  <si>
    <t>Cimetidine</t>
  </si>
  <si>
    <t>Chrysene</t>
  </si>
  <si>
    <t>Isobutyl acetate</t>
  </si>
  <si>
    <t>Chrysazin</t>
  </si>
  <si>
    <t>Chromium VI</t>
  </si>
  <si>
    <t>Chromium III</t>
  </si>
  <si>
    <t>Chromium</t>
  </si>
  <si>
    <t>Isoamyl acetate</t>
  </si>
  <si>
    <t>Choline chloride</t>
  </si>
  <si>
    <t>Iron III</t>
  </si>
  <si>
    <t>Chlorpyrifos</t>
  </si>
  <si>
    <t>Chlorpropham</t>
  </si>
  <si>
    <t>Iron II</t>
  </si>
  <si>
    <t>Chlorpropamide</t>
  </si>
  <si>
    <t>Chlorotrianisene</t>
  </si>
  <si>
    <t>Iron</t>
  </si>
  <si>
    <t>Chlorothalonil</t>
  </si>
  <si>
    <t>Chloroprene</t>
  </si>
  <si>
    <t>Irgarol</t>
  </si>
  <si>
    <t>Chloropicrin</t>
  </si>
  <si>
    <t>Ipt (isoprothiolane)</t>
  </si>
  <si>
    <t>Chloromethyl methyl ether</t>
  </si>
  <si>
    <t>Chloroform</t>
  </si>
  <si>
    <t>Iprodione</t>
  </si>
  <si>
    <t>Chlorobenzilate</t>
  </si>
  <si>
    <t>Chloroacetic acid</t>
  </si>
  <si>
    <t>Ioxynil-sodium</t>
  </si>
  <si>
    <t>Chlormequat chloride</t>
  </si>
  <si>
    <t>Chlormadinone acetate</t>
  </si>
  <si>
    <t>Ioxynil</t>
  </si>
  <si>
    <t>Chlorfenson</t>
  </si>
  <si>
    <t>Chlorendic acid</t>
  </si>
  <si>
    <t>Chlordane , pur</t>
  </si>
  <si>
    <t>Chloranil</t>
  </si>
  <si>
    <t>Chloramphenicol</t>
  </si>
  <si>
    <t>Iodofenphos</t>
  </si>
  <si>
    <t>Chlorambucil</t>
  </si>
  <si>
    <t>Chloralose</t>
  </si>
  <si>
    <t>I-nicotinic acid, methyl ester</t>
  </si>
  <si>
    <t>Chloral hydrate</t>
  </si>
  <si>
    <t>Chenodeoxycholic acid</t>
  </si>
  <si>
    <t>Celiprolol</t>
  </si>
  <si>
    <t>Indoxacarb</t>
  </si>
  <si>
    <t>Celecoxib</t>
  </si>
  <si>
    <t>Catechol</t>
  </si>
  <si>
    <t>Carbromal</t>
  </si>
  <si>
    <t>Carbonic acid, diphenyl ester</t>
  </si>
  <si>
    <t>Indole, 5-nitro</t>
  </si>
  <si>
    <t>Carbofuran</t>
  </si>
  <si>
    <t>Carbazole</t>
  </si>
  <si>
    <t>Carbaryl</t>
  </si>
  <si>
    <t>Carbarsone</t>
  </si>
  <si>
    <t>Indazole</t>
  </si>
  <si>
    <t>Carbamic acid, ethyl ester</t>
  </si>
  <si>
    <t>Indan</t>
  </si>
  <si>
    <t>Carbamazepine</t>
  </si>
  <si>
    <t>Captan</t>
  </si>
  <si>
    <t>Imidazole</t>
  </si>
  <si>
    <t>Capsaicin</t>
  </si>
  <si>
    <t>Caprolactam</t>
  </si>
  <si>
    <t>Imidacloprid</t>
  </si>
  <si>
    <t>Calcium cyanamide</t>
  </si>
  <si>
    <t>Caffeine</t>
  </si>
  <si>
    <t>Imazethapyr</t>
  </si>
  <si>
    <t>Caffeic acid</t>
  </si>
  <si>
    <t>Imazapyr-isopropylammonium salt</t>
  </si>
  <si>
    <t>Cadmium</t>
  </si>
  <si>
    <t>Cacodylic acid</t>
  </si>
  <si>
    <t>Imazapyr</t>
  </si>
  <si>
    <t>C.I. Yellow 3</t>
  </si>
  <si>
    <t>C.I. Solvent yellow 3</t>
  </si>
  <si>
    <t>Imazamox</t>
  </si>
  <si>
    <t>C.I. Solvent yellow 14</t>
  </si>
  <si>
    <t>C.I. Pigment yellow 83</t>
  </si>
  <si>
    <t>Imazamethabenz (isomer mix)</t>
  </si>
  <si>
    <t>C.I. Pigment yellow 16</t>
  </si>
  <si>
    <t>C.I. Pigment yellow 12</t>
  </si>
  <si>
    <t>Imazalil</t>
  </si>
  <si>
    <t>C.I. Pigment red 49</t>
  </si>
  <si>
    <t>C.I. Pigment red 23</t>
  </si>
  <si>
    <t>C.I. Oxidation base 4</t>
  </si>
  <si>
    <t>Ibp (iprobenfos)</t>
  </si>
  <si>
    <t>C.I. Food green 3</t>
  </si>
  <si>
    <t>C.I. Disperse yellow 3</t>
  </si>
  <si>
    <t>Hymexazol</t>
  </si>
  <si>
    <t>C.I. Disperse blue 1</t>
  </si>
  <si>
    <t>C.I. Direct brown 95</t>
  </si>
  <si>
    <t>Hydroxyurea</t>
  </si>
  <si>
    <t>C.I. Direct blue 6</t>
  </si>
  <si>
    <t>C.I. Direct blue 15</t>
  </si>
  <si>
    <t>C.I. Direct black 38</t>
  </si>
  <si>
    <t>C.I. Brilliant blue fcf</t>
  </si>
  <si>
    <t>C.I. Basic violet 3</t>
  </si>
  <si>
    <t>C.I. Basic red 1</t>
  </si>
  <si>
    <t>C.I. Acid violet 49</t>
  </si>
  <si>
    <t>C.I. Acid red 26</t>
  </si>
  <si>
    <t>C.I. Acid red 18</t>
  </si>
  <si>
    <t>C.I. Acid red 114</t>
  </si>
  <si>
    <t>C.I. Acid orange 3</t>
  </si>
  <si>
    <t>C.I. Acid orange 10</t>
  </si>
  <si>
    <t>Hydrargaphen</t>
  </si>
  <si>
    <t>C.I. Acid blue 74</t>
  </si>
  <si>
    <t>Butyrolactone, beta-</t>
  </si>
  <si>
    <t>Hydramethylnon</t>
  </si>
  <si>
    <t>Butyrolactone</t>
  </si>
  <si>
    <t>Butylurea</t>
  </si>
  <si>
    <t>Hexythiazox</t>
  </si>
  <si>
    <t>Butylated hydroxyanisole</t>
  </si>
  <si>
    <t>Hexene - mixture of isomers</t>
  </si>
  <si>
    <t>Butyl ziram</t>
  </si>
  <si>
    <t>Butanoic acid, 3-methyl-, 2-propenyl ester</t>
  </si>
  <si>
    <t>Hexazinone</t>
  </si>
  <si>
    <t>Butane, 1-chloro-</t>
  </si>
  <si>
    <t>Butane, 1,2-epoxy-</t>
  </si>
  <si>
    <t>Butadiene, hexachloro-</t>
  </si>
  <si>
    <t>Butadiene</t>
  </si>
  <si>
    <t>Hexanoic acid, 2-ethyl-</t>
  </si>
  <si>
    <t>Budesonide</t>
  </si>
  <si>
    <t>Bromoform</t>
  </si>
  <si>
    <t>Hexanoic acid</t>
  </si>
  <si>
    <t>Bisphenol A</t>
  </si>
  <si>
    <t>Hexanedioic acid, dibutyl ester</t>
  </si>
  <si>
    <t>Bismuth dimethyldithiocarbamate</t>
  </si>
  <si>
    <t>Bis(chloromethyl)ether</t>
  </si>
  <si>
    <t>Hexanedioic acid</t>
  </si>
  <si>
    <t>Bis(8-quinolinolato-(n1,o8))copper</t>
  </si>
  <si>
    <t>Bis(2-chloroethyl)ether</t>
  </si>
  <si>
    <t>Bis(2-chloro-1-methylethyl)ether</t>
  </si>
  <si>
    <t>Biphenyl, 4-amino-</t>
  </si>
  <si>
    <t>Hexanal</t>
  </si>
  <si>
    <t>Biphenyl</t>
  </si>
  <si>
    <t>Bifenthrin</t>
  </si>
  <si>
    <t>Bezafibrate</t>
  </si>
  <si>
    <t>beta-Naphthylamine</t>
  </si>
  <si>
    <t>beta-Carotene</t>
  </si>
  <si>
    <t>Hexamethylene diamine</t>
  </si>
  <si>
    <t>Beryllium</t>
  </si>
  <si>
    <t>Benzylthiocyanate</t>
  </si>
  <si>
    <t>Hexahydro-1,3,5-tris(hydroxyethyl)-s-triazine</t>
  </si>
  <si>
    <t>Benzylisothiocyanate</t>
  </si>
  <si>
    <t>Benzyl chloride</t>
  </si>
  <si>
    <t>Benzyl alcohol</t>
  </si>
  <si>
    <t>Benzyl acetate</t>
  </si>
  <si>
    <t>Benzoyl peroxide</t>
  </si>
  <si>
    <t>Benzoyl hydrazine</t>
  </si>
  <si>
    <t>Benzotrichloride</t>
  </si>
  <si>
    <t>Heptenophos</t>
  </si>
  <si>
    <t>Benzoin</t>
  </si>
  <si>
    <t>Benzoic acid</t>
  </si>
  <si>
    <t>Heptene</t>
  </si>
  <si>
    <t>Benzoguanamine</t>
  </si>
  <si>
    <t>Heptanoic acid</t>
  </si>
  <si>
    <t>Benzofuran</t>
  </si>
  <si>
    <t>Benzo(k)fluoranthene</t>
  </si>
  <si>
    <t>Heptane</t>
  </si>
  <si>
    <t>Benzo(g,h,i)perylene</t>
  </si>
  <si>
    <t>Benzo(b)fluoranthene</t>
  </si>
  <si>
    <t>Heptachloronorbornene</t>
  </si>
  <si>
    <t>Benzo(a)pyrene</t>
  </si>
  <si>
    <t>Benzo(a)anthracene</t>
  </si>
  <si>
    <t>Benzidine, 3,3'-dimethyl-, dihydrochloride</t>
  </si>
  <si>
    <t>Benzidine, 3,3'-dimethoxy-, dihydrochloride</t>
  </si>
  <si>
    <t>Benzidine, 3,3'-dichloro-, dihydrochloride</t>
  </si>
  <si>
    <t>Harmaline</t>
  </si>
  <si>
    <t>Benzidine, 3,3'-dichloro-</t>
  </si>
  <si>
    <t>Benzidine, 3,3'-diamino-, tetrahydrochloride</t>
  </si>
  <si>
    <t>Haloxyfop-ethoxyethyl</t>
  </si>
  <si>
    <t>Benzidine dihydrochloride</t>
  </si>
  <si>
    <t>Benzidine</t>
  </si>
  <si>
    <t>Halothane</t>
  </si>
  <si>
    <t>Benzenesulfonic acid, 2,2'-(1,2-ethenediyl)bis[5-amino-, disodium salt</t>
  </si>
  <si>
    <t>Benzenediamine, 4-chloro-1,3-</t>
  </si>
  <si>
    <t>Halosulfuron-methyl</t>
  </si>
  <si>
    <t>Benzenediamine, 2-nitro-1,4-</t>
  </si>
  <si>
    <t>Halofenoxide</t>
  </si>
  <si>
    <t>Benzenediamine, 2,6-dichloro-1,4-</t>
  </si>
  <si>
    <t>Benzene, trinitro-</t>
  </si>
  <si>
    <t>Guanidine, n,n'''-1,6-hexanediylbis n'-cyano-</t>
  </si>
  <si>
    <t>Benzene, pentachloronitro-</t>
  </si>
  <si>
    <t>Benzene, hexachloro-</t>
  </si>
  <si>
    <t>Guanidine, mononitrate</t>
  </si>
  <si>
    <t>Benzene, ethyl-</t>
  </si>
  <si>
    <t>Benzene, ethenylmethyl-</t>
  </si>
  <si>
    <t>Guaiacol</t>
  </si>
  <si>
    <t>Benzene, chloro-</t>
  </si>
  <si>
    <t>Glyphosate</t>
  </si>
  <si>
    <t>Benzene, 3'-methyl-4-dimethylaminoazo-</t>
  </si>
  <si>
    <t>Benzene, 3-methoxy-4-aminoazo-</t>
  </si>
  <si>
    <t>Glyoxal</t>
  </si>
  <si>
    <t>Benzene, 2,4-dichloro-1-(4-nitrophenoxy)-</t>
  </si>
  <si>
    <t>Benzene, 1-methyl-2-nitro-</t>
  </si>
  <si>
    <t>Glycydyltrimethylammonium chloride</t>
  </si>
  <si>
    <t>Benzene, 1-methoxy-4-(2-propenyl)-</t>
  </si>
  <si>
    <t>Benzene, 1-chloro-4-nitro-</t>
  </si>
  <si>
    <t>Glycine, n,n'-1,2-ethanediylbis[n-(carboxymethyl)-, tetraammonium salt</t>
  </si>
  <si>
    <t>Benzene, 1-chloro-2-nitro-</t>
  </si>
  <si>
    <t>Benzene, 1,4-dichloro-</t>
  </si>
  <si>
    <t>Glycine, n,n'-1,2-ethanediylbis[n-(carboxymethyl)-, diammonium salt</t>
  </si>
  <si>
    <t>Benzene, 1,2-dichloro-</t>
  </si>
  <si>
    <t>Glycine, n- 2- bis(carboxymethyl)amino ethyl -n-(2-hydroxyethyl)-</t>
  </si>
  <si>
    <t>Benzene, 1,2,4-trimethyl-</t>
  </si>
  <si>
    <t>Benzene, 1,1'-sulfonylbis 4-chloro-</t>
  </si>
  <si>
    <t>Benzene, 1-(1,1-dimethylethyl)-3,5-dimethyl-2,4,</t>
  </si>
  <si>
    <t>Benzene, (epoxyethyl)-</t>
  </si>
  <si>
    <t>Benzene</t>
  </si>
  <si>
    <t>Benzenamine, 2-methyl-5-nitro-</t>
  </si>
  <si>
    <t>Benzenamine, 2-methoxy-5-nitro-</t>
  </si>
  <si>
    <t>Glufosinate ammonium</t>
  </si>
  <si>
    <t>Benzamide, 4-amino-N-(4-aminophenyl)-</t>
  </si>
  <si>
    <t>Benzaldehyde</t>
  </si>
  <si>
    <t>Geraniol</t>
  </si>
  <si>
    <t>Barium</t>
  </si>
  <si>
    <t>Barbituric acid</t>
  </si>
  <si>
    <t>Gamma-decalactone</t>
  </si>
  <si>
    <t>Barbital, sodium</t>
  </si>
  <si>
    <t>Azoxymethane</t>
  </si>
  <si>
    <t>Azocine, octahydro-</t>
  </si>
  <si>
    <t>Azobenzene</t>
  </si>
  <si>
    <t>Furazolidone</t>
  </si>
  <si>
    <t>Azinphos-methyl</t>
  </si>
  <si>
    <t>Azathioprine</t>
  </si>
  <si>
    <t>Auramine O</t>
  </si>
  <si>
    <t>Furan, 2,5-dimethyl-</t>
  </si>
  <si>
    <t>Atrazine</t>
  </si>
  <si>
    <t>Astemizole</t>
  </si>
  <si>
    <t>Aspartame</t>
  </si>
  <si>
    <t>Ascorbic acid</t>
  </si>
  <si>
    <t>Furalaxyl</t>
  </si>
  <si>
    <t>Arsenic V</t>
  </si>
  <si>
    <t>Fumaryl chloride</t>
  </si>
  <si>
    <t>Arsenic III</t>
  </si>
  <si>
    <t>Arsenic</t>
  </si>
  <si>
    <t>Fumaric acid</t>
  </si>
  <si>
    <t>Arecoline hydrochloride</t>
  </si>
  <si>
    <t>Aramite</t>
  </si>
  <si>
    <t>Fulenetil</t>
  </si>
  <si>
    <t>Antipyrine</t>
  </si>
  <si>
    <t>Antimony V</t>
  </si>
  <si>
    <t>Fuberidazole</t>
  </si>
  <si>
    <t>Antimony III</t>
  </si>
  <si>
    <t>Antimony</t>
  </si>
  <si>
    <t>Fospirate</t>
  </si>
  <si>
    <t>Anthraquinone</t>
  </si>
  <si>
    <t>Anthranilic acid</t>
  </si>
  <si>
    <t>Anthracene</t>
  </si>
  <si>
    <t>Fosamine ammonium salt</t>
  </si>
  <si>
    <t>Anisole, pentachloro-</t>
  </si>
  <si>
    <t>Aniline, p-chloro-, hydrochloride</t>
  </si>
  <si>
    <t>Formothion</t>
  </si>
  <si>
    <t>Aniline, p-chloro-</t>
  </si>
  <si>
    <t>Aniline, N,N-dimethyl-</t>
  </si>
  <si>
    <t>Formic acid</t>
  </si>
  <si>
    <t>Aniline, N,N-diethyl-4-(4'-[pyridyl-1'-oxide]azo)-</t>
  </si>
  <si>
    <t>Formetanate hydrochloride</t>
  </si>
  <si>
    <t>Aniline, 2,4,6-trichloro-</t>
  </si>
  <si>
    <t>Aniline hydrochloride</t>
  </si>
  <si>
    <t>Formamide, n,n-diphenyl-</t>
  </si>
  <si>
    <t>Aniline</t>
  </si>
  <si>
    <t>Anilazine</t>
  </si>
  <si>
    <t>Formamide</t>
  </si>
  <si>
    <t>Anethole (trans)</t>
  </si>
  <si>
    <t>Ampicillin trihydrate</t>
  </si>
  <si>
    <t>Amobarbital</t>
  </si>
  <si>
    <t>Fonofos</t>
  </si>
  <si>
    <t>Ammonium citrate, dibasic</t>
  </si>
  <si>
    <t>Amitrole</t>
  </si>
  <si>
    <t>Aminopyrine</t>
  </si>
  <si>
    <t>Amiben</t>
  </si>
  <si>
    <t>Alpha-Naphthylamine</t>
  </si>
  <si>
    <t>Allyl chloride</t>
  </si>
  <si>
    <t>Fluvalinate</t>
  </si>
  <si>
    <t>Allyl alcohol</t>
  </si>
  <si>
    <t>Allantoin</t>
  </si>
  <si>
    <t>Flutolanil</t>
  </si>
  <si>
    <t>Aldrin</t>
  </si>
  <si>
    <t>Fluthiacet-methyl</t>
  </si>
  <si>
    <t>Aldicarb</t>
  </si>
  <si>
    <t>Alcofenac</t>
  </si>
  <si>
    <t>Flurprimidol</t>
  </si>
  <si>
    <t>Agaritine</t>
  </si>
  <si>
    <t>Aflatoxin B1</t>
  </si>
  <si>
    <t>Fluroxypyr</t>
  </si>
  <si>
    <t>Aflatoxin</t>
  </si>
  <si>
    <t>AF-2</t>
  </si>
  <si>
    <t>Flurochloridone</t>
  </si>
  <si>
    <t>Adipate, bis(2-ethylhexyl)-</t>
  </si>
  <si>
    <t>Fluridone</t>
  </si>
  <si>
    <t>Actarit</t>
  </si>
  <si>
    <t>Acrylonitrile</t>
  </si>
  <si>
    <t>Flurenol-butyl</t>
  </si>
  <si>
    <t>Acrylic acid</t>
  </si>
  <si>
    <t>Acrylamide</t>
  </si>
  <si>
    <t>Fluorodifen</t>
  </si>
  <si>
    <t>Acrolein</t>
  </si>
  <si>
    <t>Acifluorfen</t>
  </si>
  <si>
    <t>Fluorobenzene</t>
  </si>
  <si>
    <t>Acetylsalicylic acid</t>
  </si>
  <si>
    <t>Acetylene, dichloro-</t>
  </si>
  <si>
    <t>Fluoroacetic acid</t>
  </si>
  <si>
    <t>Acetophenetide, 3-nitro-p-</t>
  </si>
  <si>
    <t>Fluorescein sodium</t>
  </si>
  <si>
    <t>Acetonitrile</t>
  </si>
  <si>
    <t>Acetone [4-(5-nitro-2-furyl)-2-thiazolyl]hydrazone</t>
  </si>
  <si>
    <t>Fluorenone</t>
  </si>
  <si>
    <t>Acetic acid, dichloro-</t>
  </si>
  <si>
    <t>Acetic acid, calcium salt</t>
  </si>
  <si>
    <t>Acetate, Trp-P-2</t>
  </si>
  <si>
    <t>Acetate, Trp-P-1</t>
  </si>
  <si>
    <t>Acetaminophen</t>
  </si>
  <si>
    <t>Acetamide, N-4-(4'-fluorobiphenyl)-</t>
  </si>
  <si>
    <t>Acetamide, N,N-diethyl-</t>
  </si>
  <si>
    <t>Flumioxazin</t>
  </si>
  <si>
    <t>Acetamide, N-(9-oxo-2-fluorenyl)-</t>
  </si>
  <si>
    <t>Acetamide, N-(2-fluorenyl)-2,2,2-trifluoro-</t>
  </si>
  <si>
    <t>Flumiclorac-pentyl</t>
  </si>
  <si>
    <t>Acetamide</t>
  </si>
  <si>
    <t>Acetaldehyde, chloro-</t>
  </si>
  <si>
    <t>Flumetsulam</t>
  </si>
  <si>
    <t>Acetaldehyde oxime</t>
  </si>
  <si>
    <t>Acetaldehyde</t>
  </si>
  <si>
    <t>Flumetralin</t>
  </si>
  <si>
    <t>Zinc, bis[o,o-bis(2-ethylhexyl) phosphorodithioato-s,s']-, (t-4)-</t>
  </si>
  <si>
    <t>Acephate</t>
  </si>
  <si>
    <t>Zinc, bis[o,o-bis(1,3-dimethylbutyl) phosphorodithioato-s,s']-, (t-4)-</t>
  </si>
  <si>
    <t>Flumequine</t>
  </si>
  <si>
    <t>Acenaphthylene</t>
  </si>
  <si>
    <t>Zinc, bis(o,o-diisooctyl phosphorodithioato-s,s')-</t>
  </si>
  <si>
    <t>Acenaphthene, 5-nitro-</t>
  </si>
  <si>
    <t>Zinc omadine</t>
  </si>
  <si>
    <t>Flufenacet</t>
  </si>
  <si>
    <t>Acenaphthene</t>
  </si>
  <si>
    <t>A-alpha-C</t>
  </si>
  <si>
    <t>Fludioxonil</t>
  </si>
  <si>
    <t>9h-Pyrido[3,4-B]indole</t>
  </si>
  <si>
    <t>8-Quinolinol</t>
  </si>
  <si>
    <t>Flucythrinate</t>
  </si>
  <si>
    <t>8-Methylquinoline</t>
  </si>
  <si>
    <t>Warfarin</t>
  </si>
  <si>
    <t>Flucycloxuron,(e)-isomer</t>
  </si>
  <si>
    <t>8-Methoxypsoralen</t>
  </si>
  <si>
    <t>7-Oxabicyclo 4,1,0 heptane, 3-oxiranyl-</t>
  </si>
  <si>
    <t>Fluchloralin</t>
  </si>
  <si>
    <t>7,12-Dimethylbenz(a)anthracene</t>
  </si>
  <si>
    <t>6-Purinethiol hydrate</t>
  </si>
  <si>
    <t>Fluazinam</t>
  </si>
  <si>
    <t>Vinyl propionate</t>
  </si>
  <si>
    <t>6-Nitroquinoline</t>
  </si>
  <si>
    <t>6-Methylquinoline</t>
  </si>
  <si>
    <t>Fluazifop-P-butyl</t>
  </si>
  <si>
    <t>Vinclozolin</t>
  </si>
  <si>
    <t>6-Aminohexanoic acid</t>
  </si>
  <si>
    <t>Vernolate</t>
  </si>
  <si>
    <t>5-Nitro-2-furaldehyde diacetate</t>
  </si>
  <si>
    <t>Fluazifop-butyl</t>
  </si>
  <si>
    <t>Vanillin</t>
  </si>
  <si>
    <t>5-Fluorouracil</t>
  </si>
  <si>
    <t>Vanadium</t>
  </si>
  <si>
    <t>Flavone</t>
  </si>
  <si>
    <t>Vamidothion</t>
  </si>
  <si>
    <t>4-nitrotoluene</t>
  </si>
  <si>
    <t>Valproic acid</t>
  </si>
  <si>
    <t>4-Nitrobenzoic acid</t>
  </si>
  <si>
    <t>Validamycin</t>
  </si>
  <si>
    <t>Flamprop-methyl</t>
  </si>
  <si>
    <t>4-methyl-1-[(5-nitrofurfurylidene)amino]-2-imidazolidinone</t>
  </si>
  <si>
    <t>Urea,1-methyl-1-phenyl-2-thio</t>
  </si>
  <si>
    <t>Urea, n,n''-(2-methylpropylidene)bis-</t>
  </si>
  <si>
    <t>4h-pyran-4-one, 5-hydroxy-2-(hydroxymethyl)-</t>
  </si>
  <si>
    <t>Fipronil</t>
  </si>
  <si>
    <t>4-Hexylresorcinol</t>
  </si>
  <si>
    <t>4'-Fluoro-4-aminobiphenyl</t>
  </si>
  <si>
    <t>Urbacid</t>
  </si>
  <si>
    <t>Ferrate(1-), [n-[2-[bis(carboxymethyl)amino]ethyl]-n-(2-hydroxyethyl)glycinato(3</t>
  </si>
  <si>
    <t>4-Ethylsulphonylnaphthalene-1-sulfonamide</t>
  </si>
  <si>
    <t>4-Dimethylaminoazobenzene</t>
  </si>
  <si>
    <t>Uniconazole</t>
  </si>
  <si>
    <t>4-chloro-ortho-phenylenediamine</t>
  </si>
  <si>
    <t>Undecanone</t>
  </si>
  <si>
    <t>Undecanoic acid</t>
  </si>
  <si>
    <t>4-Chloro-4'-aminodiphenylether</t>
  </si>
  <si>
    <t>4-Acetylaminobiphenyl</t>
  </si>
  <si>
    <t>Fenuron</t>
  </si>
  <si>
    <t>4,4-Thiodianiline</t>
  </si>
  <si>
    <t>Trisodium nitrilotriacetate</t>
  </si>
  <si>
    <t>4,4'-Sulfonylbisacetanilide</t>
  </si>
  <si>
    <t>4,4'-Oxybisbenzenamine</t>
  </si>
  <si>
    <t>4,4'-Methylenedianiline dihydrochloride</t>
  </si>
  <si>
    <t>Fentin chloride</t>
  </si>
  <si>
    <t>4,4'-Methylenebis(N,N-dimethylaniline)</t>
  </si>
  <si>
    <t>4,4'-Methylenebis-(2-chlorobenzenamine)</t>
  </si>
  <si>
    <t>Tripropynyl-amine</t>
  </si>
  <si>
    <t>4,4'-METHYLENE-BIS(2-CHLOROANILINE).2hcl</t>
  </si>
  <si>
    <t>Fenthoate</t>
  </si>
  <si>
    <t>Tripropylamine</t>
  </si>
  <si>
    <t>4,4'-Methylene di-o-toluidine</t>
  </si>
  <si>
    <t>Triphenyltin fluoride</t>
  </si>
  <si>
    <t>4,4'-Diaminoazobenzene</t>
  </si>
  <si>
    <t>Triphenylphosphine oxide</t>
  </si>
  <si>
    <t>Triphenylphosphate</t>
  </si>
  <si>
    <t>4-(methylnitrosamino)-1-(3-pyridyl)-1-butanone</t>
  </si>
  <si>
    <t>3-Nitro-3-hexene</t>
  </si>
  <si>
    <t>Fensulfothion</t>
  </si>
  <si>
    <t>Tri-o-cresyl phosphate</t>
  </si>
  <si>
    <t>3-Methylcholanthrene</t>
  </si>
  <si>
    <t>Trinexapac-ethyl</t>
  </si>
  <si>
    <t>Trimethyltin chloride</t>
  </si>
  <si>
    <t>3-isothiocyanato-1-propene</t>
  </si>
  <si>
    <t>Fenpropathrin</t>
  </si>
  <si>
    <t>Trimethylbenzenes</t>
  </si>
  <si>
    <t>3-Hydroxy-p-butyrophenetidide</t>
  </si>
  <si>
    <t>Fenpiclonil</t>
  </si>
  <si>
    <t>3-Dibenzofuranamine</t>
  </si>
  <si>
    <t>Trimethylamine, hydrochloride</t>
  </si>
  <si>
    <t>3-Chloro-p-toluidine</t>
  </si>
  <si>
    <t>Fenoxycarb</t>
  </si>
  <si>
    <t>Trimethylamine</t>
  </si>
  <si>
    <t>3-Chloro-1,2-propanediol</t>
  </si>
  <si>
    <t>Trimethyl naphthalene</t>
  </si>
  <si>
    <t>3-Amino-9-ethylcarbazole hydrochloride</t>
  </si>
  <si>
    <t>Trimethyl lead chloride</t>
  </si>
  <si>
    <t>Fenoxaprop-P ethyl ester</t>
  </si>
  <si>
    <t>3'-Amino-4'-ethoxyacetanilide</t>
  </si>
  <si>
    <t>3,4-Dihydroxybenzoic acid</t>
  </si>
  <si>
    <t>Fenoxaprop ethyl ester</t>
  </si>
  <si>
    <t>3,4-Dihydrocoumarin</t>
  </si>
  <si>
    <t>Trimedlure</t>
  </si>
  <si>
    <t>Fenitrothion</t>
  </si>
  <si>
    <t>Tri-m-cresyl phosphate</t>
  </si>
  <si>
    <t>3,4,5-Trihydroxybenzoic acid</t>
  </si>
  <si>
    <t>Triforine</t>
  </si>
  <si>
    <t>3,3'-Dimethoxybiphenyl-4,4'-diisocyanate</t>
  </si>
  <si>
    <t>Triflusulfuron-methyl</t>
  </si>
  <si>
    <t>Fenfuram</t>
  </si>
  <si>
    <t>3-(Hexahydro-4,7-methanoindan-5-yl)-1,1-dimethy*</t>
  </si>
  <si>
    <t>2-Pyrazinecarboxamide</t>
  </si>
  <si>
    <t>Fenchlorazole-ethyl</t>
  </si>
  <si>
    <t>2-Propenenitrile, 2-methyl-</t>
  </si>
  <si>
    <t>Trifluoroethyl acetate</t>
  </si>
  <si>
    <t>2-propanone, oxime</t>
  </si>
  <si>
    <t>Fenbutatin oxide</t>
  </si>
  <si>
    <t>Triflumuron</t>
  </si>
  <si>
    <t>2-Propanol</t>
  </si>
  <si>
    <t>Triflumizole</t>
  </si>
  <si>
    <t>Trifenmorph</t>
  </si>
  <si>
    <t>2-Phenylphenol</t>
  </si>
  <si>
    <t>Fenbuconazole</t>
  </si>
  <si>
    <t>Triethyltin bromide</t>
  </si>
  <si>
    <t>2-nitrobutane</t>
  </si>
  <si>
    <t>Triethylenetetraamine</t>
  </si>
  <si>
    <t>Fenarimol</t>
  </si>
  <si>
    <t>2-Methyl-4-chlorophenoxyacetic acid</t>
  </si>
  <si>
    <t>Triethylene glycol butyl ether</t>
  </si>
  <si>
    <t>2-Methoxy-3-aminodibenzofuran</t>
  </si>
  <si>
    <t>Fenamiphos</t>
  </si>
  <si>
    <t>2-Imidazolidinone</t>
  </si>
  <si>
    <t>Triethylchlorolead</t>
  </si>
  <si>
    <t>2-hydroxymethylfuran</t>
  </si>
  <si>
    <t>Triethyl phosphate</t>
  </si>
  <si>
    <t>Triethyl amine</t>
  </si>
  <si>
    <t>2-Dimethylaminoethanol</t>
  </si>
  <si>
    <t>2-Cyclohexen-1-one, 2-methyl-5-(1-methylethenyl)</t>
  </si>
  <si>
    <t>Fenac</t>
  </si>
  <si>
    <t>2-Chloroacetophenone</t>
  </si>
  <si>
    <t>Trietazine</t>
  </si>
  <si>
    <t>Tridemorph</t>
  </si>
  <si>
    <t>2-chloro-5-(3,5-dimethylpiperidinosulphonyl)benzoic acid</t>
  </si>
  <si>
    <t>Tridecylbenzenesulfonic acid, sodium salt</t>
  </si>
  <si>
    <t>2-Butene, 1,4-dichloro-</t>
  </si>
  <si>
    <t>Tricyclo[3,3,1,1]decane</t>
  </si>
  <si>
    <t>2-butanone oxime</t>
  </si>
  <si>
    <t>Tricyclene</t>
  </si>
  <si>
    <t>Tricyclazole</t>
  </si>
  <si>
    <t>2-Biphenylamine hydrochloride</t>
  </si>
  <si>
    <t>Fatty acids, c9-13-neo-</t>
  </si>
  <si>
    <t>2-Benzothiazolethiol</t>
  </si>
  <si>
    <t>2-Anisidine hydrochloride</t>
  </si>
  <si>
    <t>Triclopyr, butoxyethyl-</t>
  </si>
  <si>
    <t>Exo-norborneol</t>
  </si>
  <si>
    <t>Triclopyr triethylammonium salt</t>
  </si>
  <si>
    <t>2-Aminodiphenylene oxide</t>
  </si>
  <si>
    <t>Triclopyr</t>
  </si>
  <si>
    <t>2-Aminoanthraquinone</t>
  </si>
  <si>
    <t>Triclocarban</t>
  </si>
  <si>
    <t>2-Amino-4-nitrobenzoic acid</t>
  </si>
  <si>
    <t>Trichlorophenol</t>
  </si>
  <si>
    <t>Etrimfos</t>
  </si>
  <si>
    <t>Trichloronate</t>
  </si>
  <si>
    <t>2-Amino-4-nitroaniline</t>
  </si>
  <si>
    <t>Trichloroethyl phosphate</t>
  </si>
  <si>
    <t>2-Amino-1-naphthalenesulfonic acid</t>
  </si>
  <si>
    <t>Trichloroethane</t>
  </si>
  <si>
    <t>Etridiazole</t>
  </si>
  <si>
    <t>2-Acetylaminofluorene</t>
  </si>
  <si>
    <t>Trichlorobenzenes</t>
  </si>
  <si>
    <t>2,7-dichlorodibenzo-p-dioxin</t>
  </si>
  <si>
    <t>Etofenprox</t>
  </si>
  <si>
    <t>2,6-Xylidine</t>
  </si>
  <si>
    <t>2,6-dimethyl-n-nitrosomorpholine</t>
  </si>
  <si>
    <t>Ethyrimol</t>
  </si>
  <si>
    <t>Tricaine</t>
  </si>
  <si>
    <t>2,6-dime-n,n'-dinitrosopiperazine</t>
  </si>
  <si>
    <t>Ethylmercury chloride</t>
  </si>
  <si>
    <t>2,6-Dichloro-4-nitroaniline</t>
  </si>
  <si>
    <t>2,5-Xylidine hydrochloride</t>
  </si>
  <si>
    <t>Tributyltin methacrylate</t>
  </si>
  <si>
    <t>Tributyltin fluoride</t>
  </si>
  <si>
    <t>2,5-Dihydrothiophene 1,1-dioxide</t>
  </si>
  <si>
    <t>Tributylstannane</t>
  </si>
  <si>
    <t>2,4-Xylidine hydrochloride</t>
  </si>
  <si>
    <t>2,4-Oxazolidinedione, 5,5-dimethyl-</t>
  </si>
  <si>
    <t>Tributylchlorostannane</t>
  </si>
  <si>
    <t>2,4-hexadienal</t>
  </si>
  <si>
    <t>Tributyl tin hydroxide</t>
  </si>
  <si>
    <t>2,4-Dinitrochlorobenzene</t>
  </si>
  <si>
    <t>Tributyl tin acetate</t>
  </si>
  <si>
    <t>2,4-Diaminoanisole sulfate</t>
  </si>
  <si>
    <t>Tribufos</t>
  </si>
  <si>
    <t>Ethylene glycol acrylate</t>
  </si>
  <si>
    <t>Tribenuron-methyl</t>
  </si>
  <si>
    <t>2,4-D Isopropyl ester</t>
  </si>
  <si>
    <t>Triazofos</t>
  </si>
  <si>
    <t>Ethylene glycol acetate</t>
  </si>
  <si>
    <t>2,4-D Isooctyl ester</t>
  </si>
  <si>
    <t>2,4-D butyl ester</t>
  </si>
  <si>
    <t>Triasulfuron</t>
  </si>
  <si>
    <t>2,4-D</t>
  </si>
  <si>
    <t>Triallate</t>
  </si>
  <si>
    <t>2,4,7-triamino-6-phenyl pteridine</t>
  </si>
  <si>
    <t>Triadimenol</t>
  </si>
  <si>
    <t>Ethylene diamine</t>
  </si>
  <si>
    <t>2,4,6-Tri(tert-butyl)phenol</t>
  </si>
  <si>
    <t>Triadimefon</t>
  </si>
  <si>
    <t>Tri-2-butoxyethyl phosphate</t>
  </si>
  <si>
    <t>2,4,6(1H,3H,5H)-Pyrimidinetrione, 5,5-dimethyl-</t>
  </si>
  <si>
    <t>Ethylamine</t>
  </si>
  <si>
    <t>Tri n-butylamine</t>
  </si>
  <si>
    <t>2,4,5-T</t>
  </si>
  <si>
    <t>Trans-permethrin</t>
  </si>
  <si>
    <t>2,3,5,6-Tetrachloro-4-nitroaniline</t>
  </si>
  <si>
    <t>Trans-nonachlor</t>
  </si>
  <si>
    <t>2,2'-Methylenebis(6-tert-butyl-4-methylphenol)</t>
  </si>
  <si>
    <t>Trans-bicylco[4,3,0]nonane</t>
  </si>
  <si>
    <t>Ethyl vinyl ether</t>
  </si>
  <si>
    <t>2,2'-Dithiobisbenzothiazole</t>
  </si>
  <si>
    <t>2,2,2-trifluoro-n-[4-(5-nitro-2-furyl)-2-thiazolyl]acetamide</t>
  </si>
  <si>
    <t>Ethyl oxalate</t>
  </si>
  <si>
    <t>2-(Tert-butyl)-4-methylphenol</t>
  </si>
  <si>
    <t>Trans-(+)-allethrin</t>
  </si>
  <si>
    <t>Tranid</t>
  </si>
  <si>
    <t>2-(2,2-dimethylhydrazino)-4-(5-nitro-2-furyl)thiazole</t>
  </si>
  <si>
    <t>Ethyl O-(p-nitrophenyl) phenylphosphonothionate</t>
  </si>
  <si>
    <t>Tralomethrin</t>
  </si>
  <si>
    <t>1-Propene, 3,3-diethoxy-</t>
  </si>
  <si>
    <t>1-Phenyl-3,3-dimethyltriazene</t>
  </si>
  <si>
    <t>Ethyl mercuric phosphate</t>
  </si>
  <si>
    <t>Tolyfluanide</t>
  </si>
  <si>
    <t>1-Nitroso-5,6-dihydrouracil</t>
  </si>
  <si>
    <t>Ethyl lactate</t>
  </si>
  <si>
    <t>1-Nitropropane</t>
  </si>
  <si>
    <t>1-Nitronaphthalene</t>
  </si>
  <si>
    <t>Ethyl isothiocyanate</t>
  </si>
  <si>
    <t>1-Nitroethane</t>
  </si>
  <si>
    <t>1-Nitrobutane</t>
  </si>
  <si>
    <t>Ethyl hexanoate</t>
  </si>
  <si>
    <t>Toluene, 4-chloro-</t>
  </si>
  <si>
    <t>1-Naphthaleneacetic acid</t>
  </si>
  <si>
    <t>1-Naphthalene acetamide</t>
  </si>
  <si>
    <t>Toluene, 2-chloro-</t>
  </si>
  <si>
    <t>Ethyl dimethylamine</t>
  </si>
  <si>
    <t>1-Methylnapthalene</t>
  </si>
  <si>
    <t>Ethyl chloroacetate</t>
  </si>
  <si>
    <t>1-Methyl-2-pyrrolidinone</t>
  </si>
  <si>
    <t>1'-Hydroxysafrole</t>
  </si>
  <si>
    <t>Ethyl benzoate</t>
  </si>
  <si>
    <t>Toluene, 2,4-diisocyanate</t>
  </si>
  <si>
    <t>1'-Hydroxyestragole</t>
  </si>
  <si>
    <t>1H-Purin-6-amine, N-methyl-</t>
  </si>
  <si>
    <t>Ethyl amylketone</t>
  </si>
  <si>
    <t>1h-imidazole, 2-methyl-</t>
  </si>
  <si>
    <t>1H-Benzotriazole</t>
  </si>
  <si>
    <t>1h-1,4-diazepine, hexahydro-1,4-dinitroso-</t>
  </si>
  <si>
    <t>1-Chloro-2-propanol</t>
  </si>
  <si>
    <t>Ethyl acetate</t>
  </si>
  <si>
    <t>1-butyl-1-nitrosourea</t>
  </si>
  <si>
    <t>Ethyl 2-hydroxybenzoate</t>
  </si>
  <si>
    <t>1-Aminopropane-1,3-dicarboxylic acid</t>
  </si>
  <si>
    <t>Tolclophos-methyl</t>
  </si>
  <si>
    <t>1-amino-2,4-dibromoanthraquinone</t>
  </si>
  <si>
    <t>Ethyl (s)-2-hydroxypropionate</t>
  </si>
  <si>
    <t>1'-Acetoxysafrole</t>
  </si>
  <si>
    <t>11-Aminoundecanoic acid</t>
  </si>
  <si>
    <t>Tinopal 5bm</t>
  </si>
  <si>
    <t>1-[bis(2-Hydroxypropyl)amino]propan-2-ol</t>
  </si>
  <si>
    <t>1,8-Cineole</t>
  </si>
  <si>
    <t>Ethoxychlor</t>
  </si>
  <si>
    <t>Thymol</t>
  </si>
  <si>
    <t>1,4-Dioxane</t>
  </si>
  <si>
    <t>Ethoprop</t>
  </si>
  <si>
    <t>1,4-Benzenediol, 2-methyl-</t>
  </si>
  <si>
    <t>1,4-Benzenediol, 2-(1,1-dimethylethyl)-</t>
  </si>
  <si>
    <t>Ethopabate</t>
  </si>
  <si>
    <t>1,4-Benzenediamine, N,N'-di-2-naphthalenyl-</t>
  </si>
  <si>
    <t>1,3-propanediol, 2,2-bis(brme)-</t>
  </si>
  <si>
    <t>Thiourea, n,n-dimethyl-</t>
  </si>
  <si>
    <t>Ethofumesate</t>
  </si>
  <si>
    <t>1,3,5,-trinitrohexahydro-1,3,5-triazine</t>
  </si>
  <si>
    <t>1,2-Hydrazinecarbothioamide</t>
  </si>
  <si>
    <t>Ethion</t>
  </si>
  <si>
    <t>1,2-Benzisothiazol-3(2H)-one, 1,1-dioxide, calcium salt</t>
  </si>
  <si>
    <t>1,2-benzenediol, 4-methyl-</t>
  </si>
  <si>
    <t>Ethiofencarb</t>
  </si>
  <si>
    <t>1,2-benzenediol, 3-methoxy-</t>
  </si>
  <si>
    <t>1,2-Benzenedicarboxylic acid, di-C8-10-branched alkyl esters, C9-rich</t>
  </si>
  <si>
    <t>1,2-Benzenedicarboxamide</t>
  </si>
  <si>
    <t>Ethidimuron</t>
  </si>
  <si>
    <t>Thiophene</t>
  </si>
  <si>
    <t>1,2,3,4-Diepoxybutane DL</t>
  </si>
  <si>
    <t>Thiophanate-methyl</t>
  </si>
  <si>
    <t>1,1-Dichloro-2,2-bis(ethylphenyl)ethane</t>
  </si>
  <si>
    <t>Thiophanate</t>
  </si>
  <si>
    <t>Ethephon</t>
  </si>
  <si>
    <t>1,1'-Biphenyl, nonabromo-</t>
  </si>
  <si>
    <t>Thiopental sodium</t>
  </si>
  <si>
    <t>Thionazin</t>
  </si>
  <si>
    <t>1-(4-chlorophenyl)-1-phenyl-2-propynyl carbamate</t>
  </si>
  <si>
    <t>Thiometon</t>
  </si>
  <si>
    <t>Thiofanox</t>
  </si>
  <si>
    <t>Ethene, tribromo-</t>
  </si>
  <si>
    <t>Thiodicarb</t>
  </si>
  <si>
    <t>Thiocyanic acid (-1 ion)</t>
  </si>
  <si>
    <t>Thiocyanic acid</t>
  </si>
  <si>
    <t>Thiocarbanilide</t>
  </si>
  <si>
    <t>Thiobencarb</t>
  </si>
  <si>
    <t>Ethene, dichloro- (trans)</t>
  </si>
  <si>
    <t>Thioanisole</t>
  </si>
  <si>
    <t>Ethene, 1,2-dichloro-</t>
  </si>
  <si>
    <t>Thimerosal</t>
  </si>
  <si>
    <t>Thifensulfuron-methyl</t>
  </si>
  <si>
    <t>Thidiazuron</t>
  </si>
  <si>
    <t>Thiazopyr</t>
  </si>
  <si>
    <t>Ethanone, 1-(2,4-dichlorophenyl)-</t>
  </si>
  <si>
    <t>Ethanol, diethylamino-</t>
  </si>
  <si>
    <t>Ethanol, 2-methoxy-</t>
  </si>
  <si>
    <t>Thiazole, 2-(thiocyanatemethylthio)benzo-</t>
  </si>
  <si>
    <t>Thiazafluron</t>
  </si>
  <si>
    <t>Ethanol, 2-mercapto-</t>
  </si>
  <si>
    <t>Ethanol, 2-ethoxy-</t>
  </si>
  <si>
    <t>Thanite</t>
  </si>
  <si>
    <t>Ethanol, 2,2,2-trifluoro-</t>
  </si>
  <si>
    <t>Thallium</t>
  </si>
  <si>
    <t>Tetrazocine, 1,3,5,7-</t>
  </si>
  <si>
    <t>Ethanol, 2-(hexyloxy)-</t>
  </si>
  <si>
    <t>Tetrapropylenebenzenesulfonic acid</t>
  </si>
  <si>
    <t>Ethanol, 2-(ethylthio)-</t>
  </si>
  <si>
    <t>Tetrapropyl tin</t>
  </si>
  <si>
    <t>Tetrapropyl thiopyrophosphorate</t>
  </si>
  <si>
    <t>Ethanol, 2-(ethylamino)-</t>
  </si>
  <si>
    <t>Tetramethylurea</t>
  </si>
  <si>
    <t>Ethanol, 2-(2-methoxyethoxy)-</t>
  </si>
  <si>
    <t>Tetramethylthiourea</t>
  </si>
  <si>
    <t>Tetramethylenedisulfotetramine</t>
  </si>
  <si>
    <t>Ethanol, 2-(2-ethoxyethoxy)-</t>
  </si>
  <si>
    <t>Tetramethyl stannane</t>
  </si>
  <si>
    <t>Tetramethyl lead</t>
  </si>
  <si>
    <t>Ethanol, 2-(2-Butoxyethoxy)-</t>
  </si>
  <si>
    <t>Tetramethrin</t>
  </si>
  <si>
    <t>Ethanol, 2-(2-aminoethoxy)-</t>
  </si>
  <si>
    <t>Tetrahydrothiophene-1,1-dioxide</t>
  </si>
  <si>
    <t>Tetrahydrofurfuryl methacrylate</t>
  </si>
  <si>
    <t>Ethanol, 2- ethyl(3-methylphenyl)amino -</t>
  </si>
  <si>
    <t>Tetrahydrofurfuryl alcohol</t>
  </si>
  <si>
    <t>Tetrafluoroterephthalonitrile</t>
  </si>
  <si>
    <t>Tetraethylenepentamine</t>
  </si>
  <si>
    <t>Ethane, tetrachloro-</t>
  </si>
  <si>
    <t>Tetraethylene glycol</t>
  </si>
  <si>
    <t>Tetraethyl tin</t>
  </si>
  <si>
    <t>Tetraethyl pyrophosphate</t>
  </si>
  <si>
    <t>Tetraethyl lead</t>
  </si>
  <si>
    <t>Tetraethyl ammonium chloride</t>
  </si>
  <si>
    <t>Ethane, dichloro-</t>
  </si>
  <si>
    <t>Tetracycline</t>
  </si>
  <si>
    <t>Tetrachlorvinphos ((Z)-isomer)</t>
  </si>
  <si>
    <t>Tetrachlorophthalide</t>
  </si>
  <si>
    <t>Tetrachlorophenols</t>
  </si>
  <si>
    <t>Tetrachloroguaiacol</t>
  </si>
  <si>
    <t>Tetrachloro-1,2-benzenediol</t>
  </si>
  <si>
    <t>Tetrabutyltin</t>
  </si>
  <si>
    <t>Testosterone</t>
  </si>
  <si>
    <t>Tert-butylhydroperoxide</t>
  </si>
  <si>
    <t>Terphenyl</t>
  </si>
  <si>
    <t>Terephthalic acid</t>
  </si>
  <si>
    <t>Terephthalate, dimethyl 2,3,5,6-tetrachloro-</t>
  </si>
  <si>
    <t>Terbutryn</t>
  </si>
  <si>
    <t>Terbuthylazin</t>
  </si>
  <si>
    <t>Ethane thiol</t>
  </si>
  <si>
    <t>Terbumeton</t>
  </si>
  <si>
    <t>Ethanamine, 2-methoxy-</t>
  </si>
  <si>
    <t>Terbufos</t>
  </si>
  <si>
    <t>Terbacil</t>
  </si>
  <si>
    <t>Tepraloxydim</t>
  </si>
  <si>
    <t>Ethalfluralin</t>
  </si>
  <si>
    <t>Temephos</t>
  </si>
  <si>
    <t>Estrone</t>
  </si>
  <si>
    <t>Tefluthrin</t>
  </si>
  <si>
    <t>Teflubenzuron</t>
  </si>
  <si>
    <t>Tebuthiuron</t>
  </si>
  <si>
    <t>Tebupirimphos</t>
  </si>
  <si>
    <t>Esfenvalerate</t>
  </si>
  <si>
    <t>Tebufenozide</t>
  </si>
  <si>
    <t>Tebuconazole</t>
  </si>
  <si>
    <t>T-butylphenyl diphenyl phosphate</t>
  </si>
  <si>
    <t>T-butylbenzene</t>
  </si>
  <si>
    <t>T-butylamine</t>
  </si>
  <si>
    <t>Erythromycin</t>
  </si>
  <si>
    <t>Erbon</t>
  </si>
  <si>
    <t>Epoxiconazole</t>
  </si>
  <si>
    <t>T-butyl acetate</t>
  </si>
  <si>
    <t>Tau-fluvalinate</t>
  </si>
  <si>
    <t>Enrofloxacin</t>
  </si>
  <si>
    <t>Tartaric acid, diethyl ester</t>
  </si>
  <si>
    <t>Endrocide (endox) (coumatetralyl)</t>
  </si>
  <si>
    <t>Tamoxifen</t>
  </si>
  <si>
    <t>Endothall</t>
  </si>
  <si>
    <t>Sulprofos</t>
  </si>
  <si>
    <t>Sulphenone</t>
  </si>
  <si>
    <t>Endosulfan sulfate</t>
  </si>
  <si>
    <t>Sulfuric acid, monododecyl ester, ammonium salt</t>
  </si>
  <si>
    <t>Sulfuric acid, monodecyl ester, sodium salt</t>
  </si>
  <si>
    <t>Endosulfan (beta)</t>
  </si>
  <si>
    <t>Sulfuric acid, iron (2+) salt (1:1)</t>
  </si>
  <si>
    <t>Sulfuric acid, dimethyl ester</t>
  </si>
  <si>
    <t>Sulfuric acid</t>
  </si>
  <si>
    <t>Empenthrin</t>
  </si>
  <si>
    <t>Edta, sodium salt</t>
  </si>
  <si>
    <t>EDTA</t>
  </si>
  <si>
    <t>Edifenphos</t>
  </si>
  <si>
    <t>Dodemorph</t>
  </si>
  <si>
    <t>Dodecyltrimethylammonium chloride</t>
  </si>
  <si>
    <t>Dodecylbenzenesulfonic acid, calcium salt</t>
  </si>
  <si>
    <t>Dodecylbenzenesulfonic acid sodium</t>
  </si>
  <si>
    <t>Dodecylbenzenesulfonic acid</t>
  </si>
  <si>
    <t>Sulfotep</t>
  </si>
  <si>
    <t>Sulfosulfuron</t>
  </si>
  <si>
    <t>Dodecylbenzene</t>
  </si>
  <si>
    <t>Sulfometuron methyl</t>
  </si>
  <si>
    <t>Dodecyl sulfonate, sodium salt</t>
  </si>
  <si>
    <t>Sulfentrazone</t>
  </si>
  <si>
    <t>Dodecyl benzenesulfonate</t>
  </si>
  <si>
    <t>Sulfamic acid, monoammonium salt</t>
  </si>
  <si>
    <t>Sulfamic acid</t>
  </si>
  <si>
    <t>Dodecyl 2-methyl-2-propenoate</t>
  </si>
  <si>
    <t>Dodecanol</t>
  </si>
  <si>
    <t>Dodecanoic acid, pentachlorophenyl ester</t>
  </si>
  <si>
    <t>Sulfadiazine</t>
  </si>
  <si>
    <t>Sulcofuron-sodium</t>
  </si>
  <si>
    <t>Dodecanoic acid, 2-ethylhexyl ester</t>
  </si>
  <si>
    <t>Dodecanoic acid</t>
  </si>
  <si>
    <t>DNOC</t>
  </si>
  <si>
    <t>Strychnine</t>
  </si>
  <si>
    <t>Strontium</t>
  </si>
  <si>
    <t>Dmpa</t>
  </si>
  <si>
    <t>Stilbene</t>
  </si>
  <si>
    <t>Starane</t>
  </si>
  <si>
    <t>Stannane,(benzoyloxy)tributyl</t>
  </si>
  <si>
    <t>Stannane, trichloromethyl-</t>
  </si>
  <si>
    <t>Stannane, tetrachloro-</t>
  </si>
  <si>
    <t>Diundecyl phthalate</t>
  </si>
  <si>
    <t>Spiro[isobenzofuran-1(3h),9'-[9h]xanthen]-3-one,</t>
  </si>
  <si>
    <t>Spectinomycin</t>
  </si>
  <si>
    <t>Dithiopyr</t>
  </si>
  <si>
    <t>Dithianone</t>
  </si>
  <si>
    <t>Sodium trichloroacetate</t>
  </si>
  <si>
    <t>Sodium salicylate</t>
  </si>
  <si>
    <t>Disulfoton sulfoxide</t>
  </si>
  <si>
    <t>Disulfoton</t>
  </si>
  <si>
    <t>Sodium propionate</t>
  </si>
  <si>
    <t>Sodium oxalate</t>
  </si>
  <si>
    <t>Disodium ethydronate</t>
  </si>
  <si>
    <t>Sodium octyl sulfate</t>
  </si>
  <si>
    <t>Disodium cyanodithioimidocarbonate</t>
  </si>
  <si>
    <t>Sodium lauryl sulfate</t>
  </si>
  <si>
    <t>Sodium formate</t>
  </si>
  <si>
    <t>Disodium acid methane arsenate</t>
  </si>
  <si>
    <t>Sodium dodecyltrioxyethylene sulfate</t>
  </si>
  <si>
    <t>Sodium dichlorocyanurate</t>
  </si>
  <si>
    <t>Disodium 4,4'-bis(2-sulfostyryl)biphenyl</t>
  </si>
  <si>
    <t>Sodium dicamba</t>
  </si>
  <si>
    <t>Sodium dalapon</t>
  </si>
  <si>
    <t>Diquat dibromide</t>
  </si>
  <si>
    <t>Diquat</t>
  </si>
  <si>
    <t>Sodium citrate</t>
  </si>
  <si>
    <t>Sodium cacodylate</t>
  </si>
  <si>
    <t>Dipropylthiocarbamic acid S-ethyl ester</t>
  </si>
  <si>
    <t>Dipropylamine</t>
  </si>
  <si>
    <t>Dipropyl phthalate</t>
  </si>
  <si>
    <t>Sodium alizarinesulfonate</t>
  </si>
  <si>
    <t>Sodium 4-(2H-naphtho(1,2-d)triazol-2-yl)stilbene-2-sulfonate</t>
  </si>
  <si>
    <t>Sodium 1-octanesulfonate</t>
  </si>
  <si>
    <t>Dipotassium endothall</t>
  </si>
  <si>
    <t>Simetryn</t>
  </si>
  <si>
    <t>Diphenyltin dichloride</t>
  </si>
  <si>
    <t>Silver</t>
  </si>
  <si>
    <t>Diphenylchloroarsine</t>
  </si>
  <si>
    <t>Siduron</t>
  </si>
  <si>
    <t>Sethoxydim</t>
  </si>
  <si>
    <t>Diphenylamine</t>
  </si>
  <si>
    <t>Diphenyl sulfoxide</t>
  </si>
  <si>
    <t>Secobarbital sodium</t>
  </si>
  <si>
    <t>Secbumeton</t>
  </si>
  <si>
    <t>Diphenyl phthalate</t>
  </si>
  <si>
    <t>s-Butyl acetate</t>
  </si>
  <si>
    <t>Salithion</t>
  </si>
  <si>
    <t>Diphenyl ether</t>
  </si>
  <si>
    <t>Salicylic acid</t>
  </si>
  <si>
    <t>Salicylanilide</t>
  </si>
  <si>
    <t>Diphenyl disulfide</t>
  </si>
  <si>
    <t>Diphenamid</t>
  </si>
  <si>
    <t>S,s'-(2-(dimethylamino)-1,3-propanediyl) carbam*</t>
  </si>
  <si>
    <t>Dioxolane</t>
  </si>
  <si>
    <t>Ryanodine</t>
  </si>
  <si>
    <t>Roundup</t>
  </si>
  <si>
    <t>Dioxacarb</t>
  </si>
  <si>
    <t>Di-n-propylsulfide</t>
  </si>
  <si>
    <t>Di-n-pentyl ether</t>
  </si>
  <si>
    <t>Ronnel</t>
  </si>
  <si>
    <t>Robenidine</t>
  </si>
  <si>
    <t>Rimsulfuron</t>
  </si>
  <si>
    <t>Dinoterb</t>
  </si>
  <si>
    <t>Rhodamine b</t>
  </si>
  <si>
    <t>Dinoseb acetate</t>
  </si>
  <si>
    <t>Di-n-octyl sodium sulfosuccinate</t>
  </si>
  <si>
    <t>Dinocap</t>
  </si>
  <si>
    <t>Resmethrin</t>
  </si>
  <si>
    <t>Dinobuton</t>
  </si>
  <si>
    <t>Quizalofop ethyl ester</t>
  </si>
  <si>
    <t>Dinitrophenol</t>
  </si>
  <si>
    <t>Quinonamid</t>
  </si>
  <si>
    <t>Dinitramine</t>
  </si>
  <si>
    <t>Dinex</t>
  </si>
  <si>
    <t>Quinmerac</t>
  </si>
  <si>
    <t>Quinclorac</t>
  </si>
  <si>
    <t>Quinalphos</t>
  </si>
  <si>
    <t>Quinalizarin</t>
  </si>
  <si>
    <t>Di-n-butyl phosphate</t>
  </si>
  <si>
    <t>Quinacrine</t>
  </si>
  <si>
    <t>Dimite</t>
  </si>
  <si>
    <t>Pyrrolidone</t>
  </si>
  <si>
    <t>Dimetilan</t>
  </si>
  <si>
    <t>Pyrrole</t>
  </si>
  <si>
    <t>Pyroquilon</t>
  </si>
  <si>
    <t>Pyrithiobac sodium salt</t>
  </si>
  <si>
    <t>Dimethylurea, sym</t>
  </si>
  <si>
    <t>Pyriproxyfen</t>
  </si>
  <si>
    <t>Pyrimithate</t>
  </si>
  <si>
    <t>Dimethyltin dichloride</t>
  </si>
  <si>
    <t>Pyrimethanil</t>
  </si>
  <si>
    <t>Dimethylphenol phosphate (3:1)</t>
  </si>
  <si>
    <t>Pyrifenox</t>
  </si>
  <si>
    <t>Dimethylnaphthalene</t>
  </si>
  <si>
    <t>Pyridinium, 1-hexadecyl-, chloride</t>
  </si>
  <si>
    <t>Pyridine-2,6-dicarboxylic acid</t>
  </si>
  <si>
    <t>Dimethyldithiocarbamic acid, sodium salt</t>
  </si>
  <si>
    <t>Pyridine, 2-methyl-</t>
  </si>
  <si>
    <t>Dimethyldiallylammonium chloride</t>
  </si>
  <si>
    <t>Dimethylamine</t>
  </si>
  <si>
    <t>Pyridate</t>
  </si>
  <si>
    <t>Pyridaphenthion</t>
  </si>
  <si>
    <t>Pyridaben</t>
  </si>
  <si>
    <t>Dimethyl sulfoxide</t>
  </si>
  <si>
    <t>Pyrethrum</t>
  </si>
  <si>
    <t>Pyrethrin i</t>
  </si>
  <si>
    <t>Dimethyl sulfide</t>
  </si>
  <si>
    <t>Pyrethrin</t>
  </si>
  <si>
    <t>Dimethyl malonate</t>
  </si>
  <si>
    <t>Pyrazoxyfen</t>
  </si>
  <si>
    <t>Pyrazophos</t>
  </si>
  <si>
    <t>Pyraclofos</t>
  </si>
  <si>
    <t>Pymetrozine</t>
  </si>
  <si>
    <t>p-Xylene</t>
  </si>
  <si>
    <t>Dimethyl dioctadecylammonium chloride</t>
  </si>
  <si>
    <t>Dimethyl diethoxysilane</t>
  </si>
  <si>
    <t>Pulegone</t>
  </si>
  <si>
    <t>P-tolualdehyde</t>
  </si>
  <si>
    <t>Dimethyl arsine</t>
  </si>
  <si>
    <t>P-tert-amylphenol</t>
  </si>
  <si>
    <t>Dimethrin</t>
  </si>
  <si>
    <t>Pseudoionone</t>
  </si>
  <si>
    <t>Prothiophos</t>
  </si>
  <si>
    <t>Dimethoxon</t>
  </si>
  <si>
    <t>Prosulfuron</t>
  </si>
  <si>
    <t>Prosulfocarb</t>
  </si>
  <si>
    <t>Dimethomorph</t>
  </si>
  <si>
    <t>Propylene glycol methyl ether</t>
  </si>
  <si>
    <t>Dimethirimol</t>
  </si>
  <si>
    <t>Dimethipin</t>
  </si>
  <si>
    <t>Propylamine</t>
  </si>
  <si>
    <t>Dimethenamid</t>
  </si>
  <si>
    <t>Dimethamrtryne</t>
  </si>
  <si>
    <t>Propyl acetate</t>
  </si>
  <si>
    <t>Dimethachlor</t>
  </si>
  <si>
    <t>Propoxur</t>
  </si>
  <si>
    <t>Propionitrile</t>
  </si>
  <si>
    <t>Propionic acid, methyl ester</t>
  </si>
  <si>
    <t>Dilan</t>
  </si>
  <si>
    <t>Propionic acid, ethyl ester</t>
  </si>
  <si>
    <t>Propionic acid, 2,2-Dichloro-</t>
  </si>
  <si>
    <t>Diisopropylnaphthalene</t>
  </si>
  <si>
    <t>Diisopropylamine</t>
  </si>
  <si>
    <t>Propionic acid</t>
  </si>
  <si>
    <t>Diisopropyl paraoxon</t>
  </si>
  <si>
    <t>Propineb</t>
  </si>
  <si>
    <t>Propiconazole</t>
  </si>
  <si>
    <t>Diisopropyl methylphosphonate</t>
  </si>
  <si>
    <t>Propetamphos</t>
  </si>
  <si>
    <t>Diisopropyl ether</t>
  </si>
  <si>
    <t>Propene, 2,3-dichloro-</t>
  </si>
  <si>
    <t>Diisononyl phthalate</t>
  </si>
  <si>
    <t>Propene, 1,3-dichloro-, (Z)-</t>
  </si>
  <si>
    <t>Di-isobutylphthalate</t>
  </si>
  <si>
    <t>Diisobutylamine</t>
  </si>
  <si>
    <t>Diisobutyl ketone</t>
  </si>
  <si>
    <t>Propargyl alcohol</t>
  </si>
  <si>
    <t>Propargite</t>
  </si>
  <si>
    <t>Propaquizafop</t>
  </si>
  <si>
    <t>Dihexyl adipate</t>
  </si>
  <si>
    <t>Propaphos</t>
  </si>
  <si>
    <t>Diflufenican</t>
  </si>
  <si>
    <t>Propanoic acid, 3-hydroxy-2,2-dimethyl-, 3-hydroxy-2,2-dimethylpropyl ester</t>
  </si>
  <si>
    <t>Propanoic acid, 3,3'-thiobis-, dioctadecyl ester</t>
  </si>
  <si>
    <t>Propanoic acid, 2-methyl-, monoester with 2,2,4-trimethyl-1,3-pentanediol</t>
  </si>
  <si>
    <t>Diflubenzuron</t>
  </si>
  <si>
    <t>Propanoic acid, 2-hydroxy-, octyl ester</t>
  </si>
  <si>
    <t>Propanoic acid, 2-hydroxy-, 3-methylbutyl ester</t>
  </si>
  <si>
    <t>Difenzoquat</t>
  </si>
  <si>
    <t>Propanil</t>
  </si>
  <si>
    <t>Propanidid</t>
  </si>
  <si>
    <t>Difenoxuron</t>
  </si>
  <si>
    <t>Propanenitrile, 3-(dimethylamino)-</t>
  </si>
  <si>
    <t>Propanedioic acid, chloro-, diethyl ester</t>
  </si>
  <si>
    <t>Propanedioic acid, 1,3-dithiolan-2-ylidene-, bis</t>
  </si>
  <si>
    <t>Difenoconazole</t>
  </si>
  <si>
    <t>Propanedinitrile, (3-chlorophenyl)hydrazono -</t>
  </si>
  <si>
    <t>Difenacoum</t>
  </si>
  <si>
    <t>Propane, 2-iodo-2-methyl-</t>
  </si>
  <si>
    <t>Propane, 2,2'-thiobis 2-methyl-</t>
  </si>
  <si>
    <t>Diethylhexanedioate</t>
  </si>
  <si>
    <t>Propane, 2,2-dichloro-</t>
  </si>
  <si>
    <t>Diethylenetriaminepentaacetic acid, penta sodiu*</t>
  </si>
  <si>
    <t>Diethylenetriaminepentaacetic acid</t>
  </si>
  <si>
    <t>Diethylenetriamine</t>
  </si>
  <si>
    <t>Diethylene glycol dinitrate</t>
  </si>
  <si>
    <t>Propanamide, 2-methyl-n-[4-nitro-3-(trifluoromet</t>
  </si>
  <si>
    <t>Diethylamine</t>
  </si>
  <si>
    <t>Propanal, 3-(methylthio)-</t>
  </si>
  <si>
    <t>Propanal</t>
  </si>
  <si>
    <t>Diethyl succinate</t>
  </si>
  <si>
    <t>Propamocarb HCl</t>
  </si>
  <si>
    <t>Propamocarb</t>
  </si>
  <si>
    <t>Propachlor</t>
  </si>
  <si>
    <t>Diethyl sebacate</t>
  </si>
  <si>
    <t>Diethyl malonate</t>
  </si>
  <si>
    <t>Prometryn</t>
  </si>
  <si>
    <t>Prometon</t>
  </si>
  <si>
    <t>Profenofos</t>
  </si>
  <si>
    <t>Prodiamine</t>
  </si>
  <si>
    <t>Diethyl ether</t>
  </si>
  <si>
    <t>Procymidone</t>
  </si>
  <si>
    <t>Proclonol</t>
  </si>
  <si>
    <t>Diethyl disulfide</t>
  </si>
  <si>
    <t>Diethanolamine</t>
  </si>
  <si>
    <t>Primisulfuron-methyl</t>
  </si>
  <si>
    <t>Dienochlor</t>
  </si>
  <si>
    <t>Pretilchlor</t>
  </si>
  <si>
    <t>Dicyclopentadiene</t>
  </si>
  <si>
    <t>Dicyclohexylamine</t>
  </si>
  <si>
    <t>Prallethrin</t>
  </si>
  <si>
    <t>Dicyclohexyl</t>
  </si>
  <si>
    <t>Dicrotophos</t>
  </si>
  <si>
    <t>Dicoumarol</t>
  </si>
  <si>
    <t>P-phenylazophenol</t>
  </si>
  <si>
    <t>Potassium N-methyldithiocarbamate</t>
  </si>
  <si>
    <t>Potassium ethylxanthate</t>
  </si>
  <si>
    <t>Diclofop-methyl</t>
  </si>
  <si>
    <t>Potassium dimethyldithiocarbamate</t>
  </si>
  <si>
    <t>Dichlorophenol</t>
  </si>
  <si>
    <t>P-nonylphenol</t>
  </si>
  <si>
    <t>P-nitrophenetole</t>
  </si>
  <si>
    <t>P-nitroanisole</t>
  </si>
  <si>
    <t>Dichlofluanid</t>
  </si>
  <si>
    <t>Dichlofenthion</t>
  </si>
  <si>
    <t>P-methylanisole</t>
  </si>
  <si>
    <t>P-methyl benzyl alcohol</t>
  </si>
  <si>
    <t>Dichlobenil</t>
  </si>
  <si>
    <t>Dicapthon</t>
  </si>
  <si>
    <t>P-isopropylphenol</t>
  </si>
  <si>
    <t>Dicamba</t>
  </si>
  <si>
    <t>Pirimiphos methyl</t>
  </si>
  <si>
    <t>Pirimicarb</t>
  </si>
  <si>
    <t>Dibutyltin oxide</t>
  </si>
  <si>
    <t>Piperophos</t>
  </si>
  <si>
    <t>Dibutyltin dilaurate</t>
  </si>
  <si>
    <t>Dibutylamine</t>
  </si>
  <si>
    <t>Dibutyl terephthalate</t>
  </si>
  <si>
    <t>Piperazine, 2-methyl-</t>
  </si>
  <si>
    <t>Piperazine, 1-methyl-</t>
  </si>
  <si>
    <t>Dibutyl phenyl phosphate</t>
  </si>
  <si>
    <t>Piperalin</t>
  </si>
  <si>
    <t>Pinane</t>
  </si>
  <si>
    <t>Dibutyl maleate</t>
  </si>
  <si>
    <t>Pimaric acid</t>
  </si>
  <si>
    <t>Dibutyl dichloro tin</t>
  </si>
  <si>
    <t>Picrotoxin</t>
  </si>
  <si>
    <t>Picric acid</t>
  </si>
  <si>
    <t>Picolinic acid</t>
  </si>
  <si>
    <t>Dibromoacetonitrile</t>
  </si>
  <si>
    <t>Picloram, potassium salt</t>
  </si>
  <si>
    <t>Dibenzothiophene</t>
  </si>
  <si>
    <t>P-hydroxybenzyl alcohol</t>
  </si>
  <si>
    <t>Dibenzofuran, 2,3,7,8-tetrachloro-</t>
  </si>
  <si>
    <t>P-hydroxybenzoic acid</t>
  </si>
  <si>
    <t>P-hydroxyacetophenone</t>
  </si>
  <si>
    <t>Dibenzofuran</t>
  </si>
  <si>
    <t>Phthalimide</t>
  </si>
  <si>
    <t>Diazinon, o-analog</t>
  </si>
  <si>
    <t>Phthalic acid,branched and linear di c7-c11 alk*</t>
  </si>
  <si>
    <t>Phthalazine</t>
  </si>
  <si>
    <t>Phthalate, n-dioctyl-</t>
  </si>
  <si>
    <t>Phthalate, dimethyl-</t>
  </si>
  <si>
    <t>Phthalate, diisodecyl-</t>
  </si>
  <si>
    <t>Diallylamine</t>
  </si>
  <si>
    <t>Phthalate, dihexyl-</t>
  </si>
  <si>
    <t>Phthalate, diethyl-</t>
  </si>
  <si>
    <t>Phthalate, dibutyl-</t>
  </si>
  <si>
    <t>Dialifor</t>
  </si>
  <si>
    <t>Phoxim</t>
  </si>
  <si>
    <t>Phosphorus, total</t>
  </si>
  <si>
    <t>Phosphorus</t>
  </si>
  <si>
    <t>Desmetryn</t>
  </si>
  <si>
    <t>Phosphorous acid, triphenyl ester</t>
  </si>
  <si>
    <t>Phosphorodithioic acid, s-[2-(ethylsulfonyl)ethy</t>
  </si>
  <si>
    <t>Desmedipham</t>
  </si>
  <si>
    <t>Phosphorodithioic acid, s-[2-(ethylsulfinyl)ethy</t>
  </si>
  <si>
    <t>Phosphorodithioic acid, O,O-dimethyl ester</t>
  </si>
  <si>
    <t>Phosphorodithioic acid, O,O-diethyl ester</t>
  </si>
  <si>
    <t>Desethylatrazine</t>
  </si>
  <si>
    <t>Phosphoric acid,2-chloro-(2,4-dichlorophenyl)vin</t>
  </si>
  <si>
    <t>Phosphoric acid, tris(2-methylpropyl) ester</t>
  </si>
  <si>
    <t>Dequest 2061 phosphonate</t>
  </si>
  <si>
    <t>Phosphoric acid, dimethyl ester</t>
  </si>
  <si>
    <t>Phosphoric acid, diethyl ester</t>
  </si>
  <si>
    <t>Demeton-s-methyl</t>
  </si>
  <si>
    <t>Phosphoric acid</t>
  </si>
  <si>
    <t>Phosphonic acid, nitrilotris(methylene) tris-</t>
  </si>
  <si>
    <t>Phosphonic acid, bis 2- bis(phosphonomethyl)amino ethyl amino methyl -</t>
  </si>
  <si>
    <t>Phosphonic acid, 3- (hydroxymethyl)amino -3-oxopropyl -, dimethyl ester</t>
  </si>
  <si>
    <t>Delta-hexachlorocyclohexane</t>
  </si>
  <si>
    <t>(E)-1,2,3,3,3-Pentafluoroprop-1-ene</t>
  </si>
  <si>
    <t>Air</t>
  </si>
  <si>
    <t>(1r,4r)-(+)-Camphor</t>
  </si>
  <si>
    <t>(+-)-Citronellol</t>
  </si>
  <si>
    <t>Phosphate</t>
  </si>
  <si>
    <t>Decene (mixture of isomers)</t>
  </si>
  <si>
    <t>Phosmet</t>
  </si>
  <si>
    <t>Decanoic acid, na salt</t>
  </si>
  <si>
    <t>Phosalone</t>
  </si>
  <si>
    <t>Phorone</t>
  </si>
  <si>
    <t>Decanoic acid, ester with 1,2,3-propanetriol octanoate</t>
  </si>
  <si>
    <t>Phorate</t>
  </si>
  <si>
    <t>VOC, volatile organic compounds, unspecified origin</t>
  </si>
  <si>
    <t>Phenyltrichlorosilane</t>
  </si>
  <si>
    <t>Decanoic acid</t>
  </si>
  <si>
    <t>Phenyltin trichloride</t>
  </si>
  <si>
    <t>Decane</t>
  </si>
  <si>
    <t>Decahydronaphthalene</t>
  </si>
  <si>
    <t>Phenyldiethanolamine</t>
  </si>
  <si>
    <t>Decafluorobiphenyl</t>
  </si>
  <si>
    <t>Phenylarsonic acid</t>
  </si>
  <si>
    <t>Undecane</t>
  </si>
  <si>
    <t>Phenylacetic acid</t>
  </si>
  <si>
    <t>TSP</t>
  </si>
  <si>
    <t>Phenyl-4-aminosalicylate</t>
  </si>
  <si>
    <t>Phenyl trimethyl ammonium iodide</t>
  </si>
  <si>
    <t>Phenyl cyclohexane</t>
  </si>
  <si>
    <t>DDAC</t>
  </si>
  <si>
    <t>Phenyl acetate</t>
  </si>
  <si>
    <t>Phenyl 2-hydroxybenzoate</t>
  </si>
  <si>
    <t>Phenothrin</t>
  </si>
  <si>
    <t>Dazomet</t>
  </si>
  <si>
    <t>Phenopylate</t>
  </si>
  <si>
    <t>Phenol,2,2'-methylenebis 4-chloro-</t>
  </si>
  <si>
    <t>Cyromazine</t>
  </si>
  <si>
    <t>Phenol, thiobis[tetrapropylene-</t>
  </si>
  <si>
    <t>Cyprofuram</t>
  </si>
  <si>
    <t>Phenol, 4-phenoxy-</t>
  </si>
  <si>
    <t>Trifluoropropene, HFC-1243zf</t>
  </si>
  <si>
    <t>Trifluoromethylsulfur pentafluoride</t>
  </si>
  <si>
    <t>Phenol, 4-nitro-</t>
  </si>
  <si>
    <t>Cyprodinil</t>
  </si>
  <si>
    <t>Phenol, 4-dodecyl-</t>
  </si>
  <si>
    <t>Trifluorobutanol</t>
  </si>
  <si>
    <t>Cyproconazole</t>
  </si>
  <si>
    <t>Phenol, 4-chloro-</t>
  </si>
  <si>
    <t>Phenol, 4-amino-</t>
  </si>
  <si>
    <t>Cyprazine</t>
  </si>
  <si>
    <t>Phenol, 4,4'-(1-methylethylidene)bis 2,6-dichloro-</t>
  </si>
  <si>
    <t>Phenol, 3-trifluoromethyl-4-nitro-</t>
  </si>
  <si>
    <t>Cyphenothrin</t>
  </si>
  <si>
    <t>Phenol, 3-amino-</t>
  </si>
  <si>
    <t>Phenol, 3,4-dimethyl-</t>
  </si>
  <si>
    <t>Cypermethrin</t>
  </si>
  <si>
    <t>Phenol, 3-(diethylamino)-</t>
  </si>
  <si>
    <t>Phenol, 3-(1,1-dimethylethyl)-</t>
  </si>
  <si>
    <t>Phenol, 2-chloro-</t>
  </si>
  <si>
    <t>Cyolane</t>
  </si>
  <si>
    <t>Cymoxanil</t>
  </si>
  <si>
    <t>Phenol, 2-amino-4-methyl-</t>
  </si>
  <si>
    <t>Phenol, 2,6-dimethyl-</t>
  </si>
  <si>
    <t>Cyhexatin</t>
  </si>
  <si>
    <t>Phenol, 2,5-dimethyl-</t>
  </si>
  <si>
    <t>Cyhalothrin</t>
  </si>
  <si>
    <t>Cyfluthrin</t>
  </si>
  <si>
    <t>Phenol, 2,4-dimethyl-</t>
  </si>
  <si>
    <t>Phenol, 2,4-dichloro-, sodium salt</t>
  </si>
  <si>
    <t>Cycloxydim</t>
  </si>
  <si>
    <t>Cyclopentanone</t>
  </si>
  <si>
    <t>Phenol, 2,4-bis(1,1-dimethylethyl)-, phosphite (3:1)</t>
  </si>
  <si>
    <t>Cyclopentanol</t>
  </si>
  <si>
    <t>Phenol, 2,4,5-trichloro-</t>
  </si>
  <si>
    <t>trans-1,3,3,3-Tetrafluoropropene</t>
  </si>
  <si>
    <t>Cyclopentane, propyl-</t>
  </si>
  <si>
    <t>Phenol, 2,3,4,6-tetrachloro-</t>
  </si>
  <si>
    <t>Phenol, 2-(2-propenyl)-</t>
  </si>
  <si>
    <t>Cyclopentane</t>
  </si>
  <si>
    <t>Toluene, 4-ethyl-</t>
  </si>
  <si>
    <t>Toluene, 3-ethyl-</t>
  </si>
  <si>
    <t>Toluene, 3,5-diethyl-</t>
  </si>
  <si>
    <t>Toluene, 2-ethyl-</t>
  </si>
  <si>
    <t>Cyclooctane</t>
  </si>
  <si>
    <t>Phenmedipham</t>
  </si>
  <si>
    <t>Phenkapton</t>
  </si>
  <si>
    <t>Cycloocta-1,5-diene</t>
  </si>
  <si>
    <t>Cyclohexylmethylamine</t>
  </si>
  <si>
    <t>Phenazine</t>
  </si>
  <si>
    <t>Cyclohexylamine</t>
  </si>
  <si>
    <t>Phenanthridine</t>
  </si>
  <si>
    <t>Phenanthrene, 1-methyl-7-(1-methylethyl)-</t>
  </si>
  <si>
    <t>Cyclohexyl acetate</t>
  </si>
  <si>
    <t>Cycloheximide</t>
  </si>
  <si>
    <t>P-fluorophenol</t>
  </si>
  <si>
    <t>P-ethylphenol</t>
  </si>
  <si>
    <t>Cyclohexene</t>
  </si>
  <si>
    <t>P-ethylaniline</t>
  </si>
  <si>
    <t>Cyclohexanone oxime</t>
  </si>
  <si>
    <t>Permethrin</t>
  </si>
  <si>
    <t>Peracetic acid</t>
  </si>
  <si>
    <t>Cyclohexanol, 4-(1,1-dimethylethyl)-</t>
  </si>
  <si>
    <t>Pentylbenzene</t>
  </si>
  <si>
    <t>Pentyl acetate</t>
  </si>
  <si>
    <t>Cyclohexanol, 3,3,5-trimethyl-</t>
  </si>
  <si>
    <t>Pentobarbital sodium</t>
  </si>
  <si>
    <t>Pentanol</t>
  </si>
  <si>
    <t>Cyclohexanol</t>
  </si>
  <si>
    <t>Pentanoic acid, 2-methyl-</t>
  </si>
  <si>
    <t>Cyclohexane, iodo-</t>
  </si>
  <si>
    <t>Cyclohexane, ethyl-</t>
  </si>
  <si>
    <t>Cyclohexane, 5-isocyanato-1-(isocyanatomethyl)-1,3,3-trimethyl-</t>
  </si>
  <si>
    <t>Cyclohexane, 1,3-dimethyl-</t>
  </si>
  <si>
    <t>Cyclohexane, 1,1,3-trimethyl-</t>
  </si>
  <si>
    <t>Cyclohexane</t>
  </si>
  <si>
    <t>Cyclohexanamine, n,n-dimethyl-</t>
  </si>
  <si>
    <t>Cyclohexanamine, n,n-diethyl-</t>
  </si>
  <si>
    <t>Cyclohexanamine, 4,4'-methylenebis 2-methyl-</t>
  </si>
  <si>
    <t>Cycloheptene</t>
  </si>
  <si>
    <t>Cycloheptatriene</t>
  </si>
  <si>
    <t>Cycloheptane</t>
  </si>
  <si>
    <t>Cyclododecanone</t>
  </si>
  <si>
    <t>Cyclododecanol</t>
  </si>
  <si>
    <t>Cyclododecane, hexabromo-</t>
  </si>
  <si>
    <t>Cyclododecane</t>
  </si>
  <si>
    <t>Cycloate</t>
  </si>
  <si>
    <t>t-Butylamine</t>
  </si>
  <si>
    <t>Cyclethrin</t>
  </si>
  <si>
    <t>t-Butyl ethyl ether</t>
  </si>
  <si>
    <t>Cyclanilide</t>
  </si>
  <si>
    <t>t-Butyl acetate</t>
  </si>
  <si>
    <t>Cyanuric acid</t>
  </si>
  <si>
    <t>Cyanophos</t>
  </si>
  <si>
    <t>Sulfuryl fluoride</t>
  </si>
  <si>
    <t>Cyanofenphos</t>
  </si>
  <si>
    <t>Sulfur trioxide</t>
  </si>
  <si>
    <t>Sulfur oxides, UA</t>
  </si>
  <si>
    <t>Sulfur oxides, SK</t>
  </si>
  <si>
    <t>Sulfur oxides, SI</t>
  </si>
  <si>
    <t>Cyanamide</t>
  </si>
  <si>
    <t>Sulfur oxides, SE</t>
  </si>
  <si>
    <t>Sulfur oxides, RU</t>
  </si>
  <si>
    <t>Sulfur oxides, RO</t>
  </si>
  <si>
    <t>Sulfur oxides, PT</t>
  </si>
  <si>
    <t>Sulfur oxides, PL</t>
  </si>
  <si>
    <t>Sulfur oxides, NO</t>
  </si>
  <si>
    <t>Sulfur oxides, NL</t>
  </si>
  <si>
    <t>Sulfur oxides, MK</t>
  </si>
  <si>
    <t>Sulfur oxides, MD</t>
  </si>
  <si>
    <t>Sulfur oxides, LV</t>
  </si>
  <si>
    <t>Sulfur oxides, LU</t>
  </si>
  <si>
    <t>Cumylphenyl diphenyl phosphate</t>
  </si>
  <si>
    <t>Sulfur oxides, LT</t>
  </si>
  <si>
    <t>Sulfur oxides, IT</t>
  </si>
  <si>
    <t>Sulfur oxides, IE</t>
  </si>
  <si>
    <t>Sulfur oxides, HU</t>
  </si>
  <si>
    <t>Cumene hydroperoxide</t>
  </si>
  <si>
    <t>Sulfur oxides, HR</t>
  </si>
  <si>
    <t>Sulfur oxides, GR</t>
  </si>
  <si>
    <t>Sulfur oxides, GB</t>
  </si>
  <si>
    <t>Sulfur oxides, FR</t>
  </si>
  <si>
    <t>Sulfur oxides, FI</t>
  </si>
  <si>
    <t>Cumene</t>
  </si>
  <si>
    <t>Sulfur oxides, ES</t>
  </si>
  <si>
    <t>Sulfur oxides, EE</t>
  </si>
  <si>
    <t>Sulfur oxides, DK</t>
  </si>
  <si>
    <t>Sulfur oxides, DE</t>
  </si>
  <si>
    <t>Sulfur oxides, CZ</t>
  </si>
  <si>
    <t>Sulfur oxides, CS</t>
  </si>
  <si>
    <t>Sulfur oxides, CH</t>
  </si>
  <si>
    <t>Sulfur oxides, BY</t>
  </si>
  <si>
    <t>Sulfur oxides, BG</t>
  </si>
  <si>
    <t>Crufomate</t>
  </si>
  <si>
    <t>Sulfur oxides, BE</t>
  </si>
  <si>
    <t>Sulfur oxides, BA</t>
  </si>
  <si>
    <t>Sulfur oxides, AT</t>
  </si>
  <si>
    <t>Crotoxyphos</t>
  </si>
  <si>
    <t>Sulfur oxides, AL</t>
  </si>
  <si>
    <t>Sulfur oxides</t>
  </si>
  <si>
    <t>Sulfur monoxide</t>
  </si>
  <si>
    <t>Sulfur hexafluoride</t>
  </si>
  <si>
    <t>Crotonic acid</t>
  </si>
  <si>
    <t>Sulfur dioxide, UA</t>
  </si>
  <si>
    <t>Sulfur dioxide, SK</t>
  </si>
  <si>
    <t>Sulfur dioxide, SI</t>
  </si>
  <si>
    <t>Cresyl diphenyl phosphate</t>
  </si>
  <si>
    <t>Sulfur dioxide, SE</t>
  </si>
  <si>
    <t>Sulfur dioxide, RU</t>
  </si>
  <si>
    <t>Sulfur dioxide, RO</t>
  </si>
  <si>
    <t>Cresol</t>
  </si>
  <si>
    <t>Sulfur dioxide, PT</t>
  </si>
  <si>
    <t>Sulfur dioxide, PL</t>
  </si>
  <si>
    <t>Sulfur dioxide, NO</t>
  </si>
  <si>
    <t>Sulfur dioxide, NL</t>
  </si>
  <si>
    <t>Sulfur dioxide, MK</t>
  </si>
  <si>
    <t>Sulfur dioxide, MD</t>
  </si>
  <si>
    <t>Sulfur dioxide, LV</t>
  </si>
  <si>
    <t>Sulfur dioxide, LU</t>
  </si>
  <si>
    <t>Sulfur dioxide, LT</t>
  </si>
  <si>
    <t>Sulfur dioxide, IT</t>
  </si>
  <si>
    <t>Sulfur dioxide, IE</t>
  </si>
  <si>
    <t>Coumachlor</t>
  </si>
  <si>
    <t>Sulfur dioxide, HU</t>
  </si>
  <si>
    <t>Sulfur dioxide, HR</t>
  </si>
  <si>
    <t>Sulfur dioxide, GR</t>
  </si>
  <si>
    <t>Copper</t>
  </si>
  <si>
    <t>Sulfur dioxide, GB</t>
  </si>
  <si>
    <t>Sulfur dioxide, FR</t>
  </si>
  <si>
    <t>Sulfur dioxide, FI</t>
  </si>
  <si>
    <t>Sulfur dioxide, ES</t>
  </si>
  <si>
    <t>Co(II)</t>
  </si>
  <si>
    <t>Sulfur dioxide, EE</t>
  </si>
  <si>
    <t>Sulfur dioxide, DK</t>
  </si>
  <si>
    <t>Sulfur dioxide, DE</t>
  </si>
  <si>
    <t>Cma</t>
  </si>
  <si>
    <t>Sulfur dioxide, CZ</t>
  </si>
  <si>
    <t>Sulfur dioxide, CS</t>
  </si>
  <si>
    <t>Sulfur dioxide, CH</t>
  </si>
  <si>
    <t>Closantel</t>
  </si>
  <si>
    <t>Sulfur dioxide, BY</t>
  </si>
  <si>
    <t>Sulfur dioxide, BG</t>
  </si>
  <si>
    <t>Sulfur dioxide, BE</t>
  </si>
  <si>
    <t>Sulfur dioxide, BA</t>
  </si>
  <si>
    <t>Cloquintocet-mexyl</t>
  </si>
  <si>
    <t>Sulfur dioxide, AT</t>
  </si>
  <si>
    <t>Sulfur dioxide, AL</t>
  </si>
  <si>
    <t>Sulfur dioxide</t>
  </si>
  <si>
    <t>Clopyralid</t>
  </si>
  <si>
    <t>Clomazone</t>
  </si>
  <si>
    <t>Clodinafop-propargyl</t>
  </si>
  <si>
    <t>Clethodim</t>
  </si>
  <si>
    <t>Cis-permethrin</t>
  </si>
  <si>
    <t>cis-4-[3-(p-tert-butylphenyl)-2-methylpropyl]-2,6-dimethylmorpholine</t>
  </si>
  <si>
    <t>Cis-2,6-dimethylmorpholine</t>
  </si>
  <si>
    <t>soot</t>
  </si>
  <si>
    <t>Chlortoluron</t>
  </si>
  <si>
    <t>Chlorthiophos (main isomer)</t>
  </si>
  <si>
    <t>Chlorthiamid</t>
  </si>
  <si>
    <t>Chlorsulfuron</t>
  </si>
  <si>
    <t>Chlorpyrifos methyl</t>
  </si>
  <si>
    <t>Chlorphoxim</t>
  </si>
  <si>
    <t>Chloroxuron</t>
  </si>
  <si>
    <t>Chlorotripropyl stannane</t>
  </si>
  <si>
    <t>Chlorothymol</t>
  </si>
  <si>
    <t>Chlorosulfonic acid</t>
  </si>
  <si>
    <t>Chloronaphthalene</t>
  </si>
  <si>
    <t>Chloromercuriphenol</t>
  </si>
  <si>
    <t>Chlorocyclohexane</t>
  </si>
  <si>
    <t>Chloroacetonitrile</t>
  </si>
  <si>
    <t>Chloroacetic acid, sodium salt</t>
  </si>
  <si>
    <t>Chlornitrofen</t>
  </si>
  <si>
    <t>Chlormephos</t>
  </si>
  <si>
    <t>Chloridazon</t>
  </si>
  <si>
    <t>Chlorfenvinphos</t>
  </si>
  <si>
    <t>Chlorfenprop methyl</t>
  </si>
  <si>
    <t>Chlorethoxyfos</t>
  </si>
  <si>
    <t>Chlordimeform</t>
  </si>
  <si>
    <t>Chlordene</t>
  </si>
  <si>
    <t>Chlordane, trans-</t>
  </si>
  <si>
    <t>Chlordane, cis-</t>
  </si>
  <si>
    <t>Chlorbufam</t>
  </si>
  <si>
    <t>Chlorbromuron</t>
  </si>
  <si>
    <t>Chloramine-t</t>
  </si>
  <si>
    <t>Chloramine-b</t>
  </si>
  <si>
    <t>Chloramine</t>
  </si>
  <si>
    <t>Chloramben, methyl ester</t>
  </si>
  <si>
    <t>Chloramben, ammonium salt</t>
  </si>
  <si>
    <t>Cetrimonium chloride</t>
  </si>
  <si>
    <t>Cetrimonium bromide</t>
  </si>
  <si>
    <t>Cesium</t>
  </si>
  <si>
    <t>Cellulose, nitrate</t>
  </si>
  <si>
    <t>Cartap</t>
  </si>
  <si>
    <t>Carfentrazone-ethyl</t>
  </si>
  <si>
    <t>Propylene glycol t-butyl ether</t>
  </si>
  <si>
    <t>Carboxylic acids, di-, c4-6</t>
  </si>
  <si>
    <t>Carboxin</t>
  </si>
  <si>
    <t>Carbophenthion</t>
  </si>
  <si>
    <t>Carbophenothion-methyl</t>
  </si>
  <si>
    <t>Carbonodithioic acid, o-pentyl ester, potassium salt</t>
  </si>
  <si>
    <t>Carbonodithioic acid, o-ethyl ester, sodium salt</t>
  </si>
  <si>
    <t>Carbonodithioic acid, o-(2-methylpropyl) ester, sodium salt</t>
  </si>
  <si>
    <t>Carbonic acid, cyclic propylene ester</t>
  </si>
  <si>
    <t>Carbon disulfide</t>
  </si>
  <si>
    <t>Carbofuran phenol</t>
  </si>
  <si>
    <t>Carbetamide</t>
  </si>
  <si>
    <t>Carbendazim</t>
  </si>
  <si>
    <t>Carbamic acid, butyl-, 3-iodo-2-propynyl ester</t>
  </si>
  <si>
    <t>Propanol, pentafluoro-1-</t>
  </si>
  <si>
    <t>Propanol, 3,3,3-trifluoro-1-</t>
  </si>
  <si>
    <t>Carbamic acid, [(dibutylamino)thio]methyl-, 2,3-</t>
  </si>
  <si>
    <t>Propanol, 2,2,3,3-tetrafluoro-1-</t>
  </si>
  <si>
    <t>Carbamic acid, (3,4-diethoxyphenyl)-, 1-methylet</t>
  </si>
  <si>
    <t>Water</t>
  </si>
  <si>
    <t>Propane,1,1,1,2,2,3,3-heptafluoro-3-methoxy-, HFE-347mcc3 (HFE-7000)</t>
  </si>
  <si>
    <t>Captafol</t>
  </si>
  <si>
    <t>Propane, perfluorocyclo-</t>
  </si>
  <si>
    <t>Propane, perfluoro-</t>
  </si>
  <si>
    <t>Propane, 3,3-dichloro-1,1,1,2,2-pentafluoro-, HCFC-225ca</t>
  </si>
  <si>
    <t>Propane, 2,2-dimethyl-</t>
  </si>
  <si>
    <t>Propane, 2,2-difluoro-, HFC-272ca</t>
  </si>
  <si>
    <t>Propane, 1-ethoxy-1,1,2,3,3,3-hexafluoro-</t>
  </si>
  <si>
    <t>Camphene</t>
  </si>
  <si>
    <t>Propane, 1-ethoxy-1,1,2,2,3,3,3-heptafluoro</t>
  </si>
  <si>
    <t>Propane, 1,3-dichloro-1,1,2,2,3-pentafluoro-, HCFC-225cb</t>
  </si>
  <si>
    <t>Calcium propionate</t>
  </si>
  <si>
    <t>Propane, 1,1,2,3,3-pentafluoro-, HFC-245ea</t>
  </si>
  <si>
    <t>Cadmium stearate</t>
  </si>
  <si>
    <t>Propane, 1,1,2,2-tetrafluoro-3-methoxy-</t>
  </si>
  <si>
    <t>Propane, 1,1,2,2,3-pentafluoro-, HFC-245ca</t>
  </si>
  <si>
    <t>Propane, 1,1,1-trifluoro-, HFC-263fb</t>
  </si>
  <si>
    <t>Propane, 1,1,1,3,3-pentafluoro-, HFC-245fa</t>
  </si>
  <si>
    <t>Propane, 1,1,1,3,3,3-hexafluoro-2-methoxy-(9CI)</t>
  </si>
  <si>
    <t>Propane, 1,1,1,3,3,3-hexafluoro-2-(fluoromethoxy)-</t>
  </si>
  <si>
    <t>Propane, 1,1,1,3,3,3-Hexafluoro-2-(difluoromethoxy)</t>
  </si>
  <si>
    <t>Propane, 1,1,1,3,3,3-hexafluoro-, HCFC-236fa</t>
  </si>
  <si>
    <t>Propane, 1,1,1,2,3-pentafluoro-, HFC-245eb</t>
  </si>
  <si>
    <t>Propane, 1,1,1,2,3,3-hexafluoro-3-(trifluoromethoxy)-, HFE-329me3</t>
  </si>
  <si>
    <t>Propane, 1,1,1,2,3,3-hexafluoro-, HFC-236ea</t>
  </si>
  <si>
    <t>C.I. Yellow OB</t>
  </si>
  <si>
    <t>Propane, 1,1,1,2,3,3,3-heptafluoro-, HFC-227ea</t>
  </si>
  <si>
    <t>Propane, 1,1,1,2,2-pentafluoro-, HFC-245cb</t>
  </si>
  <si>
    <t>Propane, 1,1,1,2,2,3-hexafluoro-, HFC-236cb</t>
  </si>
  <si>
    <t>C.I. Vat blue 4</t>
  </si>
  <si>
    <t>Propane, 1,1,1,2,2,3,3-heptafluoro-3-(1,2,2,2-tetrafluoroethoxy)-</t>
  </si>
  <si>
    <t>Propane, 1,1,1,2,2,3,3-heptafluoro-, HFC-227ca</t>
  </si>
  <si>
    <t>C.I. Remazol black B</t>
  </si>
  <si>
    <t>Propane</t>
  </si>
  <si>
    <t>Propanal, 3,3,3-trifluoro-</t>
  </si>
  <si>
    <t>C.I. Quinoline yellow</t>
  </si>
  <si>
    <t>Propamocarb hcl</t>
  </si>
  <si>
    <t>C.I. Orange II</t>
  </si>
  <si>
    <t>C.I. Naphthol yellow s</t>
  </si>
  <si>
    <t>C.I. Mordant blue 13</t>
  </si>
  <si>
    <t>C.I. Methylene blue</t>
  </si>
  <si>
    <t>C.I. Metanil yellow</t>
  </si>
  <si>
    <t>C.I. Fluorescent brightener 260</t>
  </si>
  <si>
    <t>C.I. Eriochrome black T</t>
  </si>
  <si>
    <t>C.I. Disperse brightener</t>
  </si>
  <si>
    <t>C.I. Disperse blue 3</t>
  </si>
  <si>
    <t>C.I. Congo red</t>
  </si>
  <si>
    <t>C.I. Bismarck brown Y</t>
  </si>
  <si>
    <t>C.I. Basic violet 1</t>
  </si>
  <si>
    <t>C.I. Basic green 4</t>
  </si>
  <si>
    <t>C.I. Acid orange 24</t>
  </si>
  <si>
    <t>C.I. Acid orange 20</t>
  </si>
  <si>
    <t>C.I. Acid green 25</t>
  </si>
  <si>
    <t>C.I. Acid blue 25</t>
  </si>
  <si>
    <t>C.I. Acid blue 113</t>
  </si>
  <si>
    <t>C.I. Acid black 52</t>
  </si>
  <si>
    <t>Butyric acid, ethyl ester</t>
  </si>
  <si>
    <t>Butyric acid, butyl ester</t>
  </si>
  <si>
    <t>Butyric acid, 4-(2,4-dichlorophenoxy)-</t>
  </si>
  <si>
    <t>Butyric acid</t>
  </si>
  <si>
    <t>Butylphthalyl butylglycolate</t>
  </si>
  <si>
    <t>Butylate</t>
  </si>
  <si>
    <t>Phosphorothioic acid, O-(4-aminophenyl)O,O-diethyl ester</t>
  </si>
  <si>
    <t>Butyl xanthate</t>
  </si>
  <si>
    <t>Phosphorodithioic acid, o,o-dimethyl ester</t>
  </si>
  <si>
    <t>Phosphorodithioic acid, o,o-diethyl ester</t>
  </si>
  <si>
    <t>Butyl trichloro tin</t>
  </si>
  <si>
    <t>Butyl phenyl ether</t>
  </si>
  <si>
    <t>Butyl isocyanate</t>
  </si>
  <si>
    <t>Butyl ether</t>
  </si>
  <si>
    <t>Butyl acrylate</t>
  </si>
  <si>
    <t>Butyl acetate</t>
  </si>
  <si>
    <t>Butralin</t>
  </si>
  <si>
    <t>Butoxycarboxim</t>
  </si>
  <si>
    <t>Butonate</t>
  </si>
  <si>
    <t>Butocarboxim</t>
  </si>
  <si>
    <t>Butanoic acid, sodium salt</t>
  </si>
  <si>
    <t>Butanoic acid, 3,3-dimethyl-</t>
  </si>
  <si>
    <t>Butanoic acid, 2-methyl-, (,+-,)-</t>
  </si>
  <si>
    <t>Butanethiol</t>
  </si>
  <si>
    <t>Butanedioic acid, methylene-</t>
  </si>
  <si>
    <t>Butanedioic acid, dibutyl ester</t>
  </si>
  <si>
    <t>Butanedioic acid, 2,2-dimethyl-</t>
  </si>
  <si>
    <t>Butanedioc acid</t>
  </si>
  <si>
    <t>Butane, 1-isothiocyanato-</t>
  </si>
  <si>
    <t>Butane, 1-iodo-3-methyl-</t>
  </si>
  <si>
    <t>Butane, 1,3-dibromo-</t>
  </si>
  <si>
    <t>Butanal, 3-methyl-</t>
  </si>
  <si>
    <t>Butanal</t>
  </si>
  <si>
    <t>Butamifos</t>
  </si>
  <si>
    <t>Butachlor</t>
  </si>
  <si>
    <t>Buprofezin</t>
  </si>
  <si>
    <t>Bupirimate</t>
  </si>
  <si>
    <t>Bufencarb</t>
  </si>
  <si>
    <t>Brucine</t>
  </si>
  <si>
    <t>Bromuconazole</t>
  </si>
  <si>
    <t>PFPMIE</t>
  </si>
  <si>
    <t>Bromoxynil octanoate</t>
  </si>
  <si>
    <t>Tetrachlorvinphos</t>
  </si>
  <si>
    <t>Bromoxynil heptanoate</t>
  </si>
  <si>
    <t>Perfluoropropene</t>
  </si>
  <si>
    <t>Bromoxynil</t>
  </si>
  <si>
    <t>Perfluoroheptane</t>
  </si>
  <si>
    <t>Perfluorodecalin (trans)</t>
  </si>
  <si>
    <t>Bromophos ethyl</t>
  </si>
  <si>
    <t>Perfluorodecalin (mixed)</t>
  </si>
  <si>
    <t>Perfluorocyclopentene</t>
  </si>
  <si>
    <t>Perfluorobuta-1,3-diene</t>
  </si>
  <si>
    <t>Perfluorobut-2-ene</t>
  </si>
  <si>
    <t>Bromophos</t>
  </si>
  <si>
    <t>Perfluorobut-1-ene</t>
  </si>
  <si>
    <t>Pentanone, 1,1,1,2,2,4,5,5,5-nonafluoro-4-(trifluoromethyl)-3-</t>
  </si>
  <si>
    <t>Pentanol, 2,2,3,3,4,4,5,5-octafluorocyclo-</t>
  </si>
  <si>
    <t>Bromofenoxim</t>
  </si>
  <si>
    <t>Bromocyclohexane</t>
  </si>
  <si>
    <t>Bromochloromethane</t>
  </si>
  <si>
    <t>Pentane, perfluoro-</t>
  </si>
  <si>
    <t>Pentane, 3-methyl-</t>
  </si>
  <si>
    <t>Pentane, 2-methyl-</t>
  </si>
  <si>
    <t>Pentane, 2,3-dihydroperfluoro-, HFC-4310mee</t>
  </si>
  <si>
    <t>Bromobenzene</t>
  </si>
  <si>
    <t>Bromoacetic acid</t>
  </si>
  <si>
    <t>Bromacil</t>
  </si>
  <si>
    <t>Pentafluorobutene-1</t>
  </si>
  <si>
    <t>Brodifacoum</t>
  </si>
  <si>
    <t>Borneol</t>
  </si>
  <si>
    <t>Bomyl</t>
  </si>
  <si>
    <t>Blasticidin-s</t>
  </si>
  <si>
    <t>Bixin</t>
  </si>
  <si>
    <t>Bitertanol</t>
  </si>
  <si>
    <t>Bispyribac-sodium</t>
  </si>
  <si>
    <t>Particulates, &lt; 2.5 um (mobile)</t>
  </si>
  <si>
    <t>Particulates, &lt; 2.5 um (high stack)</t>
  </si>
  <si>
    <t>Particulates, &lt; 2.5 um</t>
  </si>
  <si>
    <t>Particulates, &lt; 10 um (stationary)</t>
  </si>
  <si>
    <t>Particulates, &lt; 10 um (mobile)</t>
  </si>
  <si>
    <t>Particulates, &lt; 10 um</t>
  </si>
  <si>
    <t>Bis(4-chlorophenyl) disulfide</t>
  </si>
  <si>
    <t>Particulates</t>
  </si>
  <si>
    <t>Manure, applied (P component)</t>
  </si>
  <si>
    <t>Bis(2-ethylhexyl)phosphate</t>
  </si>
  <si>
    <t>Bis(2-ethylhexyl) sodium sulfosuccinate</t>
  </si>
  <si>
    <t>Bis (2-ethoxy ethyl) ether</t>
  </si>
  <si>
    <t>Bioresmethrin</t>
  </si>
  <si>
    <t>Binapacryl</t>
  </si>
  <si>
    <t>Bilanafos</t>
  </si>
  <si>
    <t>Bifenox</t>
  </si>
  <si>
    <t>Bicyclo[3.1.1]heptane, 6,6-dimethyl-2-methylene-</t>
  </si>
  <si>
    <t>Bicyclo[2,2,1]-2-heptene</t>
  </si>
  <si>
    <t>Bicyclo(2,2,1,)heptane</t>
  </si>
  <si>
    <t>Bicyclo(2,2,1)hepta-2,5-diene</t>
  </si>
  <si>
    <t>Bicuculline</t>
  </si>
  <si>
    <t>Beta-phenylpropionic acid</t>
  </si>
  <si>
    <t>Beta-cypermethrin isomer</t>
  </si>
  <si>
    <t>beta-bromo-beta-nitrostyrene</t>
  </si>
  <si>
    <t>Benzylmalonic acid, diethyl ester</t>
  </si>
  <si>
    <t>Benzylamine</t>
  </si>
  <si>
    <t>Benzyl trimethyl ammonium chloride</t>
  </si>
  <si>
    <t>Benzyl methacrylate</t>
  </si>
  <si>
    <t>Octa deca fluoro octane</t>
  </si>
  <si>
    <t>Benzyl benzoate</t>
  </si>
  <si>
    <t>Benzthiazuron</t>
  </si>
  <si>
    <t>Benzoylprop ethyl</t>
  </si>
  <si>
    <t>Benzoyl isothiocyanate</t>
  </si>
  <si>
    <t>Benzoyl chloride</t>
  </si>
  <si>
    <t>Benzoximate</t>
  </si>
  <si>
    <t>Nonanol, 3,3,4,4,5,5,6,6,7,7,8,8,9,9,9-pentadecafluoro-</t>
  </si>
  <si>
    <t>Benzotrifluoride</t>
  </si>
  <si>
    <t>Nonane</t>
  </si>
  <si>
    <t>Benzothiazole</t>
  </si>
  <si>
    <t>Benzophenone</t>
  </si>
  <si>
    <t>Benzonitrile, 4-fluoro-</t>
  </si>
  <si>
    <t>Benzonitrile, 4-chloro-</t>
  </si>
  <si>
    <t>Benzonitrile, 2-amino-5-chloro-</t>
  </si>
  <si>
    <t>Benzonitrile</t>
  </si>
  <si>
    <t>Benzoic acid, 4-(tert-butyl)-</t>
  </si>
  <si>
    <t>Benzoic acid, 2-[(aminomethoxyphosphinothioyl)ox</t>
  </si>
  <si>
    <t>NMVOC, non-methane volatile organic compounds, unspecified origin</t>
  </si>
  <si>
    <t>Benzoic acid, 2,6-difluoro-</t>
  </si>
  <si>
    <t>Benzoic acid, 2-(4-chlorobenzoyl)-</t>
  </si>
  <si>
    <t>Benzo[b]thiophene, 5-methyl-</t>
  </si>
  <si>
    <t>Benzo(h)quinoline</t>
  </si>
  <si>
    <t>Benzo(f)quinoline</t>
  </si>
  <si>
    <t>Benzo(b)thiophene s,s-dioxide</t>
  </si>
  <si>
    <t>Benzo(b)thiophene</t>
  </si>
  <si>
    <t>Benzo(b)naphtho(1,2-d)thiophene</t>
  </si>
  <si>
    <t>Nitrogen, total</t>
  </si>
  <si>
    <t>Nitrogen oxides, UA</t>
  </si>
  <si>
    <t>Nitrogen oxides, SK</t>
  </si>
  <si>
    <t>Benzidine, 3,3'-dimethyl-</t>
  </si>
  <si>
    <t>Nitrogen oxides, SI</t>
  </si>
  <si>
    <t>Nitrogen oxides, SE</t>
  </si>
  <si>
    <t>Nitrogen oxides, RU</t>
  </si>
  <si>
    <t>Nitrogen oxides, RO</t>
  </si>
  <si>
    <t>Nitrogen oxides, PT</t>
  </si>
  <si>
    <t>Nitrogen oxides, PL</t>
  </si>
  <si>
    <t>Benzethonium chloride</t>
  </si>
  <si>
    <t>Nitrogen oxides, NO</t>
  </si>
  <si>
    <t>Nitrogen oxides, NL</t>
  </si>
  <si>
    <t>Benzenesulfonyl chloride</t>
  </si>
  <si>
    <t>Nitrogen oxides, MK</t>
  </si>
  <si>
    <t>Nitrogen oxides, MD</t>
  </si>
  <si>
    <t>Benzenesulfonic acid, dodecyloxydi-, disodium salt</t>
  </si>
  <si>
    <t>Nitrogen oxides, LV</t>
  </si>
  <si>
    <t>Benzenesulfonic acid, 4-hydroxy-, monosodium salt</t>
  </si>
  <si>
    <t>Nitrogen oxides, LU</t>
  </si>
  <si>
    <t>Nitrogen oxides, LT</t>
  </si>
  <si>
    <t>Benzenesulfonic acid, 4-amino-</t>
  </si>
  <si>
    <t>Nitrogen oxides, IT</t>
  </si>
  <si>
    <t>Nitrogen oxides, IE</t>
  </si>
  <si>
    <t>Benzenesulfonic acid, 3-amino-, monosodium salt</t>
  </si>
  <si>
    <t>Nitrogen oxides, HU</t>
  </si>
  <si>
    <t>Benzenesulfonic acid</t>
  </si>
  <si>
    <t>Nitrogen oxides, HR</t>
  </si>
  <si>
    <t>Nitrogen oxides, GR</t>
  </si>
  <si>
    <t>Benzenepropanol, ,alpha,,,alpha,-dimethyl-</t>
  </si>
  <si>
    <t>Nitrogen oxides, GB</t>
  </si>
  <si>
    <t>Nitrogen oxides, FR</t>
  </si>
  <si>
    <t>Benzenemethanol, 4-fluoro-</t>
  </si>
  <si>
    <t>Nitrogen oxides, FI</t>
  </si>
  <si>
    <t>Nitrogen oxides, ES</t>
  </si>
  <si>
    <t>Benzenemethanol, 4-bromo-</t>
  </si>
  <si>
    <t>Nitrogen oxides, EE</t>
  </si>
  <si>
    <t>Benzenemethanol, 4-(1-methylethyl)-</t>
  </si>
  <si>
    <t>Nitrogen oxides, DK</t>
  </si>
  <si>
    <t>Nitrogen oxides, DE</t>
  </si>
  <si>
    <t>Benzenemethanol, 3-phenoxy-</t>
  </si>
  <si>
    <t>Nitrogen oxides, CZ</t>
  </si>
  <si>
    <t>Benzenemethanol, 2-chloro-</t>
  </si>
  <si>
    <t>Nitrogen oxides, CS</t>
  </si>
  <si>
    <t>Nitrogen oxides, CH</t>
  </si>
  <si>
    <t>Benzenemethanol, ,alpha,-ethynyl-,alpha,-methyl-</t>
  </si>
  <si>
    <t>Nitrogen oxides, BY</t>
  </si>
  <si>
    <t>Nitrogen oxides, BG</t>
  </si>
  <si>
    <t>Benzenemethanamine, n-ethyl-</t>
  </si>
  <si>
    <t>Nitrogen oxides, BE</t>
  </si>
  <si>
    <t>Benzenemethanamine, n-(1-methylethyl)-</t>
  </si>
  <si>
    <t>Nitrogen oxides, BA</t>
  </si>
  <si>
    <t>Nitrogen oxides, AT</t>
  </si>
  <si>
    <t>Benzeneacetic acid, ,alpha,-ethyl-</t>
  </si>
  <si>
    <t>Nitrogen oxides, AL</t>
  </si>
  <si>
    <t>Nitrogen oxides</t>
  </si>
  <si>
    <t>Nitrogen monoxide</t>
  </si>
  <si>
    <t>Benzene, pentachloro-</t>
  </si>
  <si>
    <t>Nitrogen fluoride</t>
  </si>
  <si>
    <t>Nitrogen dioxide, UA</t>
  </si>
  <si>
    <t>Nitrogen dioxide, SK</t>
  </si>
  <si>
    <t>Nitrogen dioxide, SI</t>
  </si>
  <si>
    <t>Benzene, hexabromo-</t>
  </si>
  <si>
    <t>Nitrogen dioxide, SE</t>
  </si>
  <si>
    <t>Nitrogen dioxide, RU</t>
  </si>
  <si>
    <t>Benzene, dichloro-</t>
  </si>
  <si>
    <t>Nitrogen dioxide, RO</t>
  </si>
  <si>
    <t>Nitrogen dioxide, PT</t>
  </si>
  <si>
    <t>Nitrogen dioxide, PL</t>
  </si>
  <si>
    <t>Nitrogen dioxide, NO</t>
  </si>
  <si>
    <t>Benzene, butyl-</t>
  </si>
  <si>
    <t>Nitrogen dioxide, NL</t>
  </si>
  <si>
    <t>Benzene, 4-chloro-1-methyl-2-nitro-</t>
  </si>
  <si>
    <t>Nitrogen dioxide, MK</t>
  </si>
  <si>
    <t>Nitrogen dioxide, MD</t>
  </si>
  <si>
    <t>Nitrogen dioxide, LV</t>
  </si>
  <si>
    <t>Nitrogen dioxide, LU</t>
  </si>
  <si>
    <t>Benzene, 1-methyl-4-(1-methylethyl)-</t>
  </si>
  <si>
    <t>Nitrogen dioxide, LT</t>
  </si>
  <si>
    <t>Benzene, 1-methyl-3-nitro-</t>
  </si>
  <si>
    <t>Nitrogen dioxide, IT</t>
  </si>
  <si>
    <t>Nitrogen dioxide, IE</t>
  </si>
  <si>
    <t>Nitrogen dioxide, HU</t>
  </si>
  <si>
    <t>Nitrogen dioxide, HR</t>
  </si>
  <si>
    <t>Nitrogen dioxide, GR</t>
  </si>
  <si>
    <t>Benzene, 1-chloro-4-methyl-2-nitro-</t>
  </si>
  <si>
    <t>Nitrogen dioxide, GB</t>
  </si>
  <si>
    <t>Nitrogen dioxide, FR</t>
  </si>
  <si>
    <t>Nitrogen dioxide, FI</t>
  </si>
  <si>
    <t>Nitrogen dioxide, ES</t>
  </si>
  <si>
    <t>Benzene, 1-chloro-2-methyl-3-nitro-</t>
  </si>
  <si>
    <t>Nitrogen dioxide, EE</t>
  </si>
  <si>
    <t>Benzene, 1,5-dichloro-2,4-dinitro-</t>
  </si>
  <si>
    <t>Nitrogen dioxide, DK</t>
  </si>
  <si>
    <t>Nitrogen dioxide, DE</t>
  </si>
  <si>
    <t>Benzene, 1,4-dinitro-</t>
  </si>
  <si>
    <t>Nitrogen dioxide, CZ</t>
  </si>
  <si>
    <t>Nitrogen dioxide, CS</t>
  </si>
  <si>
    <t>Benzene, 1,4-diisothiocyanato-</t>
  </si>
  <si>
    <t>Nitrogen dioxide, CH</t>
  </si>
  <si>
    <t>Nitrogen dioxide, BY</t>
  </si>
  <si>
    <t>Nitrogen dioxide, BG</t>
  </si>
  <si>
    <t>Benzene, 1,4-bis(chloromethyl)-</t>
  </si>
  <si>
    <t>Nitrogen dioxide, BE</t>
  </si>
  <si>
    <t>Nitrogen dioxide, BA</t>
  </si>
  <si>
    <t>Benzene, 1,3-dinitro-</t>
  </si>
  <si>
    <t>Nitrogen dioxide, AT</t>
  </si>
  <si>
    <t>Benzene, 1,3-dichloro-5-nitro-</t>
  </si>
  <si>
    <t>Nitrogen dioxide, AL</t>
  </si>
  <si>
    <t>Nitrogen dioxide</t>
  </si>
  <si>
    <t>Benzene, 1,3-dichloro-2-methoxy-</t>
  </si>
  <si>
    <t>Benzene, 1,3-dichloro-</t>
  </si>
  <si>
    <t>Benzene, 1,3,5-trimethyl-</t>
  </si>
  <si>
    <t>Benzene, 1,3,5-trichloro-</t>
  </si>
  <si>
    <t>Nitrite</t>
  </si>
  <si>
    <t>Benzene, 1,2-dinitro-</t>
  </si>
  <si>
    <t>Nitric acid</t>
  </si>
  <si>
    <t>Nitrate</t>
  </si>
  <si>
    <t>Benzene, 1,2-dimethoxy-4-methyl-</t>
  </si>
  <si>
    <t>Benzene, 1,2-dichloro-3-methoxy-</t>
  </si>
  <si>
    <t>Benzene, 1,2,4-trichloro-</t>
  </si>
  <si>
    <t>Benzene, 1,2,4,5-tetrachloro-</t>
  </si>
  <si>
    <t>Benzene, 1,2,3-trichloro-</t>
  </si>
  <si>
    <t>Benzene, 1,2,3,5-tetrachloro-</t>
  </si>
  <si>
    <t>Benzene, 1,2,3,4-tetrachloro-</t>
  </si>
  <si>
    <t>Benzene, 1,1'-methylenebis-</t>
  </si>
  <si>
    <t>Benzene, 1,1'- sulfinylbis(methylene) bis-</t>
  </si>
  <si>
    <t>Benzene, 1-(dimethoxymethyl)-4-methoxy-</t>
  </si>
  <si>
    <t>Benzene, 1-(1,1-dimethylethyl)-2-methoxy-4-methy</t>
  </si>
  <si>
    <t>Benzene, (chloromethyl)ethenyl-</t>
  </si>
  <si>
    <t>Phenol, 2-nitro-</t>
  </si>
  <si>
    <t>Benzenamine, n-ethyl-3-methyl-</t>
  </si>
  <si>
    <t>Benzenamine, n-ethyl-2-methyl-</t>
  </si>
  <si>
    <t>Benzenamine, 4-methyl-</t>
  </si>
  <si>
    <t>Benzenamine, 4-butyl-</t>
  </si>
  <si>
    <t>Benzenamine, 2-nitro-</t>
  </si>
  <si>
    <t>Benzenamine, 2-ethyl-6-methyl-</t>
  </si>
  <si>
    <t>Benzenamine, 2-chloro-4-methyl-</t>
  </si>
  <si>
    <t>Benzenamine, 2,6-bis(1-methylethyl)-</t>
  </si>
  <si>
    <t>Benzamide, 2-methyl-3,5-dinitro-</t>
  </si>
  <si>
    <t>Benzamide, 2-iodo-n-phenyl</t>
  </si>
  <si>
    <t>Benzamide, 2-amino-</t>
  </si>
  <si>
    <t>Benzamide</t>
  </si>
  <si>
    <t>Benzaldehyde, 5-chloro-2-hydroxy-</t>
  </si>
  <si>
    <t>Benzaldehyde, 5-bromo-2-hydroxy-</t>
  </si>
  <si>
    <t>Benzaldehyde, 4-fluoro-</t>
  </si>
  <si>
    <t>Fertiliser, applied (P component)</t>
  </si>
  <si>
    <t>Benzaldehyde, 4-ethoxy-</t>
  </si>
  <si>
    <t>Benzaldehyde, 4-bromo-</t>
  </si>
  <si>
    <t>Benzaldehyde, 4-(diethylamino)-2-hydroxy-</t>
  </si>
  <si>
    <t>Benzaldehyde, 4-(diethylamino)-</t>
  </si>
  <si>
    <t>Benzaldehyde, 4-(1-methylethyl)-</t>
  </si>
  <si>
    <t>Benzaldehyde, 3-ethoxy-4-hydroxy-</t>
  </si>
  <si>
    <t>Benzaldehyde, 2-hydroxy-, oxime</t>
  </si>
  <si>
    <t>Benzaldehyde, 2,4-dihydroxy-</t>
  </si>
  <si>
    <t>Benzalacetophenone</t>
  </si>
  <si>
    <t>Benz(c)acridine</t>
  </si>
  <si>
    <t>Methyl perfluoroisopropyl ether</t>
  </si>
  <si>
    <t>Benz(a)acridine</t>
  </si>
  <si>
    <t>Bentonite</t>
  </si>
  <si>
    <t>Bentazone</t>
  </si>
  <si>
    <t>Bensultap</t>
  </si>
  <si>
    <t>Bensulide</t>
  </si>
  <si>
    <t>Bensulfuron methyl ester</t>
  </si>
  <si>
    <t>Benomyl</t>
  </si>
  <si>
    <t>Benfuracarb</t>
  </si>
  <si>
    <t>Benfluralin</t>
  </si>
  <si>
    <t>Bendiocarb</t>
  </si>
  <si>
    <t>Benazolin</t>
  </si>
  <si>
    <t>Barban</t>
  </si>
  <si>
    <t>B,b,b-trichloro-t-butanol</t>
  </si>
  <si>
    <t>Azulene</t>
  </si>
  <si>
    <t>Methane, trifluoro-, HFC-23</t>
  </si>
  <si>
    <t>Methane, trifluoro(fluoromethoxy)-</t>
  </si>
  <si>
    <t>Azoxystrobin</t>
  </si>
  <si>
    <t>Methane, tetrafluoro-, CFC-14</t>
  </si>
  <si>
    <t>Azocyclotin</t>
  </si>
  <si>
    <t>Aziprotryne</t>
  </si>
  <si>
    <t>Methane, land transformation</t>
  </si>
  <si>
    <t>Methane, fossil</t>
  </si>
  <si>
    <t>Methane, fluoro-, HFC-41</t>
  </si>
  <si>
    <t>Methane, fluoro(methoxy)-</t>
  </si>
  <si>
    <t>Methane, fluoro(fluoromethoxy)-</t>
  </si>
  <si>
    <t>Azinphos-ethyl</t>
  </si>
  <si>
    <t>Methane, difluoro-, HFC-32</t>
  </si>
  <si>
    <t>Methane, difluoro(methoxy)-</t>
  </si>
  <si>
    <t>Azamethiphos</t>
  </si>
  <si>
    <t>Methane, difluoro(fluoromethoxy)-</t>
  </si>
  <si>
    <t>Methane, dichlorofluoro-, HCFC-21</t>
  </si>
  <si>
    <t>Azadirachtin</t>
  </si>
  <si>
    <t>Azacyclotridecan-2-one</t>
  </si>
  <si>
    <t>Methane, dibromodifluoro-, Halon 1202</t>
  </si>
  <si>
    <t>Azaconazol</t>
  </si>
  <si>
    <t>Methane, dibromo-</t>
  </si>
  <si>
    <t>Methane, chlorotrifluoro-, CFC-13</t>
  </si>
  <si>
    <t>Avermectin B1</t>
  </si>
  <si>
    <t>Aureomycin</t>
  </si>
  <si>
    <t>Methane, bromotrifluoro-, Halon 1301</t>
  </si>
  <si>
    <t>Methane, bromodifluoro-, Halon 1201</t>
  </si>
  <si>
    <t>Methane, bromochlorodifluoro-, Halon 1211</t>
  </si>
  <si>
    <t>Asulam</t>
  </si>
  <si>
    <t>Methane, biogenic</t>
  </si>
  <si>
    <t>Methane, (difluoromethoxy)((difluoromethoxy)difluoromethoxy)difluoro-</t>
  </si>
  <si>
    <t>Methane</t>
  </si>
  <si>
    <t>Aroclor 1248</t>
  </si>
  <si>
    <t>Aroclor 1242</t>
  </si>
  <si>
    <t>Aroclor 1232</t>
  </si>
  <si>
    <t>Aroclor 1221</t>
  </si>
  <si>
    <t>Aretan</t>
  </si>
  <si>
    <t>Aphidan</t>
  </si>
  <si>
    <t>Antimycin A</t>
  </si>
  <si>
    <t>Mecoprop-p</t>
  </si>
  <si>
    <t>Anthrarobin</t>
  </si>
  <si>
    <t>Aniline, m-chloro-</t>
  </si>
  <si>
    <t>Aniline, 3,4-dichloro-</t>
  </si>
  <si>
    <t>Androstenedione</t>
  </si>
  <si>
    <t>Ancymidol</t>
  </si>
  <si>
    <t>Amyl lactate</t>
  </si>
  <si>
    <t>Amprolium</t>
  </si>
  <si>
    <t>Ampicillin</t>
  </si>
  <si>
    <t>Amoxicillin</t>
  </si>
  <si>
    <t>Ammonium oxalate</t>
  </si>
  <si>
    <t>Amitraz</t>
  </si>
  <si>
    <t>kg SO2 eq in EPD</t>
  </si>
  <si>
    <t>kg PO4-- eq</t>
  </si>
  <si>
    <t>kg CO2 eq</t>
  </si>
  <si>
    <t>Aminocarb</t>
  </si>
  <si>
    <t>Ametryn</t>
  </si>
  <si>
    <t>Amantadine</t>
  </si>
  <si>
    <t>Aluminium</t>
  </si>
  <si>
    <t>Alpha-Sulfo-omega-(dodecyloxy)poly(oxy-1,2-ethanediyl), Sodium salt</t>
  </si>
  <si>
    <t>Alpha-pinene</t>
  </si>
  <si>
    <t>Alpha-phenylpropionic acid</t>
  </si>
  <si>
    <t>Alpha-naphthyl methyl ketone</t>
  </si>
  <si>
    <t>Alpha-cypermethrin</t>
  </si>
  <si>
    <t>Isopentane</t>
  </si>
  <si>
    <t>Alpha-cedrene</t>
  </si>
  <si>
    <t>Alpha,-l-xylo-2-hexulofuranosonic acid, 2,3,4,6</t>
  </si>
  <si>
    <t>Allylthiourea</t>
  </si>
  <si>
    <t>Allylamine</t>
  </si>
  <si>
    <t>Allyl methacrylate</t>
  </si>
  <si>
    <t>Isobutane</t>
  </si>
  <si>
    <t>Allethrin</t>
  </si>
  <si>
    <t>Alkylbenzenesulfonic acid, sodium salt c10-c13</t>
  </si>
  <si>
    <t>Alkylbenzene (c10-c15)</t>
  </si>
  <si>
    <t>Alkenes, c15-18</t>
  </si>
  <si>
    <t>Alkane sulfonic acids (sodium salt)</t>
  </si>
  <si>
    <t>Alizarine</t>
  </si>
  <si>
    <t>Aldoxycarb</t>
  </si>
  <si>
    <t>Aldicarb sulfoxide</t>
  </si>
  <si>
    <t>Alcohols, c6-12</t>
  </si>
  <si>
    <t>Alcohols, c12-14, ethoxylated</t>
  </si>
  <si>
    <t>Alcohols, c11-14-iso-, c13-rich</t>
  </si>
  <si>
    <t>Alachlor</t>
  </si>
  <si>
    <t>A-endosulfan</t>
  </si>
  <si>
    <t>Adiponitrile</t>
  </si>
  <si>
    <t>Adipic acid, compound with hexane-1,6-diamine (1:1)</t>
  </si>
  <si>
    <t>HG-03</t>
  </si>
  <si>
    <t>HG-02</t>
  </si>
  <si>
    <t>Acriflavine</t>
  </si>
  <si>
    <t>HFE-43-10pccc124 (H-Galden1040x)</t>
  </si>
  <si>
    <t>HFE-338pcc13 (HG-01)</t>
  </si>
  <si>
    <t>HFE-338mcf2</t>
  </si>
  <si>
    <t>HFE-329mcc2</t>
  </si>
  <si>
    <t>Acridine</t>
  </si>
  <si>
    <t>HFE-263fb2</t>
  </si>
  <si>
    <t>HFE-236ca12 (HG-10)</t>
  </si>
  <si>
    <t>HFE-227EA</t>
  </si>
  <si>
    <t>Aclonifen</t>
  </si>
  <si>
    <t>Acifluorfen sodium salt</t>
  </si>
  <si>
    <t>Acibenzolar-s-methyl</t>
  </si>
  <si>
    <t>Acetyl chloride</t>
  </si>
  <si>
    <t>Hexane, perfluoro-</t>
  </si>
  <si>
    <t>Hexane, 3-methyl-</t>
  </si>
  <si>
    <t>Hexane, 2-methyl-</t>
  </si>
  <si>
    <t>Acetyl bromide</t>
  </si>
  <si>
    <t>Acetophenone</t>
  </si>
  <si>
    <t>Acetone</t>
  </si>
  <si>
    <t>Acetochlor</t>
  </si>
  <si>
    <t>Acetoacetic ester</t>
  </si>
  <si>
    <t>Acetoacetanilide</t>
  </si>
  <si>
    <t>Heptanol, 3,3,4,4,5,5,6,6,7,7,7-undecafluoro-</t>
  </si>
  <si>
    <t>Acetimidoylphosphoramidothioic acid, o,o-bis(p-chlorophenyl) ester</t>
  </si>
  <si>
    <t>Acetic anhydride</t>
  </si>
  <si>
    <t>Acetic acid, sulfo-</t>
  </si>
  <si>
    <t>Acetic acid, sodium salt</t>
  </si>
  <si>
    <t>Acetic acid, dibromo-</t>
  </si>
  <si>
    <t>Acetic acid, ammonium salt</t>
  </si>
  <si>
    <t>Acetic acid, 2,2'-oxybis-</t>
  </si>
  <si>
    <t>Acetic acid, 1-(3,4-dichlorophenyl)-2,2,2-trichl</t>
  </si>
  <si>
    <t>Acetic acid</t>
  </si>
  <si>
    <t>Acetanilide</t>
  </si>
  <si>
    <t>Acetamide, 2,2-dichloro-</t>
  </si>
  <si>
    <t>Acetaldehyde, trichloro-</t>
  </si>
  <si>
    <t>Acetaldehyde ammonia</t>
  </si>
  <si>
    <t>Formate, trifluoromethyl-</t>
  </si>
  <si>
    <t>Formate, perfluoropropyl-</t>
  </si>
  <si>
    <t>Formate, perfluoroethyl-</t>
  </si>
  <si>
    <t>Formate, perfluorobutyl-</t>
  </si>
  <si>
    <t>Formate, 3,3,3-trifluoropropyl-</t>
  </si>
  <si>
    <t>Formate, 2,2,2-trifluoroethyl-</t>
  </si>
  <si>
    <t>Formate, 1,2,2,2-tetrafluoroethyl-</t>
  </si>
  <si>
    <t>Formate, 1,1,1,3,3,3-hexafluoropropan-2-yl-</t>
  </si>
  <si>
    <t>A-brom-2,5-dimethoxy-acetophenon</t>
  </si>
  <si>
    <t>Abietic acid</t>
  </si>
  <si>
    <t>a,a,a-trifluor-o-tolunitril</t>
  </si>
  <si>
    <t>a,a,a-trifluor-m-tolunitril</t>
  </si>
  <si>
    <t>9-Octadecenoic acid (z)-, decyl ester</t>
  </si>
  <si>
    <t>9-Octadecen-1-amine, (z)-</t>
  </si>
  <si>
    <t>Fluoroxene</t>
  </si>
  <si>
    <t>9-Methylanthracene</t>
  </si>
  <si>
    <t>Fluoridate, methyl carbono-</t>
  </si>
  <si>
    <t>9h-Xanthene</t>
  </si>
  <si>
    <t>Fluoridate, 1,1-difluoroethyl carbono-</t>
  </si>
  <si>
    <t>9h-Xanthen-9-one</t>
  </si>
  <si>
    <t>9h-Thioxanthen-9-one</t>
  </si>
  <si>
    <t>9h-Fluorene-9-carboxylic aicd, 2-chloro-9-hydrox</t>
  </si>
  <si>
    <t>9h-Fluoren-9-ol</t>
  </si>
  <si>
    <t>9-Aminoacridine</t>
  </si>
  <si>
    <t>9,10-Phenanthrenedione</t>
  </si>
  <si>
    <t>Fluazifop-p-butyl</t>
  </si>
  <si>
    <t>9,10-Dihydrophenanthrene</t>
  </si>
  <si>
    <t>9,10-Dihydroanthracene</t>
  </si>
  <si>
    <t>9,10-Anthracenedione, 2-chloro-</t>
  </si>
  <si>
    <t>7-Dodecen-1-ol (z)</t>
  </si>
  <si>
    <t>6-Phenylcaproic acid</t>
  </si>
  <si>
    <t>6-Octen-1-yn-3-ol, 3,7-dimethyl-</t>
  </si>
  <si>
    <t>6-Chloropicolinic acid</t>
  </si>
  <si>
    <t>6-Chloro-2-picoline</t>
  </si>
  <si>
    <t>6-Chloro-2-nitrophenol</t>
  </si>
  <si>
    <t>6,8-Dimethylquinoline</t>
  </si>
  <si>
    <t>5-Quinolinamine, 6-nitro-</t>
  </si>
  <si>
    <t>5-Pyrimidinemethanol, ,alpha,-(2-chlorophenyl)-,</t>
  </si>
  <si>
    <t>Ethyne</t>
  </si>
  <si>
    <t>5-Phenylpentanoic acid</t>
  </si>
  <si>
    <t>5-Nonanone</t>
  </si>
  <si>
    <t>5-Nitroquinoline</t>
  </si>
  <si>
    <t>5-Nitrobenzotriazole</t>
  </si>
  <si>
    <t>5-Methyl-2-nitrophenol</t>
  </si>
  <si>
    <t>5-Methyl-2-hexanone</t>
  </si>
  <si>
    <t>5-Hydroxy-1,4-naphthoquinone</t>
  </si>
  <si>
    <t>5-Hepten-2-one, 6-methyl-</t>
  </si>
  <si>
    <t>5-Ethyl-2-methylpyridine</t>
  </si>
  <si>
    <t>5-Chlorouracil</t>
  </si>
  <si>
    <t>5-Chloro-2-(2,4-dichlorophenoxy)phenol</t>
  </si>
  <si>
    <t>5-Aminoquinoline</t>
  </si>
  <si>
    <t>5-Aminoindole</t>
  </si>
  <si>
    <t>5,5-Dimethyl-1,3-cyclohexanedione</t>
  </si>
  <si>
    <t>4-Vinylpyridine</t>
  </si>
  <si>
    <t>Ether, pentafluoromethyl-, HFE-125</t>
  </si>
  <si>
    <t>Ether, nonafluorobutane ethyl-, HFE569sf2 (HFE-7200)</t>
  </si>
  <si>
    <t>Ether, n-nonafluorobutane ethyl-, HFE569sf2 (n-HFE-7200)</t>
  </si>
  <si>
    <t>4-Tert-butylbenzyl alcohol</t>
  </si>
  <si>
    <t>Ether, i-nonafluorobutane ethyl-, HFE569sf2 (i-HFE-7200)</t>
  </si>
  <si>
    <t>Ether, ethyl trifluoromethyl-, HFE-263m1</t>
  </si>
  <si>
    <t>Ether, ethyl 1,1,2,2-tetrafluoroethyl-, HFE-374pc2</t>
  </si>
  <si>
    <t>Ether, difluoromethyl 2,2,2-trifluoroethyl-, HFE-245fa2</t>
  </si>
  <si>
    <t>4-Tert-butylbenzamide</t>
  </si>
  <si>
    <t>Ether, difluoromethyl 2,2,2-trifluoroethyl-, HFE-245fa1</t>
  </si>
  <si>
    <t>Ether, difluoromethyl 2,2,2-trifluoroethyl-, HFE-245cb2</t>
  </si>
  <si>
    <t>Ether, difluoromethyl 1,2,2,2-tetrafluoroethyl-, HFE-236ea2 (desflurane)</t>
  </si>
  <si>
    <t>4-Pyridinemethanol</t>
  </si>
  <si>
    <t>Ether, di(difluoromethyl), HFE-134</t>
  </si>
  <si>
    <t>Ether, bis(2,2,2-trifluoroethyl)-</t>
  </si>
  <si>
    <t>4-Pyridinealdoxime</t>
  </si>
  <si>
    <t>Ether, 2,2,3,3,3-Pentafluoropropyl methyl-, HFE-365mcf3</t>
  </si>
  <si>
    <t>Ether, 1,2,2-trifluoroethyl trifluoromethyl-, HFE-236fa</t>
  </si>
  <si>
    <t>4-Propylphenol</t>
  </si>
  <si>
    <t>Ether, 1,2,2-trifluoroethyl trifluoromethyl-, HFE-236ea2</t>
  </si>
  <si>
    <t>Ether, 1,1,2,3,3,3-Hexafluoropropyl methyl-, HFE-356pcf3</t>
  </si>
  <si>
    <t>Ether, 1,1,2,3,3,3-Hexafluoropropyl methyl-, HFE-356pcf2</t>
  </si>
  <si>
    <t>Ether, 1,1,2,3,3,3-Hexafluoropropyl methyl-, HFE-356pcc3</t>
  </si>
  <si>
    <t>4-Piperidinone, 2,2,6,6-tetramethyl-</t>
  </si>
  <si>
    <t>Ether, 1,1,2,3,3,3-Hexafluoropropyl methyl-, HFE-356mec3</t>
  </si>
  <si>
    <t>Ether, 1,1,2,2-Tetrafluoroethyl methyl-, HFE-254cb2</t>
  </si>
  <si>
    <t>Ether, 1,1,2,2-Tetrafluoroethyl 2,2,2-trifluoroethyl-, HFE-347pcf2</t>
  </si>
  <si>
    <t>Ether, 1,1,2,2-Tetrafluoroethyl 2,2,2-trifluoroethyl-, HFE-347mcf2</t>
  </si>
  <si>
    <t>4-Piperidinol, 2,2,6,6-tetramethyl-</t>
  </si>
  <si>
    <t>Ether, 1,1,1-trifluoromethyl methyl-, HFE-143a</t>
  </si>
  <si>
    <t>4-Phenylpyridine</t>
  </si>
  <si>
    <t>4-Phenylbutyric acid</t>
  </si>
  <si>
    <t>4-Pentynoic acid</t>
  </si>
  <si>
    <t>Ethene, dichloro- (cis)</t>
  </si>
  <si>
    <t>4-Pentylphenol</t>
  </si>
  <si>
    <t>4-Pentenoic acid</t>
  </si>
  <si>
    <t>4-Octylaniline</t>
  </si>
  <si>
    <t>Ethene, 1,1,2-trifluoro-2-(trifluoromethoxy)-</t>
  </si>
  <si>
    <t>Ethene</t>
  </si>
  <si>
    <t>4-Nitropyridine</t>
  </si>
  <si>
    <t>Ethanol, 2-fluoro-</t>
  </si>
  <si>
    <t>4-Nitro-n-phenylbenzenamine</t>
  </si>
  <si>
    <t>4-Nitrobenzamide</t>
  </si>
  <si>
    <t>Ethanol, 2,2-difluoro-</t>
  </si>
  <si>
    <t>4-Nitrobenzaldehyde</t>
  </si>
  <si>
    <t>4-Nitro-2-toluidine</t>
  </si>
  <si>
    <t>4-Nitro diphenyl ether</t>
  </si>
  <si>
    <t>4-Morpholineethanol</t>
  </si>
  <si>
    <t>4-Methylpyridine</t>
  </si>
  <si>
    <t>Ethane, pentafluoro-, HFC-125</t>
  </si>
  <si>
    <t>4-Methylpentanoic acid</t>
  </si>
  <si>
    <t>Ethane, hexafluoro-, HFC-116</t>
  </si>
  <si>
    <t>Ethane, fluoro-, HFC-161</t>
  </si>
  <si>
    <t>4-Methyloxazol</t>
  </si>
  <si>
    <t>Ethane, chloropentafluoro-, CFC-115</t>
  </si>
  <si>
    <t>4-Methylbenzonitrile</t>
  </si>
  <si>
    <t>Ethane, 2-chloro-1,1,2-trifluoro-1-methoxy-</t>
  </si>
  <si>
    <t>4-Methyl-2-pentyl acetate</t>
  </si>
  <si>
    <t>4-Methyl-2-pentanone</t>
  </si>
  <si>
    <t>Ethane, 1-ethoxy-1,1,2,2,2-pentafluoro-</t>
  </si>
  <si>
    <t>4-Methyl-2-pentanol</t>
  </si>
  <si>
    <t>Ethane, 1-chloro-1,1-difluoro-, HCFC-142b</t>
  </si>
  <si>
    <t>Ethane, 1,2-difluoro-, HFC-152</t>
  </si>
  <si>
    <t>4-Methyl-2-nitrophenol</t>
  </si>
  <si>
    <t>Ethane, 1,2-dichloro-1,1,2-trifluoro-, HCFC-123a</t>
  </si>
  <si>
    <t>Ethane, 1,2-dichloro-1,1,2,2-tetrafluoro-, CFC-114</t>
  </si>
  <si>
    <t>4-Methyl-2-methoxyphenol</t>
  </si>
  <si>
    <t>Ethane, 1,2-dibromotetrafluoro-, Halon 2402</t>
  </si>
  <si>
    <t>4-Methyl-2,6-dichlorophenol</t>
  </si>
  <si>
    <t>Ethane, 1,1'-oxybis[2-(difluoromethoxy)-1,1,2,2-tetrafluoro-</t>
  </si>
  <si>
    <t>Ethane, 1,1-difluoro-, HFC-152a</t>
  </si>
  <si>
    <t>4-Isothiazolin-3-one,5-chloro-2-methyl-</t>
  </si>
  <si>
    <t>Ethane, 1,1-dichloro-1,2-difluoro-, HCFC-132c</t>
  </si>
  <si>
    <t>4-Iodophenol</t>
  </si>
  <si>
    <t>Ethane, 1,1,2-trifluoro-, HFC-143</t>
  </si>
  <si>
    <t>Ethane, 1,1,2-trichloro-1,2-difluoro-, HCFC-122a</t>
  </si>
  <si>
    <t>4-Hydroxypyridine</t>
  </si>
  <si>
    <t>Ethane, 1,1,2,2-tetrafluoro-1-methoxy-2-(1,1,2,2-tetrafluoro-2-methoxyethoxy)-</t>
  </si>
  <si>
    <t>4-Hydroxy-4-methyl-2-pentanone</t>
  </si>
  <si>
    <t>Ethane, 1,1,2,2-tetrafluoro-1,2-dimethoxy-</t>
  </si>
  <si>
    <t>Ethane, 1,1,2,2-tetrafluoro-1-(fluoromethoxy)-</t>
  </si>
  <si>
    <t>Ethane, 1,1,2,2-tetrafluoro-, HFC-134</t>
  </si>
  <si>
    <t>4-Hydroxy-3-methoxybenzoic acid</t>
  </si>
  <si>
    <t>Ethane, 1,1,1-trifluoro-2-bromo-</t>
  </si>
  <si>
    <t>4-Formylpyridine</t>
  </si>
  <si>
    <t>Ethane, 1,1,1-trifluoro-, HFC-143a</t>
  </si>
  <si>
    <t>4-Fluoronitrobenzene</t>
  </si>
  <si>
    <t>Ethane, 1,1,1,2-tetrafluoro-2-bromo-, Halon 2401</t>
  </si>
  <si>
    <t>4-Fluoroaniline</t>
  </si>
  <si>
    <t>4-Ethylpyridine</t>
  </si>
  <si>
    <t>Ethane, 1-(difluoromethoxy)-1,1,2,2-tetrafluoro-</t>
  </si>
  <si>
    <t>Ethane</t>
  </si>
  <si>
    <t>4-Ethylnitrobenzene</t>
  </si>
  <si>
    <t>4-Ethylbenzyl alcohol</t>
  </si>
  <si>
    <t>4-Dimethylaminopyridine</t>
  </si>
  <si>
    <t>4-Decylaniline</t>
  </si>
  <si>
    <t>EPTE-furan</t>
  </si>
  <si>
    <t>4-Cyanopyridine</t>
  </si>
  <si>
    <t>4-Chlororesorcinol</t>
  </si>
  <si>
    <t>4-Chlorophenyl phenyl ether</t>
  </si>
  <si>
    <t>4-Chlorophenyl benzenesulfonate</t>
  </si>
  <si>
    <t>4-Chlorobenzaldehyde</t>
  </si>
  <si>
    <t>4-Chloroanisole</t>
  </si>
  <si>
    <t>4-Chloro-3,5-dimethyl phenol</t>
  </si>
  <si>
    <t>4-Chloro-2-nitroaniline</t>
  </si>
  <si>
    <t>4-Chloro-2-methyl-1-nitro-benzene</t>
  </si>
  <si>
    <t>4-Chlorcatechol</t>
  </si>
  <si>
    <t>4-Bromophenyl phenyl ether</t>
  </si>
  <si>
    <t>4-Bromobenzonitrile</t>
  </si>
  <si>
    <t>Dodecane</t>
  </si>
  <si>
    <t>4-Bromo-1-nitrobenzene</t>
  </si>
  <si>
    <t>4-Benzylpyridine</t>
  </si>
  <si>
    <t>4-Benzoylpyridine</t>
  </si>
  <si>
    <t>4-Aminoquinoline-1-oxide</t>
  </si>
  <si>
    <t>4-Aminopyridine</t>
  </si>
  <si>
    <t>4-Aminodiphenylamine</t>
  </si>
  <si>
    <t>4-Aminoazobenzene</t>
  </si>
  <si>
    <t>4-Aminoacetophenone</t>
  </si>
  <si>
    <t>4-Acetylpyridine</t>
  </si>
  <si>
    <t>4,6-Dichloro-o-cresol</t>
  </si>
  <si>
    <t>4,5-Dithiaoctane</t>
  </si>
  <si>
    <t>4,5-Dichloro-2-octyl-3(2H)-isothiazolone</t>
  </si>
  <si>
    <t>4,5-Dichloro-2-methoxyphenol</t>
  </si>
  <si>
    <t>4,5,6-Trichloroguaiacol</t>
  </si>
  <si>
    <t>4,4'-Methylenebisbenzeneamine</t>
  </si>
  <si>
    <t>4,4-Dimethyloxazolidine</t>
  </si>
  <si>
    <t>4,4'-Biphenol</t>
  </si>
  <si>
    <t>Dinitrogen monoxide</t>
  </si>
  <si>
    <t>4-(Tert-butyl)pyridine</t>
  </si>
  <si>
    <t>4-(Isopropylamino) diphenylamine</t>
  </si>
  <si>
    <t>4(1h)-Pyrimidinone, 6-methyl-2-(1-methylethyl)-</t>
  </si>
  <si>
    <t>3-Trifluoromethylaniline</t>
  </si>
  <si>
    <t>3-Pyridinepropanol</t>
  </si>
  <si>
    <t>3-Pyridinemethanol</t>
  </si>
  <si>
    <t>3-Pyridinecarboxamide, n-[(phenylamino)carbonyl]</t>
  </si>
  <si>
    <t>Dimethyl ether</t>
  </si>
  <si>
    <t>3-Phenylpyridine</t>
  </si>
  <si>
    <t>Dimethyl carbonate</t>
  </si>
  <si>
    <t>3-Phenyl-n-butyric acid</t>
  </si>
  <si>
    <t>3-Phenoxybenzaldehyde</t>
  </si>
  <si>
    <t>3-Pentanone</t>
  </si>
  <si>
    <t>Carbon dioxide, to soil or biomass stock</t>
  </si>
  <si>
    <t>3-Pentanol</t>
  </si>
  <si>
    <t>3-Octanone</t>
  </si>
  <si>
    <t>3-Nitrophenol</t>
  </si>
  <si>
    <t>3-Nitro-o-toluidine</t>
  </si>
  <si>
    <t>3-Nitrobenzenesulfonic acid sodium</t>
  </si>
  <si>
    <t>3-Nitroaniline</t>
  </si>
  <si>
    <t>3-Nitro-4-toluidine</t>
  </si>
  <si>
    <t>3-Methylpyridine</t>
  </si>
  <si>
    <t>3-Methylindole</t>
  </si>
  <si>
    <t>3-Methyl-dimethyl para-oxon</t>
  </si>
  <si>
    <t>3-Methylbenzenethiol</t>
  </si>
  <si>
    <t>3-Methyl-4-nitrophenol</t>
  </si>
  <si>
    <t>3-Methyl-3-pentanol</t>
  </si>
  <si>
    <t>3-Methyl-3-buten-1-ol</t>
  </si>
  <si>
    <t>3-Methyl-2-nitrophenol</t>
  </si>
  <si>
    <t>3-Methyl-2-butanamine</t>
  </si>
  <si>
    <t>3-Methyl-1-butanol</t>
  </si>
  <si>
    <t>3-Me-4'-no2-diphenyl ether</t>
  </si>
  <si>
    <t>3-i-pr-5-Mephenyl-n-me carbamate</t>
  </si>
  <si>
    <t>3-Indolebutyric acid</t>
  </si>
  <si>
    <t>3-Hydroxypyridine</t>
  </si>
  <si>
    <t>3-Hydroxymethylfuran</t>
  </si>
  <si>
    <t>3-Hydroxyflavone</t>
  </si>
  <si>
    <t>3-Hexen-1-ol, (z)-</t>
  </si>
  <si>
    <t>3-Hexanol</t>
  </si>
  <si>
    <t>3-Formylpyridine</t>
  </si>
  <si>
    <t>3-Ethyl-5-methylphenol</t>
  </si>
  <si>
    <t>3-Cyanopyridine</t>
  </si>
  <si>
    <t>3-Cyano-1-nitrobenzene</t>
  </si>
  <si>
    <t>3-Chloropyridine</t>
  </si>
  <si>
    <t>3-Chloropropionic acid</t>
  </si>
  <si>
    <t>3-Chlorophenol</t>
  </si>
  <si>
    <t>3-Chloro-nitrobenzene</t>
  </si>
  <si>
    <t>Decane, 3,3,4,4,6,6,7,7,9,9,10,10-dodecafluoro-2,5,8,11-tetraoxado-</t>
  </si>
  <si>
    <t>Decane, 1,1,3,3,5,5,7,7,9,9-decafluoro-2,4,6,8-tetraoxanonane-</t>
  </si>
  <si>
    <t>Decane, 1,1,3,3,5,5,7,7,8,8,10,10-dodecafluoro-2,4,6,9-tetraoxa-</t>
  </si>
  <si>
    <t>3-Chloro-dimethyl parathion</t>
  </si>
  <si>
    <t>Decane, 1,1,3,3,4,4,6,6,7,7,9,9,10,10,12,12-hexadecafluoro-2,5,8,11-tetraoxado-</t>
  </si>
  <si>
    <t>Decane, 1,1,...,15,15-eicosafluoro-2,5,8,11,14-Pentaoxapenta-</t>
  </si>
  <si>
    <t>3-Chloro-4-methylacetanilide</t>
  </si>
  <si>
    <t>3-Chloro-1-propanol</t>
  </si>
  <si>
    <t>3-Butyn-2-one</t>
  </si>
  <si>
    <t>3-Butyn-2-ol</t>
  </si>
  <si>
    <t>3-Butyn-1-ol</t>
  </si>
  <si>
    <t>3-Butenenitrile</t>
  </si>
  <si>
    <t>3-Buten-2-one, 4-(2,6,6-trimethyl-1-cyclohexen-1-yl)-, (e)-</t>
  </si>
  <si>
    <t>3-Buten-2-ol, 2-methyl-</t>
  </si>
  <si>
    <t>3-Bromothiophene</t>
  </si>
  <si>
    <t>3-Bromo-d-camphor</t>
  </si>
  <si>
    <t>3-Bromo-1-propene</t>
  </si>
  <si>
    <t>3-Benzylpyridine</t>
  </si>
  <si>
    <t>3-Aminoquinoline</t>
  </si>
  <si>
    <t>3-Aminopyridine</t>
  </si>
  <si>
    <t>3-Aminobenzoylhydrazine</t>
  </si>
  <si>
    <t>3,6-Dithiaoctane</t>
  </si>
  <si>
    <t>3,6-Diamino-10-methyl-acridinium chloride</t>
  </si>
  <si>
    <t>3,5-Dinitrotoluene</t>
  </si>
  <si>
    <t>3,5-Dinitroaniline</t>
  </si>
  <si>
    <t>3,5-Dimethylphenol</t>
  </si>
  <si>
    <t>3,5-Dimethylaniline</t>
  </si>
  <si>
    <t>3,5-Dimethoxyphenol</t>
  </si>
  <si>
    <t>3,5-Dichloropyridine</t>
  </si>
  <si>
    <t>3,5-Dichlorophenol</t>
  </si>
  <si>
    <t>3,5-Dichloroanisole</t>
  </si>
  <si>
    <t>3,5-Dichloroaniline</t>
  </si>
  <si>
    <t>3,5-Dibromsalicylaldehyd</t>
  </si>
  <si>
    <t>3,5-Bis(tert-butyl)phenol methylcarbamate</t>
  </si>
  <si>
    <t>3,5,6-Trichloro-2-pyridinol</t>
  </si>
  <si>
    <t>3,4-Xylidine</t>
  </si>
  <si>
    <t>3,4-Dinitrotoluene</t>
  </si>
  <si>
    <t>3,4-Dimephenyl n-methylcarbamate</t>
  </si>
  <si>
    <t>3,4-Dichlorotoluene</t>
  </si>
  <si>
    <t>3,4-Dichlorophenol</t>
  </si>
  <si>
    <t>3,4-Dichloronitrobenzene</t>
  </si>
  <si>
    <t>3,4-Dichlorobenzyl methylcarbamate</t>
  </si>
  <si>
    <t>3,4-Dichloro-1-butene</t>
  </si>
  <si>
    <t>Cis-perfluorodecalin</t>
  </si>
  <si>
    <t>3,4,5-Tricl-2,6-meo phenol</t>
  </si>
  <si>
    <t>3,4,5-Trichlorophenol</t>
  </si>
  <si>
    <t>3,4,5-Trichlorocatechol</t>
  </si>
  <si>
    <t>3,4,5-Trichloro-2-methoxyphenol</t>
  </si>
  <si>
    <t>3,3-Dimethyl-2-butanone</t>
  </si>
  <si>
    <t>3,3-Dimethyl-2-butanol</t>
  </si>
  <si>
    <t>3,3',4,4'-Tetrachlorobiphenyl ether</t>
  </si>
  <si>
    <t>3-(Diethylamino)benzenesulfonic acid, sodium sal</t>
  </si>
  <si>
    <t>3(2h)-Pyridazinone, 4,5-dichloro-2-phenyl-</t>
  </si>
  <si>
    <t>3(2h)-Isothiazolone,2-methyl-</t>
  </si>
  <si>
    <t>2-Tridecanone</t>
  </si>
  <si>
    <t>2-Pyridinemethanol, 6-[2-(5-nitro-2-furanyl)ethe</t>
  </si>
  <si>
    <t>2-Pyridinemethanol</t>
  </si>
  <si>
    <t>2-Pyridineethanol</t>
  </si>
  <si>
    <t>2-Pyridinecarboxyaldehyde</t>
  </si>
  <si>
    <t>2-Pyridinamine, 5-nitro-</t>
  </si>
  <si>
    <t>2-Propynoic acid</t>
  </si>
  <si>
    <t>2-Propenoic acid, hexyl ester</t>
  </si>
  <si>
    <t>2-Propenoic acid, 2-(dimethylamino)ethyl ester</t>
  </si>
  <si>
    <t>2-Propenoic acid, 1,1-dimethylethyl ester</t>
  </si>
  <si>
    <t>2-Propene-1-sulfonic acid, sodium salt</t>
  </si>
  <si>
    <t>2-Propanol, 1-chloro-, phosphate (3:1)</t>
  </si>
  <si>
    <t>2-Propanol, 1,1'-oxybis-</t>
  </si>
  <si>
    <t>2-Phenylpyridine</t>
  </si>
  <si>
    <t>2-Phenylethanol</t>
  </si>
  <si>
    <t>2-Phenoxyethanol</t>
  </si>
  <si>
    <t>2-Pentanone</t>
  </si>
  <si>
    <t>Carbon monoxide, fossil</t>
  </si>
  <si>
    <t>2-Pentanamine, 2,4,4-trimethyl-</t>
  </si>
  <si>
    <t>Carbon monoxide</t>
  </si>
  <si>
    <t>Carbon dioxide, land transformation</t>
  </si>
  <si>
    <t>Carbon dioxide, fossil</t>
  </si>
  <si>
    <t>2-Pentadecanone, 6,10,14-trimethyl-</t>
  </si>
  <si>
    <t>Carbon dioxide</t>
  </si>
  <si>
    <t>2-Octanone</t>
  </si>
  <si>
    <t>2-Octanol</t>
  </si>
  <si>
    <t>2-Nonynoic acid</t>
  </si>
  <si>
    <t>2-Nonanone</t>
  </si>
  <si>
    <t>2-n-Octyl-4-isothiazolin-3-one</t>
  </si>
  <si>
    <t>2-Nitro-p-toluidine</t>
  </si>
  <si>
    <t>2-Nitrophenol</t>
  </si>
  <si>
    <t>2-Naphthol</t>
  </si>
  <si>
    <t>2-Naphthalenesulfonic acid, sodium salt</t>
  </si>
  <si>
    <t>2-Naphthalenamine, 1-(phenylazo)-</t>
  </si>
  <si>
    <t>2-Methylquinoline</t>
  </si>
  <si>
    <t>2-Methylpentaldehyde</t>
  </si>
  <si>
    <t>2-Methyllactonitrile</t>
  </si>
  <si>
    <t>2-Methylfuran</t>
  </si>
  <si>
    <t>2-Methylcyclohexanone</t>
  </si>
  <si>
    <t>2-Methylbutanal</t>
  </si>
  <si>
    <t>2-Methylanthracene</t>
  </si>
  <si>
    <t>2-Methyl-6-nitrobenzeneamine</t>
  </si>
  <si>
    <t>2-Methyl-6-chlorophenol</t>
  </si>
  <si>
    <t>2-Methyl-4-chlorophenol</t>
  </si>
  <si>
    <t>2-Methyl-3-butyn-2-ol</t>
  </si>
  <si>
    <t>2-Methyl-2-butanol</t>
  </si>
  <si>
    <t>2-Methyl-2,4-pentanediol</t>
  </si>
  <si>
    <t>2-Methyl-1-propanol</t>
  </si>
  <si>
    <t>2-Methyl-1,4-naphthoquinone</t>
  </si>
  <si>
    <t>2-Methoxyethyl acetate</t>
  </si>
  <si>
    <t>2-Iodobutane</t>
  </si>
  <si>
    <t>2-Imidazolidinone, 4,5-dihydroxy-1,3-bis(hydroxymethyl)-</t>
  </si>
  <si>
    <t>2-Hydroxypyridine</t>
  </si>
  <si>
    <t>2-Hydroxypropyl acrylate</t>
  </si>
  <si>
    <t>2-Hydroxy-propionic acid isopropyl ester</t>
  </si>
  <si>
    <t>2-Hydroxypropanenitrile</t>
  </si>
  <si>
    <t>Butanol, 3-methyl-2-</t>
  </si>
  <si>
    <t>Butanol, 2-methyl-1-</t>
  </si>
  <si>
    <t>Butanol, 2,2,3,4,4,4-hexafluoro-1-</t>
  </si>
  <si>
    <t>Butanol, 2,2,3,3,4,4,4-heptafluoro-1-</t>
  </si>
  <si>
    <t>Butanol, 2,2,3,3,4,4,4-heptafluoro-</t>
  </si>
  <si>
    <t>2-Hydroxyethyl methacrylate</t>
  </si>
  <si>
    <t>2-Hydroxyanthraquinone</t>
  </si>
  <si>
    <t>2-Hydroxy-4-methoxy-acetophenon</t>
  </si>
  <si>
    <t>Butane, perfluorocyclo-, PFC-318</t>
  </si>
  <si>
    <t>2-Hexanone</t>
  </si>
  <si>
    <t>Butane, perfluoro-</t>
  </si>
  <si>
    <t>Butane, 2,3-dimethyl-</t>
  </si>
  <si>
    <t>Butane, 2,2-dimethyl-</t>
  </si>
  <si>
    <t>2-Hexanol</t>
  </si>
  <si>
    <t>2-Heptanone, 6-methyl-</t>
  </si>
  <si>
    <t>2-Heptanone</t>
  </si>
  <si>
    <t>Butane, 1,1,1,3,3-pentafluoro-, HFC-365mfc</t>
  </si>
  <si>
    <t>Butane, 1,1,1,2,2,3,3,4,4-nonafluoro-, HFC-329p</t>
  </si>
  <si>
    <t>Butane</t>
  </si>
  <si>
    <t>2-Heptadecyl-2-imidazoline acetate</t>
  </si>
  <si>
    <t>2h-3,1-Benzoxazine-2,4(1h)-dione</t>
  </si>
  <si>
    <t>2-Furaldehyde, 5-hydroxymethyl-</t>
  </si>
  <si>
    <t>2-Ethylpyridine</t>
  </si>
  <si>
    <t>2-Ethylhexylamine</t>
  </si>
  <si>
    <t>2-Ethylhexyl diphenyl phosphate</t>
  </si>
  <si>
    <t>2-Ethylhexyl acrylate</t>
  </si>
  <si>
    <t>2-Ethylhexanal</t>
  </si>
  <si>
    <t>2-Ethylbutyric acid</t>
  </si>
  <si>
    <t>2-Ethyl-2-hexenal</t>
  </si>
  <si>
    <t>2-Ethyl-1,3-hexandiol</t>
  </si>
  <si>
    <t>2-Ethoxyethyl methacrylate</t>
  </si>
  <si>
    <t>2-Ethoxyethyl acetate</t>
  </si>
  <si>
    <t>2-Dimethylaminopyridine</t>
  </si>
  <si>
    <t>2-Dibutylaminoethanol</t>
  </si>
  <si>
    <t>2-Decanone</t>
  </si>
  <si>
    <t>2-Cyclohexen-1-one, 2,5,6-trimethyl-</t>
  </si>
  <si>
    <t>2-Cyanopyridine</t>
  </si>
  <si>
    <t>2-Chloropyridine</t>
  </si>
  <si>
    <t>2-Chloro-n,n-diallylacetamide</t>
  </si>
  <si>
    <t>2-Chloroethyl vinyl ether</t>
  </si>
  <si>
    <t>2-Chloroethanol</t>
  </si>
  <si>
    <t>2-Chlorobenzaldehyde</t>
  </si>
  <si>
    <t>2-Chloroaniline</t>
  </si>
  <si>
    <t>2-Chloro-4-nitrotoluene</t>
  </si>
  <si>
    <t>2-Chloro-4-nitroaniline</t>
  </si>
  <si>
    <t>2-Chloro-4,6-diamino-s-triazine</t>
  </si>
  <si>
    <t>2-Butyne-1,4-diol</t>
  </si>
  <si>
    <t>2-Butyn-1-ol</t>
  </si>
  <si>
    <t>2-Butoxyethanol acetate</t>
  </si>
  <si>
    <t>2-Butenedioic acid (e)-, diethyl ester</t>
  </si>
  <si>
    <t>2-Butenedioic acid (e)-, dibutyl ester</t>
  </si>
  <si>
    <t>2-Butenal, 3-methyl-</t>
  </si>
  <si>
    <t>2-Butenal</t>
  </si>
  <si>
    <t>2-Buten-1-ol, 3-methyl-</t>
  </si>
  <si>
    <t>2-Butanone, 3-methyl-</t>
  </si>
  <si>
    <t>2-Butanol</t>
  </si>
  <si>
    <t>2-Benzylpyridine</t>
  </si>
  <si>
    <t>2-Aminopyridine</t>
  </si>
  <si>
    <t>2-Aminobenzimidazole</t>
  </si>
  <si>
    <t>2-Amino-5-methylbenzenesulfonic acid</t>
  </si>
  <si>
    <t>2-Amino-4,7(3h,8h)-pteridinedione</t>
  </si>
  <si>
    <t>2-Amino-4,6-dinitrophenol</t>
  </si>
  <si>
    <t>2-Amino-3-chloro-1,4-naphthoquinone</t>
  </si>
  <si>
    <t>2-Amino-2-methyl-1-propanol</t>
  </si>
  <si>
    <t>2-Amino-1,3,4-thiadiazole</t>
  </si>
  <si>
    <t>2-Allyl-4-chloro-phenol</t>
  </si>
  <si>
    <t>Benzene, 3,5-dimethylethyl-</t>
  </si>
  <si>
    <t>2,7-Naphthalenediol</t>
  </si>
  <si>
    <t>2,6-Naphthalenediol</t>
  </si>
  <si>
    <t>2,6-Diphenylpyridine</t>
  </si>
  <si>
    <t>2,6-Dinitrophenol</t>
  </si>
  <si>
    <t>2,6-Dinitroaniline</t>
  </si>
  <si>
    <t>2,6-Dimethylquinoline</t>
  </si>
  <si>
    <t>2,6-Dimethylnaphthalene</t>
  </si>
  <si>
    <t>2,6-Dichlorophenol</t>
  </si>
  <si>
    <t>2,6-Dichlorobenzoic acid</t>
  </si>
  <si>
    <t>2,6-Dichlorobenzamide</t>
  </si>
  <si>
    <t>2,6-Dichloroaniline</t>
  </si>
  <si>
    <t>2,5-Thiophenyl-thiophene</t>
  </si>
  <si>
    <t>2,5-Dinitrotoluene</t>
  </si>
  <si>
    <t>2,5-Dinitrophenol</t>
  </si>
  <si>
    <t>2,5-Dimethyl-2,4-hexadiene</t>
  </si>
  <si>
    <t>2,5-Dichlorophenol</t>
  </si>
  <si>
    <t>Benzene, 1,2,3-trimethyl-</t>
  </si>
  <si>
    <t>2,5-Dichloronitrobenzene</t>
  </si>
  <si>
    <t>2,5-Dichloroaniline</t>
  </si>
  <si>
    <t>2,5-Diaminotoluene</t>
  </si>
  <si>
    <t>2,5-Cyclohexadiene-1,4-dione, 2,3,5-trimethyl-</t>
  </si>
  <si>
    <t>2,4-Pentanedione</t>
  </si>
  <si>
    <t>2,4-Pentadienenitrile</t>
  </si>
  <si>
    <t>2,4-Imidazolidinedione, 5,5-dimethyl-</t>
  </si>
  <si>
    <t>2,4-Hexadiene</t>
  </si>
  <si>
    <t>2,4-DP, Isooctyl ester</t>
  </si>
  <si>
    <t>2,4-Dinitroaniline</t>
  </si>
  <si>
    <t>2,4-Dinitro-5-methylphenol</t>
  </si>
  <si>
    <t>2,4-Dimethylaniline</t>
  </si>
  <si>
    <t>2,4-Dimethyl-3-pentanol</t>
  </si>
  <si>
    <t>2,4-Dimethoxybenzaldehyd</t>
  </si>
  <si>
    <t>2,4-Dimethoxy-6-hydroxy-benzaldehyd</t>
  </si>
  <si>
    <t>2,4-Dichloronitrobenzene</t>
  </si>
  <si>
    <t>2,4-Dichlorodiphenyl ether</t>
  </si>
  <si>
    <t>2,4'-Dichlorobiphenyl</t>
  </si>
  <si>
    <t>2,4-Dichlorobenzaldehyde</t>
  </si>
  <si>
    <t>2,4-Dichloroaniline</t>
  </si>
  <si>
    <t>2,4'-Dichloroacetophenone</t>
  </si>
  <si>
    <t>2,4-Dichloro-6-nitrophenol</t>
  </si>
  <si>
    <t>2,4-Diaminoazobenzene</t>
  </si>
  <si>
    <t>2,4-D, isopropylamine salt</t>
  </si>
  <si>
    <t>2,4-D, dimethylamine salt</t>
  </si>
  <si>
    <t>2,4-D, diethanolamine salt</t>
  </si>
  <si>
    <t>2,4-D, Butoxypropyl ester</t>
  </si>
  <si>
    <t>2,4-D sodium salt</t>
  </si>
  <si>
    <t>2,4-D Propylene glycol butyl ether ester</t>
  </si>
  <si>
    <t>2,4-D ethyl ester</t>
  </si>
  <si>
    <t>2,4-D Butoxyethyl ester</t>
  </si>
  <si>
    <t>2,4-D 2-Ethylhexyl ester</t>
  </si>
  <si>
    <t>2,4,6-Trinitroresorcinol</t>
  </si>
  <si>
    <t>2,4,6-Trimethylphenol</t>
  </si>
  <si>
    <t>2,4,6-Triiodophenol</t>
  </si>
  <si>
    <t>2,4,6-Trichloroanisole</t>
  </si>
  <si>
    <t>2,4,6-Trichloro-3-methylphenol</t>
  </si>
  <si>
    <t>2,4,6-Tribromophenol</t>
  </si>
  <si>
    <t>2,4,5-Trichloroaniline</t>
  </si>
  <si>
    <t>Ammonium, ion</t>
  </si>
  <si>
    <t>2,4,5-Tribromoimidazole</t>
  </si>
  <si>
    <t>Ammonia, UA</t>
  </si>
  <si>
    <t>Ammonia, SK</t>
  </si>
  <si>
    <t>2,4,5-t, n-Butyl ester</t>
  </si>
  <si>
    <t>Ammonia, SI</t>
  </si>
  <si>
    <t>2,4,5-t, Isopropyl ester</t>
  </si>
  <si>
    <t>Ammonia, SE</t>
  </si>
  <si>
    <t>Ammonia, RU</t>
  </si>
  <si>
    <t>2,4,5-t, Isooctyl ester</t>
  </si>
  <si>
    <t>Ammonia, RO</t>
  </si>
  <si>
    <t>2,4,5-t, Butoxyethyl ester</t>
  </si>
  <si>
    <t>Ammonia, PT</t>
  </si>
  <si>
    <t>Ammonia, PL</t>
  </si>
  <si>
    <t>Ammonia, NO</t>
  </si>
  <si>
    <t>Ammonia, NL</t>
  </si>
  <si>
    <t>2,4,5,2',5'-Pentachlorobiphenyl</t>
  </si>
  <si>
    <t>Ammonia, MK</t>
  </si>
  <si>
    <t>Ammonia, MD</t>
  </si>
  <si>
    <t>2,3-Naphthalenediamine</t>
  </si>
  <si>
    <t>Ammonia, LV</t>
  </si>
  <si>
    <t>2,3-Dinitrotoluene</t>
  </si>
  <si>
    <t>Ammonia, LU</t>
  </si>
  <si>
    <t>Ammonia, LT</t>
  </si>
  <si>
    <t>2,3-Dimethylphenol</t>
  </si>
  <si>
    <t>Ammonia, IT</t>
  </si>
  <si>
    <t>Ammonia, IE</t>
  </si>
  <si>
    <t>2,3-Dimethylnaphthalene</t>
  </si>
  <si>
    <t>Ammonia, HU</t>
  </si>
  <si>
    <t>2,3-Dimethylaniline</t>
  </si>
  <si>
    <t>Ammonia, HR</t>
  </si>
  <si>
    <t>Ammonia, GR</t>
  </si>
  <si>
    <t>2,3-Dimethyl-1,3-butadiene</t>
  </si>
  <si>
    <t>Ammonia, GB</t>
  </si>
  <si>
    <t>Ammonia, FR</t>
  </si>
  <si>
    <t>2,3-Dihydrobenzofuran</t>
  </si>
  <si>
    <t>Ammonia, FI</t>
  </si>
  <si>
    <t>2,3-Dichlorophenol</t>
  </si>
  <si>
    <t>Ammonia, ES</t>
  </si>
  <si>
    <t>Ammonia, EE</t>
  </si>
  <si>
    <t>2,3-Dichloronitrobenzene</t>
  </si>
  <si>
    <t>Ammonia, DK</t>
  </si>
  <si>
    <t>Ammonia, DE</t>
  </si>
  <si>
    <t>2,3-Dibromo-1-propanol</t>
  </si>
  <si>
    <t>Ammonia, CZ</t>
  </si>
  <si>
    <t>2,3,6-Trimethylphenol</t>
  </si>
  <si>
    <t>Ammonia, CS</t>
  </si>
  <si>
    <t>Ammonia, CH</t>
  </si>
  <si>
    <t>2,3,6-Trichlorophenylacetic acid, sodium salt</t>
  </si>
  <si>
    <t>Ammonia, BY</t>
  </si>
  <si>
    <t>Ammonia, BG</t>
  </si>
  <si>
    <t>2,3,6-Trichlorophenol</t>
  </si>
  <si>
    <t>Ammonia, BE</t>
  </si>
  <si>
    <t>2,3,6-Trichlorobenzoic acid</t>
  </si>
  <si>
    <t>Ammonia, BA</t>
  </si>
  <si>
    <t>Ammonia, AT</t>
  </si>
  <si>
    <t>2,3,6-Trichloroanisole</t>
  </si>
  <si>
    <t>Ammonia, AL</t>
  </si>
  <si>
    <t>Ammonia</t>
  </si>
  <si>
    <t>2,3,5-Trimethylphenol</t>
  </si>
  <si>
    <t>2,3,5-Trimethylnaphthalene</t>
  </si>
  <si>
    <t>2,3,5-Trichlorophenol</t>
  </si>
  <si>
    <t>2,3,5,6-Tetrachlorpyridine</t>
  </si>
  <si>
    <t>alpha-Pinene</t>
  </si>
  <si>
    <t>2,3,5,6-Tetrachlorophenol</t>
  </si>
  <si>
    <t>alpha-Naphthylamine</t>
  </si>
  <si>
    <t>2,3,5,6-Tetrachloronitrobenzene</t>
  </si>
  <si>
    <t>2,3,5,6-Tetrachloroaniline</t>
  </si>
  <si>
    <t>2,3,4-Trimethoxyacetophenone</t>
  </si>
  <si>
    <t>2,3,4-Trichlorophenol</t>
  </si>
  <si>
    <t>2,3,4'-Trichlorobiphenyl</t>
  </si>
  <si>
    <t>2,3,4-Trichloroaniline</t>
  </si>
  <si>
    <t>2,3,4,5-Tetrachlorophenol</t>
  </si>
  <si>
    <t>2,3,4,5-Tetrachloroaniline</t>
  </si>
  <si>
    <t>2,3,4,5,6-Pentafluoroaniline</t>
  </si>
  <si>
    <t>2,3,4,5,6-Pentachlorpyridine</t>
  </si>
  <si>
    <t>2,3',4,4',5-Pentachlorodiphenyl ether</t>
  </si>
  <si>
    <t>2,3,3',4,4'-Pentachlorodiphenylether</t>
  </si>
  <si>
    <t>2,2'-Thiobisethanol</t>
  </si>
  <si>
    <t>2,2-Dimethyl-1-propylamin</t>
  </si>
  <si>
    <t>2,2-Dimethyl propanoic acid</t>
  </si>
  <si>
    <t>2,2-Dimethyl butyric acid</t>
  </si>
  <si>
    <t>2,2-Dibromo-2-cyanoacetamide</t>
  </si>
  <si>
    <t>2,2-Bis(4-hydroxy-3,5-dibromophenyl)propane</t>
  </si>
  <si>
    <t>2,2,5,5-Tetramethyl-tetrahydrofuran</t>
  </si>
  <si>
    <t>2,2,4(or 2,4,4)-Trimethyladipic acid</t>
  </si>
  <si>
    <t>2,2,2-Trichloroethanol</t>
  </si>
  <si>
    <t>2-(Methylamino)ethanol</t>
  </si>
  <si>
    <t>2-(Dimethylamino)ethyl 2-methyl-2-propenoate</t>
  </si>
  <si>
    <t>2-(Chloromethyl)-3-chloro-1-propene</t>
  </si>
  <si>
    <t>2-(Bis(1-methylethyl)amino)ethanol</t>
  </si>
  <si>
    <t>Acetate, trifluoromethyl-</t>
  </si>
  <si>
    <t>Acetate, perfluoropropyl-</t>
  </si>
  <si>
    <t>2-(4-Chloro-2-methylphenoxy)propanoic acid</t>
  </si>
  <si>
    <t>Acetate, perfluoroethyl-</t>
  </si>
  <si>
    <t>Acetate, perfluorobutyl-</t>
  </si>
  <si>
    <t>Acetate, methyl 2,2-difluoro-</t>
  </si>
  <si>
    <t>2(3h)-Benzothiazolethione, sodium salt</t>
  </si>
  <si>
    <t>Acetate, methyl 2,2,2-trifluoro-</t>
  </si>
  <si>
    <t>Acetate, difluoromethyl 2,2,2-trifluoro-</t>
  </si>
  <si>
    <t>Acetate, 2,2,2-trifluoroethyl 2,2,2-trifluoro-</t>
  </si>
  <si>
    <t>2(2-Butoxyethoxy)ethylthiocyanate</t>
  </si>
  <si>
    <t>Acetate, 1,1-difluoroethyl 2,2,2-trifluoro-</t>
  </si>
  <si>
    <t>2-(2-Aminoethylamino)ethanol</t>
  </si>
  <si>
    <t>2-(1-Methylethyl)-4,6-dinitrophenol</t>
  </si>
  <si>
    <t>2-(1,3-Dihydro-3-oxo-2h-indol-2-ylidene)-1,2-di*</t>
  </si>
  <si>
    <t>1-Undecanol</t>
  </si>
  <si>
    <t>1-Tridecanol</t>
  </si>
  <si>
    <t>1-Tridecanamine</t>
  </si>
  <si>
    <t>1-Tetradecanol, hydrogen sulfate, sodium salt</t>
  </si>
  <si>
    <t>1-Tetradecanamine</t>
  </si>
  <si>
    <t>1-Propanone, 1-(4-aminophenyl)-</t>
  </si>
  <si>
    <t>1-Propanol</t>
  </si>
  <si>
    <t>1-Propanethiol</t>
  </si>
  <si>
    <t>1-Piperoyl-(e,e)-piperidine</t>
  </si>
  <si>
    <t>1-Piperidinyloxy, 2,2,6,6-tetramethyl-4-oxo-</t>
  </si>
  <si>
    <t>1-Piperidineethanol, 4-hydroxy-2,2,6,6-tetramethyl-</t>
  </si>
  <si>
    <t>1-Piperazineethanol</t>
  </si>
  <si>
    <t>1-Piperazineethanamine</t>
  </si>
  <si>
    <t>1-Phenyl-3-ethyl thiourea</t>
  </si>
  <si>
    <t>1-Pentanol</t>
  </si>
  <si>
    <t>1-Pentanamine, n,n-dipentyl-</t>
  </si>
  <si>
    <t>1-Octen-3-ol, 3,7-dimethyl-</t>
  </si>
  <si>
    <t>1-Octanol</t>
  </si>
  <si>
    <t>1-Octanamine, n-methyl-n-octyl-</t>
  </si>
  <si>
    <t>1-Octanamine, n,n-dimethyl-</t>
  </si>
  <si>
    <t>1-Octadecanol</t>
  </si>
  <si>
    <t>1-Nonanol</t>
  </si>
  <si>
    <t>1-Nitroso-2-naphthol</t>
  </si>
  <si>
    <t>1-Nitro-4-cyanobenzene</t>
  </si>
  <si>
    <t>1-Naphthol</t>
  </si>
  <si>
    <t>1-Naphthalenemethanol</t>
  </si>
  <si>
    <t>1-Naphthalenecarbonitrile</t>
  </si>
  <si>
    <t>1-Naphthalenamine, n-ethyl-</t>
  </si>
  <si>
    <t>1-Methyl-pyrrolidine</t>
  </si>
  <si>
    <t>1-Iodohexadecane</t>
  </si>
  <si>
    <t>1-Hydroxy-2(1h)-pyridinethione sodium salt</t>
  </si>
  <si>
    <t>1-Hydroxy-1,1-diphosphonoethane</t>
  </si>
  <si>
    <t>1h-Purin-6-amine, n-(phenylmethyl)-</t>
  </si>
  <si>
    <t>1h-Isoindole-1,3(2h)-dione, 2-(cyclohexylthio)-</t>
  </si>
  <si>
    <t>1h-Indole-3-propanoic acid</t>
  </si>
  <si>
    <t>1h-Indazole, 5-nitro-</t>
  </si>
  <si>
    <t>1h-Indazol-5-amine</t>
  </si>
  <si>
    <t>1h-Imidazole-5-carboxylic acid, 1-(1-phenylethyl</t>
  </si>
  <si>
    <t>1h-Imidazole, 4-methyl-</t>
  </si>
  <si>
    <t>1h-Imidazole, 1-(phenylmethyl)-</t>
  </si>
  <si>
    <t>1-Hexene</t>
  </si>
  <si>
    <t>1-Hexen-3-ol</t>
  </si>
  <si>
    <t>1-Hexanol, 3,5,5-trimethyl-</t>
  </si>
  <si>
    <t>1-Hexanol</t>
  </si>
  <si>
    <t>1-Hexanamine, n-hexyl-</t>
  </si>
  <si>
    <t>1-Hexadecanol, hydrogen sulfate, sodium salt</t>
  </si>
  <si>
    <t>1-Hexadecanamine, n,n-dimethyl-</t>
  </si>
  <si>
    <t>1-Heptene</t>
  </si>
  <si>
    <t>1-Heptanol, 6-methyl-</t>
  </si>
  <si>
    <t>1-Heptanol</t>
  </si>
  <si>
    <t>1-Heptadecanamine</t>
  </si>
  <si>
    <t>1-Ethynyl cyclohexanol</t>
  </si>
  <si>
    <t>1-Ethoxy-naphthalin</t>
  </si>
  <si>
    <t>1-Decanol</t>
  </si>
  <si>
    <t>1-Chloronaphthalene</t>
  </si>
  <si>
    <t>1-Chlorododecane</t>
  </si>
  <si>
    <t>1-Chloro-3-bromopropane</t>
  </si>
  <si>
    <t>3-Hexanone</t>
  </si>
  <si>
    <t>1-Chloro-2-nitro-propane</t>
  </si>
  <si>
    <t>1-Butanol</t>
  </si>
  <si>
    <t>1-Bromopropane</t>
  </si>
  <si>
    <t>1-Bromooctane</t>
  </si>
  <si>
    <t>1-Bromo-n-nonane</t>
  </si>
  <si>
    <t>1-Bromohexane</t>
  </si>
  <si>
    <t>1-Bromoheptane</t>
  </si>
  <si>
    <t>1-Bromodecane</t>
  </si>
  <si>
    <t>1-Bromobutane</t>
  </si>
  <si>
    <t>1-Bromo-3-chloro-5,5-dimethylhydantion</t>
  </si>
  <si>
    <t>1-Amino-2-propanol</t>
  </si>
  <si>
    <t>1,9-Decadiene</t>
  </si>
  <si>
    <t>1,8-Naphthalenediamine</t>
  </si>
  <si>
    <t>1,6-Hexanediol</t>
  </si>
  <si>
    <t>1,6-Hexanediamine, n,n,n',n'-tetramethyl-</t>
  </si>
  <si>
    <t>1,6-Hexanediamine, c,c,c-trimethyl-</t>
  </si>
  <si>
    <t>1,5-Pentanediol</t>
  </si>
  <si>
    <t>1,5-Hexadien-3-ol</t>
  </si>
  <si>
    <t>1,5-Dimethylnaphthalene</t>
  </si>
  <si>
    <t>1,5-Dichloropentane</t>
  </si>
  <si>
    <t>1,5,9-Cyclododecatriene</t>
  </si>
  <si>
    <t>1,4-Piperazinedipropanamine</t>
  </si>
  <si>
    <t>1,4-Pentadien-3-ol, 3-methyl-1-(2,6,6-trimethyl-1-cyclohexen-1-yl)-</t>
  </si>
  <si>
    <t>1,4-Naphthoquinone</t>
  </si>
  <si>
    <t>1,4-Naphthalenedione, 5-hydroxy-2-methyl-</t>
  </si>
  <si>
    <t>1,4-Dithiothreitol</t>
  </si>
  <si>
    <t>1,4-Dithiane</t>
  </si>
  <si>
    <t>2-Pentene (trans)</t>
  </si>
  <si>
    <t>2-Pentene (cis)</t>
  </si>
  <si>
    <t>1,4-Dimethylcyclohexane</t>
  </si>
  <si>
    <t>1,4-Dihydroxy-9,10-anthracenedione</t>
  </si>
  <si>
    <t>1,4-Dichlorobutane</t>
  </si>
  <si>
    <t>1,4-Diazabicyclo(2,2,2)octane (dabco)</t>
  </si>
  <si>
    <t>1,4-Butanediol</t>
  </si>
  <si>
    <t>1,4-Benzodioxan</t>
  </si>
  <si>
    <t>1,4-Benzenediol, 2,3,5-trimethyl-</t>
  </si>
  <si>
    <t>1,4-Benzenedicarbonyl dichloride</t>
  </si>
  <si>
    <t>2-Methyl-2,4-Pentanediol</t>
  </si>
  <si>
    <t>1,4-Benzenediamine, n-(1,3-dimethylbutyl)-n'-phenyl-</t>
  </si>
  <si>
    <t>1,4-Benzenediamine, 2-methyl-</t>
  </si>
  <si>
    <t>1,3-Propanediol, 2-hydroxymethyl-2-nitro-</t>
  </si>
  <si>
    <t>1,3-Propanediol, 2-bromo-2-nitro-</t>
  </si>
  <si>
    <t>1,3-Propanediol, 2,2-dimethyl-</t>
  </si>
  <si>
    <t>1,3-Propanediol</t>
  </si>
  <si>
    <t>2-Hexene (trans)</t>
  </si>
  <si>
    <t>2-Hexene (cis)</t>
  </si>
  <si>
    <t>1,3-Propanediamine, n-9-octadecenyl-, (z)-</t>
  </si>
  <si>
    <t>1,3-Propanediamine, n,n-dimethyl-</t>
  </si>
  <si>
    <t>1,3-Propanediamine, n,n,n',n'-tetramethyl-</t>
  </si>
  <si>
    <t>1,3-Propanediamine</t>
  </si>
  <si>
    <t>1,3-Isobenzofurandione, hexahydro-</t>
  </si>
  <si>
    <t>1,3-Isobenzofurandione, 3a,4,7,7a-tetrahydro-</t>
  </si>
  <si>
    <t>1,3-Dioxepane</t>
  </si>
  <si>
    <t>1,3-Dioxalane</t>
  </si>
  <si>
    <t>1,3-Dimethylnapthalene</t>
  </si>
  <si>
    <t>1,3-Dimethoxy-2-methylbenzene</t>
  </si>
  <si>
    <t>1,3-Dicyanobenzene</t>
  </si>
  <si>
    <t>1,3-Dichloropropane</t>
  </si>
  <si>
    <t>1,3-Dichloro-2-propanol</t>
  </si>
  <si>
    <t>2-Butene, 2-methyl-</t>
  </si>
  <si>
    <t>1,3-Dibromopropane</t>
  </si>
  <si>
    <t>2-Butene (trans)</t>
  </si>
  <si>
    <t>2-Butene</t>
  </si>
  <si>
    <t>1,3-Butanedione, 1-phenyl-</t>
  </si>
  <si>
    <t>1,3-Benzenediol, 4,6-dichloro-</t>
  </si>
  <si>
    <t>1,3-Benzenediol, 2,4,6-trinitro-, lead(2+) salt (1:1)</t>
  </si>
  <si>
    <t>1,3,5-Trioxane</t>
  </si>
  <si>
    <t>1,2-Naphthalenedione</t>
  </si>
  <si>
    <t>1,2-Ethanediol, monoacetate</t>
  </si>
  <si>
    <t>1,2-Dimethylcyclohexane (trans)</t>
  </si>
  <si>
    <t>1,2-Dimethylcyclohexane (cis)</t>
  </si>
  <si>
    <t>1,2-Dimethylcyclohexane</t>
  </si>
  <si>
    <t>1,2-Dimethyl-4-nitrobenzene</t>
  </si>
  <si>
    <t>1,2-Dimethyl-3-nitrobenzene</t>
  </si>
  <si>
    <t>1,2-Dimethyl-3,5-diphenyl-1H-pyrazolium</t>
  </si>
  <si>
    <t>1,2-Dihydronaphthalene</t>
  </si>
  <si>
    <t>1,2-Dicyanobenzene</t>
  </si>
  <si>
    <t>1,2-Dichloropropane &amp; 1,3-dichloropropene</t>
  </si>
  <si>
    <t>1,2-Dichlorocyclohexane -trans</t>
  </si>
  <si>
    <t>1,2-Dibenzoyl-1-tert-butylhydrazine</t>
  </si>
  <si>
    <t>1,2-Diaminopropane</t>
  </si>
  <si>
    <t>1,2-Bis((2,2,6,6-tetramethyl-piperidin-4-yl)aminoethyl)ethane</t>
  </si>
  <si>
    <t>1,2-Benzisothiazolin-3-one</t>
  </si>
  <si>
    <t>1,2-Benzenedicarboxylic acid, mixed decyl and lauryl and octyl diesters</t>
  </si>
  <si>
    <t>1,2-Benzenedicarboxylic acid, heptyl nonyl ester, branched and linear</t>
  </si>
  <si>
    <t>1,2-Benzenedicarboxylic acid, di-c9-11-branched and linear alkyl esters</t>
  </si>
  <si>
    <t>1,2-Benzenedicarboxylic acid, di-c9-11-branched alkyl esters, c10-rich</t>
  </si>
  <si>
    <t>2,4-d, Butoxypropyl ester</t>
  </si>
  <si>
    <t>1,2-Benzenedicarboxylic acid, di-c8-10-alkyl esters</t>
  </si>
  <si>
    <t>1,2-Benzenedicarboxylic acid, di-c6-10-alkyl esters</t>
  </si>
  <si>
    <t>1,2-Benzenedicarboxylic acid, di-c11-14-branched alkyl esters, c13-rich</t>
  </si>
  <si>
    <t>2,4-D 2-ethylhexyl ester</t>
  </si>
  <si>
    <t>1,2,6-Hexanetriol</t>
  </si>
  <si>
    <t>1,2,4-Triazin-3-amine, 5,6-dimethyl-</t>
  </si>
  <si>
    <t>1,2,4-Butanetricarboxylic acid, 2-phosphono-</t>
  </si>
  <si>
    <t>1,2,4-Benzenetricarboxylic acid, decyl octyl ester</t>
  </si>
  <si>
    <t>1,2,4,5-Tetramethylbenzene</t>
  </si>
  <si>
    <t>1,2,3-Trichloro-4-methoxybenzene</t>
  </si>
  <si>
    <t>1,2,3,7,8-Pentachlorodibenzo-p-dioxin</t>
  </si>
  <si>
    <t>1,2,3,6,7,8-Hexachlorodibenzo-p-dioxin</t>
  </si>
  <si>
    <t>1,2,3,4,7,7-Hexachloro-2,5-norbornadiene</t>
  </si>
  <si>
    <t>1,1'-Dimethyl-4,4'-bipyridinium bis(methyl sul*)</t>
  </si>
  <si>
    <t>1,1-Dimethyl cyclohexane</t>
  </si>
  <si>
    <t>1,1-Dichloropropane</t>
  </si>
  <si>
    <t>1,1-Bis(4-ethoxyphenyl)-2-nitropropane</t>
  </si>
  <si>
    <t>1,1'-Biphenyl, 4-chloro-, PCB-3</t>
  </si>
  <si>
    <t>1,1'-Biphenyl, 4,4'-dichloro-, PCB-15</t>
  </si>
  <si>
    <t>2,3,3,3-Tetrafluoropropene</t>
  </si>
  <si>
    <t>1,1'-Biphenyl, 3-chloro-, PCB-2</t>
  </si>
  <si>
    <t>1,1'-Biphenyl, 3,3',4,4'-tetrachloro-, PCB-77</t>
  </si>
  <si>
    <t>1,1'-Biphenyl, 2-chloro-, PCB-1</t>
  </si>
  <si>
    <t>1,1'-Biphenyl, 2,4-dichloro-, PCB-7</t>
  </si>
  <si>
    <t>1,1'-Biphenyl, 2,4,5-trichloro-, PCB-29</t>
  </si>
  <si>
    <t>2-(Chloromethyl)-3-Chloro-1-Propene</t>
  </si>
  <si>
    <t>1,1'-Biphenyl, 2,2',5-trichloro-, PCB-18</t>
  </si>
  <si>
    <t>1,1'-Biphenyl, 2,2',4,4'-tetrachloro-, PCB-47</t>
  </si>
  <si>
    <t>1,1'-Biphenyl, 2,2',4,4',6,6'-hexachloro-, PCB-155</t>
  </si>
  <si>
    <t>1-Undecanol, 3,3,4,4,5,5,6,6,7,7,8,8,9,9,10,10,11,11,11-nonadecafluoro-</t>
  </si>
  <si>
    <t>1,1,1-Tris(hydroxymethyl)propane</t>
  </si>
  <si>
    <t>1,1,1,3,3,3-Hexafluoropropan-2-ol</t>
  </si>
  <si>
    <t>1-Propanol, n-3,3,3-trifluoro-2,2-bis(trifluoromethyl)-, n-HFE-7100</t>
  </si>
  <si>
    <t>1-Propanol, i-3,3,3-trifluoro-2,2-bis(trifluoromethyl)-, i-HFE-7100</t>
  </si>
  <si>
    <t>1-(3-Chloroallyl)-3,5,7-triaza-1-azoniaadamantane chloride</t>
  </si>
  <si>
    <t>1-Propanol, 3,3,3-trifluoro-2,2-bis(trifluoromethyl)-, HFE-7100</t>
  </si>
  <si>
    <t>1-(2-Naphthalenyl)ethanone</t>
  </si>
  <si>
    <t>1-Pentene</t>
  </si>
  <si>
    <t>1-Butene, 3-methyl-</t>
  </si>
  <si>
    <t>1-Butene, 2-methyl-</t>
  </si>
  <si>
    <t>1-Butene</t>
  </si>
  <si>
    <t>1,2,2-Trichloro-1,1-difluoroethane</t>
  </si>
  <si>
    <t>(Z)-1,3,3,3-Tetrafluoroprop-1-ene</t>
  </si>
  <si>
    <t>(Z)-1,2,3,3,3-Pentafluoroprop-1-ene</t>
  </si>
  <si>
    <t>(Z)-1,1,1,4,4,4-Hexafluorobut-2-ene</t>
  </si>
  <si>
    <t>(Perfluorohexyl)ethylene</t>
  </si>
  <si>
    <t>(Perfluoroctyl)ethylene</t>
  </si>
  <si>
    <t>(Perfluorobutyl)ethylene</t>
  </si>
  <si>
    <t>(E)-1-Chloro-3,3,3-trifluoroprop-1-ene</t>
  </si>
  <si>
    <t>Polluted medium</t>
  </si>
  <si>
    <t>Quantity (kg./unit of product) (Air)</t>
  </si>
  <si>
    <t>Quantity (kg./unit of product) (Soil)</t>
  </si>
  <si>
    <t>Quantity (kg./unit of product) (Water)</t>
  </si>
  <si>
    <t>Product sales price at the relevant stage in the supply chain.</t>
  </si>
  <si>
    <t>Maximum ESCU's for Type E pollution (caused by incidents)</t>
  </si>
  <si>
    <t>Sheet Pol.Data</t>
  </si>
  <si>
    <t>Foreground ESCU's</t>
  </si>
  <si>
    <t xml:space="preserve">List purchased and self generated quantities of harmfull chemicals, related to the product and processes for the product, that are or can potentially be present on the premises of (or used by) the organization. </t>
  </si>
  <si>
    <t>P-C 6</t>
  </si>
  <si>
    <t>P-C 7</t>
  </si>
  <si>
    <t>P-C 8</t>
  </si>
  <si>
    <t>Chemical emission in Water</t>
  </si>
  <si>
    <t>Chemical emisssion in Soil</t>
  </si>
  <si>
    <t>Chemical emisssion in Air</t>
  </si>
  <si>
    <t>Mitigation %</t>
  </si>
  <si>
    <t>P-C 10</t>
  </si>
  <si>
    <t>Can "foreground" data on the exact quantities of emission of harmfull chemicals in the relevant stage in the supply chain be demonstrated?</t>
  </si>
  <si>
    <t>P-C 9</t>
  </si>
  <si>
    <t>Foreground data availability</t>
  </si>
  <si>
    <t>Total ESCU's/unit with background price factors</t>
  </si>
  <si>
    <t>Total ESCU's/unit with foreground price factors</t>
  </si>
  <si>
    <t>Info: Only for agricultural organizations, purchasing and using hazardous agro-chemicals.</t>
  </si>
  <si>
    <t>Material/ Process</t>
  </si>
  <si>
    <t>ESCU's (€) for depletion (without water)</t>
  </si>
  <si>
    <t>materials, agricultural, animal production</t>
  </si>
  <si>
    <t xml:space="preserve">Info 1: Quantitatively measurable emissions of substances that should not be emitted to air-, land- or water systems, other than already considered type A pollution.
Info 2. All requested quantities shall be interpreted as the quantities per unit of product [kg./unit], calculated as the yearly total of chemical divided by the yearly turnover in quantity of units.
</t>
  </si>
  <si>
    <t>Measurable quantities</t>
  </si>
  <si>
    <t>Balance of incoming and outgoing chemicals</t>
  </si>
  <si>
    <t>Purchased and generated harmfull chemicals</t>
  </si>
  <si>
    <t>Gas</t>
  </si>
  <si>
    <t>CO2 (carbon dioxide)</t>
  </si>
  <si>
    <t>NH3 (ammonia)</t>
  </si>
  <si>
    <t>NOx or NO2 (Nitrogen dioxide)</t>
  </si>
  <si>
    <t>NO (nitrogen monoxide)</t>
  </si>
  <si>
    <t>SO2 (Sulfur dioxide)</t>
  </si>
  <si>
    <t>CO (Carbon monoxide)</t>
  </si>
  <si>
    <t>N2O (dinitrogen monoxide)</t>
  </si>
  <si>
    <t xml:space="preserve">Particulates, &lt; 10 um </t>
  </si>
  <si>
    <t>Radioactive particles</t>
  </si>
  <si>
    <t>ESCU calculation for type A pollution</t>
  </si>
  <si>
    <t>Sector standard data</t>
  </si>
  <si>
    <t>Sector-Standard ESCU's</t>
  </si>
  <si>
    <t>Foreground assessment?</t>
  </si>
  <si>
    <t>Present or emitted chemicals</t>
  </si>
  <si>
    <t>toxic emissions</t>
  </si>
  <si>
    <t>Does the organization have a certificate on a standard that demonstrates that no  pesticides and other harmfull chemicals are used, and is approved in O.F.-19?</t>
  </si>
  <si>
    <t>P-C 11</t>
  </si>
  <si>
    <t>All Background data</t>
  </si>
  <si>
    <t>Total ESCU's for Pollution and Climate</t>
  </si>
  <si>
    <t>Standard operations?</t>
  </si>
  <si>
    <t>Literature; sector organizations, internal data.</t>
  </si>
  <si>
    <t>Standard emitted chemicals</t>
  </si>
  <si>
    <t>Total ESCU's for Type B Pollution</t>
  </si>
  <si>
    <t>Qualitative data available?</t>
  </si>
  <si>
    <t>Food, beef</t>
  </si>
  <si>
    <t>Beef co-product, food grade bones, from beef cattle, at slaughterhouse, PEF compliant/IE Economic/Economic</t>
  </si>
  <si>
    <t>Beef co-product, food grade bones, from dairy cattle, at slaughterhouse, PEF compliant/NL Economic/Economic</t>
  </si>
  <si>
    <t>Beef co-product, food grade fat, from beef cattle, at slaughterhouse, PEF compliant/IE Economic/Economic</t>
  </si>
  <si>
    <t>Beef co-product, food grade fat, from dairy cattle, at slaughterhouse, PEF compliant/NL Economic/Economic</t>
  </si>
  <si>
    <t>Beef co-product, food grade, from beef cattle, at slaughterhouse/IE Economic</t>
  </si>
  <si>
    <t>Beef co-product, food grade, from dairy cattle, at slaughterhouse/NL Economic</t>
  </si>
  <si>
    <t>Beef meat, fresh, from beef cattle, at slaughterhouse, PEF compliant/IE Economic/Economic</t>
  </si>
  <si>
    <t>Beef meat, fresh, from beef cattle, at slaughterhouse/IE Economic</t>
  </si>
  <si>
    <t>Beef meat, fresh, from dairy cattle, at slaughterhouse, PEF compliant/NL Economic/Economic</t>
  </si>
  <si>
    <t>Beef meat, fresh, from dairy cattle, at slaughterhouse/NL Economic</t>
  </si>
  <si>
    <t>Meatless hybrid, dehydrated (dry) rice/beef, at plant/NL Economic</t>
  </si>
  <si>
    <t>Meatless hybrid, hydrated (wet) rice/beef, at plant/NL Economic</t>
  </si>
  <si>
    <t>Meatless hybrid, hydrated (wet) tapioca/beef, at plant/NL Economic</t>
  </si>
  <si>
    <t>Meatless hybrid, hydrated (wet) wheat/beef, at plant/NL Economic</t>
  </si>
  <si>
    <t>Food, cereal products</t>
  </si>
  <si>
    <t>Maize flour, from dry milling, at plant/DE Economic</t>
  </si>
  <si>
    <t>Maize flour, from dry milling, at plant/FR Economic</t>
  </si>
  <si>
    <t>Maize flour, from dry milling, at plant/IT Economic</t>
  </si>
  <si>
    <t>Maize flour, from dry milling, at plant/NL Economic</t>
  </si>
  <si>
    <t>Maize flour, from dry milling, at plant/PL Economic</t>
  </si>
  <si>
    <t>Maize flour, from dry milling, at plant/US Economic</t>
  </si>
  <si>
    <t>Maize starch, from wet milling (starch drying), at plant/DE Economic</t>
  </si>
  <si>
    <t>Maize starch, from wet milling (starch drying), at plant/FR Economic</t>
  </si>
  <si>
    <t>Maize starch, from wet milling (starch drying), at plant/NL Economic</t>
  </si>
  <si>
    <t>Maize starch, from wet milling (starch drying), at plant/US Economic</t>
  </si>
  <si>
    <t>Oat grain peeled, from dry milling, at plant/BE Economic</t>
  </si>
  <si>
    <t>Oat grain peeled, from dry milling, at plant/NL Economic</t>
  </si>
  <si>
    <t>Rye flour, from dry milling, at plant/BE Economic</t>
  </si>
  <si>
    <t>Rye flour, from dry milling, at plant/DE Economic</t>
  </si>
  <si>
    <t>Rye flour, from dry milling, at plant/NL Economic</t>
  </si>
  <si>
    <t>Wheat flour, from dry milling, at plant/BE Economic</t>
  </si>
  <si>
    <t>Wheat flour, from dry milling, at plant/CZ Economic</t>
  </si>
  <si>
    <t>Wheat flour, from dry milling, at plant/DE Economic</t>
  </si>
  <si>
    <t>Wheat flour, from dry milling, at plant/ES Economic</t>
  </si>
  <si>
    <t>Wheat flour, from dry milling, at plant/FR Economic</t>
  </si>
  <si>
    <t>Wheat flour, from dry milling, at plant/HU Economic</t>
  </si>
  <si>
    <t>Wheat flour, from dry milling, at plant/IT Economic</t>
  </si>
  <si>
    <t>Wheat flour, from dry milling, at plant/NL Economic</t>
  </si>
  <si>
    <t>Wheat flour, from dry milling, at plant/PL Economic</t>
  </si>
  <si>
    <t>Wheat flour, from dry milling, at plant/PT Economic</t>
  </si>
  <si>
    <t>Wheat flour, from dry milling, at plant/RO Economic</t>
  </si>
  <si>
    <t>Wheat flour, from dry milling, at plant/UK Economic</t>
  </si>
  <si>
    <t>Wheat starch, from wet milling, at plant/BE Economic</t>
  </si>
  <si>
    <t>Wheat starch, from wet milling, at plant/DE Economic</t>
  </si>
  <si>
    <t>Wheat starch, from wet milling, at plant/ES Economic</t>
  </si>
  <si>
    <t>Wheat starch, from wet milling, at plant/FR Economic</t>
  </si>
  <si>
    <t>Wheat starch, from wet milling, at plant/IT Economic</t>
  </si>
  <si>
    <t>Wheat starch, from wet milling, at plant/NL Economic</t>
  </si>
  <si>
    <t>Wheat starch, from wet milling, at plant/UK Economic</t>
  </si>
  <si>
    <t>food, dairy</t>
  </si>
  <si>
    <t>Cheese, from cheese production, at plant/NL Economic</t>
  </si>
  <si>
    <t>Cream, full, from processing, at plant/NL Economic</t>
  </si>
  <si>
    <t>Cream, skimmed, from processing, at plant/NL Economic</t>
  </si>
  <si>
    <t>Milk powder skimmed, from drying, at plant/NL Economic</t>
  </si>
  <si>
    <t>Milk powder whole, from drying, at plant/NL Economic</t>
  </si>
  <si>
    <t>Standardized milk, full, from processing, at plant/NL Economic</t>
  </si>
  <si>
    <t>Standardized milk, skimmed, from processing, at plant/NL Economic</t>
  </si>
  <si>
    <t>food, eggs</t>
  </si>
  <si>
    <t>Consumption eggs, broiler parents &gt;20 weeks, at farm/NL Economic</t>
  </si>
  <si>
    <t>Consumption eggs, laying hens &gt;17 weeks, at farm/NL Economic</t>
  </si>
  <si>
    <t>food, legumes</t>
  </si>
  <si>
    <t>Beans, dry, canned, at plant/NL Economic</t>
  </si>
  <si>
    <t>Broad bean, meal, at plant/NL Economic</t>
  </si>
  <si>
    <t>Chickpea, canned, at plant/NL Economic</t>
  </si>
  <si>
    <t>Lentil, canned, at plant/NL Economic</t>
  </si>
  <si>
    <t>Lupine, meal, at plant/NL Economic</t>
  </si>
  <si>
    <t>Pea, canned, at plant/RER Economic</t>
  </si>
  <si>
    <t>Pea, fibres, at plant/RER Economic</t>
  </si>
  <si>
    <t>Pea, meal, at plant/RER Economic</t>
  </si>
  <si>
    <t>Pea, protein-concentrate, at plant/RER Economic</t>
  </si>
  <si>
    <t>Pea, protein-isolate, at plant/RER Economic</t>
  </si>
  <si>
    <t>Pea, starch (from protein-isolate), at plant/RER Economic</t>
  </si>
  <si>
    <t>Soybean protein concentrate, from crushing (solvent, for protein concentrate), at plant/AR Economic</t>
  </si>
  <si>
    <t>Soybean protein concentrate, from crushing (solvent, for protein concentrate), at plant/BR Economic</t>
  </si>
  <si>
    <t>Soybean protein concentrate, from crushing (solvent, for protein concentrate), at plant/DE Economic</t>
  </si>
  <si>
    <t>Soybean protein concentrate, from crushing (solvent, for protein concentrate), at plant/ES Economic</t>
  </si>
  <si>
    <t>Soybean protein concentrate, from crushing (solvent, for protein concentrate), at plant/FR Economic</t>
  </si>
  <si>
    <t>Soybean protein concentrate, from crushing (solvent, for protein concentrate), at plant/IT Economic</t>
  </si>
  <si>
    <t>Soybean protein concentrate, from crushing (solvent, for protein concentrate), at plant/NL Economic</t>
  </si>
  <si>
    <t>Soybean protein concentrate, from crushing (solvent, for protein concentrate), at plant/PT Economic</t>
  </si>
  <si>
    <t>Soybean protein concentrate, from crushing (solvent, for protein concentrate), at plant/UK Economic</t>
  </si>
  <si>
    <t>food, other</t>
  </si>
  <si>
    <t>Tapioca starch, from processing with use of co-products, at plant/TH Economic</t>
  </si>
  <si>
    <t>Tapioca starch, from processing without use of co-products, at plant/TH Economic</t>
  </si>
  <si>
    <t>food, pork</t>
  </si>
  <si>
    <t>Meatless hybrid, dehydrated (dry) rice/pork, at plant/NL Economic</t>
  </si>
  <si>
    <t>Meatless hybrid, hydrated (wet) rice/pork, at plant/NL Economic</t>
  </si>
  <si>
    <t>Meatless hybrid, hydrated (wet) tapioca/pork, at plant/NL Economic</t>
  </si>
  <si>
    <t>Meatless hybrid, hydrated (wet) wheat/pork, at plant/NL Economic</t>
  </si>
  <si>
    <t>Pig co-product, food grade, at slaughterhouse/NL Economic</t>
  </si>
  <si>
    <t>Pig meat, fresh, at slaughterhouse/NL Economic</t>
  </si>
  <si>
    <t>food, potatoes</t>
  </si>
  <si>
    <t>Potato protein, from wet milling, at plant/DE Economic</t>
  </si>
  <si>
    <t>Potato protein, from wet milling, at plant/NL Economic</t>
  </si>
  <si>
    <t>Potato starch dried, from wet milling, at plant/DE Economic</t>
  </si>
  <si>
    <t>Potato starch dried, from wet milling, at plant/NL Economic</t>
  </si>
  <si>
    <t>food, poultry</t>
  </si>
  <si>
    <t>Chicken co-product, food grade, at slaughterhouse/NL Economic</t>
  </si>
  <si>
    <t>Chicken meat, fresh, at slaughterhouse/NL Economic</t>
  </si>
  <si>
    <t>Meatless hybrid, dehydrated (dry) rice/chicken, at plant/NL Economic</t>
  </si>
  <si>
    <t>Meatless hybrid, hydrated (wet) rice/chicken, at plant/NL Economic</t>
  </si>
  <si>
    <t>Meatless hybrid, hydrated (wet) tapioca/chicken, at plant/NL Economic</t>
  </si>
  <si>
    <t>Meatless hybrid, hydrated (wet) wheat/chicken, at plant/NL Economic</t>
  </si>
  <si>
    <t>food, rice products</t>
  </si>
  <si>
    <t>Rice brokens, from dry milling, at plant/CN Economic</t>
  </si>
  <si>
    <t>Rice brokens, from dry milling, parboiled, at plant/CN Economic</t>
  </si>
  <si>
    <t>Rice brokens, from dry milling, raw, at plant/CN Economic</t>
  </si>
  <si>
    <t>Rice protein, protein extraction, at plant/GLO Economic</t>
  </si>
  <si>
    <t>Rice starch, protein extraction, at plant/GLO Economic</t>
  </si>
  <si>
    <t>Rice without husks, from dry milling, at plant/CN Economic</t>
  </si>
  <si>
    <t>Rice without husks, from dry milling, parboiled at plant/CN Economic</t>
  </si>
  <si>
    <t>Rice without husks, from dry milling, raw, at plant/CN Economic</t>
  </si>
  <si>
    <t>White rice, from dry milling, at plant/CN Economic</t>
  </si>
  <si>
    <t>White rice, from dry milling, parboiled, at plant/CN Economic</t>
  </si>
  <si>
    <t>White rice, from dry milling, raw, at plant/CN Economic</t>
  </si>
  <si>
    <t>food, sugar</t>
  </si>
  <si>
    <t>Sugar, from sugar beet, from sugar production, at plant/BE Economic</t>
  </si>
  <si>
    <t>Sugar, from sugar beet, from sugar production, at plant/DE Economic</t>
  </si>
  <si>
    <t>Sugar, from sugar beet, from sugar production, at plant/ES Economic</t>
  </si>
  <si>
    <t>Sugar, from sugar beet, from sugar production, at plant/FR Economic</t>
  </si>
  <si>
    <t>Sugar, from sugar beet, from sugar production, at plant/IT Economic</t>
  </si>
  <si>
    <t>Sugar, from sugar beet, from sugar production, at plant/PL Economic</t>
  </si>
  <si>
    <t>Sugar, from sugar beet, from sugar production, at plant/UK Economic</t>
  </si>
  <si>
    <t>Sugar, from sugar beet, from sugar production, at Suiker Unie plants/NL Economic</t>
  </si>
  <si>
    <t>Sugar, from sugar cane, from sugar production, at plant/AU Economic</t>
  </si>
  <si>
    <t>Sugar, from sugar cane, from sugar production, at plant/BR Economic</t>
  </si>
  <si>
    <t>Sugar, from sugar cane, from sugar production, at plant/IN Economic</t>
  </si>
  <si>
    <t>Sugar, from sugar cane, from sugar production, at plant/PK Economic</t>
  </si>
  <si>
    <t>Sugar, from sugar cane, from sugar production, at plant/SD Economic</t>
  </si>
  <si>
    <t>Sugar, from sugar cane, from sugar production, at plant/US Economic</t>
  </si>
  <si>
    <t>food, vegetable oil and animal fats</t>
  </si>
  <si>
    <t>Food grade fat, from fat melting, at plant/NL Economic</t>
  </si>
  <si>
    <t>Refined coconut oil, at plant/ID Economic</t>
  </si>
  <si>
    <t>Refined coconut oil, at plant/IN Economic</t>
  </si>
  <si>
    <t>Refined coconut oil, at plant/PH Economic</t>
  </si>
  <si>
    <t>Refined maize germ oil, (pressing), at plant/DE Economic</t>
  </si>
  <si>
    <t>Refined maize germ oil, (pressing), at plant/FR Economic</t>
  </si>
  <si>
    <t>Refined maize germ oil, (pressing), at plant/NL Economic</t>
  </si>
  <si>
    <t>Refined maize germ oil, (pressing), at plant/US Economic</t>
  </si>
  <si>
    <t>Refined maize germ oil, (solvent), at plant/DE Economic</t>
  </si>
  <si>
    <t>Refined maize germ oil, (solvent), at plant/FR Economic</t>
  </si>
  <si>
    <t>Refined maize germ oil, (solvent), at plant/NL Economic</t>
  </si>
  <si>
    <t>Refined maize germ oil, (solvent), at plant/US Economic</t>
  </si>
  <si>
    <t>Refined palm kernel oil, at plant/ID Economic</t>
  </si>
  <si>
    <t>Refined palm kernel oil, at plant/MY Economic</t>
  </si>
  <si>
    <t>Refined palm oil, at plant/NL Economic</t>
  </si>
  <si>
    <t>Refined rapeseed oil, from crushing (pressing), at plant/BE Economic</t>
  </si>
  <si>
    <t>Refined rapeseed oil, from crushing (pressing), at plant/DE Economic</t>
  </si>
  <si>
    <t>Refined rapeseed oil, from crushing (pressing), at plant/NL Economic</t>
  </si>
  <si>
    <t>Refined rapeseed oil, from crushing (solvent), at plant/BE Economic</t>
  </si>
  <si>
    <t>Refined rapeseed oil, from crushing (solvent), at plant/DE Economic</t>
  </si>
  <si>
    <t>Refined rapeseed oil, from crushing (solvent), at plant/NL Economic</t>
  </si>
  <si>
    <t>Refined rapeseed oil, from crushing (solvent), at plant/US Economic</t>
  </si>
  <si>
    <t>Refined rice bran oil, at plant/CN Economic</t>
  </si>
  <si>
    <t>Refined soybean oil, from crushing (pressing), at plant/AR Economic</t>
  </si>
  <si>
    <t>Refined soybean oil, from crushing (pressing), at plant/BR Economic</t>
  </si>
  <si>
    <t>Refined soybean oil, from crushing (pressing), at plant/NL Economic</t>
  </si>
  <si>
    <t>Refined soybean oil, from crushing (solvent), at plant/AR Economic</t>
  </si>
  <si>
    <t>Refined soybean oil, from crushing (solvent), at plant/BR Economic</t>
  </si>
  <si>
    <t>Refined soybean oil, from crushing (solvent), at plant/NL Economic</t>
  </si>
  <si>
    <t>Refined soybean oil, from crushing (solvent, for protein concentrate), at plant/AR Economic</t>
  </si>
  <si>
    <t>Refined soybean oil, from crushing (solvent, for protein concentrate), at plant/BR Economic</t>
  </si>
  <si>
    <t>Refined soybean oil, from crushing (solvent, for protein concentrate), at plant/DE Economic</t>
  </si>
  <si>
    <t>Refined soybean oil, from crushing (solvent, for protein concentrate), at plant/ES Economic</t>
  </si>
  <si>
    <t>Refined soybean oil, from crushing (solvent, for protein concentrate), at plant/IT Economic</t>
  </si>
  <si>
    <t>Refined soybean oil, from crushing (solvent, for protein concentrate), at plant/NL Economic</t>
  </si>
  <si>
    <t>Refined soybean oil, from crushing (solvent, for protein concentrate), at plant/PT Economic</t>
  </si>
  <si>
    <t>Refined soybean oil, from crushing (solvent, for protein concentrate), at plant/UK Economic</t>
  </si>
  <si>
    <t>Refined sunflower oil, from crushing (pressing) at plant/AR Economic</t>
  </si>
  <si>
    <t>Refined sunflower oil, from crushing (pressing) at plant/CN Economic</t>
  </si>
  <si>
    <t>Refined sunflower oil, from crushing (pressing) at plant/UA Economic</t>
  </si>
  <si>
    <t>Refined sunflower oil, from crushing (solvent) at plant/AR Economic</t>
  </si>
  <si>
    <t>Refined sunflower oil, from crushing (solvent) at plant/CN Economic</t>
  </si>
  <si>
    <t>Refined sunflower oil, from crushing (solvent) at plant/UA Economic</t>
  </si>
  <si>
    <t>agricultural, animal feed</t>
  </si>
  <si>
    <t>Animal meal, from dry rendering, at plant/NL Economic</t>
  </si>
  <si>
    <t>Beef co-product, feed grade, from beef cattle, at slaughterhouse/IE Economic</t>
  </si>
  <si>
    <t>Beef co-product, feed grade, from dairy cattle, at slaughterhouse/NL Economic</t>
  </si>
  <si>
    <t>Blood meal, spray dried, from blood processing, at plant/NL Economic</t>
  </si>
  <si>
    <t>Brewer's grains, wet, at plant/NL Economic</t>
  </si>
  <si>
    <t>Broad bean, hulls, at plant/NL Economic</t>
  </si>
  <si>
    <t>Cassava peels, fresh, from processing with use of co-products, at plant/TH Economic</t>
  </si>
  <si>
    <t>Cassava pomace (fibrous residue), fresh, from processing with use of co-products, at plant/TH Economic</t>
  </si>
  <si>
    <t>Cassava root dried, from tapioca processing, at plant/TH Economic</t>
  </si>
  <si>
    <t>Chicken co-product, feed grade, at slaughterhouse/NL Economic</t>
  </si>
  <si>
    <t>Citrus pulp dried, from drying, at plant/BR Economic</t>
  </si>
  <si>
    <t>Citrus pulp dried, from drying, at plant/US Economic</t>
  </si>
  <si>
    <t>Coconut copra meal, from crushing, at plant/ID Economic</t>
  </si>
  <si>
    <t>Coconut copra meal, from crushing, at plant/IN Economic</t>
  </si>
  <si>
    <t>Coconut copra meal, from crushing, at plant/PH Economic</t>
  </si>
  <si>
    <t>Crude peanut oil, from crushing at plant/AR Economic</t>
  </si>
  <si>
    <t>Crude peanut oil, from crushing at plant/SD Economic</t>
  </si>
  <si>
    <t>Crude peanut oil, from crushing at plant/SN Economic</t>
  </si>
  <si>
    <t>Crude peanut oil, from crushing at plant/UG Economic</t>
  </si>
  <si>
    <t>Crude peanut oil, from crushing at plant/US Economic</t>
  </si>
  <si>
    <t>Crude rapeseed oil, from crushing (solvent), at plant/CN Economic</t>
  </si>
  <si>
    <t>Distillers dried grains with solubles, 2022/kg/RNA</t>
  </si>
  <si>
    <t>Ethanol, from sugar beet molasses, at plant/US Economic</t>
  </si>
  <si>
    <t>Fat from animals, from dry rendering, at plant/NL Economic</t>
  </si>
  <si>
    <t>Fatty acid distillates (palm oil production)/NL Economic</t>
  </si>
  <si>
    <t>Fish meal, from fish meal and oil production, at plant/CL Economic</t>
  </si>
  <si>
    <t>Fish meal, from fish meal and oil production, at plant/DE Economic</t>
  </si>
  <si>
    <t>Fish meal, from fish meal and oil production, at plant/DK Economic</t>
  </si>
  <si>
    <t>Fish meal, from fish meal and oil production, at plant/NO Economic</t>
  </si>
  <si>
    <t>Fish meal, from fish meal and oil production, at plant/PE Economic</t>
  </si>
  <si>
    <t>Fish meal, from fish meal and oil production, at plant/UK Economic</t>
  </si>
  <si>
    <t>Fish oil, from fish meal and oil production, at plant/CL Economic</t>
  </si>
  <si>
    <t>Fish oil, from fish meal and oil production, at plant/DE Economic</t>
  </si>
  <si>
    <t>Fish oil, from fish meal and oil production, at plant/DK Economic</t>
  </si>
  <si>
    <t>Fish oil, from fish meal and oil production, at plant/NO Economic</t>
  </si>
  <si>
    <t>Fish oil, from fish meal and oil production, at plant/PE Economic</t>
  </si>
  <si>
    <t>Fish oil, from fish meal and oil production, at plant/UK Economic</t>
  </si>
  <si>
    <t>Fodder beets cleaned, from cleaning, at plant/NL Economic</t>
  </si>
  <si>
    <t>Greaves meal, from fat melting, at plant/NL Economic</t>
  </si>
  <si>
    <t>Groundnut meal, from crushing, at plant/AR Economic</t>
  </si>
  <si>
    <t>Groundnut meal, from crushing, at plant/SD Economic</t>
  </si>
  <si>
    <t>Groundnut meal, from crushing, at plant/SN Economic</t>
  </si>
  <si>
    <t>Groundnut meal, from crushing, at plant/UG Economic</t>
  </si>
  <si>
    <t>Groundnut meal, from crushing, at plant/US Economic</t>
  </si>
  <si>
    <t>Landed fish, from fishery, at plant/CL Economic</t>
  </si>
  <si>
    <t>Landed fish, from fishery, at plant/DE Economic</t>
  </si>
  <si>
    <t>Landed fish, from fishery, at plant/DK Economic</t>
  </si>
  <si>
    <t>Landed fish, from fishery, at plant/NO Economic</t>
  </si>
  <si>
    <t>Landed fish, from fishery, at plant/PE Economic</t>
  </si>
  <si>
    <t>Landed fish, from fishery, at plant/UK Economic</t>
  </si>
  <si>
    <t>Lucerne, dried, at farm/ES Economic</t>
  </si>
  <si>
    <t>Lucerne, dried, at farm/IT Economic</t>
  </si>
  <si>
    <t>Lupine, hulls, at plant/NL Economic</t>
  </si>
  <si>
    <t>Maize bran, from wet milling (drying), at plant/DE Economic</t>
  </si>
  <si>
    <t>Maize bran, from wet milling (drying), at plant/FR Economic</t>
  </si>
  <si>
    <t>Maize bran, from wet milling (drying), at plant/NL Economic</t>
  </si>
  <si>
    <t>Maize bran, from wet milling (drying), at plant/US Economic</t>
  </si>
  <si>
    <t>Maize distillers grains, dried, from ethanol production, at plant/US Economic</t>
  </si>
  <si>
    <t>Maize distillers grains, wet, from ethanol production, at plant/US Economic</t>
  </si>
  <si>
    <t>Maize germ meal expeller, from wet milling (germ oil production, pressing), at plant/DE Economic</t>
  </si>
  <si>
    <t>Maize germ meal expeller, from wet milling (germ oil production, pressing), at plant/FR Economic</t>
  </si>
  <si>
    <t>Maize germ meal expeller, from wet milling (germ oil production, pressing), at plant/NL Economic</t>
  </si>
  <si>
    <t>Maize germ meal expeller, from wet milling (germ oil production, pressing), at plant/US Economic</t>
  </si>
  <si>
    <t>Maize germ meal extracted, from wet milling (germ oil production, solvent), at plant/DE Economic</t>
  </si>
  <si>
    <t>Maize germ meal extracted, from wet milling (germ oil production, solvent), at plant/FR Economic</t>
  </si>
  <si>
    <t>Maize germ meal extracted, from wet milling (germ oil production, solvent), at plant/NL Economic</t>
  </si>
  <si>
    <t>Maize germ meal extracted, from wet milling (germ oil production, solvent), at plant/US Economic</t>
  </si>
  <si>
    <t>Maize germ, dried, from wet milling (germ drying), at plant/DE Economic</t>
  </si>
  <si>
    <t>Maize germ, dried, from wet milling (germ drying), at plant/FR Economic</t>
  </si>
  <si>
    <t>Maize germ, dried, from wet milling (germ drying), at plant/NL Economic</t>
  </si>
  <si>
    <t>Maize germ, dried, from wet milling (germ drying), at plant/US Economic</t>
  </si>
  <si>
    <t>Maize gluten feed, from wet milling (glutenfeed production, with drying), at plant/DE Economic</t>
  </si>
  <si>
    <t>Maize gluten feed, from wet milling (glutenfeed production, with drying), at plant/FR Economic</t>
  </si>
  <si>
    <t>Maize gluten feed, from wet milling (glutenfeed production, with drying), at plant/NL Economic</t>
  </si>
  <si>
    <t>Maize gluten feed, from wet milling (glutenfeed production, with drying), at plant/US Economic</t>
  </si>
  <si>
    <t>Maize gluten feed, high moisture, from wet milling (glutenfeed production, no drying), at plant/DE Economic</t>
  </si>
  <si>
    <t>Maize gluten feed, high moisture, from wet milling (glutenfeed production, no drying), at plant/FR Economic</t>
  </si>
  <si>
    <t>Maize gluten feed, high moisture, from wet milling (glutenfeed production, no drying), at plant/NL Economic</t>
  </si>
  <si>
    <t>Maize gluten feed, high moisture, from wet milling (glutenfeed production, no drying), at plant/US Economic</t>
  </si>
  <si>
    <t>Maize gluten meal, from wet milling (gluten drying), at plant/DE Economic</t>
  </si>
  <si>
    <t>Maize gluten meal, from wet milling (gluten drying), at plant/FR Economic</t>
  </si>
  <si>
    <t>Maize gluten meal, from wet milling (gluten drying), at plant/NL Economic</t>
  </si>
  <si>
    <t>Maize gluten meal, from wet milling (gluten drying), at plant/US Economic</t>
  </si>
  <si>
    <t>Maize middlings, from dry milling, at plant/DE Economic</t>
  </si>
  <si>
    <t>Maize middlings, from dry milling, at plant/FR Economic</t>
  </si>
  <si>
    <t>Maize middlings, from dry milling, at plant/IT Economic</t>
  </si>
  <si>
    <t>Maize middlings, from dry milling, at plant/NL Economic</t>
  </si>
  <si>
    <t>Maize middlings, from dry milling, at plant/PL Economic</t>
  </si>
  <si>
    <t>Maize middlings, from dry milling, at plant/US Economic</t>
  </si>
  <si>
    <t>Maize solubles, from wet milling (steepwater dewatering), at plant/DE Economic</t>
  </si>
  <si>
    <t>Maize solubles, from wet milling (steepwater dewatering), at plant/FR Economic</t>
  </si>
  <si>
    <t>Maize solubles, from wet milling (steepwater dewatering), at plant/NL Economic</t>
  </si>
  <si>
    <t>Maize solubles, from wet milling (steepwater dewatering), at plant/US Economic</t>
  </si>
  <si>
    <t>Oat husk meal, from dry milling, at plant/BE Economic</t>
  </si>
  <si>
    <t>Oat husk meal, from dry milling, at plant/NL Economic</t>
  </si>
  <si>
    <t>Oat mill feed meal high grade, mixing final product, at plant/BE Economic</t>
  </si>
  <si>
    <t>Oat mill feed meal high grade, mixing final product, at plant/NL Economic</t>
  </si>
  <si>
    <t>Offal, from fishery, at plant/CL Economic</t>
  </si>
  <si>
    <t>Offal, from fishery, at plant/DE Economic</t>
  </si>
  <si>
    <t>Offal, from fishery, at plant/DK Economic</t>
  </si>
  <si>
    <t>Offal, from fishery, at plant/NO Economic</t>
  </si>
  <si>
    <t>Offal, from fishery, at plant/UK Economic</t>
  </si>
  <si>
    <t>Palm kernel expeller, from crushing, at plant/ID Economic</t>
  </si>
  <si>
    <t>Palm kernel expeller, from crushing, at plant/MY Economic</t>
  </si>
  <si>
    <t>Pea, hulls (from meal), at plant/RER Economic</t>
  </si>
  <si>
    <t>Pea, hulls (from protein-concentrate), at plant/RER Economic</t>
  </si>
  <si>
    <t>Pea, hulls (from protein-isolate), at plant/RER Economic</t>
  </si>
  <si>
    <t>Pea, slurry (from protein-isolate), at plant/RER Economic</t>
  </si>
  <si>
    <t>Pea, starch (from protein-concentrate), at plant/RER Economic</t>
  </si>
  <si>
    <t>Pig co-product, feed grade, at slaughterhouse/NL Economic</t>
  </si>
  <si>
    <t>Potato juice concentrated, from wet milling, at plant/DE Economic</t>
  </si>
  <si>
    <t>Potato juice concentrated, from wet milling, at plant/NL Economic</t>
  </si>
  <si>
    <t>Potato pulp pressed fresh+silage, from wet milling, at plant/DE Economic</t>
  </si>
  <si>
    <t>Potato pulp pressed fresh+silage, from wet milling, at plant/NL Economic</t>
  </si>
  <si>
    <t>Potato pulp, from drying, at plant/DE Economic</t>
  </si>
  <si>
    <t>Potato pulp, from drying, at plant/NL Economic</t>
  </si>
  <si>
    <t>Rapeseed expeller, from crushing (pressing), at plant/BE Economic</t>
  </si>
  <si>
    <t>Rapeseed expeller, from crushing (pressing), at plant/DE Economic</t>
  </si>
  <si>
    <t>Rapeseed expeller, from crushing (pressing), at plant/NL Economic</t>
  </si>
  <si>
    <t>Rapeseed meal, from crushing (solvent), at plant/AT Economic</t>
  </si>
  <si>
    <t>Rapeseed meal, from crushing (solvent), at plant/BE Economic</t>
  </si>
  <si>
    <t>Rapeseed meal, from crushing (solvent), at plant/CN Economic</t>
  </si>
  <si>
    <t>Rapeseed meal, from crushing (solvent), at plant/CZ Economic</t>
  </si>
  <si>
    <t>Rapeseed meal, from crushing (solvent), at plant/DE Economic</t>
  </si>
  <si>
    <t>Rapeseed meal, from crushing (solvent), at plant/DK Economic</t>
  </si>
  <si>
    <t>Rapeseed meal, from crushing (solvent), at plant/FR Economic</t>
  </si>
  <si>
    <t>Rapeseed meal, from crushing (solvent), at plant/NL Economic</t>
  </si>
  <si>
    <t>Rapeseed meal, from crushing (solvent), at plant/PL Economic</t>
  </si>
  <si>
    <t>Rapeseed meal, from crushing (solvent), at plant/UK Economic</t>
  </si>
  <si>
    <t>Rapeseed meal, from crushing (solvent), at plant/US Economic</t>
  </si>
  <si>
    <t>Rice bran meal, solvent extracted, from rice bran oil production, at plant/CN Economic</t>
  </si>
  <si>
    <t>Rice feed meal, mixing brans and husks, at plant/CN Economic</t>
  </si>
  <si>
    <t>Rice fibre, protein extraction, at plant/GLO Economic</t>
  </si>
  <si>
    <t>Rice husk meal, from dry milling, at plant/CN Economic</t>
  </si>
  <si>
    <t>Rice husk meal, from dry milling, parboiled, at plant/CN Economic</t>
  </si>
  <si>
    <t>Rice husk meal, from dry milling, raw, at plant/CN Economic</t>
  </si>
  <si>
    <t>Rye middlings, from dry milling, at plant/BE Economic</t>
  </si>
  <si>
    <t>Rye middlings, from dry milling, at plant/DE Economic</t>
  </si>
  <si>
    <t>Rye middlings, from dry milling, at plant/NL Economic</t>
  </si>
  <si>
    <t>Soybean expeller, from crushing (pressing), at plant/AR Economic</t>
  </si>
  <si>
    <t>Soybean expeller, from crushing (pressing), at plant/BR Economic</t>
  </si>
  <si>
    <t>Soybean expeller, from crushing (pressing), at plant/DE Economic</t>
  </si>
  <si>
    <t>Soybean expeller, from crushing (pressing), at plant/ES Economic</t>
  </si>
  <si>
    <t>Soybean expeller, from crushing (pressing), at plant/FR Economic</t>
  </si>
  <si>
    <t>Soybean expeller, from crushing (pressing), at plant/IT Economic</t>
  </si>
  <si>
    <t>Soybean expeller, from crushing (pressing), at plant/NL Economic</t>
  </si>
  <si>
    <t>Soybean expeller, from crushing (pressing), at plant/PT Economic</t>
  </si>
  <si>
    <t>Soybean expeller, from crushing (pressing), at plant/UK Economic</t>
  </si>
  <si>
    <t>Soybean hulls, from crushing (solvent), at plant/AR Economic</t>
  </si>
  <si>
    <t>Soybean hulls, from crushing (solvent), at plant/BR Economic</t>
  </si>
  <si>
    <t>Soybean hulls, from crushing (solvent), at plant/DE Economic</t>
  </si>
  <si>
    <t>Soybean hulls, from crushing (solvent), at plant/ES Economic</t>
  </si>
  <si>
    <t>Soybean hulls, from crushing (solvent), at plant/FR Economic</t>
  </si>
  <si>
    <t>Soybean hulls, from crushing (solvent), at plant/IT Economic</t>
  </si>
  <si>
    <t>Soybean hulls, from crushing (solvent), at plant/NL Economic</t>
  </si>
  <si>
    <t>Soybean hulls, from crushing (solvent), at plant/PT Economic</t>
  </si>
  <si>
    <t>Soybean hulls, from crushing (solvent), at plant/UK Economic</t>
  </si>
  <si>
    <t>Soybean hulls, from crushing (solvent), at plant/US Economic</t>
  </si>
  <si>
    <t>Soybean hulls, from crushing (solvent, for protein concentrate), at plant/AR Economic</t>
  </si>
  <si>
    <t>Soybean hulls, from crushing (solvent, for protein concentrate), at plant/BR Economic</t>
  </si>
  <si>
    <t>Soybean hulls, from crushing (solvent, for protein concentrate), at plant/DE Economic</t>
  </si>
  <si>
    <t>Soybean hulls, from crushing (solvent, for protein concentrate), at plant/ES Economic</t>
  </si>
  <si>
    <t>Soybean hulls, from crushing (solvent, for protein concentrate), at plant/FR Economic</t>
  </si>
  <si>
    <t>Soybean hulls, from crushing (solvent, for protein concentrate), at plant/IT Economic</t>
  </si>
  <si>
    <t>Soybean hulls, from crushing (solvent, for protein concentrate), at plant/NL Economic</t>
  </si>
  <si>
    <t>Soybean hulls, from crushing (solvent, for protein concentrate), at plant/PT Economic</t>
  </si>
  <si>
    <t>Soybean hulls, from crushing (solvent, for protein concentrate), at plant/UK Economic</t>
  </si>
  <si>
    <t>Soybean lecithin, from crushing (solvent), at plant/DE Economic</t>
  </si>
  <si>
    <t>Soybean lecithin, from crushing (solvent), at plant/ES Economic</t>
  </si>
  <si>
    <t>Soybean lecithin, from crushing (solvent), at plant/FR Economic</t>
  </si>
  <si>
    <t>Soybean lecithin, from crushing (solvent), at plant/IT Economic</t>
  </si>
  <si>
    <t>Soybean lecithin, from crushing (solvent), at plant/NL Economic</t>
  </si>
  <si>
    <t>Soybean lecithin, from crushing (solvent), at plant/PT Economic</t>
  </si>
  <si>
    <t>Soybean lecithin, from crushing (solvent), at plant/UK Economic</t>
  </si>
  <si>
    <t>Soybean meal, from crushing (solvent), at plant/AR Economic</t>
  </si>
  <si>
    <t>Soybean meal, from crushing (solvent), at plant/BR Economic</t>
  </si>
  <si>
    <t>Soybean meal, from crushing (solvent), at plant/DE Economic</t>
  </si>
  <si>
    <t>Soybean meal, from crushing (solvent), at plant/ES Economic</t>
  </si>
  <si>
    <t>Soybean meal, from crushing (solvent), at plant/FR Economic</t>
  </si>
  <si>
    <t>Soybean meal, from crushing (solvent), at plant/IT Economic</t>
  </si>
  <si>
    <t>Soybean meal, from crushing (solvent), at plant/NL Economic</t>
  </si>
  <si>
    <t>Soybean meal, from crushing (solvent), at plant/PT Economic</t>
  </si>
  <si>
    <t>Soybean meal, from crushing (solvent), at plant/UK Economic</t>
  </si>
  <si>
    <t>Soybean meal, from crushing (solvent), at plant/US Economic</t>
  </si>
  <si>
    <t>Soybean, heat treated, from heat treating, at plant/NL Economic</t>
  </si>
  <si>
    <t>Sugar beet pulp, dried, from pulp drying, at plant/DE Economic</t>
  </si>
  <si>
    <t>Sugar beet pulp, dried, from pulp drying, at Suiker Unie plants/NL Economic</t>
  </si>
  <si>
    <t>Sugar beet pulp, pressed, from wet pulp pressing, at Suiker Unie plants/NL Economic</t>
  </si>
  <si>
    <t>Sugar beet pulp, wet, from sugar production, at plant/BE Economic</t>
  </si>
  <si>
    <t>Sugar beet pulp, wet, from sugar production, at plant/DE Economic</t>
  </si>
  <si>
    <t>Sugar beet pulp, wet, from sugar production, at plant/ES Economic</t>
  </si>
  <si>
    <t>Sugar beet pulp, wet, from sugar production, at plant/FR Economic</t>
  </si>
  <si>
    <t>Sugar beet pulp, wet, from sugar production, at plant/IT Economic</t>
  </si>
  <si>
    <t>Sugar beet pulp, wet, from sugar production, at plant/PL Economic</t>
  </si>
  <si>
    <t>Sugar beet pulp, wet, from sugar production, at plant/UK Economic</t>
  </si>
  <si>
    <t>Sugar beet pulp, wet, from sugar production, at Suiker Unie plants/NL Economic</t>
  </si>
  <si>
    <t>Sunflower seed expelled dehulled, from crushing (pressing), at plant/AR Economic</t>
  </si>
  <si>
    <t>Sunflower seed expelled dehulled, from crushing (pressing), at plant/CN Economic</t>
  </si>
  <si>
    <t>Sunflower seed expelled dehulled, from crushing (pressing), at plant/UA Economic</t>
  </si>
  <si>
    <t>Sunflower seed meal, from crushing (solvent), at plant/AR Economic</t>
  </si>
  <si>
    <t>Sunflower seed meal, from crushing (solvent), at plant/BG Economic</t>
  </si>
  <si>
    <t>Sunflower seed meal, from crushing (solvent), at plant/CN Economic</t>
  </si>
  <si>
    <t>Sunflower seed meal, from crushing (solvent), at plant/DE Economic</t>
  </si>
  <si>
    <t>Sunflower seed meal, from crushing (solvent), at plant/ES Economic</t>
  </si>
  <si>
    <t>Sunflower seed meal, from crushing (solvent), at plant/FR Economic</t>
  </si>
  <si>
    <t>Sunflower seed meal, from crushing (solvent), at plant/HU Economic</t>
  </si>
  <si>
    <t>Sunflower seed meal, from crushing (solvent), at plant/IT Economic</t>
  </si>
  <si>
    <t>Sunflower seed meal, from crushing (solvent), at plant/NL Economic</t>
  </si>
  <si>
    <t>Sunflower seed meal, from crushing (solvent), at plant/RO Economic</t>
  </si>
  <si>
    <t>Sunflower seed meal, from crushing (solvent), at plant/UA Economic</t>
  </si>
  <si>
    <t>Vinasse, from ethanol production, at plant/US Economic</t>
  </si>
  <si>
    <t>Vinasse, wet, from ethanol production, at plant/US Economic</t>
  </si>
  <si>
    <t>Wheat bran, from dry milling, at plant/BE Economic</t>
  </si>
  <si>
    <t>Wheat bran, from dry milling, at plant/CZ Economic</t>
  </si>
  <si>
    <t>Wheat bran, from dry milling, at plant/DE Economic</t>
  </si>
  <si>
    <t>Wheat bran, from dry milling, at plant/ES Economic</t>
  </si>
  <si>
    <t>Wheat bran, from dry milling, at plant/FR Economic</t>
  </si>
  <si>
    <t>Wheat bran, from dry milling, at plant/HU Economic</t>
  </si>
  <si>
    <t>Wheat bran, from dry milling, at plant/IT Economic</t>
  </si>
  <si>
    <t>Wheat bran, from dry milling, at plant/NL Economic</t>
  </si>
  <si>
    <t>Wheat bran, from dry milling, at plant/PL Economic</t>
  </si>
  <si>
    <t>Wheat bran, from dry milling, at plant/PT Economic</t>
  </si>
  <si>
    <t>Wheat bran, from dry milling, at plant/RO Economic</t>
  </si>
  <si>
    <t>Wheat bran, from dry milling, at plant/UK Economic</t>
  </si>
  <si>
    <t>Wheat bran, from wet milling, at plant/BE Economic</t>
  </si>
  <si>
    <t>Wheat bran, from wet milling, at plant/DE Economic</t>
  </si>
  <si>
    <t>Wheat bran, from wet milling, at plant/ES Economic</t>
  </si>
  <si>
    <t>Wheat bran, from wet milling, at plant/FR Economic</t>
  </si>
  <si>
    <t>Wheat bran, from wet milling, at plant/IT Economic</t>
  </si>
  <si>
    <t>Wheat bran, from wet milling, at plant/NL Economic</t>
  </si>
  <si>
    <t>Wheat bran, from wet milling, at plant/UK Economic</t>
  </si>
  <si>
    <t>Wheat germ, from dry milling, at plant/BE Economic</t>
  </si>
  <si>
    <t>Wheat germ, from dry milling, at plant/CZ Economic</t>
  </si>
  <si>
    <t>Wheat germ, from dry milling, at plant/DE Economic</t>
  </si>
  <si>
    <t>Wheat germ, from dry milling, at plant/ES Economic</t>
  </si>
  <si>
    <t>Wheat germ, from dry milling, at plant/FR Economic</t>
  </si>
  <si>
    <t>Wheat germ, from dry milling, at plant/HU Economic</t>
  </si>
  <si>
    <t>Wheat germ, from dry milling, at plant/IT Economic</t>
  </si>
  <si>
    <t>Wheat germ, from dry milling, at plant/NL Economic</t>
  </si>
  <si>
    <t>Wheat germ, from dry milling, at plant/PL Economic</t>
  </si>
  <si>
    <t>Wheat germ, from dry milling, at plant/PT Economic</t>
  </si>
  <si>
    <t>Wheat germ, from dry milling, at plant/RO Economic</t>
  </si>
  <si>
    <t>Wheat germ, from dry milling, at plant/UK Economic</t>
  </si>
  <si>
    <t>Wheat gluten feed, from wet milling, at plant/BE Economic</t>
  </si>
  <si>
    <t>Wheat gluten feed, from wet milling, at plant/DE Economic</t>
  </si>
  <si>
    <t>Wheat gluten feed, from wet milling, at plant/ES Economic</t>
  </si>
  <si>
    <t>Wheat gluten feed, from wet milling, at plant/FR Economic</t>
  </si>
  <si>
    <t>Wheat gluten feed, from wet milling, at plant/IT Economic</t>
  </si>
  <si>
    <t>Wheat gluten feed, from wet milling, at plant/NL Economic</t>
  </si>
  <si>
    <t>Wheat gluten feed, from wet milling, at plant/UK Economic</t>
  </si>
  <si>
    <t>Wheat gluten meal, from wet milling, at plant/BE Economic</t>
  </si>
  <si>
    <t>Wheat gluten meal, from wet milling, at plant/DE Economic</t>
  </si>
  <si>
    <t>Wheat gluten meal, from wet milling, at plant/ES Economic</t>
  </si>
  <si>
    <t>Wheat gluten meal, from wet milling, at plant/FR Economic</t>
  </si>
  <si>
    <t>Wheat gluten meal, from wet milling, at plant/IT Economic</t>
  </si>
  <si>
    <t>Wheat gluten meal, from wet milling, at plant/NL Economic</t>
  </si>
  <si>
    <t>Wheat gluten meal, from wet milling, at plant/UK Economic</t>
  </si>
  <si>
    <t>Wheat middlings &amp; feed, from dry milling, at plant/BE Economic</t>
  </si>
  <si>
    <t>Wheat middlings &amp; feed, from dry milling, at plant/CZ Economic</t>
  </si>
  <si>
    <t>Wheat middlings &amp; feed, from dry milling, at plant/DE Economic</t>
  </si>
  <si>
    <t>Wheat middlings &amp; feed, from dry milling, at plant/ES Economic</t>
  </si>
  <si>
    <t>Wheat middlings &amp; feed, from dry milling, at plant/FR Economic</t>
  </si>
  <si>
    <t>Wheat middlings &amp; feed, from dry milling, at plant/HU Economic</t>
  </si>
  <si>
    <t>Wheat middlings &amp; feed, from dry milling, at plant/IT Economic</t>
  </si>
  <si>
    <t>Wheat middlings &amp; feed, from dry milling, at plant/NL Economic</t>
  </si>
  <si>
    <t>Wheat middlings &amp; feed, from dry milling, at plant/PL Economic</t>
  </si>
  <si>
    <t>Wheat middlings &amp; feed, from dry milling, at plant/PT Economic</t>
  </si>
  <si>
    <t>Wheat middlings &amp; feed, from dry milling, at plant/RO Economic</t>
  </si>
  <si>
    <t>Wheat middlings &amp; feed, from dry milling, at plant/UK Economic</t>
  </si>
  <si>
    <t>Whey powder, from drying, at plant/NL Economic</t>
  </si>
  <si>
    <t>agricultural, animal feed, avian feed</t>
  </si>
  <si>
    <t>Compound feed breeding broiler parents &lt;20 weeks/NL Economic</t>
  </si>
  <si>
    <t>Compound feed breeding laying hens &lt;17 weeks/NL Economic</t>
  </si>
  <si>
    <t>Compound feed broiler parents &gt;20 weeks/NL Economic</t>
  </si>
  <si>
    <t>Compound feed broilers/NL Economic</t>
  </si>
  <si>
    <t>Compound feed laying hens &gt;17 weeks/NL Economic</t>
  </si>
  <si>
    <t>agricultural, animal feed, bovine feed</t>
  </si>
  <si>
    <t>Compound feed beef cattle/IE Economic</t>
  </si>
  <si>
    <t>Compound feed dairy cattle/NL Economic</t>
  </si>
  <si>
    <t>Grass silage, at beef farm/IE Economic</t>
  </si>
  <si>
    <t>Grass silage, at dairy farm/NL Economic</t>
  </si>
  <si>
    <t>Grass, grazed in pasture/IE Economic</t>
  </si>
  <si>
    <t>Mix of by-products fed to dairy cattle/NL Economic</t>
  </si>
  <si>
    <t>agricultural, animal feed, market</t>
  </si>
  <si>
    <t>Barley grain, consumption mix, at feed compound plant/IE Economic</t>
  </si>
  <si>
    <t>Barley grain, consumption mix, at feed compound plant/NL Economic</t>
  </si>
  <si>
    <t>Barley straw, consumption mix, at feed compound plant/NL Economic</t>
  </si>
  <si>
    <t>Blood meal, spray dried, consumption mix, at feed compound plant/NL Economic</t>
  </si>
  <si>
    <t>Brewer's grains, consumption mix, at feed compound plant/NL Economic</t>
  </si>
  <si>
    <t>Citrus pulp dried, consumption mix, at feed compound plant/NL Economic</t>
  </si>
  <si>
    <t>Coconut copra meal, consumption mix, at feed compound plant/NL Economic</t>
  </si>
  <si>
    <t>Fat from animals, consumption mix, at feed compound plant/NL Economic</t>
  </si>
  <si>
    <t>Fodder beets cleaned , consumption mix, at feed compound plant/NL Economic</t>
  </si>
  <si>
    <t>Fodder beets dirty, consumption mix, at feed compound plant/NL Economic</t>
  </si>
  <si>
    <t>Greaves meal, consumption mix, at feed compound plant/NL Economic</t>
  </si>
  <si>
    <t>Lupine, consumption mix, at feed compound plant/NL Economic</t>
  </si>
  <si>
    <t>Maize bran, consumption mix, at feed compound plant/NL Economic</t>
  </si>
  <si>
    <t>Maize germ meal expeller, consumption mix, at feed compound plant/NL Economic</t>
  </si>
  <si>
    <t>Maize germ meal extracted, consumption mix, at feed compound plant/NL Economic</t>
  </si>
  <si>
    <t>Maize gluten feed, dried, consumption mix, at feed compound plant/NL Economic</t>
  </si>
  <si>
    <t>Maize gluten feed, high moisture, consumption mix, at feed compound plant/NL Economic</t>
  </si>
  <si>
    <t>Maize gluten meal, consumption mix, at feed compound plant/NL Economic</t>
  </si>
  <si>
    <t>Maize middlings, consumption mix, at feed compound plant/NL Economic</t>
  </si>
  <si>
    <t>Maize solubles, consumption mix, at feed compound plant/NL Economic</t>
  </si>
  <si>
    <t>Maize starch, consumption mix, at feed compound plant/NL Economic</t>
  </si>
  <si>
    <t>Maize, consumption mix, at feed compound plant/IE Economic</t>
  </si>
  <si>
    <t>Maize, consumption mix, at feed compound plant/NL Economic</t>
  </si>
  <si>
    <t>Meat bone meal, consumption mix, at feed compound plant/NL Economic</t>
  </si>
  <si>
    <t>Milk powder skimmed, consumption mix, at feed compound plant/NL Economic</t>
  </si>
  <si>
    <t>Milk powder whole, consumption mix, at feed compound plant/NL Economic</t>
  </si>
  <si>
    <t>Oat grain peeled, consumption mix, at feed compound plant/NL Economic</t>
  </si>
  <si>
    <t>Oat grain, consumption mix, at feed compound plant/IE Economic</t>
  </si>
  <si>
    <t>Oat grain, consumption mix, at feed compound plant/NL Economic</t>
  </si>
  <si>
    <t>Oat husk meal, consumption mix, at feed compound plant/NL Economic</t>
  </si>
  <si>
    <t>Oat mill feed meal high grade, consumption mix, at feed compound plant/NL Economic</t>
  </si>
  <si>
    <t>Oat straw, consumption mix, at feed compound plant/NL Economic</t>
  </si>
  <si>
    <t>Palm kernel expeller, consumption mix, at feed compound plant/NL Economic</t>
  </si>
  <si>
    <t>Palm kernels, consumption mix, at feed compound plant/NL Economic</t>
  </si>
  <si>
    <t>Palm oil, consumption mix, at feed compound plant/NL Economic</t>
  </si>
  <si>
    <t>Pea dry, consumption mix, at feed compound plant/NL Economic</t>
  </si>
  <si>
    <t>Potato juice concentrated, consumption mix, at feed compound plant/NL Economic</t>
  </si>
  <si>
    <t>Potato protein, consumption mix, at feed compound plant/NL Economic</t>
  </si>
  <si>
    <t>Potato pulp pressed fresh+silage, consumption mix, at feed compound plant/NL Economic</t>
  </si>
  <si>
    <t>Potato pulp pressed, consumption mix, at feed compound plant/NL Economic</t>
  </si>
  <si>
    <t>Potato pulp, dried, consumption mix, at feed compound plant/NL Economic</t>
  </si>
  <si>
    <t>Potato starch dried, consumption mix, at feed compound plant/NL Economic</t>
  </si>
  <si>
    <t>Rapeseed expeller, consumption mix, at feed compound plant/NL Economic</t>
  </si>
  <si>
    <t>Rapeseed meal, consumption mix, at feed compound plant/IE Economic</t>
  </si>
  <si>
    <t>Rapeseed meal, consumption mix, at feed compound plant/NL Economic</t>
  </si>
  <si>
    <t>Rice bran meal, solvent extracted, consumption mix, at feed compound plant/NL Economic</t>
  </si>
  <si>
    <t>Rice feed meal, consumption mix, at feed compound plant/NL Economic</t>
  </si>
  <si>
    <t>Rice husk meal, consumption mix, at feed compound plant/NL Economic</t>
  </si>
  <si>
    <t>Rice with hulls, consumption mix, at feed compound plant/NL Economic</t>
  </si>
  <si>
    <t>Rice without hulls, consumption mix, at feed compound plant/NL Economic</t>
  </si>
  <si>
    <t>Rye grain, consumption mix, at feed compound plant/NL Economic</t>
  </si>
  <si>
    <t>Rye middlings, consumption mix, at feed compound plant/NL Economic</t>
  </si>
  <si>
    <t>Rye straw, consumption mix, at feed compound plant/NL Economic</t>
  </si>
  <si>
    <t>Sorghum, consumption mix, at feed compound plant/NL Economic</t>
  </si>
  <si>
    <t>Soy protein concentrate, consumption mix, at feed compound plant/NL Economic</t>
  </si>
  <si>
    <t>Soybean expeller, consumption mix, at feed compound plant/NL Economic</t>
  </si>
  <si>
    <t>Soybean hulls, consumption mix, at feed compound plant/NL Economic</t>
  </si>
  <si>
    <t>Soybean meal, consumption mix, at feed compound plant/NL Economic</t>
  </si>
  <si>
    <t>Soybean, consumption mix, at feed compound plant/IE Economic</t>
  </si>
  <si>
    <t>Soybean, consumption mix, at feed compound plant/NL Economic</t>
  </si>
  <si>
    <t>Soybean, heat treated, consumption mix, at feed compound plant/NL Economic</t>
  </si>
  <si>
    <t>Sugar beet molasses, consumption mix, at feed compound plant/NL Economic</t>
  </si>
  <si>
    <t>Sugar beet pulp, dried, consumption mix, at feed compound plant/NL Economic</t>
  </si>
  <si>
    <t>Sugar beet pulp, wet, consumption mix, at feed compound plant/NL Economic</t>
  </si>
  <si>
    <t>Sugar beets fresh, consumption mix, at feed compound plant/NL Economic</t>
  </si>
  <si>
    <t>Sugar cane molasses, consumption mix, at feed compound plant/IE Economic</t>
  </si>
  <si>
    <t>Sugar cane molasses, consumption mix, at feed compound plant/NL Economic</t>
  </si>
  <si>
    <t>Sugar, from sugar beets, consumption mix, at feed compound plant/NL Economic</t>
  </si>
  <si>
    <t>Sunflower seed dehulled, consumption mix, at feed compound plant/NL Economic</t>
  </si>
  <si>
    <t>Sunflower seed expelled dehulled, consumption mix, at feed compound plant/NL Economic</t>
  </si>
  <si>
    <t>Sunflower seed meal, consumption mix, at feed compound plant/NL Economic</t>
  </si>
  <si>
    <t>Sunflower seed partly dehulled, consumption mix, at feed compound plant/NL Economic</t>
  </si>
  <si>
    <t>Sunflower seed with hulls, consumption mix, at feed compound plant/NL Economic</t>
  </si>
  <si>
    <t>Tapioca, consumption mix, at feed compound plant/NL Economic</t>
  </si>
  <si>
    <t>Triticale, consumption mix, at feed compound plant/NL Economic</t>
  </si>
  <si>
    <t>Wheat bran, consumption mix, at feed compound plant/NL Economic</t>
  </si>
  <si>
    <t>Wheat feed meal, consumption mix, at feed compound plant/NL Economic</t>
  </si>
  <si>
    <t>Wheat germ, consumption mix, at feed compound plant/NL Economic</t>
  </si>
  <si>
    <t>Wheat gluten feed, consumption mix, at feed compound plant/NL Economic</t>
  </si>
  <si>
    <t>Wheat gluten meal, consumption mix, at feed compound plant/NL Economic</t>
  </si>
  <si>
    <t>Wheat grain, consumption mix, at feed compound plant/IE Economic</t>
  </si>
  <si>
    <t>Wheat grain, consumption mix, at feed compound plant/NL Economic</t>
  </si>
  <si>
    <t>Wheat starch, dried, consumption mix, at feed compound plant/NL Economic</t>
  </si>
  <si>
    <t>Wheat straw, consumption mix, at feed compound plant/NL Economic</t>
  </si>
  <si>
    <t>agricultural, animal feed, porcine feeds</t>
  </si>
  <si>
    <t>Pig feed, fattening pigs/NL Economic</t>
  </si>
  <si>
    <t>Pig feed, piglets/NL Economic</t>
  </si>
  <si>
    <t>Pig feed, sows/NL Economic</t>
  </si>
  <si>
    <t>Pig feed, with 1.5% HumVi, piglets/NL Economic</t>
  </si>
  <si>
    <t>agricultural, animal production, avian</t>
  </si>
  <si>
    <t>Broiler parents &lt;20 weeks, breeding, at farm/NL Economic</t>
  </si>
  <si>
    <t>Broiler parents &gt;20 weeks, for slaughter, at farm/NL Economic</t>
  </si>
  <si>
    <t>Broilers, for slaughter, at farm/NL Economic</t>
  </si>
  <si>
    <t>Hatching eggs, broiler parents &gt;20 weeks, at farm/NL Economic</t>
  </si>
  <si>
    <t>Laying hens &lt;17 weeks, breeding, at farm/NL Economic</t>
  </si>
  <si>
    <t>Laying hens &gt;17 weeks, for slaughter, at farm/NL Economic</t>
  </si>
  <si>
    <t>One-day-chickens, at hatchery/NL Economic</t>
  </si>
  <si>
    <t>agricultural, animal production, bovine</t>
  </si>
  <si>
    <t>Beef cattle for slaughter, at beef farm, PEF compliant/IE Economic</t>
  </si>
  <si>
    <t>Beef cattle for slaughter, at beef farm/IE Economic</t>
  </si>
  <si>
    <t>Calves, at dairy farm, PEF compliant/NL IDF/Economic</t>
  </si>
  <si>
    <t>Calves, at dairy farm/NL Economic</t>
  </si>
  <si>
    <t>Cows for slaughter, at dairy farm, PEF compliant/NL IDF/Economic</t>
  </si>
  <si>
    <t>Cows for slaughter, at dairy farm/NL Economic</t>
  </si>
  <si>
    <t>Raw milk, at dairy farm, PEF compliant/NL IDF/Economic</t>
  </si>
  <si>
    <t>Raw milk, at dairy farm/NL Economic</t>
  </si>
  <si>
    <t>agricultural, animal production, porcine</t>
  </si>
  <si>
    <t>Piglets, sow-piglet system, at farm/NL Economic</t>
  </si>
  <si>
    <t>Piglets, sow-piglet system, with HumVi, at farm/NL Economic</t>
  </si>
  <si>
    <t>Pigs to slaughter, pig fattening, at farm/NL Economic</t>
  </si>
  <si>
    <t>Sow to slaughter, sow-piglet system, at farm/NL Economic</t>
  </si>
  <si>
    <t>Sow to slaughter, sow-piglet system, with HumVi at farm/NL Economic</t>
  </si>
  <si>
    <t>agricultural, intermediate products</t>
  </si>
  <si>
    <t>Beef co-product, Cat.1/2 and waste, from beef cattle, at slaughterhouse, PEF compliant/IE Economic/Economic</t>
  </si>
  <si>
    <t>Beef co-product, Cat.1/2 and waste, from dairy cattle, at slaughterhouse, PEF compliant/NL Economic/Economic</t>
  </si>
  <si>
    <t>Beef co-product, Cat.3 by-products, from beef cattle, at slaughterhouse, PEF compliant/IE Economic/Economic</t>
  </si>
  <si>
    <t>Beef co-product, Cat.3 by-products, from dairy cattle, at slaughterhouse, PEF compliant/NL Economic/Economic</t>
  </si>
  <si>
    <t>Beef co-product, hides and skins, from beef cattle, at slaughterhouse, PEF compliant/IE Economic/Economic</t>
  </si>
  <si>
    <t>Beef co-product, hides and skins, from dairy cattle, at slaughterhouse, PEF compliant/NL Economic/Economic</t>
  </si>
  <si>
    <t>Beef co-product, other, from beef cattle, at slaughterhouse/IE Economic</t>
  </si>
  <si>
    <t>Beef co-product, other, from dairy cattle, at slaughterhouse/NL Economic</t>
  </si>
  <si>
    <t>Beef, for Meatless hybrid, at plant/NL Economic</t>
  </si>
  <si>
    <t>Chicken co-product, other, at slaughterhouse/NL Economic</t>
  </si>
  <si>
    <t>Coconut husk, from dehusking, at plant/ID Economic</t>
  </si>
  <si>
    <t>Coconut husk, from dehusking, at plant/IN Economic</t>
  </si>
  <si>
    <t>Coconut husk, from dehusking, at plant/PH Economic</t>
  </si>
  <si>
    <t>Coconut, dehusked, from dehusking, at plant/ID Economic</t>
  </si>
  <si>
    <t>Coconut, dehusked, from dehusking, at plant/IN Economic</t>
  </si>
  <si>
    <t>Coconut, dehusked, from dehusking, at plant/PH Economic</t>
  </si>
  <si>
    <t>Crude coconut oil, from crushing, at plant/ID Economic</t>
  </si>
  <si>
    <t>Crude coconut oil, from crushing, at plant/IN Economic</t>
  </si>
  <si>
    <t>Crude coconut oil, from crushing, at plant/PH Economic</t>
  </si>
  <si>
    <t>Crude maize germ oil, from wet milling (germ oil production, pressing), at plant/DE Economic</t>
  </si>
  <si>
    <t>Crude maize germ oil, from wet milling (germ oil production, pressing), at plant/FR Economic</t>
  </si>
  <si>
    <t>Crude maize germ oil, from wet milling (germ oil production, pressing), at plant/NL Economic</t>
  </si>
  <si>
    <t>Crude maize germ oil, from wet milling (germ oil production, pressing), at plant/US Economic</t>
  </si>
  <si>
    <t>Crude maize germ oil, from wet milling (germ oil production, solvent), at plant/DE Economic</t>
  </si>
  <si>
    <t>Crude maize germ oil, from wet milling (germ oil production, solvent), at plant/FR Economic</t>
  </si>
  <si>
    <t>Crude maize germ oil, from wet milling (germ oil production, solvent), at plant/NL Economic</t>
  </si>
  <si>
    <t>Crude maize germ oil, from wet milling (germ oil production, solvent), at plant/US Economic</t>
  </si>
  <si>
    <t>Crude palm kernel oil, from crushing, at plant/ID Economic</t>
  </si>
  <si>
    <t>Crude palm kernel oil, from crushing, at plant/MY Economic</t>
  </si>
  <si>
    <t>Crude palm oil, from crude palm oil production, at plant/ID Economic</t>
  </si>
  <si>
    <t>Crude palm oil, from crude palm oil production, at plant/MY Economic</t>
  </si>
  <si>
    <t>Crude rapeseed oil, from crushing (pressing), at plant/BE Economic</t>
  </si>
  <si>
    <t>Crude rapeseed oil, from crushing (pressing), at plant/DE Economic</t>
  </si>
  <si>
    <t>Crude rapeseed oil, from crushing (pressing), at plant/NL Economic</t>
  </si>
  <si>
    <t>Crude rapeseed oil, from crushing (solvent), at plant/AT Economic</t>
  </si>
  <si>
    <t>Crude rapeseed oil, from crushing (solvent), at plant/BE Economic</t>
  </si>
  <si>
    <t>Crude rapeseed oil, from crushing (solvent), at plant/CZ Economic</t>
  </si>
  <si>
    <t>Crude rapeseed oil, from crushing (solvent), at plant/DE Economic</t>
  </si>
  <si>
    <t>Crude rapeseed oil, from crushing (solvent), at plant/DK Economic</t>
  </si>
  <si>
    <t>Crude rapeseed oil, from crushing (solvent), at plant/FR Economic</t>
  </si>
  <si>
    <t>Crude rapeseed oil, from crushing (solvent), at plant/NL Economic</t>
  </si>
  <si>
    <t>Crude rapeseed oil, from crushing (solvent), at plant/PL Economic</t>
  </si>
  <si>
    <t>Crude rapeseed oil, from crushing (solvent), at plant/UK Economic</t>
  </si>
  <si>
    <t>Crude rapeseed oil, from crushing (solvent), at plant/US Economic</t>
  </si>
  <si>
    <t>Crude rice bran oil, from rice bran oil production, at plant/CN Economic</t>
  </si>
  <si>
    <t>Crude soybean oil, from crushing (pressing), at plant/AR Economic</t>
  </si>
  <si>
    <t>Crude soybean oil, from crushing (pressing), at plant/BR Economic</t>
  </si>
  <si>
    <t>Crude soybean oil, from crushing (pressing), at plant/DE Economic</t>
  </si>
  <si>
    <t>Crude soybean oil, from crushing (pressing), at plant/ES Economic</t>
  </si>
  <si>
    <t>Crude soybean oil, from crushing (pressing), at plant/FR Economic</t>
  </si>
  <si>
    <t>Crude soybean oil, from crushing (pressing), at plant/IT Economic</t>
  </si>
  <si>
    <t>Crude soybean oil, from crushing (pressing), at plant/NL Economic</t>
  </si>
  <si>
    <t>Crude soybean oil, from crushing (pressing), at plant/PT Economic</t>
  </si>
  <si>
    <t>Crude soybean oil, from crushing (pressing), at plant/UK Economic</t>
  </si>
  <si>
    <t>Crude soybean oil, from crushing (solvent), at plant/AR Economic</t>
  </si>
  <si>
    <t>Crude soybean oil, from crushing (solvent), at plant/BR Economic</t>
  </si>
  <si>
    <t>Crude soybean oil, from crushing (solvent), at plant/DE Economic</t>
  </si>
  <si>
    <t>Crude soybean oil, from crushing (solvent), at plant/ES Economic</t>
  </si>
  <si>
    <t>Crude soybean oil, from crushing (solvent), at plant/FR Economic</t>
  </si>
  <si>
    <t>Crude soybean oil, from crushing (solvent), at plant/IT Economic</t>
  </si>
  <si>
    <t>Crude soybean oil, from crushing (solvent), at plant/NL Economic</t>
  </si>
  <si>
    <t>Crude soybean oil, from crushing (solvent), at plant/PT Economic</t>
  </si>
  <si>
    <t>Crude soybean oil, from crushing (solvent), at plant/UK Economic</t>
  </si>
  <si>
    <t>Crude soybean oil, from crushing (solvent), at plant/US Economic</t>
  </si>
  <si>
    <t>Crude soybean oil, from crushing (solvent, for protein concentrate), at plant/AR Economic</t>
  </si>
  <si>
    <t>Crude soybean oil, from crushing (solvent, for protein concentrate), at plant/BR Economic</t>
  </si>
  <si>
    <t>Crude soybean oil, from crushing (solvent, for protein concentrate), at plant/DE Economic</t>
  </si>
  <si>
    <t>Crude soybean oil, from crushing (solvent, for protein concentrate), at plant/ES Economic</t>
  </si>
  <si>
    <t>Crude soybean oil, from crushing (solvent, for protein concentrate), at plant/FR Economic</t>
  </si>
  <si>
    <t>Crude soybean oil, from crushing (solvent, for protein concentrate), at plant/IT Economic</t>
  </si>
  <si>
    <t>Crude soybean oil, from crushing (solvent, for protein concentrate), at plant/NL Economic</t>
  </si>
  <si>
    <t>Crude soybean oil, from crushing (solvent, for protein concentrate), at plant/PT Economic</t>
  </si>
  <si>
    <t>Crude soybean oil, from crushing (solvent, for protein concentrate), at plant/UK Economic</t>
  </si>
  <si>
    <t>Crude sunflower oil, from crushing (pressing), at plant/AR Economic</t>
  </si>
  <si>
    <t>Crude sunflower oil, from crushing (pressing), at plant/CN Economic</t>
  </si>
  <si>
    <t>Crude sunflower oil, from crushing (pressing), at plant/UA Economic</t>
  </si>
  <si>
    <t>Crude sunflower oil, from crushing (solvent), at plant/AR Economic</t>
  </si>
  <si>
    <t>Crude sunflower oil, from crushing (solvent), at plant/BG Economic</t>
  </si>
  <si>
    <t>Crude sunflower oil, from crushing (solvent), at plant/CN Economic</t>
  </si>
  <si>
    <t>Crude sunflower oil, from crushing (solvent), at plant/DE Economic</t>
  </si>
  <si>
    <t>Crude sunflower oil, from crushing (solvent), at plant/ES Economic</t>
  </si>
  <si>
    <t>Crude sunflower oil, from crushing (solvent), at plant/FR Economic</t>
  </si>
  <si>
    <t>Crude sunflower oil, from crushing (solvent), at plant/HU Economic</t>
  </si>
  <si>
    <t>Crude sunflower oil, from crushing (solvent), at plant/IT Economic</t>
  </si>
  <si>
    <t>Crude sunflower oil, from crushing (solvent), at plant/NL Economic</t>
  </si>
  <si>
    <t>Crude sunflower oil, from crushing (solvent), at plant/RO Economic</t>
  </si>
  <si>
    <t>Crude sunflower oil, from crushing (solvent), at plant/UA Economic</t>
  </si>
  <si>
    <t>Ethanol, from maize, from ethanol production, at plant/US Economic</t>
  </si>
  <si>
    <t>Liquid whey, from cheese production, at plant/NL Economic</t>
  </si>
  <si>
    <t>Maize degermed, from wet milling (degermination), at plant/DE Economic</t>
  </si>
  <si>
    <t>Maize degermed, from wet milling (degermination), at plant/FR Economic</t>
  </si>
  <si>
    <t>Maize degermed, from wet milling (degermination), at plant/NL Economic</t>
  </si>
  <si>
    <t>Maize degermed, from wet milling (degermination), at plant/US Economic</t>
  </si>
  <si>
    <t>Maize fibre/bran, dewatered, from wet milling (fibre dewatering), at plant/DE Economic</t>
  </si>
  <si>
    <t>Maize fibre/bran, dewatered, from wet milling (fibre dewatering), at plant/FR Economic</t>
  </si>
  <si>
    <t>Maize fibre/bran, dewatered, from wet milling (fibre dewatering), at plant/NL Economic</t>
  </si>
  <si>
    <t>Maize fibre/bran, dewatered, from wet milling (fibre dewatering), at plant/US Economic</t>
  </si>
  <si>
    <t>Maize fibre/bran, wet, from wet milling (grinding and screening), at plant/DE Economic</t>
  </si>
  <si>
    <t>Maize fibre/bran, wet, from wet milling (grinding and screening), at plant/FR Economic</t>
  </si>
  <si>
    <t>Maize fibre/bran, wet, from wet milling (grinding and screening), at plant/NL Economic</t>
  </si>
  <si>
    <t>Maize fibre/bran, wet, from wet milling (grinding and screening), at plant/US Economic</t>
  </si>
  <si>
    <t>Maize germ, wet, from wet milling (degermination), at plant/DE Economic</t>
  </si>
  <si>
    <t>Maize germ, wet, from wet milling (degermination), at plant/FR Economic</t>
  </si>
  <si>
    <t>Maize germ, wet, from wet milling (degermination), at plant/NL Economic</t>
  </si>
  <si>
    <t>Maize germ, wet, from wet milling (degermination), at plant/US Economic</t>
  </si>
  <si>
    <t>Maize gluten, wet, from wet milling (gluten recovery), at plant/DE Economic</t>
  </si>
  <si>
    <t>Maize gluten, wet, from wet milling (gluten recovery), at plant/FR Economic</t>
  </si>
  <si>
    <t>Maize gluten, wet, from wet milling (gluten recovery), at plant/NL Economic</t>
  </si>
  <si>
    <t>Maize gluten, wet, from wet milling (gluten recovery), at plant/US Economic</t>
  </si>
  <si>
    <t>Maize starch and gluten slurry, from wet milling (grinding and screening), at plant/DE Economic</t>
  </si>
  <si>
    <t>Maize starch and gluten slurry, from wet milling (grinding and screening), at plant/FR Economic</t>
  </si>
  <si>
    <t>Maize starch and gluten slurry, from wet milling (grinding and screening), at plant/NL Economic</t>
  </si>
  <si>
    <t>Maize starch and gluten slurry, from wet milling (grinding and screening), at plant/US Economic</t>
  </si>
  <si>
    <t>Maize starch, wet, from wet milling (gluten recovery), at plant/DE Economic</t>
  </si>
  <si>
    <t>Maize starch, wet, from wet milling (gluten recovery), at plant/FR Economic</t>
  </si>
  <si>
    <t>Maize starch, wet, from wet milling (gluten recovery), at plant/NL Economic</t>
  </si>
  <si>
    <t>Maize starch, wet, from wet milling (gluten recovery), at plant/US Economic</t>
  </si>
  <si>
    <t>Maize steepwater, wet, from wet milling (receiving and steeping), at plant/DE Economic</t>
  </si>
  <si>
    <t>Maize steepwater, wet, from wet milling (receiving and steeping), at plant/FR Economic</t>
  </si>
  <si>
    <t>Maize steepwater, wet, from wet milling (receiving and steeping), at plant/NL Economic</t>
  </si>
  <si>
    <t>Maize steepwater, wet, from wet milling (receiving and steeping), at plant/US Economic</t>
  </si>
  <si>
    <t>Maize, steeped, from wet milling (receiving and steeping), at plant/DE Economic</t>
  </si>
  <si>
    <t>Maize, steeped, from wet milling (receiving and steeping), at plant/FR Economic</t>
  </si>
  <si>
    <t>Maize, steeped, from wet milling (receiving and steeping), at plant/NL Economic</t>
  </si>
  <si>
    <t>Maize, steeped, from wet milling (receiving and steeping), at plant/US Economic</t>
  </si>
  <si>
    <t>Meatless, dehydrated (dry), rice based, at plant/NL Economic</t>
  </si>
  <si>
    <t>Meatless, hydrated (wet), rice based, at plant/NL Economic</t>
  </si>
  <si>
    <t>Meatless, hydrated (wet), tapioca based, at plant/NL Economic</t>
  </si>
  <si>
    <t>Meatless, hydrated (wet), wheat based, at plant/NL Economic</t>
  </si>
  <si>
    <t>Palm kernels, from crude palm oil production, at plant/ID Economic</t>
  </si>
  <si>
    <t>Palm kernels, from crude palm oil production, at plant/MY Economic</t>
  </si>
  <si>
    <t>Pig co-product, other, at slaughterhouse/NL Economic</t>
  </si>
  <si>
    <t>Rapeseed dried, from drying, at plant/AT Economic</t>
  </si>
  <si>
    <t>Rapeseed dried, from drying, at plant/BE Economic</t>
  </si>
  <si>
    <t>Rapeseed dried, from drying, at plant/CZ Economic</t>
  </si>
  <si>
    <t>Rapeseed dried, from drying, at plant/DE Economic</t>
  </si>
  <si>
    <t>Rapeseed dried, from drying, at plant/DK Economic</t>
  </si>
  <si>
    <t>Rapeseed dried, from drying, at plant/FR Economic</t>
  </si>
  <si>
    <t>Rapeseed dried, from drying, at plant/NL Economic</t>
  </si>
  <si>
    <t>Rapeseed dried, from drying, at plant/PL Economic</t>
  </si>
  <si>
    <t>Rapeseed dried, from drying, at plant/UK Economic</t>
  </si>
  <si>
    <t>Rapeseed dried, from drying, at plant/US Economic</t>
  </si>
  <si>
    <t>Rice bran, from dry milling, at plant/CN Economic</t>
  </si>
  <si>
    <t>Rice bran, from dry milling, parboiled, at plant/CN Economic</t>
  </si>
  <si>
    <t>Rice bran, from dry milling, raw, at plant/CN Economic</t>
  </si>
  <si>
    <t>Rice husk, from dry milling, at plant/CN Economic</t>
  </si>
  <si>
    <t>Rice husk, from dry milling, parboiled, at plant/CN Economic</t>
  </si>
  <si>
    <t>Rice husk, from dry milling, raw, at plant/CN Economic</t>
  </si>
  <si>
    <t>Soap stock (coconut oil refining), at plant/ID Economic</t>
  </si>
  <si>
    <t>Soap stock (coconut oil refining), at plant/IN Economic</t>
  </si>
  <si>
    <t>Soap stock (coconut oil refining), at plant/PH Economic</t>
  </si>
  <si>
    <t>Soap stock (maize germ oil, pressing), at plant/DE Economic</t>
  </si>
  <si>
    <t>Soap stock (maize germ oil, pressing), at plant/FR Economic</t>
  </si>
  <si>
    <t>Soap stock (maize germ oil, pressing), at plant/NL Economic</t>
  </si>
  <si>
    <t>Soap stock (maize germ oil, pressing), at plant/US Economic</t>
  </si>
  <si>
    <t>Soap stock (maize germ oil, solvent), at plant/DE Economic</t>
  </si>
  <si>
    <t>Soap stock (maize germ oil, solvent), at plant/FR Economic</t>
  </si>
  <si>
    <t>Soap stock (maize germ oil, solvent), at plant/NL Economic</t>
  </si>
  <si>
    <t>Soap stock (maize germ oil, solvent), at plant/US Economic</t>
  </si>
  <si>
    <t>Soap stock (palm kernel oil refining), at plant/ID Economic</t>
  </si>
  <si>
    <t>Soap stock (palm kernel oil refining), at plant/MY Economic</t>
  </si>
  <si>
    <t>Soap stock (rapeseed pressure crushing), at plant/BE Economic</t>
  </si>
  <si>
    <t>Soap stock (rapeseed pressure crushing), at plant/DE Economic</t>
  </si>
  <si>
    <t>Soap stock (rapeseed pressure crushing), at plant/NL Economic</t>
  </si>
  <si>
    <t>Soap stock (rapeseed solvent crushing), at plant/BE Economic</t>
  </si>
  <si>
    <t>Soap stock (rapeseed solvent crushing), at plant/DE Economic</t>
  </si>
  <si>
    <t>Soap stock (rapeseed solvent crushing), at plant/NL Economic</t>
  </si>
  <si>
    <t>Soap stock (rapeseed solvent crushing), at plant/US Economic</t>
  </si>
  <si>
    <t>Soap stock (rice bran oil refining), at plant/CN Economic</t>
  </si>
  <si>
    <t>Soap stock (soybean pressure crushing), at plant/AR Economic</t>
  </si>
  <si>
    <t>Soap stock (soybean pressure crushing), at plant/BR Economic</t>
  </si>
  <si>
    <t>Soap stock (soybean pressure crushing), at plant/NL Economic</t>
  </si>
  <si>
    <t>Soap stock (soybean protein concentrate production), at plant/AR Economic</t>
  </si>
  <si>
    <t>Soap stock (soybean protein concentrate production), at plant/BR Economic</t>
  </si>
  <si>
    <t>Soap stock (soybean protein concentrate production), at plant/DE Economic</t>
  </si>
  <si>
    <t>Soap stock (soybean protein concentrate production), at plant/ES Economic</t>
  </si>
  <si>
    <t>Soap stock (soybean protein concentrate production), at plant/IT Economic</t>
  </si>
  <si>
    <t>Soap stock (soybean protein concentrate production), at plant/NL Economic</t>
  </si>
  <si>
    <t>Soap stock (soybean protein concentrate production), at plant/PT Economic</t>
  </si>
  <si>
    <t>Soap stock (soybean protein concentrate production), at plant/UK Economic</t>
  </si>
  <si>
    <t>Soap stock (soybean solvent crushing), at plant/AR Economic</t>
  </si>
  <si>
    <t>Soap stock (soybean solvent crushing), at plant/BR Economic</t>
  </si>
  <si>
    <t>Soap stock (soybean solvent crushing), at plant/NL Economic</t>
  </si>
  <si>
    <t>Soap stock (sunflower pressure crushing), at plant/AR Economic</t>
  </si>
  <si>
    <t>Soap stock (sunflower pressure crushing), at plant/CN Economic</t>
  </si>
  <si>
    <t>Soap stock (sunflower pressure crushing), at plant/UA Economic</t>
  </si>
  <si>
    <t>Soap stock (sunflower solvent crushing), at plant/AR Economic</t>
  </si>
  <si>
    <t>Soap stock (sunflower solvent crushing), at plant/CN Economic</t>
  </si>
  <si>
    <t>Soap stock (sunflower solvent crushing), at plant/UA Economic</t>
  </si>
  <si>
    <t>Soybean molasses, from crushing (solvent, for protein concentrate), at plant/AR Economic</t>
  </si>
  <si>
    <t>Soybean molasses, from crushing (solvent, for protein concentrate), at plant/BR Economic</t>
  </si>
  <si>
    <t>Soybean molasses, from crushing (solvent, for protein concentrate), at plant/DE Economic</t>
  </si>
  <si>
    <t>Soybean molasses, from crushing (solvent, for protein concentrate), at plant/ES Economic</t>
  </si>
  <si>
    <t>Soybean molasses, from crushing (solvent, for protein concentrate), at plant/FR Economic</t>
  </si>
  <si>
    <t>Soybean molasses, from crushing (solvent, for protein concentrate), at plant/IT Economic</t>
  </si>
  <si>
    <t>Soybean molasses, from crushing (solvent, for protein concentrate), at plant/NL Economic</t>
  </si>
  <si>
    <t>Soybean molasses, from crushing (solvent, for protein concentrate), at plant/PT Economic</t>
  </si>
  <si>
    <t>Soybean molasses, from crushing (solvent, for protein concentrate), at plant/UK Economic</t>
  </si>
  <si>
    <t>Sugar beet molasses, from sugar production, at plant/BE Economic</t>
  </si>
  <si>
    <t>Sugar beet molasses, from sugar production, at plant/DE Economic</t>
  </si>
  <si>
    <t>Sugar beet molasses, from sugar production, at plant/ES Economic</t>
  </si>
  <si>
    <t>Sugar beet molasses, from sugar production, at plant/FR Economic</t>
  </si>
  <si>
    <t>Sugar beet molasses, from sugar production, at plant/IT Economic</t>
  </si>
  <si>
    <t>Sugar beet molasses, from sugar production, at plant/PL Economic</t>
  </si>
  <si>
    <t>Sugar beet molasses, from sugar production, at plant/UK Economic</t>
  </si>
  <si>
    <t>Sugar beet molasses, from sugar production, at Suiker Unie plants/NL Economic</t>
  </si>
  <si>
    <t>Sugar cane molasses, from sugar production, at plant/AU Economic</t>
  </si>
  <si>
    <t>Sugar cane molasses, from sugar production, at plant/BR Economic</t>
  </si>
  <si>
    <t>Sugar cane molasses, from sugar production, at plant/IN Economic</t>
  </si>
  <si>
    <t>Sugar cane molasses, from sugar production, at plant/PK Economic</t>
  </si>
  <si>
    <t>Sugar cane molasses, from sugar production, at plant/SD Economic</t>
  </si>
  <si>
    <t>Sugar cane molasses, from sugar production, at plant/US Economic</t>
  </si>
  <si>
    <t>Sunflower seed dehulled, from dehulling (full), at plant/AR Economic</t>
  </si>
  <si>
    <t>Sunflower seed dehulled, from dehulling (full), at plant/CN Economic</t>
  </si>
  <si>
    <t>Sunflower seed dehulled, from dehulling (full), at plant/UA Economic</t>
  </si>
  <si>
    <t>Sunflower seed partly dehulled, from dehulling (partial), at plant/AR Economic</t>
  </si>
  <si>
    <t>Sunflower seed partly dehulled, from dehulling (partial), at plant/CN Economic</t>
  </si>
  <si>
    <t>Sunflower seed partly dehulled, from dehulling (partial), at plant/UA Economic</t>
  </si>
  <si>
    <t>Technical aid, for Meatless, at plant/NL Economic</t>
  </si>
  <si>
    <t>Wheat starch slurry, from wet milling, at plant/BE Economic</t>
  </si>
  <si>
    <t>Wheat starch slurry, from wet milling, at plant/DE Economic</t>
  </si>
  <si>
    <t>Wheat starch slurry, from wet milling, at plant/ES Economic</t>
  </si>
  <si>
    <t>Wheat starch slurry, from wet milling, at plant/FR Economic</t>
  </si>
  <si>
    <t>Wheat starch slurry, from wet milling, at plant/IT Economic</t>
  </si>
  <si>
    <t>Wheat starch slurry, from wet milling, at plant/NL Economic</t>
  </si>
  <si>
    <t>Wheat starch slurry, from wet milling, at plant/UK Economic</t>
  </si>
  <si>
    <t>agricultural, plant production, cereals</t>
  </si>
  <si>
    <t>Maize, market mix, at regional storage/DE Economic</t>
  </si>
  <si>
    <t>Maize, market mix, at regional storage/FR Economic</t>
  </si>
  <si>
    <t>Maize, market mix, at regional storage/IT Economic</t>
  </si>
  <si>
    <t>Maize, market mix, at regional storage/NL Economic</t>
  </si>
  <si>
    <t>Maize, market mix, at regional storage/PL Economic</t>
  </si>
  <si>
    <t>Maize, market mix, at regional storage/US Economic</t>
  </si>
  <si>
    <t>Oat grain, market mix, at regional storage/BE Economic</t>
  </si>
  <si>
    <t>Oat grain, market mix, at regional storage/NL Economic</t>
  </si>
  <si>
    <t>Rye grain, market mix, at regional storage/BE Economic</t>
  </si>
  <si>
    <t>Rye grain, market mix, at regional storage/DE Economic</t>
  </si>
  <si>
    <t>Rye grain, market mix, at regional storage/NL Economic</t>
  </si>
  <si>
    <t>Wheat grain, market mix, at regional storage/BE Economic</t>
  </si>
  <si>
    <t>Wheat grain, market mix, at regional storage/CZ Economic</t>
  </si>
  <si>
    <t>Wheat grain, market mix, at regional storage/DE Economic</t>
  </si>
  <si>
    <t>Wheat grain, market mix, at regional storage/ES Economic</t>
  </si>
  <si>
    <t>Wheat grain, market mix, at regional storage/FR Economic</t>
  </si>
  <si>
    <t>Wheat grain, market mix, at regional storage/HU Economic</t>
  </si>
  <si>
    <t>Wheat grain, market mix, at regional storage/IT Economic</t>
  </si>
  <si>
    <t>Wheat grain, market mix, at regional storage/NL Economic</t>
  </si>
  <si>
    <t>Wheat grain, market mix, at regional storage/PL Economic</t>
  </si>
  <si>
    <t>Wheat grain, market mix, at regional storage/PT Economic</t>
  </si>
  <si>
    <t>Wheat grain, market mix, at regional storage/RO Economic</t>
  </si>
  <si>
    <t>Wheat grain, market mix, at regional storage/UK Economic</t>
  </si>
  <si>
    <t>agricultural, plant production, legumes</t>
  </si>
  <si>
    <t>Soybean, market mix, at regional storage/AR Economic</t>
  </si>
  <si>
    <t>Soybean, market mix, at regional storage/BR Economic</t>
  </si>
  <si>
    <t>Soybean, market mix, at regional storage/DE Economic</t>
  </si>
  <si>
    <t>Soybean, market mix, at regional storage/ES Economic</t>
  </si>
  <si>
    <t>Soybean, market mix, at regional storage/FR Economic</t>
  </si>
  <si>
    <t>Soybean, market mix, at regional storage/IT Economic</t>
  </si>
  <si>
    <t>Soybean, market mix, at regional storage/NL Economic</t>
  </si>
  <si>
    <t>Soybean, market mix, at regional storage/PT Economic</t>
  </si>
  <si>
    <t>Soybean, market mix, at regional storage/UK Economic</t>
  </si>
  <si>
    <t>Soybean, market mix, at regional storage/US Economic</t>
  </si>
  <si>
    <t>agricultural, plant production, oil seeds</t>
  </si>
  <si>
    <t>Rapeseed, market mix, at regional storage/AT Economic</t>
  </si>
  <si>
    <t>Rapeseed, market mix, at regional storage/BE Economic</t>
  </si>
  <si>
    <t>Rapeseed, market mix, at regional storage/CZ Economic</t>
  </si>
  <si>
    <t>Rapeseed, market mix, at regional storage/DE Economic</t>
  </si>
  <si>
    <t>Rapeseed, market mix, at regional storage/DK Economic</t>
  </si>
  <si>
    <t>Rapeseed, market mix, at regional storage/FR Economic</t>
  </si>
  <si>
    <t>Rapeseed, market mix, at regional storage/NL Economic</t>
  </si>
  <si>
    <t>Rapeseed, market mix, at regional storage/PL Economic</t>
  </si>
  <si>
    <t>Rapeseed, market mix, at regional storage/UK Economic</t>
  </si>
  <si>
    <t>Rapeseed, market mix, at regional storage/US Economic</t>
  </si>
  <si>
    <t>Sunflower seed, market mix, at regional storage/AR Economic</t>
  </si>
  <si>
    <t>Sunflower seed, market mix, at regional storage/BG Economic</t>
  </si>
  <si>
    <t>Sunflower seed, market mix, at regional storage/CN Economic</t>
  </si>
  <si>
    <t>Sunflower seed, market mix, at regional storage/DE Economic</t>
  </si>
  <si>
    <t>Sunflower seed, market mix, at regional storage/ES Economic</t>
  </si>
  <si>
    <t>Sunflower seed, market mix, at regional storage/FR Economic</t>
  </si>
  <si>
    <t>Sunflower seed, market mix, at regional storage/HU Economic</t>
  </si>
  <si>
    <t>Sunflower seed, market mix, at regional storage/IT Economic</t>
  </si>
  <si>
    <t>Sunflower seed, market mix, at regional storage/NL Economic</t>
  </si>
  <si>
    <t>Sunflower seed, market mix, at regional storage/RO Economic</t>
  </si>
  <si>
    <t>Sunflower seed, market mix, at regional storage/UA Economic</t>
  </si>
  <si>
    <t>agricultural, plant production, other</t>
  </si>
  <si>
    <t>Coconut, at farm/ID Economic</t>
  </si>
  <si>
    <t>Coconut, at farm/IN Economic</t>
  </si>
  <si>
    <t>Coconut, at farm/PH Economic</t>
  </si>
  <si>
    <t>Cotton lint, at farm/US-AL Economic</t>
  </si>
  <si>
    <t>Cotton lint, at farm/US-AR Economic</t>
  </si>
  <si>
    <t>Cotton lint, at farm/US-AZ Economic</t>
  </si>
  <si>
    <t>Cotton lint, at farm/US-CA Economic</t>
  </si>
  <si>
    <t>Cotton lint, at farm/US-GA Economic</t>
  </si>
  <si>
    <t>Cotton lint, at farm/US-LA Economic</t>
  </si>
  <si>
    <t>Cotton lint, at farm/US-MO Economic</t>
  </si>
  <si>
    <t>Cotton lint, at farm/US-MS Economic</t>
  </si>
  <si>
    <t>Cotton lint, at farm/US-NC Economic</t>
  </si>
  <si>
    <t>Cotton lint, at farm/US-SC Economic</t>
  </si>
  <si>
    <t>Cotton lint, at farm/US-TN Economic</t>
  </si>
  <si>
    <t>Cotton lint, at farm/US-TX Economic</t>
  </si>
  <si>
    <t>Cotton lint, production mix, at farm/US Economic</t>
  </si>
  <si>
    <t>Cottonseed, at farm/US-AL Economic</t>
  </si>
  <si>
    <t>Cottonseed, at farm/US-AR Economic</t>
  </si>
  <si>
    <t>Cottonseed, at farm/US-AZ Economic</t>
  </si>
  <si>
    <t>Cottonseed, at farm/US-CA Economic</t>
  </si>
  <si>
    <t>Cottonseed, at farm/US-GA Economic</t>
  </si>
  <si>
    <t>Cottonseed, at farm/US-LA Economic</t>
  </si>
  <si>
    <t>Cottonseed, at farm/US-MO Economic</t>
  </si>
  <si>
    <t>Cottonseed, at farm/US-MS Economic</t>
  </si>
  <si>
    <t>Cottonseed, at farm/US-NC Economic</t>
  </si>
  <si>
    <t>Cottonseed, at farm/US-SC Economic</t>
  </si>
  <si>
    <t>Cottonseed, at farm/US-TN Economic</t>
  </si>
  <si>
    <t>Cottonseed, at farm/US-TX Economic</t>
  </si>
  <si>
    <t>Cottonseed, production mix, at farm/US Economic</t>
  </si>
  <si>
    <t>Fodder beet, at farm/NL Economic</t>
  </si>
  <si>
    <t>Grass, at beef farm/IE Economic</t>
  </si>
  <si>
    <t>Grass, at dairy farm/NL Economic</t>
  </si>
  <si>
    <t>Groundnuts, with shell, at farm/AR Economic</t>
  </si>
  <si>
    <t>Groundnuts, with shell, at farm/CN Economic</t>
  </si>
  <si>
    <t>Groundnuts, with shell, at farm/ID Economic</t>
  </si>
  <si>
    <t>Groundnuts, with shell, at farm/IN Economic</t>
  </si>
  <si>
    <t>Groundnuts, with shell, at farm/MX Economic</t>
  </si>
  <si>
    <t>Groundnuts, with shell, at farm/SD Economic</t>
  </si>
  <si>
    <t>Groundnuts, with shell, at farm/SN Economic</t>
  </si>
  <si>
    <t>Groundnuts, with shell, at farm/UG Economic</t>
  </si>
  <si>
    <t>Groundnuts, with shell, at farm/US-AL Economic</t>
  </si>
  <si>
    <t>Groundnuts, with shell, at farm/US-FL Economic</t>
  </si>
  <si>
    <t>Groundnuts, with shell, at farm/US-GA Economic</t>
  </si>
  <si>
    <t>Groundnuts, with shell, at farm/US-NC Economic</t>
  </si>
  <si>
    <t>Groundnuts, with shell, at farm/US-TX Economic</t>
  </si>
  <si>
    <t>Groundnuts, with shell, production mix, at farm/US Economic</t>
  </si>
  <si>
    <t>Oil palm fruit bunch, at farm/ID Economic</t>
  </si>
  <si>
    <t>Oil palm fruit bunch, at farm/MY Economic</t>
  </si>
  <si>
    <t>Oil palm seedling, at farm/ID Economic</t>
  </si>
  <si>
    <t>Oil palm seedling, at farm/MY Economic</t>
  </si>
  <si>
    <t>agricultural, plant production, roots and tubers</t>
  </si>
  <si>
    <t>Potatoes, market mix, at regional storage/DE Economic</t>
  </si>
  <si>
    <t>Potatoes, market mix, at regional storage/NL Economic</t>
  </si>
  <si>
    <t>agricultural, plant production, roughage</t>
  </si>
  <si>
    <t>Lucerne, at farm/ES Economic</t>
  </si>
  <si>
    <t>Lucerne, at farm/IT Economic</t>
  </si>
  <si>
    <t>agricultural, plant production, sugar beets</t>
  </si>
  <si>
    <t>Sugar beet, market mix, at regional storage/BE Economic</t>
  </si>
  <si>
    <t>Sugar beet, market mix, at regional storage/DE Economic</t>
  </si>
  <si>
    <t>Sugar beet, market mix, at regional storage/ES Economic</t>
  </si>
  <si>
    <t>Sugar beet, market mix, at regional storage/FR Economic</t>
  </si>
  <si>
    <t>Sugar beet, market mix, at regional storage/IT Economic</t>
  </si>
  <si>
    <t>Sugar beet, market mix, at regional storage/NL Economic</t>
  </si>
  <si>
    <t>Sugar beet, market mix, at regional storage/PL Economic</t>
  </si>
  <si>
    <t>Sugar beet, market mix, at regional storage/UK Economic</t>
  </si>
  <si>
    <t>agricultural, plant production, sugar cane</t>
  </si>
  <si>
    <t>Sugar cane, at farm/AR Economic</t>
  </si>
  <si>
    <t>Sugar cane, at farm/AU Economic</t>
  </si>
  <si>
    <t>Sugar cane, at farm/BR Economic</t>
  </si>
  <si>
    <t>Sugar cane, at farm/CN Economic</t>
  </si>
  <si>
    <t>Sugar cane, at farm/CO Economic</t>
  </si>
  <si>
    <t>Sugar cane, at farm/ID Economic</t>
  </si>
  <si>
    <t>Sugar cane, at farm/IN Economic</t>
  </si>
  <si>
    <t>Sugar cane, at farm/PK Economic</t>
  </si>
  <si>
    <t>Sugar cane, at farm/SD Economic</t>
  </si>
  <si>
    <t>Sugar cane, at farm/TH Economic</t>
  </si>
  <si>
    <t>Sugar cane, at farm/US Economic</t>
  </si>
  <si>
    <t>Sugar cane, at farm/VE Economic</t>
  </si>
  <si>
    <t>agricultural, plant production, vegetables</t>
  </si>
  <si>
    <t>Broccoli, at farm/FR Economic</t>
  </si>
  <si>
    <t>Broccoli, at farm/NL Economic</t>
  </si>
  <si>
    <t>Carrot, at farm/BE Economic</t>
  </si>
  <si>
    <t>Carrot, at farm/NL Economic</t>
  </si>
  <si>
    <t>Cauliflower, at farm/ES Economic</t>
  </si>
  <si>
    <t>Cauliflower, at farm/NL Economic</t>
  </si>
  <si>
    <t>Curly kale, at farm/ES Economic</t>
  </si>
  <si>
    <t>Curly kale, at farm/NL Economic</t>
  </si>
  <si>
    <t>Onion, at farm/FR Economic</t>
  </si>
  <si>
    <t>Spinach, at farm/BE Economic</t>
  </si>
  <si>
    <t>Spinach, at farm/NL Economic</t>
  </si>
  <si>
    <t>chemicals, fertilizers (inorganic)</t>
  </si>
  <si>
    <t>Ammonia, as 100% NH3 (NPK 82-0-0), at plant/RER Economic</t>
  </si>
  <si>
    <t>Ammonia, as 100% NH3 (NPK 82-0-0), at regional storehouse/RER Economic</t>
  </si>
  <si>
    <t>Ammonium nitrate, as 100% (NH4)(NO3) (NPK 35-0-0), at plant/RER Economic</t>
  </si>
  <si>
    <t>Ammonium nitrate, as 100% (NH4)(NO3) (NPK 35-0-0), at regional storehouse/RER Economic</t>
  </si>
  <si>
    <t>Ammonium sulphate, as 100% (NH4)2SO4 (NPK 21-0-0), at plant/RER Economic</t>
  </si>
  <si>
    <t>Ammonium sulphate, as 100% (NH4)2SO4 (NPK 21-0-0), at regional storehouse/RER Economic</t>
  </si>
  <si>
    <t>Calcium ammonium nitrate (CAN), (NPK 26.5-0-0), at plant/RER Economic</t>
  </si>
  <si>
    <t>Calcium ammonium nitrate (CAN), (NPK 26.5-0-0), at regional storehouse/RER Economic</t>
  </si>
  <si>
    <t>Calcium ammonium nitrate (CAN), Nutramon, (NPK 27-0-0), at OCI Nitrogen plant/NL Economic</t>
  </si>
  <si>
    <t>copy Fertiliser (K)</t>
  </si>
  <si>
    <t>Di ammonium phosphate, as 100% (NH3)2HPO4 (NPK 22-57-0), at plant/RER Economic</t>
  </si>
  <si>
    <t>Di ammonium phosphate, as 100% (NH3)2HPO4 (NPK 22-57-0), at regional storehouse/RER Economic</t>
  </si>
  <si>
    <t>Idematapp2017 Mineral Feed, P</t>
  </si>
  <si>
    <t>Lime fertilizer, at plant/RER Economic</t>
  </si>
  <si>
    <t>Lime fertilizer, at regional storehouse/RER Economic</t>
  </si>
  <si>
    <t>Lime fertilizer, from sugar production, at plant/BE Economic</t>
  </si>
  <si>
    <t>Lime fertilizer, from sugar production, at plant/DE Economic</t>
  </si>
  <si>
    <t>Lime fertilizer, from sugar production, at plant/ES Economic</t>
  </si>
  <si>
    <t>Lime fertilizer, from sugar production, at plant/FR Economic</t>
  </si>
  <si>
    <t>Lime fertilizer, from sugar production, at plant/IT Economic</t>
  </si>
  <si>
    <t>Lime fertilizer, from sugar production, at plant/PL Economic</t>
  </si>
  <si>
    <t>Lime fertilizer, from sugar production, at plant/UK Economic</t>
  </si>
  <si>
    <t>Lime fertilizer, from sugar production, at Suiker Unie plants/NL Economic</t>
  </si>
  <si>
    <t>Liquid urea-ammonium nitrate solution (NPK 30-0-0), at plant/RER Economic</t>
  </si>
  <si>
    <t>Liquid urea-ammonium nitrate solution (NPK 30-0-0), at regional storehouse/RER Economic</t>
  </si>
  <si>
    <t>NPK compound (NPK 15-15-15), at plant/RER Economic</t>
  </si>
  <si>
    <t>NPK compound (NPK 15-15-15), at regional storehouse/RER Economic</t>
  </si>
  <si>
    <t>Phosphate rock (32% P2O5, 50% CaO) (NPK 0-32-0)/RER Economic</t>
  </si>
  <si>
    <t>PK compound (NPK 0-22-22), at plant/RER Economic</t>
  </si>
  <si>
    <t>PK compound (NPK 0-22-22), at regional storehouse/RER Economic</t>
  </si>
  <si>
    <t>Potassium chloride (NPK 0-0-60), at plant/RER Economic</t>
  </si>
  <si>
    <t>Potassium chloride (NPK 0-0-60), at regional storehouse/RER Economic</t>
  </si>
  <si>
    <t>Potassium sulphate (NPK 0-0-50), at regional storehouse/RER Economic</t>
  </si>
  <si>
    <t>Potassium sulphate (NPK 0-0-50), Mannheim process, at plant/RER Economic</t>
  </si>
  <si>
    <t>Single superphosphate, as 35% Ca(H2PO4)2 (NPK 0-21-0), at plant/RER Economic</t>
  </si>
  <si>
    <t>Single superphosphate, as 35% Ca(H2PO4)2 (NPK 0-21-0), at regional storehouse/RER Economic</t>
  </si>
  <si>
    <t>Triple superphosphate, as 80% Ca(H2PO4)2 (NPK 0-48-0), at plant/RER Economic</t>
  </si>
  <si>
    <t>Triple superphosphate, as 80% Ca(H2PO4)2 (NPK 0-48-0), at regional storehouse/RER Economic</t>
  </si>
  <si>
    <t>Urea, as 100% CO(NH2)2 (NPK 46.6-0-0), at plant/RER Economic</t>
  </si>
  <si>
    <t>Urea, as 100% CO(NH2)2 (NPK 46.6-0-0), at regional storehouse/RER Economic</t>
  </si>
  <si>
    <t>pesticides</t>
  </si>
  <si>
    <t>2-Methyl-4-chlorophenoxyacetic acid, at plant/RER Economic</t>
  </si>
  <si>
    <t>2,4-D, at plant/RER Economic</t>
  </si>
  <si>
    <t>Alachlor, at plant/RER Economic</t>
  </si>
  <si>
    <t>Aliphatic organothiophosphate insecticides, at plant/RER Economic</t>
  </si>
  <si>
    <t>Anilide herbicides, at plant/RER Economic</t>
  </si>
  <si>
    <t>Aryloxyphenoxypropionic herbicides, at plant/RER Economic</t>
  </si>
  <si>
    <t>Atrazine, at plant/RER Economic</t>
  </si>
  <si>
    <t>Benomyl, at plant/RER Economic</t>
  </si>
  <si>
    <t>Bentazone, at plant/RER Economic</t>
  </si>
  <si>
    <t>Benzimidazole fungicides, at plant/RER Economic</t>
  </si>
  <si>
    <t>Captan, at plant/RER Economic</t>
  </si>
  <si>
    <t>Carbamate insecticides, at plant/RER Economic</t>
  </si>
  <si>
    <t>Carbaryl, at plant/RER Economic</t>
  </si>
  <si>
    <t>Carbofuran, at plant/RER Economic</t>
  </si>
  <si>
    <t>Chlordimeform, at plant/RER Economic</t>
  </si>
  <si>
    <t>Chloroacetanilide herbicides, at plant/RER Economic</t>
  </si>
  <si>
    <t>Chlorotriazine herbicides, at plant/RER Economic</t>
  </si>
  <si>
    <t>Chlorsulfuron, at plant/RER Economic</t>
  </si>
  <si>
    <t>Cyanazine, at plant/RER Economic</t>
  </si>
  <si>
    <t>Cypermethrin, at plant/RER Economic</t>
  </si>
  <si>
    <t>Dicamba, at plant/RER Economic</t>
  </si>
  <si>
    <t>Dinitroaniline herbicides, at plant/RER Economic</t>
  </si>
  <si>
    <t>Dinitrophenol herbicides, at plant/RER Economic</t>
  </si>
  <si>
    <t>Dipropylthiocarbamic acid S-ethyl ester, at plant/RER Economic</t>
  </si>
  <si>
    <t>Diquat, at plant/RER Economic</t>
  </si>
  <si>
    <t>Dithiocarbamate fungicides, at plant/RER Economic</t>
  </si>
  <si>
    <t>Diuron, at plant/RER Economic</t>
  </si>
  <si>
    <t>Fluazifop-p-butyl, at plant/RER Economic</t>
  </si>
  <si>
    <t>Fluometuron, at plant/RER Economic</t>
  </si>
  <si>
    <t>Fungicide, at plant/RER Economic</t>
  </si>
  <si>
    <t>Glyphosate, at plant/RER Economic</t>
  </si>
  <si>
    <t>Herbicide, at plant/RER Economic</t>
  </si>
  <si>
    <t>Insecticide, at plant/RER Economic</t>
  </si>
  <si>
    <t>Lindane, at plant/RER Economic</t>
  </si>
  <si>
    <t>Linuron, at plant/RER Economic</t>
  </si>
  <si>
    <t>Malathion, at plant/RER Economic</t>
  </si>
  <si>
    <t>Maneb, at plant/RER Economic</t>
  </si>
  <si>
    <t>Metolachlor, at plant/RER Economic</t>
  </si>
  <si>
    <t>Organochlorine insecticides, at plant/RER Economic</t>
  </si>
  <si>
    <t>Organophosphorus herbicides, at plant/RER Economic</t>
  </si>
  <si>
    <t>Paraquat, at plant/RER Economic</t>
  </si>
  <si>
    <t>Parathion, at plant/RER Economic</t>
  </si>
  <si>
    <t>Parathion, methyl, at plant/RER Economic</t>
  </si>
  <si>
    <t>Phenoxyacetic herbicides, at plant/RER Economic</t>
  </si>
  <si>
    <t>Phenyl organothiophosphate insecticides, at plant/RER Economic</t>
  </si>
  <si>
    <t>Phenylurea herbicides, at plant/RER Economic</t>
  </si>
  <si>
    <t>Phorate, at plant/RER Economic</t>
  </si>
  <si>
    <t>Phthalimide fungicides, at plant/RER Economic</t>
  </si>
  <si>
    <t>Plant growth regulator, at plant/RER Economic</t>
  </si>
  <si>
    <t>Polymeric dithiocarbamate fungicides, at plant/RER Economic</t>
  </si>
  <si>
    <t>Propachlor, at plant/RER Economic</t>
  </si>
  <si>
    <t>Propanil, at plant/RER Economic</t>
  </si>
  <si>
    <t>Pyrethroid ester insecticides, at plant/RER Economic</t>
  </si>
  <si>
    <t>Quaternary ammonium herbicides, at plant/RER Economic</t>
  </si>
  <si>
    <t>Tetradifon, at plant/RER Economic</t>
  </si>
  <si>
    <t>Thiocarbamate herbicides, at plant/RER Economic</t>
  </si>
  <si>
    <t>Triazinylsulfonylurea herbicides, at plant/RER Economic</t>
  </si>
  <si>
    <t>Trifluralin, at plant/RER Economic</t>
  </si>
  <si>
    <t>Unclassified herbicides, at plant/RER Economic</t>
  </si>
  <si>
    <t>Product / Process</t>
  </si>
  <si>
    <t xml:space="preserve">Idemat Data. Data source: Idematapp 2021 - Delft University </t>
  </si>
  <si>
    <t>Idemat Data: Agricultural products. Source: Idemat2021, Delft University</t>
  </si>
  <si>
    <t>Macedonia</t>
  </si>
  <si>
    <t>Tunesia</t>
  </si>
  <si>
    <t>n.a.</t>
  </si>
  <si>
    <t>Fuel</t>
  </si>
  <si>
    <t xml:space="preserve">O.F.-08 Transport Means; </t>
  </si>
  <si>
    <t>Commuting-km inventory</t>
  </si>
  <si>
    <t>Commuting Inventory available?</t>
  </si>
  <si>
    <t>Business km</t>
  </si>
  <si>
    <t>Background ESCU's for business km</t>
  </si>
  <si>
    <t>Business km Inventory available?</t>
  </si>
  <si>
    <t>Foreground ESCU's for business km</t>
  </si>
  <si>
    <t>Can the organization can demonstrate an inventory of all traveled businesss km by employees (both internal and external)?</t>
  </si>
  <si>
    <t>P-B 1</t>
  </si>
  <si>
    <t>P-B 2</t>
  </si>
  <si>
    <t>P-B 3</t>
  </si>
  <si>
    <t>P-B 4</t>
  </si>
  <si>
    <t>P-B 5</t>
  </si>
  <si>
    <t>P-B 6</t>
  </si>
  <si>
    <t>P-B 7</t>
  </si>
  <si>
    <t>P-B 8</t>
  </si>
  <si>
    <t>P-B 9</t>
  </si>
  <si>
    <t>P-B 10</t>
  </si>
  <si>
    <t>P-B 11</t>
  </si>
  <si>
    <t>P-B 12</t>
  </si>
  <si>
    <t>P-B 13</t>
  </si>
  <si>
    <t/>
  </si>
  <si>
    <t>Pr 4
 a</t>
  </si>
  <si>
    <t>Removing the 20% minors</t>
  </si>
  <si>
    <t>Make material inventory</t>
  </si>
  <si>
    <t>Sort material inventory</t>
  </si>
  <si>
    <t>Incoming material inventory</t>
  </si>
  <si>
    <t>Adding services</t>
  </si>
  <si>
    <t>Pr 25</t>
  </si>
  <si>
    <t>Pr 27</t>
  </si>
  <si>
    <t>Continuation</t>
  </si>
  <si>
    <t>Verification status</t>
  </si>
  <si>
    <t>ESCU availability</t>
  </si>
  <si>
    <t>Aggregated Supplier ESCU's</t>
  </si>
  <si>
    <t>Foreground electricity supplier data ?</t>
  </si>
  <si>
    <t>P-Gen 1</t>
  </si>
  <si>
    <t>Ìnternal data and supplier data</t>
  </si>
  <si>
    <t>P-Gen 2</t>
  </si>
  <si>
    <t>All background ESCU's/unit of product</t>
  </si>
  <si>
    <t xml:space="preserve">All Background ESCU's </t>
  </si>
  <si>
    <t>Total ESCU's for purchase of fuels</t>
  </si>
  <si>
    <t>Total ESCU's for commuting</t>
  </si>
  <si>
    <t>Total ESCU's for business trips</t>
  </si>
  <si>
    <t>Total ESCU's for transport of goods</t>
  </si>
  <si>
    <t>Total ESCU's for indirect emissions</t>
  </si>
  <si>
    <t>Note</t>
  </si>
  <si>
    <t>ESCU's for emitted Harmfull Bulk Gases</t>
  </si>
  <si>
    <t>Foreground electricity data?</t>
  </si>
  <si>
    <t>P-Ab 1</t>
  </si>
  <si>
    <t>P-Ab 2</t>
  </si>
  <si>
    <t>P-Ab 3</t>
  </si>
  <si>
    <t>P-Ab 4</t>
  </si>
  <si>
    <t>P-Ab 5</t>
  </si>
  <si>
    <t>P-Ab 6</t>
  </si>
  <si>
    <t>P-Ae 1</t>
  </si>
  <si>
    <t>P-Ae 2</t>
  </si>
  <si>
    <t>Return to P-Gen 1</t>
  </si>
  <si>
    <t>No foreground result</t>
  </si>
  <si>
    <t>P-Ae 3</t>
  </si>
  <si>
    <t>P-Ae 4</t>
  </si>
  <si>
    <t>P-Ae 5</t>
  </si>
  <si>
    <t>P-Ae 6</t>
  </si>
  <si>
    <t>ESCU's/unit</t>
  </si>
  <si>
    <t>Country specific ESCU's per KwH electricity from the net.</t>
  </si>
  <si>
    <t>P-Ae 7</t>
  </si>
  <si>
    <t>Background ESCU's/KwH</t>
  </si>
  <si>
    <t xml:space="preserve">Country unknown </t>
  </si>
  <si>
    <t>Purchased KwH/unit</t>
  </si>
  <si>
    <t>P-Ae 8</t>
  </si>
  <si>
    <t>P-Ae 9</t>
  </si>
  <si>
    <t>Foreground ESCU's/KwH</t>
  </si>
  <si>
    <t>Electricity</t>
  </si>
  <si>
    <t>Fuels</t>
  </si>
  <si>
    <t>Transport: Commuting of workers</t>
  </si>
  <si>
    <t>Transport: business trips</t>
  </si>
  <si>
    <t>Transport: goods</t>
  </si>
  <si>
    <t>Costs of mititation/KwH</t>
  </si>
  <si>
    <t xml:space="preserve">ESCU's/KwH from supplier data </t>
  </si>
  <si>
    <t>P-Af 1</t>
  </si>
  <si>
    <t>P-Af 3</t>
  </si>
  <si>
    <t>P-Af 4</t>
  </si>
  <si>
    <t>P-Af 5</t>
  </si>
  <si>
    <t>P-Atc 1</t>
  </si>
  <si>
    <t>P-Atc 2</t>
  </si>
  <si>
    <t>P-Atc 3</t>
  </si>
  <si>
    <t>P-Atc 4</t>
  </si>
  <si>
    <t>P-Atc 5</t>
  </si>
  <si>
    <t>P-Atc 6</t>
  </si>
  <si>
    <t>P-Atb 1</t>
  </si>
  <si>
    <t>P-Atb 2</t>
  </si>
  <si>
    <t>P-Atb 3</t>
  </si>
  <si>
    <t>P-Atb 4</t>
  </si>
  <si>
    <t>P-Atg 1</t>
  </si>
  <si>
    <t>P-Atg 2</t>
  </si>
  <si>
    <t>P-Atg 3</t>
  </si>
  <si>
    <t>P-Atg 4</t>
  </si>
  <si>
    <t>P-Aig 1</t>
  </si>
  <si>
    <t>P-Aig 2</t>
  </si>
  <si>
    <t>P-Aig 3</t>
  </si>
  <si>
    <t>This section considers upstream ESCU's for purchased fuels; combustion ESCU's were considered above.</t>
  </si>
  <si>
    <t>Goto P-Atc 6</t>
  </si>
  <si>
    <t>Goto P-Abt 4</t>
  </si>
  <si>
    <t>Transport mode</t>
  </si>
  <si>
    <t xml:space="preserve">Transport, air                                                                   </t>
  </si>
  <si>
    <t>km</t>
  </si>
  <si>
    <t>Sheet Idemat - Transport of Goods</t>
  </si>
  <si>
    <t>List P-Aig 1</t>
  </si>
  <si>
    <t xml:space="preserve">Pol.Data </t>
  </si>
  <si>
    <t>Calculate ESCU's based on the ESCU's for gasses in sheet Pol.Data- "ESCU calculation on type A  pollution" and Pol.Data-"emissions".</t>
  </si>
  <si>
    <t>List of indirect gas emissions</t>
  </si>
  <si>
    <t>Van for goods           Diesel; Driver only</t>
  </si>
  <si>
    <t>Emissions Transport of goods</t>
  </si>
  <si>
    <t>W 2</t>
  </si>
  <si>
    <t>W 3</t>
  </si>
  <si>
    <t>W 4</t>
  </si>
  <si>
    <t>W 5</t>
  </si>
  <si>
    <t>W 6</t>
  </si>
  <si>
    <t>W 7</t>
  </si>
  <si>
    <t>W 8</t>
  </si>
  <si>
    <t>W 10</t>
  </si>
  <si>
    <t>Internal reuse 
or recycling</t>
  </si>
  <si>
    <t>External recycling 
into an external product</t>
  </si>
  <si>
    <t>Not recycled</t>
  </si>
  <si>
    <t>Waste category</t>
  </si>
  <si>
    <t>Quickly biodegradable natural materials</t>
  </si>
  <si>
    <t>Quickly biodegradable synthetic materials (degraded into non toxic chemicals)</t>
  </si>
  <si>
    <t>Wood, paper and other slowly biodegradable materials</t>
  </si>
  <si>
    <t>Leather</t>
  </si>
  <si>
    <t>Plastics</t>
  </si>
  <si>
    <t>Foils</t>
  </si>
  <si>
    <t>Moulded Containers</t>
  </si>
  <si>
    <t>EPS (expanded Polystyrene)</t>
  </si>
  <si>
    <t>Unpolluted Soil, humus, compost</t>
  </si>
  <si>
    <t>Concrete, cement</t>
  </si>
  <si>
    <t>Stone, gravel, sand</t>
  </si>
  <si>
    <t>Other inert non-organic material going to landfill</t>
  </si>
  <si>
    <t>Iron, steel, other magnetic material</t>
  </si>
  <si>
    <t>Tinplate</t>
  </si>
  <si>
    <t>Aluminum</t>
  </si>
  <si>
    <t>Titanium</t>
  </si>
  <si>
    <t>Gold, Silver, Platina and other precious metals</t>
  </si>
  <si>
    <t>Fabric from natural sources (cotton, linnen)</t>
  </si>
  <si>
    <t>Fabric from synthetic sources</t>
  </si>
  <si>
    <t>Glass</t>
  </si>
  <si>
    <t>Paper, carton</t>
  </si>
  <si>
    <t>Composite cartons/Beverage cartons</t>
  </si>
  <si>
    <t>Other composits</t>
  </si>
  <si>
    <t>Paint</t>
  </si>
  <si>
    <t>Ceramics</t>
  </si>
  <si>
    <t>Glue, latex</t>
  </si>
  <si>
    <t>Solvents</t>
  </si>
  <si>
    <t>Rubber</t>
  </si>
  <si>
    <t>Batteries</t>
  </si>
  <si>
    <t>% of materials that becomes waste</t>
  </si>
  <si>
    <t>Agriculture</t>
  </si>
  <si>
    <t>Food manufacturing</t>
  </si>
  <si>
    <t>Textile</t>
  </si>
  <si>
    <t>Wood and paper</t>
  </si>
  <si>
    <t>Mineral oil</t>
  </si>
  <si>
    <t>Chemistry</t>
  </si>
  <si>
    <t>Construction materials</t>
  </si>
  <si>
    <t>Basic metals</t>
  </si>
  <si>
    <t>Metal products</t>
  </si>
  <si>
    <t>Electronics</t>
  </si>
  <si>
    <t>Electric equipment</t>
  </si>
  <si>
    <t>Machines</t>
  </si>
  <si>
    <t>Transport means</t>
  </si>
  <si>
    <t>Repair and installation</t>
  </si>
  <si>
    <t>Power supply</t>
  </si>
  <si>
    <t>Water and waste treatment and management</t>
  </si>
  <si>
    <t>Services</t>
  </si>
  <si>
    <t>Mining Iron</t>
  </si>
  <si>
    <t>Mining Copper</t>
  </si>
  <si>
    <t>Mining Gold</t>
  </si>
  <si>
    <t xml:space="preserve">Mining Zinc </t>
  </si>
  <si>
    <t>Mining Lead</t>
  </si>
  <si>
    <t>Mining Aluminium</t>
  </si>
  <si>
    <t>Mining Manganese</t>
  </si>
  <si>
    <t>Mining Nickel</t>
  </si>
  <si>
    <t>Mining Tin</t>
  </si>
  <si>
    <t>Mining Tungsten</t>
  </si>
  <si>
    <t>Mining other metals</t>
  </si>
  <si>
    <t>Mining Natural Gas</t>
  </si>
  <si>
    <t>Mining Coal</t>
  </si>
  <si>
    <t>Mining Oil</t>
  </si>
  <si>
    <t>Mining rock, marble, stone, sand</t>
  </si>
  <si>
    <t xml:space="preserve">Mining other materials </t>
  </si>
  <si>
    <t>ESCU's (€/kg.)</t>
  </si>
  <si>
    <t>Foreground data?</t>
  </si>
  <si>
    <t>Background waste quantities</t>
  </si>
  <si>
    <t xml:space="preserve">Internal Data  </t>
  </si>
  <si>
    <t>Foreground Data?</t>
  </si>
  <si>
    <t>Child labor</t>
  </si>
  <si>
    <t>Underpayment?</t>
  </si>
  <si>
    <t>Waste materials and categories</t>
  </si>
  <si>
    <t>Waste Category</t>
  </si>
  <si>
    <t xml:space="preserve">Methane recovered from Landfill or fermentation (Kg./unit of product) </t>
  </si>
  <si>
    <t>Energy recovered from incineration (KwH/unit of product).</t>
  </si>
  <si>
    <t>(All quantities at the stage of the supply chain</t>
  </si>
  <si>
    <t>Sales Price</t>
  </si>
  <si>
    <t>Total ESCU's for Gate to Gate Waste</t>
  </si>
  <si>
    <t>Expected Mitigation %</t>
  </si>
  <si>
    <t>Inventory of gate to gate waste</t>
  </si>
  <si>
    <t xml:space="preserve">Form "Waste materials and categories" </t>
  </si>
  <si>
    <t>Background Waste quantities</t>
  </si>
  <si>
    <t>Foreground Waste quantities</t>
  </si>
  <si>
    <t>Goto W 7</t>
  </si>
  <si>
    <t xml:space="preserve">Calculated Foreground data  </t>
  </si>
  <si>
    <t xml:space="preserve">Calculated Background data  </t>
  </si>
  <si>
    <t>Mitigation for power regeneration</t>
  </si>
  <si>
    <t>Mitigation for methane regeneration</t>
  </si>
  <si>
    <t>Data for generenated power</t>
  </si>
  <si>
    <t>Data for generenated methane</t>
  </si>
  <si>
    <t>W 9</t>
  </si>
  <si>
    <t>ESCU's for recycled waste</t>
  </si>
  <si>
    <t>See Column X</t>
  </si>
  <si>
    <t>Total ESCU's for waste per unit of product</t>
  </si>
  <si>
    <t>Total ESCU's for Type C Pollution</t>
  </si>
  <si>
    <t>P-C 12</t>
  </si>
  <si>
    <t>Harmfull product constituents</t>
  </si>
  <si>
    <t>List P-C-4</t>
  </si>
  <si>
    <t>Sheet Idemat Data</t>
  </si>
  <si>
    <t>Background data</t>
  </si>
  <si>
    <t>Energy sector?</t>
  </si>
  <si>
    <t>Internal and Supplier data</t>
  </si>
  <si>
    <t>list W 9</t>
  </si>
  <si>
    <t>W 11</t>
  </si>
  <si>
    <t>For polluted waste with landfill- or unknown destination, extra ESCU's are allocated.
Based on list P-C-4 in sheet "Pollution and Climate" and the same data from the suppliers (see P-C-11 in sheet "pollution and Climate") , make a list of potentially present harmfull chemicals in the waste materials. At any doubts on the identity and quantities of present chemicals in the waste materials, have them analysed by a therefore accredited body.</t>
  </si>
  <si>
    <t>W 12</t>
  </si>
  <si>
    <t>Polluting harmfull chemicals in waste</t>
  </si>
  <si>
    <t>ESCU's for pollution via waste</t>
  </si>
  <si>
    <t>Polluting chemicals in waste</t>
  </si>
  <si>
    <t>Total ESCU's for Product Use related public health risks</t>
  </si>
  <si>
    <t>Product wage sum</t>
  </si>
  <si>
    <t>Category</t>
  </si>
  <si>
    <t>Product Use</t>
  </si>
  <si>
    <t>Bonus</t>
  </si>
  <si>
    <t>Land Use</t>
  </si>
  <si>
    <t>Waste</t>
  </si>
  <si>
    <t>Public Health</t>
  </si>
  <si>
    <t>Corruption &amp; Violence</t>
  </si>
  <si>
    <t>Economic</t>
  </si>
  <si>
    <t>Land 
degradation &amp; Biodiversity</t>
  </si>
  <si>
    <t>Purchase ESCU's</t>
  </si>
  <si>
    <t>Gate 2 Gate ESCU's</t>
  </si>
  <si>
    <t>Product Use ESCU's</t>
  </si>
  <si>
    <t>End of Life ESCU's</t>
  </si>
  <si>
    <t>Planet</t>
  </si>
  <si>
    <t>People</t>
  </si>
  <si>
    <t>Prosperity</t>
  </si>
  <si>
    <t>Purchase-Pollution</t>
  </si>
  <si>
    <t>Purchase-Depletion</t>
  </si>
  <si>
    <t>Purchase-Land use</t>
  </si>
  <si>
    <t>Purchase-  Biodiversity</t>
  </si>
  <si>
    <t>Purchase-Waste</t>
  </si>
  <si>
    <t>Purchase Public Health</t>
  </si>
  <si>
    <t>Purchase Labor</t>
  </si>
  <si>
    <t>Purchase various Social</t>
  </si>
  <si>
    <t>Purchase Economic</t>
  </si>
  <si>
    <t>Purchase Corr. &amp; Violence</t>
  </si>
  <si>
    <t>Gate to Gate</t>
  </si>
  <si>
    <t>G2G-Pollution</t>
  </si>
  <si>
    <t>G2G-Depletion</t>
  </si>
  <si>
    <t>G2G-Land use</t>
  </si>
  <si>
    <t>G2G -  Biodiversity</t>
  </si>
  <si>
    <t>G2G -Waste</t>
  </si>
  <si>
    <t>G2G Public Health</t>
  </si>
  <si>
    <t>G2G Labor</t>
  </si>
  <si>
    <t>G2G Economic</t>
  </si>
  <si>
    <t>G2G Corr. &amp; Violence</t>
  </si>
  <si>
    <t>Total Pollution</t>
  </si>
  <si>
    <t>Total Depletion</t>
  </si>
  <si>
    <t>Total Land Use</t>
  </si>
  <si>
    <t>Total Land 
degradation &amp; Biodiversity</t>
  </si>
  <si>
    <t>Total Waste</t>
  </si>
  <si>
    <t>Total Public Health</t>
  </si>
  <si>
    <t>Total Labor</t>
  </si>
  <si>
    <t>Total Various 
Social 
Aspects</t>
  </si>
  <si>
    <t>Total Economic</t>
  </si>
  <si>
    <t>Total Corruption &amp; Violence</t>
  </si>
  <si>
    <t>Use- Pollution</t>
  </si>
  <si>
    <t>Use-Public Health</t>
  </si>
  <si>
    <t>End of Life- Pollution</t>
  </si>
  <si>
    <t>End of Life- Waste</t>
  </si>
  <si>
    <t>Values</t>
  </si>
  <si>
    <t>Procedure</t>
  </si>
  <si>
    <t xml:space="preserve">   Study the internet for LCA's, databases, footprints, I-O Databases, LCA tools (e.g. Open LCA, Gabi and Sima-Pro(, other suppliers and other data on the relevant materials in order to find the 3 most likely supply chains back to origin. If supply chains vary, assess at least 3 supply chains (or covering a maximum of 80% of the relevant supply chains) for each lacking ESCU score. </t>
  </si>
  <si>
    <t>Lowest GNI country</t>
  </si>
  <si>
    <t>Social and Economic Aspects</t>
  </si>
  <si>
    <t>Location correction</t>
  </si>
  <si>
    <t>Corrected ESCU's for the aspect</t>
  </si>
  <si>
    <t>Determine the ESCU's for the aspect under assessment for the determined location and return to the relevant sheet.</t>
  </si>
  <si>
    <t>Procedure for various aspects ( e.g. Water depletion and Electricity from the net)</t>
  </si>
  <si>
    <t>Total ESCU's for Depletion</t>
  </si>
  <si>
    <t>Total ESCU's for Land Occupation</t>
  </si>
  <si>
    <t>Employment contract time</t>
  </si>
  <si>
    <t>OHS</t>
  </si>
  <si>
    <t>PHS</t>
  </si>
  <si>
    <t>UHS</t>
  </si>
  <si>
    <t>of wage sum</t>
  </si>
  <si>
    <t>Product price</t>
  </si>
  <si>
    <t>Organization provided price factors</t>
  </si>
  <si>
    <t>Determine organization's governance level on Product Health and Safety Risks, considering the issues and conditions raised in section O.S. section 12.4.7.1, and determine the reducing multiplication (RMF)</t>
  </si>
  <si>
    <t>Total ESCU's for Labor</t>
  </si>
  <si>
    <t xml:space="preserve">Preliminary Maximum ESCU's </t>
  </si>
  <si>
    <t>of profit margin</t>
  </si>
  <si>
    <r>
      <t>1.</t>
    </r>
    <r>
      <rPr>
        <sz val="7"/>
        <color theme="1"/>
        <rFont val="Times New Roman"/>
        <family val="1"/>
      </rPr>
      <t xml:space="preserve">       </t>
    </r>
    <r>
      <rPr>
        <sz val="11"/>
        <color theme="1"/>
        <rFont val="Calibri"/>
        <family val="2"/>
        <scheme val="minor"/>
      </rPr>
      <t>Absence of an at least 5 year sustainability development plan with allocated finances.</t>
    </r>
  </si>
  <si>
    <r>
      <t>2.</t>
    </r>
    <r>
      <rPr>
        <sz val="7"/>
        <color theme="1"/>
        <rFont val="Times New Roman"/>
        <family val="1"/>
      </rPr>
      <t xml:space="preserve">       </t>
    </r>
    <r>
      <rPr>
        <sz val="11"/>
        <color theme="1"/>
        <rFont val="Calibri"/>
        <family val="2"/>
        <scheme val="minor"/>
      </rPr>
      <t xml:space="preserve">Discrimination in personnel policy, advertising or other communication considering sexes, health, handicap, religion, race, origin, age, political conviction, pregnancy or migrants, including unequal gender distribution in the organization’s leadership. </t>
    </r>
  </si>
  <si>
    <r>
      <t>3.</t>
    </r>
    <r>
      <rPr>
        <sz val="7"/>
        <color theme="1"/>
        <rFont val="Times New Roman"/>
        <family val="1"/>
      </rPr>
      <t xml:space="preserve">       </t>
    </r>
    <r>
      <rPr>
        <sz val="11"/>
        <color theme="1"/>
        <rFont val="Calibri"/>
        <family val="2"/>
        <scheme val="minor"/>
      </rPr>
      <t>Lack of efforts to stimulate labor participation of minorities, disabled and underprivileged. However, this standard does recognize the necessity of well qualified personnel for the job.</t>
    </r>
  </si>
  <si>
    <r>
      <t>4.</t>
    </r>
    <r>
      <rPr>
        <sz val="7"/>
        <color theme="1"/>
        <rFont val="Times New Roman"/>
        <family val="1"/>
      </rPr>
      <t xml:space="preserve">       </t>
    </r>
    <r>
      <rPr>
        <sz val="11"/>
        <color theme="1"/>
        <rFont val="Calibri"/>
        <family val="2"/>
        <scheme val="minor"/>
      </rPr>
      <t>Physical or mental violence and harassment to persons inside or outside of the organization.</t>
    </r>
  </si>
  <si>
    <r>
      <t>6.</t>
    </r>
    <r>
      <rPr>
        <sz val="7"/>
        <color theme="1"/>
        <rFont val="Times New Roman"/>
        <family val="1"/>
      </rPr>
      <t xml:space="preserve">       </t>
    </r>
    <r>
      <rPr>
        <sz val="11"/>
        <color theme="1"/>
        <rFont val="Calibri"/>
        <family val="2"/>
        <scheme val="minor"/>
      </rPr>
      <t>Advertising without respect for groups of the society, such as stereotyping, or advertising on media that divide instead of connect, or on media that do not prevent use by others of their media to divide or mislead.</t>
    </r>
  </si>
  <si>
    <r>
      <t>7.</t>
    </r>
    <r>
      <rPr>
        <sz val="7"/>
        <color theme="1"/>
        <rFont val="Times New Roman"/>
        <family val="1"/>
      </rPr>
      <t xml:space="preserve">       </t>
    </r>
    <r>
      <rPr>
        <sz val="11"/>
        <color theme="1"/>
        <rFont val="Calibri"/>
        <family val="2"/>
        <scheme val="minor"/>
      </rPr>
      <t xml:space="preserve">Lack of demonstrable involvement of vulnerable groups and lack of avoiding discrimination by gender, race or other, and in low income countries of local suppliers. </t>
    </r>
  </si>
  <si>
    <r>
      <t>8.</t>
    </r>
    <r>
      <rPr>
        <sz val="7"/>
        <color theme="1"/>
        <rFont val="Times New Roman"/>
        <family val="1"/>
      </rPr>
      <t xml:space="preserve">       </t>
    </r>
    <r>
      <rPr>
        <sz val="11"/>
        <color theme="1"/>
        <rFont val="Calibri"/>
        <family val="2"/>
        <scheme val="minor"/>
      </rPr>
      <t>Payment of suppliers,, employees or other workers more than 30 days after delivery or after the agreed limit of the payment date.</t>
    </r>
  </si>
  <si>
    <r>
      <t>9.</t>
    </r>
    <r>
      <rPr>
        <sz val="7"/>
        <color theme="1"/>
        <rFont val="Times New Roman"/>
        <family val="1"/>
      </rPr>
      <t xml:space="preserve">       </t>
    </r>
    <r>
      <rPr>
        <sz val="11"/>
        <color theme="1"/>
        <rFont val="Calibri"/>
        <family val="2"/>
        <scheme val="minor"/>
      </rPr>
      <t>Illegal use of a brand name, knowledge, domain, design or intellectual property of others, use of origin statements without substantial activities at the relevant location.</t>
    </r>
  </si>
  <si>
    <r>
      <t>10.</t>
    </r>
    <r>
      <rPr>
        <sz val="7"/>
        <color theme="1"/>
        <rFont val="Times New Roman"/>
        <family val="1"/>
      </rPr>
      <t xml:space="preserve">   </t>
    </r>
    <r>
      <rPr>
        <sz val="11"/>
        <color theme="1"/>
        <rFont val="Calibri"/>
        <family val="2"/>
        <scheme val="minor"/>
      </rPr>
      <t>Violation of property rights of both tangible goods and intellectual property.</t>
    </r>
  </si>
  <si>
    <r>
      <t>11.</t>
    </r>
    <r>
      <rPr>
        <sz val="7"/>
        <color theme="1"/>
        <rFont val="Times New Roman"/>
        <family val="1"/>
      </rPr>
      <t xml:space="preserve">   </t>
    </r>
    <r>
      <rPr>
        <sz val="11"/>
        <color theme="1"/>
        <rFont val="Calibri"/>
        <family val="2"/>
        <scheme val="minor"/>
      </rPr>
      <t>The use of property rights based on DNA properties directly from nature (e.g. natural seeds).</t>
    </r>
  </si>
  <si>
    <r>
      <t>12.</t>
    </r>
    <r>
      <rPr>
        <sz val="7"/>
        <color theme="1"/>
        <rFont val="Times New Roman"/>
        <family val="1"/>
      </rPr>
      <t xml:space="preserve">   </t>
    </r>
    <r>
      <rPr>
        <sz val="11"/>
        <color theme="1"/>
        <rFont val="Calibri"/>
        <family val="2"/>
        <scheme val="minor"/>
      </rPr>
      <t>The use of property rights on food and health products longer than 5 years based on DNA properties of material derived from nature (e.g. by plant breeding or modified DNA).</t>
    </r>
  </si>
  <si>
    <r>
      <t>13.</t>
    </r>
    <r>
      <rPr>
        <sz val="7"/>
        <color theme="1"/>
        <rFont val="Times New Roman"/>
        <family val="1"/>
      </rPr>
      <t xml:space="preserve">   </t>
    </r>
    <r>
      <rPr>
        <sz val="11"/>
        <color theme="1"/>
        <rFont val="Calibri"/>
        <family val="2"/>
        <scheme val="minor"/>
      </rPr>
      <t>The use of property rights on sustainability enhancing developments, longer than 5 years.</t>
    </r>
  </si>
  <si>
    <r>
      <t>14.</t>
    </r>
    <r>
      <rPr>
        <sz val="7"/>
        <color theme="1"/>
        <rFont val="Times New Roman"/>
        <family val="1"/>
      </rPr>
      <t xml:space="preserve">   </t>
    </r>
    <r>
      <rPr>
        <sz val="11"/>
        <color theme="1"/>
        <rFont val="Calibri"/>
        <family val="2"/>
        <scheme val="minor"/>
      </rPr>
      <t>Under-market compensation for acquired property and using any pressure to acquire property.</t>
    </r>
  </si>
  <si>
    <r>
      <t>15.</t>
    </r>
    <r>
      <rPr>
        <sz val="7"/>
        <color theme="1"/>
        <rFont val="Times New Roman"/>
        <family val="1"/>
      </rPr>
      <t xml:space="preserve">   </t>
    </r>
    <r>
      <rPr>
        <sz val="11"/>
        <color theme="1"/>
        <rFont val="Calibri"/>
        <family val="2"/>
        <scheme val="minor"/>
      </rPr>
      <t>Disrespect for not well defined traditional property, e.g. involving indigenous people, or their culture and rights.</t>
    </r>
  </si>
  <si>
    <r>
      <t>16.</t>
    </r>
    <r>
      <rPr>
        <sz val="7"/>
        <color theme="1"/>
        <rFont val="Times New Roman"/>
        <family val="1"/>
      </rPr>
      <t xml:space="preserve">   </t>
    </r>
    <r>
      <rPr>
        <sz val="11"/>
        <color theme="1"/>
        <rFont val="Calibri"/>
        <family val="2"/>
        <scheme val="minor"/>
      </rPr>
      <t>Advertising with potential wins, prizes or profits without publishing the chance, or advertising subscriptions with temporary reductions without mentioning the expiration data of the reduction and what cost may be expected after the reduction period. (exception: lotteries and other products that present this chance/risk ratio and the related uncertainty as the product itself).</t>
    </r>
  </si>
  <si>
    <r>
      <t>18.</t>
    </r>
    <r>
      <rPr>
        <sz val="7"/>
        <color theme="1"/>
        <rFont val="Times New Roman"/>
        <family val="1"/>
      </rPr>
      <t xml:space="preserve">   </t>
    </r>
    <r>
      <rPr>
        <sz val="11"/>
        <color theme="1"/>
        <rFont val="Calibri"/>
        <family val="2"/>
        <scheme val="minor"/>
      </rPr>
      <t>Use of health claims without reference to published independent scientific evidence of their correctness.</t>
    </r>
  </si>
  <si>
    <r>
      <t>19.</t>
    </r>
    <r>
      <rPr>
        <sz val="7"/>
        <color theme="1"/>
        <rFont val="Times New Roman"/>
        <family val="1"/>
      </rPr>
      <t xml:space="preserve">   </t>
    </r>
    <r>
      <rPr>
        <sz val="11"/>
        <color theme="1"/>
        <rFont val="Calibri"/>
        <family val="2"/>
        <scheme val="minor"/>
      </rPr>
      <t>Use of misinformation on the product or on the purpose/circumstances.</t>
    </r>
  </si>
  <si>
    <r>
      <t>20.</t>
    </r>
    <r>
      <rPr>
        <sz val="7"/>
        <color theme="1"/>
        <rFont val="Times New Roman"/>
        <family val="1"/>
      </rPr>
      <t xml:space="preserve">   </t>
    </r>
    <r>
      <rPr>
        <sz val="11"/>
        <color theme="1"/>
        <rFont val="Calibri"/>
        <family val="2"/>
        <scheme val="minor"/>
      </rPr>
      <t>Communicating negative information on competing products and companies.</t>
    </r>
  </si>
  <si>
    <r>
      <t>22.</t>
    </r>
    <r>
      <rPr>
        <sz val="7"/>
        <color theme="1"/>
        <rFont val="Times New Roman"/>
        <family val="1"/>
      </rPr>
      <t xml:space="preserve">   </t>
    </r>
    <r>
      <rPr>
        <sz val="11"/>
        <color theme="1"/>
        <rFont val="Calibri"/>
        <family val="2"/>
        <scheme val="minor"/>
      </rPr>
      <t>Incomplete, ambiguous, insufficient transparency of vital information, or information that raises expectations not conforming the product, on packaging, information leaflets, contracts, webpages, prospectus and other ways of communication about the product.</t>
    </r>
  </si>
  <si>
    <r>
      <t>23.</t>
    </r>
    <r>
      <rPr>
        <sz val="7"/>
        <color theme="1"/>
        <rFont val="Times New Roman"/>
        <family val="1"/>
      </rPr>
      <t xml:space="preserve">   </t>
    </r>
    <r>
      <rPr>
        <sz val="11"/>
        <color theme="1"/>
        <rFont val="Calibri"/>
        <family val="2"/>
        <scheme val="minor"/>
      </rPr>
      <t>(Risk of) violation of privacy.</t>
    </r>
  </si>
  <si>
    <r>
      <t>a)</t>
    </r>
    <r>
      <rPr>
        <sz val="7"/>
        <color theme="1"/>
        <rFont val="Times New Roman"/>
        <family val="1"/>
      </rPr>
      <t xml:space="preserve">       </t>
    </r>
    <r>
      <rPr>
        <sz val="11"/>
        <color theme="1"/>
        <rFont val="Calibri"/>
        <family val="2"/>
        <scheme val="minor"/>
      </rPr>
      <t>Spam, uninvited telemarketing or other methods of violating the privacy of private persons.</t>
    </r>
  </si>
  <si>
    <r>
      <t>b)</t>
    </r>
    <r>
      <rPr>
        <sz val="7"/>
        <color theme="1"/>
        <rFont val="Times New Roman"/>
        <family val="1"/>
      </rPr>
      <t xml:space="preserve">      </t>
    </r>
    <r>
      <rPr>
        <sz val="11"/>
        <color theme="1"/>
        <rFont val="Calibri"/>
        <family val="2"/>
        <scheme val="minor"/>
      </rPr>
      <t>Keeping, disclosing or using personal data without a proper reason or without knowledge of the involved persons.</t>
    </r>
  </si>
  <si>
    <r>
      <t>c)</t>
    </r>
    <r>
      <rPr>
        <sz val="7"/>
        <color theme="1"/>
        <rFont val="Times New Roman"/>
        <family val="1"/>
      </rPr>
      <t xml:space="preserve">       </t>
    </r>
    <r>
      <rPr>
        <sz val="11"/>
        <color theme="1"/>
        <rFont val="Calibri"/>
        <family val="2"/>
        <scheme val="minor"/>
      </rPr>
      <t>Insufficient protection of personal data, both physically and digital.</t>
    </r>
  </si>
  <si>
    <r>
      <t>24.</t>
    </r>
    <r>
      <rPr>
        <sz val="7"/>
        <color theme="1"/>
        <rFont val="Times New Roman"/>
        <family val="1"/>
      </rPr>
      <t xml:space="preserve">   </t>
    </r>
    <r>
      <rPr>
        <sz val="11"/>
        <color theme="1"/>
        <rFont val="Calibri"/>
        <family val="2"/>
        <scheme val="minor"/>
      </rPr>
      <t>Noise (&gt;50 decibels in living areas), vibration, smell, dust, traffic in living areas or other disturbances to people, where this matter is not covered by the section on public health.</t>
    </r>
  </si>
  <si>
    <r>
      <t>25.</t>
    </r>
    <r>
      <rPr>
        <sz val="7"/>
        <color theme="1"/>
        <rFont val="Times New Roman"/>
        <family val="1"/>
      </rPr>
      <t xml:space="preserve">   </t>
    </r>
    <r>
      <rPr>
        <sz val="11"/>
        <color theme="1"/>
        <rFont val="Calibri"/>
        <family val="2"/>
        <scheme val="minor"/>
      </rPr>
      <t>Earthquake- or flood risks due to operations, in areas where it may damage others.</t>
    </r>
  </si>
  <si>
    <r>
      <t>26.</t>
    </r>
    <r>
      <rPr>
        <sz val="7"/>
        <color theme="1"/>
        <rFont val="Times New Roman"/>
        <family val="1"/>
      </rPr>
      <t xml:space="preserve">   </t>
    </r>
    <r>
      <rPr>
        <sz val="11"/>
        <color theme="1"/>
        <rFont val="Calibri"/>
        <family val="2"/>
        <scheme val="minor"/>
      </rPr>
      <t>Damage of cultural heritage.</t>
    </r>
  </si>
  <si>
    <r>
      <t>27.</t>
    </r>
    <r>
      <rPr>
        <sz val="7"/>
        <color theme="1"/>
        <rFont val="Times New Roman"/>
        <family val="1"/>
      </rPr>
      <t xml:space="preserve">   </t>
    </r>
    <r>
      <rPr>
        <sz val="11"/>
        <color theme="1"/>
        <rFont val="Calibri"/>
        <family val="2"/>
        <scheme val="minor"/>
      </rPr>
      <t>Lack of easy access to service desks for complaints and grievances.</t>
    </r>
  </si>
  <si>
    <t xml:space="preserve">27 Various social Issues to be considered </t>
  </si>
  <si>
    <t>List of various social issues</t>
  </si>
  <si>
    <t xml:space="preserve">5-y Average of median margins per year (2016-2020) of 3610 US companies </t>
  </si>
  <si>
    <t>Agricultural Production Crops (27)</t>
  </si>
  <si>
    <t>Agriculture production livestock and animal specialties (6)</t>
  </si>
  <si>
    <t>Agricultural Services (18)</t>
  </si>
  <si>
    <t>Metal Mining (272)</t>
  </si>
  <si>
    <t>Coal Mining (28)</t>
  </si>
  <si>
    <t>Oil And Gas Extraction (492)</t>
  </si>
  <si>
    <t>Mining And Quarrying Of Nonmetallic Minerals, Except Fuels (41)</t>
  </si>
  <si>
    <t>Building Construction General Contractors And Operative Builders (48)</t>
  </si>
  <si>
    <t>Heavy Construction Other Than Building Construction Contractors (20)</t>
  </si>
  <si>
    <t>Construction Special Trade Contractors (33)</t>
  </si>
  <si>
    <t>Food And Kindred Products (190)</t>
  </si>
  <si>
    <t>Tobacco Products (21)</t>
  </si>
  <si>
    <t>Textile Mill Products (16)</t>
  </si>
  <si>
    <t>Apparel And Other Finished Products Made From Fabrics And Similar Materials (56)</t>
  </si>
  <si>
    <t>Lumber And Wood Products, Except Furniture (29)</t>
  </si>
  <si>
    <t>Furniture And Fixtures (29)</t>
  </si>
  <si>
    <t>Paper And Allied Products (41)</t>
  </si>
  <si>
    <t>Printing, Publishing, And Allied Industries (67)</t>
  </si>
  <si>
    <t>Chemicals And Allied Products (1076)</t>
  </si>
  <si>
    <t>Petroleum Refining And Related Industries (38)</t>
  </si>
  <si>
    <t>Rubber And Miscellaneous Plastics Products (54)</t>
  </si>
  <si>
    <t>Leather And Leather Products (16)</t>
  </si>
  <si>
    <t>Stone, Clay, Glass, And Concrete Products (31)</t>
  </si>
  <si>
    <t>Primary Metal Industries (60)</t>
  </si>
  <si>
    <t>Fabricated Metal Products, Except Machinery And Transportation Equipment (78)</t>
  </si>
  <si>
    <t>Industrial And Commercial Machinery And Computer Equipment (299)</t>
  </si>
  <si>
    <t>Electronic And Other Electrical Equipment And Components, Except Computer Equipment (487)</t>
  </si>
  <si>
    <t>Transportation Equipment (156)</t>
  </si>
  <si>
    <t>Measuring, Analyzing, And Controlling Instruments; Photographic, Medical And Optical Goods; Watches And Clocks (460)</t>
  </si>
  <si>
    <t>Miscellaneous Manufacturing Industries (70)</t>
  </si>
  <si>
    <t>Railroad Transportation (13)</t>
  </si>
  <si>
    <t>Motor Freight Transportation And Warehousing (31)</t>
  </si>
  <si>
    <t>Water Transportation (30)</t>
  </si>
  <si>
    <t>Transportation By Air (32)</t>
  </si>
  <si>
    <t>Pipelines, Except Natural Gas (26)</t>
  </si>
  <si>
    <t>Transportation Services (41)</t>
  </si>
  <si>
    <t>Communications (225)</t>
  </si>
  <si>
    <t>Electric, Gas, And Sanitary Services (310)</t>
  </si>
  <si>
    <t>Wholesale Trade-durable Goods (149)</t>
  </si>
  <si>
    <t>Wholesale Trade-non-durable Goods (123)</t>
  </si>
  <si>
    <t>Building Materials, Hardware, Garden Supply, And Mobile Home Dealers (20)</t>
  </si>
  <si>
    <t>General Merchandise Stores (30)</t>
  </si>
  <si>
    <t>Food Stores (32)</t>
  </si>
  <si>
    <t>Automotive Dealers And Gasoline Service Stations (38)</t>
  </si>
  <si>
    <t>Apparel And Accessory Stores (55)</t>
  </si>
  <si>
    <t>Home Furniture, Furnishings, And Equipment Stores (32)</t>
  </si>
  <si>
    <t>Eating And Drinking Places (109)</t>
  </si>
  <si>
    <t>Miscellaneous Retail (186)</t>
  </si>
  <si>
    <t>Depository Institutions (724)</t>
  </si>
  <si>
    <t>Non-depository Credit Institutions (125)</t>
  </si>
  <si>
    <t>Security And Commodity Brokers, Dealers, Exchanges, And Services (255)</t>
  </si>
  <si>
    <t>Insurance Carriers (186)</t>
  </si>
  <si>
    <t>Insurance Agents, Brokers, And Service (23)</t>
  </si>
  <si>
    <t>Real Estate (247)</t>
  </si>
  <si>
    <t>Holding And Other Investment Offices (849)</t>
  </si>
  <si>
    <t>Hotels, Rooming Houses, Camps, And Other Lodging Places (69)</t>
  </si>
  <si>
    <t>Personal Services (54)</t>
  </si>
  <si>
    <t>Business Services (1247)</t>
  </si>
  <si>
    <t>Automotive Repair, Services, And Parking (14)</t>
  </si>
  <si>
    <t>Miscellaneous Repair Services (8)</t>
  </si>
  <si>
    <t>Motion Pictures (61)</t>
  </si>
  <si>
    <t>Amusement And Recreation Services (85)</t>
  </si>
  <si>
    <t>Health Services (137)</t>
  </si>
  <si>
    <t>Legal Services (2)</t>
  </si>
  <si>
    <t>Educational Services (57)</t>
  </si>
  <si>
    <t>Social Services (7)</t>
  </si>
  <si>
    <t>Engineering, Accounting, Research, Management, And Related Services (189)</t>
  </si>
  <si>
    <t>Miscellaneous Services (3)</t>
  </si>
  <si>
    <t>ndustries</t>
  </si>
  <si>
    <t>Forestry (2)</t>
  </si>
  <si>
    <t>Fishing, hunting, and trapping (7)</t>
  </si>
  <si>
    <t>Local And Suburban Transit And Interurban Highway Passenger Transportation (2)</t>
  </si>
  <si>
    <t>Life years</t>
  </si>
  <si>
    <t>UP 1</t>
  </si>
  <si>
    <t>W 1</t>
  </si>
  <si>
    <t>List UP 3</t>
  </si>
  <si>
    <t>UP 2</t>
  </si>
  <si>
    <t>UP 3</t>
  </si>
  <si>
    <t>UP 4</t>
  </si>
  <si>
    <t>UP 5</t>
  </si>
  <si>
    <t>UP 7</t>
  </si>
  <si>
    <t>UP 8</t>
  </si>
  <si>
    <t>UP 9</t>
  </si>
  <si>
    <t>UP 10</t>
  </si>
  <si>
    <t>Internal data or reliable statistics</t>
  </si>
  <si>
    <t xml:space="preserve">Total ESCU's </t>
  </si>
  <si>
    <t>Background ESCU's</t>
  </si>
  <si>
    <t>EL 1</t>
  </si>
  <si>
    <t>EL 2</t>
  </si>
  <si>
    <t>EL 3</t>
  </si>
  <si>
    <t>EL 4</t>
  </si>
  <si>
    <t>UG 1</t>
  </si>
  <si>
    <t>Internal Data or reliable statistics</t>
  </si>
  <si>
    <t xml:space="preserve"> Use-GHG + Depletion</t>
  </si>
  <si>
    <t xml:space="preserve">Transport, rail                                                                   </t>
  </si>
  <si>
    <t xml:space="preserve">Transport, road                                                                  </t>
  </si>
  <si>
    <t xml:space="preserve">Transport, water                                                                  </t>
  </si>
  <si>
    <t>Data from Idemat 2021  (ESCU's including combustion)</t>
  </si>
  <si>
    <t>biodiesel (palm oil methyl ester)</t>
  </si>
  <si>
    <t>biodiesel (rape methyl ester)</t>
  </si>
  <si>
    <t>biodiesel (soyabean ester, US)</t>
  </si>
  <si>
    <t>ethanol</t>
  </si>
  <si>
    <t>LPG including combustion</t>
  </si>
  <si>
    <t xml:space="preserve">CNG (compressed natural gas) </t>
  </si>
  <si>
    <t>Natural gas general EU for heat (excl mat depl)</t>
  </si>
  <si>
    <t>Diesel low-sulphur</t>
  </si>
  <si>
    <t>Kerosene</t>
  </si>
  <si>
    <t>Petrol</t>
  </si>
  <si>
    <t>(bio) petrol (85% ethanol)</t>
  </si>
  <si>
    <t>Energy source</t>
  </si>
  <si>
    <t>Heavy Fuel Oil (estimated; must be improved)</t>
  </si>
  <si>
    <t xml:space="preserve"> Animal Welfare</t>
  </si>
  <si>
    <t>Various Social Aspects and Animal Welfare</t>
  </si>
  <si>
    <t>VA 1</t>
  </si>
  <si>
    <t>VA 2</t>
  </si>
  <si>
    <t>VA 3</t>
  </si>
  <si>
    <t>VA 4</t>
  </si>
  <si>
    <t>General types of Animal Welfare issues ("the 5 freedoms of animals").</t>
  </si>
  <si>
    <r>
      <t>1.</t>
    </r>
    <r>
      <rPr>
        <sz val="7"/>
        <color theme="1"/>
        <rFont val="Times New Roman"/>
        <family val="1"/>
      </rPr>
      <t xml:space="preserve">       </t>
    </r>
    <r>
      <rPr>
        <sz val="11"/>
        <color theme="1"/>
        <rFont val="Calibri"/>
        <family val="2"/>
        <scheme val="minor"/>
      </rPr>
      <t>Deprivation of a continuous supply of water or deprivation of enough food for full development.</t>
    </r>
  </si>
  <si>
    <r>
      <t>2.</t>
    </r>
    <r>
      <rPr>
        <sz val="7"/>
        <color theme="1"/>
        <rFont val="Times New Roman"/>
        <family val="1"/>
      </rPr>
      <t xml:space="preserve">       </t>
    </r>
    <r>
      <rPr>
        <sz val="11"/>
        <color theme="1"/>
        <rFont val="Calibri"/>
        <family val="2"/>
        <scheme val="minor"/>
      </rPr>
      <t>Deprivation of a, for the specific animal suitable, environment, shelter and resting area.</t>
    </r>
  </si>
  <si>
    <r>
      <t>3.</t>
    </r>
    <r>
      <rPr>
        <sz val="7"/>
        <color theme="1"/>
        <rFont val="Times New Roman"/>
        <family val="1"/>
      </rPr>
      <t xml:space="preserve">       </t>
    </r>
    <r>
      <rPr>
        <sz val="11"/>
        <color theme="1"/>
        <rFont val="Calibri"/>
        <family val="2"/>
        <scheme val="minor"/>
      </rPr>
      <t>Pain, injury or disease that is not properly and quickly diagnosed and treated.</t>
    </r>
  </si>
  <si>
    <r>
      <t>4.</t>
    </r>
    <r>
      <rPr>
        <sz val="7"/>
        <color theme="1"/>
        <rFont val="Times New Roman"/>
        <family val="1"/>
      </rPr>
      <t xml:space="preserve">       </t>
    </r>
    <r>
      <rPr>
        <sz val="11"/>
        <color theme="1"/>
        <rFont val="Calibri"/>
        <family val="2"/>
        <scheme val="minor"/>
      </rPr>
      <t>Deprivation of sufficient and proper space, facilities and company of its own kind that enables the animal to develop.</t>
    </r>
  </si>
  <si>
    <r>
      <t>5.</t>
    </r>
    <r>
      <rPr>
        <sz val="7"/>
        <color theme="1"/>
        <rFont val="Times New Roman"/>
        <family val="1"/>
      </rPr>
      <t xml:space="preserve">       </t>
    </r>
    <r>
      <rPr>
        <sz val="11"/>
        <color theme="1"/>
        <rFont val="Calibri"/>
        <family val="2"/>
        <scheme val="minor"/>
      </rPr>
      <t>Fear en distress by causing or not preventing conditions of mental stress.</t>
    </r>
  </si>
  <si>
    <t>Specific types of Animal Welfare issues.</t>
  </si>
  <si>
    <r>
      <t>1.</t>
    </r>
    <r>
      <rPr>
        <sz val="7"/>
        <color theme="1"/>
        <rFont val="Times New Roman"/>
        <family val="1"/>
      </rPr>
      <t xml:space="preserve">       </t>
    </r>
    <r>
      <rPr>
        <sz val="11"/>
        <color theme="1"/>
        <rFont val="Calibri"/>
        <family val="2"/>
        <scheme val="minor"/>
      </rPr>
      <t>Tests on animals for medical reasons without transparency about this testing, without demonstrable minimizing it and without demonstrable research for alternatives.</t>
    </r>
  </si>
  <si>
    <r>
      <t>2.</t>
    </r>
    <r>
      <rPr>
        <sz val="7"/>
        <color theme="1"/>
        <rFont val="Times New Roman"/>
        <family val="1"/>
      </rPr>
      <t xml:space="preserve">       </t>
    </r>
    <r>
      <rPr>
        <sz val="11"/>
        <color theme="1"/>
        <rFont val="Calibri"/>
        <family val="2"/>
        <scheme val="minor"/>
      </rPr>
      <t>Tests of cosmetics on animals.</t>
    </r>
  </si>
  <si>
    <r>
      <t>3.</t>
    </r>
    <r>
      <rPr>
        <sz val="7"/>
        <color theme="1"/>
        <rFont val="Times New Roman"/>
        <family val="1"/>
      </rPr>
      <t xml:space="preserve">       </t>
    </r>
    <r>
      <rPr>
        <sz val="11"/>
        <color theme="1"/>
        <rFont val="Calibri"/>
        <family val="2"/>
        <scheme val="minor"/>
      </rPr>
      <t>Keeping animals with so little space that they become stressed and show species-abnormal behavior, such as in crates, battery cages or feeding cubicles.</t>
    </r>
  </si>
  <si>
    <r>
      <t>4.</t>
    </r>
    <r>
      <rPr>
        <sz val="7"/>
        <color theme="1"/>
        <rFont val="Times New Roman"/>
        <family val="1"/>
      </rPr>
      <t xml:space="preserve">       </t>
    </r>
    <r>
      <rPr>
        <sz val="11"/>
        <color theme="1"/>
        <rFont val="Calibri"/>
        <family val="2"/>
        <scheme val="minor"/>
      </rPr>
      <t>Transport of animals more frequently or for longer durations than absolutely necessary, or with so little space that they become stressed and show species-abnormal behavior.</t>
    </r>
  </si>
  <si>
    <r>
      <t>5.</t>
    </r>
    <r>
      <rPr>
        <sz val="7"/>
        <color theme="1"/>
        <rFont val="Times New Roman"/>
        <family val="1"/>
      </rPr>
      <t xml:space="preserve">       </t>
    </r>
    <r>
      <rPr>
        <sz val="11"/>
        <color theme="1"/>
        <rFont val="Calibri"/>
        <family val="2"/>
        <scheme val="minor"/>
      </rPr>
      <t>No emergency plans for evacuation or preventing other animal suffering at any type of disaster.</t>
    </r>
  </si>
  <si>
    <r>
      <t>6.</t>
    </r>
    <r>
      <rPr>
        <sz val="7"/>
        <color theme="1"/>
        <rFont val="Times New Roman"/>
        <family val="1"/>
      </rPr>
      <t xml:space="preserve">       </t>
    </r>
    <r>
      <rPr>
        <sz val="11"/>
        <color theme="1"/>
        <rFont val="Calibri"/>
        <family val="2"/>
        <scheme val="minor"/>
      </rPr>
      <t>Keeping of animals that do not do well in captivity or do not reproduce in captivity.</t>
    </r>
  </si>
  <si>
    <r>
      <t>7.</t>
    </r>
    <r>
      <rPr>
        <sz val="7"/>
        <color theme="1"/>
        <rFont val="Times New Roman"/>
        <family val="1"/>
      </rPr>
      <t xml:space="preserve">       </t>
    </r>
    <r>
      <rPr>
        <sz val="11"/>
        <color theme="1"/>
        <rFont val="Calibri"/>
        <family val="2"/>
        <scheme val="minor"/>
      </rPr>
      <t>Deprivation of outside light and open air or of air conditions that keep the animals in good health.</t>
    </r>
  </si>
  <si>
    <r>
      <t>8.</t>
    </r>
    <r>
      <rPr>
        <sz val="7"/>
        <color theme="1"/>
        <rFont val="Times New Roman"/>
        <family val="1"/>
      </rPr>
      <t xml:space="preserve">       </t>
    </r>
    <r>
      <rPr>
        <sz val="11"/>
        <color theme="1"/>
        <rFont val="Calibri"/>
        <family val="2"/>
        <scheme val="minor"/>
      </rPr>
      <t>Feeding animal with food, drugs or medicines that make them more sensitive to disease.</t>
    </r>
  </si>
  <si>
    <r>
      <t>9.</t>
    </r>
    <r>
      <rPr>
        <sz val="7"/>
        <color theme="1"/>
        <rFont val="Times New Roman"/>
        <family val="1"/>
      </rPr>
      <t xml:space="preserve">       </t>
    </r>
    <r>
      <rPr>
        <sz val="11"/>
        <color theme="1"/>
        <rFont val="Calibri"/>
        <family val="2"/>
        <scheme val="minor"/>
      </rPr>
      <t>Keeping animals under conditions that increase the risk of mass infestations with diseases which force owners, governments or others to mass killings in case of emergencies.</t>
    </r>
  </si>
  <si>
    <r>
      <t>10.</t>
    </r>
    <r>
      <rPr>
        <sz val="7"/>
        <color theme="1"/>
        <rFont val="Times New Roman"/>
        <family val="1"/>
      </rPr>
      <t xml:space="preserve">   </t>
    </r>
    <r>
      <rPr>
        <sz val="11"/>
        <color theme="1"/>
        <rFont val="Calibri"/>
        <family val="2"/>
        <scheme val="minor"/>
      </rPr>
      <t>Capturing or keeping animals for their fur or other ornamental use as main purpose.</t>
    </r>
  </si>
  <si>
    <r>
      <t>11.</t>
    </r>
    <r>
      <rPr>
        <sz val="7"/>
        <color theme="1"/>
        <rFont val="Times New Roman"/>
        <family val="1"/>
      </rPr>
      <t xml:space="preserve">   </t>
    </r>
    <r>
      <rPr>
        <sz val="11"/>
        <color theme="1"/>
        <rFont val="Calibri"/>
        <family val="2"/>
        <scheme val="minor"/>
      </rPr>
      <t>Manipulation of the genetic code of animals by other means than selection or without care for their physical and mental health as one of the most important selection criteria.</t>
    </r>
  </si>
  <si>
    <r>
      <t>12.</t>
    </r>
    <r>
      <rPr>
        <sz val="7"/>
        <color theme="1"/>
        <rFont val="Times New Roman"/>
        <family val="1"/>
      </rPr>
      <t xml:space="preserve">   </t>
    </r>
    <r>
      <rPr>
        <sz val="11"/>
        <color theme="1"/>
        <rFont val="Calibri"/>
        <family val="2"/>
        <scheme val="minor"/>
      </rPr>
      <t>Any operative techniques without proper anesthesia.</t>
    </r>
  </si>
  <si>
    <t>13. Keeping wild animals for educational purposes or entertainment (keeping in animal-friendly zoo’s excepted).</t>
  </si>
  <si>
    <t>Animal</t>
  </si>
  <si>
    <t xml:space="preserve"> % of the average sales price</t>
  </si>
  <si>
    <t>Chicken and other birds</t>
  </si>
  <si>
    <t>Chicken Eggs</t>
  </si>
  <si>
    <t>Turkeys</t>
  </si>
  <si>
    <t>Goose</t>
  </si>
  <si>
    <t>Quail</t>
  </si>
  <si>
    <t>Ducks</t>
  </si>
  <si>
    <t>Bees</t>
  </si>
  <si>
    <t>Pigs</t>
  </si>
  <si>
    <t>Cattle - meat</t>
  </si>
  <si>
    <t>Cattle - dairy</t>
  </si>
  <si>
    <t>Sheep</t>
  </si>
  <si>
    <t>Goats</t>
  </si>
  <si>
    <t>Deer</t>
  </si>
  <si>
    <t>Rabits</t>
  </si>
  <si>
    <t>Farmed Fish</t>
  </si>
  <si>
    <t>Other animals</t>
  </si>
  <si>
    <t xml:space="preserve">Maximum ESCUs for Animal Welfare </t>
  </si>
  <si>
    <r>
      <t xml:space="preserve">Maximum ESCU allocation on Various Social Responsibilities </t>
    </r>
    <r>
      <rPr>
        <b/>
        <sz val="11"/>
        <color theme="1"/>
        <rFont val="Calibri"/>
        <family val="2"/>
        <scheme val="minor"/>
      </rPr>
      <t>(VSRMAX)</t>
    </r>
  </si>
  <si>
    <t>VA 5</t>
  </si>
  <si>
    <t>Animal type</t>
  </si>
  <si>
    <t>[O.F.-18 Maxima for Animal Welfare]</t>
  </si>
  <si>
    <r>
      <t xml:space="preserve">Total ESCU's for corruption and conflict situations </t>
    </r>
    <r>
      <rPr>
        <b/>
        <sz val="11"/>
        <color theme="1"/>
        <rFont val="Calibri"/>
        <family val="2"/>
        <scheme val="minor"/>
      </rPr>
      <t>(RMF x NOPM)</t>
    </r>
  </si>
  <si>
    <t>Can the organization demonstrate a reliable calculation of the costs to reduce the RMF?</t>
  </si>
  <si>
    <t>Foreground costs available?</t>
  </si>
  <si>
    <t>Occupatio-nal Health and Safety</t>
  </si>
  <si>
    <t>Maximum Background ESCU's</t>
  </si>
  <si>
    <t>Expected Reduced RMF</t>
  </si>
  <si>
    <t>The Countries'  Corruption Perception Index (CPI)</t>
  </si>
  <si>
    <t>Foreground Margin</t>
  </si>
  <si>
    <t>Background Margin</t>
  </si>
  <si>
    <t>Sector data</t>
  </si>
  <si>
    <t>CC 8</t>
  </si>
  <si>
    <t>CC 9</t>
  </si>
  <si>
    <t>Sector</t>
  </si>
  <si>
    <t>VS 4</t>
  </si>
  <si>
    <t>VS 5</t>
  </si>
  <si>
    <t>VS 6</t>
  </si>
  <si>
    <t>VS 7</t>
  </si>
  <si>
    <t>Selection</t>
  </si>
  <si>
    <t>VA 6</t>
  </si>
  <si>
    <t>VA 8</t>
  </si>
  <si>
    <t xml:space="preserve">List of Animal Welfare issues (below B60-B80) </t>
  </si>
  <si>
    <t>Internal data + Calculation</t>
  </si>
  <si>
    <r>
      <t xml:space="preserve">Maximum 'Background ESCU allocation on Various Social Responsibilities </t>
    </r>
    <r>
      <rPr>
        <b/>
        <sz val="11"/>
        <color theme="1"/>
        <rFont val="Calibri"/>
        <family val="2"/>
        <scheme val="minor"/>
      </rPr>
      <t>(AMWMAX)</t>
    </r>
  </si>
  <si>
    <r>
      <t>Determine organization's governance level on Animal Welfare, considering the 5 general and 12 specific issues and conditions on animal welfare below in this sheet, determine the reducing multiplication (</t>
    </r>
    <r>
      <rPr>
        <b/>
        <sz val="11"/>
        <color theme="1"/>
        <rFont val="Calibri"/>
        <family val="2"/>
        <scheme val="minor"/>
      </rPr>
      <t>RMF</t>
    </r>
    <r>
      <rPr>
        <sz val="11"/>
        <color theme="1"/>
        <rFont val="Calibri"/>
        <family val="2"/>
        <scheme val="minor"/>
      </rPr>
      <t>). If no governance level can be demonstrated, RMF = 1,0.</t>
    </r>
  </si>
  <si>
    <t>Select the industry sector for this purpose.</t>
  </si>
  <si>
    <r>
      <t>Determine organization's governance level  on PHS, using [O.F.-23 Governance Level scoring model] and determine the Reducing Multiplication Factor (</t>
    </r>
    <r>
      <rPr>
        <b/>
        <sz val="11"/>
        <color theme="1"/>
        <rFont val="Calibri"/>
        <family val="2"/>
        <scheme val="minor"/>
      </rPr>
      <t>RMF</t>
    </r>
    <r>
      <rPr>
        <sz val="11"/>
        <color theme="1"/>
        <rFont val="Calibri"/>
        <family val="2"/>
        <scheme val="minor"/>
      </rPr>
      <t>) for PHS. If no governance level can be demonstrated, RMF = 1,0.</t>
    </r>
  </si>
  <si>
    <t xml:space="preserve">Public Health and Safety Risks </t>
  </si>
  <si>
    <t>Total ESCU's for Public Health and Safety (PHS)</t>
  </si>
  <si>
    <t>Max OHS ESCU's
Max PHS ESCU's</t>
  </si>
  <si>
    <t>PHS 5</t>
  </si>
  <si>
    <t>PHS 6</t>
  </si>
  <si>
    <t>Calculated as RMF * PHSMAX</t>
  </si>
  <si>
    <t>PHS 7</t>
  </si>
  <si>
    <t>PHS 8</t>
  </si>
  <si>
    <t>Select</t>
  </si>
  <si>
    <t>UG 2</t>
  </si>
  <si>
    <t>UG 3</t>
  </si>
  <si>
    <t>None</t>
  </si>
  <si>
    <t>Escu's per unit of product</t>
  </si>
  <si>
    <t>Escu's per unit of transport means</t>
  </si>
  <si>
    <t>Product Lifetime</t>
  </si>
  <si>
    <t>Warrenties</t>
  </si>
  <si>
    <t>Q 1</t>
  </si>
  <si>
    <t>Q 2</t>
  </si>
  <si>
    <t>Q 3</t>
  </si>
  <si>
    <t>Q 4</t>
  </si>
  <si>
    <t>Q 6</t>
  </si>
  <si>
    <t>Q 7</t>
  </si>
  <si>
    <t>Use instructions</t>
  </si>
  <si>
    <t>Quality control</t>
  </si>
  <si>
    <r>
      <t>Maximum ESCU allocation on Product Health &amp; Safety Risks (</t>
    </r>
    <r>
      <rPr>
        <b/>
        <sz val="11"/>
        <color theme="1"/>
        <rFont val="Calibri"/>
        <family val="2"/>
        <scheme val="minor"/>
      </rPr>
      <t>UHSMAX</t>
    </r>
    <r>
      <rPr>
        <sz val="11"/>
        <color theme="1"/>
        <rFont val="Calibri"/>
        <family val="2"/>
        <scheme val="minor"/>
      </rPr>
      <t>) for the sector</t>
    </r>
  </si>
  <si>
    <t>Product Quality</t>
  </si>
  <si>
    <t>Does the organization have a certificate including public (external) Product quality risks (Answer "No" if unknown)</t>
  </si>
  <si>
    <r>
      <t>Determine organization's governance level  on Product Quality (</t>
    </r>
    <r>
      <rPr>
        <b/>
        <sz val="11"/>
        <color theme="1"/>
        <rFont val="Calibri"/>
        <family val="2"/>
        <scheme val="minor"/>
      </rPr>
      <t>PQ</t>
    </r>
    <r>
      <rPr>
        <sz val="11"/>
        <color theme="1"/>
        <rFont val="Calibri"/>
        <family val="2"/>
        <scheme val="minor"/>
      </rPr>
      <t>), using sheet Gov. Level, and determine the Reducing Multiplication Factor (</t>
    </r>
    <r>
      <rPr>
        <b/>
        <sz val="11"/>
        <color theme="1"/>
        <rFont val="Calibri"/>
        <family val="2"/>
        <scheme val="minor"/>
      </rPr>
      <t>RMF</t>
    </r>
    <r>
      <rPr>
        <sz val="11"/>
        <color theme="1"/>
        <rFont val="Calibri"/>
        <family val="2"/>
        <scheme val="minor"/>
      </rPr>
      <t>) forPQ. If no governance level can be demonstrated, RMF = 1,0.</t>
    </r>
  </si>
  <si>
    <r>
      <t xml:space="preserve">Maximum ESCU allocation on Quality Management </t>
    </r>
    <r>
      <rPr>
        <b/>
        <sz val="11"/>
        <rFont val="Calibri"/>
        <family val="2"/>
        <scheme val="minor"/>
      </rPr>
      <t>(PQMAX) for the sector</t>
    </r>
    <r>
      <rPr>
        <sz val="11"/>
        <rFont val="Calibri"/>
        <family val="2"/>
        <scheme val="minor"/>
      </rPr>
      <t>, listed in:</t>
    </r>
  </si>
  <si>
    <t>Product Warrenties</t>
  </si>
  <si>
    <t>Pr 26</t>
  </si>
  <si>
    <t>UN 1</t>
  </si>
  <si>
    <t>UN 2</t>
  </si>
  <si>
    <t>Norm (dB(A))</t>
  </si>
  <si>
    <t>Period of the day (hour)</t>
  </si>
  <si>
    <t>07.00 - 19.00</t>
  </si>
  <si>
    <t xml:space="preserve">19.00 - 23.00 </t>
  </si>
  <si>
    <t>23.00 - 07.00</t>
  </si>
  <si>
    <t>Long term</t>
  </si>
  <si>
    <t>Maximum</t>
  </si>
  <si>
    <t>Maximum at any time</t>
  </si>
  <si>
    <t xml:space="preserve">Norm (dB(A)) - Fill in the decibels at use of the utensil. </t>
  </si>
  <si>
    <t>Noise Levels</t>
  </si>
  <si>
    <t>Can the organization demonstrate the costs required to mitigate the noise level?</t>
  </si>
  <si>
    <t>Foreground Noise level Form</t>
  </si>
  <si>
    <t>Mitigated Noise level Form</t>
  </si>
  <si>
    <t>UN 3</t>
  </si>
  <si>
    <t>Mitigated Noise levels</t>
  </si>
  <si>
    <t>UN 4</t>
  </si>
  <si>
    <t>UN 5</t>
  </si>
  <si>
    <t>Mitigation Costs</t>
  </si>
  <si>
    <t>Mitigation data</t>
  </si>
  <si>
    <t>of profit margin per decibel</t>
  </si>
  <si>
    <t>UN 0</t>
  </si>
  <si>
    <t xml:space="preserve">Total ESCU's for Noise </t>
  </si>
  <si>
    <t>UI 1</t>
  </si>
  <si>
    <t>Not necessary</t>
  </si>
  <si>
    <t>UI 2</t>
  </si>
  <si>
    <t>Instructions necessary?</t>
  </si>
  <si>
    <t>Complete and Correct Instruction</t>
  </si>
  <si>
    <t>Instructions correct?</t>
  </si>
  <si>
    <t>UI 3</t>
  </si>
  <si>
    <t>UI 4</t>
  </si>
  <si>
    <t>UI 5</t>
  </si>
  <si>
    <t>Instructions of mediocre quality</t>
  </si>
  <si>
    <t>Instructions of low quality</t>
  </si>
  <si>
    <t xml:space="preserve">Fill in the decibels at use of the utensil. </t>
  </si>
  <si>
    <t>Total ESCU's for Use-Social Responsibility</t>
  </si>
  <si>
    <t>UH 3</t>
  </si>
  <si>
    <t>UH 2</t>
  </si>
  <si>
    <t>UH 1</t>
  </si>
  <si>
    <t>UH 4</t>
  </si>
  <si>
    <t>UH 5</t>
  </si>
  <si>
    <t>UH 6</t>
  </si>
  <si>
    <t>UH 7</t>
  </si>
  <si>
    <t>Energy using product?</t>
  </si>
  <si>
    <t>Filled forms</t>
  </si>
  <si>
    <t>Transport means?</t>
  </si>
  <si>
    <t>Is the product a transport means and the unit a kilometer?</t>
  </si>
  <si>
    <t>UC 1</t>
  </si>
  <si>
    <t>UC 2</t>
  </si>
  <si>
    <t>UC 3</t>
  </si>
  <si>
    <t>UC 4</t>
  </si>
  <si>
    <t>UD 1</t>
  </si>
  <si>
    <t>Particulates, &lt; 10 um (mobile source)</t>
  </si>
  <si>
    <t>Particulates, &lt; 10 um (stationary source)</t>
  </si>
  <si>
    <t>Foreground mitigation costs</t>
  </si>
  <si>
    <t>Emission Mitigation %</t>
  </si>
  <si>
    <t>CFK's  - search in O.F.-14 for the specific CFK</t>
  </si>
  <si>
    <t>Carcenogenic materials search in O.F.-14 for the specific chemical</t>
  </si>
  <si>
    <t>Non carcenogenic Volatile Organic Compounds (VOC's) - search in O.F.-14 for the specific chemical</t>
  </si>
  <si>
    <t>Other gasses - search in O.F.-14 for the specific chemical</t>
  </si>
  <si>
    <t xml:space="preserve">Emission (Kg./km) </t>
  </si>
  <si>
    <t>ESCU Calculations</t>
  </si>
  <si>
    <t>Other gasses Form for utensils - calculation per Hour</t>
  </si>
  <si>
    <t>Other Gasses form for Transport Means - calculation per km.</t>
  </si>
  <si>
    <t>Needs energy?</t>
  </si>
  <si>
    <t>Emits Gasses</t>
  </si>
  <si>
    <t>Cause of other gas emissions?</t>
  </si>
  <si>
    <t>UD 2</t>
  </si>
  <si>
    <t>Depletion of Minerals, Plants and Animal Materials</t>
  </si>
  <si>
    <t>Used Virgin Materials</t>
  </si>
  <si>
    <t>UD 3</t>
  </si>
  <si>
    <t>Background quantities of virgin materials</t>
  </si>
  <si>
    <t>UD 4</t>
  </si>
  <si>
    <t>Product life- Utensil</t>
  </si>
  <si>
    <t>UD 5</t>
  </si>
  <si>
    <t>UD 6</t>
  </si>
  <si>
    <t>Internal Data; Supplier Data; Reliable Statistics</t>
  </si>
  <si>
    <t>Is the product the functional cause of the consumption of other materials during its lifetime (e.g. for batteries, tires, lubrication oils, maintenance, repairs, brakes, water, cleaning agents)?</t>
  </si>
  <si>
    <t>Background ESCU's per unit of product</t>
  </si>
  <si>
    <t xml:space="preserve">Foreground ESCU's </t>
  </si>
  <si>
    <t xml:space="preserve">    The same allocation rules shall be used as companies' standard allocations of direct costs and indirect costs.</t>
  </si>
  <si>
    <t>I 10</t>
  </si>
  <si>
    <t xml:space="preserve">I 8 </t>
  </si>
  <si>
    <t>Calculation of mitigation costs</t>
  </si>
  <si>
    <t>Foreground Mitigation costs</t>
  </si>
  <si>
    <t>Life time Materials depletion for utensils, calculated by hour</t>
  </si>
  <si>
    <t>Life time Materials depletion for transport means</t>
  </si>
  <si>
    <t>Manually feed the value in UD6 in UD 7</t>
  </si>
  <si>
    <t>Use-depletions?</t>
  </si>
  <si>
    <t>Use related Water Depletion</t>
  </si>
  <si>
    <t>Internal data; reliable statistics</t>
  </si>
  <si>
    <t>UW 1</t>
  </si>
  <si>
    <t>UW 2</t>
  </si>
  <si>
    <t>UW 3</t>
  </si>
  <si>
    <t>UW 4</t>
  </si>
  <si>
    <t>Cause of Water depletion</t>
  </si>
  <si>
    <t>Cause of Water depletion?</t>
  </si>
  <si>
    <t>Total ESCU's for emissions of use related water depletion</t>
  </si>
  <si>
    <t>UW 6</t>
  </si>
  <si>
    <t>Calculation of the Lifetime water use.</t>
  </si>
  <si>
    <t>I 11</t>
  </si>
  <si>
    <t>Repeated use of forms and sheets</t>
  </si>
  <si>
    <t>Total ESCU's for lifetime emissions of use caused depletion of scarce materials</t>
  </si>
  <si>
    <t>Total ESCU's for lifetime CO2 emissions of utensils</t>
  </si>
  <si>
    <t>Adapted Form</t>
  </si>
  <si>
    <t>Pollution by Consumption parts</t>
  </si>
  <si>
    <t xml:space="preserve">Possible Use-pollution </t>
  </si>
  <si>
    <t>Pollution possible?</t>
  </si>
  <si>
    <t>Lost Materials (kg.)</t>
  </si>
  <si>
    <t>Harmfull chemicals (kg.)</t>
  </si>
  <si>
    <t xml:space="preserve">Sheet Pol.Data - ESCU Calculation for type C and type E emissions of chemical;
Internal Data;
Analysis </t>
  </si>
  <si>
    <r>
      <t xml:space="preserve">Form A: ESCU Pollution Calculation Form </t>
    </r>
    <r>
      <rPr>
        <b/>
        <sz val="11"/>
        <color theme="1"/>
        <rFont val="Calibri"/>
        <family val="2"/>
        <scheme val="minor"/>
      </rPr>
      <t>(for type C- and typ E- and Use-Pollution)</t>
    </r>
  </si>
  <si>
    <t>Form B: ESCU's for emisssion  (Source: Ecocosts2017_V1-8_midpoint-tables.xlsx (Delft University))</t>
  </si>
  <si>
    <t>Form C: ESCU's for emisssion  (Source: Ecocosts2017_V1-8_midpoint-tables.xlsx (Delft University))</t>
  </si>
  <si>
    <t>Form D: ESCU's for emisssion  (Source: Ecocosts2017_V1-8_midpoint-tables.xlsx (Delft University))</t>
  </si>
  <si>
    <t>Form F: ESCU's for fuels</t>
  </si>
  <si>
    <t>Transfer of list of harmfull chemicals in product</t>
  </si>
  <si>
    <t>Total ESCU's/unit of product</t>
  </si>
  <si>
    <t>ECSU's</t>
  </si>
  <si>
    <t>Electricity supply</t>
  </si>
  <si>
    <t>Total ESCU's for Pollution by Wear, leaking and evaporation</t>
  </si>
  <si>
    <t>Does the utensil by its use emit harmfull chemicals or materials by wear, leaking, evaporation or by other use related reasons (e.g. nail polish, spray cans, paint, medicins) or does it use consumption parts (e.g. batteries, spare parts, lubrication oils, ink) containing harmfull chemicals?</t>
  </si>
  <si>
    <t>Pollution by Wear, leaking, evaporation or other direct use related emissions</t>
  </si>
  <si>
    <t>UP 11</t>
  </si>
  <si>
    <t>UP 13</t>
  </si>
  <si>
    <t>UP 14</t>
  </si>
  <si>
    <t>UP 15</t>
  </si>
  <si>
    <t>Demonstrated recycling %</t>
  </si>
  <si>
    <t>Recycling %</t>
  </si>
  <si>
    <t>Internal data;
supplier data
analysis</t>
  </si>
  <si>
    <t>Internal data;
Reliable statistics</t>
  </si>
  <si>
    <t>List UP 4</t>
  </si>
  <si>
    <t>Polluting chemical content</t>
  </si>
  <si>
    <t>Total ESCU's for Pollution by the use of the product</t>
  </si>
  <si>
    <t>EL 6</t>
  </si>
  <si>
    <t>Demonstrably Externally  recycled material (%)</t>
  </si>
  <si>
    <t>End-of -Life \Waste category</t>
  </si>
  <si>
    <t>ESCU's per kg. (Euro's)</t>
  </si>
  <si>
    <t>End-of-Life ESCU Calculation Form</t>
  </si>
  <si>
    <t>Mitigation</t>
  </si>
  <si>
    <t>Total End-of-Life ESCU's</t>
  </si>
  <si>
    <t xml:space="preserve">Pol.Data Form A: </t>
  </si>
  <si>
    <t>"End-of-Life ESCU Calculation Form"</t>
  </si>
  <si>
    <t>Life Use Units</t>
  </si>
  <si>
    <t xml:space="preserve">Supplier ESCU's </t>
  </si>
  <si>
    <t xml:space="preserve">       If possible, develop a cooperation and help especially small suppliers to guide them through the data.</t>
  </si>
  <si>
    <t xml:space="preserve">       Require the suppliers to do  the same with their suppliers until the origin. For definition of origin, see:</t>
  </si>
  <si>
    <t xml:space="preserve">Are all supplier ESCU's available and complete (One total ESCU's and 10 category ESCU's, and including all supply chain stages back to origin)? </t>
  </si>
  <si>
    <t xml:space="preserve">Aggregated Supplier ESCU's </t>
  </si>
  <si>
    <t>Filled ESCU Matrix with supplier ESCU's</t>
  </si>
  <si>
    <t>Goto  Next Sheet</t>
  </si>
  <si>
    <t>Industry sector of the activities under assessment</t>
  </si>
  <si>
    <t>Certified?</t>
  </si>
  <si>
    <t>Verification possible?</t>
  </si>
  <si>
    <t>Pr 28</t>
  </si>
  <si>
    <t xml:space="preserve">Determine the unit of product for all ESCU calculations, which shall be the unit that the product is most commonly sold at. </t>
  </si>
  <si>
    <t>If in Pr 12 "liter" is chosen, determine the specific weight.</t>
  </si>
  <si>
    <t>Kg./liter</t>
  </si>
  <si>
    <t>Product wage sum percentage</t>
  </si>
  <si>
    <t>Wage Sum % of Product Turnover</t>
  </si>
  <si>
    <t>High Impact Products, Materials and Activities</t>
  </si>
  <si>
    <t>Micro-organisms, able to harm humans or ecosystems</t>
  </si>
  <si>
    <t>Pr 29</t>
  </si>
  <si>
    <t>No one</t>
  </si>
  <si>
    <t>Agricultural Customer</t>
  </si>
  <si>
    <t>Origin exception</t>
  </si>
  <si>
    <t>Pr 30</t>
  </si>
  <si>
    <r>
      <t xml:space="preserve">    Obtained is the "S</t>
    </r>
    <r>
      <rPr>
        <sz val="11"/>
        <rFont val="Calibri"/>
        <family val="2"/>
        <scheme val="minor"/>
      </rPr>
      <t>upply</t>
    </r>
    <r>
      <rPr>
        <b/>
        <sz val="11"/>
        <rFont val="Calibri"/>
        <family val="2"/>
        <scheme val="minor"/>
      </rPr>
      <t xml:space="preserve"> C</t>
    </r>
    <r>
      <rPr>
        <sz val="11"/>
        <rFont val="Calibri"/>
        <family val="2"/>
        <scheme val="minor"/>
      </rPr>
      <t>hain</t>
    </r>
    <r>
      <rPr>
        <b/>
        <sz val="11"/>
        <rFont val="Calibri"/>
        <family val="2"/>
        <scheme val="minor"/>
      </rPr>
      <t xml:space="preserve"> I</t>
    </r>
    <r>
      <rPr>
        <sz val="11"/>
        <rFont val="Calibri"/>
        <family val="2"/>
        <scheme val="minor"/>
      </rPr>
      <t>mpact</t>
    </r>
    <r>
      <rPr>
        <b/>
        <sz val="11"/>
        <rFont val="Calibri"/>
        <family val="2"/>
        <scheme val="minor"/>
      </rPr>
      <t xml:space="preserve"> D</t>
    </r>
    <r>
      <rPr>
        <sz val="11"/>
        <rFont val="Calibri"/>
        <family val="2"/>
        <scheme val="minor"/>
      </rPr>
      <t>iagram list"</t>
    </r>
    <r>
      <rPr>
        <b/>
        <sz val="11"/>
        <rFont val="Calibri"/>
        <family val="2"/>
        <scheme val="minor"/>
      </rPr>
      <t xml:space="preserve"> (SCID list)</t>
    </r>
    <r>
      <rPr>
        <sz val="11"/>
        <rFont val="Calibri"/>
        <family val="2"/>
        <scheme val="minor"/>
      </rPr>
      <t xml:space="preserve"> of materials and services. 
Add for each item:</t>
    </r>
  </si>
  <si>
    <t>Preliminarily, required analysis does not need to be executed by an accredited body.</t>
  </si>
  <si>
    <t xml:space="preserve">    If quantities and suppliers vary, last total years' actual data shall be used. For one year, at own choice, a calander year or a data to date year (up to to date) may be used.</t>
  </si>
  <si>
    <t>In most cases, this questionnaire will make these calculations and find background data automatically.</t>
  </si>
  <si>
    <t>Regularly, this questionnaire asks for self calculation of the foreground (product specific) mitigation costs. These shall be based on the assumption of a sales volume of the more sustainable version equal to that of the current version.</t>
  </si>
  <si>
    <r>
      <t xml:space="preserve">Determine the Purchased </t>
    </r>
    <r>
      <rPr>
        <b/>
        <sz val="11"/>
        <rFont val="Calibri"/>
        <family val="2"/>
        <scheme val="minor"/>
      </rPr>
      <t>Weight</t>
    </r>
    <r>
      <rPr>
        <sz val="11"/>
        <rFont val="Calibri"/>
        <family val="2"/>
        <scheme val="minor"/>
      </rPr>
      <t xml:space="preserve"> Ratio (</t>
    </r>
    <r>
      <rPr>
        <b/>
        <sz val="11"/>
        <rFont val="Calibri"/>
        <family val="2"/>
        <scheme val="minor"/>
      </rPr>
      <t>PWR</t>
    </r>
    <r>
      <rPr>
        <sz val="11"/>
        <rFont val="Calibri"/>
        <family val="2"/>
        <scheme val="minor"/>
      </rPr>
      <t>) for the product (Purchased dry weight/ product dry weight per unit of product). (All quantities as purchased and produced, including losses, waste and rejects). If both PVR and PWR are lower than 0,2, the organization is at the origin of the supply chain and does not need to assess suppliers.</t>
    </r>
  </si>
  <si>
    <t>Processing data</t>
  </si>
  <si>
    <t>I 12</t>
  </si>
  <si>
    <t>"SCID list" and "Origin"      -&gt; see sheet "Preparation"</t>
  </si>
  <si>
    <t>Total ESCU's (€)</t>
  </si>
  <si>
    <t>Form Background Pollution</t>
  </si>
  <si>
    <t>No Foreground data</t>
  </si>
  <si>
    <t xml:space="preserve">Background ESCU's for electricity </t>
  </si>
  <si>
    <t>Calculation of ESCU's per unit of product based on the average electricity in the country, based on data from preparation-Pr 3 and Pol.Data.</t>
  </si>
  <si>
    <t>https://www.wri.org/applications/aqueduct/water-risk-atlas</t>
  </si>
  <si>
    <t>WD 14</t>
  </si>
  <si>
    <t>Investigating supplier ESCU's with unkown country/location</t>
  </si>
  <si>
    <t>Ratio</t>
  </si>
  <si>
    <t>Overwork %</t>
  </si>
  <si>
    <t>RO 5</t>
  </si>
  <si>
    <t>RO 6</t>
  </si>
  <si>
    <t xml:space="preserve">Health Insurance </t>
  </si>
  <si>
    <t>RW 7</t>
  </si>
  <si>
    <t>Max Labor conditions</t>
  </si>
  <si>
    <r>
      <t xml:space="preserve">Maximum ESCU allocation on Labor Conditions </t>
    </r>
    <r>
      <rPr>
        <b/>
        <sz val="11"/>
        <rFont val="Calibri"/>
        <family val="2"/>
        <scheme val="minor"/>
      </rPr>
      <t>(LCMAX).</t>
    </r>
  </si>
  <si>
    <r>
      <t>·</t>
    </r>
    <r>
      <rPr>
        <sz val="7"/>
        <color theme="1"/>
        <rFont val="Times New Roman"/>
        <family val="1"/>
      </rPr>
      <t xml:space="preserve">       </t>
    </r>
    <r>
      <rPr>
        <sz val="11"/>
        <color theme="1"/>
        <rFont val="Calibri"/>
        <family val="2"/>
        <scheme val="minor"/>
      </rPr>
      <t>Involves the risk of causing mental, moral, social or physical harm to children.</t>
    </r>
  </si>
  <si>
    <r>
      <t>·</t>
    </r>
    <r>
      <rPr>
        <sz val="7"/>
        <color theme="1"/>
        <rFont val="Times New Roman"/>
        <family val="1"/>
      </rPr>
      <t xml:space="preserve">       </t>
    </r>
    <r>
      <rPr>
        <sz val="11"/>
        <color theme="1"/>
        <rFont val="Calibri"/>
        <family val="2"/>
        <scheme val="minor"/>
      </rPr>
      <t>Is excessively heavy, too far from home or school, without proper daylight, or work at night.</t>
    </r>
  </si>
  <si>
    <r>
      <t>·</t>
    </r>
    <r>
      <rPr>
        <sz val="7"/>
        <color theme="1"/>
        <rFont val="Times New Roman"/>
        <family val="1"/>
      </rPr>
      <t xml:space="preserve">       </t>
    </r>
    <r>
      <rPr>
        <sz val="11"/>
        <color theme="1"/>
        <rFont val="Calibri"/>
        <family val="2"/>
        <scheme val="minor"/>
      </rPr>
      <t>Involves payments for children, too far under the fair minimum wage.</t>
    </r>
  </si>
  <si>
    <r>
      <t>·</t>
    </r>
    <r>
      <rPr>
        <sz val="7"/>
        <color theme="1"/>
        <rFont val="Times New Roman"/>
        <family val="1"/>
      </rPr>
      <t xml:space="preserve">       </t>
    </r>
    <r>
      <rPr>
        <sz val="11"/>
        <color theme="1"/>
        <rFont val="Calibri"/>
        <family val="2"/>
        <scheme val="minor"/>
      </rPr>
      <t>Is more than 5 days per week or with too long working hours.</t>
    </r>
  </si>
  <si>
    <r>
      <t>·</t>
    </r>
    <r>
      <rPr>
        <sz val="7"/>
        <color theme="1"/>
        <rFont val="Times New Roman"/>
        <family val="1"/>
      </rPr>
      <t xml:space="preserve">       </t>
    </r>
    <r>
      <rPr>
        <sz val="11"/>
        <color theme="1"/>
        <rFont val="Calibri"/>
        <family val="2"/>
        <scheme val="minor"/>
      </rPr>
      <t xml:space="preserve">(For children under 16 years) includes work with chemicals, weapons, dangerous goods, knives or other sharp objects, hot objects or liquids (&gt;60 </t>
    </r>
    <r>
      <rPr>
        <vertAlign val="superscript"/>
        <sz val="11"/>
        <color theme="1"/>
        <rFont val="Calibri"/>
        <family val="2"/>
        <scheme val="minor"/>
      </rPr>
      <t>0</t>
    </r>
    <r>
      <rPr>
        <sz val="11"/>
        <color theme="1"/>
        <rFont val="Calibri"/>
        <family val="2"/>
        <scheme val="minor"/>
      </rPr>
      <t>C) or open fire.</t>
    </r>
  </si>
  <si>
    <r>
      <t>·</t>
    </r>
    <r>
      <rPr>
        <sz val="7"/>
        <color theme="1"/>
        <rFont val="Times New Roman"/>
        <family val="1"/>
      </rPr>
      <t xml:space="preserve">       </t>
    </r>
    <r>
      <rPr>
        <sz val="11"/>
        <color theme="1"/>
        <rFont val="Calibri"/>
        <family val="2"/>
        <scheme val="minor"/>
      </rPr>
      <t>For children under 16 years, includes work without the attention of a responsible adult.</t>
    </r>
  </si>
  <si>
    <r>
      <t>·</t>
    </r>
    <r>
      <rPr>
        <sz val="7"/>
        <color theme="1"/>
        <rFont val="Times New Roman"/>
        <family val="1"/>
      </rPr>
      <t xml:space="preserve">       </t>
    </r>
    <r>
      <rPr>
        <sz val="11"/>
        <color theme="1"/>
        <rFont val="Calibri"/>
        <family val="2"/>
        <scheme val="minor"/>
      </rPr>
      <t>Involves any type of organized recruitment, organized transport or trafficking.</t>
    </r>
  </si>
  <si>
    <t xml:space="preserve">Form Harmfull Child labor conditions </t>
  </si>
  <si>
    <t xml:space="preserve">Child Labor </t>
  </si>
  <si>
    <t>Working conditions criteria for children and young adults</t>
  </si>
  <si>
    <t>Age</t>
  </si>
  <si>
    <t>Max. Hours/week</t>
  </si>
  <si>
    <t>Max. weight to be lifted</t>
  </si>
  <si>
    <t>Max. distance from home and school</t>
  </si>
  <si>
    <t>5 km.</t>
  </si>
  <si>
    <t>8 kg.</t>
  </si>
  <si>
    <t>10 kg.</t>
  </si>
  <si>
    <t>10 km.</t>
  </si>
  <si>
    <t>15 kg.</t>
  </si>
  <si>
    <t>10 km</t>
  </si>
  <si>
    <t>23 kg</t>
  </si>
  <si>
    <t>unlimited</t>
  </si>
  <si>
    <t>&gt;=21</t>
  </si>
  <si>
    <t xml:space="preserve">legal weight; maximum 23 kg. </t>
  </si>
  <si>
    <t>Bonus-Pollution</t>
  </si>
  <si>
    <t>Bonus-Depletion</t>
  </si>
  <si>
    <t>Bonus-Land use</t>
  </si>
  <si>
    <t>Bonus- Biodiversity</t>
  </si>
  <si>
    <t>Bonus- Waste</t>
  </si>
  <si>
    <t>Bonus Public Health</t>
  </si>
  <si>
    <t>Bonus Labor</t>
  </si>
  <si>
    <t>Bonus Economic</t>
  </si>
  <si>
    <t>Bonus Corr. &amp; Violence</t>
  </si>
  <si>
    <t>Use- Various Social</t>
  </si>
  <si>
    <t>G2G Various Social</t>
  </si>
  <si>
    <t xml:space="preserve">Bonus- Various Social </t>
  </si>
  <si>
    <t>Construction or running cleaning installations of polluted ecosystems (soil, water or air)</t>
  </si>
  <si>
    <t>Paid amounts (including taxes) for end-of-life disposal services by governments or other bodies.</t>
  </si>
  <si>
    <t>The surplus of paid wages above the Fair Minimum Wage in the 20% poorest countries in the world.</t>
  </si>
  <si>
    <t>Only for work that demonstrably is normally paid at or below the FMW.</t>
  </si>
  <si>
    <t>B 30</t>
  </si>
  <si>
    <r>
      <rPr>
        <b/>
        <sz val="11"/>
        <color theme="1"/>
        <rFont val="Calibri"/>
        <family val="2"/>
        <scheme val="minor"/>
      </rPr>
      <t>The Oiconomy System</t>
    </r>
    <r>
      <rPr>
        <sz val="11"/>
        <color theme="1"/>
        <rFont val="Calibri"/>
        <family val="2"/>
        <scheme val="minor"/>
      </rPr>
      <t xml:space="preserve">
</t>
    </r>
    <r>
      <rPr>
        <sz val="11"/>
        <color theme="1"/>
        <rFont val="Calibri"/>
        <family val="2"/>
      </rPr>
      <t>•  The Oiconomy system measures (un)sustainability by the costs to prevent the issues. These prevention costs are called "ESCU's" (Eco Social Cost Units).
•</t>
    </r>
    <r>
      <rPr>
        <sz val="11"/>
        <color theme="1"/>
        <rFont val="Symbol"/>
        <family val="1"/>
        <charset val="2"/>
      </rPr>
      <t xml:space="preserve">  </t>
    </r>
    <r>
      <rPr>
        <sz val="11"/>
        <color theme="1"/>
        <rFont val="Calibri"/>
        <family val="2"/>
      </rPr>
      <t>Companies collect ESCU's from their suppliers, calculate their own and transfer the aggregated result</t>
    </r>
    <r>
      <rPr>
        <sz val="11"/>
        <color theme="1"/>
        <rFont val="Calibri"/>
        <family val="2"/>
        <scheme val="minor"/>
      </rPr>
      <t xml:space="preserve"> to the customer, exactly as happens with standard costs.
</t>
    </r>
    <r>
      <rPr>
        <sz val="11"/>
        <color theme="1"/>
        <rFont val="Calibri"/>
        <family val="2"/>
      </rPr>
      <t>•  In a fully operational Oiconomy system, every company only determines its own contribution without the need to assess the complete supply chain.</t>
    </r>
    <r>
      <rPr>
        <sz val="11"/>
        <color theme="1"/>
        <rFont val="Calibri"/>
        <family val="2"/>
        <scheme val="minor"/>
      </rPr>
      <t xml:space="preserve">
    In the initial stage however, some upstream assessment work needs to be done.
</t>
    </r>
  </si>
  <si>
    <r>
      <rPr>
        <b/>
        <sz val="11"/>
        <color theme="1"/>
        <rFont val="Calibri"/>
        <family val="2"/>
        <scheme val="minor"/>
      </rPr>
      <t>Default ("Background") ESCU's</t>
    </r>
    <r>
      <rPr>
        <sz val="11"/>
        <color theme="1"/>
        <rFont val="Calibri"/>
        <family val="2"/>
        <scheme val="minor"/>
      </rPr>
      <t xml:space="preserve">
•  If supplier data are lacking, the questionnaire also helps to find default quantitative data for unknown actors in the upstream supply chain.
    For most ecological aspects, the company only needs to enter data and the system will find default data obtained from other databases. 
•  However, for lacking supplier data on social and economic aspects the company may have to do some own research, but the system will usually give indications
    on where to find these.
•  Because this gives more work and results in less product-specific ESCU's, it is far better to pressure and help suppliers to provide ESCU's.
</t>
    </r>
  </si>
  <si>
    <r>
      <rPr>
        <b/>
        <sz val="11"/>
        <rFont val="Calibri"/>
        <family val="2"/>
        <scheme val="minor"/>
      </rPr>
      <t>The organization preferably calculates all its own product-specific ESCU's. Without own specific ("foreground") calculations, default values are allocated. When "foreground" (product specific) data are available or can reasonably easy be made available, these shall be used, even if they are less favorable than the default values. The calculations follow the following procedure, (often provided automatically in this questionnaire):</t>
    </r>
    <r>
      <rPr>
        <sz val="11"/>
        <rFont val="Calibri"/>
        <family val="2"/>
        <scheme val="minor"/>
      </rPr>
      <t xml:space="preserve">
</t>
    </r>
  </si>
  <si>
    <t>Oiconomy Standard (O.S.)</t>
  </si>
  <si>
    <t>The standard with al the criteria on what and how to measure and transfer (un)sustainability data, expressed in ESCU's (Eco Social Cost Units). The standard takes care of equal methods and comparable data within and is intended to enable certification.</t>
  </si>
  <si>
    <t>I 13</t>
  </si>
  <si>
    <t>Retailers</t>
  </si>
  <si>
    <t xml:space="preserve">Although in reality, retailers are customers of the end-producers, in the Oiconomy system, retailers are considered suppliers of the service of selling the product to the customer/user. They shall be requested ESCU's for their product: the marketing, sales and logistics required for getting the the product to the consumer. </t>
  </si>
  <si>
    <r>
      <t>I 8-1. Determine the quantity (Q</t>
    </r>
    <r>
      <rPr>
        <vertAlign val="subscript"/>
        <sz val="11"/>
        <rFont val="Calibri"/>
        <family val="2"/>
        <scheme val="minor"/>
      </rPr>
      <t>issue</t>
    </r>
    <r>
      <rPr>
        <sz val="11"/>
        <rFont val="Calibri"/>
        <family val="2"/>
        <scheme val="minor"/>
      </rPr>
      <t>)of the issue according to the Oiconomy Standard and this questionnaire.</t>
    </r>
  </si>
  <si>
    <t>I 8-2. Decide wether to work with specific ("foreground") price factors (goto I 7-3), or use default ("background") values (goto I 7-9).</t>
  </si>
  <si>
    <t>I 8-3. Determine the preventative measures to mitigate or eliminate the issue.</t>
  </si>
  <si>
    <r>
      <t xml:space="preserve">I 8-4. Determine the expected mitigation </t>
    </r>
    <r>
      <rPr>
        <b/>
        <sz val="11"/>
        <rFont val="Calibri"/>
        <family val="2"/>
        <scheme val="minor"/>
      </rPr>
      <t>M</t>
    </r>
    <r>
      <rPr>
        <sz val="11"/>
        <rFont val="Calibri"/>
        <family val="2"/>
        <scheme val="minor"/>
      </rPr>
      <t xml:space="preserve"> of the impact by the measures, and the remaining quantity of the issue </t>
    </r>
    <r>
      <rPr>
        <b/>
        <sz val="11"/>
        <rFont val="Calibri"/>
        <family val="2"/>
        <scheme val="minor"/>
      </rPr>
      <t>R</t>
    </r>
    <r>
      <rPr>
        <sz val="11"/>
        <rFont val="Calibri"/>
        <family val="2"/>
        <scheme val="minor"/>
      </rPr>
      <t>.</t>
    </r>
  </si>
  <si>
    <r>
      <t>I 8-5. Determine the extra costs (P</t>
    </r>
    <r>
      <rPr>
        <vertAlign val="subscript"/>
        <sz val="11"/>
        <rFont val="Calibri"/>
        <family val="2"/>
        <scheme val="minor"/>
      </rPr>
      <t>issue-M</t>
    </r>
    <r>
      <rPr>
        <sz val="11"/>
        <rFont val="Calibri"/>
        <family val="2"/>
        <scheme val="minor"/>
      </rPr>
      <t>) per unit of product, using organization's standard cost calculation methods.</t>
    </r>
  </si>
  <si>
    <r>
      <t>I 8-6. Collect the default price factor (P</t>
    </r>
    <r>
      <rPr>
        <vertAlign val="subscript"/>
        <sz val="11"/>
        <rFont val="Calibri"/>
        <family val="2"/>
        <scheme val="minor"/>
      </rPr>
      <t>issue-D</t>
    </r>
    <r>
      <rPr>
        <sz val="11"/>
        <rFont val="Calibri"/>
        <family val="2"/>
        <scheme val="minor"/>
      </rPr>
      <t xml:space="preserve">) from the O.F. Database </t>
    </r>
  </si>
  <si>
    <r>
      <t>I 8-7. Calculate the ESCU's as M x P</t>
    </r>
    <r>
      <rPr>
        <vertAlign val="subscript"/>
        <sz val="11"/>
        <rFont val="Calibri"/>
        <family val="2"/>
        <scheme val="minor"/>
      </rPr>
      <t>issue-M</t>
    </r>
    <r>
      <rPr>
        <sz val="11"/>
        <rFont val="Calibri"/>
        <family val="2"/>
        <scheme val="minor"/>
      </rPr>
      <t xml:space="preserve"> + R x P</t>
    </r>
    <r>
      <rPr>
        <vertAlign val="subscript"/>
        <sz val="11"/>
        <rFont val="Calibri"/>
        <family val="2"/>
        <scheme val="minor"/>
      </rPr>
      <t>issue-R</t>
    </r>
  </si>
  <si>
    <t xml:space="preserve">I 8-8. Goto I 7-10 </t>
  </si>
  <si>
    <r>
      <t>I 8-9. Calculate default ESCU's as R x (P</t>
    </r>
    <r>
      <rPr>
        <vertAlign val="subscript"/>
        <sz val="11"/>
        <rFont val="Calibri"/>
        <family val="2"/>
        <scheme val="minor"/>
      </rPr>
      <t>issue-R</t>
    </r>
    <r>
      <rPr>
        <sz val="11"/>
        <rFont val="Calibri"/>
        <family val="2"/>
        <scheme val="minor"/>
      </rPr>
      <t xml:space="preserve"> x Q</t>
    </r>
    <r>
      <rPr>
        <vertAlign val="subscript"/>
        <sz val="11"/>
        <rFont val="Calibri"/>
        <family val="2"/>
        <scheme val="minor"/>
      </rPr>
      <t>issue</t>
    </r>
    <r>
      <rPr>
        <sz val="11"/>
        <rFont val="Calibri"/>
        <family val="2"/>
        <scheme val="minor"/>
      </rPr>
      <t xml:space="preserve">) </t>
    </r>
  </si>
  <si>
    <t>I 8-10. The ESCU's for the aspect have been determined.</t>
  </si>
  <si>
    <t>Supplier ESCU's available?</t>
  </si>
  <si>
    <r>
      <t xml:space="preserve">Criterion (demonstrated and effective).
</t>
    </r>
    <r>
      <rPr>
        <b/>
        <sz val="11"/>
        <color rgb="FFFF0000"/>
        <rFont val="Calibri"/>
        <family val="2"/>
        <scheme val="minor"/>
      </rPr>
      <t>Before filling this form, read the considered section of the Oiconomy Standard.
All questions must be answered considering the issues mentioned in the relevant section.</t>
    </r>
  </si>
  <si>
    <r>
      <t xml:space="preserve">Analysis of the relevant legal requirements and international declarations and for which activities and properties related to the product these requirements are relevant. </t>
    </r>
    <r>
      <rPr>
        <sz val="11"/>
        <color indexed="10"/>
        <rFont val="Calibri"/>
        <family val="2"/>
        <scheme val="minor"/>
      </rPr>
      <t xml:space="preserve">If it is demonstrated by independent experts that no risks exist on the aspect, following criteria can be answered wih "1" </t>
    </r>
  </si>
  <si>
    <t>Various Social Respon-sibilities</t>
  </si>
  <si>
    <t>Foreground emission data</t>
  </si>
  <si>
    <t>All-Background Pollution Data</t>
  </si>
  <si>
    <t>P-Gen 3</t>
  </si>
  <si>
    <t>Sheet Idemat Data, column J</t>
  </si>
  <si>
    <t>Were the upstream ESCU's for purchased fuels already determined or obtained from suppliers?
(If so, the ESCU's of this section are zero).</t>
  </si>
  <si>
    <t>Average car</t>
  </si>
  <si>
    <t>% children in child labor</t>
  </si>
  <si>
    <t>Workshops used?</t>
  </si>
  <si>
    <t>..</t>
  </si>
  <si>
    <t>HDI  default country</t>
  </si>
  <si>
    <t>LC 4</t>
  </si>
  <si>
    <t>LC 5</t>
  </si>
  <si>
    <t>At lacking evidence of the contrary, harmfull child labor is assumed, either at the organization, and/or at external workshops and homeworkers!
This section is for assessments without demonstrable foreground data on child labor, and for situations that the organization can insufficiently demonstrate zero child labor or costs to achieve that.</t>
  </si>
  <si>
    <t xml:space="preserve">Reducing Multiplication Factor  (RMF)       </t>
  </si>
  <si>
    <r>
      <t xml:space="preserve">Sector dependent maximum ESCU allocation on Occuptional Health and Safety Risks </t>
    </r>
    <r>
      <rPr>
        <b/>
        <sz val="11"/>
        <rFont val="Calibri"/>
        <family val="2"/>
        <scheme val="minor"/>
      </rPr>
      <t xml:space="preserve">(OHSMAX) </t>
    </r>
    <r>
      <rPr>
        <sz val="11"/>
        <rFont val="Calibri"/>
        <family val="2"/>
        <scheme val="minor"/>
      </rPr>
      <t>for the sector.</t>
    </r>
  </si>
  <si>
    <r>
      <t>Violations per workhour (</t>
    </r>
    <r>
      <rPr>
        <b/>
        <sz val="11"/>
        <color theme="1"/>
        <rFont val="Calibri"/>
        <family val="2"/>
        <scheme val="minor"/>
      </rPr>
      <t>TVH</t>
    </r>
    <r>
      <rPr>
        <sz val="11"/>
        <color theme="1"/>
        <rFont val="Calibri"/>
        <family val="2"/>
        <scheme val="minor"/>
      </rPr>
      <t xml:space="preserve">) in the organization. </t>
    </r>
  </si>
  <si>
    <r>
      <t>2</t>
    </r>
    <r>
      <rPr>
        <sz val="7"/>
        <color theme="1"/>
        <rFont val="Calibri"/>
        <family val="2"/>
        <scheme val="minor"/>
      </rPr>
      <t>     </t>
    </r>
    <r>
      <rPr>
        <sz val="11"/>
        <color theme="1"/>
        <rFont val="Calibri"/>
        <family val="2"/>
        <scheme val="minor"/>
      </rPr>
      <t>Wages are paid with regular intervals of maximally one month.</t>
    </r>
  </si>
  <si>
    <r>
      <t>7</t>
    </r>
    <r>
      <rPr>
        <sz val="7"/>
        <color theme="1"/>
        <rFont val="Calibri"/>
        <family val="2"/>
        <scheme val="minor"/>
      </rPr>
      <t>     </t>
    </r>
    <r>
      <rPr>
        <sz val="11"/>
        <color theme="1"/>
        <rFont val="Calibri"/>
        <family val="2"/>
        <scheme val="minor"/>
      </rPr>
      <t xml:space="preserve">Parental leave of a parent after the birth of a child is permitted without risk of losing employment. </t>
    </r>
  </si>
  <si>
    <r>
      <t>1  </t>
    </r>
    <r>
      <rPr>
        <sz val="7"/>
        <color theme="1"/>
        <rFont val="Calibri"/>
        <family val="2"/>
        <scheme val="minor"/>
      </rPr>
      <t>  </t>
    </r>
    <r>
      <rPr>
        <sz val="11"/>
        <color theme="1"/>
        <rFont val="Calibri"/>
        <family val="2"/>
        <scheme val="minor"/>
      </rPr>
      <t>Contracts are communicated at least one week in advance.</t>
    </r>
  </si>
  <si>
    <t>Corporate tax rate (%)</t>
  </si>
  <si>
    <t>Foreground worked hours</t>
  </si>
  <si>
    <t>System search</t>
  </si>
  <si>
    <t>System calculation</t>
  </si>
  <si>
    <t>System Calculation</t>
  </si>
  <si>
    <t>Sheet "Preparation"</t>
  </si>
  <si>
    <t>Pension plans</t>
  </si>
  <si>
    <t>Calculation of the ESCU's for insufficient contribution to workers pensions. 
Calculated as the cost distance to a contribution as indicated in [O.F.-16 Labor Aspects].</t>
  </si>
  <si>
    <t>Health Insurance Plans</t>
  </si>
  <si>
    <t>Total ESCU's for insufficient Health and disability insurance  plans</t>
  </si>
  <si>
    <t>Calculation of the ESCU's for insufficient contribution to workers Health and disability insurance  plan. Calculated as the cost distance to a contribution as indicated in [O.F.-16 Labor Aspects].</t>
  </si>
  <si>
    <t>Personel dev. Plan</t>
  </si>
  <si>
    <t>Calculation of the ESCU's for insufficient contribution to workers personal development plan. Calculated as the cost distance to a contribution as indicated in [O.F.-16 Labor Aspects].</t>
  </si>
  <si>
    <t>Total ESCU's for insufficient Personal development plans</t>
  </si>
  <si>
    <r>
      <t>3</t>
    </r>
    <r>
      <rPr>
        <sz val="7"/>
        <color theme="1"/>
        <rFont val="Calibri"/>
        <family val="2"/>
        <scheme val="minor"/>
      </rPr>
      <t>      </t>
    </r>
    <r>
      <rPr>
        <sz val="11"/>
        <color theme="1"/>
        <rFont val="Calibri"/>
        <family val="2"/>
        <scheme val="minor"/>
      </rPr>
      <t xml:space="preserve">No money deposits or hiring fees are taken for or from any worker, neither by the organization, nor by intermediary agencies. </t>
    </r>
  </si>
  <si>
    <r>
      <t xml:space="preserve">4 </t>
    </r>
    <r>
      <rPr>
        <sz val="7"/>
        <color theme="1"/>
        <rFont val="Calibri"/>
        <family val="2"/>
        <scheme val="minor"/>
      </rPr>
      <t xml:space="preserve">     </t>
    </r>
    <r>
      <rPr>
        <sz val="11"/>
        <color theme="1"/>
        <rFont val="Calibri"/>
        <family val="2"/>
        <scheme val="minor"/>
      </rPr>
      <t>Nothing of the remuneration is refrained than is permitted by law or by individual or collective contract. (such as for taxes, pension and insurance premiums).</t>
    </r>
  </si>
  <si>
    <r>
      <t>6</t>
    </r>
    <r>
      <rPr>
        <sz val="7"/>
        <color theme="1"/>
        <rFont val="Calibri"/>
        <family val="2"/>
        <scheme val="minor"/>
      </rPr>
      <t>     </t>
    </r>
    <r>
      <rPr>
        <sz val="11"/>
        <color theme="1"/>
        <rFont val="Calibri"/>
        <family val="2"/>
        <scheme val="minor"/>
      </rPr>
      <t>Nothing of the remuneration is refrained than is permitted by law or by individual or collective contract. (such as for taxes, pension and insurance premiums).</t>
    </r>
  </si>
  <si>
    <r>
      <t xml:space="preserve">5 </t>
    </r>
    <r>
      <rPr>
        <sz val="7"/>
        <color theme="1"/>
        <rFont val="Calibri"/>
        <family val="2"/>
        <scheme val="minor"/>
      </rPr>
      <t xml:space="preserve">     </t>
    </r>
    <r>
      <rPr>
        <sz val="11"/>
        <color theme="1"/>
        <rFont val="Calibri"/>
        <family val="2"/>
        <scheme val="minor"/>
      </rPr>
      <t>A system has been established guaranteeing equal pay for equal work, and avoiding a gender wage gap.</t>
    </r>
  </si>
  <si>
    <t>Assume work hours equal to the hours determined in RW 4.
Calculate the ESCU's as RW4 x FMW x RT%. FMW is found in RW 6.
RT% is the default % to be allocated for insufficient demonstration of employment data, found in [O.F.-16 Labor Aspects].</t>
  </si>
  <si>
    <t>Admin contracts</t>
  </si>
  <si>
    <t>Number of violations</t>
  </si>
  <si>
    <t xml:space="preserve">Are the organization and its location known (including corporate organization), does it allow unannounced audits, are the data on employment complete and are violations to proper contracting registered ? </t>
  </si>
  <si>
    <t>Organization Expenditures/year</t>
  </si>
  <si>
    <t>Captured CO2 by the organization</t>
  </si>
  <si>
    <t xml:space="preserve">Select the type of Land use from the selection box. </t>
  </si>
  <si>
    <t>LO 14</t>
  </si>
  <si>
    <t>Overwork premium</t>
  </si>
  <si>
    <t>Determine the ESCU's, following the procedure above, numbered "LO", for agricultural land occupation and enter the result here.</t>
  </si>
  <si>
    <t>Is the turnover/hectare of the organization &gt; € 100.000 and does the organization use less than 100 hectares, or is the occupied land hardly cultivable, of very low natural ecological value and of very low soil carbon content, or can the organization demonstrate to maintain the ecosystem at a level &gt; than 80% of the natural biodiversity?</t>
  </si>
  <si>
    <t>Reasons of no applicability of this section.</t>
  </si>
  <si>
    <t>Turnover (units)</t>
  </si>
  <si>
    <t>Determine the size of the occupied land used for the product in hectares If used for several products, divide the used land over the products, proportionally tom their turnover in units</t>
  </si>
  <si>
    <t>Maintained at &gt; 80% of the natural biodiversity</t>
  </si>
  <si>
    <t>Land for Non Agrucultural Purposes</t>
  </si>
  <si>
    <t>Land use on land with hardly any biological value</t>
  </si>
  <si>
    <t>Other land use</t>
  </si>
  <si>
    <t xml:space="preserve">Calculation of the ESCU's per unit of product </t>
  </si>
  <si>
    <t xml:space="preserve">Give the organizations' yearly turnover of product (kg.,pieces, liters). </t>
  </si>
  <si>
    <t>Land occupation for agricultural or forestry-for -food purposes</t>
  </si>
  <si>
    <t>Type of land use</t>
  </si>
  <si>
    <t>Land use type and purposes</t>
  </si>
  <si>
    <t>Permanent crops or forestry for food purposes on fertile land</t>
  </si>
  <si>
    <t>Agricultural use on hardly cultivable land with little ecological value and without impact on the carbon balance of the soil.</t>
  </si>
  <si>
    <t>For feedstuffs and grassland for livestock</t>
  </si>
  <si>
    <t>Non agricultural land use with a financial yield per hectare &gt; € 100.000 and the organization uses less than 100 hectares</t>
  </si>
  <si>
    <t>Non agricultural land use on hardly cultivable land without ecological value and without impact on the carbon balance of the soil</t>
  </si>
  <si>
    <t>The occupied land has more than 80% of the locally natural biodiversity</t>
  </si>
  <si>
    <t xml:space="preserve">Other land use or unknown </t>
  </si>
  <si>
    <t>Determine the ESCU's, following the procedure numbered "LO" (above on this sheet), for agricultural land occupation and enter the result here.</t>
  </si>
  <si>
    <t>Corrected ESCU's</t>
  </si>
  <si>
    <t>Determine the weight % per unit of product that consists of wood for which both a positive harvesting balance and a product use period of more than &gt;50 years can be demonstrated.</t>
  </si>
  <si>
    <t>Harvesting Balance</t>
  </si>
  <si>
    <t>Sequestering Bonus</t>
  </si>
  <si>
    <t>Sequesering Bonus</t>
  </si>
  <si>
    <t>Harvesting Bonus</t>
  </si>
  <si>
    <t>Section Choice land use purposes</t>
  </si>
  <si>
    <t>FLO 6</t>
  </si>
  <si>
    <r>
      <rPr>
        <b/>
        <sz val="12"/>
        <color rgb="FFFF0000"/>
        <rFont val="Calibri"/>
        <family val="2"/>
        <scheme val="minor"/>
      </rPr>
      <t>Note 1</t>
    </r>
    <r>
      <rPr>
        <sz val="12"/>
        <color rgb="FFFF0000"/>
        <rFont val="Calibri"/>
        <family val="2"/>
        <scheme val="minor"/>
      </rPr>
      <t xml:space="preserve">: that next to nutrients and pesticides, also suppliers of feedstuffs need to be required to provide ESCU's for land use. Without those supplier ESCU's investigated folowing the procedures described in the sheet "Suppliers".
</t>
    </r>
    <r>
      <rPr>
        <b/>
        <sz val="12"/>
        <color rgb="FFFF0000"/>
        <rFont val="Calibri"/>
        <family val="2"/>
        <scheme val="minor"/>
      </rPr>
      <t>Note 2</t>
    </r>
    <r>
      <rPr>
        <sz val="12"/>
        <color rgb="FFFF0000"/>
        <rFont val="Calibri"/>
        <family val="2"/>
        <scheme val="minor"/>
      </rPr>
      <t xml:space="preserve">: If the livestock is fed with external nutrients, a part of the land use will be from upstream suppliers. ESCU's from these suppliers will have to be requested. ESCU's shall not be presented without the upstream land-use data. </t>
    </r>
  </si>
  <si>
    <t xml:space="preserve">Land footprint </t>
  </si>
  <si>
    <t>Lamb/Mutton</t>
  </si>
  <si>
    <t>Cheese</t>
  </si>
  <si>
    <t>Dark Cocolate</t>
  </si>
  <si>
    <t>Beef (Beef Herd)</t>
  </si>
  <si>
    <t>Beef (Dairy Herd)</t>
  </si>
  <si>
    <t>Coffee</t>
  </si>
  <si>
    <t>m2/kg</t>
  </si>
  <si>
    <t>Pig Meat</t>
  </si>
  <si>
    <t>Nuts</t>
  </si>
  <si>
    <t>Poulty Meat</t>
  </si>
  <si>
    <t>Groudnuts</t>
  </si>
  <si>
    <t>Milk</t>
  </si>
  <si>
    <t>Fish (farmed)</t>
  </si>
  <si>
    <t>Peas</t>
  </si>
  <si>
    <t>Eggs</t>
  </si>
  <si>
    <t>Wheat &amp; Rye</t>
  </si>
  <si>
    <t>Tofu (Soybeans)</t>
  </si>
  <si>
    <t>Prawns (farmed(</t>
  </si>
  <si>
    <t>Maize</t>
  </si>
  <si>
    <t>Rice</t>
  </si>
  <si>
    <t>Bananas</t>
  </si>
  <si>
    <t>Potatoes</t>
  </si>
  <si>
    <t>Citrus Fruit</t>
  </si>
  <si>
    <t>Tomatoes</t>
  </si>
  <si>
    <t>Apples</t>
  </si>
  <si>
    <t>Background Wages</t>
  </si>
  <si>
    <t>RW 10</t>
  </si>
  <si>
    <t>Calculation of the background ESCU's as RW 5 x (RW 7 - RW 6)</t>
  </si>
  <si>
    <t>List of all personnel and remunerations</t>
  </si>
  <si>
    <t>Total worked hours of all workers in the organization (not only related to the product).</t>
  </si>
  <si>
    <r>
      <t>Total number of violations (</t>
    </r>
    <r>
      <rPr>
        <b/>
        <sz val="11"/>
        <color theme="1"/>
        <rFont val="Calibri"/>
        <family val="2"/>
        <scheme val="minor"/>
      </rPr>
      <t>TV</t>
    </r>
    <r>
      <rPr>
        <sz val="11"/>
        <color theme="1"/>
        <rFont val="Calibri"/>
        <family val="2"/>
        <scheme val="minor"/>
      </rPr>
      <t>).</t>
    </r>
  </si>
  <si>
    <t>The Wage sum % (Obtained from Preparation Pr 18)</t>
  </si>
  <si>
    <t>Company</t>
  </si>
  <si>
    <t xml:space="preserve">Assuming for a CEO of a large company a 60 hour workweek and 48 workweeks per year, his/her hourly income is calculated as: </t>
  </si>
  <si>
    <t>Data</t>
  </si>
  <si>
    <t>Foreground Data available?</t>
  </si>
  <si>
    <t>This part only needs completion if directed here from another sheet, but does need the previous questions of this sheet.</t>
  </si>
  <si>
    <t>Can the organization demonstrate an inventory for all workers in relation to the product  (internal and external) of their actual transport means for commuting and their actual commuting kilometers?</t>
  </si>
  <si>
    <t>Average Petrol car</t>
  </si>
  <si>
    <t>Average Diesel car</t>
  </si>
  <si>
    <t>Average LPG car</t>
  </si>
  <si>
    <t>Electric bike</t>
  </si>
  <si>
    <t>Petrol (Euro 5 or 6) Car</t>
  </si>
  <si>
    <t>Petrol Hybrid Car</t>
  </si>
  <si>
    <t>Petrol Plug-in Hybrid Car</t>
  </si>
  <si>
    <t>Bioethanol (85%) Car</t>
  </si>
  <si>
    <t>Diesel Euro 5 Car</t>
  </si>
  <si>
    <t>Diesel Euro 6 Car</t>
  </si>
  <si>
    <t>Diesel Hybrid Car</t>
  </si>
  <si>
    <t>Biodiesel 5 (B100) Car</t>
  </si>
  <si>
    <t>Electricity Car</t>
  </si>
  <si>
    <t>Natural Gas Car</t>
  </si>
  <si>
    <t>Bio Gas Car</t>
  </si>
  <si>
    <t>Hydrogen Car</t>
  </si>
  <si>
    <t>Petrol Moped</t>
  </si>
  <si>
    <t>Electic Moped</t>
  </si>
  <si>
    <t>Petrol Motorbike</t>
  </si>
  <si>
    <t>Diesel Passenger Van</t>
  </si>
  <si>
    <t>Diesel Touringcar</t>
  </si>
  <si>
    <t>Diesel Public bus</t>
  </si>
  <si>
    <t>Natural Gas Publuc bus</t>
  </si>
  <si>
    <t>Euro 3 Public bus</t>
  </si>
  <si>
    <t>Euro 5 Public bus</t>
  </si>
  <si>
    <t>EEV Diesel Public bus</t>
  </si>
  <si>
    <t>EEV Natural Gas Public bus</t>
  </si>
  <si>
    <t>Bio Natural Gas Public bus</t>
  </si>
  <si>
    <t>Diese Hybrid Public bus</t>
  </si>
  <si>
    <t>Electric Public bus</t>
  </si>
  <si>
    <t>Electric Tram</t>
  </si>
  <si>
    <t>Electric Metro</t>
  </si>
  <si>
    <t>Electricity Train</t>
  </si>
  <si>
    <t>Embraer 190 short distance air transport</t>
  </si>
  <si>
    <t>Boeing 737-800 middle distance air transport</t>
  </si>
  <si>
    <t>Boeing 737-300 ER Long distance air transport</t>
  </si>
  <si>
    <t>Transport mode (Well to wheel)</t>
  </si>
  <si>
    <t>Sector-standard emission data</t>
  </si>
  <si>
    <t>Total ESCU's per unit for Gate to Gate emission of bulk gasses from non-agricultural activities.</t>
  </si>
  <si>
    <t>Total ESCU's per unit for Gate to Gate use of electricity.</t>
  </si>
  <si>
    <t>Transport Mode</t>
  </si>
  <si>
    <t>Commuting kilometers per year</t>
  </si>
  <si>
    <t>Occupancy (persons) or % if indicated</t>
  </si>
  <si>
    <t>Form ESCU's for commuting and business trips (ESCU's per year for the organization)</t>
  </si>
  <si>
    <t>Foreground mitigation costs per organization</t>
  </si>
  <si>
    <t>Foreground ESCU's per unit of product</t>
  </si>
  <si>
    <t>Calculation of the foreground ESCU's per unit of product.</t>
  </si>
  <si>
    <t>P-Atc 7</t>
  </si>
  <si>
    <t>Foreground commuting (km)</t>
  </si>
  <si>
    <t xml:space="preserve">Background ESCU's for employee commuting </t>
  </si>
  <si>
    <t>Background ESCU's (33% of background commuting ESCU's)</t>
  </si>
  <si>
    <t>From Idemat 2021, unless otherwise stated</t>
  </si>
  <si>
    <t>Air traffic continental (min weight/volume ratio 0,167 ton/m3) (tkm)</t>
  </si>
  <si>
    <t>Air traffic intercontinental (min weight/volume ratio 0,167 ton/m3) (tkm)</t>
  </si>
  <si>
    <t>2019 Air traffic continental (max weight/volume ratio 0,167 ton/m3) (m3.km)</t>
  </si>
  <si>
    <t>2019 Air traffic intercontinental (max weight/volume ratio 0,167 ton/m3) (m3.km)</t>
  </si>
  <si>
    <t>2019 Container ship (max weight/volume ratio 0,41 ton/m3)</t>
  </si>
  <si>
    <t>Oil Supertanker</t>
  </si>
  <si>
    <t>Container ship (min weight/volume ratio 0,41 ton/m3)</t>
  </si>
  <si>
    <t>Container feeder Handysize 1577 TEU 13  knots</t>
  </si>
  <si>
    <t>Coaster Class A (coast US, North and Baltic sea)</t>
  </si>
  <si>
    <t>Bulk carrier Panamax</t>
  </si>
  <si>
    <t>Bulk carrier Handysize dwt 16.383, 12.5 knots</t>
  </si>
  <si>
    <t>Barge 1475 dwt</t>
  </si>
  <si>
    <t>2019 Truck+container, 28 tons net (max weight/volume ratio 0,41 ton/m3) (m3.km)</t>
  </si>
  <si>
    <t>2019 Truck+trailer 24 tons net (max weight/volume ratio 0,32 ton/m3) (m3.km)</t>
  </si>
  <si>
    <t>Truck+trailer 24 tons net (min weight/volume ratio 0,32 ton/m3) (tkm)</t>
  </si>
  <si>
    <t>Truck+container, 28 tons net (min weight/volume ratio 0,41 ton/m3) (tkm)</t>
  </si>
  <si>
    <t>Tractor (240 pk)</t>
  </si>
  <si>
    <t>Truck +trailer  Euro 6 (meter)</t>
  </si>
  <si>
    <t>Foreground Tonkm's for transport of goods by transport means</t>
  </si>
  <si>
    <t>Filled form Form "Emission of transport of goods"</t>
  </si>
  <si>
    <t>Form "Emission transport of goods"</t>
  </si>
  <si>
    <t>Form "ESCU's fpr commuting and business trips"</t>
  </si>
  <si>
    <t xml:space="preserve">Foreground Mitigation costs </t>
  </si>
  <si>
    <t>Background ESCU's  (€/ tkm)</t>
  </si>
  <si>
    <t xml:space="preserve">List for each transport means the tonkilometers (tkm's) (or m3km's) per unit of product of self-executed transport of goods and outsourced tkm's for which no supplier-ESCU's were obtained in relation to the product. Sort the list by transport means and aggregate the tkm's by transport mean. Enter the transport means and tkm's in the form "Emission transport of goods" in Idemat Data - cells AA 3 - AH 32. 
  </t>
  </si>
  <si>
    <t>Completed from "Emission of transport of goods"</t>
  </si>
  <si>
    <t>Filled form "ESCU's for commuting and business trips"</t>
  </si>
  <si>
    <t xml:space="preserve">Tkm's/unit of product </t>
  </si>
  <si>
    <t>P-Atg 5</t>
  </si>
  <si>
    <t>P-Atg 6</t>
  </si>
  <si>
    <t xml:space="preserve">Can the organization demonstrate an inventory of transport of the goods in relation to the product  (internal and external)? </t>
  </si>
  <si>
    <t>Goto P-Atg 6</t>
  </si>
  <si>
    <t xml:space="preserve">     For background transport, calculate ESCU's per unit of product, using the same form "Emission transport of goods" in Idemat Data - cells AA 3 - AH 32. The most probable worst case distances shall be selected and derived from external data (e.g. Google Maps). For road transport, the km's for return trips must be included with a default load of 60%.  Enter the ESCU's from Idemat Data - cell AH 32.</t>
  </si>
  <si>
    <t xml:space="preserve">Can foreground data on the considered stage in the supply chain be demonstrated on emission of bulk gasses, the use of energy, energy cariers (fuels) and transport of people and goods? </t>
  </si>
  <si>
    <t>ESCU's (€/Kwh), (compensated for nuclear *3) For electricity from the net</t>
  </si>
  <si>
    <t xml:space="preserve">ESCU's (€/Kwh),  For electricity from/via rechargable batteries (+20%) </t>
  </si>
  <si>
    <t xml:space="preserve">ESCU's (€/kg). emitted gas (Euro's) </t>
  </si>
  <si>
    <t>(Price Factor) Background ESCU's (€/kg).</t>
  </si>
  <si>
    <t>Total ESCU's (€/Kg)</t>
  </si>
  <si>
    <t>Total ESCU's (€/km.person)</t>
  </si>
  <si>
    <t>Form G: ESCU's for transport of people</t>
  </si>
  <si>
    <t>See description P-Gen 3</t>
  </si>
  <si>
    <t>Goto the sections for lacking aspects</t>
  </si>
  <si>
    <t xml:space="preserve">Do all gate to gate emissions of the 12 bulk gasses, listed in Pol.Data- "ESCU's for emitted Harmfull Bulk Gases" (cells I27 - K41), answer to known and described standard conditions in the sector/location combination and can these gate to gate conditions be demonstrated ? </t>
  </si>
  <si>
    <t>Completed Form Pol.Data - A27/G42</t>
  </si>
  <si>
    <t>Foreground Supplier ESCU's/KwH</t>
  </si>
  <si>
    <t>Form upstream ESCU's for fuels</t>
  </si>
  <si>
    <t>Foreground mitigation costs per kg. of fuel</t>
  </si>
  <si>
    <t>Total ESCU's per unit of product</t>
  </si>
  <si>
    <t>Form "unstrream ESCU's for fuels</t>
  </si>
  <si>
    <t>Filled form "Upstream ESCU's for fuels</t>
  </si>
  <si>
    <t>Kg./organization.year</t>
  </si>
  <si>
    <r>
      <t xml:space="preserve">Total ESCU's for Type A Pollution </t>
    </r>
    <r>
      <rPr>
        <sz val="12"/>
        <rFont val="Calibri"/>
        <family val="2"/>
        <scheme val="minor"/>
      </rPr>
      <t>(without the section on Indirect gas emissions)</t>
    </r>
  </si>
  <si>
    <t xml:space="preserve">Sheet Gov.Level </t>
  </si>
  <si>
    <t>Reduction of the maximum ESCU's with the reducing calculation factor.</t>
  </si>
  <si>
    <t xml:space="preserve">Standard emissions in form. </t>
  </si>
  <si>
    <t>Pol.Data"- "ESCU Pollution Calculation Form</t>
  </si>
  <si>
    <t>Can at least the purchased quantities in the relevant stage in the supply chain be demonstrated?</t>
  </si>
  <si>
    <t>Maximum Chemical Emissions</t>
  </si>
  <si>
    <r>
      <t xml:space="preserve">   Determine the organisation's  Governance Level Factor, using the form on sheet "Gov.Level" on the aspect by completing the form in sheet "Gov.Level"and return with the </t>
    </r>
    <r>
      <rPr>
        <b/>
        <sz val="11"/>
        <rFont val="Calibri"/>
        <family val="2"/>
        <scheme val="minor"/>
      </rPr>
      <t xml:space="preserve">RMF </t>
    </r>
    <r>
      <rPr>
        <sz val="11"/>
        <rFont val="Calibri"/>
        <family val="2"/>
        <scheme val="minor"/>
      </rPr>
      <t>from Gov.Level - cell E11. If no governance level can be demonstrated, RMF = 1,0.</t>
    </r>
  </si>
  <si>
    <t>Return from Pol.Data and enter the resulting ESCU's from Pol.Data cell Q25.</t>
  </si>
  <si>
    <t>ESCU's for transport of goods (€/unit of product)</t>
  </si>
  <si>
    <t>Emission free Industry sector ?</t>
  </si>
  <si>
    <t xml:space="preserve">Enter the emitted chemicals and quantities per unit of the product in sheet "Pol.Data"- "ESCU Pollution Calculation Form", cells A2-Q25. Consider all of the following potential sources of harmfull chemicals: 
  A. Purchased chemicals.
  B. Purchased products and raw materials containing harmfull chemicals. (Require the chemical composition of all purchased materials in which harmfull chemicals may be expected).
  C. Solvents, fuels, processsing aids, raw materials, cleaning agents, pesiticides, materials for analysis, veterenary and pharmacological chemicals and any other materials that do not belong in the environment.
  D. In-process generated chemicals, both in and for intermediate- and end-products.  
  E. Equipment containing harmfull chemicals.
  F. Constituents of chimney outlets and exhausts. (other than CO2; covered above as Bulk gas)
  G. Chemicals emitted by animals or fermentation processes, other than methane (covered above as Bulk gas)
At any uncertainty, have the emissions analysed by a therefore accredited body.
</t>
  </si>
  <si>
    <t>Foreground emitted chemicals</t>
  </si>
  <si>
    <t xml:space="preserve">Pol.Data- "ESCU Pollution Calculation Form";
Internal Data;
Analysis </t>
  </si>
  <si>
    <t xml:space="preserve">
Pol.Data - "ESCU Pollution Calculation Form"
Literature on Sector data
Experts</t>
  </si>
  <si>
    <t>Goto P-C 11</t>
  </si>
  <si>
    <t>Filled Form Pol.Data - "ESCU Pollution Calculation Form"</t>
  </si>
  <si>
    <t>Filled Form Pol.Data - "ESCU Pollution Calculation Form" with maxima</t>
  </si>
  <si>
    <t xml:space="preserve">Enter the purchased, used, generated, or present chemicals in sheet "Pol.Data"- "ESCU Pollution Calculation Form", cells A2-Q25, in the applicable column (air, soil or water) of the form, depending on emission in soil, air or water.
Consider all of the following potential sources of harmfull chemicals in the product: 
  A. Purchased chemicals.
  B. Purchased products and raw materials containing harmfull chemicals. (Require the chemical composition of all purchased parts and materials.
  C. Solvents, fuels, processsing aids, raw materials, cleaning agents, pesiticides, materials for analysis, veterenary and pharmacological chemicals and any other materials that do not belong in the environment.
  D. In-process generated chemicals.  
    At any uncertainty, have the emissions analysed by a therefore accredited body.
</t>
  </si>
  <si>
    <t>Emission Quantities</t>
  </si>
  <si>
    <t xml:space="preserve">Quantities added in "ESCU Pollution Calculation Form"  </t>
  </si>
  <si>
    <t>Type C Pollution (Quantitatively measurable emissions of substances. - O.S. 12.4.1.3)</t>
  </si>
  <si>
    <t>Potentially present chemicals</t>
  </si>
  <si>
    <t>List (P-E1) of Potentially present chemicals</t>
  </si>
  <si>
    <t>Internal data;
Experts</t>
  </si>
  <si>
    <r>
      <t>Determine the Reducing Multiplication Factor (</t>
    </r>
    <r>
      <rPr>
        <b/>
        <sz val="11"/>
        <rFont val="Calibri"/>
        <family val="2"/>
        <scheme val="minor"/>
      </rPr>
      <t>RMF</t>
    </r>
    <r>
      <rPr>
        <sz val="11"/>
        <rFont val="Calibri"/>
        <family val="2"/>
        <scheme val="minor"/>
      </rPr>
      <t>) by determination of the organisation's  governance level on Type E pollution in sheet "Gov.level" (cell F11).</t>
    </r>
  </si>
  <si>
    <t xml:space="preserve">If the organization can demonstrate its own specific incident caused emission mitigation costs, add the mitigation costs and expected mitigation percentage in the relevant columns of "Pol.Data"- "ESCU Pollution Calculation Form", cells A2-Q25.
</t>
  </si>
  <si>
    <t>Return with resulting ESCU's per unit of product from cell Q25.</t>
  </si>
  <si>
    <t>Sheet Preparation</t>
  </si>
  <si>
    <t>Foreground chemicals</t>
  </si>
  <si>
    <t>Foreground Chemicals</t>
  </si>
  <si>
    <t xml:space="preserve">Filled Form </t>
  </si>
  <si>
    <t>Does the organization have a relevant aproved (safety) certificate including prevention of emissions at incidents, , or can it safely be assumed that no other chemicals or quantities are in the premises than in normal households?</t>
  </si>
  <si>
    <t>Goto P-E 10</t>
  </si>
  <si>
    <t>Life time (Years), (part of year expressed in decimal units)</t>
  </si>
  <si>
    <t>Emitted quantities of harmfull chemicals</t>
  </si>
  <si>
    <t xml:space="preserve">Internal data; 
analysis;
Suppliers
</t>
  </si>
  <si>
    <t>Emissions (kg.)</t>
  </si>
  <si>
    <t>Mitigation costs 
and %</t>
  </si>
  <si>
    <t>Product Life Time</t>
  </si>
  <si>
    <t>Specific weight</t>
  </si>
  <si>
    <t>Product Life</t>
  </si>
  <si>
    <t>High impacts added</t>
  </si>
  <si>
    <t>List of High Impact Items</t>
  </si>
  <si>
    <t>Product life time</t>
  </si>
  <si>
    <t>Years</t>
  </si>
  <si>
    <t>Days</t>
  </si>
  <si>
    <t>Month's</t>
  </si>
  <si>
    <t>Mitigation costs and % added</t>
  </si>
  <si>
    <t>Polluted Medium</t>
  </si>
  <si>
    <t xml:space="preserve">Harmfull chemicals </t>
  </si>
  <si>
    <t>Foreground Mitigation costs and %</t>
  </si>
  <si>
    <t>Internal data; System calculation</t>
  </si>
  <si>
    <t>Goto UH 7</t>
  </si>
  <si>
    <t>Select the industry sector this sheet (different categories from sheet preparation).</t>
  </si>
  <si>
    <t>At facade of noise-sensitive buildings</t>
  </si>
  <si>
    <t>In noise- sensitive rooms with people</t>
  </si>
  <si>
    <t>In noise- sensitive rooms with people, including the user of the utensil</t>
  </si>
  <si>
    <t>Internal Data;
Foreground Noise Level Form (K2-O10)</t>
  </si>
  <si>
    <t xml:space="preserve">Filled Foreground Noise Level Form </t>
  </si>
  <si>
    <t>Noise Levels (Decibels)</t>
  </si>
  <si>
    <t>Noise level norms</t>
  </si>
  <si>
    <t>Internal Data;
Mitigated Noise Level Form (K11-O16)</t>
  </si>
  <si>
    <t>Filled Mitigated Noise Level Form</t>
  </si>
  <si>
    <t>Enter the costs per unit of product for reducing the noise levels to the indicated mitigated levels</t>
  </si>
  <si>
    <t>Max norm exceedance</t>
  </si>
  <si>
    <r>
      <rPr>
        <b/>
        <sz val="11"/>
        <color theme="1"/>
        <rFont val="Calibri"/>
        <family val="2"/>
        <scheme val="minor"/>
      </rPr>
      <t>Product specific ("Foreground") ESCU's</t>
    </r>
    <r>
      <rPr>
        <sz val="11"/>
        <color theme="1"/>
        <rFont val="Calibri"/>
        <family val="2"/>
        <scheme val="minor"/>
      </rPr>
      <t xml:space="preserve">
•  The category sheets ask for quantitative internal data on the product, the organization, the management and emissions related to the inflicted impact.
•  The system calculated default ESCU's based on the quantity of the issue and costs from databases.
•  Next, the sheets ask if costs can be demonstrated for mitigation of the impact and what the expected mitigation % will be.
•  Based on these product specific quantitative and preventative cost data, the system re-calculates the ESCU's, using the case-specific costs of prevention
    for the entered mitigation % and the default ESCU's for the remainder. If an issue can be totally prevented, the ESCU's are 100% based on the true product 
    specific costs of prevention ("foreground").
•  This is also a way to correct incorrect default values, but always need evidence and demonstrable calculations.</t>
    </r>
  </si>
  <si>
    <t>Mediocre Quality Instructions</t>
  </si>
  <si>
    <t>Low Quality Instructions</t>
  </si>
  <si>
    <t>Internal data + System calculation</t>
  </si>
  <si>
    <t>Q 8</t>
  </si>
  <si>
    <t>Internal data;
System calculation</t>
  </si>
  <si>
    <t>Background ESCU's Calculated as ESCU's = RMF x UHSMAX</t>
  </si>
  <si>
    <t>Background ESCU's, calculated as RMF * QMMAX</t>
  </si>
  <si>
    <t>Responsible warrenties?</t>
  </si>
  <si>
    <t>Responsible warrenties</t>
  </si>
  <si>
    <t>Internal Data
[O.F. database - 21]</t>
  </si>
  <si>
    <t>Use-energy-ESCU's form - calculated per hour</t>
  </si>
  <si>
    <t>Use-energy-ESCU's form - calculated per km</t>
  </si>
  <si>
    <t>Internal Data;
System calculation</t>
  </si>
  <si>
    <t>Average Lifetime (km's)</t>
  </si>
  <si>
    <t>Fuel
(kg/km)</t>
  </si>
  <si>
    <t>Fuel (kg/hour of use)</t>
  </si>
  <si>
    <t>Electricity (KwH/ hour of use)</t>
  </si>
  <si>
    <t>Lifetime (Hours of use)</t>
  </si>
  <si>
    <t>Emission Mitigation
(%)</t>
  </si>
  <si>
    <t>Electricity (KwH/km)</t>
  </si>
  <si>
    <t xml:space="preserve">ESCU's/kg. emitted gas (€/kg) </t>
  </si>
  <si>
    <t xml:space="preserve">Emission (Kg/hour) </t>
  </si>
  <si>
    <t>Average lifetime
(km)</t>
  </si>
  <si>
    <t>Used Quantity  (kg/hour)</t>
  </si>
  <si>
    <t>Depleted Quantity
 (kg/hour)</t>
  </si>
  <si>
    <t>Depleted Quantity 
 (kg/km)</t>
  </si>
  <si>
    <t>Depleted Quantity
  (kg/km)</t>
  </si>
  <si>
    <t>Proven recovery by recycling 
(%)</t>
  </si>
  <si>
    <t>Filled Form  "Life time Materials depletion for utensils"</t>
  </si>
  <si>
    <t>Is the product a cause of water use, either by consuming water at use, or by the need for cleaning, cooking, cooling or other reason as consequence of its use?</t>
  </si>
  <si>
    <t>Product life
 (hours of use)</t>
  </si>
  <si>
    <t>Expected Mitigation
(%)</t>
  </si>
  <si>
    <t>Life time 
(hours of use)</t>
  </si>
  <si>
    <t>Product life and water use</t>
  </si>
  <si>
    <t>Filled Form  "Life time Water use of utensils"</t>
  </si>
  <si>
    <t>Life time Water Use of utensils</t>
  </si>
  <si>
    <t>ESCU's for life time Water Use</t>
  </si>
  <si>
    <t>Total ESCU's for Depletion by the use of the product</t>
  </si>
  <si>
    <t>Does the assessment concern the self-assessment within the own organization or can it otherwise demonstrate the exact quantity of depleted materials in the relevant supply chain stage ? (note that not only the materials in the product but also processing aids may be involved)</t>
  </si>
  <si>
    <t>Foreground Depleted quantities (kg/unit of product).</t>
  </si>
  <si>
    <t>BWD</t>
  </si>
  <si>
    <t>Enter in fields H5 and I5 the costs per unit of product and expected to be achieved improved RMF. The foreground ESCU''s will be calculated.</t>
  </si>
  <si>
    <r>
      <t>Determine organization's governance level  on corruption, using the sheet "Gov. Level" and return with the Reducing Multiplication Factor (</t>
    </r>
    <r>
      <rPr>
        <b/>
        <sz val="11"/>
        <color theme="1"/>
        <rFont val="Calibri"/>
        <family val="2"/>
        <scheme val="minor"/>
      </rPr>
      <t>RMF</t>
    </r>
    <r>
      <rPr>
        <sz val="11"/>
        <color theme="1"/>
        <rFont val="Calibri"/>
        <family val="2"/>
        <scheme val="minor"/>
      </rPr>
      <t>). If no governance level can be demonstrated, enter for RMF the value of 1,0.</t>
    </r>
  </si>
  <si>
    <r>
      <t xml:space="preserve">Background Net Operational Margin </t>
    </r>
    <r>
      <rPr>
        <b/>
        <sz val="11"/>
        <color theme="1"/>
        <rFont val="Calibri"/>
        <family val="2"/>
        <scheme val="minor"/>
      </rPr>
      <t>(BNOM).</t>
    </r>
  </si>
  <si>
    <r>
      <t>If the 5-year average foreground Net Operating Margin (</t>
    </r>
    <r>
      <rPr>
        <b/>
        <sz val="11"/>
        <color theme="1"/>
        <rFont val="Calibri"/>
        <family val="2"/>
        <scheme val="minor"/>
      </rPr>
      <t>FNOM</t>
    </r>
    <r>
      <rPr>
        <sz val="11"/>
        <color theme="1"/>
        <rFont val="Calibri"/>
        <family val="2"/>
        <scheme val="minor"/>
      </rPr>
      <t>) of the product can be demonstrated (see info 3), enter it; otherwise leave empty.</t>
    </r>
  </si>
  <si>
    <t>Profit margin known (%)</t>
  </si>
  <si>
    <r>
      <t>Determine organization's governance level on Various Social Aspects, considering the 27 issues and conditions in rows 26-57 of this sheet, determine the reducing multiplication (</t>
    </r>
    <r>
      <rPr>
        <b/>
        <sz val="11"/>
        <color theme="1"/>
        <rFont val="Calibri"/>
        <family val="2"/>
        <scheme val="minor"/>
      </rPr>
      <t>RMF</t>
    </r>
    <r>
      <rPr>
        <sz val="11"/>
        <color theme="1"/>
        <rFont val="Calibri"/>
        <family val="2"/>
        <scheme val="minor"/>
      </rPr>
      <t>), using the gov.level sheet. If no governance level can be demonstrated, RMF = 1,0.</t>
    </r>
  </si>
  <si>
    <r>
      <t>21.</t>
    </r>
    <r>
      <rPr>
        <sz val="7"/>
        <color theme="1"/>
        <rFont val="Times New Roman"/>
        <family val="1"/>
      </rPr>
      <t xml:space="preserve">   </t>
    </r>
    <r>
      <rPr>
        <sz val="11"/>
        <color theme="1"/>
        <rFont val="Calibri"/>
        <family val="2"/>
        <scheme val="minor"/>
      </rPr>
      <t>Not consistently communicate the sustainability as it is determined by the use of the Oiconiomy standard together with advertising about or including aspects of sustainability.</t>
    </r>
  </si>
  <si>
    <r>
      <t>5.</t>
    </r>
    <r>
      <rPr>
        <sz val="7"/>
        <color theme="1"/>
        <rFont val="Times New Roman"/>
        <family val="1"/>
      </rPr>
      <t xml:space="preserve">       </t>
    </r>
    <r>
      <rPr>
        <sz val="11"/>
        <color theme="1"/>
        <rFont val="Calibri"/>
        <family val="2"/>
        <scheme val="minor"/>
      </rPr>
      <t>Publication of communications that could be taken offensive by major parts of the population of the country. This does not apply to products with the purpose of communication.</t>
    </r>
  </si>
  <si>
    <r>
      <t>17.</t>
    </r>
    <r>
      <rPr>
        <sz val="7"/>
        <color theme="1"/>
        <rFont val="Times New Roman"/>
        <family val="1"/>
      </rPr>
      <t xml:space="preserve">   </t>
    </r>
    <r>
      <rPr>
        <sz val="11"/>
        <color theme="1"/>
        <rFont val="Calibri"/>
        <family val="2"/>
        <scheme val="minor"/>
      </rPr>
      <t xml:space="preserve">Advertising smoke, health damaging food- or care-products, or pharmacological products (except on medical prescription), without presenting </t>
    </r>
    <r>
      <rPr>
        <b/>
        <sz val="11"/>
        <color theme="1"/>
        <rFont val="Calibri"/>
        <family val="2"/>
        <scheme val="minor"/>
      </rPr>
      <t>substantial</t>
    </r>
    <r>
      <rPr>
        <sz val="11"/>
        <color theme="1"/>
        <rFont val="Calibri"/>
        <family val="2"/>
        <scheme val="minor"/>
      </rPr>
      <t xml:space="preserve"> negative side effects as one of the clearest communications. Not intended here is a copy of the package leaflet for prescriptions, but only the major issues (such as cancer by smoke).</t>
    </r>
  </si>
  <si>
    <t xml:space="preserve">        The responsible organization keeps waiting times limited, answers in countries’ own language, documents and effectively solves complaints and incidents. </t>
  </si>
  <si>
    <t>Enter in fields H5 and I5 the costs per unit of product and expected to be achieved improved RMF. The foreground ESCU''s is calculated by the system.</t>
  </si>
  <si>
    <t>Foreground mitigation costs?</t>
  </si>
  <si>
    <t>Total ESCU's for various social Aspects</t>
  </si>
  <si>
    <t>Total ESCU's for various Social Aspects and Animal Welfare</t>
  </si>
  <si>
    <t xml:space="preserve">Total ESCU's for Animal Welfare </t>
  </si>
  <si>
    <t>Mitigation costs</t>
  </si>
  <si>
    <t>Water depletion mitigation (%)</t>
  </si>
  <si>
    <t>Location of highest population density in the country of use (enter the city)</t>
  </si>
  <si>
    <t>Altitude of the location (find on the internet)</t>
  </si>
  <si>
    <t>Altitude (meters)</t>
  </si>
  <si>
    <t xml:space="preserve">Location </t>
  </si>
  <si>
    <t>Distance to sea (km)</t>
  </si>
  <si>
    <t>Data for water depletion calculation form</t>
  </si>
  <si>
    <t>Fresh Water  (Country unknown)</t>
  </si>
  <si>
    <t>H2O</t>
  </si>
  <si>
    <t>ESCU's/m3.(€)</t>
  </si>
  <si>
    <t>Desal. Water with Non Renewable Energy (WDNR)</t>
  </si>
  <si>
    <t>Water Renewable local PV powered (WDER)</t>
  </si>
  <si>
    <t>Desalination power consumption (Kwh/m3) (DPC)</t>
  </si>
  <si>
    <t xml:space="preserve">For water transport </t>
  </si>
  <si>
    <t>KwH/m3</t>
  </si>
  <si>
    <t>Kwh/100 km horzontal pumping</t>
  </si>
  <si>
    <t>Kwh/100 m vertical pumping</t>
  </si>
  <si>
    <t>Defaults  for transport at "country unknown"</t>
  </si>
  <si>
    <t>100 km</t>
  </si>
  <si>
    <t>100 m</t>
  </si>
  <si>
    <t>Extra for renewable horizontal transport</t>
  </si>
  <si>
    <t>Extra for vertical renewable transport</t>
  </si>
  <si>
    <t>Total renewable horizontal Transport</t>
  </si>
  <si>
    <t>Total renewable vertical Transport</t>
  </si>
  <si>
    <r>
      <t>Enter the actual percentage of present vascular plants relative to the locally natural ecosystem (</t>
    </r>
    <r>
      <rPr>
        <b/>
        <sz val="11"/>
        <color theme="1"/>
        <rFont val="Calibri"/>
        <family val="2"/>
        <scheme val="minor"/>
      </rPr>
      <t>BF</t>
    </r>
    <r>
      <rPr>
        <sz val="11"/>
        <color theme="1"/>
        <rFont val="Calibri"/>
        <family val="2"/>
        <scheme val="minor"/>
      </rPr>
      <t>)</t>
    </r>
  </si>
  <si>
    <t>O.F.-09 Land Use.
System Calculation</t>
  </si>
  <si>
    <t>Assessments;
LDS's</t>
  </si>
  <si>
    <t xml:space="preserve">P-LDS              </t>
  </si>
  <si>
    <t>Background hours</t>
  </si>
  <si>
    <t>Goto FT 12</t>
  </si>
  <si>
    <t>Total- and 10 category-supplier ESCU's</t>
  </si>
  <si>
    <t>Answer/Unit</t>
  </si>
  <si>
    <t>WD 15</t>
  </si>
  <si>
    <t>WD 16</t>
  </si>
  <si>
    <t>WD 17</t>
  </si>
  <si>
    <t>€/m. water</t>
  </si>
  <si>
    <t>Power for upwards pumping</t>
  </si>
  <si>
    <t>kwH /m3.100 m</t>
  </si>
  <si>
    <t>Power for  horizonzal pumping</t>
  </si>
  <si>
    <t>kwH /m3.100 km.</t>
  </si>
  <si>
    <t>€ /m3.100 m.</t>
  </si>
  <si>
    <t>€ /m3.100 km.</t>
  </si>
  <si>
    <t>Desalination Power Consumption</t>
  </si>
  <si>
    <t>kwH/ m3. water</t>
  </si>
  <si>
    <t xml:space="preserve">System calculation
</t>
  </si>
  <si>
    <t>Economic Costs for upwards pumping</t>
  </si>
  <si>
    <t>Economic Costs for  horizonzal pumping</t>
  </si>
  <si>
    <t>Economic Seawater desalination Costs with non-renewable energy</t>
  </si>
  <si>
    <t>Water use (m3/hour)</t>
  </si>
  <si>
    <t>Life time Water Use (m3./unit of product)</t>
  </si>
  <si>
    <t>UW 7</t>
  </si>
  <si>
    <t>Average use of water
(m3/hour)</t>
  </si>
  <si>
    <t>Econmic costs Vertical, not renewable (O.F. -Sources -26)</t>
  </si>
  <si>
    <t>Economic Costs Horizontal; not renewable (O.F. -Sources -26)</t>
  </si>
  <si>
    <t>UG 4</t>
  </si>
  <si>
    <t xml:space="preserve">Does the organization have an approved certificate on the product, listed in [O.F.-19 Approved Standards], or can 80% biodiversity of the locally natural ecosystem be demonstrated? </t>
  </si>
  <si>
    <t>Total ESCU's for Sea degradation and biodiversity</t>
  </si>
  <si>
    <t>Expected Improved BF</t>
  </si>
  <si>
    <t>Method: Vogtländer et al.</t>
  </si>
  <si>
    <t>Foreground Biodiversity Factor</t>
  </si>
  <si>
    <t>Enter the actual costs of increasing the biodiversity back to the original ecosystem, or, in case of an existing &gt;80% native biodiversity, of the costs of protecting and maintaining that biodiversity. Divide investments according to the organization's own depreciation methods and without such methods over 10 years of crops.</t>
  </si>
  <si>
    <r>
      <t>Enter the expected increased biodiversity factor (</t>
    </r>
    <r>
      <rPr>
        <b/>
        <sz val="11"/>
        <rFont val="Calibri"/>
        <family val="2"/>
        <scheme val="minor"/>
      </rPr>
      <t>BF</t>
    </r>
    <r>
      <rPr>
        <sz val="11"/>
        <rFont val="Calibri"/>
        <family val="2"/>
        <scheme val="minor"/>
      </rPr>
      <t>).</t>
    </r>
  </si>
  <si>
    <t>Select the biotope of the area, choosing the best applicable from the selection box. (If the location is unknown, choose the most common biotope for the relevant activities). If the economic yield/ha is greater than € 500.000, (usually true for non-agricultural companies) leave the box on "select" (No ESCU's allocated).</t>
  </si>
  <si>
    <r>
      <t>km</t>
    </r>
    <r>
      <rPr>
        <b/>
        <vertAlign val="superscript"/>
        <sz val="11"/>
        <color theme="1"/>
        <rFont val="Calibri"/>
        <family val="2"/>
        <scheme val="minor"/>
      </rPr>
      <t>2</t>
    </r>
    <r>
      <rPr>
        <b/>
        <sz val="11"/>
        <color theme="1"/>
        <rFont val="Calibri"/>
        <family val="2"/>
        <scheme val="minor"/>
      </rPr>
      <t>/year</t>
    </r>
  </si>
  <si>
    <r>
      <t>Enter the size of the used sea per year in km</t>
    </r>
    <r>
      <rPr>
        <vertAlign val="superscript"/>
        <sz val="11"/>
        <color theme="1"/>
        <rFont val="Calibri"/>
        <family val="2"/>
        <scheme val="minor"/>
      </rPr>
      <t xml:space="preserve">2 </t>
    </r>
    <r>
      <rPr>
        <sz val="11"/>
        <color theme="1"/>
        <rFont val="Calibri"/>
        <family val="2"/>
        <scheme val="minor"/>
      </rPr>
      <t>.</t>
    </r>
  </si>
  <si>
    <t>Enter the yearly yield in number of units</t>
  </si>
  <si>
    <t>Yield (kg/year)</t>
  </si>
  <si>
    <t>Low skilled Workhours (h/unit of product(HP)
(decimal)</t>
  </si>
  <si>
    <t>Actual or default  
Wage sum (%)</t>
  </si>
  <si>
    <t>Internal Assessment</t>
  </si>
  <si>
    <t>Fill the following list</t>
  </si>
  <si>
    <t>Contribution (%)</t>
  </si>
  <si>
    <t xml:space="preserve">Worked hours
(hours/unit of product)                      </t>
  </si>
  <si>
    <t>Country, mentioned in sheet "preparation", and the percentage of children in child labor in the country.</t>
  </si>
  <si>
    <t>Forms in this sheet</t>
  </si>
  <si>
    <t>Internal data;
Calculations</t>
  </si>
  <si>
    <t>Hypothetical actors</t>
  </si>
  <si>
    <t xml:space="preserve">Most probable countries of origin </t>
  </si>
  <si>
    <t xml:space="preserve">Return </t>
  </si>
  <si>
    <t>country 1</t>
  </si>
  <si>
    <t>country 2</t>
  </si>
  <si>
    <t xml:space="preserve">Worst case country </t>
  </si>
  <si>
    <t>GNI/capita</t>
  </si>
  <si>
    <t>The GNI/capita of the selected countries appears in column H. Manually select the country with the lowest GNI/capita.</t>
  </si>
  <si>
    <t>After above procedure (S4-S6) has been executed for all location dependent aspects, determine the location of highest combined total ESCU's and choose that location.</t>
  </si>
  <si>
    <t>Select the most probable (max 3) source-countries, determined in the above procedure (S4-S6).</t>
  </si>
  <si>
    <r>
      <rPr>
        <b/>
        <sz val="12"/>
        <color rgb="FFFF0000"/>
        <rFont val="Calibri"/>
        <family val="2"/>
        <scheme val="minor"/>
      </rPr>
      <t>Info 1:</t>
    </r>
    <r>
      <rPr>
        <sz val="12"/>
        <color rgb="FFFF0000"/>
        <rFont val="Calibri"/>
        <family val="2"/>
        <scheme val="minor"/>
      </rPr>
      <t xml:space="preserve"> This part only needs completion if directed here from another sheet, but does need the previous questions of this sheet.
</t>
    </r>
    <r>
      <rPr>
        <b/>
        <sz val="12"/>
        <color rgb="FFFF0000"/>
        <rFont val="Calibri"/>
        <family val="2"/>
        <scheme val="minor"/>
      </rPr>
      <t>Info 2:</t>
    </r>
    <r>
      <rPr>
        <sz val="12"/>
        <color rgb="FFFF0000"/>
        <rFont val="Calibri"/>
        <family val="2"/>
        <scheme val="minor"/>
      </rPr>
      <t xml:space="preserve"> Because several aspects are location dependent, for choosing the worst case for unknown supply chain actors, all aspects need to be assessed and the worst case determined by the aggregated ESCU's for the different aspects.
Because that involves a lot of work, preliminarily skip this section and select the worst case, only based on the aspect under assessment. Instead, please put pressure on the supplier or rely on other data to find the most probable location of the relevant upstream activities.</t>
    </r>
  </si>
  <si>
    <t xml:space="preserve">WageIndicator.org;
</t>
  </si>
  <si>
    <r>
      <t>The Human Development index (</t>
    </r>
    <r>
      <rPr>
        <b/>
        <sz val="11"/>
        <color theme="1"/>
        <rFont val="Calibri"/>
        <family val="2"/>
        <scheme val="minor"/>
      </rPr>
      <t>HDI</t>
    </r>
    <r>
      <rPr>
        <sz val="11"/>
        <color theme="1"/>
        <rFont val="Calibri"/>
        <family val="2"/>
        <scheme val="minor"/>
      </rPr>
      <t>) of the default country.</t>
    </r>
  </si>
  <si>
    <r>
      <t xml:space="preserve">Find and enter the most likely but demonstrable amount of </t>
    </r>
    <r>
      <rPr>
        <b/>
        <sz val="11"/>
        <color theme="1"/>
        <rFont val="Calibri"/>
        <family val="2"/>
        <scheme val="minor"/>
      </rPr>
      <t>H</t>
    </r>
    <r>
      <rPr>
        <sz val="11"/>
        <color theme="1"/>
        <rFont val="Calibri"/>
        <family val="2"/>
        <scheme val="minor"/>
      </rPr>
      <t>ours (</t>
    </r>
    <r>
      <rPr>
        <b/>
        <sz val="11"/>
        <color theme="1"/>
        <rFont val="Calibri"/>
        <family val="2"/>
        <scheme val="minor"/>
      </rPr>
      <t>HP</t>
    </r>
    <r>
      <rPr>
        <sz val="11"/>
        <color theme="1"/>
        <rFont val="Calibri"/>
        <family val="2"/>
        <scheme val="minor"/>
      </rPr>
      <t xml:space="preserve">) of low skilled labor, worked on one unit of </t>
    </r>
    <r>
      <rPr>
        <b/>
        <sz val="11"/>
        <color theme="1"/>
        <rFont val="Calibri"/>
        <family val="2"/>
        <scheme val="minor"/>
      </rPr>
      <t>P</t>
    </r>
    <r>
      <rPr>
        <sz val="11"/>
        <color theme="1"/>
        <rFont val="Calibri"/>
        <family val="2"/>
        <scheme val="minor"/>
      </rPr>
      <t xml:space="preserve">roduct. Sources are IO databases, the internet and information and tests at accessible suppliers. </t>
    </r>
  </si>
  <si>
    <r>
      <t>The hourly Fair minimum wage (</t>
    </r>
    <r>
      <rPr>
        <b/>
        <sz val="11"/>
        <color theme="1"/>
        <rFont val="Calibri"/>
        <family val="2"/>
        <scheme val="minor"/>
      </rPr>
      <t>FMW</t>
    </r>
    <r>
      <rPr>
        <sz val="11"/>
        <color theme="1"/>
        <rFont val="Calibri"/>
        <family val="2"/>
        <scheme val="minor"/>
      </rPr>
      <t>) for an adult in the default country.</t>
    </r>
  </si>
  <si>
    <t>Background Country</t>
  </si>
  <si>
    <t>RI 9</t>
  </si>
  <si>
    <t>Enter the yearly gross income of the CEO of the found company (including bonusses).</t>
  </si>
  <si>
    <r>
      <t xml:space="preserve">The fair </t>
    </r>
    <r>
      <rPr>
        <b/>
        <sz val="11"/>
        <color theme="1"/>
        <rFont val="Calibri"/>
        <family val="2"/>
        <scheme val="minor"/>
      </rPr>
      <t>O</t>
    </r>
    <r>
      <rPr>
        <sz val="11"/>
        <color theme="1"/>
        <rFont val="Calibri"/>
        <family val="2"/>
        <scheme val="minor"/>
      </rPr>
      <t>ver</t>
    </r>
    <r>
      <rPr>
        <i/>
        <sz val="11"/>
        <color theme="1"/>
        <rFont val="Calibri"/>
        <family val="2"/>
        <scheme val="minor"/>
      </rPr>
      <t>W</t>
    </r>
    <r>
      <rPr>
        <sz val="11"/>
        <color theme="1"/>
        <rFont val="Calibri"/>
        <family val="2"/>
        <scheme val="minor"/>
      </rPr>
      <t xml:space="preserve">ork </t>
    </r>
    <r>
      <rPr>
        <b/>
        <sz val="11"/>
        <color theme="1"/>
        <rFont val="Calibri"/>
        <family val="2"/>
        <scheme val="minor"/>
      </rPr>
      <t>P</t>
    </r>
    <r>
      <rPr>
        <sz val="11"/>
        <color theme="1"/>
        <rFont val="Calibri"/>
        <family val="2"/>
        <scheme val="minor"/>
      </rPr>
      <t>remium (</t>
    </r>
    <r>
      <rPr>
        <b/>
        <sz val="11"/>
        <color theme="1"/>
        <rFont val="Calibri"/>
        <family val="2"/>
        <scheme val="minor"/>
      </rPr>
      <t>OWP</t>
    </r>
    <r>
      <rPr>
        <sz val="11"/>
        <color theme="1"/>
        <rFont val="Calibri"/>
        <family val="2"/>
        <scheme val="minor"/>
      </rPr>
      <t xml:space="preserve">), according to this standard. </t>
    </r>
  </si>
  <si>
    <t>[O.F.-16 Labor Aspects;
System Calculation</t>
  </si>
  <si>
    <t>GNI/cap, relative to USA</t>
  </si>
  <si>
    <t>BNOM (%)</t>
  </si>
  <si>
    <t>Select the industry sector from the selection box.</t>
  </si>
  <si>
    <t xml:space="preserve">Is foreground data collection on the workhours and costs of the LDS's available </t>
  </si>
  <si>
    <r>
      <t>Determination of the “Typical Income per hour” (</t>
    </r>
    <r>
      <rPr>
        <b/>
        <sz val="11"/>
        <color theme="1"/>
        <rFont val="Calibri"/>
        <family val="2"/>
        <scheme val="minor"/>
      </rPr>
      <t>TI</t>
    </r>
    <r>
      <rPr>
        <sz val="11"/>
        <color theme="1"/>
        <rFont val="Calibri"/>
        <family val="2"/>
        <scheme val="minor"/>
      </rPr>
      <t xml:space="preserve">) (gross income per worked hour of the LDS's as if he/she would produce the one product only). </t>
    </r>
  </si>
  <si>
    <t>Responsible Tax Form</t>
  </si>
  <si>
    <t>workhours 
(hours/organization.year</t>
  </si>
  <si>
    <t>Paid corporate tax</t>
  </si>
  <si>
    <t>ESCU's for the organization</t>
  </si>
  <si>
    <t>Enter in the responsible tax form (cells J50 - N72), the workhours per country and the paid corporate taxs for the total corporate organization.</t>
  </si>
  <si>
    <t>Paid taxes</t>
  </si>
  <si>
    <r>
      <t>If the 5-year average Foreground Net Operating Margin (</t>
    </r>
    <r>
      <rPr>
        <b/>
        <sz val="11"/>
        <color theme="1"/>
        <rFont val="Calibri"/>
        <family val="2"/>
        <scheme val="minor"/>
      </rPr>
      <t>FNOM</t>
    </r>
    <r>
      <rPr>
        <sz val="11"/>
        <color theme="1"/>
        <rFont val="Calibri"/>
        <family val="2"/>
        <scheme val="minor"/>
      </rPr>
      <t>) of the product can be demonstrated, enter it (see info 5); otherwise leave empty.</t>
    </r>
  </si>
  <si>
    <t>FNOM (%)</t>
  </si>
  <si>
    <t>ESCU's organization</t>
  </si>
  <si>
    <t>ESCU's for taxes for the corporate organization</t>
  </si>
  <si>
    <t>Total ESCU's on taxation per unit of product</t>
  </si>
  <si>
    <r>
      <t>Total ESCU's on Economic aspects</t>
    </r>
    <r>
      <rPr>
        <sz val="11"/>
        <color theme="1"/>
        <rFont val="Calibri"/>
        <family val="2"/>
        <scheme val="minor"/>
      </rPr>
      <t xml:space="preserve"> (without the section of responsible finance)</t>
    </r>
  </si>
  <si>
    <t>Info-1: The following questions on transparency consider a list a series of communications, listed in O.S. section 12.4.6.2.
Info-2: This section only applies to end-products (for consumers/users of the product).
Info 3. for full transparency at locations, it meets the criterion to refer to a website with the required information.</t>
  </si>
  <si>
    <t>Can the organization demonstrate full transparent and correct communication at &gt; 80% of locations of sales and advertising?</t>
  </si>
  <si>
    <t>Can the organization demonstrate the costs to achieve fully responsible transparency according to the criteria in:</t>
  </si>
  <si>
    <t>Enter the self determined costs/unit of product for achieving full responsible transparency.</t>
  </si>
  <si>
    <t>Foreground mitigation Costs</t>
  </si>
  <si>
    <t>Can the organization demonstrate full transparent communication at &gt; 50% of locations of sales and advertising, but are these regularly incorrect?</t>
  </si>
  <si>
    <t>Tr 9</t>
  </si>
  <si>
    <t>Tr 10</t>
  </si>
  <si>
    <t>Mitigation costs available?</t>
  </si>
  <si>
    <t>Full transparency?</t>
  </si>
  <si>
    <t>Weight of the product   
(kg/unit of product)</t>
  </si>
  <si>
    <t>Enter in column K all yearly quantities of waste materials &gt; 1% of the purchased weight volume, existing in relation to the product. Select the waste category in column L. Add in column M the weight of the product (incl packaging) that this assessment is about and select in column N the industry sector.</t>
  </si>
  <si>
    <t>Description of the Waste Material</t>
  </si>
  <si>
    <t>Enter, if available, the foreground (specific) quantities of waste in column P. This foreground quantity will be automatically used instead of the background value. Foreground quantities shall be specified for every waste category separately.</t>
  </si>
  <si>
    <t xml:space="preserve"> Internally recycled quantity
kg/unit of product)</t>
  </si>
  <si>
    <t xml:space="preserve"> Externally  recycled quantity
kg/unit of product)</t>
  </si>
  <si>
    <t>Can foreground waste mitigation costs (reduction, reworking, recycling), be demonstrated? (costs should be all-in, including energy, transport, and processing, and  not based on processing condition not increasing the ESCU's.</t>
  </si>
  <si>
    <t>Background waste quantities 
(kg/unit of product)</t>
  </si>
  <si>
    <t>Materials and quantities (various units)</t>
  </si>
  <si>
    <t>Enter the demonstrable average amount of kilowatt hours, generated per unit of product. These are subtracted as ESCU's in column W. Without evidence, leave empty.</t>
  </si>
  <si>
    <t>Enter the demonstrable average amount of methane, generated per unit of product. These are subtracted as ESCU's in column W. Without evidence, leave empty.</t>
  </si>
  <si>
    <t>Purchased Value/ Turnover. (ratio)</t>
  </si>
  <si>
    <t>Purchased dry Weight/ Sold dry weight (ratio)</t>
  </si>
  <si>
    <t>At least 5 year old damage.</t>
  </si>
  <si>
    <t>B31</t>
  </si>
  <si>
    <t>Organization processing Expenditures/year</t>
  </si>
  <si>
    <t>Enter all quantities of components of the product, including packaging, into the "End-of-Life ESCU Calculation Form" in the columns I-U.</t>
  </si>
  <si>
    <t xml:space="preserve">The O.S. system divides the upstream ESCU's of waste between the product under assessment and the destination products that it is recycled into, proportionally to their value. Therefore, enter in the columns S and T of form "Waste materials and categories" (J3-X19) the average price, paid or obtained for the different waste categories and the aggregated upstream and internal ESCU's for one unit of product. </t>
  </si>
  <si>
    <t>Select all quantities of harmfull chemicals in the product, categorized by product component and feed these into Pol.Data "Form A: ESCU Pollution Calculation Form ". If not available, require these from the supplier or have the product analysed by a therefore accredited body.</t>
  </si>
  <si>
    <t>Assess with yes or no, the organization's compliance to the responsibilities listed in:</t>
  </si>
  <si>
    <t xml:space="preserve">Determine the product's average lifetime at the defined "normal use" (see Preparation- Pr 14), maximized at 10 years. </t>
  </si>
  <si>
    <t>Quantity of the component (kg/unit of product)</t>
  </si>
  <si>
    <t>Applicable?</t>
  </si>
  <si>
    <t>Is the product an item of which either the product life time affects the amount of activities or waste , or the constitution the environment at unsustainable disposal? (Not all products do: examples are various services and vegetables sold without packaging)</t>
  </si>
  <si>
    <t>investigate differences in product life time for various products (e.g. cars, vacuum cleaners, etc.)</t>
  </si>
  <si>
    <t>Background mitigation cost-based and Country specific ESCU's per KwH electricity from the net (from the country indicated in sheet "Preparation"), based on the country.</t>
  </si>
  <si>
    <t>Select (also default)</t>
  </si>
  <si>
    <t>Most recycled materials cannot be recycled indefinitely and need extra processing. Therefore, it loses value in the supply chain. A part of the upstream ESCU's, is transfered to the destination product proportionlly to its value. The ESCU's per kg. waste, to be transfered, are calculated and presented per waste category in column X.</t>
  </si>
  <si>
    <r>
      <rPr>
        <b/>
        <sz val="11"/>
        <color rgb="FFFF0000"/>
        <rFont val="Calibri"/>
        <family val="2"/>
        <scheme val="minor"/>
      </rPr>
      <t>Info 1</t>
    </r>
    <r>
      <rPr>
        <sz val="11"/>
        <color rgb="FFFF0000"/>
        <rFont val="Calibri"/>
        <family val="2"/>
        <scheme val="minor"/>
      </rPr>
      <t xml:space="preserve">: Answer all questions considering the specific aspect
</t>
    </r>
    <r>
      <rPr>
        <b/>
        <sz val="11"/>
        <color rgb="FFFF0000"/>
        <rFont val="Calibri"/>
        <family val="2"/>
        <scheme val="minor"/>
      </rPr>
      <t>Info</t>
    </r>
    <r>
      <rPr>
        <sz val="11"/>
        <color rgb="FFFF0000"/>
        <rFont val="Calibri"/>
        <family val="2"/>
        <scheme val="minor"/>
      </rPr>
      <t xml:space="preserve"> </t>
    </r>
    <r>
      <rPr>
        <b/>
        <sz val="11"/>
        <color rgb="FFFF0000"/>
        <rFont val="Calibri"/>
        <family val="2"/>
        <scheme val="minor"/>
      </rPr>
      <t xml:space="preserve">2: </t>
    </r>
    <r>
      <rPr>
        <sz val="11"/>
        <color rgb="FFFF0000"/>
        <rFont val="Calibri"/>
        <family val="2"/>
        <scheme val="minor"/>
      </rPr>
      <t xml:space="preserve">Best is to answer the questions for all aspects at the same moment, because at one type of management, for various questions will be found similar answers
</t>
    </r>
    <r>
      <rPr>
        <b/>
        <sz val="11"/>
        <color rgb="FFFF0000"/>
        <rFont val="Calibri"/>
        <family val="2"/>
        <scheme val="minor"/>
      </rPr>
      <t xml:space="preserve">Info 3: </t>
    </r>
    <r>
      <rPr>
        <sz val="11"/>
        <color rgb="FFFF0000"/>
        <rFont val="Calibri"/>
        <family val="2"/>
        <scheme val="minor"/>
      </rPr>
      <t>Only answer each question with "1" if demonstrably in good order or otherwise "0".</t>
    </r>
  </si>
  <si>
    <t xml:space="preserve">Total ESCU's for Product Quality </t>
  </si>
  <si>
    <t xml:space="preserve">Total ESCU's for Product Warrenties </t>
  </si>
  <si>
    <t xml:space="preserve">Total ESCU's for Use Instructions </t>
  </si>
  <si>
    <r>
      <t xml:space="preserve">Indirect gas emissions  Unfinished section; lacking background data. </t>
    </r>
    <r>
      <rPr>
        <b/>
        <sz val="12"/>
        <color rgb="FFFF0000"/>
        <rFont val="Calibri"/>
        <family val="2"/>
        <scheme val="minor"/>
      </rPr>
      <t>Preliminarily skip this section or apply as own information; data are not included in aggragation</t>
    </r>
  </si>
  <si>
    <t>Expected Yield (kg/ha)</t>
  </si>
  <si>
    <t>Expected Yield</t>
  </si>
  <si>
    <t>Enter the extra costs/ha. required to achieve the expected yield.</t>
  </si>
  <si>
    <t>AY (kg/ha)</t>
  </si>
  <si>
    <t>CY (kg/ha)</t>
  </si>
  <si>
    <t>Total ESCU's for Land occupation per unit (kg) of product</t>
  </si>
  <si>
    <t>Land size (ha)</t>
  </si>
  <si>
    <t>This section is in development; preliminarily skip this section</t>
  </si>
  <si>
    <t>Total ESCU's for Degradation of biodiversity at land or sea</t>
  </si>
  <si>
    <t>Total ESCU's for finance related criteria</t>
  </si>
  <si>
    <t xml:space="preserve">Turnover of the organization </t>
  </si>
  <si>
    <t>Criteria</t>
  </si>
  <si>
    <t>Criteria high impact items</t>
  </si>
  <si>
    <t>ESCU's 
(€/ ha.)</t>
  </si>
  <si>
    <r>
      <t>ESCU's
(€/ km</t>
    </r>
    <r>
      <rPr>
        <b/>
        <vertAlign val="superscript"/>
        <sz val="12"/>
        <color theme="2" tint="-0.499984740745262"/>
        <rFont val="Arial"/>
        <family val="2"/>
      </rPr>
      <t>2)</t>
    </r>
    <r>
      <rPr>
        <b/>
        <sz val="12"/>
        <color theme="2" tint="-0.499984740745262"/>
        <rFont val="Arial"/>
        <family val="2"/>
      </rPr>
      <t xml:space="preserve"> </t>
    </r>
  </si>
  <si>
    <t>Country in conflict</t>
  </si>
  <si>
    <t>Yes/No</t>
  </si>
  <si>
    <t>Recycling type</t>
  </si>
  <si>
    <t>Industry sectors (NACE)</t>
  </si>
  <si>
    <t>Industry sector (for waste)</t>
  </si>
  <si>
    <t>Industry sector  for magins(with number of included companies)</t>
  </si>
  <si>
    <t xml:space="preserve">Enter the emitted chemicals and quantities per unit of the product in sheet "Pol.Data"- "ESCU Pollution Calculation Form", in the relevant columns of cells A2-Q25 (depending on the polluted medium (air, soil, water). Consider all of the following potential sources of harmfull chemicals: 
  A. Purchased chemicals.
  B. Purchased products and raw materials containing harmfull chemicals. (Require the chemical composition of all purchased materials in which harmfull chemicals may be expected).
  C. Solvents, fuels, processsing aids, raw materials, cleaning agents, pesiticides, materials for analysis, veterenary and pharmacological chemicals and any other materials that do not belong in the environment.
  D. In-process generated chemicals, both in and for intermediate- and end-products.  
  E. Equipment containing harmfull chemicals.
  F. Constituents of chimney outlets and exhausts. (other bulk gasses, covered above).
  G. Chemicals emitted by animals or fermentation processes, other than methane (covered above as Bulk gas)
At any uncertainty, have the emissions analysed by a therefore accredited body.
</t>
  </si>
  <si>
    <t>Chemicals entered in Form Pol.Data - "ESCU Pollution Calculation Form"</t>
  </si>
  <si>
    <t>Determine, if necessary with help from experts or analysis, the emitted quanities per unit of product of the chemicals listed in P-C 4 in air, soil or water and add these in form  "Pol.Data"- "ESCU Pollution Calculation Form", cells A2-Q25 .</t>
  </si>
  <si>
    <t>Does the organization have a certificate on a standard that demonstrates that no harmfull chemicals are emitted, and is approved in O.F.-19 ?</t>
  </si>
  <si>
    <r>
      <t xml:space="preserve">For chemicals that are purchased or created and disposed of in measurable quantities, 
determine the balance of incoming and outgoing quantities for which the  destination can be verifiably and traceable demonstrated, as follows.
For outgoing quantities, consider:
  A. The quantities of the harmfull chemicals that become part of the products.
  B. The quantities that are sustainably destroyed within the organization.
  C. The quantities that are sustainably destroyed by an external party.
  D. The quantities that are still at the premises of the organization.
Consider all quantities without proven sustainable destination as emitted  and determine the most likely medium (air, soil or water) that it was emitted in. At any uncertainty, have the emission analysed by a therefore accredited body of analysis at the worst case moments.
Enter these chemicals and quantities in the applicable columns of </t>
    </r>
    <r>
      <rPr>
        <b/>
        <sz val="11"/>
        <rFont val="Calibri"/>
        <family val="2"/>
        <scheme val="minor"/>
      </rPr>
      <t>"Pol.Data- ESCU Pollution Calculation Form"</t>
    </r>
    <r>
      <rPr>
        <sz val="11"/>
        <rFont val="Calibri"/>
        <family val="2"/>
        <scheme val="minor"/>
      </rPr>
      <t xml:space="preserve">
</t>
    </r>
  </si>
  <si>
    <t>Completed Form Pol.Data - "ESCU Pollution Calculation Form" with maxima</t>
  </si>
  <si>
    <t>List P-C11: harmfull  in-product chemicals</t>
  </si>
  <si>
    <t>Type D Pollution (Heat pollution - O.S. 12.4.1.4)</t>
  </si>
  <si>
    <r>
      <t xml:space="preserve">If the power production raises the temperature of the water ecosystem by more than 1 </t>
    </r>
    <r>
      <rPr>
        <vertAlign val="superscript"/>
        <sz val="11"/>
        <rFont val="Calibri"/>
        <family val="2"/>
        <scheme val="minor"/>
      </rPr>
      <t>o</t>
    </r>
    <r>
      <rPr>
        <sz val="11"/>
        <rFont val="Calibri"/>
        <family val="2"/>
        <scheme val="minor"/>
      </rPr>
      <t>C., and the organization cannot demonstrate absence of negative or persistent consequences of the temperature change to the environment or humans at or downstream the location, ESCU's are calculated as the costs of the required cooling per unit of the product (usually KwH ) by direct air cooling systems or other means.</t>
    </r>
  </si>
  <si>
    <t>Enter the ESCU's from cell Idemat-AH 32.</t>
  </si>
  <si>
    <t xml:space="preserve">If the organization can demonstrate the costs (and implementation plan) for mitigation of the emissions by transport of goods (e.g. lower weight, better logistics, more sustainable transport, better logistics), enter the mitigation costs and expected mitigation % in columns AF and AG of form "Idemat  Data - Emission transport of goods". </t>
  </si>
  <si>
    <t>Transport Supplier;
Internal data</t>
  </si>
  <si>
    <t>Sheet Idemat - AH 32</t>
  </si>
  <si>
    <t>Chemical</t>
  </si>
  <si>
    <t>Quantity 
 (kg./ unit of product)</t>
  </si>
  <si>
    <t xml:space="preserve"> Demonstrably Internally recycled material 
(%)</t>
  </si>
  <si>
    <t xml:space="preserve"> Energy, demonstrably recovered from incineration 
(KwH/kg. material)</t>
  </si>
  <si>
    <t xml:space="preserve">Methane, demonstrably  recovered from Landfill or fermentation
 (Kg./kg. material) </t>
  </si>
  <si>
    <t>Mitigation
(%)</t>
  </si>
  <si>
    <t>ESCU's (€/unit)  total for Pollution
eco+human+
climate</t>
  </si>
  <si>
    <t>ESCU's (€) for pollution (ecotoxicity + human toxicity, excl climate)</t>
  </si>
  <si>
    <t>Form Background Pollution Agricultural products</t>
  </si>
  <si>
    <t>Select in column J the virgin materials that the organization itself adds to the product or that it extracts or creates in relation to the product and add the quantities per unit of product in column K.</t>
  </si>
  <si>
    <t>MD 7</t>
  </si>
  <si>
    <t>Assessment by analysis
System calculations</t>
  </si>
  <si>
    <t xml:space="preserve">Suppliers
LCA's
</t>
  </si>
  <si>
    <t>MD 8</t>
  </si>
  <si>
    <t>Background assessment by analysis</t>
  </si>
  <si>
    <t>Background assessment without analysis</t>
  </si>
  <si>
    <t>Select the used virgin materials in column J and enter the quantities per unit of product that are added by the organization in column K. (Note that if supplier ESCU's are not complete, the upstream stages in the supply chain need to be assessed and added (See sheet "suppliers - S4-S6")).</t>
  </si>
  <si>
    <t>ESCU's/KWH</t>
  </si>
  <si>
    <t>% desalinated water</t>
  </si>
  <si>
    <t>(%)</t>
  </si>
  <si>
    <t>Total ESCU's for Water Depletion</t>
  </si>
  <si>
    <t>Assessment demonstrated?</t>
  </si>
  <si>
    <t>Background quantities without analysis</t>
  </si>
  <si>
    <t>Background quantities by analysis</t>
  </si>
  <si>
    <t>Background water quantities by assessment</t>
  </si>
  <si>
    <t>ESCU's (€) for water depletion</t>
  </si>
  <si>
    <t>ESCU's (€/unit) for depletion (without water)</t>
  </si>
  <si>
    <t>Quantity of material (kg) per unit of product</t>
  </si>
  <si>
    <t xml:space="preserve">Material </t>
  </si>
  <si>
    <t>Worst Case background location</t>
  </si>
  <si>
    <t>Foreground Water consumption 
(m3/unit of product)</t>
  </si>
  <si>
    <t>Self transported water</t>
  </si>
  <si>
    <t>% renewably transported water</t>
  </si>
  <si>
    <t>Economic costs of desalination + energy-ESCU's for seawater desalination.</t>
  </si>
  <si>
    <t>Economic costs of transport (pumping) + energy-ESCU's for transport of desalinated water from the sea.</t>
  </si>
  <si>
    <t>AY (kg/ha.)</t>
  </si>
  <si>
    <t>LB 9</t>
  </si>
  <si>
    <r>
      <t xml:space="preserve">Determine the actual 5-year average yield </t>
    </r>
    <r>
      <rPr>
        <b/>
        <sz val="11"/>
        <color theme="1"/>
        <rFont val="Calibri"/>
        <family val="2"/>
        <scheme val="minor"/>
      </rPr>
      <t>(AY).</t>
    </r>
    <r>
      <rPr>
        <sz val="11"/>
        <color theme="1"/>
        <rFont val="Calibri"/>
        <family val="2"/>
        <scheme val="minor"/>
      </rPr>
      <t xml:space="preserve"> (Periods of fallow or for green manure shall be included, lowering the average yield; periods with intermittant other crops, if with similar economic yields, are not included). At simultanuous crops, estimate the part of the space that the crop occupies on the land. At several crops per year on the same land, include all crops in the yield.
If no yields are known, use FAO data for the average yield by country (CY) for the crop (or product). (Reliable and verifiable more specific statistics for average yields in the area than in FAOSTAT may be used).</t>
    </r>
  </si>
  <si>
    <t>Calculation of the ESCU's per hectare for occupation of land.</t>
  </si>
  <si>
    <t>Waste ESCU's to be transferred</t>
  </si>
  <si>
    <t xml:space="preserve">Internal Data; Supplier Data;  </t>
  </si>
  <si>
    <t>Process/activity
(one word description)</t>
  </si>
  <si>
    <t xml:space="preserve">Virgin material </t>
  </si>
  <si>
    <r>
      <t xml:space="preserve">Your scores. (1 for complete compliance and 0 for incomplete).           
  </t>
    </r>
    <r>
      <rPr>
        <b/>
        <sz val="11"/>
        <color indexed="10"/>
        <rFont val="Calibri"/>
        <family val="2"/>
        <scheme val="minor"/>
      </rPr>
      <t>Fill with "1" for criteria that are demonstrated to be in good order.</t>
    </r>
  </si>
  <si>
    <t>Europe (€)</t>
  </si>
  <si>
    <t>Navigation/ Info</t>
  </si>
  <si>
    <t>$ (US)</t>
  </si>
  <si>
    <t>Currency /Country</t>
  </si>
  <si>
    <t>Exchange rate (average) 2020 to €</t>
  </si>
  <si>
    <t>``</t>
  </si>
  <si>
    <t>Selected currency/ country</t>
  </si>
  <si>
    <t>Country unknown *1</t>
  </si>
  <si>
    <t>Currency van een ESCU</t>
  </si>
  <si>
    <t>Select in Preparation</t>
  </si>
  <si>
    <t>Turnover in the selected currency</t>
  </si>
  <si>
    <t xml:space="preserve">   Organization's financial turnover. If this calculation is made for small suppliers other than the own organization (e.g. small farmers, self employed people and small workshops), the purchased amount from these may be asssumed)</t>
  </si>
  <si>
    <t>Product financial turnover per year
(selected currency)</t>
  </si>
  <si>
    <t>Wage Sum/ Product Turnover
(selected currency)</t>
  </si>
  <si>
    <t>Mitigation costs (ESCU's) and %</t>
  </si>
  <si>
    <t>ESCU's/unit of product)</t>
  </si>
  <si>
    <t>Mitigation (%) and -costs (ESCU's/ organization)</t>
  </si>
  <si>
    <t>Foreground (ESCU's/ unit of product</t>
  </si>
  <si>
    <t>Mitigation (%) and -costs (ESCU's/ organization</t>
  </si>
  <si>
    <t>ESCU's for employee commuting/unit of product</t>
  </si>
  <si>
    <t>ESCU's /unit of product)</t>
  </si>
  <si>
    <t>Foreground ESCU's per year for business km</t>
  </si>
  <si>
    <t>Background ESCU's /unit of product.</t>
  </si>
  <si>
    <t>Foreground ESCU's /unit of product</t>
  </si>
  <si>
    <t>ESCU's for transport of goods/unit of product</t>
  </si>
  <si>
    <t>Maximum ESCU's /unit of product)</t>
  </si>
  <si>
    <t>ESCU's/unit of product for transport of goods</t>
  </si>
  <si>
    <t>Foreground mitigation costs (ESCU's/unit of product)</t>
  </si>
  <si>
    <t>Form completed</t>
  </si>
  <si>
    <t xml:space="preserve"> "Pol.Data"- "ESCU Pollution Calculation Form", cells A2-Q25.</t>
  </si>
  <si>
    <t>Form</t>
  </si>
  <si>
    <t>Sales Price (ESCU's/unit)</t>
  </si>
  <si>
    <t>ESCU's /ha)</t>
  </si>
  <si>
    <t>Mitigation costs (ESCU's/ha)</t>
  </si>
  <si>
    <t>Foreground costs (ESCU's/ha)</t>
  </si>
  <si>
    <t>Corrected ESCU's/unit of product</t>
  </si>
  <si>
    <t>ESCU's/unit or product</t>
  </si>
  <si>
    <t>Foreground ESCU's /unit of product)</t>
  </si>
  <si>
    <t>Total ESCU's /unit of product)</t>
  </si>
  <si>
    <t>Foreground mitigation costs /unit of product) and %.</t>
  </si>
  <si>
    <t>Water-supplier ESCU's 
/m3 water)</t>
  </si>
  <si>
    <t>ESCU's
/KwH)</t>
  </si>
  <si>
    <t>Mitigation costs
 (ESCU's/unit of product)</t>
  </si>
  <si>
    <t>ESCU's/m3 of water)</t>
  </si>
  <si>
    <t>ESCU's /m3 of water)</t>
  </si>
  <si>
    <t>Background (default) ESCU's</t>
  </si>
  <si>
    <t>Mitigated Foreground ESCU's</t>
  </si>
  <si>
    <t>ESCU's for pollution (ecotoxicity + human toxicity, excl climate)</t>
  </si>
  <si>
    <t>ESCU's /unit for Pollution
eco+human+
climate</t>
  </si>
  <si>
    <t>ESCU's unit for depletion (without water)</t>
  </si>
  <si>
    <t>ESCU's /unit for water depletion</t>
  </si>
  <si>
    <t>ESCU's /unit for pollution (ecotoxicity + human toxicity, excl climate)</t>
  </si>
  <si>
    <t>ESCU's /unit for depletion (without water)</t>
  </si>
  <si>
    <t>ESCU's /unit - total for Pollution
eco+human+
climate</t>
  </si>
  <si>
    <t xml:space="preserve"> ESCU's Pollution /unit after mitigation</t>
  </si>
  <si>
    <t>Background ESCU's/ unit</t>
  </si>
  <si>
    <t>Foreground Mitigation Costs /unit of product</t>
  </si>
  <si>
    <t>ESCU's
/unit of product)</t>
  </si>
  <si>
    <t>Foreground Restauration costs
(ESCU's/ha)</t>
  </si>
  <si>
    <t>ESCU's /h)</t>
  </si>
  <si>
    <t>ESCU's /unit of product</t>
  </si>
  <si>
    <t>ESCU's/ kg.year</t>
  </si>
  <si>
    <t>ESCU's /kg of product</t>
  </si>
  <si>
    <t>Mitigation costs (ESCU's/tkm).</t>
  </si>
  <si>
    <t>Foreground mitigation costs
(ESCU's /kg)</t>
  </si>
  <si>
    <t>Total ESCU's /Kg</t>
  </si>
  <si>
    <t>Total ESCU's /km.person</t>
  </si>
  <si>
    <t>Background   mitigation costs (ESCU's/kg. emission)</t>
  </si>
  <si>
    <t>Foreground   mitigation costs (ESCU's/kg. emission)</t>
  </si>
  <si>
    <t>Mitigated ESCU's/unit of product</t>
  </si>
  <si>
    <t>ESCU's /Kwh, (compensated for nuclear *3) For electricity from the net</t>
  </si>
  <si>
    <t xml:space="preserve">ESCU's /Kwh),  For electricity from/via rechargable batteries (+20%) </t>
  </si>
  <si>
    <t xml:space="preserve">ESCU's allocated to the product under assessment
(ESCU's/unit of product) </t>
  </si>
  <si>
    <t>ESCU's allocated to the recycling company
(ESCU's/kg. waste)</t>
  </si>
  <si>
    <t>Pollution ESCU's/unit of product</t>
  </si>
  <si>
    <t>Background ESCU's /kg. Waste</t>
  </si>
  <si>
    <t>Foreground mitigation costs (ESCU's/kg. waste)</t>
  </si>
  <si>
    <t>Mitigated ESCU's/ kg waste</t>
  </si>
  <si>
    <t xml:space="preserve">ESCU's /organization
</t>
  </si>
  <si>
    <t xml:space="preserve">ESCU's /unit of product)
</t>
  </si>
  <si>
    <t>Filled "Responsible tax form"</t>
  </si>
  <si>
    <t xml:space="preserve">H-LDS  (hours/unit of product)            </t>
  </si>
  <si>
    <t xml:space="preserve">NL-LDS
 (ESCU's/unit of product)              </t>
  </si>
  <si>
    <t xml:space="preserve">TI 
(ESCU's/hour)                 </t>
  </si>
  <si>
    <t>FMW (ESCU's/hour)</t>
  </si>
  <si>
    <t>Max Background ESCU's /unit of product)</t>
  </si>
  <si>
    <t xml:space="preserve">Total ESCU's for PHS
/unit of product)      </t>
  </si>
  <si>
    <t>Default labor hours per unit of product as determined in sheet Labor - RW 5</t>
  </si>
  <si>
    <r>
      <t>Determine together with various LDS's for his/her activities the amount of hours (</t>
    </r>
    <r>
      <rPr>
        <b/>
        <sz val="11"/>
        <color theme="1"/>
        <rFont val="Calibri"/>
        <family val="2"/>
        <scheme val="minor"/>
      </rPr>
      <t>H-LDS</t>
    </r>
    <r>
      <rPr>
        <sz val="11"/>
        <color theme="1"/>
        <rFont val="Calibri"/>
        <family val="2"/>
        <scheme val="minor"/>
      </rPr>
      <t>) that the LDS's needs for one unit of product.</t>
    </r>
  </si>
  <si>
    <r>
      <t>Determine together with a representative sample of LDS's his/her non-labor costs (</t>
    </r>
    <r>
      <rPr>
        <b/>
        <sz val="11"/>
        <color theme="1"/>
        <rFont val="Calibri"/>
        <family val="2"/>
        <scheme val="minor"/>
      </rPr>
      <t>NL-LDS</t>
    </r>
    <r>
      <rPr>
        <sz val="11"/>
        <color theme="1"/>
        <rFont val="Calibri"/>
        <family val="2"/>
        <scheme val="minor"/>
      </rPr>
      <t xml:space="preserve">) per unit of product (e.g. materials, depreciations on buildings, equipment ,services, transport, insurances, energy, water). </t>
    </r>
  </si>
  <si>
    <r>
      <t>Does the organization use Low Developed Suppliers (</t>
    </r>
    <r>
      <rPr>
        <b/>
        <sz val="11"/>
        <color theme="1"/>
        <rFont val="Calibri"/>
        <family val="2"/>
        <scheme val="minor"/>
      </rPr>
      <t>LDS</t>
    </r>
    <r>
      <rPr>
        <sz val="11"/>
        <color theme="1"/>
        <rFont val="Calibri"/>
        <family val="2"/>
        <scheme val="minor"/>
      </rPr>
      <t>)?  (If unknown, answer "yes").</t>
    </r>
  </si>
  <si>
    <t>Background worst case Income</t>
  </si>
  <si>
    <t>ESCU's per hour</t>
  </si>
  <si>
    <t>Default worst case income per hour as determined in sheet Labor - RW 6</t>
  </si>
  <si>
    <t>Calculated ESCU's/unit of product</t>
  </si>
  <si>
    <t xml:space="preserve">Total ESCU's for PHS. Unit of product      </t>
  </si>
  <si>
    <t>Default H-LDS (hours/unit of product)</t>
  </si>
  <si>
    <t>ESCU Currency</t>
  </si>
  <si>
    <t>Country for ESCU-currency</t>
  </si>
  <si>
    <t xml:space="preserve">ESCU Currency </t>
  </si>
  <si>
    <t>ESCU Currency /Country</t>
  </si>
  <si>
    <t>VSRMAX
 (ESCU's/unit of product)</t>
  </si>
  <si>
    <t>Mitigation costs (ESCU's/unit of product) and %</t>
  </si>
  <si>
    <t>Foreground RMF improvement costs (ESCU's/unit of product)</t>
  </si>
  <si>
    <t>Form cells H5-I5</t>
  </si>
  <si>
    <t>Enter in fields H15 and I15 the costs per unit of product and expected to be achieved improved RMF. The foreground ESCU''s will be calculated.</t>
  </si>
  <si>
    <t>Form cells H15-I15</t>
  </si>
  <si>
    <t>AMWMAX
(ESCU's/unit of product)</t>
  </si>
  <si>
    <t>ESCU's
(unit of product</t>
  </si>
  <si>
    <t xml:space="preserve">FMW (ESCU's/hour)         </t>
  </si>
  <si>
    <t>Background ESCU's /unit of product</t>
  </si>
  <si>
    <t>Total ESCU's for wages /unit of product</t>
  </si>
  <si>
    <t xml:space="preserve">Total ESCU's /unit of product       </t>
  </si>
  <si>
    <t>Background ESCU's/ unit of product</t>
  </si>
  <si>
    <t xml:space="preserve">Total ESCU's 
/unit of product     </t>
  </si>
  <si>
    <t xml:space="preserve">ESCU's for pension contribution 
/unit of product </t>
  </si>
  <si>
    <t>ESCU's for insurance  contribution 
/unit of product</t>
  </si>
  <si>
    <t xml:space="preserve">Total ESCU's 
/unit of product    </t>
  </si>
  <si>
    <t xml:space="preserve">Total ESCU's
unit of product    </t>
  </si>
  <si>
    <t>ESCU's for  personal development /unit of product</t>
  </si>
  <si>
    <t>ESCU's for insufficient employment contracts
/unit of product</t>
  </si>
  <si>
    <t xml:space="preserve">Total ESCU's for employment time   
/unit of product   </t>
  </si>
  <si>
    <t xml:space="preserve"> Background  ESCU's
/unit of product</t>
  </si>
  <si>
    <t xml:space="preserve">Total ESCU's 
/unit of product      </t>
  </si>
  <si>
    <t>Max ESCU's 
/unit of product</t>
  </si>
  <si>
    <t xml:space="preserve">Max ESCU's 
/unit of product       </t>
  </si>
  <si>
    <t>Total ESCU's
/unit of product</t>
  </si>
  <si>
    <t xml:space="preserve">ESCU's for child wages
/unit of product        </t>
  </si>
  <si>
    <t xml:space="preserve">Default Childrens wage (ESCU's/hour) (ACW) </t>
  </si>
  <si>
    <t xml:space="preserve">FMW default country (ESCU's/hour)         </t>
  </si>
  <si>
    <t>Total ESCU's 
/unit of product</t>
  </si>
  <si>
    <t xml:space="preserve">Default ESCU's for child labor  /unit of product </t>
  </si>
  <si>
    <t>Total ESCU's 
/unit of product)</t>
  </si>
  <si>
    <t>Foreground Mitigation costs
(ESCU's/unit of product)</t>
  </si>
  <si>
    <t>Total ESCU's
 /unit of product)</t>
  </si>
  <si>
    <t>ESCU's per m3 of water (ESCU's)</t>
  </si>
  <si>
    <t>Foreground mitigation costs  (ESCU's/unit of product)</t>
  </si>
  <si>
    <t>Background Mitigation costs (ESCU's)/kg.</t>
  </si>
  <si>
    <t>Foreground Mitigation costs (ESCU's)/kg.</t>
  </si>
  <si>
    <t>ESCU's/ unit of product</t>
  </si>
  <si>
    <t>ESCU's unit of product</t>
  </si>
  <si>
    <t>Mitigation Costs (ESCU's/unit of product)</t>
  </si>
  <si>
    <t>Max Background ESCU's /unit of product</t>
  </si>
  <si>
    <t>Total ESCU's /unit of product</t>
  </si>
  <si>
    <t>Total Bonus ESCU's /unit of product</t>
  </si>
  <si>
    <t>ESCU's/m3.</t>
  </si>
  <si>
    <t>ESCU's/m. water</t>
  </si>
  <si>
    <t>ESCU's /m3.100 m.</t>
  </si>
  <si>
    <t>ESCU's /m3.100 km.</t>
  </si>
  <si>
    <t>Total ESCU's for transport of goods (ESCU's/unit of product)</t>
  </si>
  <si>
    <t>ESCU's/m3 of water</t>
  </si>
  <si>
    <t>Foreground Costs of emission mitigation (ESCU's/hour)</t>
  </si>
  <si>
    <t>ESCU's 
/unit of product</t>
  </si>
  <si>
    <t>Mitigated ESCU's 
/hour of use)</t>
  </si>
  <si>
    <t>Background ESCU's/hour</t>
  </si>
  <si>
    <t>ESCU's
 / unit of product</t>
  </si>
  <si>
    <t>Foreground Mitigation Costs (ESCU's/unit of product)</t>
  </si>
  <si>
    <t>Background ESCU's /unit of product)</t>
  </si>
  <si>
    <t xml:space="preserve">Average vergin market material price
(ESCU's/kg) </t>
  </si>
  <si>
    <t xml:space="preserve">Average market waste-material price
(ESCU's/kg) </t>
  </si>
  <si>
    <t>Background ESCU's
(ESCU's/kg)</t>
  </si>
  <si>
    <t>Mitigation Costs (ESCU's/kg.)</t>
  </si>
  <si>
    <t>Various 
Social Aspects</t>
  </si>
  <si>
    <t>Various Social 
Aspects</t>
  </si>
  <si>
    <r>
      <t>ESCU Matrix  [</t>
    </r>
    <r>
      <rPr>
        <b/>
        <sz val="12"/>
        <color theme="1"/>
        <rFont val="Calibri"/>
        <family val="2"/>
        <scheme val="minor"/>
      </rPr>
      <t>ESCU's per unit of product - in Euro's</t>
    </r>
    <r>
      <rPr>
        <b/>
        <sz val="16"/>
        <color theme="1"/>
        <rFont val="Calibri"/>
        <family val="2"/>
        <scheme val="minor"/>
      </rPr>
      <t>]</t>
    </r>
  </si>
  <si>
    <t>Take care of separation/aggregation end-of-life and pollution</t>
  </si>
  <si>
    <t xml:space="preserve"> </t>
  </si>
  <si>
    <t>Total per category</t>
  </si>
  <si>
    <t>This sheet contains two versions of the ESCU Matrix, the data obtained, self calculated and aggregated. The Totals per category and grand total are meant to be transferred to the next actor in the supply chain.
The right matrix (columns  O-Z contain the ESCU's calculated in the currency selected in sheet Preparation - H4.
The left matrix (columns B-M) contain the ESCU's in Euro's.</t>
  </si>
  <si>
    <t>Grand Total ESCU's</t>
  </si>
  <si>
    <t>Governance Level Scoring Form</t>
  </si>
  <si>
    <t>P-A 1</t>
  </si>
  <si>
    <t>Total ESCU's saved</t>
  </si>
  <si>
    <t>P&amp;C 1</t>
  </si>
  <si>
    <t>P&amp;C 2</t>
  </si>
  <si>
    <t xml:space="preserve">     Select the energy source, enter in the form the average quantity per hour or km (either in KwH's or kg.) and lifetime in hours or kilometers. If the organization can demonstrate costs of mitigating the carbon emissions, enter the costs and expected mitigation %. The result is calculated.</t>
  </si>
  <si>
    <t>Survey Pr 2 (Separate)</t>
  </si>
  <si>
    <t>List Pr 4
 (Separate)</t>
  </si>
  <si>
    <t>List Pr 7
(Separate)</t>
  </si>
  <si>
    <t>Description Pr 11
(separate)</t>
  </si>
  <si>
    <t>List Pr 24
(Separate)</t>
  </si>
  <si>
    <t>List Pr 25 
(Separate)</t>
  </si>
  <si>
    <t>List Pr 26 
(Separate)</t>
  </si>
  <si>
    <t xml:space="preserve">List Pr 27
(Separate) </t>
  </si>
  <si>
    <t>List Pr 28 (Separate)</t>
  </si>
  <si>
    <t>Added to SCID (separate)</t>
  </si>
  <si>
    <t>Sheet Definitions - Info, point 10</t>
  </si>
  <si>
    <t>Cooperation</t>
  </si>
  <si>
    <t xml:space="preserve">             Material/product name and Unique item number</t>
  </si>
  <si>
    <t>Material name</t>
  </si>
  <si>
    <t xml:space="preserve">             Purchased Weight Ratio (Purchased Dry Weight/ Product Dry Weight Volume)</t>
  </si>
  <si>
    <t>Supplier</t>
  </si>
  <si>
    <t>Unique Material Number</t>
  </si>
  <si>
    <t>Calculated Total ESCU's</t>
  </si>
  <si>
    <t>Calculated Supplier provided (or determined) ESCU's per unit of product</t>
  </si>
  <si>
    <t xml:space="preserve">If the organization is no origin-supplier (see sheet "preparation", require ESCU's from all suppliers of materials and services that occur on the SCID list (prepared in sheet Preparation). Otherwise skip this sheet. </t>
  </si>
  <si>
    <t>SCID List</t>
  </si>
  <si>
    <t xml:space="preserve">Type A Pollution (Emission of Bulk Gasses, i.a. Climate Change  </t>
  </si>
  <si>
    <t>Make, if possible together with suppliers or experts, a Life Cycle Inventory (LCI) for remaining unknown ESCU's on purchased items on the SCID list. The intended LCI is an overview of the flow of materials and services (inputs and outputs) in the upstream supply chain of the product, back to origin. (for "origin", see Preparation). Create for every step a hypothetical actor.</t>
  </si>
  <si>
    <t xml:space="preserve">   Consecutively complete this questionnaire for every lacking actor in the supply chain creating by a hypothetical actor and fill this questionnaire as if being that actor. Because for these hypothetical actors, no foreground data are available, this questionnaire provides background data. Any data however, that can actually be demonstrated for that actor may be treated as foreground data.</t>
  </si>
  <si>
    <t xml:space="preserve">Consecutively repeat above procedure for each unknown actor of the flow of activities or materials, but realize that for complex multi-component/activity products, the amount of supply chains may grow exponentially and requiring ESCU's from the complete supply chain via the direct supplier is a better idea. https://nexus.openlca.org/database/exiobase contains a usesfull list of databases.
</t>
  </si>
  <si>
    <t>Add the obtained (or self determined) ESCU's from all suppliers  in Form Supplier provided (or determined) ESCU's from where the data will transferred to the ESCU Matrix.</t>
  </si>
  <si>
    <t xml:space="preserve">Goto next sheet </t>
  </si>
  <si>
    <t>Supplier-emission data available?</t>
  </si>
  <si>
    <t xml:space="preserve">List all yearly commuted kilometers in the organization and sort and aggregated these by transport mode. Enter the transport modes and aggregated kilometers in columns J and K of Form "ESCU's for commuting and business trips" cells I37-O52. </t>
  </si>
  <si>
    <t>I 14</t>
  </si>
  <si>
    <t>Notes, belonging to cells</t>
  </si>
  <si>
    <t>Does the organization, in relation to the product, only perform activities that are standard in the sector and for which all emissions are known and described (e.g. literature; databases; sector oganizations), and has no data to demonstrate on the costs of mitigation of the emissions?</t>
  </si>
  <si>
    <r>
      <t xml:space="preserve">Enter FAO data for the average yield by country </t>
    </r>
    <r>
      <rPr>
        <b/>
        <sz val="11"/>
        <rFont val="Calibri"/>
        <family val="2"/>
        <scheme val="minor"/>
      </rPr>
      <t xml:space="preserve">(CY) for the crop (or product). </t>
    </r>
    <r>
      <rPr>
        <sz val="11"/>
        <rFont val="Calibri"/>
        <family val="2"/>
        <scheme val="minor"/>
      </rPr>
      <t>(Reliable more specific statistics for average yields in the area than in FAOSTAT may be used)</t>
    </r>
  </si>
  <si>
    <r>
      <t>Calculation of the yield factor (</t>
    </r>
    <r>
      <rPr>
        <b/>
        <sz val="11"/>
        <color theme="1"/>
        <rFont val="Calibri"/>
        <family val="2"/>
        <scheme val="minor"/>
      </rPr>
      <t xml:space="preserve">YF = AY/CY, </t>
    </r>
    <r>
      <rPr>
        <sz val="11"/>
        <color theme="1"/>
        <rFont val="Calibri"/>
        <family val="2"/>
        <scheme val="minor"/>
      </rPr>
      <t>but for 0,90 &lt; YF &gt;1,10, corrected to "1").
Without demonstrable yields, a yield factor of 0,5 is assumed.</t>
    </r>
  </si>
  <si>
    <t xml:space="preserve">ESCU's, corrected for the harvesting balance and sequestering. </t>
  </si>
  <si>
    <t xml:space="preserve">Are the organization, data and its location known to the assessor (including external labor providers) and does it allow and assist unannounced audits? </t>
  </si>
  <si>
    <t>last year's financial turnover of the product. If the product is younger than 1 year or if changes &gt; 20% are expected, take this year's prognosis. (For first tier suppliers without ESCU's, take the purchased volume; for further-tier suppliers, require from first tier or ultimately make estimates based on the constituents and character of the product).</t>
  </si>
  <si>
    <t>Name of the Organization, Schedule of all organizations which it is part of, with character of the activities. Make a separate demonstrable survey.</t>
  </si>
  <si>
    <t xml:space="preserve">   Address. If the organization uses several locations in relation to the product or uses external workshops without a formal customer - supplier relationship, make a list of all these locations. If the organization is an unknown actor in the upstream actor, determine the worst case but realistic location for the activity.</t>
  </si>
  <si>
    <t>Is the product Oiconomy Certified? Select "No" if unknown.</t>
  </si>
  <si>
    <t>Does the organization allow and assist unannounced audits/verifications? Select "No" if unknown.</t>
  </si>
  <si>
    <t>Background Worked Hours</t>
  </si>
  <si>
    <t>RI 10</t>
  </si>
  <si>
    <t xml:space="preserve">Are the organization, data and its location known to the assessor (including corporate organization), does it allow unannounced audits and are the data on remunerations complete? </t>
  </si>
  <si>
    <t>Yearly income (ESCU's/year)
(ESCU currency)</t>
  </si>
  <si>
    <t>Countries' relative prosperity: GNI ratio (GNI - country/GNI-USA) (GNI's per capita) (country organization/country highest paid person)</t>
  </si>
  <si>
    <t xml:space="preserve">If no wage data are available, calculations are made based on worst case assumptions, as follows: 
80% of worked hours are at the lowest wage; The amount of hours at lowest wage is 80% x the product's wage sum divided by the FMW.
</t>
  </si>
  <si>
    <t xml:space="preserve">Are the organization, data and its location known to the assessor, does it allow unannounced audits and are the data on remuneration complete? </t>
  </si>
  <si>
    <t>Overhour percentage (%)</t>
  </si>
  <si>
    <t>Fair Overwork premium (%)</t>
  </si>
  <si>
    <t>Overwork premium (%)</t>
  </si>
  <si>
    <t>Background ESCU's for insufficient overwork payment are calculated as ESCU's = FMW x OW% x (OWP-AWP).
(Hereby preliminarily, assuming all wages equal to the minimum (in practice the average will be higher).</t>
  </si>
  <si>
    <t>Does the organization have a certificate on labor conditions, listed in O.F.-19 and the note in this row?
(Answer "No" if unknown)</t>
  </si>
  <si>
    <t>Child Labor absence?</t>
  </si>
  <si>
    <r>
      <t xml:space="preserve">Determine and enter the most likely </t>
    </r>
    <r>
      <rPr>
        <b/>
        <sz val="11"/>
        <color theme="1"/>
        <rFont val="Calibri"/>
        <family val="2"/>
        <scheme val="minor"/>
      </rPr>
      <t>A</t>
    </r>
    <r>
      <rPr>
        <sz val="11"/>
        <color theme="1"/>
        <rFont val="Calibri"/>
        <family val="2"/>
        <scheme val="minor"/>
      </rPr>
      <t xml:space="preserve">verage </t>
    </r>
    <r>
      <rPr>
        <b/>
        <sz val="11"/>
        <color theme="1"/>
        <rFont val="Calibri"/>
        <family val="2"/>
        <scheme val="minor"/>
      </rPr>
      <t>C</t>
    </r>
    <r>
      <rPr>
        <sz val="11"/>
        <color theme="1"/>
        <rFont val="Calibri"/>
        <family val="2"/>
        <scheme val="minor"/>
      </rPr>
      <t xml:space="preserve">hildrens' hourly </t>
    </r>
    <r>
      <rPr>
        <b/>
        <sz val="11"/>
        <color theme="1"/>
        <rFont val="Calibri"/>
        <family val="2"/>
        <scheme val="minor"/>
      </rPr>
      <t>W</t>
    </r>
    <r>
      <rPr>
        <sz val="11"/>
        <color theme="1"/>
        <rFont val="Calibri"/>
        <family val="2"/>
        <scheme val="minor"/>
      </rPr>
      <t>age (</t>
    </r>
    <r>
      <rPr>
        <b/>
        <sz val="11"/>
        <color theme="1"/>
        <rFont val="Calibri"/>
        <family val="2"/>
        <scheme val="minor"/>
      </rPr>
      <t>ACW</t>
    </r>
    <r>
      <rPr>
        <sz val="11"/>
        <color theme="1"/>
        <rFont val="Calibri"/>
        <family val="2"/>
        <scheme val="minor"/>
      </rPr>
      <t xml:space="preserve">) paid to children in the default country.  If reliable local data can be demonstrated, these may be used. Otherwise take 30% of the lowest paid hourly wage for adults that can be found at Wageindicator.org for the country.
</t>
    </r>
  </si>
  <si>
    <t xml:space="preserve">Are the organization, data and its location  (including external labor providers) known to the assessor?  </t>
  </si>
  <si>
    <t>Min. wage % of the FMW (see CL 13)</t>
  </si>
  <si>
    <r>
      <t>·</t>
    </r>
    <r>
      <rPr>
        <sz val="7"/>
        <color theme="1"/>
        <rFont val="Times New Roman"/>
        <family val="1"/>
      </rPr>
      <t xml:space="preserve">       </t>
    </r>
    <r>
      <rPr>
        <sz val="11"/>
        <color theme="1"/>
        <rFont val="Calibri"/>
        <family val="2"/>
        <scheme val="minor"/>
      </rPr>
      <t>Identity and age of workers and schoolgoing of children &lt;18 not verified.</t>
    </r>
  </si>
  <si>
    <t xml:space="preserve">If the country is unknown, for determination of the default country  --&gt; Goto sheet Suppliers - S4-S6, determine the default country, and enter the determined country. </t>
  </si>
  <si>
    <t xml:space="preserve">Calculation of the ESCU's for child labor as HP x HDI x (FMW - ACW). (Without demonstration of the contrary, in countries with child labor, it is assumed that an (1-HDI) fraction of the workhours are child labor). </t>
  </si>
  <si>
    <t>Background ESCU's/km)</t>
  </si>
  <si>
    <t>Foreground Costs of emission mitigation
 (ESCU's/km)</t>
  </si>
  <si>
    <t>Mitigated ESCU's/km)</t>
  </si>
  <si>
    <t>ESCU's/ unit of product)</t>
  </si>
  <si>
    <t>Background ESCU's
/km)</t>
  </si>
  <si>
    <t>Foreground mitigation costs /km)</t>
  </si>
  <si>
    <t>Mitigated ESCU's
/km)</t>
  </si>
  <si>
    <t>Foreground Quantity 
(kg waste/unit of product)</t>
  </si>
  <si>
    <t xml:space="preserve"> Background Quantity/unit of product  (Kg/unit of product)</t>
  </si>
  <si>
    <t>Average obtained (+) or paid (-) price for the waste 
(ESCU's/kg of waste)</t>
  </si>
  <si>
    <t>Total product ESCU's for the other aspects than waste (enter after all other aspects)</t>
  </si>
  <si>
    <t>Does the product use energy, does it need energy to be processed for its use (e.g. food to be cooked) or is it otherwise the functional cause for use or increase of use of energy ? (e.g. a caravan to be pulled).</t>
  </si>
  <si>
    <t>Product (one word description)</t>
  </si>
  <si>
    <t>ESCU's per unit of product</t>
  </si>
  <si>
    <t>UC 5</t>
  </si>
  <si>
    <t>Foreground mitigation costs 
(ESCU's/per km)</t>
  </si>
  <si>
    <t>Background  mitigation costs
 (ESCU's/km)</t>
  </si>
  <si>
    <t>ESCU's/km)</t>
  </si>
  <si>
    <r>
      <t xml:space="preserve"> Fill the form "Other Gasses Form for Utensils - calculated </t>
    </r>
    <r>
      <rPr>
        <b/>
        <sz val="11"/>
        <color theme="1"/>
        <rFont val="Calibri"/>
        <family val="2"/>
        <scheme val="minor"/>
      </rPr>
      <t>per hour</t>
    </r>
    <r>
      <rPr>
        <sz val="11"/>
        <color theme="1"/>
        <rFont val="Calibri"/>
        <family val="2"/>
        <scheme val="minor"/>
      </rPr>
      <t xml:space="preserve">" or for transport means the form "Other Gasses for Transport Means - calculated </t>
    </r>
    <r>
      <rPr>
        <b/>
        <sz val="11"/>
        <color theme="1"/>
        <rFont val="Calibri"/>
        <family val="2"/>
        <scheme val="minor"/>
      </rPr>
      <t>per km.</t>
    </r>
    <r>
      <rPr>
        <sz val="11"/>
        <color theme="1"/>
        <rFont val="Calibri"/>
        <family val="2"/>
        <scheme val="minor"/>
      </rPr>
      <t>" (cells AE3 - AU 24). If the organization can demonstrate costs of mitigating the emissions, enter the costs and expected mitigation %. The result is calculated.</t>
    </r>
  </si>
  <si>
    <t>Proven recovery by recycling (%)</t>
  </si>
  <si>
    <t>Recycling</t>
  </si>
  <si>
    <t>Country of use (market)</t>
  </si>
  <si>
    <t>Shortest distance of the location to the sea (a sea with open connection to the ocean)</t>
  </si>
  <si>
    <t>Enter the product's average lifetime at the defined "normal use" as determined in sheet "Preparation", expressed in hours (maximized at 87600 hours (10 years)), for utensils, or in kilometers for transport means (maximized at 10 years driving).</t>
  </si>
  <si>
    <t>Require from suppliers, or have analysed by a therefore accredited body, the content of harmfull chemicals of the lost materials. (For certified materials and parts, the suppliers shall transfer the content of harmfull chemicals in their products (see sheet Pollution &amp; Climate - PC 11).</t>
  </si>
  <si>
    <t>Form Use-Pollution</t>
  </si>
  <si>
    <t>"Use-Pollution" - cells B30-I51</t>
  </si>
  <si>
    <t>If the organization can demonstrate reliable costs of mitigation of the emission by consumption of consumption parts and the belonging expected mitigation %, add these to the form in columns F and G.</t>
  </si>
  <si>
    <t>Background ESCU's
/hour of use</t>
  </si>
  <si>
    <t>Foreground mitigation costs /hour of use</t>
  </si>
  <si>
    <t>Emission Mitigation (%)</t>
  </si>
  <si>
    <t>Mitigated ESCU's
/hour of use</t>
  </si>
  <si>
    <t>ESCU's 
/unit of product)</t>
  </si>
  <si>
    <t>ESCU per hour or km</t>
  </si>
  <si>
    <t>Pollution by emission of harmfull chemicals due to wear, leaking, evaporation, other direct use related emissions, or consumption parts</t>
  </si>
  <si>
    <t>ESCU's
/hour)</t>
  </si>
  <si>
    <t>Foreground mitigation cost
(ESCU's/hour of use)</t>
  </si>
  <si>
    <t>Background  mitigation costs
(ESCU's/hour of use)</t>
  </si>
  <si>
    <t>If the organization can demonstrate recovery by recycling of the used materials, add the demonstrable percentage of recycling in column L for utensils or V for transport means, whereafter the system calculates the depleted quantities.</t>
  </si>
  <si>
    <t>If the organization can demonstrate foreground mitigation costs, enter these costs in the same forms in column N and the expected depletion mitigation % in column O, or for transport means in the columns X and Y.</t>
  </si>
  <si>
    <t>Enter the average Product lifetime hours of use in cell I20 of form "Life time Water Use" (this sheet) and add the average water consumption per hour of use in cell J20.</t>
  </si>
  <si>
    <t>UW 5</t>
  </si>
  <si>
    <t>Data on the location of use      a</t>
  </si>
  <si>
    <t xml:space="preserve">b </t>
  </si>
  <si>
    <t xml:space="preserve">c  </t>
  </si>
  <si>
    <t xml:space="preserve">d  </t>
  </si>
  <si>
    <t>If the organization can demonstrate foreground mitigation costs, enter these costs in cell L20 (Form: "Lifetime Water Use")  and the expected depletion mitigation % in cell M20.</t>
  </si>
  <si>
    <t xml:space="preserve">Enter the ESCU's per unit of product, found in cell I 64 of this sheet. Enter this manually (it will be overwritten by addition of the value for consumption parts in the next section). </t>
  </si>
  <si>
    <t xml:space="preserve">Require from suppliers, or have analysed by a therefore accredited body, the harmfull chemicals present in the consumption parts. Add the lifetime consumption of chemicals (by consuming consumption parts) to the form "Use-Pollution" (cells B43-I64), adding to the already entered wear/leaking chemicals. </t>
  </si>
  <si>
    <t>If the Organization can demonstrate the average % of recycling of the consumption parts in the country, feed this percentage in the "form Use-Pollution (celIs B43-I64, column H), otherwise leave empty. (The ESCU's will be reduced by the recycling percentage).</t>
  </si>
  <si>
    <t xml:space="preserve">ESCU's/kg. emitted in air  </t>
  </si>
  <si>
    <t xml:space="preserve">Filled  Use-Pollution Form </t>
  </si>
  <si>
    <t xml:space="preserve">Adapted Use-Pollution Form </t>
  </si>
  <si>
    <t xml:space="preserve">Internal data
</t>
  </si>
  <si>
    <t>ESCU Calculation form for polluted waste</t>
  </si>
  <si>
    <t>Use form "ESCU calculation for polluted waste in soil" (this sheet - L21-P44) to calculate the extra ESCU's for the quantities of harmfull chemicals present in the waste that was disposed as landfill or to an unknown destination. The result is calculated</t>
  </si>
  <si>
    <t>Data for generated power</t>
  </si>
  <si>
    <t>Data for generated methane</t>
  </si>
  <si>
    <t>Foreground mitigation costs
(ESCU's /kg. of chemical)</t>
  </si>
  <si>
    <t>Background ESCU's/kg of chemical).</t>
  </si>
  <si>
    <t>Background ESCU's/kg of chemical</t>
  </si>
  <si>
    <r>
      <t xml:space="preserve">The product may use several sources of energy, for all of which the organization may be able to demonstrate foreground mitigation costs. Fill the form "Use-energy-ESCU's form - calculated </t>
    </r>
    <r>
      <rPr>
        <b/>
        <sz val="11"/>
        <color theme="1"/>
        <rFont val="Calibri"/>
        <family val="2"/>
        <scheme val="minor"/>
      </rPr>
      <t>per hour</t>
    </r>
    <r>
      <rPr>
        <sz val="11"/>
        <color theme="1"/>
        <rFont val="Calibri"/>
        <family val="2"/>
        <scheme val="minor"/>
      </rPr>
      <t xml:space="preserve">", or for transport means the form "Use-energy-ESCU's form - calculated </t>
    </r>
    <r>
      <rPr>
        <b/>
        <sz val="11"/>
        <color theme="1"/>
        <rFont val="Calibri"/>
        <family val="2"/>
        <scheme val="minor"/>
      </rPr>
      <t>per km</t>
    </r>
    <r>
      <rPr>
        <sz val="11"/>
        <color theme="1"/>
        <rFont val="Calibri"/>
        <family val="2"/>
        <scheme val="minor"/>
      </rPr>
      <t>". (this sheet - cells I3 - AC 17)</t>
    </r>
  </si>
  <si>
    <t>Form Background Pollution P-Gen</t>
  </si>
  <si>
    <t>Without availability of foreground data, the pollution ESCU's of products, parts and materials shall be taken from the sheet "Idemat Data". Breakdown the product/part/material into items that can be found in sheet Idemat data, column J. Select the found items in form "background pollution P-C" (cells F72-I96), column G, and the quantity per unit of product in column H. These values sometimes include several stages in the supply chain. Search for items as close as possible to the assessed. The result is calculated.</t>
  </si>
  <si>
    <t>O.F. 12 contains ESCU's for burning of forest types; include these here.</t>
  </si>
  <si>
    <t>Pol.Data - I27-K41</t>
  </si>
  <si>
    <t>Sector standard data; Pol.data- A27-G42</t>
  </si>
  <si>
    <t>Complete the form "ESCU calculation for type A pollution" in Pol.Data - "ESCU calculation for type A pollution" (A27-G42), columns B and C with the sector/activity standard emission data (Chemicals and quantities per unit of the product.</t>
  </si>
  <si>
    <t>Internal data;
Pol.data- A27-G42</t>
  </si>
  <si>
    <t>Internal data
Pol.data- A27-G42</t>
  </si>
  <si>
    <t>P-Af 2</t>
  </si>
  <si>
    <t>Wage sum percentage.</t>
  </si>
  <si>
    <t>Foreground commuting kilometers by transport mode</t>
  </si>
  <si>
    <t>Background</t>
  </si>
  <si>
    <t>Total ESCU's /organization</t>
  </si>
  <si>
    <t>Total ESCU's/ organization,year</t>
  </si>
  <si>
    <t>ESCU calculation for power plants</t>
  </si>
  <si>
    <t>Quantity (kg./KwH)</t>
  </si>
  <si>
    <t>Mitigated ESCU's/KwH</t>
  </si>
  <si>
    <t>Foreground ESCU's/ KwH</t>
  </si>
  <si>
    <t>(Partly) Foreground ESCU's</t>
  </si>
  <si>
    <t>Supplier ESCU's/KwH
Pol.data A245-G260</t>
  </si>
  <si>
    <t>Can the foreground use of electricity (KwH) per unit of product, or for the total organization be demonstrated for the assessed stage in the supply chain, or is the organization itself a provider of electricity? In the last case, go straight to P-Ae 4.</t>
  </si>
  <si>
    <t xml:space="preserve">   Make, with help from qualified experts and/or bodies of analysis,  a list of the quantities and sources of indirect emissions. For emissions by one-time actions/events (e.g. forest clearing/burning; land conversion) 3,33% of the total emissions are applied each year. Examples of indirect emissions are listed in O.F.-12. For all one time actions/events that took place after 1997, the emissions shall be included.</t>
  </si>
  <si>
    <t>A small red triangle in the right-above corner of a cell contains a note that needs reading. Move over the cell or rightclick on the cell and choose to show the note. (close it again by rightclick and "hide"). Always read the notes.</t>
  </si>
  <si>
    <r>
      <rPr>
        <b/>
        <sz val="11"/>
        <color theme="1"/>
        <rFont val="Calibri"/>
        <family val="2"/>
        <scheme val="minor"/>
      </rPr>
      <t>Attention!</t>
    </r>
    <r>
      <rPr>
        <sz val="11"/>
        <color theme="1"/>
        <rFont val="Calibri"/>
        <family val="2"/>
        <scheme val="minor"/>
      </rPr>
      <t xml:space="preserve">
•  Before completing a sheet or form, always first read the info on top of the sheet and read the sheets "definitions" and "preparation".
•  Always exactly follow the instructions of the column "Navigation"; without navigation instruction, goto the next row. Note that the navigation instructions depend on 
    previous answers.
•  After completing a sheet, enter the result in the ESCU Matrix and store the sheet in a separate file, because especially the forms are used for several categories.
•  You are ready to start.
•  Some cells contain information in a note showing by a small red triangle in the top-right corner of the cell. Always read the note.</t>
    </r>
  </si>
  <si>
    <t>Sector- standard emissions?</t>
  </si>
  <si>
    <t>If the organization can demonstrate the costs mitigation of the upstream emission of the purchased fuels  (e.g. by change of fuels, better fuel efficiency or prcess changes), enter the mitigation costs and expected mitigation % in columns M and N of form "Upstream ESCU's for fuels" (this sheet). Without such demonstration, leave empty. The result is calculated and appears here.</t>
  </si>
  <si>
    <t>Enter all fuels purchased by the organization and quantities (per year) in the form "Upstream ESCU's for fuels" in cells I26-O33 of this sheet. (Excluded here are fuels for transport of persons and goods, but included fuels for working equipment like cranes, tractors, mining and earth moving equipment, even if these include some transport.</t>
  </si>
  <si>
    <t xml:space="preserve">Determine the purchased fuels per unit of product. If the fuels are used for several products and no product share can be demonstrated, take the share proportionally to the involved product's financial turnovers. </t>
  </si>
  <si>
    <t>Background   mitigation costs
(ESCU's/organization)</t>
  </si>
  <si>
    <t>Foreground   mitigation costs
(ESCU's/organization)</t>
  </si>
  <si>
    <t>Mitigated ESCU's/organization</t>
  </si>
  <si>
    <t>Background   mitigation costs (ESCU's/all workers</t>
  </si>
  <si>
    <t>Foreground   mitigation costs (ESCU's/all workers)</t>
  </si>
  <si>
    <t>Mitigated ESCU's/ all workers)</t>
  </si>
  <si>
    <t>Are the location and size of the occupied land and the yield of the crop (or product) known? (instead from an unknown upstream supplier)</t>
  </si>
  <si>
    <t>Enter the demonstrable extra costs per unit of product to achieve the expected mitigation %. If the mitigation measures are the same for which ESCU's were allocated for another aspect, enter only the extra costs for including mitigation of water depletion (possibly zero).</t>
  </si>
  <si>
    <t>Price Factor (Background ESCU's /kg)</t>
  </si>
  <si>
    <t>Foreground mitigation costs available?</t>
  </si>
  <si>
    <t>Recycled quantities with backgound mitigation costs</t>
  </si>
  <si>
    <t>Calculation foreground mitigation costs</t>
  </si>
  <si>
    <t xml:space="preserve">If the organization can demonstrate the costs of mitigation of waste in relation to the product, enter these costs and the expected mitigation % in the columns E and F of  form "Foreground calculation of mitigation costs" in this sheet (cells B18 - G50). </t>
  </si>
  <si>
    <t>Recycled quantities with foregound mitigation costs</t>
  </si>
  <si>
    <t xml:space="preserve">Can the organization demonstrate foreground costs of restauration back to at least 80% of native biodiversity, or the costs of protecting the existing &gt; 80% biodiversity? </t>
  </si>
  <si>
    <t>Enter the yield/ha. that can be achieved for the product on the specific piece of land by implementation of measures, but without degradation of the biodiversity.</t>
  </si>
  <si>
    <t>ESCU's/ha. based on foreground quantity and foreground costs.</t>
  </si>
  <si>
    <t>ESCU's /kg</t>
  </si>
  <si>
    <t>€ (Euro)</t>
  </si>
  <si>
    <t>If "foreground" quantities of emission of bulk gasses by combustion and fermentation of materials can be demonstrated (but excluding emissions by combustion of transport fuels) in the relevant stage in the supply chain, enter these in the form "ESCU calculation for type A pollution" in Pol.Data- (A27-G42), columns B and C.</t>
  </si>
  <si>
    <t xml:space="preserve">If the organization can demonstrate costs for mitigation of the bulk gas emissions, enter these foreground emission mitigation costs/kg. emitted gas per unit of product, and the demonstrable expected mitigation % of the emissions in "ESCU calculation for type A pollution" in Pol.Data- (A27-G42), columns E and F. </t>
  </si>
  <si>
    <t>Without foreground data on the electricity use, return to P-Gen 1/2 (above) for all background ESCU determination for pollution and climate. Background emissions by the use of electricity is included in Idemat data, accessed via P-Gen 1/2. However, keep searching for the data.</t>
  </si>
  <si>
    <t>Determine the amount of purchased KwH's per unit of product. If electricity is used for several products and no product share can be demonstrated, take the share proportional to the involved product's financial turnovers. Do not include self-generated and used electricity, because these ESCU's were allocated in the section on bulk gasses.</t>
  </si>
  <si>
    <t>ESCU currency</t>
  </si>
  <si>
    <t>If the organization can demonstrate foreground costs of mitigation, add the available self determined foregound mitigation costs in column M and the expected mitigation % in column N. If the mitigation measures are the same for which ESCU's were allocated for another aspect, enter only the extra costs for including mitigation of water depletion (possibly zero). (see def-instr)</t>
  </si>
  <si>
    <t>Definitions &amp; Instructions</t>
  </si>
  <si>
    <r>
      <t xml:space="preserve">Info 1: </t>
    </r>
    <r>
      <rPr>
        <sz val="11"/>
        <color rgb="FFFF0000"/>
        <rFont val="Calibri"/>
        <family val="2"/>
        <scheme val="minor"/>
      </rPr>
      <t>Reset before start all choice buttons to "Select" and empty all pink boxes in column F.</t>
    </r>
    <r>
      <rPr>
        <b/>
        <sz val="11"/>
        <color rgb="FFFF0000"/>
        <rFont val="Calibri"/>
        <family val="2"/>
        <scheme val="minor"/>
      </rPr>
      <t xml:space="preserve">
Info 2: </t>
    </r>
    <r>
      <rPr>
        <sz val="11"/>
        <color rgb="FFFF0000"/>
        <rFont val="Calibri"/>
        <family val="2"/>
        <scheme val="minor"/>
      </rPr>
      <t>Don't start this sheet without having read the sheets "how does it work" and "Def.-Instr.".</t>
    </r>
    <r>
      <rPr>
        <b/>
        <sz val="11"/>
        <color rgb="FFFF0000"/>
        <rFont val="Calibri"/>
        <family val="2"/>
        <scheme val="minor"/>
      </rPr>
      <t xml:space="preserve">
</t>
    </r>
  </si>
  <si>
    <t>Use-related CO2 emissions</t>
  </si>
  <si>
    <t>Are foreground ESCU's/KwH or emission data on the upstream supply chain from the electricity supplier(s) available, but already included in supplier-obtained ESCU's (sheet suppliers - (J2-AK101), or is the organization itself a power provider?</t>
  </si>
  <si>
    <t>Bulk Emission Chemical in air</t>
  </si>
  <si>
    <t>If the organization can demonstrate the costs of emission mitigation and the expected percentage of mitigation, enter these in the columns E and F of the form Pol.Data (A245/G260). Calculations must be based on realistic lifetimes, depreciations, expected mitigation and maintenance. The ESCU's are calculated.</t>
  </si>
  <si>
    <t>Internal data;
Pol.data- A45-G260
System Calculation</t>
  </si>
  <si>
    <t>Unit (kg./piece/ L./ m2/km/KwH)</t>
  </si>
  <si>
    <t>KwH</t>
  </si>
  <si>
    <t>M2</t>
  </si>
  <si>
    <t>Ton</t>
  </si>
  <si>
    <t>Km</t>
  </si>
  <si>
    <t>Monetary unit</t>
  </si>
  <si>
    <t>Require from the supplier the specific ESCU's per delivered KwH, or else for the average emissions of bulk gasses per KwH and determine the ESCU's per KwH by adding these to the already present data in the form Pol.Data - "ESCU calculation for type A pollution" (A245/G260), columns B and C. 
(If the Power suppliers' ESCU's which were already allocated in supplier - J2-AK101, enter zero quantities).</t>
  </si>
  <si>
    <t>Expected mitigation of depletion (%)</t>
  </si>
  <si>
    <t>Market (country)</t>
  </si>
  <si>
    <t>Normal Use and product life</t>
  </si>
  <si>
    <t xml:space="preserve">Enter in form "Life time Materials depletion for utensils, calculated by hour" (cells I2-Q16) the average use of virgin materials per hour of use, or for transport means per km. in the form "Life time Materials depletion for transport means" (cells S2-AA16). If of parts of the product the content of virgin materials is unknown, have these analysed.  </t>
  </si>
  <si>
    <t>Particulates, &lt; 2.5 um mobile source</t>
  </si>
  <si>
    <t>Particulates, &lt; 2.5 um stationary source</t>
  </si>
  <si>
    <t>Particulates, &lt; 10 um mobile source</t>
  </si>
  <si>
    <t>Particulates, &lt; 10 um stationary source</t>
  </si>
  <si>
    <t>Radioactive particulates</t>
  </si>
  <si>
    <t>Determine the elevation of the location. (location of the major activities)</t>
  </si>
  <si>
    <t>Determine the shortest distance to a sea with open access to the ocean (e.g. with google maps). (of the location of the major activities)</t>
  </si>
  <si>
    <t xml:space="preserve">Move or Rightclick on Info and read the pop-up information carefully before using this sheet. Rightclick again to hide it. </t>
  </si>
  <si>
    <r>
      <t xml:space="preserve"> </t>
    </r>
    <r>
      <rPr>
        <b/>
        <sz val="11"/>
        <rFont val="Calibri"/>
        <family val="2"/>
        <scheme val="minor"/>
      </rPr>
      <t xml:space="preserve">Confidentiality: Of all the collected data, only the calculated ESCU's (aggregated from cradle to gate) are for communication. All other data remain internal. 
 Eco Social Cost Units (ESCU's) represent the preventative cost distance to a fully sustainable and responsible version of the product.
</t>
    </r>
    <r>
      <rPr>
        <b/>
        <sz val="11"/>
        <color rgb="FFFF0000"/>
        <rFont val="Calibri"/>
        <family val="2"/>
        <scheme val="minor"/>
      </rPr>
      <t xml:space="preserve">                </t>
    </r>
    <r>
      <rPr>
        <b/>
        <sz val="12"/>
        <color rgb="FFFF0000"/>
        <rFont val="Calibri"/>
        <family val="2"/>
        <scheme val="minor"/>
      </rPr>
      <t xml:space="preserve"> Move or Rightclick on Info and read the pop-up information carefully before using this sheet. Rightclick again to hide it. </t>
    </r>
  </si>
  <si>
    <t xml:space="preserve">Move or Rightclick on "Info" and read the pop-up information carefully before using this sheet. Rightclick again to hide it. </t>
  </si>
  <si>
    <t>Lifetime of use</t>
  </si>
  <si>
    <t>Lifetime distance of transport</t>
  </si>
  <si>
    <t>Average Product-lifetime in hours of use, or lifetime kilometers for transport means, both at normal use (defined in sheet "preparation").</t>
  </si>
  <si>
    <t>leeg laten</t>
  </si>
  <si>
    <t>Use related use of other bulk gasses than CO2</t>
  </si>
  <si>
    <t>Total ESCU's for lifetime emissions of utensils of other Bulk gasses than CO2</t>
  </si>
  <si>
    <t>Does the product emit other harmfull bulk gasses than CO2 by its use for being processed for its use?</t>
  </si>
  <si>
    <t>Average lifetime hours of use</t>
  </si>
  <si>
    <t>Determine per unit of product the lifetime (max 10 years) use related lost quantities of materials at normal use by wear, leaking or evaporation).</t>
  </si>
  <si>
    <t>Lifetime quantities of pollutants (kg./unit of product)</t>
  </si>
  <si>
    <t xml:space="preserve">Calculate the lifetime emisssions of harmfull chemicals by wear, leaking or evaporation, at "normal use", defined in sheet "Preparation- Pr 14". Enter in column B of form "Use-Pollution" (cells B43-I64 of this sheet) the most likely polluted medium (air, soil or water), select the emitted chemicals in column C and add the lifetime emitted quantities of pollutants in column D. </t>
  </si>
  <si>
    <t>If the organization can demonstrate reliable costs of mitigation of the emission by wear, leaking and evaporation and the belonging expected mitigation %, add these data in columns F and G.</t>
  </si>
  <si>
    <t>Determine per unit of product the lifetime (max 10 years) use of consumption parts (e.g. batteries, repair and maintenance parts, dishwasher soaps, tires, lubrticants, paint.)</t>
  </si>
  <si>
    <t>List UP 10</t>
  </si>
  <si>
    <t>List UP 11</t>
  </si>
  <si>
    <t>The ESCU's per unit of product is added to those of the section for leaking, wear and evaporation.</t>
  </si>
  <si>
    <t>UP 16</t>
  </si>
  <si>
    <t>Enter the expected mitigated noise levels of the utensil in the noise level form for mitigated noise (Cells K11-O18) for the applicable circumstances. The entered noise level may be based on using supplied protection if that protection equipment is standard included in the product's price.</t>
  </si>
  <si>
    <t>Are use, working and maintenance so easy that no instructions are required and is there hardly a risk of unsustainable use of the utensil?</t>
  </si>
  <si>
    <t>1 or 2 of the conditions listed in UI 2 are not met.</t>
  </si>
  <si>
    <t xml:space="preserve">More than 2 of the conditions mentioned in UI 2 are not met. </t>
  </si>
  <si>
    <t>Instructions are checked and approved by a qualified independent person with the native language;  In the right and correct language, complete, nowhere confusing, completely conforming the use of the utensil, up to date and understandable for every normal user. The instructions include how to maintain a long product life, how to repair the most common wear, failings and damages and where to obtain spare parts. If danger or complexity is involved or special tools are required, the instructions  consist of advise and addresses about where the product can be repaired or maintained.</t>
  </si>
  <si>
    <t>Enter in cells H20 and I20 the costs per unit of product and expected improved RMF. The foreground ESCU''s will be calculated.</t>
  </si>
  <si>
    <t>Foreground mitigation costs (improvement costs) (ESCU's)</t>
  </si>
  <si>
    <t>Expected Reduced RMF (factor)</t>
  </si>
  <si>
    <t>Foreground mitigation ESCU's</t>
  </si>
  <si>
    <t>Does the organization give Product Warrenties, complying to the legislation of both the countries of production, sales and use, and is it easily accessible for consumers/users in all languages of these countries to answer to and replace failing products?</t>
  </si>
  <si>
    <t>Use-Waste-Depletion</t>
  </si>
  <si>
    <t>Restauration and/or long term protection of natural ecosystems or upgrading of soils/land.</t>
  </si>
  <si>
    <t>Categories</t>
  </si>
  <si>
    <t>Bio</t>
  </si>
  <si>
    <t>Land</t>
  </si>
  <si>
    <t>Var Soc</t>
  </si>
  <si>
    <t>Econ</t>
  </si>
  <si>
    <t>Corr</t>
  </si>
  <si>
    <t>Health</t>
  </si>
  <si>
    <t>Product life (hours)</t>
  </si>
  <si>
    <t>Minutes</t>
  </si>
  <si>
    <t xml:space="preserve">Background hours
(hours/unit of product)                  </t>
  </si>
  <si>
    <t xml:space="preserve">Default lowest wage (LW) (ESCU's/hour)     </t>
  </si>
  <si>
    <t xml:space="preserve">Enter the average amount of hours and minutes worked on the product per unit of product in cells I8 and J8. (If available, equal to companies' direct and indirect hours used for standard cost allocations; otherwise calculated, but also including both direct and indirect labor) </t>
  </si>
  <si>
    <t xml:space="preserve">Enter the most likely but demonstrable amount of hours of labor, spent on one unit of the product in hours and minutes in cells I10 and J10. Sources of data are IO databases, and accessible suppliers. The WIOD-SEA database lists the labor share for the sector/country combination (which is indicated by "LAB/VA)". If the country is not listed, take the country with closest Human Development Index (HDI) to the potential countries. If specifically, the amount of low-schooled hours can be demonstrated, these may be used. </t>
  </si>
  <si>
    <t xml:space="preserve">Determine in the determined country, the major company (&gt; $ 25 mio turnover) for the relevant activities with a CEO income that can be found on the internet. </t>
  </si>
  <si>
    <t xml:space="preserve">Result </t>
  </si>
  <si>
    <t xml:space="preserve">Hourly income (ESCU's/hour)
</t>
  </si>
  <si>
    <r>
      <t xml:space="preserve">Enter the average </t>
    </r>
    <r>
      <rPr>
        <b/>
        <sz val="11"/>
        <color theme="1"/>
        <rFont val="Calibri"/>
        <family val="2"/>
        <scheme val="minor"/>
      </rPr>
      <t>A</t>
    </r>
    <r>
      <rPr>
        <sz val="11"/>
        <color theme="1"/>
        <rFont val="Calibri"/>
        <family val="2"/>
        <scheme val="minor"/>
      </rPr>
      <t>ctually paid over</t>
    </r>
    <r>
      <rPr>
        <b/>
        <sz val="11"/>
        <color theme="1"/>
        <rFont val="Calibri"/>
        <family val="2"/>
        <scheme val="minor"/>
      </rPr>
      <t>W</t>
    </r>
    <r>
      <rPr>
        <sz val="11"/>
        <color theme="1"/>
        <rFont val="Calibri"/>
        <family val="2"/>
        <scheme val="minor"/>
      </rPr>
      <t xml:space="preserve">ork </t>
    </r>
    <r>
      <rPr>
        <b/>
        <sz val="11"/>
        <color theme="1"/>
        <rFont val="Calibri"/>
        <family val="2"/>
        <scheme val="minor"/>
      </rPr>
      <t>P</t>
    </r>
    <r>
      <rPr>
        <sz val="11"/>
        <color theme="1"/>
        <rFont val="Calibri"/>
        <family val="2"/>
        <scheme val="minor"/>
      </rPr>
      <t>remium (</t>
    </r>
    <r>
      <rPr>
        <b/>
        <sz val="11"/>
        <color theme="1"/>
        <rFont val="Calibri"/>
        <family val="2"/>
        <scheme val="minor"/>
      </rPr>
      <t>AWP</t>
    </r>
    <r>
      <rPr>
        <sz val="11"/>
        <color theme="1"/>
        <rFont val="Calibri"/>
        <family val="2"/>
        <scheme val="minor"/>
      </rPr>
      <t>), based on last years' data. If unknown, enter zero.
If overwork premiums are not equal for all workers with wages below [3 x FMW], assume the AWP zero.</t>
    </r>
  </si>
  <si>
    <t>This section is in development. Skip this section</t>
  </si>
  <si>
    <r>
      <t xml:space="preserve">Determine the number of </t>
    </r>
    <r>
      <rPr>
        <b/>
        <sz val="11"/>
        <color theme="1"/>
        <rFont val="Calibri"/>
        <family val="2"/>
        <scheme val="minor"/>
      </rPr>
      <t>last year's</t>
    </r>
    <r>
      <rPr>
        <sz val="11"/>
        <color theme="1"/>
        <rFont val="Calibri"/>
        <family val="2"/>
        <scheme val="minor"/>
      </rPr>
      <t xml:space="preserve"> violations on the following criteria.
(considering all workers in the organization (exception to the rule of a relation to the product)
(a year long violation with 10 persons results in 120 month's pay).</t>
    </r>
  </si>
  <si>
    <t>ESCU's as TVH x one month's FMW. (FMW is found in RW 7; one standard month = 155,3 workhours).</t>
  </si>
  <si>
    <t>Background  ESCU's</t>
  </si>
  <si>
    <t xml:space="preserve">The Wage sum % </t>
  </si>
  <si>
    <t>System calculation
Preparation-F23</t>
  </si>
  <si>
    <r>
      <t>Considering the 22 issues and criteria on Labor Conditions listed in O.S. 12.4.8.3 and the note in this field), determine the reducing multiplication factor (</t>
    </r>
    <r>
      <rPr>
        <b/>
        <sz val="11"/>
        <rFont val="Calibri"/>
        <family val="2"/>
        <scheme val="minor"/>
      </rPr>
      <t>RMF</t>
    </r>
    <r>
      <rPr>
        <sz val="11"/>
        <rFont val="Calibri"/>
        <family val="2"/>
        <scheme val="minor"/>
      </rPr>
      <t>) for Labor Conditions, using sheet Gov.Level. If no governance level can be demonstrated, assume RMF = 1.0.</t>
    </r>
  </si>
  <si>
    <t>Internal Data
[O.F.-19]; note</t>
  </si>
  <si>
    <t>O.S.12.4.8.1.1, points 7 and 8; note</t>
  </si>
  <si>
    <t>System calculation;
Sheet "Preparation"</t>
  </si>
  <si>
    <t>Can the Organization demonstrate all following 3 criteria on control over external labor:
    1. Monthly organization-verified absence of child labor.
    2. Two-yearly unannounced audit of at least 5% of the workshops (incl. homeworkers) by an independent accredited certification body.
    3. Evidence of the completeness of the list of used external labor.</t>
  </si>
  <si>
    <t>Land occupation</t>
  </si>
  <si>
    <t>Biodiversity</t>
  </si>
  <si>
    <t>Disposal-Waste</t>
  </si>
  <si>
    <t>Corruption &amp; Conflict</t>
  </si>
  <si>
    <t>Recovery of previously caused environmental sustainability damage.</t>
  </si>
  <si>
    <t>Development of environmental sustainabily enhancing products or technology.</t>
  </si>
  <si>
    <t>Poverty reduction in a country marked as "poorest country" in [O.F-14 country statements].</t>
  </si>
  <si>
    <t>Result (ESCU's/ Organization</t>
  </si>
  <si>
    <t xml:space="preserve">Infrastructural investments or services without negative environmental or social impact and without economic benefits for the organization itself. - Note the category-selection box in column I. </t>
  </si>
  <si>
    <t>Other community benefits, not paid for. - Note the category-selection box in column I.</t>
  </si>
  <si>
    <t>Donations to recognized organizations for nature protection, health care or aid. - Note the category-selection box in column I.</t>
  </si>
  <si>
    <t>Development of sustainability enhancing technology, aimed to serve as preventatative measure. - Note the category-selection box in column I.</t>
  </si>
  <si>
    <t>Quantity of Captured CO2.</t>
  </si>
  <si>
    <t>Costs from providing micro credits below cost price.</t>
  </si>
  <si>
    <t>Protection of cultural heritage and indigenous people or stimulating cultural activities.</t>
  </si>
  <si>
    <t>Cancellation of debts to the underpriviledged.</t>
  </si>
  <si>
    <t>Capacity raising education to others than those working for the organization.</t>
  </si>
  <si>
    <t>Education to own personnel or trainees.</t>
  </si>
  <si>
    <t>All other activities and products promoting and helping achieve one or more of the 17 sustainable development goals. - Note the category-selection box in column I.</t>
  </si>
  <si>
    <t>Improvement of access to food or other essential needs in low income countries.</t>
  </si>
  <si>
    <t>nr.</t>
  </si>
  <si>
    <t>Recovered Material Category</t>
  </si>
  <si>
    <t>Quantity of material 
(kg/year)</t>
  </si>
  <si>
    <t>ESCU's 
/year</t>
  </si>
  <si>
    <t>Total ESCU's fpr recovered materials</t>
  </si>
  <si>
    <t>At least 5 year old waste , or recovered from a landfill.</t>
  </si>
  <si>
    <t>RI 11</t>
  </si>
  <si>
    <t>Foregound Highest Income</t>
  </si>
  <si>
    <t>Background Highest Income</t>
  </si>
  <si>
    <t>Background Highest Income.       
(ESCU's/hour)</t>
  </si>
  <si>
    <t>Foreground Highest Income.       
(ESCU's/hour)</t>
  </si>
  <si>
    <t>Internal Data;
List RW 6</t>
  </si>
  <si>
    <t>Determine from the list made in RW 2, the highest yearly income in the organization and from there the highest gross income/hour (HW), accounting for demonstrable overhours. From overhours (&gt;40 hours/week), subtract 50%.</t>
  </si>
  <si>
    <t>Assume 80% of worked hours lowest wage     1 hour --&gt; 0,8 hour
50% of products price /0,8   = amount of hours at lowest wage
Multiply these hours by the difference in wage.</t>
  </si>
  <si>
    <t>Minimum hourly wage based on fair inequality (Highest wage( HW)/ maximum acceptable inequality ratio (MAIR)).</t>
  </si>
  <si>
    <t>HW/MAIR</t>
  </si>
  <si>
    <t>Hourly Fair Minimum Wage for the country (FMW).</t>
  </si>
  <si>
    <t>ESCU's for inquality must be based on the corporate organization instead of on the legal local unit.
Country of the highest paid person (Neglect the options of € and $ in the selection box). (If the organization is an unknown upstream supply chain actor, determine the most probable country with the procedure described in suppliers - S4-S6)</t>
  </si>
  <si>
    <t xml:space="preserve"> Background highest income.</t>
  </si>
  <si>
    <t xml:space="preserve"> If the organization is an unknown upstream supply chain actor or if the highest income is unknown for other reasons, use the form "Background highest income" (cells I19 - K22). The result is calculated.
</t>
  </si>
  <si>
    <t>Form cells I19 - K22;
System Calculation</t>
  </si>
  <si>
    <t>Foreground ESCU's  for inequality</t>
  </si>
  <si>
    <t>Background ESCU's for inequality</t>
  </si>
  <si>
    <t>Exchange rate to €</t>
  </si>
  <si>
    <t>Exchange rate to US$</t>
  </si>
  <si>
    <t>Foreground paid overwork %</t>
  </si>
  <si>
    <r>
      <t>Any extra work hours &gt; than 40 per week (or lower if contract hours are lower) are considered overhours. Determine, based on last years' data and list RW 2, the average percentage of workhours that was overwork (</t>
    </r>
    <r>
      <rPr>
        <b/>
        <sz val="11"/>
        <color theme="1"/>
        <rFont val="Calibri"/>
        <family val="2"/>
        <scheme val="minor"/>
      </rPr>
      <t>OW%</t>
    </r>
    <r>
      <rPr>
        <sz val="11"/>
        <color theme="1"/>
        <rFont val="Calibri"/>
        <family val="2"/>
        <scheme val="minor"/>
      </rPr>
      <t xml:space="preserve">). Without proper demonstration, </t>
    </r>
    <r>
      <rPr>
        <b/>
        <sz val="11"/>
        <rFont val="Calibri"/>
        <family val="2"/>
        <scheme val="minor"/>
      </rPr>
      <t>assume 50%.</t>
    </r>
  </si>
  <si>
    <t>Overhours %</t>
  </si>
  <si>
    <t>Enter the paid contribution % of their wage for workers' personal development plan. If no contribution can be demonstrated, enter zero.</t>
  </si>
  <si>
    <t>Enter the paid contribution % of their wage for workers' pension plan. If no contribution can be demonstrated, enter zero. If not equal for all workers with wages below [3 x FMW], enter zero.</t>
  </si>
  <si>
    <t>Various Labor aspects</t>
  </si>
  <si>
    <t xml:space="preserve">Without foreground data, the maximum ESCU's for all various aspects are allocated.
</t>
  </si>
  <si>
    <r>
      <t>Determine organization's governance level on OHS, using Sheet Gov.Level and determine the Reducing Multiplication Factor (</t>
    </r>
    <r>
      <rPr>
        <b/>
        <sz val="11"/>
        <color theme="1"/>
        <rFont val="Calibri"/>
        <family val="2"/>
        <scheme val="minor"/>
      </rPr>
      <t>RMF</t>
    </r>
    <r>
      <rPr>
        <sz val="11"/>
        <color theme="1"/>
        <rFont val="Calibri"/>
        <family val="2"/>
        <scheme val="minor"/>
      </rPr>
      <t>) for OHS. If no governance level can be demonstrated, enter RMF = 1,0.</t>
    </r>
  </si>
  <si>
    <t>Does the organization use external labor that does not occur in the SCID list of suppliers (e.g. small workshops and homeworkers) or any other not-certified labor providing bodies that are not accessible for unannounced audits?</t>
  </si>
  <si>
    <t>Does the organization have a certificate, demonstrating absence of child labor or can it self-demonstrate absence of harmfull child labor (e.g. by cooperating with unannounced audits)? (Harmfull child labor is defined by the condtions listed in cells I92-102 and K92-O103).</t>
  </si>
  <si>
    <t>Is all work by children (internal and external) free of any condition, listed in "Form Harmfull Child labor conditions"  in Cells I92-I102, and form "Working conditions criteria for children and young adults" in Cells K92-O103?</t>
  </si>
  <si>
    <t>Calculate and enter the ESCU's as the extra costs per unit of product  required to raise all children's wages to the levels listed in "Working conditions criteria for children and young adults" in Cells K92-O103, or to replace the child by an adult person, minimally paid the Fair Minimum Wage (FMW; see above at RW 7)</t>
  </si>
  <si>
    <r>
      <t xml:space="preserve">If for several sustainability aspects the ESCU's can be mitigated by one calculated preventative measure/investment, only the highest aspect- ESCU's are allocated. At almost every aspect, the questionnaire asks for the costs of mitigation of an issue and for the % of thereby expected mitigation. </t>
    </r>
    <r>
      <rPr>
        <b/>
        <sz val="11"/>
        <color rgb="FFFF0000"/>
        <rFont val="Calibri"/>
        <family val="2"/>
        <scheme val="minor"/>
      </rPr>
      <t>If one measure or investment mitigates the impact on several aspects, the following costs need to be entered:
If the mitigation costs for the last assessed aspect are lower than for the earlier assessed aspects, enter zero.
If the mitigation costs for the last assessed aspect are higher than for the earlier assessed aspects, enter the extra costs. Always enter the expected mitigation %, specifically for the aspect under assessment.</t>
    </r>
  </si>
  <si>
    <t>Some forms are used several times, thereby loosing its former content, especially if the system is also used for assessment of unknown upstream suppliers. Therefore, in these cases, it is advised to use a completely new copy of this questionnaire, in order not to loose data.</t>
  </si>
  <si>
    <t>Foreground mitigation costs (improvement costs (ESCU's)</t>
  </si>
  <si>
    <r>
      <t xml:space="preserve">Maximum sector dependent ESCU allocation on Public Health and Safety Risks </t>
    </r>
    <r>
      <rPr>
        <b/>
        <sz val="11"/>
        <rFont val="Calibri"/>
        <family val="2"/>
        <scheme val="minor"/>
      </rPr>
      <t>(PHSMAX) for the sector</t>
    </r>
    <r>
      <rPr>
        <sz val="11"/>
        <rFont val="Calibri"/>
        <family val="2"/>
        <scheme val="minor"/>
      </rPr>
      <t>, calculated per unit of product:</t>
    </r>
  </si>
  <si>
    <t>I 15</t>
  </si>
  <si>
    <t>Initial phase</t>
  </si>
  <si>
    <t>In the initial phase, no certification is available. If the questionnaire asks for a certificate or a certified state, read instead "independently verifiable".</t>
  </si>
  <si>
    <t>Also investigate the impact of fashion. Try to find the realistic technical maximum difference.
A percentage of the Total ESCU's (before use) should be the ESCU's allocated for suboptimal product life.</t>
  </si>
  <si>
    <t>% Bonus</t>
  </si>
  <si>
    <t>% Contribution to ESCU's</t>
  </si>
  <si>
    <t>Gate 2 Gate</t>
  </si>
  <si>
    <t>Product use</t>
  </si>
  <si>
    <t>End of life</t>
  </si>
  <si>
    <t>RP 4</t>
  </si>
  <si>
    <t>RH 4</t>
  </si>
  <si>
    <t>RD 4</t>
  </si>
  <si>
    <r>
      <t xml:space="preserve">In this version of the questionnaire, data are in ESCU's, The currency for an ESCU shall be selected here.  It is advised to select either the Euro or the US$ for international use, but for fully local supply chains, the local currency can be used. without selection, the default currency is the Euro. </t>
    </r>
    <r>
      <rPr>
        <b/>
        <sz val="11"/>
        <color rgb="FFFF0000"/>
        <rFont val="Calibri"/>
        <family val="2"/>
        <scheme val="minor"/>
      </rPr>
      <t>After selection, enter all requested costs and ESCU's in this currency, unless otherwise indicated.</t>
    </r>
  </si>
  <si>
    <t xml:space="preserve">For background pollution ESCU's of non-agricultural items from an upstream actor without provided supplier-ESCU's, divide the product into components that can be found in Sheet "Idemat data" -column J. Select the relevant items in sheet Pol.Data- "Background Pollution P-Gen" (cells F45/I69). Add the quantity of the components. The result is calculated in Pol.Data - I69 and appears here. </t>
  </si>
  <si>
    <t>Purchase-Pollution (ESCU's)</t>
  </si>
  <si>
    <t>Purchase-Depletion (ESCU's)</t>
  </si>
  <si>
    <t>Purchase-Land use (ESCU's)</t>
  </si>
  <si>
    <t>Purchase-  Biodiversity (ESCU's)</t>
  </si>
  <si>
    <t>Purchase-Waste (ESCU's)</t>
  </si>
  <si>
    <t>Purchase- Public Health (ESCU's)</t>
  </si>
  <si>
    <t>Purchase- Labor (ESCU's)</t>
  </si>
  <si>
    <t>Purchase- various Social (ESCU's)</t>
  </si>
  <si>
    <t>Purchase Economic (ESCU's)</t>
  </si>
  <si>
    <t>Purchase Corr. &amp; Violence (ESCU's)</t>
  </si>
  <si>
    <t>Form Supplier provided (or determined) ESCU's (per unit of supplied material)</t>
  </si>
  <si>
    <t>Purchase Public Health (ESCU's)</t>
  </si>
  <si>
    <t>Purchase Labor (ESCU's)</t>
  </si>
  <si>
    <t>Purchase various Social (ESCU's)</t>
  </si>
  <si>
    <t>Purchased Value Ratio (see note)</t>
  </si>
  <si>
    <t>Purchased Dry Weight Ratio (see note)</t>
  </si>
  <si>
    <r>
      <t xml:space="preserve">Currency </t>
    </r>
    <r>
      <rPr>
        <b/>
        <sz val="11"/>
        <color rgb="FF0070C0"/>
        <rFont val="Calibri"/>
        <family val="2"/>
        <scheme val="minor"/>
      </rPr>
      <t>(determined in Preparation - Pr 1)</t>
    </r>
  </si>
  <si>
    <t>The organization yes/no belongs to an industry sector without known toxic emissions. (is derived from the indicated industry sector in sheet "preparation - F10").</t>
  </si>
  <si>
    <t xml:space="preserve">Type A  </t>
  </si>
  <si>
    <t>Non agricultural bulk gasses</t>
  </si>
  <si>
    <t>Commuting</t>
  </si>
  <si>
    <t>Business trips</t>
  </si>
  <si>
    <t>Type B</t>
  </si>
  <si>
    <t>Type C</t>
  </si>
  <si>
    <t>Pollution &amp; Climate - emissions</t>
  </si>
  <si>
    <t>Type D</t>
  </si>
  <si>
    <t>Type E</t>
  </si>
  <si>
    <t>Land Occupation</t>
  </si>
  <si>
    <t>Minerals, plants and animals</t>
  </si>
  <si>
    <t>Agricultural and Forestry for Food purposes</t>
  </si>
  <si>
    <t>Non food Forestry</t>
  </si>
  <si>
    <t>Non Agricultural</t>
  </si>
  <si>
    <t>Fair Wages</t>
  </si>
  <si>
    <t>Overwork</t>
  </si>
  <si>
    <t>Health Insurane plans</t>
  </si>
  <si>
    <t>Various aspects</t>
  </si>
  <si>
    <t>Child Labor</t>
  </si>
  <si>
    <t xml:space="preserve">Various Social aspects </t>
  </si>
  <si>
    <t>Social Responsibilities</t>
  </si>
  <si>
    <t>Economic aspects</t>
  </si>
  <si>
    <t>Fair Transactions</t>
  </si>
  <si>
    <t>Transparency</t>
  </si>
  <si>
    <t>Taxes</t>
  </si>
  <si>
    <t xml:space="preserve">Disposal- Waste </t>
  </si>
  <si>
    <t>Assessed
(yes/no)</t>
  </si>
  <si>
    <t>Heating water systems</t>
  </si>
  <si>
    <t>Incident caused pollution</t>
  </si>
  <si>
    <t>Use related CO2 emissions</t>
  </si>
  <si>
    <t xml:space="preserve">     other gas emissions</t>
  </si>
  <si>
    <t>Section in development</t>
  </si>
  <si>
    <t xml:space="preserve">Land </t>
  </si>
  <si>
    <t>Sea</t>
  </si>
  <si>
    <t>Sea degradation</t>
  </si>
  <si>
    <t>Use- Depletion</t>
  </si>
  <si>
    <r>
      <t>ESCU Matrix  [</t>
    </r>
    <r>
      <rPr>
        <b/>
        <sz val="12"/>
        <color theme="1"/>
        <rFont val="Calibri"/>
        <family val="2"/>
        <scheme val="minor"/>
      </rPr>
      <t>ESCU's per unit of product - in the currency selected in Preparation - H4:         currenly:</t>
    </r>
  </si>
  <si>
    <t xml:space="preserve">      Use related depletion</t>
  </si>
  <si>
    <t>Occupational Health and Safety</t>
  </si>
  <si>
    <t>Quality</t>
  </si>
  <si>
    <t>UN 6</t>
  </si>
  <si>
    <t>Noise ?</t>
  </si>
  <si>
    <t>Does the product make any noise?</t>
  </si>
  <si>
    <t xml:space="preserve">Internal Data;
</t>
  </si>
  <si>
    <t>Included aspects</t>
  </si>
  <si>
    <t xml:space="preserve">Enter the Product life time of use at normal use in years, month's, days and hours of use in cells H25-K25. (only required for end-products) The life time will be calculated in decimal units and presented in cell F25. If the product is a transport means, enter the average life time distance in kilometers in cell L25. Take care that L25 is empty if the product is no transport means. The result appears in F25. </t>
  </si>
  <si>
    <t>Quantifiable emissions of chemical</t>
  </si>
  <si>
    <t>Difficult quantifiable Agricultural emissions</t>
  </si>
  <si>
    <t xml:space="preserve">   By wear, leak, evaporation
   or consumption parts</t>
  </si>
  <si>
    <t>Finance (section in development)</t>
  </si>
  <si>
    <t>Contract time (section in development)</t>
  </si>
  <si>
    <t>Livestock products (section in development)</t>
  </si>
  <si>
    <t>Does the organization have a certificate on corruption and conflict issues, approved in the O.S.?</t>
  </si>
  <si>
    <t>Is the country in a situation of armed conflict ?</t>
  </si>
  <si>
    <t>Is the organization or its corporate mother involved in production or trade in weapons or parts or these?</t>
  </si>
  <si>
    <t>Organization in conflict</t>
  </si>
  <si>
    <t>CC 10</t>
  </si>
  <si>
    <t>Land Occcupation Gate to Gate</t>
  </si>
  <si>
    <t>Land degradation and Biodiversity - Gate to Gate</t>
  </si>
  <si>
    <t>Section in development - Need of statistics for reference yields per hectare without foreign nutrients  - skip this section</t>
  </si>
  <si>
    <t>Select the biotope of the area, choosing the best applicable from the list in:
(If the location is unknown, choose the most common biotope for the relevant activities).</t>
  </si>
  <si>
    <t>GNI/cap (€ PPP)</t>
  </si>
  <si>
    <t>Currency exchange rate (Atlas 2020)</t>
  </si>
  <si>
    <t>Hourly FMW (current €)</t>
  </si>
  <si>
    <t>GNI/cap (€)</t>
  </si>
  <si>
    <t xml:space="preserve">Hourly FMW (Current €) (2020 data) </t>
  </si>
  <si>
    <t>GNI/cap, relative to USA in choosen ESCU currency)</t>
  </si>
  <si>
    <t>?</t>
  </si>
  <si>
    <t>Usually Preparation - Pr 3</t>
  </si>
  <si>
    <t>List RW 2</t>
  </si>
  <si>
    <t>A list shall be demonstrated with all workers &gt;20 years old, working on the product, including managers and self-employed workers, and including all types of work. Homeworkers, self-employed workers and workers from subcontractors shall be included if the subcontractor is not a certified supplier. The list shall include their payments, calculated per hour of work. Read the note!</t>
  </si>
  <si>
    <t>Determine the lowest payments/hour for the labor in the country in www.WageIndicator.org (these are indicated as a range; take the lowest point of the range) and calculate to wage per hour. Calculate as standard hours (for overwork, see below)</t>
  </si>
  <si>
    <t>Enter the total yearly wage sum for workhours on the product (the wages for all worked hours, including premiums, pensions, income taxes, bonusses, overhours, and including the hours of indirect personnel (e.g. administration, management, marketing, sales, maintenance, cleaning P&amp;O). If available, use companies' own cost allocation methods. If no accurate wage sum can be demonstrated, assume 50% of the turnover.</t>
  </si>
  <si>
    <t>Is the organization an "end-producer"? (The customer of an end-producer is a consumer,  user or retailer).</t>
  </si>
  <si>
    <t>I 16</t>
  </si>
  <si>
    <t>End-producers</t>
  </si>
  <si>
    <t>"End-producers" are those producers that provide products to the consumer or user of the product. Only end producers need to fill the worksheets covering the use of the product and on end-of life. Your suppliers are by defintion no end-producers. (They may be endproducers for products that they delver to consumers or users)</t>
  </si>
  <si>
    <t>Market were sold (country) (for every market-country combination a new assessment must be made). (Recommended is to copy a first completed version and adapt for differences). Differences in Gate 2 gate matters may occur due to legislation, distances with transport under own responsibility and internal work due to responsibility for waste and end-of life recycling. Differences in external transport, use- and end-of life aspects are very likely).</t>
  </si>
  <si>
    <t>(For End-producers only). Define "normal use" in a separate demonstrable description of the product and enter the average product life at normal use in cells H19-K19 (the average time between sales and end-of life). See the note.</t>
  </si>
  <si>
    <t>Demonstrable percentage of the used water, self-transported water (as entered in WD 10) with renewable energy. (If electricity from the net is used, the net-ESCU's are already included in the default value). If unknown, leave empty, or enter zero.</t>
  </si>
  <si>
    <r>
      <rPr>
        <b/>
        <sz val="11"/>
        <color rgb="FFFF0000"/>
        <rFont val="Calibri"/>
        <family val="2"/>
        <scheme val="minor"/>
      </rPr>
      <t>Info 1</t>
    </r>
    <r>
      <rPr>
        <sz val="11"/>
        <color rgb="FFFF0000"/>
        <rFont val="Calibri"/>
        <family val="2"/>
        <scheme val="minor"/>
      </rPr>
      <t xml:space="preserve">: Don't start using this sheet before having read and completed the sheets "How does it work", "Def.-Instr.", "Preparation" and "Suppliers"
</t>
    </r>
    <r>
      <rPr>
        <b/>
        <sz val="11"/>
        <color rgb="FFFF0000"/>
        <rFont val="Calibri"/>
        <family val="2"/>
        <scheme val="minor"/>
      </rPr>
      <t>Info 2</t>
    </r>
    <r>
      <rPr>
        <sz val="11"/>
        <color rgb="FFFF0000"/>
        <rFont val="Calibri"/>
        <family val="2"/>
        <scheme val="minor"/>
      </rPr>
      <t xml:space="preserve">: Considered are risk, other than occupational or ecological
</t>
    </r>
    <r>
      <rPr>
        <b/>
        <sz val="11"/>
        <color rgb="FFFF0000"/>
        <rFont val="Calibri"/>
        <family val="2"/>
        <scheme val="minor"/>
      </rPr>
      <t>Info 3</t>
    </r>
    <r>
      <rPr>
        <sz val="11"/>
        <color rgb="FFFF0000"/>
        <rFont val="Calibri"/>
        <family val="2"/>
        <scheme val="minor"/>
      </rPr>
      <t xml:space="preserve">: The risk and prevention is considered equal to occupational health risks if the external risks are considered in point PS 2
</t>
    </r>
    <r>
      <rPr>
        <b/>
        <sz val="11"/>
        <color rgb="FFFF0000"/>
        <rFont val="Calibri"/>
        <family val="2"/>
        <scheme val="minor"/>
      </rPr>
      <t>Info 4:</t>
    </r>
    <r>
      <rPr>
        <sz val="11"/>
        <color rgb="FFFF0000"/>
        <rFont val="Calibri"/>
        <family val="2"/>
        <scheme val="minor"/>
      </rPr>
      <t xml:space="preserve"> Reset before start all choice buttons to "select" and empty all red boxes in columns F, H and I.
</t>
    </r>
    <r>
      <rPr>
        <b/>
        <sz val="11"/>
        <color rgb="FFFF0000"/>
        <rFont val="Calibri"/>
        <family val="2"/>
        <scheme val="minor"/>
      </rPr>
      <t>Info 5:</t>
    </r>
    <r>
      <rPr>
        <sz val="11"/>
        <color rgb="FFFF0000"/>
        <rFont val="Calibri"/>
        <family val="2"/>
        <scheme val="minor"/>
      </rPr>
      <t xml:space="preserve"> Note that "ESCU" in the tekst refers to both the assessed externalities as to costs in the chosen currency.</t>
    </r>
  </si>
  <si>
    <r>
      <rPr>
        <b/>
        <sz val="11"/>
        <color rgb="FFFF0000"/>
        <rFont val="Calibri"/>
        <family val="2"/>
        <scheme val="minor"/>
      </rPr>
      <t>Info 1</t>
    </r>
    <r>
      <rPr>
        <sz val="11"/>
        <color rgb="FFFF0000"/>
        <rFont val="Calibri"/>
        <family val="2"/>
        <scheme val="minor"/>
      </rPr>
      <t xml:space="preserve">: Don't start using this sheet before having read and completed the sheets "How does it work", "Def.-Instr.", "Preparation" and "Suppliers"
</t>
    </r>
    <r>
      <rPr>
        <b/>
        <sz val="11"/>
        <color rgb="FFFF0000"/>
        <rFont val="Calibri"/>
        <family val="2"/>
        <scheme val="minor"/>
      </rPr>
      <t>Info 2:</t>
    </r>
    <r>
      <rPr>
        <sz val="11"/>
        <color rgb="FFFF0000"/>
        <rFont val="Calibri"/>
        <family val="2"/>
        <scheme val="minor"/>
      </rPr>
      <t xml:space="preserve"> Reset before start all choice buttons to "select" and empty all red boxes in columns F, H and I.
</t>
    </r>
    <r>
      <rPr>
        <b/>
        <sz val="11"/>
        <color rgb="FFFF0000"/>
        <rFont val="Calibri"/>
        <family val="2"/>
        <scheme val="minor"/>
      </rPr>
      <t xml:space="preserve">Info 3: </t>
    </r>
    <r>
      <rPr>
        <sz val="11"/>
        <color rgb="FFFF0000"/>
        <rFont val="Calibri"/>
        <family val="2"/>
        <scheme val="minor"/>
      </rPr>
      <t xml:space="preserve">Note that "ESCU" in the tekst refers to both the assessed externalities as to costs in the chosen currency.
</t>
    </r>
  </si>
  <si>
    <r>
      <rPr>
        <b/>
        <sz val="11"/>
        <color rgb="FFFF0000"/>
        <rFont val="Calibri"/>
        <family val="2"/>
        <scheme val="minor"/>
      </rPr>
      <t>Info 1</t>
    </r>
    <r>
      <rPr>
        <sz val="11"/>
        <color rgb="FFFF0000"/>
        <rFont val="Calibri"/>
        <family val="2"/>
        <scheme val="minor"/>
      </rPr>
      <t xml:space="preserve">: Reset before start all choice buttons to "select", empty all red boxes in column F, and change all boxes on Corruption in the sheet Gov. Level in "0".
</t>
    </r>
    <r>
      <rPr>
        <b/>
        <sz val="11"/>
        <color rgb="FFFF0000"/>
        <rFont val="Calibri"/>
        <family val="2"/>
        <scheme val="minor"/>
      </rPr>
      <t>Info 2</t>
    </r>
    <r>
      <rPr>
        <sz val="11"/>
        <color rgb="FFFF0000"/>
        <rFont val="Calibri"/>
        <family val="2"/>
        <scheme val="minor"/>
      </rPr>
      <t xml:space="preserve">: Don't start using this sheet before having read and completed the sheets "How does it work", "Def.-Instr.", "Preparation" and "Suppliers".
</t>
    </r>
    <r>
      <rPr>
        <b/>
        <sz val="11"/>
        <color rgb="FFFF0000"/>
        <rFont val="Calibri"/>
        <family val="2"/>
        <scheme val="minor"/>
      </rPr>
      <t>Info 3</t>
    </r>
    <r>
      <rPr>
        <sz val="11"/>
        <color rgb="FFFF0000"/>
        <rFont val="Calibri"/>
        <family val="2"/>
        <scheme val="minor"/>
      </rPr>
      <t xml:space="preserve">: Net Operating Margin to be calculated as: Sales value/ (Direct and indirect Costs of labor + Purchased value + depreciation).
</t>
    </r>
    <r>
      <rPr>
        <b/>
        <sz val="11"/>
        <color rgb="FFFF0000"/>
        <rFont val="Calibri"/>
        <family val="2"/>
        <scheme val="minor"/>
      </rPr>
      <t>Info 4:</t>
    </r>
    <r>
      <rPr>
        <sz val="11"/>
        <color rgb="FFFF0000"/>
        <rFont val="Calibri"/>
        <family val="2"/>
        <scheme val="minor"/>
      </rPr>
      <t xml:space="preserve"> Note that "ESCU" in the tekst refers to both the assessed externalities as to costs in the chosen currency.</t>
    </r>
  </si>
  <si>
    <r>
      <t>Info 1:</t>
    </r>
    <r>
      <rPr>
        <sz val="11"/>
        <color rgb="FFFF0000"/>
        <rFont val="Calibri"/>
        <family val="2"/>
        <scheme val="minor"/>
      </rPr>
      <t>This sheet concerns disposal at end-of product life; the disposal of the organization's waste is considered in sheet "Disposal".</t>
    </r>
    <r>
      <rPr>
        <b/>
        <sz val="11"/>
        <color rgb="FFFF0000"/>
        <rFont val="Calibri"/>
        <family val="2"/>
        <scheme val="minor"/>
      </rPr>
      <t xml:space="preserve">
Info 2:</t>
    </r>
    <r>
      <rPr>
        <sz val="11"/>
        <color rgb="FFFF0000"/>
        <rFont val="Calibri"/>
        <family val="2"/>
        <scheme val="minor"/>
      </rPr>
      <t xml:space="preserve"> The questions in this sheet are only for end-producers.
</t>
    </r>
    <r>
      <rPr>
        <b/>
        <sz val="11"/>
        <color rgb="FFFF0000"/>
        <rFont val="Calibri"/>
        <family val="2"/>
        <scheme val="minor"/>
      </rPr>
      <t>Info 3:</t>
    </r>
    <r>
      <rPr>
        <sz val="11"/>
        <color rgb="FFFF0000"/>
        <rFont val="Calibri"/>
        <family val="2"/>
        <scheme val="minor"/>
      </rPr>
      <t xml:space="preserve"> Reset before start all choice buttons to "select" and empty all red boxes in column F. If directed to a form, do the same in the form before using it.</t>
    </r>
    <r>
      <rPr>
        <b/>
        <sz val="11"/>
        <color rgb="FFFF0000"/>
        <rFont val="Calibri"/>
        <family val="2"/>
        <scheme val="minor"/>
      </rPr>
      <t xml:space="preserve">
Info 4: </t>
    </r>
    <r>
      <rPr>
        <sz val="11"/>
        <color rgb="FFFF0000"/>
        <rFont val="Calibri"/>
        <family val="2"/>
        <scheme val="minor"/>
      </rPr>
      <t>Don't start using this sheet before having read and completed the sheets "How does it work", "Def.-Instr.", "Preparation".</t>
    </r>
    <r>
      <rPr>
        <b/>
        <sz val="11"/>
        <color rgb="FFFF0000"/>
        <rFont val="Calibri"/>
        <family val="2"/>
        <scheme val="minor"/>
      </rPr>
      <t xml:space="preserve">
Info 5. </t>
    </r>
    <r>
      <rPr>
        <sz val="11"/>
        <color rgb="FFFF0000"/>
        <rFont val="Calibri"/>
        <family val="2"/>
        <scheme val="minor"/>
      </rPr>
      <t xml:space="preserve">Recyling of used materials is "rewarded" by lower supplier-ESCU's, not by bonus for the recycling activities.
</t>
    </r>
    <r>
      <rPr>
        <b/>
        <sz val="11"/>
        <color rgb="FFFF0000"/>
        <rFont val="Calibri"/>
        <family val="2"/>
        <scheme val="minor"/>
      </rPr>
      <t>Info 6:</t>
    </r>
    <r>
      <rPr>
        <sz val="11"/>
        <color rgb="FFFF0000"/>
        <rFont val="Calibri"/>
        <family val="2"/>
        <scheme val="minor"/>
      </rPr>
      <t xml:space="preserve"> Note that "ESCU" in the tekst refers to both the assessed externalities as to costs in the chosen currency.
</t>
    </r>
    <r>
      <rPr>
        <b/>
        <sz val="18"/>
        <color rgb="FFFF0000"/>
        <rFont val="Calibri"/>
        <family val="2"/>
        <scheme val="minor"/>
      </rPr>
      <t>Info 7</t>
    </r>
    <r>
      <rPr>
        <sz val="18"/>
        <color rgb="FFFF0000"/>
        <rFont val="Calibri"/>
        <family val="2"/>
        <scheme val="minor"/>
      </rPr>
      <t>. This section is in development. Preliminarily skip the section.</t>
    </r>
  </si>
  <si>
    <t>If the organizations' turnover is lower than $ 25 million x [GNI-USA/GNI-country] in the countries currency, the risk of irresponsible income inequality is low --&gt; no ESCU's are allocated.</t>
  </si>
  <si>
    <t>Enter the paid contribution % of their wage for workers' health and disability disability plan. If no contribution can be demonstrated, enter zero. If health insurance contribution % is not equal for all workers with wages below [3 x FMW], enter zero.</t>
  </si>
  <si>
    <r>
      <rPr>
        <b/>
        <sz val="11"/>
        <color rgb="FFFF0000"/>
        <rFont val="Calibri"/>
        <family val="2"/>
        <scheme val="minor"/>
      </rPr>
      <t>Info 1:</t>
    </r>
    <r>
      <rPr>
        <sz val="11"/>
        <color rgb="FFFF0000"/>
        <rFont val="Calibri"/>
        <family val="2"/>
        <scheme val="minor"/>
      </rPr>
      <t xml:space="preserve"> Pension plans are calculated here, but not included in the aggregation, because these are already included in the fair minimum wages.</t>
    </r>
  </si>
  <si>
    <t>Location (country) of the activities under assessment, related to the product (If unknown, select "unknown".
(Neglect the top selection choices of € and $)</t>
  </si>
  <si>
    <t xml:space="preserve">Calculate the ESCU's as the difference of all wages (see RW 2) below the FMW for the hours worked on one unit of the product for all involved workers (including indirect hours) with lower wages than the FMW. For overhours, compare with the FMW + 50%; Enter the result. </t>
  </si>
  <si>
    <t>Enter all items of the SCID list (see Sheet "Preparation Pr 29") in Form Supplier provided (or determined) ESCU's (columns J, K and M of this sheet) and add the requested data in columns L and M. Thereafter, enter the ESCU's of all material/supplier combinations per unit of product, separately for the 10 aspect categories and one grand supplier total columns P - Y of this sheet. The aggregated category-ESCU's appear in cells AA4 - AK 4 and the ESCU matrix.</t>
  </si>
  <si>
    <t xml:space="preserve">   Require from the direct supplier, data on the exact virgin materials, if necessary derived from the chemical /material composition of the purchased goods. If necessary, have the purchased material goods analysed. Use these data for the assessment of potential origins, companies, processes and involved locations.</t>
  </si>
  <si>
    <t>The background data obtained in P-Gen 2 are incomplete and may only be used if there is no alternative.
Still added must be the sections (below) on Personnel Commuting (P-Atc), Business trips (P-Atb), Indirect emissions (P-AIg), type D pollution (P-D) and Type E pollution (P-E). Consecutively complete these sections and skip the others. See Info 4 on top of this sheet for the types of pollution.</t>
  </si>
  <si>
    <t>Can the organization demonstrate the used virgin materials by analysis of the product's composition and assessment of the used virgin materials for extraction and processing (suppliers; LCA's)? Without proof of the contrary, all materials are assumed virgin materials.</t>
  </si>
  <si>
    <t>Make sure that there is no other option to determine depletion of materials (excl. water).
Breakdown the product/parts/materials into items that can be found in sheet Idemat data, column J. Select the used virgin materials in column J (this sheet) and enter the quantities per unit of product in column K, if necessary using the procedure in sheet "Suppliers S4-S6".</t>
  </si>
  <si>
    <t>Enter the ESCU's for used water per unit of product from provided ESCU's by a water supplier, and already entered in sheet "Suppliers". In order to prevent double counting, this amount of water will be subtracted by system calculation. Without already included water-supplier ESCU's, skip or enter zero.</t>
  </si>
  <si>
    <t xml:space="preserve">Move or Rightclick on Info and read the pop-up information carefully before using this sheet. This may save work. Rightclick again to hide it. </t>
  </si>
  <si>
    <t>In column O, the background (default) appears the quantity of waste, calculated depending on the industry sector as selected in Preparation-Pr 5. Only one background consisting of several materials, is calculated. Further specification is not possible. (If foreground data are entered in W3, this value will be replaced).</t>
  </si>
  <si>
    <r>
      <t xml:space="preserve">Calculate, based on the list RW 2 the ESCU's as the costs necessary to raise all gross remunerations to the ratio HW/MAIR (the value in RI 8), for the hours worked on one unit of product.
</t>
    </r>
    <r>
      <rPr>
        <b/>
        <sz val="11"/>
        <color theme="1"/>
        <rFont val="Calibri"/>
        <family val="2"/>
        <scheme val="minor"/>
      </rPr>
      <t>Read the note !</t>
    </r>
    <r>
      <rPr>
        <sz val="11"/>
        <color theme="1"/>
        <rFont val="Calibri"/>
        <family val="2"/>
        <scheme val="minor"/>
      </rPr>
      <t xml:space="preserve"> 
</t>
    </r>
  </si>
  <si>
    <t>Calculated ESCU's  
/unit of product)</t>
  </si>
  <si>
    <t xml:space="preserve">No. of violations/year </t>
  </si>
  <si>
    <t>Total violations/year</t>
  </si>
  <si>
    <t>Total work hours/year</t>
  </si>
  <si>
    <r>
      <t>Determine per unit of product the consumed quantity (</t>
    </r>
    <r>
      <rPr>
        <b/>
        <sz val="11"/>
        <color theme="1"/>
        <rFont val="Calibri"/>
        <family val="2"/>
        <scheme val="minor"/>
      </rPr>
      <t xml:space="preserve">Q) </t>
    </r>
    <r>
      <rPr>
        <sz val="11"/>
        <color theme="1"/>
        <rFont val="Calibri"/>
        <family val="2"/>
        <scheme val="minor"/>
      </rPr>
      <t xml:space="preserve">fresh water per unit of product, which is the sum of: 
    a. water used in the product.
    b. evaporated and lost water  (all water other than indicated under a. that is extracted and not 
        returned to its source).
    c.  evaporation by heating of water systems (calculate 0,00185 x </t>
    </r>
    <r>
      <rPr>
        <vertAlign val="superscript"/>
        <sz val="11"/>
        <color theme="1"/>
        <rFont val="Calibri"/>
        <family val="2"/>
        <scheme val="minor"/>
      </rPr>
      <t>o</t>
    </r>
    <r>
      <rPr>
        <sz val="11"/>
        <color theme="1"/>
        <rFont val="Calibri"/>
        <family val="2"/>
        <scheme val="minor"/>
      </rPr>
      <t>C raise x quantity heated water).
(Excluded is the use of direct rain water, fallen on the premises and used by the organization).
If lead to WD 6 from WD 3 and more precise quantities are unknown, enter the quantity from WD 3</t>
    </r>
  </si>
  <si>
    <t>Does the assessment concern the own gate to gate activities or can it otherwise demonstrate the exact water use in the relevant supply chain stage, or If concerning an upstream actor in the supply chain, can the organization still demonstrate the exact quantity of water use and water extraction location by other self-obtained verifiable information?</t>
  </si>
  <si>
    <t>Background water consumption  (m3/unit of product)</t>
  </si>
  <si>
    <t>Background material depletion (ESCU's 
/unit of product)</t>
  </si>
  <si>
    <t>Used Water</t>
  </si>
  <si>
    <t>Background location</t>
  </si>
  <si>
    <t>Foreground location of water extraction</t>
  </si>
  <si>
    <t>Total ESCU's for Material Depletion</t>
  </si>
  <si>
    <t xml:space="preserve">Subsequently select the 3 most probable locations (e.g. from I-O databases) for the relevant stage in the supply chain; determine for each location the following questions and thereafter definately select the location resulting in the highest ESCU score. Enter the worst case country.  If no probable location can be demonstrated, leave on "select". </t>
  </si>
  <si>
    <t>Pinpoint the most probable location of water extraction within the country, either for the own location if Gate 2 Gate activities are concerned (country as in Preparation Pr 6),  or the location found in WD 3. Enter the nearest city or coordinates.</t>
  </si>
  <si>
    <r>
      <t xml:space="preserve">Elevation </t>
    </r>
    <r>
      <rPr>
        <b/>
        <sz val="11"/>
        <color theme="1"/>
        <rFont val="Calibri"/>
        <family val="2"/>
        <scheme val="minor"/>
      </rPr>
      <t xml:space="preserve">(EL), </t>
    </r>
    <r>
      <rPr>
        <sz val="11"/>
        <color theme="1"/>
        <rFont val="Calibri"/>
        <family val="2"/>
        <scheme val="minor"/>
      </rPr>
      <t xml:space="preserve">of the location of extraction, based on the location determined in WD 6. </t>
    </r>
  </si>
  <si>
    <r>
      <t xml:space="preserve">Shortest distance to a sea </t>
    </r>
    <r>
      <rPr>
        <b/>
        <sz val="11"/>
        <color theme="1"/>
        <rFont val="Calibri"/>
        <family val="2"/>
        <scheme val="minor"/>
      </rPr>
      <t xml:space="preserve">(DL) </t>
    </r>
    <r>
      <rPr>
        <sz val="11"/>
        <color theme="1"/>
        <rFont val="Calibri"/>
        <family val="2"/>
        <scheme val="minor"/>
      </rPr>
      <t>of the location of extraction.</t>
    </r>
  </si>
  <si>
    <t xml:space="preserve">If the organization can demonstrate the the water depletion mitigation % that can be achieved per unit of the specific product, (e.g. by desalination of brackish- or sea-water with renewable energy), enter the expected mitigation percentage. Without such demonstration, leave empty.
</t>
  </si>
  <si>
    <t>Background ESCU's m3 per of water</t>
  </si>
  <si>
    <t>Demonstrable percentage of the used water, desalinated with renewable energy, using PV panels or wind power under organizations own direction. If unknown, leave empty, or enter zero.</t>
  </si>
  <si>
    <r>
      <t xml:space="preserve">    - </t>
    </r>
    <r>
      <rPr>
        <b/>
        <sz val="11"/>
        <rFont val="Calibri"/>
        <family val="2"/>
        <scheme val="minor"/>
      </rPr>
      <t>Important:</t>
    </r>
    <r>
      <rPr>
        <sz val="11"/>
        <rFont val="Calibri"/>
        <family val="2"/>
        <scheme val="minor"/>
      </rPr>
      <t xml:space="preserve"> Usually organization provided price factors will be lower than the default values. However, even if real specific costs are higher than default, the organization shall enter the own higher costs.</t>
    </r>
  </si>
  <si>
    <r>
      <t xml:space="preserve">Determine the Water Scarcity Factor for the location in the Aqueduct Atlas of the World Resource Institute, specifically the “Baseline Water Depletion </t>
    </r>
    <r>
      <rPr>
        <b/>
        <sz val="11"/>
        <color theme="1"/>
        <rFont val="Calibri"/>
        <family val="2"/>
        <scheme val="minor"/>
      </rPr>
      <t>(BWD)</t>
    </r>
    <r>
      <rPr>
        <sz val="11"/>
        <color theme="1"/>
        <rFont val="Calibri"/>
        <family val="2"/>
        <scheme val="minor"/>
      </rPr>
      <t>” factor under “Indicator Raw Value”, at the location of withdrawal or evaporation. (See Depletion- WD 18 for an instruction how to use the Aqueduct Atlas)</t>
    </r>
  </si>
  <si>
    <t>Data for water depletion calculation</t>
  </si>
  <si>
    <t>Determine the worst case water use per unit of product for the relevant stage in the supply chain. Use knowledge of suppliers, experts, databases, literature, LCA's or self (or expert) assessment by means of a LCA (e.g. Open LCA, Simapro, Gabi). 
Only if there really is no other way to determine ESCU's for water depletion, breakdown the product/parts/materials into items that can be found in sheet Idemat data, column J. Select the used materials in column R (this sheet) and enter the quantities per unit of product in column S, if necessary using the procedure in sheet "Suppliers S4-S6". Thereafter, enter the quantity appearing in cell T 19</t>
  </si>
  <si>
    <t>Plastic bag (polyethylene)</t>
  </si>
  <si>
    <t>Packaging fertilizer &amp; pesticides</t>
  </si>
  <si>
    <t>Oganic waste (leaves, wood, unripe coffee cherries)</t>
  </si>
  <si>
    <r>
      <t xml:space="preserve">Computer versions, Screensize and Excell settings
</t>
    </r>
    <r>
      <rPr>
        <sz val="11"/>
        <color theme="1"/>
        <rFont val="Calibri"/>
        <family val="2"/>
        <scheme val="minor"/>
      </rPr>
      <t>•  Depending on your computer, the screen may have to be adapted. Please adapt to the following settings:</t>
    </r>
    <r>
      <rPr>
        <b/>
        <sz val="11"/>
        <color theme="1"/>
        <rFont val="Calibri"/>
        <family val="2"/>
        <scheme val="minor"/>
      </rPr>
      <t xml:space="preserve">
</t>
    </r>
    <r>
      <rPr>
        <sz val="11"/>
        <color theme="1"/>
        <rFont val="Calibri"/>
        <family val="2"/>
        <scheme val="minor"/>
      </rPr>
      <t>•  Adapt (right-below on the screen) the screensize to see all headings. Usually this will be at 100% or 90%. This may be different per sheet.
•  Also the select-boxes may have a not intended size. Most should exactly cover a cell. If not, they can be adapted by clicking the right mouse bottom and adapt the size.
•  Take care that in File/Options/Advanced/Settings Workbook/Viewoptions, the vertical scrollbar is set on.</t>
    </r>
    <r>
      <rPr>
        <b/>
        <sz val="11"/>
        <color theme="1"/>
        <rFont val="Calibri"/>
        <family val="2"/>
        <scheme val="minor"/>
      </rPr>
      <t xml:space="preserve">
•</t>
    </r>
    <r>
      <rPr>
        <sz val="11"/>
        <color theme="1"/>
        <rFont val="Calibri"/>
        <family val="2"/>
        <scheme val="minor"/>
      </rPr>
      <t xml:space="preserve">  Mac users can turn on the scrollbar by going to System preferences/General/Show scrollbars.</t>
    </r>
  </si>
  <si>
    <t>ESCU's/ Unit of product</t>
  </si>
  <si>
    <t>If the organization can demonstrate the costs (and implementation plan) for mitigation of the commuted kilometers (e.g. by organizing home-work, collective transport, more sustainable transport), enter the mitigation costs and expected mitigation % in columns M and N of form "ESCU's for commuting and business trips". Without such demonstration, leave empty, Manually copy/enter the ESCU's from cell O52.</t>
  </si>
  <si>
    <t>The ESCUs can be found in Pol.Data - G42. Enter (manually copy) the resulting ESCU's here.</t>
  </si>
  <si>
    <t>Calculate the yearly ESCU's using the ESCU's/km for business trips with their actual transport means, using the same questions (P-Atc 2-4) and the same form as for commuting, but here for business trips.
Enter (manually copy) the result, found in cel O52</t>
  </si>
  <si>
    <t>Enter the used chemicals and quantities per unit of the product in sheet "Pol.Data"- "ESCU Pollution Calculation Form", cells A2-Q25. The form distinguishes pollution of air, water and soil. Enter the data where applicable and return (manually copy) with the result from Pol.Data- cell Q25.</t>
  </si>
  <si>
    <t>Return from Pol.Data and enter (manually copy) the resulting ESCU's from Pol.Data cell Q25.</t>
  </si>
  <si>
    <t>Without availability of foreground data, the pollution ESCU's of agricultural materials shall be taken from the sheet "Idemat Data/ Idemat Data: Agricultural products" (cells U3-Y1068). Search for the item and Select the relevant items in Form Pol.Data - "Form Background Pollution Agricultural products" (cells K44/N69). Select the item or all  components in this form and and enter (manually copy) the result from Cell Pol.Data - N69. Search for items as close as possible to the assessed product. Only use this method if there is no way to find foreground data and put pressure on suppliers to provide these. Enter the result.</t>
  </si>
  <si>
    <t>If the organization can demonstrate the costs for mitigation of the emissions of harmfull agrichemicals, enter the mitigation costs and expected mitigation % in the relevant columns (depending on the polluted medium) of form "Pol.Data"- "ESCU Pollution Calculation Form". Enter (manually copy) the resulting ESCU's from cell Q25.</t>
  </si>
  <si>
    <r>
      <rPr>
        <b/>
        <sz val="11"/>
        <rFont val="Calibri"/>
        <family val="2"/>
        <scheme val="minor"/>
      </rPr>
      <t>Read the note and fullfill the there described action!</t>
    </r>
    <r>
      <rPr>
        <sz val="11"/>
        <rFont val="Calibri"/>
        <family val="2"/>
        <scheme val="minor"/>
      </rPr>
      <t xml:space="preserve">
 Calculation of the yearly ESCU's, based on 1 person car occupancy of 20 km commuting for 233 working days/year, using the ESCU's/km indicated in O.F.-08 Transport means for an average petrol car. </t>
    </r>
  </si>
  <si>
    <t>Can the organization demonstrate an assessment by qualified experts showing on which and which maximum quantities of harmfull chemicals could be generated or released at incidents?</t>
  </si>
  <si>
    <t xml:space="preserve">Enter the chemicals and their maximum emission quantities from the assessment in form  "Pol.Data"- "ESCU Pollution Calculation Form", cells A2-Q25  </t>
  </si>
  <si>
    <t>If the product contains (not emitted) harmfull chemicals, make a list "P-C-11" with the quantities of harmfull chemicals in the product. Next to the ESCU's, this list needs to be transfered to the next actor in the supply chain, in order to enable the downstream producer to calculate ESCU's for industrial waste and end-of life disposal.</t>
  </si>
  <si>
    <t>Manually enter/copy the total ESCU's from P&amp;C 1</t>
  </si>
  <si>
    <t>Return with the calculated value from O19</t>
  </si>
  <si>
    <t>System calculated ESCU's per KWH in the country (from WD3 or WD6) (needed for the calculations)</t>
  </si>
  <si>
    <r>
      <t xml:space="preserve">Determine the Water Scarcity Factor for the location in the Aqueduct Atlas of the World Resource Institute (2019), specifically the “Baseline Water Depletion </t>
    </r>
    <r>
      <rPr>
        <b/>
        <sz val="11"/>
        <color theme="1"/>
        <rFont val="Calibri"/>
        <family val="2"/>
        <scheme val="minor"/>
      </rPr>
      <t>(BWD)</t>
    </r>
    <r>
      <rPr>
        <sz val="11"/>
        <color theme="1"/>
        <rFont val="Calibri"/>
        <family val="2"/>
        <scheme val="minor"/>
      </rPr>
      <t>” factor under “Indicator Raw Value”, at the location of withdrawal or evaporation. (See note for an instruction how to use the Aqueduct Atlas)</t>
    </r>
  </si>
  <si>
    <t>Has the actual percentage of present vascular plants relative to the locally natural ecosystem (BF) been determined by a qualified person and according to: Method: Vogtländer, Lindeijer, Witte, &amp; Hendriks, 2004 (see note)</t>
  </si>
  <si>
    <r>
      <rPr>
        <b/>
        <sz val="11"/>
        <color rgb="FFFF0000"/>
        <rFont val="Calibri"/>
        <family val="2"/>
        <scheme val="minor"/>
      </rPr>
      <t>Info 1</t>
    </r>
    <r>
      <rPr>
        <sz val="11"/>
        <color rgb="FFFF0000"/>
        <rFont val="Calibri"/>
        <family val="2"/>
        <scheme val="minor"/>
      </rPr>
      <t xml:space="preserve">: Don't start using this sheet before having read and completed the sheets "How does it work", "Def.-Instr.", "Preparation" and "Suppliers"
</t>
    </r>
    <r>
      <rPr>
        <b/>
        <sz val="11"/>
        <color rgb="FFFF0000"/>
        <rFont val="Calibri"/>
        <family val="2"/>
        <scheme val="minor"/>
      </rPr>
      <t>Info 2</t>
    </r>
    <r>
      <rPr>
        <sz val="11"/>
        <color rgb="FFFF0000"/>
        <rFont val="Calibri"/>
        <family val="2"/>
        <scheme val="minor"/>
      </rPr>
      <t xml:space="preserve">: Reset before start all choice buttons to "select" and empty all red boxes in column F.
</t>
    </r>
    <r>
      <rPr>
        <b/>
        <sz val="11"/>
        <color rgb="FFFF0000"/>
        <rFont val="Calibri"/>
        <family val="2"/>
        <scheme val="minor"/>
      </rPr>
      <t>Info 3</t>
    </r>
    <r>
      <rPr>
        <sz val="11"/>
        <color rgb="FFFF0000"/>
        <rFont val="Calibri"/>
        <family val="2"/>
        <scheme val="minor"/>
      </rPr>
      <t xml:space="preserve">: The assessment of biodiversity balances yields and biodiversity and should not be applied without assessment of land occupation.
</t>
    </r>
    <r>
      <rPr>
        <b/>
        <sz val="11"/>
        <color rgb="FFFF0000"/>
        <rFont val="Calibri"/>
        <family val="2"/>
        <scheme val="minor"/>
      </rPr>
      <t>Info 4</t>
    </r>
    <r>
      <rPr>
        <sz val="11"/>
        <color rgb="FFFF0000"/>
        <rFont val="Calibri"/>
        <family val="2"/>
        <scheme val="minor"/>
      </rPr>
      <t>: Note that "ESCU" in the tekst refers to both the assessed externalities as to costs in the chosen currency.</t>
    </r>
  </si>
  <si>
    <r>
      <t xml:space="preserve">Determine and enter the actual 5-year average yield </t>
    </r>
    <r>
      <rPr>
        <b/>
        <sz val="11"/>
        <color theme="1"/>
        <rFont val="Calibri"/>
        <family val="2"/>
        <scheme val="minor"/>
      </rPr>
      <t>(AY) in Kg./Ha. (Periods of fallow or for green manure shall be included, lowering the average yield; periods with intermittant other crops on the same land, if with similar financial yields/kg, are not included).</t>
    </r>
  </si>
  <si>
    <r>
      <rPr>
        <b/>
        <sz val="12"/>
        <color rgb="FFFF0000"/>
        <rFont val="Calibri"/>
        <family val="2"/>
        <scheme val="minor"/>
      </rPr>
      <t>Info 1</t>
    </r>
    <r>
      <rPr>
        <sz val="12"/>
        <color rgb="FFFF0000"/>
        <rFont val="Calibri"/>
        <family val="2"/>
        <scheme val="minor"/>
      </rPr>
      <t xml:space="preserve">: Note that also for forest products, nutrients and pesticides may be used. ESCU's must be requested from suppliers back to the producers of the individual chemicals,
           and without those supplier ESCU's investigated, folow the procedures described in the sheet "Suppliers".
</t>
    </r>
    <r>
      <rPr>
        <b/>
        <sz val="12"/>
        <color rgb="FFFF0000"/>
        <rFont val="Calibri"/>
        <family val="2"/>
        <scheme val="minor"/>
      </rPr>
      <t>Info 2:</t>
    </r>
    <r>
      <rPr>
        <sz val="12"/>
        <color rgb="FFFF0000"/>
        <rFont val="Calibri"/>
        <family val="2"/>
        <scheme val="minor"/>
      </rPr>
      <t xml:space="preserve"> Preliminarily, this section only applies to wood and assumes a realistic wood/carbon weight ratio of 1.8. 
</t>
    </r>
  </si>
  <si>
    <t>Determine the demonstrable % in the forest that the addition of wood surpasses the harvest of wood in an average year in a period of the average lifetime of the harvested type of tree. ("a positive carbon balance"). (preliminarily not including carbon changes in the soil).</t>
  </si>
  <si>
    <t>Info and tests at suppliers; WIOD.org;
Internet</t>
  </si>
  <si>
    <t xml:space="preserve">Suppliers; Internet
www.WIOD.org;
HDI </t>
  </si>
  <si>
    <t>Harmfull Child Labor absent?</t>
  </si>
  <si>
    <t>Select the type of animal used for the product</t>
  </si>
  <si>
    <t>Does the organization have a certificate on Animal Welfare, listed in O.F. -19, or are no animals involved related to the product? (Select "No" if unknown)</t>
  </si>
  <si>
    <t>Product sales price (ESCU's/unit)</t>
  </si>
  <si>
    <t>last Year's average sales price of one unit of product (If unknown for an upstream stage in the supply chain, make an best-estimate, based on research and the internet or info from the relevant stage in the supply chain).</t>
  </si>
  <si>
    <t>Form Bonus recovered materials</t>
  </si>
  <si>
    <t>Recycling of disposed products from other organizations, from end-of life disposed products or from previous landfills. (not the recycling of new waste, which is covered in the sections on waste and end-of life). Enter the recovered materials and quantities in form "Bonus recovered materials" in cells X2 - AA 13</t>
  </si>
  <si>
    <t>Is the product a chemical or nutrient intended for farming, fishing or forestry, and is the organization the producer of the product (not the blender, or sales organization or the chemical or nutrient using farm, but the actual extracting or generating company)?  If "yes", the organization is at the origin of the supply chain and does not need to assess suppliers.  (note that the organization may not be an origin-supplier for other products or product destinations).</t>
  </si>
  <si>
    <t>Sort list Pr 24 on purchased value and aggregate the quantities top-down, making list 25.</t>
  </si>
  <si>
    <t>Remove from list Pr 25 the materials below the item where the aggregated purchased value 80% of the total purchased value, and remove the remaining materials (but include the last item, even if the aggregate reaches over 80%. (Very similar items shall be combined. E.g. coffee beans of different origins are treated as one material, even if the total reaches over 80%).</t>
  </si>
  <si>
    <t>List all purchased items related to the product, based on the financial bookkeeping, but neglect quantities &lt;1% of the total purchased value for the product.  Include all type of materials such as ingredients/components of the product, processing aids, packaging materials, cleaning materials, analytical materials, water, energy carriers (e.g. coal, gas, gasoline) and administrative materials. For items that are shared with other products or for general purposes, allocate quantities according to organization's own cost allocation method and without such method, proportionally to the different product's turnovers.</t>
  </si>
  <si>
    <t>Pr 31</t>
  </si>
  <si>
    <t>Add any of the high impact items, listed below in Pr 31, either purchased or present in purchased items,  (These data shall be required from the suppliers), to list Pr 26, resulting in list Pr 27).</t>
  </si>
  <si>
    <t>Add purchased services with individual purchase volume&gt; 1% of the total costs of the product (using companies standard allocation methods), resulting in list Pr 28.</t>
  </si>
  <si>
    <r>
      <t xml:space="preserve">Determine the Purchased </t>
    </r>
    <r>
      <rPr>
        <b/>
        <sz val="11"/>
        <rFont val="Calibri"/>
        <family val="2"/>
        <scheme val="minor"/>
      </rPr>
      <t>Value</t>
    </r>
    <r>
      <rPr>
        <sz val="11"/>
        <rFont val="Calibri"/>
        <family val="2"/>
        <scheme val="minor"/>
      </rPr>
      <t xml:space="preserve"> Ratio (</t>
    </r>
    <r>
      <rPr>
        <b/>
        <sz val="11"/>
        <rFont val="Calibri"/>
        <family val="2"/>
        <scheme val="minor"/>
      </rPr>
      <t>PVR</t>
    </r>
    <r>
      <rPr>
        <sz val="11"/>
        <rFont val="Calibri"/>
        <family val="2"/>
        <scheme val="minor"/>
      </rPr>
      <t xml:space="preserve">) for the product (Purchased value/sales value) (before tax, profit and interest, but including depreciation). (All quantities as purchased and produced, after losses, waste and rejects). 
</t>
    </r>
    <r>
      <rPr>
        <b/>
        <sz val="11"/>
        <rFont val="Calibri"/>
        <family val="2"/>
        <scheme val="minor"/>
      </rPr>
      <t>See note if these data concern and upstream actor with unknown data.</t>
    </r>
  </si>
  <si>
    <t xml:space="preserve">Enter the noise level in decibels of the utensil in the "foreground noise levels form" (Cells K2-O10) for the applicable circumstances. For the users of the product, the stated noise level may be based on using and price included protection.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</si>
</sst>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409]#,##0.00"/>
    <numFmt numFmtId="165" formatCode="0.0%"/>
    <numFmt numFmtId="166" formatCode="[$$-409]#,##0"/>
    <numFmt numFmtId="167" formatCode="0.0"/>
    <numFmt numFmtId="168" formatCode="0.000"/>
    <numFmt numFmtId="169" formatCode="0.0000"/>
    <numFmt numFmtId="170" formatCode="0.00000"/>
    <numFmt numFmtId="171" formatCode="0.000000"/>
    <numFmt numFmtId="172" formatCode="_-* #,##0.00_-;_-* #,##0.00\-;_-* &quot;-&quot;??_-;_-@_-"/>
    <numFmt numFmtId="173" formatCode="0.000%"/>
    <numFmt numFmtId="174" formatCode="#,##0.000"/>
    <numFmt numFmtId="175" formatCode="#,##0.0000"/>
    <numFmt numFmtId="176" formatCode="#,###,##0.000"/>
    <numFmt numFmtId="177" formatCode="0.0000%"/>
    <numFmt numFmtId="178" formatCode="&quot;€&quot;\ #,##0.00"/>
  </numFmts>
  <fonts count="96" x14ac:knownFonts="1">
    <font>
      <sz val="11"/>
      <color theme="1"/>
      <name val="Calibri"/>
      <family val="2"/>
      <scheme val="minor"/>
    </font>
    <font>
      <b/>
      <sz val="11"/>
      <color theme="1"/>
      <name val="Calibri"/>
      <family val="2"/>
      <scheme val="minor"/>
    </font>
    <font>
      <b/>
      <sz val="14"/>
      <color theme="1"/>
      <name val="Calibri"/>
      <family val="2"/>
      <scheme val="minor"/>
    </font>
    <font>
      <sz val="7"/>
      <color theme="1"/>
      <name val="Times New Roman"/>
      <family val="1"/>
    </font>
    <font>
      <b/>
      <sz val="11"/>
      <name val="Calibri"/>
      <family val="2"/>
      <scheme val="minor"/>
    </font>
    <font>
      <sz val="11"/>
      <color theme="1"/>
      <name val="Calibri"/>
      <family val="2"/>
    </font>
    <font>
      <sz val="10"/>
      <name val="Arial"/>
      <family val="2"/>
    </font>
    <font>
      <b/>
      <sz val="10"/>
      <name val="Arial"/>
      <family val="2"/>
    </font>
    <font>
      <sz val="11"/>
      <color rgb="FFFF0000"/>
      <name val="Calibri"/>
      <family val="2"/>
      <scheme val="minor"/>
    </font>
    <font>
      <b/>
      <sz val="14"/>
      <color rgb="FFFF0000"/>
      <name val="Calibri"/>
      <family val="2"/>
      <scheme val="minor"/>
    </font>
    <font>
      <b/>
      <sz val="11"/>
      <color rgb="FF0070C0"/>
      <name val="Calibri"/>
      <family val="2"/>
      <scheme val="minor"/>
    </font>
    <font>
      <b/>
      <sz val="11"/>
      <color rgb="FFFF0000"/>
      <name val="Calibri"/>
      <family val="2"/>
      <scheme val="minor"/>
    </font>
    <font>
      <sz val="10"/>
      <color rgb="FF0070C0"/>
      <name val="Arial"/>
      <family val="2"/>
    </font>
    <font>
      <sz val="11"/>
      <name val="Calibri"/>
      <family val="2"/>
      <scheme val="minor"/>
    </font>
    <font>
      <b/>
      <sz val="14"/>
      <name val="Calibri"/>
      <family val="2"/>
      <scheme val="minor"/>
    </font>
    <font>
      <sz val="14"/>
      <name val="Calibri"/>
      <family val="2"/>
      <scheme val="minor"/>
    </font>
    <font>
      <sz val="14"/>
      <color theme="1"/>
      <name val="Calibri"/>
      <family val="2"/>
      <scheme val="minor"/>
    </font>
    <font>
      <b/>
      <sz val="12"/>
      <name val="Calibri"/>
      <family val="2"/>
      <scheme val="minor"/>
    </font>
    <font>
      <sz val="12"/>
      <name val="Calibri"/>
      <family val="2"/>
      <scheme val="minor"/>
    </font>
    <font>
      <vertAlign val="superscript"/>
      <sz val="11"/>
      <color theme="1"/>
      <name val="Calibri"/>
      <family val="2"/>
      <scheme val="minor"/>
    </font>
    <font>
      <sz val="11"/>
      <name val="Calibri"/>
      <family val="2"/>
    </font>
    <font>
      <sz val="11"/>
      <color theme="2" tint="-0.249977111117893"/>
      <name val="Calibri"/>
      <family val="2"/>
      <scheme val="minor"/>
    </font>
    <font>
      <b/>
      <sz val="12"/>
      <color rgb="FFFF0000"/>
      <name val="Calibri"/>
      <family val="2"/>
      <scheme val="minor"/>
    </font>
    <font>
      <sz val="12"/>
      <color theme="1"/>
      <name val="Calibri"/>
      <family val="2"/>
      <scheme val="minor"/>
    </font>
    <font>
      <b/>
      <sz val="12"/>
      <color theme="1"/>
      <name val="Calibri"/>
      <family val="2"/>
      <scheme val="minor"/>
    </font>
    <font>
      <sz val="12"/>
      <color rgb="FFFF0000"/>
      <name val="Calibri"/>
      <family val="2"/>
      <scheme val="minor"/>
    </font>
    <font>
      <sz val="7"/>
      <color theme="1"/>
      <name val="Calibri"/>
      <family val="2"/>
      <scheme val="minor"/>
    </font>
    <font>
      <sz val="11"/>
      <color theme="1"/>
      <name val="Calibri"/>
      <family val="2"/>
      <scheme val="minor"/>
    </font>
    <font>
      <b/>
      <vertAlign val="superscript"/>
      <sz val="11"/>
      <color theme="1"/>
      <name val="Calibri"/>
      <family val="2"/>
      <scheme val="minor"/>
    </font>
    <font>
      <b/>
      <sz val="12"/>
      <name val="Arial"/>
      <family val="2"/>
    </font>
    <font>
      <sz val="11"/>
      <color rgb="FF00B050"/>
      <name val="Calibri"/>
      <family val="2"/>
      <scheme val="minor"/>
    </font>
    <font>
      <sz val="12"/>
      <color rgb="FFFF0000"/>
      <name val="Arial"/>
      <family val="2"/>
    </font>
    <font>
      <b/>
      <sz val="10"/>
      <color theme="1"/>
      <name val="Arial"/>
      <family val="2"/>
    </font>
    <font>
      <b/>
      <sz val="11"/>
      <name val="Arial"/>
      <family val="2"/>
    </font>
    <font>
      <sz val="12"/>
      <name val="Arial"/>
      <family val="2"/>
    </font>
    <font>
      <b/>
      <sz val="12"/>
      <color rgb="FFFF0000"/>
      <name val="Arial"/>
      <family val="2"/>
    </font>
    <font>
      <sz val="10"/>
      <color rgb="FFFF0000"/>
      <name val="Arial"/>
      <family val="2"/>
    </font>
    <font>
      <sz val="10"/>
      <color theme="1"/>
      <name val="Arial"/>
      <family val="2"/>
    </font>
    <font>
      <sz val="11"/>
      <color rgb="FFC00000"/>
      <name val="Calibri"/>
      <family val="2"/>
      <scheme val="minor"/>
    </font>
    <font>
      <sz val="10"/>
      <color rgb="FF7030A0"/>
      <name val="Arial"/>
      <family val="2"/>
    </font>
    <font>
      <sz val="10"/>
      <color rgb="FFC00000"/>
      <name val="Arial"/>
      <family val="2"/>
    </font>
    <font>
      <sz val="11"/>
      <color theme="1"/>
      <name val="Arial"/>
      <family val="2"/>
    </font>
    <font>
      <sz val="20"/>
      <name val="Arial"/>
      <family val="2"/>
    </font>
    <font>
      <sz val="10"/>
      <color rgb="FF010000"/>
      <name val="Arial"/>
      <family val="2"/>
    </font>
    <font>
      <b/>
      <sz val="10"/>
      <color rgb="FF010000"/>
      <name val="Arial"/>
      <family val="2"/>
    </font>
    <font>
      <b/>
      <sz val="11"/>
      <color rgb="FF00B0F0"/>
      <name val="Calibri"/>
      <family val="2"/>
      <scheme val="minor"/>
    </font>
    <font>
      <sz val="18"/>
      <name val="Calibri"/>
      <family val="2"/>
      <scheme val="minor"/>
    </font>
    <font>
      <b/>
      <sz val="16"/>
      <color theme="1"/>
      <name val="Calibri"/>
      <family val="2"/>
      <scheme val="minor"/>
    </font>
    <font>
      <b/>
      <sz val="12"/>
      <color theme="1"/>
      <name val="Arial"/>
      <family val="2"/>
    </font>
    <font>
      <b/>
      <sz val="12"/>
      <color rgb="FF010000"/>
      <name val="Arial"/>
      <family val="2"/>
    </font>
    <font>
      <sz val="12"/>
      <color theme="1"/>
      <name val="Arial"/>
      <family val="2"/>
    </font>
    <font>
      <sz val="12"/>
      <color rgb="FF010000"/>
      <name val="Arial"/>
      <family val="2"/>
    </font>
    <font>
      <sz val="11"/>
      <name val="Arial"/>
      <family val="2"/>
    </font>
    <font>
      <b/>
      <sz val="10"/>
      <color rgb="FF222222"/>
      <name val="Arial"/>
      <family val="2"/>
    </font>
    <font>
      <sz val="10"/>
      <color rgb="FF222222"/>
      <name val="Arial"/>
      <family val="2"/>
    </font>
    <font>
      <u/>
      <sz val="11"/>
      <color theme="10"/>
      <name val="Calibri"/>
      <family val="2"/>
      <scheme val="minor"/>
    </font>
    <font>
      <sz val="11"/>
      <color theme="1"/>
      <name val="Symbol"/>
      <family val="1"/>
      <charset val="2"/>
    </font>
    <font>
      <b/>
      <sz val="11"/>
      <name val="Calibri"/>
      <family val="2"/>
    </font>
    <font>
      <vertAlign val="subscript"/>
      <sz val="11"/>
      <name val="Calibri"/>
      <family val="2"/>
      <scheme val="minor"/>
    </font>
    <font>
      <b/>
      <sz val="11"/>
      <color indexed="10"/>
      <name val="Calibri"/>
      <family val="2"/>
      <scheme val="minor"/>
    </font>
    <font>
      <sz val="11"/>
      <color indexed="10"/>
      <name val="Calibri"/>
      <family val="2"/>
      <scheme val="minor"/>
    </font>
    <font>
      <b/>
      <sz val="18"/>
      <color rgb="FFFF0000"/>
      <name val="Calibri"/>
      <family val="2"/>
      <scheme val="minor"/>
    </font>
    <font>
      <i/>
      <sz val="11"/>
      <color theme="1"/>
      <name val="Calibri"/>
      <family val="2"/>
      <scheme val="minor"/>
    </font>
    <font>
      <b/>
      <sz val="16"/>
      <color theme="1"/>
      <name val="Arial"/>
      <family val="2"/>
    </font>
    <font>
      <sz val="10"/>
      <color theme="0" tint="-0.249977111117893"/>
      <name val="Arial"/>
      <family val="2"/>
    </font>
    <font>
      <sz val="11"/>
      <color theme="2" tint="-0.499984740745262"/>
      <name val="Calibri"/>
      <family val="2"/>
      <scheme val="minor"/>
    </font>
    <font>
      <b/>
      <vertAlign val="superscript"/>
      <sz val="12"/>
      <color theme="2" tint="-0.499984740745262"/>
      <name val="Arial"/>
      <family val="2"/>
    </font>
    <font>
      <b/>
      <sz val="12"/>
      <color theme="2" tint="-0.499984740745262"/>
      <name val="Arial"/>
      <family val="2"/>
    </font>
    <font>
      <b/>
      <sz val="11"/>
      <color theme="2" tint="-0.499984740745262"/>
      <name val="Calibri"/>
      <family val="2"/>
      <scheme val="minor"/>
    </font>
    <font>
      <sz val="10"/>
      <color theme="2" tint="-0.499984740745262"/>
      <name val="Arial"/>
      <family val="2"/>
    </font>
    <font>
      <sz val="11"/>
      <color theme="2" tint="-0.499984740745262"/>
      <name val="Arial"/>
      <family val="2"/>
    </font>
    <font>
      <sz val="18"/>
      <color rgb="FFFF0000"/>
      <name val="Calibri"/>
      <family val="2"/>
      <scheme val="minor"/>
    </font>
    <font>
      <b/>
      <sz val="11"/>
      <color theme="6" tint="0.39997558519241921"/>
      <name val="Calibri"/>
      <family val="2"/>
      <scheme val="minor"/>
    </font>
    <font>
      <sz val="11"/>
      <color theme="6" tint="0.39997558519241921"/>
      <name val="Calibri"/>
      <family val="2"/>
      <scheme val="minor"/>
    </font>
    <font>
      <b/>
      <sz val="14"/>
      <name val="Calibri"/>
      <family val="2"/>
    </font>
    <font>
      <b/>
      <sz val="10"/>
      <color theme="2" tint="-0.499984740745262"/>
      <name val="Calibri"/>
      <family val="2"/>
      <scheme val="minor"/>
    </font>
    <font>
      <sz val="10"/>
      <color theme="2" tint="-0.499984740745262"/>
      <name val="Calibri"/>
      <family val="2"/>
      <scheme val="minor"/>
    </font>
    <font>
      <sz val="10"/>
      <name val="Calibri"/>
      <family val="2"/>
      <scheme val="minor"/>
    </font>
    <font>
      <vertAlign val="superscript"/>
      <sz val="11"/>
      <name val="Calibri"/>
      <family val="2"/>
      <scheme val="minor"/>
    </font>
    <font>
      <sz val="10"/>
      <name val="Arial"/>
      <family val="2"/>
    </font>
    <font>
      <u/>
      <sz val="10"/>
      <color indexed="12"/>
      <name val="Arial"/>
      <family val="2"/>
    </font>
    <font>
      <sz val="10"/>
      <color indexed="8"/>
      <name val="MS Sans Serif"/>
      <family val="2"/>
    </font>
    <font>
      <b/>
      <sz val="14"/>
      <color theme="2" tint="-0.499984740745262"/>
      <name val="Calibri"/>
      <family val="2"/>
      <scheme val="minor"/>
    </font>
    <font>
      <b/>
      <sz val="12"/>
      <color theme="2" tint="-0.499984740745262"/>
      <name val="Calibri"/>
      <family val="2"/>
      <scheme val="minor"/>
    </font>
    <font>
      <b/>
      <sz val="10"/>
      <color rgb="FFFF0000"/>
      <name val="Arial"/>
      <family val="2"/>
    </font>
    <font>
      <b/>
      <sz val="14"/>
      <color rgb="FF0070C0"/>
      <name val="Calibri"/>
      <family val="2"/>
      <scheme val="minor"/>
    </font>
    <font>
      <b/>
      <sz val="12"/>
      <color rgb="FF0070C0"/>
      <name val="Calibri"/>
      <family val="2"/>
      <scheme val="minor"/>
    </font>
    <font>
      <sz val="9"/>
      <color indexed="81"/>
      <name val="Tahoma"/>
      <family val="2"/>
    </font>
    <font>
      <b/>
      <sz val="9"/>
      <color indexed="81"/>
      <name val="Tahoma"/>
      <family val="2"/>
    </font>
    <font>
      <b/>
      <sz val="10"/>
      <color indexed="81"/>
      <name val="Tahoma"/>
      <family val="2"/>
    </font>
    <font>
      <sz val="14"/>
      <color rgb="FFFF0000"/>
      <name val="Calibri"/>
      <family val="2"/>
      <scheme val="minor"/>
    </font>
    <font>
      <sz val="9"/>
      <color indexed="10"/>
      <name val="Tahoma"/>
      <family val="2"/>
    </font>
    <font>
      <b/>
      <sz val="9"/>
      <color rgb="FF000000"/>
      <name val="Tahoma"/>
      <family val="2"/>
    </font>
    <font>
      <sz val="9"/>
      <color rgb="FF000000"/>
      <name val="Tahoma"/>
      <family val="2"/>
    </font>
    <font>
      <sz val="9"/>
      <color indexed="81"/>
      <name val="Tahoma"/>
      <charset val="1"/>
    </font>
    <font>
      <b/>
      <sz val="9"/>
      <color indexed="81"/>
      <name val="Tahoma"/>
      <charset val="1"/>
    </font>
  </fonts>
  <fills count="35">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1" tint="0.34998626667073579"/>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9900"/>
        <bgColor indexed="64"/>
      </patternFill>
    </fill>
    <fill>
      <patternFill patternType="solid">
        <fgColor theme="4" tint="0.59999389629810485"/>
        <bgColor indexed="64"/>
      </patternFill>
    </fill>
    <fill>
      <patternFill patternType="solid">
        <fgColor rgb="FFFFFFFF"/>
        <bgColor indexed="64"/>
      </patternFill>
    </fill>
    <fill>
      <patternFill patternType="solid">
        <fgColor rgb="FFFEFBDD"/>
        <bgColor indexed="64"/>
      </patternFill>
    </fill>
    <fill>
      <patternFill patternType="solid">
        <fgColor rgb="FFCCFFFF"/>
        <bgColor indexed="64"/>
      </patternFill>
    </fill>
    <fill>
      <patternFill patternType="solid">
        <fgColor rgb="FFFDD0C7"/>
        <bgColor indexed="64"/>
      </patternFill>
    </fill>
    <fill>
      <patternFill patternType="solid">
        <fgColor rgb="FFE7FFEF"/>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7E9EC"/>
        <bgColor indexed="64"/>
      </patternFill>
    </fill>
    <fill>
      <patternFill patternType="solid">
        <fgColor rgb="FFCCFFCC"/>
        <bgColor indexed="64"/>
      </patternFill>
    </fill>
    <fill>
      <patternFill patternType="solid">
        <fgColor theme="2"/>
        <bgColor indexed="64"/>
      </patternFill>
    </fill>
    <fill>
      <patternFill patternType="solid">
        <fgColor rgb="FFFFE6D5"/>
        <bgColor indexed="64"/>
      </patternFill>
    </fill>
    <fill>
      <patternFill patternType="solid">
        <fgColor rgb="FFB3E6FF"/>
        <bgColor indexed="64"/>
      </patternFill>
    </fill>
    <fill>
      <patternFill patternType="solid">
        <fgColor rgb="FFFF9F9F"/>
        <bgColor indexed="64"/>
      </patternFill>
    </fill>
    <fill>
      <patternFill patternType="solid">
        <fgColor theme="4" tint="0.39997558519241921"/>
        <bgColor indexed="64"/>
      </patternFill>
    </fill>
    <fill>
      <patternFill patternType="solid">
        <fgColor rgb="FFF8CBAD"/>
        <bgColor rgb="FF000000"/>
      </patternFill>
    </fill>
  </fills>
  <borders count="204">
    <border>
      <left/>
      <right/>
      <top/>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auto="1"/>
      </bottom>
      <diagonal/>
    </border>
    <border>
      <left/>
      <right/>
      <top style="thick">
        <color auto="1"/>
      </top>
      <bottom style="thick">
        <color auto="1"/>
      </bottom>
      <diagonal/>
    </border>
    <border>
      <left/>
      <right/>
      <top style="thin">
        <color indexed="64"/>
      </top>
      <bottom style="medium">
        <color indexed="64"/>
      </bottom>
      <diagonal/>
    </border>
    <border>
      <left/>
      <right style="medium">
        <color indexed="64"/>
      </right>
      <top/>
      <bottom/>
      <diagonal/>
    </border>
    <border>
      <left style="thin">
        <color rgb="FFFF0000"/>
      </left>
      <right style="thin">
        <color rgb="FFFF0000"/>
      </right>
      <top style="thin">
        <color rgb="FFFF0000"/>
      </top>
      <bottom style="thin">
        <color rgb="FFFF0000"/>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auto="1"/>
      </bottom>
      <diagonal/>
    </border>
    <border>
      <left style="medium">
        <color indexed="64"/>
      </left>
      <right style="medium">
        <color auto="1"/>
      </right>
      <top/>
      <bottom style="medium">
        <color indexed="64"/>
      </bottom>
      <diagonal/>
    </border>
    <border>
      <left/>
      <right style="thin">
        <color rgb="FFFF0000"/>
      </right>
      <top/>
      <bottom style="medium">
        <color auto="1"/>
      </bottom>
      <diagonal/>
    </border>
    <border>
      <left style="thin">
        <color rgb="FFFF0000"/>
      </left>
      <right style="thin">
        <color rgb="FFFF0000"/>
      </right>
      <top/>
      <bottom style="thin">
        <color rgb="FFFF0000"/>
      </bottom>
      <diagonal/>
    </border>
    <border>
      <left/>
      <right style="medium">
        <color indexed="64"/>
      </right>
      <top/>
      <bottom style="thin">
        <color auto="1"/>
      </bottom>
      <diagonal/>
    </border>
    <border>
      <left style="thin">
        <color rgb="FFFF0000"/>
      </left>
      <right style="thin">
        <color rgb="FFFF0000"/>
      </right>
      <top style="thin">
        <color rgb="FFFF0000"/>
      </top>
      <bottom style="medium">
        <color indexed="64"/>
      </bottom>
      <diagonal/>
    </border>
    <border>
      <left/>
      <right/>
      <top style="medium">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rgb="FFFF0000"/>
      </top>
      <bottom style="thin">
        <color rgb="FFFF0000"/>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ck">
        <color auto="1"/>
      </top>
      <bottom style="thick">
        <color auto="1"/>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medium">
        <color indexed="64"/>
      </left>
      <right style="medium">
        <color indexed="64"/>
      </right>
      <top/>
      <bottom/>
      <diagonal/>
    </border>
    <border>
      <left style="thick">
        <color indexed="64"/>
      </left>
      <right/>
      <top style="thick">
        <color indexed="64"/>
      </top>
      <bottom style="thick">
        <color indexed="64"/>
      </bottom>
      <diagonal/>
    </border>
    <border>
      <left style="medium">
        <color indexed="64"/>
      </left>
      <right/>
      <top style="thick">
        <color indexed="64"/>
      </top>
      <bottom/>
      <diagonal/>
    </border>
    <border>
      <left/>
      <right/>
      <top style="thick">
        <color indexed="64"/>
      </top>
      <bottom/>
      <diagonal/>
    </border>
    <border>
      <left style="thin">
        <color indexed="64"/>
      </left>
      <right style="medium">
        <color indexed="64"/>
      </right>
      <top/>
      <bottom/>
      <diagonal/>
    </border>
    <border>
      <left style="thin">
        <color indexed="64"/>
      </left>
      <right/>
      <top/>
      <bottom/>
      <diagonal/>
    </border>
    <border>
      <left style="medium">
        <color indexed="64"/>
      </left>
      <right/>
      <top style="medium">
        <color indexed="64"/>
      </top>
      <bottom style="thin">
        <color rgb="FFFF0000"/>
      </bottom>
      <diagonal/>
    </border>
    <border>
      <left style="thin">
        <color indexed="64"/>
      </left>
      <right style="thin">
        <color indexed="64"/>
      </right>
      <top style="thin">
        <color rgb="FFFF0000"/>
      </top>
      <bottom style="thin">
        <color rgb="FFFF0000"/>
      </bottom>
      <diagonal/>
    </border>
    <border>
      <left style="medium">
        <color rgb="FFFF0000"/>
      </left>
      <right style="medium">
        <color rgb="FFFF0000"/>
      </right>
      <top style="medium">
        <color rgb="FFFF0000"/>
      </top>
      <bottom style="medium">
        <color rgb="FFFF0000"/>
      </bottom>
      <diagonal/>
    </border>
    <border>
      <left style="thin">
        <color rgb="FFFF0000"/>
      </left>
      <right style="medium">
        <color indexed="64"/>
      </right>
      <top style="medium">
        <color indexed="64"/>
      </top>
      <bottom style="thin">
        <color rgb="FFFF0000"/>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rgb="FFFF0000"/>
      </left>
      <right style="thin">
        <color rgb="FFFF0000"/>
      </right>
      <top style="thin">
        <color rgb="FFFF0000"/>
      </top>
      <bottom/>
      <diagonal/>
    </border>
    <border>
      <left style="thin">
        <color indexed="64"/>
      </left>
      <right style="thin">
        <color indexed="64"/>
      </right>
      <top/>
      <bottom style="thin">
        <color rgb="FFFF0000"/>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rgb="FFFF0000"/>
      </bottom>
      <diagonal/>
    </border>
    <border>
      <left/>
      <right style="medium">
        <color indexed="64"/>
      </right>
      <top style="thin">
        <color rgb="FFFF0000"/>
      </top>
      <bottom style="thin">
        <color rgb="FFFF0000"/>
      </bottom>
      <diagonal/>
    </border>
    <border>
      <left style="medium">
        <color indexed="64"/>
      </left>
      <right/>
      <top style="thin">
        <color rgb="FFFF0000"/>
      </top>
      <bottom style="medium">
        <color indexed="64"/>
      </bottom>
      <diagonal/>
    </border>
    <border>
      <left/>
      <right style="medium">
        <color indexed="64"/>
      </right>
      <top style="thin">
        <color rgb="FFFF0000"/>
      </top>
      <bottom style="medium">
        <color indexed="64"/>
      </bottom>
      <diagonal/>
    </border>
    <border>
      <left style="medium">
        <color indexed="64"/>
      </left>
      <right style="medium">
        <color indexed="64"/>
      </right>
      <top style="medium">
        <color indexed="64"/>
      </top>
      <bottom style="thin">
        <color rgb="FFFF0000"/>
      </bottom>
      <diagonal/>
    </border>
    <border>
      <left style="medium">
        <color indexed="64"/>
      </left>
      <right style="medium">
        <color indexed="64"/>
      </right>
      <top style="thin">
        <color rgb="FFFF0000"/>
      </top>
      <bottom style="thin">
        <color rgb="FFFF0000"/>
      </bottom>
      <diagonal/>
    </border>
    <border>
      <left style="medium">
        <color indexed="64"/>
      </left>
      <right style="medium">
        <color auto="1"/>
      </right>
      <top style="thin">
        <color rgb="FFFF0000"/>
      </top>
      <bottom style="medium">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rgb="FFFF0000"/>
      </right>
      <top/>
      <bottom/>
      <diagonal/>
    </border>
    <border>
      <left/>
      <right style="thin">
        <color rgb="FFFF0000"/>
      </right>
      <top style="thin">
        <color rgb="FFFF0000"/>
      </top>
      <bottom style="thin">
        <color rgb="FFFF0000"/>
      </bottom>
      <diagonal/>
    </border>
    <border>
      <left style="medium">
        <color indexed="64"/>
      </left>
      <right/>
      <top style="thin">
        <color indexed="64"/>
      </top>
      <bottom style="thin">
        <color indexed="64"/>
      </bottom>
      <diagonal/>
    </border>
    <border>
      <left/>
      <right style="thin">
        <color indexed="64"/>
      </right>
      <top/>
      <bottom/>
      <diagonal/>
    </border>
    <border>
      <left style="thin">
        <color rgb="FFFF0000"/>
      </left>
      <right style="thin">
        <color rgb="FFFF0000"/>
      </right>
      <top/>
      <bottom/>
      <diagonal/>
    </border>
    <border>
      <left/>
      <right style="thin">
        <color auto="1"/>
      </right>
      <top style="thin">
        <color auto="1"/>
      </top>
      <bottom style="thin">
        <color auto="1"/>
      </bottom>
      <diagonal/>
    </border>
    <border>
      <left style="thin">
        <color indexed="64"/>
      </left>
      <right style="medium">
        <color indexed="64"/>
      </right>
      <top style="medium">
        <color indexed="64"/>
      </top>
      <bottom style="thin">
        <color indexed="64"/>
      </bottom>
      <diagonal/>
    </border>
    <border>
      <left style="thick">
        <color indexed="64"/>
      </left>
      <right/>
      <top/>
      <bottom/>
      <diagonal/>
    </border>
    <border>
      <left style="medium">
        <color indexed="64"/>
      </left>
      <right style="thick">
        <color indexed="64"/>
      </right>
      <top style="medium">
        <color indexed="64"/>
      </top>
      <bottom style="medium">
        <color indexed="64"/>
      </bottom>
      <diagonal/>
    </border>
    <border>
      <left style="thick">
        <color rgb="FFFF0000"/>
      </left>
      <right style="thick">
        <color rgb="FFFF0000"/>
      </right>
      <top style="thick">
        <color rgb="FFFF0000"/>
      </top>
      <bottom style="thick">
        <color rgb="FFFF0000"/>
      </bottom>
      <diagonal/>
    </border>
    <border>
      <left style="thick">
        <color rgb="FFFF0000"/>
      </left>
      <right style="thick">
        <color rgb="FFFF0000"/>
      </right>
      <top style="thick">
        <color rgb="FFFF0000"/>
      </top>
      <bottom style="medium">
        <color indexed="64"/>
      </bottom>
      <diagonal/>
    </border>
    <border>
      <left style="thick">
        <color indexed="64"/>
      </left>
      <right style="thick">
        <color indexed="64"/>
      </right>
      <top style="thick">
        <color indexed="64"/>
      </top>
      <bottom style="thick">
        <color indexed="64"/>
      </bottom>
      <diagonal/>
    </border>
    <border>
      <left/>
      <right style="thin">
        <color indexed="64"/>
      </right>
      <top style="medium">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top style="medium">
        <color indexed="64"/>
      </top>
      <bottom style="thin">
        <color indexed="64"/>
      </bottom>
      <diagonal/>
    </border>
    <border>
      <left style="thick">
        <color indexed="64"/>
      </left>
      <right style="thick">
        <color indexed="64"/>
      </right>
      <top style="thick">
        <color indexed="64"/>
      </top>
      <bottom/>
      <diagonal/>
    </border>
    <border>
      <left/>
      <right style="thick">
        <color indexed="64"/>
      </right>
      <top style="thick">
        <color indexed="64"/>
      </top>
      <bottom style="thick">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auto="1"/>
      </left>
      <right/>
      <top style="thick">
        <color indexed="64"/>
      </top>
      <bottom style="thin">
        <color indexed="64"/>
      </bottom>
      <diagonal/>
    </border>
    <border>
      <left/>
      <right style="thin">
        <color auto="1"/>
      </right>
      <top style="thin">
        <color indexed="64"/>
      </top>
      <bottom style="thick">
        <color indexed="64"/>
      </bottom>
      <diagonal/>
    </border>
    <border>
      <left style="thin">
        <color auto="1"/>
      </left>
      <right style="thin">
        <color auto="1"/>
      </right>
      <top style="thin">
        <color indexed="64"/>
      </top>
      <bottom style="thick">
        <color indexed="64"/>
      </bottom>
      <diagonal/>
    </border>
    <border>
      <left style="thin">
        <color auto="1"/>
      </left>
      <right/>
      <top style="thin">
        <color indexed="64"/>
      </top>
      <bottom style="thick">
        <color indexed="64"/>
      </bottom>
      <diagonal/>
    </border>
    <border>
      <left style="thin">
        <color rgb="FFFF0000"/>
      </left>
      <right style="medium">
        <color indexed="64"/>
      </right>
      <top style="thin">
        <color rgb="FFFF0000"/>
      </top>
      <bottom style="thin">
        <color rgb="FFFF0000"/>
      </bottom>
      <diagonal/>
    </border>
    <border>
      <left style="thin">
        <color rgb="FFFF0000"/>
      </left>
      <right style="medium">
        <color indexed="64"/>
      </right>
      <top style="thin">
        <color rgb="FFFF0000"/>
      </top>
      <bottom style="medium">
        <color indexed="64"/>
      </bottom>
      <diagonal/>
    </border>
    <border>
      <left style="thin">
        <color indexed="64"/>
      </left>
      <right style="thin">
        <color indexed="64"/>
      </right>
      <top style="thin">
        <color rgb="FFFF0000"/>
      </top>
      <bottom/>
      <diagonal/>
    </border>
    <border>
      <left style="medium">
        <color rgb="FFFF0000"/>
      </left>
      <right style="medium">
        <color rgb="FFFF0000"/>
      </right>
      <top style="medium">
        <color rgb="FFFF0000"/>
      </top>
      <bottom style="medium">
        <color indexed="64"/>
      </bottom>
      <diagonal/>
    </border>
    <border>
      <left/>
      <right style="medium">
        <color rgb="FFFF0000"/>
      </right>
      <top/>
      <bottom/>
      <diagonal/>
    </border>
    <border>
      <left/>
      <right style="thick">
        <color indexed="64"/>
      </right>
      <top style="medium">
        <color indexed="64"/>
      </top>
      <bottom/>
      <diagonal/>
    </border>
    <border>
      <left style="thick">
        <color indexed="64"/>
      </left>
      <right style="thick">
        <color indexed="64"/>
      </right>
      <top style="medium">
        <color indexed="64"/>
      </top>
      <bottom/>
      <diagonal/>
    </border>
    <border>
      <left style="medium">
        <color rgb="FFFF0000"/>
      </left>
      <right style="medium">
        <color rgb="FFFF0000"/>
      </right>
      <top/>
      <bottom style="medium">
        <color rgb="FFFF0000"/>
      </bottom>
      <diagonal/>
    </border>
    <border>
      <left style="thick">
        <color indexed="64"/>
      </left>
      <right style="medium">
        <color indexed="64"/>
      </right>
      <top style="medium">
        <color indexed="64"/>
      </top>
      <bottom/>
      <diagonal/>
    </border>
    <border>
      <left style="medium">
        <color rgb="FF000000"/>
      </left>
      <right style="medium">
        <color rgb="FFF9E11E"/>
      </right>
      <top style="medium">
        <color rgb="FF000000"/>
      </top>
      <bottom/>
      <diagonal/>
    </border>
    <border>
      <left/>
      <right/>
      <top style="medium">
        <color rgb="FF000000"/>
      </top>
      <bottom/>
      <diagonal/>
    </border>
    <border>
      <left/>
      <right/>
      <top style="medium">
        <color rgb="FF000000"/>
      </top>
      <bottom style="medium">
        <color rgb="FFF9E11E"/>
      </bottom>
      <diagonal/>
    </border>
    <border>
      <left/>
      <right style="medium">
        <color rgb="FF000000"/>
      </right>
      <top style="medium">
        <color rgb="FF000000"/>
      </top>
      <bottom style="medium">
        <color rgb="FFF9E11E"/>
      </bottom>
      <diagonal/>
    </border>
    <border>
      <left style="medium">
        <color rgb="FF000000"/>
      </left>
      <right style="medium">
        <color rgb="FFF9E11E"/>
      </right>
      <top/>
      <bottom style="medium">
        <color rgb="FFF9E11E"/>
      </bottom>
      <diagonal/>
    </border>
    <border>
      <left/>
      <right style="medium">
        <color rgb="FFF9E11E"/>
      </right>
      <top/>
      <bottom style="medium">
        <color rgb="FFF9E11E"/>
      </bottom>
      <diagonal/>
    </border>
    <border>
      <left style="medium">
        <color rgb="FFF9E11E"/>
      </left>
      <right style="medium">
        <color rgb="FFF9E11E"/>
      </right>
      <top style="medium">
        <color rgb="FFF9E11E"/>
      </top>
      <bottom style="medium">
        <color rgb="FFF9E11E"/>
      </bottom>
      <diagonal/>
    </border>
    <border>
      <left style="medium">
        <color rgb="FFF9E11E"/>
      </left>
      <right style="medium">
        <color rgb="FF000000"/>
      </right>
      <top style="medium">
        <color rgb="FFF9E11E"/>
      </top>
      <bottom style="medium">
        <color rgb="FFF9E11E"/>
      </bottom>
      <diagonal/>
    </border>
    <border>
      <left style="medium">
        <color rgb="FF000000"/>
      </left>
      <right style="medium">
        <color rgb="FFF9E11E"/>
      </right>
      <top style="medium">
        <color rgb="FFF9E11E"/>
      </top>
      <bottom style="medium">
        <color rgb="FFF9E11E"/>
      </bottom>
      <diagonal/>
    </border>
    <border>
      <left/>
      <right style="medium">
        <color rgb="FFF9E11E"/>
      </right>
      <top style="medium">
        <color rgb="FFF9E11E"/>
      </top>
      <bottom style="medium">
        <color rgb="FFF9E11E"/>
      </bottom>
      <diagonal/>
    </border>
    <border>
      <left style="medium">
        <color rgb="FF000000"/>
      </left>
      <right style="medium">
        <color rgb="FFF9E11E"/>
      </right>
      <top style="medium">
        <color rgb="FFF9E11E"/>
      </top>
      <bottom style="medium">
        <color rgb="FF000000"/>
      </bottom>
      <diagonal/>
    </border>
    <border>
      <left/>
      <right style="medium">
        <color rgb="FFF9E11E"/>
      </right>
      <top style="medium">
        <color rgb="FFF9E11E"/>
      </top>
      <bottom style="medium">
        <color rgb="FF000000"/>
      </bottom>
      <diagonal/>
    </border>
    <border>
      <left style="medium">
        <color rgb="FFF9E11E"/>
      </left>
      <right style="medium">
        <color rgb="FFF9E11E"/>
      </right>
      <top style="medium">
        <color rgb="FFF9E11E"/>
      </top>
      <bottom style="medium">
        <color rgb="FF000000"/>
      </bottom>
      <diagonal/>
    </border>
    <border>
      <left style="medium">
        <color rgb="FFF9E11E"/>
      </left>
      <right style="medium">
        <color rgb="FF000000"/>
      </right>
      <top style="medium">
        <color rgb="FFF9E11E"/>
      </top>
      <bottom style="medium">
        <color rgb="FF000000"/>
      </bottom>
      <diagonal/>
    </border>
    <border>
      <left style="medium">
        <color rgb="FF000000"/>
      </left>
      <right style="medium">
        <color rgb="FFF9E11E"/>
      </right>
      <top/>
      <bottom/>
      <diagonal/>
    </border>
    <border>
      <left style="medium">
        <color rgb="FFFF0000"/>
      </left>
      <right style="medium">
        <color rgb="FF000000"/>
      </right>
      <top style="medium">
        <color rgb="FFFF0000"/>
      </top>
      <bottom style="medium">
        <color rgb="FF000000"/>
      </bottom>
      <diagonal/>
    </border>
    <border>
      <left/>
      <right/>
      <top style="medium">
        <color rgb="FFF9E11E"/>
      </top>
      <bottom style="medium">
        <color rgb="FFF9E11E"/>
      </bottom>
      <diagonal/>
    </border>
    <border>
      <left style="medium">
        <color rgb="FFF9E11E"/>
      </left>
      <right/>
      <top style="medium">
        <color rgb="FFF9E11E"/>
      </top>
      <bottom style="medium">
        <color rgb="FFF9E11E"/>
      </bottom>
      <diagonal/>
    </border>
    <border>
      <left/>
      <right/>
      <top style="medium">
        <color rgb="FFF9E11E"/>
      </top>
      <bottom style="medium">
        <color rgb="FF000000"/>
      </bottom>
      <diagonal/>
    </border>
    <border>
      <left style="medium">
        <color rgb="FFF9E11E"/>
      </left>
      <right style="medium">
        <color rgb="FFF9E11E"/>
      </right>
      <top style="medium">
        <color rgb="FFF9E11E"/>
      </top>
      <bottom/>
      <diagonal/>
    </border>
    <border>
      <left style="medium">
        <color rgb="FFF9E11E"/>
      </left>
      <right style="medium">
        <color rgb="FF000000"/>
      </right>
      <top style="medium">
        <color rgb="FFF9E11E"/>
      </top>
      <bottom/>
      <diagonal/>
    </border>
    <border>
      <left style="medium">
        <color rgb="FFFF0000"/>
      </left>
      <right style="medium">
        <color rgb="FF000000"/>
      </right>
      <top style="medium">
        <color rgb="FFFF0000"/>
      </top>
      <bottom style="medium">
        <color rgb="FFFF0000"/>
      </bottom>
      <diagonal/>
    </border>
    <border>
      <left style="medium">
        <color rgb="FFFF0000"/>
      </left>
      <right style="medium">
        <color rgb="FFFF0000"/>
      </right>
      <top style="medium">
        <color rgb="FFFF0000"/>
      </top>
      <bottom style="medium">
        <color rgb="FF000000"/>
      </bottom>
      <diagonal/>
    </border>
    <border>
      <left style="medium">
        <color rgb="FFF9E11E"/>
      </left>
      <right/>
      <top/>
      <bottom style="medium">
        <color rgb="FFF9E11E"/>
      </bottom>
      <diagonal/>
    </border>
    <border>
      <left style="medium">
        <color rgb="FFFF0000"/>
      </left>
      <right style="medium">
        <color rgb="FF000000"/>
      </right>
      <top style="medium">
        <color rgb="FFFF0000"/>
      </top>
      <bottom/>
      <diagonal/>
    </border>
    <border>
      <left style="medium">
        <color rgb="FFF9E11E"/>
      </left>
      <right/>
      <top/>
      <bottom/>
      <diagonal/>
    </border>
    <border>
      <left/>
      <right style="medium">
        <color rgb="FF000000"/>
      </right>
      <top/>
      <bottom/>
      <diagonal/>
    </border>
    <border>
      <left/>
      <right/>
      <top/>
      <bottom style="medium">
        <color rgb="FFF9E11E"/>
      </bottom>
      <diagonal/>
    </border>
    <border>
      <left/>
      <right style="medium">
        <color rgb="FF000000"/>
      </right>
      <top/>
      <bottom style="medium">
        <color rgb="FFF9E11E"/>
      </bottom>
      <diagonal/>
    </border>
    <border>
      <left/>
      <right style="medium">
        <color rgb="FFFF0000"/>
      </right>
      <top/>
      <bottom style="medium">
        <color rgb="FFFF0000"/>
      </bottom>
      <diagonal/>
    </border>
    <border>
      <left style="medium">
        <color indexed="64"/>
      </left>
      <right style="thin">
        <color indexed="64"/>
      </right>
      <top style="medium">
        <color indexed="64"/>
      </top>
      <bottom/>
      <diagonal/>
    </border>
    <border>
      <left style="medium">
        <color rgb="FFFF0000"/>
      </left>
      <right style="medium">
        <color rgb="FFFF0000"/>
      </right>
      <top style="medium">
        <color rgb="FFFF0000"/>
      </top>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right style="thick">
        <color rgb="FFFF0000"/>
      </right>
      <top/>
      <bottom style="thick">
        <color indexed="64"/>
      </bottom>
      <diagonal/>
    </border>
    <border>
      <left style="thick">
        <color theme="1"/>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right style="thin">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style="thin">
        <color indexed="64"/>
      </top>
      <bottom style="thin">
        <color indexed="64"/>
      </bottom>
      <diagonal/>
    </border>
    <border>
      <left/>
      <right style="medium">
        <color rgb="FFCCCCCC"/>
      </right>
      <top style="thick">
        <color theme="1"/>
      </top>
      <bottom/>
      <diagonal/>
    </border>
    <border>
      <left/>
      <right style="medium">
        <color rgb="FFCCCCCC"/>
      </right>
      <top/>
      <bottom style="medium">
        <color rgb="FFCCCCCC"/>
      </bottom>
      <diagonal/>
    </border>
    <border>
      <left/>
      <right style="medium">
        <color indexed="64"/>
      </right>
      <top style="thin">
        <color auto="1"/>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auto="1"/>
      </bottom>
      <diagonal/>
    </border>
    <border>
      <left style="thin">
        <color rgb="FFFF0000"/>
      </left>
      <right style="medium">
        <color indexed="64"/>
      </right>
      <top style="thin">
        <color indexed="64"/>
      </top>
      <bottom style="thin">
        <color rgb="FFFF0000"/>
      </bottom>
      <diagonal/>
    </border>
    <border>
      <left style="medium">
        <color rgb="FFFF0000"/>
      </left>
      <right style="medium">
        <color rgb="FFFF0000"/>
      </right>
      <top/>
      <bottom style="thick">
        <color rgb="FFFF0000"/>
      </bottom>
      <diagonal/>
    </border>
    <border>
      <left style="thin">
        <color rgb="FFFF0000"/>
      </left>
      <right/>
      <top style="thin">
        <color rgb="FFFF0000"/>
      </top>
      <bottom style="thin">
        <color rgb="FFFF0000"/>
      </bottom>
      <diagonal/>
    </border>
    <border>
      <left style="medium">
        <color theme="1"/>
      </left>
      <right/>
      <top style="medium">
        <color indexed="64"/>
      </top>
      <bottom style="medium">
        <color theme="1"/>
      </bottom>
      <diagonal/>
    </border>
    <border>
      <left/>
      <right/>
      <top style="medium">
        <color indexed="64"/>
      </top>
      <bottom style="medium">
        <color theme="1"/>
      </bottom>
      <diagonal/>
    </border>
    <border>
      <left/>
      <right style="medium">
        <color indexed="64"/>
      </right>
      <top style="medium">
        <color indexed="64"/>
      </top>
      <bottom style="medium">
        <color theme="1"/>
      </bottom>
      <diagonal/>
    </border>
    <border>
      <left style="thin">
        <color indexed="64"/>
      </left>
      <right style="medium">
        <color indexed="64"/>
      </right>
      <top/>
      <bottom style="medium">
        <color indexed="64"/>
      </bottom>
      <diagonal/>
    </border>
    <border>
      <left/>
      <right style="thin">
        <color rgb="FFFF0000"/>
      </right>
      <top style="thin">
        <color rgb="FFFF0000"/>
      </top>
      <bottom style="medium">
        <color indexed="64"/>
      </bottom>
      <diagonal/>
    </border>
    <border>
      <left style="thin">
        <color auto="1"/>
      </left>
      <right style="medium">
        <color indexed="64"/>
      </right>
      <top style="thick">
        <color indexed="64"/>
      </top>
      <bottom style="thin">
        <color indexed="64"/>
      </bottom>
      <diagonal/>
    </border>
    <border>
      <left style="medium">
        <color rgb="FFFF0000"/>
      </left>
      <right style="medium">
        <color indexed="64"/>
      </right>
      <top/>
      <bottom style="medium">
        <color rgb="FFFF0000"/>
      </bottom>
      <diagonal/>
    </border>
    <border>
      <left style="medium">
        <color rgb="FFFF0000"/>
      </left>
      <right style="medium">
        <color indexed="64"/>
      </right>
      <top style="medium">
        <color rgb="FFFF0000"/>
      </top>
      <bottom style="medium">
        <color rgb="FFFF0000"/>
      </bottom>
      <diagonal/>
    </border>
    <border>
      <left style="thick">
        <color rgb="FFFF0000"/>
      </left>
      <right style="medium">
        <color indexed="64"/>
      </right>
      <top style="thick">
        <color rgb="FFFF0000"/>
      </top>
      <bottom style="thick">
        <color rgb="FFFF0000"/>
      </bottom>
      <diagonal/>
    </border>
    <border>
      <left style="thick">
        <color rgb="FFFF0000"/>
      </left>
      <right style="medium">
        <color indexed="64"/>
      </right>
      <top style="thick">
        <color rgb="FFFF0000"/>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ck">
        <color indexed="64"/>
      </left>
      <right style="thick">
        <color indexed="64"/>
      </right>
      <top/>
      <bottom style="thick">
        <color indexed="64"/>
      </bottom>
      <diagonal/>
    </border>
    <border>
      <left/>
      <right style="thin">
        <color indexed="64"/>
      </right>
      <top/>
      <bottom style="thin">
        <color indexed="64"/>
      </bottom>
      <diagonal/>
    </border>
    <border>
      <left/>
      <right/>
      <top style="medium">
        <color rgb="FFFF0000"/>
      </top>
      <bottom/>
      <diagonal/>
    </border>
    <border>
      <left/>
      <right style="medium">
        <color rgb="FFFF0000"/>
      </right>
      <top style="thick">
        <color theme="1"/>
      </top>
      <bottom style="thick">
        <color theme="1"/>
      </bottom>
      <diagonal/>
    </border>
    <border>
      <left style="medium">
        <color rgb="FFFF0000"/>
      </left>
      <right/>
      <top/>
      <bottom/>
      <diagonal/>
    </border>
    <border>
      <left style="medium">
        <color rgb="FFFF0000"/>
      </left>
      <right style="thin">
        <color rgb="FFFF0000"/>
      </right>
      <top style="medium">
        <color rgb="FFFF0000"/>
      </top>
      <bottom style="medium">
        <color rgb="FFFF0000"/>
      </bottom>
      <diagonal/>
    </border>
    <border>
      <left style="thin">
        <color rgb="FFFF0000"/>
      </left>
      <right style="medium">
        <color rgb="FFFF0000"/>
      </right>
      <top style="medium">
        <color rgb="FFFF0000"/>
      </top>
      <bottom style="medium">
        <color rgb="FFFF0000"/>
      </bottom>
      <diagonal/>
    </border>
    <border>
      <left style="thin">
        <color indexed="64"/>
      </left>
      <right style="thick">
        <color indexed="64"/>
      </right>
      <top style="medium">
        <color indexed="64"/>
      </top>
      <bottom/>
      <diagonal/>
    </border>
    <border>
      <left style="thin">
        <color indexed="64"/>
      </left>
      <right/>
      <top style="thin">
        <color rgb="FFFF0000"/>
      </top>
      <bottom/>
      <diagonal/>
    </border>
    <border>
      <left style="thick">
        <color rgb="FFFF0000"/>
      </left>
      <right style="thick">
        <color theme="1"/>
      </right>
      <top/>
      <bottom style="thick">
        <color theme="1"/>
      </bottom>
      <diagonal/>
    </border>
    <border>
      <left style="thick">
        <color indexed="64"/>
      </left>
      <right style="thick">
        <color indexed="64"/>
      </right>
      <top style="thin">
        <color rgb="FFFF0000"/>
      </top>
      <bottom style="thick">
        <color indexed="64"/>
      </bottom>
      <diagonal/>
    </border>
    <border>
      <left style="thin">
        <color rgb="FFFF0000"/>
      </left>
      <right style="thin">
        <color rgb="FFFF0000"/>
      </right>
      <top style="medium">
        <color indexed="64"/>
      </top>
      <bottom style="thin">
        <color rgb="FFFF0000"/>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diagonalUp="1" diagonalDown="1">
      <left style="medium">
        <color indexed="64"/>
      </left>
      <right style="medium">
        <color indexed="64"/>
      </right>
      <top/>
      <bottom style="thick">
        <color indexed="64"/>
      </bottom>
      <diagonal style="medium">
        <color indexed="64"/>
      </diagonal>
    </border>
    <border>
      <left style="thick">
        <color indexed="64"/>
      </left>
      <right/>
      <top/>
      <bottom style="thick">
        <color indexed="64"/>
      </bottom>
      <diagonal/>
    </border>
    <border>
      <left style="thick">
        <color rgb="FFFF0000"/>
      </left>
      <right style="thick">
        <color rgb="FFFF0000"/>
      </right>
      <top/>
      <bottom style="thick">
        <color rgb="FFFF0000"/>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s>
  <cellStyleXfs count="11">
    <xf numFmtId="0" fontId="0" fillId="0" borderId="0"/>
    <xf numFmtId="9" fontId="27" fillId="0" borderId="0" applyFont="0" applyFill="0" applyBorder="0" applyAlignment="0" applyProtection="0"/>
    <xf numFmtId="0" fontId="6" fillId="0" borderId="0"/>
    <xf numFmtId="0" fontId="6" fillId="0" borderId="0"/>
    <xf numFmtId="172" fontId="6" fillId="0" borderId="0" applyFont="0" applyFill="0" applyBorder="0" applyAlignment="0" applyProtection="0"/>
    <xf numFmtId="0" fontId="55" fillId="0" borderId="0" applyNumberFormat="0" applyFill="0" applyBorder="0" applyAlignment="0" applyProtection="0"/>
    <xf numFmtId="0" fontId="6" fillId="0" borderId="0"/>
    <xf numFmtId="0" fontId="79" fillId="0" borderId="0"/>
    <xf numFmtId="0" fontId="80" fillId="0" borderId="0" applyNumberFormat="0" applyFill="0" applyBorder="0" applyAlignment="0" applyProtection="0">
      <alignment vertical="top"/>
      <protection locked="0"/>
    </xf>
    <xf numFmtId="0" fontId="81" fillId="0" borderId="0"/>
    <xf numFmtId="0" fontId="27" fillId="0" borderId="0"/>
  </cellStyleXfs>
  <cellXfs count="1997">
    <xf numFmtId="0" fontId="0" fillId="0" borderId="0" xfId="0"/>
    <xf numFmtId="0" fontId="13" fillId="0" borderId="0" xfId="0" applyFont="1" applyAlignment="1">
      <alignment vertical="center" wrapText="1"/>
    </xf>
    <xf numFmtId="0" fontId="13" fillId="0" borderId="0" xfId="0" applyFont="1" applyAlignment="1">
      <alignment vertical="top" wrapText="1"/>
    </xf>
    <xf numFmtId="0" fontId="4" fillId="0" borderId="0" xfId="0" applyFont="1" applyAlignment="1">
      <alignment vertical="top" wrapText="1"/>
    </xf>
    <xf numFmtId="0" fontId="13" fillId="0" borderId="0" xfId="0" applyFont="1" applyBorder="1" applyAlignment="1">
      <alignment vertical="top" wrapText="1"/>
    </xf>
    <xf numFmtId="0" fontId="0" fillId="0" borderId="0" xfId="0" applyAlignment="1">
      <alignment vertical="top" wrapText="1"/>
    </xf>
    <xf numFmtId="0" fontId="1" fillId="0" borderId="0" xfId="0" applyFont="1" applyAlignment="1">
      <alignment vertical="top" wrapText="1"/>
    </xf>
    <xf numFmtId="0" fontId="21" fillId="0" borderId="9" xfId="0" applyFont="1" applyBorder="1" applyAlignment="1" applyProtection="1">
      <alignment vertical="center" wrapText="1"/>
    </xf>
    <xf numFmtId="0" fontId="4" fillId="2" borderId="0" xfId="0" applyFont="1" applyFill="1" applyAlignment="1">
      <alignment horizontal="center" vertical="center" wrapText="1"/>
    </xf>
    <xf numFmtId="0" fontId="4" fillId="2" borderId="0" xfId="0" applyFont="1" applyFill="1" applyBorder="1" applyAlignment="1">
      <alignment horizontal="center" vertical="center" wrapText="1"/>
    </xf>
    <xf numFmtId="0" fontId="1" fillId="0" borderId="13" xfId="0" applyFont="1" applyBorder="1" applyAlignment="1">
      <alignment vertical="center" wrapText="1"/>
    </xf>
    <xf numFmtId="1" fontId="21" fillId="0" borderId="33" xfId="0" applyNumberFormat="1" applyFont="1" applyFill="1" applyBorder="1" applyAlignment="1" applyProtection="1">
      <alignment vertical="center" wrapText="1"/>
    </xf>
    <xf numFmtId="0" fontId="6" fillId="0" borderId="0" xfId="2" applyFont="1"/>
    <xf numFmtId="0" fontId="6" fillId="0" borderId="0" xfId="2"/>
    <xf numFmtId="0" fontId="6" fillId="0" borderId="0" xfId="2" applyAlignment="1">
      <alignment horizontal="center"/>
    </xf>
    <xf numFmtId="0" fontId="6" fillId="0" borderId="0" xfId="2" applyBorder="1"/>
    <xf numFmtId="0" fontId="6" fillId="0" borderId="0" xfId="2" applyFill="1"/>
    <xf numFmtId="0" fontId="36" fillId="0" borderId="0" xfId="2" applyFont="1"/>
    <xf numFmtId="0" fontId="39" fillId="0" borderId="0" xfId="2" applyFont="1"/>
    <xf numFmtId="0" fontId="40" fillId="0" borderId="0" xfId="2" applyFont="1"/>
    <xf numFmtId="0" fontId="38" fillId="0" borderId="0" xfId="2" applyFont="1"/>
    <xf numFmtId="0" fontId="7" fillId="0" borderId="0" xfId="2" applyFont="1"/>
    <xf numFmtId="0" fontId="27" fillId="0" borderId="0" xfId="2" applyFont="1"/>
    <xf numFmtId="0" fontId="1" fillId="0" borderId="0" xfId="2" applyFont="1"/>
    <xf numFmtId="0" fontId="13" fillId="0" borderId="0" xfId="2" applyFont="1"/>
    <xf numFmtId="0" fontId="37" fillId="0" borderId="0" xfId="2" applyFont="1"/>
    <xf numFmtId="0" fontId="33" fillId="0" borderId="29" xfId="2" applyFont="1" applyBorder="1" applyAlignment="1">
      <alignment vertical="center" wrapText="1"/>
    </xf>
    <xf numFmtId="0" fontId="33" fillId="0" borderId="54" xfId="2" applyFont="1" applyBorder="1" applyAlignment="1">
      <alignment vertical="center" wrapText="1"/>
    </xf>
    <xf numFmtId="0" fontId="6" fillId="13" borderId="55" xfId="2" applyFill="1" applyBorder="1"/>
    <xf numFmtId="168" fontId="6" fillId="13" borderId="55" xfId="2" applyNumberFormat="1" applyFill="1" applyBorder="1"/>
    <xf numFmtId="0" fontId="6" fillId="13" borderId="33" xfId="2" applyFill="1" applyBorder="1"/>
    <xf numFmtId="168" fontId="6" fillId="13" borderId="33" xfId="2" applyNumberFormat="1" applyFill="1" applyBorder="1"/>
    <xf numFmtId="0" fontId="6" fillId="13" borderId="33" xfId="2" applyFont="1" applyFill="1" applyBorder="1"/>
    <xf numFmtId="168" fontId="6" fillId="13" borderId="33" xfId="2" applyNumberFormat="1" applyFont="1" applyFill="1" applyBorder="1"/>
    <xf numFmtId="0" fontId="6" fillId="11" borderId="33" xfId="2" applyFill="1" applyBorder="1"/>
    <xf numFmtId="11" fontId="6" fillId="11" borderId="33" xfId="2" applyNumberFormat="1" applyFont="1" applyFill="1" applyBorder="1"/>
    <xf numFmtId="0" fontId="6" fillId="12" borderId="33" xfId="2" applyFill="1" applyBorder="1"/>
    <xf numFmtId="2" fontId="6" fillId="12" borderId="33" xfId="2" applyNumberFormat="1" applyFill="1" applyBorder="1"/>
    <xf numFmtId="0" fontId="41" fillId="13" borderId="33" xfId="2" applyFont="1" applyFill="1" applyBorder="1"/>
    <xf numFmtId="0" fontId="37" fillId="13" borderId="33" xfId="2" applyFont="1" applyFill="1" applyBorder="1"/>
    <xf numFmtId="168" fontId="37" fillId="13" borderId="33" xfId="2" applyNumberFormat="1" applyFont="1" applyFill="1" applyBorder="1"/>
    <xf numFmtId="0" fontId="6" fillId="5" borderId="33" xfId="2" applyFill="1" applyBorder="1"/>
    <xf numFmtId="2" fontId="37" fillId="5" borderId="33" xfId="2" applyNumberFormat="1" applyFont="1" applyFill="1" applyBorder="1"/>
    <xf numFmtId="0" fontId="7" fillId="5" borderId="33" xfId="2" applyFont="1" applyFill="1" applyBorder="1"/>
    <xf numFmtId="0" fontId="37" fillId="3" borderId="33" xfId="2" applyFont="1" applyFill="1" applyBorder="1"/>
    <xf numFmtId="2" fontId="37" fillId="3" borderId="33" xfId="2" applyNumberFormat="1" applyFont="1" applyFill="1" applyBorder="1"/>
    <xf numFmtId="2" fontId="32" fillId="5" borderId="33" xfId="2" applyNumberFormat="1" applyFont="1" applyFill="1" applyBorder="1"/>
    <xf numFmtId="0" fontId="6" fillId="10" borderId="33" xfId="2" applyFill="1" applyBorder="1"/>
    <xf numFmtId="169" fontId="6" fillId="10" borderId="33" xfId="2" applyNumberFormat="1" applyFill="1" applyBorder="1"/>
    <xf numFmtId="0" fontId="7" fillId="10" borderId="33" xfId="2" applyFont="1" applyFill="1" applyBorder="1"/>
    <xf numFmtId="169" fontId="7" fillId="10" borderId="33" xfId="2" applyNumberFormat="1" applyFont="1" applyFill="1" applyBorder="1"/>
    <xf numFmtId="0" fontId="7" fillId="13" borderId="33" xfId="2" applyFont="1" applyFill="1" applyBorder="1"/>
    <xf numFmtId="168" fontId="7" fillId="13" borderId="33" xfId="2" applyNumberFormat="1" applyFont="1" applyFill="1" applyBorder="1"/>
    <xf numFmtId="0" fontId="38" fillId="12" borderId="33" xfId="2" applyFont="1" applyFill="1" applyBorder="1"/>
    <xf numFmtId="0" fontId="13" fillId="12" borderId="33" xfId="2" applyFont="1" applyFill="1" applyBorder="1"/>
    <xf numFmtId="2" fontId="13" fillId="12" borderId="33" xfId="2" applyNumberFormat="1" applyFont="1" applyFill="1" applyBorder="1"/>
    <xf numFmtId="2" fontId="6" fillId="10" borderId="33" xfId="2" applyNumberFormat="1" applyFill="1" applyBorder="1"/>
    <xf numFmtId="0" fontId="37" fillId="12" borderId="33" xfId="2" applyFont="1" applyFill="1" applyBorder="1"/>
    <xf numFmtId="0" fontId="27" fillId="12" borderId="33" xfId="2" applyFont="1" applyFill="1" applyBorder="1"/>
    <xf numFmtId="2" fontId="27" fillId="12" borderId="33" xfId="2" applyNumberFormat="1" applyFont="1" applyFill="1" applyBorder="1"/>
    <xf numFmtId="0" fontId="7" fillId="12" borderId="33" xfId="2" applyFont="1" applyFill="1" applyBorder="1"/>
    <xf numFmtId="2" fontId="7" fillId="12" borderId="33" xfId="2" applyNumberFormat="1" applyFont="1" applyFill="1" applyBorder="1"/>
    <xf numFmtId="0" fontId="6" fillId="12" borderId="33" xfId="2" applyFont="1" applyFill="1" applyBorder="1"/>
    <xf numFmtId="2" fontId="6" fillId="12" borderId="33" xfId="2" applyNumberFormat="1" applyFont="1" applyFill="1" applyBorder="1"/>
    <xf numFmtId="0" fontId="1" fillId="12" borderId="33" xfId="2" applyFont="1" applyFill="1" applyBorder="1"/>
    <xf numFmtId="2" fontId="1" fillId="12" borderId="33" xfId="2" applyNumberFormat="1" applyFont="1" applyFill="1" applyBorder="1"/>
    <xf numFmtId="2" fontId="36" fillId="12" borderId="33" xfId="2" applyNumberFormat="1" applyFont="1" applyFill="1" applyBorder="1"/>
    <xf numFmtId="0" fontId="6" fillId="4" borderId="33" xfId="2" applyFont="1" applyFill="1" applyBorder="1"/>
    <xf numFmtId="2" fontId="6" fillId="4" borderId="33" xfId="2" applyNumberFormat="1" applyFont="1" applyFill="1" applyBorder="1"/>
    <xf numFmtId="0" fontId="7" fillId="4" borderId="33" xfId="2" applyFont="1" applyFill="1" applyBorder="1"/>
    <xf numFmtId="2" fontId="7" fillId="4" borderId="33" xfId="2" applyNumberFormat="1" applyFont="1" applyFill="1" applyBorder="1"/>
    <xf numFmtId="0" fontId="6" fillId="4" borderId="33" xfId="2" applyFill="1" applyBorder="1"/>
    <xf numFmtId="2" fontId="6" fillId="4" borderId="33" xfId="2" applyNumberFormat="1" applyFill="1" applyBorder="1"/>
    <xf numFmtId="0" fontId="27" fillId="4" borderId="33" xfId="2" applyFont="1" applyFill="1" applyBorder="1"/>
    <xf numFmtId="2" fontId="27" fillId="4" borderId="33" xfId="2" applyNumberFormat="1" applyFont="1" applyFill="1" applyBorder="1"/>
    <xf numFmtId="0" fontId="6" fillId="11" borderId="33" xfId="2" applyFont="1" applyFill="1" applyBorder="1"/>
    <xf numFmtId="0" fontId="6" fillId="13" borderId="56" xfId="2" applyFill="1" applyBorder="1"/>
    <xf numFmtId="168" fontId="6" fillId="13" borderId="56" xfId="2" applyNumberFormat="1" applyFill="1" applyBorder="1"/>
    <xf numFmtId="0" fontId="6" fillId="11" borderId="55" xfId="2" applyFill="1" applyBorder="1"/>
    <xf numFmtId="11" fontId="6" fillId="11" borderId="55" xfId="2" applyNumberFormat="1" applyFont="1" applyFill="1" applyBorder="1"/>
    <xf numFmtId="0" fontId="37" fillId="10" borderId="33" xfId="2" applyFont="1" applyFill="1" applyBorder="1"/>
    <xf numFmtId="169" fontId="37" fillId="10" borderId="33" xfId="2" applyNumberFormat="1" applyFont="1" applyFill="1" applyBorder="1"/>
    <xf numFmtId="0" fontId="6" fillId="3" borderId="33" xfId="2" applyFill="1" applyBorder="1"/>
    <xf numFmtId="11" fontId="6" fillId="3" borderId="33" xfId="2" applyNumberFormat="1" applyFont="1" applyFill="1" applyBorder="1"/>
    <xf numFmtId="0" fontId="7" fillId="11" borderId="33" xfId="2" applyFont="1" applyFill="1" applyBorder="1"/>
    <xf numFmtId="11" fontId="7" fillId="11" borderId="33" xfId="2" applyNumberFormat="1" applyFont="1" applyFill="1" applyBorder="1"/>
    <xf numFmtId="0" fontId="6" fillId="10" borderId="56" xfId="2" applyFill="1" applyBorder="1"/>
    <xf numFmtId="2" fontId="6" fillId="10" borderId="56" xfId="2" applyNumberFormat="1" applyFill="1" applyBorder="1"/>
    <xf numFmtId="0" fontId="6" fillId="11" borderId="56" xfId="2" applyFill="1" applyBorder="1"/>
    <xf numFmtId="11" fontId="6" fillId="11" borderId="56" xfId="2" applyNumberFormat="1" applyFont="1" applyFill="1" applyBorder="1"/>
    <xf numFmtId="0" fontId="29" fillId="0" borderId="0" xfId="0" applyFont="1" applyAlignment="1"/>
    <xf numFmtId="0" fontId="33" fillId="0" borderId="16" xfId="2" applyFont="1" applyBorder="1" applyAlignment="1">
      <alignment vertical="center" wrapText="1"/>
    </xf>
    <xf numFmtId="0" fontId="7" fillId="11" borderId="55" xfId="2" applyFont="1" applyFill="1" applyBorder="1" applyAlignment="1">
      <alignment vertical="center"/>
    </xf>
    <xf numFmtId="0" fontId="7" fillId="13" borderId="55" xfId="2" applyFont="1" applyFill="1" applyBorder="1" applyAlignment="1">
      <alignment vertical="center"/>
    </xf>
    <xf numFmtId="0" fontId="29" fillId="0" borderId="29" xfId="0" applyFont="1" applyFill="1" applyBorder="1" applyAlignment="1">
      <alignment horizontal="center" vertical="center"/>
    </xf>
    <xf numFmtId="0" fontId="6" fillId="0" borderId="0" xfId="0" applyFont="1" applyFill="1" applyBorder="1"/>
    <xf numFmtId="0" fontId="0" fillId="0" borderId="0" xfId="0" applyAlignment="1">
      <alignment horizontal="center" vertical="center"/>
    </xf>
    <xf numFmtId="0" fontId="6" fillId="0" borderId="56" xfId="2" applyFill="1" applyBorder="1"/>
    <xf numFmtId="168" fontId="6" fillId="0" borderId="56" xfId="2" applyNumberFormat="1" applyFill="1" applyBorder="1"/>
    <xf numFmtId="1" fontId="6" fillId="0" borderId="56" xfId="2" applyNumberFormat="1" applyFill="1" applyBorder="1"/>
    <xf numFmtId="0" fontId="0" fillId="0" borderId="0" xfId="0" applyAlignment="1">
      <alignment vertical="center"/>
    </xf>
    <xf numFmtId="0" fontId="0" fillId="0" borderId="9" xfId="0" applyBorder="1" applyAlignment="1">
      <alignment vertical="center" wrapText="1"/>
    </xf>
    <xf numFmtId="0" fontId="6" fillId="0" borderId="9" xfId="0" applyFont="1" applyBorder="1" applyAlignment="1">
      <alignment vertical="center" wrapText="1"/>
    </xf>
    <xf numFmtId="0" fontId="6" fillId="0" borderId="73" xfId="0" applyFont="1" applyBorder="1" applyAlignment="1">
      <alignment vertical="center" wrapText="1"/>
    </xf>
    <xf numFmtId="0" fontId="7" fillId="0" borderId="56" xfId="0" applyFont="1" applyBorder="1" applyAlignment="1">
      <alignment vertical="center" wrapText="1"/>
    </xf>
    <xf numFmtId="174" fontId="0" fillId="0" borderId="0" xfId="0" applyNumberFormat="1" applyFill="1" applyAlignment="1">
      <alignment horizontal="center" vertical="center"/>
    </xf>
    <xf numFmtId="0" fontId="24" fillId="0" borderId="16" xfId="0" applyFont="1" applyBorder="1" applyAlignment="1">
      <alignment vertical="top" wrapText="1"/>
    </xf>
    <xf numFmtId="1" fontId="0" fillId="0" borderId="70" xfId="0" applyNumberFormat="1" applyBorder="1" applyAlignment="1">
      <alignment horizontal="center" vertical="top"/>
    </xf>
    <xf numFmtId="1" fontId="0" fillId="0" borderId="72" xfId="0" applyNumberFormat="1" applyBorder="1" applyAlignment="1">
      <alignment horizontal="center" vertical="top"/>
    </xf>
    <xf numFmtId="169" fontId="7" fillId="0" borderId="75" xfId="0" applyNumberFormat="1" applyFont="1" applyBorder="1" applyAlignment="1">
      <alignment horizontal="center" vertical="center" wrapText="1"/>
    </xf>
    <xf numFmtId="169" fontId="0" fillId="0" borderId="71" xfId="0" applyNumberFormat="1" applyBorder="1" applyAlignment="1">
      <alignment horizontal="center" vertical="center"/>
    </xf>
    <xf numFmtId="169" fontId="0" fillId="0" borderId="74" xfId="0" applyNumberFormat="1" applyBorder="1" applyAlignment="1">
      <alignment horizontal="center" vertical="center"/>
    </xf>
    <xf numFmtId="0" fontId="24" fillId="0" borderId="4" xfId="0" applyFont="1" applyBorder="1" applyAlignment="1">
      <alignment vertical="top" wrapText="1"/>
    </xf>
    <xf numFmtId="0" fontId="1" fillId="0" borderId="92" xfId="0" applyFont="1" applyBorder="1" applyAlignment="1">
      <alignment vertical="center" wrapText="1"/>
    </xf>
    <xf numFmtId="0" fontId="1" fillId="0" borderId="93" xfId="0" applyFont="1" applyBorder="1" applyAlignment="1">
      <alignment vertical="center" wrapText="1"/>
    </xf>
    <xf numFmtId="0" fontId="1" fillId="0" borderId="94" xfId="0" applyFont="1" applyBorder="1" applyAlignment="1">
      <alignment vertical="center" wrapText="1"/>
    </xf>
    <xf numFmtId="0" fontId="1" fillId="0" borderId="96" xfId="0" applyFont="1" applyBorder="1" applyAlignment="1">
      <alignment horizontal="center" vertical="center" wrapText="1"/>
    </xf>
    <xf numFmtId="0" fontId="1" fillId="17" borderId="91" xfId="0" applyFont="1" applyFill="1" applyBorder="1" applyAlignment="1">
      <alignment horizontal="center" vertical="center"/>
    </xf>
    <xf numFmtId="0" fontId="1" fillId="17" borderId="89" xfId="0" applyFont="1" applyFill="1" applyBorder="1" applyAlignment="1">
      <alignment horizontal="center" vertical="center"/>
    </xf>
    <xf numFmtId="0" fontId="1" fillId="0" borderId="89" xfId="0" applyFont="1" applyBorder="1" applyAlignment="1">
      <alignment horizontal="center" vertical="center" wrapText="1"/>
    </xf>
    <xf numFmtId="0" fontId="11" fillId="17" borderId="90" xfId="0" applyFont="1" applyFill="1" applyBorder="1" applyAlignment="1">
      <alignment horizontal="right" vertical="center"/>
    </xf>
    <xf numFmtId="0" fontId="6" fillId="0" borderId="0" xfId="0" applyFont="1" applyBorder="1"/>
    <xf numFmtId="0" fontId="23" fillId="0" borderId="0" xfId="0" applyFont="1"/>
    <xf numFmtId="0" fontId="34" fillId="0" borderId="0" xfId="0" applyFont="1" applyFill="1" applyBorder="1"/>
    <xf numFmtId="0" fontId="23" fillId="0" borderId="44" xfId="0" applyFont="1" applyBorder="1"/>
    <xf numFmtId="169" fontId="23" fillId="15" borderId="38" xfId="0" applyNumberFormat="1" applyFont="1" applyFill="1" applyBorder="1" applyAlignment="1">
      <alignment horizontal="center" vertical="center"/>
    </xf>
    <xf numFmtId="0" fontId="23" fillId="0" borderId="44" xfId="0" applyFont="1" applyFill="1" applyBorder="1"/>
    <xf numFmtId="0" fontId="29" fillId="0" borderId="13" xfId="0" applyFont="1" applyFill="1" applyBorder="1"/>
    <xf numFmtId="0" fontId="23" fillId="0" borderId="44" xfId="0" applyFont="1" applyFill="1" applyBorder="1" applyAlignment="1">
      <alignment horizontal="center" vertical="center"/>
    </xf>
    <xf numFmtId="169" fontId="23" fillId="0" borderId="44" xfId="0" applyNumberFormat="1" applyFont="1" applyBorder="1" applyAlignment="1">
      <alignment horizontal="center" vertical="center"/>
    </xf>
    <xf numFmtId="169" fontId="23" fillId="15" borderId="44" xfId="0" applyNumberFormat="1" applyFont="1" applyFill="1" applyBorder="1" applyAlignment="1">
      <alignment horizontal="center" vertical="center"/>
    </xf>
    <xf numFmtId="174" fontId="23" fillId="0" borderId="13" xfId="0" applyNumberFormat="1" applyFont="1" applyFill="1" applyBorder="1"/>
    <xf numFmtId="174" fontId="50" fillId="0" borderId="44" xfId="0" applyNumberFormat="1" applyFont="1" applyFill="1" applyBorder="1" applyAlignment="1">
      <alignment horizontal="center" vertical="center"/>
    </xf>
    <xf numFmtId="4" fontId="34" fillId="0" borderId="0" xfId="0" applyNumberFormat="1" applyFont="1" applyFill="1" applyBorder="1"/>
    <xf numFmtId="174" fontId="50" fillId="0" borderId="13" xfId="0" applyNumberFormat="1" applyFont="1" applyFill="1" applyBorder="1"/>
    <xf numFmtId="168" fontId="34" fillId="0" borderId="0" xfId="0" applyNumberFormat="1" applyFont="1" applyFill="1" applyBorder="1"/>
    <xf numFmtId="169" fontId="34" fillId="0" borderId="2" xfId="0" applyNumberFormat="1" applyFont="1" applyFill="1" applyBorder="1"/>
    <xf numFmtId="174" fontId="48" fillId="0" borderId="13" xfId="0" applyNumberFormat="1" applyFont="1" applyFill="1" applyBorder="1"/>
    <xf numFmtId="0" fontId="34" fillId="0" borderId="44" xfId="0" applyFont="1" applyFill="1" applyBorder="1"/>
    <xf numFmtId="174" fontId="34" fillId="0" borderId="13" xfId="0" applyNumberFormat="1" applyFont="1" applyFill="1" applyBorder="1"/>
    <xf numFmtId="0" fontId="23" fillId="0" borderId="13" xfId="0" applyFont="1" applyFill="1" applyBorder="1"/>
    <xf numFmtId="175" fontId="50" fillId="0" borderId="44" xfId="0" applyNumberFormat="1" applyFont="1" applyFill="1" applyBorder="1" applyAlignment="1">
      <alignment horizontal="center" vertical="center"/>
    </xf>
    <xf numFmtId="0" fontId="29" fillId="0" borderId="44" xfId="0" applyFont="1" applyFill="1" applyBorder="1" applyAlignment="1">
      <alignment horizontal="center" vertical="center"/>
    </xf>
    <xf numFmtId="0" fontId="34" fillId="0" borderId="19" xfId="0" applyFont="1" applyFill="1" applyBorder="1"/>
    <xf numFmtId="174" fontId="23" fillId="0" borderId="18" xfId="0" applyNumberFormat="1" applyFont="1" applyFill="1" applyBorder="1"/>
    <xf numFmtId="174" fontId="50" fillId="0" borderId="19" xfId="0" applyNumberFormat="1" applyFont="1" applyFill="1" applyBorder="1" applyAlignment="1">
      <alignment horizontal="center" vertical="center"/>
    </xf>
    <xf numFmtId="169" fontId="23" fillId="0" borderId="19" xfId="0" applyNumberFormat="1" applyFont="1" applyBorder="1" applyAlignment="1">
      <alignment horizontal="center" vertical="center"/>
    </xf>
    <xf numFmtId="169" fontId="23" fillId="15" borderId="19" xfId="0" applyNumberFormat="1" applyFont="1" applyFill="1" applyBorder="1" applyAlignment="1">
      <alignment horizontal="center" vertical="center"/>
    </xf>
    <xf numFmtId="0" fontId="7" fillId="0" borderId="3" xfId="0" applyFont="1" applyFill="1" applyBorder="1"/>
    <xf numFmtId="0" fontId="0" fillId="0" borderId="5" xfId="0" applyBorder="1"/>
    <xf numFmtId="0" fontId="7" fillId="0" borderId="5" xfId="0" applyFont="1" applyFill="1" applyBorder="1"/>
    <xf numFmtId="172" fontId="7" fillId="0" borderId="4" xfId="4" applyFont="1" applyBorder="1" applyAlignment="1">
      <alignment horizontal="center" vertical="center" wrapText="1"/>
    </xf>
    <xf numFmtId="169" fontId="7" fillId="0" borderId="5" xfId="4" applyNumberFormat="1" applyFont="1" applyBorder="1" applyAlignment="1">
      <alignment vertical="center"/>
    </xf>
    <xf numFmtId="11" fontId="0" fillId="0" borderId="24" xfId="0" applyNumberFormat="1" applyFont="1" applyBorder="1"/>
    <xf numFmtId="11" fontId="0" fillId="0" borderId="17" xfId="0" applyNumberFormat="1" applyFont="1" applyBorder="1" applyAlignment="1">
      <alignment horizontal="center" vertical="center"/>
    </xf>
    <xf numFmtId="4" fontId="0" fillId="0" borderId="0" xfId="0" applyNumberFormat="1" applyFont="1" applyBorder="1"/>
    <xf numFmtId="174" fontId="0" fillId="0" borderId="13" xfId="0" applyNumberFormat="1" applyFont="1" applyBorder="1" applyAlignment="1">
      <alignment horizontal="center" vertical="center"/>
    </xf>
    <xf numFmtId="169" fontId="25" fillId="0" borderId="14" xfId="0" applyNumberFormat="1" applyFont="1" applyFill="1" applyBorder="1" applyAlignment="1">
      <alignment horizontal="center" vertical="center" wrapText="1"/>
    </xf>
    <xf numFmtId="4" fontId="0" fillId="0" borderId="2" xfId="0" applyNumberFormat="1" applyFont="1" applyBorder="1"/>
    <xf numFmtId="174" fontId="0" fillId="0" borderId="18" xfId="0" applyNumberFormat="1" applyFont="1" applyBorder="1" applyAlignment="1">
      <alignment horizontal="center" vertical="center"/>
    </xf>
    <xf numFmtId="0" fontId="0" fillId="0" borderId="9" xfId="0" applyBorder="1" applyAlignment="1">
      <alignment horizontal="center" vertical="center"/>
    </xf>
    <xf numFmtId="169" fontId="0" fillId="0" borderId="0" xfId="0" applyNumberFormat="1" applyAlignment="1">
      <alignment vertical="center"/>
    </xf>
    <xf numFmtId="1" fontId="0" fillId="0" borderId="152" xfId="0" applyNumberFormat="1" applyBorder="1" applyAlignment="1">
      <alignment horizontal="center" vertical="top"/>
    </xf>
    <xf numFmtId="1" fontId="23" fillId="0" borderId="0" xfId="0" applyNumberFormat="1" applyFont="1" applyAlignment="1">
      <alignment horizontal="center" vertical="top"/>
    </xf>
    <xf numFmtId="1" fontId="0" fillId="0" borderId="0" xfId="0" applyNumberFormat="1" applyFont="1" applyAlignment="1">
      <alignment horizontal="center" vertical="top"/>
    </xf>
    <xf numFmtId="169" fontId="17" fillId="0" borderId="16" xfId="0" applyNumberFormat="1" applyFont="1" applyBorder="1" applyAlignment="1">
      <alignment horizontal="center" vertical="top" wrapText="1"/>
    </xf>
    <xf numFmtId="1" fontId="0" fillId="0" borderId="55" xfId="0" applyNumberFormat="1" applyFont="1" applyBorder="1" applyAlignment="1">
      <alignment horizontal="center" vertical="center"/>
    </xf>
    <xf numFmtId="9" fontId="0" fillId="0" borderId="33" xfId="0" applyNumberFormat="1" applyFont="1" applyBorder="1" applyAlignment="1">
      <alignment horizontal="left" vertical="center"/>
    </xf>
    <xf numFmtId="169" fontId="0" fillId="0" borderId="33" xfId="0" applyNumberFormat="1" applyFont="1" applyBorder="1" applyAlignment="1">
      <alignment horizontal="left" vertical="center"/>
    </xf>
    <xf numFmtId="1" fontId="13" fillId="0" borderId="9" xfId="0" applyNumberFormat="1" applyFont="1" applyBorder="1" applyAlignment="1">
      <alignment horizontal="center" vertical="center"/>
    </xf>
    <xf numFmtId="1" fontId="13" fillId="0" borderId="33" xfId="0" applyNumberFormat="1" applyFont="1" applyBorder="1" applyAlignment="1">
      <alignment horizontal="center" vertical="center"/>
    </xf>
    <xf numFmtId="1" fontId="0" fillId="0" borderId="33" xfId="0" applyNumberFormat="1" applyFont="1" applyBorder="1" applyAlignment="1">
      <alignment horizontal="center" vertical="center"/>
    </xf>
    <xf numFmtId="1" fontId="0" fillId="0" borderId="0" xfId="0" applyNumberFormat="1" applyFont="1" applyAlignment="1">
      <alignment horizontal="center" vertical="center"/>
    </xf>
    <xf numFmtId="2" fontId="11" fillId="6" borderId="32" xfId="0" applyNumberFormat="1" applyFont="1" applyFill="1" applyBorder="1" applyAlignment="1">
      <alignment horizontal="left" vertical="top" wrapText="1"/>
    </xf>
    <xf numFmtId="0" fontId="4" fillId="0" borderId="0" xfId="0" applyFont="1" applyAlignment="1">
      <alignment horizontal="center" vertical="top" wrapText="1"/>
    </xf>
    <xf numFmtId="0" fontId="6" fillId="0" borderId="0" xfId="0" applyFont="1"/>
    <xf numFmtId="0" fontId="6" fillId="0" borderId="0" xfId="0" applyFont="1" applyAlignment="1">
      <alignment horizontal="center"/>
    </xf>
    <xf numFmtId="0" fontId="7" fillId="0" borderId="0" xfId="0" applyFont="1" applyBorder="1" applyAlignment="1">
      <alignment horizontal="center" vertical="center"/>
    </xf>
    <xf numFmtId="0" fontId="7" fillId="0" borderId="0" xfId="0" applyFont="1" applyBorder="1"/>
    <xf numFmtId="0" fontId="43" fillId="0" borderId="0" xfId="0" applyFont="1" applyFill="1" applyBorder="1" applyAlignment="1"/>
    <xf numFmtId="0" fontId="43" fillId="0" borderId="0" xfId="0" applyFont="1" applyFill="1" applyBorder="1" applyAlignment="1">
      <alignment horizontal="center"/>
    </xf>
    <xf numFmtId="169" fontId="43" fillId="0" borderId="0" xfId="4" applyNumberFormat="1" applyFont="1" applyFill="1" applyBorder="1" applyAlignment="1">
      <alignment horizontal="center"/>
    </xf>
    <xf numFmtId="2" fontId="64" fillId="0" borderId="0" xfId="4" applyNumberFormat="1" applyFont="1" applyFill="1" applyBorder="1" applyAlignment="1">
      <alignment horizontal="center"/>
    </xf>
    <xf numFmtId="0" fontId="43" fillId="0" borderId="0" xfId="0" applyFont="1" applyBorder="1" applyAlignment="1"/>
    <xf numFmtId="9" fontId="43" fillId="0" borderId="0" xfId="4" applyNumberFormat="1" applyFont="1" applyFill="1" applyBorder="1" applyAlignment="1">
      <alignment horizontal="center"/>
    </xf>
    <xf numFmtId="0" fontId="6" fillId="0" borderId="0" xfId="0" applyFont="1" applyFill="1" applyBorder="1" applyAlignment="1">
      <alignment vertical="top" wrapText="1"/>
    </xf>
    <xf numFmtId="9" fontId="43" fillId="0" borderId="0" xfId="1" applyFont="1" applyFill="1" applyBorder="1" applyAlignment="1">
      <alignment horizontal="center"/>
    </xf>
    <xf numFmtId="0" fontId="43" fillId="0" borderId="0" xfId="0" applyFont="1" applyFill="1" applyBorder="1" applyAlignment="1">
      <alignment horizontal="center" vertical="center"/>
    </xf>
    <xf numFmtId="0" fontId="7" fillId="0" borderId="0" xfId="0" applyFont="1" applyBorder="1" applyAlignment="1">
      <alignment horizontal="left" vertical="center" wrapText="1"/>
    </xf>
    <xf numFmtId="169" fontId="7" fillId="0" borderId="0" xfId="0" applyNumberFormat="1" applyFont="1" applyAlignment="1">
      <alignment horizontal="center"/>
    </xf>
    <xf numFmtId="0" fontId="6" fillId="0" borderId="0" xfId="0" applyFont="1" applyFill="1" applyAlignment="1">
      <alignment horizontal="center"/>
    </xf>
    <xf numFmtId="169" fontId="7" fillId="0" borderId="154" xfId="4" applyNumberFormat="1" applyFont="1" applyFill="1" applyBorder="1" applyAlignment="1">
      <alignment horizontal="center" vertical="center" wrapText="1"/>
    </xf>
    <xf numFmtId="169" fontId="44" fillId="0" borderId="155" xfId="4" applyNumberFormat="1" applyFont="1" applyFill="1" applyBorder="1" applyAlignment="1">
      <alignment horizontal="center"/>
    </xf>
    <xf numFmtId="169" fontId="43" fillId="0" borderId="155" xfId="4" applyNumberFormat="1" applyFont="1" applyFill="1" applyBorder="1" applyAlignment="1">
      <alignment horizontal="center"/>
    </xf>
    <xf numFmtId="0" fontId="49" fillId="0" borderId="3" xfId="0" applyFont="1" applyFill="1" applyBorder="1" applyAlignment="1"/>
    <xf numFmtId="169" fontId="49" fillId="0" borderId="34" xfId="4" applyNumberFormat="1" applyFont="1" applyFill="1" applyBorder="1" applyAlignment="1">
      <alignment horizontal="center" vertical="center" wrapText="1"/>
    </xf>
    <xf numFmtId="169" fontId="49" fillId="0" borderId="157" xfId="0" applyNumberFormat="1" applyFont="1" applyFill="1" applyBorder="1" applyAlignment="1">
      <alignment horizontal="center" vertical="center"/>
    </xf>
    <xf numFmtId="169" fontId="51" fillId="0" borderId="157" xfId="4" applyNumberFormat="1" applyFont="1" applyFill="1" applyBorder="1" applyAlignment="1">
      <alignment horizontal="center" vertical="center"/>
    </xf>
    <xf numFmtId="169" fontId="51" fillId="0" borderId="158" xfId="4" applyNumberFormat="1" applyFont="1" applyFill="1" applyBorder="1" applyAlignment="1">
      <alignment horizontal="center" vertical="center"/>
    </xf>
    <xf numFmtId="175" fontId="25" fillId="6" borderId="32" xfId="0" applyNumberFormat="1" applyFont="1" applyFill="1" applyBorder="1" applyAlignment="1">
      <alignment horizontal="center" vertical="center" wrapText="1"/>
    </xf>
    <xf numFmtId="175" fontId="23" fillId="0" borderId="82" xfId="0" applyNumberFormat="1" applyFont="1" applyBorder="1" applyAlignment="1">
      <alignment vertical="center"/>
    </xf>
    <xf numFmtId="2" fontId="49" fillId="0" borderId="34" xfId="4" applyNumberFormat="1" applyFont="1" applyFill="1" applyBorder="1" applyAlignment="1">
      <alignment horizontal="center" vertical="center" wrapText="1"/>
    </xf>
    <xf numFmtId="2" fontId="49" fillId="0" borderId="157" xfId="0" applyNumberFormat="1" applyFont="1" applyFill="1" applyBorder="1" applyAlignment="1">
      <alignment horizontal="center" vertical="center"/>
    </xf>
    <xf numFmtId="4" fontId="0" fillId="0" borderId="0" xfId="0" applyNumberFormat="1" applyFill="1" applyAlignment="1">
      <alignment horizontal="left" vertical="top" wrapText="1"/>
    </xf>
    <xf numFmtId="171" fontId="33" fillId="0" borderId="54" xfId="2" applyNumberFormat="1" applyFont="1" applyBorder="1" applyAlignment="1">
      <alignment horizontal="center" vertical="center" wrapText="1"/>
    </xf>
    <xf numFmtId="0" fontId="65" fillId="0" borderId="0" xfId="0" applyFont="1"/>
    <xf numFmtId="10" fontId="65" fillId="0" borderId="9" xfId="1" applyNumberFormat="1" applyFont="1" applyBorder="1" applyAlignment="1" applyProtection="1">
      <alignment vertical="center" wrapText="1"/>
    </xf>
    <xf numFmtId="0" fontId="65" fillId="0" borderId="9" xfId="0" applyFont="1" applyBorder="1" applyAlignment="1" applyProtection="1">
      <alignment vertical="center" wrapText="1"/>
    </xf>
    <xf numFmtId="1" fontId="65" fillId="0" borderId="0" xfId="0" applyNumberFormat="1" applyFont="1"/>
    <xf numFmtId="0" fontId="65" fillId="0" borderId="0" xfId="0" applyFont="1" applyAlignment="1">
      <alignment horizontal="center" vertical="center"/>
    </xf>
    <xf numFmtId="2" fontId="65" fillId="0" borderId="0" xfId="0" applyNumberFormat="1" applyFont="1"/>
    <xf numFmtId="166" fontId="65" fillId="0" borderId="0" xfId="0" applyNumberFormat="1" applyFont="1"/>
    <xf numFmtId="164" fontId="65" fillId="0" borderId="0" xfId="0" applyNumberFormat="1" applyFont="1" applyFill="1"/>
    <xf numFmtId="9" fontId="65" fillId="0" borderId="0" xfId="1" applyFont="1"/>
    <xf numFmtId="2" fontId="65" fillId="0" borderId="0" xfId="1" applyNumberFormat="1" applyFont="1"/>
    <xf numFmtId="1" fontId="65" fillId="0" borderId="0" xfId="0" applyNumberFormat="1" applyFont="1" applyBorder="1" applyAlignment="1" applyProtection="1">
      <alignment vertical="center" wrapText="1"/>
    </xf>
    <xf numFmtId="10" fontId="65" fillId="0" borderId="0" xfId="1" applyNumberFormat="1" applyFont="1"/>
    <xf numFmtId="0" fontId="65" fillId="0" borderId="0" xfId="0" applyFont="1" applyAlignment="1">
      <alignment vertical="center" wrapText="1"/>
    </xf>
    <xf numFmtId="1" fontId="65" fillId="0" borderId="0" xfId="0" applyNumberFormat="1" applyFont="1" applyAlignment="1">
      <alignment vertical="center" wrapText="1"/>
    </xf>
    <xf numFmtId="0" fontId="65" fillId="0" borderId="0" xfId="0" applyFont="1" applyFill="1"/>
    <xf numFmtId="165" fontId="65" fillId="0" borderId="9" xfId="0" applyNumberFormat="1" applyFont="1" applyFill="1" applyBorder="1" applyAlignment="1" applyProtection="1">
      <alignment vertical="center" wrapText="1"/>
    </xf>
    <xf numFmtId="165" fontId="65" fillId="22" borderId="9" xfId="0" applyNumberFormat="1" applyFont="1" applyFill="1" applyBorder="1" applyAlignment="1" applyProtection="1">
      <alignment vertical="center" wrapText="1"/>
    </xf>
    <xf numFmtId="2" fontId="65" fillId="22" borderId="9" xfId="0" applyNumberFormat="1" applyFont="1" applyFill="1" applyBorder="1" applyAlignment="1" applyProtection="1">
      <alignment vertical="center" wrapText="1"/>
    </xf>
    <xf numFmtId="166" fontId="65" fillId="22" borderId="9" xfId="0" applyNumberFormat="1" applyFont="1" applyFill="1" applyBorder="1" applyAlignment="1" applyProtection="1">
      <alignment vertical="center" wrapText="1"/>
    </xf>
    <xf numFmtId="164" fontId="65" fillId="22" borderId="9" xfId="0" applyNumberFormat="1" applyFont="1" applyFill="1" applyBorder="1" applyAlignment="1" applyProtection="1">
      <alignment vertical="center" wrapText="1"/>
    </xf>
    <xf numFmtId="9" fontId="65" fillId="22" borderId="9" xfId="1" applyNumberFormat="1" applyFont="1" applyFill="1" applyBorder="1" applyAlignment="1" applyProtection="1">
      <alignment vertical="center" wrapText="1"/>
    </xf>
    <xf numFmtId="9" fontId="65" fillId="22" borderId="9" xfId="1" applyFont="1" applyFill="1" applyBorder="1" applyAlignment="1" applyProtection="1">
      <alignment vertical="center" wrapText="1"/>
    </xf>
    <xf numFmtId="1" fontId="65" fillId="22" borderId="9" xfId="0" applyNumberFormat="1" applyFont="1" applyFill="1" applyBorder="1" applyAlignment="1" applyProtection="1">
      <alignment vertical="center" wrapText="1"/>
    </xf>
    <xf numFmtId="0" fontId="65" fillId="22" borderId="9" xfId="0" applyFont="1" applyFill="1" applyBorder="1" applyAlignment="1" applyProtection="1">
      <alignment vertical="center" wrapText="1"/>
    </xf>
    <xf numFmtId="178" fontId="65" fillId="22" borderId="9" xfId="0" applyNumberFormat="1" applyFont="1" applyFill="1" applyBorder="1" applyAlignment="1" applyProtection="1">
      <alignment vertical="center" wrapText="1"/>
    </xf>
    <xf numFmtId="0" fontId="65" fillId="22" borderId="9" xfId="0" applyFont="1" applyFill="1" applyBorder="1"/>
    <xf numFmtId="165" fontId="65" fillId="23" borderId="9" xfId="0" applyNumberFormat="1" applyFont="1" applyFill="1" applyBorder="1" applyAlignment="1" applyProtection="1">
      <alignment vertical="center" wrapText="1"/>
    </xf>
    <xf numFmtId="0" fontId="65" fillId="23" borderId="9" xfId="0" applyFont="1" applyFill="1" applyBorder="1" applyAlignment="1" applyProtection="1">
      <alignment vertical="center" wrapText="1"/>
    </xf>
    <xf numFmtId="165" fontId="65" fillId="24" borderId="9" xfId="0" applyNumberFormat="1" applyFont="1" applyFill="1" applyBorder="1" applyAlignment="1" applyProtection="1">
      <alignment vertical="center" wrapText="1"/>
    </xf>
    <xf numFmtId="10" fontId="65" fillId="24" borderId="9" xfId="1" applyNumberFormat="1" applyFont="1" applyFill="1" applyBorder="1" applyAlignment="1" applyProtection="1">
      <alignment vertical="center" wrapText="1"/>
    </xf>
    <xf numFmtId="0" fontId="65" fillId="24" borderId="9" xfId="0" applyFont="1" applyFill="1" applyBorder="1" applyAlignment="1" applyProtection="1">
      <alignment vertical="center" wrapText="1"/>
    </xf>
    <xf numFmtId="165" fontId="65" fillId="25" borderId="9" xfId="0" applyNumberFormat="1" applyFont="1" applyFill="1" applyBorder="1" applyAlignment="1" applyProtection="1">
      <alignment vertical="center" wrapText="1"/>
    </xf>
    <xf numFmtId="0" fontId="65" fillId="25" borderId="9" xfId="0" applyFont="1" applyFill="1" applyBorder="1" applyAlignment="1" applyProtection="1">
      <alignment vertical="center" wrapText="1"/>
    </xf>
    <xf numFmtId="165" fontId="65" fillId="26" borderId="33" xfId="0" applyNumberFormat="1" applyFont="1" applyFill="1" applyBorder="1" applyAlignment="1" applyProtection="1">
      <alignment vertical="center" wrapText="1"/>
    </xf>
    <xf numFmtId="1" fontId="65" fillId="26" borderId="33" xfId="0" applyNumberFormat="1" applyFont="1" applyFill="1" applyBorder="1" applyAlignment="1" applyProtection="1">
      <alignment vertical="center" wrapText="1"/>
    </xf>
    <xf numFmtId="0" fontId="65" fillId="26" borderId="9" xfId="0" applyFont="1" applyFill="1" applyBorder="1" applyAlignment="1" applyProtection="1">
      <alignment vertical="center" wrapText="1"/>
    </xf>
    <xf numFmtId="1" fontId="65" fillId="26" borderId="9" xfId="0" applyNumberFormat="1" applyFont="1" applyFill="1" applyBorder="1" applyAlignment="1" applyProtection="1">
      <alignment vertical="center" wrapText="1"/>
    </xf>
    <xf numFmtId="0" fontId="65" fillId="26" borderId="0" xfId="0" applyFont="1" applyFill="1"/>
    <xf numFmtId="1" fontId="65" fillId="26" borderId="0" xfId="0" applyNumberFormat="1" applyFont="1" applyFill="1"/>
    <xf numFmtId="0" fontId="65" fillId="26" borderId="0" xfId="0" applyFont="1" applyFill="1" applyAlignment="1">
      <alignment vertical="center" wrapText="1"/>
    </xf>
    <xf numFmtId="1" fontId="65" fillId="26" borderId="0" xfId="0" applyNumberFormat="1" applyFont="1" applyFill="1" applyAlignment="1">
      <alignment vertical="center" wrapText="1"/>
    </xf>
    <xf numFmtId="0" fontId="65" fillId="14" borderId="9" xfId="0" applyFont="1" applyFill="1" applyBorder="1"/>
    <xf numFmtId="1" fontId="65" fillId="14" borderId="9" xfId="0" applyNumberFormat="1" applyFont="1" applyFill="1" applyBorder="1"/>
    <xf numFmtId="1" fontId="65" fillId="14" borderId="9" xfId="0" applyNumberFormat="1" applyFont="1" applyFill="1" applyBorder="1" applyAlignment="1" applyProtection="1">
      <alignment vertical="center" wrapText="1"/>
    </xf>
    <xf numFmtId="1" fontId="65" fillId="0" borderId="9" xfId="0" applyNumberFormat="1" applyFont="1" applyFill="1" applyBorder="1" applyAlignment="1" applyProtection="1">
      <alignment vertical="center" wrapText="1"/>
    </xf>
    <xf numFmtId="0" fontId="65" fillId="14" borderId="9" xfId="0" applyFont="1" applyFill="1" applyBorder="1" applyAlignment="1">
      <alignment vertical="top" wrapText="1"/>
    </xf>
    <xf numFmtId="0" fontId="65" fillId="0" borderId="0" xfId="0" applyFont="1" applyAlignment="1">
      <alignment vertical="top" wrapText="1"/>
    </xf>
    <xf numFmtId="0" fontId="73" fillId="14" borderId="9" xfId="0" applyFont="1" applyFill="1" applyBorder="1" applyAlignment="1">
      <alignment vertical="center"/>
    </xf>
    <xf numFmtId="165" fontId="65" fillId="14" borderId="33" xfId="0" applyNumberFormat="1" applyFont="1" applyFill="1" applyBorder="1" applyAlignment="1" applyProtection="1">
      <alignment vertical="center" wrapText="1"/>
    </xf>
    <xf numFmtId="1" fontId="65" fillId="14" borderId="33" xfId="0" applyNumberFormat="1" applyFont="1" applyFill="1" applyBorder="1" applyAlignment="1" applyProtection="1">
      <alignment vertical="center" wrapText="1"/>
    </xf>
    <xf numFmtId="165" fontId="65" fillId="15" borderId="9" xfId="0" applyNumberFormat="1" applyFont="1" applyFill="1" applyBorder="1" applyAlignment="1" applyProtection="1">
      <alignment vertical="center" wrapText="1"/>
    </xf>
    <xf numFmtId="0" fontId="65" fillId="15" borderId="9" xfId="0" applyFont="1" applyFill="1" applyBorder="1" applyAlignment="1" applyProtection="1">
      <alignment vertical="center" wrapText="1"/>
    </xf>
    <xf numFmtId="0" fontId="65" fillId="15" borderId="9" xfId="0" applyFont="1" applyFill="1" applyBorder="1"/>
    <xf numFmtId="1" fontId="65" fillId="15" borderId="9" xfId="0" applyNumberFormat="1" applyFont="1" applyFill="1" applyBorder="1" applyAlignment="1" applyProtection="1">
      <alignment vertical="center" wrapText="1"/>
    </xf>
    <xf numFmtId="168" fontId="65" fillId="15" borderId="9" xfId="0" applyNumberFormat="1" applyFont="1" applyFill="1" applyBorder="1"/>
    <xf numFmtId="9" fontId="65" fillId="15" borderId="9" xfId="1" applyFont="1" applyFill="1" applyBorder="1"/>
    <xf numFmtId="0" fontId="69" fillId="15" borderId="9" xfId="0" applyFont="1" applyFill="1" applyBorder="1"/>
    <xf numFmtId="10" fontId="65" fillId="15" borderId="9" xfId="1" applyNumberFormat="1" applyFont="1" applyFill="1" applyBorder="1"/>
    <xf numFmtId="0" fontId="65" fillId="0" borderId="0" xfId="0" applyFont="1" applyAlignment="1">
      <alignment vertical="center"/>
    </xf>
    <xf numFmtId="0" fontId="65" fillId="27" borderId="9" xfId="0" applyFont="1" applyFill="1" applyBorder="1" applyAlignment="1">
      <alignment vertical="center"/>
    </xf>
    <xf numFmtId="9" fontId="65" fillId="27" borderId="9" xfId="0" applyNumberFormat="1" applyFont="1" applyFill="1" applyBorder="1"/>
    <xf numFmtId="0" fontId="65" fillId="27" borderId="9" xfId="0" applyFont="1" applyFill="1" applyBorder="1"/>
    <xf numFmtId="10" fontId="65" fillId="27" borderId="9" xfId="0" applyNumberFormat="1" applyFont="1" applyFill="1" applyBorder="1"/>
    <xf numFmtId="0" fontId="65" fillId="27" borderId="9" xfId="0" applyFont="1" applyFill="1" applyBorder="1" applyAlignment="1">
      <alignment vertical="center" wrapText="1"/>
    </xf>
    <xf numFmtId="9" fontId="65" fillId="27" borderId="9" xfId="0" applyNumberFormat="1" applyFont="1" applyFill="1" applyBorder="1" applyAlignment="1">
      <alignment wrapText="1"/>
    </xf>
    <xf numFmtId="0" fontId="69" fillId="27" borderId="9" xfId="0" applyFont="1" applyFill="1" applyBorder="1" applyAlignment="1">
      <alignment vertical="center"/>
    </xf>
    <xf numFmtId="9" fontId="69" fillId="27" borderId="9" xfId="0" applyNumberFormat="1" applyFont="1" applyFill="1" applyBorder="1"/>
    <xf numFmtId="167" fontId="69" fillId="27" borderId="9" xfId="0" applyNumberFormat="1" applyFont="1" applyFill="1" applyBorder="1"/>
    <xf numFmtId="0" fontId="65" fillId="27" borderId="9" xfId="0" applyFont="1" applyFill="1" applyBorder="1" applyAlignment="1">
      <alignment wrapText="1"/>
    </xf>
    <xf numFmtId="0" fontId="65" fillId="28" borderId="9" xfId="0" applyFont="1" applyFill="1" applyBorder="1" applyAlignment="1">
      <alignment horizontal="center" vertical="center"/>
    </xf>
    <xf numFmtId="0" fontId="65" fillId="28" borderId="9" xfId="0" applyFont="1" applyFill="1" applyBorder="1" applyAlignment="1" applyProtection="1">
      <alignment vertical="center" wrapText="1"/>
    </xf>
    <xf numFmtId="165" fontId="69" fillId="28" borderId="9" xfId="0" applyNumberFormat="1" applyFont="1" applyFill="1" applyBorder="1" applyAlignment="1">
      <alignment horizontal="center" vertical="center"/>
    </xf>
    <xf numFmtId="0" fontId="65" fillId="28" borderId="9" xfId="0" applyFont="1" applyFill="1" applyBorder="1" applyAlignment="1">
      <alignment horizontal="center" vertical="top" wrapText="1"/>
    </xf>
    <xf numFmtId="0" fontId="65" fillId="29" borderId="9" xfId="0" applyFont="1" applyFill="1" applyBorder="1"/>
    <xf numFmtId="0" fontId="65" fillId="29" borderId="9" xfId="0" applyFont="1" applyFill="1" applyBorder="1" applyAlignment="1" applyProtection="1">
      <alignment vertical="center" wrapText="1"/>
    </xf>
    <xf numFmtId="168" fontId="65" fillId="29" borderId="9" xfId="0" applyNumberFormat="1" applyFont="1" applyFill="1" applyBorder="1"/>
    <xf numFmtId="0" fontId="65" fillId="29" borderId="9" xfId="0" applyFont="1" applyFill="1" applyBorder="1" applyAlignment="1">
      <alignment vertical="center"/>
    </xf>
    <xf numFmtId="168" fontId="70" fillId="29" borderId="9" xfId="0" applyNumberFormat="1" applyFont="1" applyFill="1" applyBorder="1" applyAlignment="1">
      <alignment vertical="center" wrapText="1"/>
    </xf>
    <xf numFmtId="0" fontId="65" fillId="15" borderId="9" xfId="0" applyFont="1" applyFill="1" applyBorder="1" applyAlignment="1">
      <alignment vertical="center"/>
    </xf>
    <xf numFmtId="0" fontId="65" fillId="30" borderId="9" xfId="0" applyFont="1" applyFill="1" applyBorder="1" applyAlignment="1">
      <alignment vertical="center"/>
    </xf>
    <xf numFmtId="0" fontId="65" fillId="31" borderId="9" xfId="0" applyFont="1" applyFill="1" applyBorder="1"/>
    <xf numFmtId="0" fontId="68" fillId="32" borderId="9" xfId="0" applyFont="1" applyFill="1" applyBorder="1" applyAlignment="1">
      <alignment vertical="center"/>
    </xf>
    <xf numFmtId="0" fontId="65" fillId="32" borderId="9" xfId="0" applyFont="1" applyFill="1" applyBorder="1" applyAlignment="1">
      <alignment vertical="center"/>
    </xf>
    <xf numFmtId="0" fontId="75" fillId="32" borderId="9" xfId="0" applyFont="1" applyFill="1" applyBorder="1" applyAlignment="1">
      <alignment vertical="center"/>
    </xf>
    <xf numFmtId="0" fontId="76" fillId="32" borderId="9" xfId="0" applyFont="1" applyFill="1" applyBorder="1" applyAlignment="1">
      <alignment vertical="center"/>
    </xf>
    <xf numFmtId="2" fontId="76" fillId="32" borderId="9" xfId="0" applyNumberFormat="1" applyFont="1" applyFill="1" applyBorder="1" applyAlignment="1">
      <alignment horizontal="center" vertical="center"/>
    </xf>
    <xf numFmtId="2" fontId="65" fillId="32" borderId="9" xfId="0" applyNumberFormat="1" applyFont="1" applyFill="1" applyBorder="1" applyAlignment="1">
      <alignment horizontal="center" vertical="center"/>
    </xf>
    <xf numFmtId="168" fontId="76" fillId="32" borderId="9" xfId="0" applyNumberFormat="1" applyFont="1" applyFill="1" applyBorder="1" applyAlignment="1">
      <alignment horizontal="center" vertical="center"/>
    </xf>
    <xf numFmtId="169" fontId="76" fillId="32" borderId="9" xfId="0" applyNumberFormat="1" applyFont="1" applyFill="1" applyBorder="1" applyAlignment="1">
      <alignment horizontal="center" vertical="center"/>
    </xf>
    <xf numFmtId="168" fontId="75" fillId="32" borderId="9" xfId="0" applyNumberFormat="1" applyFont="1" applyFill="1" applyBorder="1" applyAlignment="1">
      <alignment horizontal="center" vertical="center"/>
    </xf>
    <xf numFmtId="0" fontId="0" fillId="32" borderId="9" xfId="0" applyFont="1" applyFill="1" applyBorder="1" applyAlignment="1">
      <alignment vertical="center"/>
    </xf>
    <xf numFmtId="0" fontId="77" fillId="32" borderId="9" xfId="0" applyFont="1" applyFill="1" applyBorder="1" applyAlignment="1">
      <alignment vertical="center"/>
    </xf>
    <xf numFmtId="175" fontId="0" fillId="32" borderId="9" xfId="0" applyNumberFormat="1" applyFont="1" applyFill="1" applyBorder="1" applyAlignment="1">
      <alignment horizontal="center" vertical="center"/>
    </xf>
    <xf numFmtId="165" fontId="68" fillId="0" borderId="9" xfId="0" applyNumberFormat="1" applyFont="1" applyBorder="1" applyAlignment="1" applyProtection="1">
      <alignment horizontal="center" vertical="center" wrapText="1"/>
    </xf>
    <xf numFmtId="0" fontId="68" fillId="0" borderId="9" xfId="0" applyFont="1" applyBorder="1" applyAlignment="1">
      <alignment horizontal="center" vertical="center"/>
    </xf>
    <xf numFmtId="0" fontId="68" fillId="0" borderId="0" xfId="0" applyFont="1" applyAlignment="1">
      <alignment horizontal="center" vertical="center"/>
    </xf>
    <xf numFmtId="169" fontId="29" fillId="14" borderId="67" xfId="0" quotePrefix="1" applyNumberFormat="1" applyFont="1" applyFill="1" applyBorder="1" applyAlignment="1">
      <alignment horizontal="center" vertical="center"/>
    </xf>
    <xf numFmtId="169" fontId="23" fillId="14" borderId="68" xfId="0" applyNumberFormat="1" applyFont="1" applyFill="1" applyBorder="1" applyAlignment="1">
      <alignment horizontal="center" vertical="center"/>
    </xf>
    <xf numFmtId="169" fontId="29" fillId="14" borderId="68" xfId="0" applyNumberFormat="1" applyFont="1" applyFill="1" applyBorder="1" applyAlignment="1">
      <alignment horizontal="center" vertical="center"/>
    </xf>
    <xf numFmtId="169" fontId="34" fillId="14" borderId="68" xfId="0" applyNumberFormat="1" applyFont="1" applyFill="1" applyBorder="1" applyAlignment="1">
      <alignment horizontal="center" vertical="center"/>
    </xf>
    <xf numFmtId="169" fontId="18" fillId="14" borderId="68" xfId="0" applyNumberFormat="1" applyFont="1" applyFill="1" applyBorder="1" applyAlignment="1">
      <alignment horizontal="center" vertical="center"/>
    </xf>
    <xf numFmtId="169" fontId="23" fillId="14" borderId="69" xfId="0" applyNumberFormat="1" applyFont="1" applyFill="1" applyBorder="1" applyAlignment="1">
      <alignment horizontal="center" vertical="center"/>
    </xf>
    <xf numFmtId="169" fontId="29" fillId="15" borderId="67" xfId="0" quotePrefix="1" applyNumberFormat="1" applyFont="1" applyFill="1" applyBorder="1" applyAlignment="1">
      <alignment horizontal="center" vertical="center"/>
    </xf>
    <xf numFmtId="169" fontId="23" fillId="15" borderId="68" xfId="0" applyNumberFormat="1" applyFont="1" applyFill="1" applyBorder="1" applyAlignment="1">
      <alignment horizontal="center" vertical="center"/>
    </xf>
    <xf numFmtId="169" fontId="23" fillId="15" borderId="69" xfId="0" applyNumberFormat="1" applyFont="1" applyFill="1" applyBorder="1" applyAlignment="1">
      <alignment horizontal="center" vertical="center"/>
    </xf>
    <xf numFmtId="169" fontId="23" fillId="10" borderId="68" xfId="0" applyNumberFormat="1" applyFont="1" applyFill="1" applyBorder="1" applyAlignment="1">
      <alignment horizontal="center" vertical="center"/>
    </xf>
    <xf numFmtId="169" fontId="17" fillId="10" borderId="60" xfId="2" applyNumberFormat="1" applyFont="1" applyFill="1" applyBorder="1" applyAlignment="1">
      <alignment vertical="center" wrapText="1"/>
    </xf>
    <xf numFmtId="169" fontId="18" fillId="10" borderId="68" xfId="0" applyNumberFormat="1" applyFont="1" applyFill="1" applyBorder="1" applyAlignment="1">
      <alignment horizontal="center" vertical="center"/>
    </xf>
    <xf numFmtId="169" fontId="17" fillId="10" borderId="68" xfId="0" applyNumberFormat="1" applyFont="1" applyFill="1" applyBorder="1" applyAlignment="1">
      <alignment horizontal="center" vertical="center"/>
    </xf>
    <xf numFmtId="169" fontId="17" fillId="10" borderId="68" xfId="0" applyNumberFormat="1" applyFont="1" applyFill="1" applyBorder="1" applyAlignment="1">
      <alignment horizontal="center" vertical="center" wrapText="1"/>
    </xf>
    <xf numFmtId="169" fontId="18" fillId="10" borderId="68" xfId="3" applyNumberFormat="1" applyFont="1" applyFill="1" applyBorder="1" applyAlignment="1">
      <alignment horizontal="center" vertical="center"/>
    </xf>
    <xf numFmtId="169" fontId="18" fillId="10" borderId="69" xfId="3" applyNumberFormat="1" applyFont="1" applyFill="1" applyBorder="1" applyAlignment="1">
      <alignment horizontal="center" vertical="center"/>
    </xf>
    <xf numFmtId="0" fontId="34" fillId="0" borderId="60" xfId="0" applyFont="1" applyFill="1" applyBorder="1" applyAlignment="1">
      <alignment vertical="center"/>
    </xf>
    <xf numFmtId="0" fontId="23" fillId="0" borderId="48" xfId="0" applyFont="1" applyFill="1" applyBorder="1" applyAlignment="1">
      <alignment vertical="center"/>
    </xf>
    <xf numFmtId="11" fontId="29" fillId="0" borderId="48" xfId="0" applyNumberFormat="1" applyFont="1" applyFill="1" applyBorder="1" applyAlignment="1">
      <alignment vertical="center"/>
    </xf>
    <xf numFmtId="4" fontId="23" fillId="0" borderId="48" xfId="0" applyNumberFormat="1" applyFont="1" applyFill="1" applyBorder="1" applyAlignment="1">
      <alignment vertical="center"/>
    </xf>
    <xf numFmtId="11" fontId="23" fillId="0" borderId="48" xfId="0" applyNumberFormat="1" applyFont="1" applyFill="1" applyBorder="1" applyAlignment="1">
      <alignment vertical="center"/>
    </xf>
    <xf numFmtId="4" fontId="34" fillId="0" borderId="48" xfId="0" applyNumberFormat="1" applyFont="1" applyFill="1" applyBorder="1" applyAlignment="1">
      <alignment vertical="center"/>
    </xf>
    <xf numFmtId="0" fontId="34" fillId="0" borderId="48" xfId="0" applyFont="1" applyFill="1" applyBorder="1" applyAlignment="1">
      <alignment vertical="center"/>
    </xf>
    <xf numFmtId="11" fontId="34" fillId="0" borderId="48" xfId="0" applyNumberFormat="1" applyFont="1" applyFill="1" applyBorder="1" applyAlignment="1">
      <alignment vertical="center"/>
    </xf>
    <xf numFmtId="168" fontId="34" fillId="0" borderId="48" xfId="0" applyNumberFormat="1" applyFont="1" applyFill="1" applyBorder="1" applyAlignment="1">
      <alignment vertical="center"/>
    </xf>
    <xf numFmtId="169" fontId="34" fillId="0" borderId="48" xfId="0" applyNumberFormat="1" applyFont="1" applyFill="1" applyBorder="1" applyAlignment="1">
      <alignment vertical="center"/>
    </xf>
    <xf numFmtId="0" fontId="23" fillId="0" borderId="0" xfId="0" applyFont="1" applyFill="1" applyBorder="1" applyAlignment="1">
      <alignment vertical="center"/>
    </xf>
    <xf numFmtId="0" fontId="29" fillId="0" borderId="0" xfId="0" applyFont="1" applyFill="1" applyBorder="1" applyAlignment="1">
      <alignment vertical="center"/>
    </xf>
    <xf numFmtId="0" fontId="34" fillId="0" borderId="62" xfId="0" applyFont="1" applyBorder="1" applyAlignment="1">
      <alignment vertical="center"/>
    </xf>
    <xf numFmtId="0" fontId="29" fillId="0" borderId="55" xfId="0" applyFont="1" applyFill="1" applyBorder="1" applyAlignment="1">
      <alignment horizontal="left" vertical="center"/>
    </xf>
    <xf numFmtId="0" fontId="34" fillId="0" borderId="33" xfId="0" applyFont="1" applyFill="1" applyBorder="1" applyAlignment="1">
      <alignment vertical="center"/>
    </xf>
    <xf numFmtId="0" fontId="29" fillId="0" borderId="33" xfId="0" applyFont="1" applyFill="1" applyBorder="1" applyAlignment="1">
      <alignment vertical="center"/>
    </xf>
    <xf numFmtId="0" fontId="23" fillId="0" borderId="33" xfId="0" applyFont="1" applyFill="1" applyBorder="1" applyAlignment="1">
      <alignment vertical="center"/>
    </xf>
    <xf numFmtId="169" fontId="23" fillId="0" borderId="33" xfId="0" applyNumberFormat="1" applyFont="1" applyFill="1" applyBorder="1" applyAlignment="1">
      <alignment vertical="center"/>
    </xf>
    <xf numFmtId="169" fontId="34" fillId="0" borderId="33" xfId="0" applyNumberFormat="1" applyFont="1" applyFill="1" applyBorder="1" applyAlignment="1">
      <alignment vertical="center"/>
    </xf>
    <xf numFmtId="168" fontId="34" fillId="0" borderId="33" xfId="0" applyNumberFormat="1" applyFont="1" applyFill="1" applyBorder="1" applyAlignment="1">
      <alignment vertical="center"/>
    </xf>
    <xf numFmtId="168" fontId="34" fillId="0" borderId="33" xfId="0" applyNumberFormat="1" applyFont="1" applyFill="1" applyBorder="1" applyAlignment="1">
      <alignment horizontal="left" vertical="center"/>
    </xf>
    <xf numFmtId="170" fontId="34" fillId="0" borderId="33" xfId="0" applyNumberFormat="1" applyFont="1" applyFill="1" applyBorder="1" applyAlignment="1">
      <alignment horizontal="left" vertical="center"/>
    </xf>
    <xf numFmtId="170" fontId="34" fillId="0" borderId="33" xfId="0" applyNumberFormat="1" applyFont="1" applyFill="1" applyBorder="1" applyAlignment="1">
      <alignment vertical="center"/>
    </xf>
    <xf numFmtId="169" fontId="33" fillId="14" borderId="16" xfId="0" applyNumberFormat="1" applyFont="1" applyFill="1" applyBorder="1" applyAlignment="1">
      <alignment horizontal="center" vertical="center" wrapText="1"/>
    </xf>
    <xf numFmtId="0" fontId="29" fillId="0" borderId="5" xfId="0" applyFont="1" applyFill="1" applyBorder="1" applyAlignment="1">
      <alignment horizontal="center" vertical="center"/>
    </xf>
    <xf numFmtId="0" fontId="29" fillId="0" borderId="16" xfId="0" applyFont="1" applyBorder="1" applyAlignment="1">
      <alignment vertical="center"/>
    </xf>
    <xf numFmtId="168" fontId="33" fillId="0" borderId="54" xfId="0" applyNumberFormat="1" applyFont="1" applyFill="1" applyBorder="1" applyAlignment="1">
      <alignment horizontal="center" vertical="center" wrapText="1"/>
    </xf>
    <xf numFmtId="169" fontId="18" fillId="5" borderId="68" xfId="0" applyNumberFormat="1" applyFont="1" applyFill="1" applyBorder="1" applyAlignment="1">
      <alignment horizontal="center" vertical="center"/>
    </xf>
    <xf numFmtId="169" fontId="17" fillId="5" borderId="60" xfId="2" applyNumberFormat="1" applyFont="1" applyFill="1" applyBorder="1" applyAlignment="1">
      <alignment vertical="center" wrapText="1"/>
    </xf>
    <xf numFmtId="169" fontId="33" fillId="15" borderId="38" xfId="0" applyNumberFormat="1" applyFont="1" applyFill="1" applyBorder="1" applyAlignment="1">
      <alignment horizontal="center" vertical="center" wrapText="1"/>
    </xf>
    <xf numFmtId="169" fontId="18" fillId="10" borderId="67" xfId="0" applyNumberFormat="1" applyFont="1" applyFill="1" applyBorder="1" applyAlignment="1">
      <alignment horizontal="center" vertical="center"/>
    </xf>
    <xf numFmtId="169" fontId="18" fillId="5" borderId="67" xfId="0" applyNumberFormat="1" applyFont="1" applyFill="1" applyBorder="1" applyAlignment="1">
      <alignment horizontal="center" vertical="center"/>
    </xf>
    <xf numFmtId="176" fontId="65" fillId="22" borderId="9" xfId="6" applyNumberFormat="1" applyFont="1" applyFill="1" applyBorder="1" applyAlignment="1">
      <alignment horizontal="center" vertical="center"/>
    </xf>
    <xf numFmtId="0" fontId="65" fillId="22" borderId="9" xfId="6" applyFont="1" applyFill="1" applyBorder="1" applyAlignment="1">
      <alignment horizontal="center" vertical="center"/>
    </xf>
    <xf numFmtId="0" fontId="65" fillId="22" borderId="9" xfId="0" applyFont="1" applyFill="1" applyBorder="1" applyAlignment="1">
      <alignment vertical="center"/>
    </xf>
    <xf numFmtId="1" fontId="69" fillId="22" borderId="9" xfId="0" applyNumberFormat="1" applyFont="1" applyFill="1" applyBorder="1" applyAlignment="1">
      <alignment horizontal="center" vertical="center"/>
    </xf>
    <xf numFmtId="1" fontId="65" fillId="22" borderId="9" xfId="0" applyNumberFormat="1" applyFont="1" applyFill="1" applyBorder="1" applyAlignment="1">
      <alignment horizontal="center" vertical="center"/>
    </xf>
    <xf numFmtId="1" fontId="69" fillId="22" borderId="9" xfId="0" applyNumberFormat="1" applyFont="1" applyFill="1" applyBorder="1" applyAlignment="1">
      <alignment vertical="center"/>
    </xf>
    <xf numFmtId="2" fontId="65" fillId="22" borderId="9" xfId="4" applyNumberFormat="1" applyFont="1" applyFill="1" applyBorder="1" applyAlignment="1">
      <alignment horizontal="center" vertical="center"/>
    </xf>
    <xf numFmtId="168" fontId="65" fillId="22" borderId="9" xfId="0" applyNumberFormat="1" applyFont="1" applyFill="1" applyBorder="1" applyAlignment="1" applyProtection="1">
      <alignment vertical="center" wrapText="1"/>
    </xf>
    <xf numFmtId="168" fontId="69" fillId="22" borderId="9" xfId="0" applyNumberFormat="1" applyFont="1" applyFill="1" applyBorder="1" applyAlignment="1">
      <alignment horizontal="center" vertical="center"/>
    </xf>
    <xf numFmtId="168" fontId="65" fillId="22" borderId="9" xfId="0" applyNumberFormat="1" applyFont="1" applyFill="1" applyBorder="1" applyAlignment="1">
      <alignment horizontal="center" vertical="center"/>
    </xf>
    <xf numFmtId="168" fontId="69" fillId="22" borderId="9" xfId="0" applyNumberFormat="1" applyFont="1" applyFill="1" applyBorder="1" applyAlignment="1">
      <alignment vertical="center"/>
    </xf>
    <xf numFmtId="168" fontId="65" fillId="22" borderId="9" xfId="4" applyNumberFormat="1" applyFont="1" applyFill="1" applyBorder="1" applyAlignment="1">
      <alignment horizontal="center" vertical="center"/>
    </xf>
    <xf numFmtId="168" fontId="65" fillId="0" borderId="0" xfId="0" applyNumberFormat="1" applyFont="1" applyAlignment="1">
      <alignment horizontal="center" vertical="center"/>
    </xf>
    <xf numFmtId="0" fontId="82" fillId="0" borderId="0" xfId="0" applyFont="1" applyAlignment="1">
      <alignment horizontal="center" vertical="center"/>
    </xf>
    <xf numFmtId="0" fontId="83" fillId="0" borderId="0" xfId="0" applyFont="1" applyAlignment="1">
      <alignment horizontal="center" vertical="center"/>
    </xf>
    <xf numFmtId="168" fontId="68" fillId="0" borderId="0" xfId="1" applyNumberFormat="1" applyFont="1" applyAlignment="1">
      <alignment horizontal="center" vertical="center"/>
    </xf>
    <xf numFmtId="1" fontId="65" fillId="0" borderId="9" xfId="0" applyNumberFormat="1" applyFont="1" applyFill="1" applyBorder="1"/>
    <xf numFmtId="0" fontId="70" fillId="29" borderId="9" xfId="0" applyFont="1" applyFill="1" applyBorder="1" applyAlignment="1">
      <alignment vertical="center" wrapText="1"/>
    </xf>
    <xf numFmtId="0" fontId="69" fillId="29" borderId="9" xfId="0" applyFont="1" applyFill="1" applyBorder="1" applyAlignment="1">
      <alignment wrapText="1"/>
    </xf>
    <xf numFmtId="0" fontId="65" fillId="29" borderId="9" xfId="0" applyFont="1" applyFill="1" applyBorder="1" applyAlignment="1">
      <alignment wrapText="1"/>
    </xf>
    <xf numFmtId="0" fontId="65" fillId="0" borderId="0" xfId="0" applyFont="1" applyAlignment="1">
      <alignment wrapText="1"/>
    </xf>
    <xf numFmtId="0" fontId="65" fillId="28" borderId="9" xfId="0" applyFont="1" applyFill="1" applyBorder="1" applyAlignment="1">
      <alignment horizontal="left" vertical="center" wrapText="1"/>
    </xf>
    <xf numFmtId="0" fontId="65" fillId="0" borderId="0" xfId="0" applyFont="1" applyAlignment="1">
      <alignment horizontal="left" vertical="center" wrapText="1"/>
    </xf>
    <xf numFmtId="0" fontId="83" fillId="0" borderId="0" xfId="0" applyFont="1" applyAlignment="1">
      <alignment horizontal="center" vertical="center" wrapText="1"/>
    </xf>
    <xf numFmtId="169" fontId="84" fillId="0" borderId="0" xfId="0" applyNumberFormat="1" applyFont="1" applyAlignment="1">
      <alignment horizontal="center"/>
    </xf>
    <xf numFmtId="169" fontId="6" fillId="0" borderId="0" xfId="0" applyNumberFormat="1" applyFont="1" applyAlignment="1">
      <alignment horizontal="center"/>
    </xf>
    <xf numFmtId="169" fontId="0" fillId="0" borderId="0" xfId="0" applyNumberFormat="1" applyAlignment="1">
      <alignment horizontal="center"/>
    </xf>
    <xf numFmtId="0" fontId="84" fillId="0" borderId="83" xfId="0" applyFont="1" applyBorder="1"/>
    <xf numFmtId="0" fontId="6" fillId="0" borderId="83" xfId="0" applyFont="1" applyBorder="1"/>
    <xf numFmtId="0" fontId="0" fillId="0" borderId="83" xfId="0" applyBorder="1"/>
    <xf numFmtId="0" fontId="11" fillId="0" borderId="2" xfId="0" applyFont="1" applyFill="1" applyBorder="1" applyAlignment="1">
      <alignment horizontal="center" vertical="center" wrapText="1"/>
    </xf>
    <xf numFmtId="0" fontId="23" fillId="0" borderId="28" xfId="0" applyFont="1" applyFill="1" applyBorder="1"/>
    <xf numFmtId="0" fontId="29" fillId="0" borderId="54" xfId="0" applyFont="1" applyFill="1" applyBorder="1" applyAlignment="1">
      <alignment horizontal="center" vertical="center"/>
    </xf>
    <xf numFmtId="0" fontId="29" fillId="0" borderId="30" xfId="0" applyFont="1" applyFill="1" applyBorder="1"/>
    <xf numFmtId="0" fontId="23" fillId="0" borderId="31" xfId="0" applyFont="1" applyFill="1" applyBorder="1"/>
    <xf numFmtId="0" fontId="29" fillId="0" borderId="31" xfId="0" applyFont="1" applyFill="1" applyBorder="1"/>
    <xf numFmtId="0" fontId="34" fillId="0" borderId="31" xfId="0" applyFont="1" applyFill="1" applyBorder="1"/>
    <xf numFmtId="0" fontId="23" fillId="0" borderId="31" xfId="0" applyFont="1" applyFill="1" applyBorder="1" applyAlignment="1">
      <alignment horizontal="left"/>
    </xf>
    <xf numFmtId="0" fontId="31" fillId="0" borderId="31" xfId="0" applyFont="1" applyFill="1" applyBorder="1"/>
    <xf numFmtId="0" fontId="35" fillId="0" borderId="31" xfId="0" applyFont="1" applyFill="1" applyBorder="1"/>
    <xf numFmtId="168" fontId="29" fillId="0" borderId="31" xfId="0" applyNumberFormat="1" applyFont="1" applyFill="1" applyBorder="1"/>
    <xf numFmtId="168" fontId="23" fillId="0" borderId="31" xfId="0" applyNumberFormat="1" applyFont="1" applyFill="1" applyBorder="1"/>
    <xf numFmtId="169" fontId="23" fillId="0" borderId="31" xfId="0" applyNumberFormat="1" applyFont="1" applyFill="1" applyBorder="1"/>
    <xf numFmtId="170" fontId="23" fillId="0" borderId="31" xfId="0" applyNumberFormat="1" applyFont="1" applyFill="1" applyBorder="1"/>
    <xf numFmtId="0" fontId="29" fillId="0" borderId="174" xfId="0" applyFont="1" applyFill="1" applyBorder="1"/>
    <xf numFmtId="0" fontId="29" fillId="0" borderId="48" xfId="0" applyFont="1" applyBorder="1" applyAlignment="1">
      <alignment vertical="center"/>
    </xf>
    <xf numFmtId="0" fontId="23" fillId="0" borderId="174" xfId="0" applyFont="1" applyFill="1" applyBorder="1"/>
    <xf numFmtId="0" fontId="34" fillId="0" borderId="48" xfId="0" applyFont="1" applyBorder="1" applyAlignment="1">
      <alignment vertical="center"/>
    </xf>
    <xf numFmtId="0" fontId="23" fillId="0" borderId="13" xfId="0" applyFont="1" applyFill="1" applyBorder="1" applyAlignment="1">
      <alignment vertical="center"/>
    </xf>
    <xf numFmtId="0" fontId="29" fillId="0" borderId="13" xfId="0" applyFont="1" applyFill="1" applyBorder="1" applyAlignment="1">
      <alignment vertical="center"/>
    </xf>
    <xf numFmtId="0" fontId="23" fillId="0" borderId="175" xfId="0" applyFont="1" applyFill="1" applyBorder="1"/>
    <xf numFmtId="0" fontId="34" fillId="0" borderId="165" xfId="0" applyFont="1" applyBorder="1" applyAlignment="1">
      <alignment vertical="center"/>
    </xf>
    <xf numFmtId="169" fontId="65" fillId="32" borderId="9" xfId="0" applyNumberFormat="1" applyFont="1" applyFill="1" applyBorder="1" applyAlignment="1">
      <alignment vertical="center"/>
    </xf>
    <xf numFmtId="169" fontId="75" fillId="32" borderId="9" xfId="0" applyNumberFormat="1" applyFont="1" applyFill="1" applyBorder="1" applyAlignment="1">
      <alignment vertical="center"/>
    </xf>
    <xf numFmtId="169" fontId="65" fillId="32" borderId="9" xfId="0" applyNumberFormat="1" applyFont="1" applyFill="1" applyBorder="1" applyAlignment="1">
      <alignment horizontal="center" vertical="center"/>
    </xf>
    <xf numFmtId="169" fontId="75" fillId="32" borderId="9" xfId="0" applyNumberFormat="1" applyFont="1" applyFill="1" applyBorder="1" applyAlignment="1">
      <alignment horizontal="center" vertical="center"/>
    </xf>
    <xf numFmtId="169" fontId="0" fillId="32" borderId="9" xfId="0" applyNumberFormat="1" applyFont="1" applyFill="1" applyBorder="1" applyAlignment="1">
      <alignment horizontal="center" vertical="center"/>
    </xf>
    <xf numFmtId="169" fontId="65" fillId="0" borderId="0" xfId="0" applyNumberFormat="1" applyFont="1"/>
    <xf numFmtId="0" fontId="22" fillId="0" borderId="13" xfId="0" applyFont="1" applyBorder="1" applyAlignment="1" applyProtection="1">
      <alignment horizontal="center" vertical="center" wrapText="1"/>
    </xf>
    <xf numFmtId="0" fontId="11" fillId="13" borderId="101" xfId="0" applyFont="1" applyFill="1" applyBorder="1" applyAlignment="1">
      <alignment horizontal="center" vertical="center" wrapText="1"/>
    </xf>
    <xf numFmtId="0" fontId="11" fillId="13" borderId="102" xfId="0" applyFont="1" applyFill="1" applyBorder="1" applyAlignment="1">
      <alignment horizontal="center" vertical="center" wrapText="1"/>
    </xf>
    <xf numFmtId="0" fontId="11" fillId="18" borderId="102" xfId="0" applyFont="1" applyFill="1" applyBorder="1" applyAlignment="1">
      <alignment horizontal="center" vertical="center" wrapText="1"/>
    </xf>
    <xf numFmtId="0" fontId="11" fillId="19" borderId="102" xfId="0" applyFont="1" applyFill="1" applyBorder="1" applyAlignment="1">
      <alignment horizontal="center" vertical="center" wrapText="1"/>
    </xf>
    <xf numFmtId="0" fontId="11" fillId="19" borderId="103" xfId="0" applyFont="1" applyFill="1" applyBorder="1" applyAlignment="1">
      <alignment horizontal="center" vertical="center" wrapText="1"/>
    </xf>
    <xf numFmtId="0" fontId="47" fillId="0" borderId="10" xfId="0" applyFont="1" applyBorder="1" applyAlignment="1">
      <alignment vertical="center"/>
    </xf>
    <xf numFmtId="0" fontId="0" fillId="13" borderId="98" xfId="0" applyFont="1" applyFill="1" applyBorder="1" applyAlignment="1">
      <alignment vertical="center" wrapText="1"/>
    </xf>
    <xf numFmtId="0" fontId="0" fillId="13" borderId="99" xfId="0" applyFont="1" applyFill="1" applyBorder="1" applyAlignment="1">
      <alignment vertical="center" wrapText="1"/>
    </xf>
    <xf numFmtId="0" fontId="0" fillId="18" borderId="99" xfId="0" applyFont="1" applyFill="1" applyBorder="1" applyAlignment="1">
      <alignment vertical="center" wrapText="1"/>
    </xf>
    <xf numFmtId="0" fontId="0" fillId="19" borderId="99" xfId="0" applyFont="1" applyFill="1" applyBorder="1" applyAlignment="1">
      <alignment vertical="center" wrapText="1"/>
    </xf>
    <xf numFmtId="0" fontId="0" fillId="19" borderId="100" xfId="0" applyFont="1" applyFill="1" applyBorder="1" applyAlignment="1">
      <alignment vertical="center" wrapText="1"/>
    </xf>
    <xf numFmtId="0" fontId="0" fillId="13" borderId="88" xfId="0" applyFont="1" applyFill="1" applyBorder="1" applyAlignment="1">
      <alignment vertical="center" wrapText="1"/>
    </xf>
    <xf numFmtId="0" fontId="0" fillId="13" borderId="35" xfId="0" applyFont="1" applyFill="1" applyBorder="1" applyAlignment="1">
      <alignment vertical="center" wrapText="1"/>
    </xf>
    <xf numFmtId="0" fontId="0" fillId="18" borderId="35" xfId="0" applyFont="1" applyFill="1" applyBorder="1" applyAlignment="1">
      <alignment vertical="center" wrapText="1"/>
    </xf>
    <xf numFmtId="0" fontId="0" fillId="19" borderId="35" xfId="0" applyFont="1" applyFill="1" applyBorder="1" applyAlignment="1">
      <alignment vertical="center" wrapText="1"/>
    </xf>
    <xf numFmtId="0" fontId="0" fillId="19" borderId="95" xfId="0" applyFont="1" applyFill="1" applyBorder="1" applyAlignment="1">
      <alignment vertical="center" wrapText="1"/>
    </xf>
    <xf numFmtId="0" fontId="1" fillId="17" borderId="89" xfId="0" applyFont="1" applyFill="1" applyBorder="1" applyAlignment="1">
      <alignment horizontal="center" vertical="center" wrapText="1"/>
    </xf>
    <xf numFmtId="0" fontId="9" fillId="0" borderId="0" xfId="0" applyFont="1" applyFill="1" applyBorder="1" applyAlignment="1">
      <alignment vertical="center" wrapText="1"/>
    </xf>
    <xf numFmtId="169" fontId="11" fillId="13" borderId="101" xfId="0" applyNumberFormat="1" applyFont="1" applyFill="1" applyBorder="1" applyAlignment="1">
      <alignment horizontal="center" vertical="center" wrapText="1"/>
    </xf>
    <xf numFmtId="169" fontId="11" fillId="18" borderId="102" xfId="0" applyNumberFormat="1" applyFont="1" applyFill="1" applyBorder="1" applyAlignment="1">
      <alignment horizontal="center" vertical="center" wrapText="1"/>
    </xf>
    <xf numFmtId="169" fontId="11" fillId="0" borderId="90" xfId="0" applyNumberFormat="1" applyFont="1" applyBorder="1" applyAlignment="1">
      <alignment horizontal="center" vertical="center" wrapText="1"/>
    </xf>
    <xf numFmtId="169" fontId="11" fillId="19" borderId="102" xfId="0" applyNumberFormat="1" applyFont="1" applyFill="1" applyBorder="1" applyAlignment="1">
      <alignment horizontal="center" vertical="center" wrapText="1"/>
    </xf>
    <xf numFmtId="0" fontId="10" fillId="0" borderId="16" xfId="0" applyFont="1" applyFill="1" applyBorder="1" applyAlignment="1">
      <alignment horizontal="left" vertical="center" wrapText="1"/>
    </xf>
    <xf numFmtId="1" fontId="0" fillId="0" borderId="74" xfId="0" applyNumberFormat="1" applyBorder="1" applyAlignment="1">
      <alignment horizontal="center" vertical="center"/>
    </xf>
    <xf numFmtId="0" fontId="14" fillId="2" borderId="2" xfId="0" applyFont="1" applyFill="1" applyBorder="1" applyAlignment="1">
      <alignment horizontal="center" vertical="top" wrapText="1"/>
    </xf>
    <xf numFmtId="0" fontId="14" fillId="0" borderId="18" xfId="0" applyFont="1" applyBorder="1" applyAlignment="1">
      <alignment vertical="top" wrapText="1"/>
    </xf>
    <xf numFmtId="0" fontId="14" fillId="0" borderId="2" xfId="0" applyFont="1" applyBorder="1" applyAlignment="1">
      <alignment vertical="top" wrapText="1"/>
    </xf>
    <xf numFmtId="0" fontId="1" fillId="3" borderId="9" xfId="0" applyFont="1" applyFill="1" applyBorder="1" applyAlignment="1">
      <alignment horizontal="center" vertical="center" wrapText="1"/>
    </xf>
    <xf numFmtId="9" fontId="0" fillId="33" borderId="9" xfId="1" applyFont="1" applyFill="1" applyBorder="1" applyAlignment="1">
      <alignment horizontal="center" vertical="center"/>
    </xf>
    <xf numFmtId="0" fontId="1" fillId="0" borderId="153" xfId="0" applyFont="1" applyBorder="1" applyAlignment="1">
      <alignment horizontal="center" vertical="center" wrapText="1"/>
    </xf>
    <xf numFmtId="0" fontId="1" fillId="0" borderId="153" xfId="0" applyFont="1" applyBorder="1" applyAlignment="1">
      <alignment horizontal="center" vertical="center"/>
    </xf>
    <xf numFmtId="0" fontId="1" fillId="0" borderId="188" xfId="0" applyFont="1" applyBorder="1" applyAlignment="1">
      <alignment vertical="center" wrapText="1"/>
    </xf>
    <xf numFmtId="0" fontId="1" fillId="0" borderId="189" xfId="0" applyFont="1" applyBorder="1" applyAlignment="1">
      <alignment vertical="center" wrapText="1"/>
    </xf>
    <xf numFmtId="0" fontId="1" fillId="0" borderId="190" xfId="0" applyFont="1" applyBorder="1" applyAlignment="1">
      <alignment vertical="center" wrapText="1"/>
    </xf>
    <xf numFmtId="9" fontId="0" fillId="33" borderId="99" xfId="1" applyFont="1" applyFill="1" applyBorder="1" applyAlignment="1">
      <alignment horizontal="center" vertical="center"/>
    </xf>
    <xf numFmtId="0" fontId="4" fillId="0" borderId="13" xfId="0" applyFont="1" applyBorder="1" applyAlignment="1" applyProtection="1">
      <alignment vertical="center" wrapText="1"/>
    </xf>
    <xf numFmtId="0" fontId="17" fillId="0" borderId="81" xfId="0" applyFont="1" applyBorder="1" applyAlignment="1" applyProtection="1">
      <alignment vertical="center" wrapText="1"/>
    </xf>
    <xf numFmtId="0" fontId="17" fillId="0" borderId="9" xfId="0" applyFont="1" applyBorder="1" applyAlignment="1" applyProtection="1">
      <alignment vertical="center" wrapText="1"/>
    </xf>
    <xf numFmtId="0" fontId="11" fillId="0" borderId="13" xfId="0" applyFont="1" applyBorder="1" applyAlignment="1" applyProtection="1">
      <alignment horizontal="center" vertical="center" wrapText="1"/>
    </xf>
    <xf numFmtId="0" fontId="22" fillId="0" borderId="18" xfId="0" applyFont="1" applyBorder="1" applyAlignment="1" applyProtection="1">
      <alignment vertical="center" wrapText="1"/>
    </xf>
    <xf numFmtId="2" fontId="49" fillId="0" borderId="157" xfId="0" applyNumberFormat="1" applyFont="1" applyFill="1" applyBorder="1" applyAlignment="1" applyProtection="1">
      <alignment horizontal="center" vertical="center"/>
    </xf>
    <xf numFmtId="169" fontId="49" fillId="0" borderId="157" xfId="0" applyNumberFormat="1" applyFont="1" applyFill="1" applyBorder="1" applyAlignment="1" applyProtection="1">
      <alignment horizontal="center" vertical="center"/>
    </xf>
    <xf numFmtId="0" fontId="23" fillId="0" borderId="82" xfId="0" applyFont="1" applyBorder="1" applyAlignment="1" applyProtection="1">
      <alignment vertical="center"/>
    </xf>
    <xf numFmtId="9" fontId="23" fillId="0" borderId="82" xfId="1" applyFont="1" applyBorder="1" applyAlignment="1" applyProtection="1">
      <alignment vertical="center"/>
    </xf>
    <xf numFmtId="169" fontId="51" fillId="0" borderId="157" xfId="4" applyNumberFormat="1" applyFont="1" applyFill="1" applyBorder="1" applyAlignment="1" applyProtection="1">
      <alignment horizontal="center" vertical="center"/>
    </xf>
    <xf numFmtId="9" fontId="0" fillId="18" borderId="35" xfId="1" applyFont="1" applyFill="1" applyBorder="1" applyAlignment="1">
      <alignment vertical="center" wrapText="1"/>
    </xf>
    <xf numFmtId="9" fontId="0" fillId="18" borderId="55" xfId="1" applyFont="1" applyFill="1" applyBorder="1" applyAlignment="1">
      <alignment vertical="center" wrapText="1"/>
    </xf>
    <xf numFmtId="9" fontId="0" fillId="33" borderId="173" xfId="1" applyFont="1" applyFill="1" applyBorder="1" applyAlignment="1">
      <alignment horizontal="center" vertical="center"/>
    </xf>
    <xf numFmtId="9" fontId="1" fillId="13" borderId="28" xfId="0" applyNumberFormat="1" applyFont="1" applyFill="1" applyBorder="1" applyAlignment="1">
      <alignment horizontal="center" vertical="center"/>
    </xf>
    <xf numFmtId="9" fontId="1" fillId="13" borderId="29" xfId="0" applyNumberFormat="1" applyFont="1" applyFill="1" applyBorder="1" applyAlignment="1">
      <alignment horizontal="center" vertical="center"/>
    </xf>
    <xf numFmtId="9" fontId="4" fillId="18" borderId="29" xfId="1" applyFont="1" applyFill="1" applyBorder="1" applyAlignment="1">
      <alignment horizontal="center" vertical="center" wrapText="1"/>
    </xf>
    <xf numFmtId="9" fontId="1" fillId="33" borderId="29" xfId="0" applyNumberFormat="1" applyFont="1" applyFill="1" applyBorder="1" applyAlignment="1">
      <alignment horizontal="center" vertical="center"/>
    </xf>
    <xf numFmtId="9" fontId="1" fillId="0" borderId="54" xfId="0" applyNumberFormat="1" applyFont="1" applyBorder="1" applyAlignment="1">
      <alignment horizontal="center" vertical="center"/>
    </xf>
    <xf numFmtId="0" fontId="85" fillId="0" borderId="16" xfId="0" applyFont="1" applyFill="1" applyBorder="1" applyAlignment="1">
      <alignment horizontal="left" vertical="center" wrapText="1"/>
    </xf>
    <xf numFmtId="9" fontId="0" fillId="18" borderId="88" xfId="1" applyFont="1" applyFill="1" applyBorder="1" applyAlignment="1">
      <alignment vertical="center" wrapText="1"/>
    </xf>
    <xf numFmtId="9" fontId="0" fillId="18" borderId="198" xfId="1" applyFont="1" applyFill="1" applyBorder="1" applyAlignment="1">
      <alignment vertical="center" wrapText="1"/>
    </xf>
    <xf numFmtId="9" fontId="0" fillId="13" borderId="16" xfId="1" applyFont="1" applyFill="1" applyBorder="1" applyAlignment="1">
      <alignment horizontal="center" vertical="center"/>
    </xf>
    <xf numFmtId="9" fontId="0" fillId="33" borderId="100" xfId="1" applyFont="1" applyFill="1" applyBorder="1" applyAlignment="1">
      <alignment horizontal="center" vertical="center"/>
    </xf>
    <xf numFmtId="9" fontId="0" fillId="33" borderId="153" xfId="1" applyFont="1" applyFill="1" applyBorder="1" applyAlignment="1">
      <alignment horizontal="center" vertical="center"/>
    </xf>
    <xf numFmtId="9" fontId="0" fillId="33" borderId="199" xfId="1" applyFont="1" applyFill="1" applyBorder="1" applyAlignment="1">
      <alignment horizontal="center" vertical="center"/>
    </xf>
    <xf numFmtId="9" fontId="0" fillId="0" borderId="16" xfId="1" applyFont="1" applyBorder="1" applyAlignment="1">
      <alignment horizontal="center" vertical="center"/>
    </xf>
    <xf numFmtId="0" fontId="2" fillId="0" borderId="0" xfId="0" applyFont="1" applyAlignment="1">
      <alignment horizontal="left" vertical="center"/>
    </xf>
    <xf numFmtId="0" fontId="2" fillId="0" borderId="3" xfId="0" applyFont="1" applyBorder="1" applyAlignment="1">
      <alignment vertical="center"/>
    </xf>
    <xf numFmtId="0" fontId="2" fillId="0" borderId="5" xfId="0" applyFont="1" applyBorder="1" applyAlignment="1">
      <alignment vertical="center"/>
    </xf>
    <xf numFmtId="0" fontId="2" fillId="0" borderId="4" xfId="0" applyFont="1" applyBorder="1" applyAlignment="1">
      <alignment vertical="center"/>
    </xf>
    <xf numFmtId="0" fontId="0" fillId="0" borderId="9" xfId="0" applyBorder="1"/>
    <xf numFmtId="0" fontId="23" fillId="0" borderId="9" xfId="0" applyFont="1" applyBorder="1" applyAlignment="1">
      <alignment horizontal="center" vertical="center"/>
    </xf>
    <xf numFmtId="0" fontId="0" fillId="0" borderId="56" xfId="0" applyBorder="1" applyAlignment="1">
      <alignment horizontal="center" vertical="center"/>
    </xf>
    <xf numFmtId="0" fontId="24" fillId="0" borderId="16" xfId="0" applyFont="1" applyBorder="1" applyAlignment="1">
      <alignment vertical="center" wrapText="1"/>
    </xf>
    <xf numFmtId="0" fontId="0" fillId="0" borderId="173" xfId="0" applyBorder="1" applyAlignment="1">
      <alignment horizontal="center" vertical="center"/>
    </xf>
    <xf numFmtId="0" fontId="2" fillId="0" borderId="1" xfId="0" applyFont="1" applyBorder="1" applyAlignment="1">
      <alignment vertical="center"/>
    </xf>
    <xf numFmtId="0" fontId="2" fillId="0" borderId="8" xfId="0" applyFont="1" applyBorder="1" applyAlignment="1">
      <alignment vertical="center"/>
    </xf>
    <xf numFmtId="0" fontId="0" fillId="0" borderId="70" xfId="0" applyBorder="1"/>
    <xf numFmtId="0" fontId="0" fillId="0" borderId="71" xfId="0" applyBorder="1"/>
    <xf numFmtId="0" fontId="0" fillId="0" borderId="71" xfId="0" applyBorder="1" applyAlignment="1">
      <alignment vertical="center"/>
    </xf>
    <xf numFmtId="0" fontId="2" fillId="0" borderId="78" xfId="0" applyFont="1" applyBorder="1" applyAlignment="1">
      <alignment vertical="center"/>
    </xf>
    <xf numFmtId="0" fontId="2" fillId="0" borderId="156" xfId="0" applyFont="1" applyBorder="1" applyAlignment="1">
      <alignment vertical="center"/>
    </xf>
    <xf numFmtId="0" fontId="2" fillId="0" borderId="15" xfId="0" applyFont="1" applyBorder="1" applyAlignment="1">
      <alignment vertical="center"/>
    </xf>
    <xf numFmtId="0" fontId="2" fillId="0" borderId="22" xfId="0" applyFont="1" applyBorder="1" applyAlignment="1">
      <alignment vertical="center"/>
    </xf>
    <xf numFmtId="0" fontId="0" fillId="0" borderId="71" xfId="0" applyBorder="1" applyAlignment="1">
      <alignment wrapText="1"/>
    </xf>
    <xf numFmtId="0" fontId="1" fillId="0" borderId="70" xfId="0" applyFont="1" applyBorder="1"/>
    <xf numFmtId="0" fontId="0" fillId="0" borderId="71" xfId="0" applyBorder="1" applyAlignment="1"/>
    <xf numFmtId="0" fontId="0" fillId="0" borderId="200" xfId="0" applyBorder="1"/>
    <xf numFmtId="0" fontId="0" fillId="0" borderId="201" xfId="0" applyBorder="1"/>
    <xf numFmtId="0" fontId="0" fillId="0" borderId="152" xfId="0" applyBorder="1"/>
    <xf numFmtId="0" fontId="0" fillId="0" borderId="75" xfId="0" applyBorder="1"/>
    <xf numFmtId="0" fontId="0" fillId="0" borderId="72" xfId="0" applyBorder="1"/>
    <xf numFmtId="0" fontId="0" fillId="0" borderId="73" xfId="0" applyBorder="1" applyAlignment="1">
      <alignment horizontal="center" vertical="center"/>
    </xf>
    <xf numFmtId="0" fontId="0" fillId="0" borderId="74" xfId="0" applyBorder="1"/>
    <xf numFmtId="0" fontId="0" fillId="0" borderId="0" xfId="0" applyAlignment="1">
      <alignment horizontal="left" vertical="top" wrapText="1"/>
    </xf>
    <xf numFmtId="0" fontId="4" fillId="2" borderId="0" xfId="0" applyFont="1" applyFill="1" applyAlignment="1" applyProtection="1">
      <alignment horizontal="center" vertical="center" wrapText="1"/>
    </xf>
    <xf numFmtId="0" fontId="13" fillId="0" borderId="0" xfId="0" applyFont="1" applyAlignment="1" applyProtection="1">
      <alignment vertical="center" wrapText="1"/>
    </xf>
    <xf numFmtId="0" fontId="14" fillId="2" borderId="0" xfId="0" applyFont="1" applyFill="1" applyBorder="1" applyAlignment="1" applyProtection="1">
      <alignment horizontal="center" vertical="center" wrapText="1"/>
    </xf>
    <xf numFmtId="0" fontId="14" fillId="0" borderId="34" xfId="0" applyFont="1" applyBorder="1" applyAlignment="1" applyProtection="1">
      <alignment horizontal="center" vertical="center" wrapText="1"/>
    </xf>
    <xf numFmtId="0" fontId="9" fillId="0" borderId="34" xfId="0" applyFont="1" applyBorder="1" applyAlignment="1" applyProtection="1">
      <alignment horizontal="center" vertical="center" wrapText="1"/>
    </xf>
    <xf numFmtId="0" fontId="15" fillId="0" borderId="0" xfId="0" applyFont="1" applyBorder="1" applyAlignment="1" applyProtection="1">
      <alignment vertical="center" wrapText="1"/>
    </xf>
    <xf numFmtId="0" fontId="4" fillId="2" borderId="26" xfId="0" applyFont="1" applyFill="1" applyBorder="1" applyAlignment="1" applyProtection="1">
      <alignment horizontal="left" vertical="top" wrapText="1"/>
    </xf>
    <xf numFmtId="0" fontId="9" fillId="0" borderId="25" xfId="0" applyFont="1" applyBorder="1" applyAlignment="1" applyProtection="1">
      <alignment horizontal="center" vertical="center" wrapText="1"/>
    </xf>
    <xf numFmtId="0" fontId="4" fillId="0" borderId="181" xfId="0" applyFont="1" applyBorder="1" applyAlignment="1" applyProtection="1">
      <alignment vertical="center" wrapText="1"/>
    </xf>
    <xf numFmtId="0" fontId="4" fillId="2" borderId="7" xfId="0" applyFont="1" applyFill="1" applyBorder="1" applyAlignment="1" applyProtection="1">
      <alignment horizontal="center" vertical="center"/>
    </xf>
    <xf numFmtId="0" fontId="4" fillId="0" borderId="37" xfId="0" applyFont="1" applyBorder="1" applyAlignment="1" applyProtection="1">
      <alignment horizontal="left" vertical="center" wrapText="1"/>
    </xf>
    <xf numFmtId="0" fontId="4" fillId="0" borderId="7" xfId="0" applyFont="1" applyBorder="1" applyAlignment="1" applyProtection="1">
      <alignment horizontal="left" vertical="top" wrapText="1"/>
    </xf>
    <xf numFmtId="0" fontId="4" fillId="0" borderId="7" xfId="0" applyFont="1" applyBorder="1" applyAlignment="1" applyProtection="1">
      <alignment horizontal="left" vertical="center" wrapText="1"/>
    </xf>
    <xf numFmtId="0" fontId="4" fillId="0" borderId="7" xfId="0" applyFont="1" applyBorder="1" applyAlignment="1" applyProtection="1">
      <alignment vertical="center" wrapText="1"/>
    </xf>
    <xf numFmtId="0" fontId="4" fillId="0" borderId="0" xfId="0" applyFont="1" applyAlignment="1" applyProtection="1">
      <alignment vertical="center" wrapText="1"/>
    </xf>
    <xf numFmtId="168" fontId="13" fillId="0" borderId="182" xfId="0" applyNumberFormat="1" applyFont="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13" fillId="0" borderId="0" xfId="0" applyFont="1" applyAlignment="1" applyProtection="1">
      <alignment horizontal="left" vertical="top" wrapText="1"/>
    </xf>
    <xf numFmtId="0" fontId="13" fillId="0" borderId="0" xfId="0" applyFont="1" applyBorder="1" applyAlignment="1" applyProtection="1">
      <alignment horizontal="left" vertical="center" wrapText="1"/>
    </xf>
    <xf numFmtId="0" fontId="4" fillId="0" borderId="0" xfId="0" applyFont="1" applyBorder="1" applyAlignment="1" applyProtection="1">
      <alignment vertical="center" wrapText="1"/>
    </xf>
    <xf numFmtId="0" fontId="8" fillId="0" borderId="14" xfId="0" applyFont="1" applyBorder="1" applyAlignment="1" applyProtection="1">
      <alignment horizontal="center" vertical="center" wrapText="1"/>
    </xf>
    <xf numFmtId="0" fontId="13" fillId="0" borderId="0" xfId="0" applyFont="1" applyBorder="1" applyAlignment="1" applyProtection="1">
      <alignment horizontal="left" vertical="top" wrapText="1"/>
    </xf>
    <xf numFmtId="0" fontId="8" fillId="0" borderId="52" xfId="0" applyFont="1" applyBorder="1" applyAlignment="1" applyProtection="1">
      <alignment horizontal="center" vertical="center" wrapText="1"/>
    </xf>
    <xf numFmtId="0" fontId="1" fillId="0" borderId="13" xfId="0" applyFont="1" applyBorder="1" applyAlignment="1" applyProtection="1">
      <alignment vertical="center" wrapText="1"/>
    </xf>
    <xf numFmtId="0" fontId="0" fillId="0" borderId="0" xfId="0" applyBorder="1" applyAlignment="1" applyProtection="1">
      <alignment vertical="top" wrapText="1"/>
    </xf>
    <xf numFmtId="0" fontId="1" fillId="0" borderId="0" xfId="0" applyFont="1" applyBorder="1" applyAlignment="1" applyProtection="1">
      <alignment vertical="center" wrapText="1"/>
    </xf>
    <xf numFmtId="0" fontId="4" fillId="0" borderId="13" xfId="0" applyFont="1" applyBorder="1" applyAlignment="1" applyProtection="1">
      <alignment horizontal="left" vertical="center" wrapText="1"/>
    </xf>
    <xf numFmtId="0" fontId="13" fillId="0" borderId="0" xfId="0" applyFont="1" applyBorder="1" applyAlignment="1" applyProtection="1">
      <alignment vertical="top" wrapText="1"/>
    </xf>
    <xf numFmtId="1" fontId="4" fillId="0" borderId="13" xfId="0" applyNumberFormat="1" applyFont="1" applyBorder="1" applyAlignment="1" applyProtection="1">
      <alignment vertical="center" wrapText="1"/>
    </xf>
    <xf numFmtId="0" fontId="13" fillId="0" borderId="0" xfId="0" applyFont="1" applyFill="1" applyBorder="1" applyAlignment="1" applyProtection="1">
      <alignment horizontal="left" vertical="top" wrapText="1"/>
    </xf>
    <xf numFmtId="0" fontId="13" fillId="0" borderId="0" xfId="0" applyFont="1" applyAlignment="1" applyProtection="1">
      <alignment horizontal="left" vertical="center" wrapText="1"/>
    </xf>
    <xf numFmtId="0" fontId="4" fillId="0" borderId="0" xfId="0" applyFont="1" applyAlignment="1" applyProtection="1">
      <alignment horizontal="left" vertical="center" wrapText="1"/>
    </xf>
    <xf numFmtId="2" fontId="8" fillId="0" borderId="52" xfId="0" applyNumberFormat="1" applyFont="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wrapText="1"/>
    </xf>
    <xf numFmtId="9" fontId="11" fillId="0" borderId="52" xfId="1" applyFont="1" applyBorder="1" applyAlignment="1" applyProtection="1">
      <alignment horizontal="center" vertical="center" wrapText="1"/>
    </xf>
    <xf numFmtId="0" fontId="4" fillId="0" borderId="38" xfId="0" applyFont="1" applyBorder="1" applyAlignment="1" applyProtection="1">
      <alignment horizontal="left" vertical="center" wrapText="1"/>
    </xf>
    <xf numFmtId="0" fontId="17" fillId="0" borderId="177" xfId="0" applyFont="1" applyBorder="1" applyAlignment="1" applyProtection="1">
      <alignment vertical="center" wrapText="1"/>
    </xf>
    <xf numFmtId="0" fontId="17" fillId="0" borderId="56" xfId="0" applyFont="1" applyBorder="1" applyAlignment="1" applyProtection="1">
      <alignment vertical="center" wrapText="1"/>
    </xf>
    <xf numFmtId="0" fontId="4" fillId="0" borderId="96" xfId="0" applyFont="1" applyBorder="1" applyAlignment="1" applyProtection="1">
      <alignment horizontal="center" vertical="center" wrapText="1"/>
    </xf>
    <xf numFmtId="0" fontId="13" fillId="0" borderId="0" xfId="0" applyFont="1" applyBorder="1" applyAlignment="1" applyProtection="1">
      <alignment vertical="center" wrapText="1"/>
    </xf>
    <xf numFmtId="0" fontId="4" fillId="0" borderId="0" xfId="0" applyFont="1" applyBorder="1" applyAlignment="1" applyProtection="1">
      <alignment vertical="top" wrapText="1"/>
    </xf>
    <xf numFmtId="0" fontId="22" fillId="0" borderId="52" xfId="0" applyFont="1" applyBorder="1" applyAlignment="1" applyProtection="1">
      <alignment horizontal="center" vertical="center" wrapText="1"/>
    </xf>
    <xf numFmtId="0" fontId="4" fillId="2" borderId="2" xfId="0" applyFont="1" applyFill="1" applyBorder="1" applyAlignment="1" applyProtection="1">
      <alignment horizontal="center" vertical="center" wrapText="1"/>
    </xf>
    <xf numFmtId="0" fontId="17" fillId="0" borderId="18" xfId="0" applyFont="1" applyBorder="1" applyAlignment="1" applyProtection="1">
      <alignment vertical="center" wrapText="1"/>
    </xf>
    <xf numFmtId="0" fontId="17" fillId="0" borderId="2" xfId="0" applyFont="1" applyBorder="1" applyAlignment="1" applyProtection="1">
      <alignment vertical="center" wrapText="1"/>
    </xf>
    <xf numFmtId="0" fontId="14" fillId="0" borderId="2" xfId="0" applyFont="1" applyBorder="1" applyAlignment="1" applyProtection="1">
      <alignment vertical="center" wrapText="1"/>
    </xf>
    <xf numFmtId="0" fontId="8" fillId="0" borderId="2" xfId="0" applyFont="1" applyBorder="1" applyAlignment="1" applyProtection="1">
      <alignment horizontal="center" vertical="center" wrapText="1"/>
    </xf>
    <xf numFmtId="0" fontId="22" fillId="0" borderId="0" xfId="0" applyFont="1" applyBorder="1" applyAlignment="1" applyProtection="1">
      <alignment vertical="center" wrapText="1"/>
    </xf>
    <xf numFmtId="0" fontId="4" fillId="0" borderId="0" xfId="0" applyFont="1" applyAlignment="1" applyProtection="1">
      <alignment horizontal="center" vertical="center" wrapText="1"/>
    </xf>
    <xf numFmtId="0" fontId="8" fillId="0" borderId="0" xfId="0" applyFont="1" applyAlignment="1" applyProtection="1">
      <alignment horizontal="center" vertical="center" wrapText="1"/>
    </xf>
    <xf numFmtId="0" fontId="13" fillId="0" borderId="0" xfId="0" applyFont="1" applyAlignment="1" applyProtection="1">
      <alignment vertical="top" wrapText="1"/>
    </xf>
    <xf numFmtId="0" fontId="17" fillId="0" borderId="16" xfId="0" applyFont="1" applyBorder="1" applyAlignment="1" applyProtection="1">
      <alignment vertical="top" wrapText="1"/>
    </xf>
    <xf numFmtId="0" fontId="13" fillId="0" borderId="0" xfId="0" applyFont="1" applyProtection="1"/>
    <xf numFmtId="0" fontId="13" fillId="0" borderId="0" xfId="0" applyFont="1" applyAlignment="1" applyProtection="1">
      <alignment wrapText="1"/>
    </xf>
    <xf numFmtId="0" fontId="14" fillId="2" borderId="38" xfId="0" applyFont="1" applyFill="1" applyBorder="1" applyAlignment="1" applyProtection="1">
      <alignment vertical="center" wrapText="1"/>
    </xf>
    <xf numFmtId="0" fontId="85" fillId="2" borderId="16" xfId="0" applyFont="1" applyFill="1" applyBorder="1" applyAlignment="1" applyProtection="1">
      <alignment horizontal="left" vertical="center" wrapText="1"/>
    </xf>
    <xf numFmtId="0" fontId="0" fillId="2" borderId="16" xfId="0" applyFill="1" applyBorder="1" applyAlignment="1" applyProtection="1">
      <alignment horizontal="center" vertical="center" wrapText="1"/>
    </xf>
    <xf numFmtId="0" fontId="0" fillId="0" borderId="0" xfId="0" applyAlignment="1" applyProtection="1">
      <alignment vertical="center" wrapText="1"/>
    </xf>
    <xf numFmtId="0" fontId="14" fillId="2" borderId="19" xfId="0" applyFont="1" applyFill="1" applyBorder="1" applyAlignment="1" applyProtection="1">
      <alignment horizontal="center" vertical="center" wrapText="1"/>
    </xf>
    <xf numFmtId="0" fontId="2" fillId="0" borderId="16" xfId="0" applyFont="1" applyBorder="1" applyAlignment="1" applyProtection="1">
      <alignment horizontal="center" vertical="center" wrapText="1"/>
    </xf>
    <xf numFmtId="0" fontId="9" fillId="0" borderId="16" xfId="0" applyFont="1" applyBorder="1" applyAlignment="1" applyProtection="1">
      <alignment horizontal="center" vertical="center" wrapText="1"/>
    </xf>
    <xf numFmtId="0" fontId="9" fillId="0" borderId="16" xfId="0" applyFont="1" applyBorder="1" applyAlignment="1" applyProtection="1">
      <alignment horizontal="left" vertical="center" wrapText="1"/>
    </xf>
    <xf numFmtId="0" fontId="16" fillId="0" borderId="0" xfId="0" applyFont="1" applyAlignment="1" applyProtection="1">
      <alignment vertical="center" wrapText="1"/>
    </xf>
    <xf numFmtId="0" fontId="14" fillId="2" borderId="26"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 fillId="2" borderId="0" xfId="0" applyFont="1" applyFill="1" applyAlignment="1" applyProtection="1">
      <alignment horizontal="center" vertical="center" wrapText="1"/>
    </xf>
    <xf numFmtId="0" fontId="0" fillId="0" borderId="0" xfId="0" applyFont="1" applyAlignment="1" applyProtection="1">
      <alignment vertical="center" wrapText="1"/>
    </xf>
    <xf numFmtId="0" fontId="1" fillId="0" borderId="0" xfId="0" applyFont="1" applyAlignment="1" applyProtection="1">
      <alignment vertical="center" wrapText="1"/>
    </xf>
    <xf numFmtId="1" fontId="22" fillId="0" borderId="14" xfId="0" applyNumberFormat="1" applyFont="1" applyFill="1" applyBorder="1" applyAlignment="1" applyProtection="1">
      <alignment horizontal="center" vertical="top" wrapText="1"/>
    </xf>
    <xf numFmtId="0" fontId="11" fillId="0" borderId="0" xfId="0" applyFont="1" applyAlignment="1" applyProtection="1">
      <alignment vertical="center" wrapText="1"/>
    </xf>
    <xf numFmtId="9" fontId="22" fillId="0" borderId="14" xfId="1" applyFont="1" applyFill="1" applyBorder="1" applyAlignment="1" applyProtection="1">
      <alignment horizontal="center" vertical="top" wrapText="1"/>
    </xf>
    <xf numFmtId="0" fontId="10" fillId="0" borderId="13" xfId="0" applyFont="1" applyBorder="1" applyAlignment="1" applyProtection="1">
      <alignment vertical="center" wrapText="1"/>
    </xf>
    <xf numFmtId="0" fontId="24" fillId="0" borderId="13" xfId="0" applyFont="1" applyBorder="1" applyAlignment="1" applyProtection="1">
      <alignment vertical="center" wrapText="1"/>
    </xf>
    <xf numFmtId="0" fontId="2" fillId="0" borderId="0" xfId="0" applyFont="1" applyAlignment="1" applyProtection="1">
      <alignment vertical="center" wrapText="1"/>
    </xf>
    <xf numFmtId="168" fontId="22" fillId="0" borderId="85" xfId="0" applyNumberFormat="1" applyFont="1" applyFill="1" applyBorder="1" applyAlignment="1" applyProtection="1">
      <alignment horizontal="center" vertical="center" wrapText="1"/>
    </xf>
    <xf numFmtId="2" fontId="25" fillId="6" borderId="14" xfId="0" applyNumberFormat="1" applyFont="1" applyFill="1" applyBorder="1" applyAlignment="1" applyProtection="1">
      <alignment horizontal="center" vertical="center" wrapText="1"/>
    </xf>
    <xf numFmtId="0" fontId="1" fillId="2" borderId="0" xfId="0" applyFont="1" applyFill="1" applyAlignment="1" applyProtection="1">
      <alignment vertical="top" wrapText="1"/>
    </xf>
    <xf numFmtId="0" fontId="2" fillId="2" borderId="19" xfId="0" applyFont="1" applyFill="1" applyBorder="1" applyAlignment="1" applyProtection="1">
      <alignment vertical="top" wrapText="1"/>
    </xf>
    <xf numFmtId="0" fontId="13" fillId="0" borderId="0" xfId="0" applyFont="1" applyAlignment="1" applyProtection="1">
      <alignment horizontal="left" wrapText="1"/>
    </xf>
    <xf numFmtId="169" fontId="13" fillId="0" borderId="0" xfId="0" applyNumberFormat="1" applyFont="1" applyAlignment="1" applyProtection="1">
      <alignment horizontal="center" vertical="center" wrapText="1"/>
    </xf>
    <xf numFmtId="0" fontId="14" fillId="2" borderId="2" xfId="0" applyFont="1" applyFill="1" applyBorder="1" applyAlignment="1" applyProtection="1">
      <alignment horizontal="left" vertical="center" wrapText="1"/>
    </xf>
    <xf numFmtId="0" fontId="14" fillId="0" borderId="16" xfId="0" applyFont="1" applyBorder="1" applyAlignment="1" applyProtection="1">
      <alignment horizontal="left" vertical="center" wrapText="1"/>
    </xf>
    <xf numFmtId="0" fontId="14" fillId="0" borderId="4" xfId="0" applyFont="1" applyBorder="1" applyAlignment="1" applyProtection="1">
      <alignment horizontal="center" vertical="center" wrapText="1"/>
    </xf>
    <xf numFmtId="0" fontId="14" fillId="0" borderId="16" xfId="0" applyFont="1" applyBorder="1" applyAlignment="1" applyProtection="1">
      <alignment horizontal="center" vertical="center" wrapText="1"/>
    </xf>
    <xf numFmtId="0" fontId="14" fillId="0" borderId="0" xfId="0" applyFont="1" applyAlignment="1" applyProtection="1">
      <alignment vertical="center" wrapText="1"/>
    </xf>
    <xf numFmtId="0" fontId="4" fillId="2" borderId="24" xfId="0" applyFont="1" applyFill="1" applyBorder="1" applyAlignment="1" applyProtection="1">
      <alignment horizontal="left" vertical="center" wrapText="1"/>
    </xf>
    <xf numFmtId="0" fontId="9" fillId="0" borderId="25" xfId="0" applyFont="1" applyFill="1" applyBorder="1" applyAlignment="1" applyProtection="1">
      <alignment horizontal="left" vertical="center" wrapText="1"/>
    </xf>
    <xf numFmtId="0" fontId="8" fillId="3" borderId="26" xfId="0" applyFont="1" applyFill="1" applyBorder="1" applyAlignment="1" applyProtection="1">
      <alignment vertical="top" wrapText="1"/>
    </xf>
    <xf numFmtId="0" fontId="8" fillId="3" borderId="25" xfId="0" applyFont="1" applyFill="1" applyBorder="1" applyAlignment="1" applyProtection="1">
      <alignment vertical="top" wrapText="1"/>
    </xf>
    <xf numFmtId="0" fontId="17" fillId="0" borderId="84" xfId="0" applyFont="1" applyBorder="1" applyAlignment="1" applyProtection="1">
      <alignment vertical="center" wrapText="1"/>
    </xf>
    <xf numFmtId="0" fontId="17" fillId="0" borderId="196" xfId="0" applyFont="1" applyBorder="1" applyAlignment="1" applyProtection="1">
      <alignment vertical="center" wrapText="1"/>
    </xf>
    <xf numFmtId="49" fontId="17" fillId="0" borderId="196" xfId="0" applyNumberFormat="1" applyFont="1" applyBorder="1" applyAlignment="1" applyProtection="1">
      <alignment horizontal="center" vertical="center" wrapText="1"/>
    </xf>
    <xf numFmtId="169" fontId="17" fillId="0" borderId="196" xfId="0" applyNumberFormat="1" applyFont="1" applyBorder="1" applyAlignment="1" applyProtection="1">
      <alignment horizontal="center" vertical="center" wrapText="1"/>
    </xf>
    <xf numFmtId="0" fontId="24" fillId="13" borderId="151" xfId="0" applyFont="1" applyFill="1" applyBorder="1" applyAlignment="1" applyProtection="1">
      <alignment vertical="center" wrapText="1"/>
    </xf>
    <xf numFmtId="0" fontId="24" fillId="13" borderId="29" xfId="0" applyFont="1" applyFill="1" applyBorder="1" applyAlignment="1" applyProtection="1">
      <alignment vertical="center" wrapText="1"/>
    </xf>
    <xf numFmtId="0" fontId="24" fillId="18" borderId="29" xfId="0" applyFont="1" applyFill="1" applyBorder="1" applyAlignment="1" applyProtection="1">
      <alignment vertical="center" wrapText="1"/>
    </xf>
    <xf numFmtId="0" fontId="24" fillId="19" borderId="29" xfId="0" applyFont="1" applyFill="1" applyBorder="1" applyAlignment="1" applyProtection="1">
      <alignment vertical="center" wrapText="1"/>
    </xf>
    <xf numFmtId="0" fontId="24" fillId="19" borderId="54" xfId="0" applyFont="1" applyFill="1" applyBorder="1" applyAlignment="1" applyProtection="1">
      <alignment vertical="center" wrapText="1"/>
    </xf>
    <xf numFmtId="169" fontId="17" fillId="0" borderId="197" xfId="0" applyNumberFormat="1"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2" fontId="22" fillId="0" borderId="14" xfId="0" applyNumberFormat="1" applyFont="1" applyFill="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3" fillId="0" borderId="193" xfId="0" applyFont="1" applyBorder="1" applyAlignment="1" applyProtection="1">
      <alignment vertical="center" wrapText="1"/>
    </xf>
    <xf numFmtId="169" fontId="9" fillId="0" borderId="176" xfId="0" applyNumberFormat="1" applyFont="1" applyBorder="1" applyAlignment="1" applyProtection="1">
      <alignment horizontal="center" vertical="center" wrapText="1"/>
    </xf>
    <xf numFmtId="169" fontId="9" fillId="0" borderId="194" xfId="0" applyNumberFormat="1" applyFont="1" applyBorder="1" applyAlignment="1" applyProtection="1">
      <alignment horizontal="center" vertical="center" wrapText="1"/>
    </xf>
    <xf numFmtId="169" fontId="9" fillId="0" borderId="195" xfId="0" applyNumberFormat="1" applyFont="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13" fillId="0" borderId="0" xfId="0" applyFont="1" applyBorder="1" applyAlignment="1" applyProtection="1">
      <alignment horizontal="left" wrapText="1"/>
    </xf>
    <xf numFmtId="0" fontId="13" fillId="0" borderId="13" xfId="0" applyFont="1" applyBorder="1" applyAlignment="1" applyProtection="1">
      <alignment horizontal="left" wrapText="1"/>
    </xf>
    <xf numFmtId="169" fontId="16" fillId="13" borderId="98" xfId="0" applyNumberFormat="1" applyFont="1" applyFill="1" applyBorder="1" applyAlignment="1" applyProtection="1">
      <alignment vertical="center" wrapText="1"/>
    </xf>
    <xf numFmtId="169" fontId="16" fillId="18" borderId="99" xfId="0" applyNumberFormat="1" applyFont="1" applyFill="1" applyBorder="1" applyAlignment="1" applyProtection="1">
      <alignment vertical="center" wrapText="1"/>
    </xf>
    <xf numFmtId="169" fontId="16" fillId="19" borderId="99" xfId="0" applyNumberFormat="1" applyFont="1" applyFill="1" applyBorder="1" applyAlignment="1" applyProtection="1">
      <alignment vertical="center" wrapText="1"/>
    </xf>
    <xf numFmtId="169" fontId="16" fillId="19" borderId="167" xfId="0" applyNumberFormat="1" applyFont="1" applyFill="1" applyBorder="1" applyAlignment="1" applyProtection="1">
      <alignment vertical="center" wrapText="1"/>
    </xf>
    <xf numFmtId="169" fontId="16" fillId="13" borderId="99" xfId="0" applyNumberFormat="1" applyFont="1" applyFill="1" applyBorder="1" applyAlignment="1" applyProtection="1">
      <alignment vertical="center" wrapText="1"/>
    </xf>
    <xf numFmtId="169" fontId="90" fillId="0" borderId="176" xfId="0" applyNumberFormat="1" applyFont="1" applyBorder="1" applyAlignment="1" applyProtection="1">
      <alignment horizontal="center" vertical="center" wrapText="1"/>
    </xf>
    <xf numFmtId="0" fontId="4"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wrapText="1"/>
    </xf>
    <xf numFmtId="0" fontId="22" fillId="0" borderId="13" xfId="0" applyFont="1" applyBorder="1" applyAlignment="1" applyProtection="1">
      <alignment horizontal="left" vertical="center" wrapText="1"/>
    </xf>
    <xf numFmtId="0" fontId="13" fillId="0" borderId="10" xfId="0" applyFont="1" applyBorder="1" applyAlignment="1" applyProtection="1">
      <alignment horizontal="left" vertical="center" wrapText="1"/>
    </xf>
    <xf numFmtId="0" fontId="13" fillId="0" borderId="10"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2" fontId="22" fillId="0" borderId="14" xfId="0" applyNumberFormat="1" applyFont="1" applyFill="1" applyBorder="1" applyAlignment="1" applyProtection="1">
      <alignment horizontal="left" vertical="center" wrapText="1"/>
    </xf>
    <xf numFmtId="0" fontId="11" fillId="0" borderId="13" xfId="0" applyFont="1" applyBorder="1" applyAlignment="1" applyProtection="1">
      <alignment horizontal="left" vertical="center" wrapText="1"/>
    </xf>
    <xf numFmtId="0" fontId="4" fillId="4" borderId="36" xfId="0" applyFont="1" applyFill="1" applyBorder="1" applyAlignment="1" applyProtection="1">
      <alignment horizontal="left" vertical="center" wrapText="1"/>
    </xf>
    <xf numFmtId="0" fontId="13" fillId="4" borderId="11" xfId="0" applyFont="1" applyFill="1" applyBorder="1" applyAlignment="1" applyProtection="1">
      <alignment horizontal="left" wrapText="1"/>
    </xf>
    <xf numFmtId="0" fontId="13" fillId="4" borderId="11" xfId="0" applyFont="1" applyFill="1" applyBorder="1" applyAlignment="1" applyProtection="1">
      <alignment horizontal="center" vertical="center" wrapText="1"/>
    </xf>
    <xf numFmtId="0" fontId="4" fillId="4" borderId="11" xfId="0" applyFont="1" applyFill="1" applyBorder="1" applyAlignment="1" applyProtection="1">
      <alignment horizontal="center" vertical="center" wrapText="1"/>
    </xf>
    <xf numFmtId="0" fontId="13" fillId="4" borderId="36" xfId="0" applyFont="1" applyFill="1" applyBorder="1" applyAlignment="1" applyProtection="1">
      <alignment horizontal="left" wrapText="1"/>
    </xf>
    <xf numFmtId="0" fontId="13" fillId="9" borderId="0" xfId="0" applyFont="1" applyFill="1" applyBorder="1" applyAlignment="1" applyProtection="1">
      <alignment horizontal="left" vertical="top" wrapText="1"/>
    </xf>
    <xf numFmtId="0" fontId="13" fillId="0" borderId="13" xfId="0" applyFont="1" applyBorder="1" applyAlignment="1" applyProtection="1">
      <alignment horizontal="left" vertical="center" wrapText="1"/>
    </xf>
    <xf numFmtId="0" fontId="13" fillId="0" borderId="0" xfId="0" applyFont="1" applyBorder="1" applyAlignment="1" applyProtection="1">
      <alignment horizontal="center" vertical="top" wrapText="1"/>
    </xf>
    <xf numFmtId="0" fontId="17" fillId="0" borderId="13" xfId="0" applyFont="1" applyBorder="1" applyAlignment="1" applyProtection="1">
      <alignment horizontal="left" vertical="center" wrapText="1"/>
    </xf>
    <xf numFmtId="0" fontId="18" fillId="0" borderId="0" xfId="0" applyFont="1" applyBorder="1" applyAlignment="1" applyProtection="1">
      <alignment horizontal="center" vertical="center" wrapText="1"/>
    </xf>
    <xf numFmtId="0" fontId="18" fillId="0" borderId="0" xfId="0" applyFont="1" applyBorder="1" applyAlignment="1" applyProtection="1">
      <alignment horizontal="left" vertical="center" wrapText="1"/>
    </xf>
    <xf numFmtId="2" fontId="22" fillId="0" borderId="14" xfId="0" applyNumberFormat="1" applyFont="1" applyFill="1" applyBorder="1" applyAlignment="1" applyProtection="1">
      <alignment horizontal="left" vertical="top" wrapText="1"/>
    </xf>
    <xf numFmtId="0" fontId="14" fillId="2" borderId="13" xfId="0" applyFont="1" applyFill="1" applyBorder="1" applyAlignment="1" applyProtection="1">
      <alignment horizontal="left" vertical="center"/>
    </xf>
    <xf numFmtId="0" fontId="15" fillId="2" borderId="15" xfId="0" applyFont="1" applyFill="1" applyBorder="1" applyAlignment="1" applyProtection="1">
      <alignment horizontal="left" vertical="top"/>
    </xf>
    <xf numFmtId="0" fontId="15" fillId="2" borderId="0" xfId="0" applyFont="1" applyFill="1" applyBorder="1" applyAlignment="1" applyProtection="1">
      <alignment horizontal="center" vertical="center"/>
    </xf>
    <xf numFmtId="0" fontId="15" fillId="2" borderId="0" xfId="0" applyFont="1" applyFill="1" applyBorder="1" applyAlignment="1" applyProtection="1">
      <alignment horizontal="left" vertical="top"/>
    </xf>
    <xf numFmtId="0" fontId="15" fillId="2" borderId="13" xfId="0" applyFont="1" applyFill="1" applyBorder="1" applyAlignment="1" applyProtection="1">
      <alignment horizontal="left" vertical="top"/>
    </xf>
    <xf numFmtId="0" fontId="17" fillId="2" borderId="0" xfId="0" applyFont="1" applyFill="1" applyBorder="1" applyAlignment="1" applyProtection="1">
      <alignment horizontal="center" vertical="center"/>
    </xf>
    <xf numFmtId="0" fontId="17" fillId="0" borderId="0" xfId="0" applyFont="1" applyBorder="1" applyAlignment="1" applyProtection="1">
      <alignment horizontal="center" vertical="center" wrapText="1"/>
    </xf>
    <xf numFmtId="0" fontId="22" fillId="0" borderId="71" xfId="0" applyFont="1" applyFill="1" applyBorder="1" applyAlignment="1" applyProtection="1">
      <alignment horizontal="center" vertical="center" wrapText="1"/>
    </xf>
    <xf numFmtId="0" fontId="25" fillId="0" borderId="0" xfId="0" applyFont="1" applyBorder="1" applyAlignment="1" applyProtection="1">
      <alignment horizontal="left" vertical="center" wrapText="1"/>
    </xf>
    <xf numFmtId="0" fontId="22" fillId="0" borderId="0" xfId="0" applyFont="1" applyBorder="1" applyAlignment="1" applyProtection="1">
      <alignment horizontal="center" vertical="center" wrapText="1"/>
    </xf>
    <xf numFmtId="0" fontId="4" fillId="0" borderId="81" xfId="0" applyFont="1" applyBorder="1" applyAlignment="1" applyProtection="1">
      <alignment horizontal="left" wrapText="1"/>
    </xf>
    <xf numFmtId="0" fontId="22" fillId="0" borderId="13" xfId="0" applyFont="1" applyFill="1" applyBorder="1" applyAlignment="1" applyProtection="1">
      <alignment horizontal="center" vertical="center" wrapText="1"/>
    </xf>
    <xf numFmtId="0" fontId="18" fillId="0" borderId="0" xfId="0" applyFont="1" applyBorder="1" applyAlignment="1" applyProtection="1">
      <alignment vertical="top" wrapText="1"/>
    </xf>
    <xf numFmtId="0" fontId="13" fillId="0" borderId="79" xfId="0" applyFont="1" applyBorder="1" applyAlignment="1" applyProtection="1">
      <alignment horizontal="left" wrapText="1"/>
    </xf>
    <xf numFmtId="0" fontId="13" fillId="0" borderId="177" xfId="0" applyFont="1" applyBorder="1" applyAlignment="1" applyProtection="1">
      <alignment horizontal="left" wrapText="1"/>
    </xf>
    <xf numFmtId="0" fontId="22" fillId="0" borderId="0" xfId="0" applyFont="1" applyBorder="1" applyAlignment="1" applyProtection="1">
      <alignment horizontal="left" vertical="center" wrapText="1"/>
    </xf>
    <xf numFmtId="0" fontId="14"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top"/>
    </xf>
    <xf numFmtId="0" fontId="14" fillId="2" borderId="13" xfId="0" applyFont="1" applyFill="1" applyBorder="1" applyAlignment="1" applyProtection="1">
      <alignment horizontal="left" vertical="top"/>
    </xf>
    <xf numFmtId="0" fontId="4" fillId="2" borderId="2" xfId="0" applyFont="1" applyFill="1" applyBorder="1" applyAlignment="1" applyProtection="1">
      <alignment horizontal="left" vertical="center" wrapText="1"/>
    </xf>
    <xf numFmtId="0" fontId="4" fillId="0" borderId="18" xfId="0" applyFont="1" applyBorder="1" applyAlignment="1" applyProtection="1">
      <alignment horizontal="left" vertical="center" wrapText="1"/>
    </xf>
    <xf numFmtId="0" fontId="13" fillId="0" borderId="2" xfId="0" applyFont="1" applyBorder="1" applyAlignment="1" applyProtection="1">
      <alignment horizontal="left" vertical="center" wrapText="1"/>
    </xf>
    <xf numFmtId="0" fontId="13" fillId="0" borderId="2"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22" fillId="0" borderId="18" xfId="0" applyFont="1" applyBorder="1" applyAlignment="1" applyProtection="1">
      <alignment horizontal="left" vertical="center" wrapText="1"/>
    </xf>
    <xf numFmtId="0" fontId="4" fillId="0" borderId="0" xfId="0" applyFont="1" applyAlignment="1" applyProtection="1">
      <alignment horizontal="left" wrapText="1"/>
    </xf>
    <xf numFmtId="0" fontId="1" fillId="2" borderId="0" xfId="0" applyFont="1" applyFill="1" applyAlignment="1" applyProtection="1">
      <alignment horizontal="left" vertical="center" wrapText="1"/>
    </xf>
    <xf numFmtId="0" fontId="13" fillId="0" borderId="0" xfId="0" applyFont="1" applyAlignment="1" applyProtection="1">
      <alignment horizontal="center" vertical="top" wrapText="1"/>
    </xf>
    <xf numFmtId="0" fontId="14" fillId="2" borderId="26" xfId="0" applyFont="1" applyFill="1" applyBorder="1" applyAlignment="1" applyProtection="1">
      <alignment horizontal="left" vertical="center" wrapText="1"/>
    </xf>
    <xf numFmtId="0" fontId="14" fillId="2" borderId="3" xfId="0" applyFont="1" applyFill="1" applyBorder="1" applyAlignment="1" applyProtection="1">
      <alignment vertical="top" wrapText="1"/>
    </xf>
    <xf numFmtId="0" fontId="17" fillId="2" borderId="5" xfId="0" applyFont="1" applyFill="1" applyBorder="1" applyAlignment="1" applyProtection="1">
      <alignment horizontal="center" vertical="center" wrapText="1"/>
    </xf>
    <xf numFmtId="0" fontId="24" fillId="2" borderId="16"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16" xfId="0" applyFont="1" applyFill="1" applyBorder="1" applyAlignment="1" applyProtection="1">
      <alignment horizontal="center" vertical="center" wrapText="1"/>
    </xf>
    <xf numFmtId="0" fontId="4" fillId="2" borderId="0" xfId="0" applyNumberFormat="1" applyFont="1" applyFill="1" applyAlignment="1" applyProtection="1">
      <alignment horizontal="left" vertical="center" wrapText="1"/>
    </xf>
    <xf numFmtId="0" fontId="4" fillId="0" borderId="37" xfId="0" applyFont="1" applyBorder="1" applyAlignment="1" applyProtection="1">
      <alignment vertical="center" wrapText="1"/>
    </xf>
    <xf numFmtId="0" fontId="11" fillId="0" borderId="37" xfId="0" applyFont="1" applyBorder="1" applyAlignment="1" applyProtection="1">
      <alignment horizontal="center" vertical="center" wrapText="1"/>
    </xf>
    <xf numFmtId="0" fontId="4" fillId="2" borderId="0" xfId="0" applyNumberFormat="1" applyFont="1" applyFill="1" applyBorder="1" applyAlignment="1" applyProtection="1">
      <alignment horizontal="left" vertical="center" wrapText="1"/>
    </xf>
    <xf numFmtId="169" fontId="25" fillId="16" borderId="14" xfId="0" applyNumberFormat="1" applyFont="1" applyFill="1" applyBorder="1" applyAlignment="1" applyProtection="1">
      <alignment horizontal="center" vertical="center" wrapText="1"/>
    </xf>
    <xf numFmtId="0" fontId="11" fillId="0" borderId="0" xfId="0" applyFont="1" applyBorder="1" applyAlignment="1" applyProtection="1">
      <alignment vertical="center" wrapText="1"/>
    </xf>
    <xf numFmtId="0" fontId="25" fillId="16" borderId="14" xfId="0" applyFont="1" applyFill="1" applyBorder="1" applyAlignment="1" applyProtection="1">
      <alignment horizontal="center" vertical="center" wrapText="1"/>
    </xf>
    <xf numFmtId="0" fontId="17" fillId="0" borderId="13" xfId="0" applyFont="1" applyBorder="1" applyAlignment="1" applyProtection="1">
      <alignment vertical="center" wrapText="1"/>
    </xf>
    <xf numFmtId="0" fontId="17" fillId="0" borderId="0" xfId="0" applyFont="1" applyBorder="1" applyAlignment="1" applyProtection="1">
      <alignment vertical="center" wrapText="1"/>
    </xf>
    <xf numFmtId="169" fontId="22" fillId="0" borderId="52" xfId="0" applyNumberFormat="1" applyFont="1" applyBorder="1" applyAlignment="1" applyProtection="1">
      <alignment horizontal="center" vertical="center" wrapText="1"/>
    </xf>
    <xf numFmtId="0" fontId="17" fillId="0" borderId="0" xfId="0" applyFont="1" applyBorder="1" applyAlignment="1" applyProtection="1">
      <alignment vertical="top" wrapText="1"/>
    </xf>
    <xf numFmtId="169" fontId="22" fillId="0" borderId="0" xfId="0" applyNumberFormat="1" applyFont="1" applyBorder="1" applyAlignment="1" applyProtection="1">
      <alignment horizontal="center" vertical="center" wrapText="1"/>
    </xf>
    <xf numFmtId="168" fontId="22" fillId="0" borderId="0" xfId="0" applyNumberFormat="1" applyFont="1" applyBorder="1" applyAlignment="1" applyProtection="1">
      <alignment horizontal="center" vertical="center" wrapText="1"/>
    </xf>
    <xf numFmtId="169" fontId="11" fillId="0" borderId="57" xfId="0" applyNumberFormat="1" applyFont="1" applyBorder="1" applyAlignment="1" applyProtection="1">
      <alignment horizontal="center" vertical="center" wrapText="1"/>
    </xf>
    <xf numFmtId="169" fontId="25" fillId="6" borderId="14" xfId="0" applyNumberFormat="1" applyFont="1" applyFill="1" applyBorder="1" applyAlignment="1" applyProtection="1">
      <alignment horizontal="center" vertical="center" wrapText="1"/>
    </xf>
    <xf numFmtId="169" fontId="11" fillId="0" borderId="14" xfId="0" applyNumberFormat="1" applyFont="1" applyBorder="1" applyAlignment="1" applyProtection="1">
      <alignment horizontal="center" vertical="center" wrapText="1"/>
    </xf>
    <xf numFmtId="0" fontId="14" fillId="0" borderId="0" xfId="0" applyFont="1" applyBorder="1" applyAlignment="1" applyProtection="1">
      <alignment horizontal="left" vertical="center" wrapText="1"/>
    </xf>
    <xf numFmtId="1" fontId="1" fillId="0" borderId="28" xfId="0" applyNumberFormat="1" applyFont="1" applyBorder="1" applyAlignment="1" applyProtection="1">
      <alignment horizontal="center" vertical="center" wrapText="1"/>
    </xf>
    <xf numFmtId="1" fontId="1" fillId="0" borderId="29" xfId="0" applyNumberFormat="1" applyFont="1" applyBorder="1" applyAlignment="1" applyProtection="1">
      <alignment horizontal="left" vertical="center" wrapText="1"/>
    </xf>
    <xf numFmtId="169" fontId="1" fillId="0" borderId="29" xfId="0" applyNumberFormat="1" applyFont="1" applyBorder="1" applyAlignment="1" applyProtection="1">
      <alignment horizontal="center" vertical="center" wrapText="1"/>
    </xf>
    <xf numFmtId="168" fontId="1" fillId="0" borderId="29" xfId="0" applyNumberFormat="1" applyFont="1" applyBorder="1" applyAlignment="1" applyProtection="1">
      <alignment horizontal="center" vertical="center" wrapText="1"/>
    </xf>
    <xf numFmtId="9" fontId="1" fillId="0" borderId="29" xfId="1" applyFont="1" applyBorder="1" applyAlignment="1" applyProtection="1">
      <alignment horizontal="center" vertical="center" wrapText="1"/>
    </xf>
    <xf numFmtId="168" fontId="1" fillId="0" borderId="54" xfId="0" applyNumberFormat="1" applyFont="1" applyBorder="1" applyAlignment="1" applyProtection="1">
      <alignment horizontal="center" vertical="center" wrapText="1"/>
    </xf>
    <xf numFmtId="1" fontId="0" fillId="0" borderId="16" xfId="0" applyNumberFormat="1" applyBorder="1" applyAlignment="1" applyProtection="1">
      <alignment horizontal="center" vertical="center" wrapText="1"/>
    </xf>
    <xf numFmtId="169" fontId="8" fillId="0" borderId="14" xfId="0" applyNumberFormat="1" applyFont="1" applyFill="1" applyBorder="1" applyAlignment="1" applyProtection="1">
      <alignment horizontal="center" vertical="center" wrapText="1"/>
    </xf>
    <xf numFmtId="0" fontId="22" fillId="0" borderId="71" xfId="0" applyFont="1" applyBorder="1" applyAlignment="1" applyProtection="1">
      <alignment horizontal="center" vertical="center" wrapText="1"/>
    </xf>
    <xf numFmtId="0" fontId="14" fillId="0" borderId="0" xfId="0" applyFont="1" applyBorder="1" applyAlignment="1" applyProtection="1">
      <alignment vertical="top" wrapText="1"/>
    </xf>
    <xf numFmtId="0" fontId="13" fillId="0" borderId="0" xfId="0" applyFont="1" applyFill="1" applyBorder="1" applyAlignment="1" applyProtection="1">
      <alignment vertical="top" wrapText="1"/>
    </xf>
    <xf numFmtId="169" fontId="25" fillId="0" borderId="57" xfId="0" applyNumberFormat="1" applyFont="1" applyFill="1" applyBorder="1" applyAlignment="1" applyProtection="1">
      <alignment horizontal="center" vertical="center" wrapText="1"/>
    </xf>
    <xf numFmtId="170" fontId="43" fillId="0" borderId="0" xfId="4" applyNumberFormat="1" applyFont="1" applyFill="1" applyBorder="1" applyAlignment="1" applyProtection="1">
      <alignment vertical="top" wrapText="1"/>
    </xf>
    <xf numFmtId="170" fontId="44" fillId="0" borderId="0" xfId="4" applyNumberFormat="1" applyFont="1" applyFill="1" applyBorder="1" applyAlignment="1" applyProtection="1">
      <alignment horizontal="left" vertical="center" wrapText="1"/>
    </xf>
    <xf numFmtId="169" fontId="25" fillId="0" borderId="21" xfId="0" applyNumberFormat="1" applyFont="1" applyFill="1" applyBorder="1" applyAlignment="1" applyProtection="1">
      <alignment horizontal="center" vertical="center" wrapText="1"/>
    </xf>
    <xf numFmtId="1" fontId="0" fillId="0" borderId="0" xfId="0" applyNumberFormat="1" applyAlignment="1" applyProtection="1">
      <alignment horizontal="center" vertical="center"/>
    </xf>
    <xf numFmtId="1" fontId="4" fillId="0" borderId="0" xfId="0" applyNumberFormat="1" applyFont="1" applyAlignment="1" applyProtection="1">
      <alignment horizontal="left" vertical="top"/>
    </xf>
    <xf numFmtId="169" fontId="0" fillId="0" borderId="0" xfId="0" applyNumberFormat="1" applyAlignment="1" applyProtection="1">
      <alignment vertical="center"/>
    </xf>
    <xf numFmtId="1" fontId="17" fillId="0" borderId="0" xfId="0" applyNumberFormat="1" applyFont="1" applyAlignment="1" applyProtection="1">
      <alignment vertical="center"/>
    </xf>
    <xf numFmtId="169" fontId="0" fillId="0" borderId="0" xfId="0" applyNumberFormat="1" applyAlignment="1" applyProtection="1">
      <alignment horizontal="center" vertical="center"/>
    </xf>
    <xf numFmtId="9" fontId="11" fillId="0" borderId="0" xfId="1" applyFont="1" applyBorder="1" applyAlignment="1" applyProtection="1">
      <alignment horizontal="center" vertical="center" wrapText="1"/>
    </xf>
    <xf numFmtId="0" fontId="0" fillId="0" borderId="0" xfId="0" applyAlignment="1" applyProtection="1">
      <alignment horizontal="left" vertical="top"/>
    </xf>
    <xf numFmtId="169" fontId="25" fillId="0" borderId="0" xfId="0" applyNumberFormat="1" applyFont="1" applyFill="1" applyBorder="1" applyAlignment="1" applyProtection="1">
      <alignment horizontal="center" vertical="center" wrapText="1"/>
    </xf>
    <xf numFmtId="169" fontId="25" fillId="0" borderId="80" xfId="0" applyNumberFormat="1" applyFont="1" applyFill="1" applyBorder="1" applyAlignment="1" applyProtection="1">
      <alignment horizontal="center" vertical="center" wrapText="1"/>
    </xf>
    <xf numFmtId="0" fontId="13" fillId="3" borderId="0" xfId="0" applyFont="1" applyFill="1" applyBorder="1" applyAlignment="1" applyProtection="1">
      <alignment vertical="top" wrapText="1"/>
    </xf>
    <xf numFmtId="169" fontId="13" fillId="0" borderId="13" xfId="0" applyNumberFormat="1" applyFont="1" applyBorder="1" applyAlignment="1" applyProtection="1">
      <alignment horizontal="center" vertical="center" wrapText="1"/>
    </xf>
    <xf numFmtId="0" fontId="4" fillId="0" borderId="0" xfId="0" applyNumberFormat="1" applyFont="1" applyAlignment="1" applyProtection="1">
      <alignment horizontal="left" vertical="center" wrapText="1"/>
    </xf>
    <xf numFmtId="0" fontId="14" fillId="3" borderId="0" xfId="0" applyFont="1" applyFill="1" applyBorder="1" applyAlignment="1" applyProtection="1">
      <alignment vertical="top" wrapText="1"/>
    </xf>
    <xf numFmtId="0" fontId="4" fillId="0" borderId="18" xfId="0" applyFont="1" applyBorder="1" applyAlignment="1" applyProtection="1">
      <alignment vertical="center" wrapText="1"/>
    </xf>
    <xf numFmtId="0" fontId="17" fillId="2" borderId="0" xfId="0" applyFont="1" applyFill="1" applyAlignment="1" applyProtection="1">
      <alignment horizontal="left" vertical="center" wrapText="1"/>
    </xf>
    <xf numFmtId="0" fontId="22" fillId="0" borderId="25" xfId="0" applyFont="1" applyBorder="1" applyAlignment="1" applyProtection="1">
      <alignment horizontal="center" vertical="center" wrapText="1"/>
    </xf>
    <xf numFmtId="0" fontId="11" fillId="0" borderId="159" xfId="0" applyFont="1" applyBorder="1" applyAlignment="1" applyProtection="1">
      <alignment horizontal="left" vertical="center" wrapText="1"/>
    </xf>
    <xf numFmtId="0" fontId="11" fillId="0" borderId="14" xfId="0" applyFont="1" applyBorder="1" applyAlignment="1" applyProtection="1">
      <alignment horizontal="left" vertical="center" wrapText="1"/>
    </xf>
    <xf numFmtId="0" fontId="11" fillId="0" borderId="104" xfId="0" applyFont="1" applyBorder="1" applyAlignment="1" applyProtection="1">
      <alignment horizontal="left" vertical="center" wrapText="1"/>
    </xf>
    <xf numFmtId="0" fontId="2" fillId="0" borderId="0" xfId="0" applyFont="1" applyBorder="1" applyAlignment="1" applyProtection="1">
      <alignment horizontal="left" vertical="center" wrapText="1"/>
    </xf>
    <xf numFmtId="0" fontId="22" fillId="0" borderId="25" xfId="0" applyFont="1" applyFill="1" applyBorder="1" applyAlignment="1" applyProtection="1">
      <alignment horizontal="center" vertical="center" wrapText="1"/>
    </xf>
    <xf numFmtId="0" fontId="22" fillId="0" borderId="26" xfId="0" applyFont="1" applyFill="1" applyBorder="1" applyAlignment="1" applyProtection="1">
      <alignment vertical="center" wrapText="1"/>
    </xf>
    <xf numFmtId="0" fontId="13" fillId="0" borderId="25" xfId="0" applyFont="1" applyBorder="1" applyAlignment="1" applyProtection="1">
      <alignment horizontal="center" vertical="center" wrapText="1"/>
    </xf>
    <xf numFmtId="175" fontId="25" fillId="0" borderId="14" xfId="0" applyNumberFormat="1" applyFont="1" applyFill="1" applyBorder="1" applyAlignment="1" applyProtection="1">
      <alignment horizontal="center" vertical="center" wrapText="1"/>
    </xf>
    <xf numFmtId="0" fontId="11" fillId="0" borderId="14" xfId="0" applyFont="1" applyBorder="1" applyAlignment="1" applyProtection="1">
      <alignment horizontal="center" vertical="center" wrapText="1"/>
    </xf>
    <xf numFmtId="1" fontId="13" fillId="0" borderId="0" xfId="0" applyNumberFormat="1" applyFont="1" applyAlignment="1" applyProtection="1">
      <alignment vertical="top" wrapText="1"/>
    </xf>
    <xf numFmtId="0" fontId="0" fillId="0" borderId="0" xfId="0" applyBorder="1" applyAlignment="1" applyProtection="1">
      <alignment vertical="center" wrapText="1"/>
    </xf>
    <xf numFmtId="0" fontId="4" fillId="2" borderId="6" xfId="0" applyNumberFormat="1" applyFont="1" applyFill="1" applyBorder="1" applyAlignment="1" applyProtection="1">
      <alignment horizontal="left" vertical="center" wrapText="1"/>
    </xf>
    <xf numFmtId="0" fontId="2" fillId="0" borderId="2" xfId="0" applyFont="1" applyBorder="1" applyAlignment="1" applyProtection="1">
      <alignment horizontal="left" vertical="top" wrapText="1"/>
    </xf>
    <xf numFmtId="0" fontId="13" fillId="0" borderId="2" xfId="0" applyFont="1" applyBorder="1" applyAlignment="1" applyProtection="1">
      <alignment vertical="top" wrapText="1"/>
    </xf>
    <xf numFmtId="0" fontId="4" fillId="0" borderId="2" xfId="0" applyFont="1" applyBorder="1" applyAlignment="1" applyProtection="1">
      <alignment horizontal="left" vertical="center" wrapText="1"/>
    </xf>
    <xf numFmtId="0" fontId="13" fillId="0" borderId="18"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169" fontId="9" fillId="0" borderId="85" xfId="0" applyNumberFormat="1" applyFont="1" applyBorder="1" applyAlignment="1" applyProtection="1">
      <alignment horizontal="center" vertical="center" wrapText="1"/>
    </xf>
    <xf numFmtId="1" fontId="9" fillId="0" borderId="16" xfId="0" applyNumberFormat="1" applyFont="1" applyBorder="1" applyAlignment="1" applyProtection="1">
      <alignment horizontal="center" vertical="center"/>
    </xf>
    <xf numFmtId="0" fontId="86" fillId="0" borderId="0" xfId="0" applyFont="1" applyAlignment="1" applyProtection="1">
      <alignment vertical="center"/>
    </xf>
    <xf numFmtId="0" fontId="0" fillId="0" borderId="0" xfId="0" applyProtection="1"/>
    <xf numFmtId="0" fontId="7" fillId="0" borderId="0" xfId="3" applyFont="1" applyAlignment="1" applyProtection="1">
      <alignment vertical="top" wrapText="1"/>
    </xf>
    <xf numFmtId="173" fontId="7" fillId="0" borderId="0" xfId="3" applyNumberFormat="1" applyFont="1" applyAlignment="1" applyProtection="1">
      <alignment vertical="top" wrapText="1"/>
    </xf>
    <xf numFmtId="11" fontId="0" fillId="0" borderId="0" xfId="0" applyNumberFormat="1" applyProtection="1"/>
    <xf numFmtId="1" fontId="2" fillId="2" borderId="16" xfId="0" applyNumberFormat="1" applyFont="1" applyFill="1" applyBorder="1" applyAlignment="1" applyProtection="1">
      <alignment horizontal="center" vertical="top" wrapText="1"/>
    </xf>
    <xf numFmtId="0" fontId="2" fillId="2" borderId="2" xfId="0" applyFont="1" applyFill="1" applyBorder="1" applyAlignment="1" applyProtection="1">
      <alignment vertical="top" wrapText="1"/>
    </xf>
    <xf numFmtId="1" fontId="2" fillId="2" borderId="2" xfId="0" applyNumberFormat="1" applyFont="1" applyFill="1" applyBorder="1" applyAlignment="1" applyProtection="1">
      <alignment vertical="top" wrapText="1"/>
    </xf>
    <xf numFmtId="0" fontId="7" fillId="0" borderId="3" xfId="0" applyFont="1" applyFill="1" applyBorder="1" applyProtection="1"/>
    <xf numFmtId="0" fontId="0" fillId="0" borderId="5" xfId="0" applyBorder="1" applyProtection="1"/>
    <xf numFmtId="0" fontId="7" fillId="0" borderId="5" xfId="0" applyFont="1" applyFill="1" applyBorder="1" applyProtection="1"/>
    <xf numFmtId="0" fontId="7" fillId="0" borderId="0" xfId="3" applyFont="1" applyProtection="1"/>
    <xf numFmtId="0" fontId="29" fillId="0" borderId="0" xfId="0" applyFont="1" applyAlignment="1" applyProtection="1"/>
    <xf numFmtId="0" fontId="6" fillId="0" borderId="0" xfId="0" applyFont="1" applyProtection="1"/>
    <xf numFmtId="169" fontId="7" fillId="0" borderId="0" xfId="0" applyNumberFormat="1" applyFont="1" applyAlignment="1" applyProtection="1">
      <alignment horizontal="center"/>
    </xf>
    <xf numFmtId="0" fontId="6" fillId="0" borderId="0" xfId="0" applyFont="1" applyFill="1" applyAlignment="1" applyProtection="1">
      <alignment horizontal="center"/>
    </xf>
    <xf numFmtId="1" fontId="1" fillId="0" borderId="28" xfId="0" applyNumberFormat="1" applyFont="1" applyBorder="1" applyAlignment="1" applyProtection="1">
      <alignment horizontal="center" vertical="top" wrapText="1"/>
    </xf>
    <xf numFmtId="1" fontId="1" fillId="0" borderId="29" xfId="0" applyNumberFormat="1" applyFont="1" applyBorder="1" applyAlignment="1" applyProtection="1">
      <alignment horizontal="center" vertical="center" wrapText="1"/>
    </xf>
    <xf numFmtId="0" fontId="1" fillId="0" borderId="29" xfId="0" applyFont="1" applyBorder="1" applyAlignment="1" applyProtection="1">
      <alignment horizontal="center" vertical="center" wrapText="1"/>
    </xf>
    <xf numFmtId="1" fontId="1" fillId="0" borderId="151" xfId="0" applyNumberFormat="1" applyFont="1" applyBorder="1" applyAlignment="1" applyProtection="1">
      <alignment horizontal="center" vertical="center" wrapText="1"/>
    </xf>
    <xf numFmtId="168" fontId="1" fillId="0" borderId="0" xfId="0" applyNumberFormat="1" applyFont="1" applyBorder="1" applyAlignment="1" applyProtection="1">
      <alignment horizontal="center" vertical="center" wrapText="1"/>
    </xf>
    <xf numFmtId="0" fontId="7" fillId="13" borderId="55" xfId="2" applyFont="1" applyFill="1" applyBorder="1" applyAlignment="1" applyProtection="1">
      <alignment vertical="center"/>
    </xf>
    <xf numFmtId="0" fontId="33" fillId="0" borderId="29" xfId="2" applyFont="1" applyBorder="1" applyAlignment="1" applyProtection="1">
      <alignment vertical="center" wrapText="1"/>
    </xf>
    <xf numFmtId="0" fontId="33" fillId="0" borderId="54" xfId="2" applyFont="1" applyBorder="1" applyAlignment="1" applyProtection="1">
      <alignment vertical="center" wrapText="1"/>
    </xf>
    <xf numFmtId="0" fontId="33" fillId="0" borderId="16" xfId="2" applyFont="1" applyBorder="1" applyAlignment="1" applyProtection="1">
      <alignment vertical="center" wrapText="1"/>
    </xf>
    <xf numFmtId="0" fontId="7" fillId="11" borderId="55" xfId="2" applyFont="1" applyFill="1" applyBorder="1" applyAlignment="1" applyProtection="1">
      <alignment vertical="center"/>
    </xf>
    <xf numFmtId="171" fontId="33" fillId="0" borderId="54" xfId="2" applyNumberFormat="1" applyFont="1" applyBorder="1" applyAlignment="1" applyProtection="1">
      <alignment horizontal="center" vertical="center" wrapText="1"/>
    </xf>
    <xf numFmtId="0" fontId="0" fillId="0" borderId="0" xfId="0" applyAlignment="1" applyProtection="1">
      <alignment horizontal="center" vertical="center"/>
    </xf>
    <xf numFmtId="1" fontId="0" fillId="0" borderId="38" xfId="0" applyNumberFormat="1" applyBorder="1" applyAlignment="1" applyProtection="1">
      <alignment horizontal="center" vertical="center" wrapText="1"/>
    </xf>
    <xf numFmtId="171" fontId="25" fillId="0" borderId="16" xfId="0" applyNumberFormat="1" applyFont="1" applyFill="1" applyBorder="1" applyAlignment="1" applyProtection="1">
      <alignment horizontal="center" vertical="center" wrapText="1"/>
    </xf>
    <xf numFmtId="1" fontId="0" fillId="0" borderId="24" xfId="0" applyNumberFormat="1" applyFill="1" applyBorder="1" applyAlignment="1" applyProtection="1">
      <alignment vertical="center"/>
    </xf>
    <xf numFmtId="1" fontId="25" fillId="6" borderId="84" xfId="1" applyNumberFormat="1" applyFont="1" applyFill="1" applyBorder="1" applyAlignment="1" applyProtection="1">
      <alignment horizontal="center" vertical="center" wrapText="1"/>
    </xf>
    <xf numFmtId="168" fontId="25" fillId="0" borderId="53" xfId="0" applyNumberFormat="1" applyFont="1" applyFill="1" applyBorder="1" applyAlignment="1" applyProtection="1">
      <alignment horizontal="center" vertical="center" wrapText="1"/>
    </xf>
    <xf numFmtId="168" fontId="25" fillId="0" borderId="0" xfId="0" applyNumberFormat="1" applyFont="1" applyFill="1" applyBorder="1" applyAlignment="1" applyProtection="1">
      <alignment horizontal="center" vertical="top" wrapText="1"/>
    </xf>
    <xf numFmtId="0" fontId="6" fillId="13" borderId="55" xfId="2" applyFill="1" applyBorder="1" applyProtection="1"/>
    <xf numFmtId="0" fontId="6" fillId="0" borderId="0" xfId="2" applyBorder="1" applyProtection="1"/>
    <xf numFmtId="0" fontId="6" fillId="11" borderId="55" xfId="2" applyFill="1" applyBorder="1" applyProtection="1"/>
    <xf numFmtId="0" fontId="6" fillId="0" borderId="0" xfId="2" applyAlignment="1" applyProtection="1">
      <alignment horizontal="center"/>
    </xf>
    <xf numFmtId="0" fontId="7" fillId="0" borderId="0" xfId="0" applyFont="1" applyBorder="1" applyAlignment="1" applyProtection="1">
      <alignment horizontal="left" vertical="center" wrapText="1"/>
    </xf>
    <xf numFmtId="0" fontId="7" fillId="0" borderId="0" xfId="0" applyFont="1" applyBorder="1" applyAlignment="1" applyProtection="1">
      <alignment horizontal="center" vertical="center"/>
    </xf>
    <xf numFmtId="169" fontId="7" fillId="0" borderId="154" xfId="4" applyNumberFormat="1" applyFont="1" applyFill="1" applyBorder="1" applyAlignment="1" applyProtection="1">
      <alignment horizontal="center" vertical="center" wrapText="1"/>
    </xf>
    <xf numFmtId="1" fontId="0" fillId="0" borderId="44" xfId="0" applyNumberFormat="1" applyBorder="1" applyAlignment="1" applyProtection="1">
      <alignment horizontal="center" vertical="center" wrapText="1"/>
    </xf>
    <xf numFmtId="1" fontId="13" fillId="0" borderId="0" xfId="0" applyNumberFormat="1" applyFont="1" applyBorder="1" applyAlignment="1" applyProtection="1">
      <alignment vertical="center" wrapText="1"/>
    </xf>
    <xf numFmtId="11" fontId="6" fillId="13" borderId="55" xfId="2" applyNumberFormat="1" applyFill="1" applyBorder="1" applyProtection="1"/>
    <xf numFmtId="0" fontId="6" fillId="0" borderId="0" xfId="2" applyProtection="1"/>
    <xf numFmtId="11" fontId="6" fillId="11" borderId="33" xfId="2" applyNumberFormat="1" applyFont="1" applyFill="1" applyBorder="1" applyProtection="1"/>
    <xf numFmtId="0" fontId="6" fillId="11" borderId="33" xfId="2" applyFill="1" applyBorder="1" applyProtection="1"/>
    <xf numFmtId="0" fontId="6" fillId="0" borderId="0" xfId="0" applyFont="1" applyFill="1" applyBorder="1" applyProtection="1"/>
    <xf numFmtId="4" fontId="0" fillId="0" borderId="0" xfId="0" applyNumberFormat="1" applyFill="1" applyAlignment="1" applyProtection="1">
      <alignment horizontal="left" vertical="top" wrapText="1"/>
    </xf>
    <xf numFmtId="174" fontId="0" fillId="0" borderId="0" xfId="0" applyNumberFormat="1" applyFill="1" applyAlignment="1" applyProtection="1">
      <alignment horizontal="center" vertical="center"/>
    </xf>
    <xf numFmtId="0" fontId="7" fillId="0" borderId="0" xfId="0" applyFont="1" applyBorder="1" applyProtection="1"/>
    <xf numFmtId="0" fontId="6" fillId="0" borderId="0" xfId="0" applyFont="1" applyAlignment="1" applyProtection="1">
      <alignment horizontal="center"/>
    </xf>
    <xf numFmtId="169" fontId="44" fillId="0" borderId="155" xfId="4" applyNumberFormat="1" applyFont="1" applyFill="1" applyBorder="1" applyAlignment="1" applyProtection="1">
      <alignment horizontal="center"/>
    </xf>
    <xf numFmtId="0" fontId="6" fillId="13" borderId="33" xfId="2" applyFill="1" applyBorder="1" applyProtection="1"/>
    <xf numFmtId="11" fontId="6" fillId="13" borderId="33" xfId="2" applyNumberFormat="1" applyFill="1" applyBorder="1" applyProtection="1"/>
    <xf numFmtId="0" fontId="6" fillId="13" borderId="33" xfId="2" applyFont="1" applyFill="1" applyBorder="1" applyProtection="1"/>
    <xf numFmtId="11" fontId="6" fillId="13" borderId="33" xfId="2" applyNumberFormat="1" applyFont="1" applyFill="1" applyBorder="1" applyProtection="1"/>
    <xf numFmtId="0" fontId="6" fillId="0" borderId="0" xfId="2" applyFont="1" applyProtection="1"/>
    <xf numFmtId="0" fontId="6" fillId="0" borderId="0" xfId="0" applyFont="1" applyBorder="1" applyProtection="1"/>
    <xf numFmtId="169" fontId="43" fillId="0" borderId="155" xfId="4" applyNumberFormat="1" applyFont="1" applyFill="1" applyBorder="1" applyAlignment="1" applyProtection="1">
      <alignment horizontal="center"/>
    </xf>
    <xf numFmtId="0" fontId="43" fillId="0" borderId="0" xfId="0" applyFont="1" applyFill="1" applyBorder="1" applyAlignment="1" applyProtection="1"/>
    <xf numFmtId="11" fontId="6" fillId="11" borderId="33" xfId="2" applyNumberFormat="1" applyFill="1" applyBorder="1" applyProtection="1"/>
    <xf numFmtId="0" fontId="37" fillId="0" borderId="0" xfId="2" applyFont="1" applyProtection="1"/>
    <xf numFmtId="0" fontId="0" fillId="0" borderId="0" xfId="0" applyBorder="1" applyAlignment="1" applyProtection="1">
      <alignment vertical="center"/>
    </xf>
    <xf numFmtId="0" fontId="43" fillId="0" borderId="0" xfId="0" applyFont="1" applyFill="1" applyBorder="1" applyAlignment="1" applyProtection="1">
      <alignment horizontal="center"/>
    </xf>
    <xf numFmtId="1" fontId="0" fillId="0" borderId="19" xfId="0" applyNumberFormat="1" applyBorder="1" applyAlignment="1" applyProtection="1">
      <alignment horizontal="center" vertical="center" wrapText="1"/>
    </xf>
    <xf numFmtId="0" fontId="0" fillId="0" borderId="2" xfId="0" applyBorder="1" applyAlignment="1" applyProtection="1">
      <alignment vertical="center"/>
    </xf>
    <xf numFmtId="1" fontId="0" fillId="0" borderId="0" xfId="0" applyNumberFormat="1" applyAlignment="1" applyProtection="1">
      <alignment horizontal="center" vertical="top"/>
    </xf>
    <xf numFmtId="169" fontId="0" fillId="0" borderId="0" xfId="0" applyNumberFormat="1" applyProtection="1"/>
    <xf numFmtId="9" fontId="0" fillId="0" borderId="0" xfId="1" applyFont="1" applyProtection="1"/>
    <xf numFmtId="1" fontId="0" fillId="0" borderId="0" xfId="0" applyNumberFormat="1" applyProtection="1"/>
    <xf numFmtId="1" fontId="4" fillId="0" borderId="0" xfId="0" applyNumberFormat="1" applyFont="1" applyAlignment="1" applyProtection="1">
      <alignment vertical="top"/>
    </xf>
    <xf numFmtId="168" fontId="11" fillId="0" borderId="52" xfId="0" applyNumberFormat="1" applyFont="1" applyBorder="1" applyAlignment="1" applyProtection="1">
      <alignment vertical="top" wrapText="1"/>
    </xf>
    <xf numFmtId="168" fontId="11" fillId="0" borderId="0" xfId="0" applyNumberFormat="1" applyFont="1" applyBorder="1" applyAlignment="1" applyProtection="1">
      <alignment vertical="top" wrapText="1"/>
    </xf>
    <xf numFmtId="169" fontId="43" fillId="0" borderId="0" xfId="4" applyNumberFormat="1" applyFont="1" applyFill="1" applyBorder="1" applyAlignment="1" applyProtection="1">
      <alignment horizontal="center"/>
    </xf>
    <xf numFmtId="2" fontId="64" fillId="0" borderId="0" xfId="4" applyNumberFormat="1" applyFont="1" applyFill="1" applyBorder="1" applyAlignment="1" applyProtection="1">
      <alignment horizontal="center"/>
    </xf>
    <xf numFmtId="168" fontId="1" fillId="0" borderId="55" xfId="0" applyNumberFormat="1" applyFont="1" applyBorder="1" applyAlignment="1" applyProtection="1">
      <alignment horizontal="center" vertical="center" wrapText="1"/>
    </xf>
    <xf numFmtId="1" fontId="0" fillId="0" borderId="152" xfId="0" applyNumberFormat="1" applyBorder="1" applyAlignment="1" applyProtection="1">
      <alignment horizontal="center" vertical="top"/>
    </xf>
    <xf numFmtId="0" fontId="7" fillId="0" borderId="56" xfId="0" applyFont="1" applyBorder="1" applyAlignment="1" applyProtection="1">
      <alignment vertical="center" wrapText="1"/>
    </xf>
    <xf numFmtId="169" fontId="7" fillId="0" borderId="75" xfId="0" applyNumberFormat="1" applyFont="1" applyBorder="1" applyAlignment="1" applyProtection="1">
      <alignment horizontal="center" vertical="center" wrapText="1"/>
    </xf>
    <xf numFmtId="0" fontId="43" fillId="0" borderId="0" xfId="0" applyFont="1" applyBorder="1" applyAlignment="1" applyProtection="1"/>
    <xf numFmtId="169" fontId="0" fillId="0" borderId="52" xfId="0" applyNumberFormat="1" applyFill="1" applyBorder="1" applyAlignment="1" applyProtection="1">
      <alignment horizontal="center" vertical="center"/>
    </xf>
    <xf numFmtId="169" fontId="0" fillId="0" borderId="68" xfId="0" applyNumberFormat="1" applyBorder="1" applyAlignment="1" applyProtection="1">
      <alignment horizontal="center" vertical="center"/>
    </xf>
    <xf numFmtId="1" fontId="0" fillId="0" borderId="70" xfId="0" applyNumberFormat="1" applyBorder="1" applyAlignment="1" applyProtection="1">
      <alignment horizontal="center" vertical="top"/>
    </xf>
    <xf numFmtId="0" fontId="0" fillId="0" borderId="9" xfId="0" applyBorder="1" applyAlignment="1" applyProtection="1">
      <alignment vertical="center" wrapText="1"/>
    </xf>
    <xf numFmtId="169" fontId="0" fillId="0" borderId="71" xfId="0" applyNumberFormat="1" applyBorder="1" applyAlignment="1" applyProtection="1">
      <alignment horizontal="center" vertical="center"/>
    </xf>
    <xf numFmtId="0" fontId="6" fillId="0" borderId="9" xfId="0" applyFont="1" applyBorder="1" applyAlignment="1" applyProtection="1">
      <alignment vertical="center" wrapText="1"/>
    </xf>
    <xf numFmtId="0" fontId="7" fillId="0" borderId="0" xfId="2" applyFont="1" applyProtection="1"/>
    <xf numFmtId="1" fontId="4" fillId="0" borderId="0" xfId="0" applyNumberFormat="1" applyFont="1" applyAlignment="1" applyProtection="1">
      <alignment vertical="center"/>
    </xf>
    <xf numFmtId="0" fontId="0" fillId="0" borderId="0" xfId="0" applyAlignment="1" applyProtection="1">
      <alignment vertical="center"/>
    </xf>
    <xf numFmtId="9" fontId="0" fillId="0" borderId="0" xfId="1" applyFont="1" applyAlignment="1" applyProtection="1">
      <alignment vertical="center"/>
    </xf>
    <xf numFmtId="169" fontId="0" fillId="0" borderId="0" xfId="0" applyNumberFormat="1" applyAlignment="1" applyProtection="1">
      <alignment horizontal="right" vertical="center"/>
    </xf>
    <xf numFmtId="9" fontId="43" fillId="0" borderId="0" xfId="1" applyFont="1" applyFill="1" applyBorder="1" applyAlignment="1" applyProtection="1">
      <alignment horizontal="center"/>
    </xf>
    <xf numFmtId="1" fontId="0" fillId="0" borderId="72" xfId="0" applyNumberFormat="1" applyBorder="1" applyAlignment="1" applyProtection="1">
      <alignment horizontal="center" vertical="top"/>
    </xf>
    <xf numFmtId="0" fontId="6" fillId="0" borderId="73" xfId="0" applyFont="1" applyBorder="1" applyAlignment="1" applyProtection="1">
      <alignment vertical="center" wrapText="1"/>
    </xf>
    <xf numFmtId="169" fontId="0" fillId="0" borderId="74" xfId="0" applyNumberFormat="1" applyBorder="1" applyAlignment="1" applyProtection="1">
      <alignment horizontal="center" vertical="center"/>
    </xf>
    <xf numFmtId="1" fontId="0" fillId="0" borderId="0" xfId="0" applyNumberFormat="1" applyFont="1" applyAlignment="1" applyProtection="1">
      <alignment horizontal="center" vertical="top"/>
    </xf>
    <xf numFmtId="9" fontId="43" fillId="0" borderId="0" xfId="4" applyNumberFormat="1" applyFont="1" applyFill="1" applyBorder="1" applyAlignment="1" applyProtection="1">
      <alignment horizontal="center"/>
    </xf>
    <xf numFmtId="1" fontId="23" fillId="0" borderId="0" xfId="0" applyNumberFormat="1" applyFont="1" applyAlignment="1" applyProtection="1">
      <alignment horizontal="center" vertical="top"/>
    </xf>
    <xf numFmtId="0" fontId="24" fillId="0" borderId="16" xfId="0" applyFont="1" applyBorder="1" applyAlignment="1" applyProtection="1">
      <alignment vertical="top" wrapText="1"/>
    </xf>
    <xf numFmtId="169" fontId="17" fillId="0" borderId="16" xfId="0" applyNumberFormat="1" applyFont="1" applyBorder="1" applyAlignment="1" applyProtection="1">
      <alignment horizontal="center" vertical="top" wrapText="1"/>
    </xf>
    <xf numFmtId="0" fontId="24" fillId="0" borderId="4" xfId="0" applyFont="1" applyBorder="1" applyAlignment="1" applyProtection="1">
      <alignment vertical="top" wrapText="1"/>
    </xf>
    <xf numFmtId="1" fontId="24" fillId="0" borderId="9" xfId="1" applyNumberFormat="1" applyFont="1" applyBorder="1" applyAlignment="1" applyProtection="1">
      <alignment vertical="center"/>
    </xf>
    <xf numFmtId="169" fontId="24" fillId="0" borderId="9" xfId="0" applyNumberFormat="1" applyFont="1" applyBorder="1" applyAlignment="1" applyProtection="1">
      <alignment vertical="center"/>
    </xf>
    <xf numFmtId="169" fontId="24" fillId="0" borderId="9" xfId="0" applyNumberFormat="1" applyFont="1" applyBorder="1" applyAlignment="1" applyProtection="1">
      <alignment vertical="center" wrapText="1"/>
    </xf>
    <xf numFmtId="0" fontId="6" fillId="0" borderId="0" xfId="0" applyFont="1" applyFill="1" applyBorder="1" applyAlignment="1" applyProtection="1">
      <alignment vertical="top" wrapText="1"/>
    </xf>
    <xf numFmtId="0" fontId="43" fillId="0" borderId="0" xfId="0" applyFont="1" applyFill="1" applyBorder="1" applyAlignment="1" applyProtection="1">
      <alignment horizontal="center" vertical="center"/>
    </xf>
    <xf numFmtId="1" fontId="0" fillId="0" borderId="183" xfId="0" applyNumberFormat="1" applyFont="1" applyBorder="1" applyAlignment="1" applyProtection="1">
      <alignment horizontal="center" vertical="center"/>
    </xf>
    <xf numFmtId="9" fontId="0" fillId="0" borderId="79" xfId="0" applyNumberFormat="1" applyFont="1" applyBorder="1" applyAlignment="1" applyProtection="1">
      <alignment horizontal="left" vertical="center"/>
    </xf>
    <xf numFmtId="169" fontId="0" fillId="0" borderId="33" xfId="0" applyNumberFormat="1" applyFont="1" applyBorder="1" applyAlignment="1" applyProtection="1">
      <alignment horizontal="center" vertical="center"/>
    </xf>
    <xf numFmtId="1" fontId="0" fillId="0" borderId="9" xfId="1" applyNumberFormat="1" applyFont="1" applyBorder="1" applyProtection="1"/>
    <xf numFmtId="169" fontId="0" fillId="0" borderId="9" xfId="0" applyNumberFormat="1" applyBorder="1" applyProtection="1"/>
    <xf numFmtId="169" fontId="0" fillId="0" borderId="9" xfId="0" applyNumberFormat="1" applyBorder="1" applyAlignment="1" applyProtection="1">
      <alignment horizontal="center" vertical="center"/>
    </xf>
    <xf numFmtId="1" fontId="0" fillId="0" borderId="33" xfId="0" applyNumberFormat="1" applyFont="1" applyBorder="1" applyAlignment="1" applyProtection="1">
      <alignment horizontal="center" vertical="center"/>
    </xf>
    <xf numFmtId="0" fontId="11" fillId="0" borderId="83" xfId="0" applyFont="1" applyBorder="1" applyAlignment="1" applyProtection="1">
      <alignment vertical="center"/>
    </xf>
    <xf numFmtId="169" fontId="11" fillId="0" borderId="9" xfId="0" applyNumberFormat="1" applyFont="1" applyBorder="1" applyAlignment="1" applyProtection="1">
      <alignment horizontal="center" vertical="center"/>
    </xf>
    <xf numFmtId="169" fontId="8" fillId="0" borderId="9" xfId="0" applyNumberFormat="1" applyFont="1" applyBorder="1" applyAlignment="1" applyProtection="1">
      <alignment horizontal="center" vertical="center"/>
    </xf>
    <xf numFmtId="1" fontId="13" fillId="0" borderId="33" xfId="0" applyNumberFormat="1" applyFont="1" applyBorder="1" applyAlignment="1" applyProtection="1">
      <alignment horizontal="center" vertical="center"/>
    </xf>
    <xf numFmtId="0" fontId="13" fillId="0" borderId="83" xfId="0" applyFont="1" applyBorder="1" applyAlignment="1" applyProtection="1">
      <alignment vertical="center"/>
    </xf>
    <xf numFmtId="169" fontId="4" fillId="0" borderId="9" xfId="0" applyNumberFormat="1" applyFont="1" applyBorder="1" applyAlignment="1" applyProtection="1">
      <alignment horizontal="center" vertical="center"/>
    </xf>
    <xf numFmtId="169" fontId="13" fillId="0" borderId="9" xfId="0" applyNumberFormat="1" applyFont="1" applyBorder="1" applyAlignment="1" applyProtection="1">
      <alignment horizontal="center" vertical="center"/>
    </xf>
    <xf numFmtId="0" fontId="0" fillId="0" borderId="0" xfId="0" applyFill="1" applyProtection="1"/>
    <xf numFmtId="0" fontId="0" fillId="0" borderId="83" xfId="0" applyFont="1" applyBorder="1" applyAlignment="1" applyProtection="1">
      <alignment vertical="center"/>
    </xf>
    <xf numFmtId="169" fontId="11" fillId="0" borderId="52" xfId="0" applyNumberFormat="1" applyFont="1" applyBorder="1" applyAlignment="1" applyProtection="1">
      <alignment horizontal="center" vertical="center"/>
    </xf>
    <xf numFmtId="0" fontId="0" fillId="0" borderId="0" xfId="0" applyFont="1" applyAlignment="1" applyProtection="1">
      <alignment vertical="center"/>
    </xf>
    <xf numFmtId="0" fontId="6" fillId="12" borderId="33" xfId="2" applyFill="1" applyBorder="1" applyProtection="1"/>
    <xf numFmtId="11" fontId="6" fillId="12" borderId="33" xfId="2" applyNumberFormat="1" applyFill="1" applyBorder="1" applyProtection="1"/>
    <xf numFmtId="0" fontId="36" fillId="0" borderId="0" xfId="2" applyFont="1" applyProtection="1"/>
    <xf numFmtId="1" fontId="0" fillId="0" borderId="0" xfId="0" applyNumberFormat="1" applyFont="1" applyAlignment="1" applyProtection="1">
      <alignment horizontal="center" vertical="center"/>
    </xf>
    <xf numFmtId="0" fontId="41" fillId="13" borderId="33" xfId="2" applyFont="1" applyFill="1" applyBorder="1" applyProtection="1"/>
    <xf numFmtId="0" fontId="37" fillId="13" borderId="33" xfId="2" applyFont="1" applyFill="1" applyBorder="1" applyProtection="1"/>
    <xf numFmtId="11" fontId="37" fillId="13" borderId="33" xfId="2" applyNumberFormat="1" applyFont="1" applyFill="1" applyBorder="1" applyProtection="1"/>
    <xf numFmtId="0" fontId="6" fillId="3" borderId="33" xfId="2" applyFill="1" applyBorder="1" applyProtection="1"/>
    <xf numFmtId="11" fontId="6" fillId="3" borderId="33" xfId="2" applyNumberFormat="1" applyFont="1" applyFill="1" applyBorder="1" applyProtection="1"/>
    <xf numFmtId="0" fontId="6" fillId="5" borderId="33" xfId="2" applyFill="1" applyBorder="1" applyProtection="1"/>
    <xf numFmtId="11" fontId="6" fillId="5" borderId="33" xfId="2" applyNumberFormat="1" applyFill="1" applyBorder="1" applyProtection="1"/>
    <xf numFmtId="0" fontId="13" fillId="0" borderId="0" xfId="2" applyFont="1" applyProtection="1"/>
    <xf numFmtId="0" fontId="27" fillId="0" borderId="0" xfId="2" applyFont="1" applyProtection="1"/>
    <xf numFmtId="0" fontId="1" fillId="0" borderId="0" xfId="2" applyFont="1" applyProtection="1"/>
    <xf numFmtId="0" fontId="38" fillId="0" borderId="0" xfId="2" applyFont="1" applyProtection="1"/>
    <xf numFmtId="0" fontId="39" fillId="0" borderId="0" xfId="2" applyFont="1" applyProtection="1"/>
    <xf numFmtId="0" fontId="7" fillId="5" borderId="33" xfId="2" applyFont="1" applyFill="1" applyBorder="1" applyProtection="1"/>
    <xf numFmtId="11" fontId="7" fillId="5" borderId="33" xfId="2" applyNumberFormat="1" applyFont="1" applyFill="1" applyBorder="1" applyProtection="1"/>
    <xf numFmtId="0" fontId="37" fillId="3" borderId="33" xfId="2" applyFont="1" applyFill="1" applyBorder="1" applyProtection="1"/>
    <xf numFmtId="11" fontId="37" fillId="3" borderId="33" xfId="2" applyNumberFormat="1" applyFont="1" applyFill="1" applyBorder="1" applyProtection="1"/>
    <xf numFmtId="0" fontId="6" fillId="10" borderId="33" xfId="2" applyFill="1" applyBorder="1" applyProtection="1"/>
    <xf numFmtId="169" fontId="6" fillId="10" borderId="33" xfId="2" applyNumberFormat="1" applyFill="1" applyBorder="1" applyProtection="1"/>
    <xf numFmtId="11" fontId="6" fillId="10" borderId="33" xfId="2" applyNumberFormat="1" applyFill="1" applyBorder="1" applyProtection="1"/>
    <xf numFmtId="0" fontId="40" fillId="0" borderId="0" xfId="2" applyFont="1" applyProtection="1"/>
    <xf numFmtId="0" fontId="7" fillId="10" borderId="33" xfId="2" applyFont="1" applyFill="1" applyBorder="1" applyProtection="1"/>
    <xf numFmtId="169" fontId="7" fillId="10" borderId="33" xfId="2" applyNumberFormat="1" applyFont="1" applyFill="1" applyBorder="1" applyProtection="1"/>
    <xf numFmtId="11" fontId="7" fillId="10" borderId="33" xfId="2" applyNumberFormat="1" applyFont="1" applyFill="1" applyBorder="1" applyProtection="1"/>
    <xf numFmtId="0" fontId="7" fillId="13" borderId="33" xfId="2" applyFont="1" applyFill="1" applyBorder="1" applyProtection="1"/>
    <xf numFmtId="11" fontId="7" fillId="13" borderId="33" xfId="2" applyNumberFormat="1" applyFont="1" applyFill="1" applyBorder="1" applyProtection="1"/>
    <xf numFmtId="2" fontId="6" fillId="10" borderId="33" xfId="2" applyNumberFormat="1" applyFill="1" applyBorder="1" applyProtection="1"/>
    <xf numFmtId="0" fontId="38" fillId="12" borderId="33" xfId="2" applyFont="1" applyFill="1" applyBorder="1" applyProtection="1"/>
    <xf numFmtId="0" fontId="13" fillId="12" borderId="33" xfId="2" applyFont="1" applyFill="1" applyBorder="1" applyProtection="1"/>
    <xf numFmtId="11" fontId="13" fillId="12" borderId="33" xfId="2" applyNumberFormat="1" applyFont="1" applyFill="1" applyBorder="1" applyProtection="1"/>
    <xf numFmtId="0" fontId="37" fillId="10" borderId="33" xfId="2" applyFont="1" applyFill="1" applyBorder="1" applyProtection="1"/>
    <xf numFmtId="169" fontId="37" fillId="10" borderId="33" xfId="2" applyNumberFormat="1" applyFont="1" applyFill="1" applyBorder="1" applyProtection="1"/>
    <xf numFmtId="168" fontId="6" fillId="13" borderId="33" xfId="2" applyNumberFormat="1" applyFill="1" applyBorder="1" applyProtection="1"/>
    <xf numFmtId="0" fontId="37" fillId="12" borderId="33" xfId="2" applyFont="1" applyFill="1" applyBorder="1" applyProtection="1"/>
    <xf numFmtId="0" fontId="27" fillId="12" borderId="33" xfId="2" applyFont="1" applyFill="1" applyBorder="1" applyProtection="1"/>
    <xf numFmtId="11" fontId="27" fillId="12" borderId="33" xfId="2" applyNumberFormat="1" applyFont="1" applyFill="1" applyBorder="1" applyProtection="1"/>
    <xf numFmtId="0" fontId="7" fillId="12" borderId="33" xfId="2" applyFont="1" applyFill="1" applyBorder="1" applyProtection="1"/>
    <xf numFmtId="11" fontId="7" fillId="12" borderId="33" xfId="2" applyNumberFormat="1" applyFont="1" applyFill="1" applyBorder="1" applyProtection="1"/>
    <xf numFmtId="0" fontId="6" fillId="12" borderId="33" xfId="2" applyFont="1" applyFill="1" applyBorder="1" applyProtection="1"/>
    <xf numFmtId="11" fontId="6" fillId="12" borderId="33" xfId="2" applyNumberFormat="1" applyFont="1" applyFill="1" applyBorder="1" applyProtection="1"/>
    <xf numFmtId="2" fontId="6" fillId="12" borderId="33" xfId="2" applyNumberFormat="1" applyFill="1" applyBorder="1" applyProtection="1"/>
    <xf numFmtId="2" fontId="37" fillId="5" borderId="33" xfId="2" applyNumberFormat="1" applyFont="1" applyFill="1" applyBorder="1" applyProtection="1"/>
    <xf numFmtId="2" fontId="32" fillId="5" borderId="33" xfId="2" applyNumberFormat="1" applyFont="1" applyFill="1" applyBorder="1" applyProtection="1"/>
    <xf numFmtId="0" fontId="1" fillId="12" borderId="33" xfId="2" applyFont="1" applyFill="1" applyBorder="1" applyProtection="1"/>
    <xf numFmtId="11" fontId="1" fillId="12" borderId="33" xfId="2" applyNumberFormat="1" applyFont="1" applyFill="1" applyBorder="1" applyProtection="1"/>
    <xf numFmtId="11" fontId="37" fillId="12" borderId="33" xfId="2" applyNumberFormat="1" applyFont="1" applyFill="1" applyBorder="1" applyProtection="1"/>
    <xf numFmtId="0" fontId="6" fillId="4" borderId="33" xfId="2" applyFont="1" applyFill="1" applyBorder="1" applyProtection="1"/>
    <xf numFmtId="11" fontId="6" fillId="4" borderId="33" xfId="2" applyNumberFormat="1" applyFont="1" applyFill="1" applyBorder="1" applyProtection="1"/>
    <xf numFmtId="0" fontId="7" fillId="4" borderId="33" xfId="2" applyFont="1" applyFill="1" applyBorder="1" applyProtection="1"/>
    <xf numFmtId="11" fontId="7" fillId="4" borderId="33" xfId="2" applyNumberFormat="1" applyFont="1" applyFill="1" applyBorder="1" applyProtection="1"/>
    <xf numFmtId="0" fontId="6" fillId="4" borderId="33" xfId="2" applyFill="1" applyBorder="1" applyProtection="1"/>
    <xf numFmtId="11" fontId="6" fillId="4" borderId="33" xfId="2" applyNumberFormat="1" applyFill="1" applyBorder="1" applyProtection="1"/>
    <xf numFmtId="0" fontId="7" fillId="11" borderId="33" xfId="2" applyFont="1" applyFill="1" applyBorder="1" applyProtection="1"/>
    <xf numFmtId="11" fontId="7" fillId="11" borderId="33" xfId="2" applyNumberFormat="1" applyFont="1" applyFill="1" applyBorder="1" applyProtection="1"/>
    <xf numFmtId="0" fontId="6" fillId="11" borderId="56" xfId="2" applyFill="1" applyBorder="1" applyProtection="1"/>
    <xf numFmtId="11" fontId="6" fillId="11" borderId="56" xfId="2" applyNumberFormat="1" applyFont="1" applyFill="1" applyBorder="1" applyProtection="1"/>
    <xf numFmtId="0" fontId="6" fillId="0" borderId="56" xfId="2" applyFill="1" applyBorder="1" applyProtection="1"/>
    <xf numFmtId="1" fontId="6" fillId="0" borderId="56" xfId="2" applyNumberFormat="1" applyFill="1" applyBorder="1" applyProtection="1"/>
    <xf numFmtId="0" fontId="27" fillId="4" borderId="33" xfId="2" applyFont="1" applyFill="1" applyBorder="1" applyProtection="1"/>
    <xf numFmtId="11" fontId="27" fillId="4" borderId="33" xfId="2" applyNumberFormat="1" applyFont="1" applyFill="1" applyBorder="1" applyProtection="1"/>
    <xf numFmtId="0" fontId="6" fillId="11" borderId="33" xfId="2" applyFont="1" applyFill="1" applyBorder="1" applyProtection="1"/>
    <xf numFmtId="0" fontId="6" fillId="13" borderId="56" xfId="2" applyFill="1" applyBorder="1" applyProtection="1"/>
    <xf numFmtId="11" fontId="6" fillId="13" borderId="56" xfId="2" applyNumberFormat="1" applyFill="1" applyBorder="1" applyProtection="1"/>
    <xf numFmtId="11" fontId="6" fillId="0" borderId="56" xfId="2" applyNumberFormat="1" applyFill="1" applyBorder="1" applyProtection="1"/>
    <xf numFmtId="0" fontId="6" fillId="0" borderId="0" xfId="2" applyFill="1" applyProtection="1"/>
    <xf numFmtId="0" fontId="6" fillId="10" borderId="56" xfId="2" applyFill="1" applyBorder="1" applyProtection="1"/>
    <xf numFmtId="2" fontId="6" fillId="10" borderId="56" xfId="2" applyNumberFormat="1" applyFill="1" applyBorder="1" applyProtection="1"/>
    <xf numFmtId="9" fontId="42" fillId="0" borderId="0" xfId="1" applyFont="1" applyFill="1" applyBorder="1" applyProtection="1"/>
    <xf numFmtId="169" fontId="42" fillId="0" borderId="0" xfId="0" applyNumberFormat="1" applyFont="1" applyFill="1" applyBorder="1" applyAlignment="1" applyProtection="1">
      <alignment vertical="center"/>
    </xf>
    <xf numFmtId="169" fontId="17" fillId="0" borderId="0" xfId="0" applyNumberFormat="1" applyFont="1" applyFill="1" applyBorder="1" applyAlignment="1" applyProtection="1">
      <alignment horizontal="center" vertical="center" wrapText="1"/>
    </xf>
    <xf numFmtId="169" fontId="42" fillId="0" borderId="0" xfId="0" applyNumberFormat="1" applyFont="1" applyFill="1" applyBorder="1" applyProtection="1"/>
    <xf numFmtId="0" fontId="0" fillId="0" borderId="0" xfId="0" applyBorder="1" applyProtection="1"/>
    <xf numFmtId="2" fontId="0" fillId="0" borderId="0" xfId="0" applyNumberFormat="1" applyProtection="1"/>
    <xf numFmtId="0" fontId="85" fillId="2" borderId="6" xfId="0" applyFont="1" applyFill="1" applyBorder="1" applyAlignment="1" applyProtection="1">
      <alignment vertical="center" wrapText="1"/>
    </xf>
    <xf numFmtId="0" fontId="23" fillId="0" borderId="0" xfId="0" applyFont="1" applyProtection="1"/>
    <xf numFmtId="0" fontId="86" fillId="0" borderId="0" xfId="0" applyFont="1" applyAlignment="1" applyProtection="1">
      <alignment vertical="center" wrapText="1"/>
    </xf>
    <xf numFmtId="169" fontId="86" fillId="0" borderId="0" xfId="0" applyNumberFormat="1" applyFont="1" applyAlignment="1" applyProtection="1">
      <alignment vertical="center"/>
    </xf>
    <xf numFmtId="0" fontId="23" fillId="0" borderId="0" xfId="0" applyFont="1" applyAlignment="1" applyProtection="1">
      <alignment vertical="center"/>
    </xf>
    <xf numFmtId="0" fontId="29" fillId="0" borderId="0" xfId="0" applyFont="1" applyFill="1" applyBorder="1" applyProtection="1"/>
    <xf numFmtId="0" fontId="29" fillId="0" borderId="0" xfId="0" applyFont="1" applyFill="1" applyBorder="1" applyAlignment="1" applyProtection="1">
      <alignment vertical="center"/>
    </xf>
    <xf numFmtId="0" fontId="34" fillId="0" borderId="0" xfId="0" applyFont="1" applyFill="1" applyBorder="1" applyAlignment="1" applyProtection="1">
      <alignment vertical="center"/>
    </xf>
    <xf numFmtId="169" fontId="29" fillId="0" borderId="0" xfId="0" quotePrefix="1" applyNumberFormat="1" applyFont="1" applyFill="1" applyBorder="1" applyAlignment="1" applyProtection="1">
      <alignment horizontal="center" vertical="center"/>
    </xf>
    <xf numFmtId="169" fontId="17" fillId="0" borderId="0" xfId="0" applyNumberFormat="1" applyFont="1" applyFill="1" applyBorder="1" applyAlignment="1" applyProtection="1">
      <alignment horizontal="center" vertical="center"/>
    </xf>
    <xf numFmtId="0" fontId="23" fillId="0" borderId="0" xfId="0" applyFont="1" applyBorder="1" applyProtection="1"/>
    <xf numFmtId="0" fontId="24" fillId="0" borderId="28" xfId="0" applyFont="1" applyBorder="1" applyAlignment="1" applyProtection="1">
      <alignment horizontal="center" vertical="center" wrapText="1"/>
    </xf>
    <xf numFmtId="1" fontId="24" fillId="0" borderId="29" xfId="0" applyNumberFormat="1" applyFont="1" applyBorder="1" applyAlignment="1" applyProtection="1">
      <alignment horizontal="center" vertical="center" wrapText="1"/>
    </xf>
    <xf numFmtId="0" fontId="24" fillId="0" borderId="29" xfId="0" applyFont="1" applyBorder="1" applyAlignment="1" applyProtection="1">
      <alignment horizontal="center" vertical="center" wrapText="1"/>
    </xf>
    <xf numFmtId="169" fontId="24" fillId="0" borderId="29" xfId="0" applyNumberFormat="1" applyFont="1" applyBorder="1" applyAlignment="1" applyProtection="1">
      <alignment horizontal="center" vertical="center" wrapText="1"/>
    </xf>
    <xf numFmtId="168" fontId="24" fillId="0" borderId="29" xfId="0" applyNumberFormat="1" applyFont="1" applyBorder="1" applyAlignment="1" applyProtection="1">
      <alignment horizontal="center" vertical="center" wrapText="1"/>
    </xf>
    <xf numFmtId="168" fontId="24" fillId="0" borderId="0" xfId="0" applyNumberFormat="1" applyFont="1" applyBorder="1" applyAlignment="1" applyProtection="1">
      <alignment horizontal="center" vertical="center" wrapText="1"/>
    </xf>
    <xf numFmtId="0" fontId="23" fillId="0" borderId="173" xfId="0" applyFont="1" applyBorder="1" applyProtection="1"/>
    <xf numFmtId="0" fontId="23" fillId="0" borderId="151" xfId="0" applyFont="1" applyFill="1" applyBorder="1" applyProtection="1"/>
    <xf numFmtId="0" fontId="29" fillId="0" borderId="29" xfId="0" applyFont="1" applyFill="1" applyBorder="1" applyAlignment="1" applyProtection="1">
      <alignment horizontal="center" vertical="center"/>
    </xf>
    <xf numFmtId="0" fontId="29" fillId="0" borderId="59" xfId="0" applyFont="1" applyFill="1" applyBorder="1" applyAlignment="1" applyProtection="1">
      <alignment horizontal="center" vertical="center"/>
    </xf>
    <xf numFmtId="169" fontId="33" fillId="14" borderId="16" xfId="0" applyNumberFormat="1" applyFont="1" applyFill="1" applyBorder="1" applyAlignment="1" applyProtection="1">
      <alignment horizontal="center" vertical="center" wrapText="1"/>
    </xf>
    <xf numFmtId="169" fontId="33" fillId="0" borderId="54" xfId="2" applyNumberFormat="1" applyFont="1" applyFill="1" applyBorder="1" applyAlignment="1" applyProtection="1">
      <alignment vertical="center" wrapText="1"/>
    </xf>
    <xf numFmtId="9" fontId="29" fillId="0" borderId="54" xfId="1" applyFont="1" applyFill="1" applyBorder="1" applyAlignment="1" applyProtection="1">
      <alignment vertical="center" wrapText="1"/>
    </xf>
    <xf numFmtId="169" fontId="33" fillId="15" borderId="38" xfId="0" applyNumberFormat="1" applyFont="1" applyFill="1" applyBorder="1" applyAlignment="1" applyProtection="1">
      <alignment horizontal="center" vertical="center" wrapText="1"/>
    </xf>
    <xf numFmtId="169" fontId="17" fillId="10" borderId="60" xfId="2" applyNumberFormat="1" applyFont="1" applyFill="1" applyBorder="1" applyAlignment="1" applyProtection="1">
      <alignment vertical="center" wrapText="1"/>
    </xf>
    <xf numFmtId="169" fontId="17" fillId="5" borderId="60" xfId="2" applyNumberFormat="1" applyFont="1" applyFill="1" applyBorder="1" applyAlignment="1" applyProtection="1">
      <alignment vertical="center" wrapText="1"/>
    </xf>
    <xf numFmtId="0" fontId="29" fillId="0" borderId="16" xfId="0" applyFont="1" applyBorder="1" applyAlignment="1" applyProtection="1">
      <alignment vertical="center"/>
    </xf>
    <xf numFmtId="0" fontId="29" fillId="0" borderId="5" xfId="0" applyFont="1" applyFill="1" applyBorder="1" applyAlignment="1" applyProtection="1">
      <alignment horizontal="center" vertical="center"/>
    </xf>
    <xf numFmtId="168" fontId="33" fillId="0" borderId="54" xfId="0" applyNumberFormat="1" applyFont="1" applyFill="1" applyBorder="1" applyAlignment="1" applyProtection="1">
      <alignment horizontal="center" vertical="center" wrapText="1"/>
    </xf>
    <xf numFmtId="0" fontId="23" fillId="0" borderId="38" xfId="0" applyFont="1" applyBorder="1" applyProtection="1"/>
    <xf numFmtId="0" fontId="7" fillId="0" borderId="3" xfId="0" applyFont="1" applyBorder="1" applyAlignment="1" applyProtection="1">
      <alignment horizontal="center" vertical="center"/>
    </xf>
    <xf numFmtId="0" fontId="7" fillId="0" borderId="5" xfId="0" applyFont="1" applyBorder="1" applyAlignment="1" applyProtection="1">
      <alignment vertical="center"/>
    </xf>
    <xf numFmtId="169" fontId="7" fillId="0" borderId="5" xfId="4" applyNumberFormat="1" applyFont="1" applyBorder="1" applyAlignment="1" applyProtection="1">
      <alignment vertical="center"/>
    </xf>
    <xf numFmtId="172" fontId="7" fillId="0" borderId="4" xfId="4" applyFont="1" applyBorder="1" applyAlignment="1" applyProtection="1">
      <alignment horizontal="center" vertical="center" wrapText="1"/>
    </xf>
    <xf numFmtId="0" fontId="23" fillId="0" borderId="38" xfId="0" applyFont="1" applyBorder="1" applyAlignment="1" applyProtection="1">
      <alignment horizontal="center" vertical="center" wrapText="1"/>
    </xf>
    <xf numFmtId="169" fontId="23" fillId="0" borderId="63" xfId="0" applyNumberFormat="1" applyFont="1" applyBorder="1" applyAlignment="1" applyProtection="1">
      <alignment vertical="center"/>
    </xf>
    <xf numFmtId="0" fontId="23" fillId="0" borderId="63" xfId="0" applyFont="1" applyBorder="1" applyAlignment="1" applyProtection="1">
      <alignment vertical="center"/>
    </xf>
    <xf numFmtId="1" fontId="23" fillId="0" borderId="0" xfId="0" applyNumberFormat="1" applyFont="1" applyProtection="1"/>
    <xf numFmtId="0" fontId="23" fillId="0" borderId="33" xfId="0" applyFont="1" applyBorder="1" applyProtection="1"/>
    <xf numFmtId="0" fontId="29" fillId="0" borderId="24" xfId="0" applyFont="1" applyFill="1" applyBorder="1" applyProtection="1"/>
    <xf numFmtId="0" fontId="29" fillId="0" borderId="55" xfId="0" applyFont="1" applyFill="1" applyBorder="1" applyAlignment="1" applyProtection="1">
      <alignment horizontal="left" vertical="center"/>
    </xf>
    <xf numFmtId="0" fontId="23" fillId="0" borderId="48" xfId="0" applyFont="1" applyFill="1" applyBorder="1" applyAlignment="1" applyProtection="1">
      <alignment vertical="center"/>
    </xf>
    <xf numFmtId="169" fontId="29" fillId="14" borderId="67" xfId="0" quotePrefix="1" applyNumberFormat="1" applyFont="1" applyFill="1" applyBorder="1" applyAlignment="1" applyProtection="1">
      <alignment horizontal="center" vertical="center"/>
    </xf>
    <xf numFmtId="169" fontId="25" fillId="0" borderId="14" xfId="0" applyNumberFormat="1" applyFont="1" applyFill="1" applyBorder="1" applyAlignment="1" applyProtection="1">
      <alignment horizontal="center" vertical="center" wrapText="1"/>
    </xf>
    <xf numFmtId="9" fontId="25" fillId="0" borderId="14" xfId="1" applyFont="1" applyFill="1" applyBorder="1" applyAlignment="1" applyProtection="1">
      <alignment horizontal="center" vertical="center" wrapText="1"/>
    </xf>
    <xf numFmtId="169" fontId="29" fillId="0" borderId="67" xfId="0" quotePrefix="1" applyNumberFormat="1" applyFont="1" applyFill="1" applyBorder="1" applyAlignment="1" applyProtection="1">
      <alignment horizontal="center" vertical="center"/>
    </xf>
    <xf numFmtId="169" fontId="29" fillId="15" borderId="67" xfId="0" quotePrefix="1" applyNumberFormat="1" applyFont="1" applyFill="1" applyBorder="1" applyAlignment="1" applyProtection="1">
      <alignment horizontal="center" vertical="center"/>
    </xf>
    <xf numFmtId="169" fontId="18" fillId="10" borderId="67" xfId="0" applyNumberFormat="1" applyFont="1" applyFill="1" applyBorder="1" applyAlignment="1" applyProtection="1">
      <alignment horizontal="center" vertical="center"/>
    </xf>
    <xf numFmtId="169" fontId="18" fillId="5" borderId="67" xfId="0" applyNumberFormat="1" applyFont="1" applyFill="1" applyBorder="1" applyAlignment="1" applyProtection="1">
      <alignment horizontal="center" vertical="center"/>
    </xf>
    <xf numFmtId="171" fontId="34" fillId="0" borderId="0" xfId="2" applyNumberFormat="1" applyFont="1" applyBorder="1" applyProtection="1"/>
    <xf numFmtId="0" fontId="23" fillId="0" borderId="44" xfId="0" applyFont="1" applyBorder="1" applyProtection="1"/>
    <xf numFmtId="0" fontId="23" fillId="0" borderId="44" xfId="0" applyFont="1" applyFill="1" applyBorder="1" applyAlignment="1" applyProtection="1">
      <alignment horizontal="center" vertical="center"/>
    </xf>
    <xf numFmtId="169" fontId="23" fillId="0" borderId="44" xfId="0" applyNumberFormat="1" applyFont="1" applyBorder="1" applyAlignment="1" applyProtection="1">
      <alignment horizontal="center" vertical="center"/>
    </xf>
    <xf numFmtId="169" fontId="23" fillId="15" borderId="38" xfId="0" applyNumberFormat="1" applyFont="1" applyFill="1" applyBorder="1" applyAlignment="1" applyProtection="1">
      <alignment horizontal="center" vertical="center"/>
    </xf>
    <xf numFmtId="0" fontId="34" fillId="0" borderId="0" xfId="0" applyFont="1" applyBorder="1" applyAlignment="1" applyProtection="1">
      <alignment horizontal="left"/>
    </xf>
    <xf numFmtId="0" fontId="52" fillId="0" borderId="30" xfId="0" applyFont="1" applyBorder="1" applyAlignment="1" applyProtection="1">
      <alignment horizontal="center"/>
    </xf>
    <xf numFmtId="0" fontId="33" fillId="0" borderId="24" xfId="0" applyFont="1" applyBorder="1" applyProtection="1"/>
    <xf numFmtId="11" fontId="0" fillId="0" borderId="24" xfId="0" applyNumberFormat="1" applyFont="1" applyBorder="1" applyProtection="1"/>
    <xf numFmtId="11" fontId="0" fillId="0" borderId="17" xfId="0" applyNumberFormat="1" applyFont="1" applyBorder="1" applyAlignment="1" applyProtection="1">
      <alignment horizontal="center" vertical="center"/>
    </xf>
    <xf numFmtId="0" fontId="23" fillId="0" borderId="44" xfId="0" applyFont="1" applyBorder="1" applyAlignment="1" applyProtection="1">
      <alignment horizontal="center" vertical="center" wrapText="1"/>
    </xf>
    <xf numFmtId="169" fontId="23" fillId="0" borderId="64" xfId="0" applyNumberFormat="1" applyFont="1" applyBorder="1" applyAlignment="1" applyProtection="1">
      <alignment vertical="center"/>
    </xf>
    <xf numFmtId="0" fontId="23" fillId="0" borderId="64" xfId="0" applyFont="1" applyBorder="1" applyAlignment="1" applyProtection="1">
      <alignment vertical="center"/>
    </xf>
    <xf numFmtId="0" fontId="23" fillId="0" borderId="0" xfId="0" applyFont="1" applyFill="1" applyBorder="1" applyProtection="1"/>
    <xf numFmtId="0" fontId="34" fillId="0" borderId="33" xfId="0" applyFont="1" applyFill="1" applyBorder="1" applyAlignment="1" applyProtection="1">
      <alignment vertical="center"/>
    </xf>
    <xf numFmtId="169" fontId="23" fillId="14" borderId="68" xfId="0" applyNumberFormat="1" applyFont="1" applyFill="1" applyBorder="1" applyAlignment="1" applyProtection="1">
      <alignment horizontal="center" vertical="center"/>
    </xf>
    <xf numFmtId="169" fontId="23" fillId="0" borderId="68" xfId="0" applyNumberFormat="1" applyFont="1" applyFill="1" applyBorder="1" applyAlignment="1" applyProtection="1">
      <alignment horizontal="center" vertical="center"/>
    </xf>
    <xf numFmtId="169" fontId="23" fillId="15" borderId="68" xfId="0" applyNumberFormat="1" applyFont="1" applyFill="1" applyBorder="1" applyAlignment="1" applyProtection="1">
      <alignment horizontal="center" vertical="center"/>
    </xf>
    <xf numFmtId="169" fontId="18" fillId="10" borderId="68" xfId="0" applyNumberFormat="1" applyFont="1" applyFill="1" applyBorder="1" applyAlignment="1" applyProtection="1">
      <alignment horizontal="center" vertical="center"/>
    </xf>
    <xf numFmtId="169" fontId="18" fillId="5" borderId="68" xfId="0" applyNumberFormat="1" applyFont="1" applyFill="1" applyBorder="1" applyAlignment="1" applyProtection="1">
      <alignment horizontal="center" vertical="center"/>
    </xf>
    <xf numFmtId="171" fontId="34" fillId="0" borderId="0" xfId="2" applyNumberFormat="1" applyFont="1" applyProtection="1"/>
    <xf numFmtId="0" fontId="23" fillId="0" borderId="44" xfId="0" applyFont="1" applyFill="1" applyBorder="1" applyProtection="1"/>
    <xf numFmtId="0" fontId="29" fillId="0" borderId="13" xfId="0" applyFont="1" applyFill="1" applyBorder="1" applyProtection="1"/>
    <xf numFmtId="169" fontId="23" fillId="15" borderId="44" xfId="0" applyNumberFormat="1" applyFont="1" applyFill="1" applyBorder="1" applyAlignment="1" applyProtection="1">
      <alignment horizontal="center" vertical="center"/>
    </xf>
    <xf numFmtId="170" fontId="49" fillId="0" borderId="4" xfId="4" applyNumberFormat="1" applyFont="1" applyFill="1" applyBorder="1" applyAlignment="1" applyProtection="1">
      <alignment horizontal="left" wrapText="1"/>
    </xf>
    <xf numFmtId="0" fontId="49" fillId="0" borderId="3" xfId="0" applyFont="1" applyFill="1" applyBorder="1" applyAlignment="1" applyProtection="1"/>
    <xf numFmtId="2" fontId="49" fillId="0" borderId="34" xfId="4" applyNumberFormat="1" applyFont="1" applyFill="1" applyBorder="1" applyAlignment="1" applyProtection="1">
      <alignment horizontal="center" vertical="center" wrapText="1"/>
    </xf>
    <xf numFmtId="169" fontId="49" fillId="0" borderId="34" xfId="4" applyNumberFormat="1" applyFont="1" applyFill="1" applyBorder="1" applyAlignment="1" applyProtection="1">
      <alignment horizontal="center" vertical="center" wrapText="1"/>
    </xf>
    <xf numFmtId="0" fontId="0" fillId="0" borderId="31" xfId="0" applyFont="1" applyBorder="1" applyAlignment="1" applyProtection="1">
      <alignment horizontal="center"/>
    </xf>
    <xf numFmtId="0" fontId="52" fillId="0" borderId="0" xfId="0" applyFont="1" applyBorder="1" applyProtection="1"/>
    <xf numFmtId="174" fontId="0" fillId="0" borderId="13" xfId="0" applyNumberFormat="1" applyFont="1" applyBorder="1" applyAlignment="1" applyProtection="1">
      <alignment horizontal="center" vertical="center"/>
    </xf>
    <xf numFmtId="174" fontId="23" fillId="0" borderId="13" xfId="0" applyNumberFormat="1" applyFont="1" applyFill="1" applyBorder="1" applyProtection="1"/>
    <xf numFmtId="174" fontId="50" fillId="0" borderId="44" xfId="0" applyNumberFormat="1" applyFont="1" applyFill="1" applyBorder="1" applyAlignment="1" applyProtection="1">
      <alignment horizontal="center" vertical="center"/>
    </xf>
    <xf numFmtId="0" fontId="29" fillId="0" borderId="0" xfId="0" applyFont="1" applyBorder="1" applyProtection="1"/>
    <xf numFmtId="4" fontId="0" fillId="0" borderId="0" xfId="0" applyNumberFormat="1" applyFont="1" applyBorder="1" applyProtection="1"/>
    <xf numFmtId="169" fontId="34" fillId="0" borderId="0" xfId="0" applyNumberFormat="1" applyFont="1" applyBorder="1" applyProtection="1"/>
    <xf numFmtId="4" fontId="34" fillId="0" borderId="0" xfId="0" applyNumberFormat="1" applyFont="1" applyFill="1" applyBorder="1" applyProtection="1"/>
    <xf numFmtId="169" fontId="51" fillId="0" borderId="71" xfId="4" applyNumberFormat="1" applyFont="1" applyFill="1" applyBorder="1" applyAlignment="1" applyProtection="1">
      <alignment horizontal="center" vertical="center"/>
    </xf>
    <xf numFmtId="0" fontId="23" fillId="0" borderId="44" xfId="0" applyFont="1" applyBorder="1" applyAlignment="1" applyProtection="1">
      <alignment horizontal="center" vertical="top" wrapText="1"/>
    </xf>
    <xf numFmtId="0" fontId="29" fillId="0" borderId="33" xfId="0" applyFont="1" applyFill="1" applyBorder="1" applyAlignment="1" applyProtection="1">
      <alignment vertical="center"/>
    </xf>
    <xf numFmtId="11" fontId="29" fillId="0" borderId="48" xfId="0" applyNumberFormat="1" applyFont="1" applyFill="1" applyBorder="1" applyAlignment="1" applyProtection="1">
      <alignment vertical="center"/>
    </xf>
    <xf numFmtId="0" fontId="34" fillId="0" borderId="0" xfId="0" applyFont="1" applyFill="1" applyBorder="1" applyProtection="1"/>
    <xf numFmtId="168" fontId="34" fillId="0" borderId="0" xfId="0" applyNumberFormat="1" applyFont="1" applyBorder="1" applyProtection="1"/>
    <xf numFmtId="0" fontId="52" fillId="0" borderId="31" xfId="0" applyFont="1" applyBorder="1" applyAlignment="1" applyProtection="1">
      <alignment horizontal="center"/>
    </xf>
    <xf numFmtId="4" fontId="23" fillId="0" borderId="48" xfId="0" applyNumberFormat="1" applyFont="1" applyFill="1" applyBorder="1" applyAlignment="1" applyProtection="1">
      <alignment vertical="center"/>
    </xf>
    <xf numFmtId="0" fontId="34" fillId="0" borderId="0" xfId="0" applyFont="1" applyBorder="1" applyProtection="1"/>
    <xf numFmtId="168" fontId="34" fillId="0" borderId="0" xfId="0" applyNumberFormat="1" applyFont="1" applyBorder="1" applyAlignment="1" applyProtection="1">
      <alignment horizontal="left"/>
    </xf>
    <xf numFmtId="170" fontId="34" fillId="0" borderId="0" xfId="0" applyNumberFormat="1" applyFont="1" applyBorder="1" applyAlignment="1" applyProtection="1">
      <alignment horizontal="left"/>
    </xf>
    <xf numFmtId="0" fontId="52" fillId="0" borderId="0" xfId="0" applyFont="1" applyFill="1" applyBorder="1" applyProtection="1"/>
    <xf numFmtId="0" fontId="0" fillId="0" borderId="6" xfId="0" applyFont="1" applyBorder="1" applyAlignment="1" applyProtection="1">
      <alignment horizontal="center"/>
    </xf>
    <xf numFmtId="0" fontId="52" fillId="0" borderId="2" xfId="0" applyFont="1" applyBorder="1" applyProtection="1"/>
    <xf numFmtId="4" fontId="0" fillId="0" borderId="2" xfId="0" applyNumberFormat="1" applyFont="1" applyBorder="1" applyProtection="1"/>
    <xf numFmtId="174" fontId="0" fillId="0" borderId="18" xfId="0" applyNumberFormat="1" applyFont="1" applyBorder="1" applyAlignment="1" applyProtection="1">
      <alignment horizontal="center" vertical="center"/>
    </xf>
    <xf numFmtId="174" fontId="50" fillId="0" borderId="13" xfId="0" applyNumberFormat="1" applyFont="1" applyFill="1" applyBorder="1" applyProtection="1"/>
    <xf numFmtId="168" fontId="34" fillId="0" borderId="0" xfId="0" applyNumberFormat="1" applyFont="1" applyFill="1" applyBorder="1" applyProtection="1"/>
    <xf numFmtId="0" fontId="0" fillId="0" borderId="0" xfId="0" applyAlignment="1" applyProtection="1">
      <alignment horizontal="center"/>
    </xf>
    <xf numFmtId="0" fontId="7" fillId="0" borderId="0" xfId="0" applyFont="1" applyAlignment="1" applyProtection="1">
      <alignment horizontal="center"/>
    </xf>
    <xf numFmtId="0" fontId="23" fillId="0" borderId="19" xfId="0" applyFont="1" applyBorder="1" applyAlignment="1" applyProtection="1">
      <alignment horizontal="center" vertical="center" wrapText="1"/>
    </xf>
    <xf numFmtId="169" fontId="23" fillId="0" borderId="66" xfId="0" applyNumberFormat="1" applyFont="1" applyBorder="1" applyAlignment="1" applyProtection="1">
      <alignment vertical="center"/>
    </xf>
    <xf numFmtId="0" fontId="23" fillId="0" borderId="66" xfId="0" applyFont="1" applyBorder="1" applyAlignment="1" applyProtection="1">
      <alignment vertical="center"/>
    </xf>
    <xf numFmtId="169" fontId="23" fillId="0" borderId="0" xfId="0" applyNumberFormat="1" applyFont="1" applyAlignment="1" applyProtection="1">
      <alignment vertical="center"/>
    </xf>
    <xf numFmtId="1" fontId="14" fillId="0" borderId="0" xfId="0" applyNumberFormat="1" applyFont="1" applyAlignment="1" applyProtection="1">
      <alignment horizontal="center" vertical="center"/>
    </xf>
    <xf numFmtId="0" fontId="16" fillId="0" borderId="0" xfId="0" applyFont="1" applyAlignment="1" applyProtection="1">
      <alignment horizontal="center" vertical="center"/>
    </xf>
    <xf numFmtId="169" fontId="9" fillId="0" borderId="52" xfId="0" applyNumberFormat="1" applyFont="1" applyBorder="1" applyAlignment="1" applyProtection="1">
      <alignment horizontal="center" vertical="center" wrapText="1"/>
    </xf>
    <xf numFmtId="169" fontId="16" fillId="0" borderId="0" xfId="0" applyNumberFormat="1" applyFont="1" applyAlignment="1" applyProtection="1">
      <alignment horizontal="center" vertical="center"/>
    </xf>
    <xf numFmtId="168" fontId="9" fillId="0" borderId="52" xfId="0" applyNumberFormat="1" applyFont="1" applyBorder="1" applyAlignment="1" applyProtection="1">
      <alignment horizontal="center" vertical="center" wrapText="1"/>
    </xf>
    <xf numFmtId="168" fontId="22" fillId="0" borderId="0" xfId="0" applyNumberFormat="1" applyFont="1" applyBorder="1" applyAlignment="1" applyProtection="1">
      <alignment vertical="top" wrapText="1"/>
    </xf>
    <xf numFmtId="11" fontId="23" fillId="0" borderId="48" xfId="0" applyNumberFormat="1" applyFont="1" applyFill="1" applyBorder="1" applyAlignment="1" applyProtection="1">
      <alignment vertical="center"/>
    </xf>
    <xf numFmtId="0" fontId="23" fillId="0" borderId="19" xfId="0" applyFont="1" applyBorder="1" applyProtection="1"/>
    <xf numFmtId="169" fontId="34" fillId="0" borderId="2" xfId="0" applyNumberFormat="1" applyFont="1" applyBorder="1" applyProtection="1"/>
    <xf numFmtId="169" fontId="34" fillId="0" borderId="2" xfId="0" applyNumberFormat="1" applyFont="1" applyFill="1" applyBorder="1" applyProtection="1"/>
    <xf numFmtId="2" fontId="23" fillId="0" borderId="0" xfId="0" applyNumberFormat="1" applyFont="1" applyProtection="1"/>
    <xf numFmtId="169" fontId="2" fillId="0" borderId="0" xfId="0" applyNumberFormat="1" applyFont="1" applyProtection="1"/>
    <xf numFmtId="0" fontId="23" fillId="0" borderId="33" xfId="0" applyFont="1" applyFill="1" applyBorder="1" applyAlignment="1" applyProtection="1">
      <alignment vertical="center"/>
    </xf>
    <xf numFmtId="174" fontId="48" fillId="0" borderId="13" xfId="0" applyNumberFormat="1" applyFont="1" applyFill="1" applyBorder="1" applyProtection="1"/>
    <xf numFmtId="0" fontId="34" fillId="0" borderId="44" xfId="0" applyFont="1" applyFill="1" applyBorder="1" applyProtection="1"/>
    <xf numFmtId="4" fontId="34" fillId="0" borderId="48" xfId="0" applyNumberFormat="1" applyFont="1" applyFill="1" applyBorder="1" applyAlignment="1" applyProtection="1">
      <alignment vertical="center"/>
    </xf>
    <xf numFmtId="174" fontId="34" fillId="0" borderId="13" xfId="0" applyNumberFormat="1" applyFont="1" applyFill="1" applyBorder="1" applyProtection="1"/>
    <xf numFmtId="0" fontId="34" fillId="0" borderId="48" xfId="0" applyFont="1" applyFill="1" applyBorder="1" applyAlignment="1" applyProtection="1">
      <alignment vertical="center"/>
    </xf>
    <xf numFmtId="0" fontId="23" fillId="0" borderId="13" xfId="0" applyFont="1" applyFill="1" applyBorder="1" applyProtection="1"/>
    <xf numFmtId="11" fontId="34" fillId="0" borderId="48" xfId="0" applyNumberFormat="1" applyFont="1" applyFill="1" applyBorder="1" applyAlignment="1" applyProtection="1">
      <alignment vertical="center"/>
    </xf>
    <xf numFmtId="0" fontId="23" fillId="0" borderId="0" xfId="0" applyFont="1" applyFill="1" applyBorder="1" applyAlignment="1" applyProtection="1">
      <alignment horizontal="left"/>
    </xf>
    <xf numFmtId="0" fontId="31" fillId="0" borderId="0" xfId="0" applyFont="1" applyFill="1" applyBorder="1" applyProtection="1"/>
    <xf numFmtId="0" fontId="35" fillId="0" borderId="0" xfId="0" applyFont="1" applyFill="1" applyBorder="1" applyProtection="1"/>
    <xf numFmtId="168" fontId="29" fillId="0" borderId="0" xfId="0" applyNumberFormat="1" applyFont="1" applyFill="1" applyBorder="1" applyProtection="1"/>
    <xf numFmtId="168" fontId="23" fillId="0" borderId="0" xfId="0" applyNumberFormat="1" applyFont="1" applyFill="1" applyBorder="1" applyProtection="1"/>
    <xf numFmtId="169" fontId="23" fillId="0" borderId="33" xfId="0" applyNumberFormat="1" applyFont="1" applyFill="1" applyBorder="1" applyAlignment="1" applyProtection="1">
      <alignment vertical="center"/>
    </xf>
    <xf numFmtId="169" fontId="23" fillId="0" borderId="0" xfId="0" applyNumberFormat="1" applyFont="1" applyFill="1" applyBorder="1" applyProtection="1"/>
    <xf numFmtId="169" fontId="34" fillId="0" borderId="33" xfId="0" applyNumberFormat="1" applyFont="1" applyFill="1" applyBorder="1" applyAlignment="1" applyProtection="1">
      <alignment vertical="center"/>
    </xf>
    <xf numFmtId="168" fontId="34" fillId="0" borderId="33" xfId="0" applyNumberFormat="1" applyFont="1" applyFill="1" applyBorder="1" applyAlignment="1" applyProtection="1">
      <alignment vertical="center"/>
    </xf>
    <xf numFmtId="168" fontId="34" fillId="0" borderId="33" xfId="0" applyNumberFormat="1" applyFont="1" applyFill="1" applyBorder="1" applyAlignment="1" applyProtection="1">
      <alignment horizontal="left" vertical="center"/>
    </xf>
    <xf numFmtId="170" fontId="34" fillId="0" borderId="33" xfId="0" applyNumberFormat="1" applyFont="1" applyFill="1" applyBorder="1" applyAlignment="1" applyProtection="1">
      <alignment horizontal="left" vertical="center"/>
    </xf>
    <xf numFmtId="168" fontId="34" fillId="0" borderId="48" xfId="0" applyNumberFormat="1" applyFont="1" applyFill="1" applyBorder="1" applyAlignment="1" applyProtection="1">
      <alignment vertical="center"/>
    </xf>
    <xf numFmtId="169" fontId="34" fillId="0" borderId="48" xfId="0" applyNumberFormat="1" applyFont="1" applyFill="1" applyBorder="1" applyAlignment="1" applyProtection="1">
      <alignment vertical="center"/>
    </xf>
    <xf numFmtId="170" fontId="23" fillId="0" borderId="0" xfId="0" applyNumberFormat="1" applyFont="1" applyFill="1" applyBorder="1" applyProtection="1"/>
    <xf numFmtId="170" fontId="34" fillId="0" borderId="33" xfId="0" applyNumberFormat="1" applyFont="1" applyFill="1" applyBorder="1" applyAlignment="1" applyProtection="1">
      <alignment vertical="center"/>
    </xf>
    <xf numFmtId="0" fontId="29" fillId="0" borderId="79" xfId="0" applyFont="1" applyFill="1" applyBorder="1" applyProtection="1"/>
    <xf numFmtId="0" fontId="29" fillId="0" borderId="49" xfId="0" applyFont="1" applyBorder="1" applyAlignment="1" applyProtection="1">
      <alignment vertical="center"/>
    </xf>
    <xf numFmtId="0" fontId="23" fillId="0" borderId="79" xfId="0" applyFont="1" applyFill="1" applyBorder="1" applyProtection="1"/>
    <xf numFmtId="0" fontId="34" fillId="0" borderId="49" xfId="0" applyFont="1" applyBorder="1" applyAlignment="1" applyProtection="1">
      <alignment vertical="center"/>
    </xf>
    <xf numFmtId="0" fontId="34" fillId="0" borderId="49" xfId="0" applyFont="1" applyFill="1" applyBorder="1" applyAlignment="1" applyProtection="1">
      <alignment vertical="center"/>
    </xf>
    <xf numFmtId="0" fontId="23" fillId="0" borderId="0" xfId="0" applyFont="1" applyFill="1" applyBorder="1" applyAlignment="1" applyProtection="1">
      <alignment vertical="center"/>
    </xf>
    <xf numFmtId="0" fontId="34" fillId="0" borderId="19" xfId="0" applyFont="1" applyFill="1" applyBorder="1" applyProtection="1"/>
    <xf numFmtId="174" fontId="23" fillId="0" borderId="18" xfId="0" applyNumberFormat="1" applyFont="1" applyFill="1" applyBorder="1" applyProtection="1"/>
    <xf numFmtId="0" fontId="23" fillId="0" borderId="0" xfId="0" applyFont="1" applyAlignment="1" applyProtection="1">
      <alignment horizontal="center" vertical="center"/>
    </xf>
    <xf numFmtId="0" fontId="23" fillId="0" borderId="56" xfId="0" applyFont="1" applyBorder="1" applyProtection="1"/>
    <xf numFmtId="0" fontId="23" fillId="0" borderId="9" xfId="0" applyFont="1" applyBorder="1" applyProtection="1"/>
    <xf numFmtId="0" fontId="23" fillId="0" borderId="172" xfId="0" applyFont="1" applyFill="1" applyBorder="1" applyProtection="1"/>
    <xf numFmtId="0" fontId="34" fillId="0" borderId="62" xfId="0" applyFont="1" applyBorder="1" applyAlignment="1" applyProtection="1">
      <alignment vertical="center"/>
    </xf>
    <xf numFmtId="169" fontId="23" fillId="14" borderId="69" xfId="0" applyNumberFormat="1" applyFont="1" applyFill="1" applyBorder="1" applyAlignment="1" applyProtection="1">
      <alignment horizontal="center" vertical="center"/>
    </xf>
    <xf numFmtId="169" fontId="23" fillId="0" borderId="0" xfId="0" applyNumberFormat="1" applyFont="1" applyProtection="1"/>
    <xf numFmtId="9" fontId="23" fillId="0" borderId="0" xfId="1" applyFont="1" applyProtection="1"/>
    <xf numFmtId="169" fontId="0" fillId="0" borderId="0" xfId="0" applyNumberFormat="1" applyFont="1" applyAlignment="1" applyProtection="1">
      <alignment vertical="center"/>
    </xf>
    <xf numFmtId="1" fontId="1" fillId="2" borderId="0" xfId="0" applyNumberFormat="1" applyFont="1" applyFill="1" applyAlignment="1" applyProtection="1">
      <alignment vertical="center" wrapText="1"/>
    </xf>
    <xf numFmtId="0" fontId="14" fillId="2" borderId="5" xfId="0" applyFont="1" applyFill="1" applyBorder="1" applyAlignment="1" applyProtection="1">
      <alignment vertical="center" wrapText="1"/>
    </xf>
    <xf numFmtId="0" fontId="0" fillId="0" borderId="0" xfId="0" applyAlignment="1" applyProtection="1">
      <alignment horizontal="center" vertical="center" wrapText="1"/>
    </xf>
    <xf numFmtId="169" fontId="0" fillId="0" borderId="0" xfId="0" applyNumberFormat="1" applyAlignment="1" applyProtection="1">
      <alignment horizontal="center" vertical="center" wrapText="1"/>
    </xf>
    <xf numFmtId="9" fontId="0" fillId="0" borderId="0" xfId="1" applyNumberFormat="1" applyFont="1" applyAlignment="1" applyProtection="1">
      <alignment horizontal="center" vertical="center" wrapText="1"/>
    </xf>
    <xf numFmtId="0" fontId="14" fillId="2" borderId="2" xfId="0" applyFont="1" applyFill="1" applyBorder="1" applyAlignment="1" applyProtection="1">
      <alignment horizontal="center" vertical="center" wrapText="1"/>
    </xf>
    <xf numFmtId="9" fontId="1" fillId="0" borderId="0" xfId="1" applyNumberFormat="1" applyFont="1" applyAlignment="1" applyProtection="1">
      <alignment horizontal="center" vertical="center" wrapText="1"/>
    </xf>
    <xf numFmtId="169" fontId="1" fillId="0" borderId="0" xfId="0" applyNumberFormat="1" applyFont="1" applyAlignment="1" applyProtection="1">
      <alignment horizontal="center" vertical="center" wrapText="1"/>
    </xf>
    <xf numFmtId="1" fontId="2" fillId="2" borderId="0" xfId="0" applyNumberFormat="1" applyFont="1" applyFill="1" applyBorder="1" applyAlignment="1" applyProtection="1">
      <alignment vertical="center" wrapText="1"/>
    </xf>
    <xf numFmtId="1" fontId="2" fillId="2" borderId="3" xfId="0" applyNumberFormat="1" applyFont="1" applyFill="1" applyBorder="1" applyAlignment="1" applyProtection="1">
      <alignment horizontal="center" vertical="center" wrapText="1"/>
    </xf>
    <xf numFmtId="1" fontId="2" fillId="2" borderId="5" xfId="0" applyNumberFormat="1" applyFont="1" applyFill="1" applyBorder="1" applyAlignment="1" applyProtection="1">
      <alignment vertical="center" wrapText="1"/>
    </xf>
    <xf numFmtId="1" fontId="2" fillId="2" borderId="4" xfId="0" applyNumberFormat="1" applyFont="1" applyFill="1" applyBorder="1" applyAlignment="1" applyProtection="1">
      <alignment vertical="center" wrapText="1"/>
    </xf>
    <xf numFmtId="0" fontId="14" fillId="2" borderId="26" xfId="0" applyFont="1" applyFill="1" applyBorder="1" applyAlignment="1" applyProtection="1">
      <alignment vertical="center" wrapText="1"/>
    </xf>
    <xf numFmtId="0" fontId="0" fillId="0" borderId="38" xfId="0" applyBorder="1" applyAlignment="1" applyProtection="1">
      <alignment horizontal="center" vertical="center" wrapText="1"/>
    </xf>
    <xf numFmtId="9" fontId="1" fillId="0" borderId="59" xfId="1" applyNumberFormat="1" applyFont="1" applyBorder="1" applyAlignment="1" applyProtection="1">
      <alignment horizontal="center" vertical="center" wrapText="1"/>
    </xf>
    <xf numFmtId="169" fontId="1" fillId="0" borderId="54" xfId="0" applyNumberFormat="1" applyFont="1" applyBorder="1" applyAlignment="1" applyProtection="1">
      <alignment horizontal="center" vertical="center" wrapText="1"/>
    </xf>
    <xf numFmtId="0" fontId="4" fillId="0" borderId="44" xfId="0" applyFont="1" applyBorder="1" applyAlignment="1" applyProtection="1">
      <alignment horizontal="left" vertical="center" wrapText="1"/>
    </xf>
    <xf numFmtId="0" fontId="0" fillId="0" borderId="0" xfId="0" applyFont="1" applyBorder="1" applyAlignment="1" applyProtection="1">
      <alignment vertical="center" wrapText="1"/>
    </xf>
    <xf numFmtId="0" fontId="1" fillId="0" borderId="0" xfId="0" applyFont="1" applyBorder="1" applyAlignment="1" applyProtection="1">
      <alignment horizontal="center" vertical="center" wrapText="1"/>
    </xf>
    <xf numFmtId="169" fontId="25" fillId="0" borderId="14" xfId="0" applyNumberFormat="1" applyFont="1" applyFill="1" applyBorder="1" applyAlignment="1" applyProtection="1">
      <alignment horizontal="center" vertical="top" wrapText="1"/>
    </xf>
    <xf numFmtId="0" fontId="0" fillId="0" borderId="44" xfId="0" applyBorder="1" applyAlignment="1" applyProtection="1">
      <alignment horizontal="center" vertical="center" wrapText="1"/>
    </xf>
    <xf numFmtId="169" fontId="25" fillId="0" borderId="52" xfId="0" applyNumberFormat="1" applyFont="1" applyBorder="1" applyAlignment="1" applyProtection="1">
      <alignment horizontal="center" vertical="center" wrapText="1"/>
    </xf>
    <xf numFmtId="0" fontId="4" fillId="0" borderId="44" xfId="0" applyFont="1" applyBorder="1" applyAlignment="1" applyProtection="1">
      <alignment horizontal="left" vertical="top" wrapText="1"/>
    </xf>
    <xf numFmtId="0" fontId="0" fillId="0" borderId="0" xfId="0" applyBorder="1" applyAlignment="1" applyProtection="1">
      <alignment horizontal="left" vertical="top" wrapText="1"/>
    </xf>
    <xf numFmtId="0" fontId="25" fillId="0" borderId="52" xfId="0" applyFont="1" applyBorder="1" applyAlignment="1" applyProtection="1">
      <alignment horizontal="center" vertical="center" wrapText="1"/>
    </xf>
    <xf numFmtId="0" fontId="0" fillId="0" borderId="0" xfId="0" applyBorder="1" applyAlignment="1" applyProtection="1">
      <alignment horizontal="left" vertical="center" wrapText="1"/>
    </xf>
    <xf numFmtId="0" fontId="2" fillId="0" borderId="0" xfId="0" applyFont="1" applyBorder="1" applyAlignment="1" applyProtection="1">
      <alignment vertical="center" wrapText="1"/>
    </xf>
    <xf numFmtId="0" fontId="11" fillId="0" borderId="13" xfId="0" applyFont="1" applyBorder="1" applyAlignment="1" applyProtection="1">
      <alignment horizontal="left" vertical="top" wrapText="1"/>
    </xf>
    <xf numFmtId="0" fontId="0" fillId="0" borderId="44" xfId="0" applyBorder="1" applyAlignment="1" applyProtection="1">
      <alignment horizontal="center" vertical="top" wrapText="1"/>
    </xf>
    <xf numFmtId="0" fontId="0" fillId="0" borderId="19" xfId="0" applyBorder="1" applyAlignment="1" applyProtection="1">
      <alignment horizontal="center" vertical="center" wrapText="1"/>
    </xf>
    <xf numFmtId="0" fontId="0" fillId="0" borderId="0" xfId="0" applyBorder="1" applyAlignment="1" applyProtection="1">
      <alignment horizontal="center" vertical="center" wrapText="1"/>
    </xf>
    <xf numFmtId="169" fontId="25" fillId="0" borderId="0" xfId="0" applyNumberFormat="1" applyFont="1" applyFill="1" applyBorder="1" applyAlignment="1" applyProtection="1">
      <alignment horizontal="center" vertical="top" wrapText="1"/>
    </xf>
    <xf numFmtId="0" fontId="0" fillId="0" borderId="13" xfId="0" applyBorder="1" applyAlignment="1" applyProtection="1">
      <alignment vertical="center" wrapText="1"/>
    </xf>
    <xf numFmtId="9" fontId="24" fillId="0" borderId="5" xfId="1" applyNumberFormat="1" applyFont="1" applyBorder="1" applyAlignment="1" applyProtection="1">
      <alignment horizontal="center" vertical="center" wrapText="1"/>
    </xf>
    <xf numFmtId="169" fontId="9" fillId="0" borderId="4" xfId="0" applyNumberFormat="1" applyFont="1" applyBorder="1" applyAlignment="1" applyProtection="1">
      <alignment horizontal="center" vertical="center" wrapText="1"/>
    </xf>
    <xf numFmtId="1" fontId="1" fillId="2" borderId="0" xfId="0" applyNumberFormat="1" applyFont="1" applyFill="1" applyAlignment="1" applyProtection="1">
      <alignment horizontal="left" vertical="center" wrapText="1"/>
    </xf>
    <xf numFmtId="169" fontId="0" fillId="0" borderId="13" xfId="0" applyNumberFormat="1" applyBorder="1" applyAlignment="1" applyProtection="1">
      <alignment vertical="center" wrapText="1"/>
    </xf>
    <xf numFmtId="9" fontId="25" fillId="6" borderId="14" xfId="1" applyFont="1" applyFill="1" applyBorder="1" applyAlignment="1" applyProtection="1">
      <alignment horizontal="center" vertical="center" wrapText="1"/>
    </xf>
    <xf numFmtId="0" fontId="55" fillId="0" borderId="0" xfId="5" applyBorder="1" applyAlignment="1" applyProtection="1">
      <alignment vertical="center" wrapText="1"/>
    </xf>
    <xf numFmtId="0" fontId="4" fillId="0" borderId="19"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0" fontId="0" fillId="0" borderId="2" xfId="0" applyFont="1" applyBorder="1" applyAlignment="1" applyProtection="1">
      <alignment vertical="center" wrapText="1"/>
    </xf>
    <xf numFmtId="0" fontId="1" fillId="0" borderId="2" xfId="0" applyFont="1" applyBorder="1" applyAlignment="1" applyProtection="1">
      <alignment horizontal="center" vertical="center" wrapText="1"/>
    </xf>
    <xf numFmtId="169" fontId="9" fillId="0" borderId="85" xfId="0" applyNumberFormat="1" applyFont="1" applyFill="1" applyBorder="1" applyAlignment="1" applyProtection="1">
      <alignment horizontal="center" vertical="center" wrapText="1"/>
    </xf>
    <xf numFmtId="1" fontId="1" fillId="0" borderId="0" xfId="0" applyNumberFormat="1" applyFont="1" applyAlignment="1" applyProtection="1">
      <alignment vertical="center" wrapText="1"/>
    </xf>
    <xf numFmtId="169" fontId="9" fillId="0" borderId="87" xfId="0" applyNumberFormat="1" applyFont="1" applyBorder="1" applyAlignment="1" applyProtection="1">
      <alignment horizontal="center" vertical="center" wrapText="1"/>
    </xf>
    <xf numFmtId="169" fontId="9" fillId="0" borderId="0" xfId="0" applyNumberFormat="1" applyFont="1" applyBorder="1" applyAlignment="1" applyProtection="1">
      <alignment horizontal="center" vertical="center" wrapText="1"/>
    </xf>
    <xf numFmtId="0" fontId="11" fillId="0" borderId="0" xfId="0" applyFont="1" applyAlignment="1" applyProtection="1">
      <alignment vertical="top" wrapText="1"/>
    </xf>
    <xf numFmtId="0" fontId="14" fillId="2" borderId="30" xfId="0" applyFont="1" applyFill="1" applyBorder="1" applyAlignment="1" applyProtection="1">
      <alignment horizontal="center" vertical="center" wrapText="1"/>
    </xf>
    <xf numFmtId="0" fontId="2" fillId="2" borderId="31" xfId="0" applyFont="1" applyFill="1" applyBorder="1" applyAlignment="1" applyProtection="1">
      <alignment vertical="center" wrapText="1"/>
    </xf>
    <xf numFmtId="0" fontId="14" fillId="2" borderId="16" xfId="0" applyFont="1" applyFill="1" applyBorder="1" applyAlignment="1" applyProtection="1">
      <alignment horizontal="center" vertical="center" wrapText="1"/>
    </xf>
    <xf numFmtId="0" fontId="1" fillId="2" borderId="16" xfId="0" applyFont="1" applyFill="1" applyBorder="1" applyAlignment="1" applyProtection="1">
      <alignment vertical="top" wrapText="1"/>
    </xf>
    <xf numFmtId="0" fontId="2" fillId="2" borderId="16" xfId="0" applyFont="1" applyFill="1" applyBorder="1" applyAlignment="1" applyProtection="1">
      <alignment horizontal="left" vertical="center" wrapText="1"/>
    </xf>
    <xf numFmtId="0" fontId="2" fillId="2" borderId="16" xfId="0" applyFont="1" applyFill="1" applyBorder="1" applyAlignment="1" applyProtection="1">
      <alignment vertical="top" wrapText="1"/>
    </xf>
    <xf numFmtId="0" fontId="14" fillId="2" borderId="24"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4" fillId="0" borderId="156" xfId="0" applyFont="1" applyBorder="1" applyAlignment="1" applyProtection="1">
      <alignment vertical="center" wrapText="1"/>
    </xf>
    <xf numFmtId="0" fontId="0" fillId="0" borderId="8" xfId="0" applyBorder="1" applyAlignment="1" applyProtection="1">
      <alignment vertical="center" wrapText="1"/>
    </xf>
    <xf numFmtId="0" fontId="0" fillId="0" borderId="8" xfId="0" applyFont="1" applyBorder="1" applyAlignment="1" applyProtection="1">
      <alignment vertical="center" wrapText="1"/>
    </xf>
    <xf numFmtId="0" fontId="0" fillId="0" borderId="13" xfId="0" applyBorder="1" applyAlignment="1" applyProtection="1">
      <alignment horizontal="center" vertical="center" wrapText="1"/>
    </xf>
    <xf numFmtId="2" fontId="11" fillId="0" borderId="52" xfId="0" applyNumberFormat="1" applyFont="1" applyBorder="1" applyAlignment="1" applyProtection="1">
      <alignment horizontal="center" vertical="center" wrapText="1"/>
    </xf>
    <xf numFmtId="3" fontId="11" fillId="0" borderId="52" xfId="0" applyNumberFormat="1" applyFont="1" applyBorder="1" applyAlignment="1" applyProtection="1">
      <alignment horizontal="center" vertical="center" wrapText="1"/>
    </xf>
    <xf numFmtId="0" fontId="1" fillId="0" borderId="0" xfId="0" applyFont="1" applyBorder="1" applyAlignment="1" applyProtection="1">
      <alignment horizontal="left" vertical="center" wrapText="1"/>
    </xf>
    <xf numFmtId="169" fontId="11" fillId="0" borderId="52" xfId="0" applyNumberFormat="1" applyFont="1" applyBorder="1" applyAlignment="1" applyProtection="1">
      <alignment horizontal="center" vertical="center" wrapText="1"/>
    </xf>
    <xf numFmtId="0" fontId="16" fillId="0" borderId="0" xfId="0" applyFont="1" applyBorder="1" applyAlignment="1" applyProtection="1">
      <alignment horizontal="left" vertical="top" wrapText="1"/>
    </xf>
    <xf numFmtId="0" fontId="1" fillId="0" borderId="0" xfId="0" applyFont="1" applyBorder="1" applyAlignment="1" applyProtection="1">
      <alignment vertical="top" wrapText="1"/>
    </xf>
    <xf numFmtId="169" fontId="22" fillId="0" borderId="85" xfId="0" applyNumberFormat="1" applyFont="1" applyFill="1" applyBorder="1" applyAlignment="1" applyProtection="1">
      <alignment horizontal="center" vertical="top" wrapText="1"/>
    </xf>
    <xf numFmtId="0" fontId="16" fillId="2" borderId="16" xfId="0" applyFont="1" applyFill="1" applyBorder="1" applyAlignment="1" applyProtection="1">
      <alignment vertical="top" wrapText="1"/>
    </xf>
    <xf numFmtId="169" fontId="22" fillId="0" borderId="57" xfId="0" applyNumberFormat="1" applyFont="1" applyFill="1" applyBorder="1" applyAlignment="1" applyProtection="1">
      <alignment horizontal="center" vertical="center" wrapText="1"/>
    </xf>
    <xf numFmtId="0" fontId="2" fillId="0" borderId="0" xfId="0" applyFont="1" applyBorder="1" applyAlignment="1" applyProtection="1">
      <alignment horizontal="left" vertical="top" wrapText="1"/>
    </xf>
    <xf numFmtId="0" fontId="1" fillId="0" borderId="18" xfId="0" applyFont="1" applyBorder="1" applyAlignment="1" applyProtection="1">
      <alignment vertical="center" wrapText="1"/>
    </xf>
    <xf numFmtId="0" fontId="1" fillId="0" borderId="24" xfId="0" applyFont="1" applyFill="1" applyBorder="1" applyAlignment="1" applyProtection="1">
      <alignment vertical="top" wrapText="1"/>
    </xf>
    <xf numFmtId="0" fontId="2" fillId="0" borderId="17" xfId="0" applyFont="1" applyFill="1" applyBorder="1" applyAlignment="1" applyProtection="1">
      <alignment vertical="top" wrapText="1"/>
    </xf>
    <xf numFmtId="169" fontId="22" fillId="0" borderId="85" xfId="0" applyNumberFormat="1" applyFont="1" applyFill="1" applyBorder="1" applyAlignment="1" applyProtection="1">
      <alignment horizontal="center" vertical="center" wrapText="1"/>
    </xf>
    <xf numFmtId="0" fontId="2" fillId="0" borderId="2" xfId="0" applyFont="1" applyBorder="1" applyAlignment="1" applyProtection="1">
      <alignment horizontal="left" vertical="center" wrapText="1"/>
    </xf>
    <xf numFmtId="0" fontId="16" fillId="0" borderId="2" xfId="0" applyFont="1" applyBorder="1" applyAlignment="1" applyProtection="1">
      <alignment horizontal="left" vertical="top" wrapText="1"/>
    </xf>
    <xf numFmtId="0" fontId="1" fillId="0" borderId="2" xfId="0" applyFont="1" applyBorder="1" applyAlignment="1" applyProtection="1">
      <alignment vertical="top" wrapText="1"/>
    </xf>
    <xf numFmtId="169" fontId="22" fillId="0" borderId="23" xfId="0" applyNumberFormat="1" applyFont="1" applyFill="1" applyBorder="1" applyAlignment="1" applyProtection="1">
      <alignment horizontal="center" vertical="center" wrapText="1"/>
    </xf>
    <xf numFmtId="169" fontId="0" fillId="0" borderId="18" xfId="0" applyNumberFormat="1" applyBorder="1" applyAlignment="1" applyProtection="1">
      <alignment vertical="center" wrapText="1"/>
    </xf>
    <xf numFmtId="0" fontId="0" fillId="2" borderId="6" xfId="0" applyFill="1" applyBorder="1" applyAlignment="1" applyProtection="1">
      <alignment horizontal="center" vertical="center" wrapText="1"/>
    </xf>
    <xf numFmtId="0" fontId="14" fillId="2" borderId="2" xfId="0" applyFont="1" applyFill="1" applyBorder="1" applyAlignment="1" applyProtection="1">
      <alignment vertical="top" wrapText="1"/>
    </xf>
    <xf numFmtId="0" fontId="2" fillId="0" borderId="16" xfId="0" applyFont="1" applyBorder="1" applyAlignment="1" applyProtection="1">
      <alignment horizontal="center" vertical="top" wrapText="1"/>
    </xf>
    <xf numFmtId="0" fontId="9" fillId="0" borderId="16" xfId="0" applyFont="1" applyBorder="1" applyAlignment="1" applyProtection="1">
      <alignment horizontal="left" vertical="top" wrapText="1"/>
    </xf>
    <xf numFmtId="0" fontId="0" fillId="2" borderId="0" xfId="0" applyFont="1" applyFill="1" applyAlignment="1" applyProtection="1">
      <alignment horizontal="center" vertical="center" wrapText="1"/>
    </xf>
    <xf numFmtId="1" fontId="22" fillId="2" borderId="7" xfId="0" applyNumberFormat="1" applyFont="1" applyFill="1" applyBorder="1" applyAlignment="1" applyProtection="1">
      <alignment horizontal="center" vertical="center" wrapText="1"/>
    </xf>
    <xf numFmtId="0" fontId="0" fillId="0" borderId="0" xfId="0" applyAlignment="1" applyProtection="1">
      <alignment vertical="top" wrapText="1"/>
    </xf>
    <xf numFmtId="0" fontId="4" fillId="0" borderId="0" xfId="0" applyFont="1" applyAlignment="1" applyProtection="1">
      <alignment vertical="top" wrapText="1"/>
    </xf>
    <xf numFmtId="169" fontId="30" fillId="0" borderId="0" xfId="0" applyNumberFormat="1" applyFont="1" applyAlignment="1" applyProtection="1">
      <alignment vertical="center" wrapText="1"/>
    </xf>
    <xf numFmtId="0" fontId="2" fillId="0" borderId="0" xfId="0" applyFont="1" applyAlignment="1" applyProtection="1">
      <alignment horizontal="left" vertical="top" wrapText="1"/>
    </xf>
    <xf numFmtId="0" fontId="16" fillId="0" borderId="0" xfId="0" applyFont="1" applyAlignment="1" applyProtection="1">
      <alignment horizontal="left" vertical="top" wrapText="1"/>
    </xf>
    <xf numFmtId="0" fontId="1" fillId="0" borderId="0" xfId="0" applyFont="1" applyAlignment="1" applyProtection="1">
      <alignment vertical="top" wrapText="1"/>
    </xf>
    <xf numFmtId="169" fontId="22" fillId="0" borderId="14" xfId="0" applyNumberFormat="1" applyFont="1" applyBorder="1" applyAlignment="1" applyProtection="1">
      <alignment horizontal="center" vertical="center" wrapText="1"/>
    </xf>
    <xf numFmtId="0" fontId="0" fillId="2" borderId="0" xfId="0" applyFill="1" applyAlignment="1" applyProtection="1">
      <alignment horizontal="center" vertical="center" wrapText="1"/>
    </xf>
    <xf numFmtId="0" fontId="23" fillId="0" borderId="0" xfId="0" applyFont="1" applyAlignment="1" applyProtection="1">
      <alignment vertical="center" wrapText="1"/>
    </xf>
    <xf numFmtId="169" fontId="22" fillId="0" borderId="85" xfId="0" applyNumberFormat="1" applyFont="1" applyBorder="1" applyAlignment="1" applyProtection="1">
      <alignment horizontal="center" vertical="center" wrapText="1"/>
    </xf>
    <xf numFmtId="169" fontId="14" fillId="2" borderId="16" xfId="0" applyNumberFormat="1" applyFont="1" applyFill="1" applyBorder="1" applyAlignment="1" applyProtection="1">
      <alignment vertical="center" wrapText="1"/>
    </xf>
    <xf numFmtId="0" fontId="46" fillId="0" borderId="0" xfId="0" applyFont="1" applyAlignment="1" applyProtection="1">
      <alignment horizontal="center" vertical="center"/>
    </xf>
    <xf numFmtId="168" fontId="13" fillId="0" borderId="0" xfId="0" applyNumberFormat="1" applyFont="1" applyAlignment="1" applyProtection="1">
      <alignment vertical="center" wrapText="1"/>
    </xf>
    <xf numFmtId="169" fontId="13" fillId="0" borderId="0" xfId="0" applyNumberFormat="1" applyFont="1" applyAlignment="1" applyProtection="1">
      <alignment vertical="center" wrapText="1"/>
    </xf>
    <xf numFmtId="2" fontId="14" fillId="0" borderId="34" xfId="0" applyNumberFormat="1" applyFont="1" applyBorder="1" applyAlignment="1" applyProtection="1">
      <alignment horizontal="center" vertical="center" wrapText="1"/>
    </xf>
    <xf numFmtId="169" fontId="9" fillId="0" borderId="16" xfId="0" applyNumberFormat="1" applyFont="1" applyBorder="1" applyAlignment="1" applyProtection="1">
      <alignment horizontal="left" vertical="center" wrapText="1"/>
    </xf>
    <xf numFmtId="0" fontId="2" fillId="0" borderId="2" xfId="0" applyFont="1" applyBorder="1" applyAlignment="1" applyProtection="1">
      <alignment horizontal="center" vertical="center" wrapText="1"/>
    </xf>
    <xf numFmtId="0" fontId="11" fillId="0" borderId="2" xfId="0" applyFont="1" applyBorder="1" applyAlignment="1" applyProtection="1">
      <alignment horizontal="left" vertical="center"/>
    </xf>
    <xf numFmtId="168" fontId="9" fillId="0" borderId="0" xfId="0" applyNumberFormat="1" applyFont="1" applyBorder="1" applyAlignment="1" applyProtection="1">
      <alignment horizontal="center" vertical="center" wrapText="1"/>
    </xf>
    <xf numFmtId="169" fontId="72" fillId="0" borderId="57" xfId="0" applyNumberFormat="1" applyFont="1" applyBorder="1" applyAlignment="1" applyProtection="1">
      <alignment horizontal="center" vertical="center" wrapText="1"/>
    </xf>
    <xf numFmtId="169" fontId="11" fillId="0" borderId="17" xfId="0" applyNumberFormat="1" applyFont="1" applyBorder="1" applyAlignment="1" applyProtection="1">
      <alignment horizontal="center" vertical="center" wrapText="1"/>
    </xf>
    <xf numFmtId="0" fontId="1" fillId="0" borderId="55" xfId="0" applyFont="1" applyBorder="1" applyAlignment="1" applyProtection="1">
      <alignment horizontal="center" vertical="center" wrapText="1"/>
    </xf>
    <xf numFmtId="168" fontId="45" fillId="0" borderId="29" xfId="0" applyNumberFormat="1" applyFont="1" applyBorder="1" applyAlignment="1" applyProtection="1">
      <alignment horizontal="center" vertical="center" wrapText="1"/>
    </xf>
    <xf numFmtId="0" fontId="4" fillId="2" borderId="30" xfId="0" applyFont="1" applyFill="1" applyBorder="1" applyAlignment="1" applyProtection="1">
      <alignment horizontal="center" vertical="center" wrapText="1"/>
    </xf>
    <xf numFmtId="0" fontId="4" fillId="0" borderId="17" xfId="0" applyFont="1" applyFill="1" applyBorder="1" applyAlignment="1" applyProtection="1">
      <alignment vertical="center" wrapText="1"/>
    </xf>
    <xf numFmtId="0" fontId="13" fillId="0" borderId="24" xfId="0" applyFont="1" applyBorder="1" applyAlignment="1" applyProtection="1">
      <alignment vertical="center" wrapText="1"/>
    </xf>
    <xf numFmtId="2" fontId="4" fillId="0" borderId="24" xfId="0" applyNumberFormat="1" applyFont="1" applyBorder="1" applyAlignment="1" applyProtection="1">
      <alignment vertical="center" wrapText="1"/>
    </xf>
    <xf numFmtId="0" fontId="0" fillId="0" borderId="9" xfId="0" applyBorder="1" applyAlignment="1" applyProtection="1">
      <alignment horizontal="center" vertical="center" wrapText="1"/>
    </xf>
    <xf numFmtId="4" fontId="0" fillId="0" borderId="52" xfId="0" applyNumberFormat="1" applyFill="1" applyBorder="1" applyAlignment="1" applyProtection="1">
      <alignment horizontal="center" vertical="center"/>
    </xf>
    <xf numFmtId="168" fontId="25" fillId="0" borderId="14" xfId="0" applyNumberFormat="1" applyFont="1" applyFill="1" applyBorder="1" applyAlignment="1" applyProtection="1">
      <alignment horizontal="center" vertical="center" wrapText="1"/>
    </xf>
    <xf numFmtId="0" fontId="73" fillId="0" borderId="0" xfId="0" applyFont="1" applyAlignment="1" applyProtection="1">
      <alignment vertical="center" wrapText="1"/>
    </xf>
    <xf numFmtId="0" fontId="4" fillId="2" borderId="31" xfId="0" applyFont="1" applyFill="1" applyBorder="1" applyAlignment="1" applyProtection="1">
      <alignment horizontal="center" vertical="center" wrapText="1"/>
    </xf>
    <xf numFmtId="0" fontId="4" fillId="0" borderId="13" xfId="0" applyFont="1" applyFill="1" applyBorder="1" applyAlignment="1" applyProtection="1">
      <alignment vertical="center" wrapText="1"/>
    </xf>
    <xf numFmtId="2" fontId="4" fillId="0" borderId="0" xfId="0" applyNumberFormat="1" applyFont="1" applyBorder="1" applyAlignment="1" applyProtection="1">
      <alignment vertical="center" wrapText="1"/>
    </xf>
    <xf numFmtId="169" fontId="11" fillId="0" borderId="13" xfId="0" applyNumberFormat="1" applyFont="1" applyBorder="1" applyAlignment="1" applyProtection="1">
      <alignment horizontal="center" vertical="center" wrapText="1"/>
    </xf>
    <xf numFmtId="4" fontId="13" fillId="0" borderId="0" xfId="0" applyNumberFormat="1" applyFont="1" applyAlignment="1" applyProtection="1">
      <alignment wrapText="1"/>
    </xf>
    <xf numFmtId="0" fontId="0" fillId="0" borderId="9" xfId="0" applyBorder="1" applyAlignment="1" applyProtection="1">
      <alignment horizontal="center" vertical="top" wrapText="1"/>
    </xf>
    <xf numFmtId="169" fontId="13" fillId="0" borderId="13" xfId="0" applyNumberFormat="1" applyFont="1" applyBorder="1" applyAlignment="1" applyProtection="1">
      <alignment vertical="center" wrapText="1"/>
    </xf>
    <xf numFmtId="169" fontId="90" fillId="0" borderId="85" xfId="0" applyNumberFormat="1" applyFont="1" applyBorder="1" applyAlignment="1" applyProtection="1">
      <alignment horizontal="center" vertical="center" wrapText="1"/>
    </xf>
    <xf numFmtId="0" fontId="14" fillId="0" borderId="0" xfId="0" applyFont="1" applyBorder="1" applyAlignment="1" applyProtection="1">
      <alignment vertical="center" wrapText="1"/>
    </xf>
    <xf numFmtId="2" fontId="4" fillId="0" borderId="0" xfId="0" applyNumberFormat="1" applyFont="1" applyFill="1" applyBorder="1" applyAlignment="1" applyProtection="1">
      <alignment vertical="center" wrapText="1"/>
    </xf>
    <xf numFmtId="0" fontId="4" fillId="2" borderId="6" xfId="0" applyFont="1" applyFill="1" applyBorder="1" applyAlignment="1" applyProtection="1">
      <alignment horizontal="center" vertical="center" wrapText="1"/>
    </xf>
    <xf numFmtId="0" fontId="4" fillId="0" borderId="18" xfId="0" applyFont="1" applyFill="1" applyBorder="1" applyAlignment="1" applyProtection="1">
      <alignment vertical="center" wrapText="1"/>
    </xf>
    <xf numFmtId="0" fontId="13" fillId="0" borderId="2" xfId="0" applyFont="1" applyBorder="1" applyAlignment="1" applyProtection="1">
      <alignment vertical="center" wrapText="1"/>
    </xf>
    <xf numFmtId="2" fontId="4" fillId="15" borderId="2" xfId="0" applyNumberFormat="1" applyFont="1" applyFill="1" applyBorder="1" applyAlignment="1" applyProtection="1">
      <alignment vertical="center" wrapText="1"/>
    </xf>
    <xf numFmtId="0" fontId="11" fillId="15" borderId="86" xfId="0" applyFont="1" applyFill="1" applyBorder="1" applyAlignment="1" applyProtection="1">
      <alignment horizontal="center" vertical="center" wrapText="1"/>
    </xf>
    <xf numFmtId="169" fontId="13" fillId="0" borderId="18" xfId="0" applyNumberFormat="1" applyFont="1" applyBorder="1" applyAlignment="1" applyProtection="1">
      <alignment vertical="center" wrapText="1"/>
    </xf>
    <xf numFmtId="2" fontId="13" fillId="0" borderId="0" xfId="0" applyNumberFormat="1" applyFont="1" applyAlignment="1" applyProtection="1">
      <alignment vertical="center" wrapText="1"/>
    </xf>
    <xf numFmtId="0" fontId="4" fillId="0" borderId="38" xfId="0" applyFont="1" applyBorder="1" applyAlignment="1" applyProtection="1">
      <alignment vertical="center" wrapText="1"/>
    </xf>
    <xf numFmtId="0" fontId="14" fillId="0" borderId="24"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2" fontId="14" fillId="0" borderId="5" xfId="0" applyNumberFormat="1" applyFont="1" applyBorder="1" applyAlignment="1" applyProtection="1">
      <alignment horizontal="center" vertical="center" wrapText="1"/>
    </xf>
    <xf numFmtId="169" fontId="14" fillId="0" borderId="4" xfId="0" applyNumberFormat="1" applyFont="1" applyBorder="1" applyAlignment="1" applyProtection="1">
      <alignment horizontal="center" vertical="center" wrapText="1"/>
    </xf>
    <xf numFmtId="0" fontId="13" fillId="0" borderId="31" xfId="0" applyFont="1" applyBorder="1" applyAlignment="1" applyProtection="1">
      <alignment vertical="center" wrapText="1"/>
    </xf>
    <xf numFmtId="168" fontId="13" fillId="0" borderId="0" xfId="0" applyNumberFormat="1" applyFont="1" applyBorder="1" applyAlignment="1" applyProtection="1">
      <alignment vertical="center" wrapText="1"/>
    </xf>
    <xf numFmtId="169" fontId="13" fillId="0" borderId="0" xfId="0" applyNumberFormat="1" applyFont="1" applyBorder="1" applyAlignment="1" applyProtection="1">
      <alignment vertical="center" wrapText="1"/>
    </xf>
    <xf numFmtId="0" fontId="13" fillId="0" borderId="13" xfId="0" applyFont="1" applyBorder="1" applyAlignment="1" applyProtection="1">
      <alignment vertical="center" wrapText="1"/>
    </xf>
    <xf numFmtId="0" fontId="4" fillId="0" borderId="38" xfId="0" applyFont="1" applyBorder="1" applyAlignment="1" applyProtection="1">
      <alignment horizontal="right" vertical="center" wrapText="1"/>
    </xf>
    <xf numFmtId="169" fontId="1" fillId="0" borderId="28" xfId="0" applyNumberFormat="1" applyFont="1" applyBorder="1" applyAlignment="1" applyProtection="1">
      <alignment horizontal="center" vertical="center" wrapText="1"/>
    </xf>
    <xf numFmtId="2" fontId="1" fillId="0" borderId="29" xfId="0" applyNumberFormat="1" applyFont="1" applyBorder="1" applyAlignment="1" applyProtection="1">
      <alignment horizontal="center" vertical="center" wrapText="1"/>
    </xf>
    <xf numFmtId="0" fontId="13" fillId="0" borderId="6" xfId="0" applyFont="1" applyBorder="1" applyAlignment="1" applyProtection="1">
      <alignment vertical="center" wrapText="1"/>
    </xf>
    <xf numFmtId="168" fontId="2" fillId="0" borderId="2" xfId="0" applyNumberFormat="1" applyFont="1" applyBorder="1" applyAlignment="1" applyProtection="1">
      <alignment horizontal="center" vertical="center"/>
    </xf>
    <xf numFmtId="168" fontId="1" fillId="0" borderId="2" xfId="0" applyNumberFormat="1" applyFont="1" applyBorder="1" applyAlignment="1" applyProtection="1">
      <alignment horizontal="center" vertical="center" wrapText="1"/>
    </xf>
    <xf numFmtId="169" fontId="0" fillId="0" borderId="2" xfId="0" applyNumberFormat="1" applyBorder="1" applyAlignment="1" applyProtection="1">
      <alignment horizontal="center" vertical="center" wrapText="1"/>
    </xf>
    <xf numFmtId="168" fontId="9" fillId="0" borderId="107" xfId="0" applyNumberFormat="1" applyFont="1" applyBorder="1" applyAlignment="1" applyProtection="1">
      <alignment horizontal="center" vertical="center" wrapText="1"/>
    </xf>
    <xf numFmtId="0" fontId="18" fillId="0" borderId="44" xfId="0" applyFont="1" applyBorder="1" applyAlignment="1" applyProtection="1">
      <alignment vertical="center"/>
    </xf>
    <xf numFmtId="168" fontId="0" fillId="0" borderId="0" xfId="0" applyNumberFormat="1" applyBorder="1" applyAlignment="1" applyProtection="1">
      <alignment horizontal="center"/>
    </xf>
    <xf numFmtId="2" fontId="25" fillId="6" borderId="21" xfId="0" applyNumberFormat="1" applyFont="1" applyFill="1" applyBorder="1" applyAlignment="1" applyProtection="1">
      <alignment horizontal="center" vertical="top" wrapText="1"/>
    </xf>
    <xf numFmtId="9" fontId="25" fillId="6" borderId="21" xfId="1" applyFont="1" applyFill="1" applyBorder="1" applyAlignment="1" applyProtection="1">
      <alignment horizontal="center" vertical="center" wrapText="1"/>
    </xf>
    <xf numFmtId="0" fontId="4" fillId="0" borderId="44" xfId="0" applyFont="1" applyBorder="1" applyAlignment="1" applyProtection="1">
      <alignment vertical="center" wrapText="1"/>
    </xf>
    <xf numFmtId="2" fontId="25" fillId="6" borderId="14" xfId="0" applyNumberFormat="1" applyFont="1" applyFill="1" applyBorder="1" applyAlignment="1" applyProtection="1">
      <alignment horizontal="center" vertical="top" wrapText="1"/>
    </xf>
    <xf numFmtId="168" fontId="0" fillId="0" borderId="0" xfId="0" applyNumberFormat="1" applyBorder="1" applyAlignment="1" applyProtection="1">
      <alignment horizontal="center" vertical="center"/>
    </xf>
    <xf numFmtId="0" fontId="1" fillId="0" borderId="54" xfId="0" applyFont="1" applyBorder="1" applyAlignment="1" applyProtection="1">
      <alignment horizontal="center" vertical="center" wrapText="1"/>
    </xf>
    <xf numFmtId="1" fontId="13" fillId="0" borderId="0" xfId="0" applyNumberFormat="1" applyFont="1" applyAlignment="1" applyProtection="1">
      <alignment vertical="center" wrapText="1"/>
    </xf>
    <xf numFmtId="169" fontId="25" fillId="0" borderId="16" xfId="0" applyNumberFormat="1" applyFont="1" applyFill="1" applyBorder="1" applyAlignment="1" applyProtection="1">
      <alignment horizontal="center" vertical="center" wrapText="1"/>
    </xf>
    <xf numFmtId="0" fontId="23" fillId="0" borderId="44" xfId="0" applyFont="1" applyBorder="1" applyAlignment="1" applyProtection="1">
      <alignment vertical="center"/>
    </xf>
    <xf numFmtId="168" fontId="4" fillId="0" borderId="0" xfId="0" applyNumberFormat="1" applyFont="1" applyAlignment="1" applyProtection="1">
      <alignment vertical="center" wrapText="1"/>
    </xf>
    <xf numFmtId="168" fontId="11" fillId="0" borderId="52" xfId="0" applyNumberFormat="1" applyFont="1" applyBorder="1" applyAlignment="1" applyProtection="1">
      <alignment horizontal="center" vertical="center" wrapText="1"/>
    </xf>
    <xf numFmtId="0" fontId="4" fillId="0" borderId="19" xfId="0" applyFont="1" applyBorder="1" applyAlignment="1" applyProtection="1">
      <alignment vertical="center" wrapText="1"/>
    </xf>
    <xf numFmtId="0" fontId="18" fillId="0" borderId="19" xfId="0" applyFont="1" applyBorder="1" applyAlignment="1" applyProtection="1">
      <alignment vertical="center"/>
    </xf>
    <xf numFmtId="168" fontId="0" fillId="0" borderId="2" xfId="0" applyNumberFormat="1" applyBorder="1" applyAlignment="1" applyProtection="1">
      <alignment horizontal="center"/>
    </xf>
    <xf numFmtId="2" fontId="25" fillId="6" borderId="23" xfId="0" applyNumberFormat="1" applyFont="1" applyFill="1" applyBorder="1" applyAlignment="1" applyProtection="1">
      <alignment horizontal="center" vertical="top" wrapText="1"/>
    </xf>
    <xf numFmtId="9" fontId="25" fillId="6" borderId="23" xfId="1" applyFont="1" applyFill="1" applyBorder="1" applyAlignment="1" applyProtection="1">
      <alignment horizontal="center" vertical="center" wrapText="1"/>
    </xf>
    <xf numFmtId="2" fontId="4" fillId="0" borderId="0" xfId="0" applyNumberFormat="1" applyFont="1" applyAlignment="1" applyProtection="1">
      <alignment vertical="center" wrapText="1"/>
    </xf>
    <xf numFmtId="0" fontId="0" fillId="0" borderId="0" xfId="0" applyFont="1" applyAlignment="1" applyProtection="1">
      <alignment vertical="top" wrapText="1"/>
    </xf>
    <xf numFmtId="0" fontId="1" fillId="0" borderId="0" xfId="0" applyNumberFormat="1" applyFont="1" applyAlignment="1" applyProtection="1">
      <alignment horizontal="center" vertical="center" wrapText="1"/>
    </xf>
    <xf numFmtId="0" fontId="22" fillId="0" borderId="13" xfId="0" applyFont="1" applyBorder="1" applyAlignment="1" applyProtection="1">
      <alignment horizontal="left" vertical="top" wrapText="1"/>
    </xf>
    <xf numFmtId="0" fontId="0" fillId="0" borderId="13" xfId="0" applyFont="1" applyBorder="1" applyAlignment="1" applyProtection="1">
      <alignment horizontal="left" vertical="top" wrapText="1"/>
    </xf>
    <xf numFmtId="0" fontId="1" fillId="2" borderId="2" xfId="0" applyFont="1" applyFill="1" applyBorder="1" applyAlignment="1" applyProtection="1">
      <alignment horizontal="center" vertical="center" wrapText="1"/>
    </xf>
    <xf numFmtId="0" fontId="24" fillId="0" borderId="2" xfId="0" applyFont="1" applyBorder="1" applyAlignment="1" applyProtection="1">
      <alignment horizontal="center" vertical="center" wrapText="1"/>
    </xf>
    <xf numFmtId="0" fontId="0" fillId="0" borderId="18" xfId="0" applyFont="1" applyBorder="1" applyAlignment="1" applyProtection="1">
      <alignment horizontal="left" vertical="top" wrapText="1"/>
    </xf>
    <xf numFmtId="0" fontId="8" fillId="0" borderId="0" xfId="0" applyFont="1" applyAlignment="1" applyProtection="1">
      <alignment vertical="center" wrapText="1"/>
    </xf>
    <xf numFmtId="0" fontId="1" fillId="2" borderId="0" xfId="0" applyFont="1" applyFill="1" applyAlignment="1" applyProtection="1">
      <alignment vertical="center" wrapText="1"/>
    </xf>
    <xf numFmtId="0" fontId="2" fillId="2" borderId="19"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14" fillId="2" borderId="0" xfId="0" applyFont="1" applyFill="1" applyBorder="1" applyAlignment="1" applyProtection="1">
      <alignment vertical="center" wrapText="1"/>
    </xf>
    <xf numFmtId="0" fontId="1" fillId="2" borderId="0" xfId="0" applyFont="1" applyFill="1" applyBorder="1" applyAlignment="1" applyProtection="1">
      <alignment vertical="center" wrapText="1"/>
    </xf>
    <xf numFmtId="0" fontId="0" fillId="0" borderId="17" xfId="0" applyFont="1" applyBorder="1" applyAlignment="1" applyProtection="1">
      <alignment vertical="top" wrapText="1"/>
    </xf>
    <xf numFmtId="0" fontId="61" fillId="0" borderId="0" xfId="0" applyFont="1" applyAlignment="1" applyProtection="1">
      <alignment vertical="top" wrapText="1"/>
    </xf>
    <xf numFmtId="0" fontId="0" fillId="0" borderId="13" xfId="0" applyFont="1" applyBorder="1" applyAlignment="1" applyProtection="1">
      <alignment horizontal="center" vertical="center" wrapText="1"/>
    </xf>
    <xf numFmtId="0" fontId="1" fillId="0" borderId="13" xfId="0" applyFont="1" applyBorder="1" applyAlignment="1" applyProtection="1">
      <alignment vertical="top" wrapText="1"/>
    </xf>
    <xf numFmtId="0" fontId="1" fillId="0" borderId="0" xfId="0" applyNumberFormat="1" applyFont="1" applyAlignment="1" applyProtection="1">
      <alignment vertical="top" wrapText="1"/>
    </xf>
    <xf numFmtId="2" fontId="25" fillId="0" borderId="14" xfId="0" applyNumberFormat="1" applyFont="1" applyBorder="1" applyAlignment="1" applyProtection="1">
      <alignment horizontal="center" vertical="center" wrapText="1"/>
    </xf>
    <xf numFmtId="0" fontId="17" fillId="0" borderId="153" xfId="0" applyFont="1" applyBorder="1" applyAlignment="1" applyProtection="1">
      <alignment horizontal="center" vertical="center" wrapText="1"/>
    </xf>
    <xf numFmtId="0" fontId="1" fillId="0" borderId="0" xfId="0" applyNumberFormat="1" applyFont="1" applyAlignment="1" applyProtection="1">
      <alignment vertical="center" wrapText="1"/>
    </xf>
    <xf numFmtId="2" fontId="25" fillId="0" borderId="14" xfId="0" applyNumberFormat="1" applyFont="1" applyFill="1" applyBorder="1" applyAlignment="1" applyProtection="1">
      <alignment horizontal="center" vertical="center" wrapText="1"/>
    </xf>
    <xf numFmtId="4" fontId="25" fillId="0" borderId="14" xfId="0" applyNumberFormat="1" applyFont="1" applyFill="1" applyBorder="1" applyAlignment="1" applyProtection="1">
      <alignment horizontal="center" vertical="center" wrapText="1"/>
    </xf>
    <xf numFmtId="0" fontId="24" fillId="0" borderId="0" xfId="0" applyFont="1" applyAlignment="1" applyProtection="1">
      <alignment vertical="center" wrapText="1"/>
    </xf>
    <xf numFmtId="175" fontId="22" fillId="0" borderId="85" xfId="0" applyNumberFormat="1" applyFont="1" applyFill="1" applyBorder="1" applyAlignment="1" applyProtection="1">
      <alignment horizontal="center" vertical="center" wrapText="1"/>
    </xf>
    <xf numFmtId="164" fontId="0" fillId="0" borderId="13" xfId="0" applyNumberFormat="1" applyFont="1" applyBorder="1" applyAlignment="1" applyProtection="1">
      <alignment horizontal="center" vertical="center" wrapText="1"/>
    </xf>
    <xf numFmtId="2" fontId="22" fillId="0" borderId="0" xfId="0" applyNumberFormat="1" applyFont="1" applyFill="1" applyBorder="1" applyAlignment="1" applyProtection="1">
      <alignment horizontal="center" vertical="top" wrapText="1"/>
    </xf>
    <xf numFmtId="0" fontId="24" fillId="0" borderId="16" xfId="0" applyFont="1" applyBorder="1" applyAlignment="1" applyProtection="1">
      <alignment horizontal="left" vertical="center" wrapText="1"/>
    </xf>
    <xf numFmtId="0" fontId="24" fillId="0" borderId="16" xfId="0" applyFont="1" applyBorder="1" applyAlignment="1" applyProtection="1">
      <alignment horizontal="center" vertical="center" wrapText="1"/>
    </xf>
    <xf numFmtId="2" fontId="22" fillId="0" borderId="13" xfId="0" applyNumberFormat="1" applyFont="1" applyBorder="1" applyAlignment="1" applyProtection="1">
      <alignment horizontal="center" vertical="center" wrapText="1"/>
    </xf>
    <xf numFmtId="0" fontId="0" fillId="0" borderId="30" xfId="0" applyFont="1" applyBorder="1" applyAlignment="1" applyProtection="1">
      <alignment vertical="top" wrapText="1"/>
    </xf>
    <xf numFmtId="0" fontId="0" fillId="0" borderId="24" xfId="0" applyFont="1" applyBorder="1" applyAlignment="1" applyProtection="1">
      <alignment vertical="top" wrapText="1"/>
    </xf>
    <xf numFmtId="0" fontId="0" fillId="0" borderId="31" xfId="0" applyFont="1" applyBorder="1" applyAlignment="1" applyProtection="1">
      <alignment vertical="top" wrapText="1"/>
    </xf>
    <xf numFmtId="0" fontId="0" fillId="0" borderId="0" xfId="0" applyFont="1" applyBorder="1" applyAlignment="1" applyProtection="1">
      <alignment vertical="top" wrapText="1"/>
    </xf>
    <xf numFmtId="0" fontId="0" fillId="0" borderId="6" xfId="0" applyFont="1" applyBorder="1" applyAlignment="1" applyProtection="1">
      <alignment vertical="top" wrapText="1"/>
    </xf>
    <xf numFmtId="0" fontId="0" fillId="0" borderId="2" xfId="0" applyFont="1" applyBorder="1" applyAlignment="1" applyProtection="1">
      <alignment vertical="top" wrapText="1"/>
    </xf>
    <xf numFmtId="4" fontId="22" fillId="0" borderId="23" xfId="0" applyNumberFormat="1" applyFont="1" applyFill="1" applyBorder="1" applyAlignment="1" applyProtection="1">
      <alignment horizontal="center" vertical="center" wrapText="1"/>
    </xf>
    <xf numFmtId="4" fontId="25" fillId="0" borderId="14" xfId="0" applyNumberFormat="1" applyFont="1" applyFill="1" applyBorder="1" applyAlignment="1" applyProtection="1">
      <alignment horizontal="center" vertical="top" wrapText="1"/>
    </xf>
    <xf numFmtId="177" fontId="0" fillId="0" borderId="0" xfId="1" applyNumberFormat="1" applyFont="1" applyAlignment="1" applyProtection="1">
      <alignment vertical="top" wrapText="1"/>
    </xf>
    <xf numFmtId="175" fontId="25" fillId="0" borderId="14" xfId="0" applyNumberFormat="1" applyFont="1" applyBorder="1" applyAlignment="1" applyProtection="1">
      <alignment horizontal="center" vertical="center" wrapText="1"/>
    </xf>
    <xf numFmtId="0" fontId="9" fillId="0" borderId="0" xfId="0" applyFont="1" applyAlignment="1" applyProtection="1">
      <alignment horizontal="center" vertical="top" wrapText="1"/>
    </xf>
    <xf numFmtId="9" fontId="22" fillId="0" borderId="13" xfId="0" applyNumberFormat="1" applyFont="1" applyBorder="1" applyAlignment="1" applyProtection="1">
      <alignment horizontal="center" vertical="center" wrapText="1"/>
    </xf>
    <xf numFmtId="0" fontId="17" fillId="0" borderId="13" xfId="0" applyFont="1" applyBorder="1" applyAlignment="1" applyProtection="1">
      <alignment horizontal="center" vertical="center" wrapText="1"/>
    </xf>
    <xf numFmtId="0" fontId="2" fillId="0" borderId="0" xfId="0" applyFont="1" applyAlignment="1" applyProtection="1">
      <alignment horizontal="left" vertical="center" wrapText="1"/>
    </xf>
    <xf numFmtId="175" fontId="22" fillId="0" borderId="85" xfId="0" applyNumberFormat="1" applyFont="1" applyBorder="1" applyAlignment="1" applyProtection="1">
      <alignment horizontal="center" vertical="center" wrapText="1"/>
    </xf>
    <xf numFmtId="2" fontId="25" fillId="0" borderId="0" xfId="0" applyNumberFormat="1" applyFont="1" applyFill="1" applyBorder="1" applyAlignment="1" applyProtection="1">
      <alignment horizontal="center" vertical="top" wrapText="1"/>
    </xf>
    <xf numFmtId="175" fontId="25" fillId="0" borderId="14" xfId="0" applyNumberFormat="1" applyFont="1" applyFill="1" applyBorder="1" applyAlignment="1" applyProtection="1">
      <alignment horizontal="center" vertical="top" wrapText="1"/>
    </xf>
    <xf numFmtId="10" fontId="22" fillId="0" borderId="13" xfId="0" applyNumberFormat="1" applyFont="1" applyBorder="1" applyAlignment="1" applyProtection="1">
      <alignment horizontal="center" vertical="center" wrapText="1"/>
    </xf>
    <xf numFmtId="0" fontId="22" fillId="3" borderId="30" xfId="0" applyFont="1" applyFill="1" applyBorder="1" applyAlignment="1" applyProtection="1">
      <alignment horizontal="left" vertical="top" wrapText="1"/>
    </xf>
    <xf numFmtId="0" fontId="22" fillId="3" borderId="24" xfId="0" applyFont="1" applyFill="1" applyBorder="1" applyAlignment="1" applyProtection="1">
      <alignment horizontal="left" vertical="top" wrapText="1"/>
    </xf>
    <xf numFmtId="0" fontId="22" fillId="3" borderId="17" xfId="0" applyFont="1" applyFill="1" applyBorder="1" applyAlignment="1" applyProtection="1">
      <alignment horizontal="left" vertical="top" wrapText="1"/>
    </xf>
    <xf numFmtId="0" fontId="25" fillId="6" borderId="14" xfId="0" applyFont="1" applyFill="1" applyBorder="1" applyAlignment="1" applyProtection="1">
      <alignment horizontal="center" vertical="top" wrapText="1"/>
    </xf>
    <xf numFmtId="168" fontId="22" fillId="0" borderId="16" xfId="0" applyNumberFormat="1" applyFont="1" applyFill="1" applyBorder="1" applyAlignment="1" applyProtection="1">
      <alignment horizontal="center" vertical="center" wrapText="1"/>
    </xf>
    <xf numFmtId="0" fontId="22" fillId="0" borderId="0" xfId="0" applyFont="1" applyAlignment="1" applyProtection="1">
      <alignment horizontal="center" vertical="top" wrapText="1"/>
    </xf>
    <xf numFmtId="0" fontId="0" fillId="0" borderId="0" xfId="0" applyFont="1" applyAlignment="1" applyProtection="1">
      <alignment horizontal="left" vertical="top" wrapText="1"/>
    </xf>
    <xf numFmtId="0" fontId="0" fillId="0" borderId="15" xfId="0" applyFont="1" applyBorder="1" applyAlignment="1" applyProtection="1">
      <alignment horizontal="left" vertical="top" wrapText="1"/>
    </xf>
    <xf numFmtId="0" fontId="0" fillId="0" borderId="1" xfId="0" applyFont="1" applyBorder="1" applyAlignment="1" applyProtection="1">
      <alignment vertical="top" wrapText="1"/>
    </xf>
    <xf numFmtId="0" fontId="9" fillId="0" borderId="13" xfId="0" applyFont="1" applyBorder="1" applyAlignment="1" applyProtection="1">
      <alignment horizontal="center" vertical="center" wrapText="1"/>
    </xf>
    <xf numFmtId="0" fontId="25" fillId="0" borderId="14" xfId="0" applyFont="1" applyFill="1" applyBorder="1" applyAlignment="1" applyProtection="1">
      <alignment horizontal="center" vertical="top" wrapText="1"/>
    </xf>
    <xf numFmtId="169" fontId="22" fillId="0" borderId="52" xfId="0" applyNumberFormat="1" applyFont="1" applyFill="1" applyBorder="1" applyAlignment="1" applyProtection="1">
      <alignment horizontal="center" vertical="center" wrapText="1"/>
    </xf>
    <xf numFmtId="1" fontId="0" fillId="0" borderId="13" xfId="0" applyNumberFormat="1" applyFont="1" applyBorder="1" applyAlignment="1" applyProtection="1">
      <alignment horizontal="center" vertical="center" wrapText="1"/>
    </xf>
    <xf numFmtId="175" fontId="22" fillId="0" borderId="52" xfId="0" applyNumberFormat="1" applyFont="1" applyFill="1" applyBorder="1" applyAlignment="1" applyProtection="1">
      <alignment horizontal="center" vertical="center" wrapText="1"/>
    </xf>
    <xf numFmtId="164" fontId="22" fillId="0" borderId="0" xfId="0" applyNumberFormat="1" applyFont="1" applyFill="1" applyBorder="1" applyAlignment="1" applyProtection="1">
      <alignment horizontal="center" vertical="top" wrapText="1"/>
    </xf>
    <xf numFmtId="9" fontId="25" fillId="0" borderId="14" xfId="1" applyFont="1" applyFill="1" applyBorder="1" applyAlignment="1" applyProtection="1">
      <alignment horizontal="center" vertical="top" wrapText="1"/>
    </xf>
    <xf numFmtId="0" fontId="4" fillId="0" borderId="13" xfId="0" applyFont="1" applyBorder="1" applyAlignment="1" applyProtection="1">
      <alignment vertical="top" wrapText="1"/>
    </xf>
    <xf numFmtId="0" fontId="24" fillId="0" borderId="0" xfId="0" applyFont="1" applyAlignment="1" applyProtection="1">
      <alignment vertical="top" wrapText="1"/>
    </xf>
    <xf numFmtId="0" fontId="2" fillId="0" borderId="16" xfId="0" applyFont="1" applyBorder="1" applyAlignment="1" applyProtection="1">
      <alignment vertical="center" wrapText="1"/>
    </xf>
    <xf numFmtId="9" fontId="0" fillId="0" borderId="0" xfId="1" applyFont="1" applyAlignment="1" applyProtection="1">
      <alignment vertical="center" wrapText="1"/>
    </xf>
    <xf numFmtId="9" fontId="1" fillId="0" borderId="0" xfId="1" applyFont="1" applyAlignment="1" applyProtection="1">
      <alignment horizontal="center" vertical="center" wrapText="1"/>
    </xf>
    <xf numFmtId="9" fontId="25" fillId="0" borderId="14" xfId="1" applyFont="1" applyFill="1" applyBorder="1" applyAlignment="1" applyProtection="1">
      <alignment vertical="center" wrapText="1"/>
    </xf>
    <xf numFmtId="0" fontId="22" fillId="0" borderId="0" xfId="0" applyFont="1" applyAlignment="1" applyProtection="1">
      <alignment horizontal="center" vertical="center" wrapText="1"/>
    </xf>
    <xf numFmtId="0" fontId="1" fillId="0" borderId="38" xfId="0" applyFont="1" applyBorder="1" applyAlignment="1" applyProtection="1">
      <alignment vertical="center" wrapText="1"/>
    </xf>
    <xf numFmtId="0" fontId="1" fillId="0" borderId="3" xfId="0" applyFont="1" applyBorder="1" applyAlignment="1" applyProtection="1">
      <alignment vertical="center"/>
    </xf>
    <xf numFmtId="0" fontId="1" fillId="0" borderId="5" xfId="0" applyFont="1" applyBorder="1" applyAlignment="1" applyProtection="1">
      <alignment vertical="center"/>
    </xf>
    <xf numFmtId="0" fontId="1" fillId="0" borderId="4" xfId="0" applyFont="1" applyBorder="1" applyAlignment="1" applyProtection="1">
      <alignment vertical="center"/>
    </xf>
    <xf numFmtId="0" fontId="56" fillId="0" borderId="44" xfId="0" applyFont="1" applyBorder="1" applyAlignment="1" applyProtection="1">
      <alignment horizontal="left" vertical="center" wrapText="1"/>
    </xf>
    <xf numFmtId="0" fontId="57" fillId="0" borderId="16" xfId="0" applyFont="1" applyBorder="1" applyAlignment="1" applyProtection="1">
      <alignment horizontal="center" vertical="top" wrapText="1"/>
    </xf>
    <xf numFmtId="0" fontId="57" fillId="0" borderId="4" xfId="0" applyFont="1" applyBorder="1" applyAlignment="1" applyProtection="1">
      <alignment horizontal="center" vertical="top" wrapText="1"/>
    </xf>
    <xf numFmtId="0" fontId="20" fillId="0" borderId="19" xfId="0" applyFont="1" applyBorder="1" applyAlignment="1" applyProtection="1">
      <alignment horizontal="center" vertical="center" wrapText="1"/>
    </xf>
    <xf numFmtId="0" fontId="20" fillId="0" borderId="18" xfId="0" applyFont="1" applyBorder="1" applyAlignment="1" applyProtection="1">
      <alignment horizontal="center" vertical="center" wrapText="1"/>
    </xf>
    <xf numFmtId="0" fontId="1" fillId="5" borderId="13" xfId="0" applyFont="1" applyFill="1" applyBorder="1" applyAlignment="1" applyProtection="1">
      <alignment vertical="top" wrapText="1"/>
    </xf>
    <xf numFmtId="0" fontId="0" fillId="5" borderId="0" xfId="0" applyFont="1" applyFill="1" applyAlignment="1" applyProtection="1">
      <alignment vertical="top" wrapText="1"/>
    </xf>
    <xf numFmtId="0" fontId="1" fillId="5" borderId="0" xfId="0" applyFont="1" applyFill="1" applyAlignment="1" applyProtection="1">
      <alignment vertical="top" wrapText="1"/>
    </xf>
    <xf numFmtId="0" fontId="22" fillId="5" borderId="0" xfId="0" applyFont="1" applyFill="1" applyAlignment="1" applyProtection="1">
      <alignment horizontal="center" vertical="top" wrapText="1"/>
    </xf>
    <xf numFmtId="0" fontId="22" fillId="5" borderId="13" xfId="0" applyFont="1" applyFill="1" applyBorder="1" applyAlignment="1" applyProtection="1">
      <alignment horizontal="center" vertical="center" wrapText="1"/>
    </xf>
    <xf numFmtId="0" fontId="1" fillId="2" borderId="1" xfId="0" applyFont="1" applyFill="1" applyBorder="1" applyAlignment="1" applyProtection="1">
      <alignment vertical="center" wrapText="1"/>
    </xf>
    <xf numFmtId="0" fontId="11" fillId="3" borderId="30" xfId="0" applyFont="1" applyFill="1" applyBorder="1" applyAlignment="1" applyProtection="1">
      <alignment horizontal="left" vertical="top" wrapText="1"/>
    </xf>
    <xf numFmtId="0" fontId="11" fillId="3" borderId="17" xfId="0" applyFont="1" applyFill="1" applyBorder="1" applyAlignment="1" applyProtection="1">
      <alignment horizontal="left" vertical="center" wrapText="1"/>
    </xf>
    <xf numFmtId="0" fontId="56" fillId="0" borderId="19" xfId="0" applyFont="1" applyBorder="1" applyAlignment="1" applyProtection="1">
      <alignment horizontal="left" vertical="center" wrapText="1"/>
    </xf>
    <xf numFmtId="0" fontId="24" fillId="2" borderId="0" xfId="0" applyFont="1" applyFill="1" applyAlignment="1" applyProtection="1">
      <alignment vertical="center" wrapText="1"/>
    </xf>
    <xf numFmtId="0" fontId="23" fillId="0" borderId="0" xfId="0" applyFont="1" applyAlignment="1" applyProtection="1">
      <alignment vertical="top" wrapText="1"/>
    </xf>
    <xf numFmtId="9" fontId="0" fillId="0" borderId="13" xfId="0" applyNumberFormat="1" applyFont="1" applyBorder="1" applyAlignment="1" applyProtection="1">
      <alignment horizontal="center" vertical="center" wrapText="1"/>
    </xf>
    <xf numFmtId="0" fontId="1" fillId="0" borderId="18" xfId="0" applyFont="1" applyBorder="1" applyAlignment="1" applyProtection="1">
      <alignment vertical="top" wrapText="1"/>
    </xf>
    <xf numFmtId="0" fontId="2" fillId="0" borderId="2" xfId="0" applyFont="1" applyBorder="1" applyAlignment="1" applyProtection="1">
      <alignment horizontal="center" vertical="top" wrapText="1"/>
    </xf>
    <xf numFmtId="0" fontId="24" fillId="0" borderId="20" xfId="0" applyFont="1" applyBorder="1" applyAlignment="1" applyProtection="1">
      <alignment vertical="top" wrapText="1"/>
    </xf>
    <xf numFmtId="9" fontId="0" fillId="0" borderId="18" xfId="0" applyNumberFormat="1" applyFont="1" applyBorder="1" applyAlignment="1" applyProtection="1">
      <alignment horizontal="center" vertical="center" wrapText="1"/>
    </xf>
    <xf numFmtId="0" fontId="2" fillId="0" borderId="87" xfId="0" applyFont="1" applyBorder="1" applyAlignment="1" applyProtection="1">
      <alignment horizontal="left" vertical="top" wrapText="1"/>
    </xf>
    <xf numFmtId="0" fontId="9" fillId="0" borderId="0" xfId="0" applyFont="1" applyAlignment="1" applyProtection="1">
      <alignment vertical="top" wrapText="1"/>
    </xf>
    <xf numFmtId="0" fontId="2" fillId="2" borderId="24" xfId="0" applyFont="1" applyFill="1" applyBorder="1" applyAlignment="1" applyProtection="1">
      <alignment vertical="center" wrapText="1"/>
    </xf>
    <xf numFmtId="0" fontId="2" fillId="2" borderId="17" xfId="0" applyFont="1" applyFill="1" applyBorder="1" applyAlignment="1" applyProtection="1">
      <alignment vertical="center" wrapText="1"/>
    </xf>
    <xf numFmtId="0" fontId="9" fillId="0" borderId="16" xfId="0" applyFont="1" applyBorder="1" applyAlignment="1" applyProtection="1">
      <alignment horizontal="center" vertical="top" wrapText="1"/>
    </xf>
    <xf numFmtId="0" fontId="1" fillId="2" borderId="0" xfId="0" applyFont="1" applyFill="1" applyAlignment="1" applyProtection="1">
      <alignment horizontal="center" vertical="center"/>
    </xf>
    <xf numFmtId="0" fontId="22" fillId="0" borderId="26" xfId="0" applyFont="1" applyBorder="1" applyAlignment="1" applyProtection="1">
      <alignment vertical="center" wrapText="1"/>
    </xf>
    <xf numFmtId="2" fontId="0" fillId="0" borderId="0" xfId="0" applyNumberFormat="1" applyAlignment="1" applyProtection="1">
      <alignment vertical="center" wrapText="1"/>
    </xf>
    <xf numFmtId="0" fontId="1" fillId="0" borderId="16" xfId="0" applyFont="1" applyBorder="1" applyAlignment="1" applyProtection="1">
      <alignment vertical="center" wrapText="1"/>
    </xf>
    <xf numFmtId="0" fontId="1" fillId="0" borderId="13" xfId="0" applyFont="1" applyBorder="1" applyAlignment="1" applyProtection="1">
      <alignment wrapText="1"/>
    </xf>
    <xf numFmtId="0" fontId="10" fillId="2" borderId="0" xfId="0" applyFont="1" applyFill="1" applyAlignment="1" applyProtection="1">
      <alignment horizontal="center" vertical="center" wrapText="1"/>
    </xf>
    <xf numFmtId="0" fontId="1" fillId="0" borderId="0" xfId="0" applyFont="1" applyAlignment="1" applyProtection="1">
      <alignment wrapText="1"/>
    </xf>
    <xf numFmtId="169" fontId="0" fillId="0" borderId="0" xfId="0" applyNumberFormat="1" applyAlignment="1" applyProtection="1">
      <alignment vertical="center" wrapText="1"/>
    </xf>
    <xf numFmtId="0" fontId="0" fillId="0" borderId="0" xfId="0" applyAlignment="1" applyProtection="1">
      <alignment horizontal="left" vertical="center" indent="2"/>
    </xf>
    <xf numFmtId="0" fontId="0" fillId="0" borderId="0" xfId="0" applyAlignment="1" applyProtection="1">
      <alignment horizontal="left" vertical="center" indent="4"/>
    </xf>
    <xf numFmtId="0" fontId="1" fillId="0" borderId="0" xfId="0" applyFont="1" applyAlignment="1" applyProtection="1">
      <alignment vertical="center"/>
    </xf>
    <xf numFmtId="0" fontId="1" fillId="2" borderId="3" xfId="0" applyFont="1" applyFill="1" applyBorder="1" applyAlignment="1" applyProtection="1">
      <alignment wrapText="1"/>
    </xf>
    <xf numFmtId="0" fontId="24" fillId="2" borderId="3" xfId="0" applyFont="1" applyFill="1" applyBorder="1" applyAlignment="1" applyProtection="1">
      <alignment horizontal="center" vertical="center" wrapText="1"/>
    </xf>
    <xf numFmtId="0" fontId="0" fillId="2" borderId="4" xfId="0" applyFill="1" applyBorder="1" applyAlignment="1" applyProtection="1">
      <alignment vertical="center" wrapText="1"/>
    </xf>
    <xf numFmtId="0" fontId="29" fillId="0" borderId="5" xfId="0" applyFont="1" applyBorder="1" applyAlignment="1" applyProtection="1">
      <alignment horizontal="left" vertical="center"/>
    </xf>
    <xf numFmtId="0" fontId="29" fillId="0" borderId="4" xfId="0" applyFont="1" applyBorder="1" applyAlignment="1" applyProtection="1">
      <alignment wrapText="1"/>
    </xf>
    <xf numFmtId="0" fontId="1" fillId="0" borderId="31" xfId="0" applyFont="1" applyBorder="1" applyAlignment="1" applyProtection="1">
      <alignment wrapText="1"/>
    </xf>
    <xf numFmtId="9" fontId="6" fillId="0" borderId="13" xfId="0" applyNumberFormat="1" applyFont="1" applyBorder="1" applyAlignment="1" applyProtection="1">
      <alignment horizontal="center"/>
    </xf>
    <xf numFmtId="0" fontId="1" fillId="0" borderId="6" xfId="0" applyFont="1" applyBorder="1" applyAlignment="1" applyProtection="1">
      <alignment wrapText="1"/>
    </xf>
    <xf numFmtId="0" fontId="6" fillId="0" borderId="2" xfId="0" applyFont="1" applyBorder="1" applyProtection="1"/>
    <xf numFmtId="9" fontId="6" fillId="0" borderId="18" xfId="0" applyNumberFormat="1" applyFont="1" applyBorder="1" applyAlignment="1" applyProtection="1">
      <alignment horizontal="center"/>
    </xf>
    <xf numFmtId="1" fontId="0" fillId="0" borderId="0" xfId="0" applyNumberFormat="1" applyAlignment="1" applyProtection="1">
      <alignment vertical="center" wrapText="1"/>
    </xf>
    <xf numFmtId="0" fontId="14" fillId="2" borderId="2" xfId="0" applyFont="1" applyFill="1" applyBorder="1" applyAlignment="1" applyProtection="1">
      <alignment vertical="center" wrapText="1"/>
    </xf>
    <xf numFmtId="0" fontId="14" fillId="0" borderId="34" xfId="0" applyFont="1" applyBorder="1" applyAlignment="1" applyProtection="1">
      <alignment horizontal="left" vertical="center" wrapText="1"/>
    </xf>
    <xf numFmtId="0" fontId="1" fillId="2" borderId="24" xfId="0" applyFont="1" applyFill="1" applyBorder="1" applyAlignment="1" applyProtection="1">
      <alignment horizontal="center" vertical="center" wrapText="1"/>
    </xf>
    <xf numFmtId="0" fontId="9" fillId="0" borderId="22" xfId="0" applyFont="1" applyBorder="1" applyAlignment="1" applyProtection="1">
      <alignment horizontal="center" vertical="center" wrapText="1"/>
    </xf>
    <xf numFmtId="2" fontId="25" fillId="0" borderId="0" xfId="0" applyNumberFormat="1" applyFont="1" applyAlignment="1" applyProtection="1"/>
    <xf numFmtId="1" fontId="25" fillId="0" borderId="0" xfId="0" applyNumberFormat="1" applyFont="1" applyAlignment="1" applyProtection="1"/>
    <xf numFmtId="0" fontId="25" fillId="0" borderId="0" xfId="0" applyFont="1" applyAlignment="1" applyProtection="1"/>
    <xf numFmtId="2" fontId="25" fillId="0" borderId="57" xfId="0" applyNumberFormat="1" applyFont="1" applyBorder="1" applyAlignment="1" applyProtection="1">
      <alignment horizontal="center" vertical="center" wrapText="1"/>
    </xf>
    <xf numFmtId="0" fontId="0" fillId="2" borderId="0" xfId="0" applyFill="1" applyAlignment="1" applyProtection="1">
      <alignment vertical="center" wrapText="1"/>
    </xf>
    <xf numFmtId="2" fontId="25" fillId="2" borderId="21" xfId="0" applyNumberFormat="1" applyFont="1" applyFill="1" applyBorder="1" applyAlignment="1" applyProtection="1">
      <alignment horizontal="center" vertical="center" wrapText="1"/>
    </xf>
    <xf numFmtId="2" fontId="25" fillId="0" borderId="0" xfId="0" applyNumberFormat="1" applyFont="1" applyAlignment="1" applyProtection="1">
      <alignment horizontal="center" vertical="center" wrapText="1"/>
    </xf>
    <xf numFmtId="0" fontId="24" fillId="0" borderId="0" xfId="0" applyFont="1" applyAlignment="1" applyProtection="1">
      <alignment horizontal="left" vertical="center" wrapText="1"/>
    </xf>
    <xf numFmtId="0" fontId="6" fillId="0" borderId="0" xfId="0" applyFont="1" applyAlignment="1" applyProtection="1">
      <alignment wrapText="1"/>
    </xf>
    <xf numFmtId="0" fontId="9" fillId="0" borderId="13" xfId="0" applyFont="1" applyFill="1" applyBorder="1" applyAlignment="1" applyProtection="1">
      <alignment horizontal="center" vertical="center" wrapText="1"/>
    </xf>
    <xf numFmtId="0" fontId="11" fillId="0" borderId="0" xfId="0" applyFont="1" applyFill="1" applyBorder="1" applyAlignment="1" applyProtection="1">
      <alignment horizontal="left" vertical="top" wrapText="1"/>
    </xf>
    <xf numFmtId="1" fontId="11" fillId="0" borderId="0" xfId="0" applyNumberFormat="1" applyFont="1" applyFill="1" applyBorder="1" applyAlignment="1" applyProtection="1">
      <alignment horizontal="center" vertical="center" wrapText="1"/>
    </xf>
    <xf numFmtId="0" fontId="20" fillId="0" borderId="0" xfId="0" applyFont="1" applyAlignment="1" applyProtection="1">
      <alignment horizontal="left" vertical="top" wrapText="1"/>
    </xf>
    <xf numFmtId="0" fontId="1" fillId="0" borderId="24" xfId="0" applyFont="1" applyBorder="1" applyAlignment="1" applyProtection="1">
      <alignment horizontal="left" vertical="center" wrapText="1"/>
    </xf>
    <xf numFmtId="0" fontId="0" fillId="0" borderId="31" xfId="0" applyBorder="1" applyAlignment="1" applyProtection="1">
      <alignment horizontal="center" vertical="center" wrapText="1"/>
    </xf>
    <xf numFmtId="2" fontId="1" fillId="0" borderId="0" xfId="0" applyNumberFormat="1" applyFont="1" applyBorder="1" applyAlignment="1" applyProtection="1">
      <alignment vertical="center" wrapText="1"/>
    </xf>
    <xf numFmtId="1" fontId="1" fillId="0" borderId="0" xfId="0" applyNumberFormat="1" applyFont="1" applyBorder="1" applyAlignment="1" applyProtection="1">
      <alignment vertical="center" wrapText="1"/>
    </xf>
    <xf numFmtId="0" fontId="1" fillId="0" borderId="111" xfId="0" applyFont="1" applyBorder="1" applyAlignment="1" applyProtection="1">
      <alignment vertical="center" wrapText="1"/>
    </xf>
    <xf numFmtId="1" fontId="1" fillId="0" borderId="168" xfId="0" applyNumberFormat="1" applyFont="1" applyBorder="1" applyAlignment="1" applyProtection="1">
      <alignment vertical="center" wrapText="1"/>
    </xf>
    <xf numFmtId="1" fontId="25" fillId="6" borderId="161" xfId="0" applyNumberFormat="1" applyFont="1" applyFill="1" applyBorder="1" applyAlignment="1" applyProtection="1">
      <alignment horizontal="center" vertical="top" wrapText="1"/>
    </xf>
    <xf numFmtId="10" fontId="0" fillId="0" borderId="52" xfId="0" applyNumberFormat="1" applyBorder="1" applyAlignment="1" applyProtection="1">
      <alignment vertical="center" wrapText="1"/>
    </xf>
    <xf numFmtId="1" fontId="0" fillId="0" borderId="169" xfId="0" applyNumberFormat="1" applyBorder="1" applyAlignment="1" applyProtection="1">
      <alignment vertical="center" wrapText="1"/>
    </xf>
    <xf numFmtId="0" fontId="1" fillId="0" borderId="0" xfId="0" applyFont="1" applyAlignment="1" applyProtection="1">
      <alignment horizontal="left" vertical="top" wrapText="1"/>
    </xf>
    <xf numFmtId="1" fontId="22" fillId="0" borderId="52" xfId="0" applyNumberFormat="1" applyFont="1" applyBorder="1" applyAlignment="1" applyProtection="1">
      <alignment horizontal="center" vertical="center" wrapText="1"/>
    </xf>
    <xf numFmtId="0" fontId="1" fillId="0" borderId="9" xfId="0" applyFont="1" applyBorder="1" applyAlignment="1" applyProtection="1">
      <alignment vertical="center" wrapText="1"/>
    </xf>
    <xf numFmtId="2" fontId="0" fillId="0" borderId="9" xfId="0" applyNumberFormat="1" applyBorder="1" applyAlignment="1" applyProtection="1">
      <alignment vertical="center" wrapText="1"/>
    </xf>
    <xf numFmtId="1" fontId="0" fillId="0" borderId="9" xfId="0" applyNumberFormat="1" applyBorder="1" applyAlignment="1" applyProtection="1">
      <alignment vertical="center" wrapText="1"/>
    </xf>
    <xf numFmtId="2" fontId="0" fillId="0" borderId="153" xfId="0" applyNumberFormat="1" applyBorder="1" applyAlignment="1" applyProtection="1">
      <alignment vertical="center" wrapText="1"/>
    </xf>
    <xf numFmtId="1" fontId="11" fillId="0" borderId="170" xfId="0" applyNumberFormat="1" applyFont="1" applyBorder="1" applyAlignment="1" applyProtection="1">
      <alignment horizontal="center" vertical="center" wrapText="1"/>
    </xf>
    <xf numFmtId="0" fontId="0" fillId="0" borderId="6" xfId="0" applyBorder="1" applyAlignment="1" applyProtection="1">
      <alignment horizontal="center" vertical="center" wrapText="1"/>
    </xf>
    <xf numFmtId="2" fontId="0" fillId="0" borderId="2" xfId="0" applyNumberFormat="1" applyBorder="1" applyAlignment="1" applyProtection="1">
      <alignment vertical="center" wrapText="1"/>
    </xf>
    <xf numFmtId="1" fontId="11" fillId="0" borderId="171" xfId="0" applyNumberFormat="1" applyFont="1" applyBorder="1" applyAlignment="1" applyProtection="1">
      <alignment horizontal="center" vertical="center" wrapText="1"/>
    </xf>
    <xf numFmtId="0" fontId="2" fillId="2" borderId="16" xfId="0" applyFont="1" applyFill="1" applyBorder="1" applyAlignment="1" applyProtection="1">
      <alignment vertical="center" wrapText="1"/>
    </xf>
    <xf numFmtId="0" fontId="9" fillId="0" borderId="17" xfId="0" applyFont="1" applyBorder="1" applyAlignment="1" applyProtection="1">
      <alignment horizontal="center" vertical="center" wrapText="1"/>
    </xf>
    <xf numFmtId="0" fontId="1" fillId="0" borderId="28" xfId="0" applyFont="1" applyBorder="1" applyAlignment="1" applyProtection="1">
      <alignment horizontal="center" vertical="center" wrapText="1"/>
    </xf>
    <xf numFmtId="2" fontId="25" fillId="0" borderId="52" xfId="0" applyNumberFormat="1" applyFont="1" applyFill="1" applyBorder="1" applyAlignment="1" applyProtection="1">
      <alignment horizontal="center" vertical="center" wrapText="1"/>
    </xf>
    <xf numFmtId="0" fontId="1" fillId="0" borderId="13" xfId="0" applyFont="1" applyBorder="1" applyAlignment="1" applyProtection="1">
      <alignment horizontal="left" vertical="top" wrapText="1"/>
    </xf>
    <xf numFmtId="0" fontId="1" fillId="2" borderId="18" xfId="0" applyFont="1" applyFill="1" applyBorder="1" applyAlignment="1" applyProtection="1">
      <alignment horizontal="center" vertical="center" wrapText="1"/>
    </xf>
    <xf numFmtId="0" fontId="1" fillId="0" borderId="145" xfId="0" applyFont="1" applyBorder="1" applyAlignment="1" applyProtection="1">
      <alignment vertical="center" wrapText="1"/>
    </xf>
    <xf numFmtId="0" fontId="1" fillId="0" borderId="10" xfId="0" applyFont="1" applyBorder="1" applyAlignment="1" applyProtection="1">
      <alignment vertical="center" wrapText="1"/>
    </xf>
    <xf numFmtId="0" fontId="1" fillId="0" borderId="147" xfId="0" applyFont="1" applyBorder="1" applyAlignment="1" applyProtection="1">
      <alignment horizontal="left" vertical="center" wrapText="1"/>
    </xf>
    <xf numFmtId="0" fontId="22" fillId="0" borderId="146" xfId="0" applyFont="1" applyBorder="1" applyAlignment="1" applyProtection="1">
      <alignment horizontal="center" vertical="center" wrapText="1"/>
    </xf>
    <xf numFmtId="1" fontId="25" fillId="0" borderId="14" xfId="0" applyNumberFormat="1" applyFont="1" applyFill="1" applyBorder="1" applyAlignment="1" applyProtection="1">
      <alignment horizontal="center" vertical="center" wrapText="1"/>
    </xf>
    <xf numFmtId="1" fontId="22" fillId="0" borderId="13" xfId="0" applyNumberFormat="1" applyFont="1" applyBorder="1" applyAlignment="1" applyProtection="1">
      <alignment horizontal="center" vertical="center" wrapText="1"/>
    </xf>
    <xf numFmtId="169" fontId="25" fillId="0" borderId="57" xfId="0" applyNumberFormat="1" applyFont="1" applyFill="1" applyBorder="1" applyAlignment="1" applyProtection="1">
      <alignment horizontal="center" vertical="top" wrapText="1"/>
    </xf>
    <xf numFmtId="0" fontId="4" fillId="0" borderId="13" xfId="0" applyFont="1" applyBorder="1" applyAlignment="1" applyProtection="1">
      <alignment horizontal="right" vertical="center" wrapText="1"/>
    </xf>
    <xf numFmtId="9" fontId="0" fillId="0" borderId="0" xfId="1" applyFont="1" applyAlignment="1" applyProtection="1">
      <alignment horizontal="center" vertical="center" wrapText="1"/>
    </xf>
    <xf numFmtId="167" fontId="0" fillId="0" borderId="0" xfId="0" applyNumberFormat="1" applyAlignment="1" applyProtection="1">
      <alignment horizontal="center" vertical="center" wrapText="1"/>
    </xf>
    <xf numFmtId="169" fontId="25" fillId="0" borderId="52" xfId="0" applyNumberFormat="1" applyFont="1" applyFill="1" applyBorder="1" applyAlignment="1" applyProtection="1">
      <alignment horizontal="center" vertical="center" wrapText="1"/>
    </xf>
    <xf numFmtId="169" fontId="25" fillId="6" borderId="57" xfId="0" applyNumberFormat="1" applyFont="1" applyFill="1" applyBorder="1" applyAlignment="1" applyProtection="1">
      <alignment horizontal="center" vertical="center" wrapText="1"/>
    </xf>
    <xf numFmtId="9" fontId="25" fillId="6" borderId="57" xfId="1" applyFont="1" applyFill="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1" fillId="0" borderId="178" xfId="0" applyFont="1" applyBorder="1" applyAlignment="1" applyProtection="1">
      <alignment vertical="center" wrapText="1"/>
    </xf>
    <xf numFmtId="0" fontId="16" fillId="0" borderId="0" xfId="0" applyFont="1" applyAlignment="1" applyProtection="1">
      <alignment horizontal="center" vertical="center" wrapText="1"/>
    </xf>
    <xf numFmtId="167" fontId="16" fillId="0" borderId="0" xfId="0" applyNumberFormat="1" applyFont="1" applyAlignment="1" applyProtection="1">
      <alignment horizontal="center" vertical="center" wrapText="1"/>
    </xf>
    <xf numFmtId="169" fontId="16" fillId="0" borderId="0" xfId="0" applyNumberFormat="1" applyFont="1" applyAlignment="1" applyProtection="1">
      <alignment vertical="center" wrapText="1"/>
    </xf>
    <xf numFmtId="9" fontId="16" fillId="0" borderId="0" xfId="1" applyFont="1" applyAlignment="1" applyProtection="1">
      <alignment horizontal="center" vertical="center" wrapText="1"/>
    </xf>
    <xf numFmtId="169" fontId="16" fillId="0" borderId="0" xfId="0" applyNumberFormat="1" applyFont="1" applyAlignment="1" applyProtection="1">
      <alignment horizontal="center" vertical="center" wrapText="1"/>
    </xf>
    <xf numFmtId="0" fontId="16" fillId="0" borderId="0" xfId="0" applyFont="1" applyAlignment="1" applyProtection="1">
      <alignment horizontal="left" vertical="center" wrapText="1"/>
    </xf>
    <xf numFmtId="167" fontId="16" fillId="0" borderId="0" xfId="0" applyNumberFormat="1" applyFont="1" applyAlignment="1" applyProtection="1">
      <alignment vertical="center" wrapText="1"/>
    </xf>
    <xf numFmtId="9" fontId="16" fillId="0" borderId="0" xfId="1" applyFont="1" applyAlignment="1" applyProtection="1">
      <alignment vertical="center" wrapText="1"/>
    </xf>
    <xf numFmtId="0" fontId="24" fillId="0" borderId="84" xfId="0" applyFont="1" applyBorder="1" applyAlignment="1" applyProtection="1">
      <alignment vertical="center" wrapText="1"/>
    </xf>
    <xf numFmtId="0" fontId="24" fillId="0" borderId="109" xfId="0" applyFont="1" applyBorder="1" applyAlignment="1" applyProtection="1">
      <alignment vertical="center" wrapText="1"/>
    </xf>
    <xf numFmtId="0" fontId="24" fillId="0" borderId="110" xfId="0" applyFont="1" applyBorder="1" applyAlignment="1" applyProtection="1">
      <alignment horizontal="center" vertical="center" wrapText="1"/>
    </xf>
    <xf numFmtId="167" fontId="24" fillId="0" borderId="110" xfId="0" applyNumberFormat="1" applyFont="1" applyBorder="1" applyAlignment="1" applyProtection="1">
      <alignment horizontal="center" vertical="center" wrapText="1"/>
    </xf>
    <xf numFmtId="169" fontId="24" fillId="0" borderId="110" xfId="0" applyNumberFormat="1" applyFont="1" applyBorder="1" applyAlignment="1" applyProtection="1">
      <alignment horizontal="center" vertical="center" wrapText="1"/>
    </xf>
    <xf numFmtId="0" fontId="24" fillId="0" borderId="38" xfId="0" applyFont="1" applyBorder="1" applyAlignment="1" applyProtection="1">
      <alignment vertical="center" wrapText="1"/>
    </xf>
    <xf numFmtId="169" fontId="24" fillId="0" borderId="112" xfId="0" applyNumberFormat="1" applyFont="1" applyBorder="1" applyAlignment="1" applyProtection="1">
      <alignment horizontal="center" vertical="center" wrapText="1"/>
    </xf>
    <xf numFmtId="0" fontId="24" fillId="0" borderId="143" xfId="0" applyFont="1" applyBorder="1" applyAlignment="1" applyProtection="1">
      <alignment horizontal="left" vertical="center" wrapText="1"/>
    </xf>
    <xf numFmtId="167" fontId="24" fillId="0" borderId="29" xfId="0" applyNumberFormat="1" applyFont="1" applyBorder="1" applyAlignment="1" applyProtection="1">
      <alignment horizontal="center" vertical="center" wrapText="1"/>
    </xf>
    <xf numFmtId="9" fontId="24" fillId="0" borderId="29" xfId="1" applyFont="1" applyBorder="1" applyAlignment="1" applyProtection="1">
      <alignment horizontal="center" vertical="center" wrapText="1"/>
    </xf>
    <xf numFmtId="169" fontId="24" fillId="0" borderId="54" xfId="0" applyNumberFormat="1" applyFont="1" applyBorder="1" applyAlignment="1" applyProtection="1">
      <alignment horizontal="center" vertical="center" wrapText="1"/>
    </xf>
    <xf numFmtId="2" fontId="8" fillId="0" borderId="111" xfId="0" applyNumberFormat="1" applyFont="1" applyFill="1" applyBorder="1" applyAlignment="1" applyProtection="1">
      <alignment horizontal="center" vertical="center" wrapText="1"/>
    </xf>
    <xf numFmtId="169" fontId="8" fillId="0" borderId="111" xfId="0" applyNumberFormat="1" applyFont="1" applyFill="1" applyBorder="1" applyAlignment="1" applyProtection="1">
      <alignment horizontal="center" vertical="center" wrapText="1"/>
    </xf>
    <xf numFmtId="169" fontId="0" fillId="0" borderId="111" xfId="0" applyNumberFormat="1" applyFill="1" applyBorder="1" applyAlignment="1" applyProtection="1">
      <alignment horizontal="center" vertical="center" wrapText="1"/>
    </xf>
    <xf numFmtId="0" fontId="0" fillId="0" borderId="9" xfId="0" applyBorder="1" applyAlignment="1" applyProtection="1">
      <alignment horizontal="left" vertical="center" wrapText="1"/>
    </xf>
    <xf numFmtId="169" fontId="0" fillId="0" borderId="111" xfId="1" applyNumberFormat="1" applyFont="1" applyFill="1" applyBorder="1" applyAlignment="1" applyProtection="1">
      <alignment horizontal="center" vertical="center" wrapText="1"/>
    </xf>
    <xf numFmtId="0" fontId="77" fillId="0" borderId="9" xfId="0" applyFont="1" applyBorder="1" applyAlignment="1" applyProtection="1">
      <alignment horizontal="left" vertical="center" wrapText="1"/>
    </xf>
    <xf numFmtId="0" fontId="0" fillId="0" borderId="9" xfId="0" applyBorder="1" applyAlignment="1" applyProtection="1">
      <alignment horizontal="center" vertical="center"/>
    </xf>
    <xf numFmtId="169" fontId="22" fillId="0" borderId="13" xfId="0" applyNumberFormat="1" applyFont="1" applyBorder="1" applyAlignment="1" applyProtection="1">
      <alignment horizontal="center" vertical="center" wrapText="1"/>
    </xf>
    <xf numFmtId="169" fontId="0" fillId="0" borderId="52" xfId="0" applyNumberFormat="1" applyFill="1" applyBorder="1" applyAlignment="1" applyProtection="1">
      <alignment horizontal="center" vertical="center" wrapText="1"/>
    </xf>
    <xf numFmtId="0" fontId="0" fillId="0" borderId="2" xfId="0" applyBorder="1" applyAlignment="1" applyProtection="1">
      <alignment vertical="center" wrapText="1"/>
    </xf>
    <xf numFmtId="169" fontId="0" fillId="0" borderId="0" xfId="0" applyNumberFormat="1" applyBorder="1" applyAlignment="1" applyProtection="1">
      <alignment vertical="center" wrapText="1"/>
    </xf>
    <xf numFmtId="169" fontId="0" fillId="0" borderId="0" xfId="0" applyNumberForma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8" fillId="2" borderId="13" xfId="0" applyFont="1" applyFill="1" applyBorder="1" applyAlignment="1" applyProtection="1">
      <alignment horizontal="left" vertical="center" wrapText="1"/>
    </xf>
    <xf numFmtId="9" fontId="2" fillId="0" borderId="0" xfId="1" applyFont="1" applyAlignment="1" applyProtection="1">
      <alignment horizontal="left" vertical="center"/>
    </xf>
    <xf numFmtId="169" fontId="24" fillId="0" borderId="0" xfId="0" applyNumberFormat="1" applyFont="1" applyAlignment="1" applyProtection="1">
      <alignment horizontal="left" vertical="center"/>
    </xf>
    <xf numFmtId="169" fontId="11" fillId="0" borderId="85" xfId="0" applyNumberFormat="1" applyFont="1" applyFill="1" applyBorder="1" applyAlignment="1" applyProtection="1">
      <alignment horizontal="center" vertical="center" wrapText="1"/>
    </xf>
    <xf numFmtId="0" fontId="0" fillId="2" borderId="7" xfId="0" applyFill="1" applyBorder="1" applyAlignment="1" applyProtection="1">
      <alignment horizontal="center" vertical="center" wrapText="1"/>
    </xf>
    <xf numFmtId="0" fontId="1" fillId="0" borderId="37" xfId="0" applyFont="1" applyBorder="1" applyAlignment="1" applyProtection="1">
      <alignment vertical="center" wrapText="1"/>
    </xf>
    <xf numFmtId="0" fontId="0" fillId="0" borderId="7" xfId="0" applyBorder="1" applyAlignment="1" applyProtection="1">
      <alignment vertical="center" wrapText="1"/>
    </xf>
    <xf numFmtId="0" fontId="1" fillId="0" borderId="7" xfId="0" applyFont="1" applyBorder="1" applyAlignment="1" applyProtection="1">
      <alignment vertical="center" wrapText="1"/>
    </xf>
    <xf numFmtId="0" fontId="22" fillId="0" borderId="37" xfId="0" applyFont="1" applyBorder="1" applyAlignment="1" applyProtection="1">
      <alignment vertical="center" wrapText="1"/>
    </xf>
    <xf numFmtId="0" fontId="0" fillId="2" borderId="0" xfId="0" applyFill="1" applyBorder="1" applyAlignment="1" applyProtection="1">
      <alignment horizontal="center" vertical="center" wrapText="1"/>
    </xf>
    <xf numFmtId="0" fontId="1" fillId="0" borderId="172" xfId="0" applyFont="1" applyBorder="1" applyAlignment="1" applyProtection="1">
      <alignment vertical="center" wrapText="1"/>
    </xf>
    <xf numFmtId="0" fontId="8" fillId="2" borderId="0" xfId="0" applyFont="1" applyFill="1" applyBorder="1" applyAlignment="1" applyProtection="1">
      <alignment horizontal="left" vertical="center" wrapText="1"/>
    </xf>
    <xf numFmtId="167" fontId="0" fillId="0" borderId="0" xfId="0" applyNumberFormat="1" applyAlignment="1" applyProtection="1">
      <alignment vertical="center" wrapText="1"/>
    </xf>
    <xf numFmtId="2" fontId="24" fillId="0" borderId="0" xfId="0" applyNumberFormat="1" applyFont="1" applyAlignment="1" applyProtection="1">
      <alignment horizontal="left" vertical="center"/>
    </xf>
    <xf numFmtId="0" fontId="22" fillId="0" borderId="13" xfId="0" applyFont="1" applyBorder="1" applyAlignment="1" applyProtection="1">
      <alignment vertical="center" wrapText="1"/>
    </xf>
    <xf numFmtId="0" fontId="24" fillId="0" borderId="0" xfId="0" applyFont="1" applyBorder="1" applyAlignment="1" applyProtection="1">
      <alignment horizontal="center" vertical="center" wrapText="1"/>
    </xf>
    <xf numFmtId="168" fontId="22" fillId="0" borderId="0" xfId="0" applyNumberFormat="1" applyFont="1" applyFill="1" applyBorder="1" applyAlignment="1" applyProtection="1">
      <alignment horizontal="center" vertical="center" wrapText="1"/>
    </xf>
    <xf numFmtId="0" fontId="2" fillId="2" borderId="0" xfId="0" applyFont="1" applyFill="1" applyBorder="1" applyAlignment="1" applyProtection="1">
      <alignment vertical="center" wrapText="1"/>
    </xf>
    <xf numFmtId="1" fontId="25" fillId="0" borderId="57" xfId="0" applyNumberFormat="1" applyFont="1" applyFill="1" applyBorder="1" applyAlignment="1" applyProtection="1">
      <alignment horizontal="center" vertical="center" wrapText="1"/>
    </xf>
    <xf numFmtId="0" fontId="0" fillId="2" borderId="2" xfId="0" applyFill="1" applyBorder="1" applyAlignment="1" applyProtection="1">
      <alignment horizontal="center" vertical="center" wrapText="1"/>
    </xf>
    <xf numFmtId="0" fontId="24" fillId="0" borderId="18" xfId="0" applyFont="1" applyBorder="1" applyAlignment="1" applyProtection="1">
      <alignment vertical="center" wrapText="1"/>
    </xf>
    <xf numFmtId="0" fontId="1" fillId="0" borderId="2" xfId="0" applyFont="1" applyBorder="1" applyAlignment="1" applyProtection="1">
      <alignment vertical="center" wrapText="1"/>
    </xf>
    <xf numFmtId="0" fontId="0" fillId="0" borderId="18" xfId="0" applyBorder="1" applyAlignment="1" applyProtection="1">
      <alignment vertical="center" wrapText="1"/>
    </xf>
    <xf numFmtId="0" fontId="22" fillId="0" borderId="0" xfId="0" applyFont="1" applyAlignment="1" applyProtection="1">
      <alignment vertical="top" wrapText="1"/>
    </xf>
    <xf numFmtId="0" fontId="24" fillId="0" borderId="38" xfId="0" applyFont="1" applyBorder="1" applyAlignment="1" applyProtection="1">
      <alignment horizontal="center" vertical="top" wrapText="1"/>
    </xf>
    <xf numFmtId="1" fontId="1" fillId="0" borderId="9" xfId="0" applyNumberFormat="1"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168" fontId="1" fillId="0" borderId="9" xfId="0" applyNumberFormat="1" applyFont="1" applyBorder="1" applyAlignment="1" applyProtection="1">
      <alignment horizontal="center" vertical="center" wrapText="1"/>
    </xf>
    <xf numFmtId="169" fontId="25" fillId="0" borderId="9" xfId="0" applyNumberFormat="1" applyFont="1" applyFill="1" applyBorder="1" applyAlignment="1" applyProtection="1">
      <alignment horizontal="center" vertical="center" wrapText="1"/>
    </xf>
    <xf numFmtId="169" fontId="11" fillId="0" borderId="52" xfId="0" applyNumberFormat="1" applyFont="1" applyBorder="1" applyAlignment="1" applyProtection="1">
      <alignment horizontal="center" vertical="top" wrapText="1"/>
    </xf>
    <xf numFmtId="0" fontId="14" fillId="2" borderId="26" xfId="0" applyFont="1" applyFill="1" applyBorder="1" applyAlignment="1" applyProtection="1">
      <alignment horizontal="left" vertical="top" wrapText="1"/>
    </xf>
    <xf numFmtId="169" fontId="25" fillId="0" borderId="23" xfId="0" applyNumberFormat="1" applyFont="1" applyFill="1" applyBorder="1" applyAlignment="1" applyProtection="1">
      <alignment horizontal="center" vertical="center" wrapText="1"/>
    </xf>
    <xf numFmtId="0" fontId="22" fillId="0" borderId="18" xfId="0" applyFont="1" applyBorder="1" applyAlignment="1" applyProtection="1">
      <alignment horizontal="center" vertical="center" wrapText="1"/>
    </xf>
    <xf numFmtId="0" fontId="1" fillId="0" borderId="13" xfId="0" applyFont="1" applyBorder="1" applyAlignment="1" applyProtection="1">
      <alignment horizontal="center" vertical="center" wrapText="1"/>
    </xf>
    <xf numFmtId="165" fontId="0" fillId="0" borderId="0" xfId="1" applyNumberFormat="1" applyFont="1" applyAlignment="1" applyProtection="1">
      <alignment vertical="center" wrapText="1"/>
    </xf>
    <xf numFmtId="0" fontId="16" fillId="0" borderId="2" xfId="0" applyFont="1" applyBorder="1" applyAlignment="1" applyProtection="1">
      <alignment vertical="center" wrapText="1"/>
    </xf>
    <xf numFmtId="0" fontId="53" fillId="20" borderId="0" xfId="0" applyFont="1" applyFill="1" applyBorder="1" applyAlignment="1" applyProtection="1">
      <alignment horizontal="left" vertical="center" wrapText="1"/>
    </xf>
    <xf numFmtId="0" fontId="53" fillId="20" borderId="136" xfId="0" applyFont="1" applyFill="1" applyBorder="1" applyAlignment="1" applyProtection="1">
      <alignment horizontal="center" vertical="center" wrapText="1"/>
    </xf>
    <xf numFmtId="0" fontId="53" fillId="20" borderId="115" xfId="0" applyFont="1" applyFill="1" applyBorder="1" applyAlignment="1" applyProtection="1">
      <alignment horizontal="center" vertical="center" wrapText="1"/>
    </xf>
    <xf numFmtId="0" fontId="53" fillId="20" borderId="116" xfId="0" applyFont="1" applyFill="1" applyBorder="1" applyAlignment="1" applyProtection="1">
      <alignment horizontal="center" vertical="center" wrapText="1"/>
    </xf>
    <xf numFmtId="0" fontId="53" fillId="20" borderId="113" xfId="0" applyFont="1" applyFill="1" applyBorder="1" applyAlignment="1" applyProtection="1">
      <alignment horizontal="left" vertical="center" wrapText="1"/>
    </xf>
    <xf numFmtId="0" fontId="53" fillId="20" borderId="114" xfId="0" applyFont="1" applyFill="1" applyBorder="1" applyAlignment="1" applyProtection="1">
      <alignment horizontal="left" vertical="center" wrapText="1"/>
    </xf>
    <xf numFmtId="0" fontId="53" fillId="20" borderId="138" xfId="0" applyFont="1" applyFill="1" applyBorder="1" applyAlignment="1" applyProtection="1">
      <alignment horizontal="center" vertical="center" wrapText="1"/>
    </xf>
    <xf numFmtId="0" fontId="53" fillId="20" borderId="0" xfId="0" applyFont="1" applyFill="1" applyBorder="1" applyAlignment="1" applyProtection="1">
      <alignment horizontal="center" vertical="center" wrapText="1"/>
    </xf>
    <xf numFmtId="0" fontId="53" fillId="20" borderId="139" xfId="0" applyFont="1" applyFill="1" applyBorder="1" applyAlignment="1" applyProtection="1">
      <alignment horizontal="center" vertical="center" wrapText="1"/>
    </xf>
    <xf numFmtId="0" fontId="53" fillId="20" borderId="140" xfId="0" applyFont="1" applyFill="1" applyBorder="1" applyAlignment="1" applyProtection="1">
      <alignment horizontal="center" vertical="center" wrapText="1"/>
    </xf>
    <xf numFmtId="0" fontId="53" fillId="20" borderId="141" xfId="0" applyFont="1" applyFill="1" applyBorder="1" applyAlignment="1" applyProtection="1">
      <alignment horizontal="center" vertical="center" wrapText="1"/>
    </xf>
    <xf numFmtId="0" fontId="53" fillId="20" borderId="118" xfId="0" applyFont="1" applyFill="1" applyBorder="1" applyAlignment="1" applyProtection="1">
      <alignment horizontal="left" vertical="center" wrapText="1"/>
    </xf>
    <xf numFmtId="17" fontId="53" fillId="20" borderId="132" xfId="0" applyNumberFormat="1" applyFont="1" applyFill="1" applyBorder="1" applyAlignment="1" applyProtection="1">
      <alignment horizontal="center" vertical="center" wrapText="1"/>
    </xf>
    <xf numFmtId="0" fontId="53" fillId="20" borderId="132" xfId="0" applyFont="1" applyFill="1" applyBorder="1" applyAlignment="1" applyProtection="1">
      <alignment horizontal="center" vertical="center" wrapText="1"/>
    </xf>
    <xf numFmtId="16" fontId="53" fillId="20" borderId="133" xfId="0" applyNumberFormat="1" applyFont="1" applyFill="1" applyBorder="1" applyAlignment="1" applyProtection="1">
      <alignment horizontal="center" vertical="center" wrapText="1"/>
    </xf>
    <xf numFmtId="17" fontId="53" fillId="20" borderId="119" xfId="0" applyNumberFormat="1" applyFont="1" applyFill="1" applyBorder="1" applyAlignment="1" applyProtection="1">
      <alignment horizontal="center" vertical="center" wrapText="1"/>
    </xf>
    <xf numFmtId="0" fontId="53" fillId="20" borderId="119" xfId="0" applyFont="1" applyFill="1" applyBorder="1" applyAlignment="1" applyProtection="1">
      <alignment horizontal="center" vertical="center" wrapText="1"/>
    </xf>
    <xf numFmtId="16" fontId="53" fillId="20" borderId="120" xfId="0" applyNumberFormat="1" applyFont="1" applyFill="1" applyBorder="1" applyAlignment="1" applyProtection="1">
      <alignment horizontal="center" vertical="center" wrapText="1"/>
    </xf>
    <xf numFmtId="0" fontId="54" fillId="20" borderId="121" xfId="0" applyFont="1" applyFill="1" applyBorder="1" applyAlignment="1" applyProtection="1">
      <alignment vertical="center" wrapText="1"/>
    </xf>
    <xf numFmtId="0" fontId="54" fillId="20" borderId="129" xfId="0" applyFont="1" applyFill="1" applyBorder="1" applyAlignment="1" applyProtection="1">
      <alignment vertical="center" wrapText="1"/>
    </xf>
    <xf numFmtId="0" fontId="54" fillId="20" borderId="122" xfId="0" applyFont="1" applyFill="1" applyBorder="1" applyAlignment="1" applyProtection="1">
      <alignment horizontal="left" vertical="center" wrapText="1"/>
    </xf>
    <xf numFmtId="0" fontId="54" fillId="20" borderId="119" xfId="0" applyFont="1" applyFill="1" applyBorder="1" applyAlignment="1" applyProtection="1">
      <alignment horizontal="center" vertical="center" wrapText="1"/>
    </xf>
    <xf numFmtId="0" fontId="54" fillId="20" borderId="120" xfId="0" applyFont="1" applyFill="1" applyBorder="1" applyAlignment="1" applyProtection="1">
      <alignment horizontal="center" vertical="center" wrapText="1"/>
    </xf>
    <xf numFmtId="0" fontId="54" fillId="21" borderId="121" xfId="0" applyFont="1" applyFill="1" applyBorder="1" applyAlignment="1" applyProtection="1">
      <alignment vertical="center" wrapText="1"/>
    </xf>
    <xf numFmtId="0" fontId="54" fillId="21" borderId="130" xfId="0" applyFont="1" applyFill="1" applyBorder="1" applyAlignment="1" applyProtection="1">
      <alignment horizontal="left" vertical="center" wrapText="1"/>
    </xf>
    <xf numFmtId="0" fontId="54" fillId="21" borderId="119" xfId="0" applyFont="1" applyFill="1" applyBorder="1" applyAlignment="1" applyProtection="1">
      <alignment horizontal="left" vertical="center" wrapText="1"/>
    </xf>
    <xf numFmtId="0" fontId="54" fillId="21" borderId="119" xfId="0" applyFont="1" applyFill="1" applyBorder="1" applyAlignment="1" applyProtection="1">
      <alignment horizontal="center" vertical="center" wrapText="1"/>
    </xf>
    <xf numFmtId="0" fontId="54" fillId="21" borderId="120" xfId="0" applyFont="1" applyFill="1" applyBorder="1" applyAlignment="1" applyProtection="1">
      <alignment horizontal="center" vertical="center" wrapText="1"/>
    </xf>
    <xf numFmtId="9" fontId="0" fillId="0" borderId="0" xfId="0" applyNumberFormat="1" applyAlignment="1" applyProtection="1">
      <alignment vertical="center" wrapText="1"/>
    </xf>
    <xf numFmtId="0" fontId="54" fillId="21" borderId="123" xfId="0" applyFont="1" applyFill="1" applyBorder="1" applyAlignment="1" applyProtection="1">
      <alignment vertical="center" wrapText="1"/>
    </xf>
    <xf numFmtId="0" fontId="54" fillId="21" borderId="131" xfId="0" applyFont="1" applyFill="1" applyBorder="1" applyAlignment="1" applyProtection="1">
      <alignment vertical="center" wrapText="1"/>
    </xf>
    <xf numFmtId="0" fontId="54" fillId="21" borderId="124" xfId="0" applyFont="1" applyFill="1" applyBorder="1" applyAlignment="1" applyProtection="1">
      <alignment horizontal="left" vertical="center" wrapText="1"/>
    </xf>
    <xf numFmtId="0" fontId="54" fillId="21" borderId="125" xfId="0" applyFont="1" applyFill="1" applyBorder="1" applyAlignment="1" applyProtection="1">
      <alignment horizontal="center" vertical="center" wrapText="1"/>
    </xf>
    <xf numFmtId="0" fontId="54" fillId="21" borderId="126" xfId="0" applyFont="1" applyFill="1" applyBorder="1" applyAlignment="1" applyProtection="1">
      <alignment horizontal="center" vertical="center" wrapText="1"/>
    </xf>
    <xf numFmtId="0" fontId="11" fillId="0" borderId="85" xfId="0" applyFont="1" applyBorder="1" applyAlignment="1" applyProtection="1">
      <alignment horizontal="center" vertical="center" wrapText="1"/>
    </xf>
    <xf numFmtId="169" fontId="9" fillId="0" borderId="86" xfId="0" applyNumberFormat="1" applyFont="1" applyBorder="1" applyAlignment="1" applyProtection="1">
      <alignment horizontal="center" vertical="center" wrapText="1"/>
    </xf>
    <xf numFmtId="0" fontId="1" fillId="0" borderId="185" xfId="0" applyFont="1" applyBorder="1" applyAlignment="1" applyProtection="1">
      <alignment horizontal="center" vertical="center" wrapText="1"/>
    </xf>
    <xf numFmtId="0" fontId="0" fillId="0" borderId="2" xfId="0" applyFont="1" applyBorder="1" applyAlignment="1" applyProtection="1">
      <alignment horizontal="left" vertical="center" wrapText="1"/>
    </xf>
    <xf numFmtId="169" fontId="9" fillId="0" borderId="107" xfId="0" applyNumberFormat="1" applyFont="1" applyBorder="1" applyAlignment="1" applyProtection="1">
      <alignment horizontal="center" vertical="center" wrapText="1"/>
    </xf>
    <xf numFmtId="0" fontId="1" fillId="0" borderId="13" xfId="0" applyNumberFormat="1" applyFont="1" applyBorder="1" applyAlignment="1" applyProtection="1">
      <alignment horizontal="left" vertical="center" wrapText="1"/>
    </xf>
    <xf numFmtId="169" fontId="0" fillId="2" borderId="16" xfId="0" applyNumberFormat="1" applyFill="1" applyBorder="1" applyAlignment="1" applyProtection="1">
      <alignment horizontal="center" vertical="center" wrapText="1"/>
    </xf>
    <xf numFmtId="0" fontId="14" fillId="2" borderId="18" xfId="0" applyFont="1" applyFill="1" applyBorder="1" applyAlignment="1" applyProtection="1">
      <alignment vertical="center" wrapText="1"/>
    </xf>
    <xf numFmtId="0" fontId="14" fillId="2" borderId="0" xfId="0" applyFont="1" applyFill="1" applyAlignment="1" applyProtection="1">
      <alignment horizontal="center" vertical="center" wrapText="1"/>
    </xf>
    <xf numFmtId="0" fontId="16" fillId="0" borderId="16" xfId="0" applyFont="1" applyBorder="1" applyAlignment="1" applyProtection="1">
      <alignment vertical="center" wrapText="1"/>
    </xf>
    <xf numFmtId="0" fontId="7" fillId="2" borderId="0" xfId="0" applyFont="1" applyFill="1" applyAlignment="1" applyProtection="1">
      <alignment horizontal="center" vertical="center" wrapText="1"/>
    </xf>
    <xf numFmtId="0" fontId="12" fillId="0" borderId="0" xfId="0" applyFont="1" applyAlignment="1" applyProtection="1">
      <alignment vertical="center" wrapText="1"/>
    </xf>
    <xf numFmtId="169" fontId="22" fillId="0" borderId="14" xfId="0" applyNumberFormat="1" applyFont="1" applyBorder="1" applyAlignment="1" applyProtection="1">
      <alignment horizontal="center" vertical="top" wrapText="1"/>
    </xf>
    <xf numFmtId="169" fontId="0" fillId="0" borderId="56" xfId="0" applyNumberFormat="1" applyBorder="1" applyAlignment="1" applyProtection="1">
      <alignment vertical="center" wrapText="1"/>
    </xf>
    <xf numFmtId="169" fontId="0" fillId="0" borderId="9" xfId="0" applyNumberFormat="1" applyBorder="1" applyAlignment="1" applyProtection="1">
      <alignment vertical="center" wrapText="1"/>
    </xf>
    <xf numFmtId="169" fontId="90" fillId="0" borderId="16" xfId="0" applyNumberFormat="1" applyFont="1" applyBorder="1" applyAlignment="1" applyProtection="1">
      <alignment horizontal="center" vertical="center" wrapText="1"/>
    </xf>
    <xf numFmtId="0" fontId="13" fillId="0" borderId="0" xfId="2" applyFont="1" applyBorder="1" applyProtection="1"/>
    <xf numFmtId="49" fontId="1" fillId="0" borderId="39" xfId="2" applyNumberFormat="1" applyFont="1" applyBorder="1" applyAlignment="1" applyProtection="1">
      <alignment vertical="top" wrapText="1"/>
    </xf>
    <xf numFmtId="49" fontId="1" fillId="0" borderId="40" xfId="2" applyNumberFormat="1" applyFont="1" applyBorder="1" applyAlignment="1" applyProtection="1">
      <alignment vertical="top" wrapText="1"/>
    </xf>
    <xf numFmtId="0" fontId="2" fillId="0" borderId="41" xfId="2" applyFont="1" applyBorder="1" applyAlignment="1" applyProtection="1">
      <alignment horizontal="justify" vertical="top" wrapText="1"/>
    </xf>
    <xf numFmtId="0" fontId="13" fillId="0" borderId="31" xfId="2" applyFont="1" applyBorder="1" applyAlignment="1" applyProtection="1">
      <alignment horizontal="center"/>
    </xf>
    <xf numFmtId="0" fontId="13" fillId="0" borderId="0" xfId="2" applyFont="1" applyBorder="1" applyAlignment="1" applyProtection="1">
      <alignment horizontal="center"/>
    </xf>
    <xf numFmtId="2" fontId="13" fillId="0" borderId="0" xfId="2" applyNumberFormat="1" applyFont="1" applyProtection="1"/>
    <xf numFmtId="49" fontId="1" fillId="0" borderId="42" xfId="2" applyNumberFormat="1" applyFont="1" applyBorder="1" applyAlignment="1" applyProtection="1">
      <alignment vertical="top"/>
    </xf>
    <xf numFmtId="49" fontId="1" fillId="0" borderId="42" xfId="2" applyNumberFormat="1" applyFont="1" applyBorder="1" applyAlignment="1" applyProtection="1">
      <alignment vertical="top" wrapText="1"/>
    </xf>
    <xf numFmtId="0" fontId="1" fillId="0" borderId="43" xfId="2" applyFont="1" applyBorder="1" applyAlignment="1" applyProtection="1">
      <alignment horizontal="justify" vertical="top" wrapText="1"/>
    </xf>
    <xf numFmtId="0" fontId="4" fillId="0" borderId="16" xfId="2" applyFont="1" applyBorder="1" applyAlignment="1" applyProtection="1">
      <alignment horizontal="justify" vertical="top" wrapText="1"/>
    </xf>
    <xf numFmtId="49" fontId="1" fillId="0" borderId="44" xfId="2" applyNumberFormat="1" applyFont="1" applyBorder="1" applyAlignment="1" applyProtection="1">
      <alignment vertical="top"/>
    </xf>
    <xf numFmtId="49" fontId="1" fillId="0" borderId="13" xfId="2" applyNumberFormat="1" applyFont="1" applyBorder="1" applyAlignment="1" applyProtection="1">
      <alignment vertical="top" wrapText="1"/>
    </xf>
    <xf numFmtId="0" fontId="1" fillId="0" borderId="31" xfId="2" applyFont="1" applyBorder="1" applyAlignment="1" applyProtection="1">
      <alignment horizontal="justify" vertical="top" wrapText="1"/>
    </xf>
    <xf numFmtId="167" fontId="1" fillId="0" borderId="31" xfId="2" applyNumberFormat="1" applyFont="1" applyFill="1" applyBorder="1" applyAlignment="1" applyProtection="1">
      <alignment horizontal="center" vertical="top" wrapText="1"/>
    </xf>
    <xf numFmtId="167" fontId="1" fillId="0" borderId="0" xfId="2" applyNumberFormat="1" applyFont="1" applyFill="1" applyBorder="1" applyAlignment="1" applyProtection="1">
      <alignment horizontal="center" vertical="top" wrapText="1"/>
    </xf>
    <xf numFmtId="2" fontId="1" fillId="0" borderId="0" xfId="2" applyNumberFormat="1" applyFont="1" applyFill="1" applyBorder="1" applyAlignment="1" applyProtection="1">
      <alignment horizontal="justify" vertical="top" wrapText="1"/>
    </xf>
    <xf numFmtId="167" fontId="1" fillId="0" borderId="0" xfId="2" applyNumberFormat="1" applyFont="1" applyFill="1" applyBorder="1" applyAlignment="1" applyProtection="1">
      <alignment horizontal="justify" vertical="top" wrapText="1"/>
    </xf>
    <xf numFmtId="0" fontId="13" fillId="0" borderId="31" xfId="2" applyFont="1" applyBorder="1" applyAlignment="1" applyProtection="1">
      <alignment horizontal="justify" vertical="top" wrapText="1"/>
    </xf>
    <xf numFmtId="2" fontId="13" fillId="0" borderId="16" xfId="2" applyNumberFormat="1" applyFont="1" applyBorder="1" applyAlignment="1" applyProtection="1">
      <alignment horizontal="center" vertical="top" wrapText="1"/>
    </xf>
    <xf numFmtId="2" fontId="13" fillId="0" borderId="38" xfId="2" applyNumberFormat="1" applyFont="1" applyBorder="1" applyAlignment="1" applyProtection="1">
      <alignment horizontal="center" vertical="top" wrapText="1"/>
    </xf>
    <xf numFmtId="0" fontId="4" fillId="0" borderId="31" xfId="2" applyFont="1" applyBorder="1" applyAlignment="1" applyProtection="1">
      <alignment horizontal="justify" vertical="top" wrapText="1"/>
    </xf>
    <xf numFmtId="2" fontId="4" fillId="0" borderId="38" xfId="2" applyNumberFormat="1" applyFont="1" applyBorder="1" applyAlignment="1" applyProtection="1">
      <alignment horizontal="center" vertical="top" wrapText="1"/>
    </xf>
    <xf numFmtId="0" fontId="11" fillId="0" borderId="45" xfId="2" applyFont="1" applyBorder="1" applyAlignment="1" applyProtection="1">
      <alignment horizontal="center" vertical="top" wrapText="1"/>
    </xf>
    <xf numFmtId="2" fontId="11" fillId="0" borderId="42" xfId="2" applyNumberFormat="1" applyFont="1" applyBorder="1" applyAlignment="1" applyProtection="1">
      <alignment horizontal="center" vertical="top" wrapText="1"/>
    </xf>
    <xf numFmtId="49" fontId="27" fillId="3" borderId="19" xfId="2" applyNumberFormat="1" applyFont="1" applyFill="1" applyBorder="1" applyAlignment="1" applyProtection="1">
      <alignment vertical="top"/>
    </xf>
    <xf numFmtId="49" fontId="1" fillId="3" borderId="18" xfId="2" applyNumberFormat="1" applyFont="1" applyFill="1" applyBorder="1" applyAlignment="1" applyProtection="1">
      <alignment vertical="top"/>
    </xf>
    <xf numFmtId="0" fontId="1" fillId="3" borderId="6" xfId="2" applyFont="1" applyFill="1" applyBorder="1" applyAlignment="1" applyProtection="1">
      <alignment vertical="top" wrapText="1"/>
    </xf>
    <xf numFmtId="0" fontId="13" fillId="7" borderId="31" xfId="2" applyFont="1" applyFill="1" applyBorder="1" applyAlignment="1" applyProtection="1">
      <alignment horizontal="center"/>
    </xf>
    <xf numFmtId="0" fontId="13" fillId="7" borderId="0" xfId="2" applyFont="1" applyFill="1" applyBorder="1" applyAlignment="1" applyProtection="1">
      <alignment horizontal="center"/>
    </xf>
    <xf numFmtId="0" fontId="13" fillId="7" borderId="0" xfId="2" applyFont="1" applyFill="1" applyAlignment="1" applyProtection="1">
      <alignment horizontal="center"/>
    </xf>
    <xf numFmtId="49" fontId="27" fillId="0" borderId="19" xfId="2" applyNumberFormat="1" applyFont="1" applyBorder="1" applyAlignment="1" applyProtection="1">
      <alignment vertical="top"/>
    </xf>
    <xf numFmtId="49" fontId="27" fillId="0" borderId="18" xfId="2" applyNumberFormat="1" applyFont="1" applyBorder="1" applyAlignment="1" applyProtection="1">
      <alignment vertical="top"/>
    </xf>
    <xf numFmtId="0" fontId="13" fillId="0" borderId="2" xfId="2" applyFont="1" applyBorder="1" applyAlignment="1" applyProtection="1">
      <alignment vertical="top" wrapText="1"/>
    </xf>
    <xf numFmtId="0" fontId="1" fillId="3" borderId="3" xfId="2" applyFont="1" applyFill="1" applyBorder="1" applyAlignment="1" applyProtection="1">
      <alignment vertical="top" wrapText="1"/>
    </xf>
    <xf numFmtId="49" fontId="27" fillId="0" borderId="38" xfId="2" applyNumberFormat="1" applyFont="1" applyBorder="1" applyAlignment="1" applyProtection="1">
      <alignment vertical="top"/>
    </xf>
    <xf numFmtId="0" fontId="27" fillId="0" borderId="16" xfId="2" applyFont="1" applyBorder="1" applyAlignment="1" applyProtection="1">
      <alignment vertical="center"/>
    </xf>
    <xf numFmtId="0" fontId="13" fillId="0" borderId="5" xfId="2" applyFont="1" applyBorder="1" applyAlignment="1" applyProtection="1">
      <alignment vertical="center" wrapText="1"/>
    </xf>
    <xf numFmtId="0" fontId="27" fillId="0" borderId="19" xfId="2" applyFont="1" applyBorder="1" applyAlignment="1" applyProtection="1">
      <alignment vertical="center"/>
    </xf>
    <xf numFmtId="0" fontId="13" fillId="0" borderId="2" xfId="2" applyFont="1" applyBorder="1" applyAlignment="1" applyProtection="1">
      <alignment vertical="center" wrapText="1"/>
    </xf>
    <xf numFmtId="0" fontId="27" fillId="0" borderId="2" xfId="2" applyFont="1" applyBorder="1" applyAlignment="1" applyProtection="1">
      <alignment horizontal="justify"/>
    </xf>
    <xf numFmtId="0" fontId="13" fillId="0" borderId="31" xfId="2" applyFont="1" applyBorder="1" applyProtection="1"/>
    <xf numFmtId="49" fontId="1" fillId="8" borderId="19" xfId="2" applyNumberFormat="1" applyFont="1" applyFill="1" applyBorder="1" applyAlignment="1" applyProtection="1">
      <alignment vertical="top"/>
    </xf>
    <xf numFmtId="49" fontId="1" fillId="8" borderId="18" xfId="2" applyNumberFormat="1" applyFont="1" applyFill="1" applyBorder="1" applyAlignment="1" applyProtection="1">
      <alignment vertical="top"/>
    </xf>
    <xf numFmtId="0" fontId="1" fillId="8" borderId="2" xfId="2" applyFont="1" applyFill="1" applyBorder="1" applyAlignment="1" applyProtection="1">
      <alignment horizontal="justify" vertical="top" wrapText="1"/>
    </xf>
    <xf numFmtId="1" fontId="1" fillId="8" borderId="19" xfId="2" applyNumberFormat="1" applyFont="1" applyFill="1" applyBorder="1" applyAlignment="1" applyProtection="1">
      <alignment horizontal="justify"/>
    </xf>
    <xf numFmtId="1" fontId="1" fillId="8" borderId="18" xfId="2" applyNumberFormat="1" applyFont="1" applyFill="1" applyBorder="1" applyAlignment="1" applyProtection="1">
      <alignment horizontal="justify"/>
    </xf>
    <xf numFmtId="0" fontId="9" fillId="0" borderId="16" xfId="0" applyFont="1" applyBorder="1" applyAlignment="1">
      <alignment horizontal="center" vertical="center" wrapText="1"/>
    </xf>
    <xf numFmtId="165" fontId="65" fillId="22" borderId="9" xfId="1" applyNumberFormat="1" applyFont="1" applyFill="1" applyBorder="1" applyAlignment="1" applyProtection="1">
      <alignment vertical="center" wrapText="1"/>
    </xf>
    <xf numFmtId="165" fontId="65" fillId="22" borderId="9" xfId="0" applyNumberFormat="1" applyFont="1" applyFill="1" applyBorder="1" applyAlignment="1">
      <alignment horizontal="center" vertical="center"/>
    </xf>
    <xf numFmtId="165" fontId="65" fillId="22" borderId="9" xfId="4" applyNumberFormat="1" applyFont="1" applyFill="1" applyBorder="1" applyAlignment="1">
      <alignment vertical="center"/>
    </xf>
    <xf numFmtId="165" fontId="69" fillId="22" borderId="9" xfId="0" applyNumberFormat="1" applyFont="1" applyFill="1" applyBorder="1" applyAlignment="1">
      <alignment horizontal="center" vertical="center"/>
    </xf>
    <xf numFmtId="165" fontId="65" fillId="0" borderId="0" xfId="1" applyNumberFormat="1" applyFont="1" applyFill="1" applyAlignment="1">
      <alignment vertical="center"/>
    </xf>
    <xf numFmtId="0" fontId="0" fillId="0" borderId="0" xfId="0" applyAlignment="1">
      <alignment horizontal="left" vertical="center" wrapText="1"/>
    </xf>
    <xf numFmtId="2" fontId="11" fillId="0" borderId="0" xfId="0" applyNumberFormat="1" applyFont="1" applyBorder="1" applyAlignment="1" applyProtection="1">
      <alignment vertical="center" wrapText="1"/>
    </xf>
    <xf numFmtId="1" fontId="11" fillId="0" borderId="14" xfId="0" applyNumberFormat="1" applyFont="1" applyBorder="1" applyAlignment="1" applyProtection="1">
      <alignment horizontal="center" vertical="center" wrapText="1"/>
    </xf>
    <xf numFmtId="0" fontId="0" fillId="0" borderId="0" xfId="0" applyFill="1" applyBorder="1" applyAlignment="1" applyProtection="1">
      <alignment vertical="center" wrapText="1"/>
    </xf>
    <xf numFmtId="0" fontId="11" fillId="3" borderId="24" xfId="0" applyFont="1" applyFill="1" applyBorder="1" applyAlignment="1" applyProtection="1">
      <alignment horizontal="left" vertical="top" wrapText="1"/>
    </xf>
    <xf numFmtId="0" fontId="13" fillId="0" borderId="0" xfId="0" applyFont="1" applyBorder="1" applyAlignment="1" applyProtection="1">
      <alignment horizontal="center" vertical="center" wrapText="1"/>
    </xf>
    <xf numFmtId="0" fontId="24" fillId="0" borderId="0" xfId="0" applyFont="1" applyAlignment="1" applyProtection="1">
      <alignment horizontal="center" vertical="center" wrapText="1"/>
    </xf>
    <xf numFmtId="169" fontId="24" fillId="0" borderId="0" xfId="0" applyNumberFormat="1" applyFont="1" applyAlignment="1" applyProtection="1">
      <alignment horizontal="center" vertical="center"/>
    </xf>
    <xf numFmtId="0" fontId="0" fillId="0" borderId="0" xfId="0" applyAlignment="1" applyProtection="1">
      <alignment horizontal="left" vertical="top" wrapText="1"/>
    </xf>
    <xf numFmtId="0" fontId="24"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2" borderId="0" xfId="0" applyFont="1" applyFill="1" applyAlignment="1" applyProtection="1">
      <alignment horizontal="center" vertical="center" wrapText="1"/>
    </xf>
    <xf numFmtId="0" fontId="14" fillId="2" borderId="3"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2" fillId="2" borderId="30" xfId="0" applyFont="1" applyFill="1" applyBorder="1" applyAlignment="1" applyProtection="1">
      <alignment horizontal="center" vertical="center" wrapText="1"/>
    </xf>
    <xf numFmtId="0" fontId="1" fillId="0" borderId="13" xfId="0" applyFont="1" applyBorder="1" applyAlignment="1" applyProtection="1">
      <alignment horizontal="left" vertical="center" wrapText="1"/>
    </xf>
    <xf numFmtId="0" fontId="0" fillId="0" borderId="0" xfId="0" applyFont="1" applyAlignment="1" applyProtection="1">
      <alignment horizontal="left" vertical="center" wrapText="1"/>
    </xf>
    <xf numFmtId="0" fontId="1" fillId="0" borderId="0" xfId="0" applyFont="1" applyAlignment="1" applyProtection="1">
      <alignment horizontal="center" vertical="center" wrapText="1"/>
    </xf>
    <xf numFmtId="0" fontId="1" fillId="0" borderId="108" xfId="0" applyFont="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 fillId="0" borderId="0" xfId="0" applyFont="1" applyAlignment="1" applyProtection="1">
      <alignment horizontal="left" vertical="center" wrapText="1"/>
    </xf>
    <xf numFmtId="0" fontId="53" fillId="20" borderId="127" xfId="0" applyFont="1" applyFill="1" applyBorder="1" applyAlignment="1" applyProtection="1">
      <alignment horizontal="left" vertical="center" wrapText="1"/>
    </xf>
    <xf numFmtId="0" fontId="53" fillId="20" borderId="117" xfId="0" applyFont="1" applyFill="1" applyBorder="1" applyAlignment="1" applyProtection="1">
      <alignment horizontal="left" vertical="center" wrapText="1"/>
    </xf>
    <xf numFmtId="0" fontId="0" fillId="0" borderId="0" xfId="0" applyAlignment="1" applyProtection="1">
      <alignment horizontal="left" vertical="center" wrapText="1"/>
    </xf>
    <xf numFmtId="0" fontId="2" fillId="0" borderId="0" xfId="0" applyFont="1" applyAlignment="1" applyProtection="1">
      <alignment horizontal="center" vertical="center" wrapText="1"/>
    </xf>
    <xf numFmtId="0" fontId="4" fillId="3" borderId="5" xfId="0" applyFont="1" applyFill="1" applyBorder="1" applyAlignment="1">
      <alignment horizontal="left" vertical="top" wrapText="1"/>
    </xf>
    <xf numFmtId="0" fontId="4" fillId="2" borderId="0" xfId="0" applyFont="1" applyFill="1" applyAlignment="1">
      <alignment horizontal="center" vertical="top" wrapText="1"/>
    </xf>
    <xf numFmtId="0" fontId="11" fillId="3" borderId="12" xfId="0" applyFont="1" applyFill="1" applyBorder="1" applyAlignment="1">
      <alignment horizontal="left" vertical="top" wrapText="1"/>
    </xf>
    <xf numFmtId="0" fontId="2" fillId="0" borderId="27" xfId="0" applyFont="1" applyBorder="1" applyAlignment="1">
      <alignment horizontal="left" vertical="center"/>
    </xf>
    <xf numFmtId="0" fontId="2" fillId="0" borderId="26" xfId="0" applyFont="1" applyBorder="1" applyAlignment="1">
      <alignment horizontal="left" vertical="center"/>
    </xf>
    <xf numFmtId="0" fontId="2" fillId="0" borderId="25" xfId="0" applyFont="1" applyBorder="1" applyAlignment="1">
      <alignment horizontal="left" vertical="center"/>
    </xf>
    <xf numFmtId="0" fontId="0" fillId="0" borderId="0" xfId="0" applyAlignment="1">
      <alignment horizontal="left" vertical="center" wrapText="1"/>
    </xf>
    <xf numFmtId="0" fontId="0" fillId="0" borderId="153" xfId="0" applyBorder="1" applyAlignment="1">
      <alignment horizontal="left" vertical="center" wrapText="1"/>
    </xf>
    <xf numFmtId="0" fontId="0" fillId="0" borderId="81" xfId="0" applyBorder="1" applyAlignment="1">
      <alignment horizontal="left" vertical="center" wrapText="1"/>
    </xf>
    <xf numFmtId="0" fontId="0" fillId="0" borderId="95" xfId="0" applyBorder="1" applyAlignment="1">
      <alignment horizontal="left" vertical="center" wrapText="1"/>
    </xf>
    <xf numFmtId="0" fontId="0" fillId="0" borderId="88" xfId="0" applyBorder="1" applyAlignment="1">
      <alignment horizontal="left" vertical="center" wrapText="1"/>
    </xf>
    <xf numFmtId="0" fontId="0" fillId="0" borderId="202" xfId="0" applyBorder="1" applyAlignment="1">
      <alignment horizontal="left" vertical="center" wrapText="1"/>
    </xf>
    <xf numFmtId="0" fontId="0" fillId="0" borderId="203" xfId="0" applyBorder="1" applyAlignment="1">
      <alignment horizontal="left" vertical="center" wrapText="1"/>
    </xf>
    <xf numFmtId="0" fontId="0" fillId="0" borderId="153" xfId="0" applyBorder="1" applyAlignment="1">
      <alignment horizontal="center"/>
    </xf>
    <xf numFmtId="0" fontId="0" fillId="0" borderId="81" xfId="0" applyBorder="1" applyAlignment="1">
      <alignment horizontal="center"/>
    </xf>
    <xf numFmtId="0" fontId="0" fillId="0" borderId="153" xfId="0" applyBorder="1" applyAlignment="1">
      <alignment horizontal="center" vertical="center" wrapText="1"/>
    </xf>
    <xf numFmtId="0" fontId="0" fillId="0" borderId="81" xfId="0" applyBorder="1" applyAlignment="1">
      <alignment horizontal="center" vertical="center" wrapText="1"/>
    </xf>
    <xf numFmtId="0" fontId="24" fillId="0" borderId="16" xfId="0" applyFont="1" applyBorder="1" applyAlignment="1">
      <alignment horizontal="center" vertical="center"/>
    </xf>
    <xf numFmtId="0" fontId="22" fillId="3" borderId="31" xfId="0" applyFont="1" applyFill="1" applyBorder="1" applyAlignment="1">
      <alignment horizontal="left" vertical="top" wrapText="1"/>
    </xf>
    <xf numFmtId="0" fontId="22" fillId="3" borderId="0" xfId="0" applyFont="1" applyFill="1" applyBorder="1" applyAlignment="1">
      <alignment horizontal="left" vertical="top" wrapText="1"/>
    </xf>
    <xf numFmtId="0" fontId="2" fillId="18" borderId="93" xfId="0" applyFont="1" applyFill="1" applyBorder="1" applyAlignment="1">
      <alignment horizontal="center"/>
    </xf>
    <xf numFmtId="0" fontId="2" fillId="19" borderId="94" xfId="0" applyFont="1" applyFill="1" applyBorder="1" applyAlignment="1">
      <alignment horizontal="center"/>
    </xf>
    <xf numFmtId="0" fontId="2" fillId="19" borderId="97" xfId="0" applyFont="1" applyFill="1" applyBorder="1" applyAlignment="1">
      <alignment horizontal="center"/>
    </xf>
    <xf numFmtId="0" fontId="2" fillId="13" borderId="92" xfId="0" applyFont="1" applyFill="1" applyBorder="1" applyAlignment="1">
      <alignment horizontal="center" vertical="center"/>
    </xf>
    <xf numFmtId="0" fontId="2" fillId="13" borderId="93" xfId="0" applyFont="1" applyFill="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0" fillId="0" borderId="31" xfId="0" applyBorder="1" applyAlignment="1">
      <alignment horizontal="left" vertical="top"/>
    </xf>
    <xf numFmtId="0" fontId="0" fillId="0" borderId="0" xfId="0" applyAlignment="1">
      <alignment horizontal="left" vertical="top"/>
    </xf>
    <xf numFmtId="0" fontId="14" fillId="0" borderId="34" xfId="0" applyFont="1" applyBorder="1" applyAlignment="1" applyProtection="1">
      <alignment horizontal="center" vertical="center"/>
    </xf>
    <xf numFmtId="0" fontId="14" fillId="2" borderId="3" xfId="0" applyFont="1" applyFill="1" applyBorder="1" applyAlignment="1" applyProtection="1">
      <alignment horizontal="center" vertical="top" wrapText="1"/>
    </xf>
    <xf numFmtId="0" fontId="14" fillId="2" borderId="5" xfId="0" applyFont="1" applyFill="1" applyBorder="1" applyAlignment="1" applyProtection="1">
      <alignment horizontal="center" vertical="top" wrapText="1"/>
    </xf>
    <xf numFmtId="0" fontId="11" fillId="3" borderId="27" xfId="0" applyFont="1" applyFill="1" applyBorder="1" applyAlignment="1" applyProtection="1">
      <alignment horizontal="left" vertical="top" wrapText="1"/>
    </xf>
    <xf numFmtId="0" fontId="11" fillId="3" borderId="26" xfId="0" applyFont="1" applyFill="1" applyBorder="1" applyAlignment="1" applyProtection="1">
      <alignment horizontal="left" vertical="top" wrapText="1"/>
    </xf>
    <xf numFmtId="0" fontId="11" fillId="3" borderId="24" xfId="0" applyFont="1" applyFill="1" applyBorder="1" applyAlignment="1" applyProtection="1">
      <alignment horizontal="left" vertical="top" wrapText="1"/>
    </xf>
    <xf numFmtId="0" fontId="13" fillId="0" borderId="0"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4" fillId="0" borderId="4"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91" xfId="0" applyFont="1" applyBorder="1" applyAlignment="1" applyProtection="1">
      <alignment horizontal="center" vertical="center" wrapText="1"/>
    </xf>
    <xf numFmtId="0" fontId="14" fillId="0" borderId="47" xfId="0" applyFont="1" applyBorder="1" applyAlignment="1" applyProtection="1">
      <alignment horizontal="center" vertical="center" wrapText="1"/>
    </xf>
    <xf numFmtId="0" fontId="14" fillId="0" borderId="192" xfId="0" applyFont="1" applyBorder="1" applyAlignment="1" applyProtection="1">
      <alignment horizontal="center" vertical="center" wrapText="1"/>
    </xf>
    <xf numFmtId="0" fontId="85" fillId="2" borderId="3" xfId="0" applyFont="1" applyFill="1" applyBorder="1" applyAlignment="1" applyProtection="1">
      <alignment horizontal="center" vertical="top" wrapText="1"/>
    </xf>
    <xf numFmtId="0" fontId="85" fillId="2" borderId="4" xfId="0" applyFont="1" applyFill="1" applyBorder="1" applyAlignment="1" applyProtection="1">
      <alignment horizontal="center" vertical="top" wrapText="1"/>
    </xf>
    <xf numFmtId="0" fontId="22" fillId="3" borderId="27" xfId="0" applyFont="1" applyFill="1" applyBorder="1" applyAlignment="1" applyProtection="1">
      <alignment horizontal="left" vertical="center" wrapText="1"/>
    </xf>
    <xf numFmtId="0" fontId="22" fillId="3" borderId="26" xfId="0" applyFont="1" applyFill="1" applyBorder="1" applyAlignment="1" applyProtection="1">
      <alignment horizontal="left" vertical="center" wrapText="1"/>
    </xf>
    <xf numFmtId="0" fontId="17" fillId="2" borderId="3" xfId="0"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14" fillId="2" borderId="16" xfId="0" applyFont="1" applyFill="1" applyBorder="1" applyAlignment="1" applyProtection="1">
      <alignment horizontal="center" vertical="top" wrapText="1"/>
    </xf>
    <xf numFmtId="0" fontId="22" fillId="0" borderId="26" xfId="0" applyFont="1" applyBorder="1" applyAlignment="1" applyProtection="1">
      <alignment horizontal="left" vertical="center" wrapText="1"/>
    </xf>
    <xf numFmtId="0" fontId="22" fillId="0" borderId="24" xfId="0" applyFont="1" applyBorder="1" applyAlignment="1" applyProtection="1">
      <alignment horizontal="left" vertical="center" wrapText="1"/>
    </xf>
    <xf numFmtId="0" fontId="22" fillId="0" borderId="25" xfId="0" applyFont="1" applyBorder="1" applyAlignment="1" applyProtection="1">
      <alignment horizontal="left" vertical="center" wrapText="1"/>
    </xf>
    <xf numFmtId="0" fontId="17" fillId="2" borderId="0" xfId="0" applyNumberFormat="1" applyFont="1" applyFill="1" applyBorder="1" applyAlignment="1" applyProtection="1">
      <alignment horizontal="center" vertical="center" wrapText="1"/>
    </xf>
    <xf numFmtId="0" fontId="22" fillId="0" borderId="78" xfId="0" applyFont="1" applyBorder="1" applyAlignment="1" applyProtection="1">
      <alignment horizontal="left" vertical="center" wrapText="1"/>
    </xf>
    <xf numFmtId="0" fontId="22" fillId="0" borderId="8" xfId="0" applyFont="1" applyBorder="1" applyAlignment="1" applyProtection="1">
      <alignment horizontal="left" vertical="center" wrapText="1"/>
    </xf>
    <xf numFmtId="0" fontId="22" fillId="0" borderId="81" xfId="0" applyFont="1" applyBorder="1" applyAlignment="1" applyProtection="1">
      <alignment horizontal="left" vertical="center" wrapText="1"/>
    </xf>
    <xf numFmtId="0" fontId="24" fillId="0" borderId="0" xfId="0" applyFont="1" applyAlignment="1" applyProtection="1">
      <alignment horizontal="center" vertical="center" wrapText="1"/>
    </xf>
    <xf numFmtId="0" fontId="85" fillId="2" borderId="3" xfId="0" applyFont="1" applyFill="1" applyBorder="1" applyAlignment="1" applyProtection="1">
      <alignment horizontal="center" vertical="center" wrapText="1"/>
    </xf>
    <xf numFmtId="0" fontId="85" fillId="2" borderId="4" xfId="0" applyFont="1" applyFill="1" applyBorder="1" applyAlignment="1" applyProtection="1">
      <alignment horizontal="center" vertical="center" wrapText="1"/>
    </xf>
    <xf numFmtId="0" fontId="85" fillId="2" borderId="31" xfId="0"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85" fillId="2" borderId="0" xfId="0" applyFont="1" applyFill="1" applyBorder="1" applyAlignment="1" applyProtection="1">
      <alignment horizontal="center" vertical="center" wrapText="1"/>
    </xf>
    <xf numFmtId="1" fontId="24" fillId="0" borderId="3" xfId="0" applyNumberFormat="1" applyFont="1" applyBorder="1" applyAlignment="1" applyProtection="1">
      <alignment horizontal="center" vertical="center" wrapText="1"/>
    </xf>
    <xf numFmtId="1" fontId="24" fillId="0" borderId="5" xfId="0" applyNumberFormat="1" applyFont="1" applyBorder="1" applyAlignment="1" applyProtection="1">
      <alignment horizontal="center" vertical="center" wrapText="1"/>
    </xf>
    <xf numFmtId="1" fontId="24" fillId="0" borderId="4" xfId="0" applyNumberFormat="1" applyFont="1" applyBorder="1" applyAlignment="1" applyProtection="1">
      <alignment horizontal="center" vertical="center" wrapText="1"/>
    </xf>
    <xf numFmtId="0" fontId="18" fillId="0" borderId="24" xfId="0" applyFont="1" applyBorder="1" applyAlignment="1" applyProtection="1">
      <alignment horizontal="center" vertical="center" wrapText="1"/>
    </xf>
    <xf numFmtId="0" fontId="22" fillId="0" borderId="26" xfId="0" applyFont="1" applyFill="1" applyBorder="1" applyAlignment="1" applyProtection="1">
      <alignment horizontal="left" vertical="top" wrapText="1"/>
    </xf>
    <xf numFmtId="0" fontId="17" fillId="2" borderId="3" xfId="0" applyFont="1" applyFill="1" applyBorder="1" applyAlignment="1" applyProtection="1">
      <alignment horizontal="center" vertical="top" wrapText="1"/>
    </xf>
    <xf numFmtId="0" fontId="17" fillId="2" borderId="4" xfId="0" applyFont="1" applyFill="1" applyBorder="1" applyAlignment="1" applyProtection="1">
      <alignment horizontal="center" vertical="top" wrapText="1"/>
    </xf>
    <xf numFmtId="169" fontId="0" fillId="0" borderId="180" xfId="0" applyNumberFormat="1" applyBorder="1" applyAlignment="1" applyProtection="1">
      <alignment horizontal="right" vertical="center" indent="1"/>
    </xf>
    <xf numFmtId="169" fontId="0" fillId="0" borderId="108" xfId="0" applyNumberFormat="1" applyBorder="1" applyAlignment="1" applyProtection="1">
      <alignment horizontal="right" vertical="center" indent="1"/>
    </xf>
    <xf numFmtId="1" fontId="2" fillId="0" borderId="153" xfId="0" applyNumberFormat="1" applyFont="1" applyBorder="1" applyAlignment="1" applyProtection="1">
      <alignment horizontal="center" vertical="center"/>
    </xf>
    <xf numFmtId="1" fontId="2" fillId="0" borderId="8" xfId="0" applyNumberFormat="1" applyFont="1" applyBorder="1" applyAlignment="1" applyProtection="1">
      <alignment horizontal="center" vertical="center"/>
    </xf>
    <xf numFmtId="1" fontId="2" fillId="0" borderId="81" xfId="0" applyNumberFormat="1" applyFont="1" applyBorder="1" applyAlignment="1" applyProtection="1">
      <alignment horizontal="center" vertical="center"/>
    </xf>
    <xf numFmtId="169" fontId="24" fillId="0" borderId="0" xfId="0" applyNumberFormat="1" applyFont="1" applyAlignment="1" applyProtection="1">
      <alignment horizontal="center" vertical="center"/>
    </xf>
    <xf numFmtId="169" fontId="24" fillId="0" borderId="108" xfId="0" applyNumberFormat="1"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4" xfId="0" applyFont="1" applyBorder="1" applyAlignment="1" applyProtection="1">
      <alignment horizontal="center" vertical="center"/>
    </xf>
    <xf numFmtId="0" fontId="63" fillId="0" borderId="0" xfId="0" applyFont="1" applyBorder="1" applyAlignment="1" applyProtection="1">
      <alignment horizontal="center" vertical="center"/>
    </xf>
    <xf numFmtId="0" fontId="2" fillId="2" borderId="3" xfId="0" applyFont="1" applyFill="1" applyBorder="1" applyAlignment="1" applyProtection="1">
      <alignment horizontal="center" vertical="top" wrapText="1"/>
    </xf>
    <xf numFmtId="0" fontId="2" fillId="2" borderId="5" xfId="0" applyFont="1" applyFill="1" applyBorder="1" applyAlignment="1" applyProtection="1">
      <alignment horizontal="center" vertical="top" wrapText="1"/>
    </xf>
    <xf numFmtId="0" fontId="9" fillId="3" borderId="6" xfId="0" applyFont="1" applyFill="1" applyBorder="1" applyAlignment="1" applyProtection="1">
      <alignment horizontal="left" vertical="center" wrapText="1"/>
    </xf>
    <xf numFmtId="0" fontId="9" fillId="3" borderId="2" xfId="0" applyFont="1" applyFill="1" applyBorder="1" applyAlignment="1" applyProtection="1">
      <alignment horizontal="left" vertical="center" wrapText="1"/>
    </xf>
    <xf numFmtId="0" fontId="86" fillId="0" borderId="0" xfId="0" applyFont="1" applyAlignment="1" applyProtection="1">
      <alignment horizontal="center" vertical="center" wrapText="1"/>
    </xf>
    <xf numFmtId="0" fontId="85" fillId="2" borderId="6" xfId="0" applyFont="1" applyFill="1" applyBorder="1" applyAlignment="1" applyProtection="1">
      <alignment horizontal="center" vertical="center" wrapText="1"/>
    </xf>
    <xf numFmtId="0" fontId="85" fillId="2" borderId="2" xfId="0" applyFont="1" applyFill="1" applyBorder="1" applyAlignment="1" applyProtection="1">
      <alignment horizontal="center" vertical="center" wrapText="1"/>
    </xf>
    <xf numFmtId="0" fontId="0" fillId="0" borderId="2" xfId="0" applyBorder="1" applyAlignment="1" applyProtection="1">
      <alignment horizontal="center"/>
    </xf>
    <xf numFmtId="0" fontId="85" fillId="2" borderId="13"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9" fillId="3" borderId="0" xfId="0" applyFont="1" applyFill="1" applyBorder="1" applyAlignment="1" applyProtection="1">
      <alignment horizontal="left" vertical="center" wrapText="1"/>
    </xf>
    <xf numFmtId="0" fontId="29" fillId="0" borderId="0" xfId="0" applyFont="1" applyFill="1" applyBorder="1" applyAlignment="1" applyProtection="1">
      <alignment horizontal="left"/>
    </xf>
    <xf numFmtId="0" fontId="29" fillId="0" borderId="13" xfId="0" applyFont="1" applyFill="1" applyBorder="1" applyAlignment="1" applyProtection="1">
      <alignment horizontal="left"/>
    </xf>
    <xf numFmtId="168" fontId="29" fillId="0" borderId="2" xfId="0" quotePrefix="1" applyNumberFormat="1" applyFont="1" applyFill="1" applyBorder="1" applyAlignment="1" applyProtection="1">
      <alignment horizontal="center"/>
    </xf>
    <xf numFmtId="0" fontId="29" fillId="0" borderId="0" xfId="0" applyFont="1" applyBorder="1" applyAlignment="1" applyProtection="1">
      <alignment horizontal="center"/>
    </xf>
    <xf numFmtId="0" fontId="48" fillId="0" borderId="5" xfId="0" applyFont="1" applyBorder="1" applyAlignment="1" applyProtection="1">
      <alignment horizontal="center" vertical="center"/>
    </xf>
    <xf numFmtId="0" fontId="48" fillId="0" borderId="4" xfId="0" applyFont="1" applyBorder="1" applyAlignment="1" applyProtection="1">
      <alignment horizontal="center" vertical="center"/>
    </xf>
    <xf numFmtId="0" fontId="2" fillId="0" borderId="0" xfId="0" applyFont="1" applyAlignment="1" applyProtection="1">
      <alignment horizontal="center"/>
    </xf>
    <xf numFmtId="0" fontId="29" fillId="0" borderId="30" xfId="2" applyFont="1" applyFill="1" applyBorder="1" applyAlignment="1" applyProtection="1">
      <alignment horizontal="center" vertical="center" wrapText="1"/>
    </xf>
    <xf numFmtId="0" fontId="29" fillId="0" borderId="6" xfId="2" applyFont="1" applyFill="1" applyBorder="1" applyAlignment="1" applyProtection="1">
      <alignment horizontal="center" vertical="center" wrapText="1"/>
    </xf>
    <xf numFmtId="9" fontId="29" fillId="0" borderId="24" xfId="2" applyNumberFormat="1" applyFont="1" applyFill="1" applyBorder="1" applyAlignment="1" applyProtection="1">
      <alignment horizontal="center" vertical="center" wrapText="1"/>
    </xf>
    <xf numFmtId="9" fontId="29" fillId="0" borderId="2" xfId="2" applyNumberFormat="1" applyFont="1" applyFill="1" applyBorder="1" applyAlignment="1" applyProtection="1">
      <alignment horizontal="center" vertical="center" wrapText="1"/>
    </xf>
    <xf numFmtId="171" fontId="29" fillId="0" borderId="17" xfId="2" applyNumberFormat="1" applyFont="1" applyFill="1" applyBorder="1" applyAlignment="1" applyProtection="1">
      <alignment horizontal="center" vertical="center" wrapText="1"/>
    </xf>
    <xf numFmtId="171" fontId="29" fillId="0" borderId="18" xfId="2"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1" fontId="2" fillId="2" borderId="0" xfId="0" applyNumberFormat="1" applyFont="1" applyFill="1" applyBorder="1" applyAlignment="1" applyProtection="1">
      <alignment horizontal="center" vertical="center" wrapText="1"/>
    </xf>
    <xf numFmtId="1" fontId="2" fillId="2" borderId="13" xfId="0" applyNumberFormat="1"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9" fillId="3" borderId="3" xfId="0" applyFont="1" applyFill="1" applyBorder="1" applyAlignment="1" applyProtection="1">
      <alignment horizontal="center" vertical="center" wrapText="1"/>
    </xf>
    <xf numFmtId="0" fontId="9" fillId="3" borderId="5" xfId="0" applyFont="1" applyFill="1" applyBorder="1" applyAlignment="1" applyProtection="1">
      <alignment horizontal="center" vertical="center" wrapText="1"/>
    </xf>
    <xf numFmtId="0" fontId="2" fillId="2" borderId="4" xfId="0" applyFont="1" applyFill="1" applyBorder="1" applyAlignment="1" applyProtection="1">
      <alignment horizontal="center" vertical="top" wrapText="1"/>
    </xf>
    <xf numFmtId="0" fontId="25" fillId="0" borderId="24" xfId="0" applyFont="1" applyBorder="1" applyAlignment="1" applyProtection="1">
      <alignment horizontal="left" vertical="top" wrapText="1"/>
    </xf>
    <xf numFmtId="0" fontId="25" fillId="0" borderId="17" xfId="0" applyFont="1" applyBorder="1" applyAlignment="1" applyProtection="1">
      <alignment horizontal="left" vertical="top" wrapText="1"/>
    </xf>
    <xf numFmtId="0" fontId="25" fillId="3" borderId="24" xfId="0" applyFont="1" applyFill="1" applyBorder="1" applyAlignment="1" applyProtection="1">
      <alignment horizontal="left" vertical="top" wrapText="1"/>
    </xf>
    <xf numFmtId="0" fontId="8" fillId="3" borderId="24" xfId="0" applyFont="1" applyFill="1" applyBorder="1" applyAlignment="1" applyProtection="1">
      <alignment horizontal="left" vertical="top" wrapText="1"/>
    </xf>
    <xf numFmtId="0" fontId="8" fillId="3" borderId="17" xfId="0" applyFont="1" applyFill="1" applyBorder="1" applyAlignment="1" applyProtection="1">
      <alignment horizontal="left" vertical="top" wrapText="1"/>
    </xf>
    <xf numFmtId="0" fontId="9" fillId="0" borderId="24" xfId="0" applyFont="1" applyFill="1" applyBorder="1" applyAlignment="1" applyProtection="1">
      <alignment horizontal="center" vertical="top" wrapText="1"/>
    </xf>
    <xf numFmtId="0" fontId="8" fillId="3" borderId="26" xfId="0" applyFont="1" applyFill="1" applyBorder="1" applyAlignment="1" applyProtection="1">
      <alignment horizontal="left" vertical="top" wrapText="1"/>
    </xf>
    <xf numFmtId="0" fontId="2" fillId="2" borderId="0" xfId="0" applyFont="1" applyFill="1" applyAlignment="1" applyProtection="1">
      <alignment horizontal="center" vertical="center" wrapText="1"/>
    </xf>
    <xf numFmtId="0" fontId="2" fillId="2" borderId="7" xfId="0" applyFont="1" applyFill="1" applyBorder="1" applyAlignment="1" applyProtection="1">
      <alignment horizontal="center" vertical="center" wrapText="1"/>
    </xf>
    <xf numFmtId="0" fontId="11" fillId="3" borderId="3" xfId="0" applyFont="1" applyFill="1" applyBorder="1" applyAlignment="1" applyProtection="1">
      <alignment horizontal="left" vertical="top" wrapText="1"/>
    </xf>
    <xf numFmtId="0" fontId="11" fillId="3" borderId="5" xfId="0" applyFont="1" applyFill="1" applyBorder="1" applyAlignment="1" applyProtection="1">
      <alignment horizontal="left" vertical="top" wrapText="1"/>
    </xf>
    <xf numFmtId="0" fontId="17" fillId="0" borderId="3"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4" xfId="0" applyFont="1" applyBorder="1" applyAlignment="1" applyProtection="1">
      <alignment horizontal="center" vertical="center" wrapText="1"/>
    </xf>
    <xf numFmtId="1" fontId="4" fillId="0" borderId="0" xfId="0" applyNumberFormat="1" applyFont="1" applyAlignment="1" applyProtection="1">
      <alignment horizontal="center" vertical="top"/>
    </xf>
    <xf numFmtId="1" fontId="4" fillId="0" borderId="108" xfId="0" applyNumberFormat="1" applyFont="1" applyBorder="1" applyAlignment="1" applyProtection="1">
      <alignment horizontal="center" vertical="top"/>
    </xf>
    <xf numFmtId="0" fontId="14" fillId="2" borderId="3" xfId="0" applyFont="1" applyFill="1" applyBorder="1" applyAlignment="1" applyProtection="1">
      <alignment horizontal="center" wrapText="1"/>
    </xf>
    <xf numFmtId="0" fontId="14" fillId="2" borderId="5" xfId="0" applyFont="1" applyFill="1" applyBorder="1" applyAlignment="1" applyProtection="1">
      <alignment horizontal="center" wrapText="1"/>
    </xf>
    <xf numFmtId="0" fontId="9" fillId="3" borderId="6" xfId="0" applyFont="1" applyFill="1" applyBorder="1" applyAlignment="1" applyProtection="1">
      <alignment horizontal="center" vertical="center" wrapText="1"/>
    </xf>
    <xf numFmtId="0" fontId="9" fillId="3" borderId="2" xfId="0" applyFont="1" applyFill="1" applyBorder="1" applyAlignment="1" applyProtection="1">
      <alignment horizontal="center" vertical="center" wrapText="1"/>
    </xf>
    <xf numFmtId="0" fontId="8" fillId="3" borderId="27" xfId="0" applyFont="1" applyFill="1" applyBorder="1" applyAlignment="1" applyProtection="1">
      <alignment horizontal="left" vertical="top" wrapText="1"/>
    </xf>
    <xf numFmtId="0" fontId="8" fillId="3" borderId="25" xfId="0" applyFont="1" applyFill="1" applyBorder="1" applyAlignment="1" applyProtection="1">
      <alignment horizontal="left" vertical="top" wrapText="1"/>
    </xf>
    <xf numFmtId="0" fontId="14" fillId="2" borderId="3"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9" fillId="3" borderId="18" xfId="0" applyFont="1" applyFill="1" applyBorder="1" applyAlignment="1" applyProtection="1">
      <alignment horizontal="center" vertical="center" wrapText="1"/>
    </xf>
    <xf numFmtId="0" fontId="2" fillId="0" borderId="3" xfId="0" applyFont="1" applyBorder="1" applyAlignment="1" applyProtection="1">
      <alignment vertical="center"/>
    </xf>
    <xf numFmtId="0" fontId="2" fillId="0" borderId="5" xfId="0" applyFont="1" applyBorder="1" applyAlignment="1" applyProtection="1">
      <alignment vertical="center"/>
    </xf>
    <xf numFmtId="0" fontId="2" fillId="0" borderId="4" xfId="0" applyFont="1" applyBorder="1" applyAlignment="1" applyProtection="1">
      <alignment vertical="center"/>
    </xf>
    <xf numFmtId="0" fontId="14" fillId="2" borderId="4" xfId="0" applyFont="1" applyFill="1" applyBorder="1" applyAlignment="1" applyProtection="1">
      <alignment horizontal="center" vertical="top" wrapText="1"/>
    </xf>
    <xf numFmtId="0" fontId="8" fillId="3" borderId="30" xfId="0" applyFont="1" applyFill="1" applyBorder="1" applyAlignment="1" applyProtection="1">
      <alignment horizontal="left" vertical="top" wrapText="1"/>
    </xf>
    <xf numFmtId="0" fontId="2" fillId="2" borderId="16" xfId="0" applyFont="1" applyFill="1" applyBorder="1" applyAlignment="1" applyProtection="1">
      <alignment horizontal="center" vertical="center" wrapText="1"/>
    </xf>
    <xf numFmtId="0" fontId="2" fillId="2" borderId="30" xfId="0" applyFont="1" applyFill="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2" fontId="24" fillId="0" borderId="12" xfId="0" applyNumberFormat="1" applyFont="1" applyBorder="1" applyAlignment="1" applyProtection="1">
      <alignment horizontal="center" vertical="center" wrapText="1"/>
    </xf>
    <xf numFmtId="0" fontId="8" fillId="3" borderId="3" xfId="0" applyFont="1" applyFill="1" applyBorder="1" applyAlignment="1" applyProtection="1">
      <alignment horizontal="left" vertical="top" wrapText="1"/>
    </xf>
    <xf numFmtId="0" fontId="8" fillId="3" borderId="5" xfId="0" applyFont="1" applyFill="1" applyBorder="1" applyAlignment="1" applyProtection="1">
      <alignment horizontal="left" vertical="top" wrapText="1"/>
    </xf>
    <xf numFmtId="2" fontId="24" fillId="0" borderId="3" xfId="0" applyNumberFormat="1" applyFont="1" applyBorder="1" applyAlignment="1" applyProtection="1">
      <alignment horizontal="center" vertical="center" wrapText="1"/>
    </xf>
    <xf numFmtId="2" fontId="24" fillId="0" borderId="5" xfId="0" applyNumberFormat="1" applyFont="1" applyBorder="1" applyAlignment="1" applyProtection="1">
      <alignment horizontal="center" vertical="center" wrapText="1"/>
    </xf>
    <xf numFmtId="2" fontId="24" fillId="0" borderId="4" xfId="0" applyNumberFormat="1" applyFont="1" applyBorder="1" applyAlignment="1" applyProtection="1">
      <alignment horizontal="center" vertical="center" wrapText="1"/>
    </xf>
    <xf numFmtId="0" fontId="74" fillId="0" borderId="31" xfId="0" applyFont="1" applyBorder="1" applyAlignment="1" applyProtection="1">
      <alignment horizontal="center" vertical="top" wrapText="1"/>
    </xf>
    <xf numFmtId="0" fontId="74" fillId="0" borderId="0" xfId="0" applyFont="1" applyAlignment="1" applyProtection="1">
      <alignment horizontal="center" vertical="top" wrapText="1"/>
    </xf>
    <xf numFmtId="0" fontId="24" fillId="0" borderId="148" xfId="0" applyFont="1" applyBorder="1" applyAlignment="1" applyProtection="1">
      <alignment horizontal="center" vertical="center" wrapText="1"/>
    </xf>
    <xf numFmtId="0" fontId="24" fillId="0" borderId="149" xfId="0" applyFont="1" applyBorder="1" applyAlignment="1" applyProtection="1">
      <alignment horizontal="center" vertical="center" wrapText="1"/>
    </xf>
    <xf numFmtId="0" fontId="24" fillId="0" borderId="179" xfId="0" applyFont="1" applyBorder="1" applyAlignment="1" applyProtection="1">
      <alignment horizontal="center" vertical="center" wrapText="1"/>
    </xf>
    <xf numFmtId="0" fontId="24" fillId="0" borderId="150" xfId="0" applyFont="1" applyBorder="1" applyAlignment="1" applyProtection="1">
      <alignment horizontal="center" vertical="center" wrapText="1"/>
    </xf>
    <xf numFmtId="0" fontId="9" fillId="3" borderId="18" xfId="0" applyFont="1" applyFill="1" applyBorder="1" applyAlignment="1" applyProtection="1">
      <alignment horizontal="left" vertical="center" wrapText="1"/>
    </xf>
    <xf numFmtId="0" fontId="1" fillId="0" borderId="0" xfId="0" applyFont="1" applyAlignment="1" applyProtection="1">
      <alignment horizontal="center" vertical="center" wrapText="1"/>
    </xf>
    <xf numFmtId="0" fontId="1" fillId="0" borderId="108" xfId="0" applyFont="1" applyBorder="1" applyAlignment="1" applyProtection="1">
      <alignment horizontal="center" vertical="center" wrapText="1"/>
    </xf>
    <xf numFmtId="0" fontId="24" fillId="0" borderId="30" xfId="0" applyFont="1" applyBorder="1" applyAlignment="1" applyProtection="1">
      <alignment horizontal="center" vertical="center" wrapText="1"/>
    </xf>
    <xf numFmtId="0" fontId="24" fillId="0" borderId="24"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 fillId="2" borderId="16" xfId="0" applyFont="1" applyFill="1" applyBorder="1" applyAlignment="1" applyProtection="1">
      <alignment horizontal="center" vertical="top" wrapText="1"/>
    </xf>
    <xf numFmtId="0" fontId="2" fillId="2" borderId="0" xfId="0" applyFont="1" applyFill="1" applyBorder="1" applyAlignment="1" applyProtection="1">
      <alignment horizontal="center" vertical="center" wrapText="1"/>
    </xf>
    <xf numFmtId="169" fontId="25" fillId="0" borderId="144" xfId="0" applyNumberFormat="1" applyFont="1" applyFill="1" applyBorder="1" applyAlignment="1" applyProtection="1">
      <alignment horizontal="center" vertical="center" wrapText="1"/>
    </xf>
    <xf numFmtId="169" fontId="25" fillId="0" borderId="160" xfId="0" applyNumberFormat="1" applyFont="1" applyFill="1" applyBorder="1" applyAlignment="1" applyProtection="1">
      <alignment horizontal="center" vertical="center" wrapText="1"/>
    </xf>
    <xf numFmtId="0" fontId="1" fillId="0" borderId="0" xfId="0" applyFont="1" applyAlignment="1" applyProtection="1">
      <alignment horizontal="left" vertical="center" wrapText="1"/>
    </xf>
    <xf numFmtId="9" fontId="2" fillId="0" borderId="0" xfId="1" applyFont="1" applyAlignment="1" applyProtection="1">
      <alignment horizontal="center" vertical="center" wrapText="1"/>
    </xf>
    <xf numFmtId="9" fontId="2" fillId="0" borderId="0" xfId="1" applyFont="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1" fillId="0" borderId="13" xfId="0" applyFont="1" applyBorder="1" applyAlignment="1" applyProtection="1">
      <alignment horizontal="left" vertical="center" wrapText="1"/>
    </xf>
    <xf numFmtId="0" fontId="0" fillId="0" borderId="0" xfId="0" applyFont="1" applyAlignment="1" applyProtection="1">
      <alignment horizontal="left" vertical="center" wrapText="1"/>
    </xf>
    <xf numFmtId="0" fontId="0" fillId="0" borderId="0" xfId="0" applyAlignment="1" applyProtection="1">
      <alignment horizontal="left" vertical="center" wrapText="1"/>
    </xf>
    <xf numFmtId="0" fontId="53" fillId="20" borderId="127" xfId="0" applyFont="1" applyFill="1" applyBorder="1" applyAlignment="1" applyProtection="1">
      <alignment horizontal="left" vertical="center" wrapText="1"/>
    </xf>
    <xf numFmtId="0" fontId="53" fillId="20" borderId="117" xfId="0" applyFont="1" applyFill="1" applyBorder="1" applyAlignment="1" applyProtection="1">
      <alignment horizontal="left" vertical="center" wrapText="1"/>
    </xf>
    <xf numFmtId="0" fontId="53" fillId="20" borderId="136" xfId="0" applyFont="1" applyFill="1" applyBorder="1" applyAlignment="1" applyProtection="1">
      <alignment horizontal="left" vertical="center" wrapText="1"/>
    </xf>
    <xf numFmtId="0" fontId="53" fillId="20" borderId="140" xfId="0" applyFont="1" applyFill="1" applyBorder="1" applyAlignment="1" applyProtection="1">
      <alignment horizontal="left" vertical="center" wrapText="1"/>
    </xf>
    <xf numFmtId="0" fontId="53" fillId="20" borderId="141" xfId="0" applyFont="1" applyFill="1" applyBorder="1" applyAlignment="1" applyProtection="1">
      <alignment horizontal="left" vertical="center" wrapText="1"/>
    </xf>
    <xf numFmtId="0" fontId="6" fillId="0" borderId="0" xfId="0" applyFont="1" applyAlignment="1" applyProtection="1">
      <alignment horizontal="left" vertical="top" wrapText="1"/>
    </xf>
    <xf numFmtId="0" fontId="2" fillId="0" borderId="0" xfId="0" applyFont="1" applyAlignment="1" applyProtection="1">
      <alignment horizontal="center" vertical="center" wrapText="1"/>
    </xf>
    <xf numFmtId="0" fontId="6" fillId="0" borderId="24" xfId="0" applyFont="1" applyBorder="1" applyAlignment="1" applyProtection="1">
      <alignment horizontal="left" vertical="center" wrapText="1"/>
    </xf>
    <xf numFmtId="0" fontId="6" fillId="0" borderId="0" xfId="0" applyFont="1" applyAlignment="1" applyProtection="1">
      <alignment horizontal="left" vertical="center" wrapText="1"/>
    </xf>
    <xf numFmtId="0" fontId="16" fillId="0" borderId="3" xfId="0" applyFont="1" applyBorder="1" applyAlignment="1" applyProtection="1">
      <alignment horizontal="center" vertical="center" wrapText="1"/>
    </xf>
    <xf numFmtId="0" fontId="16" fillId="0" borderId="5" xfId="0" applyFont="1" applyBorder="1" applyAlignment="1" applyProtection="1">
      <alignment horizontal="center" vertical="center" wrapText="1"/>
    </xf>
    <xf numFmtId="0" fontId="16" fillId="0" borderId="4" xfId="0" applyFont="1" applyBorder="1" applyAlignment="1" applyProtection="1">
      <alignment horizontal="center" vertical="center" wrapText="1"/>
    </xf>
    <xf numFmtId="0" fontId="65" fillId="27" borderId="9" xfId="0" applyFont="1" applyFill="1" applyBorder="1" applyAlignment="1">
      <alignment horizontal="center" vertical="center" wrapText="1"/>
    </xf>
    <xf numFmtId="1" fontId="24" fillId="0" borderId="3" xfId="0" applyNumberFormat="1" applyFont="1" applyBorder="1" applyAlignment="1">
      <alignment horizontal="center" vertical="center" wrapText="1"/>
    </xf>
    <xf numFmtId="1" fontId="24" fillId="0" borderId="5" xfId="0" applyNumberFormat="1" applyFont="1" applyBorder="1" applyAlignment="1">
      <alignment horizontal="center" vertical="center" wrapText="1"/>
    </xf>
    <xf numFmtId="1" fontId="24" fillId="0" borderId="4" xfId="0" applyNumberFormat="1" applyFont="1" applyBorder="1" applyAlignment="1">
      <alignment horizontal="center" vertical="center" wrapText="1"/>
    </xf>
    <xf numFmtId="0" fontId="2" fillId="0" borderId="5" xfId="0" applyFont="1" applyBorder="1" applyAlignment="1">
      <alignment horizontal="center" vertical="center"/>
    </xf>
    <xf numFmtId="0" fontId="29" fillId="0" borderId="31" xfId="0" applyFont="1" applyFill="1" applyBorder="1" applyAlignment="1">
      <alignment horizontal="left"/>
    </xf>
    <xf numFmtId="0" fontId="29" fillId="0" borderId="0" xfId="0" applyFont="1" applyFill="1" applyBorder="1" applyAlignment="1">
      <alignment horizontal="left"/>
    </xf>
    <xf numFmtId="0" fontId="29" fillId="0" borderId="13" xfId="0" applyFont="1" applyFill="1" applyBorder="1" applyAlignment="1">
      <alignment horizontal="left"/>
    </xf>
    <xf numFmtId="0" fontId="29" fillId="0" borderId="0" xfId="0" applyFont="1" applyBorder="1" applyAlignment="1">
      <alignment horizontal="center"/>
    </xf>
    <xf numFmtId="167" fontId="1" fillId="0" borderId="46" xfId="2" applyNumberFormat="1" applyFont="1" applyFill="1" applyBorder="1" applyAlignment="1" applyProtection="1">
      <alignment horizontal="center" vertical="top" wrapText="1"/>
    </xf>
    <xf numFmtId="167" fontId="1" fillId="0" borderId="47" xfId="2" applyNumberFormat="1" applyFont="1" applyFill="1" applyBorder="1" applyAlignment="1" applyProtection="1">
      <alignment horizontal="center" vertical="top" wrapText="1"/>
    </xf>
    <xf numFmtId="49" fontId="8" fillId="0" borderId="3" xfId="2" applyNumberFormat="1" applyFont="1" applyBorder="1" applyAlignment="1" applyProtection="1">
      <alignment horizontal="center" vertical="top"/>
    </xf>
    <xf numFmtId="49" fontId="8" fillId="0" borderId="5" xfId="2" applyNumberFormat="1" applyFont="1" applyBorder="1" applyAlignment="1" applyProtection="1">
      <alignment horizontal="center" vertical="top"/>
    </xf>
    <xf numFmtId="49" fontId="11" fillId="3" borderId="43" xfId="2" applyNumberFormat="1" applyFont="1" applyFill="1" applyBorder="1" applyAlignment="1" applyProtection="1">
      <alignment horizontal="center" vertical="center" wrapText="1"/>
    </xf>
    <xf numFmtId="49" fontId="11" fillId="3" borderId="36" xfId="2" applyNumberFormat="1" applyFont="1" applyFill="1" applyBorder="1" applyAlignment="1" applyProtection="1">
      <alignment horizontal="center" vertical="center" wrapText="1"/>
    </xf>
    <xf numFmtId="0" fontId="8" fillId="3" borderId="31" xfId="2" applyFont="1" applyFill="1" applyBorder="1" applyAlignment="1" applyProtection="1">
      <alignment horizontal="left" vertical="top" wrapText="1"/>
    </xf>
    <xf numFmtId="0" fontId="8" fillId="3" borderId="0" xfId="2" applyFont="1" applyFill="1" applyBorder="1" applyAlignment="1" applyProtection="1">
      <alignment horizontal="left" vertical="top" wrapText="1"/>
    </xf>
    <xf numFmtId="4" fontId="11" fillId="0" borderId="14" xfId="0" applyNumberFormat="1"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1" fontId="25" fillId="6" borderId="14" xfId="0" applyNumberFormat="1" applyFont="1" applyFill="1" applyBorder="1" applyAlignment="1" applyProtection="1">
      <alignment horizontal="center" vertical="center" wrapText="1"/>
    </xf>
    <xf numFmtId="1" fontId="25" fillId="6" borderId="57" xfId="0" applyNumberFormat="1" applyFont="1" applyFill="1" applyBorder="1" applyAlignment="1" applyProtection="1">
      <alignment horizontal="center" vertical="center" wrapText="1"/>
    </xf>
    <xf numFmtId="2" fontId="25" fillId="6" borderId="77" xfId="0" applyNumberFormat="1" applyFont="1" applyFill="1" applyBorder="1" applyAlignment="1" applyProtection="1">
      <alignment horizontal="center" vertical="center" wrapText="1"/>
    </xf>
    <xf numFmtId="2" fontId="25" fillId="6" borderId="186" xfId="0" applyNumberFormat="1" applyFont="1" applyFill="1" applyBorder="1" applyAlignment="1" applyProtection="1">
      <alignment horizontal="center" vertical="center" wrapText="1"/>
    </xf>
    <xf numFmtId="2" fontId="18" fillId="6" borderId="23" xfId="0" applyNumberFormat="1" applyFont="1" applyFill="1" applyBorder="1" applyAlignment="1" applyProtection="1">
      <alignment horizontal="center" vertical="center" wrapText="1"/>
    </xf>
    <xf numFmtId="175" fontId="25" fillId="6" borderId="57" xfId="0" applyNumberFormat="1" applyFont="1" applyFill="1" applyBorder="1" applyAlignment="1" applyProtection="1">
      <alignment horizontal="center" vertical="center" wrapText="1"/>
    </xf>
    <xf numFmtId="2" fontId="25" fillId="6" borderId="57" xfId="0" applyNumberFormat="1" applyFont="1" applyFill="1" applyBorder="1" applyAlignment="1" applyProtection="1">
      <alignment horizontal="center" vertical="center" wrapText="1"/>
    </xf>
    <xf numFmtId="1" fontId="0" fillId="0" borderId="4" xfId="0" applyNumberFormat="1" applyFill="1" applyBorder="1" applyAlignment="1" applyProtection="1">
      <alignment horizontal="left" vertical="top"/>
    </xf>
    <xf numFmtId="1" fontId="25" fillId="6" borderId="16" xfId="0" applyNumberFormat="1" applyFont="1" applyFill="1" applyBorder="1" applyAlignment="1" applyProtection="1">
      <alignment horizontal="center" vertical="center" wrapText="1"/>
    </xf>
    <xf numFmtId="169" fontId="0" fillId="6" borderId="16" xfId="0" applyNumberFormat="1" applyFill="1" applyBorder="1" applyAlignment="1" applyProtection="1">
      <alignment horizontal="center" vertical="center"/>
    </xf>
    <xf numFmtId="9" fontId="0" fillId="6" borderId="16" xfId="1" applyFont="1" applyFill="1" applyBorder="1" applyAlignment="1" applyProtection="1">
      <alignment horizontal="center" vertical="center"/>
    </xf>
    <xf numFmtId="1" fontId="0" fillId="0" borderId="16" xfId="0" applyNumberFormat="1" applyFill="1" applyBorder="1" applyAlignment="1" applyProtection="1">
      <alignment horizontal="left" vertical="top"/>
    </xf>
    <xf numFmtId="0" fontId="25" fillId="6" borderId="14" xfId="0" applyFont="1" applyFill="1" applyBorder="1" applyAlignment="1" applyProtection="1">
      <alignment horizontal="center" vertical="center" wrapText="1"/>
    </xf>
    <xf numFmtId="1" fontId="0" fillId="0" borderId="16" xfId="0" applyNumberFormat="1" applyBorder="1" applyAlignment="1" applyProtection="1">
      <alignment horizontal="left" vertical="top" wrapText="1"/>
    </xf>
    <xf numFmtId="1" fontId="0" fillId="0" borderId="5" xfId="0" applyNumberFormat="1" applyBorder="1" applyAlignment="1" applyProtection="1">
      <alignment horizontal="left" vertical="top" wrapText="1"/>
    </xf>
    <xf numFmtId="1" fontId="13" fillId="0" borderId="5" xfId="0" applyNumberFormat="1" applyFont="1" applyBorder="1" applyAlignment="1" applyProtection="1">
      <alignment horizontal="left" vertical="top" wrapText="1"/>
    </xf>
    <xf numFmtId="0" fontId="11" fillId="0" borderId="76" xfId="0" applyFont="1" applyBorder="1" applyAlignment="1" applyProtection="1">
      <alignment vertical="center" wrapText="1"/>
    </xf>
    <xf numFmtId="175" fontId="25" fillId="6" borderId="14" xfId="0" applyNumberFormat="1"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1" fontId="0" fillId="0" borderId="17" xfId="0" applyNumberFormat="1" applyFill="1" applyBorder="1" applyAlignment="1" applyProtection="1">
      <alignment vertical="center"/>
    </xf>
    <xf numFmtId="171" fontId="25" fillId="6" borderId="16" xfId="0" applyNumberFormat="1" applyFont="1" applyFill="1" applyBorder="1" applyAlignment="1" applyProtection="1">
      <alignment horizontal="center" vertical="center" wrapText="1"/>
    </xf>
    <xf numFmtId="9" fontId="25" fillId="6" borderId="84" xfId="1" applyFont="1" applyFill="1" applyBorder="1" applyAlignment="1" applyProtection="1">
      <alignment horizontal="center" vertical="center" wrapText="1"/>
    </xf>
    <xf numFmtId="9" fontId="25" fillId="6" borderId="84" xfId="1" applyNumberFormat="1" applyFont="1" applyFill="1" applyBorder="1" applyAlignment="1" applyProtection="1">
      <alignment horizontal="center" vertical="center" wrapText="1"/>
    </xf>
    <xf numFmtId="1" fontId="0" fillId="0" borderId="13" xfId="0" applyNumberFormat="1" applyFill="1" applyBorder="1" applyAlignment="1" applyProtection="1">
      <alignment vertical="center"/>
    </xf>
    <xf numFmtId="171" fontId="25" fillId="6" borderId="32" xfId="0" applyNumberFormat="1" applyFont="1" applyFill="1" applyBorder="1" applyAlignment="1" applyProtection="1">
      <alignment horizontal="center" vertical="center" wrapText="1"/>
    </xf>
    <xf numFmtId="1" fontId="0" fillId="0" borderId="44" xfId="0" applyNumberFormat="1" applyFill="1" applyBorder="1" applyAlignment="1" applyProtection="1">
      <alignment vertical="center"/>
    </xf>
    <xf numFmtId="171" fontId="25" fillId="6" borderId="51" xfId="0" applyNumberFormat="1" applyFont="1" applyFill="1" applyBorder="1" applyAlignment="1" applyProtection="1">
      <alignment horizontal="center" vertical="center" wrapText="1"/>
    </xf>
    <xf numFmtId="169" fontId="25" fillId="6" borderId="50" xfId="0" applyNumberFormat="1" applyFont="1" applyFill="1" applyBorder="1" applyAlignment="1" applyProtection="1">
      <alignment horizontal="center" vertical="center" wrapText="1"/>
    </xf>
    <xf numFmtId="9" fontId="8" fillId="6" borderId="16" xfId="1" applyFont="1" applyFill="1" applyBorder="1" applyAlignment="1" applyProtection="1">
      <alignment horizontal="center" vertical="center"/>
    </xf>
    <xf numFmtId="1" fontId="0" fillId="0" borderId="13" xfId="0" applyNumberFormat="1" applyFill="1" applyBorder="1" applyAlignment="1" applyProtection="1">
      <alignment horizontal="center" vertical="center"/>
    </xf>
    <xf numFmtId="1" fontId="0" fillId="0" borderId="44" xfId="0" applyNumberFormat="1" applyFill="1" applyBorder="1" applyAlignment="1" applyProtection="1">
      <alignment horizontal="center" vertical="center"/>
    </xf>
    <xf numFmtId="1" fontId="13" fillId="0" borderId="0" xfId="0" applyNumberFormat="1" applyFont="1" applyBorder="1" applyAlignment="1" applyProtection="1">
      <alignment horizontal="center" vertical="center" wrapText="1"/>
    </xf>
    <xf numFmtId="169" fontId="0" fillId="6" borderId="68" xfId="1" applyNumberFormat="1" applyFont="1" applyFill="1" applyBorder="1" applyAlignment="1" applyProtection="1">
      <alignment horizontal="center" vertical="center"/>
    </xf>
    <xf numFmtId="169" fontId="0" fillId="6" borderId="68" xfId="1" applyNumberFormat="1" applyFont="1" applyFill="1" applyBorder="1" applyAlignment="1" applyProtection="1">
      <alignment vertical="center"/>
    </xf>
    <xf numFmtId="1" fontId="23" fillId="0" borderId="17" xfId="0" applyNumberFormat="1" applyFont="1" applyFill="1" applyBorder="1" applyProtection="1"/>
    <xf numFmtId="171" fontId="25" fillId="6" borderId="50" xfId="0" applyNumberFormat="1" applyFont="1" applyFill="1" applyBorder="1" applyAlignment="1" applyProtection="1">
      <alignment horizontal="center" vertical="center" wrapText="1"/>
    </xf>
    <xf numFmtId="1" fontId="23" fillId="0" borderId="13" xfId="0" applyNumberFormat="1" applyFont="1" applyFill="1" applyBorder="1" applyProtection="1"/>
    <xf numFmtId="175" fontId="25" fillId="6" borderId="32" xfId="0" applyNumberFormat="1" applyFont="1" applyFill="1" applyBorder="1" applyAlignment="1" applyProtection="1">
      <alignment horizontal="center" vertical="center" wrapText="1"/>
    </xf>
    <xf numFmtId="9" fontId="25" fillId="6" borderId="32" xfId="1" applyFont="1" applyFill="1" applyBorder="1" applyAlignment="1" applyProtection="1">
      <alignment horizontal="center" vertical="center" wrapText="1"/>
    </xf>
    <xf numFmtId="1" fontId="23" fillId="0" borderId="44" xfId="0" applyNumberFormat="1" applyFont="1" applyFill="1" applyBorder="1" applyProtection="1"/>
    <xf numFmtId="1" fontId="23" fillId="0" borderId="44" xfId="0" applyNumberFormat="1" applyFont="1" applyBorder="1" applyAlignment="1" applyProtection="1">
      <alignment horizontal="center" vertical="top" wrapText="1"/>
    </xf>
    <xf numFmtId="1" fontId="23" fillId="0" borderId="44" xfId="0" applyNumberFormat="1" applyFont="1" applyBorder="1" applyAlignment="1" applyProtection="1">
      <alignment horizontal="center" vertical="center" wrapText="1"/>
    </xf>
    <xf numFmtId="175" fontId="23" fillId="0" borderId="82" xfId="0" applyNumberFormat="1" applyFont="1" applyBorder="1" applyAlignment="1" applyProtection="1">
      <alignment vertical="center"/>
    </xf>
    <xf numFmtId="1" fontId="18" fillId="0" borderId="0" xfId="0" applyNumberFormat="1" applyFont="1" applyBorder="1" applyAlignment="1" applyProtection="1">
      <alignment vertical="top" wrapText="1"/>
    </xf>
    <xf numFmtId="0" fontId="23" fillId="0" borderId="2" xfId="0" applyFont="1" applyBorder="1" applyProtection="1"/>
    <xf numFmtId="171" fontId="25" fillId="6" borderId="65" xfId="0" applyNumberFormat="1" applyFont="1" applyFill="1" applyBorder="1" applyAlignment="1" applyProtection="1">
      <alignment horizontal="center" vertical="center" wrapText="1"/>
    </xf>
    <xf numFmtId="0" fontId="25" fillId="0" borderId="0" xfId="0" applyFont="1" applyBorder="1" applyAlignment="1" applyProtection="1">
      <alignment horizontal="center" vertical="center" wrapText="1"/>
    </xf>
    <xf numFmtId="0" fontId="0" fillId="0" borderId="13" xfId="0" applyFill="1" applyBorder="1" applyAlignment="1" applyProtection="1">
      <alignment vertical="top"/>
    </xf>
    <xf numFmtId="169" fontId="25" fillId="6" borderId="14" xfId="0" applyNumberFormat="1" applyFont="1" applyFill="1" applyBorder="1" applyAlignment="1" applyProtection="1">
      <alignment horizontal="center" vertical="top" wrapText="1"/>
    </xf>
    <xf numFmtId="9" fontId="25" fillId="6" borderId="14" xfId="1" applyNumberFormat="1" applyFont="1" applyFill="1" applyBorder="1" applyAlignment="1" applyProtection="1">
      <alignment horizontal="center" vertical="top" wrapText="1"/>
    </xf>
    <xf numFmtId="0" fontId="0" fillId="0" borderId="0" xfId="0" applyFill="1" applyBorder="1" applyAlignment="1" applyProtection="1">
      <alignment vertical="top"/>
    </xf>
    <xf numFmtId="4" fontId="0" fillId="0" borderId="31" xfId="0" applyNumberFormat="1" applyFill="1" applyBorder="1" applyAlignment="1" applyProtection="1">
      <alignment vertical="top"/>
    </xf>
    <xf numFmtId="4" fontId="0" fillId="0" borderId="0" xfId="0" applyNumberFormat="1" applyFill="1" applyBorder="1" applyAlignment="1" applyProtection="1">
      <alignment vertical="top"/>
    </xf>
    <xf numFmtId="4" fontId="0" fillId="0" borderId="13" xfId="0" applyNumberFormat="1" applyFill="1" applyBorder="1" applyProtection="1"/>
    <xf numFmtId="4" fontId="0" fillId="0" borderId="13" xfId="0" applyNumberFormat="1" applyFill="1" applyBorder="1" applyAlignment="1" applyProtection="1">
      <alignment vertical="top"/>
    </xf>
    <xf numFmtId="4" fontId="0" fillId="0" borderId="13" xfId="0" applyNumberFormat="1" applyFill="1" applyBorder="1" applyAlignment="1" applyProtection="1">
      <alignment vertical="center"/>
    </xf>
    <xf numFmtId="9" fontId="25" fillId="6" borderId="14" xfId="1" applyNumberFormat="1" applyFont="1" applyFill="1" applyBorder="1" applyAlignment="1" applyProtection="1">
      <alignment horizontal="center" vertical="center" wrapText="1"/>
    </xf>
    <xf numFmtId="0" fontId="0" fillId="0" borderId="0" xfId="0" applyAlignment="1" applyProtection="1">
      <alignment horizontal="center" vertical="top" wrapText="1"/>
    </xf>
    <xf numFmtId="1" fontId="1" fillId="0" borderId="0" xfId="0" applyNumberFormat="1" applyFont="1" applyBorder="1" applyAlignment="1" applyProtection="1">
      <alignment horizontal="center" vertical="center" wrapText="1"/>
    </xf>
    <xf numFmtId="3" fontId="25" fillId="6" borderId="14" xfId="0" applyNumberFormat="1" applyFont="1" applyFill="1" applyBorder="1" applyAlignment="1" applyProtection="1">
      <alignment horizontal="center" vertical="center" wrapText="1"/>
    </xf>
    <xf numFmtId="168" fontId="25" fillId="6" borderId="77" xfId="0" applyNumberFormat="1" applyFont="1" applyFill="1" applyBorder="1" applyAlignment="1" applyProtection="1">
      <alignment horizontal="center" vertical="center" wrapText="1"/>
    </xf>
    <xf numFmtId="4" fontId="0" fillId="0" borderId="9" xfId="0" applyNumberFormat="1" applyFill="1" applyBorder="1" applyProtection="1"/>
    <xf numFmtId="4" fontId="0" fillId="0" borderId="0" xfId="0" applyNumberFormat="1" applyFill="1" applyBorder="1" applyProtection="1"/>
    <xf numFmtId="0" fontId="0" fillId="0" borderId="0" xfId="0" applyBorder="1" applyAlignment="1" applyProtection="1">
      <alignment horizontal="center" vertical="top" wrapText="1"/>
    </xf>
    <xf numFmtId="4" fontId="0" fillId="0" borderId="52" xfId="0" applyNumberFormat="1" applyFill="1" applyBorder="1" applyAlignment="1" applyProtection="1">
      <alignment horizontal="center" vertical="top"/>
    </xf>
    <xf numFmtId="1" fontId="0" fillId="0" borderId="30" xfId="0" applyNumberFormat="1" applyFill="1" applyBorder="1" applyAlignment="1" applyProtection="1">
      <alignment vertical="center"/>
    </xf>
    <xf numFmtId="169" fontId="25" fillId="6" borderId="16" xfId="0" applyNumberFormat="1" applyFont="1" applyFill="1" applyBorder="1" applyAlignment="1" applyProtection="1">
      <alignment horizontal="center" vertical="center" wrapText="1"/>
    </xf>
    <xf numFmtId="9" fontId="25" fillId="6" borderId="16" xfId="1" applyFont="1" applyFill="1" applyBorder="1" applyAlignment="1" applyProtection="1">
      <alignment horizontal="center" vertical="center" wrapText="1"/>
    </xf>
    <xf numFmtId="1" fontId="13" fillId="0" borderId="31" xfId="0" applyNumberFormat="1" applyFont="1" applyBorder="1" applyAlignment="1" applyProtection="1">
      <alignment vertical="center" wrapText="1"/>
    </xf>
    <xf numFmtId="0" fontId="0" fillId="0" borderId="31" xfId="0" applyBorder="1" applyAlignment="1" applyProtection="1">
      <alignment vertical="center"/>
    </xf>
    <xf numFmtId="0" fontId="0" fillId="0" borderId="6" xfId="0" applyBorder="1" applyAlignment="1" applyProtection="1">
      <alignment vertical="center"/>
    </xf>
    <xf numFmtId="169" fontId="25" fillId="6" borderId="106" xfId="0" applyNumberFormat="1" applyFont="1" applyFill="1" applyBorder="1" applyAlignment="1" applyProtection="1">
      <alignment horizontal="center" vertical="center" wrapText="1"/>
    </xf>
    <xf numFmtId="1" fontId="25" fillId="6" borderId="77" xfId="0" applyNumberFormat="1" applyFont="1" applyFill="1" applyBorder="1" applyAlignment="1" applyProtection="1">
      <alignment horizontal="center" vertical="center" wrapText="1"/>
    </xf>
    <xf numFmtId="4" fontId="25" fillId="6" borderId="14" xfId="0" applyNumberFormat="1" applyFont="1" applyFill="1" applyBorder="1" applyAlignment="1" applyProtection="1">
      <alignment horizontal="center" vertical="center" wrapText="1"/>
    </xf>
    <xf numFmtId="2" fontId="22" fillId="0" borderId="14" xfId="0" applyNumberFormat="1" applyFont="1" applyFill="1" applyBorder="1" applyAlignment="1" applyProtection="1">
      <alignment horizontal="center" vertical="top" wrapText="1"/>
    </xf>
    <xf numFmtId="164" fontId="25" fillId="6" borderId="187" xfId="0" applyNumberFormat="1" applyFont="1" applyFill="1" applyBorder="1" applyAlignment="1" applyProtection="1">
      <alignment horizontal="center" vertical="top" wrapText="1"/>
    </xf>
    <xf numFmtId="3" fontId="25" fillId="6" borderId="14" xfId="0" applyNumberFormat="1" applyFont="1" applyFill="1" applyBorder="1" applyAlignment="1" applyProtection="1">
      <alignment horizontal="center" vertical="top" wrapText="1"/>
    </xf>
    <xf numFmtId="165" fontId="25" fillId="6" borderId="14" xfId="0" applyNumberFormat="1" applyFont="1" applyFill="1" applyBorder="1" applyAlignment="1" applyProtection="1">
      <alignment horizontal="center" vertical="top" wrapText="1"/>
    </xf>
    <xf numFmtId="10" fontId="25" fillId="6" borderId="14" xfId="0" applyNumberFormat="1" applyFont="1" applyFill="1" applyBorder="1" applyAlignment="1" applyProtection="1">
      <alignment horizontal="center" vertical="top" wrapText="1"/>
    </xf>
    <xf numFmtId="169" fontId="25" fillId="6" borderId="21" xfId="0" applyNumberFormat="1" applyFont="1" applyFill="1" applyBorder="1" applyAlignment="1" applyProtection="1">
      <alignment horizontal="center" vertical="center" wrapText="1"/>
    </xf>
    <xf numFmtId="2" fontId="25" fillId="0" borderId="14" xfId="0" applyNumberFormat="1" applyFont="1" applyFill="1" applyBorder="1" applyAlignment="1" applyProtection="1">
      <alignment horizontal="center" vertical="top" wrapText="1"/>
    </xf>
    <xf numFmtId="169" fontId="25" fillId="6" borderId="9" xfId="0" applyNumberFormat="1" applyFont="1" applyFill="1" applyBorder="1" applyAlignment="1" applyProtection="1">
      <alignment horizontal="center" vertical="center" wrapText="1"/>
    </xf>
    <xf numFmtId="169" fontId="25" fillId="6" borderId="56" xfId="0" applyNumberFormat="1" applyFont="1" applyFill="1" applyBorder="1" applyAlignment="1" applyProtection="1">
      <alignment horizontal="center" vertical="center" wrapText="1"/>
    </xf>
    <xf numFmtId="9" fontId="22" fillId="0" borderId="14" xfId="1" applyFont="1" applyFill="1" applyBorder="1" applyAlignment="1" applyProtection="1">
      <alignment horizontal="center" vertical="center" wrapText="1"/>
    </xf>
    <xf numFmtId="1" fontId="22" fillId="0" borderId="0" xfId="0" applyNumberFormat="1" applyFont="1" applyFill="1" applyBorder="1" applyAlignment="1" applyProtection="1">
      <alignment horizontal="center" vertical="top" wrapText="1"/>
    </xf>
    <xf numFmtId="9" fontId="25" fillId="6" borderId="14" xfId="1" applyFont="1" applyFill="1" applyBorder="1" applyAlignment="1" applyProtection="1">
      <alignment horizontal="center" vertical="top" wrapText="1"/>
    </xf>
    <xf numFmtId="0" fontId="0" fillId="0" borderId="13" xfId="0" applyFill="1" applyBorder="1" applyProtection="1"/>
    <xf numFmtId="169" fontId="25" fillId="6" borderId="57" xfId="0" applyNumberFormat="1" applyFont="1" applyFill="1" applyBorder="1" applyAlignment="1" applyProtection="1">
      <alignment horizontal="center" vertical="top" wrapText="1"/>
    </xf>
    <xf numFmtId="9" fontId="25" fillId="6" borderId="57" xfId="1" applyFont="1" applyFill="1" applyBorder="1" applyAlignment="1" applyProtection="1">
      <alignment horizontal="center" vertical="top" wrapText="1"/>
    </xf>
    <xf numFmtId="0" fontId="0" fillId="6" borderId="111" xfId="0" applyFill="1" applyBorder="1" applyAlignment="1" applyProtection="1">
      <alignment horizontal="center" vertical="center" wrapText="1"/>
    </xf>
    <xf numFmtId="9" fontId="0" fillId="6" borderId="111" xfId="1" applyFont="1" applyFill="1" applyBorder="1" applyAlignment="1" applyProtection="1">
      <alignment horizontal="center" vertical="center" wrapText="1"/>
    </xf>
    <xf numFmtId="169" fontId="0" fillId="6" borderId="111" xfId="1" applyNumberFormat="1" applyFont="1" applyFill="1" applyBorder="1" applyAlignment="1" applyProtection="1">
      <alignment horizontal="center" vertical="center" wrapText="1"/>
    </xf>
    <xf numFmtId="169" fontId="0" fillId="6" borderId="142" xfId="1" applyNumberFormat="1" applyFont="1" applyFill="1" applyBorder="1" applyAlignment="1" applyProtection="1">
      <alignment horizontal="center" vertical="center" wrapText="1"/>
    </xf>
    <xf numFmtId="0" fontId="0" fillId="6" borderId="52" xfId="0" applyFill="1" applyBorder="1" applyAlignment="1" applyProtection="1">
      <alignment horizontal="center" vertical="center" wrapText="1"/>
    </xf>
    <xf numFmtId="9" fontId="0" fillId="6" borderId="52" xfId="1" applyFont="1" applyFill="1" applyBorder="1" applyAlignment="1" applyProtection="1">
      <alignment horizontal="center" vertical="center" wrapText="1"/>
    </xf>
    <xf numFmtId="0" fontId="0" fillId="6" borderId="107" xfId="0" applyFill="1" applyBorder="1" applyAlignment="1" applyProtection="1">
      <alignment horizontal="center" vertical="center" wrapText="1"/>
    </xf>
    <xf numFmtId="0" fontId="0" fillId="0" borderId="2" xfId="0" applyBorder="1" applyAlignment="1" applyProtection="1">
      <alignment vertical="top" wrapText="1"/>
    </xf>
    <xf numFmtId="167" fontId="0" fillId="6" borderId="107" xfId="0" applyNumberFormat="1" applyFill="1" applyBorder="1" applyAlignment="1" applyProtection="1">
      <alignment horizontal="center" vertical="center" wrapText="1"/>
    </xf>
    <xf numFmtId="2" fontId="25" fillId="6" borderId="51" xfId="0" applyNumberFormat="1" applyFont="1" applyFill="1" applyBorder="1" applyAlignment="1" applyProtection="1">
      <alignment horizontal="center" vertical="top" wrapText="1"/>
    </xf>
    <xf numFmtId="169" fontId="25" fillId="6" borderId="0" xfId="0" applyNumberFormat="1" applyFont="1" applyFill="1" applyBorder="1" applyAlignment="1" applyProtection="1">
      <alignment horizontal="center" vertical="center" wrapText="1"/>
    </xf>
    <xf numFmtId="1" fontId="0" fillId="0" borderId="9" xfId="0" applyNumberFormat="1" applyFill="1" applyBorder="1" applyAlignment="1" applyProtection="1">
      <alignment vertical="top"/>
    </xf>
    <xf numFmtId="171" fontId="25" fillId="6" borderId="9" xfId="0" applyNumberFormat="1" applyFont="1" applyFill="1" applyBorder="1" applyAlignment="1" applyProtection="1">
      <alignment horizontal="center" vertical="center" wrapText="1"/>
    </xf>
    <xf numFmtId="9" fontId="25" fillId="6" borderId="9" xfId="1" applyNumberFormat="1" applyFont="1" applyFill="1" applyBorder="1" applyAlignment="1" applyProtection="1">
      <alignment horizontal="center" vertical="center" wrapText="1"/>
    </xf>
    <xf numFmtId="1" fontId="13" fillId="0" borderId="9" xfId="0" applyNumberFormat="1" applyFont="1" applyBorder="1" applyAlignment="1" applyProtection="1">
      <alignment vertical="center" wrapText="1"/>
    </xf>
    <xf numFmtId="0" fontId="0" fillId="0" borderId="9" xfId="0" applyBorder="1" applyAlignment="1" applyProtection="1">
      <alignment vertical="center"/>
    </xf>
    <xf numFmtId="2" fontId="25" fillId="6" borderId="51" xfId="0" applyNumberFormat="1" applyFont="1" applyFill="1" applyBorder="1" applyAlignment="1" applyProtection="1">
      <alignment horizontal="center" vertical="center" wrapText="1"/>
    </xf>
    <xf numFmtId="0" fontId="54" fillId="6" borderId="52" xfId="0" applyFont="1" applyFill="1" applyBorder="1" applyAlignment="1" applyProtection="1">
      <alignment horizontal="center" vertical="center" wrapText="1"/>
    </xf>
    <xf numFmtId="0" fontId="54" fillId="6" borderId="134" xfId="0" applyFont="1" applyFill="1" applyBorder="1" applyAlignment="1" applyProtection="1">
      <alignment horizontal="center" vertical="center" wrapText="1"/>
    </xf>
    <xf numFmtId="0" fontId="54" fillId="6" borderId="135" xfId="0" applyFont="1" applyFill="1" applyBorder="1" applyAlignment="1" applyProtection="1">
      <alignment horizontal="center" vertical="center" wrapText="1"/>
    </xf>
    <xf numFmtId="0" fontId="54" fillId="6" borderId="137" xfId="0" applyFont="1" applyFill="1" applyBorder="1" applyAlignment="1" applyProtection="1">
      <alignment horizontal="center" vertical="center" wrapText="1"/>
    </xf>
    <xf numFmtId="0" fontId="54" fillId="6" borderId="128" xfId="0" applyFont="1" applyFill="1" applyBorder="1" applyAlignment="1" applyProtection="1">
      <alignment horizontal="center" vertical="center" wrapText="1"/>
    </xf>
    <xf numFmtId="169" fontId="25" fillId="6" borderId="184" xfId="0" applyNumberFormat="1" applyFont="1" applyFill="1" applyBorder="1" applyAlignment="1" applyProtection="1">
      <alignment horizontal="center" vertical="center" wrapText="1"/>
    </xf>
    <xf numFmtId="0" fontId="16" fillId="0" borderId="30" xfId="0" applyFont="1" applyBorder="1" applyAlignment="1" applyProtection="1">
      <alignment vertical="center" wrapText="1"/>
    </xf>
    <xf numFmtId="0" fontId="14" fillId="0" borderId="162" xfId="0" applyFont="1" applyBorder="1" applyAlignment="1" applyProtection="1">
      <alignment horizontal="center" vertical="center" wrapText="1"/>
    </xf>
    <xf numFmtId="0" fontId="14" fillId="0" borderId="163" xfId="0" applyFont="1" applyBorder="1" applyAlignment="1" applyProtection="1">
      <alignment horizontal="center" vertical="center" wrapText="1"/>
    </xf>
    <xf numFmtId="0" fontId="14" fillId="0" borderId="164" xfId="0" applyFont="1" applyBorder="1" applyAlignment="1" applyProtection="1">
      <alignment horizontal="center" vertical="center" wrapText="1"/>
    </xf>
    <xf numFmtId="0" fontId="14" fillId="2" borderId="0" xfId="0" applyFont="1" applyFill="1" applyBorder="1" applyAlignment="1" applyProtection="1">
      <alignment vertical="top" wrapText="1"/>
    </xf>
    <xf numFmtId="0" fontId="11" fillId="3" borderId="25" xfId="0" applyFont="1" applyFill="1" applyBorder="1" applyAlignment="1" applyProtection="1">
      <alignment horizontal="left" vertical="top" wrapText="1"/>
    </xf>
    <xf numFmtId="0" fontId="1" fillId="0" borderId="61" xfId="0" applyFont="1" applyBorder="1" applyAlignment="1" applyProtection="1">
      <alignment horizontal="center" vertical="center" wrapText="1"/>
    </xf>
    <xf numFmtId="9" fontId="1" fillId="0" borderId="61" xfId="1" applyFont="1" applyBorder="1" applyAlignment="1" applyProtection="1">
      <alignment horizontal="center" vertical="center" wrapText="1"/>
    </xf>
    <xf numFmtId="169" fontId="1" fillId="0" borderId="165" xfId="0" applyNumberFormat="1" applyFont="1" applyBorder="1" applyAlignment="1" applyProtection="1">
      <alignment horizontal="center" vertical="center" wrapText="1"/>
    </xf>
    <xf numFmtId="2" fontId="8" fillId="0" borderId="14" xfId="0" applyNumberFormat="1" applyFont="1" applyFill="1" applyBorder="1" applyAlignment="1" applyProtection="1">
      <alignment horizontal="center" vertical="center" wrapText="1"/>
    </xf>
    <xf numFmtId="0" fontId="1" fillId="0" borderId="30" xfId="0" applyFont="1" applyBorder="1" applyAlignment="1" applyProtection="1">
      <alignment horizontal="center" vertical="center" wrapText="1"/>
    </xf>
    <xf numFmtId="169" fontId="1" fillId="0" borderId="0" xfId="0" applyNumberFormat="1" applyFont="1" applyBorder="1" applyAlignment="1" applyProtection="1">
      <alignment horizontal="center" vertical="center" wrapText="1"/>
    </xf>
    <xf numFmtId="9" fontId="1" fillId="0" borderId="0" xfId="1" applyFont="1" applyBorder="1" applyAlignment="1" applyProtection="1">
      <alignment horizontal="center" vertical="center" wrapText="1"/>
    </xf>
    <xf numFmtId="169" fontId="1" fillId="0" borderId="13" xfId="0" applyNumberFormat="1" applyFont="1" applyBorder="1" applyAlignment="1" applyProtection="1">
      <alignment horizontal="center" vertical="center" wrapText="1"/>
    </xf>
    <xf numFmtId="9" fontId="25" fillId="6" borderId="77" xfId="1" applyFont="1" applyFill="1" applyBorder="1" applyAlignment="1" applyProtection="1">
      <alignment horizontal="center" vertical="center" wrapText="1"/>
    </xf>
    <xf numFmtId="169" fontId="25" fillId="6" borderId="77" xfId="0" applyNumberFormat="1" applyFont="1" applyFill="1" applyBorder="1" applyAlignment="1" applyProtection="1">
      <alignment horizontal="center" vertical="center" wrapText="1"/>
    </xf>
    <xf numFmtId="169" fontId="25" fillId="0" borderId="104" xfId="0" applyNumberFormat="1" applyFont="1" applyFill="1" applyBorder="1" applyAlignment="1" applyProtection="1">
      <alignment horizontal="center" vertical="center" wrapText="1"/>
    </xf>
    <xf numFmtId="2" fontId="25" fillId="6" borderId="58" xfId="0" applyNumberFormat="1" applyFont="1" applyFill="1" applyBorder="1" applyAlignment="1" applyProtection="1">
      <alignment horizontal="center" vertical="center" wrapText="1"/>
    </xf>
    <xf numFmtId="2" fontId="11" fillId="0" borderId="14" xfId="0" applyNumberFormat="1" applyFont="1" applyFill="1" applyBorder="1" applyAlignment="1" applyProtection="1">
      <alignment horizontal="center" vertical="center" wrapText="1"/>
    </xf>
    <xf numFmtId="0" fontId="0" fillId="0" borderId="2" xfId="0" applyBorder="1" applyAlignment="1" applyProtection="1">
      <alignment horizontal="center" vertical="center" wrapText="1"/>
    </xf>
    <xf numFmtId="169" fontId="25" fillId="6" borderId="23" xfId="0" applyNumberFormat="1" applyFont="1" applyFill="1" applyBorder="1" applyAlignment="1" applyProtection="1">
      <alignment horizontal="center" vertical="center" wrapText="1"/>
    </xf>
    <xf numFmtId="169" fontId="25" fillId="6" borderId="166" xfId="0" applyNumberFormat="1" applyFont="1" applyFill="1" applyBorder="1" applyAlignment="1" applyProtection="1">
      <alignment horizontal="center" vertical="center" wrapText="1"/>
    </xf>
    <xf numFmtId="9" fontId="25" fillId="6" borderId="166" xfId="1" applyFont="1" applyFill="1" applyBorder="1" applyAlignment="1" applyProtection="1">
      <alignment horizontal="center" vertical="center" wrapText="1"/>
    </xf>
    <xf numFmtId="169" fontId="25" fillId="0" borderId="105" xfId="0" applyNumberFormat="1" applyFont="1" applyFill="1" applyBorder="1" applyAlignment="1" applyProtection="1">
      <alignment horizontal="center" vertical="center" wrapText="1"/>
    </xf>
    <xf numFmtId="2" fontId="25" fillId="34" borderId="14" xfId="0" applyNumberFormat="1" applyFont="1" applyFill="1" applyBorder="1" applyAlignment="1" applyProtection="1">
      <alignment horizontal="center" vertical="top" wrapText="1"/>
    </xf>
    <xf numFmtId="2" fontId="25" fillId="34" borderId="21" xfId="0" applyNumberFormat="1" applyFont="1" applyFill="1" applyBorder="1" applyAlignment="1" applyProtection="1">
      <alignment horizontal="center" vertical="top" wrapText="1"/>
    </xf>
    <xf numFmtId="0" fontId="13" fillId="6" borderId="9" xfId="2" applyFont="1" applyFill="1" applyBorder="1" applyAlignment="1" applyProtection="1">
      <alignment horizontal="center"/>
    </xf>
  </cellXfs>
  <cellStyles count="11">
    <cellStyle name="Hyperlink" xfId="5" builtinId="8"/>
    <cellStyle name="Hyperlink 2" xfId="8" xr:uid="{449BD328-DB53-4932-A37B-C2FCF9069C09}"/>
    <cellStyle name="Komma 2" xfId="4" xr:uid="{00000000-0005-0000-0000-000001000000}"/>
    <cellStyle name="Normal 2" xfId="6" xr:uid="{00000000-0005-0000-0000-000002000000}"/>
    <cellStyle name="Procent" xfId="1" builtinId="5"/>
    <cellStyle name="Standaard" xfId="0" builtinId="0"/>
    <cellStyle name="Standaard 2" xfId="2" xr:uid="{00000000-0005-0000-0000-000005000000}"/>
    <cellStyle name="Standaard 2 2" xfId="10" xr:uid="{4657633A-2978-4C62-828D-27CEA50298CF}"/>
    <cellStyle name="Standaard 3" xfId="3" xr:uid="{00000000-0005-0000-0000-000006000000}"/>
    <cellStyle name="Standaard 4" xfId="7" xr:uid="{271B4B0F-91AB-41C4-8AB5-460B4A94203E}"/>
    <cellStyle name="Standard_Tabelle3" xfId="9" xr:uid="{000608AC-0603-41D9-94A4-406E17CA8744}"/>
  </cellStyles>
  <dxfs count="0"/>
  <tableStyles count="0" defaultTableStyle="TableStyleMedium2" defaultPivotStyle="PivotStyleLight16"/>
  <colors>
    <mruColors>
      <color rgb="FFFF9F9F"/>
      <color rgb="FFB3E6FF"/>
      <color rgb="FFF7E9EC"/>
      <color rgb="FFFFE6D5"/>
      <color rgb="FFCCFFCC"/>
      <color rgb="FFFFFFFF"/>
      <color rgb="FFE7FFEF"/>
      <color rgb="FFFDD0C7"/>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trlProps/ctrlProp1.xml><?xml version="1.0" encoding="utf-8"?>
<formControlPr xmlns="http://schemas.microsoft.com/office/spreadsheetml/2009/9/main" objectType="Drop" dropLines="20" dropStyle="combo" dx="31" fmlaLink="$F$4" fmlaRange="Data!$C$2:$C$194" noThreeD="1" sel="2" val="0"/>
</file>

<file path=xl/ctrlProps/ctrlProp10.xml><?xml version="1.0" encoding="utf-8"?>
<formControlPr xmlns="http://schemas.microsoft.com/office/spreadsheetml/2009/9/main" objectType="Drop" dropLines="3" dropStyle="combo" dx="31" fmlaLink="$F$7" fmlaRange="Data!$M$2:$M$4" noThreeD="1" sel="1" val="0"/>
</file>

<file path=xl/ctrlProps/ctrlProp100.xml><?xml version="1.0" encoding="utf-8"?>
<formControlPr xmlns="http://schemas.microsoft.com/office/spreadsheetml/2009/9/main" objectType="Drop" dropLines="50" dropStyle="combo" dx="31" fmlaLink="G15" fmlaRange="$Z$4:$Z$7152" noThreeD="1" sel="1" val="0"/>
</file>

<file path=xl/ctrlProps/ctrlProp101.xml><?xml version="1.0" encoding="utf-8"?>
<formControlPr xmlns="http://schemas.microsoft.com/office/spreadsheetml/2009/9/main" objectType="Drop" dropLines="50" dropStyle="combo" dx="31" fmlaLink="G16" fmlaRange="$Z$4:$Z$7152" noThreeD="1" sel="1" val="0"/>
</file>

<file path=xl/ctrlProps/ctrlProp102.xml><?xml version="1.0" encoding="utf-8"?>
<formControlPr xmlns="http://schemas.microsoft.com/office/spreadsheetml/2009/9/main" objectType="Drop" dropLines="50" dropStyle="combo" dx="31" fmlaLink="G17" fmlaRange="$Z$4:$Z$7152" noThreeD="1" sel="1" val="0"/>
</file>

<file path=xl/ctrlProps/ctrlProp103.xml><?xml version="1.0" encoding="utf-8"?>
<formControlPr xmlns="http://schemas.microsoft.com/office/spreadsheetml/2009/9/main" objectType="Drop" dropLines="50" dropStyle="combo" dx="31" fmlaLink="G18" fmlaRange="$Z$4:$Z$7152" noThreeD="1" sel="1" val="0"/>
</file>

<file path=xl/ctrlProps/ctrlProp104.xml><?xml version="1.0" encoding="utf-8"?>
<formControlPr xmlns="http://schemas.microsoft.com/office/spreadsheetml/2009/9/main" objectType="Drop" dropLines="50" dropStyle="combo" dx="31" fmlaLink="G19" fmlaRange="$Z$4:$Z$7152" noThreeD="1" sel="1" val="0"/>
</file>

<file path=xl/ctrlProps/ctrlProp105.xml><?xml version="1.0" encoding="utf-8"?>
<formControlPr xmlns="http://schemas.microsoft.com/office/spreadsheetml/2009/9/main" objectType="Drop" dropLines="50" dropStyle="combo" dx="31" fmlaLink="G20" fmlaRange="$Z$4:$Z$7152" noThreeD="1" sel="1" val="0"/>
</file>

<file path=xl/ctrlProps/ctrlProp106.xml><?xml version="1.0" encoding="utf-8"?>
<formControlPr xmlns="http://schemas.microsoft.com/office/spreadsheetml/2009/9/main" objectType="Drop" dropLines="50" dropStyle="combo" dx="31" fmlaLink="G21" fmlaRange="$Z$4:$Z$7152" noThreeD="1" sel="1" val="0"/>
</file>

<file path=xl/ctrlProps/ctrlProp107.xml><?xml version="1.0" encoding="utf-8"?>
<formControlPr xmlns="http://schemas.microsoft.com/office/spreadsheetml/2009/9/main" objectType="Drop" dropLines="50" dropStyle="combo" dx="31" fmlaLink="G22" fmlaRange="$Z$4:$Z$7152" noThreeD="1" sel="1" val="0"/>
</file>

<file path=xl/ctrlProps/ctrlProp108.xml><?xml version="1.0" encoding="utf-8"?>
<formControlPr xmlns="http://schemas.microsoft.com/office/spreadsheetml/2009/9/main" objectType="Drop" dropLines="50" dropStyle="combo" dx="31" fmlaLink="G23" fmlaRange="$Z$4:$Z$7152" noThreeD="1" sel="1" val="0"/>
</file>

<file path=xl/ctrlProps/ctrlProp109.xml><?xml version="1.0" encoding="utf-8"?>
<formControlPr xmlns="http://schemas.microsoft.com/office/spreadsheetml/2009/9/main" objectType="Drop" dropLines="50" dropStyle="combo" dx="31" fmlaLink="G6" fmlaRange="$Z$4:$Z$4238" noThreeD="1" sel="1" val="0"/>
</file>

<file path=xl/ctrlProps/ctrlProp11.xml><?xml version="1.0" encoding="utf-8"?>
<formControlPr xmlns="http://schemas.microsoft.com/office/spreadsheetml/2009/9/main" objectType="Drop" dropLines="15" dropStyle="combo" dx="31" fmlaLink="$F$28" fmlaRange="Data!$C$2:$C$194" noThreeD="1" sel="1" val="0"/>
</file>

<file path=xl/ctrlProps/ctrlProp110.xml><?xml version="1.0" encoding="utf-8"?>
<formControlPr xmlns="http://schemas.microsoft.com/office/spreadsheetml/2009/9/main" objectType="Drop" dropLines="50" dropStyle="combo" dx="31" fmlaLink="L6" fmlaRange="$AE$4:$AE$4238" noThreeD="1" sel="1" val="0"/>
</file>

<file path=xl/ctrlProps/ctrlProp111.xml><?xml version="1.0" encoding="utf-8"?>
<formControlPr xmlns="http://schemas.microsoft.com/office/spreadsheetml/2009/9/main" objectType="Drop" dropLines="50" dropStyle="combo" dx="31" fmlaLink="B7" fmlaRange="$U$4:$U$4238" noThreeD="1" sel="1" val="0"/>
</file>

<file path=xl/ctrlProps/ctrlProp112.xml><?xml version="1.0" encoding="utf-8"?>
<formControlPr xmlns="http://schemas.microsoft.com/office/spreadsheetml/2009/9/main" objectType="Drop" dropLines="50" dropStyle="combo" dx="31" fmlaLink="B29" fmlaRange="$J$29:$J$41" noThreeD="1" sel="1" val="0"/>
</file>

<file path=xl/ctrlProps/ctrlProp113.xml><?xml version="1.0" encoding="utf-8"?>
<formControlPr xmlns="http://schemas.microsoft.com/office/spreadsheetml/2009/9/main" objectType="Drop" dropLines="50" dropStyle="combo" dx="31" fmlaLink="B31" fmlaRange="$J$29:$J$41" noThreeD="1" sel="1" val="0"/>
</file>

<file path=xl/ctrlProps/ctrlProp114.xml><?xml version="1.0" encoding="utf-8"?>
<formControlPr xmlns="http://schemas.microsoft.com/office/spreadsheetml/2009/9/main" objectType="Drop" dropLines="50" dropStyle="combo" dx="31" fmlaLink="B30" fmlaRange="$J$29:$J$41" noThreeD="1" sel="1" val="0"/>
</file>

<file path=xl/ctrlProps/ctrlProp115.xml><?xml version="1.0" encoding="utf-8"?>
<formControlPr xmlns="http://schemas.microsoft.com/office/spreadsheetml/2009/9/main" objectType="Drop" dropLines="50" dropStyle="combo" dx="31" fmlaLink="B32" fmlaRange="$J$29:$J$41" noThreeD="1" sel="1" val="0"/>
</file>

<file path=xl/ctrlProps/ctrlProp116.xml><?xml version="1.0" encoding="utf-8"?>
<formControlPr xmlns="http://schemas.microsoft.com/office/spreadsheetml/2009/9/main" objectType="Drop" dropLines="50" dropStyle="combo" dx="31" fmlaLink="B33" fmlaRange="$J$29:$J$41" noThreeD="1" sel="1" val="0"/>
</file>

<file path=xl/ctrlProps/ctrlProp117.xml><?xml version="1.0" encoding="utf-8"?>
<formControlPr xmlns="http://schemas.microsoft.com/office/spreadsheetml/2009/9/main" objectType="Drop" dropLines="50" dropStyle="combo" dx="31" fmlaLink="B34" fmlaRange="$J$29:$J$41" noThreeD="1" sel="1" val="0"/>
</file>

<file path=xl/ctrlProps/ctrlProp118.xml><?xml version="1.0" encoding="utf-8"?>
<formControlPr xmlns="http://schemas.microsoft.com/office/spreadsheetml/2009/9/main" objectType="Drop" dropLines="50" dropStyle="combo" dx="31" fmlaLink="B35" fmlaRange="$J$29:$J$41" noThreeD="1" sel="1" val="0"/>
</file>

<file path=xl/ctrlProps/ctrlProp119.xml><?xml version="1.0" encoding="utf-8"?>
<formControlPr xmlns="http://schemas.microsoft.com/office/spreadsheetml/2009/9/main" objectType="Drop" dropLines="50" dropStyle="combo" dx="31" fmlaLink="B36" fmlaRange="$J$29:$J$41" noThreeD="1" sel="1" val="0"/>
</file>

<file path=xl/ctrlProps/ctrlProp12.xml><?xml version="1.0" encoding="utf-8"?>
<formControlPr xmlns="http://schemas.microsoft.com/office/spreadsheetml/2009/9/main" objectType="Drop" dropLines="15" dropStyle="combo" dx="31" fmlaLink="$F$21" fmlaRange="Data!$C$2:$C$194" noThreeD="1" sel="1" val="0"/>
</file>

<file path=xl/ctrlProps/ctrlProp120.xml><?xml version="1.0" encoding="utf-8"?>
<formControlPr xmlns="http://schemas.microsoft.com/office/spreadsheetml/2009/9/main" objectType="Drop" dropLines="50" dropStyle="combo" dx="31" fmlaLink="B37" fmlaRange="$J$29:$J$41" noThreeD="1" sel="1" val="0"/>
</file>

<file path=xl/ctrlProps/ctrlProp121.xml><?xml version="1.0" encoding="utf-8"?>
<formControlPr xmlns="http://schemas.microsoft.com/office/spreadsheetml/2009/9/main" objectType="Drop" dropLines="50" dropStyle="combo" dx="31" fmlaLink="B38" fmlaRange="$J$29:$J$41" noThreeD="1" sel="1" val="0"/>
</file>

<file path=xl/ctrlProps/ctrlProp122.xml><?xml version="1.0" encoding="utf-8"?>
<formControlPr xmlns="http://schemas.microsoft.com/office/spreadsheetml/2009/9/main" objectType="Drop" dropLines="50" dropStyle="combo" dx="31" fmlaLink="B39" fmlaRange="$J$29:$J$41" noThreeD="1" sel="1" val="0"/>
</file>

<file path=xl/ctrlProps/ctrlProp123.xml><?xml version="1.0" encoding="utf-8"?>
<formControlPr xmlns="http://schemas.microsoft.com/office/spreadsheetml/2009/9/main" objectType="Drop" dropLines="50" dropStyle="combo" dx="31" fmlaLink="B40" fmlaRange="$J$29:$J$41" noThreeD="1" sel="1" val="0"/>
</file>

<file path=xl/ctrlProps/ctrlProp124.xml><?xml version="1.0" encoding="utf-8"?>
<formControlPr xmlns="http://schemas.microsoft.com/office/spreadsheetml/2009/9/main" objectType="Drop" dropLines="50" dropStyle="combo" dx="31" fmlaLink="B10" fmlaRange="$U$4:$U$4238" noThreeD="1" sel="1" val="0"/>
</file>

<file path=xl/ctrlProps/ctrlProp125.xml><?xml version="1.0" encoding="utf-8"?>
<formControlPr xmlns="http://schemas.microsoft.com/office/spreadsheetml/2009/9/main" objectType="Drop" dropLines="50" dropStyle="combo" dx="31" fmlaLink="G47" fmlaRange="'Idemat Data'!$J$4:$J$1123" noThreeD="1" sel="1" val="0"/>
</file>

<file path=xl/ctrlProps/ctrlProp126.xml><?xml version="1.0" encoding="utf-8"?>
<formControlPr xmlns="http://schemas.microsoft.com/office/spreadsheetml/2009/9/main" objectType="Drop" dropLines="50" dropStyle="combo" dx="31" fmlaLink="G48" fmlaRange="'Idemat Data'!$J$4:$J$1123" noThreeD="1" sel="1" val="0"/>
</file>

<file path=xl/ctrlProps/ctrlProp127.xml><?xml version="1.0" encoding="utf-8"?>
<formControlPr xmlns="http://schemas.microsoft.com/office/spreadsheetml/2009/9/main" objectType="Drop" dropLines="50" dropStyle="combo" dx="31" fmlaLink="G49" fmlaRange="'Idemat Data'!$J$4:$J$1123" noThreeD="1" sel="1" val="0"/>
</file>

<file path=xl/ctrlProps/ctrlProp128.xml><?xml version="1.0" encoding="utf-8"?>
<formControlPr xmlns="http://schemas.microsoft.com/office/spreadsheetml/2009/9/main" objectType="Drop" dropLines="40" dropStyle="combo" dx="31" fmlaLink="G50" fmlaRange="'Idemat Data'!$J$4:$J$1123" noThreeD="1" sel="1" val="0"/>
</file>

<file path=xl/ctrlProps/ctrlProp129.xml><?xml version="1.0" encoding="utf-8"?>
<formControlPr xmlns="http://schemas.microsoft.com/office/spreadsheetml/2009/9/main" objectType="Drop" dropLines="40" dropStyle="combo" dx="31" fmlaLink="G51" fmlaRange="'Idemat Data'!$J$4:$J$1123" noThreeD="1" sel="1" val="0"/>
</file>

<file path=xl/ctrlProps/ctrlProp13.xml><?xml version="1.0" encoding="utf-8"?>
<formControlPr xmlns="http://schemas.microsoft.com/office/spreadsheetml/2009/9/main" objectType="Drop" dropLines="15" dropStyle="combo" dx="31" fmlaLink="$F$22" fmlaRange="Data!$C$2:$C$194" noThreeD="1" sel="1" val="0"/>
</file>

<file path=xl/ctrlProps/ctrlProp130.xml><?xml version="1.0" encoding="utf-8"?>
<formControlPr xmlns="http://schemas.microsoft.com/office/spreadsheetml/2009/9/main" objectType="Drop" dropLines="40" dropStyle="combo" dx="31" fmlaLink="G52" fmlaRange="'Idemat Data'!$J$4:$J$1123" noThreeD="1" sel="1" val="0"/>
</file>

<file path=xl/ctrlProps/ctrlProp131.xml><?xml version="1.0" encoding="utf-8"?>
<formControlPr xmlns="http://schemas.microsoft.com/office/spreadsheetml/2009/9/main" objectType="Drop" dropLines="40" dropStyle="combo" dx="31" fmlaLink="G53" fmlaRange="'Idemat Data'!$J$4:$J$1123" noThreeD="1" sel="1" val="0"/>
</file>

<file path=xl/ctrlProps/ctrlProp132.xml><?xml version="1.0" encoding="utf-8"?>
<formControlPr xmlns="http://schemas.microsoft.com/office/spreadsheetml/2009/9/main" objectType="Drop" dropLines="50" dropStyle="combo" dx="31" fmlaLink="G54" fmlaRange="'Idemat Data'!$J$4:$J$1123" noThreeD="1" sel="1" val="0"/>
</file>

<file path=xl/ctrlProps/ctrlProp133.xml><?xml version="1.0" encoding="utf-8"?>
<formControlPr xmlns="http://schemas.microsoft.com/office/spreadsheetml/2009/9/main" objectType="Drop" dropLines="50" dropStyle="combo" dx="31" fmlaLink="G55" fmlaRange="'Idemat Data'!$J$4:$J$1123" noThreeD="1" sel="1" val="0"/>
</file>

<file path=xl/ctrlProps/ctrlProp134.xml><?xml version="1.0" encoding="utf-8"?>
<formControlPr xmlns="http://schemas.microsoft.com/office/spreadsheetml/2009/9/main" objectType="Drop" dropLines="50" dropStyle="combo" dx="31" fmlaLink="G56" fmlaRange="'Idemat Data'!$J$2:$J$1123" noThreeD="1" sel="3" val="0"/>
</file>

<file path=xl/ctrlProps/ctrlProp135.xml><?xml version="1.0" encoding="utf-8"?>
<formControlPr xmlns="http://schemas.microsoft.com/office/spreadsheetml/2009/9/main" objectType="Drop" dropLines="40" dropStyle="combo" dx="31" fmlaLink="G57" fmlaRange="'Idemat Data'!$J$4:$J$1123" noThreeD="1" sel="1" val="0"/>
</file>

<file path=xl/ctrlProps/ctrlProp136.xml><?xml version="1.0" encoding="utf-8"?>
<formControlPr xmlns="http://schemas.microsoft.com/office/spreadsheetml/2009/9/main" objectType="Drop" dropLines="40" dropStyle="combo" dx="31" fmlaLink="G58" fmlaRange="'Idemat Data'!$J$4:$J$1123" noThreeD="1" sel="1" val="0"/>
</file>

<file path=xl/ctrlProps/ctrlProp137.xml><?xml version="1.0" encoding="utf-8"?>
<formControlPr xmlns="http://schemas.microsoft.com/office/spreadsheetml/2009/9/main" objectType="Drop" dropLines="40" dropStyle="combo" dx="31" fmlaLink="G59" fmlaRange="'Idemat Data'!$J$4:$J$1123" noThreeD="1" sel="1" val="0"/>
</file>

<file path=xl/ctrlProps/ctrlProp138.xml><?xml version="1.0" encoding="utf-8"?>
<formControlPr xmlns="http://schemas.microsoft.com/office/spreadsheetml/2009/9/main" objectType="Drop" dropLines="40" dropStyle="combo" dx="31" fmlaLink="G60" fmlaRange="'Idemat Data'!$J$4:$J$1123" noThreeD="1" sel="1" val="0"/>
</file>

<file path=xl/ctrlProps/ctrlProp139.xml><?xml version="1.0" encoding="utf-8"?>
<formControlPr xmlns="http://schemas.microsoft.com/office/spreadsheetml/2009/9/main" objectType="Drop" dropLines="40" dropStyle="combo" dx="31" fmlaLink="G61" fmlaRange="'Idemat Data'!$J$4:$J$1123" noThreeD="1" sel="1" val="0"/>
</file>

<file path=xl/ctrlProps/ctrlProp14.xml><?xml version="1.0" encoding="utf-8"?>
<formControlPr xmlns="http://schemas.microsoft.com/office/spreadsheetml/2009/9/main" objectType="Drop" dropLines="15" dropStyle="combo" dx="31" fmlaLink="$F$23" fmlaRange="Data!$C$2:$C$194" noThreeD="1" sel="1" val="0"/>
</file>

<file path=xl/ctrlProps/ctrlProp140.xml><?xml version="1.0" encoding="utf-8"?>
<formControlPr xmlns="http://schemas.microsoft.com/office/spreadsheetml/2009/9/main" objectType="Drop" dropLines="40" dropStyle="combo" dx="31" fmlaLink="G62" fmlaRange="'Idemat Data'!$J$4:$J$1123" noThreeD="1" sel="1" val="0"/>
</file>

<file path=xl/ctrlProps/ctrlProp141.xml><?xml version="1.0" encoding="utf-8"?>
<formControlPr xmlns="http://schemas.microsoft.com/office/spreadsheetml/2009/9/main" objectType="Drop" dropLines="40" dropStyle="combo" dx="31" fmlaLink="G63" fmlaRange="'Idemat Data'!$J$4:$J$1123" noThreeD="1" sel="1" val="0"/>
</file>

<file path=xl/ctrlProps/ctrlProp142.xml><?xml version="1.0" encoding="utf-8"?>
<formControlPr xmlns="http://schemas.microsoft.com/office/spreadsheetml/2009/9/main" objectType="Drop" dropLines="40" dropStyle="combo" dx="31" fmlaLink="G64" fmlaRange="'Idemat Data'!$J$4:$J$1123" noThreeD="1" sel="1" val="0"/>
</file>

<file path=xl/ctrlProps/ctrlProp143.xml><?xml version="1.0" encoding="utf-8"?>
<formControlPr xmlns="http://schemas.microsoft.com/office/spreadsheetml/2009/9/main" objectType="Drop" dropLines="40" dropStyle="combo" dx="31" fmlaLink="G65" fmlaRange="'Idemat Data'!$J$4:$J$1123" noThreeD="1" sel="1" val="0"/>
</file>

<file path=xl/ctrlProps/ctrlProp144.xml><?xml version="1.0" encoding="utf-8"?>
<formControlPr xmlns="http://schemas.microsoft.com/office/spreadsheetml/2009/9/main" objectType="Drop" dropLines="40" dropStyle="combo" dx="31" fmlaLink="G66" fmlaRange="'Idemat Data'!$J$4:$J$1123" noThreeD="1" sel="1" val="0"/>
</file>

<file path=xl/ctrlProps/ctrlProp145.xml><?xml version="1.0" encoding="utf-8"?>
<formControlPr xmlns="http://schemas.microsoft.com/office/spreadsheetml/2009/9/main" objectType="Drop" dropLines="40" dropStyle="combo" dx="31" fmlaLink="G67" fmlaRange="'Idemat Data'!$J$4:$J$1123" noThreeD="1" sel="1" val="0"/>
</file>

<file path=xl/ctrlProps/ctrlProp146.xml><?xml version="1.0" encoding="utf-8"?>
<formControlPr xmlns="http://schemas.microsoft.com/office/spreadsheetml/2009/9/main" objectType="Drop" dropLines="50" dropStyle="combo" dx="31" fmlaLink="L47" fmlaRange="'Idemat Data'!$V$4:$V$1123" noThreeD="1" sel="1" val="0"/>
</file>

<file path=xl/ctrlProps/ctrlProp147.xml><?xml version="1.0" encoding="utf-8"?>
<formControlPr xmlns="http://schemas.microsoft.com/office/spreadsheetml/2009/9/main" objectType="Drop" dropLines="50" dropStyle="combo" dx="31" fmlaLink="L48" fmlaRange="'Idemat Data'!$V$4:$V$1123" noThreeD="1" sel="1" val="0"/>
</file>

<file path=xl/ctrlProps/ctrlProp148.xml><?xml version="1.0" encoding="utf-8"?>
<formControlPr xmlns="http://schemas.microsoft.com/office/spreadsheetml/2009/9/main" objectType="Drop" dropLines="50" dropStyle="combo" dx="31" fmlaLink="L49" fmlaRange="'Idemat Data'!$V$4:$V$1123" noThreeD="1" sel="1" val="0"/>
</file>

<file path=xl/ctrlProps/ctrlProp149.xml><?xml version="1.0" encoding="utf-8"?>
<formControlPr xmlns="http://schemas.microsoft.com/office/spreadsheetml/2009/9/main" objectType="Drop" dropLines="40" dropStyle="combo" dx="31" fmlaLink="L50" fmlaRange="'Idemat Data'!$V$4:$V$1123" noThreeD="1" sel="1" val="0"/>
</file>

<file path=xl/ctrlProps/ctrlProp15.xml><?xml version="1.0" encoding="utf-8"?>
<formControlPr xmlns="http://schemas.microsoft.com/office/spreadsheetml/2009/9/main" objectType="Drop" dropLines="15" dropStyle="combo" dx="31" fmlaLink="$F$24" fmlaRange="Data!$C$2:$C$194" noThreeD="1" sel="1" val="0"/>
</file>

<file path=xl/ctrlProps/ctrlProp150.xml><?xml version="1.0" encoding="utf-8"?>
<formControlPr xmlns="http://schemas.microsoft.com/office/spreadsheetml/2009/9/main" objectType="Drop" dropLines="40" dropStyle="combo" dx="31" fmlaLink="L51" fmlaRange="'Idemat Data'!$V$4:$V$1123" noThreeD="1" sel="1" val="0"/>
</file>

<file path=xl/ctrlProps/ctrlProp151.xml><?xml version="1.0" encoding="utf-8"?>
<formControlPr xmlns="http://schemas.microsoft.com/office/spreadsheetml/2009/9/main" objectType="Drop" dropLines="40" dropStyle="combo" dx="31" fmlaLink="L52" fmlaRange="'Idemat Data'!$V$4:$V$1123" noThreeD="1" sel="1" val="0"/>
</file>

<file path=xl/ctrlProps/ctrlProp152.xml><?xml version="1.0" encoding="utf-8"?>
<formControlPr xmlns="http://schemas.microsoft.com/office/spreadsheetml/2009/9/main" objectType="Drop" dropLines="40" dropStyle="combo" dx="31" fmlaLink="L53" fmlaRange="'Idemat Data'!$V$4:$V$1123" noThreeD="1" sel="1" val="0"/>
</file>

<file path=xl/ctrlProps/ctrlProp153.xml><?xml version="1.0" encoding="utf-8"?>
<formControlPr xmlns="http://schemas.microsoft.com/office/spreadsheetml/2009/9/main" objectType="Drop" dropLines="50" dropStyle="combo" dx="31" fmlaLink="L54" fmlaRange="'Idemat Data'!$V$4:$V$1123" noThreeD="1" sel="1" val="0"/>
</file>

<file path=xl/ctrlProps/ctrlProp154.xml><?xml version="1.0" encoding="utf-8"?>
<formControlPr xmlns="http://schemas.microsoft.com/office/spreadsheetml/2009/9/main" objectType="Drop" dropLines="50" dropStyle="combo" dx="31" fmlaLink="L55" fmlaRange="'Idemat Data'!$V$4:$V$1123" noThreeD="1" sel="1" val="0"/>
</file>

<file path=xl/ctrlProps/ctrlProp155.xml><?xml version="1.0" encoding="utf-8"?>
<formControlPr xmlns="http://schemas.microsoft.com/office/spreadsheetml/2009/9/main" objectType="Drop" dropLines="50" dropStyle="combo" dx="31" fmlaLink="G56" fmlaRange="'Idemat Data'!$J$2:$J$1123" noThreeD="1" sel="3" val="232"/>
</file>

<file path=xl/ctrlProps/ctrlProp156.xml><?xml version="1.0" encoding="utf-8"?>
<formControlPr xmlns="http://schemas.microsoft.com/office/spreadsheetml/2009/9/main" objectType="Drop" dropLines="50" dropStyle="combo" dx="31" fmlaLink="G56" fmlaRange="'Idemat Data'!$J$2:$J$1123" noThreeD="1" sel="3" val="232"/>
</file>

<file path=xl/ctrlProps/ctrlProp157.xml><?xml version="1.0" encoding="utf-8"?>
<formControlPr xmlns="http://schemas.microsoft.com/office/spreadsheetml/2009/9/main" objectType="Drop" dropLines="50" dropStyle="combo" dx="31" fmlaLink="L56" fmlaRange="'Idemat Data'!$V$4:$V$1123" noThreeD="1" sel="1" val="0"/>
</file>

<file path=xl/ctrlProps/ctrlProp158.xml><?xml version="1.0" encoding="utf-8"?>
<formControlPr xmlns="http://schemas.microsoft.com/office/spreadsheetml/2009/9/main" objectType="Drop" dropLines="40" dropStyle="combo" dx="31" fmlaLink="L57" fmlaRange="'Idemat Data'!$V$4:$V$1123" noThreeD="1" sel="1" val="0"/>
</file>

<file path=xl/ctrlProps/ctrlProp159.xml><?xml version="1.0" encoding="utf-8"?>
<formControlPr xmlns="http://schemas.microsoft.com/office/spreadsheetml/2009/9/main" objectType="Drop" dropLines="40" dropStyle="combo" dx="31" fmlaLink="L58" fmlaRange="'Idemat Data'!$V$4:$V$1123" noThreeD="1" sel="1" val="0"/>
</file>

<file path=xl/ctrlProps/ctrlProp16.xml><?xml version="1.0" encoding="utf-8"?>
<formControlPr xmlns="http://schemas.microsoft.com/office/spreadsheetml/2009/9/main" objectType="Drop" dropLines="3" dropStyle="combo" dx="31" fmlaLink="$F$9" fmlaRange="Data!$M$2:$M$4" noThreeD="1" sel="1" val="0"/>
</file>

<file path=xl/ctrlProps/ctrlProp160.xml><?xml version="1.0" encoding="utf-8"?>
<formControlPr xmlns="http://schemas.microsoft.com/office/spreadsheetml/2009/9/main" objectType="Drop" dropLines="40" dropStyle="combo" dx="31" fmlaLink="L59" fmlaRange="'Idemat Data'!$V$4:$V$1123" noThreeD="1" sel="1" val="0"/>
</file>

<file path=xl/ctrlProps/ctrlProp161.xml><?xml version="1.0" encoding="utf-8"?>
<formControlPr xmlns="http://schemas.microsoft.com/office/spreadsheetml/2009/9/main" objectType="Drop" dropLines="40" dropStyle="combo" dx="31" fmlaLink="L60" fmlaRange="'Idemat Data'!$V$4:$V$1123" noThreeD="1" sel="1" val="0"/>
</file>

<file path=xl/ctrlProps/ctrlProp162.xml><?xml version="1.0" encoding="utf-8"?>
<formControlPr xmlns="http://schemas.microsoft.com/office/spreadsheetml/2009/9/main" objectType="Drop" dropLines="40" dropStyle="combo" dx="31" fmlaLink="L61" fmlaRange="'Idemat Data'!$V$4:$V$1123" noThreeD="1" sel="1" val="0"/>
</file>

<file path=xl/ctrlProps/ctrlProp163.xml><?xml version="1.0" encoding="utf-8"?>
<formControlPr xmlns="http://schemas.microsoft.com/office/spreadsheetml/2009/9/main" objectType="Drop" dropLines="40" dropStyle="combo" dx="31" fmlaLink="L62" fmlaRange="'Idemat Data'!$V$4:$V$1123" noThreeD="1" sel="1" val="0"/>
</file>

<file path=xl/ctrlProps/ctrlProp164.xml><?xml version="1.0" encoding="utf-8"?>
<formControlPr xmlns="http://schemas.microsoft.com/office/spreadsheetml/2009/9/main" objectType="Drop" dropLines="40" dropStyle="combo" dx="31" fmlaLink="L63" fmlaRange="'Idemat Data'!$V$4:$V$1123" noThreeD="1" sel="1" val="0"/>
</file>

<file path=xl/ctrlProps/ctrlProp165.xml><?xml version="1.0" encoding="utf-8"?>
<formControlPr xmlns="http://schemas.microsoft.com/office/spreadsheetml/2009/9/main" objectType="Drop" dropLines="40" dropStyle="combo" dx="31" fmlaLink="L64" fmlaRange="'Idemat Data'!$V$4:$V$1123" noThreeD="1" sel="1" val="0"/>
</file>

<file path=xl/ctrlProps/ctrlProp166.xml><?xml version="1.0" encoding="utf-8"?>
<formControlPr xmlns="http://schemas.microsoft.com/office/spreadsheetml/2009/9/main" objectType="Drop" dropLines="40" dropStyle="combo" dx="31" fmlaLink="L65" fmlaRange="'Idemat Data'!$V$4:$V$1123" noThreeD="1" sel="1" val="0"/>
</file>

<file path=xl/ctrlProps/ctrlProp167.xml><?xml version="1.0" encoding="utf-8"?>
<formControlPr xmlns="http://schemas.microsoft.com/office/spreadsheetml/2009/9/main" objectType="Drop" dropLines="40" dropStyle="combo" dx="31" fmlaLink="L66" fmlaRange="'Idemat Data'!$V$4:$V$1123" noThreeD="1" sel="1" val="0"/>
</file>

<file path=xl/ctrlProps/ctrlProp168.xml><?xml version="1.0" encoding="utf-8"?>
<formControlPr xmlns="http://schemas.microsoft.com/office/spreadsheetml/2009/9/main" objectType="Drop" dropLines="40" dropStyle="combo" dx="31" fmlaLink="L67" fmlaRange="'Idemat Data'!$V$4:$V$1123" noThreeD="1" sel="1" val="0"/>
</file>

<file path=xl/ctrlProps/ctrlProp169.xml><?xml version="1.0" encoding="utf-8"?>
<formControlPr xmlns="http://schemas.microsoft.com/office/spreadsheetml/2009/9/main" objectType="Drop" dropLines="50" dropStyle="combo" dx="31" fmlaLink="G74" fmlaRange="'Idemat Data'!$J$4:$J$1123" noThreeD="1" sel="1" val="0"/>
</file>

<file path=xl/ctrlProps/ctrlProp17.xml><?xml version="1.0" encoding="utf-8"?>
<formControlPr xmlns="http://schemas.microsoft.com/office/spreadsheetml/2009/9/main" objectType="Drop" dropLines="3" dropStyle="combo" dx="31" fmlaLink="$F$20" fmlaRange="Data!$M$2:$M$4" noThreeD="1" sel="1" val="0"/>
</file>

<file path=xl/ctrlProps/ctrlProp170.xml><?xml version="1.0" encoding="utf-8"?>
<formControlPr xmlns="http://schemas.microsoft.com/office/spreadsheetml/2009/9/main" objectType="Drop" dropLines="50" dropStyle="combo" dx="31" fmlaLink="G75" fmlaRange="'Idemat Data'!$J$4:$J$1123" noThreeD="1" sel="1" val="0"/>
</file>

<file path=xl/ctrlProps/ctrlProp171.xml><?xml version="1.0" encoding="utf-8"?>
<formControlPr xmlns="http://schemas.microsoft.com/office/spreadsheetml/2009/9/main" objectType="Drop" dropLines="50" dropStyle="combo" dx="31" fmlaLink="G76" fmlaRange="'Idemat Data'!$J$4:$J$1123" noThreeD="1" sel="1" val="0"/>
</file>

<file path=xl/ctrlProps/ctrlProp172.xml><?xml version="1.0" encoding="utf-8"?>
<formControlPr xmlns="http://schemas.microsoft.com/office/spreadsheetml/2009/9/main" objectType="Drop" dropLines="40" dropStyle="combo" dx="31" fmlaLink="G77" fmlaRange="'Idemat Data'!$J$4:$J$1123" noThreeD="1" sel="1" val="0"/>
</file>

<file path=xl/ctrlProps/ctrlProp173.xml><?xml version="1.0" encoding="utf-8"?>
<formControlPr xmlns="http://schemas.microsoft.com/office/spreadsheetml/2009/9/main" objectType="Drop" dropLines="40" dropStyle="combo" dx="31" fmlaLink="G78" fmlaRange="'Idemat Data'!$J$4:$J$1123" noThreeD="1" sel="1" val="0"/>
</file>

<file path=xl/ctrlProps/ctrlProp174.xml><?xml version="1.0" encoding="utf-8"?>
<formControlPr xmlns="http://schemas.microsoft.com/office/spreadsheetml/2009/9/main" objectType="Drop" dropLines="40" dropStyle="combo" dx="31" fmlaLink="G79" fmlaRange="'Idemat Data'!$J$4:$J$1123" noThreeD="1" sel="1" val="0"/>
</file>

<file path=xl/ctrlProps/ctrlProp175.xml><?xml version="1.0" encoding="utf-8"?>
<formControlPr xmlns="http://schemas.microsoft.com/office/spreadsheetml/2009/9/main" objectType="Drop" dropLines="40" dropStyle="combo" dx="31" fmlaLink="G80" fmlaRange="'Idemat Data'!$J$4:$J$1123" noThreeD="1" sel="1" val="0"/>
</file>

<file path=xl/ctrlProps/ctrlProp176.xml><?xml version="1.0" encoding="utf-8"?>
<formControlPr xmlns="http://schemas.microsoft.com/office/spreadsheetml/2009/9/main" objectType="Drop" dropLines="50" dropStyle="combo" dx="31" fmlaLink="G81" fmlaRange="'Idemat Data'!$J$4:$J$1123" noThreeD="1" sel="1" val="0"/>
</file>

<file path=xl/ctrlProps/ctrlProp177.xml><?xml version="1.0" encoding="utf-8"?>
<formControlPr xmlns="http://schemas.microsoft.com/office/spreadsheetml/2009/9/main" objectType="Drop" dropLines="50" dropStyle="combo" dx="31" fmlaLink="G82" fmlaRange="'Idemat Data'!$J$4:$J$1123" noThreeD="1" sel="1" val="0"/>
</file>

<file path=xl/ctrlProps/ctrlProp178.xml><?xml version="1.0" encoding="utf-8"?>
<formControlPr xmlns="http://schemas.microsoft.com/office/spreadsheetml/2009/9/main" objectType="Drop" dropLines="50" dropStyle="combo" dx="31" fmlaLink="G83" fmlaRange="'Idemat Data'!$J$2:$J$1123" noThreeD="1" sel="3" val="0"/>
</file>

<file path=xl/ctrlProps/ctrlProp179.xml><?xml version="1.0" encoding="utf-8"?>
<formControlPr xmlns="http://schemas.microsoft.com/office/spreadsheetml/2009/9/main" objectType="Drop" dropLines="40" dropStyle="combo" dx="31" fmlaLink="G84" fmlaRange="'Idemat Data'!$J$4:$J$1123" noThreeD="1" sel="1" val="0"/>
</file>

<file path=xl/ctrlProps/ctrlProp18.xml><?xml version="1.0" encoding="utf-8"?>
<formControlPr xmlns="http://schemas.microsoft.com/office/spreadsheetml/2009/9/main" objectType="Drop" dropLines="3" dropStyle="combo" dx="31" fmlaLink="$F$110" fmlaRange="Data!$M$2:$M$4" noThreeD="1" sel="3" val="0"/>
</file>

<file path=xl/ctrlProps/ctrlProp180.xml><?xml version="1.0" encoding="utf-8"?>
<formControlPr xmlns="http://schemas.microsoft.com/office/spreadsheetml/2009/9/main" objectType="Drop" dropLines="40" dropStyle="combo" dx="31" fmlaLink="G85" fmlaRange="'Idemat Data'!$J$4:$J$1123" noThreeD="1" sel="1" val="0"/>
</file>

<file path=xl/ctrlProps/ctrlProp181.xml><?xml version="1.0" encoding="utf-8"?>
<formControlPr xmlns="http://schemas.microsoft.com/office/spreadsheetml/2009/9/main" objectType="Drop" dropLines="40" dropStyle="combo" dx="31" fmlaLink="G86" fmlaRange="'Idemat Data'!$J$4:$J$1123" noThreeD="1" sel="1" val="0"/>
</file>

<file path=xl/ctrlProps/ctrlProp182.xml><?xml version="1.0" encoding="utf-8"?>
<formControlPr xmlns="http://schemas.microsoft.com/office/spreadsheetml/2009/9/main" objectType="Drop" dropLines="40" dropStyle="combo" dx="31" fmlaLink="G87" fmlaRange="'Idemat Data'!$J$4:$J$1123" noThreeD="1" sel="1" val="0"/>
</file>

<file path=xl/ctrlProps/ctrlProp183.xml><?xml version="1.0" encoding="utf-8"?>
<formControlPr xmlns="http://schemas.microsoft.com/office/spreadsheetml/2009/9/main" objectType="Drop" dropLines="40" dropStyle="combo" dx="31" fmlaLink="G88" fmlaRange="'Idemat Data'!$J$4:$J$1123" noThreeD="1" sel="1" val="0"/>
</file>

<file path=xl/ctrlProps/ctrlProp184.xml><?xml version="1.0" encoding="utf-8"?>
<formControlPr xmlns="http://schemas.microsoft.com/office/spreadsheetml/2009/9/main" objectType="Drop" dropLines="40" dropStyle="combo" dx="31" fmlaLink="G89" fmlaRange="'Idemat Data'!$J$4:$J$1123" noThreeD="1" sel="1" val="0"/>
</file>

<file path=xl/ctrlProps/ctrlProp185.xml><?xml version="1.0" encoding="utf-8"?>
<formControlPr xmlns="http://schemas.microsoft.com/office/spreadsheetml/2009/9/main" objectType="Drop" dropLines="40" dropStyle="combo" dx="31" fmlaLink="G90" fmlaRange="'Idemat Data'!$J$4:$J$1123" noThreeD="1" sel="1" val="0"/>
</file>

<file path=xl/ctrlProps/ctrlProp186.xml><?xml version="1.0" encoding="utf-8"?>
<formControlPr xmlns="http://schemas.microsoft.com/office/spreadsheetml/2009/9/main" objectType="Drop" dropLines="40" dropStyle="combo" dx="31" fmlaLink="G91" fmlaRange="'Idemat Data'!$J$4:$J$1123" noThreeD="1" sel="1" val="0"/>
</file>

<file path=xl/ctrlProps/ctrlProp187.xml><?xml version="1.0" encoding="utf-8"?>
<formControlPr xmlns="http://schemas.microsoft.com/office/spreadsheetml/2009/9/main" objectType="Drop" dropLines="40" dropStyle="combo" dx="31" fmlaLink="G92" fmlaRange="'Idemat Data'!$J$4:$J$1123" noThreeD="1" sel="1" val="0"/>
</file>

<file path=xl/ctrlProps/ctrlProp188.xml><?xml version="1.0" encoding="utf-8"?>
<formControlPr xmlns="http://schemas.microsoft.com/office/spreadsheetml/2009/9/main" objectType="Drop" dropLines="40" dropStyle="combo" dx="31" fmlaLink="G93" fmlaRange="'Idemat Data'!$J$4:$J$1123" noThreeD="1" sel="1" val="0"/>
</file>

<file path=xl/ctrlProps/ctrlProp189.xml><?xml version="1.0" encoding="utf-8"?>
<formControlPr xmlns="http://schemas.microsoft.com/office/spreadsheetml/2009/9/main" objectType="Drop" dropLines="40" dropStyle="combo" dx="31" fmlaLink="G94" fmlaRange="'Idemat Data'!$J$4:$J$1123" noThreeD="1" sel="1" val="0"/>
</file>

<file path=xl/ctrlProps/ctrlProp19.xml><?xml version="1.0" encoding="utf-8"?>
<formControlPr xmlns="http://schemas.microsoft.com/office/spreadsheetml/2009/9/main" objectType="Drop" dropLines="3" dropStyle="combo" dx="31" fmlaLink="$F$104" fmlaRange="Data!$M$2:$M$4" noThreeD="1" sel="1" val="0"/>
</file>

<file path=xl/ctrlProps/ctrlProp190.xml><?xml version="1.0" encoding="utf-8"?>
<formControlPr xmlns="http://schemas.microsoft.com/office/spreadsheetml/2009/9/main" objectType="Drop" dropLines="50" dropStyle="combo" dx="31" fmlaLink="B247" fmlaRange="$J$29:$J$41" noThreeD="1" sel="1" val="0"/>
</file>

<file path=xl/ctrlProps/ctrlProp191.xml><?xml version="1.0" encoding="utf-8"?>
<formControlPr xmlns="http://schemas.microsoft.com/office/spreadsheetml/2009/9/main" objectType="Drop" dropLines="50" dropStyle="combo" dx="31" fmlaLink="B248" fmlaRange="$J$29:$J$41" noThreeD="1" sel="1" val="0"/>
</file>

<file path=xl/ctrlProps/ctrlProp192.xml><?xml version="1.0" encoding="utf-8"?>
<formControlPr xmlns="http://schemas.microsoft.com/office/spreadsheetml/2009/9/main" objectType="Drop" dropLines="50" dropStyle="combo" dx="31" fmlaLink="B249" fmlaRange="$J$29:$J$41" noThreeD="1" sel="1" val="0"/>
</file>

<file path=xl/ctrlProps/ctrlProp193.xml><?xml version="1.0" encoding="utf-8"?>
<formControlPr xmlns="http://schemas.microsoft.com/office/spreadsheetml/2009/9/main" objectType="Drop" dropLines="50" dropStyle="combo" dx="31" fmlaLink="B250" fmlaRange="$J$29:$J$41" noThreeD="1" sel="1" val="0"/>
</file>

<file path=xl/ctrlProps/ctrlProp194.xml><?xml version="1.0" encoding="utf-8"?>
<formControlPr xmlns="http://schemas.microsoft.com/office/spreadsheetml/2009/9/main" objectType="Drop" dropLines="50" dropStyle="combo" dx="31" fmlaLink="B251" fmlaRange="$J$29:$J$41" noThreeD="1" sel="1" val="0"/>
</file>

<file path=xl/ctrlProps/ctrlProp195.xml><?xml version="1.0" encoding="utf-8"?>
<formControlPr xmlns="http://schemas.microsoft.com/office/spreadsheetml/2009/9/main" objectType="Drop" dropLines="50" dropStyle="combo" dx="31" fmlaLink="B252" fmlaRange="$J$29:$J$41" noThreeD="1" sel="1" val="0"/>
</file>

<file path=xl/ctrlProps/ctrlProp196.xml><?xml version="1.0" encoding="utf-8"?>
<formControlPr xmlns="http://schemas.microsoft.com/office/spreadsheetml/2009/9/main" objectType="Drop" dropLines="50" dropStyle="combo" dx="31" fmlaLink="B253" fmlaRange="$J$29:$J$41" noThreeD="1" sel="1" val="0"/>
</file>

<file path=xl/ctrlProps/ctrlProp197.xml><?xml version="1.0" encoding="utf-8"?>
<formControlPr xmlns="http://schemas.microsoft.com/office/spreadsheetml/2009/9/main" objectType="Drop" dropLines="50" dropStyle="combo" dx="31" fmlaLink="B254" fmlaRange="$J$29:$J$41" noThreeD="1" sel="1" val="0"/>
</file>

<file path=xl/ctrlProps/ctrlProp198.xml><?xml version="1.0" encoding="utf-8"?>
<formControlPr xmlns="http://schemas.microsoft.com/office/spreadsheetml/2009/9/main" objectType="Drop" dropLines="50" dropStyle="combo" dx="31" fmlaLink="B255" fmlaRange="$J$29:$J$41" noThreeD="1" sel="1" val="0"/>
</file>

<file path=xl/ctrlProps/ctrlProp199.xml><?xml version="1.0" encoding="utf-8"?>
<formControlPr xmlns="http://schemas.microsoft.com/office/spreadsheetml/2009/9/main" objectType="Drop" dropLines="50" dropStyle="combo" dx="31" fmlaLink="B255" fmlaRange="$J$29:$J$41" noThreeD="1" sel="1" val="0"/>
</file>

<file path=xl/ctrlProps/ctrlProp2.xml><?xml version="1.0" encoding="utf-8"?>
<formControlPr xmlns="http://schemas.microsoft.com/office/spreadsheetml/2009/9/main" objectType="Drop" dropLines="15" dropStyle="combo" dx="31" fmlaLink="$F$6" fmlaRange="Data!$C$2:$C$194" noThreeD="1" sel="1" val="0"/>
</file>

<file path=xl/ctrlProps/ctrlProp20.xml><?xml version="1.0" encoding="utf-8"?>
<formControlPr xmlns="http://schemas.microsoft.com/office/spreadsheetml/2009/9/main" objectType="Drop" dropLines="3" dropStyle="combo" dx="31" fmlaLink="$F$92" fmlaRange="Data!$M$2:$M$4" noThreeD="1" sel="1" val="0"/>
</file>

<file path=xl/ctrlProps/ctrlProp200.xml><?xml version="1.0" encoding="utf-8"?>
<formControlPr xmlns="http://schemas.microsoft.com/office/spreadsheetml/2009/9/main" objectType="Drop" dropLines="50" dropStyle="combo" dx="31" fmlaLink="B257" fmlaRange="$J$29:$J$41" noThreeD="1" sel="1" val="0"/>
</file>

<file path=xl/ctrlProps/ctrlProp201.xml><?xml version="1.0" encoding="utf-8"?>
<formControlPr xmlns="http://schemas.microsoft.com/office/spreadsheetml/2009/9/main" objectType="Drop" dropLines="50" dropStyle="combo" dx="31" fmlaLink="B258" fmlaRange="$J$29:$J$41" noThreeD="1" sel="1" val="0"/>
</file>

<file path=xl/ctrlProps/ctrlProp202.xml><?xml version="1.0" encoding="utf-8"?>
<formControlPr xmlns="http://schemas.microsoft.com/office/spreadsheetml/2009/9/main" objectType="Drop" dropLines="50" dropStyle="combo" dx="31" fmlaLink="B4" fmlaRange="$J$4:$J$1023" noThreeD="1" sel="1" val="0"/>
</file>

<file path=xl/ctrlProps/ctrlProp203.xml><?xml version="1.0" encoding="utf-8"?>
<formControlPr xmlns="http://schemas.microsoft.com/office/spreadsheetml/2009/9/main" objectType="Drop" dropLines="50" dropStyle="combo" dx="31" fmlaLink="B17" fmlaRange="$J$4:$J$1023" noThreeD="1" sel="1" val="0"/>
</file>

<file path=xl/ctrlProps/ctrlProp204.xml><?xml version="1.0" encoding="utf-8"?>
<formControlPr xmlns="http://schemas.microsoft.com/office/spreadsheetml/2009/9/main" objectType="Drop" dropLines="50" dropStyle="combo" dx="31" fmlaLink="B21" fmlaRange="$J$4:$J$1023" noThreeD="1" sel="1" val="0"/>
</file>

<file path=xl/ctrlProps/ctrlProp205.xml><?xml version="1.0" encoding="utf-8"?>
<formControlPr xmlns="http://schemas.microsoft.com/office/spreadsheetml/2009/9/main" objectType="Drop" dropLines="50" dropStyle="combo" dx="31" fmlaLink="B23" fmlaRange="$J$4:$J$1023" noThreeD="1" sel="1" val="0"/>
</file>

<file path=xl/ctrlProps/ctrlProp206.xml><?xml version="1.0" encoding="utf-8"?>
<formControlPr xmlns="http://schemas.microsoft.com/office/spreadsheetml/2009/9/main" objectType="Drop" dropLines="50" dropStyle="combo" dx="31" fmlaLink="B22" fmlaRange="$J$4:$J$1023" noThreeD="1" sel="1" val="0"/>
</file>

<file path=xl/ctrlProps/ctrlProp207.xml><?xml version="1.0" encoding="utf-8"?>
<formControlPr xmlns="http://schemas.microsoft.com/office/spreadsheetml/2009/9/main" objectType="Drop" dropLines="50" dropStyle="combo" dx="31" fmlaLink="B20" fmlaRange="$J$4:$J$1023" noThreeD="1" sel="1" val="0"/>
</file>

<file path=xl/ctrlProps/ctrlProp208.xml><?xml version="1.0" encoding="utf-8"?>
<formControlPr xmlns="http://schemas.microsoft.com/office/spreadsheetml/2009/9/main" objectType="Drop" dropLines="50" dropStyle="combo" dx="31" fmlaLink="B19" fmlaRange="$J$4:$J$1023" noThreeD="1" sel="1" val="0"/>
</file>

<file path=xl/ctrlProps/ctrlProp209.xml><?xml version="1.0" encoding="utf-8"?>
<formControlPr xmlns="http://schemas.microsoft.com/office/spreadsheetml/2009/9/main" objectType="Drop" dropLines="50" dropStyle="combo" dx="31" fmlaLink="B18" fmlaRange="$J$4:$J$1023" noThreeD="1" sel="1" val="0"/>
</file>

<file path=xl/ctrlProps/ctrlProp21.xml><?xml version="1.0" encoding="utf-8"?>
<formControlPr xmlns="http://schemas.microsoft.com/office/spreadsheetml/2009/9/main" objectType="Drop" dropLines="3" dropStyle="combo" dx="31" fmlaLink="$F$74" fmlaRange="Data!$M$2:$M$4" noThreeD="1" sel="3" val="0"/>
</file>

<file path=xl/ctrlProps/ctrlProp210.xml><?xml version="1.0" encoding="utf-8"?>
<formControlPr xmlns="http://schemas.microsoft.com/office/spreadsheetml/2009/9/main" objectType="Drop" dropLines="50" dropStyle="combo" dx="31" fmlaLink="B16" fmlaRange="$J$4:$J$10237" noThreeD="1" sel="1" val="0"/>
</file>

<file path=xl/ctrlProps/ctrlProp211.xml><?xml version="1.0" encoding="utf-8"?>
<formControlPr xmlns="http://schemas.microsoft.com/office/spreadsheetml/2009/9/main" objectType="Drop" dropLines="50" dropStyle="combo" dx="31" fmlaLink="B15" fmlaRange="$J$4:$J$1023" noThreeD="1" sel="1" val="0"/>
</file>

<file path=xl/ctrlProps/ctrlProp212.xml><?xml version="1.0" encoding="utf-8"?>
<formControlPr xmlns="http://schemas.microsoft.com/office/spreadsheetml/2009/9/main" objectType="Drop" dropLines="50" dropStyle="combo" dx="31" fmlaLink="B14" fmlaRange="$J$4:$J$1023" noThreeD="1" sel="1" val="0"/>
</file>

<file path=xl/ctrlProps/ctrlProp213.xml><?xml version="1.0" encoding="utf-8"?>
<formControlPr xmlns="http://schemas.microsoft.com/office/spreadsheetml/2009/9/main" objectType="Drop" dropLines="50" dropStyle="combo" dx="31" fmlaLink="B13" fmlaRange="$J$4:$J$1023" noThreeD="1" sel="1" val="0"/>
</file>

<file path=xl/ctrlProps/ctrlProp214.xml><?xml version="1.0" encoding="utf-8"?>
<formControlPr xmlns="http://schemas.microsoft.com/office/spreadsheetml/2009/9/main" objectType="Drop" dropLines="50" dropStyle="combo" dx="31" fmlaLink="B12" fmlaRange="$J$4:$J$1023" noThreeD="1" sel="1" val="0"/>
</file>

<file path=xl/ctrlProps/ctrlProp215.xml><?xml version="1.0" encoding="utf-8"?>
<formControlPr xmlns="http://schemas.microsoft.com/office/spreadsheetml/2009/9/main" objectType="Drop" dropLines="50" dropStyle="combo" dx="31" fmlaLink="B11" fmlaRange="$J$4:$J$1023" noThreeD="1" sel="1" val="0"/>
</file>

<file path=xl/ctrlProps/ctrlProp216.xml><?xml version="1.0" encoding="utf-8"?>
<formControlPr xmlns="http://schemas.microsoft.com/office/spreadsheetml/2009/9/main" objectType="Drop" dropLines="50" dropStyle="combo" dx="31" fmlaLink="B10" fmlaRange="$J$4:$J$1023" noThreeD="1" sel="1" val="0"/>
</file>

<file path=xl/ctrlProps/ctrlProp217.xml><?xml version="1.0" encoding="utf-8"?>
<formControlPr xmlns="http://schemas.microsoft.com/office/spreadsheetml/2009/9/main" objectType="Drop" dropLines="50" dropStyle="combo" dx="31" fmlaLink="B9" fmlaRange="$J$4:$J$1023" noThreeD="1" sel="1" val="0"/>
</file>

<file path=xl/ctrlProps/ctrlProp218.xml><?xml version="1.0" encoding="utf-8"?>
<formControlPr xmlns="http://schemas.microsoft.com/office/spreadsheetml/2009/9/main" objectType="Drop" dropLines="50" dropStyle="combo" dx="31" fmlaLink="B8" fmlaRange="$J$4:$J$1023" noThreeD="1" sel="1" val="0"/>
</file>

<file path=xl/ctrlProps/ctrlProp219.xml><?xml version="1.0" encoding="utf-8"?>
<formControlPr xmlns="http://schemas.microsoft.com/office/spreadsheetml/2009/9/main" objectType="Drop" dropLines="50" dropStyle="combo" dx="31" fmlaLink="B7" fmlaRange="$J$4:$J$1023" noThreeD="1" sel="1" val="0"/>
</file>

<file path=xl/ctrlProps/ctrlProp22.xml><?xml version="1.0" encoding="utf-8"?>
<formControlPr xmlns="http://schemas.microsoft.com/office/spreadsheetml/2009/9/main" objectType="Drop" dropLines="3" dropStyle="combo" dx="31" fmlaLink="$F$77" fmlaRange="Data!$M$2:$M$4" noThreeD="1" sel="2" val="0"/>
</file>

<file path=xl/ctrlProps/ctrlProp220.xml><?xml version="1.0" encoding="utf-8"?>
<formControlPr xmlns="http://schemas.microsoft.com/office/spreadsheetml/2009/9/main" objectType="Drop" dropLines="50" dropStyle="combo" dx="31" fmlaLink="B6" fmlaRange="$J$4:$J$1023" noThreeD="1" sel="1" val="0"/>
</file>

<file path=xl/ctrlProps/ctrlProp221.xml><?xml version="1.0" encoding="utf-8"?>
<formControlPr xmlns="http://schemas.microsoft.com/office/spreadsheetml/2009/9/main" objectType="Drop" dropLines="50" dropStyle="combo" dx="31" fmlaLink="B5" fmlaRange="$J$4:$J$1023" noThreeD="1" sel="1" val="0"/>
</file>

<file path=xl/ctrlProps/ctrlProp222.xml><?xml version="1.0" encoding="utf-8"?>
<formControlPr xmlns="http://schemas.microsoft.com/office/spreadsheetml/2009/9/main" objectType="Drop" dropLines="40" dropStyle="combo" dx="31" fmlaLink="J7" fmlaRange="'Idemat Data'!$J$4:$J$1123" noThreeD="1" sel="1" val="0"/>
</file>

<file path=xl/ctrlProps/ctrlProp223.xml><?xml version="1.0" encoding="utf-8"?>
<formControlPr xmlns="http://schemas.microsoft.com/office/spreadsheetml/2009/9/main" objectType="Drop" dropLines="40" dropStyle="combo" dx="31" fmlaLink="J9" fmlaRange="'Idemat Data'!$J$4:$J$1123" noThreeD="1" sel="1" val="0"/>
</file>

<file path=xl/ctrlProps/ctrlProp224.xml><?xml version="1.0" encoding="utf-8"?>
<formControlPr xmlns="http://schemas.microsoft.com/office/spreadsheetml/2009/9/main" objectType="Drop" dropLines="40" dropStyle="combo" dx="31" fmlaLink="J10" fmlaRange="'Idemat Data'!$J$4:$J$1123" noThreeD="1" sel="1" val="0"/>
</file>

<file path=xl/ctrlProps/ctrlProp225.xml><?xml version="1.0" encoding="utf-8"?>
<formControlPr xmlns="http://schemas.microsoft.com/office/spreadsheetml/2009/9/main" objectType="Drop" dropLines="40" dropStyle="combo" dx="31" fmlaLink="J11" fmlaRange="'Idemat Data'!$J$4:$J$1123" noThreeD="1" sel="1" val="0"/>
</file>

<file path=xl/ctrlProps/ctrlProp226.xml><?xml version="1.0" encoding="utf-8"?>
<formControlPr xmlns="http://schemas.microsoft.com/office/spreadsheetml/2009/9/main" objectType="Drop" dropLines="40" dropStyle="combo" dx="31" fmlaLink="J12" fmlaRange="'Idemat Data'!$J$4:$J$1123" noThreeD="1" sel="1" val="0"/>
</file>

<file path=xl/ctrlProps/ctrlProp227.xml><?xml version="1.0" encoding="utf-8"?>
<formControlPr xmlns="http://schemas.microsoft.com/office/spreadsheetml/2009/9/main" objectType="Drop" dropLines="40" dropStyle="combo" dx="31" fmlaLink="J13" fmlaRange="'Idemat Data'!$J$4:$J$1123" noThreeD="1" sel="1" val="0"/>
</file>

<file path=xl/ctrlProps/ctrlProp228.xml><?xml version="1.0" encoding="utf-8"?>
<formControlPr xmlns="http://schemas.microsoft.com/office/spreadsheetml/2009/9/main" objectType="Drop" dropLines="40" dropStyle="combo" dx="31" fmlaLink="J17" fmlaRange="'Idemat Data'!$J$4:$J$1123" noThreeD="1" sel="1" val="0"/>
</file>

<file path=xl/ctrlProps/ctrlProp229.xml><?xml version="1.0" encoding="utf-8"?>
<formControlPr xmlns="http://schemas.microsoft.com/office/spreadsheetml/2009/9/main" objectType="Drop" dropLines="40" dropStyle="combo" dx="31" fmlaLink="J15" fmlaRange="'Idemat Data'!$J$4:$J$1123" noThreeD="1" sel="1" val="0"/>
</file>

<file path=xl/ctrlProps/ctrlProp23.xml><?xml version="1.0" encoding="utf-8"?>
<formControlPr xmlns="http://schemas.microsoft.com/office/spreadsheetml/2009/9/main" objectType="Drop" dropLines="3" dropStyle="combo" dx="31" fmlaLink="F91" fmlaRange="Data!$M$2:$M$4" noThreeD="1" sel="1" val="0"/>
</file>

<file path=xl/ctrlProps/ctrlProp230.xml><?xml version="1.0" encoding="utf-8"?>
<formControlPr xmlns="http://schemas.microsoft.com/office/spreadsheetml/2009/9/main" objectType="Drop" dropLines="3" dropStyle="combo" dx="31" fmlaLink="$F$15" fmlaRange="Data!$M$2:$M$4" noThreeD="1" sel="1" val="0"/>
</file>

<file path=xl/ctrlProps/ctrlProp231.xml><?xml version="1.0" encoding="utf-8"?>
<formControlPr xmlns="http://schemas.microsoft.com/office/spreadsheetml/2009/9/main" objectType="Drop" dropLines="40" dropStyle="combo" dx="31" fmlaLink="J14" fmlaRange="'Idemat Data'!$J$4:$J$1123" noThreeD="1" sel="1" val="0"/>
</file>

<file path=xl/ctrlProps/ctrlProp232.xml><?xml version="1.0" encoding="utf-8"?>
<formControlPr xmlns="http://schemas.microsoft.com/office/spreadsheetml/2009/9/main" objectType="Drop" dropLines="3" dropStyle="combo" dx="31" fmlaLink="$F$5" fmlaRange="Data!$M$2:$M$4" noThreeD="1" sel="1" val="0"/>
</file>

<file path=xl/ctrlProps/ctrlProp233.xml><?xml version="1.0" encoding="utf-8"?>
<formControlPr xmlns="http://schemas.microsoft.com/office/spreadsheetml/2009/9/main" objectType="Drop" dropLines="15" dropStyle="combo" dx="31" fmlaLink="$F$17" fmlaRange="Data!$C$2:$C$194" noThreeD="1" sel="1" val="0"/>
</file>

<file path=xl/ctrlProps/ctrlProp234.xml><?xml version="1.0" encoding="utf-8"?>
<formControlPr xmlns="http://schemas.microsoft.com/office/spreadsheetml/2009/9/main" objectType="Drop" dropLines="40" dropStyle="combo" dx="31" fmlaLink="J5" fmlaRange="'Idemat Data'!$J$4:$J$1123" noThreeD="1" sel="1" val="0"/>
</file>

<file path=xl/ctrlProps/ctrlProp235.xml><?xml version="1.0" encoding="utf-8"?>
<formControlPr xmlns="http://schemas.microsoft.com/office/spreadsheetml/2009/9/main" objectType="Drop" dropLines="3" dropStyle="combo" dx="31" fmlaLink="$F$6" fmlaRange="Data!$M$2:$M$4" noThreeD="1" sel="1" val="0"/>
</file>

<file path=xl/ctrlProps/ctrlProp236.xml><?xml version="1.0" encoding="utf-8"?>
<formControlPr xmlns="http://schemas.microsoft.com/office/spreadsheetml/2009/9/main" objectType="Drop" dropLines="40" dropStyle="combo" dx="31" fmlaLink="J6" fmlaRange="'Idemat Data'!$J$4:$J$1123" noThreeD="1" sel="1" val="0"/>
</file>

<file path=xl/ctrlProps/ctrlProp237.xml><?xml version="1.0" encoding="utf-8"?>
<formControlPr xmlns="http://schemas.microsoft.com/office/spreadsheetml/2009/9/main" objectType="Drop" dropLines="40" dropStyle="combo" dx="31" fmlaLink="J8" fmlaRange="'Idemat Data'!$J$4:$J$1123" noThreeD="1" sel="1" val="0"/>
</file>

<file path=xl/ctrlProps/ctrlProp238.xml><?xml version="1.0" encoding="utf-8"?>
<formControlPr xmlns="http://schemas.microsoft.com/office/spreadsheetml/2009/9/main" objectType="Drop" dropLines="40" dropStyle="combo" dx="31" fmlaLink="J16" fmlaRange="'Idemat Data'!$J$4:$J$1123" noThreeD="1" sel="1" val="0"/>
</file>

<file path=xl/ctrlProps/ctrlProp239.xml><?xml version="1.0" encoding="utf-8"?>
<formControlPr xmlns="http://schemas.microsoft.com/office/spreadsheetml/2009/9/main" objectType="Drop" dropLines="40" dropStyle="combo" dx="31" fmlaLink="J7" fmlaRange="'Idemat Data'!$J$4:$J$1123" noThreeD="1" sel="1" val="0"/>
</file>

<file path=xl/ctrlProps/ctrlProp24.xml><?xml version="1.0" encoding="utf-8"?>
<formControlPr xmlns="http://schemas.microsoft.com/office/spreadsheetml/2009/9/main" objectType="Drop" dropLines="3" dropStyle="combo" dx="31" fmlaLink="$F$75" fmlaRange="Data!$M$2:$M$4" noThreeD="1" sel="3" val="0"/>
</file>

<file path=xl/ctrlProps/ctrlProp240.xml><?xml version="1.0" encoding="utf-8"?>
<formControlPr xmlns="http://schemas.microsoft.com/office/spreadsheetml/2009/9/main" objectType="Drop" dropLines="40" dropStyle="combo" dx="31" fmlaLink="J9" fmlaRange="'Idemat Data'!$J$4:$J$1123" noThreeD="1" sel="1" val="0"/>
</file>

<file path=xl/ctrlProps/ctrlProp241.xml><?xml version="1.0" encoding="utf-8"?>
<formControlPr xmlns="http://schemas.microsoft.com/office/spreadsheetml/2009/9/main" objectType="Drop" dropLines="40" dropStyle="combo" dx="31" fmlaLink="J10" fmlaRange="'Idemat Data'!$J$4:$J$1123" noThreeD="1" sel="1" val="0"/>
</file>

<file path=xl/ctrlProps/ctrlProp242.xml><?xml version="1.0" encoding="utf-8"?>
<formControlPr xmlns="http://schemas.microsoft.com/office/spreadsheetml/2009/9/main" objectType="Drop" dropLines="40" dropStyle="combo" dx="31" fmlaLink="J11" fmlaRange="'Idemat Data'!$J$4:$J$1123" noThreeD="1" sel="1" val="0"/>
</file>

<file path=xl/ctrlProps/ctrlProp243.xml><?xml version="1.0" encoding="utf-8"?>
<formControlPr xmlns="http://schemas.microsoft.com/office/spreadsheetml/2009/9/main" objectType="Drop" dropLines="40" dropStyle="combo" dx="31" fmlaLink="J12" fmlaRange="'Idemat Data'!$J$4:$J$1123" noThreeD="1" sel="1" val="0"/>
</file>

<file path=xl/ctrlProps/ctrlProp244.xml><?xml version="1.0" encoding="utf-8"?>
<formControlPr xmlns="http://schemas.microsoft.com/office/spreadsheetml/2009/9/main" objectType="Drop" dropLines="40" dropStyle="combo" dx="31" fmlaLink="J13" fmlaRange="'Idemat Data'!$J$4:$J$1123" noThreeD="1" sel="1" val="0"/>
</file>

<file path=xl/ctrlProps/ctrlProp245.xml><?xml version="1.0" encoding="utf-8"?>
<formControlPr xmlns="http://schemas.microsoft.com/office/spreadsheetml/2009/9/main" objectType="Drop" dropLines="40" dropStyle="combo" dx="31" fmlaLink="J17" fmlaRange="'Idemat Data'!$J$4:$J$1123" noThreeD="1" sel="1" val="0"/>
</file>

<file path=xl/ctrlProps/ctrlProp246.xml><?xml version="1.0" encoding="utf-8"?>
<formControlPr xmlns="http://schemas.microsoft.com/office/spreadsheetml/2009/9/main" objectType="Drop" dropLines="40" dropStyle="combo" dx="31" fmlaLink="J15" fmlaRange="'Idemat Data'!$J$4:$J$1123" noThreeD="1" sel="1" val="0"/>
</file>

<file path=xl/ctrlProps/ctrlProp247.xml><?xml version="1.0" encoding="utf-8"?>
<formControlPr xmlns="http://schemas.microsoft.com/office/spreadsheetml/2009/9/main" objectType="Drop" dropLines="40" dropStyle="combo" dx="31" fmlaLink="J14" fmlaRange="'Idemat Data'!$J$4:$J$1123" noThreeD="1" sel="1" val="0"/>
</file>

<file path=xl/ctrlProps/ctrlProp248.xml><?xml version="1.0" encoding="utf-8"?>
<formControlPr xmlns="http://schemas.microsoft.com/office/spreadsheetml/2009/9/main" objectType="Drop" dropLines="40" dropStyle="combo" dx="31" fmlaLink="J5" fmlaRange="'Idemat Data'!$J$4:$J$1123" noThreeD="1" sel="1" val="0"/>
</file>

<file path=xl/ctrlProps/ctrlProp249.xml><?xml version="1.0" encoding="utf-8"?>
<formControlPr xmlns="http://schemas.microsoft.com/office/spreadsheetml/2009/9/main" objectType="Drop" dropLines="40" dropStyle="combo" dx="31" fmlaLink="J6" fmlaRange="'Idemat Data'!$J$4:$J$1123" noThreeD="1" sel="1" val="0"/>
</file>

<file path=xl/ctrlProps/ctrlProp25.xml><?xml version="1.0" encoding="utf-8"?>
<formControlPr xmlns="http://schemas.microsoft.com/office/spreadsheetml/2009/9/main" objectType="Drop" dropLines="3" dropStyle="combo" dx="31" fmlaLink="$F$37" fmlaRange="Data!$M$2:$M$4" noThreeD="1" sel="1" val="0"/>
</file>

<file path=xl/ctrlProps/ctrlProp250.xml><?xml version="1.0" encoding="utf-8"?>
<formControlPr xmlns="http://schemas.microsoft.com/office/spreadsheetml/2009/9/main" objectType="Drop" dropLines="40" dropStyle="combo" dx="31" fmlaLink="J8" fmlaRange="'Idemat Data'!$J$4:$J$1123" noThreeD="1" sel="1" val="0"/>
</file>

<file path=xl/ctrlProps/ctrlProp251.xml><?xml version="1.0" encoding="utf-8"?>
<formControlPr xmlns="http://schemas.microsoft.com/office/spreadsheetml/2009/9/main" objectType="Drop" dropLines="40" dropStyle="combo" dx="31" fmlaLink="J16" fmlaRange="'Idemat Data'!$J$4:$J$1123" noThreeD="1" sel="1" val="0"/>
</file>

<file path=xl/ctrlProps/ctrlProp252.xml><?xml version="1.0" encoding="utf-8"?>
<formControlPr xmlns="http://schemas.microsoft.com/office/spreadsheetml/2009/9/main" objectType="Drop" dropLines="3" dropStyle="combo" dx="31" fmlaLink="$F$22" fmlaRange="Data!$M$2:$M$4" noThreeD="1" sel="3" val="0"/>
</file>

<file path=xl/ctrlProps/ctrlProp253.xml><?xml version="1.0" encoding="utf-8"?>
<formControlPr xmlns="http://schemas.microsoft.com/office/spreadsheetml/2009/9/main" objectType="Drop" dropLines="3" dropStyle="combo" dx="31" fmlaLink="$F$6" fmlaRange="Data!$M$2:$M$4" noThreeD="1" sel="1" val="0"/>
</file>

<file path=xl/ctrlProps/ctrlProp254.xml><?xml version="1.0" encoding="utf-8"?>
<formControlPr xmlns="http://schemas.microsoft.com/office/spreadsheetml/2009/9/main" objectType="Drop" dropLines="3" dropStyle="combo" dx="31" fmlaLink="$F$35" fmlaRange="Data!$M$2:$M$4" noThreeD="1" sel="1" val="0"/>
</file>

<file path=xl/ctrlProps/ctrlProp255.xml><?xml version="1.0" encoding="utf-8"?>
<formControlPr xmlns="http://schemas.microsoft.com/office/spreadsheetml/2009/9/main" objectType="Drop" dropLines="5" dropStyle="combo" dx="31" fmlaLink="$F$5" fmlaRange="$J$5:$J$9" noThreeD="1" sel="1" val="0"/>
</file>

<file path=xl/ctrlProps/ctrlProp256.xml><?xml version="1.0" encoding="utf-8"?>
<formControlPr xmlns="http://schemas.microsoft.com/office/spreadsheetml/2009/9/main" objectType="Drop" dropStyle="combo" dx="31" fmlaLink="$F$11" fmlaRange="Data!$Y$2:$Y$9" noThreeD="1" sel="1" val="0"/>
</file>

<file path=xl/ctrlProps/ctrlProp257.xml><?xml version="1.0" encoding="utf-8"?>
<formControlPr xmlns="http://schemas.microsoft.com/office/spreadsheetml/2009/9/main" objectType="Drop" dropLines="3" dropStyle="combo" dx="31" fmlaLink="$F$6" fmlaRange="Data!$M$2:$M$4" noThreeD="1" sel="1" val="0"/>
</file>

<file path=xl/ctrlProps/ctrlProp258.xml><?xml version="1.0" encoding="utf-8"?>
<formControlPr xmlns="http://schemas.microsoft.com/office/spreadsheetml/2009/9/main" objectType="Drop" dropLines="3" dropStyle="combo" dx="31" fmlaLink="$F$7" fmlaRange="Data!$M$2:$M$4" noThreeD="1" sel="1" val="0"/>
</file>

<file path=xl/ctrlProps/ctrlProp259.xml><?xml version="1.0" encoding="utf-8"?>
<formControlPr xmlns="http://schemas.microsoft.com/office/spreadsheetml/2009/9/main" objectType="Drop" dropLines="3" dropStyle="combo" dx="31" fmlaLink="$F$13" fmlaRange="Data!$M$2:$M$4" noThreeD="1" sel="1" val="0"/>
</file>

<file path=xl/ctrlProps/ctrlProp26.xml><?xml version="1.0" encoding="utf-8"?>
<formControlPr xmlns="http://schemas.microsoft.com/office/spreadsheetml/2009/9/main" objectType="Drop" dropLines="3" dropStyle="combo" dx="31" fmlaLink="$F$45" fmlaRange="Data!$M$2:$M$4" noThreeD="1" sel="1" val="0"/>
</file>

<file path=xl/ctrlProps/ctrlProp260.xml><?xml version="1.0" encoding="utf-8"?>
<formControlPr xmlns="http://schemas.microsoft.com/office/spreadsheetml/2009/9/main" objectType="Drop" dropLines="20" dropStyle="combo" dx="31" fmlaLink="$F$5" fmlaRange="Data!$V$2:$V$22" noThreeD="1" sel="1" val="0"/>
</file>

<file path=xl/ctrlProps/ctrlProp261.xml><?xml version="1.0" encoding="utf-8"?>
<formControlPr xmlns="http://schemas.microsoft.com/office/spreadsheetml/2009/9/main" objectType="Drop" dropLines="20" dropStyle="combo" dx="31" fmlaLink="$F$19" fmlaRange="Data!$AB$2:$AB$4" noThreeD="1" sel="1" val="0"/>
</file>

<file path=xl/ctrlProps/ctrlProp262.xml><?xml version="1.0" encoding="utf-8"?>
<formControlPr xmlns="http://schemas.microsoft.com/office/spreadsheetml/2009/9/main" objectType="Drop" dropLines="3" dropStyle="combo" dx="31" fmlaLink="$F$6" fmlaRange="Data!$M$2:$M$4" noThreeD="1" sel="1" val="0"/>
</file>

<file path=xl/ctrlProps/ctrlProp263.xml><?xml version="1.0" encoding="utf-8"?>
<formControlPr xmlns="http://schemas.microsoft.com/office/spreadsheetml/2009/9/main" objectType="Drop" dropLines="3" dropStyle="combo" dx="31" fmlaLink="$F$8" fmlaRange="Data!$M$2:$M$4" noThreeD="1" sel="1" val="0"/>
</file>

<file path=xl/ctrlProps/ctrlProp264.xml><?xml version="1.0" encoding="utf-8"?>
<formControlPr xmlns="http://schemas.microsoft.com/office/spreadsheetml/2009/9/main" objectType="Drop" dropLines="3" dropStyle="combo" dx="31" fmlaLink="$F$18" fmlaRange="Data!$M$2:$M$4" noThreeD="1" sel="1" val="0"/>
</file>

<file path=xl/ctrlProps/ctrlProp265.xml><?xml version="1.0" encoding="utf-8"?>
<formControlPr xmlns="http://schemas.microsoft.com/office/spreadsheetml/2009/9/main" objectType="Drop" dropLines="3" dropStyle="combo" dx="31" fmlaLink="$F$10" fmlaRange="Data!$M$2:$M$4" noThreeD="1" sel="1" val="0"/>
</file>

<file path=xl/ctrlProps/ctrlProp266.xml><?xml version="1.0" encoding="utf-8"?>
<formControlPr xmlns="http://schemas.microsoft.com/office/spreadsheetml/2009/9/main" objectType="Drop" dropLines="35" dropStyle="combo" dx="31" fmlaLink="L4" fmlaRange="'Disposal-Waste'!$C$20:$C$50" noThreeD="1" sel="1" val="0"/>
</file>

<file path=xl/ctrlProps/ctrlProp267.xml><?xml version="1.0" encoding="utf-8"?>
<formControlPr xmlns="http://schemas.microsoft.com/office/spreadsheetml/2009/9/main" objectType="Drop" dropLines="35" dropStyle="combo" dx="31" fmlaLink="L5" fmlaRange="'Disposal-Waste'!$C$20:$C$50" noThreeD="1" sel="1" val="0"/>
</file>

<file path=xl/ctrlProps/ctrlProp268.xml><?xml version="1.0" encoding="utf-8"?>
<formControlPr xmlns="http://schemas.microsoft.com/office/spreadsheetml/2009/9/main" objectType="Drop" dropLines="35" dropStyle="combo" dx="31" fmlaLink="L6" fmlaRange="'Disposal-Waste'!$C$20:$C$50" noThreeD="1" sel="1" val="0"/>
</file>

<file path=xl/ctrlProps/ctrlProp269.xml><?xml version="1.0" encoding="utf-8"?>
<formControlPr xmlns="http://schemas.microsoft.com/office/spreadsheetml/2009/9/main" objectType="Drop" dropLines="35" dropStyle="combo" dx="31" fmlaLink="L8" fmlaRange="'Disposal-Waste'!$C$20:$C$50" noThreeD="1" sel="1" val="0"/>
</file>

<file path=xl/ctrlProps/ctrlProp27.xml><?xml version="1.0" encoding="utf-8"?>
<formControlPr xmlns="http://schemas.microsoft.com/office/spreadsheetml/2009/9/main" objectType="Drop" dropLines="3" dropStyle="combo" dx="31" fmlaLink="$F$5" fmlaRange="Data!$M$2:$M$4" noThreeD="1" sel="1" val="0"/>
</file>

<file path=xl/ctrlProps/ctrlProp270.xml><?xml version="1.0" encoding="utf-8"?>
<formControlPr xmlns="http://schemas.microsoft.com/office/spreadsheetml/2009/9/main" objectType="Drop" dropLines="35" dropStyle="combo" dx="31" fmlaLink="L9" fmlaRange="'Disposal-Waste'!$C$20:$C$50" noThreeD="1" sel="1" val="0"/>
</file>

<file path=xl/ctrlProps/ctrlProp271.xml><?xml version="1.0" encoding="utf-8"?>
<formControlPr xmlns="http://schemas.microsoft.com/office/spreadsheetml/2009/9/main" objectType="Drop" dropLines="35" dropStyle="combo" dx="31" fmlaLink="L10" fmlaRange="'Disposal-Waste'!$C$20:$C$50" noThreeD="1" sel="1" val="0"/>
</file>

<file path=xl/ctrlProps/ctrlProp272.xml><?xml version="1.0" encoding="utf-8"?>
<formControlPr xmlns="http://schemas.microsoft.com/office/spreadsheetml/2009/9/main" objectType="Drop" dropLines="35" dropStyle="combo" dx="31" fmlaLink="L14" fmlaRange="'Disposal-Waste'!$C$20:$C$50" noThreeD="1" sel="1" val="0"/>
</file>

<file path=xl/ctrlProps/ctrlProp273.xml><?xml version="1.0" encoding="utf-8"?>
<formControlPr xmlns="http://schemas.microsoft.com/office/spreadsheetml/2009/9/main" objectType="Drop" dropLines="35" dropStyle="combo" dx="31" fmlaLink="L11" fmlaRange="'Disposal-Waste'!$C$20:$C$50" noThreeD="1" sel="1" val="0"/>
</file>

<file path=xl/ctrlProps/ctrlProp274.xml><?xml version="1.0" encoding="utf-8"?>
<formControlPr xmlns="http://schemas.microsoft.com/office/spreadsheetml/2009/9/main" objectType="Drop" dropLines="35" dropStyle="combo" dx="31" fmlaLink="L16" fmlaRange="'Disposal-Waste'!$C$20:$C$50" noThreeD="1" sel="1" val="0"/>
</file>

<file path=xl/ctrlProps/ctrlProp275.xml><?xml version="1.0" encoding="utf-8"?>
<formControlPr xmlns="http://schemas.microsoft.com/office/spreadsheetml/2009/9/main" objectType="Drop" dropLines="35" dropStyle="combo" dx="31" fmlaLink="#REF!" fmlaRange="'Disposal-Waste'!$C$20:$C$50" noThreeD="1" sel="1" val="0"/>
</file>

<file path=xl/ctrlProps/ctrlProp276.xml><?xml version="1.0" encoding="utf-8"?>
<formControlPr xmlns="http://schemas.microsoft.com/office/spreadsheetml/2009/9/main" objectType="Drop" dropLines="20" dropStyle="combo" dx="31" fmlaLink="N4" fmlaRange="Data!$AG$2:$AG$37" noThreeD="1" sel="8" val="2"/>
</file>

<file path=xl/ctrlProps/ctrlProp277.xml><?xml version="1.0" encoding="utf-8"?>
<formControlPr xmlns="http://schemas.microsoft.com/office/spreadsheetml/2009/9/main" objectType="Drop" dropLines="20" dropStyle="combo" dx="31" fmlaLink="N5" fmlaRange="Data!$AG$2:$AG$37" noThreeD="1" sel="8" val="0"/>
</file>

<file path=xl/ctrlProps/ctrlProp278.xml><?xml version="1.0" encoding="utf-8"?>
<formControlPr xmlns="http://schemas.microsoft.com/office/spreadsheetml/2009/9/main" objectType="Drop" dropLines="20" dropStyle="combo" dx="31" fmlaLink="N7" fmlaRange="Data!$AG$2:$AG$37" noThreeD="1" sel="1" val="0"/>
</file>

<file path=xl/ctrlProps/ctrlProp279.xml><?xml version="1.0" encoding="utf-8"?>
<formControlPr xmlns="http://schemas.microsoft.com/office/spreadsheetml/2009/9/main" objectType="Drop" dropLines="20" dropStyle="combo" dx="31" fmlaLink="N8" fmlaRange="Data!$AG$2:$AG$37" noThreeD="1" sel="1" val="0"/>
</file>

<file path=xl/ctrlProps/ctrlProp28.xml><?xml version="1.0" encoding="utf-8"?>
<formControlPr xmlns="http://schemas.microsoft.com/office/spreadsheetml/2009/9/main" objectType="Drop" dropLines="3" dropStyle="combo" dx="31" fmlaLink="$F$30" fmlaRange="Data!$M$2:$M$4" noThreeD="1" sel="1" val="0"/>
</file>

<file path=xl/ctrlProps/ctrlProp280.xml><?xml version="1.0" encoding="utf-8"?>
<formControlPr xmlns="http://schemas.microsoft.com/office/spreadsheetml/2009/9/main" objectType="Drop" dropLines="20" dropStyle="combo" dx="31" fmlaLink="N9" fmlaRange="Data!$AG$2:$AG$37" noThreeD="1" sel="1" val="0"/>
</file>

<file path=xl/ctrlProps/ctrlProp281.xml><?xml version="1.0" encoding="utf-8"?>
<formControlPr xmlns="http://schemas.microsoft.com/office/spreadsheetml/2009/9/main" objectType="Drop" dropLines="20" dropStyle="combo" dx="31" fmlaLink="N10" fmlaRange="Data!$AG$2:$AG$37" noThreeD="1" sel="1" val="0"/>
</file>

<file path=xl/ctrlProps/ctrlProp282.xml><?xml version="1.0" encoding="utf-8"?>
<formControlPr xmlns="http://schemas.microsoft.com/office/spreadsheetml/2009/9/main" objectType="Drop" dropLines="20" dropStyle="combo" dx="31" fmlaLink="N11" fmlaRange="Data!$AG$2:$AG$37" noThreeD="1" sel="6" val="5"/>
</file>

<file path=xl/ctrlProps/ctrlProp283.xml><?xml version="1.0" encoding="utf-8"?>
<formControlPr xmlns="http://schemas.microsoft.com/office/spreadsheetml/2009/9/main" objectType="Drop" dropLines="20" dropStyle="combo" dx="31" fmlaLink="N14" fmlaRange="Data!$AG$2:$AG$37" noThreeD="1" sel="1" val="0"/>
</file>

<file path=xl/ctrlProps/ctrlProp284.xml><?xml version="1.0" encoding="utf-8"?>
<formControlPr xmlns="http://schemas.microsoft.com/office/spreadsheetml/2009/9/main" objectType="Drop" dropLines="20" dropStyle="combo" dx="31" fmlaLink="N15" fmlaRange="Data!$AG$2:$AG$37" noThreeD="1" sel="1" val="0"/>
</file>

<file path=xl/ctrlProps/ctrlProp285.xml><?xml version="1.0" encoding="utf-8"?>
<formControlPr xmlns="http://schemas.microsoft.com/office/spreadsheetml/2009/9/main" objectType="Drop" dropLines="20" dropStyle="combo" dx="31" fmlaLink="N16" fmlaRange="Data!$AG$2:$AG$37" noThreeD="1" sel="1" val="0"/>
</file>

<file path=xl/ctrlProps/ctrlProp286.xml><?xml version="1.0" encoding="utf-8"?>
<formControlPr xmlns="http://schemas.microsoft.com/office/spreadsheetml/2009/9/main" objectType="Drop" dropLines="20" dropStyle="combo" dx="31" fmlaLink="#REF!" fmlaRange="Data!$AG$2:$AG$37" noThreeD="1" sel="1" val="0"/>
</file>

<file path=xl/ctrlProps/ctrlProp287.xml><?xml version="1.0" encoding="utf-8"?>
<formControlPr xmlns="http://schemas.microsoft.com/office/spreadsheetml/2009/9/main" objectType="Drop" dropLines="3" dropStyle="combo" dx="31" fmlaLink="$F$7" fmlaRange="Data!$M$2:$M$4" noThreeD="1" sel="2" val="0"/>
</file>

<file path=xl/ctrlProps/ctrlProp288.xml><?xml version="1.0" encoding="utf-8"?>
<formControlPr xmlns="http://schemas.microsoft.com/office/spreadsheetml/2009/9/main" objectType="Drop" dropLines="35" dropStyle="combo" dx="31" fmlaLink="L13" fmlaRange="'Disposal-Waste'!$C$20:$C$50" noThreeD="1" sel="1" val="0"/>
</file>

<file path=xl/ctrlProps/ctrlProp289.xml><?xml version="1.0" encoding="utf-8"?>
<formControlPr xmlns="http://schemas.microsoft.com/office/spreadsheetml/2009/9/main" objectType="Drop" dropLines="20" dropStyle="combo" dx="31" fmlaLink="N12" fmlaRange="Data!$AG$2:$AG$37" noThreeD="1" sel="6" val="5"/>
</file>

<file path=xl/ctrlProps/ctrlProp29.xml><?xml version="1.0" encoding="utf-8"?>
<formControlPr xmlns="http://schemas.microsoft.com/office/spreadsheetml/2009/9/main" objectType="Drop" dropLines="3" dropStyle="combo" dx="31" fmlaLink="$F$17" fmlaRange="Data!$M$2:$M$4" noThreeD="1" sel="1" val="0"/>
</file>

<file path=xl/ctrlProps/ctrlProp290.xml><?xml version="1.0" encoding="utf-8"?>
<formControlPr xmlns="http://schemas.microsoft.com/office/spreadsheetml/2009/9/main" objectType="Drop" dropLines="20" dropStyle="combo" dx="31" fmlaLink="N13" fmlaRange="Data!$AG$2:$AG$37" noThreeD="1" sel="6" val="6"/>
</file>

<file path=xl/ctrlProps/ctrlProp291.xml><?xml version="1.0" encoding="utf-8"?>
<formControlPr xmlns="http://schemas.microsoft.com/office/spreadsheetml/2009/9/main" objectType="Drop" dropLines="20" dropStyle="combo" dx="31" fmlaLink="N9" fmlaRange="Data!$AG$2:$AG$37" noThreeD="1" sel="1" val="11"/>
</file>

<file path=xl/ctrlProps/ctrlProp292.xml><?xml version="1.0" encoding="utf-8"?>
<formControlPr xmlns="http://schemas.microsoft.com/office/spreadsheetml/2009/9/main" objectType="Drop" dropLines="20" dropStyle="combo" dx="31" fmlaLink="N6" fmlaRange="Data!$AG$2:$AG$37" noThreeD="1" sel="2" val="0"/>
</file>

<file path=xl/ctrlProps/ctrlProp293.xml><?xml version="1.0" encoding="utf-8"?>
<formControlPr xmlns="http://schemas.microsoft.com/office/spreadsheetml/2009/9/main" objectType="Drop" dropLines="35" dropStyle="combo" dx="31" fmlaLink="L7" fmlaRange="'Disposal-Waste'!$C$20:$C$50" noThreeD="1" sel="1" val="0"/>
</file>

<file path=xl/ctrlProps/ctrlProp294.xml><?xml version="1.0" encoding="utf-8"?>
<formControlPr xmlns="http://schemas.microsoft.com/office/spreadsheetml/2009/9/main" objectType="Drop" dropLines="35" dropStyle="combo" dx="31" fmlaLink="L12" fmlaRange="'Disposal-Waste'!$C$20:$C$50" noThreeD="1" sel="1" val="0"/>
</file>

<file path=xl/ctrlProps/ctrlProp295.xml><?xml version="1.0" encoding="utf-8"?>
<formControlPr xmlns="http://schemas.microsoft.com/office/spreadsheetml/2009/9/main" objectType="Drop" dropLines="35" dropStyle="combo" dx="31" fmlaLink="L14" fmlaRange="'Disposal-Waste'!$C$20:$C$50" noThreeD="1" sel="1" val="0"/>
</file>

<file path=xl/ctrlProps/ctrlProp296.xml><?xml version="1.0" encoding="utf-8"?>
<formControlPr xmlns="http://schemas.microsoft.com/office/spreadsheetml/2009/9/main" objectType="Drop" dropLines="50" dropStyle="combo" dx="31" fmlaLink="L23" fmlaRange="Pol.Data!$Z$4:$Z$7152" noThreeD="1" sel="1" val="0"/>
</file>

<file path=xl/ctrlProps/ctrlProp297.xml><?xml version="1.0" encoding="utf-8"?>
<formControlPr xmlns="http://schemas.microsoft.com/office/spreadsheetml/2009/9/main" objectType="Drop" dropLines="50" dropStyle="combo" dx="31" fmlaLink="L24" fmlaRange="Pol.Data!$Z$4:$Z$7152" noThreeD="1" sel="1" val="0"/>
</file>

<file path=xl/ctrlProps/ctrlProp298.xml><?xml version="1.0" encoding="utf-8"?>
<formControlPr xmlns="http://schemas.microsoft.com/office/spreadsheetml/2009/9/main" objectType="Drop" dropLines="50" dropStyle="combo" dx="31" fmlaLink="L25" fmlaRange="Pol.Data!$Z$4:$Z$7152" noThreeD="1" sel="1" val="0"/>
</file>

<file path=xl/ctrlProps/ctrlProp299.xml><?xml version="1.0" encoding="utf-8"?>
<formControlPr xmlns="http://schemas.microsoft.com/office/spreadsheetml/2009/9/main" objectType="Drop" dropLines="50" dropStyle="combo" dx="31" fmlaLink="L26" fmlaRange="Pol.Data!$Z$4:$Z$7152" noThreeD="1" sel="1" val="0"/>
</file>

<file path=xl/ctrlProps/ctrlProp3.xml><?xml version="1.0" encoding="utf-8"?>
<formControlPr xmlns="http://schemas.microsoft.com/office/spreadsheetml/2009/9/main" objectType="Drop" dropLines="3" dropStyle="combo" dx="31" fmlaLink="F14" fmlaRange="Data!$M$2:$M$4" noThreeD="1" sel="3" val="0"/>
</file>

<file path=xl/ctrlProps/ctrlProp30.xml><?xml version="1.0" encoding="utf-8"?>
<formControlPr xmlns="http://schemas.microsoft.com/office/spreadsheetml/2009/9/main" objectType="Drop" dropLines="20" dropStyle="combo" dx="31" fmlaLink="J40" fmlaRange="Pol.Data!$AO$4:$AO$48" noThreeD="1" sel="1" val="0"/>
</file>

<file path=xl/ctrlProps/ctrlProp300.xml><?xml version="1.0" encoding="utf-8"?>
<formControlPr xmlns="http://schemas.microsoft.com/office/spreadsheetml/2009/9/main" objectType="Drop" dropLines="50" dropStyle="combo" dx="31" fmlaLink="L27" fmlaRange="Pol.Data!$Z$4:$Z$7152" noThreeD="1" sel="1" val="0"/>
</file>

<file path=xl/ctrlProps/ctrlProp301.xml><?xml version="1.0" encoding="utf-8"?>
<formControlPr xmlns="http://schemas.microsoft.com/office/spreadsheetml/2009/9/main" objectType="Drop" dropLines="50" dropStyle="combo" dx="31" fmlaLink="L28" fmlaRange="Pol.Data!$Z$4:$Z$7152" noThreeD="1" sel="1" val="0"/>
</file>

<file path=xl/ctrlProps/ctrlProp302.xml><?xml version="1.0" encoding="utf-8"?>
<formControlPr xmlns="http://schemas.microsoft.com/office/spreadsheetml/2009/9/main" objectType="Drop" dropLines="50" dropStyle="combo" dx="31" fmlaLink="L29" fmlaRange="Pol.Data!$Z$4:$Z$7152" noThreeD="1" sel="1" val="0"/>
</file>

<file path=xl/ctrlProps/ctrlProp303.xml><?xml version="1.0" encoding="utf-8"?>
<formControlPr xmlns="http://schemas.microsoft.com/office/spreadsheetml/2009/9/main" objectType="Drop" dropLines="50" dropStyle="combo" dx="31" fmlaLink="L30" fmlaRange="Pol.Data!$Z$4:$Z$7152" noThreeD="1" sel="1" val="0"/>
</file>

<file path=xl/ctrlProps/ctrlProp304.xml><?xml version="1.0" encoding="utf-8"?>
<formControlPr xmlns="http://schemas.microsoft.com/office/spreadsheetml/2009/9/main" objectType="Drop" dropLines="50" dropStyle="combo" dx="31" fmlaLink="L31" fmlaRange="Pol.Data!$Z$4:$Z$7152" noThreeD="1" sel="1" val="0"/>
</file>

<file path=xl/ctrlProps/ctrlProp305.xml><?xml version="1.0" encoding="utf-8"?>
<formControlPr xmlns="http://schemas.microsoft.com/office/spreadsheetml/2009/9/main" objectType="Drop" dropLines="50" dropStyle="combo" dx="31" fmlaLink="L32" fmlaRange="Pol.Data!$Z$4:$Z$7152" noThreeD="1" sel="1" val="0"/>
</file>

<file path=xl/ctrlProps/ctrlProp306.xml><?xml version="1.0" encoding="utf-8"?>
<formControlPr xmlns="http://schemas.microsoft.com/office/spreadsheetml/2009/9/main" objectType="Drop" dropLines="50" dropStyle="combo" dx="31" fmlaLink="L33" fmlaRange="Pol.Data!$Z$4:$Z$7152" noThreeD="1" sel="1" val="0"/>
</file>

<file path=xl/ctrlProps/ctrlProp307.xml><?xml version="1.0" encoding="utf-8"?>
<formControlPr xmlns="http://schemas.microsoft.com/office/spreadsheetml/2009/9/main" objectType="Drop" dropLines="50" dropStyle="combo" dx="31" fmlaLink="L34" fmlaRange="Pol.Data!$Z$4:$Z$7152" noThreeD="1" sel="1" val="0"/>
</file>

<file path=xl/ctrlProps/ctrlProp308.xml><?xml version="1.0" encoding="utf-8"?>
<formControlPr xmlns="http://schemas.microsoft.com/office/spreadsheetml/2009/9/main" objectType="Drop" dropLines="50" dropStyle="combo" dx="31" fmlaLink="L35" fmlaRange="Pol.Data!$Z$4:$Z$7152" noThreeD="1" sel="1" val="0"/>
</file>

<file path=xl/ctrlProps/ctrlProp309.xml><?xml version="1.0" encoding="utf-8"?>
<formControlPr xmlns="http://schemas.microsoft.com/office/spreadsheetml/2009/9/main" objectType="Drop" dropLines="50" dropStyle="combo" dx="31" fmlaLink="L36" fmlaRange="Pol.Data!$Z$4:$Z$7152" noThreeD="1" sel="1" val="0"/>
</file>

<file path=xl/ctrlProps/ctrlProp31.xml><?xml version="1.0" encoding="utf-8"?>
<formControlPr xmlns="http://schemas.microsoft.com/office/spreadsheetml/2009/9/main" objectType="Drop" dropLines="20" dropStyle="combo" dx="31" fmlaLink="J41" fmlaRange="Pol.Data!$AO$4:$AO$48" noThreeD="1" sel="1" val="0"/>
</file>

<file path=xl/ctrlProps/ctrlProp310.xml><?xml version="1.0" encoding="utf-8"?>
<formControlPr xmlns="http://schemas.microsoft.com/office/spreadsheetml/2009/9/main" objectType="Drop" dropLines="50" dropStyle="combo" dx="31" fmlaLink="L37" fmlaRange="Pol.Data!$Z$4:$Z$7152" noThreeD="1" sel="1" val="0"/>
</file>

<file path=xl/ctrlProps/ctrlProp311.xml><?xml version="1.0" encoding="utf-8"?>
<formControlPr xmlns="http://schemas.microsoft.com/office/spreadsheetml/2009/9/main" objectType="Drop" dropLines="50" dropStyle="combo" dx="31" fmlaLink="L38" fmlaRange="Pol.Data!$Z$4:$Z$7152" noThreeD="1" sel="1" val="0"/>
</file>

<file path=xl/ctrlProps/ctrlProp312.xml><?xml version="1.0" encoding="utf-8"?>
<formControlPr xmlns="http://schemas.microsoft.com/office/spreadsheetml/2009/9/main" objectType="Drop" dropLines="50" dropStyle="combo" dx="31" fmlaLink="L39" fmlaRange="Pol.Data!$Z$4:$Z$7152" noThreeD="1" sel="1" val="0"/>
</file>

<file path=xl/ctrlProps/ctrlProp313.xml><?xml version="1.0" encoding="utf-8"?>
<formControlPr xmlns="http://schemas.microsoft.com/office/spreadsheetml/2009/9/main" objectType="Drop" dropLines="50" dropStyle="combo" dx="31" fmlaLink="L40" fmlaRange="Pol.Data!$Z$4:$Z$7152" noThreeD="1" sel="1" val="0"/>
</file>

<file path=xl/ctrlProps/ctrlProp314.xml><?xml version="1.0" encoding="utf-8"?>
<formControlPr xmlns="http://schemas.microsoft.com/office/spreadsheetml/2009/9/main" objectType="Drop" dropLines="50" dropStyle="combo" dx="31" fmlaLink="L41" fmlaRange="Pol.Data!$Z$4:$Z$7152" noThreeD="1" sel="1" val="0"/>
</file>

<file path=xl/ctrlProps/ctrlProp315.xml><?xml version="1.0" encoding="utf-8"?>
<formControlPr xmlns="http://schemas.microsoft.com/office/spreadsheetml/2009/9/main" objectType="Drop" dropLines="50" dropStyle="combo" dx="31" fmlaLink="L42" fmlaRange="Pol.Data!$Z$4:$Z$7152" noThreeD="1" sel="1" val="0"/>
</file>

<file path=xl/ctrlProps/ctrlProp316.xml><?xml version="1.0" encoding="utf-8"?>
<formControlPr xmlns="http://schemas.microsoft.com/office/spreadsheetml/2009/9/main" objectType="Drop" dropLines="3" dropStyle="combo" dx="31" fmlaLink="$F$4" fmlaRange="Data!$M$2:$M$4" noThreeD="1" sel="1" val="0"/>
</file>

<file path=xl/ctrlProps/ctrlProp317.xml><?xml version="1.0" encoding="utf-8"?>
<formControlPr xmlns="http://schemas.microsoft.com/office/spreadsheetml/2009/9/main" objectType="Drop" dropLines="3" dropStyle="combo" dx="31" fmlaLink="$F$6" fmlaRange="Data!$M$2:$M$4" noThreeD="1" sel="1" val="0"/>
</file>

<file path=xl/ctrlProps/ctrlProp318.xml><?xml version="1.0" encoding="utf-8"?>
<formControlPr xmlns="http://schemas.microsoft.com/office/spreadsheetml/2009/9/main" objectType="Drop" dropLines="3" dropStyle="combo" dx="31" fmlaLink="$F$59" fmlaRange="Data!$M$2:$M$4" noThreeD="1" sel="1" val="0"/>
</file>

<file path=xl/ctrlProps/ctrlProp319.xml><?xml version="1.0" encoding="utf-8"?>
<formControlPr xmlns="http://schemas.microsoft.com/office/spreadsheetml/2009/9/main" objectType="Drop" dropLines="3" dropStyle="combo" dx="31" fmlaLink="$F$6" fmlaRange="Data!$M$2:$M$4" noThreeD="1" sel="2" val="0"/>
</file>

<file path=xl/ctrlProps/ctrlProp32.xml><?xml version="1.0" encoding="utf-8"?>
<formControlPr xmlns="http://schemas.microsoft.com/office/spreadsheetml/2009/9/main" objectType="Drop" dropLines="20" dropStyle="combo" dx="31" fmlaLink="J42" fmlaRange="Pol.Data!$AO$4:$AO$48" noThreeD="1" sel="1" val="0"/>
</file>

<file path=xl/ctrlProps/ctrlProp320.xml><?xml version="1.0" encoding="utf-8"?>
<formControlPr xmlns="http://schemas.microsoft.com/office/spreadsheetml/2009/9/main" objectType="Drop" dropLines="3" dropStyle="combo" dx="31" fmlaLink="$F$21" fmlaRange="Data!$M$2:$M$4" noThreeD="1" sel="2" val="0"/>
</file>

<file path=xl/ctrlProps/ctrlProp321.xml><?xml version="1.0" encoding="utf-8"?>
<formControlPr xmlns="http://schemas.microsoft.com/office/spreadsheetml/2009/9/main" objectType="Drop" dropLines="15" dropStyle="combo" dx="31" fmlaLink="$F$18" fmlaRange="Data!$C$2:$C$194" noThreeD="1" sel="191" val="178"/>
</file>

<file path=xl/ctrlProps/ctrlProp322.xml><?xml version="1.0" encoding="utf-8"?>
<formControlPr xmlns="http://schemas.microsoft.com/office/spreadsheetml/2009/9/main" objectType="Drop" dropLines="3" dropStyle="combo" dx="31" fmlaLink="$F$31" fmlaRange="Data!$M$2:$M$4" noThreeD="1" sel="1" val="0"/>
</file>

<file path=xl/ctrlProps/ctrlProp323.xml><?xml version="1.0" encoding="utf-8"?>
<formControlPr xmlns="http://schemas.microsoft.com/office/spreadsheetml/2009/9/main" objectType="Drop" dropLines="3" dropStyle="combo" dx="31" fmlaLink="$F$65" fmlaRange="Data!$M$2:$M$4" noThreeD="1" sel="2" val="0"/>
</file>

<file path=xl/ctrlProps/ctrlProp324.xml><?xml version="1.0" encoding="utf-8"?>
<formControlPr xmlns="http://schemas.microsoft.com/office/spreadsheetml/2009/9/main" objectType="Drop" dropLines="3" dropStyle="combo" dx="31" fmlaLink="$F$82" fmlaRange="Data!$M$2:$M$4" noThreeD="1" sel="1" val="0"/>
</file>

<file path=xl/ctrlProps/ctrlProp325.xml><?xml version="1.0" encoding="utf-8"?>
<formControlPr xmlns="http://schemas.microsoft.com/office/spreadsheetml/2009/9/main" objectType="Drop" dropLines="3" dropStyle="combo" dx="31" fmlaLink="$F$89" fmlaRange="Data!$M$2:$M$4" noThreeD="1" sel="3" val="0"/>
</file>

<file path=xl/ctrlProps/ctrlProp326.xml><?xml version="1.0" encoding="utf-8"?>
<formControlPr xmlns="http://schemas.microsoft.com/office/spreadsheetml/2009/9/main" objectType="Drop" dropLines="3" dropStyle="combo" dx="31" fmlaLink="$F$97" fmlaRange="Data!$M$2:$M$4" noThreeD="1" sel="2" val="0"/>
</file>

<file path=xl/ctrlProps/ctrlProp327.xml><?xml version="1.0" encoding="utf-8"?>
<formControlPr xmlns="http://schemas.microsoft.com/office/spreadsheetml/2009/9/main" objectType="Drop" dropLines="3" dropStyle="combo" dx="31" fmlaLink="$F$99" fmlaRange="Data!$M$2:$M$4" noThreeD="1" sel="2" val="0"/>
</file>

<file path=xl/ctrlProps/ctrlProp328.xml><?xml version="1.0" encoding="utf-8"?>
<formControlPr xmlns="http://schemas.microsoft.com/office/spreadsheetml/2009/9/main" objectType="Drop" dropLines="3" dropStyle="combo" dx="31" fmlaLink="$F$100" fmlaRange="Data!$M$2:$M$4" noThreeD="1" sel="3" val="0"/>
</file>

<file path=xl/ctrlProps/ctrlProp329.xml><?xml version="1.0" encoding="utf-8"?>
<formControlPr xmlns="http://schemas.microsoft.com/office/spreadsheetml/2009/9/main" objectType="Drop" dropLines="3" dropStyle="combo" dx="31" fmlaLink="$F$98" fmlaRange="Data!$M$2:$M$4" noThreeD="1" sel="3" val="0"/>
</file>

<file path=xl/ctrlProps/ctrlProp33.xml><?xml version="1.0" encoding="utf-8"?>
<formControlPr xmlns="http://schemas.microsoft.com/office/spreadsheetml/2009/9/main" objectType="Drop" dropLines="20" dropStyle="combo" dx="31" fmlaLink="J43" fmlaRange="Pol.Data!$AO$4:$AO$48" noThreeD="1" sel="1" val="0"/>
</file>

<file path=xl/ctrlProps/ctrlProp330.xml><?xml version="1.0" encoding="utf-8"?>
<formControlPr xmlns="http://schemas.microsoft.com/office/spreadsheetml/2009/9/main" objectType="Drop" dropLines="3" dropStyle="combo" dx="31" fmlaLink="$F$101" fmlaRange="Data!$M$2:$M$4" noThreeD="1" sel="3" val="0"/>
</file>

<file path=xl/ctrlProps/ctrlProp331.xml><?xml version="1.0" encoding="utf-8"?>
<formControlPr xmlns="http://schemas.microsoft.com/office/spreadsheetml/2009/9/main" objectType="Drop" dropLines="15" dropStyle="combo" dx="31" fmlaLink="$F$106" fmlaRange="Data!$C$2:$C$194" noThreeD="1" sel="191" val="178"/>
</file>

<file path=xl/ctrlProps/ctrlProp332.xml><?xml version="1.0" encoding="utf-8"?>
<formControlPr xmlns="http://schemas.microsoft.com/office/spreadsheetml/2009/9/main" objectType="Drop" dropLines="3" dropStyle="combo" dx="31" fmlaLink="$F$102" fmlaRange="Data!$M$2:$M$4" noThreeD="1" sel="3" val="0"/>
</file>

<file path=xl/ctrlProps/ctrlProp333.xml><?xml version="1.0" encoding="utf-8"?>
<formControlPr xmlns="http://schemas.microsoft.com/office/spreadsheetml/2009/9/main" objectType="Drop" dropLines="15" dropStyle="combo" dx="31" fmlaLink="$F$9" fmlaRange="Data!$C$2:$C$194" noThreeD="1" sel="1" val="0"/>
</file>

<file path=xl/ctrlProps/ctrlProp334.xml><?xml version="1.0" encoding="utf-8"?>
<formControlPr xmlns="http://schemas.microsoft.com/office/spreadsheetml/2009/9/main" objectType="Drop" dropLines="3" dropStyle="combo" dx="31" fmlaLink="$F$40" fmlaRange="Data!$M$2:$M$4" noThreeD="1" sel="2" val="0"/>
</file>

<file path=xl/ctrlProps/ctrlProp335.xml><?xml version="1.0" encoding="utf-8"?>
<formControlPr xmlns="http://schemas.microsoft.com/office/spreadsheetml/2009/9/main" objectType="Drop" dropLines="3" dropStyle="combo" dx="31" fmlaLink="$F$46" fmlaRange="Data!$M$2:$M$4" noThreeD="1" sel="2" val="0"/>
</file>

<file path=xl/ctrlProps/ctrlProp336.xml><?xml version="1.0" encoding="utf-8"?>
<formControlPr xmlns="http://schemas.microsoft.com/office/spreadsheetml/2009/9/main" objectType="Drop" dropLines="3" dropStyle="combo" dx="31" fmlaLink="$F$52" fmlaRange="Data!$M$2:$M$4" noThreeD="1" sel="2" val="0"/>
</file>

<file path=xl/ctrlProps/ctrlProp337.xml><?xml version="1.0" encoding="utf-8"?>
<formControlPr xmlns="http://schemas.microsoft.com/office/spreadsheetml/2009/9/main" objectType="Drop" dropLines="3" dropStyle="combo" dx="31" fmlaLink="$F$14" fmlaRange="Data!$M$2:$M$4" noThreeD="1" sel="1" val="0"/>
</file>

<file path=xl/ctrlProps/ctrlProp338.xml><?xml version="1.0" encoding="utf-8"?>
<formControlPr xmlns="http://schemas.microsoft.com/office/spreadsheetml/2009/9/main" objectType="Drop" dropLines="10" dropStyle="combo" dx="31" fmlaLink="F16" fmlaRange="$C$86:$C$102" noThreeD="1" sel="1" val="0"/>
</file>

<file path=xl/ctrlProps/ctrlProp339.xml><?xml version="1.0" encoding="utf-8"?>
<formControlPr xmlns="http://schemas.microsoft.com/office/spreadsheetml/2009/9/main" objectType="Drop" dropLines="15" dropStyle="combo" dx="31" fmlaLink="F8" fmlaRange="Data!$AO$2:$AO$74" noThreeD="1" sel="1" val="0"/>
</file>

<file path=xl/ctrlProps/ctrlProp34.xml><?xml version="1.0" encoding="utf-8"?>
<formControlPr xmlns="http://schemas.microsoft.com/office/spreadsheetml/2009/9/main" objectType="Drop" dropLines="20" dropStyle="combo" dx="31" fmlaLink="J44" fmlaRange="Pol.Data!$AO$4:$AO$48" noThreeD="1" sel="1" val="0"/>
</file>

<file path=xl/ctrlProps/ctrlProp340.xml><?xml version="1.0" encoding="utf-8"?>
<formControlPr xmlns="http://schemas.microsoft.com/office/spreadsheetml/2009/9/main" objectType="Drop" dropLines="3" dropStyle="combo" dx="31" fmlaLink="$F$17" fmlaRange="Data!$M$2:$M$4" noThreeD="1" sel="1" val="0"/>
</file>

<file path=xl/ctrlProps/ctrlProp341.xml><?xml version="1.0" encoding="utf-8"?>
<formControlPr xmlns="http://schemas.microsoft.com/office/spreadsheetml/2009/9/main" objectType="Drop" dropLines="3" dropStyle="combo" dx="31" fmlaLink="$F$6" fmlaRange="Data!$M$2:$M$4" noThreeD="1" sel="1" val="0"/>
</file>

<file path=xl/ctrlProps/ctrlProp342.xml><?xml version="1.0" encoding="utf-8"?>
<formControlPr xmlns="http://schemas.microsoft.com/office/spreadsheetml/2009/9/main" objectType="Drop" dropLines="3" dropStyle="combo" dx="31" fmlaLink="$F22" fmlaRange="Data!$M$2:$M$4" noThreeD="1" sel="1" val="0"/>
</file>

<file path=xl/ctrlProps/ctrlProp343.xml><?xml version="1.0" encoding="utf-8"?>
<formControlPr xmlns="http://schemas.microsoft.com/office/spreadsheetml/2009/9/main" objectType="Drop" dropLines="3" dropStyle="combo" dx="31" fmlaLink="$F5" fmlaRange="Data!$M$2:$M$4" noThreeD="1" sel="3" val="0"/>
</file>

<file path=xl/ctrlProps/ctrlProp344.xml><?xml version="1.0" encoding="utf-8"?>
<formControlPr xmlns="http://schemas.microsoft.com/office/spreadsheetml/2009/9/main" objectType="Drop" dropLines="15" dropStyle="combo" dx="31" fmlaLink="$J$57" fmlaRange="Data!$C$2:$C$194" noThreeD="1" sel="1" val="0"/>
</file>

<file path=xl/ctrlProps/ctrlProp345.xml><?xml version="1.0" encoding="utf-8"?>
<formControlPr xmlns="http://schemas.microsoft.com/office/spreadsheetml/2009/9/main" objectType="Drop" dropLines="15" dropStyle="combo" dx="31" fmlaLink="$J$58" fmlaRange="Data!$C$2:$C$194" noThreeD="1" sel="1" val="0"/>
</file>

<file path=xl/ctrlProps/ctrlProp346.xml><?xml version="1.0" encoding="utf-8"?>
<formControlPr xmlns="http://schemas.microsoft.com/office/spreadsheetml/2009/9/main" objectType="Drop" dropLines="15" dropStyle="combo" dx="31" fmlaLink="$J$59" fmlaRange="Data!$C$2:$C$194" noThreeD="1" sel="1" val="0"/>
</file>

<file path=xl/ctrlProps/ctrlProp347.xml><?xml version="1.0" encoding="utf-8"?>
<formControlPr xmlns="http://schemas.microsoft.com/office/spreadsheetml/2009/9/main" objectType="Drop" dropLines="15" dropStyle="combo" dx="31" fmlaLink="$J$60" fmlaRange="Data!$C$2:$C$194" noThreeD="1" sel="1" val="0"/>
</file>

<file path=xl/ctrlProps/ctrlProp348.xml><?xml version="1.0" encoding="utf-8"?>
<formControlPr xmlns="http://schemas.microsoft.com/office/spreadsheetml/2009/9/main" objectType="Drop" dropLines="15" dropStyle="combo" dx="31" fmlaLink="$J$61" fmlaRange="Data!$C$2:$C$194" noThreeD="1" sel="1" val="0"/>
</file>

<file path=xl/ctrlProps/ctrlProp349.xml><?xml version="1.0" encoding="utf-8"?>
<formControlPr xmlns="http://schemas.microsoft.com/office/spreadsheetml/2009/9/main" objectType="Drop" dropLines="15" dropStyle="combo" dx="31" fmlaLink="$J$62" fmlaRange="Data!$C$2:$C$194" noThreeD="1" sel="1" val="0"/>
</file>

<file path=xl/ctrlProps/ctrlProp35.xml><?xml version="1.0" encoding="utf-8"?>
<formControlPr xmlns="http://schemas.microsoft.com/office/spreadsheetml/2009/9/main" objectType="Drop" dropLines="20" dropStyle="combo" dx="31" fmlaLink="J45" fmlaRange="Pol.Data!$AO$4:$AO$48" noThreeD="1" sel="1" val="0"/>
</file>

<file path=xl/ctrlProps/ctrlProp350.xml><?xml version="1.0" encoding="utf-8"?>
<formControlPr xmlns="http://schemas.microsoft.com/office/spreadsheetml/2009/9/main" objectType="Drop" dropLines="3" dropStyle="combo" dx="31" fmlaLink="$F6" fmlaRange="Data!$M$2:$M$4" noThreeD="1" sel="2" val="0"/>
</file>

<file path=xl/ctrlProps/ctrlProp351.xml><?xml version="1.0" encoding="utf-8"?>
<formControlPr xmlns="http://schemas.microsoft.com/office/spreadsheetml/2009/9/main" objectType="Drop" dropLines="15" dropStyle="combo" dx="31" fmlaLink="F25" fmlaRange="Data!$AO$2:$AO$74" noThreeD="1" sel="1" val="0"/>
</file>

<file path=xl/ctrlProps/ctrlProp352.xml><?xml version="1.0" encoding="utf-8"?>
<formControlPr xmlns="http://schemas.microsoft.com/office/spreadsheetml/2009/9/main" objectType="Drop" dropLines="3" dropStyle="combo" dx="31" fmlaLink="$F23" fmlaRange="Data!$M$2:$M$4" noThreeD="1" sel="1" val="0"/>
</file>

<file path=xl/ctrlProps/ctrlProp353.xml><?xml version="1.0" encoding="utf-8"?>
<formControlPr xmlns="http://schemas.microsoft.com/office/spreadsheetml/2009/9/main" objectType="Drop" dropLines="3" dropStyle="combo" dx="31" fmlaLink="F27" fmlaRange="Data!$M$2:$M$4" noThreeD="1" sel="1" val="0"/>
</file>

<file path=xl/ctrlProps/ctrlProp354.xml><?xml version="1.0" encoding="utf-8"?>
<formControlPr xmlns="http://schemas.microsoft.com/office/spreadsheetml/2009/9/main" objectType="Drop" dropLines="3" dropStyle="combo" dx="31" fmlaLink="F28" fmlaRange="Data!$M$2:$M$4" noThreeD="1" sel="1" val="0"/>
</file>

<file path=xl/ctrlProps/ctrlProp355.xml><?xml version="1.0" encoding="utf-8"?>
<formControlPr xmlns="http://schemas.microsoft.com/office/spreadsheetml/2009/9/main" objectType="Drop" dropLines="15" dropStyle="combo" dx="31" fmlaLink="F57" fmlaRange="Data!$AO$2:$AO$74" noThreeD="1" sel="1" val="0"/>
</file>

<file path=xl/ctrlProps/ctrlProp356.xml><?xml version="1.0" encoding="utf-8"?>
<formControlPr xmlns="http://schemas.microsoft.com/office/spreadsheetml/2009/9/main" objectType="Drop" dropLines="15" dropStyle="combo" dx="31" fmlaLink="$J$63" fmlaRange="Data!$C$2:$C$194" noThreeD="1" sel="1" val="0"/>
</file>

<file path=xl/ctrlProps/ctrlProp357.xml><?xml version="1.0" encoding="utf-8"?>
<formControlPr xmlns="http://schemas.microsoft.com/office/spreadsheetml/2009/9/main" objectType="Drop" dropLines="15" dropStyle="combo" dx="31" fmlaLink="$J$64" fmlaRange="Data!$C$2:$C$194" noThreeD="1" sel="1" val="0"/>
</file>

<file path=xl/ctrlProps/ctrlProp358.xml><?xml version="1.0" encoding="utf-8"?>
<formControlPr xmlns="http://schemas.microsoft.com/office/spreadsheetml/2009/9/main" objectType="Drop" dropLines="15" dropStyle="combo" dx="31" fmlaLink="$J$65" fmlaRange="Data!$C$2:$C$194" noThreeD="1" sel="1" val="0"/>
</file>

<file path=xl/ctrlProps/ctrlProp359.xml><?xml version="1.0" encoding="utf-8"?>
<formControlPr xmlns="http://schemas.microsoft.com/office/spreadsheetml/2009/9/main" objectType="Drop" dropLines="15" dropStyle="combo" dx="31" fmlaLink="$J$66" fmlaRange="Data!$C$2:$C$194" noThreeD="1" sel="1" val="0"/>
</file>

<file path=xl/ctrlProps/ctrlProp36.xml><?xml version="1.0" encoding="utf-8"?>
<formControlPr xmlns="http://schemas.microsoft.com/office/spreadsheetml/2009/9/main" objectType="Drop" dropLines="20" dropStyle="combo" dx="31" fmlaLink="J46" fmlaRange="Pol.Data!$AO$4:$AO$48" noThreeD="1" sel="1" val="0"/>
</file>

<file path=xl/ctrlProps/ctrlProp360.xml><?xml version="1.0" encoding="utf-8"?>
<formControlPr xmlns="http://schemas.microsoft.com/office/spreadsheetml/2009/9/main" objectType="Drop" dropLines="15" dropStyle="combo" dx="31" fmlaLink="$J$67" fmlaRange="Data!$C$2:$C$194" noThreeD="1" sel="1" val="0"/>
</file>

<file path=xl/ctrlProps/ctrlProp361.xml><?xml version="1.0" encoding="utf-8"?>
<formControlPr xmlns="http://schemas.microsoft.com/office/spreadsheetml/2009/9/main" objectType="Drop" dropLines="15" dropStyle="combo" dx="31" fmlaLink="$J$68" fmlaRange="Data!$C$2:$C$194" noThreeD="1" sel="1" val="0"/>
</file>

<file path=xl/ctrlProps/ctrlProp362.xml><?xml version="1.0" encoding="utf-8"?>
<formControlPr xmlns="http://schemas.microsoft.com/office/spreadsheetml/2009/9/main" objectType="Drop" dropLines="15" dropStyle="combo" dx="31" fmlaLink="$J$69" fmlaRange="Data!$C$2:$C$194" noThreeD="1" sel="1" val="0"/>
</file>

<file path=xl/ctrlProps/ctrlProp363.xml><?xml version="1.0" encoding="utf-8"?>
<formControlPr xmlns="http://schemas.microsoft.com/office/spreadsheetml/2009/9/main" objectType="Drop" dropLines="15" dropStyle="combo" dx="31" fmlaLink="$J$70" fmlaRange="Data!$C$2:$C$194" noThreeD="1" sel="1" val="0"/>
</file>

<file path=xl/ctrlProps/ctrlProp364.xml><?xml version="1.0" encoding="utf-8"?>
<formControlPr xmlns="http://schemas.microsoft.com/office/spreadsheetml/2009/9/main" objectType="Drop" dropLines="15" dropStyle="combo" dx="31" fmlaLink="$J$71" fmlaRange="Data!$C$2:$C$194" noThreeD="1" sel="1" val="0"/>
</file>

<file path=xl/ctrlProps/ctrlProp365.xml><?xml version="1.0" encoding="utf-8"?>
<formControlPr xmlns="http://schemas.microsoft.com/office/spreadsheetml/2009/9/main" objectType="Drop" dropLines="15" dropStyle="combo" dx="31" fmlaLink="$J$72" fmlaRange="Data!$C$2:$C$194" noThreeD="1" sel="1" val="0"/>
</file>

<file path=xl/ctrlProps/ctrlProp366.xml><?xml version="1.0" encoding="utf-8"?>
<formControlPr xmlns="http://schemas.microsoft.com/office/spreadsheetml/2009/9/main" objectType="Drop" dropLines="15" dropStyle="combo" dx="31" fmlaLink="$J$73" fmlaRange="Data!$C$2:$C$194" noThreeD="1" sel="1" val="0"/>
</file>

<file path=xl/ctrlProps/ctrlProp367.xml><?xml version="1.0" encoding="utf-8"?>
<formControlPr xmlns="http://schemas.microsoft.com/office/spreadsheetml/2009/9/main" objectType="Drop" dropLines="15" dropStyle="combo" dx="31" fmlaLink="$J$74" fmlaRange="Data!$C$2:$C$194" noThreeD="1" sel="1" val="0"/>
</file>

<file path=xl/ctrlProps/ctrlProp368.xml><?xml version="1.0" encoding="utf-8"?>
<formControlPr xmlns="http://schemas.microsoft.com/office/spreadsheetml/2009/9/main" objectType="Drop" dropLines="15" dropStyle="combo" dx="31" fmlaLink="$J$75" fmlaRange="Data!$C$2:$C$194" noThreeD="1" sel="1" val="0"/>
</file>

<file path=xl/ctrlProps/ctrlProp369.xml><?xml version="1.0" encoding="utf-8"?>
<formControlPr xmlns="http://schemas.microsoft.com/office/spreadsheetml/2009/9/main" objectType="Drop" dropLines="15" dropStyle="combo" dx="31" fmlaLink="$J$76" fmlaRange="Data!$C$2:$C$194" noThreeD="1" sel="1" val="0"/>
</file>

<file path=xl/ctrlProps/ctrlProp37.xml><?xml version="1.0" encoding="utf-8"?>
<formControlPr xmlns="http://schemas.microsoft.com/office/spreadsheetml/2009/9/main" objectType="Drop" dropLines="20" dropStyle="combo" dx="31" fmlaLink="J47" fmlaRange="Pol.Data!$AO$4:$AO$48" noThreeD="1" sel="1" val="0"/>
</file>

<file path=xl/ctrlProps/ctrlProp370.xml><?xml version="1.0" encoding="utf-8"?>
<formControlPr xmlns="http://schemas.microsoft.com/office/spreadsheetml/2009/9/main" objectType="Drop" dropLines="3" dropStyle="combo" dx="31" fmlaLink="$F$8" fmlaRange="Data!$M$2:$M$4" noThreeD="1" sel="3" val="0"/>
</file>

<file path=xl/ctrlProps/ctrlProp371.xml><?xml version="1.0" encoding="utf-8"?>
<formControlPr xmlns="http://schemas.microsoft.com/office/spreadsheetml/2009/9/main" objectType="Drop" dropLines="3" dropStyle="combo" dx="31" fmlaLink="$F$7" fmlaRange="Data!$M$2:$M$4" noThreeD="1" sel="3" val="0"/>
</file>

<file path=xl/ctrlProps/ctrlProp372.xml><?xml version="1.0" encoding="utf-8"?>
<formControlPr xmlns="http://schemas.microsoft.com/office/spreadsheetml/2009/9/main" objectType="Drop" dropLines="15" dropStyle="combo" dx="31" fmlaLink="F11" fmlaRange="Data!$AO$2:$AO$74" noThreeD="1" sel="1" val="0"/>
</file>

<file path=xl/ctrlProps/ctrlProp373.xml><?xml version="1.0" encoding="utf-8"?>
<formControlPr xmlns="http://schemas.microsoft.com/office/spreadsheetml/2009/9/main" objectType="Drop" dropLines="3" dropStyle="combo" dx="31" fmlaLink="$F$6" fmlaRange="Data!$M$2:$M$4" noThreeD="1" sel="3" val="0"/>
</file>

<file path=xl/ctrlProps/ctrlProp374.xml><?xml version="1.0" encoding="utf-8"?>
<formControlPr xmlns="http://schemas.microsoft.com/office/spreadsheetml/2009/9/main" objectType="Drop" dropLines="3" dropStyle="combo" dx="31" fmlaLink="$F$5" fmlaRange="Data!$M$2:$M$4" noThreeD="1" sel="1" val="0"/>
</file>

<file path=xl/ctrlProps/ctrlProp375.xml><?xml version="1.0" encoding="utf-8"?>
<formControlPr xmlns="http://schemas.microsoft.com/office/spreadsheetml/2009/9/main" objectType="Drop" dropLines="3" dropStyle="combo" dx="31" fmlaLink="$F$4" fmlaRange="Data!$M$2:$M$4" noThreeD="1" sel="1" val="0"/>
</file>

<file path=xl/ctrlProps/ctrlProp376.xml><?xml version="1.0" encoding="utf-8"?>
<formControlPr xmlns="http://schemas.microsoft.com/office/spreadsheetml/2009/9/main" objectType="Drop" dropLines="50" dropStyle="combo" dx="31" fmlaLink="J4" fmlaRange="'Idemat Data'!$J$4:$J$1123" noThreeD="1" sel="1" val="0"/>
</file>

<file path=xl/ctrlProps/ctrlProp377.xml><?xml version="1.0" encoding="utf-8"?>
<formControlPr xmlns="http://schemas.microsoft.com/office/spreadsheetml/2009/9/main" objectType="Drop" dropLines="50" dropStyle="combo" dx="31" fmlaLink="J5" fmlaRange="'Idemat Data'!$J$4:$J$1123" noThreeD="1" sel="1" val="0"/>
</file>

<file path=xl/ctrlProps/ctrlProp378.xml><?xml version="1.0" encoding="utf-8"?>
<formControlPr xmlns="http://schemas.microsoft.com/office/spreadsheetml/2009/9/main" objectType="Drop" dropLines="50" dropStyle="combo" dx="31" fmlaLink="J6" fmlaRange="'Idemat Data'!$J$4:$J$1123" noThreeD="1" sel="1" val="0"/>
</file>

<file path=xl/ctrlProps/ctrlProp379.xml><?xml version="1.0" encoding="utf-8"?>
<formControlPr xmlns="http://schemas.microsoft.com/office/spreadsheetml/2009/9/main" objectType="Drop" dropLines="50" dropStyle="combo" dx="31" fmlaLink="J8" fmlaRange="'Idemat Data'!$J$4:$J$1123" noThreeD="1" sel="1" val="0"/>
</file>

<file path=xl/ctrlProps/ctrlProp38.xml><?xml version="1.0" encoding="utf-8"?>
<formControlPr xmlns="http://schemas.microsoft.com/office/spreadsheetml/2009/9/main" objectType="Drop" dropLines="20" dropStyle="combo" dx="31" fmlaLink="J48" fmlaRange="Pol.Data!$AO$4:$AO$48" noThreeD="1" sel="1" val="0"/>
</file>

<file path=xl/ctrlProps/ctrlProp380.xml><?xml version="1.0" encoding="utf-8"?>
<formControlPr xmlns="http://schemas.microsoft.com/office/spreadsheetml/2009/9/main" objectType="Drop" dropLines="50" dropStyle="combo" dx="31" fmlaLink="J9" fmlaRange="'Idemat Data'!$J$4:$J$1123" noThreeD="1" sel="1" val="0"/>
</file>

<file path=xl/ctrlProps/ctrlProp381.xml><?xml version="1.0" encoding="utf-8"?>
<formControlPr xmlns="http://schemas.microsoft.com/office/spreadsheetml/2009/9/main" objectType="Drop" dropLines="50" dropStyle="combo" dx="31" fmlaLink="J10" fmlaRange="'Idemat Data'!$J$4:$J$1123" noThreeD="1" sel="1" val="0"/>
</file>

<file path=xl/ctrlProps/ctrlProp382.xml><?xml version="1.0" encoding="utf-8"?>
<formControlPr xmlns="http://schemas.microsoft.com/office/spreadsheetml/2009/9/main" objectType="Drop" dropLines="50" dropStyle="combo" dx="31" fmlaLink="J11" fmlaRange="'Idemat Data'!$J$4:$J$1123" noThreeD="1" sel="1" val="0"/>
</file>

<file path=xl/ctrlProps/ctrlProp383.xml><?xml version="1.0" encoding="utf-8"?>
<formControlPr xmlns="http://schemas.microsoft.com/office/spreadsheetml/2009/9/main" objectType="Drop" dropLines="50" dropStyle="combo" dx="31" fmlaLink="J14" fmlaRange="'Idemat Data'!$J$4:$J$1123" noThreeD="1" sel="1" val="0"/>
</file>

<file path=xl/ctrlProps/ctrlProp384.xml><?xml version="1.0" encoding="utf-8"?>
<formControlPr xmlns="http://schemas.microsoft.com/office/spreadsheetml/2009/9/main" objectType="Drop" dropLines="50" dropStyle="combo" dx="31" fmlaLink="J13" fmlaRange="'Idemat Data'!$J$4:$J$1123" noThreeD="1" sel="1" val="0"/>
</file>

<file path=xl/ctrlProps/ctrlProp385.xml><?xml version="1.0" encoding="utf-8"?>
<formControlPr xmlns="http://schemas.microsoft.com/office/spreadsheetml/2009/9/main" objectType="Drop" dropLines="50" dropStyle="combo" dx="31" fmlaLink="J12" fmlaRange="'Idemat Data'!$J$4:$J$1123" noThreeD="1" sel="1" val="0"/>
</file>

<file path=xl/ctrlProps/ctrlProp386.xml><?xml version="1.0" encoding="utf-8"?>
<formControlPr xmlns="http://schemas.microsoft.com/office/spreadsheetml/2009/9/main" objectType="Drop" dropLines="50" dropStyle="combo" dx="31" fmlaLink="T4" fmlaRange="'Idemat Data'!$J$4:$J$1123" noThreeD="1" sel="1" val="0"/>
</file>

<file path=xl/ctrlProps/ctrlProp387.xml><?xml version="1.0" encoding="utf-8"?>
<formControlPr xmlns="http://schemas.microsoft.com/office/spreadsheetml/2009/9/main" objectType="Drop" dropLines="50" dropStyle="combo" dx="31" fmlaLink="T5" fmlaRange="'Idemat Data'!$J$4:$J$1123" noThreeD="1" sel="1" val="0"/>
</file>

<file path=xl/ctrlProps/ctrlProp388.xml><?xml version="1.0" encoding="utf-8"?>
<formControlPr xmlns="http://schemas.microsoft.com/office/spreadsheetml/2009/9/main" objectType="Drop" dropLines="50" dropStyle="combo" dx="31" fmlaLink="T8" fmlaRange="'Idemat Data'!$J$4:$J$1123" noThreeD="1" sel="1" val="0"/>
</file>

<file path=xl/ctrlProps/ctrlProp389.xml><?xml version="1.0" encoding="utf-8"?>
<formControlPr xmlns="http://schemas.microsoft.com/office/spreadsheetml/2009/9/main" objectType="Drop" dropLines="50" dropStyle="combo" dx="31" fmlaLink="T9" fmlaRange="'Idemat Data'!$J$4:$J$1123" noThreeD="1" sel="1" val="0"/>
</file>

<file path=xl/ctrlProps/ctrlProp39.xml><?xml version="1.0" encoding="utf-8"?>
<formControlPr xmlns="http://schemas.microsoft.com/office/spreadsheetml/2009/9/main" objectType="Drop" dropLines="20" dropStyle="combo" dx="31" fmlaLink="J49" fmlaRange="Pol.Data!$AO$4:$AO$48" noThreeD="1" sel="1" val="0"/>
</file>

<file path=xl/ctrlProps/ctrlProp390.xml><?xml version="1.0" encoding="utf-8"?>
<formControlPr xmlns="http://schemas.microsoft.com/office/spreadsheetml/2009/9/main" objectType="Drop" dropLines="50" dropStyle="combo" dx="31" fmlaLink="T10" fmlaRange="'Idemat Data'!$J$4:$J$1123" noThreeD="1" sel="1" val="0"/>
</file>

<file path=xl/ctrlProps/ctrlProp391.xml><?xml version="1.0" encoding="utf-8"?>
<formControlPr xmlns="http://schemas.microsoft.com/office/spreadsheetml/2009/9/main" objectType="Drop" dropLines="50" dropStyle="combo" dx="31" fmlaLink="T11" fmlaRange="'Idemat Data'!$J$4:$J$1123" noThreeD="1" sel="1" val="0"/>
</file>

<file path=xl/ctrlProps/ctrlProp392.xml><?xml version="1.0" encoding="utf-8"?>
<formControlPr xmlns="http://schemas.microsoft.com/office/spreadsheetml/2009/9/main" objectType="Drop" dropLines="50" dropStyle="combo" dx="31" fmlaLink="T12" fmlaRange="'Idemat Data'!$J$4:$J$1123" noThreeD="1" sel="1" val="0"/>
</file>

<file path=xl/ctrlProps/ctrlProp393.xml><?xml version="1.0" encoding="utf-8"?>
<formControlPr xmlns="http://schemas.microsoft.com/office/spreadsheetml/2009/9/main" objectType="Drop" dropLines="50" dropStyle="combo" dx="31" fmlaLink="T13" fmlaRange="'Idemat Data'!$J$4:$J$1123" noThreeD="1" sel="1" val="0"/>
</file>

<file path=xl/ctrlProps/ctrlProp394.xml><?xml version="1.0" encoding="utf-8"?>
<formControlPr xmlns="http://schemas.microsoft.com/office/spreadsheetml/2009/9/main" objectType="Drop" dropLines="50" dropStyle="combo" dx="31" fmlaLink="T14" fmlaRange="'Idemat Data'!$J$4:$J$1123" noThreeD="1" sel="1" val="0"/>
</file>

<file path=xl/ctrlProps/ctrlProp395.xml><?xml version="1.0" encoding="utf-8"?>
<formControlPr xmlns="http://schemas.microsoft.com/office/spreadsheetml/2009/9/main" objectType="Drop" dropLines="3" dropStyle="combo" dx="31" fmlaLink="$F$12" fmlaRange="Data!$M$2:$M$4" noThreeD="1" sel="1" val="0"/>
</file>

<file path=xl/ctrlProps/ctrlProp396.xml><?xml version="1.0" encoding="utf-8"?>
<formControlPr xmlns="http://schemas.microsoft.com/office/spreadsheetml/2009/9/main" objectType="Drop" dropLines="15" dropStyle="combo" dx="31" fmlaLink="$F$14" fmlaRange="Data!$C$2:$C$194" noThreeD="1" sel="1" val="0"/>
</file>

<file path=xl/ctrlProps/ctrlProp397.xml><?xml version="1.0" encoding="utf-8"?>
<formControlPr xmlns="http://schemas.microsoft.com/office/spreadsheetml/2009/9/main" objectType="Drop" dropLines="50" dropStyle="combo" dx="31" fmlaLink="J7" fmlaRange="'Idemat Data'!$J$4:$J$1123" noThreeD="1" sel="1" val="0"/>
</file>

<file path=xl/ctrlProps/ctrlProp398.xml><?xml version="1.0" encoding="utf-8"?>
<formControlPr xmlns="http://schemas.microsoft.com/office/spreadsheetml/2009/9/main" objectType="Drop" dropLines="50" dropStyle="combo" dx="31" fmlaLink="T7" fmlaRange="'Idemat Data'!$J$4:$J$1123" noThreeD="1" sel="1" val="0"/>
</file>

<file path=xl/ctrlProps/ctrlProp399.xml><?xml version="1.0" encoding="utf-8"?>
<formControlPr xmlns="http://schemas.microsoft.com/office/spreadsheetml/2009/9/main" objectType="Drop" dropLines="50" dropStyle="combo" dx="31" fmlaLink="T6" fmlaRange="'Idemat Data'!$J$4:$J$1123" noThreeD="1" sel="1" val="0"/>
</file>

<file path=xl/ctrlProps/ctrlProp4.xml><?xml version="1.0" encoding="utf-8"?>
<formControlPr xmlns="http://schemas.microsoft.com/office/spreadsheetml/2009/9/main" objectType="Drop" dropLines="10" dropStyle="combo" dx="31" fmlaLink="$F$20" fmlaRange="Data!$C$2:$C$194" noThreeD="1" sel="1" val="0"/>
</file>

<file path=xl/ctrlProps/ctrlProp40.xml><?xml version="1.0" encoding="utf-8"?>
<formControlPr xmlns="http://schemas.microsoft.com/office/spreadsheetml/2009/9/main" objectType="Drop" dropLines="20" dropStyle="combo" dx="31" fmlaLink="J51" fmlaRange="Pol.Data!$AO$4:$AO$48" noThreeD="1" sel="1" val="0"/>
</file>

<file path=xl/ctrlProps/ctrlProp400.xml><?xml version="1.0" encoding="utf-8"?>
<formControlPr xmlns="http://schemas.microsoft.com/office/spreadsheetml/2009/9/main" objectType="Drop" dropLines="3" dropStyle="combo" dx="31" fmlaLink="$F$18" fmlaRange="Data!$M$2:$M$4" noThreeD="1" sel="1" val="0"/>
</file>

<file path=xl/ctrlProps/ctrlProp401.xml><?xml version="1.0" encoding="utf-8"?>
<formControlPr xmlns="http://schemas.microsoft.com/office/spreadsheetml/2009/9/main" objectType="Drop" dropLines="50" dropStyle="combo" dx="31" fmlaLink="C45" fmlaRange="Pol.Data!$Z$4:$Z$7152" noThreeD="1" sel="1" val="0"/>
</file>

<file path=xl/ctrlProps/ctrlProp402.xml><?xml version="1.0" encoding="utf-8"?>
<formControlPr xmlns="http://schemas.microsoft.com/office/spreadsheetml/2009/9/main" objectType="Drop" dropLines="50" dropStyle="combo" dx="31" fmlaLink="C46" fmlaRange="Pol.Data!$Z$4:$Z$7152" noThreeD="1" sel="1" val="0"/>
</file>

<file path=xl/ctrlProps/ctrlProp403.xml><?xml version="1.0" encoding="utf-8"?>
<formControlPr xmlns="http://schemas.microsoft.com/office/spreadsheetml/2009/9/main" objectType="Drop" dropLines="50" dropStyle="combo" dx="31" fmlaLink="C47" fmlaRange="Pol.Data!$Z$4:$Z$7152" noThreeD="1" sel="1" val="0"/>
</file>

<file path=xl/ctrlProps/ctrlProp404.xml><?xml version="1.0" encoding="utf-8"?>
<formControlPr xmlns="http://schemas.microsoft.com/office/spreadsheetml/2009/9/main" objectType="Drop" dropLines="50" dropStyle="combo" dx="31" fmlaLink="C48" fmlaRange="Pol.Data!$Z$4:$Z$7152" noThreeD="1" sel="1" val="0"/>
</file>

<file path=xl/ctrlProps/ctrlProp405.xml><?xml version="1.0" encoding="utf-8"?>
<formControlPr xmlns="http://schemas.microsoft.com/office/spreadsheetml/2009/9/main" objectType="Drop" dropLines="50" dropStyle="combo" dx="31" fmlaLink="C49" fmlaRange="Pol.Data!$Z$4:$Z$7152" noThreeD="1" sel="1" val="0"/>
</file>

<file path=xl/ctrlProps/ctrlProp406.xml><?xml version="1.0" encoding="utf-8"?>
<formControlPr xmlns="http://schemas.microsoft.com/office/spreadsheetml/2009/9/main" objectType="Drop" dropLines="50" dropStyle="combo" dx="31" fmlaLink="C50" fmlaRange="Pol.Data!$Z$4:$Z$7152" noThreeD="1" sel="1" val="0"/>
</file>

<file path=xl/ctrlProps/ctrlProp407.xml><?xml version="1.0" encoding="utf-8"?>
<formControlPr xmlns="http://schemas.microsoft.com/office/spreadsheetml/2009/9/main" objectType="Drop" dropLines="50" dropStyle="combo" dx="31" fmlaLink="C52" fmlaRange="Pol.Data!$Z$4:$Z$7152" noThreeD="1" sel="1" val="0"/>
</file>

<file path=xl/ctrlProps/ctrlProp408.xml><?xml version="1.0" encoding="utf-8"?>
<formControlPr xmlns="http://schemas.microsoft.com/office/spreadsheetml/2009/9/main" objectType="Drop" dropLines="50" dropStyle="combo" dx="31" fmlaLink="C53" fmlaRange="Pol.Data!$Z$4:$Z$7152" noThreeD="1" sel="1" val="0"/>
</file>

<file path=xl/ctrlProps/ctrlProp409.xml><?xml version="1.0" encoding="utf-8"?>
<formControlPr xmlns="http://schemas.microsoft.com/office/spreadsheetml/2009/9/main" objectType="Drop" dropLines="50" dropStyle="combo" dx="31" fmlaLink="B54" fmlaRange="Pol.Data!$Z$4:$Z$7152" noThreeD="1" sel="1" val="0"/>
</file>

<file path=xl/ctrlProps/ctrlProp41.xml><?xml version="1.0" encoding="utf-8"?>
<formControlPr xmlns="http://schemas.microsoft.com/office/spreadsheetml/2009/9/main" objectType="Drop" dropLines="20" dropStyle="combo" dx="31" fmlaLink="J39" fmlaRange="Pol.Data!$AO$4:$AO$48" noThreeD="1" sel="1" val="0"/>
</file>

<file path=xl/ctrlProps/ctrlProp410.xml><?xml version="1.0" encoding="utf-8"?>
<formControlPr xmlns="http://schemas.microsoft.com/office/spreadsheetml/2009/9/main" objectType="Drop" dropLines="50" dropStyle="combo" dx="31" fmlaLink="C55" fmlaRange="Pol.Data!$Z$4:$Z$7152" noThreeD="1" sel="1" val="0"/>
</file>

<file path=xl/ctrlProps/ctrlProp411.xml><?xml version="1.0" encoding="utf-8"?>
<formControlPr xmlns="http://schemas.microsoft.com/office/spreadsheetml/2009/9/main" objectType="Drop" dropLines="50" dropStyle="combo" dx="31" fmlaLink="C56" fmlaRange="Pol.Data!$Z$4:$Z$7152" noThreeD="1" sel="1" val="0"/>
</file>

<file path=xl/ctrlProps/ctrlProp412.xml><?xml version="1.0" encoding="utf-8"?>
<formControlPr xmlns="http://schemas.microsoft.com/office/spreadsheetml/2009/9/main" objectType="Drop" dropLines="50" dropStyle="combo" dx="31" fmlaLink="C57" fmlaRange="Pol.Data!$Z$4:$Z$7152" noThreeD="1" sel="1" val="0"/>
</file>

<file path=xl/ctrlProps/ctrlProp413.xml><?xml version="1.0" encoding="utf-8"?>
<formControlPr xmlns="http://schemas.microsoft.com/office/spreadsheetml/2009/9/main" objectType="Drop" dropLines="50" dropStyle="combo" dx="31" fmlaLink="C58" fmlaRange="Pol.Data!$Z$4:$Z$7152" noThreeD="1" sel="1" val="0"/>
</file>

<file path=xl/ctrlProps/ctrlProp414.xml><?xml version="1.0" encoding="utf-8"?>
<formControlPr xmlns="http://schemas.microsoft.com/office/spreadsheetml/2009/9/main" objectType="Drop" dropLines="50" dropStyle="combo" dx="31" fmlaLink="C59" fmlaRange="Pol.Data!$Z$4:$Z$7152" noThreeD="1" sel="1" val="0"/>
</file>

<file path=xl/ctrlProps/ctrlProp415.xml><?xml version="1.0" encoding="utf-8"?>
<formControlPr xmlns="http://schemas.microsoft.com/office/spreadsheetml/2009/9/main" objectType="Drop" dropLines="50" dropStyle="combo" dx="31" fmlaLink="C60" fmlaRange="Pol.Data!$Z$4:$Z$7152" noThreeD="1" sel="1" val="0"/>
</file>

<file path=xl/ctrlProps/ctrlProp416.xml><?xml version="1.0" encoding="utf-8"?>
<formControlPr xmlns="http://schemas.microsoft.com/office/spreadsheetml/2009/9/main" objectType="Drop" dropLines="50" dropStyle="combo" dx="31" fmlaLink="C61" fmlaRange="Pol.Data!$Z$4:$Z$7152" noThreeD="1" sel="1" val="0"/>
</file>

<file path=xl/ctrlProps/ctrlProp417.xml><?xml version="1.0" encoding="utf-8"?>
<formControlPr xmlns="http://schemas.microsoft.com/office/spreadsheetml/2009/9/main" objectType="Drop" dropLines="50" dropStyle="combo" dx="31" fmlaLink="C62" fmlaRange="Pol.Data!$Z$4:$Z$7152" noThreeD="1" sel="1" val="0"/>
</file>

<file path=xl/ctrlProps/ctrlProp418.xml><?xml version="1.0" encoding="utf-8"?>
<formControlPr xmlns="http://schemas.microsoft.com/office/spreadsheetml/2009/9/main" objectType="Drop" dropLines="4" dropStyle="combo" dx="31" fmlaLink="B45" fmlaRange="Data!$BC$2:$BC$5" noThreeD="1" sel="1" val="0"/>
</file>

<file path=xl/ctrlProps/ctrlProp419.xml><?xml version="1.0" encoding="utf-8"?>
<formControlPr xmlns="http://schemas.microsoft.com/office/spreadsheetml/2009/9/main" objectType="Drop" dropLines="4" dropStyle="combo" dx="31" fmlaLink="B46" fmlaRange="Data!$BC$2:$BC$5" noThreeD="1" sel="1" val="0"/>
</file>

<file path=xl/ctrlProps/ctrlProp42.xml><?xml version="1.0" encoding="utf-8"?>
<formControlPr xmlns="http://schemas.microsoft.com/office/spreadsheetml/2009/9/main" objectType="Drop" dropLines="20" dropStyle="combo" dx="31" fmlaLink="J50" fmlaRange="Pol.Data!$AO$4:$AO$48" noThreeD="1" sel="1" val="0"/>
</file>

<file path=xl/ctrlProps/ctrlProp420.xml><?xml version="1.0" encoding="utf-8"?>
<formControlPr xmlns="http://schemas.microsoft.com/office/spreadsheetml/2009/9/main" objectType="Drop" dropLines="4" dropStyle="combo" dx="31" fmlaLink="B47" fmlaRange="Data!$BC$2:$BC$5" noThreeD="1" sel="1" val="0"/>
</file>

<file path=xl/ctrlProps/ctrlProp421.xml><?xml version="1.0" encoding="utf-8"?>
<formControlPr xmlns="http://schemas.microsoft.com/office/spreadsheetml/2009/9/main" objectType="Drop" dropLines="4" dropStyle="combo" dx="31" fmlaLink="B48" fmlaRange="Data!$BC$2:$BC$5" noThreeD="1" sel="1" val="0"/>
</file>

<file path=xl/ctrlProps/ctrlProp422.xml><?xml version="1.0" encoding="utf-8"?>
<formControlPr xmlns="http://schemas.microsoft.com/office/spreadsheetml/2009/9/main" objectType="Drop" dropLines="4" dropStyle="combo" dx="31" fmlaLink="B49" fmlaRange="Data!$BC$2:$BC$5" noThreeD="1" sel="1" val="0"/>
</file>

<file path=xl/ctrlProps/ctrlProp423.xml><?xml version="1.0" encoding="utf-8"?>
<formControlPr xmlns="http://schemas.microsoft.com/office/spreadsheetml/2009/9/main" objectType="Drop" dropLines="4" dropStyle="combo" dx="31" fmlaLink="B50" fmlaRange="Data!$BC$2:$BC$5" noThreeD="1" sel="1" val="0"/>
</file>

<file path=xl/ctrlProps/ctrlProp424.xml><?xml version="1.0" encoding="utf-8"?>
<formControlPr xmlns="http://schemas.microsoft.com/office/spreadsheetml/2009/9/main" objectType="Drop" dropLines="4" dropStyle="combo" dx="31" fmlaLink="B51" fmlaRange="Data!$BC$2:$BC$5" noThreeD="1" sel="1" val="0"/>
</file>

<file path=xl/ctrlProps/ctrlProp425.xml><?xml version="1.0" encoding="utf-8"?>
<formControlPr xmlns="http://schemas.microsoft.com/office/spreadsheetml/2009/9/main" objectType="Drop" dropLines="4" dropStyle="combo" dx="31" fmlaLink="B52" fmlaRange="Data!$BC$2:$BC$5" noThreeD="1" sel="1" val="0"/>
</file>

<file path=xl/ctrlProps/ctrlProp426.xml><?xml version="1.0" encoding="utf-8"?>
<formControlPr xmlns="http://schemas.microsoft.com/office/spreadsheetml/2009/9/main" objectType="Drop" dropLines="4" dropStyle="combo" dx="31" fmlaLink="B53" fmlaRange="Data!$BC$2:$BC$5" noThreeD="1" sel="1" val="0"/>
</file>

<file path=xl/ctrlProps/ctrlProp427.xml><?xml version="1.0" encoding="utf-8"?>
<formControlPr xmlns="http://schemas.microsoft.com/office/spreadsheetml/2009/9/main" objectType="Drop" dropLines="4" dropStyle="combo" dx="31" fmlaLink="C54" fmlaRange="Data!$BC$2:$BC$5" noThreeD="1" sel="4" val="2"/>
</file>

<file path=xl/ctrlProps/ctrlProp428.xml><?xml version="1.0" encoding="utf-8"?>
<formControlPr xmlns="http://schemas.microsoft.com/office/spreadsheetml/2009/9/main" objectType="Drop" dropLines="4" dropStyle="combo" dx="31" fmlaLink="B55" fmlaRange="Data!$BC$2:$BC$5" noThreeD="1" sel="1" val="0"/>
</file>

<file path=xl/ctrlProps/ctrlProp429.xml><?xml version="1.0" encoding="utf-8"?>
<formControlPr xmlns="http://schemas.microsoft.com/office/spreadsheetml/2009/9/main" objectType="Drop" dropLines="4" dropStyle="combo" dx="31" fmlaLink="B55" fmlaRange="Data!$BC$2:$BC$5" noThreeD="1" sel="1" val="2"/>
</file>

<file path=xl/ctrlProps/ctrlProp43.xml><?xml version="1.0" encoding="utf-8"?>
<formControlPr xmlns="http://schemas.microsoft.com/office/spreadsheetml/2009/9/main" objectType="Drop" dropLines="3" dropStyle="combo" dx="31" fmlaLink="$F$50" fmlaRange="Data!$M$2:$M$4" noThreeD="1" sel="2" val="0"/>
</file>

<file path=xl/ctrlProps/ctrlProp430.xml><?xml version="1.0" encoding="utf-8"?>
<formControlPr xmlns="http://schemas.microsoft.com/office/spreadsheetml/2009/9/main" objectType="Drop" dropLines="4" dropStyle="combo" dx="31" fmlaLink="B57" fmlaRange="Data!$BC$2:$BC$5" noThreeD="1" sel="1" val="0"/>
</file>

<file path=xl/ctrlProps/ctrlProp431.xml><?xml version="1.0" encoding="utf-8"?>
<formControlPr xmlns="http://schemas.microsoft.com/office/spreadsheetml/2009/9/main" objectType="Drop" dropLines="4" dropStyle="combo" dx="31" fmlaLink="B58" fmlaRange="Data!$BC$2:$BC$5" noThreeD="1" sel="4" val="2"/>
</file>

<file path=xl/ctrlProps/ctrlProp432.xml><?xml version="1.0" encoding="utf-8"?>
<formControlPr xmlns="http://schemas.microsoft.com/office/spreadsheetml/2009/9/main" objectType="Drop" dropLines="4" dropStyle="combo" dx="31" fmlaLink="B59" fmlaRange="Data!$BC$2:$BC$5" noThreeD="1" sel="1" val="0"/>
</file>

<file path=xl/ctrlProps/ctrlProp433.xml><?xml version="1.0" encoding="utf-8"?>
<formControlPr xmlns="http://schemas.microsoft.com/office/spreadsheetml/2009/9/main" objectType="Drop" dropLines="4" dropStyle="combo" dx="31" fmlaLink="B60" fmlaRange="Data!$BC$2:$BC$5" noThreeD="1" sel="4" val="2"/>
</file>

<file path=xl/ctrlProps/ctrlProp434.xml><?xml version="1.0" encoding="utf-8"?>
<formControlPr xmlns="http://schemas.microsoft.com/office/spreadsheetml/2009/9/main" objectType="Drop" dropLines="4" dropStyle="combo" dx="31" fmlaLink="B61" fmlaRange="Data!$BC$2:$BC$5" noThreeD="1" sel="1" val="0"/>
</file>

<file path=xl/ctrlProps/ctrlProp435.xml><?xml version="1.0" encoding="utf-8"?>
<formControlPr xmlns="http://schemas.microsoft.com/office/spreadsheetml/2009/9/main" objectType="Drop" dropLines="4" dropStyle="combo" dx="31" fmlaLink="B62" fmlaRange="Data!$BC$2:$BC$5" noThreeD="1" sel="1" val="0"/>
</file>

<file path=xl/ctrlProps/ctrlProp436.xml><?xml version="1.0" encoding="utf-8"?>
<formControlPr xmlns="http://schemas.microsoft.com/office/spreadsheetml/2009/9/main" objectType="Drop" dropLines="50" dropStyle="combo" dx="31" fmlaLink="C51" fmlaRange="Pol.Data!$Z$4:$Z$7152" noThreeD="1" sel="1" val="0"/>
</file>

<file path=xl/ctrlProps/ctrlProp437.xml><?xml version="1.0" encoding="utf-8"?>
<formControlPr xmlns="http://schemas.microsoft.com/office/spreadsheetml/2009/9/main" objectType="Drop" dropLines="3" dropStyle="combo" dx="31" fmlaLink="F6" fmlaRange="Data!$M$2:$M$4" noThreeD="1" sel="1" val="0"/>
</file>

<file path=xl/ctrlProps/ctrlProp438.xml><?xml version="1.0" encoding="utf-8"?>
<formControlPr xmlns="http://schemas.microsoft.com/office/spreadsheetml/2009/9/main" objectType="Drop" dropLines="3" dropStyle="combo" dx="31" fmlaLink="F13" fmlaRange="Data!$M$2:$M$4" noThreeD="1" sel="1" val="0"/>
</file>

<file path=xl/ctrlProps/ctrlProp439.xml><?xml version="1.0" encoding="utf-8"?>
<formControlPr xmlns="http://schemas.microsoft.com/office/spreadsheetml/2009/9/main" objectType="Drop" dropLines="3" dropStyle="combo" dx="31" fmlaLink="F14" fmlaRange="Data!$M$2:$M$4" noThreeD="1" sel="1" val="0"/>
</file>

<file path=xl/ctrlProps/ctrlProp44.xml><?xml version="1.0" encoding="utf-8"?>
<formControlPr xmlns="http://schemas.microsoft.com/office/spreadsheetml/2009/9/main" objectType="Drop" dropLines="20" dropStyle="combo" dx="31" fmlaLink="J28" fmlaRange="Pol.Data!$AK$4:$AK$27" noThreeD="1" sel="1" val="0"/>
</file>

<file path=xl/ctrlProps/ctrlProp440.xml><?xml version="1.0" encoding="utf-8"?>
<formControlPr xmlns="http://schemas.microsoft.com/office/spreadsheetml/2009/9/main" objectType="Drop" dropLines="15" dropStyle="combo" dx="31" fmlaLink="J8" fmlaRange="'Idemat Data'!$AM$4:$AM$19" noThreeD="1" sel="1" val="0"/>
</file>

<file path=xl/ctrlProps/ctrlProp441.xml><?xml version="1.0" encoding="utf-8"?>
<formControlPr xmlns="http://schemas.microsoft.com/office/spreadsheetml/2009/9/main" objectType="Drop" dropLines="15" dropStyle="combo" dx="31" fmlaLink="J10" fmlaRange="'Idemat Data'!$AM$4:$AM$19" noThreeD="1" sel="1" val="0"/>
</file>

<file path=xl/ctrlProps/ctrlProp442.xml><?xml version="1.0" encoding="utf-8"?>
<formControlPr xmlns="http://schemas.microsoft.com/office/spreadsheetml/2009/9/main" objectType="Drop" dropLines="15" dropStyle="combo" dx="31" fmlaLink="J11" fmlaRange="'Idemat Data'!$AM$4:$AM$19" noThreeD="1" sel="1" val="0"/>
</file>

<file path=xl/ctrlProps/ctrlProp443.xml><?xml version="1.0" encoding="utf-8"?>
<formControlPr xmlns="http://schemas.microsoft.com/office/spreadsheetml/2009/9/main" objectType="Drop" dropLines="15" dropStyle="combo" dx="31" fmlaLink="U8" fmlaRange="'Idemat Data'!$AM$4:$AM$19" noThreeD="1" sel="1" val="0"/>
</file>

<file path=xl/ctrlProps/ctrlProp444.xml><?xml version="1.0" encoding="utf-8"?>
<formControlPr xmlns="http://schemas.microsoft.com/office/spreadsheetml/2009/9/main" objectType="Drop" dropLines="15" dropStyle="combo" dx="31" fmlaLink="U10" fmlaRange="'Idemat Data'!$AM$4:$AM$19" noThreeD="1" sel="1" val="0"/>
</file>

<file path=xl/ctrlProps/ctrlProp445.xml><?xml version="1.0" encoding="utf-8"?>
<formControlPr xmlns="http://schemas.microsoft.com/office/spreadsheetml/2009/9/main" objectType="Drop" dropLines="15" dropStyle="combo" dx="31" fmlaLink="U11" fmlaRange="'Idemat Data'!$AM$4:$AM$19" noThreeD="1" sel="1" val="0"/>
</file>

<file path=xl/ctrlProps/ctrlProp446.xml><?xml version="1.0" encoding="utf-8"?>
<formControlPr xmlns="http://schemas.microsoft.com/office/spreadsheetml/2009/9/main" objectType="Drop" dropLines="15" dropStyle="combo" dx="31" fmlaLink="J5" fmlaRange="'Idemat Data'!$AM$4:$AM$19" noThreeD="1" sel="1" val="0"/>
</file>

<file path=xl/ctrlProps/ctrlProp447.xml><?xml version="1.0" encoding="utf-8"?>
<formControlPr xmlns="http://schemas.microsoft.com/office/spreadsheetml/2009/9/main" objectType="Drop" dropLines="15" dropStyle="combo" dx="31" fmlaLink="U5" fmlaRange="'Idemat Data'!$AM$4:$AM$19" noThreeD="1" sel="1" val="0"/>
</file>

<file path=xl/ctrlProps/ctrlProp448.xml><?xml version="1.0" encoding="utf-8"?>
<formControlPr xmlns="http://schemas.microsoft.com/office/spreadsheetml/2009/9/main" objectType="Drop" dropLines="15" dropStyle="combo" dx="31" fmlaLink="J6" fmlaRange="'Idemat Data'!$AM$4:$AM$19" noThreeD="1" sel="1" val="0"/>
</file>

<file path=xl/ctrlProps/ctrlProp449.xml><?xml version="1.0" encoding="utf-8"?>
<formControlPr xmlns="http://schemas.microsoft.com/office/spreadsheetml/2009/9/main" objectType="Drop" dropLines="15" dropStyle="combo" dx="31" fmlaLink="U6" fmlaRange="'Idemat Data'!$AM$4:$AM$19" noThreeD="1" sel="1" val="0"/>
</file>

<file path=xl/ctrlProps/ctrlProp45.xml><?xml version="1.0" encoding="utf-8"?>
<formControlPr xmlns="http://schemas.microsoft.com/office/spreadsheetml/2009/9/main" objectType="Drop" dropLines="20" dropStyle="combo" dx="31" fmlaLink="J29" fmlaRange="Pol.Data!$AK$4:$AK$27" noThreeD="1" sel="1" val="0"/>
</file>

<file path=xl/ctrlProps/ctrlProp450.xml><?xml version="1.0" encoding="utf-8"?>
<formControlPr xmlns="http://schemas.microsoft.com/office/spreadsheetml/2009/9/main" objectType="Drop" dropLines="15" dropStyle="combo" dx="31" fmlaLink="J9" fmlaRange="'Idemat Data'!$AM$4:$AM$19" noThreeD="1" sel="1" val="0"/>
</file>

<file path=xl/ctrlProps/ctrlProp451.xml><?xml version="1.0" encoding="utf-8"?>
<formControlPr xmlns="http://schemas.microsoft.com/office/spreadsheetml/2009/9/main" objectType="Drop" dropLines="15" dropStyle="combo" dx="31" fmlaLink="U9" fmlaRange="'Idemat Data'!$AM$4:$AM$19" noThreeD="1" sel="1" val="0"/>
</file>

<file path=xl/ctrlProps/ctrlProp452.xml><?xml version="1.0" encoding="utf-8"?>
<formControlPr xmlns="http://schemas.microsoft.com/office/spreadsheetml/2009/9/main" objectType="Drop" dropLines="15" dropStyle="combo" dx="31" fmlaLink="J12" fmlaRange="'Idemat Data'!$AM$4:$AM$19" noThreeD="1" sel="1" val="0"/>
</file>

<file path=xl/ctrlProps/ctrlProp453.xml><?xml version="1.0" encoding="utf-8"?>
<formControlPr xmlns="http://schemas.microsoft.com/office/spreadsheetml/2009/9/main" objectType="Drop" dropLines="15" dropStyle="combo" dx="31" fmlaLink="J13" fmlaRange="'Idemat Data'!$AM$4:$AM$19" noThreeD="1" sel="1" val="0"/>
</file>

<file path=xl/ctrlProps/ctrlProp454.xml><?xml version="1.0" encoding="utf-8"?>
<formControlPr xmlns="http://schemas.microsoft.com/office/spreadsheetml/2009/9/main" objectType="Drop" dropLines="15" dropStyle="combo" dx="31" fmlaLink="U13" fmlaRange="'Idemat Data'!$AM$4:$AM$19" noThreeD="1" sel="1" val="0"/>
</file>

<file path=xl/ctrlProps/ctrlProp455.xml><?xml version="1.0" encoding="utf-8"?>
<formControlPr xmlns="http://schemas.microsoft.com/office/spreadsheetml/2009/9/main" objectType="Drop" dropLines="15" dropStyle="combo" dx="31" fmlaLink="J14" fmlaRange="'Idemat Data'!$AM$4:$AM$19" noThreeD="1" sel="1" val="0"/>
</file>

<file path=xl/ctrlProps/ctrlProp456.xml><?xml version="1.0" encoding="utf-8"?>
<formControlPr xmlns="http://schemas.microsoft.com/office/spreadsheetml/2009/9/main" objectType="Drop" dropLines="15" dropStyle="combo" dx="31" fmlaLink="U14" fmlaRange="'Idemat Data'!$AM$4:$AM$19" noThreeD="1" sel="1" val="0"/>
</file>

<file path=xl/ctrlProps/ctrlProp457.xml><?xml version="1.0" encoding="utf-8"?>
<formControlPr xmlns="http://schemas.microsoft.com/office/spreadsheetml/2009/9/main" objectType="Drop" dropLines="15" dropStyle="combo" dx="31" fmlaLink="J15" fmlaRange="'Idemat Data'!$AM$4:$AM$19" noThreeD="1" sel="1" val="0"/>
</file>

<file path=xl/ctrlProps/ctrlProp458.xml><?xml version="1.0" encoding="utf-8"?>
<formControlPr xmlns="http://schemas.microsoft.com/office/spreadsheetml/2009/9/main" objectType="Drop" dropLines="15" dropStyle="combo" dx="31" fmlaLink="U15" fmlaRange="'Idemat Data'!$AM$4:$AM$19" noThreeD="1" sel="1" val="0"/>
</file>

<file path=xl/ctrlProps/ctrlProp459.xml><?xml version="1.0" encoding="utf-8"?>
<formControlPr xmlns="http://schemas.microsoft.com/office/spreadsheetml/2009/9/main" objectType="Drop" dropLines="15" dropStyle="combo" dx="31" fmlaLink="J7" fmlaRange="'Idemat Data'!$AM$4:$AM$19" noThreeD="1" sel="1" val="0"/>
</file>

<file path=xl/ctrlProps/ctrlProp46.xml><?xml version="1.0" encoding="utf-8"?>
<formControlPr xmlns="http://schemas.microsoft.com/office/spreadsheetml/2009/9/main" objectType="Drop" dropLines="20" dropStyle="combo" dx="31" fmlaLink="J30" fmlaRange="Pol.Data!$AK$4:$AK$27" noThreeD="1" sel="1" val="0"/>
</file>

<file path=xl/ctrlProps/ctrlProp460.xml><?xml version="1.0" encoding="utf-8"?>
<formControlPr xmlns="http://schemas.microsoft.com/office/spreadsheetml/2009/9/main" objectType="Drop" dropLines="15" dropStyle="combo" dx="31" fmlaLink="U7" fmlaRange="'Idemat Data'!$AM$4:$AM$19" noThreeD="1" sel="1" val="0"/>
</file>

<file path=xl/ctrlProps/ctrlProp461.xml><?xml version="1.0" encoding="utf-8"?>
<formControlPr xmlns="http://schemas.microsoft.com/office/spreadsheetml/2009/9/main" objectType="Drop" dropLines="15" dropStyle="combo" dx="31" fmlaLink="U12" fmlaRange="'Idemat Data'!$AM$4:$AM$19" noThreeD="1" sel="1" val="0"/>
</file>

<file path=xl/ctrlProps/ctrlProp462.xml><?xml version="1.0" encoding="utf-8"?>
<formControlPr xmlns="http://schemas.microsoft.com/office/spreadsheetml/2009/9/main" objectType="Drop" dropLines="3" dropStyle="combo" dx="31" fmlaLink="F5" fmlaRange="Data!$M$2:$M$4" noThreeD="1" sel="1" val="0"/>
</file>

<file path=xl/ctrlProps/ctrlProp463.xml><?xml version="1.0" encoding="utf-8"?>
<formControlPr xmlns="http://schemas.microsoft.com/office/spreadsheetml/2009/9/main" objectType="Drop" dropLines="3" dropStyle="combo" dx="31" fmlaLink="$F$4" fmlaRange="Data!$M$2:$M$4" noThreeD="1" sel="1" val="0"/>
</file>

<file path=xl/ctrlProps/ctrlProp464.xml><?xml version="1.0" encoding="utf-8"?>
<formControlPr xmlns="http://schemas.microsoft.com/office/spreadsheetml/2009/9/main" objectType="Drop" dropLines="3" dropStyle="combo" dx="31" fmlaLink="$F$6" fmlaRange="Data!$M$2:$M$4" noThreeD="1" sel="1" val="0"/>
</file>

<file path=xl/ctrlProps/ctrlProp465.xml><?xml version="1.0" encoding="utf-8"?>
<formControlPr xmlns="http://schemas.microsoft.com/office/spreadsheetml/2009/9/main" objectType="Drop" dropLines="3" dropStyle="combo" dx="31" fmlaLink="$F$20" fmlaRange="Data!$M$2:$M$4" noThreeD="1" sel="3" val="0"/>
</file>

<file path=xl/ctrlProps/ctrlProp466.xml><?xml version="1.0" encoding="utf-8"?>
<formControlPr xmlns="http://schemas.microsoft.com/office/spreadsheetml/2009/9/main" objectType="Drop" dropLines="3" dropStyle="combo" dx="31" fmlaLink="$F$22" fmlaRange="Data!$M$2:$M$4" noThreeD="1" sel="3" val="0"/>
</file>

<file path=xl/ctrlProps/ctrlProp467.xml><?xml version="1.0" encoding="utf-8"?>
<formControlPr xmlns="http://schemas.microsoft.com/office/spreadsheetml/2009/9/main" objectType="Drop" dropLines="3" dropStyle="combo" dx="31" fmlaLink="$F$29" fmlaRange="Data!$M$2:$M$4" noThreeD="1" sel="1" val="0"/>
</file>

<file path=xl/ctrlProps/ctrlProp468.xml><?xml version="1.0" encoding="utf-8"?>
<formControlPr xmlns="http://schemas.microsoft.com/office/spreadsheetml/2009/9/main" objectType="Drop" dropLines="3" dropStyle="combo" dx="31" fmlaLink="F8" fmlaRange="Data!$M$2:$M$4" noThreeD="1" sel="1" val="0"/>
</file>

<file path=xl/ctrlProps/ctrlProp469.xml><?xml version="1.0" encoding="utf-8"?>
<formControlPr xmlns="http://schemas.microsoft.com/office/spreadsheetml/2009/9/main" objectType="Drop" dropLines="15" dropStyle="combo" dx="31" fmlaLink="F4" fmlaRange="Data!$AO$2:$AO$74" noThreeD="1" sel="1" val="0"/>
</file>

<file path=xl/ctrlProps/ctrlProp47.xml><?xml version="1.0" encoding="utf-8"?>
<formControlPr xmlns="http://schemas.microsoft.com/office/spreadsheetml/2009/9/main" objectType="Drop" dropLines="20" dropStyle="combo" dx="31" fmlaLink="J31" fmlaRange="Pol.Data!$AK$4:$AK$27" noThreeD="1" sel="1" val="0"/>
</file>

<file path=xl/ctrlProps/ctrlProp470.xml><?xml version="1.0" encoding="utf-8"?>
<formControlPr xmlns="http://schemas.microsoft.com/office/spreadsheetml/2009/9/main" objectType="Drop" dropLines="3" dropStyle="combo" dx="31" fmlaLink="F13" fmlaRange="Data!$M$2:$M$4" noThreeD="1" sel="1" val="0"/>
</file>

<file path=xl/ctrlProps/ctrlProp471.xml><?xml version="1.0" encoding="utf-8"?>
<formControlPr xmlns="http://schemas.microsoft.com/office/spreadsheetml/2009/9/main" objectType="Drop" dropLines="3" dropStyle="combo" dx="31" fmlaLink="F14" fmlaRange="Data!$M$2:$M$4" noThreeD="1" sel="1" val="0"/>
</file>

<file path=xl/ctrlProps/ctrlProp472.xml><?xml version="1.0" encoding="utf-8"?>
<formControlPr xmlns="http://schemas.microsoft.com/office/spreadsheetml/2009/9/main" objectType="Drop" dropLines="3" dropStyle="combo" dx="31" fmlaLink="F15" fmlaRange="Data!$M$2:$M$4" noThreeD="1" sel="1" val="0"/>
</file>

<file path=xl/ctrlProps/ctrlProp473.xml><?xml version="1.0" encoding="utf-8"?>
<formControlPr xmlns="http://schemas.microsoft.com/office/spreadsheetml/2009/9/main" objectType="Drop" dropLines="3" dropStyle="combo" dx="31" fmlaLink="F6" fmlaRange="Data!$M$2:$M$4" noThreeD="1" sel="1" val="0"/>
</file>

<file path=xl/ctrlProps/ctrlProp474.xml><?xml version="1.0" encoding="utf-8"?>
<formControlPr xmlns="http://schemas.microsoft.com/office/spreadsheetml/2009/9/main" objectType="Drop" dropLines="3" dropStyle="combo" dx="31" fmlaLink="F16" fmlaRange="Data!$M$2:$M$4" noThreeD="1" sel="1" val="0"/>
</file>

<file path=xl/ctrlProps/ctrlProp475.xml><?xml version="1.0" encoding="utf-8"?>
<formControlPr xmlns="http://schemas.microsoft.com/office/spreadsheetml/2009/9/main" objectType="Drop" dropLines="50" dropStyle="combo" dx="31" fmlaLink="#REF!" fmlaRange="Data!#REF!" noThreeD="1" sel="0" val="0"/>
</file>

<file path=xl/ctrlProps/ctrlProp476.xml><?xml version="1.0" encoding="utf-8"?>
<formControlPr xmlns="http://schemas.microsoft.com/office/spreadsheetml/2009/9/main" objectType="Drop" dropLines="20" dropStyle="combo" dx="31" fmlaLink="J6" fmlaRange="Data!$AS$2:$AS$32" noThreeD="1" sel="1" val="0"/>
</file>

<file path=xl/ctrlProps/ctrlProp477.xml><?xml version="1.0" encoding="utf-8"?>
<formControlPr xmlns="http://schemas.microsoft.com/office/spreadsheetml/2009/9/main" objectType="Drop" dropLines="20" dropStyle="combo" dx="31" fmlaLink="J5" fmlaRange="Data!$AS$2:$AS$32" noThreeD="1" sel="1" val="0"/>
</file>

<file path=xl/ctrlProps/ctrlProp478.xml><?xml version="1.0" encoding="utf-8"?>
<formControlPr xmlns="http://schemas.microsoft.com/office/spreadsheetml/2009/9/main" objectType="Drop" dropLines="20" dropStyle="combo" dx="31" fmlaLink="J7" fmlaRange="Data!$AS$2:$AS$32" noThreeD="1" sel="1" val="0"/>
</file>

<file path=xl/ctrlProps/ctrlProp479.xml><?xml version="1.0" encoding="utf-8"?>
<formControlPr xmlns="http://schemas.microsoft.com/office/spreadsheetml/2009/9/main" objectType="Drop" dropLines="20" dropStyle="combo" dx="31" fmlaLink="J8" fmlaRange="Data!$AS$2:$AS$32" noThreeD="1" sel="1" val="0"/>
</file>

<file path=xl/ctrlProps/ctrlProp48.xml><?xml version="1.0" encoding="utf-8"?>
<formControlPr xmlns="http://schemas.microsoft.com/office/spreadsheetml/2009/9/main" objectType="Drop" dropLines="20" dropStyle="combo" dx="31" fmlaLink="J32" fmlaRange="Pol.Data!$AK$4:$AK$27" noThreeD="1" sel="1" val="0"/>
</file>

<file path=xl/ctrlProps/ctrlProp480.xml><?xml version="1.0" encoding="utf-8"?>
<formControlPr xmlns="http://schemas.microsoft.com/office/spreadsheetml/2009/9/main" objectType="Drop" dropLines="20" dropStyle="combo" dx="31" fmlaLink="#REF!" fmlaRange="Data!$AS$2:$AS$32" noThreeD="1" sel="28" val="11"/>
</file>

<file path=xl/ctrlProps/ctrlProp481.xml><?xml version="1.0" encoding="utf-8"?>
<formControlPr xmlns="http://schemas.microsoft.com/office/spreadsheetml/2009/9/main" objectType="Drop" dropLines="20" dropStyle="combo" dx="31" fmlaLink="J9" fmlaRange="Data!$AS$2:$AS$32" noThreeD="1" sel="1" val="0"/>
</file>

<file path=xl/ctrlProps/ctrlProp482.xml><?xml version="1.0" encoding="utf-8"?>
<formControlPr xmlns="http://schemas.microsoft.com/office/spreadsheetml/2009/9/main" objectType="Drop" dropLines="20" dropStyle="combo" dx="31" fmlaLink="J10" fmlaRange="Data!$AS$2:$AS$32" noThreeD="1" sel="1" val="0"/>
</file>

<file path=xl/ctrlProps/ctrlProp483.xml><?xml version="1.0" encoding="utf-8"?>
<formControlPr xmlns="http://schemas.microsoft.com/office/spreadsheetml/2009/9/main" objectType="Drop" dropLines="20" dropStyle="combo" dx="31" fmlaLink="J11" fmlaRange="Data!$AS$2:$AS$32" noThreeD="1" sel="1" val="0"/>
</file>

<file path=xl/ctrlProps/ctrlProp484.xml><?xml version="1.0" encoding="utf-8"?>
<formControlPr xmlns="http://schemas.microsoft.com/office/spreadsheetml/2009/9/main" objectType="Drop" dropLines="20" dropStyle="combo" dx="31" fmlaLink="J12" fmlaRange="Data!$AS$2:$AS$32" noThreeD="1" sel="1" val="0"/>
</file>

<file path=xl/ctrlProps/ctrlProp485.xml><?xml version="1.0" encoding="utf-8"?>
<formControlPr xmlns="http://schemas.microsoft.com/office/spreadsheetml/2009/9/main" objectType="Drop" dropLines="20" dropStyle="combo" dx="31" fmlaLink="J13" fmlaRange="Data!$AS$2:$AS$32" noThreeD="1" sel="1" val="0"/>
</file>

<file path=xl/ctrlProps/ctrlProp486.xml><?xml version="1.0" encoding="utf-8"?>
<formControlPr xmlns="http://schemas.microsoft.com/office/spreadsheetml/2009/9/main" objectType="Drop" dropLines="20" dropStyle="combo" dx="31" fmlaLink="J14" fmlaRange="Data!$AS$2:$AS$32" noThreeD="1" sel="1" val="0"/>
</file>

<file path=xl/ctrlProps/ctrlProp487.xml><?xml version="1.0" encoding="utf-8"?>
<formControlPr xmlns="http://schemas.microsoft.com/office/spreadsheetml/2009/9/main" objectType="Drop" dropLines="20" dropStyle="combo" dx="31" fmlaLink="J15" fmlaRange="Data!$AS$2:$AS$32" noThreeD="1" sel="1" val="0"/>
</file>

<file path=xl/ctrlProps/ctrlProp488.xml><?xml version="1.0" encoding="utf-8"?>
<formControlPr xmlns="http://schemas.microsoft.com/office/spreadsheetml/2009/9/main" objectType="Drop" dropLines="20" dropStyle="combo" dx="31" fmlaLink="J16" fmlaRange="Data!$AS$2:$AS$32" noThreeD="1" sel="1" val="0"/>
</file>

<file path=xl/ctrlProps/ctrlProp489.xml><?xml version="1.0" encoding="utf-8"?>
<formControlPr xmlns="http://schemas.microsoft.com/office/spreadsheetml/2009/9/main" objectType="Drop" dropLines="20" dropStyle="combo" dx="31" fmlaLink="J17" fmlaRange="Data!$AS$2:$AS$32" noThreeD="1" sel="1" val="0"/>
</file>

<file path=xl/ctrlProps/ctrlProp49.xml><?xml version="1.0" encoding="utf-8"?>
<formControlPr xmlns="http://schemas.microsoft.com/office/spreadsheetml/2009/9/main" objectType="Drop" dropLines="3" dropStyle="combo" dx="31" fmlaLink="F80" fmlaRange="Data!$M$2:$M$4" noThreeD="1" sel="2" val="0"/>
</file>

<file path=xl/ctrlProps/ctrlProp490.xml><?xml version="1.0" encoding="utf-8"?>
<formControlPr xmlns="http://schemas.microsoft.com/office/spreadsheetml/2009/9/main" objectType="Drop" dropLines="20" dropStyle="combo" dx="31" fmlaLink="J18" fmlaRange="Data!$AS$2:$AS$32" noThreeD="1" sel="1" val="0"/>
</file>

<file path=xl/ctrlProps/ctrlProp491.xml><?xml version="1.0" encoding="utf-8"?>
<formControlPr xmlns="http://schemas.microsoft.com/office/spreadsheetml/2009/9/main" objectType="Drop" dropLines="20" dropStyle="combo" dx="31" fmlaLink="J19" fmlaRange="Data!$AS$2:$AS$32" noThreeD="1" sel="1" val="0"/>
</file>

<file path=xl/ctrlProps/ctrlProp492.xml><?xml version="1.0" encoding="utf-8"?>
<formControlPr xmlns="http://schemas.microsoft.com/office/spreadsheetml/2009/9/main" objectType="Drop" dropLines="20" dropStyle="combo" dx="31" fmlaLink="J20" fmlaRange="Data!$AS$2:$AS$32" noThreeD="1" sel="1" val="0"/>
</file>

<file path=xl/ctrlProps/ctrlProp493.xml><?xml version="1.0" encoding="utf-8"?>
<formControlPr xmlns="http://schemas.microsoft.com/office/spreadsheetml/2009/9/main" objectType="Drop" dropLines="20" dropStyle="combo" dx="31" fmlaLink="J21" fmlaRange="Data!$AS$2:$AS$32" noThreeD="1" sel="1" val="0"/>
</file>

<file path=xl/ctrlProps/ctrlProp494.xml><?xml version="1.0" encoding="utf-8"?>
<formControlPr xmlns="http://schemas.microsoft.com/office/spreadsheetml/2009/9/main" objectType="Drop" dropLines="20" dropStyle="combo" dx="31" fmlaLink="J22" fmlaRange="Data!$AS$2:$AS$32" noThreeD="1" sel="1" val="0"/>
</file>

<file path=xl/ctrlProps/ctrlProp495.xml><?xml version="1.0" encoding="utf-8"?>
<formControlPr xmlns="http://schemas.microsoft.com/office/spreadsheetml/2009/9/main" objectType="Drop" dropLines="20" dropStyle="combo" dx="31" fmlaLink="J23" fmlaRange="Data!$AS$2:$AS$32" noThreeD="1" sel="1" val="0"/>
</file>

<file path=xl/ctrlProps/ctrlProp496.xml><?xml version="1.0" encoding="utf-8"?>
<formControlPr xmlns="http://schemas.microsoft.com/office/spreadsheetml/2009/9/main" objectType="Drop" dropLines="3" dropStyle="combo" dx="31" fmlaLink="F4" fmlaRange="Data!$M$2:$M$4" noThreeD="1" sel="1" val="0"/>
</file>

<file path=xl/ctrlProps/ctrlProp497.xml><?xml version="1.0" encoding="utf-8"?>
<formControlPr xmlns="http://schemas.microsoft.com/office/spreadsheetml/2009/9/main" objectType="Drop" dropLines="11" dropStyle="combo" dx="31" fmlaLink="I9" fmlaRange="$V$3:$V$13" noThreeD="1" sel="1" val="0"/>
</file>

<file path=xl/ctrlProps/ctrlProp498.xml><?xml version="1.0" encoding="utf-8"?>
<formControlPr xmlns="http://schemas.microsoft.com/office/spreadsheetml/2009/9/main" objectType="Drop" dropLines="11" dropStyle="combo" dx="31" fmlaLink="I19" fmlaRange="$V$3:$V$13" noThreeD="1" sel="1" val="0"/>
</file>

<file path=xl/ctrlProps/ctrlProp499.xml><?xml version="1.0" encoding="utf-8"?>
<formControlPr xmlns="http://schemas.microsoft.com/office/spreadsheetml/2009/9/main" objectType="Drop" dropLines="11" dropStyle="combo" dx="31" fmlaLink="I24" fmlaRange="$V$3:$V$13" noThreeD="1" sel="1" val="0"/>
</file>

<file path=xl/ctrlProps/ctrlProp5.xml><?xml version="1.0" encoding="utf-8"?>
<formControlPr xmlns="http://schemas.microsoft.com/office/spreadsheetml/2009/9/main" objectType="Drop" dropLines="15" dropStyle="combo" dx="31" fmlaLink="$F$10" fmlaRange="Data!$Q$2:$Q$115" noThreeD="1" sel="1" val="0"/>
</file>

<file path=xl/ctrlProps/ctrlProp50.xml><?xml version="1.0" encoding="utf-8"?>
<formControlPr xmlns="http://schemas.microsoft.com/office/spreadsheetml/2009/9/main" objectType="Drop" dropLines="3" dropStyle="combo" dx="31" fmlaLink="F96" fmlaRange="Data!$M$2:$M$4" noThreeD="1" sel="2" val="0"/>
</file>

<file path=xl/ctrlProps/ctrlProp500.xml><?xml version="1.0" encoding="utf-8"?>
<formControlPr xmlns="http://schemas.microsoft.com/office/spreadsheetml/2009/9/main" objectType="Drop" dropLines="11" dropStyle="combo" dx="31" fmlaLink="I25" fmlaRange="$V$3:$V$13" noThreeD="1" sel="1" val="0"/>
</file>

<file path=xl/ctrlProps/ctrlProp501.xml><?xml version="1.0" encoding="utf-8"?>
<formControlPr xmlns="http://schemas.microsoft.com/office/spreadsheetml/2009/9/main" objectType="Drop" dropLines="11" dropStyle="combo" dx="31" fmlaLink="I26" fmlaRange="$V$3:$V$13" noThreeD="1" sel="1" val="0"/>
</file>

<file path=xl/ctrlProps/ctrlProp502.xml><?xml version="1.0" encoding="utf-8"?>
<formControlPr xmlns="http://schemas.microsoft.com/office/spreadsheetml/2009/9/main" objectType="Drop" dropLines="40" dropStyle="combo" dx="31" fmlaLink="Y6" fmlaRange="'Idemat Data'!$J$4:$J$1123" noThreeD="1" sel="1" val="0"/>
</file>

<file path=xl/ctrlProps/ctrlProp503.xml><?xml version="1.0" encoding="utf-8"?>
<formControlPr xmlns="http://schemas.microsoft.com/office/spreadsheetml/2009/9/main" objectType="Drop" dropLines="40" dropStyle="combo" dx="31" fmlaLink="Y8" fmlaRange="'Idemat Data'!$J$4:$J$1123" noThreeD="1" sel="1" val="0"/>
</file>

<file path=xl/ctrlProps/ctrlProp504.xml><?xml version="1.0" encoding="utf-8"?>
<formControlPr xmlns="http://schemas.microsoft.com/office/spreadsheetml/2009/9/main" objectType="Drop" dropLines="40" dropStyle="combo" dx="31" fmlaLink="Y9" fmlaRange="'Idemat Data'!$J$4:$J$1123" noThreeD="1" sel="1" val="0"/>
</file>

<file path=xl/ctrlProps/ctrlProp505.xml><?xml version="1.0" encoding="utf-8"?>
<formControlPr xmlns="http://schemas.microsoft.com/office/spreadsheetml/2009/9/main" objectType="Drop" dropLines="40" dropStyle="combo" dx="31" fmlaLink="Y10" fmlaRange="'Idemat Data'!$J$4:$J$1123" noThreeD="1" sel="1" val="0"/>
</file>

<file path=xl/ctrlProps/ctrlProp506.xml><?xml version="1.0" encoding="utf-8"?>
<formControlPr xmlns="http://schemas.microsoft.com/office/spreadsheetml/2009/9/main" objectType="Drop" dropLines="40" dropStyle="combo" dx="31" fmlaLink="Y11" fmlaRange="'Idemat Data'!$J$4:$J$1123" noThreeD="1" sel="1" val="0"/>
</file>

<file path=xl/ctrlProps/ctrlProp507.xml><?xml version="1.0" encoding="utf-8"?>
<formControlPr xmlns="http://schemas.microsoft.com/office/spreadsheetml/2009/9/main" objectType="Drop" dropLines="40" dropStyle="combo" dx="31" fmlaLink="Y12" fmlaRange="'Idemat Data'!$J$4:$J$1123" noThreeD="1" sel="1" val="0"/>
</file>

<file path=xl/ctrlProps/ctrlProp508.xml><?xml version="1.0" encoding="utf-8"?>
<formControlPr xmlns="http://schemas.microsoft.com/office/spreadsheetml/2009/9/main" objectType="Drop" dropLines="40" dropStyle="combo" dx="31" fmlaLink="Y13" fmlaRange="'Idemat Data'!$J$4:$J$1123" noThreeD="1" sel="1" val="0"/>
</file>

<file path=xl/ctrlProps/ctrlProp509.xml><?xml version="1.0" encoding="utf-8"?>
<formControlPr xmlns="http://schemas.microsoft.com/office/spreadsheetml/2009/9/main" objectType="Drop" dropLines="40" dropStyle="combo" dx="31" fmlaLink="Y4" fmlaRange="'Idemat Data'!$J$4:$J$1123" noThreeD="1" sel="1" val="0"/>
</file>

<file path=xl/ctrlProps/ctrlProp51.xml><?xml version="1.0" encoding="utf-8"?>
<formControlPr xmlns="http://schemas.microsoft.com/office/spreadsheetml/2009/9/main" objectType="Drop" dropLines="3" dropStyle="combo" dx="31" fmlaLink="$F$111" fmlaRange="Data!$M$2:$M$4" noThreeD="1" sel="3" val="0"/>
</file>

<file path=xl/ctrlProps/ctrlProp510.xml><?xml version="1.0" encoding="utf-8"?>
<formControlPr xmlns="http://schemas.microsoft.com/office/spreadsheetml/2009/9/main" objectType="Drop" dropLines="40" dropStyle="combo" dx="31" fmlaLink="Y5" fmlaRange="'Idemat Data'!$J$4:$J$1123" noThreeD="1" sel="1" val="0"/>
</file>

<file path=xl/ctrlProps/ctrlProp511.xml><?xml version="1.0" encoding="utf-8"?>
<formControlPr xmlns="http://schemas.microsoft.com/office/spreadsheetml/2009/9/main" objectType="Drop" dropLines="40" dropStyle="combo" dx="31" fmlaLink="Y7" fmlaRange="'Idemat Data'!$J$4:$J$1123" noThreeD="1" sel="1" val="0"/>
</file>

<file path=xl/ctrlProps/ctrlProp52.xml><?xml version="1.0" encoding="utf-8"?>
<formControlPr xmlns="http://schemas.microsoft.com/office/spreadsheetml/2009/9/main" objectType="Drop" dropLines="50" dropStyle="combo" dx="31" fmlaLink="B4" fmlaRange="$U$4:$U$4238" noThreeD="1" sel="1" val="0"/>
</file>

<file path=xl/ctrlProps/ctrlProp53.xml><?xml version="1.0" encoding="utf-8"?>
<formControlPr xmlns="http://schemas.microsoft.com/office/spreadsheetml/2009/9/main" objectType="Drop" dropLines="50" dropStyle="combo" dx="31" fmlaLink="B5" fmlaRange="$U$4:$U$4238" noThreeD="1" sel="1" val="0"/>
</file>

<file path=xl/ctrlProps/ctrlProp54.xml><?xml version="1.0" encoding="utf-8"?>
<formControlPr xmlns="http://schemas.microsoft.com/office/spreadsheetml/2009/9/main" objectType="Drop" dropLines="50" dropStyle="combo" dx="31" fmlaLink="B6" fmlaRange="$U$4:$U$4238" noThreeD="1" sel="1" val="0"/>
</file>

<file path=xl/ctrlProps/ctrlProp55.xml><?xml version="1.0" encoding="utf-8"?>
<formControlPr xmlns="http://schemas.microsoft.com/office/spreadsheetml/2009/9/main" objectType="Drop" dropLines="50" dropStyle="combo" dx="31" fmlaLink="B8" fmlaRange="$U$4:$U$4238" noThreeD="1" sel="1" val="0"/>
</file>

<file path=xl/ctrlProps/ctrlProp56.xml><?xml version="1.0" encoding="utf-8"?>
<formControlPr xmlns="http://schemas.microsoft.com/office/spreadsheetml/2009/9/main" objectType="Drop" dropLines="50" dropStyle="combo" dx="31" fmlaLink="B9" fmlaRange="$U$4:$U$4238" noThreeD="1" sel="1" val="0"/>
</file>

<file path=xl/ctrlProps/ctrlProp57.xml><?xml version="1.0" encoding="utf-8"?>
<formControlPr xmlns="http://schemas.microsoft.com/office/spreadsheetml/2009/9/main" objectType="Drop" dropLines="50" dropStyle="combo" dx="31" fmlaLink="B10" fmlaRange="$U$4:$U$4238" noThreeD="1" sel="1" val="123"/>
</file>

<file path=xl/ctrlProps/ctrlProp58.xml><?xml version="1.0" encoding="utf-8"?>
<formControlPr xmlns="http://schemas.microsoft.com/office/spreadsheetml/2009/9/main" objectType="Drop" dropLines="50" dropStyle="combo" dx="31" fmlaLink="B11" fmlaRange="$U$4:$U$4238" noThreeD="1" sel="1" val="0"/>
</file>

<file path=xl/ctrlProps/ctrlProp59.xml><?xml version="1.0" encoding="utf-8"?>
<formControlPr xmlns="http://schemas.microsoft.com/office/spreadsheetml/2009/9/main" objectType="Drop" dropLines="50" dropStyle="combo" dx="31" fmlaLink="B12" fmlaRange="$U$4:$U$4238" noThreeD="1" sel="1" val="0"/>
</file>

<file path=xl/ctrlProps/ctrlProp6.xml><?xml version="1.0" encoding="utf-8"?>
<formControlPr xmlns="http://schemas.microsoft.com/office/spreadsheetml/2009/9/main" objectType="Drop" dropLines="3" dropStyle="combo" dx="31" fmlaLink="F13" fmlaRange="Data!$P$2:$P$4" noThreeD="1" sel="1" val="0"/>
</file>

<file path=xl/ctrlProps/ctrlProp60.xml><?xml version="1.0" encoding="utf-8"?>
<formControlPr xmlns="http://schemas.microsoft.com/office/spreadsheetml/2009/9/main" objectType="Drop" dropLines="50" dropStyle="combo" dx="31" fmlaLink="B13" fmlaRange="$U$4:$U$4238" noThreeD="1" sel="1" val="0"/>
</file>

<file path=xl/ctrlProps/ctrlProp61.xml><?xml version="1.0" encoding="utf-8"?>
<formControlPr xmlns="http://schemas.microsoft.com/office/spreadsheetml/2009/9/main" objectType="Drop" dropLines="50" dropStyle="combo" dx="31" fmlaLink="B14" fmlaRange="$U$4:$U$4238" noThreeD="1" sel="1" val="0"/>
</file>

<file path=xl/ctrlProps/ctrlProp62.xml><?xml version="1.0" encoding="utf-8"?>
<formControlPr xmlns="http://schemas.microsoft.com/office/spreadsheetml/2009/9/main" objectType="Drop" dropLines="50" dropStyle="combo" dx="31" fmlaLink="B15" fmlaRange="$U$4:$U$4238" noThreeD="1" sel="1" val="0"/>
</file>

<file path=xl/ctrlProps/ctrlProp63.xml><?xml version="1.0" encoding="utf-8"?>
<formControlPr xmlns="http://schemas.microsoft.com/office/spreadsheetml/2009/9/main" objectType="Drop" dropLines="50" dropStyle="combo" dx="31" fmlaLink="B16" fmlaRange="$U$4:$U$4238" noThreeD="1" sel="1" val="0"/>
</file>

<file path=xl/ctrlProps/ctrlProp64.xml><?xml version="1.0" encoding="utf-8"?>
<formControlPr xmlns="http://schemas.microsoft.com/office/spreadsheetml/2009/9/main" objectType="Drop" dropLines="50" dropStyle="combo" dx="31" fmlaLink="B17" fmlaRange="$U$4:$U$4238" noThreeD="1" sel="1" val="0"/>
</file>

<file path=xl/ctrlProps/ctrlProp65.xml><?xml version="1.0" encoding="utf-8"?>
<formControlPr xmlns="http://schemas.microsoft.com/office/spreadsheetml/2009/9/main" objectType="Drop" dropLines="50" dropStyle="combo" dx="31" fmlaLink="B18" fmlaRange="$U$4:$U$4238" noThreeD="1" sel="1" val="0"/>
</file>

<file path=xl/ctrlProps/ctrlProp66.xml><?xml version="1.0" encoding="utf-8"?>
<formControlPr xmlns="http://schemas.microsoft.com/office/spreadsheetml/2009/9/main" objectType="Drop" dropLines="50" dropStyle="combo" dx="31" fmlaLink="B19" fmlaRange="$U$4:$U$4238" noThreeD="1" sel="1" val="0"/>
</file>

<file path=xl/ctrlProps/ctrlProp67.xml><?xml version="1.0" encoding="utf-8"?>
<formControlPr xmlns="http://schemas.microsoft.com/office/spreadsheetml/2009/9/main" objectType="Drop" dropLines="50" dropStyle="combo" dx="31" fmlaLink="B20" fmlaRange="$U$4:$U$4238" noThreeD="1" sel="1" val="0"/>
</file>

<file path=xl/ctrlProps/ctrlProp68.xml><?xml version="1.0" encoding="utf-8"?>
<formControlPr xmlns="http://schemas.microsoft.com/office/spreadsheetml/2009/9/main" objectType="Drop" dropLines="50" dropStyle="combo" dx="31" fmlaLink="B21" fmlaRange="$U$4:$U$4238" noThreeD="1" sel="1" val="0"/>
</file>

<file path=xl/ctrlProps/ctrlProp69.xml><?xml version="1.0" encoding="utf-8"?>
<formControlPr xmlns="http://schemas.microsoft.com/office/spreadsheetml/2009/9/main" objectType="Drop" dropLines="50" dropStyle="combo" dx="31" fmlaLink="B22" fmlaRange="$U$4:$U$4238" noThreeD="1" sel="1" val="0"/>
</file>

<file path=xl/ctrlProps/ctrlProp7.xml><?xml version="1.0" encoding="utf-8"?>
<formControlPr xmlns="http://schemas.microsoft.com/office/spreadsheetml/2009/9/main" objectType="Drop" dropLines="3" dropStyle="combo" dx="31" fmlaLink="F15" fmlaRange="Data!$M$2:$M$4" noThreeD="1" sel="3" val="0"/>
</file>

<file path=xl/ctrlProps/ctrlProp70.xml><?xml version="1.0" encoding="utf-8"?>
<formControlPr xmlns="http://schemas.microsoft.com/office/spreadsheetml/2009/9/main" objectType="Drop" dropLines="50" dropStyle="combo" dx="31" fmlaLink="B23" fmlaRange="$U$4:$U$4238" noThreeD="1" sel="1" val="0"/>
</file>

<file path=xl/ctrlProps/ctrlProp71.xml><?xml version="1.0" encoding="utf-8"?>
<formControlPr xmlns="http://schemas.microsoft.com/office/spreadsheetml/2009/9/main" objectType="Drop" dropLines="50" dropStyle="combo" dx="31" fmlaLink="G4" fmlaRange="$Z$4:$Z$7152" noThreeD="1" sel="1" val="0"/>
</file>

<file path=xl/ctrlProps/ctrlProp72.xml><?xml version="1.0" encoding="utf-8"?>
<formControlPr xmlns="http://schemas.microsoft.com/office/spreadsheetml/2009/9/main" objectType="Drop" dropLines="50" dropStyle="combo" dx="31" fmlaLink="L4" fmlaRange="$AE$4:$AE$3586" noThreeD="1" sel="1" val="0"/>
</file>

<file path=xl/ctrlProps/ctrlProp73.xml><?xml version="1.0" encoding="utf-8"?>
<formControlPr xmlns="http://schemas.microsoft.com/office/spreadsheetml/2009/9/main" objectType="Drop" dropLines="50" dropStyle="combo" dx="31" fmlaLink="L5" fmlaRange="$AE$4:$AE$3589" noThreeD="1" sel="1" val="0"/>
</file>

<file path=xl/ctrlProps/ctrlProp74.xml><?xml version="1.0" encoding="utf-8"?>
<formControlPr xmlns="http://schemas.microsoft.com/office/spreadsheetml/2009/9/main" objectType="Drop" dropLines="50" dropStyle="combo" dx="31" fmlaLink="L7" fmlaRange="$AE$4:$AE$3589" noThreeD="1" sel="1" val="0"/>
</file>

<file path=xl/ctrlProps/ctrlProp75.xml><?xml version="1.0" encoding="utf-8"?>
<formControlPr xmlns="http://schemas.microsoft.com/office/spreadsheetml/2009/9/main" objectType="Drop" dropLines="50" dropStyle="combo" dx="31" fmlaLink="L8" fmlaRange="$AE$4:$AE$3589" noThreeD="1" sel="1" val="0"/>
</file>

<file path=xl/ctrlProps/ctrlProp76.xml><?xml version="1.0" encoding="utf-8"?>
<formControlPr xmlns="http://schemas.microsoft.com/office/spreadsheetml/2009/9/main" objectType="Drop" dropLines="50" dropStyle="combo" dx="31" fmlaLink="L9" fmlaRange="$AE$4:$AE$3589" noThreeD="1" sel="1" val="0"/>
</file>

<file path=xl/ctrlProps/ctrlProp77.xml><?xml version="1.0" encoding="utf-8"?>
<formControlPr xmlns="http://schemas.microsoft.com/office/spreadsheetml/2009/9/main" objectType="Drop" dropLines="50" dropStyle="combo" dx="31" fmlaLink="L10" fmlaRange="$AE$4:$AE$3589" noThreeD="1" sel="1" val="0"/>
</file>

<file path=xl/ctrlProps/ctrlProp78.xml><?xml version="1.0" encoding="utf-8"?>
<formControlPr xmlns="http://schemas.microsoft.com/office/spreadsheetml/2009/9/main" objectType="Drop" dropLines="50" dropStyle="combo" dx="31" fmlaLink="L11" fmlaRange="$AE$4:$AE$3589" noThreeD="1" sel="1" val="0"/>
</file>

<file path=xl/ctrlProps/ctrlProp79.xml><?xml version="1.0" encoding="utf-8"?>
<formControlPr xmlns="http://schemas.microsoft.com/office/spreadsheetml/2009/9/main" objectType="Drop" dropLines="50" dropStyle="combo" dx="31" fmlaLink="L12" fmlaRange="$AE$4:$AE$3589" noThreeD="1" sel="1" val="0"/>
</file>

<file path=xl/ctrlProps/ctrlProp8.xml><?xml version="1.0" encoding="utf-8"?>
<formControlPr xmlns="http://schemas.microsoft.com/office/spreadsheetml/2009/9/main" objectType="Drop" dropLines="12" dropStyle="combo" dx="31" fmlaLink="F17" fmlaRange="Data!$N$2:$N$12" noThreeD="1" sel="1" val="0"/>
</file>

<file path=xl/ctrlProps/ctrlProp80.xml><?xml version="1.0" encoding="utf-8"?>
<formControlPr xmlns="http://schemas.microsoft.com/office/spreadsheetml/2009/9/main" objectType="Drop" dropLines="50" dropStyle="combo" dx="31" fmlaLink="L13" fmlaRange="$AE$4:$AE$3589" noThreeD="1" sel="1" val="0"/>
</file>

<file path=xl/ctrlProps/ctrlProp81.xml><?xml version="1.0" encoding="utf-8"?>
<formControlPr xmlns="http://schemas.microsoft.com/office/spreadsheetml/2009/9/main" objectType="Drop" dropLines="50" dropStyle="combo" dx="31" fmlaLink="L14" fmlaRange="$AE$4:$AE$3589" noThreeD="1" sel="1" val="0"/>
</file>

<file path=xl/ctrlProps/ctrlProp82.xml><?xml version="1.0" encoding="utf-8"?>
<formControlPr xmlns="http://schemas.microsoft.com/office/spreadsheetml/2009/9/main" objectType="Drop" dropLines="50" dropStyle="combo" dx="31" fmlaLink="L15" fmlaRange="$AE$4:$AE$3589" noThreeD="1" sel="1" val="0"/>
</file>

<file path=xl/ctrlProps/ctrlProp83.xml><?xml version="1.0" encoding="utf-8"?>
<formControlPr xmlns="http://schemas.microsoft.com/office/spreadsheetml/2009/9/main" objectType="Drop" dropLines="50" dropStyle="combo" dx="31" fmlaLink="L16" fmlaRange="$AE$4:$AE$3589" noThreeD="1" sel="1" val="0"/>
</file>

<file path=xl/ctrlProps/ctrlProp84.xml><?xml version="1.0" encoding="utf-8"?>
<formControlPr xmlns="http://schemas.microsoft.com/office/spreadsheetml/2009/9/main" objectType="Drop" dropLines="50" dropStyle="combo" dx="31" fmlaLink="L17" fmlaRange="$AE$4:$AE$3589" noThreeD="1" sel="1" val="0"/>
</file>

<file path=xl/ctrlProps/ctrlProp85.xml><?xml version="1.0" encoding="utf-8"?>
<formControlPr xmlns="http://schemas.microsoft.com/office/spreadsheetml/2009/9/main" objectType="Drop" dropLines="50" dropStyle="combo" dx="31" fmlaLink="L18" fmlaRange="$AE$4:$AE$3589" noThreeD="1" sel="1" val="0"/>
</file>

<file path=xl/ctrlProps/ctrlProp86.xml><?xml version="1.0" encoding="utf-8"?>
<formControlPr xmlns="http://schemas.microsoft.com/office/spreadsheetml/2009/9/main" objectType="Drop" dropLines="50" dropStyle="combo" dx="31" fmlaLink="L19" fmlaRange="$AE$4:$AE$3589" noThreeD="1" sel="1" val="0"/>
</file>

<file path=xl/ctrlProps/ctrlProp87.xml><?xml version="1.0" encoding="utf-8"?>
<formControlPr xmlns="http://schemas.microsoft.com/office/spreadsheetml/2009/9/main" objectType="Drop" dropLines="50" dropStyle="combo" dx="31" fmlaLink="L20" fmlaRange="$AE$4:$AE$3589" noThreeD="1" sel="1" val="0"/>
</file>

<file path=xl/ctrlProps/ctrlProp88.xml><?xml version="1.0" encoding="utf-8"?>
<formControlPr xmlns="http://schemas.microsoft.com/office/spreadsheetml/2009/9/main" objectType="Drop" dropLines="50" dropStyle="combo" dx="31" fmlaLink="L21" fmlaRange="$AE$4:$AE$3589" noThreeD="1" sel="1" val="0"/>
</file>

<file path=xl/ctrlProps/ctrlProp89.xml><?xml version="1.0" encoding="utf-8"?>
<formControlPr xmlns="http://schemas.microsoft.com/office/spreadsheetml/2009/9/main" objectType="Drop" dropLines="50" dropStyle="combo" dx="31" fmlaLink="L22" fmlaRange="$AE$4:$AE$3589" noThreeD="1" sel="1" val="0"/>
</file>

<file path=xl/ctrlProps/ctrlProp9.xml><?xml version="1.0" encoding="utf-8"?>
<formControlPr xmlns="http://schemas.microsoft.com/office/spreadsheetml/2009/9/main" objectType="Drop" dropLines="3" dropStyle="combo" dx="31" fmlaLink="F28" fmlaRange="Data!$M$2:$M$4" noThreeD="1" sel="1" val="0"/>
</file>

<file path=xl/ctrlProps/ctrlProp90.xml><?xml version="1.0" encoding="utf-8"?>
<formControlPr xmlns="http://schemas.microsoft.com/office/spreadsheetml/2009/9/main" objectType="Drop" dropLines="50" dropStyle="combo" dx="31" fmlaLink="L23" fmlaRange="$AE$4:$AE$3589" noThreeD="1" sel="1" val="0"/>
</file>

<file path=xl/ctrlProps/ctrlProp91.xml><?xml version="1.0" encoding="utf-8"?>
<formControlPr xmlns="http://schemas.microsoft.com/office/spreadsheetml/2009/9/main" objectType="Drop" dropLines="50" dropStyle="combo" dx="31" fmlaLink="G5" fmlaRange="$Z$4:$Z$7152" noThreeD="1" sel="1" val="0"/>
</file>

<file path=xl/ctrlProps/ctrlProp92.xml><?xml version="1.0" encoding="utf-8"?>
<formControlPr xmlns="http://schemas.microsoft.com/office/spreadsheetml/2009/9/main" objectType="Drop" dropLines="50" dropStyle="combo" dx="31" fmlaLink="G7" fmlaRange="$Z$4:$Z$7152" noThreeD="1" sel="1" val="0"/>
</file>

<file path=xl/ctrlProps/ctrlProp93.xml><?xml version="1.0" encoding="utf-8"?>
<formControlPr xmlns="http://schemas.microsoft.com/office/spreadsheetml/2009/9/main" objectType="Drop" dropLines="50" dropStyle="combo" dx="31" fmlaLink="G8" fmlaRange="$Z$4:$Z$7152" noThreeD="1" sel="1" val="0"/>
</file>

<file path=xl/ctrlProps/ctrlProp94.xml><?xml version="1.0" encoding="utf-8"?>
<formControlPr xmlns="http://schemas.microsoft.com/office/spreadsheetml/2009/9/main" objectType="Drop" dropLines="50" dropStyle="combo" dx="31" fmlaLink="G9" fmlaRange="$Z$4:$Z$7152" noThreeD="1" sel="1" val="0"/>
</file>

<file path=xl/ctrlProps/ctrlProp95.xml><?xml version="1.0" encoding="utf-8"?>
<formControlPr xmlns="http://schemas.microsoft.com/office/spreadsheetml/2009/9/main" objectType="Drop" dropLines="50" dropStyle="combo" dx="31" fmlaLink="G10" fmlaRange="$Z$4:$Z$7152" noThreeD="1" sel="1" val="0"/>
</file>

<file path=xl/ctrlProps/ctrlProp96.xml><?xml version="1.0" encoding="utf-8"?>
<formControlPr xmlns="http://schemas.microsoft.com/office/spreadsheetml/2009/9/main" objectType="Drop" dropLines="50" dropStyle="combo" dx="31" fmlaLink="G11" fmlaRange="$Z$4:$Z$7152" noThreeD="1" sel="1" val="0"/>
</file>

<file path=xl/ctrlProps/ctrlProp97.xml><?xml version="1.0" encoding="utf-8"?>
<formControlPr xmlns="http://schemas.microsoft.com/office/spreadsheetml/2009/9/main" objectType="Drop" dropLines="50" dropStyle="combo" dx="31" fmlaLink="G12" fmlaRange="$Z$4:$Z$7152" noThreeD="1" sel="1" val="0"/>
</file>

<file path=xl/ctrlProps/ctrlProp98.xml><?xml version="1.0" encoding="utf-8"?>
<formControlPr xmlns="http://schemas.microsoft.com/office/spreadsheetml/2009/9/main" objectType="Drop" dropLines="50" dropStyle="combo" dx="31" fmlaLink="G13" fmlaRange="$Z$4:$Z$7152" noThreeD="1" sel="1" val="0"/>
</file>

<file path=xl/ctrlProps/ctrlProp99.xml><?xml version="1.0" encoding="utf-8"?>
<formControlPr xmlns="http://schemas.microsoft.com/office/spreadsheetml/2009/9/main" objectType="Drop" dropLines="50" dropStyle="combo" dx="31" fmlaLink="G14" fmlaRange="$Z$4:$Z$7152"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419100</xdr:rowOff>
        </xdr:from>
        <xdr:to>
          <xdr:col>6</xdr:col>
          <xdr:colOff>0</xdr:colOff>
          <xdr:row>4</xdr:row>
          <xdr:rowOff>12700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12700</xdr:colOff>
          <xdr:row>6</xdr:row>
          <xdr:rowOff>12700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12</xdr:row>
          <xdr:rowOff>469900</xdr:rowOff>
        </xdr:from>
        <xdr:to>
          <xdr:col>6</xdr:col>
          <xdr:colOff>0</xdr:colOff>
          <xdr:row>14</xdr:row>
          <xdr:rowOff>0</xdr:rowOff>
        </xdr:to>
        <xdr:sp macro="" textlink="">
          <xdr:nvSpPr>
            <xdr:cNvPr id="2056" name="Drop Down 8" hidden="1">
              <a:extLst>
                <a:ext uri="{63B3BB69-23CF-44E3-9099-C40C66FF867C}">
                  <a14:compatExt spid="_x0000_s2056"/>
                </a:ext>
                <a:ext uri="{FF2B5EF4-FFF2-40B4-BE49-F238E27FC236}">
                  <a16:creationId xmlns:a16="http://schemas.microsoft.com/office/drawing/2014/main" id="{00000000-0008-0000-0300-00000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19</xdr:row>
          <xdr:rowOff>0</xdr:rowOff>
        </xdr:from>
        <xdr:to>
          <xdr:col>6</xdr:col>
          <xdr:colOff>0</xdr:colOff>
          <xdr:row>19</xdr:row>
          <xdr:rowOff>584200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3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12700</xdr:rowOff>
        </xdr:from>
        <xdr:to>
          <xdr:col>6</xdr:col>
          <xdr:colOff>927100</xdr:colOff>
          <xdr:row>10</xdr:row>
          <xdr:rowOff>0</xdr:rowOff>
        </xdr:to>
        <xdr:sp macro="" textlink="">
          <xdr:nvSpPr>
            <xdr:cNvPr id="2077" name="Drop Down 29" hidden="1">
              <a:extLst>
                <a:ext uri="{63B3BB69-23CF-44E3-9099-C40C66FF867C}">
                  <a14:compatExt spid="_x0000_s2077"/>
                </a:ext>
                <a:ext uri="{FF2B5EF4-FFF2-40B4-BE49-F238E27FC236}">
                  <a16:creationId xmlns:a16="http://schemas.microsoft.com/office/drawing/2014/main" id="{00000000-0008-0000-0300-00001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12</xdr:row>
          <xdr:rowOff>12700</xdr:rowOff>
        </xdr:from>
        <xdr:to>
          <xdr:col>6</xdr:col>
          <xdr:colOff>0</xdr:colOff>
          <xdr:row>13</xdr:row>
          <xdr:rowOff>0</xdr:rowOff>
        </xdr:to>
        <xdr:sp macro="" textlink="">
          <xdr:nvSpPr>
            <xdr:cNvPr id="2078" name="Drop Down 30" hidden="1">
              <a:extLst>
                <a:ext uri="{63B3BB69-23CF-44E3-9099-C40C66FF867C}">
                  <a14:compatExt spid="_x0000_s2078"/>
                </a:ext>
                <a:ext uri="{FF2B5EF4-FFF2-40B4-BE49-F238E27FC236}">
                  <a16:creationId xmlns:a16="http://schemas.microsoft.com/office/drawing/2014/main" id="{00000000-0008-0000-0300-00001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13</xdr:row>
          <xdr:rowOff>304800</xdr:rowOff>
        </xdr:from>
        <xdr:to>
          <xdr:col>6</xdr:col>
          <xdr:colOff>0</xdr:colOff>
          <xdr:row>15</xdr:row>
          <xdr:rowOff>0</xdr:rowOff>
        </xdr:to>
        <xdr:sp macro="" textlink="">
          <xdr:nvSpPr>
            <xdr:cNvPr id="2079" name="Drop Down 31" hidden="1">
              <a:extLst>
                <a:ext uri="{63B3BB69-23CF-44E3-9099-C40C66FF867C}">
                  <a14:compatExt spid="_x0000_s2079"/>
                </a:ext>
                <a:ext uri="{FF2B5EF4-FFF2-40B4-BE49-F238E27FC236}">
                  <a16:creationId xmlns:a16="http://schemas.microsoft.com/office/drawing/2014/main" id="{00000000-0008-0000-0300-00001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16</xdr:row>
          <xdr:rowOff>12700</xdr:rowOff>
        </xdr:from>
        <xdr:to>
          <xdr:col>6</xdr:col>
          <xdr:colOff>0</xdr:colOff>
          <xdr:row>17</xdr:row>
          <xdr:rowOff>0</xdr:rowOff>
        </xdr:to>
        <xdr:sp macro="" textlink="">
          <xdr:nvSpPr>
            <xdr:cNvPr id="2080" name="Drop Down 32" hidden="1">
              <a:extLst>
                <a:ext uri="{63B3BB69-23CF-44E3-9099-C40C66FF867C}">
                  <a14:compatExt spid="_x0000_s2080"/>
                </a:ext>
                <a:ext uri="{FF2B5EF4-FFF2-40B4-BE49-F238E27FC236}">
                  <a16:creationId xmlns:a16="http://schemas.microsoft.com/office/drawing/2014/main" id="{00000000-0008-0000-0300-00002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6</xdr:col>
          <xdr:colOff>12700</xdr:colOff>
          <xdr:row>27</xdr:row>
          <xdr:rowOff>508000</xdr:rowOff>
        </xdr:to>
        <xdr:sp macro="" textlink="">
          <xdr:nvSpPr>
            <xdr:cNvPr id="2083" name="Drop Down 35" hidden="1">
              <a:extLst>
                <a:ext uri="{63B3BB69-23CF-44E3-9099-C40C66FF867C}">
                  <a14:compatExt spid="_x0000_s2083"/>
                </a:ext>
                <a:ext uri="{FF2B5EF4-FFF2-40B4-BE49-F238E27FC236}">
                  <a16:creationId xmlns:a16="http://schemas.microsoft.com/office/drawing/2014/main" id="{00000000-0008-0000-0300-00002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3</xdr:row>
          <xdr:rowOff>0</xdr:rowOff>
        </xdr:from>
        <xdr:to>
          <xdr:col>6</xdr:col>
          <xdr:colOff>12700</xdr:colOff>
          <xdr:row>4</xdr:row>
          <xdr:rowOff>0</xdr:rowOff>
        </xdr:to>
        <xdr:sp macro="" textlink="">
          <xdr:nvSpPr>
            <xdr:cNvPr id="24577" name="Drop Down 1" hidden="1">
              <a:extLst>
                <a:ext uri="{63B3BB69-23CF-44E3-9099-C40C66FF867C}">
                  <a14:compatExt spid="_x0000_s24577"/>
                </a:ext>
                <a:ext uri="{FF2B5EF4-FFF2-40B4-BE49-F238E27FC236}">
                  <a16:creationId xmlns:a16="http://schemas.microsoft.com/office/drawing/2014/main" id="{00000000-0008-0000-0C00-000001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12700</xdr:colOff>
          <xdr:row>6</xdr:row>
          <xdr:rowOff>12700</xdr:rowOff>
        </xdr:to>
        <xdr:sp macro="" textlink="">
          <xdr:nvSpPr>
            <xdr:cNvPr id="24581" name="Drop Down 5" hidden="1">
              <a:extLst>
                <a:ext uri="{63B3BB69-23CF-44E3-9099-C40C66FF867C}">
                  <a14:compatExt spid="_x0000_s24581"/>
                </a:ext>
                <a:ext uri="{FF2B5EF4-FFF2-40B4-BE49-F238E27FC236}">
                  <a16:creationId xmlns:a16="http://schemas.microsoft.com/office/drawing/2014/main" id="{00000000-0008-0000-0C00-000005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58</xdr:row>
          <xdr:rowOff>0</xdr:rowOff>
        </xdr:from>
        <xdr:to>
          <xdr:col>6</xdr:col>
          <xdr:colOff>0</xdr:colOff>
          <xdr:row>58</xdr:row>
          <xdr:rowOff>381000</xdr:rowOff>
        </xdr:to>
        <xdr:sp macro="" textlink="">
          <xdr:nvSpPr>
            <xdr:cNvPr id="12330" name="Drop Down 42"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1422400</xdr:colOff>
          <xdr:row>5</xdr:row>
          <xdr:rowOff>12700</xdr:rowOff>
        </xdr:from>
        <xdr:to>
          <xdr:col>5</xdr:col>
          <xdr:colOff>1104900</xdr:colOff>
          <xdr:row>5</xdr:row>
          <xdr:rowOff>368300</xdr:rowOff>
        </xdr:to>
        <xdr:sp macro="" textlink="">
          <xdr:nvSpPr>
            <xdr:cNvPr id="12345" name="Drop Down 57" hidden="1">
              <a:extLst>
                <a:ext uri="{63B3BB69-23CF-44E3-9099-C40C66FF867C}">
                  <a14:compatExt spid="_x0000_s12345"/>
                </a:ext>
                <a:ext uri="{FF2B5EF4-FFF2-40B4-BE49-F238E27FC236}">
                  <a16:creationId xmlns:a16="http://schemas.microsoft.com/office/drawing/2014/main" id="{00000000-0008-0000-0D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20</xdr:row>
          <xdr:rowOff>0</xdr:rowOff>
        </xdr:from>
        <xdr:to>
          <xdr:col>6</xdr:col>
          <xdr:colOff>0</xdr:colOff>
          <xdr:row>21</xdr:row>
          <xdr:rowOff>0</xdr:rowOff>
        </xdr:to>
        <xdr:sp macro="" textlink="">
          <xdr:nvSpPr>
            <xdr:cNvPr id="12349" name="Drop Down 61" hidden="1">
              <a:extLst>
                <a:ext uri="{63B3BB69-23CF-44E3-9099-C40C66FF867C}">
                  <a14:compatExt spid="_x0000_s12349"/>
                </a:ext>
                <a:ext uri="{FF2B5EF4-FFF2-40B4-BE49-F238E27FC236}">
                  <a16:creationId xmlns:a16="http://schemas.microsoft.com/office/drawing/2014/main" id="{00000000-0008-0000-0D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17</xdr:row>
          <xdr:rowOff>12700</xdr:rowOff>
        </xdr:from>
        <xdr:to>
          <xdr:col>6</xdr:col>
          <xdr:colOff>0</xdr:colOff>
          <xdr:row>17</xdr:row>
          <xdr:rowOff>571500</xdr:rowOff>
        </xdr:to>
        <xdr:sp macro="" textlink="">
          <xdr:nvSpPr>
            <xdr:cNvPr id="12350" name="Drop Down 62" hidden="1">
              <a:extLst>
                <a:ext uri="{63B3BB69-23CF-44E3-9099-C40C66FF867C}">
                  <a14:compatExt spid="_x0000_s12350"/>
                </a:ext>
                <a:ext uri="{FF2B5EF4-FFF2-40B4-BE49-F238E27FC236}">
                  <a16:creationId xmlns:a16="http://schemas.microsoft.com/office/drawing/2014/main" id="{00000000-0008-0000-0D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30</xdr:row>
          <xdr:rowOff>0</xdr:rowOff>
        </xdr:from>
        <xdr:to>
          <xdr:col>6</xdr:col>
          <xdr:colOff>0</xdr:colOff>
          <xdr:row>31</xdr:row>
          <xdr:rowOff>0</xdr:rowOff>
        </xdr:to>
        <xdr:sp macro="" textlink="">
          <xdr:nvSpPr>
            <xdr:cNvPr id="12351" name="Drop Down 63" hidden="1">
              <a:extLst>
                <a:ext uri="{63B3BB69-23CF-44E3-9099-C40C66FF867C}">
                  <a14:compatExt spid="_x0000_s12351"/>
                </a:ext>
                <a:ext uri="{FF2B5EF4-FFF2-40B4-BE49-F238E27FC236}">
                  <a16:creationId xmlns:a16="http://schemas.microsoft.com/office/drawing/2014/main" id="{00000000-0008-0000-0D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12700</xdr:rowOff>
        </xdr:from>
        <xdr:to>
          <xdr:col>6</xdr:col>
          <xdr:colOff>0</xdr:colOff>
          <xdr:row>65</xdr:row>
          <xdr:rowOff>12700</xdr:rowOff>
        </xdr:to>
        <xdr:sp macro="" textlink="">
          <xdr:nvSpPr>
            <xdr:cNvPr id="12352" name="Drop Down 64" hidden="1">
              <a:extLst>
                <a:ext uri="{63B3BB69-23CF-44E3-9099-C40C66FF867C}">
                  <a14:compatExt spid="_x0000_s12352"/>
                </a:ext>
                <a:ext uri="{FF2B5EF4-FFF2-40B4-BE49-F238E27FC236}">
                  <a16:creationId xmlns:a16="http://schemas.microsoft.com/office/drawing/2014/main" id="{00000000-0008-0000-0D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80</xdr:row>
          <xdr:rowOff>711200</xdr:rowOff>
        </xdr:from>
        <xdr:to>
          <xdr:col>6</xdr:col>
          <xdr:colOff>12700</xdr:colOff>
          <xdr:row>82</xdr:row>
          <xdr:rowOff>0</xdr:rowOff>
        </xdr:to>
        <xdr:sp macro="" textlink="">
          <xdr:nvSpPr>
            <xdr:cNvPr id="12353" name="Drop Down 65" hidden="1">
              <a:extLst>
                <a:ext uri="{63B3BB69-23CF-44E3-9099-C40C66FF867C}">
                  <a14:compatExt spid="_x0000_s12353"/>
                </a:ext>
                <a:ext uri="{FF2B5EF4-FFF2-40B4-BE49-F238E27FC236}">
                  <a16:creationId xmlns:a16="http://schemas.microsoft.com/office/drawing/2014/main" id="{00000000-0008-0000-0D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88</xdr:row>
          <xdr:rowOff>0</xdr:rowOff>
        </xdr:from>
        <xdr:to>
          <xdr:col>6</xdr:col>
          <xdr:colOff>0</xdr:colOff>
          <xdr:row>89</xdr:row>
          <xdr:rowOff>12700</xdr:rowOff>
        </xdr:to>
        <xdr:sp macro="" textlink="">
          <xdr:nvSpPr>
            <xdr:cNvPr id="12354" name="Drop Down 66" hidden="1">
              <a:extLst>
                <a:ext uri="{63B3BB69-23CF-44E3-9099-C40C66FF867C}">
                  <a14:compatExt spid="_x0000_s12354"/>
                </a:ext>
                <a:ext uri="{FF2B5EF4-FFF2-40B4-BE49-F238E27FC236}">
                  <a16:creationId xmlns:a16="http://schemas.microsoft.com/office/drawing/2014/main" id="{00000000-0008-0000-0D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96</xdr:row>
          <xdr:rowOff>12700</xdr:rowOff>
        </xdr:from>
        <xdr:to>
          <xdr:col>6</xdr:col>
          <xdr:colOff>0</xdr:colOff>
          <xdr:row>97</xdr:row>
          <xdr:rowOff>12700</xdr:rowOff>
        </xdr:to>
        <xdr:sp macro="" textlink="">
          <xdr:nvSpPr>
            <xdr:cNvPr id="12355" name="Drop Down 67" hidden="1">
              <a:extLst>
                <a:ext uri="{63B3BB69-23CF-44E3-9099-C40C66FF867C}">
                  <a14:compatExt spid="_x0000_s12355"/>
                </a:ext>
                <a:ext uri="{FF2B5EF4-FFF2-40B4-BE49-F238E27FC236}">
                  <a16:creationId xmlns:a16="http://schemas.microsoft.com/office/drawing/2014/main" id="{00000000-0008-0000-0D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98</xdr:row>
          <xdr:rowOff>12700</xdr:rowOff>
        </xdr:from>
        <xdr:to>
          <xdr:col>5</xdr:col>
          <xdr:colOff>1104900</xdr:colOff>
          <xdr:row>98</xdr:row>
          <xdr:rowOff>609600</xdr:rowOff>
        </xdr:to>
        <xdr:sp macro="" textlink="">
          <xdr:nvSpPr>
            <xdr:cNvPr id="12356" name="Drop Down 68" hidden="1">
              <a:extLst>
                <a:ext uri="{63B3BB69-23CF-44E3-9099-C40C66FF867C}">
                  <a14:compatExt spid="_x0000_s12356"/>
                </a:ext>
                <a:ext uri="{FF2B5EF4-FFF2-40B4-BE49-F238E27FC236}">
                  <a16:creationId xmlns:a16="http://schemas.microsoft.com/office/drawing/2014/main" id="{00000000-0008-0000-0D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99</xdr:row>
          <xdr:rowOff>0</xdr:rowOff>
        </xdr:from>
        <xdr:to>
          <xdr:col>6</xdr:col>
          <xdr:colOff>0</xdr:colOff>
          <xdr:row>99</xdr:row>
          <xdr:rowOff>584200</xdr:rowOff>
        </xdr:to>
        <xdr:sp macro="" textlink="">
          <xdr:nvSpPr>
            <xdr:cNvPr id="12357" name="Drop Down 69" hidden="1">
              <a:extLst>
                <a:ext uri="{63B3BB69-23CF-44E3-9099-C40C66FF867C}">
                  <a14:compatExt spid="_x0000_s12357"/>
                </a:ext>
                <a:ext uri="{FF2B5EF4-FFF2-40B4-BE49-F238E27FC236}">
                  <a16:creationId xmlns:a16="http://schemas.microsoft.com/office/drawing/2014/main" id="{00000000-0008-0000-0D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97</xdr:row>
          <xdr:rowOff>12700</xdr:rowOff>
        </xdr:from>
        <xdr:to>
          <xdr:col>6</xdr:col>
          <xdr:colOff>0</xdr:colOff>
          <xdr:row>98</xdr:row>
          <xdr:rowOff>12700</xdr:rowOff>
        </xdr:to>
        <xdr:sp macro="" textlink="">
          <xdr:nvSpPr>
            <xdr:cNvPr id="12358" name="Drop Down 70" hidden="1">
              <a:extLst>
                <a:ext uri="{63B3BB69-23CF-44E3-9099-C40C66FF867C}">
                  <a14:compatExt spid="_x0000_s12358"/>
                </a:ext>
                <a:ext uri="{FF2B5EF4-FFF2-40B4-BE49-F238E27FC236}">
                  <a16:creationId xmlns:a16="http://schemas.microsoft.com/office/drawing/2014/main" id="{00000000-0008-0000-0D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100</xdr:row>
          <xdr:rowOff>12700</xdr:rowOff>
        </xdr:from>
        <xdr:to>
          <xdr:col>6</xdr:col>
          <xdr:colOff>0</xdr:colOff>
          <xdr:row>101</xdr:row>
          <xdr:rowOff>12700</xdr:rowOff>
        </xdr:to>
        <xdr:sp macro="" textlink="">
          <xdr:nvSpPr>
            <xdr:cNvPr id="12359" name="Drop Down 71" hidden="1">
              <a:extLst>
                <a:ext uri="{63B3BB69-23CF-44E3-9099-C40C66FF867C}">
                  <a14:compatExt spid="_x0000_s12359"/>
                </a:ext>
                <a:ext uri="{FF2B5EF4-FFF2-40B4-BE49-F238E27FC236}">
                  <a16:creationId xmlns:a16="http://schemas.microsoft.com/office/drawing/2014/main" id="{00000000-0008-0000-0D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105</xdr:row>
          <xdr:rowOff>12700</xdr:rowOff>
        </xdr:from>
        <xdr:to>
          <xdr:col>6</xdr:col>
          <xdr:colOff>0</xdr:colOff>
          <xdr:row>106</xdr:row>
          <xdr:rowOff>12700</xdr:rowOff>
        </xdr:to>
        <xdr:sp macro="" textlink="">
          <xdr:nvSpPr>
            <xdr:cNvPr id="12360" name="Drop Down 72" hidden="1">
              <a:extLst>
                <a:ext uri="{63B3BB69-23CF-44E3-9099-C40C66FF867C}">
                  <a14:compatExt spid="_x0000_s12360"/>
                </a:ext>
                <a:ext uri="{FF2B5EF4-FFF2-40B4-BE49-F238E27FC236}">
                  <a16:creationId xmlns:a16="http://schemas.microsoft.com/office/drawing/2014/main" id="{00000000-0008-0000-0D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1409700</xdr:colOff>
          <xdr:row>101</xdr:row>
          <xdr:rowOff>12700</xdr:rowOff>
        </xdr:from>
        <xdr:to>
          <xdr:col>6</xdr:col>
          <xdr:colOff>12700</xdr:colOff>
          <xdr:row>101</xdr:row>
          <xdr:rowOff>571500</xdr:rowOff>
        </xdr:to>
        <xdr:sp macro="" textlink="">
          <xdr:nvSpPr>
            <xdr:cNvPr id="12362" name="Drop Down 74" hidden="1">
              <a:extLst>
                <a:ext uri="{63B3BB69-23CF-44E3-9099-C40C66FF867C}">
                  <a14:compatExt spid="_x0000_s12362"/>
                </a:ext>
                <a:ext uri="{FF2B5EF4-FFF2-40B4-BE49-F238E27FC236}">
                  <a16:creationId xmlns:a16="http://schemas.microsoft.com/office/drawing/2014/main" id="{00000000-0008-0000-0D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8</xdr:row>
          <xdr:rowOff>12700</xdr:rowOff>
        </xdr:from>
        <xdr:to>
          <xdr:col>6</xdr:col>
          <xdr:colOff>0</xdr:colOff>
          <xdr:row>9</xdr:row>
          <xdr:rowOff>0</xdr:rowOff>
        </xdr:to>
        <xdr:sp macro="" textlink="">
          <xdr:nvSpPr>
            <xdr:cNvPr id="12363" name="Drop Down 75" hidden="1">
              <a:extLst>
                <a:ext uri="{63B3BB69-23CF-44E3-9099-C40C66FF867C}">
                  <a14:compatExt spid="_x0000_s12363"/>
                </a:ext>
                <a:ext uri="{FF2B5EF4-FFF2-40B4-BE49-F238E27FC236}">
                  <a16:creationId xmlns:a16="http://schemas.microsoft.com/office/drawing/2014/main" id="{00000000-0008-0000-0D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39</xdr:row>
          <xdr:rowOff>12700</xdr:rowOff>
        </xdr:from>
        <xdr:to>
          <xdr:col>6</xdr:col>
          <xdr:colOff>0</xdr:colOff>
          <xdr:row>40</xdr:row>
          <xdr:rowOff>0</xdr:rowOff>
        </xdr:to>
        <xdr:sp macro="" textlink="">
          <xdr:nvSpPr>
            <xdr:cNvPr id="12371" name="Drop Down 83" hidden="1">
              <a:extLst>
                <a:ext uri="{63B3BB69-23CF-44E3-9099-C40C66FF867C}">
                  <a14:compatExt spid="_x0000_s12371"/>
                </a:ext>
                <a:ext uri="{FF2B5EF4-FFF2-40B4-BE49-F238E27FC236}">
                  <a16:creationId xmlns:a16="http://schemas.microsoft.com/office/drawing/2014/main" id="{00000000-0008-0000-0D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45</xdr:row>
          <xdr:rowOff>12700</xdr:rowOff>
        </xdr:from>
        <xdr:to>
          <xdr:col>6</xdr:col>
          <xdr:colOff>0</xdr:colOff>
          <xdr:row>45</xdr:row>
          <xdr:rowOff>381000</xdr:rowOff>
        </xdr:to>
        <xdr:sp macro="" textlink="">
          <xdr:nvSpPr>
            <xdr:cNvPr id="12372" name="Drop Down 84" hidden="1">
              <a:extLst>
                <a:ext uri="{63B3BB69-23CF-44E3-9099-C40C66FF867C}">
                  <a14:compatExt spid="_x0000_s12372"/>
                </a:ext>
                <a:ext uri="{FF2B5EF4-FFF2-40B4-BE49-F238E27FC236}">
                  <a16:creationId xmlns:a16="http://schemas.microsoft.com/office/drawing/2014/main" id="{00000000-0008-0000-0D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50</xdr:row>
          <xdr:rowOff>266700</xdr:rowOff>
        </xdr:from>
        <xdr:to>
          <xdr:col>6</xdr:col>
          <xdr:colOff>0</xdr:colOff>
          <xdr:row>52</xdr:row>
          <xdr:rowOff>12700</xdr:rowOff>
        </xdr:to>
        <xdr:sp macro="" textlink="">
          <xdr:nvSpPr>
            <xdr:cNvPr id="12373" name="Drop Down 85" hidden="1">
              <a:extLst>
                <a:ext uri="{63B3BB69-23CF-44E3-9099-C40C66FF867C}">
                  <a14:compatExt spid="_x0000_s12373"/>
                </a:ext>
                <a:ext uri="{FF2B5EF4-FFF2-40B4-BE49-F238E27FC236}">
                  <a16:creationId xmlns:a16="http://schemas.microsoft.com/office/drawing/2014/main" id="{00000000-0008-0000-0D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12</xdr:row>
          <xdr:rowOff>241300</xdr:rowOff>
        </xdr:from>
        <xdr:to>
          <xdr:col>6</xdr:col>
          <xdr:colOff>12700</xdr:colOff>
          <xdr:row>14</xdr:row>
          <xdr:rowOff>12700</xdr:rowOff>
        </xdr:to>
        <xdr:sp macro="" textlink="">
          <xdr:nvSpPr>
            <xdr:cNvPr id="125954" name="Drop Down 2" hidden="1">
              <a:extLst>
                <a:ext uri="{63B3BB69-23CF-44E3-9099-C40C66FF867C}">
                  <a14:compatExt spid="_x0000_s125954"/>
                </a:ext>
                <a:ext uri="{FF2B5EF4-FFF2-40B4-BE49-F238E27FC236}">
                  <a16:creationId xmlns:a16="http://schemas.microsoft.com/office/drawing/2014/main" id="{00000000-0008-0000-0E00-000002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15</xdr:row>
          <xdr:rowOff>12700</xdr:rowOff>
        </xdr:from>
        <xdr:to>
          <xdr:col>6</xdr:col>
          <xdr:colOff>0</xdr:colOff>
          <xdr:row>16</xdr:row>
          <xdr:rowOff>0</xdr:rowOff>
        </xdr:to>
        <xdr:sp macro="" textlink="">
          <xdr:nvSpPr>
            <xdr:cNvPr id="125955" name="Drop Down 3" hidden="1">
              <a:extLst>
                <a:ext uri="{63B3BB69-23CF-44E3-9099-C40C66FF867C}">
                  <a14:compatExt spid="_x0000_s125955"/>
                </a:ext>
                <a:ext uri="{FF2B5EF4-FFF2-40B4-BE49-F238E27FC236}">
                  <a16:creationId xmlns:a16="http://schemas.microsoft.com/office/drawing/2014/main" id="{00000000-0008-0000-0E00-000003E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818444</xdr:colOff>
          <xdr:row>7</xdr:row>
          <xdr:rowOff>0</xdr:rowOff>
        </xdr:from>
        <xdr:to>
          <xdr:col>6</xdr:col>
          <xdr:colOff>973666</xdr:colOff>
          <xdr:row>8</xdr:row>
          <xdr:rowOff>0</xdr:rowOff>
        </xdr:to>
        <xdr:sp macro="" textlink="">
          <xdr:nvSpPr>
            <xdr:cNvPr id="126224" name="Drop Down 272" hidden="1">
              <a:extLst>
                <a:ext uri="{63B3BB69-23CF-44E3-9099-C40C66FF867C}">
                  <a14:compatExt spid="_x0000_s126224"/>
                </a:ext>
                <a:ext uri="{FF2B5EF4-FFF2-40B4-BE49-F238E27FC236}">
                  <a16:creationId xmlns:a16="http://schemas.microsoft.com/office/drawing/2014/main" id="{00000000-0008-0000-0E00-000010E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7054</xdr:colOff>
          <xdr:row>16</xdr:row>
          <xdr:rowOff>0</xdr:rowOff>
        </xdr:from>
        <xdr:to>
          <xdr:col>5</xdr:col>
          <xdr:colOff>1353253</xdr:colOff>
          <xdr:row>17</xdr:row>
          <xdr:rowOff>0</xdr:rowOff>
        </xdr:to>
        <xdr:sp macro="" textlink="">
          <xdr:nvSpPr>
            <xdr:cNvPr id="126225" name="Drop Down 273" hidden="1">
              <a:extLst>
                <a:ext uri="{63B3BB69-23CF-44E3-9099-C40C66FF867C}">
                  <a14:compatExt spid="_x0000_s126225"/>
                </a:ext>
                <a:ext uri="{FF2B5EF4-FFF2-40B4-BE49-F238E27FC236}">
                  <a16:creationId xmlns:a16="http://schemas.microsoft.com/office/drawing/2014/main" id="{00000000-0008-0000-0E00-000011E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12700</xdr:colOff>
          <xdr:row>6</xdr:row>
          <xdr:rowOff>0</xdr:rowOff>
        </xdr:to>
        <xdr:sp macro="" textlink="">
          <xdr:nvSpPr>
            <xdr:cNvPr id="126227" name="Drop Down 275" hidden="1">
              <a:extLst>
                <a:ext uri="{63B3BB69-23CF-44E3-9099-C40C66FF867C}">
                  <a14:compatExt spid="_x0000_s126227"/>
                </a:ext>
                <a:ext uri="{FF2B5EF4-FFF2-40B4-BE49-F238E27FC236}">
                  <a16:creationId xmlns:a16="http://schemas.microsoft.com/office/drawing/2014/main" id="{00000000-0008-0000-0E00-000013ED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21</xdr:row>
          <xdr:rowOff>12700</xdr:rowOff>
        </xdr:from>
        <xdr:to>
          <xdr:col>6</xdr:col>
          <xdr:colOff>0</xdr:colOff>
          <xdr:row>22</xdr:row>
          <xdr:rowOff>12700</xdr:rowOff>
        </xdr:to>
        <xdr:sp macro="" textlink="">
          <xdr:nvSpPr>
            <xdr:cNvPr id="32775" name="Drop Down 7" hidden="1">
              <a:extLst>
                <a:ext uri="{63B3BB69-23CF-44E3-9099-C40C66FF867C}">
                  <a14:compatExt spid="_x0000_s32775"/>
                </a:ext>
                <a:ext uri="{FF2B5EF4-FFF2-40B4-BE49-F238E27FC236}">
                  <a16:creationId xmlns:a16="http://schemas.microsoft.com/office/drawing/2014/main" id="{00000000-0008-0000-0F00-000007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xdr:row>
          <xdr:rowOff>12700</xdr:rowOff>
        </xdr:from>
        <xdr:to>
          <xdr:col>5</xdr:col>
          <xdr:colOff>1409700</xdr:colOff>
          <xdr:row>4</xdr:row>
          <xdr:rowOff>330200</xdr:rowOff>
        </xdr:to>
        <xdr:sp macro="" textlink="">
          <xdr:nvSpPr>
            <xdr:cNvPr id="32784" name="Drop Down 16" hidden="1">
              <a:extLst>
                <a:ext uri="{63B3BB69-23CF-44E3-9099-C40C66FF867C}">
                  <a14:compatExt spid="_x0000_s32784"/>
                </a:ext>
                <a:ext uri="{FF2B5EF4-FFF2-40B4-BE49-F238E27FC236}">
                  <a16:creationId xmlns:a16="http://schemas.microsoft.com/office/drawing/2014/main" id="{00000000-0008-0000-0F00-000010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56</xdr:row>
          <xdr:rowOff>12700</xdr:rowOff>
        </xdr:from>
        <xdr:to>
          <xdr:col>10</xdr:col>
          <xdr:colOff>0</xdr:colOff>
          <xdr:row>57</xdr:row>
          <xdr:rowOff>12700</xdr:rowOff>
        </xdr:to>
        <xdr:sp macro="" textlink="">
          <xdr:nvSpPr>
            <xdr:cNvPr id="32789" name="Drop Down 21" hidden="1">
              <a:extLst>
                <a:ext uri="{63B3BB69-23CF-44E3-9099-C40C66FF867C}">
                  <a14:compatExt spid="_x0000_s32789"/>
                </a:ext>
                <a:ext uri="{FF2B5EF4-FFF2-40B4-BE49-F238E27FC236}">
                  <a16:creationId xmlns:a16="http://schemas.microsoft.com/office/drawing/2014/main" id="{00000000-0008-0000-0F00-000015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57</xdr:row>
          <xdr:rowOff>0</xdr:rowOff>
        </xdr:from>
        <xdr:to>
          <xdr:col>10</xdr:col>
          <xdr:colOff>0</xdr:colOff>
          <xdr:row>58</xdr:row>
          <xdr:rowOff>12700</xdr:rowOff>
        </xdr:to>
        <xdr:sp macro="" textlink="">
          <xdr:nvSpPr>
            <xdr:cNvPr id="32790" name="Drop Down 22" hidden="1">
              <a:extLst>
                <a:ext uri="{63B3BB69-23CF-44E3-9099-C40C66FF867C}">
                  <a14:compatExt spid="_x0000_s32790"/>
                </a:ext>
                <a:ext uri="{FF2B5EF4-FFF2-40B4-BE49-F238E27FC236}">
                  <a16:creationId xmlns:a16="http://schemas.microsoft.com/office/drawing/2014/main" id="{00000000-0008-0000-0F00-000016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58</xdr:row>
          <xdr:rowOff>12700</xdr:rowOff>
        </xdr:from>
        <xdr:to>
          <xdr:col>10</xdr:col>
          <xdr:colOff>0</xdr:colOff>
          <xdr:row>59</xdr:row>
          <xdr:rowOff>0</xdr:rowOff>
        </xdr:to>
        <xdr:sp macro="" textlink="">
          <xdr:nvSpPr>
            <xdr:cNvPr id="32791" name="Drop Down 23" hidden="1">
              <a:extLst>
                <a:ext uri="{63B3BB69-23CF-44E3-9099-C40C66FF867C}">
                  <a14:compatExt spid="_x0000_s32791"/>
                </a:ext>
                <a:ext uri="{FF2B5EF4-FFF2-40B4-BE49-F238E27FC236}">
                  <a16:creationId xmlns:a16="http://schemas.microsoft.com/office/drawing/2014/main" id="{00000000-0008-0000-0F00-000017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59</xdr:row>
          <xdr:rowOff>12700</xdr:rowOff>
        </xdr:from>
        <xdr:to>
          <xdr:col>10</xdr:col>
          <xdr:colOff>0</xdr:colOff>
          <xdr:row>60</xdr:row>
          <xdr:rowOff>12700</xdr:rowOff>
        </xdr:to>
        <xdr:sp macro="" textlink="">
          <xdr:nvSpPr>
            <xdr:cNvPr id="32792" name="Drop Down 24" hidden="1">
              <a:extLst>
                <a:ext uri="{63B3BB69-23CF-44E3-9099-C40C66FF867C}">
                  <a14:compatExt spid="_x0000_s32792"/>
                </a:ext>
                <a:ext uri="{FF2B5EF4-FFF2-40B4-BE49-F238E27FC236}">
                  <a16:creationId xmlns:a16="http://schemas.microsoft.com/office/drawing/2014/main" id="{00000000-0008-0000-0F00-000018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60</xdr:row>
          <xdr:rowOff>12700</xdr:rowOff>
        </xdr:from>
        <xdr:to>
          <xdr:col>9</xdr:col>
          <xdr:colOff>1143000</xdr:colOff>
          <xdr:row>61</xdr:row>
          <xdr:rowOff>0</xdr:rowOff>
        </xdr:to>
        <xdr:sp macro="" textlink="">
          <xdr:nvSpPr>
            <xdr:cNvPr id="32793" name="Drop Down 25" hidden="1">
              <a:extLst>
                <a:ext uri="{63B3BB69-23CF-44E3-9099-C40C66FF867C}">
                  <a14:compatExt spid="_x0000_s32793"/>
                </a:ext>
                <a:ext uri="{FF2B5EF4-FFF2-40B4-BE49-F238E27FC236}">
                  <a16:creationId xmlns:a16="http://schemas.microsoft.com/office/drawing/2014/main" id="{00000000-0008-0000-0F00-000019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61</xdr:row>
          <xdr:rowOff>0</xdr:rowOff>
        </xdr:from>
        <xdr:to>
          <xdr:col>10</xdr:col>
          <xdr:colOff>0</xdr:colOff>
          <xdr:row>62</xdr:row>
          <xdr:rowOff>12700</xdr:rowOff>
        </xdr:to>
        <xdr:sp macro="" textlink="">
          <xdr:nvSpPr>
            <xdr:cNvPr id="32794" name="Drop Down 26" hidden="1">
              <a:extLst>
                <a:ext uri="{63B3BB69-23CF-44E3-9099-C40C66FF867C}">
                  <a14:compatExt spid="_x0000_s32794"/>
                </a:ext>
                <a:ext uri="{FF2B5EF4-FFF2-40B4-BE49-F238E27FC236}">
                  <a16:creationId xmlns:a16="http://schemas.microsoft.com/office/drawing/2014/main" id="{00000000-0008-0000-0F00-00001A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xdr:row>
          <xdr:rowOff>0</xdr:rowOff>
        </xdr:from>
        <xdr:to>
          <xdr:col>6</xdr:col>
          <xdr:colOff>12700</xdr:colOff>
          <xdr:row>6</xdr:row>
          <xdr:rowOff>12700</xdr:rowOff>
        </xdr:to>
        <xdr:sp macro="" textlink="">
          <xdr:nvSpPr>
            <xdr:cNvPr id="32839" name="Drop Down 71" hidden="1">
              <a:extLst>
                <a:ext uri="{63B3BB69-23CF-44E3-9099-C40C66FF867C}">
                  <a14:compatExt spid="_x0000_s32839"/>
                </a:ext>
                <a:ext uri="{FF2B5EF4-FFF2-40B4-BE49-F238E27FC236}">
                  <a16:creationId xmlns:a16="http://schemas.microsoft.com/office/drawing/2014/main" id="{00000000-0008-0000-0F00-000047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24</xdr:row>
          <xdr:rowOff>12700</xdr:rowOff>
        </xdr:from>
        <xdr:to>
          <xdr:col>7</xdr:col>
          <xdr:colOff>266700</xdr:colOff>
          <xdr:row>25</xdr:row>
          <xdr:rowOff>12700</xdr:rowOff>
        </xdr:to>
        <xdr:sp macro="" textlink="">
          <xdr:nvSpPr>
            <xdr:cNvPr id="32846" name="Drop Down 78" hidden="1">
              <a:extLst>
                <a:ext uri="{63B3BB69-23CF-44E3-9099-C40C66FF867C}">
                  <a14:compatExt spid="_x0000_s32846"/>
                </a:ext>
                <a:ext uri="{FF2B5EF4-FFF2-40B4-BE49-F238E27FC236}">
                  <a16:creationId xmlns:a16="http://schemas.microsoft.com/office/drawing/2014/main" id="{00000000-0008-0000-0F00-00004E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22</xdr:row>
          <xdr:rowOff>12700</xdr:rowOff>
        </xdr:from>
        <xdr:to>
          <xdr:col>6</xdr:col>
          <xdr:colOff>0</xdr:colOff>
          <xdr:row>23</xdr:row>
          <xdr:rowOff>12700</xdr:rowOff>
        </xdr:to>
        <xdr:sp macro="" textlink="">
          <xdr:nvSpPr>
            <xdr:cNvPr id="32847" name="Drop Down 79" hidden="1">
              <a:extLst>
                <a:ext uri="{63B3BB69-23CF-44E3-9099-C40C66FF867C}">
                  <a14:compatExt spid="_x0000_s32847"/>
                </a:ext>
                <a:ext uri="{FF2B5EF4-FFF2-40B4-BE49-F238E27FC236}">
                  <a16:creationId xmlns:a16="http://schemas.microsoft.com/office/drawing/2014/main" id="{00000000-0008-0000-0F00-00004F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26</xdr:row>
          <xdr:rowOff>12700</xdr:rowOff>
        </xdr:from>
        <xdr:to>
          <xdr:col>6</xdr:col>
          <xdr:colOff>12700</xdr:colOff>
          <xdr:row>27</xdr:row>
          <xdr:rowOff>0</xdr:rowOff>
        </xdr:to>
        <xdr:sp macro="" textlink="">
          <xdr:nvSpPr>
            <xdr:cNvPr id="32848" name="Drop Down 80" hidden="1">
              <a:extLst>
                <a:ext uri="{63B3BB69-23CF-44E3-9099-C40C66FF867C}">
                  <a14:compatExt spid="_x0000_s32848"/>
                </a:ext>
                <a:ext uri="{FF2B5EF4-FFF2-40B4-BE49-F238E27FC236}">
                  <a16:creationId xmlns:a16="http://schemas.microsoft.com/office/drawing/2014/main" id="{00000000-0008-0000-0F00-000050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12700</xdr:rowOff>
        </xdr:from>
        <xdr:to>
          <xdr:col>6</xdr:col>
          <xdr:colOff>12700</xdr:colOff>
          <xdr:row>28</xdr:row>
          <xdr:rowOff>12700</xdr:rowOff>
        </xdr:to>
        <xdr:sp macro="" textlink="">
          <xdr:nvSpPr>
            <xdr:cNvPr id="32849" name="Drop Down 81" hidden="1">
              <a:extLst>
                <a:ext uri="{63B3BB69-23CF-44E3-9099-C40C66FF867C}">
                  <a14:compatExt spid="_x0000_s32849"/>
                </a:ext>
                <a:ext uri="{FF2B5EF4-FFF2-40B4-BE49-F238E27FC236}">
                  <a16:creationId xmlns:a16="http://schemas.microsoft.com/office/drawing/2014/main" id="{00000000-0008-0000-0F00-00005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56</xdr:row>
          <xdr:rowOff>12700</xdr:rowOff>
        </xdr:from>
        <xdr:to>
          <xdr:col>7</xdr:col>
          <xdr:colOff>279400</xdr:colOff>
          <xdr:row>57</xdr:row>
          <xdr:rowOff>12700</xdr:rowOff>
        </xdr:to>
        <xdr:sp macro="" textlink="">
          <xdr:nvSpPr>
            <xdr:cNvPr id="32859" name="Drop Down 91" hidden="1">
              <a:extLst>
                <a:ext uri="{63B3BB69-23CF-44E3-9099-C40C66FF867C}">
                  <a14:compatExt spid="_x0000_s32859"/>
                </a:ext>
                <a:ext uri="{FF2B5EF4-FFF2-40B4-BE49-F238E27FC236}">
                  <a16:creationId xmlns:a16="http://schemas.microsoft.com/office/drawing/2014/main" id="{00000000-0008-0000-0F00-00005B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62</xdr:row>
          <xdr:rowOff>0</xdr:rowOff>
        </xdr:from>
        <xdr:to>
          <xdr:col>10</xdr:col>
          <xdr:colOff>0</xdr:colOff>
          <xdr:row>63</xdr:row>
          <xdr:rowOff>12700</xdr:rowOff>
        </xdr:to>
        <xdr:sp macro="" textlink="">
          <xdr:nvSpPr>
            <xdr:cNvPr id="32863" name="Drop Down 95" hidden="1">
              <a:extLst>
                <a:ext uri="{63B3BB69-23CF-44E3-9099-C40C66FF867C}">
                  <a14:compatExt spid="_x0000_s32863"/>
                </a:ext>
                <a:ext uri="{FF2B5EF4-FFF2-40B4-BE49-F238E27FC236}">
                  <a16:creationId xmlns:a16="http://schemas.microsoft.com/office/drawing/2014/main" id="{00000000-0008-0000-0F00-00005F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63</xdr:row>
          <xdr:rowOff>0</xdr:rowOff>
        </xdr:from>
        <xdr:to>
          <xdr:col>10</xdr:col>
          <xdr:colOff>0</xdr:colOff>
          <xdr:row>64</xdr:row>
          <xdr:rowOff>12700</xdr:rowOff>
        </xdr:to>
        <xdr:sp macro="" textlink="">
          <xdr:nvSpPr>
            <xdr:cNvPr id="32864" name="Drop Down 96" hidden="1">
              <a:extLst>
                <a:ext uri="{63B3BB69-23CF-44E3-9099-C40C66FF867C}">
                  <a14:compatExt spid="_x0000_s32864"/>
                </a:ext>
                <a:ext uri="{FF2B5EF4-FFF2-40B4-BE49-F238E27FC236}">
                  <a16:creationId xmlns:a16="http://schemas.microsoft.com/office/drawing/2014/main" id="{00000000-0008-0000-0F00-000060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64</xdr:row>
          <xdr:rowOff>12700</xdr:rowOff>
        </xdr:from>
        <xdr:to>
          <xdr:col>10</xdr:col>
          <xdr:colOff>0</xdr:colOff>
          <xdr:row>65</xdr:row>
          <xdr:rowOff>12700</xdr:rowOff>
        </xdr:to>
        <xdr:sp macro="" textlink="">
          <xdr:nvSpPr>
            <xdr:cNvPr id="32865" name="Drop Down 97" hidden="1">
              <a:extLst>
                <a:ext uri="{63B3BB69-23CF-44E3-9099-C40C66FF867C}">
                  <a14:compatExt spid="_x0000_s32865"/>
                </a:ext>
                <a:ext uri="{FF2B5EF4-FFF2-40B4-BE49-F238E27FC236}">
                  <a16:creationId xmlns:a16="http://schemas.microsoft.com/office/drawing/2014/main" id="{00000000-0008-0000-0F00-00006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65</xdr:row>
          <xdr:rowOff>0</xdr:rowOff>
        </xdr:from>
        <xdr:to>
          <xdr:col>10</xdr:col>
          <xdr:colOff>0</xdr:colOff>
          <xdr:row>66</xdr:row>
          <xdr:rowOff>12700</xdr:rowOff>
        </xdr:to>
        <xdr:sp macro="" textlink="">
          <xdr:nvSpPr>
            <xdr:cNvPr id="32866" name="Drop Down 98" hidden="1">
              <a:extLst>
                <a:ext uri="{63B3BB69-23CF-44E3-9099-C40C66FF867C}">
                  <a14:compatExt spid="_x0000_s32866"/>
                </a:ext>
                <a:ext uri="{FF2B5EF4-FFF2-40B4-BE49-F238E27FC236}">
                  <a16:creationId xmlns:a16="http://schemas.microsoft.com/office/drawing/2014/main" id="{00000000-0008-0000-0F00-00006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66</xdr:row>
          <xdr:rowOff>0</xdr:rowOff>
        </xdr:from>
        <xdr:to>
          <xdr:col>10</xdr:col>
          <xdr:colOff>0</xdr:colOff>
          <xdr:row>67</xdr:row>
          <xdr:rowOff>12700</xdr:rowOff>
        </xdr:to>
        <xdr:sp macro="" textlink="">
          <xdr:nvSpPr>
            <xdr:cNvPr id="32867" name="Drop Down 99" hidden="1">
              <a:extLst>
                <a:ext uri="{63B3BB69-23CF-44E3-9099-C40C66FF867C}">
                  <a14:compatExt spid="_x0000_s32867"/>
                </a:ext>
                <a:ext uri="{FF2B5EF4-FFF2-40B4-BE49-F238E27FC236}">
                  <a16:creationId xmlns:a16="http://schemas.microsoft.com/office/drawing/2014/main" id="{00000000-0008-0000-0F00-000063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67</xdr:row>
          <xdr:rowOff>0</xdr:rowOff>
        </xdr:from>
        <xdr:to>
          <xdr:col>10</xdr:col>
          <xdr:colOff>0</xdr:colOff>
          <xdr:row>68</xdr:row>
          <xdr:rowOff>12700</xdr:rowOff>
        </xdr:to>
        <xdr:sp macro="" textlink="">
          <xdr:nvSpPr>
            <xdr:cNvPr id="32868" name="Drop Down 100" hidden="1">
              <a:extLst>
                <a:ext uri="{63B3BB69-23CF-44E3-9099-C40C66FF867C}">
                  <a14:compatExt spid="_x0000_s32868"/>
                </a:ext>
                <a:ext uri="{FF2B5EF4-FFF2-40B4-BE49-F238E27FC236}">
                  <a16:creationId xmlns:a16="http://schemas.microsoft.com/office/drawing/2014/main" id="{00000000-0008-0000-0F00-000064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68</xdr:row>
          <xdr:rowOff>0</xdr:rowOff>
        </xdr:from>
        <xdr:to>
          <xdr:col>10</xdr:col>
          <xdr:colOff>0</xdr:colOff>
          <xdr:row>69</xdr:row>
          <xdr:rowOff>12700</xdr:rowOff>
        </xdr:to>
        <xdr:sp macro="" textlink="">
          <xdr:nvSpPr>
            <xdr:cNvPr id="32869" name="Drop Down 101" hidden="1">
              <a:extLst>
                <a:ext uri="{63B3BB69-23CF-44E3-9099-C40C66FF867C}">
                  <a14:compatExt spid="_x0000_s32869"/>
                </a:ext>
                <a:ext uri="{FF2B5EF4-FFF2-40B4-BE49-F238E27FC236}">
                  <a16:creationId xmlns:a16="http://schemas.microsoft.com/office/drawing/2014/main" id="{00000000-0008-0000-0F00-000065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69</xdr:row>
          <xdr:rowOff>0</xdr:rowOff>
        </xdr:from>
        <xdr:to>
          <xdr:col>10</xdr:col>
          <xdr:colOff>0</xdr:colOff>
          <xdr:row>70</xdr:row>
          <xdr:rowOff>12700</xdr:rowOff>
        </xdr:to>
        <xdr:sp macro="" textlink="">
          <xdr:nvSpPr>
            <xdr:cNvPr id="32870" name="Drop Down 102" hidden="1">
              <a:extLst>
                <a:ext uri="{63B3BB69-23CF-44E3-9099-C40C66FF867C}">
                  <a14:compatExt spid="_x0000_s32870"/>
                </a:ext>
                <a:ext uri="{FF2B5EF4-FFF2-40B4-BE49-F238E27FC236}">
                  <a16:creationId xmlns:a16="http://schemas.microsoft.com/office/drawing/2014/main" id="{00000000-0008-0000-0F00-000066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70</xdr:row>
          <xdr:rowOff>0</xdr:rowOff>
        </xdr:from>
        <xdr:to>
          <xdr:col>10</xdr:col>
          <xdr:colOff>0</xdr:colOff>
          <xdr:row>71</xdr:row>
          <xdr:rowOff>12700</xdr:rowOff>
        </xdr:to>
        <xdr:sp macro="" textlink="">
          <xdr:nvSpPr>
            <xdr:cNvPr id="32871" name="Drop Down 103" hidden="1">
              <a:extLst>
                <a:ext uri="{63B3BB69-23CF-44E3-9099-C40C66FF867C}">
                  <a14:compatExt spid="_x0000_s32871"/>
                </a:ext>
                <a:ext uri="{FF2B5EF4-FFF2-40B4-BE49-F238E27FC236}">
                  <a16:creationId xmlns:a16="http://schemas.microsoft.com/office/drawing/2014/main" id="{00000000-0008-0000-0F00-000067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71</xdr:row>
          <xdr:rowOff>0</xdr:rowOff>
        </xdr:from>
        <xdr:to>
          <xdr:col>10</xdr:col>
          <xdr:colOff>0</xdr:colOff>
          <xdr:row>72</xdr:row>
          <xdr:rowOff>12700</xdr:rowOff>
        </xdr:to>
        <xdr:sp macro="" textlink="">
          <xdr:nvSpPr>
            <xdr:cNvPr id="32872" name="Drop Down 104" hidden="1">
              <a:extLst>
                <a:ext uri="{63B3BB69-23CF-44E3-9099-C40C66FF867C}">
                  <a14:compatExt spid="_x0000_s32872"/>
                </a:ext>
                <a:ext uri="{FF2B5EF4-FFF2-40B4-BE49-F238E27FC236}">
                  <a16:creationId xmlns:a16="http://schemas.microsoft.com/office/drawing/2014/main" id="{00000000-0008-0000-0F00-000068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72</xdr:row>
          <xdr:rowOff>0</xdr:rowOff>
        </xdr:from>
        <xdr:to>
          <xdr:col>10</xdr:col>
          <xdr:colOff>0</xdr:colOff>
          <xdr:row>73</xdr:row>
          <xdr:rowOff>12700</xdr:rowOff>
        </xdr:to>
        <xdr:sp macro="" textlink="">
          <xdr:nvSpPr>
            <xdr:cNvPr id="32873" name="Drop Down 105" hidden="1">
              <a:extLst>
                <a:ext uri="{63B3BB69-23CF-44E3-9099-C40C66FF867C}">
                  <a14:compatExt spid="_x0000_s32873"/>
                </a:ext>
                <a:ext uri="{FF2B5EF4-FFF2-40B4-BE49-F238E27FC236}">
                  <a16:creationId xmlns:a16="http://schemas.microsoft.com/office/drawing/2014/main" id="{00000000-0008-0000-0F00-000069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73</xdr:row>
          <xdr:rowOff>0</xdr:rowOff>
        </xdr:from>
        <xdr:to>
          <xdr:col>10</xdr:col>
          <xdr:colOff>0</xdr:colOff>
          <xdr:row>74</xdr:row>
          <xdr:rowOff>12700</xdr:rowOff>
        </xdr:to>
        <xdr:sp macro="" textlink="">
          <xdr:nvSpPr>
            <xdr:cNvPr id="32874" name="Drop Down 106" hidden="1">
              <a:extLst>
                <a:ext uri="{63B3BB69-23CF-44E3-9099-C40C66FF867C}">
                  <a14:compatExt spid="_x0000_s32874"/>
                </a:ext>
                <a:ext uri="{FF2B5EF4-FFF2-40B4-BE49-F238E27FC236}">
                  <a16:creationId xmlns:a16="http://schemas.microsoft.com/office/drawing/2014/main" id="{00000000-0008-0000-0F00-00006A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74</xdr:row>
          <xdr:rowOff>0</xdr:rowOff>
        </xdr:from>
        <xdr:to>
          <xdr:col>10</xdr:col>
          <xdr:colOff>0</xdr:colOff>
          <xdr:row>75</xdr:row>
          <xdr:rowOff>12700</xdr:rowOff>
        </xdr:to>
        <xdr:sp macro="" textlink="">
          <xdr:nvSpPr>
            <xdr:cNvPr id="32875" name="Drop Down 107" hidden="1">
              <a:extLst>
                <a:ext uri="{63B3BB69-23CF-44E3-9099-C40C66FF867C}">
                  <a14:compatExt spid="_x0000_s32875"/>
                </a:ext>
                <a:ext uri="{FF2B5EF4-FFF2-40B4-BE49-F238E27FC236}">
                  <a16:creationId xmlns:a16="http://schemas.microsoft.com/office/drawing/2014/main" id="{00000000-0008-0000-0F00-00006B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75</xdr:row>
          <xdr:rowOff>0</xdr:rowOff>
        </xdr:from>
        <xdr:to>
          <xdr:col>10</xdr:col>
          <xdr:colOff>0</xdr:colOff>
          <xdr:row>76</xdr:row>
          <xdr:rowOff>12700</xdr:rowOff>
        </xdr:to>
        <xdr:sp macro="" textlink="">
          <xdr:nvSpPr>
            <xdr:cNvPr id="32876" name="Drop Down 108" hidden="1">
              <a:extLst>
                <a:ext uri="{63B3BB69-23CF-44E3-9099-C40C66FF867C}">
                  <a14:compatExt spid="_x0000_s32876"/>
                </a:ext>
                <a:ext uri="{FF2B5EF4-FFF2-40B4-BE49-F238E27FC236}">
                  <a16:creationId xmlns:a16="http://schemas.microsoft.com/office/drawing/2014/main" id="{00000000-0008-0000-0F00-00006C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7</xdr:row>
          <xdr:rowOff>12700</xdr:rowOff>
        </xdr:from>
        <xdr:to>
          <xdr:col>6</xdr:col>
          <xdr:colOff>0</xdr:colOff>
          <xdr:row>8</xdr:row>
          <xdr:rowOff>12700</xdr:rowOff>
        </xdr:to>
        <xdr:sp macro="" textlink="">
          <xdr:nvSpPr>
            <xdr:cNvPr id="57345" name="Drop Down 1" hidden="1">
              <a:extLst>
                <a:ext uri="{63B3BB69-23CF-44E3-9099-C40C66FF867C}">
                  <a14:compatExt spid="_x0000_s57345"/>
                </a:ext>
                <a:ext uri="{FF2B5EF4-FFF2-40B4-BE49-F238E27FC236}">
                  <a16:creationId xmlns:a16="http://schemas.microsoft.com/office/drawing/2014/main" id="{00000000-0008-0000-1000-000001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xdr:row>
          <xdr:rowOff>393700</xdr:rowOff>
        </xdr:from>
        <xdr:to>
          <xdr:col>6</xdr:col>
          <xdr:colOff>12700</xdr:colOff>
          <xdr:row>7</xdr:row>
          <xdr:rowOff>0</xdr:rowOff>
        </xdr:to>
        <xdr:sp macro="" textlink="">
          <xdr:nvSpPr>
            <xdr:cNvPr id="57346" name="Drop Down 2" hidden="1">
              <a:extLst>
                <a:ext uri="{63B3BB69-23CF-44E3-9099-C40C66FF867C}">
                  <a14:compatExt spid="_x0000_s57346"/>
                </a:ext>
                <a:ext uri="{FF2B5EF4-FFF2-40B4-BE49-F238E27FC236}">
                  <a16:creationId xmlns:a16="http://schemas.microsoft.com/office/drawing/2014/main" id="{00000000-0008-0000-1000-000002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25400</xdr:colOff>
          <xdr:row>10</xdr:row>
          <xdr:rowOff>12700</xdr:rowOff>
        </xdr:from>
        <xdr:to>
          <xdr:col>8</xdr:col>
          <xdr:colOff>114300</xdr:colOff>
          <xdr:row>11</xdr:row>
          <xdr:rowOff>0</xdr:rowOff>
        </xdr:to>
        <xdr:sp macro="" textlink="">
          <xdr:nvSpPr>
            <xdr:cNvPr id="57348" name="Drop Down 4" hidden="1">
              <a:extLst>
                <a:ext uri="{63B3BB69-23CF-44E3-9099-C40C66FF867C}">
                  <a14:compatExt spid="_x0000_s57348"/>
                </a:ext>
                <a:ext uri="{FF2B5EF4-FFF2-40B4-BE49-F238E27FC236}">
                  <a16:creationId xmlns:a16="http://schemas.microsoft.com/office/drawing/2014/main" id="{00000000-0008-0000-1000-000004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5</xdr:row>
          <xdr:rowOff>12700</xdr:rowOff>
        </xdr:from>
        <xdr:to>
          <xdr:col>6</xdr:col>
          <xdr:colOff>0</xdr:colOff>
          <xdr:row>6</xdr:row>
          <xdr:rowOff>0</xdr:rowOff>
        </xdr:to>
        <xdr:sp macro="" textlink="">
          <xdr:nvSpPr>
            <xdr:cNvPr id="57350" name="Drop Down 6" hidden="1">
              <a:extLst>
                <a:ext uri="{63B3BB69-23CF-44E3-9099-C40C66FF867C}">
                  <a14:compatExt spid="_x0000_s57350"/>
                </a:ext>
                <a:ext uri="{FF2B5EF4-FFF2-40B4-BE49-F238E27FC236}">
                  <a16:creationId xmlns:a16="http://schemas.microsoft.com/office/drawing/2014/main" id="{00000000-0008-0000-1000-000006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3</xdr:row>
          <xdr:rowOff>419100</xdr:rowOff>
        </xdr:from>
        <xdr:to>
          <xdr:col>6</xdr:col>
          <xdr:colOff>12700</xdr:colOff>
          <xdr:row>4</xdr:row>
          <xdr:rowOff>317500</xdr:rowOff>
        </xdr:to>
        <xdr:sp macro="" textlink="">
          <xdr:nvSpPr>
            <xdr:cNvPr id="127063" name="Drop Down 87" hidden="1">
              <a:extLst>
                <a:ext uri="{63B3BB69-23CF-44E3-9099-C40C66FF867C}">
                  <a14:compatExt spid="_x0000_s127063"/>
                </a:ext>
                <a:ext uri="{FF2B5EF4-FFF2-40B4-BE49-F238E27FC236}">
                  <a16:creationId xmlns:a16="http://schemas.microsoft.com/office/drawing/2014/main" id="{00000000-0008-0000-1100-000057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12700</xdr:rowOff>
        </xdr:from>
        <xdr:to>
          <xdr:col>6</xdr:col>
          <xdr:colOff>12700</xdr:colOff>
          <xdr:row>4</xdr:row>
          <xdr:rowOff>0</xdr:rowOff>
        </xdr:to>
        <xdr:sp macro="" textlink="">
          <xdr:nvSpPr>
            <xdr:cNvPr id="127064" name="Drop Down 88" hidden="1">
              <a:extLst>
                <a:ext uri="{63B3BB69-23CF-44E3-9099-C40C66FF867C}">
                  <a14:compatExt spid="_x0000_s127064"/>
                </a:ext>
                <a:ext uri="{FF2B5EF4-FFF2-40B4-BE49-F238E27FC236}">
                  <a16:creationId xmlns:a16="http://schemas.microsoft.com/office/drawing/2014/main" id="{00000000-0008-0000-1100-000058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xdr:row>
          <xdr:rowOff>12700</xdr:rowOff>
        </xdr:from>
        <xdr:to>
          <xdr:col>10</xdr:col>
          <xdr:colOff>0</xdr:colOff>
          <xdr:row>4</xdr:row>
          <xdr:rowOff>0</xdr:rowOff>
        </xdr:to>
        <xdr:sp macro="" textlink="">
          <xdr:nvSpPr>
            <xdr:cNvPr id="127106" name="Drop Down 130" hidden="1">
              <a:extLst>
                <a:ext uri="{63B3BB69-23CF-44E3-9099-C40C66FF867C}">
                  <a14:compatExt spid="_x0000_s127106"/>
                </a:ext>
                <a:ext uri="{FF2B5EF4-FFF2-40B4-BE49-F238E27FC236}">
                  <a16:creationId xmlns:a16="http://schemas.microsoft.com/office/drawing/2014/main" id="{00000000-0008-0000-1100-000082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xdr:row>
          <xdr:rowOff>12700</xdr:rowOff>
        </xdr:from>
        <xdr:to>
          <xdr:col>9</xdr:col>
          <xdr:colOff>2501900</xdr:colOff>
          <xdr:row>5</xdr:row>
          <xdr:rowOff>12700</xdr:rowOff>
        </xdr:to>
        <xdr:sp macro="" textlink="">
          <xdr:nvSpPr>
            <xdr:cNvPr id="127107" name="Drop Down 131" hidden="1">
              <a:extLst>
                <a:ext uri="{63B3BB69-23CF-44E3-9099-C40C66FF867C}">
                  <a14:compatExt spid="_x0000_s127107"/>
                </a:ext>
                <a:ext uri="{FF2B5EF4-FFF2-40B4-BE49-F238E27FC236}">
                  <a16:creationId xmlns:a16="http://schemas.microsoft.com/office/drawing/2014/main" id="{00000000-0008-0000-1100-00008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xdr:row>
          <xdr:rowOff>12700</xdr:rowOff>
        </xdr:from>
        <xdr:to>
          <xdr:col>9</xdr:col>
          <xdr:colOff>2489200</xdr:colOff>
          <xdr:row>5</xdr:row>
          <xdr:rowOff>622300</xdr:rowOff>
        </xdr:to>
        <xdr:sp macro="" textlink="">
          <xdr:nvSpPr>
            <xdr:cNvPr id="127108" name="Drop Down 132" hidden="1">
              <a:extLst>
                <a:ext uri="{63B3BB69-23CF-44E3-9099-C40C66FF867C}">
                  <a14:compatExt spid="_x0000_s127108"/>
                </a:ext>
                <a:ext uri="{FF2B5EF4-FFF2-40B4-BE49-F238E27FC236}">
                  <a16:creationId xmlns:a16="http://schemas.microsoft.com/office/drawing/2014/main" id="{00000000-0008-0000-1100-000084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12701</xdr:colOff>
          <xdr:row>7</xdr:row>
          <xdr:rowOff>12700</xdr:rowOff>
        </xdr:from>
        <xdr:to>
          <xdr:col>9</xdr:col>
          <xdr:colOff>2490613</xdr:colOff>
          <xdr:row>8</xdr:row>
          <xdr:rowOff>14111</xdr:rowOff>
        </xdr:to>
        <xdr:sp macro="" textlink="">
          <xdr:nvSpPr>
            <xdr:cNvPr id="127109" name="Drop Down 133" hidden="1">
              <a:extLst>
                <a:ext uri="{63B3BB69-23CF-44E3-9099-C40C66FF867C}">
                  <a14:compatExt spid="_x0000_s127109"/>
                </a:ext>
                <a:ext uri="{FF2B5EF4-FFF2-40B4-BE49-F238E27FC236}">
                  <a16:creationId xmlns:a16="http://schemas.microsoft.com/office/drawing/2014/main" id="{00000000-0008-0000-1100-000085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8</xdr:row>
          <xdr:rowOff>12700</xdr:rowOff>
        </xdr:from>
        <xdr:to>
          <xdr:col>10</xdr:col>
          <xdr:colOff>0</xdr:colOff>
          <xdr:row>9</xdr:row>
          <xdr:rowOff>0</xdr:rowOff>
        </xdr:to>
        <xdr:sp macro="" textlink="">
          <xdr:nvSpPr>
            <xdr:cNvPr id="127110" name="Drop Down 134" hidden="1">
              <a:extLst>
                <a:ext uri="{63B3BB69-23CF-44E3-9099-C40C66FF867C}">
                  <a14:compatExt spid="_x0000_s127110"/>
                </a:ext>
                <a:ext uri="{FF2B5EF4-FFF2-40B4-BE49-F238E27FC236}">
                  <a16:creationId xmlns:a16="http://schemas.microsoft.com/office/drawing/2014/main" id="{00000000-0008-0000-1100-000086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9</xdr:row>
          <xdr:rowOff>12700</xdr:rowOff>
        </xdr:from>
        <xdr:to>
          <xdr:col>9</xdr:col>
          <xdr:colOff>2501900</xdr:colOff>
          <xdr:row>10</xdr:row>
          <xdr:rowOff>12700</xdr:rowOff>
        </xdr:to>
        <xdr:sp macro="" textlink="">
          <xdr:nvSpPr>
            <xdr:cNvPr id="127111" name="Drop Down 135" hidden="1">
              <a:extLst>
                <a:ext uri="{63B3BB69-23CF-44E3-9099-C40C66FF867C}">
                  <a14:compatExt spid="_x0000_s127111"/>
                </a:ext>
                <a:ext uri="{FF2B5EF4-FFF2-40B4-BE49-F238E27FC236}">
                  <a16:creationId xmlns:a16="http://schemas.microsoft.com/office/drawing/2014/main" id="{00000000-0008-0000-1100-000087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10</xdr:row>
          <xdr:rowOff>12700</xdr:rowOff>
        </xdr:from>
        <xdr:to>
          <xdr:col>9</xdr:col>
          <xdr:colOff>2501900</xdr:colOff>
          <xdr:row>11</xdr:row>
          <xdr:rowOff>12700</xdr:rowOff>
        </xdr:to>
        <xdr:sp macro="" textlink="">
          <xdr:nvSpPr>
            <xdr:cNvPr id="127112" name="Drop Down 136" hidden="1">
              <a:extLst>
                <a:ext uri="{63B3BB69-23CF-44E3-9099-C40C66FF867C}">
                  <a14:compatExt spid="_x0000_s127112"/>
                </a:ext>
                <a:ext uri="{FF2B5EF4-FFF2-40B4-BE49-F238E27FC236}">
                  <a16:creationId xmlns:a16="http://schemas.microsoft.com/office/drawing/2014/main" id="{00000000-0008-0000-1100-000088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12700</xdr:rowOff>
        </xdr:from>
        <xdr:to>
          <xdr:col>10</xdr:col>
          <xdr:colOff>12700</xdr:colOff>
          <xdr:row>13</xdr:row>
          <xdr:rowOff>381000</xdr:rowOff>
        </xdr:to>
        <xdr:sp macro="" textlink="">
          <xdr:nvSpPr>
            <xdr:cNvPr id="127113" name="Drop Down 137" hidden="1">
              <a:extLst>
                <a:ext uri="{63B3BB69-23CF-44E3-9099-C40C66FF867C}">
                  <a14:compatExt spid="_x0000_s127113"/>
                </a:ext>
                <a:ext uri="{FF2B5EF4-FFF2-40B4-BE49-F238E27FC236}">
                  <a16:creationId xmlns:a16="http://schemas.microsoft.com/office/drawing/2014/main" id="{00000000-0008-0000-1100-000089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12</xdr:row>
          <xdr:rowOff>12700</xdr:rowOff>
        </xdr:from>
        <xdr:to>
          <xdr:col>10</xdr:col>
          <xdr:colOff>12700</xdr:colOff>
          <xdr:row>13</xdr:row>
          <xdr:rowOff>12700</xdr:rowOff>
        </xdr:to>
        <xdr:sp macro="" textlink="">
          <xdr:nvSpPr>
            <xdr:cNvPr id="127114" name="Drop Down 138" hidden="1">
              <a:extLst>
                <a:ext uri="{63B3BB69-23CF-44E3-9099-C40C66FF867C}">
                  <a14:compatExt spid="_x0000_s127114"/>
                </a:ext>
                <a:ext uri="{FF2B5EF4-FFF2-40B4-BE49-F238E27FC236}">
                  <a16:creationId xmlns:a16="http://schemas.microsoft.com/office/drawing/2014/main" id="{00000000-0008-0000-1100-00008A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11</xdr:row>
          <xdr:rowOff>12700</xdr:rowOff>
        </xdr:from>
        <xdr:to>
          <xdr:col>10</xdr:col>
          <xdr:colOff>25400</xdr:colOff>
          <xdr:row>12</xdr:row>
          <xdr:rowOff>12700</xdr:rowOff>
        </xdr:to>
        <xdr:sp macro="" textlink="">
          <xdr:nvSpPr>
            <xdr:cNvPr id="127115" name="Drop Down 139" hidden="1">
              <a:extLst>
                <a:ext uri="{63B3BB69-23CF-44E3-9099-C40C66FF867C}">
                  <a14:compatExt spid="_x0000_s127115"/>
                </a:ext>
                <a:ext uri="{FF2B5EF4-FFF2-40B4-BE49-F238E27FC236}">
                  <a16:creationId xmlns:a16="http://schemas.microsoft.com/office/drawing/2014/main" id="{00000000-0008-0000-1100-00008B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3</xdr:row>
          <xdr:rowOff>12700</xdr:rowOff>
        </xdr:from>
        <xdr:to>
          <xdr:col>20</xdr:col>
          <xdr:colOff>12700</xdr:colOff>
          <xdr:row>4</xdr:row>
          <xdr:rowOff>12700</xdr:rowOff>
        </xdr:to>
        <xdr:sp macro="" textlink="">
          <xdr:nvSpPr>
            <xdr:cNvPr id="127126" name="Drop Down 150" hidden="1">
              <a:extLst>
                <a:ext uri="{63B3BB69-23CF-44E3-9099-C40C66FF867C}">
                  <a14:compatExt spid="_x0000_s127126"/>
                </a:ext>
                <a:ext uri="{FF2B5EF4-FFF2-40B4-BE49-F238E27FC236}">
                  <a16:creationId xmlns:a16="http://schemas.microsoft.com/office/drawing/2014/main" id="{00000000-0008-0000-1100-000096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4</xdr:row>
          <xdr:rowOff>12700</xdr:rowOff>
        </xdr:from>
        <xdr:to>
          <xdr:col>20</xdr:col>
          <xdr:colOff>12700</xdr:colOff>
          <xdr:row>5</xdr:row>
          <xdr:rowOff>12700</xdr:rowOff>
        </xdr:to>
        <xdr:sp macro="" textlink="">
          <xdr:nvSpPr>
            <xdr:cNvPr id="127136" name="Drop Down 160" hidden="1">
              <a:extLst>
                <a:ext uri="{63B3BB69-23CF-44E3-9099-C40C66FF867C}">
                  <a14:compatExt spid="_x0000_s127136"/>
                </a:ext>
                <a:ext uri="{FF2B5EF4-FFF2-40B4-BE49-F238E27FC236}">
                  <a16:creationId xmlns:a16="http://schemas.microsoft.com/office/drawing/2014/main" id="{00000000-0008-0000-1100-0000A0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7</xdr:row>
          <xdr:rowOff>12700</xdr:rowOff>
        </xdr:from>
        <xdr:to>
          <xdr:col>20</xdr:col>
          <xdr:colOff>12700</xdr:colOff>
          <xdr:row>8</xdr:row>
          <xdr:rowOff>12700</xdr:rowOff>
        </xdr:to>
        <xdr:sp macro="" textlink="">
          <xdr:nvSpPr>
            <xdr:cNvPr id="127138" name="Drop Down 162" hidden="1">
              <a:extLst>
                <a:ext uri="{63B3BB69-23CF-44E3-9099-C40C66FF867C}">
                  <a14:compatExt spid="_x0000_s127138"/>
                </a:ext>
                <a:ext uri="{FF2B5EF4-FFF2-40B4-BE49-F238E27FC236}">
                  <a16:creationId xmlns:a16="http://schemas.microsoft.com/office/drawing/2014/main" id="{00000000-0008-0000-1100-0000A2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8</xdr:row>
          <xdr:rowOff>12700</xdr:rowOff>
        </xdr:from>
        <xdr:to>
          <xdr:col>20</xdr:col>
          <xdr:colOff>12700</xdr:colOff>
          <xdr:row>9</xdr:row>
          <xdr:rowOff>12700</xdr:rowOff>
        </xdr:to>
        <xdr:sp macro="" textlink="">
          <xdr:nvSpPr>
            <xdr:cNvPr id="127139" name="Drop Down 163" hidden="1">
              <a:extLst>
                <a:ext uri="{63B3BB69-23CF-44E3-9099-C40C66FF867C}">
                  <a14:compatExt spid="_x0000_s127139"/>
                </a:ext>
                <a:ext uri="{FF2B5EF4-FFF2-40B4-BE49-F238E27FC236}">
                  <a16:creationId xmlns:a16="http://schemas.microsoft.com/office/drawing/2014/main" id="{00000000-0008-0000-1100-0000A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9</xdr:row>
          <xdr:rowOff>12700</xdr:rowOff>
        </xdr:from>
        <xdr:to>
          <xdr:col>20</xdr:col>
          <xdr:colOff>12700</xdr:colOff>
          <xdr:row>10</xdr:row>
          <xdr:rowOff>12700</xdr:rowOff>
        </xdr:to>
        <xdr:sp macro="" textlink="">
          <xdr:nvSpPr>
            <xdr:cNvPr id="127140" name="Drop Down 164" hidden="1">
              <a:extLst>
                <a:ext uri="{63B3BB69-23CF-44E3-9099-C40C66FF867C}">
                  <a14:compatExt spid="_x0000_s127140"/>
                </a:ext>
                <a:ext uri="{FF2B5EF4-FFF2-40B4-BE49-F238E27FC236}">
                  <a16:creationId xmlns:a16="http://schemas.microsoft.com/office/drawing/2014/main" id="{00000000-0008-0000-1100-0000A4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10</xdr:row>
          <xdr:rowOff>25400</xdr:rowOff>
        </xdr:from>
        <xdr:to>
          <xdr:col>20</xdr:col>
          <xdr:colOff>12700</xdr:colOff>
          <xdr:row>11</xdr:row>
          <xdr:rowOff>12700</xdr:rowOff>
        </xdr:to>
        <xdr:sp macro="" textlink="">
          <xdr:nvSpPr>
            <xdr:cNvPr id="127141" name="Drop Down 165" hidden="1">
              <a:extLst>
                <a:ext uri="{63B3BB69-23CF-44E3-9099-C40C66FF867C}">
                  <a14:compatExt spid="_x0000_s127141"/>
                </a:ext>
                <a:ext uri="{FF2B5EF4-FFF2-40B4-BE49-F238E27FC236}">
                  <a16:creationId xmlns:a16="http://schemas.microsoft.com/office/drawing/2014/main" id="{00000000-0008-0000-1100-0000A5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11</xdr:row>
          <xdr:rowOff>12700</xdr:rowOff>
        </xdr:from>
        <xdr:to>
          <xdr:col>20</xdr:col>
          <xdr:colOff>12700</xdr:colOff>
          <xdr:row>12</xdr:row>
          <xdr:rowOff>0</xdr:rowOff>
        </xdr:to>
        <xdr:sp macro="" textlink="">
          <xdr:nvSpPr>
            <xdr:cNvPr id="127142" name="Drop Down 166" hidden="1">
              <a:extLst>
                <a:ext uri="{63B3BB69-23CF-44E3-9099-C40C66FF867C}">
                  <a14:compatExt spid="_x0000_s127142"/>
                </a:ext>
                <a:ext uri="{FF2B5EF4-FFF2-40B4-BE49-F238E27FC236}">
                  <a16:creationId xmlns:a16="http://schemas.microsoft.com/office/drawing/2014/main" id="{00000000-0008-0000-1100-0000A6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12</xdr:row>
          <xdr:rowOff>12700</xdr:rowOff>
        </xdr:from>
        <xdr:to>
          <xdr:col>20</xdr:col>
          <xdr:colOff>12700</xdr:colOff>
          <xdr:row>13</xdr:row>
          <xdr:rowOff>12700</xdr:rowOff>
        </xdr:to>
        <xdr:sp macro="" textlink="">
          <xdr:nvSpPr>
            <xdr:cNvPr id="127143" name="Drop Down 167" hidden="1">
              <a:extLst>
                <a:ext uri="{63B3BB69-23CF-44E3-9099-C40C66FF867C}">
                  <a14:compatExt spid="_x0000_s127143"/>
                </a:ext>
                <a:ext uri="{FF2B5EF4-FFF2-40B4-BE49-F238E27FC236}">
                  <a16:creationId xmlns:a16="http://schemas.microsoft.com/office/drawing/2014/main" id="{00000000-0008-0000-1100-0000A7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13</xdr:row>
          <xdr:rowOff>12700</xdr:rowOff>
        </xdr:from>
        <xdr:to>
          <xdr:col>20</xdr:col>
          <xdr:colOff>12700</xdr:colOff>
          <xdr:row>14</xdr:row>
          <xdr:rowOff>0</xdr:rowOff>
        </xdr:to>
        <xdr:sp macro="" textlink="">
          <xdr:nvSpPr>
            <xdr:cNvPr id="127144" name="Drop Down 168" hidden="1">
              <a:extLst>
                <a:ext uri="{63B3BB69-23CF-44E3-9099-C40C66FF867C}">
                  <a14:compatExt spid="_x0000_s127144"/>
                </a:ext>
                <a:ext uri="{FF2B5EF4-FFF2-40B4-BE49-F238E27FC236}">
                  <a16:creationId xmlns:a16="http://schemas.microsoft.com/office/drawing/2014/main" id="{00000000-0008-0000-1100-0000A8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xdr:row>
          <xdr:rowOff>12700</xdr:rowOff>
        </xdr:from>
        <xdr:to>
          <xdr:col>6</xdr:col>
          <xdr:colOff>12700</xdr:colOff>
          <xdr:row>12</xdr:row>
          <xdr:rowOff>0</xdr:rowOff>
        </xdr:to>
        <xdr:sp macro="" textlink="">
          <xdr:nvSpPr>
            <xdr:cNvPr id="127145" name="Drop Down 169" hidden="1">
              <a:extLst>
                <a:ext uri="{63B3BB69-23CF-44E3-9099-C40C66FF867C}">
                  <a14:compatExt spid="_x0000_s127145"/>
                </a:ext>
                <a:ext uri="{FF2B5EF4-FFF2-40B4-BE49-F238E27FC236}">
                  <a16:creationId xmlns:a16="http://schemas.microsoft.com/office/drawing/2014/main" id="{00000000-0008-0000-1100-0000A9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13</xdr:row>
          <xdr:rowOff>0</xdr:rowOff>
        </xdr:from>
        <xdr:to>
          <xdr:col>6</xdr:col>
          <xdr:colOff>12700</xdr:colOff>
          <xdr:row>14</xdr:row>
          <xdr:rowOff>0</xdr:rowOff>
        </xdr:to>
        <xdr:sp macro="" textlink="">
          <xdr:nvSpPr>
            <xdr:cNvPr id="127146" name="Drop Down 170" hidden="1">
              <a:extLst>
                <a:ext uri="{63B3BB69-23CF-44E3-9099-C40C66FF867C}">
                  <a14:compatExt spid="_x0000_s127146"/>
                </a:ext>
                <a:ext uri="{FF2B5EF4-FFF2-40B4-BE49-F238E27FC236}">
                  <a16:creationId xmlns:a16="http://schemas.microsoft.com/office/drawing/2014/main" id="{00000000-0008-0000-1100-0000AA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xdr:row>
          <xdr:rowOff>12700</xdr:rowOff>
        </xdr:from>
        <xdr:to>
          <xdr:col>9</xdr:col>
          <xdr:colOff>2489200</xdr:colOff>
          <xdr:row>7</xdr:row>
          <xdr:rowOff>12700</xdr:rowOff>
        </xdr:to>
        <xdr:sp macro="" textlink="">
          <xdr:nvSpPr>
            <xdr:cNvPr id="127153" name="Drop Down 177" hidden="1">
              <a:extLst>
                <a:ext uri="{63B3BB69-23CF-44E3-9099-C40C66FF867C}">
                  <a14:compatExt spid="_x0000_s127153"/>
                </a:ext>
                <a:ext uri="{FF2B5EF4-FFF2-40B4-BE49-F238E27FC236}">
                  <a16:creationId xmlns:a16="http://schemas.microsoft.com/office/drawing/2014/main" id="{00000000-0008-0000-1100-0000B1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6</xdr:row>
          <xdr:rowOff>12700</xdr:rowOff>
        </xdr:from>
        <xdr:to>
          <xdr:col>20</xdr:col>
          <xdr:colOff>12700</xdr:colOff>
          <xdr:row>7</xdr:row>
          <xdr:rowOff>12700</xdr:rowOff>
        </xdr:to>
        <xdr:sp macro="" textlink="">
          <xdr:nvSpPr>
            <xdr:cNvPr id="127154" name="Drop Down 178" hidden="1">
              <a:extLst>
                <a:ext uri="{63B3BB69-23CF-44E3-9099-C40C66FF867C}">
                  <a14:compatExt spid="_x0000_s127154"/>
                </a:ext>
                <a:ext uri="{FF2B5EF4-FFF2-40B4-BE49-F238E27FC236}">
                  <a16:creationId xmlns:a16="http://schemas.microsoft.com/office/drawing/2014/main" id="{00000000-0008-0000-1100-0000B2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5</xdr:row>
          <xdr:rowOff>12700</xdr:rowOff>
        </xdr:from>
        <xdr:to>
          <xdr:col>20</xdr:col>
          <xdr:colOff>12700</xdr:colOff>
          <xdr:row>5</xdr:row>
          <xdr:rowOff>660400</xdr:rowOff>
        </xdr:to>
        <xdr:sp macro="" textlink="">
          <xdr:nvSpPr>
            <xdr:cNvPr id="127155" name="Drop Down 179" hidden="1">
              <a:extLst>
                <a:ext uri="{63B3BB69-23CF-44E3-9099-C40C66FF867C}">
                  <a14:compatExt spid="_x0000_s127155"/>
                </a:ext>
                <a:ext uri="{FF2B5EF4-FFF2-40B4-BE49-F238E27FC236}">
                  <a16:creationId xmlns:a16="http://schemas.microsoft.com/office/drawing/2014/main" id="{00000000-0008-0000-1100-0000B3F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17</xdr:row>
          <xdr:rowOff>12700</xdr:rowOff>
        </xdr:from>
        <xdr:to>
          <xdr:col>6</xdr:col>
          <xdr:colOff>0</xdr:colOff>
          <xdr:row>18</xdr:row>
          <xdr:rowOff>0</xdr:rowOff>
        </xdr:to>
        <xdr:sp macro="" textlink="">
          <xdr:nvSpPr>
            <xdr:cNvPr id="118787" name="Drop Down 3" hidden="1">
              <a:extLst>
                <a:ext uri="{63B3BB69-23CF-44E3-9099-C40C66FF867C}">
                  <a14:compatExt spid="_x0000_s118787"/>
                </a:ext>
                <a:ext uri="{FF2B5EF4-FFF2-40B4-BE49-F238E27FC236}">
                  <a16:creationId xmlns:a16="http://schemas.microsoft.com/office/drawing/2014/main" id="{00000000-0008-0000-1200-00000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44</xdr:row>
          <xdr:rowOff>0</xdr:rowOff>
        </xdr:from>
        <xdr:to>
          <xdr:col>3</xdr:col>
          <xdr:colOff>12700</xdr:colOff>
          <xdr:row>45</xdr:row>
          <xdr:rowOff>0</xdr:rowOff>
        </xdr:to>
        <xdr:sp macro="" textlink="">
          <xdr:nvSpPr>
            <xdr:cNvPr id="118871" name="Drop Down 87" hidden="1">
              <a:extLst>
                <a:ext uri="{63B3BB69-23CF-44E3-9099-C40C66FF867C}">
                  <a14:compatExt spid="_x0000_s118871"/>
                </a:ext>
                <a:ext uri="{FF2B5EF4-FFF2-40B4-BE49-F238E27FC236}">
                  <a16:creationId xmlns:a16="http://schemas.microsoft.com/office/drawing/2014/main" id="{00000000-0008-0000-1200-000057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45</xdr:row>
          <xdr:rowOff>12700</xdr:rowOff>
        </xdr:from>
        <xdr:to>
          <xdr:col>3</xdr:col>
          <xdr:colOff>12700</xdr:colOff>
          <xdr:row>46</xdr:row>
          <xdr:rowOff>0</xdr:rowOff>
        </xdr:to>
        <xdr:sp macro="" textlink="">
          <xdr:nvSpPr>
            <xdr:cNvPr id="118872" name="Drop Down 88" hidden="1">
              <a:extLst>
                <a:ext uri="{63B3BB69-23CF-44E3-9099-C40C66FF867C}">
                  <a14:compatExt spid="_x0000_s118872"/>
                </a:ext>
                <a:ext uri="{FF2B5EF4-FFF2-40B4-BE49-F238E27FC236}">
                  <a16:creationId xmlns:a16="http://schemas.microsoft.com/office/drawing/2014/main" id="{00000000-0008-0000-1200-000058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46</xdr:row>
          <xdr:rowOff>12700</xdr:rowOff>
        </xdr:from>
        <xdr:to>
          <xdr:col>3</xdr:col>
          <xdr:colOff>12700</xdr:colOff>
          <xdr:row>47</xdr:row>
          <xdr:rowOff>12700</xdr:rowOff>
        </xdr:to>
        <xdr:sp macro="" textlink="">
          <xdr:nvSpPr>
            <xdr:cNvPr id="118874" name="Drop Down 90" hidden="1">
              <a:extLst>
                <a:ext uri="{63B3BB69-23CF-44E3-9099-C40C66FF867C}">
                  <a14:compatExt spid="_x0000_s118874"/>
                </a:ext>
                <a:ext uri="{FF2B5EF4-FFF2-40B4-BE49-F238E27FC236}">
                  <a16:creationId xmlns:a16="http://schemas.microsoft.com/office/drawing/2014/main" id="{00000000-0008-0000-1200-00005A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47</xdr:row>
          <xdr:rowOff>12700</xdr:rowOff>
        </xdr:from>
        <xdr:to>
          <xdr:col>3</xdr:col>
          <xdr:colOff>12700</xdr:colOff>
          <xdr:row>47</xdr:row>
          <xdr:rowOff>279400</xdr:rowOff>
        </xdr:to>
        <xdr:sp macro="" textlink="">
          <xdr:nvSpPr>
            <xdr:cNvPr id="118875" name="Drop Down 91" hidden="1">
              <a:extLst>
                <a:ext uri="{63B3BB69-23CF-44E3-9099-C40C66FF867C}">
                  <a14:compatExt spid="_x0000_s118875"/>
                </a:ext>
                <a:ext uri="{FF2B5EF4-FFF2-40B4-BE49-F238E27FC236}">
                  <a16:creationId xmlns:a16="http://schemas.microsoft.com/office/drawing/2014/main" id="{00000000-0008-0000-1200-00005B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47</xdr:row>
          <xdr:rowOff>279400</xdr:rowOff>
        </xdr:from>
        <xdr:to>
          <xdr:col>3</xdr:col>
          <xdr:colOff>12700</xdr:colOff>
          <xdr:row>49</xdr:row>
          <xdr:rowOff>12700</xdr:rowOff>
        </xdr:to>
        <xdr:sp macro="" textlink="">
          <xdr:nvSpPr>
            <xdr:cNvPr id="118876" name="Drop Down 92" hidden="1">
              <a:extLst>
                <a:ext uri="{63B3BB69-23CF-44E3-9099-C40C66FF867C}">
                  <a14:compatExt spid="_x0000_s118876"/>
                </a:ext>
                <a:ext uri="{FF2B5EF4-FFF2-40B4-BE49-F238E27FC236}">
                  <a16:creationId xmlns:a16="http://schemas.microsoft.com/office/drawing/2014/main" id="{00000000-0008-0000-1200-00005C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12700</xdr:rowOff>
        </xdr:from>
        <xdr:to>
          <xdr:col>3</xdr:col>
          <xdr:colOff>12700</xdr:colOff>
          <xdr:row>50</xdr:row>
          <xdr:rowOff>12700</xdr:rowOff>
        </xdr:to>
        <xdr:sp macro="" textlink="">
          <xdr:nvSpPr>
            <xdr:cNvPr id="118877" name="Drop Down 93" hidden="1">
              <a:extLst>
                <a:ext uri="{63B3BB69-23CF-44E3-9099-C40C66FF867C}">
                  <a14:compatExt spid="_x0000_s118877"/>
                </a:ext>
                <a:ext uri="{FF2B5EF4-FFF2-40B4-BE49-F238E27FC236}">
                  <a16:creationId xmlns:a16="http://schemas.microsoft.com/office/drawing/2014/main" id="{00000000-0008-0000-1200-00005D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51</xdr:row>
          <xdr:rowOff>12700</xdr:rowOff>
        </xdr:from>
        <xdr:to>
          <xdr:col>3</xdr:col>
          <xdr:colOff>12700</xdr:colOff>
          <xdr:row>52</xdr:row>
          <xdr:rowOff>0</xdr:rowOff>
        </xdr:to>
        <xdr:sp macro="" textlink="">
          <xdr:nvSpPr>
            <xdr:cNvPr id="118881" name="Drop Down 97" hidden="1">
              <a:extLst>
                <a:ext uri="{63B3BB69-23CF-44E3-9099-C40C66FF867C}">
                  <a14:compatExt spid="_x0000_s118881"/>
                </a:ext>
                <a:ext uri="{FF2B5EF4-FFF2-40B4-BE49-F238E27FC236}">
                  <a16:creationId xmlns:a16="http://schemas.microsoft.com/office/drawing/2014/main" id="{00000000-0008-0000-1200-000061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51</xdr:row>
          <xdr:rowOff>304800</xdr:rowOff>
        </xdr:from>
        <xdr:to>
          <xdr:col>3</xdr:col>
          <xdr:colOff>12700</xdr:colOff>
          <xdr:row>53</xdr:row>
          <xdr:rowOff>0</xdr:rowOff>
        </xdr:to>
        <xdr:sp macro="" textlink="">
          <xdr:nvSpPr>
            <xdr:cNvPr id="118882" name="Drop Down 98" hidden="1">
              <a:extLst>
                <a:ext uri="{63B3BB69-23CF-44E3-9099-C40C66FF867C}">
                  <a14:compatExt spid="_x0000_s118882"/>
                </a:ext>
                <a:ext uri="{FF2B5EF4-FFF2-40B4-BE49-F238E27FC236}">
                  <a16:creationId xmlns:a16="http://schemas.microsoft.com/office/drawing/2014/main" id="{00000000-0008-0000-1200-000062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53</xdr:row>
          <xdr:rowOff>12700</xdr:rowOff>
        </xdr:from>
        <xdr:to>
          <xdr:col>3</xdr:col>
          <xdr:colOff>12700</xdr:colOff>
          <xdr:row>54</xdr:row>
          <xdr:rowOff>12700</xdr:rowOff>
        </xdr:to>
        <xdr:sp macro="" textlink="">
          <xdr:nvSpPr>
            <xdr:cNvPr id="118883" name="Drop Down 99" hidden="1">
              <a:extLst>
                <a:ext uri="{63B3BB69-23CF-44E3-9099-C40C66FF867C}">
                  <a14:compatExt spid="_x0000_s118883"/>
                </a:ext>
                <a:ext uri="{FF2B5EF4-FFF2-40B4-BE49-F238E27FC236}">
                  <a16:creationId xmlns:a16="http://schemas.microsoft.com/office/drawing/2014/main" id="{00000000-0008-0000-1200-00006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54</xdr:row>
          <xdr:rowOff>0</xdr:rowOff>
        </xdr:from>
        <xdr:to>
          <xdr:col>3</xdr:col>
          <xdr:colOff>12700</xdr:colOff>
          <xdr:row>55</xdr:row>
          <xdr:rowOff>0</xdr:rowOff>
        </xdr:to>
        <xdr:sp macro="" textlink="">
          <xdr:nvSpPr>
            <xdr:cNvPr id="118884" name="Drop Down 100" hidden="1">
              <a:extLst>
                <a:ext uri="{63B3BB69-23CF-44E3-9099-C40C66FF867C}">
                  <a14:compatExt spid="_x0000_s118884"/>
                </a:ext>
                <a:ext uri="{FF2B5EF4-FFF2-40B4-BE49-F238E27FC236}">
                  <a16:creationId xmlns:a16="http://schemas.microsoft.com/office/drawing/2014/main" id="{00000000-0008-0000-1200-000064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55</xdr:row>
          <xdr:rowOff>0</xdr:rowOff>
        </xdr:from>
        <xdr:to>
          <xdr:col>3</xdr:col>
          <xdr:colOff>0</xdr:colOff>
          <xdr:row>56</xdr:row>
          <xdr:rowOff>0</xdr:rowOff>
        </xdr:to>
        <xdr:sp macro="" textlink="">
          <xdr:nvSpPr>
            <xdr:cNvPr id="118885" name="Drop Down 101" hidden="1">
              <a:extLst>
                <a:ext uri="{63B3BB69-23CF-44E3-9099-C40C66FF867C}">
                  <a14:compatExt spid="_x0000_s118885"/>
                </a:ext>
                <a:ext uri="{FF2B5EF4-FFF2-40B4-BE49-F238E27FC236}">
                  <a16:creationId xmlns:a16="http://schemas.microsoft.com/office/drawing/2014/main" id="{00000000-0008-0000-1200-00006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56</xdr:row>
          <xdr:rowOff>0</xdr:rowOff>
        </xdr:from>
        <xdr:to>
          <xdr:col>3</xdr:col>
          <xdr:colOff>12700</xdr:colOff>
          <xdr:row>57</xdr:row>
          <xdr:rowOff>12700</xdr:rowOff>
        </xdr:to>
        <xdr:sp macro="" textlink="">
          <xdr:nvSpPr>
            <xdr:cNvPr id="118886" name="Drop Down 102" hidden="1">
              <a:extLst>
                <a:ext uri="{63B3BB69-23CF-44E3-9099-C40C66FF867C}">
                  <a14:compatExt spid="_x0000_s118886"/>
                </a:ext>
                <a:ext uri="{FF2B5EF4-FFF2-40B4-BE49-F238E27FC236}">
                  <a16:creationId xmlns:a16="http://schemas.microsoft.com/office/drawing/2014/main" id="{00000000-0008-0000-1200-000066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57</xdr:row>
          <xdr:rowOff>0</xdr:rowOff>
        </xdr:from>
        <xdr:to>
          <xdr:col>3</xdr:col>
          <xdr:colOff>12700</xdr:colOff>
          <xdr:row>58</xdr:row>
          <xdr:rowOff>12700</xdr:rowOff>
        </xdr:to>
        <xdr:sp macro="" textlink="">
          <xdr:nvSpPr>
            <xdr:cNvPr id="118887" name="Drop Down 103" hidden="1">
              <a:extLst>
                <a:ext uri="{63B3BB69-23CF-44E3-9099-C40C66FF867C}">
                  <a14:compatExt spid="_x0000_s118887"/>
                </a:ext>
                <a:ext uri="{FF2B5EF4-FFF2-40B4-BE49-F238E27FC236}">
                  <a16:creationId xmlns:a16="http://schemas.microsoft.com/office/drawing/2014/main" id="{00000000-0008-0000-1200-000067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58</xdr:row>
          <xdr:rowOff>12700</xdr:rowOff>
        </xdr:from>
        <xdr:to>
          <xdr:col>3</xdr:col>
          <xdr:colOff>0</xdr:colOff>
          <xdr:row>59</xdr:row>
          <xdr:rowOff>0</xdr:rowOff>
        </xdr:to>
        <xdr:sp macro="" textlink="">
          <xdr:nvSpPr>
            <xdr:cNvPr id="118888" name="Drop Down 104" hidden="1">
              <a:extLst>
                <a:ext uri="{63B3BB69-23CF-44E3-9099-C40C66FF867C}">
                  <a14:compatExt spid="_x0000_s118888"/>
                </a:ext>
                <a:ext uri="{FF2B5EF4-FFF2-40B4-BE49-F238E27FC236}">
                  <a16:creationId xmlns:a16="http://schemas.microsoft.com/office/drawing/2014/main" id="{00000000-0008-0000-1200-000068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59</xdr:row>
          <xdr:rowOff>0</xdr:rowOff>
        </xdr:from>
        <xdr:to>
          <xdr:col>2</xdr:col>
          <xdr:colOff>6337300</xdr:colOff>
          <xdr:row>60</xdr:row>
          <xdr:rowOff>0</xdr:rowOff>
        </xdr:to>
        <xdr:sp macro="" textlink="">
          <xdr:nvSpPr>
            <xdr:cNvPr id="118889" name="Drop Down 105" hidden="1">
              <a:extLst>
                <a:ext uri="{63B3BB69-23CF-44E3-9099-C40C66FF867C}">
                  <a14:compatExt spid="_x0000_s118889"/>
                </a:ext>
                <a:ext uri="{FF2B5EF4-FFF2-40B4-BE49-F238E27FC236}">
                  <a16:creationId xmlns:a16="http://schemas.microsoft.com/office/drawing/2014/main" id="{00000000-0008-0000-1200-000069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60</xdr:row>
          <xdr:rowOff>0</xdr:rowOff>
        </xdr:from>
        <xdr:to>
          <xdr:col>3</xdr:col>
          <xdr:colOff>12700</xdr:colOff>
          <xdr:row>61</xdr:row>
          <xdr:rowOff>0</xdr:rowOff>
        </xdr:to>
        <xdr:sp macro="" textlink="">
          <xdr:nvSpPr>
            <xdr:cNvPr id="118890" name="Drop Down 106" hidden="1">
              <a:extLst>
                <a:ext uri="{63B3BB69-23CF-44E3-9099-C40C66FF867C}">
                  <a14:compatExt spid="_x0000_s118890"/>
                </a:ext>
                <a:ext uri="{FF2B5EF4-FFF2-40B4-BE49-F238E27FC236}">
                  <a16:creationId xmlns:a16="http://schemas.microsoft.com/office/drawing/2014/main" id="{00000000-0008-0000-1200-00006A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60</xdr:row>
          <xdr:rowOff>304800</xdr:rowOff>
        </xdr:from>
        <xdr:to>
          <xdr:col>2</xdr:col>
          <xdr:colOff>6337300</xdr:colOff>
          <xdr:row>62</xdr:row>
          <xdr:rowOff>12700</xdr:rowOff>
        </xdr:to>
        <xdr:sp macro="" textlink="">
          <xdr:nvSpPr>
            <xdr:cNvPr id="118891" name="Drop Down 107" hidden="1">
              <a:extLst>
                <a:ext uri="{63B3BB69-23CF-44E3-9099-C40C66FF867C}">
                  <a14:compatExt spid="_x0000_s118891"/>
                </a:ext>
                <a:ext uri="{FF2B5EF4-FFF2-40B4-BE49-F238E27FC236}">
                  <a16:creationId xmlns:a16="http://schemas.microsoft.com/office/drawing/2014/main" id="{00000000-0008-0000-1200-00006B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44</xdr:row>
          <xdr:rowOff>0</xdr:rowOff>
        </xdr:from>
        <xdr:to>
          <xdr:col>2</xdr:col>
          <xdr:colOff>12700</xdr:colOff>
          <xdr:row>45</xdr:row>
          <xdr:rowOff>0</xdr:rowOff>
        </xdr:to>
        <xdr:sp macro="" textlink="">
          <xdr:nvSpPr>
            <xdr:cNvPr id="118892" name="Drop Down 108" hidden="1">
              <a:extLst>
                <a:ext uri="{63B3BB69-23CF-44E3-9099-C40C66FF867C}">
                  <a14:compatExt spid="_x0000_s118892"/>
                </a:ext>
                <a:ext uri="{FF2B5EF4-FFF2-40B4-BE49-F238E27FC236}">
                  <a16:creationId xmlns:a16="http://schemas.microsoft.com/office/drawing/2014/main" id="{00000000-0008-0000-1200-00006C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45</xdr:row>
          <xdr:rowOff>0</xdr:rowOff>
        </xdr:from>
        <xdr:to>
          <xdr:col>2</xdr:col>
          <xdr:colOff>12700</xdr:colOff>
          <xdr:row>46</xdr:row>
          <xdr:rowOff>0</xdr:rowOff>
        </xdr:to>
        <xdr:sp macro="" textlink="">
          <xdr:nvSpPr>
            <xdr:cNvPr id="118893" name="Drop Down 109" hidden="1">
              <a:extLst>
                <a:ext uri="{63B3BB69-23CF-44E3-9099-C40C66FF867C}">
                  <a14:compatExt spid="_x0000_s118893"/>
                </a:ext>
                <a:ext uri="{FF2B5EF4-FFF2-40B4-BE49-F238E27FC236}">
                  <a16:creationId xmlns:a16="http://schemas.microsoft.com/office/drawing/2014/main" id="{00000000-0008-0000-1200-00006D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46</xdr:row>
          <xdr:rowOff>0</xdr:rowOff>
        </xdr:from>
        <xdr:to>
          <xdr:col>2</xdr:col>
          <xdr:colOff>12700</xdr:colOff>
          <xdr:row>47</xdr:row>
          <xdr:rowOff>0</xdr:rowOff>
        </xdr:to>
        <xdr:sp macro="" textlink="">
          <xdr:nvSpPr>
            <xdr:cNvPr id="118894" name="Drop Down 110" hidden="1">
              <a:extLst>
                <a:ext uri="{63B3BB69-23CF-44E3-9099-C40C66FF867C}">
                  <a14:compatExt spid="_x0000_s118894"/>
                </a:ext>
                <a:ext uri="{FF2B5EF4-FFF2-40B4-BE49-F238E27FC236}">
                  <a16:creationId xmlns:a16="http://schemas.microsoft.com/office/drawing/2014/main" id="{00000000-0008-0000-1200-00006E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47</xdr:row>
          <xdr:rowOff>0</xdr:rowOff>
        </xdr:from>
        <xdr:to>
          <xdr:col>2</xdr:col>
          <xdr:colOff>12700</xdr:colOff>
          <xdr:row>48</xdr:row>
          <xdr:rowOff>0</xdr:rowOff>
        </xdr:to>
        <xdr:sp macro="" textlink="">
          <xdr:nvSpPr>
            <xdr:cNvPr id="118895" name="Drop Down 111" hidden="1">
              <a:extLst>
                <a:ext uri="{63B3BB69-23CF-44E3-9099-C40C66FF867C}">
                  <a14:compatExt spid="_x0000_s118895"/>
                </a:ext>
                <a:ext uri="{FF2B5EF4-FFF2-40B4-BE49-F238E27FC236}">
                  <a16:creationId xmlns:a16="http://schemas.microsoft.com/office/drawing/2014/main" id="{00000000-0008-0000-1200-00006F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48</xdr:row>
          <xdr:rowOff>0</xdr:rowOff>
        </xdr:from>
        <xdr:to>
          <xdr:col>2</xdr:col>
          <xdr:colOff>12700</xdr:colOff>
          <xdr:row>49</xdr:row>
          <xdr:rowOff>0</xdr:rowOff>
        </xdr:to>
        <xdr:sp macro="" textlink="">
          <xdr:nvSpPr>
            <xdr:cNvPr id="118896" name="Drop Down 112" hidden="1">
              <a:extLst>
                <a:ext uri="{63B3BB69-23CF-44E3-9099-C40C66FF867C}">
                  <a14:compatExt spid="_x0000_s118896"/>
                </a:ext>
                <a:ext uri="{FF2B5EF4-FFF2-40B4-BE49-F238E27FC236}">
                  <a16:creationId xmlns:a16="http://schemas.microsoft.com/office/drawing/2014/main" id="{00000000-0008-0000-1200-000070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49</xdr:row>
          <xdr:rowOff>0</xdr:rowOff>
        </xdr:from>
        <xdr:to>
          <xdr:col>2</xdr:col>
          <xdr:colOff>12700</xdr:colOff>
          <xdr:row>50</xdr:row>
          <xdr:rowOff>0</xdr:rowOff>
        </xdr:to>
        <xdr:sp macro="" textlink="">
          <xdr:nvSpPr>
            <xdr:cNvPr id="118897" name="Drop Down 113" hidden="1">
              <a:extLst>
                <a:ext uri="{63B3BB69-23CF-44E3-9099-C40C66FF867C}">
                  <a14:compatExt spid="_x0000_s118897"/>
                </a:ext>
                <a:ext uri="{FF2B5EF4-FFF2-40B4-BE49-F238E27FC236}">
                  <a16:creationId xmlns:a16="http://schemas.microsoft.com/office/drawing/2014/main" id="{00000000-0008-0000-1200-000071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50</xdr:row>
          <xdr:rowOff>0</xdr:rowOff>
        </xdr:from>
        <xdr:to>
          <xdr:col>2</xdr:col>
          <xdr:colOff>12700</xdr:colOff>
          <xdr:row>51</xdr:row>
          <xdr:rowOff>0</xdr:rowOff>
        </xdr:to>
        <xdr:sp macro="" textlink="">
          <xdr:nvSpPr>
            <xdr:cNvPr id="118898" name="Drop Down 114" hidden="1">
              <a:extLst>
                <a:ext uri="{63B3BB69-23CF-44E3-9099-C40C66FF867C}">
                  <a14:compatExt spid="_x0000_s118898"/>
                </a:ext>
                <a:ext uri="{FF2B5EF4-FFF2-40B4-BE49-F238E27FC236}">
                  <a16:creationId xmlns:a16="http://schemas.microsoft.com/office/drawing/2014/main" id="{00000000-0008-0000-1200-000072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51</xdr:row>
          <xdr:rowOff>0</xdr:rowOff>
        </xdr:from>
        <xdr:to>
          <xdr:col>2</xdr:col>
          <xdr:colOff>12700</xdr:colOff>
          <xdr:row>52</xdr:row>
          <xdr:rowOff>0</xdr:rowOff>
        </xdr:to>
        <xdr:sp macro="" textlink="">
          <xdr:nvSpPr>
            <xdr:cNvPr id="118899" name="Drop Down 115" hidden="1">
              <a:extLst>
                <a:ext uri="{63B3BB69-23CF-44E3-9099-C40C66FF867C}">
                  <a14:compatExt spid="_x0000_s118899"/>
                </a:ext>
                <a:ext uri="{FF2B5EF4-FFF2-40B4-BE49-F238E27FC236}">
                  <a16:creationId xmlns:a16="http://schemas.microsoft.com/office/drawing/2014/main" id="{00000000-0008-0000-1200-00007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52</xdr:row>
          <xdr:rowOff>0</xdr:rowOff>
        </xdr:from>
        <xdr:to>
          <xdr:col>2</xdr:col>
          <xdr:colOff>12700</xdr:colOff>
          <xdr:row>53</xdr:row>
          <xdr:rowOff>0</xdr:rowOff>
        </xdr:to>
        <xdr:sp macro="" textlink="">
          <xdr:nvSpPr>
            <xdr:cNvPr id="118900" name="Drop Down 116" hidden="1">
              <a:extLst>
                <a:ext uri="{63B3BB69-23CF-44E3-9099-C40C66FF867C}">
                  <a14:compatExt spid="_x0000_s118900"/>
                </a:ext>
                <a:ext uri="{FF2B5EF4-FFF2-40B4-BE49-F238E27FC236}">
                  <a16:creationId xmlns:a16="http://schemas.microsoft.com/office/drawing/2014/main" id="{00000000-0008-0000-1200-000074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53</xdr:row>
          <xdr:rowOff>0</xdr:rowOff>
        </xdr:from>
        <xdr:to>
          <xdr:col>2</xdr:col>
          <xdr:colOff>12700</xdr:colOff>
          <xdr:row>54</xdr:row>
          <xdr:rowOff>0</xdr:rowOff>
        </xdr:to>
        <xdr:sp macro="" textlink="">
          <xdr:nvSpPr>
            <xdr:cNvPr id="118901" name="Drop Down 117" hidden="1">
              <a:extLst>
                <a:ext uri="{63B3BB69-23CF-44E3-9099-C40C66FF867C}">
                  <a14:compatExt spid="_x0000_s118901"/>
                </a:ext>
                <a:ext uri="{FF2B5EF4-FFF2-40B4-BE49-F238E27FC236}">
                  <a16:creationId xmlns:a16="http://schemas.microsoft.com/office/drawing/2014/main" id="{00000000-0008-0000-1200-00007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54</xdr:row>
          <xdr:rowOff>0</xdr:rowOff>
        </xdr:from>
        <xdr:to>
          <xdr:col>2</xdr:col>
          <xdr:colOff>12700</xdr:colOff>
          <xdr:row>55</xdr:row>
          <xdr:rowOff>0</xdr:rowOff>
        </xdr:to>
        <xdr:sp macro="" textlink="">
          <xdr:nvSpPr>
            <xdr:cNvPr id="118902" name="Drop Down 118" hidden="1">
              <a:extLst>
                <a:ext uri="{63B3BB69-23CF-44E3-9099-C40C66FF867C}">
                  <a14:compatExt spid="_x0000_s118902"/>
                </a:ext>
                <a:ext uri="{FF2B5EF4-FFF2-40B4-BE49-F238E27FC236}">
                  <a16:creationId xmlns:a16="http://schemas.microsoft.com/office/drawing/2014/main" id="{00000000-0008-0000-1200-000076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55</xdr:row>
          <xdr:rowOff>0</xdr:rowOff>
        </xdr:from>
        <xdr:to>
          <xdr:col>2</xdr:col>
          <xdr:colOff>12700</xdr:colOff>
          <xdr:row>56</xdr:row>
          <xdr:rowOff>0</xdr:rowOff>
        </xdr:to>
        <xdr:sp macro="" textlink="">
          <xdr:nvSpPr>
            <xdr:cNvPr id="118903" name="Drop Down 119" hidden="1">
              <a:extLst>
                <a:ext uri="{63B3BB69-23CF-44E3-9099-C40C66FF867C}">
                  <a14:compatExt spid="_x0000_s118903"/>
                </a:ext>
                <a:ext uri="{FF2B5EF4-FFF2-40B4-BE49-F238E27FC236}">
                  <a16:creationId xmlns:a16="http://schemas.microsoft.com/office/drawing/2014/main" id="{00000000-0008-0000-1200-000077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56</xdr:row>
          <xdr:rowOff>0</xdr:rowOff>
        </xdr:from>
        <xdr:to>
          <xdr:col>2</xdr:col>
          <xdr:colOff>12700</xdr:colOff>
          <xdr:row>57</xdr:row>
          <xdr:rowOff>0</xdr:rowOff>
        </xdr:to>
        <xdr:sp macro="" textlink="">
          <xdr:nvSpPr>
            <xdr:cNvPr id="118904" name="Drop Down 120" hidden="1">
              <a:extLst>
                <a:ext uri="{63B3BB69-23CF-44E3-9099-C40C66FF867C}">
                  <a14:compatExt spid="_x0000_s118904"/>
                </a:ext>
                <a:ext uri="{FF2B5EF4-FFF2-40B4-BE49-F238E27FC236}">
                  <a16:creationId xmlns:a16="http://schemas.microsoft.com/office/drawing/2014/main" id="{00000000-0008-0000-1200-000078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57</xdr:row>
          <xdr:rowOff>0</xdr:rowOff>
        </xdr:from>
        <xdr:to>
          <xdr:col>2</xdr:col>
          <xdr:colOff>12700</xdr:colOff>
          <xdr:row>58</xdr:row>
          <xdr:rowOff>0</xdr:rowOff>
        </xdr:to>
        <xdr:sp macro="" textlink="">
          <xdr:nvSpPr>
            <xdr:cNvPr id="118905" name="Drop Down 121" hidden="1">
              <a:extLst>
                <a:ext uri="{63B3BB69-23CF-44E3-9099-C40C66FF867C}">
                  <a14:compatExt spid="_x0000_s118905"/>
                </a:ext>
                <a:ext uri="{FF2B5EF4-FFF2-40B4-BE49-F238E27FC236}">
                  <a16:creationId xmlns:a16="http://schemas.microsoft.com/office/drawing/2014/main" id="{00000000-0008-0000-1200-000079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58</xdr:row>
          <xdr:rowOff>0</xdr:rowOff>
        </xdr:from>
        <xdr:to>
          <xdr:col>2</xdr:col>
          <xdr:colOff>12700</xdr:colOff>
          <xdr:row>59</xdr:row>
          <xdr:rowOff>0</xdr:rowOff>
        </xdr:to>
        <xdr:sp macro="" textlink="">
          <xdr:nvSpPr>
            <xdr:cNvPr id="118906" name="Drop Down 122" hidden="1">
              <a:extLst>
                <a:ext uri="{63B3BB69-23CF-44E3-9099-C40C66FF867C}">
                  <a14:compatExt spid="_x0000_s118906"/>
                </a:ext>
                <a:ext uri="{FF2B5EF4-FFF2-40B4-BE49-F238E27FC236}">
                  <a16:creationId xmlns:a16="http://schemas.microsoft.com/office/drawing/2014/main" id="{00000000-0008-0000-1200-00007A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59</xdr:row>
          <xdr:rowOff>0</xdr:rowOff>
        </xdr:from>
        <xdr:to>
          <xdr:col>2</xdr:col>
          <xdr:colOff>12700</xdr:colOff>
          <xdr:row>60</xdr:row>
          <xdr:rowOff>0</xdr:rowOff>
        </xdr:to>
        <xdr:sp macro="" textlink="">
          <xdr:nvSpPr>
            <xdr:cNvPr id="118907" name="Drop Down 123" hidden="1">
              <a:extLst>
                <a:ext uri="{63B3BB69-23CF-44E3-9099-C40C66FF867C}">
                  <a14:compatExt spid="_x0000_s118907"/>
                </a:ext>
                <a:ext uri="{FF2B5EF4-FFF2-40B4-BE49-F238E27FC236}">
                  <a16:creationId xmlns:a16="http://schemas.microsoft.com/office/drawing/2014/main" id="{00000000-0008-0000-1200-00007B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60</xdr:row>
          <xdr:rowOff>0</xdr:rowOff>
        </xdr:from>
        <xdr:to>
          <xdr:col>2</xdr:col>
          <xdr:colOff>12700</xdr:colOff>
          <xdr:row>61</xdr:row>
          <xdr:rowOff>0</xdr:rowOff>
        </xdr:to>
        <xdr:sp macro="" textlink="">
          <xdr:nvSpPr>
            <xdr:cNvPr id="118908" name="Drop Down 124" hidden="1">
              <a:extLst>
                <a:ext uri="{63B3BB69-23CF-44E3-9099-C40C66FF867C}">
                  <a14:compatExt spid="_x0000_s118908"/>
                </a:ext>
                <a:ext uri="{FF2B5EF4-FFF2-40B4-BE49-F238E27FC236}">
                  <a16:creationId xmlns:a16="http://schemas.microsoft.com/office/drawing/2014/main" id="{00000000-0008-0000-1200-00007C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61</xdr:row>
          <xdr:rowOff>0</xdr:rowOff>
        </xdr:from>
        <xdr:to>
          <xdr:col>2</xdr:col>
          <xdr:colOff>12700</xdr:colOff>
          <xdr:row>62</xdr:row>
          <xdr:rowOff>0</xdr:rowOff>
        </xdr:to>
        <xdr:sp macro="" textlink="">
          <xdr:nvSpPr>
            <xdr:cNvPr id="118909" name="Drop Down 125" hidden="1">
              <a:extLst>
                <a:ext uri="{63B3BB69-23CF-44E3-9099-C40C66FF867C}">
                  <a14:compatExt spid="_x0000_s118909"/>
                </a:ext>
                <a:ext uri="{FF2B5EF4-FFF2-40B4-BE49-F238E27FC236}">
                  <a16:creationId xmlns:a16="http://schemas.microsoft.com/office/drawing/2014/main" id="{00000000-0008-0000-1200-00007D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50</xdr:row>
          <xdr:rowOff>0</xdr:rowOff>
        </xdr:from>
        <xdr:to>
          <xdr:col>3</xdr:col>
          <xdr:colOff>12700</xdr:colOff>
          <xdr:row>51</xdr:row>
          <xdr:rowOff>12700</xdr:rowOff>
        </xdr:to>
        <xdr:sp macro="" textlink="">
          <xdr:nvSpPr>
            <xdr:cNvPr id="118911" name="Drop Down 127" hidden="1">
              <a:extLst>
                <a:ext uri="{63B3BB69-23CF-44E3-9099-C40C66FF867C}">
                  <a14:compatExt spid="_x0000_s118911"/>
                </a:ext>
                <a:ext uri="{FF2B5EF4-FFF2-40B4-BE49-F238E27FC236}">
                  <a16:creationId xmlns:a16="http://schemas.microsoft.com/office/drawing/2014/main" id="{00000000-0008-0000-1200-00007F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xdr:row>
          <xdr:rowOff>393700</xdr:rowOff>
        </xdr:from>
        <xdr:to>
          <xdr:col>6</xdr:col>
          <xdr:colOff>12700</xdr:colOff>
          <xdr:row>5</xdr:row>
          <xdr:rowOff>342900</xdr:rowOff>
        </xdr:to>
        <xdr:sp macro="" textlink="">
          <xdr:nvSpPr>
            <xdr:cNvPr id="118920" name="Drop Down 136" hidden="1">
              <a:extLst>
                <a:ext uri="{63B3BB69-23CF-44E3-9099-C40C66FF867C}">
                  <a14:compatExt spid="_x0000_s118920"/>
                </a:ext>
                <a:ext uri="{FF2B5EF4-FFF2-40B4-BE49-F238E27FC236}">
                  <a16:creationId xmlns:a16="http://schemas.microsoft.com/office/drawing/2014/main" id="{00000000-0008-0000-1200-000088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12700</xdr:rowOff>
        </xdr:from>
        <xdr:to>
          <xdr:col>6</xdr:col>
          <xdr:colOff>0</xdr:colOff>
          <xdr:row>13</xdr:row>
          <xdr:rowOff>12700</xdr:rowOff>
        </xdr:to>
        <xdr:sp macro="" textlink="">
          <xdr:nvSpPr>
            <xdr:cNvPr id="118921" name="Drop Down 137" hidden="1">
              <a:extLst>
                <a:ext uri="{63B3BB69-23CF-44E3-9099-C40C66FF867C}">
                  <a14:compatExt spid="_x0000_s118921"/>
                </a:ext>
                <a:ext uri="{FF2B5EF4-FFF2-40B4-BE49-F238E27FC236}">
                  <a16:creationId xmlns:a16="http://schemas.microsoft.com/office/drawing/2014/main" id="{00000000-0008-0000-1200-000089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0</xdr:colOff>
          <xdr:row>13</xdr:row>
          <xdr:rowOff>342900</xdr:rowOff>
        </xdr:to>
        <xdr:sp macro="" textlink="">
          <xdr:nvSpPr>
            <xdr:cNvPr id="118922" name="Drop Down 138" hidden="1">
              <a:extLst>
                <a:ext uri="{63B3BB69-23CF-44E3-9099-C40C66FF867C}">
                  <a14:compatExt spid="_x0000_s118922"/>
                </a:ext>
                <a:ext uri="{FF2B5EF4-FFF2-40B4-BE49-F238E27FC236}">
                  <a16:creationId xmlns:a16="http://schemas.microsoft.com/office/drawing/2014/main" id="{00000000-0008-0000-1200-00008A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533400</xdr:rowOff>
        </xdr:from>
        <xdr:to>
          <xdr:col>10</xdr:col>
          <xdr:colOff>12700</xdr:colOff>
          <xdr:row>8</xdr:row>
          <xdr:rowOff>0</xdr:rowOff>
        </xdr:to>
        <xdr:sp macro="" textlink="">
          <xdr:nvSpPr>
            <xdr:cNvPr id="118923" name="Drop Down 139" hidden="1">
              <a:extLst>
                <a:ext uri="{63B3BB69-23CF-44E3-9099-C40C66FF867C}">
                  <a14:compatExt spid="_x0000_s118923"/>
                </a:ext>
                <a:ext uri="{FF2B5EF4-FFF2-40B4-BE49-F238E27FC236}">
                  <a16:creationId xmlns:a16="http://schemas.microsoft.com/office/drawing/2014/main" id="{00000000-0008-0000-1200-00008B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9</xdr:row>
          <xdr:rowOff>0</xdr:rowOff>
        </xdr:from>
        <xdr:to>
          <xdr:col>10</xdr:col>
          <xdr:colOff>12700</xdr:colOff>
          <xdr:row>10</xdr:row>
          <xdr:rowOff>12700</xdr:rowOff>
        </xdr:to>
        <xdr:sp macro="" textlink="">
          <xdr:nvSpPr>
            <xdr:cNvPr id="118924" name="Drop Down 140" hidden="1">
              <a:extLst>
                <a:ext uri="{63B3BB69-23CF-44E3-9099-C40C66FF867C}">
                  <a14:compatExt spid="_x0000_s118924"/>
                </a:ext>
                <a:ext uri="{FF2B5EF4-FFF2-40B4-BE49-F238E27FC236}">
                  <a16:creationId xmlns:a16="http://schemas.microsoft.com/office/drawing/2014/main" id="{00000000-0008-0000-1200-00008C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9</xdr:row>
          <xdr:rowOff>406400</xdr:rowOff>
        </xdr:from>
        <xdr:to>
          <xdr:col>10</xdr:col>
          <xdr:colOff>0</xdr:colOff>
          <xdr:row>11</xdr:row>
          <xdr:rowOff>0</xdr:rowOff>
        </xdr:to>
        <xdr:sp macro="" textlink="">
          <xdr:nvSpPr>
            <xdr:cNvPr id="118925" name="Drop Down 141" hidden="1">
              <a:extLst>
                <a:ext uri="{63B3BB69-23CF-44E3-9099-C40C66FF867C}">
                  <a14:compatExt spid="_x0000_s118925"/>
                </a:ext>
                <a:ext uri="{FF2B5EF4-FFF2-40B4-BE49-F238E27FC236}">
                  <a16:creationId xmlns:a16="http://schemas.microsoft.com/office/drawing/2014/main" id="{00000000-0008-0000-1200-00008D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1155700</xdr:colOff>
          <xdr:row>7</xdr:row>
          <xdr:rowOff>0</xdr:rowOff>
        </xdr:from>
        <xdr:to>
          <xdr:col>20</xdr:col>
          <xdr:colOff>1574800</xdr:colOff>
          <xdr:row>7</xdr:row>
          <xdr:rowOff>533400</xdr:rowOff>
        </xdr:to>
        <xdr:sp macro="" textlink="">
          <xdr:nvSpPr>
            <xdr:cNvPr id="118926" name="Drop Down 142" hidden="1">
              <a:extLst>
                <a:ext uri="{63B3BB69-23CF-44E3-9099-C40C66FF867C}">
                  <a14:compatExt spid="_x0000_s118926"/>
                </a:ext>
                <a:ext uri="{FF2B5EF4-FFF2-40B4-BE49-F238E27FC236}">
                  <a16:creationId xmlns:a16="http://schemas.microsoft.com/office/drawing/2014/main" id="{00000000-0008-0000-1200-00008E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1155700</xdr:colOff>
          <xdr:row>8</xdr:row>
          <xdr:rowOff>584200</xdr:rowOff>
        </xdr:from>
        <xdr:to>
          <xdr:col>20</xdr:col>
          <xdr:colOff>1574800</xdr:colOff>
          <xdr:row>10</xdr:row>
          <xdr:rowOff>0</xdr:rowOff>
        </xdr:to>
        <xdr:sp macro="" textlink="">
          <xdr:nvSpPr>
            <xdr:cNvPr id="118927" name="Drop Down 143" hidden="1">
              <a:extLst>
                <a:ext uri="{63B3BB69-23CF-44E3-9099-C40C66FF867C}">
                  <a14:compatExt spid="_x0000_s118927"/>
                </a:ext>
                <a:ext uri="{FF2B5EF4-FFF2-40B4-BE49-F238E27FC236}">
                  <a16:creationId xmlns:a16="http://schemas.microsoft.com/office/drawing/2014/main" id="{00000000-0008-0000-1200-00008F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10</xdr:row>
          <xdr:rowOff>12700</xdr:rowOff>
        </xdr:from>
        <xdr:to>
          <xdr:col>21</xdr:col>
          <xdr:colOff>0</xdr:colOff>
          <xdr:row>11</xdr:row>
          <xdr:rowOff>0</xdr:rowOff>
        </xdr:to>
        <xdr:sp macro="" textlink="">
          <xdr:nvSpPr>
            <xdr:cNvPr id="118928" name="Drop Down 144" hidden="1">
              <a:extLst>
                <a:ext uri="{63B3BB69-23CF-44E3-9099-C40C66FF867C}">
                  <a14:compatExt spid="_x0000_s118928"/>
                </a:ext>
                <a:ext uri="{FF2B5EF4-FFF2-40B4-BE49-F238E27FC236}">
                  <a16:creationId xmlns:a16="http://schemas.microsoft.com/office/drawing/2014/main" id="{00000000-0008-0000-1200-000090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xdr:row>
          <xdr:rowOff>0</xdr:rowOff>
        </xdr:from>
        <xdr:to>
          <xdr:col>10</xdr:col>
          <xdr:colOff>0</xdr:colOff>
          <xdr:row>5</xdr:row>
          <xdr:rowOff>0</xdr:rowOff>
        </xdr:to>
        <xdr:sp macro="" textlink="">
          <xdr:nvSpPr>
            <xdr:cNvPr id="118929" name="Drop Down 145" hidden="1">
              <a:extLst>
                <a:ext uri="{63B3BB69-23CF-44E3-9099-C40C66FF867C}">
                  <a14:compatExt spid="_x0000_s118929"/>
                </a:ext>
                <a:ext uri="{FF2B5EF4-FFF2-40B4-BE49-F238E27FC236}">
                  <a16:creationId xmlns:a16="http://schemas.microsoft.com/office/drawing/2014/main" id="{00000000-0008-0000-1200-000091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4</xdr:row>
          <xdr:rowOff>0</xdr:rowOff>
        </xdr:from>
        <xdr:to>
          <xdr:col>21</xdr:col>
          <xdr:colOff>12700</xdr:colOff>
          <xdr:row>5</xdr:row>
          <xdr:rowOff>0</xdr:rowOff>
        </xdr:to>
        <xdr:sp macro="" textlink="">
          <xdr:nvSpPr>
            <xdr:cNvPr id="118930" name="Drop Down 146" hidden="1">
              <a:extLst>
                <a:ext uri="{63B3BB69-23CF-44E3-9099-C40C66FF867C}">
                  <a14:compatExt spid="_x0000_s118930"/>
                </a:ext>
                <a:ext uri="{FF2B5EF4-FFF2-40B4-BE49-F238E27FC236}">
                  <a16:creationId xmlns:a16="http://schemas.microsoft.com/office/drawing/2014/main" id="{00000000-0008-0000-1200-000092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xdr:row>
          <xdr:rowOff>406400</xdr:rowOff>
        </xdr:from>
        <xdr:to>
          <xdr:col>10</xdr:col>
          <xdr:colOff>0</xdr:colOff>
          <xdr:row>6</xdr:row>
          <xdr:rowOff>12700</xdr:rowOff>
        </xdr:to>
        <xdr:sp macro="" textlink="">
          <xdr:nvSpPr>
            <xdr:cNvPr id="118931" name="Drop Down 147" hidden="1">
              <a:extLst>
                <a:ext uri="{63B3BB69-23CF-44E3-9099-C40C66FF867C}">
                  <a14:compatExt spid="_x0000_s118931"/>
                </a:ext>
                <a:ext uri="{FF2B5EF4-FFF2-40B4-BE49-F238E27FC236}">
                  <a16:creationId xmlns:a16="http://schemas.microsoft.com/office/drawing/2014/main" id="{00000000-0008-0000-1200-000093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1155700</xdr:colOff>
          <xdr:row>5</xdr:row>
          <xdr:rowOff>0</xdr:rowOff>
        </xdr:from>
        <xdr:to>
          <xdr:col>21</xdr:col>
          <xdr:colOff>0</xdr:colOff>
          <xdr:row>6</xdr:row>
          <xdr:rowOff>12700</xdr:rowOff>
        </xdr:to>
        <xdr:sp macro="" textlink="">
          <xdr:nvSpPr>
            <xdr:cNvPr id="118932" name="Drop Down 148" hidden="1">
              <a:extLst>
                <a:ext uri="{63B3BB69-23CF-44E3-9099-C40C66FF867C}">
                  <a14:compatExt spid="_x0000_s118932"/>
                </a:ext>
                <a:ext uri="{FF2B5EF4-FFF2-40B4-BE49-F238E27FC236}">
                  <a16:creationId xmlns:a16="http://schemas.microsoft.com/office/drawing/2014/main" id="{00000000-0008-0000-1200-000094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533400</xdr:rowOff>
        </xdr:from>
        <xdr:to>
          <xdr:col>10</xdr:col>
          <xdr:colOff>12700</xdr:colOff>
          <xdr:row>9</xdr:row>
          <xdr:rowOff>0</xdr:rowOff>
        </xdr:to>
        <xdr:sp macro="" textlink="">
          <xdr:nvSpPr>
            <xdr:cNvPr id="118933" name="Drop Down 149" hidden="1">
              <a:extLst>
                <a:ext uri="{63B3BB69-23CF-44E3-9099-C40C66FF867C}">
                  <a14:compatExt spid="_x0000_s118933"/>
                </a:ext>
                <a:ext uri="{FF2B5EF4-FFF2-40B4-BE49-F238E27FC236}">
                  <a16:creationId xmlns:a16="http://schemas.microsoft.com/office/drawing/2014/main" id="{00000000-0008-0000-1200-000095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8</xdr:row>
          <xdr:rowOff>12700</xdr:rowOff>
        </xdr:from>
        <xdr:to>
          <xdr:col>21</xdr:col>
          <xdr:colOff>12700</xdr:colOff>
          <xdr:row>8</xdr:row>
          <xdr:rowOff>571500</xdr:rowOff>
        </xdr:to>
        <xdr:sp macro="" textlink="">
          <xdr:nvSpPr>
            <xdr:cNvPr id="118934" name="Drop Down 150" hidden="1">
              <a:extLst>
                <a:ext uri="{63B3BB69-23CF-44E3-9099-C40C66FF867C}">
                  <a14:compatExt spid="_x0000_s118934"/>
                </a:ext>
                <a:ext uri="{FF2B5EF4-FFF2-40B4-BE49-F238E27FC236}">
                  <a16:creationId xmlns:a16="http://schemas.microsoft.com/office/drawing/2014/main" id="{00000000-0008-0000-1200-000096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10</xdr:col>
          <xdr:colOff>0</xdr:colOff>
          <xdr:row>12</xdr:row>
          <xdr:rowOff>12700</xdr:rowOff>
        </xdr:to>
        <xdr:sp macro="" textlink="">
          <xdr:nvSpPr>
            <xdr:cNvPr id="118935" name="Drop Down 151" hidden="1">
              <a:extLst>
                <a:ext uri="{63B3BB69-23CF-44E3-9099-C40C66FF867C}">
                  <a14:compatExt spid="_x0000_s118935"/>
                </a:ext>
                <a:ext uri="{FF2B5EF4-FFF2-40B4-BE49-F238E27FC236}">
                  <a16:creationId xmlns:a16="http://schemas.microsoft.com/office/drawing/2014/main" id="{00000000-0008-0000-1200-000097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12</xdr:row>
          <xdr:rowOff>12700</xdr:rowOff>
        </xdr:from>
        <xdr:to>
          <xdr:col>10</xdr:col>
          <xdr:colOff>0</xdr:colOff>
          <xdr:row>12</xdr:row>
          <xdr:rowOff>355600</xdr:rowOff>
        </xdr:to>
        <xdr:sp macro="" textlink="">
          <xdr:nvSpPr>
            <xdr:cNvPr id="118937" name="Drop Down 153" hidden="1">
              <a:extLst>
                <a:ext uri="{63B3BB69-23CF-44E3-9099-C40C66FF867C}">
                  <a14:compatExt spid="_x0000_s118937"/>
                </a:ext>
                <a:ext uri="{FF2B5EF4-FFF2-40B4-BE49-F238E27FC236}">
                  <a16:creationId xmlns:a16="http://schemas.microsoft.com/office/drawing/2014/main" id="{00000000-0008-0000-1200-000099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0</xdr:rowOff>
        </xdr:from>
        <xdr:to>
          <xdr:col>21</xdr:col>
          <xdr:colOff>0</xdr:colOff>
          <xdr:row>12</xdr:row>
          <xdr:rowOff>368300</xdr:rowOff>
        </xdr:to>
        <xdr:sp macro="" textlink="">
          <xdr:nvSpPr>
            <xdr:cNvPr id="118938" name="Drop Down 154" hidden="1">
              <a:extLst>
                <a:ext uri="{63B3BB69-23CF-44E3-9099-C40C66FF867C}">
                  <a14:compatExt spid="_x0000_s118938"/>
                </a:ext>
                <a:ext uri="{FF2B5EF4-FFF2-40B4-BE49-F238E27FC236}">
                  <a16:creationId xmlns:a16="http://schemas.microsoft.com/office/drawing/2014/main" id="{00000000-0008-0000-1200-00009A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xdr:row>
          <xdr:rowOff>381000</xdr:rowOff>
        </xdr:from>
        <xdr:to>
          <xdr:col>10</xdr:col>
          <xdr:colOff>12700</xdr:colOff>
          <xdr:row>13</xdr:row>
          <xdr:rowOff>342900</xdr:rowOff>
        </xdr:to>
        <xdr:sp macro="" textlink="">
          <xdr:nvSpPr>
            <xdr:cNvPr id="118939" name="Drop Down 155" hidden="1">
              <a:extLst>
                <a:ext uri="{63B3BB69-23CF-44E3-9099-C40C66FF867C}">
                  <a14:compatExt spid="_x0000_s118939"/>
                </a:ext>
                <a:ext uri="{FF2B5EF4-FFF2-40B4-BE49-F238E27FC236}">
                  <a16:creationId xmlns:a16="http://schemas.microsoft.com/office/drawing/2014/main" id="{00000000-0008-0000-1200-00009B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xdr:row>
          <xdr:rowOff>381000</xdr:rowOff>
        </xdr:from>
        <xdr:to>
          <xdr:col>21</xdr:col>
          <xdr:colOff>12700</xdr:colOff>
          <xdr:row>13</xdr:row>
          <xdr:rowOff>342900</xdr:rowOff>
        </xdr:to>
        <xdr:sp macro="" textlink="">
          <xdr:nvSpPr>
            <xdr:cNvPr id="118940" name="Drop Down 156" hidden="1">
              <a:extLst>
                <a:ext uri="{63B3BB69-23CF-44E3-9099-C40C66FF867C}">
                  <a14:compatExt spid="_x0000_s118940"/>
                </a:ext>
                <a:ext uri="{FF2B5EF4-FFF2-40B4-BE49-F238E27FC236}">
                  <a16:creationId xmlns:a16="http://schemas.microsoft.com/office/drawing/2014/main" id="{00000000-0008-0000-1200-00009C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xdr:row>
          <xdr:rowOff>355600</xdr:rowOff>
        </xdr:from>
        <xdr:to>
          <xdr:col>10</xdr:col>
          <xdr:colOff>12700</xdr:colOff>
          <xdr:row>14</xdr:row>
          <xdr:rowOff>457200</xdr:rowOff>
        </xdr:to>
        <xdr:sp macro="" textlink="">
          <xdr:nvSpPr>
            <xdr:cNvPr id="118941" name="Drop Down 157" hidden="1">
              <a:extLst>
                <a:ext uri="{63B3BB69-23CF-44E3-9099-C40C66FF867C}">
                  <a14:compatExt spid="_x0000_s118941"/>
                </a:ext>
                <a:ext uri="{FF2B5EF4-FFF2-40B4-BE49-F238E27FC236}">
                  <a16:creationId xmlns:a16="http://schemas.microsoft.com/office/drawing/2014/main" id="{00000000-0008-0000-1200-00009D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xdr:row>
          <xdr:rowOff>355600</xdr:rowOff>
        </xdr:from>
        <xdr:to>
          <xdr:col>21</xdr:col>
          <xdr:colOff>12700</xdr:colOff>
          <xdr:row>14</xdr:row>
          <xdr:rowOff>457200</xdr:rowOff>
        </xdr:to>
        <xdr:sp macro="" textlink="">
          <xdr:nvSpPr>
            <xdr:cNvPr id="118942" name="Drop Down 158" hidden="1">
              <a:extLst>
                <a:ext uri="{63B3BB69-23CF-44E3-9099-C40C66FF867C}">
                  <a14:compatExt spid="_x0000_s118942"/>
                </a:ext>
                <a:ext uri="{FF2B5EF4-FFF2-40B4-BE49-F238E27FC236}">
                  <a16:creationId xmlns:a16="http://schemas.microsoft.com/office/drawing/2014/main" id="{00000000-0008-0000-1200-00009E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0</xdr:rowOff>
        </xdr:from>
        <xdr:to>
          <xdr:col>10</xdr:col>
          <xdr:colOff>12700</xdr:colOff>
          <xdr:row>7</xdr:row>
          <xdr:rowOff>0</xdr:rowOff>
        </xdr:to>
        <xdr:sp macro="" textlink="">
          <xdr:nvSpPr>
            <xdr:cNvPr id="118943" name="Drop Down 159" hidden="1">
              <a:extLst>
                <a:ext uri="{63B3BB69-23CF-44E3-9099-C40C66FF867C}">
                  <a14:compatExt spid="_x0000_s118943"/>
                </a:ext>
                <a:ext uri="{FF2B5EF4-FFF2-40B4-BE49-F238E27FC236}">
                  <a16:creationId xmlns:a16="http://schemas.microsoft.com/office/drawing/2014/main" id="{00000000-0008-0000-1200-00009F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1155700</xdr:colOff>
          <xdr:row>6</xdr:row>
          <xdr:rowOff>0</xdr:rowOff>
        </xdr:from>
        <xdr:to>
          <xdr:col>20</xdr:col>
          <xdr:colOff>1574800</xdr:colOff>
          <xdr:row>7</xdr:row>
          <xdr:rowOff>12700</xdr:rowOff>
        </xdr:to>
        <xdr:sp macro="" textlink="">
          <xdr:nvSpPr>
            <xdr:cNvPr id="118944" name="Drop Down 160" hidden="1">
              <a:extLst>
                <a:ext uri="{63B3BB69-23CF-44E3-9099-C40C66FF867C}">
                  <a14:compatExt spid="_x0000_s118944"/>
                </a:ext>
                <a:ext uri="{FF2B5EF4-FFF2-40B4-BE49-F238E27FC236}">
                  <a16:creationId xmlns:a16="http://schemas.microsoft.com/office/drawing/2014/main" id="{00000000-0008-0000-1200-0000A0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11</xdr:row>
          <xdr:rowOff>12700</xdr:rowOff>
        </xdr:from>
        <xdr:to>
          <xdr:col>21</xdr:col>
          <xdr:colOff>0</xdr:colOff>
          <xdr:row>12</xdr:row>
          <xdr:rowOff>0</xdr:rowOff>
        </xdr:to>
        <xdr:sp macro="" textlink="">
          <xdr:nvSpPr>
            <xdr:cNvPr id="118945" name="Drop Down 161" hidden="1">
              <a:extLst>
                <a:ext uri="{63B3BB69-23CF-44E3-9099-C40C66FF867C}">
                  <a14:compatExt spid="_x0000_s118945"/>
                </a:ext>
                <a:ext uri="{FF2B5EF4-FFF2-40B4-BE49-F238E27FC236}">
                  <a16:creationId xmlns:a16="http://schemas.microsoft.com/office/drawing/2014/main" id="{00000000-0008-0000-1200-0000A1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xdr:row>
          <xdr:rowOff>0</xdr:rowOff>
        </xdr:from>
        <xdr:to>
          <xdr:col>6</xdr:col>
          <xdr:colOff>12700</xdr:colOff>
          <xdr:row>5</xdr:row>
          <xdr:rowOff>0</xdr:rowOff>
        </xdr:to>
        <xdr:sp macro="" textlink="">
          <xdr:nvSpPr>
            <xdr:cNvPr id="118946" name="Drop Down 162" hidden="1">
              <a:extLst>
                <a:ext uri="{63B3BB69-23CF-44E3-9099-C40C66FF867C}">
                  <a14:compatExt spid="_x0000_s118946"/>
                </a:ext>
                <a:ext uri="{FF2B5EF4-FFF2-40B4-BE49-F238E27FC236}">
                  <a16:creationId xmlns:a16="http://schemas.microsoft.com/office/drawing/2014/main" id="{00000000-0008-0000-1200-0000A2D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3</xdr:row>
          <xdr:rowOff>0</xdr:rowOff>
        </xdr:from>
        <xdr:to>
          <xdr:col>6</xdr:col>
          <xdr:colOff>0</xdr:colOff>
          <xdr:row>4</xdr:row>
          <xdr:rowOff>12700</xdr:rowOff>
        </xdr:to>
        <xdr:sp macro="" textlink="">
          <xdr:nvSpPr>
            <xdr:cNvPr id="109570" name="Drop Down 2" hidden="1">
              <a:extLst>
                <a:ext uri="{63B3BB69-23CF-44E3-9099-C40C66FF867C}">
                  <a14:compatExt spid="_x0000_s109570"/>
                </a:ext>
                <a:ext uri="{FF2B5EF4-FFF2-40B4-BE49-F238E27FC236}">
                  <a16:creationId xmlns:a16="http://schemas.microsoft.com/office/drawing/2014/main" id="{00000000-0008-0000-1300-000002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12700</xdr:colOff>
          <xdr:row>5</xdr:row>
          <xdr:rowOff>381000</xdr:rowOff>
        </xdr:to>
        <xdr:sp macro="" textlink="">
          <xdr:nvSpPr>
            <xdr:cNvPr id="109571" name="Drop Down 3" hidden="1">
              <a:extLst>
                <a:ext uri="{63B3BB69-23CF-44E3-9099-C40C66FF867C}">
                  <a14:compatExt spid="_x0000_s109571"/>
                </a:ext>
                <a:ext uri="{FF2B5EF4-FFF2-40B4-BE49-F238E27FC236}">
                  <a16:creationId xmlns:a16="http://schemas.microsoft.com/office/drawing/2014/main" id="{00000000-0008-0000-1300-000003A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6</xdr:col>
          <xdr:colOff>0</xdr:colOff>
          <xdr:row>20</xdr:row>
          <xdr:rowOff>12700</xdr:rowOff>
        </xdr:to>
        <xdr:sp macro="" textlink="">
          <xdr:nvSpPr>
            <xdr:cNvPr id="128001" name="Drop Down 1" hidden="1">
              <a:extLst>
                <a:ext uri="{63B3BB69-23CF-44E3-9099-C40C66FF867C}">
                  <a14:compatExt spid="_x0000_s128001"/>
                </a:ext>
                <a:ext uri="{FF2B5EF4-FFF2-40B4-BE49-F238E27FC236}">
                  <a16:creationId xmlns:a16="http://schemas.microsoft.com/office/drawing/2014/main" id="{00000000-0008-0000-1400-000001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12700</xdr:rowOff>
        </xdr:from>
        <xdr:to>
          <xdr:col>6</xdr:col>
          <xdr:colOff>0</xdr:colOff>
          <xdr:row>22</xdr:row>
          <xdr:rowOff>705</xdr:rowOff>
        </xdr:to>
        <xdr:sp macro="" textlink="">
          <xdr:nvSpPr>
            <xdr:cNvPr id="128003" name="Drop Down 3" hidden="1">
              <a:extLst>
                <a:ext uri="{63B3BB69-23CF-44E3-9099-C40C66FF867C}">
                  <a14:compatExt spid="_x0000_s128003"/>
                </a:ext>
                <a:ext uri="{FF2B5EF4-FFF2-40B4-BE49-F238E27FC236}">
                  <a16:creationId xmlns:a16="http://schemas.microsoft.com/office/drawing/2014/main" id="{00000000-0008-0000-1400-000003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28</xdr:row>
          <xdr:rowOff>12700</xdr:rowOff>
        </xdr:from>
        <xdr:to>
          <xdr:col>6</xdr:col>
          <xdr:colOff>12700</xdr:colOff>
          <xdr:row>28</xdr:row>
          <xdr:rowOff>571500</xdr:rowOff>
        </xdr:to>
        <xdr:sp macro="" textlink="">
          <xdr:nvSpPr>
            <xdr:cNvPr id="128004" name="Drop Down 4" hidden="1">
              <a:extLst>
                <a:ext uri="{63B3BB69-23CF-44E3-9099-C40C66FF867C}">
                  <a14:compatExt spid="_x0000_s128004"/>
                </a:ext>
                <a:ext uri="{FF2B5EF4-FFF2-40B4-BE49-F238E27FC236}">
                  <a16:creationId xmlns:a16="http://schemas.microsoft.com/office/drawing/2014/main" id="{00000000-0008-0000-1400-000004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xdr:row>
          <xdr:rowOff>12700</xdr:rowOff>
        </xdr:from>
        <xdr:to>
          <xdr:col>6</xdr:col>
          <xdr:colOff>12700</xdr:colOff>
          <xdr:row>8</xdr:row>
          <xdr:rowOff>0</xdr:rowOff>
        </xdr:to>
        <xdr:sp macro="" textlink="">
          <xdr:nvSpPr>
            <xdr:cNvPr id="128006" name="Drop Down 6" hidden="1">
              <a:extLst>
                <a:ext uri="{63B3BB69-23CF-44E3-9099-C40C66FF867C}">
                  <a14:compatExt spid="_x0000_s128006"/>
                </a:ext>
                <a:ext uri="{FF2B5EF4-FFF2-40B4-BE49-F238E27FC236}">
                  <a16:creationId xmlns:a16="http://schemas.microsoft.com/office/drawing/2014/main" id="{00000000-0008-0000-1400-000006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12700</xdr:rowOff>
        </xdr:from>
        <xdr:to>
          <xdr:col>8</xdr:col>
          <xdr:colOff>876300</xdr:colOff>
          <xdr:row>4</xdr:row>
          <xdr:rowOff>12700</xdr:rowOff>
        </xdr:to>
        <xdr:sp macro="" textlink="">
          <xdr:nvSpPr>
            <xdr:cNvPr id="128007" name="Drop Down 7" hidden="1">
              <a:extLst>
                <a:ext uri="{63B3BB69-23CF-44E3-9099-C40C66FF867C}">
                  <a14:compatExt spid="_x0000_s128007"/>
                </a:ext>
                <a:ext uri="{FF2B5EF4-FFF2-40B4-BE49-F238E27FC236}">
                  <a16:creationId xmlns:a16="http://schemas.microsoft.com/office/drawing/2014/main" id="{00000000-0008-0000-1400-000007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12</xdr:row>
          <xdr:rowOff>12700</xdr:rowOff>
        </xdr:from>
        <xdr:to>
          <xdr:col>6</xdr:col>
          <xdr:colOff>12700</xdr:colOff>
          <xdr:row>13</xdr:row>
          <xdr:rowOff>0</xdr:rowOff>
        </xdr:to>
        <xdr:sp macro="" textlink="">
          <xdr:nvSpPr>
            <xdr:cNvPr id="128008" name="Drop Down 8" hidden="1">
              <a:extLst>
                <a:ext uri="{63B3BB69-23CF-44E3-9099-C40C66FF867C}">
                  <a14:compatExt spid="_x0000_s128008"/>
                </a:ext>
                <a:ext uri="{FF2B5EF4-FFF2-40B4-BE49-F238E27FC236}">
                  <a16:creationId xmlns:a16="http://schemas.microsoft.com/office/drawing/2014/main" id="{00000000-0008-0000-1400-000008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13</xdr:row>
          <xdr:rowOff>12700</xdr:rowOff>
        </xdr:from>
        <xdr:to>
          <xdr:col>6</xdr:col>
          <xdr:colOff>12700</xdr:colOff>
          <xdr:row>13</xdr:row>
          <xdr:rowOff>419100</xdr:rowOff>
        </xdr:to>
        <xdr:sp macro="" textlink="">
          <xdr:nvSpPr>
            <xdr:cNvPr id="128009" name="Drop Down 9" hidden="1">
              <a:extLst>
                <a:ext uri="{63B3BB69-23CF-44E3-9099-C40C66FF867C}">
                  <a14:compatExt spid="_x0000_s128009"/>
                </a:ext>
                <a:ext uri="{FF2B5EF4-FFF2-40B4-BE49-F238E27FC236}">
                  <a16:creationId xmlns:a16="http://schemas.microsoft.com/office/drawing/2014/main" id="{00000000-0008-0000-1400-000009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1257300</xdr:colOff>
          <xdr:row>14</xdr:row>
          <xdr:rowOff>12700</xdr:rowOff>
        </xdr:from>
        <xdr:to>
          <xdr:col>5</xdr:col>
          <xdr:colOff>1289050</xdr:colOff>
          <xdr:row>15</xdr:row>
          <xdr:rowOff>0</xdr:rowOff>
        </xdr:to>
        <xdr:sp macro="" textlink="">
          <xdr:nvSpPr>
            <xdr:cNvPr id="128010" name="Drop Down 10" hidden="1">
              <a:extLst>
                <a:ext uri="{63B3BB69-23CF-44E3-9099-C40C66FF867C}">
                  <a14:compatExt spid="_x0000_s128010"/>
                </a:ext>
                <a:ext uri="{FF2B5EF4-FFF2-40B4-BE49-F238E27FC236}">
                  <a16:creationId xmlns:a16="http://schemas.microsoft.com/office/drawing/2014/main" id="{00000000-0008-0000-1400-00000A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5644</xdr:colOff>
          <xdr:row>4</xdr:row>
          <xdr:rowOff>231421</xdr:rowOff>
        </xdr:from>
        <xdr:to>
          <xdr:col>6</xdr:col>
          <xdr:colOff>5644</xdr:colOff>
          <xdr:row>5</xdr:row>
          <xdr:rowOff>252588</xdr:rowOff>
        </xdr:to>
        <xdr:sp macro="" textlink="">
          <xdr:nvSpPr>
            <xdr:cNvPr id="128019" name="Drop Down 19" hidden="1">
              <a:extLst>
                <a:ext uri="{63B3BB69-23CF-44E3-9099-C40C66FF867C}">
                  <a14:compatExt spid="_x0000_s128019"/>
                </a:ext>
                <a:ext uri="{FF2B5EF4-FFF2-40B4-BE49-F238E27FC236}">
                  <a16:creationId xmlns:a16="http://schemas.microsoft.com/office/drawing/2014/main" id="{00000000-0008-0000-1400-000013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15</xdr:row>
          <xdr:rowOff>12700</xdr:rowOff>
        </xdr:from>
        <xdr:to>
          <xdr:col>6</xdr:col>
          <xdr:colOff>12700</xdr:colOff>
          <xdr:row>16</xdr:row>
          <xdr:rowOff>0</xdr:rowOff>
        </xdr:to>
        <xdr:sp macro="" textlink="">
          <xdr:nvSpPr>
            <xdr:cNvPr id="128020" name="Drop Down 20" hidden="1">
              <a:extLst>
                <a:ext uri="{63B3BB69-23CF-44E3-9099-C40C66FF867C}">
                  <a14:compatExt spid="_x0000_s128020"/>
                </a:ext>
                <a:ext uri="{FF2B5EF4-FFF2-40B4-BE49-F238E27FC236}">
                  <a16:creationId xmlns:a16="http://schemas.microsoft.com/office/drawing/2014/main" id="{00000000-0008-0000-1400-000014F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12700</xdr:colOff>
          <xdr:row>8</xdr:row>
          <xdr:rowOff>0</xdr:rowOff>
        </xdr:from>
        <xdr:to>
          <xdr:col>10</xdr:col>
          <xdr:colOff>12700</xdr:colOff>
          <xdr:row>9</xdr:row>
          <xdr:rowOff>0</xdr:rowOff>
        </xdr:to>
        <xdr:sp macro="" textlink="">
          <xdr:nvSpPr>
            <xdr:cNvPr id="104540" name="Drop Down 92" hidden="1">
              <a:extLst>
                <a:ext uri="{63B3BB69-23CF-44E3-9099-C40C66FF867C}">
                  <a14:compatExt spid="_x0000_s104540"/>
                </a:ext>
                <a:ext uri="{FF2B5EF4-FFF2-40B4-BE49-F238E27FC236}">
                  <a16:creationId xmlns:a16="http://schemas.microsoft.com/office/drawing/2014/main" id="{00000000-0008-0000-1500-00005C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xdr:row>
          <xdr:rowOff>0</xdr:rowOff>
        </xdr:from>
        <xdr:to>
          <xdr:col>10</xdr:col>
          <xdr:colOff>12700</xdr:colOff>
          <xdr:row>6</xdr:row>
          <xdr:rowOff>0</xdr:rowOff>
        </xdr:to>
        <xdr:sp macro="" textlink="">
          <xdr:nvSpPr>
            <xdr:cNvPr id="104607" name="Drop Down 159" hidden="1">
              <a:extLst>
                <a:ext uri="{63B3BB69-23CF-44E3-9099-C40C66FF867C}">
                  <a14:compatExt spid="_x0000_s104607"/>
                </a:ext>
                <a:ext uri="{FF2B5EF4-FFF2-40B4-BE49-F238E27FC236}">
                  <a16:creationId xmlns:a16="http://schemas.microsoft.com/office/drawing/2014/main" id="{00000000-0008-0000-1500-00009F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xdr:row>
          <xdr:rowOff>0</xdr:rowOff>
        </xdr:from>
        <xdr:to>
          <xdr:col>10</xdr:col>
          <xdr:colOff>12700</xdr:colOff>
          <xdr:row>5</xdr:row>
          <xdr:rowOff>12700</xdr:rowOff>
        </xdr:to>
        <xdr:sp macro="" textlink="">
          <xdr:nvSpPr>
            <xdr:cNvPr id="104629" name="Drop Down 181" hidden="1">
              <a:extLst>
                <a:ext uri="{63B3BB69-23CF-44E3-9099-C40C66FF867C}">
                  <a14:compatExt spid="_x0000_s104629"/>
                </a:ext>
                <a:ext uri="{FF2B5EF4-FFF2-40B4-BE49-F238E27FC236}">
                  <a16:creationId xmlns:a16="http://schemas.microsoft.com/office/drawing/2014/main" id="{00000000-0008-0000-1500-0000B5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6</xdr:row>
          <xdr:rowOff>0</xdr:rowOff>
        </xdr:from>
        <xdr:to>
          <xdr:col>10</xdr:col>
          <xdr:colOff>12700</xdr:colOff>
          <xdr:row>7</xdr:row>
          <xdr:rowOff>12700</xdr:rowOff>
        </xdr:to>
        <xdr:sp macro="" textlink="">
          <xdr:nvSpPr>
            <xdr:cNvPr id="104630" name="Drop Down 182" hidden="1">
              <a:extLst>
                <a:ext uri="{63B3BB69-23CF-44E3-9099-C40C66FF867C}">
                  <a14:compatExt spid="_x0000_s104630"/>
                </a:ext>
                <a:ext uri="{FF2B5EF4-FFF2-40B4-BE49-F238E27FC236}">
                  <a16:creationId xmlns:a16="http://schemas.microsoft.com/office/drawing/2014/main" id="{00000000-0008-0000-1500-0000B6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xdr:row>
          <xdr:rowOff>0</xdr:rowOff>
        </xdr:from>
        <xdr:to>
          <xdr:col>10</xdr:col>
          <xdr:colOff>12700</xdr:colOff>
          <xdr:row>8</xdr:row>
          <xdr:rowOff>12700</xdr:rowOff>
        </xdr:to>
        <xdr:sp macro="" textlink="">
          <xdr:nvSpPr>
            <xdr:cNvPr id="104631" name="Drop Down 183" hidden="1">
              <a:extLst>
                <a:ext uri="{63B3BB69-23CF-44E3-9099-C40C66FF867C}">
                  <a14:compatExt spid="_x0000_s104631"/>
                </a:ext>
                <a:ext uri="{FF2B5EF4-FFF2-40B4-BE49-F238E27FC236}">
                  <a16:creationId xmlns:a16="http://schemas.microsoft.com/office/drawing/2014/main" id="{00000000-0008-0000-1500-0000B7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8</xdr:row>
          <xdr:rowOff>0</xdr:rowOff>
        </xdr:from>
        <xdr:to>
          <xdr:col>10</xdr:col>
          <xdr:colOff>12700</xdr:colOff>
          <xdr:row>8</xdr:row>
          <xdr:rowOff>241300</xdr:rowOff>
        </xdr:to>
        <xdr:sp macro="" textlink="">
          <xdr:nvSpPr>
            <xdr:cNvPr id="104632" name="Drop Down 184" hidden="1">
              <a:extLst>
                <a:ext uri="{63B3BB69-23CF-44E3-9099-C40C66FF867C}">
                  <a14:compatExt spid="_x0000_s104632"/>
                </a:ext>
                <a:ext uri="{FF2B5EF4-FFF2-40B4-BE49-F238E27FC236}">
                  <a16:creationId xmlns:a16="http://schemas.microsoft.com/office/drawing/2014/main" id="{00000000-0008-0000-1500-0000B8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8</xdr:row>
          <xdr:rowOff>0</xdr:rowOff>
        </xdr:from>
        <xdr:to>
          <xdr:col>10</xdr:col>
          <xdr:colOff>12700</xdr:colOff>
          <xdr:row>9</xdr:row>
          <xdr:rowOff>0</xdr:rowOff>
        </xdr:to>
        <xdr:sp macro="" textlink="">
          <xdr:nvSpPr>
            <xdr:cNvPr id="104633" name="Drop Down 185" hidden="1">
              <a:extLst>
                <a:ext uri="{63B3BB69-23CF-44E3-9099-C40C66FF867C}">
                  <a14:compatExt spid="_x0000_s104633"/>
                </a:ext>
                <a:ext uri="{FF2B5EF4-FFF2-40B4-BE49-F238E27FC236}">
                  <a16:creationId xmlns:a16="http://schemas.microsoft.com/office/drawing/2014/main" id="{00000000-0008-0000-1500-0000B9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9</xdr:row>
          <xdr:rowOff>0</xdr:rowOff>
        </xdr:from>
        <xdr:to>
          <xdr:col>10</xdr:col>
          <xdr:colOff>12700</xdr:colOff>
          <xdr:row>10</xdr:row>
          <xdr:rowOff>0</xdr:rowOff>
        </xdr:to>
        <xdr:sp macro="" textlink="">
          <xdr:nvSpPr>
            <xdr:cNvPr id="104634" name="Drop Down 186" hidden="1">
              <a:extLst>
                <a:ext uri="{63B3BB69-23CF-44E3-9099-C40C66FF867C}">
                  <a14:compatExt spid="_x0000_s104634"/>
                </a:ext>
                <a:ext uri="{FF2B5EF4-FFF2-40B4-BE49-F238E27FC236}">
                  <a16:creationId xmlns:a16="http://schemas.microsoft.com/office/drawing/2014/main" id="{00000000-0008-0000-1500-0000BA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10</xdr:row>
          <xdr:rowOff>0</xdr:rowOff>
        </xdr:from>
        <xdr:to>
          <xdr:col>10</xdr:col>
          <xdr:colOff>12700</xdr:colOff>
          <xdr:row>11</xdr:row>
          <xdr:rowOff>50800</xdr:rowOff>
        </xdr:to>
        <xdr:sp macro="" textlink="">
          <xdr:nvSpPr>
            <xdr:cNvPr id="104635" name="Drop Down 187" hidden="1">
              <a:extLst>
                <a:ext uri="{63B3BB69-23CF-44E3-9099-C40C66FF867C}">
                  <a14:compatExt spid="_x0000_s104635"/>
                </a:ext>
                <a:ext uri="{FF2B5EF4-FFF2-40B4-BE49-F238E27FC236}">
                  <a16:creationId xmlns:a16="http://schemas.microsoft.com/office/drawing/2014/main" id="{00000000-0008-0000-1500-0000BB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11</xdr:row>
          <xdr:rowOff>0</xdr:rowOff>
        </xdr:from>
        <xdr:to>
          <xdr:col>10</xdr:col>
          <xdr:colOff>12700</xdr:colOff>
          <xdr:row>12</xdr:row>
          <xdr:rowOff>0</xdr:rowOff>
        </xdr:to>
        <xdr:sp macro="" textlink="">
          <xdr:nvSpPr>
            <xdr:cNvPr id="104636" name="Drop Down 188" hidden="1">
              <a:extLst>
                <a:ext uri="{63B3BB69-23CF-44E3-9099-C40C66FF867C}">
                  <a14:compatExt spid="_x0000_s104636"/>
                </a:ext>
                <a:ext uri="{FF2B5EF4-FFF2-40B4-BE49-F238E27FC236}">
                  <a16:creationId xmlns:a16="http://schemas.microsoft.com/office/drawing/2014/main" id="{00000000-0008-0000-1500-0000BC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12</xdr:row>
          <xdr:rowOff>0</xdr:rowOff>
        </xdr:from>
        <xdr:to>
          <xdr:col>10</xdr:col>
          <xdr:colOff>12700</xdr:colOff>
          <xdr:row>12</xdr:row>
          <xdr:rowOff>381000</xdr:rowOff>
        </xdr:to>
        <xdr:sp macro="" textlink="">
          <xdr:nvSpPr>
            <xdr:cNvPr id="104637" name="Drop Down 189" hidden="1">
              <a:extLst>
                <a:ext uri="{63B3BB69-23CF-44E3-9099-C40C66FF867C}">
                  <a14:compatExt spid="_x0000_s104637"/>
                </a:ext>
                <a:ext uri="{FF2B5EF4-FFF2-40B4-BE49-F238E27FC236}">
                  <a16:creationId xmlns:a16="http://schemas.microsoft.com/office/drawing/2014/main" id="{00000000-0008-0000-1500-0000BD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0</xdr:rowOff>
        </xdr:from>
        <xdr:to>
          <xdr:col>10</xdr:col>
          <xdr:colOff>12700</xdr:colOff>
          <xdr:row>14</xdr:row>
          <xdr:rowOff>0</xdr:rowOff>
        </xdr:to>
        <xdr:sp macro="" textlink="">
          <xdr:nvSpPr>
            <xdr:cNvPr id="104638" name="Drop Down 190" hidden="1">
              <a:extLst>
                <a:ext uri="{63B3BB69-23CF-44E3-9099-C40C66FF867C}">
                  <a14:compatExt spid="_x0000_s104638"/>
                </a:ext>
                <a:ext uri="{FF2B5EF4-FFF2-40B4-BE49-F238E27FC236}">
                  <a16:creationId xmlns:a16="http://schemas.microsoft.com/office/drawing/2014/main" id="{00000000-0008-0000-1500-0000BE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14</xdr:row>
          <xdr:rowOff>0</xdr:rowOff>
        </xdr:from>
        <xdr:to>
          <xdr:col>10</xdr:col>
          <xdr:colOff>12700</xdr:colOff>
          <xdr:row>15</xdr:row>
          <xdr:rowOff>0</xdr:rowOff>
        </xdr:to>
        <xdr:sp macro="" textlink="">
          <xdr:nvSpPr>
            <xdr:cNvPr id="104639" name="Drop Down 191" hidden="1">
              <a:extLst>
                <a:ext uri="{63B3BB69-23CF-44E3-9099-C40C66FF867C}">
                  <a14:compatExt spid="_x0000_s104639"/>
                </a:ext>
                <a:ext uri="{FF2B5EF4-FFF2-40B4-BE49-F238E27FC236}">
                  <a16:creationId xmlns:a16="http://schemas.microsoft.com/office/drawing/2014/main" id="{00000000-0008-0000-1500-0000BF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15</xdr:row>
          <xdr:rowOff>0</xdr:rowOff>
        </xdr:from>
        <xdr:to>
          <xdr:col>10</xdr:col>
          <xdr:colOff>12700</xdr:colOff>
          <xdr:row>16</xdr:row>
          <xdr:rowOff>0</xdr:rowOff>
        </xdr:to>
        <xdr:sp macro="" textlink="">
          <xdr:nvSpPr>
            <xdr:cNvPr id="104640" name="Drop Down 192" hidden="1">
              <a:extLst>
                <a:ext uri="{63B3BB69-23CF-44E3-9099-C40C66FF867C}">
                  <a14:compatExt spid="_x0000_s104640"/>
                </a:ext>
                <a:ext uri="{FF2B5EF4-FFF2-40B4-BE49-F238E27FC236}">
                  <a16:creationId xmlns:a16="http://schemas.microsoft.com/office/drawing/2014/main" id="{00000000-0008-0000-1500-0000C0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16</xdr:row>
          <xdr:rowOff>0</xdr:rowOff>
        </xdr:from>
        <xdr:to>
          <xdr:col>10</xdr:col>
          <xdr:colOff>12700</xdr:colOff>
          <xdr:row>17</xdr:row>
          <xdr:rowOff>0</xdr:rowOff>
        </xdr:to>
        <xdr:sp macro="" textlink="">
          <xdr:nvSpPr>
            <xdr:cNvPr id="104641" name="Drop Down 193" hidden="1">
              <a:extLst>
                <a:ext uri="{63B3BB69-23CF-44E3-9099-C40C66FF867C}">
                  <a14:compatExt spid="_x0000_s104641"/>
                </a:ext>
                <a:ext uri="{FF2B5EF4-FFF2-40B4-BE49-F238E27FC236}">
                  <a16:creationId xmlns:a16="http://schemas.microsoft.com/office/drawing/2014/main" id="{00000000-0008-0000-1500-0000C1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17</xdr:row>
          <xdr:rowOff>0</xdr:rowOff>
        </xdr:from>
        <xdr:to>
          <xdr:col>10</xdr:col>
          <xdr:colOff>12700</xdr:colOff>
          <xdr:row>18</xdr:row>
          <xdr:rowOff>0</xdr:rowOff>
        </xdr:to>
        <xdr:sp macro="" textlink="">
          <xdr:nvSpPr>
            <xdr:cNvPr id="104642" name="Drop Down 194" hidden="1">
              <a:extLst>
                <a:ext uri="{63B3BB69-23CF-44E3-9099-C40C66FF867C}">
                  <a14:compatExt spid="_x0000_s104642"/>
                </a:ext>
                <a:ext uri="{FF2B5EF4-FFF2-40B4-BE49-F238E27FC236}">
                  <a16:creationId xmlns:a16="http://schemas.microsoft.com/office/drawing/2014/main" id="{00000000-0008-0000-1500-0000C2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18</xdr:row>
          <xdr:rowOff>0</xdr:rowOff>
        </xdr:from>
        <xdr:to>
          <xdr:col>10</xdr:col>
          <xdr:colOff>12700</xdr:colOff>
          <xdr:row>19</xdr:row>
          <xdr:rowOff>0</xdr:rowOff>
        </xdr:to>
        <xdr:sp macro="" textlink="">
          <xdr:nvSpPr>
            <xdr:cNvPr id="104643" name="Drop Down 195" hidden="1">
              <a:extLst>
                <a:ext uri="{63B3BB69-23CF-44E3-9099-C40C66FF867C}">
                  <a14:compatExt spid="_x0000_s104643"/>
                </a:ext>
                <a:ext uri="{FF2B5EF4-FFF2-40B4-BE49-F238E27FC236}">
                  <a16:creationId xmlns:a16="http://schemas.microsoft.com/office/drawing/2014/main" id="{00000000-0008-0000-1500-0000C3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19</xdr:row>
          <xdr:rowOff>0</xdr:rowOff>
        </xdr:from>
        <xdr:to>
          <xdr:col>10</xdr:col>
          <xdr:colOff>12700</xdr:colOff>
          <xdr:row>20</xdr:row>
          <xdr:rowOff>0</xdr:rowOff>
        </xdr:to>
        <xdr:sp macro="" textlink="">
          <xdr:nvSpPr>
            <xdr:cNvPr id="104644" name="Drop Down 196" hidden="1">
              <a:extLst>
                <a:ext uri="{63B3BB69-23CF-44E3-9099-C40C66FF867C}">
                  <a14:compatExt spid="_x0000_s104644"/>
                </a:ext>
                <a:ext uri="{FF2B5EF4-FFF2-40B4-BE49-F238E27FC236}">
                  <a16:creationId xmlns:a16="http://schemas.microsoft.com/office/drawing/2014/main" id="{00000000-0008-0000-1500-0000C4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20</xdr:row>
          <xdr:rowOff>0</xdr:rowOff>
        </xdr:from>
        <xdr:to>
          <xdr:col>10</xdr:col>
          <xdr:colOff>12700</xdr:colOff>
          <xdr:row>21</xdr:row>
          <xdr:rowOff>0</xdr:rowOff>
        </xdr:to>
        <xdr:sp macro="" textlink="">
          <xdr:nvSpPr>
            <xdr:cNvPr id="104645" name="Drop Down 197" hidden="1">
              <a:extLst>
                <a:ext uri="{63B3BB69-23CF-44E3-9099-C40C66FF867C}">
                  <a14:compatExt spid="_x0000_s104645"/>
                </a:ext>
                <a:ext uri="{FF2B5EF4-FFF2-40B4-BE49-F238E27FC236}">
                  <a16:creationId xmlns:a16="http://schemas.microsoft.com/office/drawing/2014/main" id="{00000000-0008-0000-1500-0000C5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21</xdr:row>
          <xdr:rowOff>0</xdr:rowOff>
        </xdr:from>
        <xdr:to>
          <xdr:col>10</xdr:col>
          <xdr:colOff>12700</xdr:colOff>
          <xdr:row>22</xdr:row>
          <xdr:rowOff>0</xdr:rowOff>
        </xdr:to>
        <xdr:sp macro="" textlink="">
          <xdr:nvSpPr>
            <xdr:cNvPr id="104646" name="Drop Down 198" hidden="1">
              <a:extLst>
                <a:ext uri="{63B3BB69-23CF-44E3-9099-C40C66FF867C}">
                  <a14:compatExt spid="_x0000_s104646"/>
                </a:ext>
                <a:ext uri="{FF2B5EF4-FFF2-40B4-BE49-F238E27FC236}">
                  <a16:creationId xmlns:a16="http://schemas.microsoft.com/office/drawing/2014/main" id="{00000000-0008-0000-1500-0000C6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22</xdr:row>
          <xdr:rowOff>0</xdr:rowOff>
        </xdr:from>
        <xdr:to>
          <xdr:col>10</xdr:col>
          <xdr:colOff>12700</xdr:colOff>
          <xdr:row>23</xdr:row>
          <xdr:rowOff>0</xdr:rowOff>
        </xdr:to>
        <xdr:sp macro="" textlink="">
          <xdr:nvSpPr>
            <xdr:cNvPr id="104647" name="Drop Down 199" hidden="1">
              <a:extLst>
                <a:ext uri="{63B3BB69-23CF-44E3-9099-C40C66FF867C}">
                  <a14:compatExt spid="_x0000_s104647"/>
                </a:ext>
                <a:ext uri="{FF2B5EF4-FFF2-40B4-BE49-F238E27FC236}">
                  <a16:creationId xmlns:a16="http://schemas.microsoft.com/office/drawing/2014/main" id="{00000000-0008-0000-1500-0000C7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xdr:row>
          <xdr:rowOff>12700</xdr:rowOff>
        </xdr:from>
        <xdr:to>
          <xdr:col>6</xdr:col>
          <xdr:colOff>12700</xdr:colOff>
          <xdr:row>4</xdr:row>
          <xdr:rowOff>0</xdr:rowOff>
        </xdr:to>
        <xdr:sp macro="" textlink="">
          <xdr:nvSpPr>
            <xdr:cNvPr id="104648" name="Drop Down 200" hidden="1">
              <a:extLst>
                <a:ext uri="{63B3BB69-23CF-44E3-9099-C40C66FF867C}">
                  <a14:compatExt spid="_x0000_s104648"/>
                </a:ext>
                <a:ext uri="{FF2B5EF4-FFF2-40B4-BE49-F238E27FC236}">
                  <a16:creationId xmlns:a16="http://schemas.microsoft.com/office/drawing/2014/main" id="{00000000-0008-0000-1500-0000C89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6</xdr:row>
          <xdr:rowOff>12700</xdr:rowOff>
        </xdr:from>
        <xdr:to>
          <xdr:col>6</xdr:col>
          <xdr:colOff>12700</xdr:colOff>
          <xdr:row>7</xdr:row>
          <xdr:rowOff>0</xdr:rowOff>
        </xdr:to>
        <xdr:sp macro="" textlink="">
          <xdr:nvSpPr>
            <xdr:cNvPr id="35843" name="Drop Down 3" hidden="1">
              <a:extLst>
                <a:ext uri="{63B3BB69-23CF-44E3-9099-C40C66FF867C}">
                  <a14:compatExt spid="_x0000_s35843"/>
                </a:ext>
                <a:ext uri="{FF2B5EF4-FFF2-40B4-BE49-F238E27FC236}">
                  <a16:creationId xmlns:a16="http://schemas.microsoft.com/office/drawing/2014/main" id="{00000000-0008-0000-0400-000003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27</xdr:row>
          <xdr:rowOff>12700</xdr:rowOff>
        </xdr:from>
        <xdr:to>
          <xdr:col>6</xdr:col>
          <xdr:colOff>12700</xdr:colOff>
          <xdr:row>28</xdr:row>
          <xdr:rowOff>0</xdr:rowOff>
        </xdr:to>
        <xdr:sp macro="" textlink="">
          <xdr:nvSpPr>
            <xdr:cNvPr id="35844" name="Drop Down 4" hidden="1">
              <a:extLst>
                <a:ext uri="{63B3BB69-23CF-44E3-9099-C40C66FF867C}">
                  <a14:compatExt spid="_x0000_s35844"/>
                </a:ext>
                <a:ext uri="{FF2B5EF4-FFF2-40B4-BE49-F238E27FC236}">
                  <a16:creationId xmlns:a16="http://schemas.microsoft.com/office/drawing/2014/main" id="{00000000-0008-0000-0400-000004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20</xdr:row>
          <xdr:rowOff>12700</xdr:rowOff>
        </xdr:from>
        <xdr:to>
          <xdr:col>6</xdr:col>
          <xdr:colOff>12700</xdr:colOff>
          <xdr:row>21</xdr:row>
          <xdr:rowOff>12700</xdr:rowOff>
        </xdr:to>
        <xdr:sp macro="" textlink="">
          <xdr:nvSpPr>
            <xdr:cNvPr id="35845" name="Drop Down 5" hidden="1">
              <a:extLst>
                <a:ext uri="{63B3BB69-23CF-44E3-9099-C40C66FF867C}">
                  <a14:compatExt spid="_x0000_s35845"/>
                </a:ext>
                <a:ext uri="{FF2B5EF4-FFF2-40B4-BE49-F238E27FC236}">
                  <a16:creationId xmlns:a16="http://schemas.microsoft.com/office/drawing/2014/main" id="{00000000-0008-0000-0400-000005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21</xdr:row>
          <xdr:rowOff>12700</xdr:rowOff>
        </xdr:from>
        <xdr:to>
          <xdr:col>6</xdr:col>
          <xdr:colOff>12700</xdr:colOff>
          <xdr:row>22</xdr:row>
          <xdr:rowOff>0</xdr:rowOff>
        </xdr:to>
        <xdr:sp macro="" textlink="">
          <xdr:nvSpPr>
            <xdr:cNvPr id="35846" name="Drop Down 6" hidden="1">
              <a:extLst>
                <a:ext uri="{63B3BB69-23CF-44E3-9099-C40C66FF867C}">
                  <a14:compatExt spid="_x0000_s35846"/>
                </a:ext>
                <a:ext uri="{FF2B5EF4-FFF2-40B4-BE49-F238E27FC236}">
                  <a16:creationId xmlns:a16="http://schemas.microsoft.com/office/drawing/2014/main" id="{00000000-0008-0000-0400-000006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22</xdr:row>
          <xdr:rowOff>12700</xdr:rowOff>
        </xdr:from>
        <xdr:to>
          <xdr:col>6</xdr:col>
          <xdr:colOff>12700</xdr:colOff>
          <xdr:row>23</xdr:row>
          <xdr:rowOff>12700</xdr:rowOff>
        </xdr:to>
        <xdr:sp macro="" textlink="">
          <xdr:nvSpPr>
            <xdr:cNvPr id="35847" name="Drop Down 7" hidden="1">
              <a:extLst>
                <a:ext uri="{63B3BB69-23CF-44E3-9099-C40C66FF867C}">
                  <a14:compatExt spid="_x0000_s35847"/>
                </a:ext>
                <a:ext uri="{FF2B5EF4-FFF2-40B4-BE49-F238E27FC236}">
                  <a16:creationId xmlns:a16="http://schemas.microsoft.com/office/drawing/2014/main" id="{00000000-0008-0000-0400-000007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23</xdr:row>
          <xdr:rowOff>12700</xdr:rowOff>
        </xdr:from>
        <xdr:to>
          <xdr:col>6</xdr:col>
          <xdr:colOff>12700</xdr:colOff>
          <xdr:row>24</xdr:row>
          <xdr:rowOff>0</xdr:rowOff>
        </xdr:to>
        <xdr:sp macro="" textlink="">
          <xdr:nvSpPr>
            <xdr:cNvPr id="35888" name="Drop Down 48" hidden="1">
              <a:extLst>
                <a:ext uri="{63B3BB69-23CF-44E3-9099-C40C66FF867C}">
                  <a14:compatExt spid="_x0000_s35888"/>
                </a:ext>
                <a:ext uri="{FF2B5EF4-FFF2-40B4-BE49-F238E27FC236}">
                  <a16:creationId xmlns:a16="http://schemas.microsoft.com/office/drawing/2014/main" id="{00000000-0008-0000-0400-000030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876300</xdr:colOff>
          <xdr:row>8</xdr:row>
          <xdr:rowOff>25400</xdr:rowOff>
        </xdr:from>
        <xdr:to>
          <xdr:col>9</xdr:col>
          <xdr:colOff>12701</xdr:colOff>
          <xdr:row>9</xdr:row>
          <xdr:rowOff>12700</xdr:rowOff>
        </xdr:to>
        <xdr:sp macro="" textlink="">
          <xdr:nvSpPr>
            <xdr:cNvPr id="138243" name="Drop Down 3" hidden="1">
              <a:extLst>
                <a:ext uri="{63B3BB69-23CF-44E3-9099-C40C66FF867C}">
                  <a14:compatExt spid="_x0000_s138243"/>
                </a:ext>
                <a:ext uri="{FF2B5EF4-FFF2-40B4-BE49-F238E27FC236}">
                  <a16:creationId xmlns:a16="http://schemas.microsoft.com/office/drawing/2014/main" id="{00000000-0008-0000-1600-000003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18</xdr:row>
          <xdr:rowOff>12700</xdr:rowOff>
        </xdr:from>
        <xdr:to>
          <xdr:col>9</xdr:col>
          <xdr:colOff>12701</xdr:colOff>
          <xdr:row>19</xdr:row>
          <xdr:rowOff>0</xdr:rowOff>
        </xdr:to>
        <xdr:sp macro="" textlink="">
          <xdr:nvSpPr>
            <xdr:cNvPr id="138244" name="Drop Down 4" hidden="1">
              <a:extLst>
                <a:ext uri="{63B3BB69-23CF-44E3-9099-C40C66FF867C}">
                  <a14:compatExt spid="_x0000_s138244"/>
                </a:ext>
                <a:ext uri="{FF2B5EF4-FFF2-40B4-BE49-F238E27FC236}">
                  <a16:creationId xmlns:a16="http://schemas.microsoft.com/office/drawing/2014/main" id="{00000000-0008-0000-1600-000004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23</xdr:row>
          <xdr:rowOff>12700</xdr:rowOff>
        </xdr:from>
        <xdr:to>
          <xdr:col>9</xdr:col>
          <xdr:colOff>12701</xdr:colOff>
          <xdr:row>23</xdr:row>
          <xdr:rowOff>762000</xdr:rowOff>
        </xdr:to>
        <xdr:sp macro="" textlink="">
          <xdr:nvSpPr>
            <xdr:cNvPr id="138245" name="Drop Down 5" hidden="1">
              <a:extLst>
                <a:ext uri="{63B3BB69-23CF-44E3-9099-C40C66FF867C}">
                  <a14:compatExt spid="_x0000_s138245"/>
                </a:ext>
                <a:ext uri="{FF2B5EF4-FFF2-40B4-BE49-F238E27FC236}">
                  <a16:creationId xmlns:a16="http://schemas.microsoft.com/office/drawing/2014/main" id="{00000000-0008-0000-1600-000005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24</xdr:row>
          <xdr:rowOff>12700</xdr:rowOff>
        </xdr:from>
        <xdr:to>
          <xdr:col>9</xdr:col>
          <xdr:colOff>1</xdr:colOff>
          <xdr:row>25</xdr:row>
          <xdr:rowOff>25400</xdr:rowOff>
        </xdr:to>
        <xdr:sp macro="" textlink="">
          <xdr:nvSpPr>
            <xdr:cNvPr id="138246" name="Drop Down 6" hidden="1">
              <a:extLst>
                <a:ext uri="{63B3BB69-23CF-44E3-9099-C40C66FF867C}">
                  <a14:compatExt spid="_x0000_s138246"/>
                </a:ext>
                <a:ext uri="{FF2B5EF4-FFF2-40B4-BE49-F238E27FC236}">
                  <a16:creationId xmlns:a16="http://schemas.microsoft.com/office/drawing/2014/main" id="{00000000-0008-0000-1600-000006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876300</xdr:colOff>
          <xdr:row>25</xdr:row>
          <xdr:rowOff>12700</xdr:rowOff>
        </xdr:from>
        <xdr:to>
          <xdr:col>9</xdr:col>
          <xdr:colOff>1</xdr:colOff>
          <xdr:row>25</xdr:row>
          <xdr:rowOff>647700</xdr:rowOff>
        </xdr:to>
        <xdr:sp macro="" textlink="">
          <xdr:nvSpPr>
            <xdr:cNvPr id="138247" name="Drop Down 7" hidden="1">
              <a:extLst>
                <a:ext uri="{63B3BB69-23CF-44E3-9099-C40C66FF867C}">
                  <a14:compatExt spid="_x0000_s138247"/>
                </a:ext>
                <a:ext uri="{FF2B5EF4-FFF2-40B4-BE49-F238E27FC236}">
                  <a16:creationId xmlns:a16="http://schemas.microsoft.com/office/drawing/2014/main" id="{00000000-0008-0000-1600-000007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5</xdr:row>
          <xdr:rowOff>0</xdr:rowOff>
        </xdr:from>
        <xdr:to>
          <xdr:col>25</xdr:col>
          <xdr:colOff>12699</xdr:colOff>
          <xdr:row>6</xdr:row>
          <xdr:rowOff>0</xdr:rowOff>
        </xdr:to>
        <xdr:sp macro="" textlink="">
          <xdr:nvSpPr>
            <xdr:cNvPr id="138303" name="Drop Down 63" hidden="1">
              <a:extLst>
                <a:ext uri="{63B3BB69-23CF-44E3-9099-C40C66FF867C}">
                  <a14:compatExt spid="_x0000_s138303"/>
                </a:ext>
                <a:ext uri="{FF2B5EF4-FFF2-40B4-BE49-F238E27FC236}">
                  <a16:creationId xmlns:a16="http://schemas.microsoft.com/office/drawing/2014/main" id="{00000000-0008-0000-1600-00003F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508000</xdr:colOff>
          <xdr:row>7</xdr:row>
          <xdr:rowOff>12700</xdr:rowOff>
        </xdr:from>
        <xdr:to>
          <xdr:col>24</xdr:col>
          <xdr:colOff>4010526</xdr:colOff>
          <xdr:row>8</xdr:row>
          <xdr:rowOff>0</xdr:rowOff>
        </xdr:to>
        <xdr:sp macro="" textlink="">
          <xdr:nvSpPr>
            <xdr:cNvPr id="138304" name="Drop Down 64" hidden="1">
              <a:extLst>
                <a:ext uri="{63B3BB69-23CF-44E3-9099-C40C66FF867C}">
                  <a14:compatExt spid="_x0000_s138304"/>
                </a:ext>
                <a:ext uri="{FF2B5EF4-FFF2-40B4-BE49-F238E27FC236}">
                  <a16:creationId xmlns:a16="http://schemas.microsoft.com/office/drawing/2014/main" id="{00000000-0008-0000-1600-000040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8</xdr:row>
          <xdr:rowOff>12700</xdr:rowOff>
        </xdr:from>
        <xdr:to>
          <xdr:col>25</xdr:col>
          <xdr:colOff>12699</xdr:colOff>
          <xdr:row>9</xdr:row>
          <xdr:rowOff>0</xdr:rowOff>
        </xdr:to>
        <xdr:sp macro="" textlink="">
          <xdr:nvSpPr>
            <xdr:cNvPr id="138305" name="Drop Down 65" hidden="1">
              <a:extLst>
                <a:ext uri="{63B3BB69-23CF-44E3-9099-C40C66FF867C}">
                  <a14:compatExt spid="_x0000_s138305"/>
                </a:ext>
                <a:ext uri="{FF2B5EF4-FFF2-40B4-BE49-F238E27FC236}">
                  <a16:creationId xmlns:a16="http://schemas.microsoft.com/office/drawing/2014/main" id="{00000000-0008-0000-1600-000041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9</xdr:row>
          <xdr:rowOff>0</xdr:rowOff>
        </xdr:from>
        <xdr:to>
          <xdr:col>25</xdr:col>
          <xdr:colOff>12699</xdr:colOff>
          <xdr:row>10</xdr:row>
          <xdr:rowOff>0</xdr:rowOff>
        </xdr:to>
        <xdr:sp macro="" textlink="">
          <xdr:nvSpPr>
            <xdr:cNvPr id="138306" name="Drop Down 66" hidden="1">
              <a:extLst>
                <a:ext uri="{63B3BB69-23CF-44E3-9099-C40C66FF867C}">
                  <a14:compatExt spid="_x0000_s138306"/>
                </a:ext>
                <a:ext uri="{FF2B5EF4-FFF2-40B4-BE49-F238E27FC236}">
                  <a16:creationId xmlns:a16="http://schemas.microsoft.com/office/drawing/2014/main" id="{00000000-0008-0000-1600-000042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9</xdr:row>
          <xdr:rowOff>381000</xdr:rowOff>
        </xdr:from>
        <xdr:to>
          <xdr:col>25</xdr:col>
          <xdr:colOff>12699</xdr:colOff>
          <xdr:row>11</xdr:row>
          <xdr:rowOff>12700</xdr:rowOff>
        </xdr:to>
        <xdr:sp macro="" textlink="">
          <xdr:nvSpPr>
            <xdr:cNvPr id="138307" name="Drop Down 67" hidden="1">
              <a:extLst>
                <a:ext uri="{63B3BB69-23CF-44E3-9099-C40C66FF867C}">
                  <a14:compatExt spid="_x0000_s138307"/>
                </a:ext>
                <a:ext uri="{FF2B5EF4-FFF2-40B4-BE49-F238E27FC236}">
                  <a16:creationId xmlns:a16="http://schemas.microsoft.com/office/drawing/2014/main" id="{00000000-0008-0000-1600-000043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11</xdr:row>
          <xdr:rowOff>12700</xdr:rowOff>
        </xdr:from>
        <xdr:to>
          <xdr:col>25</xdr:col>
          <xdr:colOff>12699</xdr:colOff>
          <xdr:row>12</xdr:row>
          <xdr:rowOff>12700</xdr:rowOff>
        </xdr:to>
        <xdr:sp macro="" textlink="">
          <xdr:nvSpPr>
            <xdr:cNvPr id="138308" name="Drop Down 68" hidden="1">
              <a:extLst>
                <a:ext uri="{63B3BB69-23CF-44E3-9099-C40C66FF867C}">
                  <a14:compatExt spid="_x0000_s138308"/>
                </a:ext>
                <a:ext uri="{FF2B5EF4-FFF2-40B4-BE49-F238E27FC236}">
                  <a16:creationId xmlns:a16="http://schemas.microsoft.com/office/drawing/2014/main" id="{00000000-0008-0000-1600-000044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12</xdr:row>
          <xdr:rowOff>12700</xdr:rowOff>
        </xdr:from>
        <xdr:to>
          <xdr:col>25</xdr:col>
          <xdr:colOff>12699</xdr:colOff>
          <xdr:row>13</xdr:row>
          <xdr:rowOff>12700</xdr:rowOff>
        </xdr:to>
        <xdr:sp macro="" textlink="">
          <xdr:nvSpPr>
            <xdr:cNvPr id="138309" name="Drop Down 69" hidden="1">
              <a:extLst>
                <a:ext uri="{63B3BB69-23CF-44E3-9099-C40C66FF867C}">
                  <a14:compatExt spid="_x0000_s138309"/>
                </a:ext>
                <a:ext uri="{FF2B5EF4-FFF2-40B4-BE49-F238E27FC236}">
                  <a16:creationId xmlns:a16="http://schemas.microsoft.com/office/drawing/2014/main" id="{00000000-0008-0000-1600-000045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3</xdr:row>
          <xdr:rowOff>0</xdr:rowOff>
        </xdr:from>
        <xdr:to>
          <xdr:col>25</xdr:col>
          <xdr:colOff>12699</xdr:colOff>
          <xdr:row>4</xdr:row>
          <xdr:rowOff>0</xdr:rowOff>
        </xdr:to>
        <xdr:sp macro="" textlink="">
          <xdr:nvSpPr>
            <xdr:cNvPr id="138310" name="Drop Down 70" hidden="1">
              <a:extLst>
                <a:ext uri="{63B3BB69-23CF-44E3-9099-C40C66FF867C}">
                  <a14:compatExt spid="_x0000_s138310"/>
                </a:ext>
                <a:ext uri="{FF2B5EF4-FFF2-40B4-BE49-F238E27FC236}">
                  <a16:creationId xmlns:a16="http://schemas.microsoft.com/office/drawing/2014/main" id="{00000000-0008-0000-1600-000046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4</xdr:row>
          <xdr:rowOff>0</xdr:rowOff>
        </xdr:from>
        <xdr:to>
          <xdr:col>25</xdr:col>
          <xdr:colOff>12699</xdr:colOff>
          <xdr:row>5</xdr:row>
          <xdr:rowOff>0</xdr:rowOff>
        </xdr:to>
        <xdr:sp macro="" textlink="">
          <xdr:nvSpPr>
            <xdr:cNvPr id="138311" name="Drop Down 71" hidden="1">
              <a:extLst>
                <a:ext uri="{63B3BB69-23CF-44E3-9099-C40C66FF867C}">
                  <a14:compatExt spid="_x0000_s138311"/>
                </a:ext>
                <a:ext uri="{FF2B5EF4-FFF2-40B4-BE49-F238E27FC236}">
                  <a16:creationId xmlns:a16="http://schemas.microsoft.com/office/drawing/2014/main" id="{00000000-0008-0000-1600-000047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5</xdr:row>
          <xdr:rowOff>533400</xdr:rowOff>
        </xdr:from>
        <xdr:to>
          <xdr:col>25</xdr:col>
          <xdr:colOff>12699</xdr:colOff>
          <xdr:row>7</xdr:row>
          <xdr:rowOff>12700</xdr:rowOff>
        </xdr:to>
        <xdr:sp macro="" textlink="">
          <xdr:nvSpPr>
            <xdr:cNvPr id="138312" name="Drop Down 72" hidden="1">
              <a:extLst>
                <a:ext uri="{63B3BB69-23CF-44E3-9099-C40C66FF867C}">
                  <a14:compatExt spid="_x0000_s138312"/>
                </a:ext>
                <a:ext uri="{FF2B5EF4-FFF2-40B4-BE49-F238E27FC236}">
                  <a16:creationId xmlns:a16="http://schemas.microsoft.com/office/drawing/2014/main" id="{00000000-0008-0000-1600-0000481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12700</xdr:colOff>
          <xdr:row>7</xdr:row>
          <xdr:rowOff>215900</xdr:rowOff>
        </xdr:from>
        <xdr:to>
          <xdr:col>6</xdr:col>
          <xdr:colOff>0</xdr:colOff>
          <xdr:row>8</xdr:row>
          <xdr:rowOff>584200</xdr:rowOff>
        </xdr:to>
        <xdr:sp macro="" textlink="">
          <xdr:nvSpPr>
            <xdr:cNvPr id="15361" name="Drop Down 1" hidden="1">
              <a:extLst>
                <a:ext uri="{63B3BB69-23CF-44E3-9099-C40C66FF867C}">
                  <a14:compatExt spid="_x0000_s15361"/>
                </a:ext>
                <a:ext uri="{FF2B5EF4-FFF2-40B4-BE49-F238E27FC236}">
                  <a16:creationId xmlns:a16="http://schemas.microsoft.com/office/drawing/2014/main" id="{00000000-0008-0000-05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18</xdr:row>
          <xdr:rowOff>736600</xdr:rowOff>
        </xdr:from>
        <xdr:to>
          <xdr:col>6</xdr:col>
          <xdr:colOff>0</xdr:colOff>
          <xdr:row>20</xdr:row>
          <xdr:rowOff>0</xdr:rowOff>
        </xdr:to>
        <xdr:sp macro="" textlink="">
          <xdr:nvSpPr>
            <xdr:cNvPr id="15363" name="Drop Down 3" hidden="1">
              <a:extLst>
                <a:ext uri="{63B3BB69-23CF-44E3-9099-C40C66FF867C}">
                  <a14:compatExt spid="_x0000_s15363"/>
                </a:ext>
                <a:ext uri="{FF2B5EF4-FFF2-40B4-BE49-F238E27FC236}">
                  <a16:creationId xmlns:a16="http://schemas.microsoft.com/office/drawing/2014/main" id="{00000000-0008-0000-05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108</xdr:row>
          <xdr:rowOff>609600</xdr:rowOff>
        </xdr:from>
        <xdr:to>
          <xdr:col>6</xdr:col>
          <xdr:colOff>0</xdr:colOff>
          <xdr:row>110</xdr:row>
          <xdr:rowOff>12700</xdr:rowOff>
        </xdr:to>
        <xdr:sp macro="" textlink="">
          <xdr:nvSpPr>
            <xdr:cNvPr id="15366" name="Drop Down 6" hidden="1">
              <a:extLst>
                <a:ext uri="{63B3BB69-23CF-44E3-9099-C40C66FF867C}">
                  <a14:compatExt spid="_x0000_s15366"/>
                </a:ext>
                <a:ext uri="{FF2B5EF4-FFF2-40B4-BE49-F238E27FC236}">
                  <a16:creationId xmlns:a16="http://schemas.microsoft.com/office/drawing/2014/main" id="{00000000-0008-0000-0500-00000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102</xdr:row>
          <xdr:rowOff>203200</xdr:rowOff>
        </xdr:from>
        <xdr:to>
          <xdr:col>6</xdr:col>
          <xdr:colOff>0</xdr:colOff>
          <xdr:row>104</xdr:row>
          <xdr:rowOff>12699</xdr:rowOff>
        </xdr:to>
        <xdr:sp macro="" textlink="">
          <xdr:nvSpPr>
            <xdr:cNvPr id="15493" name="Drop Down 133" hidden="1">
              <a:extLst>
                <a:ext uri="{63B3BB69-23CF-44E3-9099-C40C66FF867C}">
                  <a14:compatExt spid="_x0000_s15493"/>
                </a:ext>
                <a:ext uri="{FF2B5EF4-FFF2-40B4-BE49-F238E27FC236}">
                  <a16:creationId xmlns:a16="http://schemas.microsoft.com/office/drawing/2014/main" id="{00000000-0008-0000-0500-000085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90</xdr:row>
          <xdr:rowOff>431800</xdr:rowOff>
        </xdr:from>
        <xdr:to>
          <xdr:col>6</xdr:col>
          <xdr:colOff>0</xdr:colOff>
          <xdr:row>92</xdr:row>
          <xdr:rowOff>0</xdr:rowOff>
        </xdr:to>
        <xdr:sp macro="" textlink="">
          <xdr:nvSpPr>
            <xdr:cNvPr id="15501" name="Drop Down 141" hidden="1">
              <a:extLst>
                <a:ext uri="{63B3BB69-23CF-44E3-9099-C40C66FF867C}">
                  <a14:compatExt spid="_x0000_s15501"/>
                </a:ext>
                <a:ext uri="{FF2B5EF4-FFF2-40B4-BE49-F238E27FC236}">
                  <a16:creationId xmlns:a16="http://schemas.microsoft.com/office/drawing/2014/main" id="{00000000-0008-0000-0500-00008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72</xdr:row>
          <xdr:rowOff>266700</xdr:rowOff>
        </xdr:from>
        <xdr:to>
          <xdr:col>6</xdr:col>
          <xdr:colOff>0</xdr:colOff>
          <xdr:row>74</xdr:row>
          <xdr:rowOff>0</xdr:rowOff>
        </xdr:to>
        <xdr:sp macro="" textlink="">
          <xdr:nvSpPr>
            <xdr:cNvPr id="15574" name="Drop Down 214" hidden="1">
              <a:extLst>
                <a:ext uri="{63B3BB69-23CF-44E3-9099-C40C66FF867C}">
                  <a14:compatExt spid="_x0000_s15574"/>
                </a:ext>
                <a:ext uri="{FF2B5EF4-FFF2-40B4-BE49-F238E27FC236}">
                  <a16:creationId xmlns:a16="http://schemas.microsoft.com/office/drawing/2014/main" id="{00000000-0008-0000-0500-0000D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75</xdr:row>
          <xdr:rowOff>571500</xdr:rowOff>
        </xdr:from>
        <xdr:to>
          <xdr:col>6</xdr:col>
          <xdr:colOff>0</xdr:colOff>
          <xdr:row>77</xdr:row>
          <xdr:rowOff>0</xdr:rowOff>
        </xdr:to>
        <xdr:sp macro="" textlink="">
          <xdr:nvSpPr>
            <xdr:cNvPr id="15575" name="Drop Down 215" hidden="1">
              <a:extLst>
                <a:ext uri="{63B3BB69-23CF-44E3-9099-C40C66FF867C}">
                  <a14:compatExt spid="_x0000_s15575"/>
                </a:ext>
                <a:ext uri="{FF2B5EF4-FFF2-40B4-BE49-F238E27FC236}">
                  <a16:creationId xmlns:a16="http://schemas.microsoft.com/office/drawing/2014/main" id="{00000000-0008-0000-0500-0000D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89</xdr:row>
          <xdr:rowOff>431800</xdr:rowOff>
        </xdr:from>
        <xdr:to>
          <xdr:col>6</xdr:col>
          <xdr:colOff>12700</xdr:colOff>
          <xdr:row>91</xdr:row>
          <xdr:rowOff>0</xdr:rowOff>
        </xdr:to>
        <xdr:sp macro="" textlink="">
          <xdr:nvSpPr>
            <xdr:cNvPr id="15579" name="Drop Down 219" hidden="1">
              <a:extLst>
                <a:ext uri="{63B3BB69-23CF-44E3-9099-C40C66FF867C}">
                  <a14:compatExt spid="_x0000_s15579"/>
                </a:ext>
                <a:ext uri="{FF2B5EF4-FFF2-40B4-BE49-F238E27FC236}">
                  <a16:creationId xmlns:a16="http://schemas.microsoft.com/office/drawing/2014/main" id="{00000000-0008-0000-0500-0000D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73</xdr:row>
          <xdr:rowOff>381000</xdr:rowOff>
        </xdr:from>
        <xdr:to>
          <xdr:col>6</xdr:col>
          <xdr:colOff>0</xdr:colOff>
          <xdr:row>75</xdr:row>
          <xdr:rowOff>0</xdr:rowOff>
        </xdr:to>
        <xdr:sp macro="" textlink="">
          <xdr:nvSpPr>
            <xdr:cNvPr id="15580" name="Drop Down 220" hidden="1">
              <a:extLst>
                <a:ext uri="{63B3BB69-23CF-44E3-9099-C40C66FF867C}">
                  <a14:compatExt spid="_x0000_s15580"/>
                </a:ext>
                <a:ext uri="{FF2B5EF4-FFF2-40B4-BE49-F238E27FC236}">
                  <a16:creationId xmlns:a16="http://schemas.microsoft.com/office/drawing/2014/main" id="{00000000-0008-0000-0500-0000D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36</xdr:row>
          <xdr:rowOff>0</xdr:rowOff>
        </xdr:from>
        <xdr:to>
          <xdr:col>6</xdr:col>
          <xdr:colOff>0</xdr:colOff>
          <xdr:row>37</xdr:row>
          <xdr:rowOff>0</xdr:rowOff>
        </xdr:to>
        <xdr:sp macro="" textlink="">
          <xdr:nvSpPr>
            <xdr:cNvPr id="15585" name="Drop Down 225" hidden="1">
              <a:extLst>
                <a:ext uri="{63B3BB69-23CF-44E3-9099-C40C66FF867C}">
                  <a14:compatExt spid="_x0000_s15585"/>
                </a:ext>
                <a:ext uri="{FF2B5EF4-FFF2-40B4-BE49-F238E27FC236}">
                  <a16:creationId xmlns:a16="http://schemas.microsoft.com/office/drawing/2014/main" id="{00000000-0008-0000-0500-0000E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44</xdr:row>
          <xdr:rowOff>0</xdr:rowOff>
        </xdr:from>
        <xdr:to>
          <xdr:col>6</xdr:col>
          <xdr:colOff>0</xdr:colOff>
          <xdr:row>45</xdr:row>
          <xdr:rowOff>0</xdr:rowOff>
        </xdr:to>
        <xdr:sp macro="" textlink="">
          <xdr:nvSpPr>
            <xdr:cNvPr id="15587" name="Drop Down 227" hidden="1">
              <a:extLst>
                <a:ext uri="{63B3BB69-23CF-44E3-9099-C40C66FF867C}">
                  <a14:compatExt spid="_x0000_s15587"/>
                </a:ext>
                <a:ext uri="{FF2B5EF4-FFF2-40B4-BE49-F238E27FC236}">
                  <a16:creationId xmlns:a16="http://schemas.microsoft.com/office/drawing/2014/main" id="{00000000-0008-0000-0500-0000E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4</xdr:row>
          <xdr:rowOff>0</xdr:rowOff>
        </xdr:from>
        <xdr:to>
          <xdr:col>6</xdr:col>
          <xdr:colOff>0</xdr:colOff>
          <xdr:row>5</xdr:row>
          <xdr:rowOff>0</xdr:rowOff>
        </xdr:to>
        <xdr:sp macro="" textlink="">
          <xdr:nvSpPr>
            <xdr:cNvPr id="15591" name="Drop Down 231" hidden="1">
              <a:extLst>
                <a:ext uri="{63B3BB69-23CF-44E3-9099-C40C66FF867C}">
                  <a14:compatExt spid="_x0000_s15591"/>
                </a:ext>
                <a:ext uri="{FF2B5EF4-FFF2-40B4-BE49-F238E27FC236}">
                  <a16:creationId xmlns:a16="http://schemas.microsoft.com/office/drawing/2014/main" id="{00000000-0008-0000-0500-0000E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29</xdr:row>
          <xdr:rowOff>12700</xdr:rowOff>
        </xdr:from>
        <xdr:to>
          <xdr:col>6</xdr:col>
          <xdr:colOff>0</xdr:colOff>
          <xdr:row>30</xdr:row>
          <xdr:rowOff>0</xdr:rowOff>
        </xdr:to>
        <xdr:sp macro="" textlink="">
          <xdr:nvSpPr>
            <xdr:cNvPr id="15593" name="Drop Down 233" hidden="1">
              <a:extLst>
                <a:ext uri="{63B3BB69-23CF-44E3-9099-C40C66FF867C}">
                  <a14:compatExt spid="_x0000_s15593"/>
                </a:ext>
                <a:ext uri="{FF2B5EF4-FFF2-40B4-BE49-F238E27FC236}">
                  <a16:creationId xmlns:a16="http://schemas.microsoft.com/office/drawing/2014/main" id="{00000000-0008-0000-0500-0000E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16</xdr:row>
          <xdr:rowOff>12700</xdr:rowOff>
        </xdr:from>
        <xdr:to>
          <xdr:col>6</xdr:col>
          <xdr:colOff>12700</xdr:colOff>
          <xdr:row>17</xdr:row>
          <xdr:rowOff>12700</xdr:rowOff>
        </xdr:to>
        <xdr:sp macro="" textlink="">
          <xdr:nvSpPr>
            <xdr:cNvPr id="15595" name="Drop Down 235" hidden="1">
              <a:extLst>
                <a:ext uri="{63B3BB69-23CF-44E3-9099-C40C66FF867C}">
                  <a14:compatExt spid="_x0000_s15595"/>
                </a:ext>
                <a:ext uri="{FF2B5EF4-FFF2-40B4-BE49-F238E27FC236}">
                  <a16:creationId xmlns:a16="http://schemas.microsoft.com/office/drawing/2014/main" id="{00000000-0008-0000-0500-0000E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38</xdr:row>
          <xdr:rowOff>762000</xdr:rowOff>
        </xdr:from>
        <xdr:to>
          <xdr:col>10</xdr:col>
          <xdr:colOff>12700</xdr:colOff>
          <xdr:row>40</xdr:row>
          <xdr:rowOff>12700</xdr:rowOff>
        </xdr:to>
        <xdr:sp macro="" textlink="">
          <xdr:nvSpPr>
            <xdr:cNvPr id="15597" name="Drop Down 237" hidden="1">
              <a:extLst>
                <a:ext uri="{63B3BB69-23CF-44E3-9099-C40C66FF867C}">
                  <a14:compatExt spid="_x0000_s15597"/>
                </a:ext>
                <a:ext uri="{FF2B5EF4-FFF2-40B4-BE49-F238E27FC236}">
                  <a16:creationId xmlns:a16="http://schemas.microsoft.com/office/drawing/2014/main" id="{00000000-0008-0000-0500-0000E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40</xdr:row>
          <xdr:rowOff>0</xdr:rowOff>
        </xdr:from>
        <xdr:to>
          <xdr:col>10</xdr:col>
          <xdr:colOff>0</xdr:colOff>
          <xdr:row>41</xdr:row>
          <xdr:rowOff>0</xdr:rowOff>
        </xdr:to>
        <xdr:sp macro="" textlink="">
          <xdr:nvSpPr>
            <xdr:cNvPr id="15609" name="Drop Down 249" hidden="1">
              <a:extLst>
                <a:ext uri="{63B3BB69-23CF-44E3-9099-C40C66FF867C}">
                  <a14:compatExt spid="_x0000_s15609"/>
                </a:ext>
                <a:ext uri="{FF2B5EF4-FFF2-40B4-BE49-F238E27FC236}">
                  <a16:creationId xmlns:a16="http://schemas.microsoft.com/office/drawing/2014/main" id="{00000000-0008-0000-0500-0000F9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40</xdr:row>
          <xdr:rowOff>647700</xdr:rowOff>
        </xdr:from>
        <xdr:to>
          <xdr:col>10</xdr:col>
          <xdr:colOff>12700</xdr:colOff>
          <xdr:row>41</xdr:row>
          <xdr:rowOff>381000</xdr:rowOff>
        </xdr:to>
        <xdr:sp macro="" textlink="">
          <xdr:nvSpPr>
            <xdr:cNvPr id="15610" name="Drop Down 250" hidden="1">
              <a:extLst>
                <a:ext uri="{63B3BB69-23CF-44E3-9099-C40C66FF867C}">
                  <a14:compatExt spid="_x0000_s15610"/>
                </a:ext>
                <a:ext uri="{FF2B5EF4-FFF2-40B4-BE49-F238E27FC236}">
                  <a16:creationId xmlns:a16="http://schemas.microsoft.com/office/drawing/2014/main" id="{00000000-0008-0000-0500-0000FA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42</xdr:row>
          <xdr:rowOff>0</xdr:rowOff>
        </xdr:from>
        <xdr:to>
          <xdr:col>10</xdr:col>
          <xdr:colOff>0</xdr:colOff>
          <xdr:row>43</xdr:row>
          <xdr:rowOff>12700</xdr:rowOff>
        </xdr:to>
        <xdr:sp macro="" textlink="">
          <xdr:nvSpPr>
            <xdr:cNvPr id="15611" name="Drop Down 251" hidden="1">
              <a:extLst>
                <a:ext uri="{63B3BB69-23CF-44E3-9099-C40C66FF867C}">
                  <a14:compatExt spid="_x0000_s15611"/>
                </a:ext>
                <a:ext uri="{FF2B5EF4-FFF2-40B4-BE49-F238E27FC236}">
                  <a16:creationId xmlns:a16="http://schemas.microsoft.com/office/drawing/2014/main" id="{00000000-0008-0000-0500-0000F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43</xdr:row>
          <xdr:rowOff>0</xdr:rowOff>
        </xdr:from>
        <xdr:to>
          <xdr:col>10</xdr:col>
          <xdr:colOff>0</xdr:colOff>
          <xdr:row>44</xdr:row>
          <xdr:rowOff>12700</xdr:rowOff>
        </xdr:to>
        <xdr:sp macro="" textlink="">
          <xdr:nvSpPr>
            <xdr:cNvPr id="15612" name="Drop Down 252" hidden="1">
              <a:extLst>
                <a:ext uri="{63B3BB69-23CF-44E3-9099-C40C66FF867C}">
                  <a14:compatExt spid="_x0000_s15612"/>
                </a:ext>
                <a:ext uri="{FF2B5EF4-FFF2-40B4-BE49-F238E27FC236}">
                  <a16:creationId xmlns:a16="http://schemas.microsoft.com/office/drawing/2014/main" id="{00000000-0008-0000-0500-0000FC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44</xdr:row>
          <xdr:rowOff>0</xdr:rowOff>
        </xdr:from>
        <xdr:to>
          <xdr:col>10</xdr:col>
          <xdr:colOff>12700</xdr:colOff>
          <xdr:row>45</xdr:row>
          <xdr:rowOff>12700</xdr:rowOff>
        </xdr:to>
        <xdr:sp macro="" textlink="">
          <xdr:nvSpPr>
            <xdr:cNvPr id="15613" name="Drop Down 253" hidden="1">
              <a:extLst>
                <a:ext uri="{63B3BB69-23CF-44E3-9099-C40C66FF867C}">
                  <a14:compatExt spid="_x0000_s15613"/>
                </a:ext>
                <a:ext uri="{FF2B5EF4-FFF2-40B4-BE49-F238E27FC236}">
                  <a16:creationId xmlns:a16="http://schemas.microsoft.com/office/drawing/2014/main" id="{00000000-0008-0000-0500-0000FD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45</xdr:row>
          <xdr:rowOff>0</xdr:rowOff>
        </xdr:from>
        <xdr:to>
          <xdr:col>10</xdr:col>
          <xdr:colOff>12700</xdr:colOff>
          <xdr:row>46</xdr:row>
          <xdr:rowOff>12700</xdr:rowOff>
        </xdr:to>
        <xdr:sp macro="" textlink="">
          <xdr:nvSpPr>
            <xdr:cNvPr id="15614" name="Drop Down 254" hidden="1">
              <a:extLst>
                <a:ext uri="{63B3BB69-23CF-44E3-9099-C40C66FF867C}">
                  <a14:compatExt spid="_x0000_s15614"/>
                </a:ext>
                <a:ext uri="{FF2B5EF4-FFF2-40B4-BE49-F238E27FC236}">
                  <a16:creationId xmlns:a16="http://schemas.microsoft.com/office/drawing/2014/main" id="{00000000-0008-0000-0500-0000FE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46</xdr:row>
          <xdr:rowOff>0</xdr:rowOff>
        </xdr:from>
        <xdr:to>
          <xdr:col>10</xdr:col>
          <xdr:colOff>12700</xdr:colOff>
          <xdr:row>47</xdr:row>
          <xdr:rowOff>12700</xdr:rowOff>
        </xdr:to>
        <xdr:sp macro="" textlink="">
          <xdr:nvSpPr>
            <xdr:cNvPr id="15615" name="Drop Down 255" hidden="1">
              <a:extLst>
                <a:ext uri="{63B3BB69-23CF-44E3-9099-C40C66FF867C}">
                  <a14:compatExt spid="_x0000_s15615"/>
                </a:ext>
                <a:ext uri="{FF2B5EF4-FFF2-40B4-BE49-F238E27FC236}">
                  <a16:creationId xmlns:a16="http://schemas.microsoft.com/office/drawing/2014/main" id="{00000000-0008-0000-0500-0000FF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46</xdr:row>
          <xdr:rowOff>469900</xdr:rowOff>
        </xdr:from>
        <xdr:to>
          <xdr:col>10</xdr:col>
          <xdr:colOff>0</xdr:colOff>
          <xdr:row>47</xdr:row>
          <xdr:rowOff>431800</xdr:rowOff>
        </xdr:to>
        <xdr:sp macro="" textlink="">
          <xdr:nvSpPr>
            <xdr:cNvPr id="15616" name="Drop Down 256" hidden="1">
              <a:extLst>
                <a:ext uri="{63B3BB69-23CF-44E3-9099-C40C66FF867C}">
                  <a14:compatExt spid="_x0000_s15616"/>
                </a:ext>
                <a:ext uri="{FF2B5EF4-FFF2-40B4-BE49-F238E27FC236}">
                  <a16:creationId xmlns:a16="http://schemas.microsoft.com/office/drawing/2014/main" id="{00000000-0008-0000-0500-000000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47</xdr:row>
          <xdr:rowOff>457200</xdr:rowOff>
        </xdr:from>
        <xdr:to>
          <xdr:col>10</xdr:col>
          <xdr:colOff>12700</xdr:colOff>
          <xdr:row>48</xdr:row>
          <xdr:rowOff>304800</xdr:rowOff>
        </xdr:to>
        <xdr:sp macro="" textlink="">
          <xdr:nvSpPr>
            <xdr:cNvPr id="15617" name="Drop Down 257" hidden="1">
              <a:extLst>
                <a:ext uri="{63B3BB69-23CF-44E3-9099-C40C66FF867C}">
                  <a14:compatExt spid="_x0000_s15617"/>
                </a:ext>
                <a:ext uri="{FF2B5EF4-FFF2-40B4-BE49-F238E27FC236}">
                  <a16:creationId xmlns:a16="http://schemas.microsoft.com/office/drawing/2014/main" id="{00000000-0008-0000-0500-000001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50</xdr:row>
          <xdr:rowOff>12700</xdr:rowOff>
        </xdr:from>
        <xdr:to>
          <xdr:col>10</xdr:col>
          <xdr:colOff>0</xdr:colOff>
          <xdr:row>50</xdr:row>
          <xdr:rowOff>660400</xdr:rowOff>
        </xdr:to>
        <xdr:sp macro="" textlink="">
          <xdr:nvSpPr>
            <xdr:cNvPr id="15618" name="Drop Down 258" hidden="1">
              <a:extLst>
                <a:ext uri="{63B3BB69-23CF-44E3-9099-C40C66FF867C}">
                  <a14:compatExt spid="_x0000_s15618"/>
                </a:ext>
                <a:ext uri="{FF2B5EF4-FFF2-40B4-BE49-F238E27FC236}">
                  <a16:creationId xmlns:a16="http://schemas.microsoft.com/office/drawing/2014/main" id="{00000000-0008-0000-0500-000002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38</xdr:row>
          <xdr:rowOff>12700</xdr:rowOff>
        </xdr:from>
        <xdr:to>
          <xdr:col>10</xdr:col>
          <xdr:colOff>12700</xdr:colOff>
          <xdr:row>39</xdr:row>
          <xdr:rowOff>0</xdr:rowOff>
        </xdr:to>
        <xdr:sp macro="" textlink="">
          <xdr:nvSpPr>
            <xdr:cNvPr id="15620" name="Drop Down 260" hidden="1">
              <a:extLst>
                <a:ext uri="{63B3BB69-23CF-44E3-9099-C40C66FF867C}">
                  <a14:compatExt spid="_x0000_s15620"/>
                </a:ext>
                <a:ext uri="{FF2B5EF4-FFF2-40B4-BE49-F238E27FC236}">
                  <a16:creationId xmlns:a16="http://schemas.microsoft.com/office/drawing/2014/main" id="{00000000-0008-0000-0500-000004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48</xdr:row>
          <xdr:rowOff>304800</xdr:rowOff>
        </xdr:from>
        <xdr:to>
          <xdr:col>10</xdr:col>
          <xdr:colOff>0</xdr:colOff>
          <xdr:row>50</xdr:row>
          <xdr:rowOff>0</xdr:rowOff>
        </xdr:to>
        <xdr:sp macro="" textlink="">
          <xdr:nvSpPr>
            <xdr:cNvPr id="15632" name="Drop Down 272" hidden="1">
              <a:extLst>
                <a:ext uri="{63B3BB69-23CF-44E3-9099-C40C66FF867C}">
                  <a14:compatExt spid="_x0000_s15632"/>
                </a:ext>
                <a:ext uri="{FF2B5EF4-FFF2-40B4-BE49-F238E27FC236}">
                  <a16:creationId xmlns:a16="http://schemas.microsoft.com/office/drawing/2014/main" id="{00000000-0008-0000-0500-000010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48</xdr:row>
          <xdr:rowOff>317500</xdr:rowOff>
        </xdr:from>
        <xdr:to>
          <xdr:col>6</xdr:col>
          <xdr:colOff>0</xdr:colOff>
          <xdr:row>50</xdr:row>
          <xdr:rowOff>0</xdr:rowOff>
        </xdr:to>
        <xdr:sp macro="" textlink="">
          <xdr:nvSpPr>
            <xdr:cNvPr id="15633" name="Drop Down 273" hidden="1">
              <a:extLst>
                <a:ext uri="{63B3BB69-23CF-44E3-9099-C40C66FF867C}">
                  <a14:compatExt spid="_x0000_s15633"/>
                </a:ext>
                <a:ext uri="{FF2B5EF4-FFF2-40B4-BE49-F238E27FC236}">
                  <a16:creationId xmlns:a16="http://schemas.microsoft.com/office/drawing/2014/main" id="{00000000-0008-0000-0500-000011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26</xdr:row>
          <xdr:rowOff>558800</xdr:rowOff>
        </xdr:from>
        <xdr:to>
          <xdr:col>10</xdr:col>
          <xdr:colOff>12700</xdr:colOff>
          <xdr:row>28</xdr:row>
          <xdr:rowOff>0</xdr:rowOff>
        </xdr:to>
        <xdr:sp macro="" textlink="">
          <xdr:nvSpPr>
            <xdr:cNvPr id="15644" name="Drop Down 284" hidden="1">
              <a:extLst>
                <a:ext uri="{63B3BB69-23CF-44E3-9099-C40C66FF867C}">
                  <a14:compatExt spid="_x0000_s15644"/>
                </a:ext>
                <a:ext uri="{FF2B5EF4-FFF2-40B4-BE49-F238E27FC236}">
                  <a16:creationId xmlns:a16="http://schemas.microsoft.com/office/drawing/2014/main" id="{00000000-0008-0000-0500-00001C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28</xdr:row>
          <xdr:rowOff>12700</xdr:rowOff>
        </xdr:from>
        <xdr:to>
          <xdr:col>10</xdr:col>
          <xdr:colOff>25400</xdr:colOff>
          <xdr:row>29</xdr:row>
          <xdr:rowOff>12700</xdr:rowOff>
        </xdr:to>
        <xdr:sp macro="" textlink="">
          <xdr:nvSpPr>
            <xdr:cNvPr id="15645" name="Drop Down 285" hidden="1">
              <a:extLst>
                <a:ext uri="{63B3BB69-23CF-44E3-9099-C40C66FF867C}">
                  <a14:compatExt spid="_x0000_s15645"/>
                </a:ext>
                <a:ext uri="{FF2B5EF4-FFF2-40B4-BE49-F238E27FC236}">
                  <a16:creationId xmlns:a16="http://schemas.microsoft.com/office/drawing/2014/main" id="{00000000-0008-0000-0500-00001D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28</xdr:row>
          <xdr:rowOff>304800</xdr:rowOff>
        </xdr:from>
        <xdr:to>
          <xdr:col>10</xdr:col>
          <xdr:colOff>12700</xdr:colOff>
          <xdr:row>29</xdr:row>
          <xdr:rowOff>406400</xdr:rowOff>
        </xdr:to>
        <xdr:sp macro="" textlink="">
          <xdr:nvSpPr>
            <xdr:cNvPr id="15646" name="Drop Down 286" hidden="1">
              <a:extLst>
                <a:ext uri="{63B3BB69-23CF-44E3-9099-C40C66FF867C}">
                  <a14:compatExt spid="_x0000_s15646"/>
                </a:ext>
                <a:ext uri="{FF2B5EF4-FFF2-40B4-BE49-F238E27FC236}">
                  <a16:creationId xmlns:a16="http://schemas.microsoft.com/office/drawing/2014/main" id="{00000000-0008-0000-0500-00001E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29</xdr:row>
          <xdr:rowOff>419100</xdr:rowOff>
        </xdr:from>
        <xdr:to>
          <xdr:col>10</xdr:col>
          <xdr:colOff>12700</xdr:colOff>
          <xdr:row>31</xdr:row>
          <xdr:rowOff>12700</xdr:rowOff>
        </xdr:to>
        <xdr:sp macro="" textlink="">
          <xdr:nvSpPr>
            <xdr:cNvPr id="15647" name="Drop Down 287" hidden="1">
              <a:extLst>
                <a:ext uri="{63B3BB69-23CF-44E3-9099-C40C66FF867C}">
                  <a14:compatExt spid="_x0000_s15647"/>
                </a:ext>
                <a:ext uri="{FF2B5EF4-FFF2-40B4-BE49-F238E27FC236}">
                  <a16:creationId xmlns:a16="http://schemas.microsoft.com/office/drawing/2014/main" id="{00000000-0008-0000-0500-00001F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31</xdr:row>
          <xdr:rowOff>12700</xdr:rowOff>
        </xdr:from>
        <xdr:to>
          <xdr:col>10</xdr:col>
          <xdr:colOff>12700</xdr:colOff>
          <xdr:row>31</xdr:row>
          <xdr:rowOff>762000</xdr:rowOff>
        </xdr:to>
        <xdr:sp macro="" textlink="">
          <xdr:nvSpPr>
            <xdr:cNvPr id="15648" name="Drop Down 288" hidden="1">
              <a:extLst>
                <a:ext uri="{63B3BB69-23CF-44E3-9099-C40C66FF867C}">
                  <a14:compatExt spid="_x0000_s15648"/>
                </a:ext>
                <a:ext uri="{FF2B5EF4-FFF2-40B4-BE49-F238E27FC236}">
                  <a16:creationId xmlns:a16="http://schemas.microsoft.com/office/drawing/2014/main" id="{00000000-0008-0000-0500-000020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79</xdr:row>
          <xdr:rowOff>12700</xdr:rowOff>
        </xdr:from>
        <xdr:to>
          <xdr:col>6</xdr:col>
          <xdr:colOff>12700</xdr:colOff>
          <xdr:row>80</xdr:row>
          <xdr:rowOff>1</xdr:rowOff>
        </xdr:to>
        <xdr:sp macro="" textlink="">
          <xdr:nvSpPr>
            <xdr:cNvPr id="15658" name="Drop Down 298" hidden="1">
              <a:extLst>
                <a:ext uri="{63B3BB69-23CF-44E3-9099-C40C66FF867C}">
                  <a14:compatExt spid="_x0000_s15658"/>
                </a:ext>
                <a:ext uri="{FF2B5EF4-FFF2-40B4-BE49-F238E27FC236}">
                  <a16:creationId xmlns:a16="http://schemas.microsoft.com/office/drawing/2014/main" id="{00000000-0008-0000-0500-00002A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1430865</xdr:colOff>
          <xdr:row>94</xdr:row>
          <xdr:rowOff>749308</xdr:rowOff>
        </xdr:from>
        <xdr:to>
          <xdr:col>5</xdr:col>
          <xdr:colOff>1219200</xdr:colOff>
          <xdr:row>96</xdr:row>
          <xdr:rowOff>4947</xdr:rowOff>
        </xdr:to>
        <xdr:sp macro="" textlink="">
          <xdr:nvSpPr>
            <xdr:cNvPr id="15659" name="Drop Down 299" hidden="1">
              <a:extLst>
                <a:ext uri="{63B3BB69-23CF-44E3-9099-C40C66FF867C}">
                  <a14:compatExt spid="_x0000_s15659"/>
                </a:ext>
                <a:ext uri="{FF2B5EF4-FFF2-40B4-BE49-F238E27FC236}">
                  <a16:creationId xmlns:a16="http://schemas.microsoft.com/office/drawing/2014/main" id="{00000000-0008-0000-0500-00002B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109</xdr:row>
          <xdr:rowOff>571500</xdr:rowOff>
        </xdr:from>
        <xdr:to>
          <xdr:col>6</xdr:col>
          <xdr:colOff>0</xdr:colOff>
          <xdr:row>111</xdr:row>
          <xdr:rowOff>12700</xdr:rowOff>
        </xdr:to>
        <xdr:sp macro="" textlink="">
          <xdr:nvSpPr>
            <xdr:cNvPr id="15661" name="Drop Down 301" hidden="1">
              <a:extLst>
                <a:ext uri="{63B3BB69-23CF-44E3-9099-C40C66FF867C}">
                  <a14:compatExt spid="_x0000_s15661"/>
                </a:ext>
                <a:ext uri="{FF2B5EF4-FFF2-40B4-BE49-F238E27FC236}">
                  <a16:creationId xmlns:a16="http://schemas.microsoft.com/office/drawing/2014/main" id="{00000000-0008-0000-0500-00002D3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3</xdr:row>
          <xdr:rowOff>0</xdr:rowOff>
        </xdr:from>
        <xdr:to>
          <xdr:col>2</xdr:col>
          <xdr:colOff>12700</xdr:colOff>
          <xdr:row>4</xdr:row>
          <xdr:rowOff>0</xdr:rowOff>
        </xdr:to>
        <xdr:sp macro="" textlink="">
          <xdr:nvSpPr>
            <xdr:cNvPr id="73759" name="Drop Down 31" hidden="1">
              <a:extLst>
                <a:ext uri="{63B3BB69-23CF-44E3-9099-C40C66FF867C}">
                  <a14:compatExt spid="_x0000_s73759"/>
                </a:ext>
                <a:ext uri="{FF2B5EF4-FFF2-40B4-BE49-F238E27FC236}">
                  <a16:creationId xmlns:a16="http://schemas.microsoft.com/office/drawing/2014/main" id="{00000000-0008-0000-0600-00001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xdr:row>
          <xdr:rowOff>0</xdr:rowOff>
        </xdr:from>
        <xdr:to>
          <xdr:col>2</xdr:col>
          <xdr:colOff>12700</xdr:colOff>
          <xdr:row>5</xdr:row>
          <xdr:rowOff>0</xdr:rowOff>
        </xdr:to>
        <xdr:sp macro="" textlink="">
          <xdr:nvSpPr>
            <xdr:cNvPr id="73760" name="Drop Down 32" hidden="1">
              <a:extLst>
                <a:ext uri="{63B3BB69-23CF-44E3-9099-C40C66FF867C}">
                  <a14:compatExt spid="_x0000_s73760"/>
                </a:ext>
                <a:ext uri="{FF2B5EF4-FFF2-40B4-BE49-F238E27FC236}">
                  <a16:creationId xmlns:a16="http://schemas.microsoft.com/office/drawing/2014/main" id="{00000000-0008-0000-0600-00002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xdr:row>
          <xdr:rowOff>0</xdr:rowOff>
        </xdr:from>
        <xdr:to>
          <xdr:col>2</xdr:col>
          <xdr:colOff>12700</xdr:colOff>
          <xdr:row>6</xdr:row>
          <xdr:rowOff>0</xdr:rowOff>
        </xdr:to>
        <xdr:sp macro="" textlink="">
          <xdr:nvSpPr>
            <xdr:cNvPr id="73761" name="Drop Down 33" hidden="1">
              <a:extLst>
                <a:ext uri="{63B3BB69-23CF-44E3-9099-C40C66FF867C}">
                  <a14:compatExt spid="_x0000_s73761"/>
                </a:ext>
                <a:ext uri="{FF2B5EF4-FFF2-40B4-BE49-F238E27FC236}">
                  <a16:creationId xmlns:a16="http://schemas.microsoft.com/office/drawing/2014/main" id="{00000000-0008-0000-0600-00002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xdr:row>
          <xdr:rowOff>0</xdr:rowOff>
        </xdr:from>
        <xdr:to>
          <xdr:col>2</xdr:col>
          <xdr:colOff>12700</xdr:colOff>
          <xdr:row>8</xdr:row>
          <xdr:rowOff>0</xdr:rowOff>
        </xdr:to>
        <xdr:sp macro="" textlink="">
          <xdr:nvSpPr>
            <xdr:cNvPr id="73763" name="Drop Down 35" hidden="1">
              <a:extLst>
                <a:ext uri="{63B3BB69-23CF-44E3-9099-C40C66FF867C}">
                  <a14:compatExt spid="_x0000_s73763"/>
                </a:ext>
                <a:ext uri="{FF2B5EF4-FFF2-40B4-BE49-F238E27FC236}">
                  <a16:creationId xmlns:a16="http://schemas.microsoft.com/office/drawing/2014/main" id="{00000000-0008-0000-0600-00002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xdr:row>
          <xdr:rowOff>0</xdr:rowOff>
        </xdr:from>
        <xdr:to>
          <xdr:col>2</xdr:col>
          <xdr:colOff>12700</xdr:colOff>
          <xdr:row>9</xdr:row>
          <xdr:rowOff>0</xdr:rowOff>
        </xdr:to>
        <xdr:sp macro="" textlink="">
          <xdr:nvSpPr>
            <xdr:cNvPr id="73764" name="Drop Down 36" hidden="1">
              <a:extLst>
                <a:ext uri="{63B3BB69-23CF-44E3-9099-C40C66FF867C}">
                  <a14:compatExt spid="_x0000_s73764"/>
                </a:ext>
                <a:ext uri="{FF2B5EF4-FFF2-40B4-BE49-F238E27FC236}">
                  <a16:creationId xmlns:a16="http://schemas.microsoft.com/office/drawing/2014/main" id="{00000000-0008-0000-0600-00002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0</xdr:rowOff>
        </xdr:from>
        <xdr:to>
          <xdr:col>2</xdr:col>
          <xdr:colOff>12700</xdr:colOff>
          <xdr:row>10</xdr:row>
          <xdr:rowOff>0</xdr:rowOff>
        </xdr:to>
        <xdr:sp macro="" textlink="">
          <xdr:nvSpPr>
            <xdr:cNvPr id="73765" name="Drop Down 37" hidden="1">
              <a:extLst>
                <a:ext uri="{63B3BB69-23CF-44E3-9099-C40C66FF867C}">
                  <a14:compatExt spid="_x0000_s73765"/>
                </a:ext>
                <a:ext uri="{FF2B5EF4-FFF2-40B4-BE49-F238E27FC236}">
                  <a16:creationId xmlns:a16="http://schemas.microsoft.com/office/drawing/2014/main" id="{00000000-0008-0000-0600-00002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xdr:row>
          <xdr:rowOff>0</xdr:rowOff>
        </xdr:from>
        <xdr:to>
          <xdr:col>2</xdr:col>
          <xdr:colOff>12700</xdr:colOff>
          <xdr:row>11</xdr:row>
          <xdr:rowOff>0</xdr:rowOff>
        </xdr:to>
        <xdr:sp macro="" textlink="">
          <xdr:nvSpPr>
            <xdr:cNvPr id="73766" name="Drop Down 38" hidden="1">
              <a:extLst>
                <a:ext uri="{63B3BB69-23CF-44E3-9099-C40C66FF867C}">
                  <a14:compatExt spid="_x0000_s73766"/>
                </a:ext>
                <a:ext uri="{FF2B5EF4-FFF2-40B4-BE49-F238E27FC236}">
                  <a16:creationId xmlns:a16="http://schemas.microsoft.com/office/drawing/2014/main" id="{00000000-0008-0000-0600-00002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xdr:row>
          <xdr:rowOff>0</xdr:rowOff>
        </xdr:from>
        <xdr:to>
          <xdr:col>2</xdr:col>
          <xdr:colOff>12700</xdr:colOff>
          <xdr:row>12</xdr:row>
          <xdr:rowOff>0</xdr:rowOff>
        </xdr:to>
        <xdr:sp macro="" textlink="">
          <xdr:nvSpPr>
            <xdr:cNvPr id="73767" name="Drop Down 39" hidden="1">
              <a:extLst>
                <a:ext uri="{63B3BB69-23CF-44E3-9099-C40C66FF867C}">
                  <a14:compatExt spid="_x0000_s73767"/>
                </a:ext>
                <a:ext uri="{FF2B5EF4-FFF2-40B4-BE49-F238E27FC236}">
                  <a16:creationId xmlns:a16="http://schemas.microsoft.com/office/drawing/2014/main" id="{00000000-0008-0000-0600-00002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xdr:row>
          <xdr:rowOff>0</xdr:rowOff>
        </xdr:from>
        <xdr:to>
          <xdr:col>2</xdr:col>
          <xdr:colOff>12700</xdr:colOff>
          <xdr:row>13</xdr:row>
          <xdr:rowOff>0</xdr:rowOff>
        </xdr:to>
        <xdr:sp macro="" textlink="">
          <xdr:nvSpPr>
            <xdr:cNvPr id="73768" name="Drop Down 40" hidden="1">
              <a:extLst>
                <a:ext uri="{63B3BB69-23CF-44E3-9099-C40C66FF867C}">
                  <a14:compatExt spid="_x0000_s73768"/>
                </a:ext>
                <a:ext uri="{FF2B5EF4-FFF2-40B4-BE49-F238E27FC236}">
                  <a16:creationId xmlns:a16="http://schemas.microsoft.com/office/drawing/2014/main" id="{00000000-0008-0000-0600-00002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xdr:row>
          <xdr:rowOff>0</xdr:rowOff>
        </xdr:from>
        <xdr:to>
          <xdr:col>2</xdr:col>
          <xdr:colOff>12700</xdr:colOff>
          <xdr:row>14</xdr:row>
          <xdr:rowOff>0</xdr:rowOff>
        </xdr:to>
        <xdr:sp macro="" textlink="">
          <xdr:nvSpPr>
            <xdr:cNvPr id="73769" name="Drop Down 41" hidden="1">
              <a:extLst>
                <a:ext uri="{63B3BB69-23CF-44E3-9099-C40C66FF867C}">
                  <a14:compatExt spid="_x0000_s73769"/>
                </a:ext>
                <a:ext uri="{FF2B5EF4-FFF2-40B4-BE49-F238E27FC236}">
                  <a16:creationId xmlns:a16="http://schemas.microsoft.com/office/drawing/2014/main" id="{00000000-0008-0000-0600-00002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xdr:row>
          <xdr:rowOff>0</xdr:rowOff>
        </xdr:from>
        <xdr:to>
          <xdr:col>2</xdr:col>
          <xdr:colOff>12700</xdr:colOff>
          <xdr:row>15</xdr:row>
          <xdr:rowOff>0</xdr:rowOff>
        </xdr:to>
        <xdr:sp macro="" textlink="">
          <xdr:nvSpPr>
            <xdr:cNvPr id="73770" name="Drop Down 42" hidden="1">
              <a:extLst>
                <a:ext uri="{63B3BB69-23CF-44E3-9099-C40C66FF867C}">
                  <a14:compatExt spid="_x0000_s73770"/>
                </a:ext>
                <a:ext uri="{FF2B5EF4-FFF2-40B4-BE49-F238E27FC236}">
                  <a16:creationId xmlns:a16="http://schemas.microsoft.com/office/drawing/2014/main" id="{00000000-0008-0000-0600-00002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xdr:row>
          <xdr:rowOff>0</xdr:rowOff>
        </xdr:from>
        <xdr:to>
          <xdr:col>2</xdr:col>
          <xdr:colOff>12700</xdr:colOff>
          <xdr:row>16</xdr:row>
          <xdr:rowOff>0</xdr:rowOff>
        </xdr:to>
        <xdr:sp macro="" textlink="">
          <xdr:nvSpPr>
            <xdr:cNvPr id="73771" name="Drop Down 43" hidden="1">
              <a:extLst>
                <a:ext uri="{63B3BB69-23CF-44E3-9099-C40C66FF867C}">
                  <a14:compatExt spid="_x0000_s73771"/>
                </a:ext>
                <a:ext uri="{FF2B5EF4-FFF2-40B4-BE49-F238E27FC236}">
                  <a16:creationId xmlns:a16="http://schemas.microsoft.com/office/drawing/2014/main" id="{00000000-0008-0000-0600-00002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xdr:row>
          <xdr:rowOff>0</xdr:rowOff>
        </xdr:from>
        <xdr:to>
          <xdr:col>2</xdr:col>
          <xdr:colOff>12700</xdr:colOff>
          <xdr:row>17</xdr:row>
          <xdr:rowOff>0</xdr:rowOff>
        </xdr:to>
        <xdr:sp macro="" textlink="">
          <xdr:nvSpPr>
            <xdr:cNvPr id="73772" name="Drop Down 44" hidden="1">
              <a:extLst>
                <a:ext uri="{63B3BB69-23CF-44E3-9099-C40C66FF867C}">
                  <a14:compatExt spid="_x0000_s73772"/>
                </a:ext>
                <a:ext uri="{FF2B5EF4-FFF2-40B4-BE49-F238E27FC236}">
                  <a16:creationId xmlns:a16="http://schemas.microsoft.com/office/drawing/2014/main" id="{00000000-0008-0000-0600-00002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xdr:row>
          <xdr:rowOff>0</xdr:rowOff>
        </xdr:from>
        <xdr:to>
          <xdr:col>2</xdr:col>
          <xdr:colOff>12700</xdr:colOff>
          <xdr:row>18</xdr:row>
          <xdr:rowOff>0</xdr:rowOff>
        </xdr:to>
        <xdr:sp macro="" textlink="">
          <xdr:nvSpPr>
            <xdr:cNvPr id="73773" name="Drop Down 45" hidden="1">
              <a:extLst>
                <a:ext uri="{63B3BB69-23CF-44E3-9099-C40C66FF867C}">
                  <a14:compatExt spid="_x0000_s73773"/>
                </a:ext>
                <a:ext uri="{FF2B5EF4-FFF2-40B4-BE49-F238E27FC236}">
                  <a16:creationId xmlns:a16="http://schemas.microsoft.com/office/drawing/2014/main" id="{00000000-0008-0000-0600-00002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xdr:row>
          <xdr:rowOff>0</xdr:rowOff>
        </xdr:from>
        <xdr:to>
          <xdr:col>2</xdr:col>
          <xdr:colOff>12700</xdr:colOff>
          <xdr:row>19</xdr:row>
          <xdr:rowOff>0</xdr:rowOff>
        </xdr:to>
        <xdr:sp macro="" textlink="">
          <xdr:nvSpPr>
            <xdr:cNvPr id="73774" name="Drop Down 46" hidden="1">
              <a:extLst>
                <a:ext uri="{63B3BB69-23CF-44E3-9099-C40C66FF867C}">
                  <a14:compatExt spid="_x0000_s73774"/>
                </a:ext>
                <a:ext uri="{FF2B5EF4-FFF2-40B4-BE49-F238E27FC236}">
                  <a16:creationId xmlns:a16="http://schemas.microsoft.com/office/drawing/2014/main" id="{00000000-0008-0000-0600-00002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0</xdr:rowOff>
        </xdr:from>
        <xdr:to>
          <xdr:col>2</xdr:col>
          <xdr:colOff>12700</xdr:colOff>
          <xdr:row>20</xdr:row>
          <xdr:rowOff>0</xdr:rowOff>
        </xdr:to>
        <xdr:sp macro="" textlink="">
          <xdr:nvSpPr>
            <xdr:cNvPr id="73775" name="Drop Down 47" hidden="1">
              <a:extLst>
                <a:ext uri="{63B3BB69-23CF-44E3-9099-C40C66FF867C}">
                  <a14:compatExt spid="_x0000_s73775"/>
                </a:ext>
                <a:ext uri="{FF2B5EF4-FFF2-40B4-BE49-F238E27FC236}">
                  <a16:creationId xmlns:a16="http://schemas.microsoft.com/office/drawing/2014/main" id="{00000000-0008-0000-0600-00002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20</xdr:row>
          <xdr:rowOff>0</xdr:rowOff>
        </xdr:from>
        <xdr:to>
          <xdr:col>2</xdr:col>
          <xdr:colOff>12700</xdr:colOff>
          <xdr:row>21</xdr:row>
          <xdr:rowOff>0</xdr:rowOff>
        </xdr:to>
        <xdr:sp macro="" textlink="">
          <xdr:nvSpPr>
            <xdr:cNvPr id="73776" name="Drop Down 48" hidden="1">
              <a:extLst>
                <a:ext uri="{63B3BB69-23CF-44E3-9099-C40C66FF867C}">
                  <a14:compatExt spid="_x0000_s73776"/>
                </a:ext>
                <a:ext uri="{FF2B5EF4-FFF2-40B4-BE49-F238E27FC236}">
                  <a16:creationId xmlns:a16="http://schemas.microsoft.com/office/drawing/2014/main" id="{00000000-0008-0000-0600-00003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0</xdr:rowOff>
        </xdr:from>
        <xdr:to>
          <xdr:col>2</xdr:col>
          <xdr:colOff>12700</xdr:colOff>
          <xdr:row>22</xdr:row>
          <xdr:rowOff>0</xdr:rowOff>
        </xdr:to>
        <xdr:sp macro="" textlink="">
          <xdr:nvSpPr>
            <xdr:cNvPr id="73777" name="Drop Down 49" hidden="1">
              <a:extLst>
                <a:ext uri="{63B3BB69-23CF-44E3-9099-C40C66FF867C}">
                  <a14:compatExt spid="_x0000_s73777"/>
                </a:ext>
                <a:ext uri="{FF2B5EF4-FFF2-40B4-BE49-F238E27FC236}">
                  <a16:creationId xmlns:a16="http://schemas.microsoft.com/office/drawing/2014/main" id="{00000000-0008-0000-0600-00003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22</xdr:row>
          <xdr:rowOff>0</xdr:rowOff>
        </xdr:from>
        <xdr:to>
          <xdr:col>2</xdr:col>
          <xdr:colOff>12700</xdr:colOff>
          <xdr:row>23</xdr:row>
          <xdr:rowOff>0</xdr:rowOff>
        </xdr:to>
        <xdr:sp macro="" textlink="">
          <xdr:nvSpPr>
            <xdr:cNvPr id="73778" name="Drop Down 50" hidden="1">
              <a:extLst>
                <a:ext uri="{63B3BB69-23CF-44E3-9099-C40C66FF867C}">
                  <a14:compatExt spid="_x0000_s73778"/>
                </a:ext>
                <a:ext uri="{FF2B5EF4-FFF2-40B4-BE49-F238E27FC236}">
                  <a16:creationId xmlns:a16="http://schemas.microsoft.com/office/drawing/2014/main" id="{00000000-0008-0000-0600-00003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3</xdr:row>
          <xdr:rowOff>0</xdr:rowOff>
        </xdr:from>
        <xdr:to>
          <xdr:col>7</xdr:col>
          <xdr:colOff>12700</xdr:colOff>
          <xdr:row>4</xdr:row>
          <xdr:rowOff>0</xdr:rowOff>
        </xdr:to>
        <xdr:sp macro="" textlink="">
          <xdr:nvSpPr>
            <xdr:cNvPr id="73779" name="Drop Down 51" hidden="1">
              <a:extLst>
                <a:ext uri="{63B3BB69-23CF-44E3-9099-C40C66FF867C}">
                  <a14:compatExt spid="_x0000_s73779"/>
                </a:ext>
                <a:ext uri="{FF2B5EF4-FFF2-40B4-BE49-F238E27FC236}">
                  <a16:creationId xmlns:a16="http://schemas.microsoft.com/office/drawing/2014/main" id="{00000000-0008-0000-0600-00003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xdr:row>
          <xdr:rowOff>0</xdr:rowOff>
        </xdr:from>
        <xdr:to>
          <xdr:col>12</xdr:col>
          <xdr:colOff>12700</xdr:colOff>
          <xdr:row>4</xdr:row>
          <xdr:rowOff>0</xdr:rowOff>
        </xdr:to>
        <xdr:sp macro="" textlink="">
          <xdr:nvSpPr>
            <xdr:cNvPr id="73780" name="Drop Down 52" hidden="1">
              <a:extLst>
                <a:ext uri="{63B3BB69-23CF-44E3-9099-C40C66FF867C}">
                  <a14:compatExt spid="_x0000_s73780"/>
                </a:ext>
                <a:ext uri="{FF2B5EF4-FFF2-40B4-BE49-F238E27FC236}">
                  <a16:creationId xmlns:a16="http://schemas.microsoft.com/office/drawing/2014/main" id="{00000000-0008-0000-0600-00003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xdr:row>
          <xdr:rowOff>0</xdr:rowOff>
        </xdr:from>
        <xdr:to>
          <xdr:col>12</xdr:col>
          <xdr:colOff>12700</xdr:colOff>
          <xdr:row>5</xdr:row>
          <xdr:rowOff>0</xdr:rowOff>
        </xdr:to>
        <xdr:sp macro="" textlink="">
          <xdr:nvSpPr>
            <xdr:cNvPr id="73781" name="Drop Down 53" hidden="1">
              <a:extLst>
                <a:ext uri="{63B3BB69-23CF-44E3-9099-C40C66FF867C}">
                  <a14:compatExt spid="_x0000_s73781"/>
                </a:ext>
                <a:ext uri="{FF2B5EF4-FFF2-40B4-BE49-F238E27FC236}">
                  <a16:creationId xmlns:a16="http://schemas.microsoft.com/office/drawing/2014/main" id="{00000000-0008-0000-0600-00003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xdr:row>
          <xdr:rowOff>0</xdr:rowOff>
        </xdr:from>
        <xdr:to>
          <xdr:col>12</xdr:col>
          <xdr:colOff>12700</xdr:colOff>
          <xdr:row>7</xdr:row>
          <xdr:rowOff>0</xdr:rowOff>
        </xdr:to>
        <xdr:sp macro="" textlink="">
          <xdr:nvSpPr>
            <xdr:cNvPr id="73783" name="Drop Down 55" hidden="1">
              <a:extLst>
                <a:ext uri="{63B3BB69-23CF-44E3-9099-C40C66FF867C}">
                  <a14:compatExt spid="_x0000_s73783"/>
                </a:ext>
                <a:ext uri="{FF2B5EF4-FFF2-40B4-BE49-F238E27FC236}">
                  <a16:creationId xmlns:a16="http://schemas.microsoft.com/office/drawing/2014/main" id="{00000000-0008-0000-0600-00003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xdr:row>
          <xdr:rowOff>0</xdr:rowOff>
        </xdr:from>
        <xdr:to>
          <xdr:col>12</xdr:col>
          <xdr:colOff>12700</xdr:colOff>
          <xdr:row>8</xdr:row>
          <xdr:rowOff>0</xdr:rowOff>
        </xdr:to>
        <xdr:sp macro="" textlink="">
          <xdr:nvSpPr>
            <xdr:cNvPr id="73784" name="Drop Down 56" hidden="1">
              <a:extLst>
                <a:ext uri="{63B3BB69-23CF-44E3-9099-C40C66FF867C}">
                  <a14:compatExt spid="_x0000_s73784"/>
                </a:ext>
                <a:ext uri="{FF2B5EF4-FFF2-40B4-BE49-F238E27FC236}">
                  <a16:creationId xmlns:a16="http://schemas.microsoft.com/office/drawing/2014/main" id="{00000000-0008-0000-0600-00003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8</xdr:row>
          <xdr:rowOff>0</xdr:rowOff>
        </xdr:from>
        <xdr:to>
          <xdr:col>12</xdr:col>
          <xdr:colOff>12700</xdr:colOff>
          <xdr:row>9</xdr:row>
          <xdr:rowOff>0</xdr:rowOff>
        </xdr:to>
        <xdr:sp macro="" textlink="">
          <xdr:nvSpPr>
            <xdr:cNvPr id="73785" name="Drop Down 57" hidden="1">
              <a:extLst>
                <a:ext uri="{63B3BB69-23CF-44E3-9099-C40C66FF867C}">
                  <a14:compatExt spid="_x0000_s73785"/>
                </a:ext>
                <a:ext uri="{FF2B5EF4-FFF2-40B4-BE49-F238E27FC236}">
                  <a16:creationId xmlns:a16="http://schemas.microsoft.com/office/drawing/2014/main" id="{00000000-0008-0000-0600-00003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9</xdr:row>
          <xdr:rowOff>0</xdr:rowOff>
        </xdr:from>
        <xdr:to>
          <xdr:col>12</xdr:col>
          <xdr:colOff>12700</xdr:colOff>
          <xdr:row>10</xdr:row>
          <xdr:rowOff>0</xdr:rowOff>
        </xdr:to>
        <xdr:sp macro="" textlink="">
          <xdr:nvSpPr>
            <xdr:cNvPr id="73786" name="Drop Down 58" hidden="1">
              <a:extLst>
                <a:ext uri="{63B3BB69-23CF-44E3-9099-C40C66FF867C}">
                  <a14:compatExt spid="_x0000_s73786"/>
                </a:ext>
                <a:ext uri="{FF2B5EF4-FFF2-40B4-BE49-F238E27FC236}">
                  <a16:creationId xmlns:a16="http://schemas.microsoft.com/office/drawing/2014/main" id="{00000000-0008-0000-0600-00003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0</xdr:rowOff>
        </xdr:from>
        <xdr:to>
          <xdr:col>12</xdr:col>
          <xdr:colOff>12700</xdr:colOff>
          <xdr:row>11</xdr:row>
          <xdr:rowOff>0</xdr:rowOff>
        </xdr:to>
        <xdr:sp macro="" textlink="">
          <xdr:nvSpPr>
            <xdr:cNvPr id="73787" name="Drop Down 59" hidden="1">
              <a:extLst>
                <a:ext uri="{63B3BB69-23CF-44E3-9099-C40C66FF867C}">
                  <a14:compatExt spid="_x0000_s73787"/>
                </a:ext>
                <a:ext uri="{FF2B5EF4-FFF2-40B4-BE49-F238E27FC236}">
                  <a16:creationId xmlns:a16="http://schemas.microsoft.com/office/drawing/2014/main" id="{00000000-0008-0000-0600-00003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0</xdr:rowOff>
        </xdr:from>
        <xdr:to>
          <xdr:col>12</xdr:col>
          <xdr:colOff>12700</xdr:colOff>
          <xdr:row>12</xdr:row>
          <xdr:rowOff>0</xdr:rowOff>
        </xdr:to>
        <xdr:sp macro="" textlink="">
          <xdr:nvSpPr>
            <xdr:cNvPr id="73788" name="Drop Down 60" hidden="1">
              <a:extLst>
                <a:ext uri="{63B3BB69-23CF-44E3-9099-C40C66FF867C}">
                  <a14:compatExt spid="_x0000_s73788"/>
                </a:ext>
                <a:ext uri="{FF2B5EF4-FFF2-40B4-BE49-F238E27FC236}">
                  <a16:creationId xmlns:a16="http://schemas.microsoft.com/office/drawing/2014/main" id="{00000000-0008-0000-0600-00003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12700</xdr:colOff>
          <xdr:row>13</xdr:row>
          <xdr:rowOff>0</xdr:rowOff>
        </xdr:to>
        <xdr:sp macro="" textlink="">
          <xdr:nvSpPr>
            <xdr:cNvPr id="73789" name="Drop Down 61" hidden="1">
              <a:extLst>
                <a:ext uri="{63B3BB69-23CF-44E3-9099-C40C66FF867C}">
                  <a14:compatExt spid="_x0000_s73789"/>
                </a:ext>
                <a:ext uri="{FF2B5EF4-FFF2-40B4-BE49-F238E27FC236}">
                  <a16:creationId xmlns:a16="http://schemas.microsoft.com/office/drawing/2014/main" id="{00000000-0008-0000-0600-00003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0</xdr:rowOff>
        </xdr:from>
        <xdr:to>
          <xdr:col>12</xdr:col>
          <xdr:colOff>12700</xdr:colOff>
          <xdr:row>14</xdr:row>
          <xdr:rowOff>0</xdr:rowOff>
        </xdr:to>
        <xdr:sp macro="" textlink="">
          <xdr:nvSpPr>
            <xdr:cNvPr id="73790" name="Drop Down 62" hidden="1">
              <a:extLst>
                <a:ext uri="{63B3BB69-23CF-44E3-9099-C40C66FF867C}">
                  <a14:compatExt spid="_x0000_s73790"/>
                </a:ext>
                <a:ext uri="{FF2B5EF4-FFF2-40B4-BE49-F238E27FC236}">
                  <a16:creationId xmlns:a16="http://schemas.microsoft.com/office/drawing/2014/main" id="{00000000-0008-0000-0600-00003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0</xdr:rowOff>
        </xdr:from>
        <xdr:to>
          <xdr:col>12</xdr:col>
          <xdr:colOff>12700</xdr:colOff>
          <xdr:row>15</xdr:row>
          <xdr:rowOff>0</xdr:rowOff>
        </xdr:to>
        <xdr:sp macro="" textlink="">
          <xdr:nvSpPr>
            <xdr:cNvPr id="73791" name="Drop Down 63" hidden="1">
              <a:extLst>
                <a:ext uri="{63B3BB69-23CF-44E3-9099-C40C66FF867C}">
                  <a14:compatExt spid="_x0000_s73791"/>
                </a:ext>
                <a:ext uri="{FF2B5EF4-FFF2-40B4-BE49-F238E27FC236}">
                  <a16:creationId xmlns:a16="http://schemas.microsoft.com/office/drawing/2014/main" id="{00000000-0008-0000-0600-00003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0</xdr:rowOff>
        </xdr:from>
        <xdr:to>
          <xdr:col>12</xdr:col>
          <xdr:colOff>12700</xdr:colOff>
          <xdr:row>16</xdr:row>
          <xdr:rowOff>0</xdr:rowOff>
        </xdr:to>
        <xdr:sp macro="" textlink="">
          <xdr:nvSpPr>
            <xdr:cNvPr id="73792" name="Drop Down 64" hidden="1">
              <a:extLst>
                <a:ext uri="{63B3BB69-23CF-44E3-9099-C40C66FF867C}">
                  <a14:compatExt spid="_x0000_s73792"/>
                </a:ext>
                <a:ext uri="{FF2B5EF4-FFF2-40B4-BE49-F238E27FC236}">
                  <a16:creationId xmlns:a16="http://schemas.microsoft.com/office/drawing/2014/main" id="{00000000-0008-0000-0600-00004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0</xdr:rowOff>
        </xdr:from>
        <xdr:to>
          <xdr:col>12</xdr:col>
          <xdr:colOff>12700</xdr:colOff>
          <xdr:row>17</xdr:row>
          <xdr:rowOff>0</xdr:rowOff>
        </xdr:to>
        <xdr:sp macro="" textlink="">
          <xdr:nvSpPr>
            <xdr:cNvPr id="73793" name="Drop Down 65" hidden="1">
              <a:extLst>
                <a:ext uri="{63B3BB69-23CF-44E3-9099-C40C66FF867C}">
                  <a14:compatExt spid="_x0000_s73793"/>
                </a:ext>
                <a:ext uri="{FF2B5EF4-FFF2-40B4-BE49-F238E27FC236}">
                  <a16:creationId xmlns:a16="http://schemas.microsoft.com/office/drawing/2014/main" id="{00000000-0008-0000-0600-00004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17</xdr:row>
          <xdr:rowOff>0</xdr:rowOff>
        </xdr:from>
        <xdr:to>
          <xdr:col>12</xdr:col>
          <xdr:colOff>12700</xdr:colOff>
          <xdr:row>18</xdr:row>
          <xdr:rowOff>0</xdr:rowOff>
        </xdr:to>
        <xdr:sp macro="" textlink="">
          <xdr:nvSpPr>
            <xdr:cNvPr id="73794" name="Drop Down 66" hidden="1">
              <a:extLst>
                <a:ext uri="{63B3BB69-23CF-44E3-9099-C40C66FF867C}">
                  <a14:compatExt spid="_x0000_s73794"/>
                </a:ext>
                <a:ext uri="{FF2B5EF4-FFF2-40B4-BE49-F238E27FC236}">
                  <a16:creationId xmlns:a16="http://schemas.microsoft.com/office/drawing/2014/main" id="{00000000-0008-0000-0600-00004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18</xdr:row>
          <xdr:rowOff>0</xdr:rowOff>
        </xdr:from>
        <xdr:to>
          <xdr:col>12</xdr:col>
          <xdr:colOff>12700</xdr:colOff>
          <xdr:row>19</xdr:row>
          <xdr:rowOff>0</xdr:rowOff>
        </xdr:to>
        <xdr:sp macro="" textlink="">
          <xdr:nvSpPr>
            <xdr:cNvPr id="73795" name="Drop Down 67" hidden="1">
              <a:extLst>
                <a:ext uri="{63B3BB69-23CF-44E3-9099-C40C66FF867C}">
                  <a14:compatExt spid="_x0000_s73795"/>
                </a:ext>
                <a:ext uri="{FF2B5EF4-FFF2-40B4-BE49-F238E27FC236}">
                  <a16:creationId xmlns:a16="http://schemas.microsoft.com/office/drawing/2014/main" id="{00000000-0008-0000-0600-00004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19</xdr:row>
          <xdr:rowOff>0</xdr:rowOff>
        </xdr:from>
        <xdr:to>
          <xdr:col>12</xdr:col>
          <xdr:colOff>12700</xdr:colOff>
          <xdr:row>20</xdr:row>
          <xdr:rowOff>0</xdr:rowOff>
        </xdr:to>
        <xdr:sp macro="" textlink="">
          <xdr:nvSpPr>
            <xdr:cNvPr id="73796" name="Drop Down 68" hidden="1">
              <a:extLst>
                <a:ext uri="{63B3BB69-23CF-44E3-9099-C40C66FF867C}">
                  <a14:compatExt spid="_x0000_s73796"/>
                </a:ext>
                <a:ext uri="{FF2B5EF4-FFF2-40B4-BE49-F238E27FC236}">
                  <a16:creationId xmlns:a16="http://schemas.microsoft.com/office/drawing/2014/main" id="{00000000-0008-0000-0600-00004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0</xdr:rowOff>
        </xdr:from>
        <xdr:to>
          <xdr:col>12</xdr:col>
          <xdr:colOff>12700</xdr:colOff>
          <xdr:row>21</xdr:row>
          <xdr:rowOff>0</xdr:rowOff>
        </xdr:to>
        <xdr:sp macro="" textlink="">
          <xdr:nvSpPr>
            <xdr:cNvPr id="73797" name="Drop Down 69" hidden="1">
              <a:extLst>
                <a:ext uri="{63B3BB69-23CF-44E3-9099-C40C66FF867C}">
                  <a14:compatExt spid="_x0000_s73797"/>
                </a:ext>
                <a:ext uri="{FF2B5EF4-FFF2-40B4-BE49-F238E27FC236}">
                  <a16:creationId xmlns:a16="http://schemas.microsoft.com/office/drawing/2014/main" id="{00000000-0008-0000-0600-00004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0</xdr:rowOff>
        </xdr:from>
        <xdr:to>
          <xdr:col>12</xdr:col>
          <xdr:colOff>12700</xdr:colOff>
          <xdr:row>22</xdr:row>
          <xdr:rowOff>0</xdr:rowOff>
        </xdr:to>
        <xdr:sp macro="" textlink="">
          <xdr:nvSpPr>
            <xdr:cNvPr id="73798" name="Drop Down 70" hidden="1">
              <a:extLst>
                <a:ext uri="{63B3BB69-23CF-44E3-9099-C40C66FF867C}">
                  <a14:compatExt spid="_x0000_s73798"/>
                </a:ext>
                <a:ext uri="{FF2B5EF4-FFF2-40B4-BE49-F238E27FC236}">
                  <a16:creationId xmlns:a16="http://schemas.microsoft.com/office/drawing/2014/main" id="{00000000-0008-0000-0600-00004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0</xdr:rowOff>
        </xdr:from>
        <xdr:to>
          <xdr:col>12</xdr:col>
          <xdr:colOff>12700</xdr:colOff>
          <xdr:row>23</xdr:row>
          <xdr:rowOff>0</xdr:rowOff>
        </xdr:to>
        <xdr:sp macro="" textlink="">
          <xdr:nvSpPr>
            <xdr:cNvPr id="73799" name="Drop Down 71" hidden="1">
              <a:extLst>
                <a:ext uri="{63B3BB69-23CF-44E3-9099-C40C66FF867C}">
                  <a14:compatExt spid="_x0000_s73799"/>
                </a:ext>
                <a:ext uri="{FF2B5EF4-FFF2-40B4-BE49-F238E27FC236}">
                  <a16:creationId xmlns:a16="http://schemas.microsoft.com/office/drawing/2014/main" id="{00000000-0008-0000-0600-00004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xdr:row>
          <xdr:rowOff>0</xdr:rowOff>
        </xdr:from>
        <xdr:to>
          <xdr:col>7</xdr:col>
          <xdr:colOff>12700</xdr:colOff>
          <xdr:row>5</xdr:row>
          <xdr:rowOff>0</xdr:rowOff>
        </xdr:to>
        <xdr:sp macro="" textlink="">
          <xdr:nvSpPr>
            <xdr:cNvPr id="73800" name="Drop Down 72" hidden="1">
              <a:extLst>
                <a:ext uri="{63B3BB69-23CF-44E3-9099-C40C66FF867C}">
                  <a14:compatExt spid="_x0000_s73800"/>
                </a:ext>
                <a:ext uri="{FF2B5EF4-FFF2-40B4-BE49-F238E27FC236}">
                  <a16:creationId xmlns:a16="http://schemas.microsoft.com/office/drawing/2014/main" id="{00000000-0008-0000-0600-00004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xdr:row>
          <xdr:rowOff>0</xdr:rowOff>
        </xdr:from>
        <xdr:to>
          <xdr:col>7</xdr:col>
          <xdr:colOff>12700</xdr:colOff>
          <xdr:row>7</xdr:row>
          <xdr:rowOff>0</xdr:rowOff>
        </xdr:to>
        <xdr:sp macro="" textlink="">
          <xdr:nvSpPr>
            <xdr:cNvPr id="73802" name="Drop Down 74" hidden="1">
              <a:extLst>
                <a:ext uri="{63B3BB69-23CF-44E3-9099-C40C66FF867C}">
                  <a14:compatExt spid="_x0000_s73802"/>
                </a:ext>
                <a:ext uri="{FF2B5EF4-FFF2-40B4-BE49-F238E27FC236}">
                  <a16:creationId xmlns:a16="http://schemas.microsoft.com/office/drawing/2014/main" id="{00000000-0008-0000-0600-00004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xdr:row>
          <xdr:rowOff>0</xdr:rowOff>
        </xdr:from>
        <xdr:to>
          <xdr:col>7</xdr:col>
          <xdr:colOff>0</xdr:colOff>
          <xdr:row>8</xdr:row>
          <xdr:rowOff>0</xdr:rowOff>
        </xdr:to>
        <xdr:sp macro="" textlink="">
          <xdr:nvSpPr>
            <xdr:cNvPr id="73803" name="Drop Down 75" hidden="1">
              <a:extLst>
                <a:ext uri="{63B3BB69-23CF-44E3-9099-C40C66FF867C}">
                  <a14:compatExt spid="_x0000_s73803"/>
                </a:ext>
                <a:ext uri="{FF2B5EF4-FFF2-40B4-BE49-F238E27FC236}">
                  <a16:creationId xmlns:a16="http://schemas.microsoft.com/office/drawing/2014/main" id="{00000000-0008-0000-0600-00004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xdr:row>
          <xdr:rowOff>0</xdr:rowOff>
        </xdr:from>
        <xdr:to>
          <xdr:col>7</xdr:col>
          <xdr:colOff>0</xdr:colOff>
          <xdr:row>9</xdr:row>
          <xdr:rowOff>0</xdr:rowOff>
        </xdr:to>
        <xdr:sp macro="" textlink="">
          <xdr:nvSpPr>
            <xdr:cNvPr id="73804" name="Drop Down 76" hidden="1">
              <a:extLst>
                <a:ext uri="{63B3BB69-23CF-44E3-9099-C40C66FF867C}">
                  <a14:compatExt spid="_x0000_s73804"/>
                </a:ext>
                <a:ext uri="{FF2B5EF4-FFF2-40B4-BE49-F238E27FC236}">
                  <a16:creationId xmlns:a16="http://schemas.microsoft.com/office/drawing/2014/main" id="{00000000-0008-0000-0600-00004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xdr:row>
          <xdr:rowOff>0</xdr:rowOff>
        </xdr:from>
        <xdr:to>
          <xdr:col>7</xdr:col>
          <xdr:colOff>12700</xdr:colOff>
          <xdr:row>10</xdr:row>
          <xdr:rowOff>0</xdr:rowOff>
        </xdr:to>
        <xdr:sp macro="" textlink="">
          <xdr:nvSpPr>
            <xdr:cNvPr id="73805" name="Drop Down 77" hidden="1">
              <a:extLst>
                <a:ext uri="{63B3BB69-23CF-44E3-9099-C40C66FF867C}">
                  <a14:compatExt spid="_x0000_s73805"/>
                </a:ext>
                <a:ext uri="{FF2B5EF4-FFF2-40B4-BE49-F238E27FC236}">
                  <a16:creationId xmlns:a16="http://schemas.microsoft.com/office/drawing/2014/main" id="{00000000-0008-0000-0600-00004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10</xdr:row>
          <xdr:rowOff>0</xdr:rowOff>
        </xdr:from>
        <xdr:to>
          <xdr:col>7</xdr:col>
          <xdr:colOff>0</xdr:colOff>
          <xdr:row>11</xdr:row>
          <xdr:rowOff>0</xdr:rowOff>
        </xdr:to>
        <xdr:sp macro="" textlink="">
          <xdr:nvSpPr>
            <xdr:cNvPr id="73806" name="Drop Down 78" hidden="1">
              <a:extLst>
                <a:ext uri="{63B3BB69-23CF-44E3-9099-C40C66FF867C}">
                  <a14:compatExt spid="_x0000_s73806"/>
                </a:ext>
                <a:ext uri="{FF2B5EF4-FFF2-40B4-BE49-F238E27FC236}">
                  <a16:creationId xmlns:a16="http://schemas.microsoft.com/office/drawing/2014/main" id="{00000000-0008-0000-0600-00004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11</xdr:row>
          <xdr:rowOff>0</xdr:rowOff>
        </xdr:from>
        <xdr:to>
          <xdr:col>7</xdr:col>
          <xdr:colOff>12700</xdr:colOff>
          <xdr:row>12</xdr:row>
          <xdr:rowOff>0</xdr:rowOff>
        </xdr:to>
        <xdr:sp macro="" textlink="">
          <xdr:nvSpPr>
            <xdr:cNvPr id="73807" name="Drop Down 79" hidden="1">
              <a:extLst>
                <a:ext uri="{63B3BB69-23CF-44E3-9099-C40C66FF867C}">
                  <a14:compatExt spid="_x0000_s73807"/>
                </a:ext>
                <a:ext uri="{FF2B5EF4-FFF2-40B4-BE49-F238E27FC236}">
                  <a16:creationId xmlns:a16="http://schemas.microsoft.com/office/drawing/2014/main" id="{00000000-0008-0000-0600-00004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12</xdr:row>
          <xdr:rowOff>0</xdr:rowOff>
        </xdr:from>
        <xdr:to>
          <xdr:col>7</xdr:col>
          <xdr:colOff>12700</xdr:colOff>
          <xdr:row>13</xdr:row>
          <xdr:rowOff>0</xdr:rowOff>
        </xdr:to>
        <xdr:sp macro="" textlink="">
          <xdr:nvSpPr>
            <xdr:cNvPr id="73808" name="Drop Down 80" hidden="1">
              <a:extLst>
                <a:ext uri="{63B3BB69-23CF-44E3-9099-C40C66FF867C}">
                  <a14:compatExt spid="_x0000_s73808"/>
                </a:ext>
                <a:ext uri="{FF2B5EF4-FFF2-40B4-BE49-F238E27FC236}">
                  <a16:creationId xmlns:a16="http://schemas.microsoft.com/office/drawing/2014/main" id="{00000000-0008-0000-0600-00005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xdr:row>
          <xdr:rowOff>0</xdr:rowOff>
        </xdr:from>
        <xdr:to>
          <xdr:col>7</xdr:col>
          <xdr:colOff>12700</xdr:colOff>
          <xdr:row>14</xdr:row>
          <xdr:rowOff>0</xdr:rowOff>
        </xdr:to>
        <xdr:sp macro="" textlink="">
          <xdr:nvSpPr>
            <xdr:cNvPr id="73809" name="Drop Down 81" hidden="1">
              <a:extLst>
                <a:ext uri="{63B3BB69-23CF-44E3-9099-C40C66FF867C}">
                  <a14:compatExt spid="_x0000_s73809"/>
                </a:ext>
                <a:ext uri="{FF2B5EF4-FFF2-40B4-BE49-F238E27FC236}">
                  <a16:creationId xmlns:a16="http://schemas.microsoft.com/office/drawing/2014/main" id="{00000000-0008-0000-0600-00005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14</xdr:row>
          <xdr:rowOff>0</xdr:rowOff>
        </xdr:from>
        <xdr:to>
          <xdr:col>7</xdr:col>
          <xdr:colOff>12700</xdr:colOff>
          <xdr:row>15</xdr:row>
          <xdr:rowOff>0</xdr:rowOff>
        </xdr:to>
        <xdr:sp macro="" textlink="">
          <xdr:nvSpPr>
            <xdr:cNvPr id="73810" name="Drop Down 82" hidden="1">
              <a:extLst>
                <a:ext uri="{63B3BB69-23CF-44E3-9099-C40C66FF867C}">
                  <a14:compatExt spid="_x0000_s73810"/>
                </a:ext>
                <a:ext uri="{FF2B5EF4-FFF2-40B4-BE49-F238E27FC236}">
                  <a16:creationId xmlns:a16="http://schemas.microsoft.com/office/drawing/2014/main" id="{00000000-0008-0000-0600-00005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15</xdr:row>
          <xdr:rowOff>0</xdr:rowOff>
        </xdr:from>
        <xdr:to>
          <xdr:col>7</xdr:col>
          <xdr:colOff>12700</xdr:colOff>
          <xdr:row>16</xdr:row>
          <xdr:rowOff>0</xdr:rowOff>
        </xdr:to>
        <xdr:sp macro="" textlink="">
          <xdr:nvSpPr>
            <xdr:cNvPr id="73811" name="Drop Down 83" hidden="1">
              <a:extLst>
                <a:ext uri="{63B3BB69-23CF-44E3-9099-C40C66FF867C}">
                  <a14:compatExt spid="_x0000_s73811"/>
                </a:ext>
                <a:ext uri="{FF2B5EF4-FFF2-40B4-BE49-F238E27FC236}">
                  <a16:creationId xmlns:a16="http://schemas.microsoft.com/office/drawing/2014/main" id="{00000000-0008-0000-0600-00005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16</xdr:row>
          <xdr:rowOff>0</xdr:rowOff>
        </xdr:from>
        <xdr:to>
          <xdr:col>7</xdr:col>
          <xdr:colOff>12700</xdr:colOff>
          <xdr:row>17</xdr:row>
          <xdr:rowOff>0</xdr:rowOff>
        </xdr:to>
        <xdr:sp macro="" textlink="">
          <xdr:nvSpPr>
            <xdr:cNvPr id="73812" name="Drop Down 84" hidden="1">
              <a:extLst>
                <a:ext uri="{63B3BB69-23CF-44E3-9099-C40C66FF867C}">
                  <a14:compatExt spid="_x0000_s73812"/>
                </a:ext>
                <a:ext uri="{FF2B5EF4-FFF2-40B4-BE49-F238E27FC236}">
                  <a16:creationId xmlns:a16="http://schemas.microsoft.com/office/drawing/2014/main" id="{00000000-0008-0000-0600-00005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17</xdr:row>
          <xdr:rowOff>0</xdr:rowOff>
        </xdr:from>
        <xdr:to>
          <xdr:col>7</xdr:col>
          <xdr:colOff>12700</xdr:colOff>
          <xdr:row>18</xdr:row>
          <xdr:rowOff>0</xdr:rowOff>
        </xdr:to>
        <xdr:sp macro="" textlink="">
          <xdr:nvSpPr>
            <xdr:cNvPr id="73813" name="Drop Down 85" hidden="1">
              <a:extLst>
                <a:ext uri="{63B3BB69-23CF-44E3-9099-C40C66FF867C}">
                  <a14:compatExt spid="_x0000_s73813"/>
                </a:ext>
                <a:ext uri="{FF2B5EF4-FFF2-40B4-BE49-F238E27FC236}">
                  <a16:creationId xmlns:a16="http://schemas.microsoft.com/office/drawing/2014/main" id="{00000000-0008-0000-0600-00005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18</xdr:row>
          <xdr:rowOff>0</xdr:rowOff>
        </xdr:from>
        <xdr:to>
          <xdr:col>7</xdr:col>
          <xdr:colOff>12700</xdr:colOff>
          <xdr:row>19</xdr:row>
          <xdr:rowOff>0</xdr:rowOff>
        </xdr:to>
        <xdr:sp macro="" textlink="">
          <xdr:nvSpPr>
            <xdr:cNvPr id="73814" name="Drop Down 86" hidden="1">
              <a:extLst>
                <a:ext uri="{63B3BB69-23CF-44E3-9099-C40C66FF867C}">
                  <a14:compatExt spid="_x0000_s73814"/>
                </a:ext>
                <a:ext uri="{FF2B5EF4-FFF2-40B4-BE49-F238E27FC236}">
                  <a16:creationId xmlns:a16="http://schemas.microsoft.com/office/drawing/2014/main" id="{00000000-0008-0000-0600-00005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19</xdr:row>
          <xdr:rowOff>0</xdr:rowOff>
        </xdr:from>
        <xdr:to>
          <xdr:col>7</xdr:col>
          <xdr:colOff>12700</xdr:colOff>
          <xdr:row>20</xdr:row>
          <xdr:rowOff>0</xdr:rowOff>
        </xdr:to>
        <xdr:sp macro="" textlink="">
          <xdr:nvSpPr>
            <xdr:cNvPr id="73815" name="Drop Down 87" hidden="1">
              <a:extLst>
                <a:ext uri="{63B3BB69-23CF-44E3-9099-C40C66FF867C}">
                  <a14:compatExt spid="_x0000_s73815"/>
                </a:ext>
                <a:ext uri="{FF2B5EF4-FFF2-40B4-BE49-F238E27FC236}">
                  <a16:creationId xmlns:a16="http://schemas.microsoft.com/office/drawing/2014/main" id="{00000000-0008-0000-0600-00005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20</xdr:row>
          <xdr:rowOff>0</xdr:rowOff>
        </xdr:from>
        <xdr:to>
          <xdr:col>7</xdr:col>
          <xdr:colOff>12700</xdr:colOff>
          <xdr:row>21</xdr:row>
          <xdr:rowOff>0</xdr:rowOff>
        </xdr:to>
        <xdr:sp macro="" textlink="">
          <xdr:nvSpPr>
            <xdr:cNvPr id="73816" name="Drop Down 88" hidden="1">
              <a:extLst>
                <a:ext uri="{63B3BB69-23CF-44E3-9099-C40C66FF867C}">
                  <a14:compatExt spid="_x0000_s73816"/>
                </a:ext>
                <a:ext uri="{FF2B5EF4-FFF2-40B4-BE49-F238E27FC236}">
                  <a16:creationId xmlns:a16="http://schemas.microsoft.com/office/drawing/2014/main" id="{00000000-0008-0000-0600-00005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21</xdr:row>
          <xdr:rowOff>0</xdr:rowOff>
        </xdr:from>
        <xdr:to>
          <xdr:col>7</xdr:col>
          <xdr:colOff>12700</xdr:colOff>
          <xdr:row>22</xdr:row>
          <xdr:rowOff>0</xdr:rowOff>
        </xdr:to>
        <xdr:sp macro="" textlink="">
          <xdr:nvSpPr>
            <xdr:cNvPr id="73817" name="Drop Down 89" hidden="1">
              <a:extLst>
                <a:ext uri="{63B3BB69-23CF-44E3-9099-C40C66FF867C}">
                  <a14:compatExt spid="_x0000_s73817"/>
                </a:ext>
                <a:ext uri="{FF2B5EF4-FFF2-40B4-BE49-F238E27FC236}">
                  <a16:creationId xmlns:a16="http://schemas.microsoft.com/office/drawing/2014/main" id="{00000000-0008-0000-0600-00005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22</xdr:row>
          <xdr:rowOff>0</xdr:rowOff>
        </xdr:from>
        <xdr:to>
          <xdr:col>7</xdr:col>
          <xdr:colOff>12700</xdr:colOff>
          <xdr:row>23</xdr:row>
          <xdr:rowOff>0</xdr:rowOff>
        </xdr:to>
        <xdr:sp macro="" textlink="">
          <xdr:nvSpPr>
            <xdr:cNvPr id="73818" name="Drop Down 90" hidden="1">
              <a:extLst>
                <a:ext uri="{63B3BB69-23CF-44E3-9099-C40C66FF867C}">
                  <a14:compatExt spid="_x0000_s73818"/>
                </a:ext>
                <a:ext uri="{FF2B5EF4-FFF2-40B4-BE49-F238E27FC236}">
                  <a16:creationId xmlns:a16="http://schemas.microsoft.com/office/drawing/2014/main" id="{00000000-0008-0000-0600-00005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xdr:row>
          <xdr:rowOff>0</xdr:rowOff>
        </xdr:from>
        <xdr:to>
          <xdr:col>7</xdr:col>
          <xdr:colOff>12700</xdr:colOff>
          <xdr:row>6</xdr:row>
          <xdr:rowOff>12700</xdr:rowOff>
        </xdr:to>
        <xdr:sp macro="" textlink="">
          <xdr:nvSpPr>
            <xdr:cNvPr id="73819" name="Drop Down 91" hidden="1">
              <a:extLst>
                <a:ext uri="{63B3BB69-23CF-44E3-9099-C40C66FF867C}">
                  <a14:compatExt spid="_x0000_s73819"/>
                </a:ext>
                <a:ext uri="{FF2B5EF4-FFF2-40B4-BE49-F238E27FC236}">
                  <a16:creationId xmlns:a16="http://schemas.microsoft.com/office/drawing/2014/main" id="{00000000-0008-0000-0600-00005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xdr:row>
          <xdr:rowOff>0</xdr:rowOff>
        </xdr:from>
        <xdr:to>
          <xdr:col>12</xdr:col>
          <xdr:colOff>12700</xdr:colOff>
          <xdr:row>6</xdr:row>
          <xdr:rowOff>0</xdr:rowOff>
        </xdr:to>
        <xdr:sp macro="" textlink="">
          <xdr:nvSpPr>
            <xdr:cNvPr id="73820" name="Drop Down 92" hidden="1">
              <a:extLst>
                <a:ext uri="{63B3BB69-23CF-44E3-9099-C40C66FF867C}">
                  <a14:compatExt spid="_x0000_s73820"/>
                </a:ext>
                <a:ext uri="{FF2B5EF4-FFF2-40B4-BE49-F238E27FC236}">
                  <a16:creationId xmlns:a16="http://schemas.microsoft.com/office/drawing/2014/main" id="{00000000-0008-0000-0600-00005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12700</xdr:rowOff>
        </xdr:from>
        <xdr:to>
          <xdr:col>2</xdr:col>
          <xdr:colOff>12700</xdr:colOff>
          <xdr:row>7</xdr:row>
          <xdr:rowOff>12700</xdr:rowOff>
        </xdr:to>
        <xdr:sp macro="" textlink="">
          <xdr:nvSpPr>
            <xdr:cNvPr id="73827" name="Drop Down 99" hidden="1">
              <a:extLst>
                <a:ext uri="{63B3BB69-23CF-44E3-9099-C40C66FF867C}">
                  <a14:compatExt spid="_x0000_s73827"/>
                </a:ext>
                <a:ext uri="{FF2B5EF4-FFF2-40B4-BE49-F238E27FC236}">
                  <a16:creationId xmlns:a16="http://schemas.microsoft.com/office/drawing/2014/main" id="{00000000-0008-0000-0600-00006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28</xdr:row>
          <xdr:rowOff>0</xdr:rowOff>
        </xdr:from>
        <xdr:to>
          <xdr:col>2</xdr:col>
          <xdr:colOff>0</xdr:colOff>
          <xdr:row>29</xdr:row>
          <xdr:rowOff>12700</xdr:rowOff>
        </xdr:to>
        <xdr:sp macro="" textlink="">
          <xdr:nvSpPr>
            <xdr:cNvPr id="73907" name="Drop Down 179" hidden="1">
              <a:extLst>
                <a:ext uri="{63B3BB69-23CF-44E3-9099-C40C66FF867C}">
                  <a14:compatExt spid="_x0000_s73907"/>
                </a:ext>
                <a:ext uri="{FF2B5EF4-FFF2-40B4-BE49-F238E27FC236}">
                  <a16:creationId xmlns:a16="http://schemas.microsoft.com/office/drawing/2014/main" id="{00000000-0008-0000-0600-0000B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30</xdr:row>
          <xdr:rowOff>12700</xdr:rowOff>
        </xdr:from>
        <xdr:to>
          <xdr:col>2</xdr:col>
          <xdr:colOff>0</xdr:colOff>
          <xdr:row>31</xdr:row>
          <xdr:rowOff>0</xdr:rowOff>
        </xdr:to>
        <xdr:sp macro="" textlink="">
          <xdr:nvSpPr>
            <xdr:cNvPr id="73930" name="Drop Down 202" hidden="1">
              <a:extLst>
                <a:ext uri="{63B3BB69-23CF-44E3-9099-C40C66FF867C}">
                  <a14:compatExt spid="_x0000_s73930"/>
                </a:ext>
                <a:ext uri="{FF2B5EF4-FFF2-40B4-BE49-F238E27FC236}">
                  <a16:creationId xmlns:a16="http://schemas.microsoft.com/office/drawing/2014/main" id="{00000000-0008-0000-0600-0000C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29</xdr:row>
          <xdr:rowOff>0</xdr:rowOff>
        </xdr:from>
        <xdr:to>
          <xdr:col>2</xdr:col>
          <xdr:colOff>0</xdr:colOff>
          <xdr:row>30</xdr:row>
          <xdr:rowOff>12700</xdr:rowOff>
        </xdr:to>
        <xdr:sp macro="" textlink="">
          <xdr:nvSpPr>
            <xdr:cNvPr id="73931" name="Drop Down 203" hidden="1">
              <a:extLst>
                <a:ext uri="{63B3BB69-23CF-44E3-9099-C40C66FF867C}">
                  <a14:compatExt spid="_x0000_s73931"/>
                </a:ext>
                <a:ext uri="{FF2B5EF4-FFF2-40B4-BE49-F238E27FC236}">
                  <a16:creationId xmlns:a16="http://schemas.microsoft.com/office/drawing/2014/main" id="{00000000-0008-0000-0600-0000CB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31</xdr:row>
          <xdr:rowOff>12700</xdr:rowOff>
        </xdr:from>
        <xdr:to>
          <xdr:col>2</xdr:col>
          <xdr:colOff>0</xdr:colOff>
          <xdr:row>32</xdr:row>
          <xdr:rowOff>0</xdr:rowOff>
        </xdr:to>
        <xdr:sp macro="" textlink="">
          <xdr:nvSpPr>
            <xdr:cNvPr id="73932" name="Drop Down 204" hidden="1">
              <a:extLst>
                <a:ext uri="{63B3BB69-23CF-44E3-9099-C40C66FF867C}">
                  <a14:compatExt spid="_x0000_s73932"/>
                </a:ext>
                <a:ext uri="{FF2B5EF4-FFF2-40B4-BE49-F238E27FC236}">
                  <a16:creationId xmlns:a16="http://schemas.microsoft.com/office/drawing/2014/main" id="{00000000-0008-0000-0600-0000CC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32</xdr:row>
          <xdr:rowOff>12700</xdr:rowOff>
        </xdr:from>
        <xdr:to>
          <xdr:col>2</xdr:col>
          <xdr:colOff>0</xdr:colOff>
          <xdr:row>33</xdr:row>
          <xdr:rowOff>0</xdr:rowOff>
        </xdr:to>
        <xdr:sp macro="" textlink="">
          <xdr:nvSpPr>
            <xdr:cNvPr id="73933" name="Drop Down 205" hidden="1">
              <a:extLst>
                <a:ext uri="{63B3BB69-23CF-44E3-9099-C40C66FF867C}">
                  <a14:compatExt spid="_x0000_s73933"/>
                </a:ext>
                <a:ext uri="{FF2B5EF4-FFF2-40B4-BE49-F238E27FC236}">
                  <a16:creationId xmlns:a16="http://schemas.microsoft.com/office/drawing/2014/main" id="{00000000-0008-0000-0600-0000CD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33</xdr:row>
          <xdr:rowOff>12700</xdr:rowOff>
        </xdr:from>
        <xdr:to>
          <xdr:col>2</xdr:col>
          <xdr:colOff>0</xdr:colOff>
          <xdr:row>34</xdr:row>
          <xdr:rowOff>0</xdr:rowOff>
        </xdr:to>
        <xdr:sp macro="" textlink="">
          <xdr:nvSpPr>
            <xdr:cNvPr id="73934" name="Drop Down 206" hidden="1">
              <a:extLst>
                <a:ext uri="{63B3BB69-23CF-44E3-9099-C40C66FF867C}">
                  <a14:compatExt spid="_x0000_s73934"/>
                </a:ext>
                <a:ext uri="{FF2B5EF4-FFF2-40B4-BE49-F238E27FC236}">
                  <a16:creationId xmlns:a16="http://schemas.microsoft.com/office/drawing/2014/main" id="{00000000-0008-0000-0600-0000C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34</xdr:row>
          <xdr:rowOff>12700</xdr:rowOff>
        </xdr:from>
        <xdr:to>
          <xdr:col>2</xdr:col>
          <xdr:colOff>0</xdr:colOff>
          <xdr:row>35</xdr:row>
          <xdr:rowOff>0</xdr:rowOff>
        </xdr:to>
        <xdr:sp macro="" textlink="">
          <xdr:nvSpPr>
            <xdr:cNvPr id="73935" name="Drop Down 207" hidden="1">
              <a:extLst>
                <a:ext uri="{63B3BB69-23CF-44E3-9099-C40C66FF867C}">
                  <a14:compatExt spid="_x0000_s73935"/>
                </a:ext>
                <a:ext uri="{FF2B5EF4-FFF2-40B4-BE49-F238E27FC236}">
                  <a16:creationId xmlns:a16="http://schemas.microsoft.com/office/drawing/2014/main" id="{00000000-0008-0000-0600-0000CF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35</xdr:row>
          <xdr:rowOff>12700</xdr:rowOff>
        </xdr:from>
        <xdr:to>
          <xdr:col>2</xdr:col>
          <xdr:colOff>0</xdr:colOff>
          <xdr:row>36</xdr:row>
          <xdr:rowOff>0</xdr:rowOff>
        </xdr:to>
        <xdr:sp macro="" textlink="">
          <xdr:nvSpPr>
            <xdr:cNvPr id="73936" name="Drop Down 208" hidden="1">
              <a:extLst>
                <a:ext uri="{63B3BB69-23CF-44E3-9099-C40C66FF867C}">
                  <a14:compatExt spid="_x0000_s73936"/>
                </a:ext>
                <a:ext uri="{FF2B5EF4-FFF2-40B4-BE49-F238E27FC236}">
                  <a16:creationId xmlns:a16="http://schemas.microsoft.com/office/drawing/2014/main" id="{00000000-0008-0000-0600-0000D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36</xdr:row>
          <xdr:rowOff>12700</xdr:rowOff>
        </xdr:from>
        <xdr:to>
          <xdr:col>2</xdr:col>
          <xdr:colOff>0</xdr:colOff>
          <xdr:row>37</xdr:row>
          <xdr:rowOff>0</xdr:rowOff>
        </xdr:to>
        <xdr:sp macro="" textlink="">
          <xdr:nvSpPr>
            <xdr:cNvPr id="73937" name="Drop Down 209" hidden="1">
              <a:extLst>
                <a:ext uri="{63B3BB69-23CF-44E3-9099-C40C66FF867C}">
                  <a14:compatExt spid="_x0000_s73937"/>
                </a:ext>
                <a:ext uri="{FF2B5EF4-FFF2-40B4-BE49-F238E27FC236}">
                  <a16:creationId xmlns:a16="http://schemas.microsoft.com/office/drawing/2014/main" id="{00000000-0008-0000-0600-0000D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37</xdr:row>
          <xdr:rowOff>12700</xdr:rowOff>
        </xdr:from>
        <xdr:to>
          <xdr:col>2</xdr:col>
          <xdr:colOff>0</xdr:colOff>
          <xdr:row>38</xdr:row>
          <xdr:rowOff>0</xdr:rowOff>
        </xdr:to>
        <xdr:sp macro="" textlink="">
          <xdr:nvSpPr>
            <xdr:cNvPr id="73938" name="Drop Down 210" hidden="1">
              <a:extLst>
                <a:ext uri="{63B3BB69-23CF-44E3-9099-C40C66FF867C}">
                  <a14:compatExt spid="_x0000_s73938"/>
                </a:ext>
                <a:ext uri="{FF2B5EF4-FFF2-40B4-BE49-F238E27FC236}">
                  <a16:creationId xmlns:a16="http://schemas.microsoft.com/office/drawing/2014/main" id="{00000000-0008-0000-0600-0000D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38</xdr:row>
          <xdr:rowOff>12700</xdr:rowOff>
        </xdr:from>
        <xdr:to>
          <xdr:col>2</xdr:col>
          <xdr:colOff>0</xdr:colOff>
          <xdr:row>39</xdr:row>
          <xdr:rowOff>0</xdr:rowOff>
        </xdr:to>
        <xdr:sp macro="" textlink="">
          <xdr:nvSpPr>
            <xdr:cNvPr id="73939" name="Drop Down 211" hidden="1">
              <a:extLst>
                <a:ext uri="{63B3BB69-23CF-44E3-9099-C40C66FF867C}">
                  <a14:compatExt spid="_x0000_s73939"/>
                </a:ext>
                <a:ext uri="{FF2B5EF4-FFF2-40B4-BE49-F238E27FC236}">
                  <a16:creationId xmlns:a16="http://schemas.microsoft.com/office/drawing/2014/main" id="{00000000-0008-0000-0600-0000D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39</xdr:row>
          <xdr:rowOff>12700</xdr:rowOff>
        </xdr:from>
        <xdr:to>
          <xdr:col>2</xdr:col>
          <xdr:colOff>0</xdr:colOff>
          <xdr:row>40</xdr:row>
          <xdr:rowOff>0</xdr:rowOff>
        </xdr:to>
        <xdr:sp macro="" textlink="">
          <xdr:nvSpPr>
            <xdr:cNvPr id="73940" name="Drop Down 212" hidden="1">
              <a:extLst>
                <a:ext uri="{63B3BB69-23CF-44E3-9099-C40C66FF867C}">
                  <a14:compatExt spid="_x0000_s73940"/>
                </a:ext>
                <a:ext uri="{FF2B5EF4-FFF2-40B4-BE49-F238E27FC236}">
                  <a16:creationId xmlns:a16="http://schemas.microsoft.com/office/drawing/2014/main" id="{00000000-0008-0000-0600-0000D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0</xdr:rowOff>
        </xdr:from>
        <xdr:to>
          <xdr:col>2</xdr:col>
          <xdr:colOff>12700</xdr:colOff>
          <xdr:row>10</xdr:row>
          <xdr:rowOff>0</xdr:rowOff>
        </xdr:to>
        <xdr:sp macro="" textlink="">
          <xdr:nvSpPr>
            <xdr:cNvPr id="73952" name="Drop Down 224" hidden="1">
              <a:extLst>
                <a:ext uri="{63B3BB69-23CF-44E3-9099-C40C66FF867C}">
                  <a14:compatExt spid="_x0000_s73952"/>
                </a:ext>
                <a:ext uri="{FF2B5EF4-FFF2-40B4-BE49-F238E27FC236}">
                  <a16:creationId xmlns:a16="http://schemas.microsoft.com/office/drawing/2014/main" id="{00000000-0008-0000-0600-0000E0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46</xdr:row>
          <xdr:rowOff>12700</xdr:rowOff>
        </xdr:from>
        <xdr:to>
          <xdr:col>7</xdr:col>
          <xdr:colOff>0</xdr:colOff>
          <xdr:row>47</xdr:row>
          <xdr:rowOff>0</xdr:rowOff>
        </xdr:to>
        <xdr:sp macro="" textlink="">
          <xdr:nvSpPr>
            <xdr:cNvPr id="73953" name="Drop Down 225" hidden="1">
              <a:extLst>
                <a:ext uri="{63B3BB69-23CF-44E3-9099-C40C66FF867C}">
                  <a14:compatExt spid="_x0000_s73953"/>
                </a:ext>
                <a:ext uri="{FF2B5EF4-FFF2-40B4-BE49-F238E27FC236}">
                  <a16:creationId xmlns:a16="http://schemas.microsoft.com/office/drawing/2014/main" id="{00000000-0008-0000-0600-0000E1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47</xdr:row>
          <xdr:rowOff>0</xdr:rowOff>
        </xdr:from>
        <xdr:to>
          <xdr:col>7</xdr:col>
          <xdr:colOff>0</xdr:colOff>
          <xdr:row>48</xdr:row>
          <xdr:rowOff>0</xdr:rowOff>
        </xdr:to>
        <xdr:sp macro="" textlink="">
          <xdr:nvSpPr>
            <xdr:cNvPr id="73954" name="Drop Down 226" hidden="1">
              <a:extLst>
                <a:ext uri="{63B3BB69-23CF-44E3-9099-C40C66FF867C}">
                  <a14:compatExt spid="_x0000_s73954"/>
                </a:ext>
                <a:ext uri="{FF2B5EF4-FFF2-40B4-BE49-F238E27FC236}">
                  <a16:creationId xmlns:a16="http://schemas.microsoft.com/office/drawing/2014/main" id="{00000000-0008-0000-0600-0000E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48</xdr:row>
          <xdr:rowOff>0</xdr:rowOff>
        </xdr:from>
        <xdr:to>
          <xdr:col>7</xdr:col>
          <xdr:colOff>0</xdr:colOff>
          <xdr:row>49</xdr:row>
          <xdr:rowOff>0</xdr:rowOff>
        </xdr:to>
        <xdr:sp macro="" textlink="">
          <xdr:nvSpPr>
            <xdr:cNvPr id="73955" name="Drop Down 227" hidden="1">
              <a:extLst>
                <a:ext uri="{63B3BB69-23CF-44E3-9099-C40C66FF867C}">
                  <a14:compatExt spid="_x0000_s73955"/>
                </a:ext>
                <a:ext uri="{FF2B5EF4-FFF2-40B4-BE49-F238E27FC236}">
                  <a16:creationId xmlns:a16="http://schemas.microsoft.com/office/drawing/2014/main" id="{00000000-0008-0000-0600-0000E3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49</xdr:row>
          <xdr:rowOff>0</xdr:rowOff>
        </xdr:from>
        <xdr:to>
          <xdr:col>7</xdr:col>
          <xdr:colOff>0</xdr:colOff>
          <xdr:row>50</xdr:row>
          <xdr:rowOff>0</xdr:rowOff>
        </xdr:to>
        <xdr:sp macro="" textlink="">
          <xdr:nvSpPr>
            <xdr:cNvPr id="73956" name="Drop Down 228" hidden="1">
              <a:extLst>
                <a:ext uri="{63B3BB69-23CF-44E3-9099-C40C66FF867C}">
                  <a14:compatExt spid="_x0000_s73956"/>
                </a:ext>
                <a:ext uri="{FF2B5EF4-FFF2-40B4-BE49-F238E27FC236}">
                  <a16:creationId xmlns:a16="http://schemas.microsoft.com/office/drawing/2014/main" id="{00000000-0008-0000-0600-0000E4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50</xdr:row>
          <xdr:rowOff>0</xdr:rowOff>
        </xdr:from>
        <xdr:to>
          <xdr:col>7</xdr:col>
          <xdr:colOff>0</xdr:colOff>
          <xdr:row>51</xdr:row>
          <xdr:rowOff>0</xdr:rowOff>
        </xdr:to>
        <xdr:sp macro="" textlink="">
          <xdr:nvSpPr>
            <xdr:cNvPr id="73957" name="Drop Down 229" hidden="1">
              <a:extLst>
                <a:ext uri="{63B3BB69-23CF-44E3-9099-C40C66FF867C}">
                  <a14:compatExt spid="_x0000_s73957"/>
                </a:ext>
                <a:ext uri="{FF2B5EF4-FFF2-40B4-BE49-F238E27FC236}">
                  <a16:creationId xmlns:a16="http://schemas.microsoft.com/office/drawing/2014/main" id="{00000000-0008-0000-0600-0000E5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51</xdr:row>
          <xdr:rowOff>0</xdr:rowOff>
        </xdr:from>
        <xdr:to>
          <xdr:col>7</xdr:col>
          <xdr:colOff>0</xdr:colOff>
          <xdr:row>52</xdr:row>
          <xdr:rowOff>12700</xdr:rowOff>
        </xdr:to>
        <xdr:sp macro="" textlink="">
          <xdr:nvSpPr>
            <xdr:cNvPr id="73958" name="Drop Down 230" hidden="1">
              <a:extLst>
                <a:ext uri="{63B3BB69-23CF-44E3-9099-C40C66FF867C}">
                  <a14:compatExt spid="_x0000_s73958"/>
                </a:ext>
                <a:ext uri="{FF2B5EF4-FFF2-40B4-BE49-F238E27FC236}">
                  <a16:creationId xmlns:a16="http://schemas.microsoft.com/office/drawing/2014/main" id="{00000000-0008-0000-0600-0000E6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52</xdr:row>
          <xdr:rowOff>12700</xdr:rowOff>
        </xdr:from>
        <xdr:to>
          <xdr:col>7</xdr:col>
          <xdr:colOff>0</xdr:colOff>
          <xdr:row>53</xdr:row>
          <xdr:rowOff>0</xdr:rowOff>
        </xdr:to>
        <xdr:sp macro="" textlink="">
          <xdr:nvSpPr>
            <xdr:cNvPr id="73959" name="Drop Down 231" hidden="1">
              <a:extLst>
                <a:ext uri="{63B3BB69-23CF-44E3-9099-C40C66FF867C}">
                  <a14:compatExt spid="_x0000_s73959"/>
                </a:ext>
                <a:ext uri="{FF2B5EF4-FFF2-40B4-BE49-F238E27FC236}">
                  <a16:creationId xmlns:a16="http://schemas.microsoft.com/office/drawing/2014/main" id="{00000000-0008-0000-0600-0000E7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53</xdr:row>
          <xdr:rowOff>0</xdr:rowOff>
        </xdr:from>
        <xdr:to>
          <xdr:col>7</xdr:col>
          <xdr:colOff>0</xdr:colOff>
          <xdr:row>54</xdr:row>
          <xdr:rowOff>0</xdr:rowOff>
        </xdr:to>
        <xdr:sp macro="" textlink="">
          <xdr:nvSpPr>
            <xdr:cNvPr id="73960" name="Drop Down 232" hidden="1">
              <a:extLst>
                <a:ext uri="{63B3BB69-23CF-44E3-9099-C40C66FF867C}">
                  <a14:compatExt spid="_x0000_s73960"/>
                </a:ext>
                <a:ext uri="{FF2B5EF4-FFF2-40B4-BE49-F238E27FC236}">
                  <a16:creationId xmlns:a16="http://schemas.microsoft.com/office/drawing/2014/main" id="{00000000-0008-0000-0600-0000E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54</xdr:row>
          <xdr:rowOff>0</xdr:rowOff>
        </xdr:from>
        <xdr:to>
          <xdr:col>7</xdr:col>
          <xdr:colOff>0</xdr:colOff>
          <xdr:row>55</xdr:row>
          <xdr:rowOff>0</xdr:rowOff>
        </xdr:to>
        <xdr:sp macro="" textlink="">
          <xdr:nvSpPr>
            <xdr:cNvPr id="73961" name="Drop Down 233" hidden="1">
              <a:extLst>
                <a:ext uri="{63B3BB69-23CF-44E3-9099-C40C66FF867C}">
                  <a14:compatExt spid="_x0000_s73961"/>
                </a:ext>
                <a:ext uri="{FF2B5EF4-FFF2-40B4-BE49-F238E27FC236}">
                  <a16:creationId xmlns:a16="http://schemas.microsoft.com/office/drawing/2014/main" id="{00000000-0008-0000-0600-0000E9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55</xdr:row>
          <xdr:rowOff>0</xdr:rowOff>
        </xdr:from>
        <xdr:to>
          <xdr:col>7</xdr:col>
          <xdr:colOff>0</xdr:colOff>
          <xdr:row>56</xdr:row>
          <xdr:rowOff>12700</xdr:rowOff>
        </xdr:to>
        <xdr:sp macro="" textlink="">
          <xdr:nvSpPr>
            <xdr:cNvPr id="73962" name="Drop Down 234" hidden="1">
              <a:extLst>
                <a:ext uri="{63B3BB69-23CF-44E3-9099-C40C66FF867C}">
                  <a14:compatExt spid="_x0000_s73962"/>
                </a:ext>
                <a:ext uri="{FF2B5EF4-FFF2-40B4-BE49-F238E27FC236}">
                  <a16:creationId xmlns:a16="http://schemas.microsoft.com/office/drawing/2014/main" id="{00000000-0008-0000-0600-0000EA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56</xdr:row>
          <xdr:rowOff>0</xdr:rowOff>
        </xdr:from>
        <xdr:to>
          <xdr:col>7</xdr:col>
          <xdr:colOff>0</xdr:colOff>
          <xdr:row>57</xdr:row>
          <xdr:rowOff>12700</xdr:rowOff>
        </xdr:to>
        <xdr:sp macro="" textlink="">
          <xdr:nvSpPr>
            <xdr:cNvPr id="73966" name="Drop Down 238" hidden="1">
              <a:extLst>
                <a:ext uri="{63B3BB69-23CF-44E3-9099-C40C66FF867C}">
                  <a14:compatExt spid="_x0000_s73966"/>
                </a:ext>
                <a:ext uri="{FF2B5EF4-FFF2-40B4-BE49-F238E27FC236}">
                  <a16:creationId xmlns:a16="http://schemas.microsoft.com/office/drawing/2014/main" id="{00000000-0008-0000-0600-0000E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57</xdr:row>
          <xdr:rowOff>12700</xdr:rowOff>
        </xdr:from>
        <xdr:to>
          <xdr:col>7</xdr:col>
          <xdr:colOff>0</xdr:colOff>
          <xdr:row>58</xdr:row>
          <xdr:rowOff>25400</xdr:rowOff>
        </xdr:to>
        <xdr:sp macro="" textlink="">
          <xdr:nvSpPr>
            <xdr:cNvPr id="73970" name="Drop Down 242" hidden="1">
              <a:extLst>
                <a:ext uri="{63B3BB69-23CF-44E3-9099-C40C66FF867C}">
                  <a14:compatExt spid="_x0000_s73970"/>
                </a:ext>
                <a:ext uri="{FF2B5EF4-FFF2-40B4-BE49-F238E27FC236}">
                  <a16:creationId xmlns:a16="http://schemas.microsoft.com/office/drawing/2014/main" id="{00000000-0008-0000-0600-0000F2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58</xdr:row>
          <xdr:rowOff>0</xdr:rowOff>
        </xdr:from>
        <xdr:to>
          <xdr:col>7</xdr:col>
          <xdr:colOff>0</xdr:colOff>
          <xdr:row>59</xdr:row>
          <xdr:rowOff>12700</xdr:rowOff>
        </xdr:to>
        <xdr:sp macro="" textlink="">
          <xdr:nvSpPr>
            <xdr:cNvPr id="73976" name="Drop Down 248" hidden="1">
              <a:extLst>
                <a:ext uri="{63B3BB69-23CF-44E3-9099-C40C66FF867C}">
                  <a14:compatExt spid="_x0000_s73976"/>
                </a:ext>
                <a:ext uri="{FF2B5EF4-FFF2-40B4-BE49-F238E27FC236}">
                  <a16:creationId xmlns:a16="http://schemas.microsoft.com/office/drawing/2014/main" id="{00000000-0008-0000-0600-0000F8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59</xdr:row>
          <xdr:rowOff>0</xdr:rowOff>
        </xdr:from>
        <xdr:to>
          <xdr:col>7</xdr:col>
          <xdr:colOff>0</xdr:colOff>
          <xdr:row>60</xdr:row>
          <xdr:rowOff>12700</xdr:rowOff>
        </xdr:to>
        <xdr:sp macro="" textlink="">
          <xdr:nvSpPr>
            <xdr:cNvPr id="73982" name="Drop Down 254" hidden="1">
              <a:extLst>
                <a:ext uri="{63B3BB69-23CF-44E3-9099-C40C66FF867C}">
                  <a14:compatExt spid="_x0000_s73982"/>
                </a:ext>
                <a:ext uri="{FF2B5EF4-FFF2-40B4-BE49-F238E27FC236}">
                  <a16:creationId xmlns:a16="http://schemas.microsoft.com/office/drawing/2014/main" id="{00000000-0008-0000-0600-0000FE2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60</xdr:row>
          <xdr:rowOff>0</xdr:rowOff>
        </xdr:from>
        <xdr:to>
          <xdr:col>7</xdr:col>
          <xdr:colOff>0</xdr:colOff>
          <xdr:row>61</xdr:row>
          <xdr:rowOff>0</xdr:rowOff>
        </xdr:to>
        <xdr:sp macro="" textlink="">
          <xdr:nvSpPr>
            <xdr:cNvPr id="73988" name="Drop Down 260" hidden="1">
              <a:extLst>
                <a:ext uri="{63B3BB69-23CF-44E3-9099-C40C66FF867C}">
                  <a14:compatExt spid="_x0000_s73988"/>
                </a:ext>
                <a:ext uri="{FF2B5EF4-FFF2-40B4-BE49-F238E27FC236}">
                  <a16:creationId xmlns:a16="http://schemas.microsoft.com/office/drawing/2014/main" id="{00000000-0008-0000-0600-00000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61</xdr:row>
          <xdr:rowOff>0</xdr:rowOff>
        </xdr:from>
        <xdr:to>
          <xdr:col>7</xdr:col>
          <xdr:colOff>0</xdr:colOff>
          <xdr:row>62</xdr:row>
          <xdr:rowOff>0</xdr:rowOff>
        </xdr:to>
        <xdr:sp macro="" textlink="">
          <xdr:nvSpPr>
            <xdr:cNvPr id="73994" name="Drop Down 266" hidden="1">
              <a:extLst>
                <a:ext uri="{63B3BB69-23CF-44E3-9099-C40C66FF867C}">
                  <a14:compatExt spid="_x0000_s73994"/>
                </a:ext>
                <a:ext uri="{FF2B5EF4-FFF2-40B4-BE49-F238E27FC236}">
                  <a16:creationId xmlns:a16="http://schemas.microsoft.com/office/drawing/2014/main" id="{00000000-0008-0000-0600-00000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61</xdr:row>
          <xdr:rowOff>177800</xdr:rowOff>
        </xdr:from>
        <xdr:to>
          <xdr:col>7</xdr:col>
          <xdr:colOff>0</xdr:colOff>
          <xdr:row>63</xdr:row>
          <xdr:rowOff>12700</xdr:rowOff>
        </xdr:to>
        <xdr:sp macro="" textlink="">
          <xdr:nvSpPr>
            <xdr:cNvPr id="74000" name="Drop Down 272" hidden="1">
              <a:extLst>
                <a:ext uri="{63B3BB69-23CF-44E3-9099-C40C66FF867C}">
                  <a14:compatExt spid="_x0000_s74000"/>
                </a:ext>
                <a:ext uri="{FF2B5EF4-FFF2-40B4-BE49-F238E27FC236}">
                  <a16:creationId xmlns:a16="http://schemas.microsoft.com/office/drawing/2014/main" id="{00000000-0008-0000-0600-00001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62</xdr:row>
          <xdr:rowOff>177800</xdr:rowOff>
        </xdr:from>
        <xdr:to>
          <xdr:col>7</xdr:col>
          <xdr:colOff>0</xdr:colOff>
          <xdr:row>64</xdr:row>
          <xdr:rowOff>12700</xdr:rowOff>
        </xdr:to>
        <xdr:sp macro="" textlink="">
          <xdr:nvSpPr>
            <xdr:cNvPr id="74006" name="Drop Down 278" hidden="1">
              <a:extLst>
                <a:ext uri="{63B3BB69-23CF-44E3-9099-C40C66FF867C}">
                  <a14:compatExt spid="_x0000_s74006"/>
                </a:ext>
                <a:ext uri="{FF2B5EF4-FFF2-40B4-BE49-F238E27FC236}">
                  <a16:creationId xmlns:a16="http://schemas.microsoft.com/office/drawing/2014/main" id="{00000000-0008-0000-0600-00001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64</xdr:row>
          <xdr:rowOff>0</xdr:rowOff>
        </xdr:from>
        <xdr:to>
          <xdr:col>7</xdr:col>
          <xdr:colOff>0</xdr:colOff>
          <xdr:row>65</xdr:row>
          <xdr:rowOff>0</xdr:rowOff>
        </xdr:to>
        <xdr:sp macro="" textlink="">
          <xdr:nvSpPr>
            <xdr:cNvPr id="74012" name="Drop Down 284" hidden="1">
              <a:extLst>
                <a:ext uri="{63B3BB69-23CF-44E3-9099-C40C66FF867C}">
                  <a14:compatExt spid="_x0000_s74012"/>
                </a:ext>
                <a:ext uri="{FF2B5EF4-FFF2-40B4-BE49-F238E27FC236}">
                  <a16:creationId xmlns:a16="http://schemas.microsoft.com/office/drawing/2014/main" id="{00000000-0008-0000-0600-00001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65</xdr:row>
          <xdr:rowOff>0</xdr:rowOff>
        </xdr:from>
        <xdr:to>
          <xdr:col>7</xdr:col>
          <xdr:colOff>0</xdr:colOff>
          <xdr:row>66</xdr:row>
          <xdr:rowOff>12700</xdr:rowOff>
        </xdr:to>
        <xdr:sp macro="" textlink="">
          <xdr:nvSpPr>
            <xdr:cNvPr id="74018" name="Drop Down 290" hidden="1">
              <a:extLst>
                <a:ext uri="{63B3BB69-23CF-44E3-9099-C40C66FF867C}">
                  <a14:compatExt spid="_x0000_s74018"/>
                </a:ext>
                <a:ext uri="{FF2B5EF4-FFF2-40B4-BE49-F238E27FC236}">
                  <a16:creationId xmlns:a16="http://schemas.microsoft.com/office/drawing/2014/main" id="{00000000-0008-0000-0600-000022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850900</xdr:colOff>
          <xdr:row>66</xdr:row>
          <xdr:rowOff>12700</xdr:rowOff>
        </xdr:from>
        <xdr:to>
          <xdr:col>6</xdr:col>
          <xdr:colOff>2616200</xdr:colOff>
          <xdr:row>66</xdr:row>
          <xdr:rowOff>266700</xdr:rowOff>
        </xdr:to>
        <xdr:sp macro="" textlink="">
          <xdr:nvSpPr>
            <xdr:cNvPr id="74024" name="Drop Down 296" hidden="1">
              <a:extLst>
                <a:ext uri="{63B3BB69-23CF-44E3-9099-C40C66FF867C}">
                  <a14:compatExt spid="_x0000_s74024"/>
                </a:ext>
                <a:ext uri="{FF2B5EF4-FFF2-40B4-BE49-F238E27FC236}">
                  <a16:creationId xmlns:a16="http://schemas.microsoft.com/office/drawing/2014/main" id="{00000000-0008-0000-0600-00002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46</xdr:row>
          <xdr:rowOff>12700</xdr:rowOff>
        </xdr:from>
        <xdr:to>
          <xdr:col>12</xdr:col>
          <xdr:colOff>0</xdr:colOff>
          <xdr:row>47</xdr:row>
          <xdr:rowOff>0</xdr:rowOff>
        </xdr:to>
        <xdr:sp macro="" textlink="">
          <xdr:nvSpPr>
            <xdr:cNvPr id="74091" name="Drop Down 363" hidden="1">
              <a:extLst>
                <a:ext uri="{63B3BB69-23CF-44E3-9099-C40C66FF867C}">
                  <a14:compatExt spid="_x0000_s74091"/>
                </a:ext>
                <a:ext uri="{FF2B5EF4-FFF2-40B4-BE49-F238E27FC236}">
                  <a16:creationId xmlns:a16="http://schemas.microsoft.com/office/drawing/2014/main" id="{00000000-0008-0000-0600-00006B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47</xdr:row>
          <xdr:rowOff>0</xdr:rowOff>
        </xdr:from>
        <xdr:to>
          <xdr:col>12</xdr:col>
          <xdr:colOff>0</xdr:colOff>
          <xdr:row>48</xdr:row>
          <xdr:rowOff>0</xdr:rowOff>
        </xdr:to>
        <xdr:sp macro="" textlink="">
          <xdr:nvSpPr>
            <xdr:cNvPr id="74092" name="Drop Down 364" hidden="1">
              <a:extLst>
                <a:ext uri="{63B3BB69-23CF-44E3-9099-C40C66FF867C}">
                  <a14:compatExt spid="_x0000_s74092"/>
                </a:ext>
                <a:ext uri="{FF2B5EF4-FFF2-40B4-BE49-F238E27FC236}">
                  <a16:creationId xmlns:a16="http://schemas.microsoft.com/office/drawing/2014/main" id="{00000000-0008-0000-0600-00006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48</xdr:row>
          <xdr:rowOff>0</xdr:rowOff>
        </xdr:from>
        <xdr:to>
          <xdr:col>12</xdr:col>
          <xdr:colOff>0</xdr:colOff>
          <xdr:row>49</xdr:row>
          <xdr:rowOff>0</xdr:rowOff>
        </xdr:to>
        <xdr:sp macro="" textlink="">
          <xdr:nvSpPr>
            <xdr:cNvPr id="74093" name="Drop Down 365" hidden="1">
              <a:extLst>
                <a:ext uri="{63B3BB69-23CF-44E3-9099-C40C66FF867C}">
                  <a14:compatExt spid="_x0000_s74093"/>
                </a:ext>
                <a:ext uri="{FF2B5EF4-FFF2-40B4-BE49-F238E27FC236}">
                  <a16:creationId xmlns:a16="http://schemas.microsoft.com/office/drawing/2014/main" id="{00000000-0008-0000-0600-00006D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0</xdr:rowOff>
        </xdr:from>
        <xdr:to>
          <xdr:col>12</xdr:col>
          <xdr:colOff>0</xdr:colOff>
          <xdr:row>50</xdr:row>
          <xdr:rowOff>0</xdr:rowOff>
        </xdr:to>
        <xdr:sp macro="" textlink="">
          <xdr:nvSpPr>
            <xdr:cNvPr id="74094" name="Drop Down 366" hidden="1">
              <a:extLst>
                <a:ext uri="{63B3BB69-23CF-44E3-9099-C40C66FF867C}">
                  <a14:compatExt spid="_x0000_s74094"/>
                </a:ext>
                <a:ext uri="{FF2B5EF4-FFF2-40B4-BE49-F238E27FC236}">
                  <a16:creationId xmlns:a16="http://schemas.microsoft.com/office/drawing/2014/main" id="{00000000-0008-0000-0600-00006E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49</xdr:row>
          <xdr:rowOff>254000</xdr:rowOff>
        </xdr:from>
        <xdr:to>
          <xdr:col>12</xdr:col>
          <xdr:colOff>0</xdr:colOff>
          <xdr:row>51</xdr:row>
          <xdr:rowOff>0</xdr:rowOff>
        </xdr:to>
        <xdr:sp macro="" textlink="">
          <xdr:nvSpPr>
            <xdr:cNvPr id="74095" name="Drop Down 367" hidden="1">
              <a:extLst>
                <a:ext uri="{63B3BB69-23CF-44E3-9099-C40C66FF867C}">
                  <a14:compatExt spid="_x0000_s74095"/>
                </a:ext>
                <a:ext uri="{FF2B5EF4-FFF2-40B4-BE49-F238E27FC236}">
                  <a16:creationId xmlns:a16="http://schemas.microsoft.com/office/drawing/2014/main" id="{00000000-0008-0000-0600-00006F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51</xdr:row>
          <xdr:rowOff>0</xdr:rowOff>
        </xdr:from>
        <xdr:to>
          <xdr:col>12</xdr:col>
          <xdr:colOff>0</xdr:colOff>
          <xdr:row>52</xdr:row>
          <xdr:rowOff>12700</xdr:rowOff>
        </xdr:to>
        <xdr:sp macro="" textlink="">
          <xdr:nvSpPr>
            <xdr:cNvPr id="74096" name="Drop Down 368" hidden="1">
              <a:extLst>
                <a:ext uri="{63B3BB69-23CF-44E3-9099-C40C66FF867C}">
                  <a14:compatExt spid="_x0000_s74096"/>
                </a:ext>
                <a:ext uri="{FF2B5EF4-FFF2-40B4-BE49-F238E27FC236}">
                  <a16:creationId xmlns:a16="http://schemas.microsoft.com/office/drawing/2014/main" id="{00000000-0008-0000-0600-00007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52</xdr:row>
          <xdr:rowOff>0</xdr:rowOff>
        </xdr:from>
        <xdr:to>
          <xdr:col>12</xdr:col>
          <xdr:colOff>0</xdr:colOff>
          <xdr:row>53</xdr:row>
          <xdr:rowOff>0</xdr:rowOff>
        </xdr:to>
        <xdr:sp macro="" textlink="">
          <xdr:nvSpPr>
            <xdr:cNvPr id="74097" name="Drop Down 369" hidden="1">
              <a:extLst>
                <a:ext uri="{63B3BB69-23CF-44E3-9099-C40C66FF867C}">
                  <a14:compatExt spid="_x0000_s74097"/>
                </a:ext>
                <a:ext uri="{FF2B5EF4-FFF2-40B4-BE49-F238E27FC236}">
                  <a16:creationId xmlns:a16="http://schemas.microsoft.com/office/drawing/2014/main" id="{00000000-0008-0000-0600-000071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53</xdr:row>
          <xdr:rowOff>0</xdr:rowOff>
        </xdr:from>
        <xdr:to>
          <xdr:col>12</xdr:col>
          <xdr:colOff>0</xdr:colOff>
          <xdr:row>54</xdr:row>
          <xdr:rowOff>0</xdr:rowOff>
        </xdr:to>
        <xdr:sp macro="" textlink="">
          <xdr:nvSpPr>
            <xdr:cNvPr id="74098" name="Drop Down 370" hidden="1">
              <a:extLst>
                <a:ext uri="{63B3BB69-23CF-44E3-9099-C40C66FF867C}">
                  <a14:compatExt spid="_x0000_s74098"/>
                </a:ext>
                <a:ext uri="{FF2B5EF4-FFF2-40B4-BE49-F238E27FC236}">
                  <a16:creationId xmlns:a16="http://schemas.microsoft.com/office/drawing/2014/main" id="{00000000-0008-0000-0600-000072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54</xdr:row>
          <xdr:rowOff>0</xdr:rowOff>
        </xdr:from>
        <xdr:to>
          <xdr:col>12</xdr:col>
          <xdr:colOff>0</xdr:colOff>
          <xdr:row>55</xdr:row>
          <xdr:rowOff>0</xdr:rowOff>
        </xdr:to>
        <xdr:sp macro="" textlink="">
          <xdr:nvSpPr>
            <xdr:cNvPr id="74099" name="Drop Down 371" hidden="1">
              <a:extLst>
                <a:ext uri="{63B3BB69-23CF-44E3-9099-C40C66FF867C}">
                  <a14:compatExt spid="_x0000_s74099"/>
                </a:ext>
                <a:ext uri="{FF2B5EF4-FFF2-40B4-BE49-F238E27FC236}">
                  <a16:creationId xmlns:a16="http://schemas.microsoft.com/office/drawing/2014/main" id="{00000000-0008-0000-0600-000073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0</xdr:rowOff>
        </xdr:from>
        <xdr:to>
          <xdr:col>12</xdr:col>
          <xdr:colOff>0</xdr:colOff>
          <xdr:row>55</xdr:row>
          <xdr:rowOff>152400</xdr:rowOff>
        </xdr:to>
        <xdr:sp macro="" textlink="">
          <xdr:nvSpPr>
            <xdr:cNvPr id="74100" name="Drop Down 372" hidden="1">
              <a:extLst>
                <a:ext uri="{63B3BB69-23CF-44E3-9099-C40C66FF867C}">
                  <a14:compatExt spid="_x0000_s74100"/>
                </a:ext>
                <a:ext uri="{FF2B5EF4-FFF2-40B4-BE49-F238E27FC236}">
                  <a16:creationId xmlns:a16="http://schemas.microsoft.com/office/drawing/2014/main" id="{00000000-0008-0000-0600-00007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0</xdr:rowOff>
        </xdr:from>
        <xdr:to>
          <xdr:col>12</xdr:col>
          <xdr:colOff>0</xdr:colOff>
          <xdr:row>55</xdr:row>
          <xdr:rowOff>152400</xdr:rowOff>
        </xdr:to>
        <xdr:sp macro="" textlink="">
          <xdr:nvSpPr>
            <xdr:cNvPr id="74101" name="Drop Down 373" hidden="1">
              <a:extLst>
                <a:ext uri="{63B3BB69-23CF-44E3-9099-C40C66FF867C}">
                  <a14:compatExt spid="_x0000_s74101"/>
                </a:ext>
                <a:ext uri="{FF2B5EF4-FFF2-40B4-BE49-F238E27FC236}">
                  <a16:creationId xmlns:a16="http://schemas.microsoft.com/office/drawing/2014/main" id="{00000000-0008-0000-0600-000075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55</xdr:row>
          <xdr:rowOff>12700</xdr:rowOff>
        </xdr:from>
        <xdr:to>
          <xdr:col>12</xdr:col>
          <xdr:colOff>0</xdr:colOff>
          <xdr:row>56</xdr:row>
          <xdr:rowOff>0</xdr:rowOff>
        </xdr:to>
        <xdr:sp macro="" textlink="">
          <xdr:nvSpPr>
            <xdr:cNvPr id="74102" name="Drop Down 374" hidden="1">
              <a:extLst>
                <a:ext uri="{63B3BB69-23CF-44E3-9099-C40C66FF867C}">
                  <a14:compatExt spid="_x0000_s74102"/>
                </a:ext>
                <a:ext uri="{FF2B5EF4-FFF2-40B4-BE49-F238E27FC236}">
                  <a16:creationId xmlns:a16="http://schemas.microsoft.com/office/drawing/2014/main" id="{00000000-0008-0000-0600-00007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56</xdr:row>
          <xdr:rowOff>0</xdr:rowOff>
        </xdr:from>
        <xdr:to>
          <xdr:col>12</xdr:col>
          <xdr:colOff>0</xdr:colOff>
          <xdr:row>57</xdr:row>
          <xdr:rowOff>12700</xdr:rowOff>
        </xdr:to>
        <xdr:sp macro="" textlink="">
          <xdr:nvSpPr>
            <xdr:cNvPr id="74103" name="Drop Down 375" hidden="1">
              <a:extLst>
                <a:ext uri="{63B3BB69-23CF-44E3-9099-C40C66FF867C}">
                  <a14:compatExt spid="_x0000_s74103"/>
                </a:ext>
                <a:ext uri="{FF2B5EF4-FFF2-40B4-BE49-F238E27FC236}">
                  <a16:creationId xmlns:a16="http://schemas.microsoft.com/office/drawing/2014/main" id="{00000000-0008-0000-0600-000077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57</xdr:row>
          <xdr:rowOff>12700</xdr:rowOff>
        </xdr:from>
        <xdr:to>
          <xdr:col>12</xdr:col>
          <xdr:colOff>0</xdr:colOff>
          <xdr:row>58</xdr:row>
          <xdr:rowOff>0</xdr:rowOff>
        </xdr:to>
        <xdr:sp macro="" textlink="">
          <xdr:nvSpPr>
            <xdr:cNvPr id="74104" name="Drop Down 376" hidden="1">
              <a:extLst>
                <a:ext uri="{63B3BB69-23CF-44E3-9099-C40C66FF867C}">
                  <a14:compatExt spid="_x0000_s74104"/>
                </a:ext>
                <a:ext uri="{FF2B5EF4-FFF2-40B4-BE49-F238E27FC236}">
                  <a16:creationId xmlns:a16="http://schemas.microsoft.com/office/drawing/2014/main" id="{00000000-0008-0000-0600-00007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58</xdr:row>
          <xdr:rowOff>0</xdr:rowOff>
        </xdr:from>
        <xdr:to>
          <xdr:col>12</xdr:col>
          <xdr:colOff>0</xdr:colOff>
          <xdr:row>59</xdr:row>
          <xdr:rowOff>12700</xdr:rowOff>
        </xdr:to>
        <xdr:sp macro="" textlink="">
          <xdr:nvSpPr>
            <xdr:cNvPr id="74105" name="Drop Down 377" hidden="1">
              <a:extLst>
                <a:ext uri="{63B3BB69-23CF-44E3-9099-C40C66FF867C}">
                  <a14:compatExt spid="_x0000_s74105"/>
                </a:ext>
                <a:ext uri="{FF2B5EF4-FFF2-40B4-BE49-F238E27FC236}">
                  <a16:creationId xmlns:a16="http://schemas.microsoft.com/office/drawing/2014/main" id="{00000000-0008-0000-0600-000079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59</xdr:row>
          <xdr:rowOff>0</xdr:rowOff>
        </xdr:from>
        <xdr:to>
          <xdr:col>12</xdr:col>
          <xdr:colOff>0</xdr:colOff>
          <xdr:row>60</xdr:row>
          <xdr:rowOff>12700</xdr:rowOff>
        </xdr:to>
        <xdr:sp macro="" textlink="">
          <xdr:nvSpPr>
            <xdr:cNvPr id="74106" name="Drop Down 378" hidden="1">
              <a:extLst>
                <a:ext uri="{63B3BB69-23CF-44E3-9099-C40C66FF867C}">
                  <a14:compatExt spid="_x0000_s74106"/>
                </a:ext>
                <a:ext uri="{FF2B5EF4-FFF2-40B4-BE49-F238E27FC236}">
                  <a16:creationId xmlns:a16="http://schemas.microsoft.com/office/drawing/2014/main" id="{00000000-0008-0000-0600-00007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60</xdr:row>
          <xdr:rowOff>0</xdr:rowOff>
        </xdr:from>
        <xdr:to>
          <xdr:col>12</xdr:col>
          <xdr:colOff>0</xdr:colOff>
          <xdr:row>61</xdr:row>
          <xdr:rowOff>0</xdr:rowOff>
        </xdr:to>
        <xdr:sp macro="" textlink="">
          <xdr:nvSpPr>
            <xdr:cNvPr id="74107" name="Drop Down 379" hidden="1">
              <a:extLst>
                <a:ext uri="{63B3BB69-23CF-44E3-9099-C40C66FF867C}">
                  <a14:compatExt spid="_x0000_s74107"/>
                </a:ext>
                <a:ext uri="{FF2B5EF4-FFF2-40B4-BE49-F238E27FC236}">
                  <a16:creationId xmlns:a16="http://schemas.microsoft.com/office/drawing/2014/main" id="{00000000-0008-0000-0600-00007B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61</xdr:row>
          <xdr:rowOff>0</xdr:rowOff>
        </xdr:from>
        <xdr:to>
          <xdr:col>12</xdr:col>
          <xdr:colOff>0</xdr:colOff>
          <xdr:row>62</xdr:row>
          <xdr:rowOff>0</xdr:rowOff>
        </xdr:to>
        <xdr:sp macro="" textlink="">
          <xdr:nvSpPr>
            <xdr:cNvPr id="74108" name="Drop Down 380" hidden="1">
              <a:extLst>
                <a:ext uri="{63B3BB69-23CF-44E3-9099-C40C66FF867C}">
                  <a14:compatExt spid="_x0000_s74108"/>
                </a:ext>
                <a:ext uri="{FF2B5EF4-FFF2-40B4-BE49-F238E27FC236}">
                  <a16:creationId xmlns:a16="http://schemas.microsoft.com/office/drawing/2014/main" id="{00000000-0008-0000-0600-00007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62</xdr:row>
          <xdr:rowOff>12700</xdr:rowOff>
        </xdr:from>
        <xdr:to>
          <xdr:col>12</xdr:col>
          <xdr:colOff>0</xdr:colOff>
          <xdr:row>63</xdr:row>
          <xdr:rowOff>12700</xdr:rowOff>
        </xdr:to>
        <xdr:sp macro="" textlink="">
          <xdr:nvSpPr>
            <xdr:cNvPr id="74109" name="Drop Down 381" hidden="1">
              <a:extLst>
                <a:ext uri="{63B3BB69-23CF-44E3-9099-C40C66FF867C}">
                  <a14:compatExt spid="_x0000_s74109"/>
                </a:ext>
                <a:ext uri="{FF2B5EF4-FFF2-40B4-BE49-F238E27FC236}">
                  <a16:creationId xmlns:a16="http://schemas.microsoft.com/office/drawing/2014/main" id="{00000000-0008-0000-0600-00007D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63</xdr:row>
          <xdr:rowOff>12700</xdr:rowOff>
        </xdr:from>
        <xdr:to>
          <xdr:col>12</xdr:col>
          <xdr:colOff>0</xdr:colOff>
          <xdr:row>64</xdr:row>
          <xdr:rowOff>0</xdr:rowOff>
        </xdr:to>
        <xdr:sp macro="" textlink="">
          <xdr:nvSpPr>
            <xdr:cNvPr id="74110" name="Drop Down 382" hidden="1">
              <a:extLst>
                <a:ext uri="{63B3BB69-23CF-44E3-9099-C40C66FF867C}">
                  <a14:compatExt spid="_x0000_s74110"/>
                </a:ext>
                <a:ext uri="{FF2B5EF4-FFF2-40B4-BE49-F238E27FC236}">
                  <a16:creationId xmlns:a16="http://schemas.microsoft.com/office/drawing/2014/main" id="{00000000-0008-0000-0600-00007E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64</xdr:row>
          <xdr:rowOff>0</xdr:rowOff>
        </xdr:from>
        <xdr:to>
          <xdr:col>12</xdr:col>
          <xdr:colOff>0</xdr:colOff>
          <xdr:row>65</xdr:row>
          <xdr:rowOff>0</xdr:rowOff>
        </xdr:to>
        <xdr:sp macro="" textlink="">
          <xdr:nvSpPr>
            <xdr:cNvPr id="74111" name="Drop Down 383" hidden="1">
              <a:extLst>
                <a:ext uri="{63B3BB69-23CF-44E3-9099-C40C66FF867C}">
                  <a14:compatExt spid="_x0000_s74111"/>
                </a:ext>
                <a:ext uri="{FF2B5EF4-FFF2-40B4-BE49-F238E27FC236}">
                  <a16:creationId xmlns:a16="http://schemas.microsoft.com/office/drawing/2014/main" id="{00000000-0008-0000-0600-00007F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65</xdr:row>
          <xdr:rowOff>0</xdr:rowOff>
        </xdr:from>
        <xdr:to>
          <xdr:col>12</xdr:col>
          <xdr:colOff>0</xdr:colOff>
          <xdr:row>66</xdr:row>
          <xdr:rowOff>12700</xdr:rowOff>
        </xdr:to>
        <xdr:sp macro="" textlink="">
          <xdr:nvSpPr>
            <xdr:cNvPr id="74112" name="Drop Down 384" hidden="1">
              <a:extLst>
                <a:ext uri="{63B3BB69-23CF-44E3-9099-C40C66FF867C}">
                  <a14:compatExt spid="_x0000_s74112"/>
                </a:ext>
                <a:ext uri="{FF2B5EF4-FFF2-40B4-BE49-F238E27FC236}">
                  <a16:creationId xmlns:a16="http://schemas.microsoft.com/office/drawing/2014/main" id="{00000000-0008-0000-0600-00008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66</xdr:row>
          <xdr:rowOff>12700</xdr:rowOff>
        </xdr:from>
        <xdr:to>
          <xdr:col>12</xdr:col>
          <xdr:colOff>0</xdr:colOff>
          <xdr:row>66</xdr:row>
          <xdr:rowOff>266700</xdr:rowOff>
        </xdr:to>
        <xdr:sp macro="" textlink="">
          <xdr:nvSpPr>
            <xdr:cNvPr id="74113" name="Drop Down 385" hidden="1">
              <a:extLst>
                <a:ext uri="{63B3BB69-23CF-44E3-9099-C40C66FF867C}">
                  <a14:compatExt spid="_x0000_s74113"/>
                </a:ext>
                <a:ext uri="{FF2B5EF4-FFF2-40B4-BE49-F238E27FC236}">
                  <a16:creationId xmlns:a16="http://schemas.microsoft.com/office/drawing/2014/main" id="{00000000-0008-0000-0600-000081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73</xdr:row>
          <xdr:rowOff>12700</xdr:rowOff>
        </xdr:from>
        <xdr:to>
          <xdr:col>7</xdr:col>
          <xdr:colOff>0</xdr:colOff>
          <xdr:row>74</xdr:row>
          <xdr:rowOff>12700</xdr:rowOff>
        </xdr:to>
        <xdr:sp macro="" textlink="">
          <xdr:nvSpPr>
            <xdr:cNvPr id="74116" name="Drop Down 388" hidden="1">
              <a:extLst>
                <a:ext uri="{63B3BB69-23CF-44E3-9099-C40C66FF867C}">
                  <a14:compatExt spid="_x0000_s74116"/>
                </a:ext>
                <a:ext uri="{FF2B5EF4-FFF2-40B4-BE49-F238E27FC236}">
                  <a16:creationId xmlns:a16="http://schemas.microsoft.com/office/drawing/2014/main" id="{00000000-0008-0000-0600-00008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74</xdr:row>
          <xdr:rowOff>0</xdr:rowOff>
        </xdr:from>
        <xdr:to>
          <xdr:col>7</xdr:col>
          <xdr:colOff>0</xdr:colOff>
          <xdr:row>75</xdr:row>
          <xdr:rowOff>12700</xdr:rowOff>
        </xdr:to>
        <xdr:sp macro="" textlink="">
          <xdr:nvSpPr>
            <xdr:cNvPr id="74117" name="Drop Down 389" hidden="1">
              <a:extLst>
                <a:ext uri="{63B3BB69-23CF-44E3-9099-C40C66FF867C}">
                  <a14:compatExt spid="_x0000_s74117"/>
                </a:ext>
                <a:ext uri="{FF2B5EF4-FFF2-40B4-BE49-F238E27FC236}">
                  <a16:creationId xmlns:a16="http://schemas.microsoft.com/office/drawing/2014/main" id="{00000000-0008-0000-0600-000085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75</xdr:row>
          <xdr:rowOff>0</xdr:rowOff>
        </xdr:from>
        <xdr:to>
          <xdr:col>7</xdr:col>
          <xdr:colOff>0</xdr:colOff>
          <xdr:row>76</xdr:row>
          <xdr:rowOff>0</xdr:rowOff>
        </xdr:to>
        <xdr:sp macro="" textlink="">
          <xdr:nvSpPr>
            <xdr:cNvPr id="74118" name="Drop Down 390" hidden="1">
              <a:extLst>
                <a:ext uri="{63B3BB69-23CF-44E3-9099-C40C66FF867C}">
                  <a14:compatExt spid="_x0000_s74118"/>
                </a:ext>
                <a:ext uri="{FF2B5EF4-FFF2-40B4-BE49-F238E27FC236}">
                  <a16:creationId xmlns:a16="http://schemas.microsoft.com/office/drawing/2014/main" id="{00000000-0008-0000-0600-00008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76</xdr:row>
          <xdr:rowOff>0</xdr:rowOff>
        </xdr:from>
        <xdr:to>
          <xdr:col>7</xdr:col>
          <xdr:colOff>0</xdr:colOff>
          <xdr:row>77</xdr:row>
          <xdr:rowOff>0</xdr:rowOff>
        </xdr:to>
        <xdr:sp macro="" textlink="">
          <xdr:nvSpPr>
            <xdr:cNvPr id="74119" name="Drop Down 391" hidden="1">
              <a:extLst>
                <a:ext uri="{63B3BB69-23CF-44E3-9099-C40C66FF867C}">
                  <a14:compatExt spid="_x0000_s74119"/>
                </a:ext>
                <a:ext uri="{FF2B5EF4-FFF2-40B4-BE49-F238E27FC236}">
                  <a16:creationId xmlns:a16="http://schemas.microsoft.com/office/drawing/2014/main" id="{00000000-0008-0000-0600-000087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77</xdr:row>
          <xdr:rowOff>12700</xdr:rowOff>
        </xdr:from>
        <xdr:to>
          <xdr:col>7</xdr:col>
          <xdr:colOff>0</xdr:colOff>
          <xdr:row>78</xdr:row>
          <xdr:rowOff>0</xdr:rowOff>
        </xdr:to>
        <xdr:sp macro="" textlink="">
          <xdr:nvSpPr>
            <xdr:cNvPr id="74120" name="Drop Down 392" hidden="1">
              <a:extLst>
                <a:ext uri="{63B3BB69-23CF-44E3-9099-C40C66FF867C}">
                  <a14:compatExt spid="_x0000_s74120"/>
                </a:ext>
                <a:ext uri="{FF2B5EF4-FFF2-40B4-BE49-F238E27FC236}">
                  <a16:creationId xmlns:a16="http://schemas.microsoft.com/office/drawing/2014/main" id="{00000000-0008-0000-0600-00008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78</xdr:row>
          <xdr:rowOff>0</xdr:rowOff>
        </xdr:from>
        <xdr:to>
          <xdr:col>7</xdr:col>
          <xdr:colOff>0</xdr:colOff>
          <xdr:row>79</xdr:row>
          <xdr:rowOff>12700</xdr:rowOff>
        </xdr:to>
        <xdr:sp macro="" textlink="">
          <xdr:nvSpPr>
            <xdr:cNvPr id="74121" name="Drop Down 393" hidden="1">
              <a:extLst>
                <a:ext uri="{63B3BB69-23CF-44E3-9099-C40C66FF867C}">
                  <a14:compatExt spid="_x0000_s74121"/>
                </a:ext>
                <a:ext uri="{FF2B5EF4-FFF2-40B4-BE49-F238E27FC236}">
                  <a16:creationId xmlns:a16="http://schemas.microsoft.com/office/drawing/2014/main" id="{00000000-0008-0000-0600-000089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78</xdr:row>
          <xdr:rowOff>254000</xdr:rowOff>
        </xdr:from>
        <xdr:to>
          <xdr:col>7</xdr:col>
          <xdr:colOff>0</xdr:colOff>
          <xdr:row>79</xdr:row>
          <xdr:rowOff>266700</xdr:rowOff>
        </xdr:to>
        <xdr:sp macro="" textlink="">
          <xdr:nvSpPr>
            <xdr:cNvPr id="74122" name="Drop Down 394" hidden="1">
              <a:extLst>
                <a:ext uri="{63B3BB69-23CF-44E3-9099-C40C66FF867C}">
                  <a14:compatExt spid="_x0000_s74122"/>
                </a:ext>
                <a:ext uri="{FF2B5EF4-FFF2-40B4-BE49-F238E27FC236}">
                  <a16:creationId xmlns:a16="http://schemas.microsoft.com/office/drawing/2014/main" id="{00000000-0008-0000-0600-00008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80</xdr:row>
          <xdr:rowOff>0</xdr:rowOff>
        </xdr:from>
        <xdr:to>
          <xdr:col>7</xdr:col>
          <xdr:colOff>0</xdr:colOff>
          <xdr:row>81</xdr:row>
          <xdr:rowOff>0</xdr:rowOff>
        </xdr:to>
        <xdr:sp macro="" textlink="">
          <xdr:nvSpPr>
            <xdr:cNvPr id="74123" name="Drop Down 395" hidden="1">
              <a:extLst>
                <a:ext uri="{63B3BB69-23CF-44E3-9099-C40C66FF867C}">
                  <a14:compatExt spid="_x0000_s74123"/>
                </a:ext>
                <a:ext uri="{FF2B5EF4-FFF2-40B4-BE49-F238E27FC236}">
                  <a16:creationId xmlns:a16="http://schemas.microsoft.com/office/drawing/2014/main" id="{00000000-0008-0000-0600-00008B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81</xdr:row>
          <xdr:rowOff>0</xdr:rowOff>
        </xdr:from>
        <xdr:to>
          <xdr:col>7</xdr:col>
          <xdr:colOff>0</xdr:colOff>
          <xdr:row>82</xdr:row>
          <xdr:rowOff>0</xdr:rowOff>
        </xdr:to>
        <xdr:sp macro="" textlink="">
          <xdr:nvSpPr>
            <xdr:cNvPr id="74124" name="Drop Down 396" hidden="1">
              <a:extLst>
                <a:ext uri="{63B3BB69-23CF-44E3-9099-C40C66FF867C}">
                  <a14:compatExt spid="_x0000_s74124"/>
                </a:ext>
                <a:ext uri="{FF2B5EF4-FFF2-40B4-BE49-F238E27FC236}">
                  <a16:creationId xmlns:a16="http://schemas.microsoft.com/office/drawing/2014/main" id="{00000000-0008-0000-0600-00008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82</xdr:row>
          <xdr:rowOff>0</xdr:rowOff>
        </xdr:from>
        <xdr:to>
          <xdr:col>7</xdr:col>
          <xdr:colOff>0</xdr:colOff>
          <xdr:row>83</xdr:row>
          <xdr:rowOff>0</xdr:rowOff>
        </xdr:to>
        <xdr:sp macro="" textlink="">
          <xdr:nvSpPr>
            <xdr:cNvPr id="74125" name="Drop Down 397" hidden="1">
              <a:extLst>
                <a:ext uri="{63B3BB69-23CF-44E3-9099-C40C66FF867C}">
                  <a14:compatExt spid="_x0000_s74125"/>
                </a:ext>
                <a:ext uri="{FF2B5EF4-FFF2-40B4-BE49-F238E27FC236}">
                  <a16:creationId xmlns:a16="http://schemas.microsoft.com/office/drawing/2014/main" id="{00000000-0008-0000-0600-00008D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83</xdr:row>
          <xdr:rowOff>0</xdr:rowOff>
        </xdr:from>
        <xdr:to>
          <xdr:col>7</xdr:col>
          <xdr:colOff>0</xdr:colOff>
          <xdr:row>84</xdr:row>
          <xdr:rowOff>12700</xdr:rowOff>
        </xdr:to>
        <xdr:sp macro="" textlink="">
          <xdr:nvSpPr>
            <xdr:cNvPr id="74128" name="Drop Down 400" hidden="1">
              <a:extLst>
                <a:ext uri="{63B3BB69-23CF-44E3-9099-C40C66FF867C}">
                  <a14:compatExt spid="_x0000_s74128"/>
                </a:ext>
                <a:ext uri="{FF2B5EF4-FFF2-40B4-BE49-F238E27FC236}">
                  <a16:creationId xmlns:a16="http://schemas.microsoft.com/office/drawing/2014/main" id="{00000000-0008-0000-0600-00009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84</xdr:row>
          <xdr:rowOff>12700</xdr:rowOff>
        </xdr:from>
        <xdr:to>
          <xdr:col>7</xdr:col>
          <xdr:colOff>0</xdr:colOff>
          <xdr:row>85</xdr:row>
          <xdr:rowOff>12700</xdr:rowOff>
        </xdr:to>
        <xdr:sp macro="" textlink="">
          <xdr:nvSpPr>
            <xdr:cNvPr id="74129" name="Drop Down 401" hidden="1">
              <a:extLst>
                <a:ext uri="{63B3BB69-23CF-44E3-9099-C40C66FF867C}">
                  <a14:compatExt spid="_x0000_s74129"/>
                </a:ext>
                <a:ext uri="{FF2B5EF4-FFF2-40B4-BE49-F238E27FC236}">
                  <a16:creationId xmlns:a16="http://schemas.microsoft.com/office/drawing/2014/main" id="{00000000-0008-0000-0600-000091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85</xdr:row>
          <xdr:rowOff>0</xdr:rowOff>
        </xdr:from>
        <xdr:to>
          <xdr:col>7</xdr:col>
          <xdr:colOff>0</xdr:colOff>
          <xdr:row>86</xdr:row>
          <xdr:rowOff>12700</xdr:rowOff>
        </xdr:to>
        <xdr:sp macro="" textlink="">
          <xdr:nvSpPr>
            <xdr:cNvPr id="74130" name="Drop Down 402" hidden="1">
              <a:extLst>
                <a:ext uri="{63B3BB69-23CF-44E3-9099-C40C66FF867C}">
                  <a14:compatExt spid="_x0000_s74130"/>
                </a:ext>
                <a:ext uri="{FF2B5EF4-FFF2-40B4-BE49-F238E27FC236}">
                  <a16:creationId xmlns:a16="http://schemas.microsoft.com/office/drawing/2014/main" id="{00000000-0008-0000-0600-000092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86</xdr:row>
          <xdr:rowOff>0</xdr:rowOff>
        </xdr:from>
        <xdr:to>
          <xdr:col>7</xdr:col>
          <xdr:colOff>0</xdr:colOff>
          <xdr:row>87</xdr:row>
          <xdr:rowOff>12700</xdr:rowOff>
        </xdr:to>
        <xdr:sp macro="" textlink="">
          <xdr:nvSpPr>
            <xdr:cNvPr id="74131" name="Drop Down 403" hidden="1">
              <a:extLst>
                <a:ext uri="{63B3BB69-23CF-44E3-9099-C40C66FF867C}">
                  <a14:compatExt spid="_x0000_s74131"/>
                </a:ext>
                <a:ext uri="{FF2B5EF4-FFF2-40B4-BE49-F238E27FC236}">
                  <a16:creationId xmlns:a16="http://schemas.microsoft.com/office/drawing/2014/main" id="{00000000-0008-0000-0600-000093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87</xdr:row>
          <xdr:rowOff>0</xdr:rowOff>
        </xdr:from>
        <xdr:to>
          <xdr:col>7</xdr:col>
          <xdr:colOff>0</xdr:colOff>
          <xdr:row>88</xdr:row>
          <xdr:rowOff>0</xdr:rowOff>
        </xdr:to>
        <xdr:sp macro="" textlink="">
          <xdr:nvSpPr>
            <xdr:cNvPr id="74132" name="Drop Down 404" hidden="1">
              <a:extLst>
                <a:ext uri="{63B3BB69-23CF-44E3-9099-C40C66FF867C}">
                  <a14:compatExt spid="_x0000_s74132"/>
                </a:ext>
                <a:ext uri="{FF2B5EF4-FFF2-40B4-BE49-F238E27FC236}">
                  <a16:creationId xmlns:a16="http://schemas.microsoft.com/office/drawing/2014/main" id="{00000000-0008-0000-0600-000094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88</xdr:row>
          <xdr:rowOff>0</xdr:rowOff>
        </xdr:from>
        <xdr:to>
          <xdr:col>7</xdr:col>
          <xdr:colOff>0</xdr:colOff>
          <xdr:row>89</xdr:row>
          <xdr:rowOff>0</xdr:rowOff>
        </xdr:to>
        <xdr:sp macro="" textlink="">
          <xdr:nvSpPr>
            <xdr:cNvPr id="74133" name="Drop Down 405" hidden="1">
              <a:extLst>
                <a:ext uri="{63B3BB69-23CF-44E3-9099-C40C66FF867C}">
                  <a14:compatExt spid="_x0000_s74133"/>
                </a:ext>
                <a:ext uri="{FF2B5EF4-FFF2-40B4-BE49-F238E27FC236}">
                  <a16:creationId xmlns:a16="http://schemas.microsoft.com/office/drawing/2014/main" id="{00000000-0008-0000-0600-000095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88</xdr:row>
          <xdr:rowOff>254000</xdr:rowOff>
        </xdr:from>
        <xdr:to>
          <xdr:col>7</xdr:col>
          <xdr:colOff>0</xdr:colOff>
          <xdr:row>90</xdr:row>
          <xdr:rowOff>12700</xdr:rowOff>
        </xdr:to>
        <xdr:sp macro="" textlink="">
          <xdr:nvSpPr>
            <xdr:cNvPr id="74134" name="Drop Down 406" hidden="1">
              <a:extLst>
                <a:ext uri="{63B3BB69-23CF-44E3-9099-C40C66FF867C}">
                  <a14:compatExt spid="_x0000_s74134"/>
                </a:ext>
                <a:ext uri="{FF2B5EF4-FFF2-40B4-BE49-F238E27FC236}">
                  <a16:creationId xmlns:a16="http://schemas.microsoft.com/office/drawing/2014/main" id="{00000000-0008-0000-0600-000096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90</xdr:row>
          <xdr:rowOff>25400</xdr:rowOff>
        </xdr:from>
        <xdr:to>
          <xdr:col>7</xdr:col>
          <xdr:colOff>0</xdr:colOff>
          <xdr:row>91</xdr:row>
          <xdr:rowOff>0</xdr:rowOff>
        </xdr:to>
        <xdr:sp macro="" textlink="">
          <xdr:nvSpPr>
            <xdr:cNvPr id="74135" name="Drop Down 407" hidden="1">
              <a:extLst>
                <a:ext uri="{63B3BB69-23CF-44E3-9099-C40C66FF867C}">
                  <a14:compatExt spid="_x0000_s74135"/>
                </a:ext>
                <a:ext uri="{FF2B5EF4-FFF2-40B4-BE49-F238E27FC236}">
                  <a16:creationId xmlns:a16="http://schemas.microsoft.com/office/drawing/2014/main" id="{00000000-0008-0000-0600-000097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91</xdr:row>
          <xdr:rowOff>0</xdr:rowOff>
        </xdr:from>
        <xdr:to>
          <xdr:col>7</xdr:col>
          <xdr:colOff>0</xdr:colOff>
          <xdr:row>92</xdr:row>
          <xdr:rowOff>0</xdr:rowOff>
        </xdr:to>
        <xdr:sp macro="" textlink="">
          <xdr:nvSpPr>
            <xdr:cNvPr id="74136" name="Drop Down 408" hidden="1">
              <a:extLst>
                <a:ext uri="{63B3BB69-23CF-44E3-9099-C40C66FF867C}">
                  <a14:compatExt spid="_x0000_s74136"/>
                </a:ext>
                <a:ext uri="{FF2B5EF4-FFF2-40B4-BE49-F238E27FC236}">
                  <a16:creationId xmlns:a16="http://schemas.microsoft.com/office/drawing/2014/main" id="{00000000-0008-0000-0600-00009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92</xdr:row>
          <xdr:rowOff>0</xdr:rowOff>
        </xdr:from>
        <xdr:to>
          <xdr:col>7</xdr:col>
          <xdr:colOff>0</xdr:colOff>
          <xdr:row>93</xdr:row>
          <xdr:rowOff>12700</xdr:rowOff>
        </xdr:to>
        <xdr:sp macro="" textlink="">
          <xdr:nvSpPr>
            <xdr:cNvPr id="74137" name="Drop Down 409" hidden="1">
              <a:extLst>
                <a:ext uri="{63B3BB69-23CF-44E3-9099-C40C66FF867C}">
                  <a14:compatExt spid="_x0000_s74137"/>
                </a:ext>
                <a:ext uri="{FF2B5EF4-FFF2-40B4-BE49-F238E27FC236}">
                  <a16:creationId xmlns:a16="http://schemas.microsoft.com/office/drawing/2014/main" id="{00000000-0008-0000-0600-000099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92</xdr:row>
          <xdr:rowOff>266700</xdr:rowOff>
        </xdr:from>
        <xdr:to>
          <xdr:col>7</xdr:col>
          <xdr:colOff>12700</xdr:colOff>
          <xdr:row>93</xdr:row>
          <xdr:rowOff>254000</xdr:rowOff>
        </xdr:to>
        <xdr:sp macro="" textlink="">
          <xdr:nvSpPr>
            <xdr:cNvPr id="74138" name="Drop Down 410" hidden="1">
              <a:extLst>
                <a:ext uri="{63B3BB69-23CF-44E3-9099-C40C66FF867C}">
                  <a14:compatExt spid="_x0000_s74138"/>
                </a:ext>
                <a:ext uri="{FF2B5EF4-FFF2-40B4-BE49-F238E27FC236}">
                  <a16:creationId xmlns:a16="http://schemas.microsoft.com/office/drawing/2014/main" id="{00000000-0008-0000-0600-00009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246</xdr:row>
          <xdr:rowOff>0</xdr:rowOff>
        </xdr:from>
        <xdr:to>
          <xdr:col>2</xdr:col>
          <xdr:colOff>0</xdr:colOff>
          <xdr:row>247</xdr:row>
          <xdr:rowOff>12700</xdr:rowOff>
        </xdr:to>
        <xdr:sp macro="" textlink="">
          <xdr:nvSpPr>
            <xdr:cNvPr id="74139" name="Drop Down 411" hidden="1">
              <a:extLst>
                <a:ext uri="{63B3BB69-23CF-44E3-9099-C40C66FF867C}">
                  <a14:compatExt spid="_x0000_s74139"/>
                </a:ext>
                <a:ext uri="{FF2B5EF4-FFF2-40B4-BE49-F238E27FC236}">
                  <a16:creationId xmlns:a16="http://schemas.microsoft.com/office/drawing/2014/main" id="{00000000-0008-0000-0600-00009B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247</xdr:row>
          <xdr:rowOff>0</xdr:rowOff>
        </xdr:from>
        <xdr:to>
          <xdr:col>2</xdr:col>
          <xdr:colOff>0</xdr:colOff>
          <xdr:row>248</xdr:row>
          <xdr:rowOff>12700</xdr:rowOff>
        </xdr:to>
        <xdr:sp macro="" textlink="">
          <xdr:nvSpPr>
            <xdr:cNvPr id="74152" name="Drop Down 424" hidden="1">
              <a:extLst>
                <a:ext uri="{63B3BB69-23CF-44E3-9099-C40C66FF867C}">
                  <a14:compatExt spid="_x0000_s74152"/>
                </a:ext>
                <a:ext uri="{FF2B5EF4-FFF2-40B4-BE49-F238E27FC236}">
                  <a16:creationId xmlns:a16="http://schemas.microsoft.com/office/drawing/2014/main" id="{00000000-0008-0000-0600-0000A8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248</xdr:row>
          <xdr:rowOff>0</xdr:rowOff>
        </xdr:from>
        <xdr:to>
          <xdr:col>2</xdr:col>
          <xdr:colOff>0</xdr:colOff>
          <xdr:row>249</xdr:row>
          <xdr:rowOff>12700</xdr:rowOff>
        </xdr:to>
        <xdr:sp macro="" textlink="">
          <xdr:nvSpPr>
            <xdr:cNvPr id="74153" name="Drop Down 425" hidden="1">
              <a:extLst>
                <a:ext uri="{63B3BB69-23CF-44E3-9099-C40C66FF867C}">
                  <a14:compatExt spid="_x0000_s74153"/>
                </a:ext>
                <a:ext uri="{FF2B5EF4-FFF2-40B4-BE49-F238E27FC236}">
                  <a16:creationId xmlns:a16="http://schemas.microsoft.com/office/drawing/2014/main" id="{00000000-0008-0000-0600-0000A9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249</xdr:row>
          <xdr:rowOff>0</xdr:rowOff>
        </xdr:from>
        <xdr:to>
          <xdr:col>2</xdr:col>
          <xdr:colOff>0</xdr:colOff>
          <xdr:row>250</xdr:row>
          <xdr:rowOff>12700</xdr:rowOff>
        </xdr:to>
        <xdr:sp macro="" textlink="">
          <xdr:nvSpPr>
            <xdr:cNvPr id="74154" name="Drop Down 426" hidden="1">
              <a:extLst>
                <a:ext uri="{63B3BB69-23CF-44E3-9099-C40C66FF867C}">
                  <a14:compatExt spid="_x0000_s74154"/>
                </a:ext>
                <a:ext uri="{FF2B5EF4-FFF2-40B4-BE49-F238E27FC236}">
                  <a16:creationId xmlns:a16="http://schemas.microsoft.com/office/drawing/2014/main" id="{00000000-0008-0000-0600-0000AA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250</xdr:row>
          <xdr:rowOff>0</xdr:rowOff>
        </xdr:from>
        <xdr:to>
          <xdr:col>2</xdr:col>
          <xdr:colOff>0</xdr:colOff>
          <xdr:row>251</xdr:row>
          <xdr:rowOff>12700</xdr:rowOff>
        </xdr:to>
        <xdr:sp macro="" textlink="">
          <xdr:nvSpPr>
            <xdr:cNvPr id="74155" name="Drop Down 427" hidden="1">
              <a:extLst>
                <a:ext uri="{63B3BB69-23CF-44E3-9099-C40C66FF867C}">
                  <a14:compatExt spid="_x0000_s74155"/>
                </a:ext>
                <a:ext uri="{FF2B5EF4-FFF2-40B4-BE49-F238E27FC236}">
                  <a16:creationId xmlns:a16="http://schemas.microsoft.com/office/drawing/2014/main" id="{00000000-0008-0000-0600-0000AB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251</xdr:row>
          <xdr:rowOff>0</xdr:rowOff>
        </xdr:from>
        <xdr:to>
          <xdr:col>2</xdr:col>
          <xdr:colOff>0</xdr:colOff>
          <xdr:row>252</xdr:row>
          <xdr:rowOff>12700</xdr:rowOff>
        </xdr:to>
        <xdr:sp macro="" textlink="">
          <xdr:nvSpPr>
            <xdr:cNvPr id="74156" name="Drop Down 428" hidden="1">
              <a:extLst>
                <a:ext uri="{63B3BB69-23CF-44E3-9099-C40C66FF867C}">
                  <a14:compatExt spid="_x0000_s74156"/>
                </a:ext>
                <a:ext uri="{FF2B5EF4-FFF2-40B4-BE49-F238E27FC236}">
                  <a16:creationId xmlns:a16="http://schemas.microsoft.com/office/drawing/2014/main" id="{00000000-0008-0000-0600-0000AC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252</xdr:row>
          <xdr:rowOff>0</xdr:rowOff>
        </xdr:from>
        <xdr:to>
          <xdr:col>2</xdr:col>
          <xdr:colOff>0</xdr:colOff>
          <xdr:row>253</xdr:row>
          <xdr:rowOff>12700</xdr:rowOff>
        </xdr:to>
        <xdr:sp macro="" textlink="">
          <xdr:nvSpPr>
            <xdr:cNvPr id="74157" name="Drop Down 429" hidden="1">
              <a:extLst>
                <a:ext uri="{63B3BB69-23CF-44E3-9099-C40C66FF867C}">
                  <a14:compatExt spid="_x0000_s74157"/>
                </a:ext>
                <a:ext uri="{FF2B5EF4-FFF2-40B4-BE49-F238E27FC236}">
                  <a16:creationId xmlns:a16="http://schemas.microsoft.com/office/drawing/2014/main" id="{00000000-0008-0000-0600-0000AD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253</xdr:row>
          <xdr:rowOff>0</xdr:rowOff>
        </xdr:from>
        <xdr:to>
          <xdr:col>2</xdr:col>
          <xdr:colOff>0</xdr:colOff>
          <xdr:row>254</xdr:row>
          <xdr:rowOff>12700</xdr:rowOff>
        </xdr:to>
        <xdr:sp macro="" textlink="">
          <xdr:nvSpPr>
            <xdr:cNvPr id="74158" name="Drop Down 430" hidden="1">
              <a:extLst>
                <a:ext uri="{63B3BB69-23CF-44E3-9099-C40C66FF867C}">
                  <a14:compatExt spid="_x0000_s74158"/>
                </a:ext>
                <a:ext uri="{FF2B5EF4-FFF2-40B4-BE49-F238E27FC236}">
                  <a16:creationId xmlns:a16="http://schemas.microsoft.com/office/drawing/2014/main" id="{00000000-0008-0000-0600-0000AE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254</xdr:row>
          <xdr:rowOff>0</xdr:rowOff>
        </xdr:from>
        <xdr:to>
          <xdr:col>2</xdr:col>
          <xdr:colOff>0</xdr:colOff>
          <xdr:row>255</xdr:row>
          <xdr:rowOff>12700</xdr:rowOff>
        </xdr:to>
        <xdr:sp macro="" textlink="">
          <xdr:nvSpPr>
            <xdr:cNvPr id="74159" name="Drop Down 431" hidden="1">
              <a:extLst>
                <a:ext uri="{63B3BB69-23CF-44E3-9099-C40C66FF867C}">
                  <a14:compatExt spid="_x0000_s74159"/>
                </a:ext>
                <a:ext uri="{FF2B5EF4-FFF2-40B4-BE49-F238E27FC236}">
                  <a16:creationId xmlns:a16="http://schemas.microsoft.com/office/drawing/2014/main" id="{00000000-0008-0000-0600-0000AF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255</xdr:row>
          <xdr:rowOff>0</xdr:rowOff>
        </xdr:from>
        <xdr:to>
          <xdr:col>2</xdr:col>
          <xdr:colOff>0</xdr:colOff>
          <xdr:row>256</xdr:row>
          <xdr:rowOff>12700</xdr:rowOff>
        </xdr:to>
        <xdr:sp macro="" textlink="">
          <xdr:nvSpPr>
            <xdr:cNvPr id="74160" name="Drop Down 432" hidden="1">
              <a:extLst>
                <a:ext uri="{63B3BB69-23CF-44E3-9099-C40C66FF867C}">
                  <a14:compatExt spid="_x0000_s74160"/>
                </a:ext>
                <a:ext uri="{FF2B5EF4-FFF2-40B4-BE49-F238E27FC236}">
                  <a16:creationId xmlns:a16="http://schemas.microsoft.com/office/drawing/2014/main" id="{00000000-0008-0000-0600-0000B0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256</xdr:row>
          <xdr:rowOff>0</xdr:rowOff>
        </xdr:from>
        <xdr:to>
          <xdr:col>2</xdr:col>
          <xdr:colOff>0</xdr:colOff>
          <xdr:row>257</xdr:row>
          <xdr:rowOff>12700</xdr:rowOff>
        </xdr:to>
        <xdr:sp macro="" textlink="">
          <xdr:nvSpPr>
            <xdr:cNvPr id="74161" name="Drop Down 433" hidden="1">
              <a:extLst>
                <a:ext uri="{63B3BB69-23CF-44E3-9099-C40C66FF867C}">
                  <a14:compatExt spid="_x0000_s74161"/>
                </a:ext>
                <a:ext uri="{FF2B5EF4-FFF2-40B4-BE49-F238E27FC236}">
                  <a16:creationId xmlns:a16="http://schemas.microsoft.com/office/drawing/2014/main" id="{00000000-0008-0000-0600-0000B1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257</xdr:row>
          <xdr:rowOff>0</xdr:rowOff>
        </xdr:from>
        <xdr:to>
          <xdr:col>2</xdr:col>
          <xdr:colOff>0</xdr:colOff>
          <xdr:row>258</xdr:row>
          <xdr:rowOff>12700</xdr:rowOff>
        </xdr:to>
        <xdr:sp macro="" textlink="">
          <xdr:nvSpPr>
            <xdr:cNvPr id="74162" name="Drop Down 434" hidden="1">
              <a:extLst>
                <a:ext uri="{63B3BB69-23CF-44E3-9099-C40C66FF867C}">
                  <a14:compatExt spid="_x0000_s74162"/>
                </a:ext>
                <a:ext uri="{FF2B5EF4-FFF2-40B4-BE49-F238E27FC236}">
                  <a16:creationId xmlns:a16="http://schemas.microsoft.com/office/drawing/2014/main" id="{00000000-0008-0000-0600-0000B221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3</xdr:row>
          <xdr:rowOff>25400</xdr:rowOff>
        </xdr:from>
        <xdr:to>
          <xdr:col>2</xdr:col>
          <xdr:colOff>12700</xdr:colOff>
          <xdr:row>4</xdr:row>
          <xdr:rowOff>0</xdr:rowOff>
        </xdr:to>
        <xdr:sp macro="" textlink="">
          <xdr:nvSpPr>
            <xdr:cNvPr id="81921" name="Drop Down 1" hidden="1">
              <a:extLst>
                <a:ext uri="{63B3BB69-23CF-44E3-9099-C40C66FF867C}">
                  <a14:compatExt spid="_x0000_s81921"/>
                </a:ext>
                <a:ext uri="{FF2B5EF4-FFF2-40B4-BE49-F238E27FC236}">
                  <a16:creationId xmlns:a16="http://schemas.microsoft.com/office/drawing/2014/main" id="{00000000-0008-0000-0700-00000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16</xdr:row>
          <xdr:rowOff>25400</xdr:rowOff>
        </xdr:from>
        <xdr:to>
          <xdr:col>2</xdr:col>
          <xdr:colOff>0</xdr:colOff>
          <xdr:row>17</xdr:row>
          <xdr:rowOff>0</xdr:rowOff>
        </xdr:to>
        <xdr:sp macro="" textlink="">
          <xdr:nvSpPr>
            <xdr:cNvPr id="81967" name="Drop Down 47" hidden="1">
              <a:extLst>
                <a:ext uri="{63B3BB69-23CF-44E3-9099-C40C66FF867C}">
                  <a14:compatExt spid="_x0000_s81967"/>
                </a:ext>
                <a:ext uri="{FF2B5EF4-FFF2-40B4-BE49-F238E27FC236}">
                  <a16:creationId xmlns:a16="http://schemas.microsoft.com/office/drawing/2014/main" id="{00000000-0008-0000-0700-00002F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19</xdr:row>
          <xdr:rowOff>215900</xdr:rowOff>
        </xdr:from>
        <xdr:to>
          <xdr:col>2</xdr:col>
          <xdr:colOff>12700</xdr:colOff>
          <xdr:row>21</xdr:row>
          <xdr:rowOff>12700</xdr:rowOff>
        </xdr:to>
        <xdr:sp macro="" textlink="">
          <xdr:nvSpPr>
            <xdr:cNvPr id="81975" name="Drop Down 55" hidden="1">
              <a:extLst>
                <a:ext uri="{63B3BB69-23CF-44E3-9099-C40C66FF867C}">
                  <a14:compatExt spid="_x0000_s81975"/>
                </a:ext>
                <a:ext uri="{FF2B5EF4-FFF2-40B4-BE49-F238E27FC236}">
                  <a16:creationId xmlns:a16="http://schemas.microsoft.com/office/drawing/2014/main" id="{00000000-0008-0000-0700-00003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22</xdr:row>
          <xdr:rowOff>0</xdr:rowOff>
        </xdr:from>
        <xdr:to>
          <xdr:col>2</xdr:col>
          <xdr:colOff>12700</xdr:colOff>
          <xdr:row>23</xdr:row>
          <xdr:rowOff>12700</xdr:rowOff>
        </xdr:to>
        <xdr:sp macro="" textlink="">
          <xdr:nvSpPr>
            <xdr:cNvPr id="81982" name="Drop Down 62" hidden="1">
              <a:extLst>
                <a:ext uri="{63B3BB69-23CF-44E3-9099-C40C66FF867C}">
                  <a14:compatExt spid="_x0000_s81982"/>
                </a:ext>
                <a:ext uri="{FF2B5EF4-FFF2-40B4-BE49-F238E27FC236}">
                  <a16:creationId xmlns:a16="http://schemas.microsoft.com/office/drawing/2014/main" id="{00000000-0008-0000-0700-00003E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21</xdr:row>
          <xdr:rowOff>0</xdr:rowOff>
        </xdr:from>
        <xdr:to>
          <xdr:col>2</xdr:col>
          <xdr:colOff>12700</xdr:colOff>
          <xdr:row>22</xdr:row>
          <xdr:rowOff>12700</xdr:rowOff>
        </xdr:to>
        <xdr:sp macro="" textlink="">
          <xdr:nvSpPr>
            <xdr:cNvPr id="81983" name="Drop Down 63" hidden="1">
              <a:extLst>
                <a:ext uri="{63B3BB69-23CF-44E3-9099-C40C66FF867C}">
                  <a14:compatExt spid="_x0000_s81983"/>
                </a:ext>
                <a:ext uri="{FF2B5EF4-FFF2-40B4-BE49-F238E27FC236}">
                  <a16:creationId xmlns:a16="http://schemas.microsoft.com/office/drawing/2014/main" id="{00000000-0008-0000-0700-00003F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25400</xdr:colOff>
          <xdr:row>19</xdr:row>
          <xdr:rowOff>12700</xdr:rowOff>
        </xdr:from>
        <xdr:to>
          <xdr:col>2</xdr:col>
          <xdr:colOff>12700</xdr:colOff>
          <xdr:row>20</xdr:row>
          <xdr:rowOff>0</xdr:rowOff>
        </xdr:to>
        <xdr:sp macro="" textlink="">
          <xdr:nvSpPr>
            <xdr:cNvPr id="81984" name="Drop Down 64" hidden="1">
              <a:extLst>
                <a:ext uri="{63B3BB69-23CF-44E3-9099-C40C66FF867C}">
                  <a14:compatExt spid="_x0000_s81984"/>
                </a:ext>
                <a:ext uri="{FF2B5EF4-FFF2-40B4-BE49-F238E27FC236}">
                  <a16:creationId xmlns:a16="http://schemas.microsoft.com/office/drawing/2014/main" id="{00000000-0008-0000-0700-000040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18</xdr:row>
          <xdr:rowOff>0</xdr:rowOff>
        </xdr:from>
        <xdr:to>
          <xdr:col>2</xdr:col>
          <xdr:colOff>0</xdr:colOff>
          <xdr:row>19</xdr:row>
          <xdr:rowOff>0</xdr:rowOff>
        </xdr:to>
        <xdr:sp macro="" textlink="">
          <xdr:nvSpPr>
            <xdr:cNvPr id="81985" name="Drop Down 65" hidden="1">
              <a:extLst>
                <a:ext uri="{63B3BB69-23CF-44E3-9099-C40C66FF867C}">
                  <a14:compatExt spid="_x0000_s81985"/>
                </a:ext>
                <a:ext uri="{FF2B5EF4-FFF2-40B4-BE49-F238E27FC236}">
                  <a16:creationId xmlns:a16="http://schemas.microsoft.com/office/drawing/2014/main" id="{00000000-0008-0000-0700-00004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17</xdr:row>
          <xdr:rowOff>0</xdr:rowOff>
        </xdr:from>
        <xdr:to>
          <xdr:col>2</xdr:col>
          <xdr:colOff>12700</xdr:colOff>
          <xdr:row>18</xdr:row>
          <xdr:rowOff>0</xdr:rowOff>
        </xdr:to>
        <xdr:sp macro="" textlink="">
          <xdr:nvSpPr>
            <xdr:cNvPr id="81986" name="Drop Down 66" hidden="1">
              <a:extLst>
                <a:ext uri="{63B3BB69-23CF-44E3-9099-C40C66FF867C}">
                  <a14:compatExt spid="_x0000_s81986"/>
                </a:ext>
                <a:ext uri="{FF2B5EF4-FFF2-40B4-BE49-F238E27FC236}">
                  <a16:creationId xmlns:a16="http://schemas.microsoft.com/office/drawing/2014/main" id="{00000000-0008-0000-0700-000042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15</xdr:row>
          <xdr:rowOff>0</xdr:rowOff>
        </xdr:from>
        <xdr:to>
          <xdr:col>2</xdr:col>
          <xdr:colOff>0</xdr:colOff>
          <xdr:row>16</xdr:row>
          <xdr:rowOff>25400</xdr:rowOff>
        </xdr:to>
        <xdr:sp macro="" textlink="">
          <xdr:nvSpPr>
            <xdr:cNvPr id="81987" name="Drop Down 67" hidden="1">
              <a:extLst>
                <a:ext uri="{63B3BB69-23CF-44E3-9099-C40C66FF867C}">
                  <a14:compatExt spid="_x0000_s81987"/>
                </a:ext>
                <a:ext uri="{FF2B5EF4-FFF2-40B4-BE49-F238E27FC236}">
                  <a16:creationId xmlns:a16="http://schemas.microsoft.com/office/drawing/2014/main" id="{00000000-0008-0000-0700-000043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14</xdr:row>
          <xdr:rowOff>0</xdr:rowOff>
        </xdr:from>
        <xdr:to>
          <xdr:col>2</xdr:col>
          <xdr:colOff>0</xdr:colOff>
          <xdr:row>15</xdr:row>
          <xdr:rowOff>25400</xdr:rowOff>
        </xdr:to>
        <xdr:sp macro="" textlink="">
          <xdr:nvSpPr>
            <xdr:cNvPr id="81988" name="Drop Down 68" hidden="1">
              <a:extLst>
                <a:ext uri="{63B3BB69-23CF-44E3-9099-C40C66FF867C}">
                  <a14:compatExt spid="_x0000_s81988"/>
                </a:ext>
                <a:ext uri="{FF2B5EF4-FFF2-40B4-BE49-F238E27FC236}">
                  <a16:creationId xmlns:a16="http://schemas.microsoft.com/office/drawing/2014/main" id="{00000000-0008-0000-0700-000044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13</xdr:row>
          <xdr:rowOff>0</xdr:rowOff>
        </xdr:from>
        <xdr:to>
          <xdr:col>2</xdr:col>
          <xdr:colOff>25400</xdr:colOff>
          <xdr:row>14</xdr:row>
          <xdr:rowOff>25400</xdr:rowOff>
        </xdr:to>
        <xdr:sp macro="" textlink="">
          <xdr:nvSpPr>
            <xdr:cNvPr id="81989" name="Drop Down 69" hidden="1">
              <a:extLst>
                <a:ext uri="{63B3BB69-23CF-44E3-9099-C40C66FF867C}">
                  <a14:compatExt spid="_x0000_s81989"/>
                </a:ext>
                <a:ext uri="{FF2B5EF4-FFF2-40B4-BE49-F238E27FC236}">
                  <a16:creationId xmlns:a16="http://schemas.microsoft.com/office/drawing/2014/main" id="{00000000-0008-0000-0700-000045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12</xdr:row>
          <xdr:rowOff>0</xdr:rowOff>
        </xdr:from>
        <xdr:to>
          <xdr:col>2</xdr:col>
          <xdr:colOff>25400</xdr:colOff>
          <xdr:row>13</xdr:row>
          <xdr:rowOff>25400</xdr:rowOff>
        </xdr:to>
        <xdr:sp macro="" textlink="">
          <xdr:nvSpPr>
            <xdr:cNvPr id="81990" name="Drop Down 70" hidden="1">
              <a:extLst>
                <a:ext uri="{63B3BB69-23CF-44E3-9099-C40C66FF867C}">
                  <a14:compatExt spid="_x0000_s81990"/>
                </a:ext>
                <a:ext uri="{FF2B5EF4-FFF2-40B4-BE49-F238E27FC236}">
                  <a16:creationId xmlns:a16="http://schemas.microsoft.com/office/drawing/2014/main" id="{00000000-0008-0000-0700-000046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11</xdr:row>
          <xdr:rowOff>0</xdr:rowOff>
        </xdr:from>
        <xdr:to>
          <xdr:col>2</xdr:col>
          <xdr:colOff>25400</xdr:colOff>
          <xdr:row>12</xdr:row>
          <xdr:rowOff>25400</xdr:rowOff>
        </xdr:to>
        <xdr:sp macro="" textlink="">
          <xdr:nvSpPr>
            <xdr:cNvPr id="81991" name="Drop Down 71" hidden="1">
              <a:extLst>
                <a:ext uri="{63B3BB69-23CF-44E3-9099-C40C66FF867C}">
                  <a14:compatExt spid="_x0000_s81991"/>
                </a:ext>
                <a:ext uri="{FF2B5EF4-FFF2-40B4-BE49-F238E27FC236}">
                  <a16:creationId xmlns:a16="http://schemas.microsoft.com/office/drawing/2014/main" id="{00000000-0008-0000-0700-00004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10</xdr:row>
          <xdr:rowOff>0</xdr:rowOff>
        </xdr:from>
        <xdr:to>
          <xdr:col>2</xdr:col>
          <xdr:colOff>25400</xdr:colOff>
          <xdr:row>11</xdr:row>
          <xdr:rowOff>25400</xdr:rowOff>
        </xdr:to>
        <xdr:sp macro="" textlink="">
          <xdr:nvSpPr>
            <xdr:cNvPr id="81992" name="Drop Down 72" hidden="1">
              <a:extLst>
                <a:ext uri="{63B3BB69-23CF-44E3-9099-C40C66FF867C}">
                  <a14:compatExt spid="_x0000_s81992"/>
                </a:ext>
                <a:ext uri="{FF2B5EF4-FFF2-40B4-BE49-F238E27FC236}">
                  <a16:creationId xmlns:a16="http://schemas.microsoft.com/office/drawing/2014/main" id="{00000000-0008-0000-0700-000048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12700</xdr:rowOff>
        </xdr:from>
        <xdr:to>
          <xdr:col>2</xdr:col>
          <xdr:colOff>0</xdr:colOff>
          <xdr:row>10</xdr:row>
          <xdr:rowOff>25400</xdr:rowOff>
        </xdr:to>
        <xdr:sp macro="" textlink="">
          <xdr:nvSpPr>
            <xdr:cNvPr id="81993" name="Drop Down 73" hidden="1">
              <a:extLst>
                <a:ext uri="{63B3BB69-23CF-44E3-9099-C40C66FF867C}">
                  <a14:compatExt spid="_x0000_s81993"/>
                </a:ext>
                <a:ext uri="{FF2B5EF4-FFF2-40B4-BE49-F238E27FC236}">
                  <a16:creationId xmlns:a16="http://schemas.microsoft.com/office/drawing/2014/main" id="{00000000-0008-0000-0700-000049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8</xdr:row>
          <xdr:rowOff>0</xdr:rowOff>
        </xdr:from>
        <xdr:to>
          <xdr:col>2</xdr:col>
          <xdr:colOff>0</xdr:colOff>
          <xdr:row>9</xdr:row>
          <xdr:rowOff>25400</xdr:rowOff>
        </xdr:to>
        <xdr:sp macro="" textlink="">
          <xdr:nvSpPr>
            <xdr:cNvPr id="81994" name="Drop Down 74" hidden="1">
              <a:extLst>
                <a:ext uri="{63B3BB69-23CF-44E3-9099-C40C66FF867C}">
                  <a14:compatExt spid="_x0000_s81994"/>
                </a:ext>
                <a:ext uri="{FF2B5EF4-FFF2-40B4-BE49-F238E27FC236}">
                  <a16:creationId xmlns:a16="http://schemas.microsoft.com/office/drawing/2014/main" id="{00000000-0008-0000-0700-00004A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xdr:row>
          <xdr:rowOff>0</xdr:rowOff>
        </xdr:from>
        <xdr:to>
          <xdr:col>2</xdr:col>
          <xdr:colOff>25400</xdr:colOff>
          <xdr:row>8</xdr:row>
          <xdr:rowOff>25400</xdr:rowOff>
        </xdr:to>
        <xdr:sp macro="" textlink="">
          <xdr:nvSpPr>
            <xdr:cNvPr id="81995" name="Drop Down 75" hidden="1">
              <a:extLst>
                <a:ext uri="{63B3BB69-23CF-44E3-9099-C40C66FF867C}">
                  <a14:compatExt spid="_x0000_s81995"/>
                </a:ext>
                <a:ext uri="{FF2B5EF4-FFF2-40B4-BE49-F238E27FC236}">
                  <a16:creationId xmlns:a16="http://schemas.microsoft.com/office/drawing/2014/main" id="{00000000-0008-0000-0700-00004B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6</xdr:row>
          <xdr:rowOff>0</xdr:rowOff>
        </xdr:from>
        <xdr:to>
          <xdr:col>2</xdr:col>
          <xdr:colOff>25400</xdr:colOff>
          <xdr:row>7</xdr:row>
          <xdr:rowOff>25400</xdr:rowOff>
        </xdr:to>
        <xdr:sp macro="" textlink="">
          <xdr:nvSpPr>
            <xdr:cNvPr id="81996" name="Drop Down 76" hidden="1">
              <a:extLst>
                <a:ext uri="{63B3BB69-23CF-44E3-9099-C40C66FF867C}">
                  <a14:compatExt spid="_x0000_s81996"/>
                </a:ext>
                <a:ext uri="{FF2B5EF4-FFF2-40B4-BE49-F238E27FC236}">
                  <a16:creationId xmlns:a16="http://schemas.microsoft.com/office/drawing/2014/main" id="{00000000-0008-0000-0700-00004C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xdr:row>
          <xdr:rowOff>12700</xdr:rowOff>
        </xdr:from>
        <xdr:to>
          <xdr:col>2</xdr:col>
          <xdr:colOff>25400</xdr:colOff>
          <xdr:row>6</xdr:row>
          <xdr:rowOff>25400</xdr:rowOff>
        </xdr:to>
        <xdr:sp macro="" textlink="">
          <xdr:nvSpPr>
            <xdr:cNvPr id="81997" name="Drop Down 77" hidden="1">
              <a:extLst>
                <a:ext uri="{63B3BB69-23CF-44E3-9099-C40C66FF867C}">
                  <a14:compatExt spid="_x0000_s81997"/>
                </a:ext>
                <a:ext uri="{FF2B5EF4-FFF2-40B4-BE49-F238E27FC236}">
                  <a16:creationId xmlns:a16="http://schemas.microsoft.com/office/drawing/2014/main" id="{00000000-0008-0000-0700-00004D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xdr:row>
          <xdr:rowOff>0</xdr:rowOff>
        </xdr:from>
        <xdr:to>
          <xdr:col>2</xdr:col>
          <xdr:colOff>25400</xdr:colOff>
          <xdr:row>5</xdr:row>
          <xdr:rowOff>25400</xdr:rowOff>
        </xdr:to>
        <xdr:sp macro="" textlink="">
          <xdr:nvSpPr>
            <xdr:cNvPr id="81998" name="Drop Down 78" hidden="1">
              <a:extLst>
                <a:ext uri="{63B3BB69-23CF-44E3-9099-C40C66FF867C}">
                  <a14:compatExt spid="_x0000_s81998"/>
                </a:ext>
                <a:ext uri="{FF2B5EF4-FFF2-40B4-BE49-F238E27FC236}">
                  <a16:creationId xmlns:a16="http://schemas.microsoft.com/office/drawing/2014/main" id="{00000000-0008-0000-0700-00004E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12700</xdr:colOff>
          <xdr:row>6</xdr:row>
          <xdr:rowOff>0</xdr:rowOff>
        </xdr:from>
        <xdr:to>
          <xdr:col>10</xdr:col>
          <xdr:colOff>0</xdr:colOff>
          <xdr:row>7</xdr:row>
          <xdr:rowOff>12700</xdr:rowOff>
        </xdr:to>
        <xdr:sp macro="" textlink="">
          <xdr:nvSpPr>
            <xdr:cNvPr id="55307" name="Drop Down 11" hidden="1">
              <a:extLst>
                <a:ext uri="{63B3BB69-23CF-44E3-9099-C40C66FF867C}">
                  <a14:compatExt spid="_x0000_s55307"/>
                </a:ext>
                <a:ext uri="{FF2B5EF4-FFF2-40B4-BE49-F238E27FC236}">
                  <a16:creationId xmlns:a16="http://schemas.microsoft.com/office/drawing/2014/main" id="{00000000-0008-0000-0800-00000B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8</xdr:row>
          <xdr:rowOff>0</xdr:rowOff>
        </xdr:from>
        <xdr:to>
          <xdr:col>10</xdr:col>
          <xdr:colOff>0</xdr:colOff>
          <xdr:row>9</xdr:row>
          <xdr:rowOff>12700</xdr:rowOff>
        </xdr:to>
        <xdr:sp macro="" textlink="">
          <xdr:nvSpPr>
            <xdr:cNvPr id="55308" name="Drop Down 12" hidden="1">
              <a:extLst>
                <a:ext uri="{63B3BB69-23CF-44E3-9099-C40C66FF867C}">
                  <a14:compatExt spid="_x0000_s55308"/>
                </a:ext>
                <a:ext uri="{FF2B5EF4-FFF2-40B4-BE49-F238E27FC236}">
                  <a16:creationId xmlns:a16="http://schemas.microsoft.com/office/drawing/2014/main" id="{00000000-0008-0000-0800-00000C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9</xdr:row>
          <xdr:rowOff>12700</xdr:rowOff>
        </xdr:from>
        <xdr:to>
          <xdr:col>10</xdr:col>
          <xdr:colOff>0</xdr:colOff>
          <xdr:row>9</xdr:row>
          <xdr:rowOff>660400</xdr:rowOff>
        </xdr:to>
        <xdr:sp macro="" textlink="">
          <xdr:nvSpPr>
            <xdr:cNvPr id="55309" name="Drop Down 13" hidden="1">
              <a:extLst>
                <a:ext uri="{63B3BB69-23CF-44E3-9099-C40C66FF867C}">
                  <a14:compatExt spid="_x0000_s55309"/>
                </a:ext>
                <a:ext uri="{FF2B5EF4-FFF2-40B4-BE49-F238E27FC236}">
                  <a16:creationId xmlns:a16="http://schemas.microsoft.com/office/drawing/2014/main" id="{00000000-0008-0000-0800-00000D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10</xdr:row>
          <xdr:rowOff>0</xdr:rowOff>
        </xdr:from>
        <xdr:to>
          <xdr:col>10</xdr:col>
          <xdr:colOff>0</xdr:colOff>
          <xdr:row>11</xdr:row>
          <xdr:rowOff>12700</xdr:rowOff>
        </xdr:to>
        <xdr:sp macro="" textlink="">
          <xdr:nvSpPr>
            <xdr:cNvPr id="55310" name="Drop Down 14" hidden="1">
              <a:extLst>
                <a:ext uri="{63B3BB69-23CF-44E3-9099-C40C66FF867C}">
                  <a14:compatExt spid="_x0000_s55310"/>
                </a:ext>
                <a:ext uri="{FF2B5EF4-FFF2-40B4-BE49-F238E27FC236}">
                  <a16:creationId xmlns:a16="http://schemas.microsoft.com/office/drawing/2014/main" id="{00000000-0008-0000-0800-00000E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11</xdr:row>
          <xdr:rowOff>0</xdr:rowOff>
        </xdr:from>
        <xdr:to>
          <xdr:col>10</xdr:col>
          <xdr:colOff>0</xdr:colOff>
          <xdr:row>12</xdr:row>
          <xdr:rowOff>12700</xdr:rowOff>
        </xdr:to>
        <xdr:sp macro="" textlink="">
          <xdr:nvSpPr>
            <xdr:cNvPr id="55311" name="Drop Down 15" hidden="1">
              <a:extLst>
                <a:ext uri="{63B3BB69-23CF-44E3-9099-C40C66FF867C}">
                  <a14:compatExt spid="_x0000_s55311"/>
                </a:ext>
                <a:ext uri="{FF2B5EF4-FFF2-40B4-BE49-F238E27FC236}">
                  <a16:creationId xmlns:a16="http://schemas.microsoft.com/office/drawing/2014/main" id="{00000000-0008-0000-0800-00000F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12</xdr:row>
          <xdr:rowOff>12700</xdr:rowOff>
        </xdr:from>
        <xdr:to>
          <xdr:col>10</xdr:col>
          <xdr:colOff>0</xdr:colOff>
          <xdr:row>13</xdr:row>
          <xdr:rowOff>12700</xdr:rowOff>
        </xdr:to>
        <xdr:sp macro="" textlink="">
          <xdr:nvSpPr>
            <xdr:cNvPr id="55312" name="Drop Down 16" hidden="1">
              <a:extLst>
                <a:ext uri="{63B3BB69-23CF-44E3-9099-C40C66FF867C}">
                  <a14:compatExt spid="_x0000_s55312"/>
                </a:ext>
                <a:ext uri="{FF2B5EF4-FFF2-40B4-BE49-F238E27FC236}">
                  <a16:creationId xmlns:a16="http://schemas.microsoft.com/office/drawing/2014/main" id="{00000000-0008-0000-0800-000010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16</xdr:row>
          <xdr:rowOff>25400</xdr:rowOff>
        </xdr:from>
        <xdr:to>
          <xdr:col>10</xdr:col>
          <xdr:colOff>0</xdr:colOff>
          <xdr:row>16</xdr:row>
          <xdr:rowOff>596900</xdr:rowOff>
        </xdr:to>
        <xdr:sp macro="" textlink="">
          <xdr:nvSpPr>
            <xdr:cNvPr id="55314" name="Drop Down 18" hidden="1">
              <a:extLst>
                <a:ext uri="{63B3BB69-23CF-44E3-9099-C40C66FF867C}">
                  <a14:compatExt spid="_x0000_s55314"/>
                </a:ext>
                <a:ext uri="{FF2B5EF4-FFF2-40B4-BE49-F238E27FC236}">
                  <a16:creationId xmlns:a16="http://schemas.microsoft.com/office/drawing/2014/main" id="{00000000-0008-0000-0800-00001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14</xdr:row>
          <xdr:rowOff>12700</xdr:rowOff>
        </xdr:from>
        <xdr:to>
          <xdr:col>10</xdr:col>
          <xdr:colOff>0</xdr:colOff>
          <xdr:row>14</xdr:row>
          <xdr:rowOff>635000</xdr:rowOff>
        </xdr:to>
        <xdr:sp macro="" textlink="">
          <xdr:nvSpPr>
            <xdr:cNvPr id="55315" name="Drop Down 19" hidden="1">
              <a:extLst>
                <a:ext uri="{63B3BB69-23CF-44E3-9099-C40C66FF867C}">
                  <a14:compatExt spid="_x0000_s55315"/>
                </a:ext>
                <a:ext uri="{FF2B5EF4-FFF2-40B4-BE49-F238E27FC236}">
                  <a16:creationId xmlns:a16="http://schemas.microsoft.com/office/drawing/2014/main" id="{00000000-0008-0000-0800-00001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14</xdr:row>
          <xdr:rowOff>12700</xdr:rowOff>
        </xdr:from>
        <xdr:to>
          <xdr:col>6</xdr:col>
          <xdr:colOff>12700</xdr:colOff>
          <xdr:row>15</xdr:row>
          <xdr:rowOff>0</xdr:rowOff>
        </xdr:to>
        <xdr:sp macro="" textlink="">
          <xdr:nvSpPr>
            <xdr:cNvPr id="55316" name="Drop Down 20" hidden="1">
              <a:extLst>
                <a:ext uri="{63B3BB69-23CF-44E3-9099-C40C66FF867C}">
                  <a14:compatExt spid="_x0000_s55316"/>
                </a:ext>
                <a:ext uri="{FF2B5EF4-FFF2-40B4-BE49-F238E27FC236}">
                  <a16:creationId xmlns:a16="http://schemas.microsoft.com/office/drawing/2014/main" id="{00000000-0008-0000-0800-00001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13</xdr:row>
          <xdr:rowOff>12700</xdr:rowOff>
        </xdr:from>
        <xdr:to>
          <xdr:col>10</xdr:col>
          <xdr:colOff>0</xdr:colOff>
          <xdr:row>14</xdr:row>
          <xdr:rowOff>12700</xdr:rowOff>
        </xdr:to>
        <xdr:sp macro="" textlink="">
          <xdr:nvSpPr>
            <xdr:cNvPr id="55317" name="Drop Down 21" hidden="1">
              <a:extLst>
                <a:ext uri="{63B3BB69-23CF-44E3-9099-C40C66FF867C}">
                  <a14:compatExt spid="_x0000_s55317"/>
                </a:ext>
                <a:ext uri="{FF2B5EF4-FFF2-40B4-BE49-F238E27FC236}">
                  <a16:creationId xmlns:a16="http://schemas.microsoft.com/office/drawing/2014/main" id="{00000000-0008-0000-0800-00001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6</xdr:col>
          <xdr:colOff>0</xdr:colOff>
          <xdr:row>5</xdr:row>
          <xdr:rowOff>0</xdr:rowOff>
        </xdr:to>
        <xdr:sp macro="" textlink="">
          <xdr:nvSpPr>
            <xdr:cNvPr id="55319" name="Drop Down 23" hidden="1">
              <a:extLst>
                <a:ext uri="{63B3BB69-23CF-44E3-9099-C40C66FF867C}">
                  <a14:compatExt spid="_x0000_s55319"/>
                </a:ext>
                <a:ext uri="{FF2B5EF4-FFF2-40B4-BE49-F238E27FC236}">
                  <a16:creationId xmlns:a16="http://schemas.microsoft.com/office/drawing/2014/main" id="{00000000-0008-0000-0800-00001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xdr:row>
          <xdr:rowOff>0</xdr:rowOff>
        </xdr:from>
        <xdr:to>
          <xdr:col>6</xdr:col>
          <xdr:colOff>0</xdr:colOff>
          <xdr:row>16</xdr:row>
          <xdr:rowOff>774700</xdr:rowOff>
        </xdr:to>
        <xdr:sp macro="" textlink="">
          <xdr:nvSpPr>
            <xdr:cNvPr id="55320" name="Drop Down 24" hidden="1">
              <a:extLst>
                <a:ext uri="{63B3BB69-23CF-44E3-9099-C40C66FF867C}">
                  <a14:compatExt spid="_x0000_s55320"/>
                </a:ext>
                <a:ext uri="{FF2B5EF4-FFF2-40B4-BE49-F238E27FC236}">
                  <a16:creationId xmlns:a16="http://schemas.microsoft.com/office/drawing/2014/main" id="{00000000-0008-0000-0800-000018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xdr:row>
          <xdr:rowOff>0</xdr:rowOff>
        </xdr:from>
        <xdr:to>
          <xdr:col>10</xdr:col>
          <xdr:colOff>0</xdr:colOff>
          <xdr:row>5</xdr:row>
          <xdr:rowOff>12700</xdr:rowOff>
        </xdr:to>
        <xdr:sp macro="" textlink="">
          <xdr:nvSpPr>
            <xdr:cNvPr id="55330" name="Drop Down 34" hidden="1">
              <a:extLst>
                <a:ext uri="{63B3BB69-23CF-44E3-9099-C40C66FF867C}">
                  <a14:compatExt spid="_x0000_s55330"/>
                </a:ext>
                <a:ext uri="{FF2B5EF4-FFF2-40B4-BE49-F238E27FC236}">
                  <a16:creationId xmlns:a16="http://schemas.microsoft.com/office/drawing/2014/main" id="{00000000-0008-0000-0800-00002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0</xdr:colOff>
          <xdr:row>6</xdr:row>
          <xdr:rowOff>0</xdr:rowOff>
        </xdr:to>
        <xdr:sp macro="" textlink="">
          <xdr:nvSpPr>
            <xdr:cNvPr id="55331" name="Drop Down 35" hidden="1">
              <a:extLst>
                <a:ext uri="{63B3BB69-23CF-44E3-9099-C40C66FF867C}">
                  <a14:compatExt spid="_x0000_s55331"/>
                </a:ext>
                <a:ext uri="{FF2B5EF4-FFF2-40B4-BE49-F238E27FC236}">
                  <a16:creationId xmlns:a16="http://schemas.microsoft.com/office/drawing/2014/main" id="{00000000-0008-0000-0800-00002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5</xdr:row>
          <xdr:rowOff>0</xdr:rowOff>
        </xdr:from>
        <xdr:to>
          <xdr:col>10</xdr:col>
          <xdr:colOff>0</xdr:colOff>
          <xdr:row>6</xdr:row>
          <xdr:rowOff>12700</xdr:rowOff>
        </xdr:to>
        <xdr:sp macro="" textlink="">
          <xdr:nvSpPr>
            <xdr:cNvPr id="55332" name="Drop Down 36" hidden="1">
              <a:extLst>
                <a:ext uri="{63B3BB69-23CF-44E3-9099-C40C66FF867C}">
                  <a14:compatExt spid="_x0000_s55332"/>
                </a:ext>
                <a:ext uri="{FF2B5EF4-FFF2-40B4-BE49-F238E27FC236}">
                  <a16:creationId xmlns:a16="http://schemas.microsoft.com/office/drawing/2014/main" id="{00000000-0008-0000-0800-00002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7</xdr:row>
          <xdr:rowOff>0</xdr:rowOff>
        </xdr:from>
        <xdr:to>
          <xdr:col>10</xdr:col>
          <xdr:colOff>0</xdr:colOff>
          <xdr:row>7</xdr:row>
          <xdr:rowOff>609600</xdr:rowOff>
        </xdr:to>
        <xdr:sp macro="" textlink="">
          <xdr:nvSpPr>
            <xdr:cNvPr id="55333" name="Drop Down 37" hidden="1">
              <a:extLst>
                <a:ext uri="{63B3BB69-23CF-44E3-9099-C40C66FF867C}">
                  <a14:compatExt spid="_x0000_s55333"/>
                </a:ext>
                <a:ext uri="{FF2B5EF4-FFF2-40B4-BE49-F238E27FC236}">
                  <a16:creationId xmlns:a16="http://schemas.microsoft.com/office/drawing/2014/main" id="{00000000-0008-0000-0800-00002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15</xdr:row>
          <xdr:rowOff>12700</xdr:rowOff>
        </xdr:from>
        <xdr:to>
          <xdr:col>10</xdr:col>
          <xdr:colOff>0</xdr:colOff>
          <xdr:row>15</xdr:row>
          <xdr:rowOff>774700</xdr:rowOff>
        </xdr:to>
        <xdr:sp macro="" textlink="">
          <xdr:nvSpPr>
            <xdr:cNvPr id="55335" name="Drop Down 39" hidden="1">
              <a:extLst>
                <a:ext uri="{63B3BB69-23CF-44E3-9099-C40C66FF867C}">
                  <a14:compatExt spid="_x0000_s55335"/>
                </a:ext>
                <a:ext uri="{FF2B5EF4-FFF2-40B4-BE49-F238E27FC236}">
                  <a16:creationId xmlns:a16="http://schemas.microsoft.com/office/drawing/2014/main" id="{00000000-0008-0000-0800-00002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6</xdr:row>
          <xdr:rowOff>0</xdr:rowOff>
        </xdr:from>
        <xdr:to>
          <xdr:col>18</xdr:col>
          <xdr:colOff>2822</xdr:colOff>
          <xdr:row>7</xdr:row>
          <xdr:rowOff>12700</xdr:rowOff>
        </xdr:to>
        <xdr:sp macro="" textlink="">
          <xdr:nvSpPr>
            <xdr:cNvPr id="55337" name="Drop Down 41" hidden="1">
              <a:extLst>
                <a:ext uri="{63B3BB69-23CF-44E3-9099-C40C66FF867C}">
                  <a14:compatExt spid="_x0000_s55337"/>
                </a:ext>
                <a:ext uri="{FF2B5EF4-FFF2-40B4-BE49-F238E27FC236}">
                  <a16:creationId xmlns:a16="http://schemas.microsoft.com/office/drawing/2014/main" id="{00000000-0008-0000-0800-000029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8</xdr:row>
          <xdr:rowOff>0</xdr:rowOff>
        </xdr:from>
        <xdr:to>
          <xdr:col>18</xdr:col>
          <xdr:colOff>2822</xdr:colOff>
          <xdr:row>9</xdr:row>
          <xdr:rowOff>12700</xdr:rowOff>
        </xdr:to>
        <xdr:sp macro="" textlink="">
          <xdr:nvSpPr>
            <xdr:cNvPr id="55338" name="Drop Down 42" hidden="1">
              <a:extLst>
                <a:ext uri="{63B3BB69-23CF-44E3-9099-C40C66FF867C}">
                  <a14:compatExt spid="_x0000_s55338"/>
                </a:ext>
                <a:ext uri="{FF2B5EF4-FFF2-40B4-BE49-F238E27FC236}">
                  <a16:creationId xmlns:a16="http://schemas.microsoft.com/office/drawing/2014/main" id="{00000000-0008-0000-0800-00002A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9</xdr:row>
          <xdr:rowOff>12700</xdr:rowOff>
        </xdr:from>
        <xdr:to>
          <xdr:col>18</xdr:col>
          <xdr:colOff>2822</xdr:colOff>
          <xdr:row>9</xdr:row>
          <xdr:rowOff>660400</xdr:rowOff>
        </xdr:to>
        <xdr:sp macro="" textlink="">
          <xdr:nvSpPr>
            <xdr:cNvPr id="55339" name="Drop Down 43" hidden="1">
              <a:extLst>
                <a:ext uri="{63B3BB69-23CF-44E3-9099-C40C66FF867C}">
                  <a14:compatExt spid="_x0000_s55339"/>
                </a:ext>
                <a:ext uri="{FF2B5EF4-FFF2-40B4-BE49-F238E27FC236}">
                  <a16:creationId xmlns:a16="http://schemas.microsoft.com/office/drawing/2014/main" id="{00000000-0008-0000-0800-00002B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10</xdr:row>
          <xdr:rowOff>0</xdr:rowOff>
        </xdr:from>
        <xdr:to>
          <xdr:col>18</xdr:col>
          <xdr:colOff>2822</xdr:colOff>
          <xdr:row>11</xdr:row>
          <xdr:rowOff>12700</xdr:rowOff>
        </xdr:to>
        <xdr:sp macro="" textlink="">
          <xdr:nvSpPr>
            <xdr:cNvPr id="55340" name="Drop Down 44" hidden="1">
              <a:extLst>
                <a:ext uri="{63B3BB69-23CF-44E3-9099-C40C66FF867C}">
                  <a14:compatExt spid="_x0000_s55340"/>
                </a:ext>
                <a:ext uri="{FF2B5EF4-FFF2-40B4-BE49-F238E27FC236}">
                  <a16:creationId xmlns:a16="http://schemas.microsoft.com/office/drawing/2014/main" id="{00000000-0008-0000-0800-00002C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11</xdr:row>
          <xdr:rowOff>0</xdr:rowOff>
        </xdr:from>
        <xdr:to>
          <xdr:col>18</xdr:col>
          <xdr:colOff>2822</xdr:colOff>
          <xdr:row>12</xdr:row>
          <xdr:rowOff>12700</xdr:rowOff>
        </xdr:to>
        <xdr:sp macro="" textlink="">
          <xdr:nvSpPr>
            <xdr:cNvPr id="55341" name="Drop Down 45" hidden="1">
              <a:extLst>
                <a:ext uri="{63B3BB69-23CF-44E3-9099-C40C66FF867C}">
                  <a14:compatExt spid="_x0000_s55341"/>
                </a:ext>
                <a:ext uri="{FF2B5EF4-FFF2-40B4-BE49-F238E27FC236}">
                  <a16:creationId xmlns:a16="http://schemas.microsoft.com/office/drawing/2014/main" id="{00000000-0008-0000-0800-00002D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12</xdr:row>
          <xdr:rowOff>12700</xdr:rowOff>
        </xdr:from>
        <xdr:to>
          <xdr:col>18</xdr:col>
          <xdr:colOff>2822</xdr:colOff>
          <xdr:row>13</xdr:row>
          <xdr:rowOff>12700</xdr:rowOff>
        </xdr:to>
        <xdr:sp macro="" textlink="">
          <xdr:nvSpPr>
            <xdr:cNvPr id="55342" name="Drop Down 46" hidden="1">
              <a:extLst>
                <a:ext uri="{63B3BB69-23CF-44E3-9099-C40C66FF867C}">
                  <a14:compatExt spid="_x0000_s55342"/>
                </a:ext>
                <a:ext uri="{FF2B5EF4-FFF2-40B4-BE49-F238E27FC236}">
                  <a16:creationId xmlns:a16="http://schemas.microsoft.com/office/drawing/2014/main" id="{00000000-0008-0000-0800-00002E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16</xdr:row>
          <xdr:rowOff>25400</xdr:rowOff>
        </xdr:from>
        <xdr:to>
          <xdr:col>18</xdr:col>
          <xdr:colOff>2822</xdr:colOff>
          <xdr:row>16</xdr:row>
          <xdr:rowOff>596900</xdr:rowOff>
        </xdr:to>
        <xdr:sp macro="" textlink="">
          <xdr:nvSpPr>
            <xdr:cNvPr id="55343" name="Drop Down 47" hidden="1">
              <a:extLst>
                <a:ext uri="{63B3BB69-23CF-44E3-9099-C40C66FF867C}">
                  <a14:compatExt spid="_x0000_s55343"/>
                </a:ext>
                <a:ext uri="{FF2B5EF4-FFF2-40B4-BE49-F238E27FC236}">
                  <a16:creationId xmlns:a16="http://schemas.microsoft.com/office/drawing/2014/main" id="{00000000-0008-0000-0800-00002F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14</xdr:row>
          <xdr:rowOff>12700</xdr:rowOff>
        </xdr:from>
        <xdr:to>
          <xdr:col>18</xdr:col>
          <xdr:colOff>2822</xdr:colOff>
          <xdr:row>14</xdr:row>
          <xdr:rowOff>635000</xdr:rowOff>
        </xdr:to>
        <xdr:sp macro="" textlink="">
          <xdr:nvSpPr>
            <xdr:cNvPr id="55344" name="Drop Down 48" hidden="1">
              <a:extLst>
                <a:ext uri="{63B3BB69-23CF-44E3-9099-C40C66FF867C}">
                  <a14:compatExt spid="_x0000_s55344"/>
                </a:ext>
                <a:ext uri="{FF2B5EF4-FFF2-40B4-BE49-F238E27FC236}">
                  <a16:creationId xmlns:a16="http://schemas.microsoft.com/office/drawing/2014/main" id="{00000000-0008-0000-0800-000030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13</xdr:row>
          <xdr:rowOff>12700</xdr:rowOff>
        </xdr:from>
        <xdr:to>
          <xdr:col>18</xdr:col>
          <xdr:colOff>2822</xdr:colOff>
          <xdr:row>14</xdr:row>
          <xdr:rowOff>12700</xdr:rowOff>
        </xdr:to>
        <xdr:sp macro="" textlink="">
          <xdr:nvSpPr>
            <xdr:cNvPr id="55345" name="Drop Down 49" hidden="1">
              <a:extLst>
                <a:ext uri="{63B3BB69-23CF-44E3-9099-C40C66FF867C}">
                  <a14:compatExt spid="_x0000_s55345"/>
                </a:ext>
                <a:ext uri="{FF2B5EF4-FFF2-40B4-BE49-F238E27FC236}">
                  <a16:creationId xmlns:a16="http://schemas.microsoft.com/office/drawing/2014/main" id="{00000000-0008-0000-0800-00003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4</xdr:row>
          <xdr:rowOff>0</xdr:rowOff>
        </xdr:from>
        <xdr:to>
          <xdr:col>18</xdr:col>
          <xdr:colOff>2822</xdr:colOff>
          <xdr:row>5</xdr:row>
          <xdr:rowOff>12700</xdr:rowOff>
        </xdr:to>
        <xdr:sp macro="" textlink="">
          <xdr:nvSpPr>
            <xdr:cNvPr id="55346" name="Drop Down 50" hidden="1">
              <a:extLst>
                <a:ext uri="{63B3BB69-23CF-44E3-9099-C40C66FF867C}">
                  <a14:compatExt spid="_x0000_s55346"/>
                </a:ext>
                <a:ext uri="{FF2B5EF4-FFF2-40B4-BE49-F238E27FC236}">
                  <a16:creationId xmlns:a16="http://schemas.microsoft.com/office/drawing/2014/main" id="{00000000-0008-0000-0800-00003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5</xdr:row>
          <xdr:rowOff>0</xdr:rowOff>
        </xdr:from>
        <xdr:to>
          <xdr:col>18</xdr:col>
          <xdr:colOff>2822</xdr:colOff>
          <xdr:row>6</xdr:row>
          <xdr:rowOff>12700</xdr:rowOff>
        </xdr:to>
        <xdr:sp macro="" textlink="">
          <xdr:nvSpPr>
            <xdr:cNvPr id="55347" name="Drop Down 51" hidden="1">
              <a:extLst>
                <a:ext uri="{63B3BB69-23CF-44E3-9099-C40C66FF867C}">
                  <a14:compatExt spid="_x0000_s55347"/>
                </a:ext>
                <a:ext uri="{FF2B5EF4-FFF2-40B4-BE49-F238E27FC236}">
                  <a16:creationId xmlns:a16="http://schemas.microsoft.com/office/drawing/2014/main" id="{00000000-0008-0000-0800-00003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7</xdr:row>
          <xdr:rowOff>0</xdr:rowOff>
        </xdr:from>
        <xdr:to>
          <xdr:col>18</xdr:col>
          <xdr:colOff>2822</xdr:colOff>
          <xdr:row>7</xdr:row>
          <xdr:rowOff>609600</xdr:rowOff>
        </xdr:to>
        <xdr:sp macro="" textlink="">
          <xdr:nvSpPr>
            <xdr:cNvPr id="55348" name="Drop Down 52" hidden="1">
              <a:extLst>
                <a:ext uri="{63B3BB69-23CF-44E3-9099-C40C66FF867C}">
                  <a14:compatExt spid="_x0000_s55348"/>
                </a:ext>
                <a:ext uri="{FF2B5EF4-FFF2-40B4-BE49-F238E27FC236}">
                  <a16:creationId xmlns:a16="http://schemas.microsoft.com/office/drawing/2014/main" id="{00000000-0008-0000-0800-00003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xdr:colOff>
          <xdr:row>15</xdr:row>
          <xdr:rowOff>12700</xdr:rowOff>
        </xdr:from>
        <xdr:to>
          <xdr:col>18</xdr:col>
          <xdr:colOff>2822</xdr:colOff>
          <xdr:row>15</xdr:row>
          <xdr:rowOff>774700</xdr:rowOff>
        </xdr:to>
        <xdr:sp macro="" textlink="">
          <xdr:nvSpPr>
            <xdr:cNvPr id="55349" name="Drop Down 53" hidden="1">
              <a:extLst>
                <a:ext uri="{63B3BB69-23CF-44E3-9099-C40C66FF867C}">
                  <a14:compatExt spid="_x0000_s55349"/>
                </a:ext>
                <a:ext uri="{FF2B5EF4-FFF2-40B4-BE49-F238E27FC236}">
                  <a16:creationId xmlns:a16="http://schemas.microsoft.com/office/drawing/2014/main" id="{00000000-0008-0000-0800-00003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6</xdr:col>
          <xdr:colOff>12700</xdr:colOff>
          <xdr:row>22</xdr:row>
          <xdr:rowOff>0</xdr:rowOff>
        </xdr:to>
        <xdr:sp macro="" textlink="">
          <xdr:nvSpPr>
            <xdr:cNvPr id="43017" name="Drop Down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12700</xdr:rowOff>
        </xdr:from>
        <xdr:to>
          <xdr:col>6</xdr:col>
          <xdr:colOff>12700</xdr:colOff>
          <xdr:row>34</xdr:row>
          <xdr:rowOff>393700</xdr:rowOff>
        </xdr:to>
        <xdr:sp macro="" textlink="">
          <xdr:nvSpPr>
            <xdr:cNvPr id="43019" name="Drop Down 11" hidden="1">
              <a:extLst>
                <a:ext uri="{63B3BB69-23CF-44E3-9099-C40C66FF867C}">
                  <a14:compatExt spid="_x0000_s43019"/>
                </a:ext>
                <a:ext uri="{FF2B5EF4-FFF2-40B4-BE49-F238E27FC236}">
                  <a16:creationId xmlns:a16="http://schemas.microsoft.com/office/drawing/2014/main" id="{00000000-0008-0000-0900-00000B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34</xdr:row>
          <xdr:rowOff>0</xdr:rowOff>
        </xdr:from>
        <xdr:to>
          <xdr:col>6</xdr:col>
          <xdr:colOff>12700</xdr:colOff>
          <xdr:row>35</xdr:row>
          <xdr:rowOff>12700</xdr:rowOff>
        </xdr:to>
        <xdr:sp macro="" textlink="">
          <xdr:nvSpPr>
            <xdr:cNvPr id="43020" name="Drop Down 12" hidden="1">
              <a:extLst>
                <a:ext uri="{63B3BB69-23CF-44E3-9099-C40C66FF867C}">
                  <a14:compatExt spid="_x0000_s43020"/>
                </a:ext>
                <a:ext uri="{FF2B5EF4-FFF2-40B4-BE49-F238E27FC236}">
                  <a16:creationId xmlns:a16="http://schemas.microsoft.com/office/drawing/2014/main" id="{00000000-0008-0000-0900-00000C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609600</xdr:colOff>
          <xdr:row>4</xdr:row>
          <xdr:rowOff>12700</xdr:rowOff>
        </xdr:from>
        <xdr:to>
          <xdr:col>6</xdr:col>
          <xdr:colOff>12700</xdr:colOff>
          <xdr:row>5</xdr:row>
          <xdr:rowOff>0</xdr:rowOff>
        </xdr:to>
        <xdr:sp macro="" textlink="">
          <xdr:nvSpPr>
            <xdr:cNvPr id="43029" name="Drop Down 21" hidden="1">
              <a:extLst>
                <a:ext uri="{63B3BB69-23CF-44E3-9099-C40C66FF867C}">
                  <a14:compatExt spid="_x0000_s43029"/>
                </a:ext>
                <a:ext uri="{FF2B5EF4-FFF2-40B4-BE49-F238E27FC236}">
                  <a16:creationId xmlns:a16="http://schemas.microsoft.com/office/drawing/2014/main" id="{00000000-0008-0000-0900-000015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10</xdr:row>
          <xdr:rowOff>12700</xdr:rowOff>
        </xdr:from>
        <xdr:to>
          <xdr:col>8</xdr:col>
          <xdr:colOff>520700</xdr:colOff>
          <xdr:row>11</xdr:row>
          <xdr:rowOff>0</xdr:rowOff>
        </xdr:to>
        <xdr:sp macro="" textlink="">
          <xdr:nvSpPr>
            <xdr:cNvPr id="43030" name="Drop Down 22" hidden="1">
              <a:extLst>
                <a:ext uri="{63B3BB69-23CF-44E3-9099-C40C66FF867C}">
                  <a14:compatExt spid="_x0000_s43030"/>
                </a:ext>
                <a:ext uri="{FF2B5EF4-FFF2-40B4-BE49-F238E27FC236}">
                  <a16:creationId xmlns:a16="http://schemas.microsoft.com/office/drawing/2014/main" id="{00000000-0008-0000-0900-000016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6</xdr:col>
          <xdr:colOff>12700</xdr:colOff>
          <xdr:row>6</xdr:row>
          <xdr:rowOff>0</xdr:rowOff>
        </xdr:to>
        <xdr:sp macro="" textlink="">
          <xdr:nvSpPr>
            <xdr:cNvPr id="43032" name="Drop Down 24" hidden="1">
              <a:extLst>
                <a:ext uri="{63B3BB69-23CF-44E3-9099-C40C66FF867C}">
                  <a14:compatExt spid="_x0000_s43032"/>
                </a:ext>
                <a:ext uri="{FF2B5EF4-FFF2-40B4-BE49-F238E27FC236}">
                  <a16:creationId xmlns:a16="http://schemas.microsoft.com/office/drawing/2014/main" id="{00000000-0008-0000-0900-000018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6</xdr:col>
          <xdr:colOff>12700</xdr:colOff>
          <xdr:row>7</xdr:row>
          <xdr:rowOff>12700</xdr:rowOff>
        </xdr:to>
        <xdr:sp macro="" textlink="">
          <xdr:nvSpPr>
            <xdr:cNvPr id="43033" name="Drop Down 25" hidden="1">
              <a:extLst>
                <a:ext uri="{63B3BB69-23CF-44E3-9099-C40C66FF867C}">
                  <a14:compatExt spid="_x0000_s43033"/>
                </a:ext>
                <a:ext uri="{FF2B5EF4-FFF2-40B4-BE49-F238E27FC236}">
                  <a16:creationId xmlns:a16="http://schemas.microsoft.com/office/drawing/2014/main" id="{00000000-0008-0000-0900-000019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0</xdr:colOff>
          <xdr:row>13</xdr:row>
          <xdr:rowOff>0</xdr:rowOff>
        </xdr:to>
        <xdr:sp macro="" textlink="">
          <xdr:nvSpPr>
            <xdr:cNvPr id="43034" name="Drop Down 26" hidden="1">
              <a:extLst>
                <a:ext uri="{63B3BB69-23CF-44E3-9099-C40C66FF867C}">
                  <a14:compatExt spid="_x0000_s43034"/>
                </a:ext>
                <a:ext uri="{FF2B5EF4-FFF2-40B4-BE49-F238E27FC236}">
                  <a16:creationId xmlns:a16="http://schemas.microsoft.com/office/drawing/2014/main" id="{00000000-0008-0000-0900-00001A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12700</xdr:rowOff>
        </xdr:from>
        <xdr:to>
          <xdr:col>5</xdr:col>
          <xdr:colOff>1219200</xdr:colOff>
          <xdr:row>4</xdr:row>
          <xdr:rowOff>577850</xdr:rowOff>
        </xdr:to>
        <xdr:sp macro="" textlink="">
          <xdr:nvSpPr>
            <xdr:cNvPr id="49153" name="Drop Down 1" hidden="1">
              <a:extLst>
                <a:ext uri="{63B3BB69-23CF-44E3-9099-C40C66FF867C}">
                  <a14:compatExt spid="_x0000_s49153"/>
                </a:ext>
                <a:ext uri="{FF2B5EF4-FFF2-40B4-BE49-F238E27FC236}">
                  <a16:creationId xmlns:a16="http://schemas.microsoft.com/office/drawing/2014/main" id="{00000000-0008-0000-0A00-00000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18</xdr:row>
          <xdr:rowOff>0</xdr:rowOff>
        </xdr:from>
        <xdr:to>
          <xdr:col>6</xdr:col>
          <xdr:colOff>914400</xdr:colOff>
          <xdr:row>19</xdr:row>
          <xdr:rowOff>0</xdr:rowOff>
        </xdr:to>
        <xdr:sp macro="" textlink="">
          <xdr:nvSpPr>
            <xdr:cNvPr id="49155" name="Drop Down 3" hidden="1">
              <a:extLst>
                <a:ext uri="{63B3BB69-23CF-44E3-9099-C40C66FF867C}">
                  <a14:compatExt spid="_x0000_s49155"/>
                </a:ext>
                <a:ext uri="{FF2B5EF4-FFF2-40B4-BE49-F238E27FC236}">
                  <a16:creationId xmlns:a16="http://schemas.microsoft.com/office/drawing/2014/main" id="{00000000-0008-0000-0A00-000003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5</xdr:col>
          <xdr:colOff>1219200</xdr:colOff>
          <xdr:row>6</xdr:row>
          <xdr:rowOff>0</xdr:rowOff>
        </xdr:to>
        <xdr:sp macro="" textlink="">
          <xdr:nvSpPr>
            <xdr:cNvPr id="49156" name="Drop Down 4" hidden="1">
              <a:extLst>
                <a:ext uri="{63B3BB69-23CF-44E3-9099-C40C66FF867C}">
                  <a14:compatExt spid="_x0000_s49156"/>
                </a:ext>
                <a:ext uri="{FF2B5EF4-FFF2-40B4-BE49-F238E27FC236}">
                  <a16:creationId xmlns:a16="http://schemas.microsoft.com/office/drawing/2014/main" id="{00000000-0008-0000-0A00-000004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1174750</xdr:colOff>
          <xdr:row>7</xdr:row>
          <xdr:rowOff>0</xdr:rowOff>
        </xdr:from>
        <xdr:to>
          <xdr:col>5</xdr:col>
          <xdr:colOff>1219200</xdr:colOff>
          <xdr:row>8</xdr:row>
          <xdr:rowOff>14111</xdr:rowOff>
        </xdr:to>
        <xdr:sp macro="" textlink="">
          <xdr:nvSpPr>
            <xdr:cNvPr id="49159" name="Drop Down 7" hidden="1">
              <a:extLst>
                <a:ext uri="{63B3BB69-23CF-44E3-9099-C40C66FF867C}">
                  <a14:compatExt spid="_x0000_s49159"/>
                </a:ext>
                <a:ext uri="{FF2B5EF4-FFF2-40B4-BE49-F238E27FC236}">
                  <a16:creationId xmlns:a16="http://schemas.microsoft.com/office/drawing/2014/main" id="{00000000-0008-0000-0A00-000007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17</xdr:row>
          <xdr:rowOff>0</xdr:rowOff>
        </xdr:from>
        <xdr:to>
          <xdr:col>6</xdr:col>
          <xdr:colOff>12700</xdr:colOff>
          <xdr:row>18</xdr:row>
          <xdr:rowOff>0</xdr:rowOff>
        </xdr:to>
        <xdr:sp macro="" textlink="">
          <xdr:nvSpPr>
            <xdr:cNvPr id="49161" name="Drop Down 9" hidden="1">
              <a:extLst>
                <a:ext uri="{63B3BB69-23CF-44E3-9099-C40C66FF867C}">
                  <a14:compatExt spid="_x0000_s49161"/>
                </a:ext>
                <a:ext uri="{FF2B5EF4-FFF2-40B4-BE49-F238E27FC236}">
                  <a16:creationId xmlns:a16="http://schemas.microsoft.com/office/drawing/2014/main" id="{00000000-0008-0000-0A00-000009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xdr:row>
          <xdr:rowOff>0</xdr:rowOff>
        </xdr:from>
        <xdr:to>
          <xdr:col>6</xdr:col>
          <xdr:colOff>0</xdr:colOff>
          <xdr:row>10</xdr:row>
          <xdr:rowOff>12700</xdr:rowOff>
        </xdr:to>
        <xdr:sp macro="" textlink="">
          <xdr:nvSpPr>
            <xdr:cNvPr id="49163" name="Drop Down 11" hidden="1">
              <a:extLst>
                <a:ext uri="{63B3BB69-23CF-44E3-9099-C40C66FF867C}">
                  <a14:compatExt spid="_x0000_s49163"/>
                </a:ext>
                <a:ext uri="{FF2B5EF4-FFF2-40B4-BE49-F238E27FC236}">
                  <a16:creationId xmlns:a16="http://schemas.microsoft.com/office/drawing/2014/main" id="{00000000-0008-0000-0A00-00000B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12700</xdr:colOff>
          <xdr:row>3</xdr:row>
          <xdr:rowOff>12700</xdr:rowOff>
        </xdr:from>
        <xdr:to>
          <xdr:col>12</xdr:col>
          <xdr:colOff>12700</xdr:colOff>
          <xdr:row>3</xdr:row>
          <xdr:rowOff>622300</xdr:rowOff>
        </xdr:to>
        <xdr:sp macro="" textlink="">
          <xdr:nvSpPr>
            <xdr:cNvPr id="92170" name="Drop Down 10" hidden="1">
              <a:extLst>
                <a:ext uri="{63B3BB69-23CF-44E3-9099-C40C66FF867C}">
                  <a14:compatExt spid="_x0000_s92170"/>
                </a:ext>
                <a:ext uri="{FF2B5EF4-FFF2-40B4-BE49-F238E27FC236}">
                  <a16:creationId xmlns:a16="http://schemas.microsoft.com/office/drawing/2014/main" id="{00000000-0008-0000-0B00-00000A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xdr:row>
          <xdr:rowOff>12700</xdr:rowOff>
        </xdr:from>
        <xdr:to>
          <xdr:col>12</xdr:col>
          <xdr:colOff>0</xdr:colOff>
          <xdr:row>5</xdr:row>
          <xdr:rowOff>0</xdr:rowOff>
        </xdr:to>
        <xdr:sp macro="" textlink="">
          <xdr:nvSpPr>
            <xdr:cNvPr id="92171" name="Drop Down 11" hidden="1">
              <a:extLst>
                <a:ext uri="{63B3BB69-23CF-44E3-9099-C40C66FF867C}">
                  <a14:compatExt spid="_x0000_s92171"/>
                </a:ext>
                <a:ext uri="{FF2B5EF4-FFF2-40B4-BE49-F238E27FC236}">
                  <a16:creationId xmlns:a16="http://schemas.microsoft.com/office/drawing/2014/main" id="{00000000-0008-0000-0B00-00000B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5</xdr:row>
          <xdr:rowOff>12700</xdr:rowOff>
        </xdr:from>
        <xdr:to>
          <xdr:col>12</xdr:col>
          <xdr:colOff>0</xdr:colOff>
          <xdr:row>5</xdr:row>
          <xdr:rowOff>571500</xdr:rowOff>
        </xdr:to>
        <xdr:sp macro="" textlink="">
          <xdr:nvSpPr>
            <xdr:cNvPr id="92172" name="Drop Down 12" hidden="1">
              <a:extLst>
                <a:ext uri="{63B3BB69-23CF-44E3-9099-C40C66FF867C}">
                  <a14:compatExt spid="_x0000_s92172"/>
                </a:ext>
                <a:ext uri="{FF2B5EF4-FFF2-40B4-BE49-F238E27FC236}">
                  <a16:creationId xmlns:a16="http://schemas.microsoft.com/office/drawing/2014/main" id="{00000000-0008-0000-0B00-00000C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7</xdr:row>
          <xdr:rowOff>12700</xdr:rowOff>
        </xdr:from>
        <xdr:to>
          <xdr:col>12</xdr:col>
          <xdr:colOff>0</xdr:colOff>
          <xdr:row>8</xdr:row>
          <xdr:rowOff>12700</xdr:rowOff>
        </xdr:to>
        <xdr:sp macro="" textlink="">
          <xdr:nvSpPr>
            <xdr:cNvPr id="92174" name="Drop Down 14" hidden="1">
              <a:extLst>
                <a:ext uri="{63B3BB69-23CF-44E3-9099-C40C66FF867C}">
                  <a14:compatExt spid="_x0000_s92174"/>
                </a:ext>
                <a:ext uri="{FF2B5EF4-FFF2-40B4-BE49-F238E27FC236}">
                  <a16:creationId xmlns:a16="http://schemas.microsoft.com/office/drawing/2014/main" id="{00000000-0008-0000-0B00-00000E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8</xdr:row>
          <xdr:rowOff>12700</xdr:rowOff>
        </xdr:from>
        <xdr:to>
          <xdr:col>12</xdr:col>
          <xdr:colOff>12700</xdr:colOff>
          <xdr:row>8</xdr:row>
          <xdr:rowOff>571500</xdr:rowOff>
        </xdr:to>
        <xdr:sp macro="" textlink="">
          <xdr:nvSpPr>
            <xdr:cNvPr id="92175" name="Drop Down 15" hidden="1">
              <a:extLst>
                <a:ext uri="{63B3BB69-23CF-44E3-9099-C40C66FF867C}">
                  <a14:compatExt spid="_x0000_s92175"/>
                </a:ext>
                <a:ext uri="{FF2B5EF4-FFF2-40B4-BE49-F238E27FC236}">
                  <a16:creationId xmlns:a16="http://schemas.microsoft.com/office/drawing/2014/main" id="{00000000-0008-0000-0B00-00000F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9</xdr:row>
          <xdr:rowOff>12700</xdr:rowOff>
        </xdr:from>
        <xdr:to>
          <xdr:col>12</xdr:col>
          <xdr:colOff>12700</xdr:colOff>
          <xdr:row>10</xdr:row>
          <xdr:rowOff>12700</xdr:rowOff>
        </xdr:to>
        <xdr:sp macro="" textlink="">
          <xdr:nvSpPr>
            <xdr:cNvPr id="92176" name="Drop Down 16" hidden="1">
              <a:extLst>
                <a:ext uri="{63B3BB69-23CF-44E3-9099-C40C66FF867C}">
                  <a14:compatExt spid="_x0000_s92176"/>
                </a:ext>
                <a:ext uri="{FF2B5EF4-FFF2-40B4-BE49-F238E27FC236}">
                  <a16:creationId xmlns:a16="http://schemas.microsoft.com/office/drawing/2014/main" id="{00000000-0008-0000-0B00-000010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13</xdr:row>
          <xdr:rowOff>12700</xdr:rowOff>
        </xdr:from>
        <xdr:to>
          <xdr:col>12</xdr:col>
          <xdr:colOff>12700</xdr:colOff>
          <xdr:row>14</xdr:row>
          <xdr:rowOff>12700</xdr:rowOff>
        </xdr:to>
        <xdr:sp macro="" textlink="">
          <xdr:nvSpPr>
            <xdr:cNvPr id="92178" name="Drop Down 18" hidden="1">
              <a:extLst>
                <a:ext uri="{63B3BB69-23CF-44E3-9099-C40C66FF867C}">
                  <a14:compatExt spid="_x0000_s92178"/>
                </a:ext>
                <a:ext uri="{FF2B5EF4-FFF2-40B4-BE49-F238E27FC236}">
                  <a16:creationId xmlns:a16="http://schemas.microsoft.com/office/drawing/2014/main" id="{00000000-0008-0000-0B00-00001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xdr:row>
          <xdr:rowOff>12700</xdr:rowOff>
        </xdr:from>
        <xdr:to>
          <xdr:col>12</xdr:col>
          <xdr:colOff>12700</xdr:colOff>
          <xdr:row>11</xdr:row>
          <xdr:rowOff>12700</xdr:rowOff>
        </xdr:to>
        <xdr:sp macro="" textlink="">
          <xdr:nvSpPr>
            <xdr:cNvPr id="92179" name="Drop Down 19" hidden="1">
              <a:extLst>
                <a:ext uri="{63B3BB69-23CF-44E3-9099-C40C66FF867C}">
                  <a14:compatExt spid="_x0000_s92179"/>
                </a:ext>
                <a:ext uri="{FF2B5EF4-FFF2-40B4-BE49-F238E27FC236}">
                  <a16:creationId xmlns:a16="http://schemas.microsoft.com/office/drawing/2014/main" id="{00000000-0008-0000-0B00-000013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15</xdr:row>
          <xdr:rowOff>12700</xdr:rowOff>
        </xdr:from>
        <xdr:to>
          <xdr:col>12</xdr:col>
          <xdr:colOff>12700</xdr:colOff>
          <xdr:row>16</xdr:row>
          <xdr:rowOff>0</xdr:rowOff>
        </xdr:to>
        <xdr:sp macro="" textlink="">
          <xdr:nvSpPr>
            <xdr:cNvPr id="92181" name="Drop Down 21" hidden="1">
              <a:extLst>
                <a:ext uri="{63B3BB69-23CF-44E3-9099-C40C66FF867C}">
                  <a14:compatExt spid="_x0000_s92181"/>
                </a:ext>
                <a:ext uri="{FF2B5EF4-FFF2-40B4-BE49-F238E27FC236}">
                  <a16:creationId xmlns:a16="http://schemas.microsoft.com/office/drawing/2014/main" id="{00000000-0008-0000-0B00-00001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16</xdr:row>
          <xdr:rowOff>0</xdr:rowOff>
        </xdr:from>
        <xdr:to>
          <xdr:col>12</xdr:col>
          <xdr:colOff>12700</xdr:colOff>
          <xdr:row>16</xdr:row>
          <xdr:rowOff>266700</xdr:rowOff>
        </xdr:to>
        <xdr:sp macro="" textlink="">
          <xdr:nvSpPr>
            <xdr:cNvPr id="92183" name="Drop Down 23" hidden="1">
              <a:extLst>
                <a:ext uri="{63B3BB69-23CF-44E3-9099-C40C66FF867C}">
                  <a14:compatExt spid="_x0000_s92183"/>
                </a:ext>
                <a:ext uri="{FF2B5EF4-FFF2-40B4-BE49-F238E27FC236}">
                  <a16:creationId xmlns:a16="http://schemas.microsoft.com/office/drawing/2014/main" id="{00000000-0008-0000-0B00-000017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xdr:row>
          <xdr:rowOff>914400</xdr:rowOff>
        </xdr:from>
        <xdr:to>
          <xdr:col>14</xdr:col>
          <xdr:colOff>12700</xdr:colOff>
          <xdr:row>3</xdr:row>
          <xdr:rowOff>635000</xdr:rowOff>
        </xdr:to>
        <xdr:sp macro="" textlink="">
          <xdr:nvSpPr>
            <xdr:cNvPr id="92187" name="Drop Down 27" hidden="1">
              <a:extLst>
                <a:ext uri="{63B3BB69-23CF-44E3-9099-C40C66FF867C}">
                  <a14:compatExt spid="_x0000_s92187"/>
                </a:ext>
                <a:ext uri="{FF2B5EF4-FFF2-40B4-BE49-F238E27FC236}">
                  <a16:creationId xmlns:a16="http://schemas.microsoft.com/office/drawing/2014/main" id="{00000000-0008-0000-0B00-00001B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xdr:row>
          <xdr:rowOff>12700</xdr:rowOff>
        </xdr:from>
        <xdr:to>
          <xdr:col>14</xdr:col>
          <xdr:colOff>12700</xdr:colOff>
          <xdr:row>5</xdr:row>
          <xdr:rowOff>0</xdr:rowOff>
        </xdr:to>
        <xdr:sp macro="" textlink="">
          <xdr:nvSpPr>
            <xdr:cNvPr id="92188" name="Drop Down 28" hidden="1">
              <a:extLst>
                <a:ext uri="{63B3BB69-23CF-44E3-9099-C40C66FF867C}">
                  <a14:compatExt spid="_x0000_s92188"/>
                </a:ext>
                <a:ext uri="{FF2B5EF4-FFF2-40B4-BE49-F238E27FC236}">
                  <a16:creationId xmlns:a16="http://schemas.microsoft.com/office/drawing/2014/main" id="{00000000-0008-0000-0B00-00001C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xdr:row>
          <xdr:rowOff>12700</xdr:rowOff>
        </xdr:from>
        <xdr:to>
          <xdr:col>14</xdr:col>
          <xdr:colOff>12700</xdr:colOff>
          <xdr:row>7</xdr:row>
          <xdr:rowOff>12700</xdr:rowOff>
        </xdr:to>
        <xdr:sp macro="" textlink="">
          <xdr:nvSpPr>
            <xdr:cNvPr id="92190" name="Drop Down 30" hidden="1">
              <a:extLst>
                <a:ext uri="{63B3BB69-23CF-44E3-9099-C40C66FF867C}">
                  <a14:compatExt spid="_x0000_s92190"/>
                </a:ext>
                <a:ext uri="{FF2B5EF4-FFF2-40B4-BE49-F238E27FC236}">
                  <a16:creationId xmlns:a16="http://schemas.microsoft.com/office/drawing/2014/main" id="{00000000-0008-0000-0B00-00001E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12700</xdr:rowOff>
        </xdr:from>
        <xdr:to>
          <xdr:col>14</xdr:col>
          <xdr:colOff>12700</xdr:colOff>
          <xdr:row>8</xdr:row>
          <xdr:rowOff>0</xdr:rowOff>
        </xdr:to>
        <xdr:sp macro="" textlink="">
          <xdr:nvSpPr>
            <xdr:cNvPr id="92191" name="Drop Down 31" hidden="1">
              <a:extLst>
                <a:ext uri="{63B3BB69-23CF-44E3-9099-C40C66FF867C}">
                  <a14:compatExt spid="_x0000_s92191"/>
                </a:ext>
                <a:ext uri="{FF2B5EF4-FFF2-40B4-BE49-F238E27FC236}">
                  <a16:creationId xmlns:a16="http://schemas.microsoft.com/office/drawing/2014/main" id="{00000000-0008-0000-0B00-00001F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xdr:row>
          <xdr:rowOff>584200</xdr:rowOff>
        </xdr:from>
        <xdr:to>
          <xdr:col>14</xdr:col>
          <xdr:colOff>12700</xdr:colOff>
          <xdr:row>8</xdr:row>
          <xdr:rowOff>533400</xdr:rowOff>
        </xdr:to>
        <xdr:sp macro="" textlink="">
          <xdr:nvSpPr>
            <xdr:cNvPr id="92192" name="Drop Down 32" hidden="1">
              <a:extLst>
                <a:ext uri="{63B3BB69-23CF-44E3-9099-C40C66FF867C}">
                  <a14:compatExt spid="_x0000_s92192"/>
                </a:ext>
                <a:ext uri="{FF2B5EF4-FFF2-40B4-BE49-F238E27FC236}">
                  <a16:creationId xmlns:a16="http://schemas.microsoft.com/office/drawing/2014/main" id="{00000000-0008-0000-0B00-000020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xdr:row>
          <xdr:rowOff>12700</xdr:rowOff>
        </xdr:from>
        <xdr:to>
          <xdr:col>14</xdr:col>
          <xdr:colOff>12700</xdr:colOff>
          <xdr:row>10</xdr:row>
          <xdr:rowOff>0</xdr:rowOff>
        </xdr:to>
        <xdr:sp macro="" textlink="">
          <xdr:nvSpPr>
            <xdr:cNvPr id="92193" name="Drop Down 33" hidden="1">
              <a:extLst>
                <a:ext uri="{63B3BB69-23CF-44E3-9099-C40C66FF867C}">
                  <a14:compatExt spid="_x0000_s92193"/>
                </a:ext>
                <a:ext uri="{FF2B5EF4-FFF2-40B4-BE49-F238E27FC236}">
                  <a16:creationId xmlns:a16="http://schemas.microsoft.com/office/drawing/2014/main" id="{00000000-0008-0000-0B00-00002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12700</xdr:rowOff>
        </xdr:from>
        <xdr:to>
          <xdr:col>14</xdr:col>
          <xdr:colOff>12700</xdr:colOff>
          <xdr:row>11</xdr:row>
          <xdr:rowOff>0</xdr:rowOff>
        </xdr:to>
        <xdr:sp macro="" textlink="">
          <xdr:nvSpPr>
            <xdr:cNvPr id="92194" name="Drop Down 34" hidden="1">
              <a:extLst>
                <a:ext uri="{63B3BB69-23CF-44E3-9099-C40C66FF867C}">
                  <a14:compatExt spid="_x0000_s92194"/>
                </a:ext>
                <a:ext uri="{FF2B5EF4-FFF2-40B4-BE49-F238E27FC236}">
                  <a16:creationId xmlns:a16="http://schemas.microsoft.com/office/drawing/2014/main" id="{00000000-0008-0000-0B00-00002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13</xdr:row>
          <xdr:rowOff>12700</xdr:rowOff>
        </xdr:from>
        <xdr:to>
          <xdr:col>14</xdr:col>
          <xdr:colOff>12700</xdr:colOff>
          <xdr:row>14</xdr:row>
          <xdr:rowOff>12700</xdr:rowOff>
        </xdr:to>
        <xdr:sp macro="" textlink="">
          <xdr:nvSpPr>
            <xdr:cNvPr id="92195" name="Drop Down 35" hidden="1">
              <a:extLst>
                <a:ext uri="{63B3BB69-23CF-44E3-9099-C40C66FF867C}">
                  <a14:compatExt spid="_x0000_s92195"/>
                </a:ext>
                <a:ext uri="{FF2B5EF4-FFF2-40B4-BE49-F238E27FC236}">
                  <a16:creationId xmlns:a16="http://schemas.microsoft.com/office/drawing/2014/main" id="{00000000-0008-0000-0B00-000023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12700</xdr:rowOff>
        </xdr:from>
        <xdr:to>
          <xdr:col>14</xdr:col>
          <xdr:colOff>12700</xdr:colOff>
          <xdr:row>15</xdr:row>
          <xdr:rowOff>12700</xdr:rowOff>
        </xdr:to>
        <xdr:sp macro="" textlink="">
          <xdr:nvSpPr>
            <xdr:cNvPr id="92196" name="Drop Down 36" hidden="1">
              <a:extLst>
                <a:ext uri="{63B3BB69-23CF-44E3-9099-C40C66FF867C}">
                  <a14:compatExt spid="_x0000_s92196"/>
                </a:ext>
                <a:ext uri="{FF2B5EF4-FFF2-40B4-BE49-F238E27FC236}">
                  <a16:creationId xmlns:a16="http://schemas.microsoft.com/office/drawing/2014/main" id="{00000000-0008-0000-0B00-000024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xdr:row>
          <xdr:rowOff>12700</xdr:rowOff>
        </xdr:from>
        <xdr:to>
          <xdr:col>14</xdr:col>
          <xdr:colOff>12700</xdr:colOff>
          <xdr:row>16</xdr:row>
          <xdr:rowOff>0</xdr:rowOff>
        </xdr:to>
        <xdr:sp macro="" textlink="">
          <xdr:nvSpPr>
            <xdr:cNvPr id="92197" name="Drop Down 37" hidden="1">
              <a:extLst>
                <a:ext uri="{63B3BB69-23CF-44E3-9099-C40C66FF867C}">
                  <a14:compatExt spid="_x0000_s92197"/>
                </a:ext>
                <a:ext uri="{FF2B5EF4-FFF2-40B4-BE49-F238E27FC236}">
                  <a16:creationId xmlns:a16="http://schemas.microsoft.com/office/drawing/2014/main" id="{00000000-0008-0000-0B00-00002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12700</xdr:colOff>
          <xdr:row>17</xdr:row>
          <xdr:rowOff>0</xdr:rowOff>
        </xdr:to>
        <xdr:sp macro="" textlink="">
          <xdr:nvSpPr>
            <xdr:cNvPr id="92199" name="Drop Down 39" hidden="1">
              <a:extLst>
                <a:ext uri="{63B3BB69-23CF-44E3-9099-C40C66FF867C}">
                  <a14:compatExt spid="_x0000_s92199"/>
                </a:ext>
                <a:ext uri="{FF2B5EF4-FFF2-40B4-BE49-F238E27FC236}">
                  <a16:creationId xmlns:a16="http://schemas.microsoft.com/office/drawing/2014/main" id="{00000000-0008-0000-0B00-000027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6</xdr:row>
          <xdr:rowOff>0</xdr:rowOff>
        </xdr:from>
        <xdr:to>
          <xdr:col>6</xdr:col>
          <xdr:colOff>0</xdr:colOff>
          <xdr:row>7</xdr:row>
          <xdr:rowOff>25400</xdr:rowOff>
        </xdr:to>
        <xdr:sp macro="" textlink="">
          <xdr:nvSpPr>
            <xdr:cNvPr id="92207" name="Drop Down 47" hidden="1">
              <a:extLst>
                <a:ext uri="{63B3BB69-23CF-44E3-9099-C40C66FF867C}">
                  <a14:compatExt spid="_x0000_s92207"/>
                </a:ext>
                <a:ext uri="{FF2B5EF4-FFF2-40B4-BE49-F238E27FC236}">
                  <a16:creationId xmlns:a16="http://schemas.microsoft.com/office/drawing/2014/main" id="{00000000-0008-0000-0B00-00002F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12</xdr:row>
          <xdr:rowOff>12700</xdr:rowOff>
        </xdr:from>
        <xdr:to>
          <xdr:col>12</xdr:col>
          <xdr:colOff>12700</xdr:colOff>
          <xdr:row>13</xdr:row>
          <xdr:rowOff>12700</xdr:rowOff>
        </xdr:to>
        <xdr:sp macro="" textlink="">
          <xdr:nvSpPr>
            <xdr:cNvPr id="92209" name="Drop Down 49" hidden="1">
              <a:extLst>
                <a:ext uri="{63B3BB69-23CF-44E3-9099-C40C66FF867C}">
                  <a14:compatExt spid="_x0000_s92209"/>
                </a:ext>
                <a:ext uri="{FF2B5EF4-FFF2-40B4-BE49-F238E27FC236}">
                  <a16:creationId xmlns:a16="http://schemas.microsoft.com/office/drawing/2014/main" id="{00000000-0008-0000-0B00-00003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11</xdr:row>
          <xdr:rowOff>12700</xdr:rowOff>
        </xdr:from>
        <xdr:to>
          <xdr:col>14</xdr:col>
          <xdr:colOff>12700</xdr:colOff>
          <xdr:row>11</xdr:row>
          <xdr:rowOff>584200</xdr:rowOff>
        </xdr:to>
        <xdr:sp macro="" textlink="">
          <xdr:nvSpPr>
            <xdr:cNvPr id="92210" name="Drop Down 50" hidden="1">
              <a:extLst>
                <a:ext uri="{63B3BB69-23CF-44E3-9099-C40C66FF867C}">
                  <a14:compatExt spid="_x0000_s92210"/>
                </a:ext>
                <a:ext uri="{FF2B5EF4-FFF2-40B4-BE49-F238E27FC236}">
                  <a16:creationId xmlns:a16="http://schemas.microsoft.com/office/drawing/2014/main" id="{00000000-0008-0000-0B00-00003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12700</xdr:rowOff>
        </xdr:from>
        <xdr:to>
          <xdr:col>14</xdr:col>
          <xdr:colOff>12700</xdr:colOff>
          <xdr:row>13</xdr:row>
          <xdr:rowOff>12700</xdr:rowOff>
        </xdr:to>
        <xdr:sp macro="" textlink="">
          <xdr:nvSpPr>
            <xdr:cNvPr id="92211" name="Drop Down 51" hidden="1">
              <a:extLst>
                <a:ext uri="{63B3BB69-23CF-44E3-9099-C40C66FF867C}">
                  <a14:compatExt spid="_x0000_s92211"/>
                </a:ext>
                <a:ext uri="{FF2B5EF4-FFF2-40B4-BE49-F238E27FC236}">
                  <a16:creationId xmlns:a16="http://schemas.microsoft.com/office/drawing/2014/main" id="{00000000-0008-0000-0B00-000033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12700</xdr:rowOff>
        </xdr:from>
        <xdr:to>
          <xdr:col>14</xdr:col>
          <xdr:colOff>12700</xdr:colOff>
          <xdr:row>11</xdr:row>
          <xdr:rowOff>12700</xdr:rowOff>
        </xdr:to>
        <xdr:sp macro="" textlink="">
          <xdr:nvSpPr>
            <xdr:cNvPr id="92217" name="Drop Down 57" hidden="1">
              <a:extLst>
                <a:ext uri="{63B3BB69-23CF-44E3-9099-C40C66FF867C}">
                  <a14:compatExt spid="_x0000_s92217"/>
                </a:ext>
                <a:ext uri="{FF2B5EF4-FFF2-40B4-BE49-F238E27FC236}">
                  <a16:creationId xmlns:a16="http://schemas.microsoft.com/office/drawing/2014/main" id="{00000000-0008-0000-0B00-000039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xdr:row>
          <xdr:rowOff>12700</xdr:rowOff>
        </xdr:from>
        <xdr:to>
          <xdr:col>14</xdr:col>
          <xdr:colOff>12700</xdr:colOff>
          <xdr:row>6</xdr:row>
          <xdr:rowOff>12700</xdr:rowOff>
        </xdr:to>
        <xdr:sp macro="" textlink="">
          <xdr:nvSpPr>
            <xdr:cNvPr id="92225" name="Drop Down 65" hidden="1">
              <a:extLst>
                <a:ext uri="{63B3BB69-23CF-44E3-9099-C40C66FF867C}">
                  <a14:compatExt spid="_x0000_s92225"/>
                </a:ext>
                <a:ext uri="{FF2B5EF4-FFF2-40B4-BE49-F238E27FC236}">
                  <a16:creationId xmlns:a16="http://schemas.microsoft.com/office/drawing/2014/main" id="{00000000-0008-0000-0B00-00004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6</xdr:row>
          <xdr:rowOff>0</xdr:rowOff>
        </xdr:from>
        <xdr:to>
          <xdr:col>12</xdr:col>
          <xdr:colOff>0</xdr:colOff>
          <xdr:row>7</xdr:row>
          <xdr:rowOff>12700</xdr:rowOff>
        </xdr:to>
        <xdr:sp macro="" textlink="">
          <xdr:nvSpPr>
            <xdr:cNvPr id="92228" name="Drop Down 68" hidden="1">
              <a:extLst>
                <a:ext uri="{63B3BB69-23CF-44E3-9099-C40C66FF867C}">
                  <a14:compatExt spid="_x0000_s92228"/>
                </a:ext>
                <a:ext uri="{FF2B5EF4-FFF2-40B4-BE49-F238E27FC236}">
                  <a16:creationId xmlns:a16="http://schemas.microsoft.com/office/drawing/2014/main" id="{00000000-0008-0000-0B00-000044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11</xdr:row>
          <xdr:rowOff>12700</xdr:rowOff>
        </xdr:from>
        <xdr:to>
          <xdr:col>12</xdr:col>
          <xdr:colOff>12700</xdr:colOff>
          <xdr:row>11</xdr:row>
          <xdr:rowOff>609600</xdr:rowOff>
        </xdr:to>
        <xdr:sp macro="" textlink="">
          <xdr:nvSpPr>
            <xdr:cNvPr id="92229" name="Drop Down 69" hidden="1">
              <a:extLst>
                <a:ext uri="{63B3BB69-23CF-44E3-9099-C40C66FF867C}">
                  <a14:compatExt spid="_x0000_s92229"/>
                </a:ext>
                <a:ext uri="{FF2B5EF4-FFF2-40B4-BE49-F238E27FC236}">
                  <a16:creationId xmlns:a16="http://schemas.microsoft.com/office/drawing/2014/main" id="{00000000-0008-0000-0B00-00004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14</xdr:row>
          <xdr:rowOff>12700</xdr:rowOff>
        </xdr:from>
        <xdr:to>
          <xdr:col>12</xdr:col>
          <xdr:colOff>12700</xdr:colOff>
          <xdr:row>15</xdr:row>
          <xdr:rowOff>12700</xdr:rowOff>
        </xdr:to>
        <xdr:sp macro="" textlink="">
          <xdr:nvSpPr>
            <xdr:cNvPr id="92230" name="Drop Down 70" hidden="1">
              <a:extLst>
                <a:ext uri="{63B3BB69-23CF-44E3-9099-C40C66FF867C}">
                  <a14:compatExt spid="_x0000_s92230"/>
                </a:ext>
                <a:ext uri="{FF2B5EF4-FFF2-40B4-BE49-F238E27FC236}">
                  <a16:creationId xmlns:a16="http://schemas.microsoft.com/office/drawing/2014/main" id="{00000000-0008-0000-0B00-000046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21</xdr:row>
          <xdr:rowOff>508000</xdr:rowOff>
        </xdr:from>
        <xdr:to>
          <xdr:col>12</xdr:col>
          <xdr:colOff>0</xdr:colOff>
          <xdr:row>22</xdr:row>
          <xdr:rowOff>254000</xdr:rowOff>
        </xdr:to>
        <xdr:sp macro="" textlink="">
          <xdr:nvSpPr>
            <xdr:cNvPr id="92252" name="Drop Down 92" hidden="1">
              <a:extLst>
                <a:ext uri="{63B3BB69-23CF-44E3-9099-C40C66FF867C}">
                  <a14:compatExt spid="_x0000_s92252"/>
                </a:ext>
                <a:ext uri="{FF2B5EF4-FFF2-40B4-BE49-F238E27FC236}">
                  <a16:creationId xmlns:a16="http://schemas.microsoft.com/office/drawing/2014/main" id="{00000000-0008-0000-0B00-00005C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22</xdr:row>
          <xdr:rowOff>266700</xdr:rowOff>
        </xdr:from>
        <xdr:to>
          <xdr:col>12</xdr:col>
          <xdr:colOff>0</xdr:colOff>
          <xdr:row>24</xdr:row>
          <xdr:rowOff>0</xdr:rowOff>
        </xdr:to>
        <xdr:sp macro="" textlink="">
          <xdr:nvSpPr>
            <xdr:cNvPr id="92272" name="Drop Down 112" hidden="1">
              <a:extLst>
                <a:ext uri="{63B3BB69-23CF-44E3-9099-C40C66FF867C}">
                  <a14:compatExt spid="_x0000_s92272"/>
                </a:ext>
                <a:ext uri="{FF2B5EF4-FFF2-40B4-BE49-F238E27FC236}">
                  <a16:creationId xmlns:a16="http://schemas.microsoft.com/office/drawing/2014/main" id="{00000000-0008-0000-0B00-000070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24</xdr:row>
          <xdr:rowOff>0</xdr:rowOff>
        </xdr:from>
        <xdr:to>
          <xdr:col>12</xdr:col>
          <xdr:colOff>0</xdr:colOff>
          <xdr:row>25</xdr:row>
          <xdr:rowOff>0</xdr:rowOff>
        </xdr:to>
        <xdr:sp macro="" textlink="">
          <xdr:nvSpPr>
            <xdr:cNvPr id="92273" name="Drop Down 113" hidden="1">
              <a:extLst>
                <a:ext uri="{63B3BB69-23CF-44E3-9099-C40C66FF867C}">
                  <a14:compatExt spid="_x0000_s92273"/>
                </a:ext>
                <a:ext uri="{FF2B5EF4-FFF2-40B4-BE49-F238E27FC236}">
                  <a16:creationId xmlns:a16="http://schemas.microsoft.com/office/drawing/2014/main" id="{00000000-0008-0000-0B00-00007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25</xdr:row>
          <xdr:rowOff>0</xdr:rowOff>
        </xdr:from>
        <xdr:to>
          <xdr:col>12</xdr:col>
          <xdr:colOff>0</xdr:colOff>
          <xdr:row>26</xdr:row>
          <xdr:rowOff>12700</xdr:rowOff>
        </xdr:to>
        <xdr:sp macro="" textlink="">
          <xdr:nvSpPr>
            <xdr:cNvPr id="92274" name="Drop Down 114" hidden="1">
              <a:extLst>
                <a:ext uri="{63B3BB69-23CF-44E3-9099-C40C66FF867C}">
                  <a14:compatExt spid="_x0000_s92274"/>
                </a:ext>
                <a:ext uri="{FF2B5EF4-FFF2-40B4-BE49-F238E27FC236}">
                  <a16:creationId xmlns:a16="http://schemas.microsoft.com/office/drawing/2014/main" id="{00000000-0008-0000-0B00-00007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26</xdr:row>
          <xdr:rowOff>0</xdr:rowOff>
        </xdr:from>
        <xdr:to>
          <xdr:col>12</xdr:col>
          <xdr:colOff>0</xdr:colOff>
          <xdr:row>27</xdr:row>
          <xdr:rowOff>12700</xdr:rowOff>
        </xdr:to>
        <xdr:sp macro="" textlink="">
          <xdr:nvSpPr>
            <xdr:cNvPr id="92275" name="Drop Down 115" hidden="1">
              <a:extLst>
                <a:ext uri="{63B3BB69-23CF-44E3-9099-C40C66FF867C}">
                  <a14:compatExt spid="_x0000_s92275"/>
                </a:ext>
                <a:ext uri="{FF2B5EF4-FFF2-40B4-BE49-F238E27FC236}">
                  <a16:creationId xmlns:a16="http://schemas.microsoft.com/office/drawing/2014/main" id="{00000000-0008-0000-0B00-000073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0</xdr:rowOff>
        </xdr:from>
        <xdr:to>
          <xdr:col>12</xdr:col>
          <xdr:colOff>0</xdr:colOff>
          <xdr:row>28</xdr:row>
          <xdr:rowOff>0</xdr:rowOff>
        </xdr:to>
        <xdr:sp macro="" textlink="">
          <xdr:nvSpPr>
            <xdr:cNvPr id="92276" name="Drop Down 116" hidden="1">
              <a:extLst>
                <a:ext uri="{63B3BB69-23CF-44E3-9099-C40C66FF867C}">
                  <a14:compatExt spid="_x0000_s92276"/>
                </a:ext>
                <a:ext uri="{FF2B5EF4-FFF2-40B4-BE49-F238E27FC236}">
                  <a16:creationId xmlns:a16="http://schemas.microsoft.com/office/drawing/2014/main" id="{00000000-0008-0000-0B00-000074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27</xdr:row>
          <xdr:rowOff>266700</xdr:rowOff>
        </xdr:from>
        <xdr:to>
          <xdr:col>12</xdr:col>
          <xdr:colOff>0</xdr:colOff>
          <xdr:row>28</xdr:row>
          <xdr:rowOff>254000</xdr:rowOff>
        </xdr:to>
        <xdr:sp macro="" textlink="">
          <xdr:nvSpPr>
            <xdr:cNvPr id="92277" name="Drop Down 117" hidden="1">
              <a:extLst>
                <a:ext uri="{63B3BB69-23CF-44E3-9099-C40C66FF867C}">
                  <a14:compatExt spid="_x0000_s92277"/>
                </a:ext>
                <a:ext uri="{FF2B5EF4-FFF2-40B4-BE49-F238E27FC236}">
                  <a16:creationId xmlns:a16="http://schemas.microsoft.com/office/drawing/2014/main" id="{00000000-0008-0000-0B00-000075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28</xdr:row>
          <xdr:rowOff>266700</xdr:rowOff>
        </xdr:from>
        <xdr:to>
          <xdr:col>12</xdr:col>
          <xdr:colOff>0</xdr:colOff>
          <xdr:row>29</xdr:row>
          <xdr:rowOff>254000</xdr:rowOff>
        </xdr:to>
        <xdr:sp macro="" textlink="">
          <xdr:nvSpPr>
            <xdr:cNvPr id="92278" name="Drop Down 118" hidden="1">
              <a:extLst>
                <a:ext uri="{63B3BB69-23CF-44E3-9099-C40C66FF867C}">
                  <a14:compatExt spid="_x0000_s92278"/>
                </a:ext>
                <a:ext uri="{FF2B5EF4-FFF2-40B4-BE49-F238E27FC236}">
                  <a16:creationId xmlns:a16="http://schemas.microsoft.com/office/drawing/2014/main" id="{00000000-0008-0000-0B00-000076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30</xdr:row>
          <xdr:rowOff>0</xdr:rowOff>
        </xdr:from>
        <xdr:to>
          <xdr:col>12</xdr:col>
          <xdr:colOff>0</xdr:colOff>
          <xdr:row>31</xdr:row>
          <xdr:rowOff>12700</xdr:rowOff>
        </xdr:to>
        <xdr:sp macro="" textlink="">
          <xdr:nvSpPr>
            <xdr:cNvPr id="92279" name="Drop Down 119" hidden="1">
              <a:extLst>
                <a:ext uri="{63B3BB69-23CF-44E3-9099-C40C66FF867C}">
                  <a14:compatExt spid="_x0000_s92279"/>
                </a:ext>
                <a:ext uri="{FF2B5EF4-FFF2-40B4-BE49-F238E27FC236}">
                  <a16:creationId xmlns:a16="http://schemas.microsoft.com/office/drawing/2014/main" id="{00000000-0008-0000-0B00-000077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31</xdr:row>
          <xdr:rowOff>0</xdr:rowOff>
        </xdr:from>
        <xdr:to>
          <xdr:col>12</xdr:col>
          <xdr:colOff>0</xdr:colOff>
          <xdr:row>32</xdr:row>
          <xdr:rowOff>0</xdr:rowOff>
        </xdr:to>
        <xdr:sp macro="" textlink="">
          <xdr:nvSpPr>
            <xdr:cNvPr id="92280" name="Drop Down 120" hidden="1">
              <a:extLst>
                <a:ext uri="{63B3BB69-23CF-44E3-9099-C40C66FF867C}">
                  <a14:compatExt spid="_x0000_s92280"/>
                </a:ext>
                <a:ext uri="{FF2B5EF4-FFF2-40B4-BE49-F238E27FC236}">
                  <a16:creationId xmlns:a16="http://schemas.microsoft.com/office/drawing/2014/main" id="{00000000-0008-0000-0B00-000078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0</xdr:rowOff>
        </xdr:from>
        <xdr:to>
          <xdr:col>12</xdr:col>
          <xdr:colOff>0</xdr:colOff>
          <xdr:row>33</xdr:row>
          <xdr:rowOff>12700</xdr:rowOff>
        </xdr:to>
        <xdr:sp macro="" textlink="">
          <xdr:nvSpPr>
            <xdr:cNvPr id="92281" name="Drop Down 121" hidden="1">
              <a:extLst>
                <a:ext uri="{63B3BB69-23CF-44E3-9099-C40C66FF867C}">
                  <a14:compatExt spid="_x0000_s92281"/>
                </a:ext>
                <a:ext uri="{FF2B5EF4-FFF2-40B4-BE49-F238E27FC236}">
                  <a16:creationId xmlns:a16="http://schemas.microsoft.com/office/drawing/2014/main" id="{00000000-0008-0000-0B00-000079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32</xdr:row>
          <xdr:rowOff>266700</xdr:rowOff>
        </xdr:from>
        <xdr:to>
          <xdr:col>12</xdr:col>
          <xdr:colOff>0</xdr:colOff>
          <xdr:row>33</xdr:row>
          <xdr:rowOff>254000</xdr:rowOff>
        </xdr:to>
        <xdr:sp macro="" textlink="">
          <xdr:nvSpPr>
            <xdr:cNvPr id="92282" name="Drop Down 122" hidden="1">
              <a:extLst>
                <a:ext uri="{63B3BB69-23CF-44E3-9099-C40C66FF867C}">
                  <a14:compatExt spid="_x0000_s92282"/>
                </a:ext>
                <a:ext uri="{FF2B5EF4-FFF2-40B4-BE49-F238E27FC236}">
                  <a16:creationId xmlns:a16="http://schemas.microsoft.com/office/drawing/2014/main" id="{00000000-0008-0000-0B00-00007A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33</xdr:row>
          <xdr:rowOff>266700</xdr:rowOff>
        </xdr:from>
        <xdr:to>
          <xdr:col>12</xdr:col>
          <xdr:colOff>0</xdr:colOff>
          <xdr:row>34</xdr:row>
          <xdr:rowOff>254000</xdr:rowOff>
        </xdr:to>
        <xdr:sp macro="" textlink="">
          <xdr:nvSpPr>
            <xdr:cNvPr id="92283" name="Drop Down 123" hidden="1">
              <a:extLst>
                <a:ext uri="{63B3BB69-23CF-44E3-9099-C40C66FF867C}">
                  <a14:compatExt spid="_x0000_s92283"/>
                </a:ext>
                <a:ext uri="{FF2B5EF4-FFF2-40B4-BE49-F238E27FC236}">
                  <a16:creationId xmlns:a16="http://schemas.microsoft.com/office/drawing/2014/main" id="{00000000-0008-0000-0B00-00007B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35</xdr:row>
          <xdr:rowOff>0</xdr:rowOff>
        </xdr:from>
        <xdr:to>
          <xdr:col>12</xdr:col>
          <xdr:colOff>0</xdr:colOff>
          <xdr:row>36</xdr:row>
          <xdr:rowOff>12700</xdr:rowOff>
        </xdr:to>
        <xdr:sp macro="" textlink="">
          <xdr:nvSpPr>
            <xdr:cNvPr id="92284" name="Drop Down 124" hidden="1">
              <a:extLst>
                <a:ext uri="{63B3BB69-23CF-44E3-9099-C40C66FF867C}">
                  <a14:compatExt spid="_x0000_s92284"/>
                </a:ext>
                <a:ext uri="{FF2B5EF4-FFF2-40B4-BE49-F238E27FC236}">
                  <a16:creationId xmlns:a16="http://schemas.microsoft.com/office/drawing/2014/main" id="{00000000-0008-0000-0B00-00007C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36</xdr:row>
          <xdr:rowOff>0</xdr:rowOff>
        </xdr:from>
        <xdr:to>
          <xdr:col>12</xdr:col>
          <xdr:colOff>0</xdr:colOff>
          <xdr:row>37</xdr:row>
          <xdr:rowOff>0</xdr:rowOff>
        </xdr:to>
        <xdr:sp macro="" textlink="">
          <xdr:nvSpPr>
            <xdr:cNvPr id="92285" name="Drop Down 125" hidden="1">
              <a:extLst>
                <a:ext uri="{63B3BB69-23CF-44E3-9099-C40C66FF867C}">
                  <a14:compatExt spid="_x0000_s92285"/>
                </a:ext>
                <a:ext uri="{FF2B5EF4-FFF2-40B4-BE49-F238E27FC236}">
                  <a16:creationId xmlns:a16="http://schemas.microsoft.com/office/drawing/2014/main" id="{00000000-0008-0000-0B00-00007D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0</xdr:rowOff>
        </xdr:from>
        <xdr:to>
          <xdr:col>12</xdr:col>
          <xdr:colOff>0</xdr:colOff>
          <xdr:row>38</xdr:row>
          <xdr:rowOff>12700</xdr:rowOff>
        </xdr:to>
        <xdr:sp macro="" textlink="">
          <xdr:nvSpPr>
            <xdr:cNvPr id="92286" name="Drop Down 126" hidden="1">
              <a:extLst>
                <a:ext uri="{63B3BB69-23CF-44E3-9099-C40C66FF867C}">
                  <a14:compatExt spid="_x0000_s92286"/>
                </a:ext>
                <a:ext uri="{FF2B5EF4-FFF2-40B4-BE49-F238E27FC236}">
                  <a16:creationId xmlns:a16="http://schemas.microsoft.com/office/drawing/2014/main" id="{00000000-0008-0000-0B00-00007E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37</xdr:row>
          <xdr:rowOff>266700</xdr:rowOff>
        </xdr:from>
        <xdr:to>
          <xdr:col>12</xdr:col>
          <xdr:colOff>0</xdr:colOff>
          <xdr:row>39</xdr:row>
          <xdr:rowOff>12700</xdr:rowOff>
        </xdr:to>
        <xdr:sp macro="" textlink="">
          <xdr:nvSpPr>
            <xdr:cNvPr id="92287" name="Drop Down 127" hidden="1">
              <a:extLst>
                <a:ext uri="{63B3BB69-23CF-44E3-9099-C40C66FF867C}">
                  <a14:compatExt spid="_x0000_s92287"/>
                </a:ext>
                <a:ext uri="{FF2B5EF4-FFF2-40B4-BE49-F238E27FC236}">
                  <a16:creationId xmlns:a16="http://schemas.microsoft.com/office/drawing/2014/main" id="{00000000-0008-0000-0B00-00007F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38</xdr:row>
          <xdr:rowOff>266700</xdr:rowOff>
        </xdr:from>
        <xdr:to>
          <xdr:col>12</xdr:col>
          <xdr:colOff>0</xdr:colOff>
          <xdr:row>39</xdr:row>
          <xdr:rowOff>241300</xdr:rowOff>
        </xdr:to>
        <xdr:sp macro="" textlink="">
          <xdr:nvSpPr>
            <xdr:cNvPr id="92288" name="Drop Down 128" hidden="1">
              <a:extLst>
                <a:ext uri="{63B3BB69-23CF-44E3-9099-C40C66FF867C}">
                  <a14:compatExt spid="_x0000_s92288"/>
                </a:ext>
                <a:ext uri="{FF2B5EF4-FFF2-40B4-BE49-F238E27FC236}">
                  <a16:creationId xmlns:a16="http://schemas.microsoft.com/office/drawing/2014/main" id="{00000000-0008-0000-0B00-000080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0</xdr:rowOff>
        </xdr:from>
        <xdr:to>
          <xdr:col>12</xdr:col>
          <xdr:colOff>0</xdr:colOff>
          <xdr:row>41</xdr:row>
          <xdr:rowOff>12700</xdr:rowOff>
        </xdr:to>
        <xdr:sp macro="" textlink="">
          <xdr:nvSpPr>
            <xdr:cNvPr id="92289" name="Drop Down 129" hidden="1">
              <a:extLst>
                <a:ext uri="{63B3BB69-23CF-44E3-9099-C40C66FF867C}">
                  <a14:compatExt spid="_x0000_s92289"/>
                </a:ext>
                <a:ext uri="{FF2B5EF4-FFF2-40B4-BE49-F238E27FC236}">
                  <a16:creationId xmlns:a16="http://schemas.microsoft.com/office/drawing/2014/main" id="{00000000-0008-0000-0B00-000081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40</xdr:row>
          <xdr:rowOff>266700</xdr:rowOff>
        </xdr:from>
        <xdr:to>
          <xdr:col>12</xdr:col>
          <xdr:colOff>0</xdr:colOff>
          <xdr:row>42</xdr:row>
          <xdr:rowOff>12700</xdr:rowOff>
        </xdr:to>
        <xdr:sp macro="" textlink="">
          <xdr:nvSpPr>
            <xdr:cNvPr id="92290" name="Drop Down 130" hidden="1">
              <a:extLst>
                <a:ext uri="{63B3BB69-23CF-44E3-9099-C40C66FF867C}">
                  <a14:compatExt spid="_x0000_s92290"/>
                </a:ext>
                <a:ext uri="{FF2B5EF4-FFF2-40B4-BE49-F238E27FC236}">
                  <a16:creationId xmlns:a16="http://schemas.microsoft.com/office/drawing/2014/main" id="{00000000-0008-0000-0B00-0000826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6.xml"/><Relationship Id="rId3" Type="http://schemas.openxmlformats.org/officeDocument/2006/relationships/vmlDrawing" Target="../drawings/vmlDrawing8.vml"/><Relationship Id="rId7" Type="http://schemas.openxmlformats.org/officeDocument/2006/relationships/ctrlProp" Target="../ctrlProps/ctrlProp255.xml"/><Relationship Id="rId12" Type="http://schemas.openxmlformats.org/officeDocument/2006/relationships/comments" Target="../comments8.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254.xml"/><Relationship Id="rId11" Type="http://schemas.openxmlformats.org/officeDocument/2006/relationships/ctrlProp" Target="../ctrlProps/ctrlProp259.xml"/><Relationship Id="rId5" Type="http://schemas.openxmlformats.org/officeDocument/2006/relationships/ctrlProp" Target="../ctrlProps/ctrlProp253.xml"/><Relationship Id="rId10" Type="http://schemas.openxmlformats.org/officeDocument/2006/relationships/ctrlProp" Target="../ctrlProps/ctrlProp258.xml"/><Relationship Id="rId4" Type="http://schemas.openxmlformats.org/officeDocument/2006/relationships/ctrlProp" Target="../ctrlProps/ctrlProp252.xml"/><Relationship Id="rId9" Type="http://schemas.openxmlformats.org/officeDocument/2006/relationships/ctrlProp" Target="../ctrlProps/ctrlProp257.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64.xml"/><Relationship Id="rId3" Type="http://schemas.openxmlformats.org/officeDocument/2006/relationships/vmlDrawing" Target="../drawings/vmlDrawing9.vml"/><Relationship Id="rId7" Type="http://schemas.openxmlformats.org/officeDocument/2006/relationships/ctrlProp" Target="../ctrlProps/ctrlProp263.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262.xml"/><Relationship Id="rId5" Type="http://schemas.openxmlformats.org/officeDocument/2006/relationships/ctrlProp" Target="../ctrlProps/ctrlProp261.xml"/><Relationship Id="rId10" Type="http://schemas.openxmlformats.org/officeDocument/2006/relationships/comments" Target="../comments9.xml"/><Relationship Id="rId4" Type="http://schemas.openxmlformats.org/officeDocument/2006/relationships/ctrlProp" Target="../ctrlProps/ctrlProp260.xml"/><Relationship Id="rId9" Type="http://schemas.openxmlformats.org/officeDocument/2006/relationships/ctrlProp" Target="../ctrlProps/ctrlProp265.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275.xml"/><Relationship Id="rId18" Type="http://schemas.openxmlformats.org/officeDocument/2006/relationships/ctrlProp" Target="../ctrlProps/ctrlProp280.xml"/><Relationship Id="rId26" Type="http://schemas.openxmlformats.org/officeDocument/2006/relationships/ctrlProp" Target="../ctrlProps/ctrlProp288.xml"/><Relationship Id="rId39" Type="http://schemas.openxmlformats.org/officeDocument/2006/relationships/ctrlProp" Target="../ctrlProps/ctrlProp301.xml"/><Relationship Id="rId21" Type="http://schemas.openxmlformats.org/officeDocument/2006/relationships/ctrlProp" Target="../ctrlProps/ctrlProp283.xml"/><Relationship Id="rId34" Type="http://schemas.openxmlformats.org/officeDocument/2006/relationships/ctrlProp" Target="../ctrlProps/ctrlProp296.xml"/><Relationship Id="rId42" Type="http://schemas.openxmlformats.org/officeDocument/2006/relationships/ctrlProp" Target="../ctrlProps/ctrlProp304.xml"/><Relationship Id="rId47" Type="http://schemas.openxmlformats.org/officeDocument/2006/relationships/ctrlProp" Target="../ctrlProps/ctrlProp309.xml"/><Relationship Id="rId50" Type="http://schemas.openxmlformats.org/officeDocument/2006/relationships/ctrlProp" Target="../ctrlProps/ctrlProp312.xml"/><Relationship Id="rId7" Type="http://schemas.openxmlformats.org/officeDocument/2006/relationships/ctrlProp" Target="../ctrlProps/ctrlProp269.xml"/><Relationship Id="rId2" Type="http://schemas.openxmlformats.org/officeDocument/2006/relationships/drawing" Target="../drawings/drawing9.xml"/><Relationship Id="rId16" Type="http://schemas.openxmlformats.org/officeDocument/2006/relationships/ctrlProp" Target="../ctrlProps/ctrlProp278.xml"/><Relationship Id="rId29" Type="http://schemas.openxmlformats.org/officeDocument/2006/relationships/ctrlProp" Target="../ctrlProps/ctrlProp291.xml"/><Relationship Id="rId11" Type="http://schemas.openxmlformats.org/officeDocument/2006/relationships/ctrlProp" Target="../ctrlProps/ctrlProp273.xml"/><Relationship Id="rId24" Type="http://schemas.openxmlformats.org/officeDocument/2006/relationships/ctrlProp" Target="../ctrlProps/ctrlProp286.xml"/><Relationship Id="rId32" Type="http://schemas.openxmlformats.org/officeDocument/2006/relationships/ctrlProp" Target="../ctrlProps/ctrlProp294.xml"/><Relationship Id="rId37" Type="http://schemas.openxmlformats.org/officeDocument/2006/relationships/ctrlProp" Target="../ctrlProps/ctrlProp299.xml"/><Relationship Id="rId40" Type="http://schemas.openxmlformats.org/officeDocument/2006/relationships/ctrlProp" Target="../ctrlProps/ctrlProp302.xml"/><Relationship Id="rId45" Type="http://schemas.openxmlformats.org/officeDocument/2006/relationships/ctrlProp" Target="../ctrlProps/ctrlProp307.xml"/><Relationship Id="rId53" Type="http://schemas.openxmlformats.org/officeDocument/2006/relationships/ctrlProp" Target="../ctrlProps/ctrlProp315.xml"/><Relationship Id="rId5" Type="http://schemas.openxmlformats.org/officeDocument/2006/relationships/ctrlProp" Target="../ctrlProps/ctrlProp267.xml"/><Relationship Id="rId10" Type="http://schemas.openxmlformats.org/officeDocument/2006/relationships/ctrlProp" Target="../ctrlProps/ctrlProp272.xml"/><Relationship Id="rId19" Type="http://schemas.openxmlformats.org/officeDocument/2006/relationships/ctrlProp" Target="../ctrlProps/ctrlProp281.xml"/><Relationship Id="rId31" Type="http://schemas.openxmlformats.org/officeDocument/2006/relationships/ctrlProp" Target="../ctrlProps/ctrlProp293.xml"/><Relationship Id="rId44" Type="http://schemas.openxmlformats.org/officeDocument/2006/relationships/ctrlProp" Target="../ctrlProps/ctrlProp306.xml"/><Relationship Id="rId52" Type="http://schemas.openxmlformats.org/officeDocument/2006/relationships/ctrlProp" Target="../ctrlProps/ctrlProp314.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 Id="rId22" Type="http://schemas.openxmlformats.org/officeDocument/2006/relationships/ctrlProp" Target="../ctrlProps/ctrlProp284.xml"/><Relationship Id="rId27" Type="http://schemas.openxmlformats.org/officeDocument/2006/relationships/ctrlProp" Target="../ctrlProps/ctrlProp289.xml"/><Relationship Id="rId30" Type="http://schemas.openxmlformats.org/officeDocument/2006/relationships/ctrlProp" Target="../ctrlProps/ctrlProp292.xml"/><Relationship Id="rId35" Type="http://schemas.openxmlformats.org/officeDocument/2006/relationships/ctrlProp" Target="../ctrlProps/ctrlProp297.xml"/><Relationship Id="rId43" Type="http://schemas.openxmlformats.org/officeDocument/2006/relationships/ctrlProp" Target="../ctrlProps/ctrlProp305.xml"/><Relationship Id="rId48" Type="http://schemas.openxmlformats.org/officeDocument/2006/relationships/ctrlProp" Target="../ctrlProps/ctrlProp310.xml"/><Relationship Id="rId8" Type="http://schemas.openxmlformats.org/officeDocument/2006/relationships/ctrlProp" Target="../ctrlProps/ctrlProp270.xml"/><Relationship Id="rId51" Type="http://schemas.openxmlformats.org/officeDocument/2006/relationships/ctrlProp" Target="../ctrlProps/ctrlProp313.xml"/><Relationship Id="rId3" Type="http://schemas.openxmlformats.org/officeDocument/2006/relationships/vmlDrawing" Target="../drawings/vmlDrawing10.vml"/><Relationship Id="rId12" Type="http://schemas.openxmlformats.org/officeDocument/2006/relationships/ctrlProp" Target="../ctrlProps/ctrlProp274.xml"/><Relationship Id="rId17" Type="http://schemas.openxmlformats.org/officeDocument/2006/relationships/ctrlProp" Target="../ctrlProps/ctrlProp279.xml"/><Relationship Id="rId25" Type="http://schemas.openxmlformats.org/officeDocument/2006/relationships/ctrlProp" Target="../ctrlProps/ctrlProp287.xml"/><Relationship Id="rId33" Type="http://schemas.openxmlformats.org/officeDocument/2006/relationships/ctrlProp" Target="../ctrlProps/ctrlProp295.xml"/><Relationship Id="rId38" Type="http://schemas.openxmlformats.org/officeDocument/2006/relationships/ctrlProp" Target="../ctrlProps/ctrlProp300.xml"/><Relationship Id="rId46" Type="http://schemas.openxmlformats.org/officeDocument/2006/relationships/ctrlProp" Target="../ctrlProps/ctrlProp308.xml"/><Relationship Id="rId20" Type="http://schemas.openxmlformats.org/officeDocument/2006/relationships/ctrlProp" Target="../ctrlProps/ctrlProp282.xml"/><Relationship Id="rId41" Type="http://schemas.openxmlformats.org/officeDocument/2006/relationships/ctrlProp" Target="../ctrlProps/ctrlProp303.xml"/><Relationship Id="rId54" Type="http://schemas.openxmlformats.org/officeDocument/2006/relationships/comments" Target="../comments10.xml"/><Relationship Id="rId1" Type="http://schemas.openxmlformats.org/officeDocument/2006/relationships/printerSettings" Target="../printerSettings/printerSettings12.bin"/><Relationship Id="rId6" Type="http://schemas.openxmlformats.org/officeDocument/2006/relationships/ctrlProp" Target="../ctrlProps/ctrlProp268.xml"/><Relationship Id="rId15" Type="http://schemas.openxmlformats.org/officeDocument/2006/relationships/ctrlProp" Target="../ctrlProps/ctrlProp277.xml"/><Relationship Id="rId23" Type="http://schemas.openxmlformats.org/officeDocument/2006/relationships/ctrlProp" Target="../ctrlProps/ctrlProp285.xml"/><Relationship Id="rId28" Type="http://schemas.openxmlformats.org/officeDocument/2006/relationships/ctrlProp" Target="../ctrlProps/ctrlProp290.xml"/><Relationship Id="rId36" Type="http://schemas.openxmlformats.org/officeDocument/2006/relationships/ctrlProp" Target="../ctrlProps/ctrlProp298.xml"/><Relationship Id="rId49" Type="http://schemas.openxmlformats.org/officeDocument/2006/relationships/ctrlProp" Target="../ctrlProps/ctrlProp3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omments" Target="../comments11.xml"/><Relationship Id="rId5" Type="http://schemas.openxmlformats.org/officeDocument/2006/relationships/ctrlProp" Target="../ctrlProps/ctrlProp317.xml"/><Relationship Id="rId4" Type="http://schemas.openxmlformats.org/officeDocument/2006/relationships/ctrlProp" Target="../ctrlProps/ctrlProp316.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22.xml"/><Relationship Id="rId13" Type="http://schemas.openxmlformats.org/officeDocument/2006/relationships/ctrlProp" Target="../ctrlProps/ctrlProp327.xml"/><Relationship Id="rId18" Type="http://schemas.openxmlformats.org/officeDocument/2006/relationships/ctrlProp" Target="../ctrlProps/ctrlProp332.xml"/><Relationship Id="rId3" Type="http://schemas.openxmlformats.org/officeDocument/2006/relationships/vmlDrawing" Target="../drawings/vmlDrawing12.vml"/><Relationship Id="rId21" Type="http://schemas.openxmlformats.org/officeDocument/2006/relationships/ctrlProp" Target="../ctrlProps/ctrlProp335.xml"/><Relationship Id="rId7" Type="http://schemas.openxmlformats.org/officeDocument/2006/relationships/ctrlProp" Target="../ctrlProps/ctrlProp321.xml"/><Relationship Id="rId12" Type="http://schemas.openxmlformats.org/officeDocument/2006/relationships/ctrlProp" Target="../ctrlProps/ctrlProp326.xml"/><Relationship Id="rId17" Type="http://schemas.openxmlformats.org/officeDocument/2006/relationships/ctrlProp" Target="../ctrlProps/ctrlProp331.xml"/><Relationship Id="rId2" Type="http://schemas.openxmlformats.org/officeDocument/2006/relationships/drawing" Target="../drawings/drawing11.xml"/><Relationship Id="rId16" Type="http://schemas.openxmlformats.org/officeDocument/2006/relationships/ctrlProp" Target="../ctrlProps/ctrlProp330.xml"/><Relationship Id="rId20" Type="http://schemas.openxmlformats.org/officeDocument/2006/relationships/ctrlProp" Target="../ctrlProps/ctrlProp334.xml"/><Relationship Id="rId1" Type="http://schemas.openxmlformats.org/officeDocument/2006/relationships/printerSettings" Target="../printerSettings/printerSettings14.bin"/><Relationship Id="rId6" Type="http://schemas.openxmlformats.org/officeDocument/2006/relationships/ctrlProp" Target="../ctrlProps/ctrlProp320.xml"/><Relationship Id="rId11" Type="http://schemas.openxmlformats.org/officeDocument/2006/relationships/ctrlProp" Target="../ctrlProps/ctrlProp325.xml"/><Relationship Id="rId5" Type="http://schemas.openxmlformats.org/officeDocument/2006/relationships/ctrlProp" Target="../ctrlProps/ctrlProp319.xml"/><Relationship Id="rId15" Type="http://schemas.openxmlformats.org/officeDocument/2006/relationships/ctrlProp" Target="../ctrlProps/ctrlProp329.xml"/><Relationship Id="rId23" Type="http://schemas.openxmlformats.org/officeDocument/2006/relationships/comments" Target="../comments12.xml"/><Relationship Id="rId10" Type="http://schemas.openxmlformats.org/officeDocument/2006/relationships/ctrlProp" Target="../ctrlProps/ctrlProp324.xml"/><Relationship Id="rId19" Type="http://schemas.openxmlformats.org/officeDocument/2006/relationships/ctrlProp" Target="../ctrlProps/ctrlProp333.xml"/><Relationship Id="rId4" Type="http://schemas.openxmlformats.org/officeDocument/2006/relationships/ctrlProp" Target="../ctrlProps/ctrlProp318.xml"/><Relationship Id="rId9" Type="http://schemas.openxmlformats.org/officeDocument/2006/relationships/ctrlProp" Target="../ctrlProps/ctrlProp323.xml"/><Relationship Id="rId14" Type="http://schemas.openxmlformats.org/officeDocument/2006/relationships/ctrlProp" Target="../ctrlProps/ctrlProp328.xml"/><Relationship Id="rId22" Type="http://schemas.openxmlformats.org/officeDocument/2006/relationships/ctrlProp" Target="../ctrlProps/ctrlProp336.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41.xml"/><Relationship Id="rId3" Type="http://schemas.openxmlformats.org/officeDocument/2006/relationships/vmlDrawing" Target="../drawings/vmlDrawing13.vml"/><Relationship Id="rId7" Type="http://schemas.openxmlformats.org/officeDocument/2006/relationships/ctrlProp" Target="../ctrlProps/ctrlProp340.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39.xml"/><Relationship Id="rId5" Type="http://schemas.openxmlformats.org/officeDocument/2006/relationships/ctrlProp" Target="../ctrlProps/ctrlProp338.xml"/><Relationship Id="rId4" Type="http://schemas.openxmlformats.org/officeDocument/2006/relationships/ctrlProp" Target="../ctrlProps/ctrlProp337.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346.xml"/><Relationship Id="rId13" Type="http://schemas.openxmlformats.org/officeDocument/2006/relationships/ctrlProp" Target="../ctrlProps/ctrlProp351.xml"/><Relationship Id="rId18" Type="http://schemas.openxmlformats.org/officeDocument/2006/relationships/ctrlProp" Target="../ctrlProps/ctrlProp356.xml"/><Relationship Id="rId26" Type="http://schemas.openxmlformats.org/officeDocument/2006/relationships/ctrlProp" Target="../ctrlProps/ctrlProp364.xml"/><Relationship Id="rId3" Type="http://schemas.openxmlformats.org/officeDocument/2006/relationships/vmlDrawing" Target="../drawings/vmlDrawing14.vml"/><Relationship Id="rId21" Type="http://schemas.openxmlformats.org/officeDocument/2006/relationships/ctrlProp" Target="../ctrlProps/ctrlProp359.xml"/><Relationship Id="rId7" Type="http://schemas.openxmlformats.org/officeDocument/2006/relationships/ctrlProp" Target="../ctrlProps/ctrlProp345.xml"/><Relationship Id="rId12" Type="http://schemas.openxmlformats.org/officeDocument/2006/relationships/ctrlProp" Target="../ctrlProps/ctrlProp350.xml"/><Relationship Id="rId17" Type="http://schemas.openxmlformats.org/officeDocument/2006/relationships/ctrlProp" Target="../ctrlProps/ctrlProp355.xml"/><Relationship Id="rId25" Type="http://schemas.openxmlformats.org/officeDocument/2006/relationships/ctrlProp" Target="../ctrlProps/ctrlProp363.xml"/><Relationship Id="rId2" Type="http://schemas.openxmlformats.org/officeDocument/2006/relationships/drawing" Target="../drawings/drawing13.xml"/><Relationship Id="rId16" Type="http://schemas.openxmlformats.org/officeDocument/2006/relationships/ctrlProp" Target="../ctrlProps/ctrlProp354.xml"/><Relationship Id="rId20" Type="http://schemas.openxmlformats.org/officeDocument/2006/relationships/ctrlProp" Target="../ctrlProps/ctrlProp358.xml"/><Relationship Id="rId29" Type="http://schemas.openxmlformats.org/officeDocument/2006/relationships/ctrlProp" Target="../ctrlProps/ctrlProp367.xml"/><Relationship Id="rId1" Type="http://schemas.openxmlformats.org/officeDocument/2006/relationships/printerSettings" Target="../printerSettings/printerSettings16.bin"/><Relationship Id="rId6" Type="http://schemas.openxmlformats.org/officeDocument/2006/relationships/ctrlProp" Target="../ctrlProps/ctrlProp344.xml"/><Relationship Id="rId11" Type="http://schemas.openxmlformats.org/officeDocument/2006/relationships/ctrlProp" Target="../ctrlProps/ctrlProp349.xml"/><Relationship Id="rId24" Type="http://schemas.openxmlformats.org/officeDocument/2006/relationships/ctrlProp" Target="../ctrlProps/ctrlProp362.xml"/><Relationship Id="rId32" Type="http://schemas.openxmlformats.org/officeDocument/2006/relationships/comments" Target="../comments13.xml"/><Relationship Id="rId5" Type="http://schemas.openxmlformats.org/officeDocument/2006/relationships/ctrlProp" Target="../ctrlProps/ctrlProp343.xml"/><Relationship Id="rId15" Type="http://schemas.openxmlformats.org/officeDocument/2006/relationships/ctrlProp" Target="../ctrlProps/ctrlProp353.xml"/><Relationship Id="rId23" Type="http://schemas.openxmlformats.org/officeDocument/2006/relationships/ctrlProp" Target="../ctrlProps/ctrlProp361.xml"/><Relationship Id="rId28" Type="http://schemas.openxmlformats.org/officeDocument/2006/relationships/ctrlProp" Target="../ctrlProps/ctrlProp366.xml"/><Relationship Id="rId10" Type="http://schemas.openxmlformats.org/officeDocument/2006/relationships/ctrlProp" Target="../ctrlProps/ctrlProp348.xml"/><Relationship Id="rId19" Type="http://schemas.openxmlformats.org/officeDocument/2006/relationships/ctrlProp" Target="../ctrlProps/ctrlProp357.xml"/><Relationship Id="rId31" Type="http://schemas.openxmlformats.org/officeDocument/2006/relationships/ctrlProp" Target="../ctrlProps/ctrlProp369.xml"/><Relationship Id="rId4" Type="http://schemas.openxmlformats.org/officeDocument/2006/relationships/ctrlProp" Target="../ctrlProps/ctrlProp342.xml"/><Relationship Id="rId9" Type="http://schemas.openxmlformats.org/officeDocument/2006/relationships/ctrlProp" Target="../ctrlProps/ctrlProp347.xml"/><Relationship Id="rId14" Type="http://schemas.openxmlformats.org/officeDocument/2006/relationships/ctrlProp" Target="../ctrlProps/ctrlProp352.xml"/><Relationship Id="rId22" Type="http://schemas.openxmlformats.org/officeDocument/2006/relationships/ctrlProp" Target="../ctrlProps/ctrlProp360.xml"/><Relationship Id="rId27" Type="http://schemas.openxmlformats.org/officeDocument/2006/relationships/ctrlProp" Target="../ctrlProps/ctrlProp365.xml"/><Relationship Id="rId30" Type="http://schemas.openxmlformats.org/officeDocument/2006/relationships/ctrlProp" Target="../ctrlProps/ctrlProp368.xml"/></Relationships>
</file>

<file path=xl/worksheets/_rels/sheet17.xml.rels><?xml version="1.0" encoding="UTF-8" standalone="yes"?>
<Relationships xmlns="http://schemas.openxmlformats.org/package/2006/relationships"><Relationship Id="rId8" Type="http://schemas.openxmlformats.org/officeDocument/2006/relationships/comments" Target="../comments14.xml"/><Relationship Id="rId3" Type="http://schemas.openxmlformats.org/officeDocument/2006/relationships/vmlDrawing" Target="../drawings/vmlDrawing15.vml"/><Relationship Id="rId7" Type="http://schemas.openxmlformats.org/officeDocument/2006/relationships/ctrlProp" Target="../ctrlProps/ctrlProp373.x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trlProp" Target="../ctrlProps/ctrlProp372.xml"/><Relationship Id="rId5" Type="http://schemas.openxmlformats.org/officeDocument/2006/relationships/ctrlProp" Target="../ctrlProps/ctrlProp371.xml"/><Relationship Id="rId4" Type="http://schemas.openxmlformats.org/officeDocument/2006/relationships/ctrlProp" Target="../ctrlProps/ctrlProp37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77.xml"/><Relationship Id="rId13" Type="http://schemas.openxmlformats.org/officeDocument/2006/relationships/ctrlProp" Target="../ctrlProps/ctrlProp382.xml"/><Relationship Id="rId18" Type="http://schemas.openxmlformats.org/officeDocument/2006/relationships/ctrlProp" Target="../ctrlProps/ctrlProp387.xml"/><Relationship Id="rId26" Type="http://schemas.openxmlformats.org/officeDocument/2006/relationships/ctrlProp" Target="../ctrlProps/ctrlProp395.xml"/><Relationship Id="rId3" Type="http://schemas.openxmlformats.org/officeDocument/2006/relationships/drawing" Target="../drawings/drawing15.xml"/><Relationship Id="rId21" Type="http://schemas.openxmlformats.org/officeDocument/2006/relationships/ctrlProp" Target="../ctrlProps/ctrlProp390.xml"/><Relationship Id="rId7" Type="http://schemas.openxmlformats.org/officeDocument/2006/relationships/ctrlProp" Target="../ctrlProps/ctrlProp376.xml"/><Relationship Id="rId12" Type="http://schemas.openxmlformats.org/officeDocument/2006/relationships/ctrlProp" Target="../ctrlProps/ctrlProp381.xml"/><Relationship Id="rId17" Type="http://schemas.openxmlformats.org/officeDocument/2006/relationships/ctrlProp" Target="../ctrlProps/ctrlProp386.xml"/><Relationship Id="rId25" Type="http://schemas.openxmlformats.org/officeDocument/2006/relationships/ctrlProp" Target="../ctrlProps/ctrlProp394.xml"/><Relationship Id="rId2" Type="http://schemas.openxmlformats.org/officeDocument/2006/relationships/printerSettings" Target="../printerSettings/printerSettings18.bin"/><Relationship Id="rId16" Type="http://schemas.openxmlformats.org/officeDocument/2006/relationships/ctrlProp" Target="../ctrlProps/ctrlProp385.xml"/><Relationship Id="rId20" Type="http://schemas.openxmlformats.org/officeDocument/2006/relationships/ctrlProp" Target="../ctrlProps/ctrlProp389.xml"/><Relationship Id="rId29" Type="http://schemas.openxmlformats.org/officeDocument/2006/relationships/ctrlProp" Target="../ctrlProps/ctrlProp398.xml"/><Relationship Id="rId1" Type="http://schemas.openxmlformats.org/officeDocument/2006/relationships/hyperlink" Target="https://www.wri.org/applications/aqueduct/water-risk-atlas" TargetMode="External"/><Relationship Id="rId6" Type="http://schemas.openxmlformats.org/officeDocument/2006/relationships/ctrlProp" Target="../ctrlProps/ctrlProp375.xml"/><Relationship Id="rId11" Type="http://schemas.openxmlformats.org/officeDocument/2006/relationships/ctrlProp" Target="../ctrlProps/ctrlProp380.xml"/><Relationship Id="rId24" Type="http://schemas.openxmlformats.org/officeDocument/2006/relationships/ctrlProp" Target="../ctrlProps/ctrlProp393.xml"/><Relationship Id="rId5" Type="http://schemas.openxmlformats.org/officeDocument/2006/relationships/ctrlProp" Target="../ctrlProps/ctrlProp374.xml"/><Relationship Id="rId15" Type="http://schemas.openxmlformats.org/officeDocument/2006/relationships/ctrlProp" Target="../ctrlProps/ctrlProp384.xml"/><Relationship Id="rId23" Type="http://schemas.openxmlformats.org/officeDocument/2006/relationships/ctrlProp" Target="../ctrlProps/ctrlProp392.xml"/><Relationship Id="rId28" Type="http://schemas.openxmlformats.org/officeDocument/2006/relationships/ctrlProp" Target="../ctrlProps/ctrlProp397.xml"/><Relationship Id="rId10" Type="http://schemas.openxmlformats.org/officeDocument/2006/relationships/ctrlProp" Target="../ctrlProps/ctrlProp379.xml"/><Relationship Id="rId19" Type="http://schemas.openxmlformats.org/officeDocument/2006/relationships/ctrlProp" Target="../ctrlProps/ctrlProp388.xml"/><Relationship Id="rId31" Type="http://schemas.openxmlformats.org/officeDocument/2006/relationships/comments" Target="../comments15.xml"/><Relationship Id="rId4" Type="http://schemas.openxmlformats.org/officeDocument/2006/relationships/vmlDrawing" Target="../drawings/vmlDrawing16.vml"/><Relationship Id="rId9" Type="http://schemas.openxmlformats.org/officeDocument/2006/relationships/ctrlProp" Target="../ctrlProps/ctrlProp378.xml"/><Relationship Id="rId14" Type="http://schemas.openxmlformats.org/officeDocument/2006/relationships/ctrlProp" Target="../ctrlProps/ctrlProp383.xml"/><Relationship Id="rId22" Type="http://schemas.openxmlformats.org/officeDocument/2006/relationships/ctrlProp" Target="../ctrlProps/ctrlProp391.xml"/><Relationship Id="rId27" Type="http://schemas.openxmlformats.org/officeDocument/2006/relationships/ctrlProp" Target="../ctrlProps/ctrlProp396.xml"/><Relationship Id="rId30" Type="http://schemas.openxmlformats.org/officeDocument/2006/relationships/ctrlProp" Target="../ctrlProps/ctrlProp399.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422.xml"/><Relationship Id="rId21" Type="http://schemas.openxmlformats.org/officeDocument/2006/relationships/ctrlProp" Target="../ctrlProps/ctrlProp417.xml"/><Relationship Id="rId34" Type="http://schemas.openxmlformats.org/officeDocument/2006/relationships/ctrlProp" Target="../ctrlProps/ctrlProp430.xml"/><Relationship Id="rId42" Type="http://schemas.openxmlformats.org/officeDocument/2006/relationships/ctrlProp" Target="../ctrlProps/ctrlProp438.xml"/><Relationship Id="rId47" Type="http://schemas.openxmlformats.org/officeDocument/2006/relationships/ctrlProp" Target="../ctrlProps/ctrlProp443.xml"/><Relationship Id="rId50" Type="http://schemas.openxmlformats.org/officeDocument/2006/relationships/ctrlProp" Target="../ctrlProps/ctrlProp446.xml"/><Relationship Id="rId55" Type="http://schemas.openxmlformats.org/officeDocument/2006/relationships/ctrlProp" Target="../ctrlProps/ctrlProp451.xml"/><Relationship Id="rId63" Type="http://schemas.openxmlformats.org/officeDocument/2006/relationships/ctrlProp" Target="../ctrlProps/ctrlProp459.xml"/><Relationship Id="rId7" Type="http://schemas.openxmlformats.org/officeDocument/2006/relationships/ctrlProp" Target="../ctrlProps/ctrlProp403.xml"/><Relationship Id="rId2" Type="http://schemas.openxmlformats.org/officeDocument/2006/relationships/drawing" Target="../drawings/drawing16.xml"/><Relationship Id="rId16" Type="http://schemas.openxmlformats.org/officeDocument/2006/relationships/ctrlProp" Target="../ctrlProps/ctrlProp412.xml"/><Relationship Id="rId29" Type="http://schemas.openxmlformats.org/officeDocument/2006/relationships/ctrlProp" Target="../ctrlProps/ctrlProp425.xml"/><Relationship Id="rId11" Type="http://schemas.openxmlformats.org/officeDocument/2006/relationships/ctrlProp" Target="../ctrlProps/ctrlProp407.xml"/><Relationship Id="rId24" Type="http://schemas.openxmlformats.org/officeDocument/2006/relationships/ctrlProp" Target="../ctrlProps/ctrlProp420.xml"/><Relationship Id="rId32" Type="http://schemas.openxmlformats.org/officeDocument/2006/relationships/ctrlProp" Target="../ctrlProps/ctrlProp428.xml"/><Relationship Id="rId37" Type="http://schemas.openxmlformats.org/officeDocument/2006/relationships/ctrlProp" Target="../ctrlProps/ctrlProp433.xml"/><Relationship Id="rId40" Type="http://schemas.openxmlformats.org/officeDocument/2006/relationships/ctrlProp" Target="../ctrlProps/ctrlProp436.xml"/><Relationship Id="rId45" Type="http://schemas.openxmlformats.org/officeDocument/2006/relationships/ctrlProp" Target="../ctrlProps/ctrlProp441.xml"/><Relationship Id="rId53" Type="http://schemas.openxmlformats.org/officeDocument/2006/relationships/ctrlProp" Target="../ctrlProps/ctrlProp449.xml"/><Relationship Id="rId58" Type="http://schemas.openxmlformats.org/officeDocument/2006/relationships/ctrlProp" Target="../ctrlProps/ctrlProp454.xml"/><Relationship Id="rId66" Type="http://schemas.openxmlformats.org/officeDocument/2006/relationships/ctrlProp" Target="../ctrlProps/ctrlProp462.xml"/><Relationship Id="rId5" Type="http://schemas.openxmlformats.org/officeDocument/2006/relationships/ctrlProp" Target="../ctrlProps/ctrlProp401.xml"/><Relationship Id="rId61" Type="http://schemas.openxmlformats.org/officeDocument/2006/relationships/ctrlProp" Target="../ctrlProps/ctrlProp457.xml"/><Relationship Id="rId19" Type="http://schemas.openxmlformats.org/officeDocument/2006/relationships/ctrlProp" Target="../ctrlProps/ctrlProp415.xml"/><Relationship Id="rId14" Type="http://schemas.openxmlformats.org/officeDocument/2006/relationships/ctrlProp" Target="../ctrlProps/ctrlProp410.xml"/><Relationship Id="rId22" Type="http://schemas.openxmlformats.org/officeDocument/2006/relationships/ctrlProp" Target="../ctrlProps/ctrlProp418.xml"/><Relationship Id="rId27" Type="http://schemas.openxmlformats.org/officeDocument/2006/relationships/ctrlProp" Target="../ctrlProps/ctrlProp423.xml"/><Relationship Id="rId30" Type="http://schemas.openxmlformats.org/officeDocument/2006/relationships/ctrlProp" Target="../ctrlProps/ctrlProp426.xml"/><Relationship Id="rId35" Type="http://schemas.openxmlformats.org/officeDocument/2006/relationships/ctrlProp" Target="../ctrlProps/ctrlProp431.xml"/><Relationship Id="rId43" Type="http://schemas.openxmlformats.org/officeDocument/2006/relationships/ctrlProp" Target="../ctrlProps/ctrlProp439.xml"/><Relationship Id="rId48" Type="http://schemas.openxmlformats.org/officeDocument/2006/relationships/ctrlProp" Target="../ctrlProps/ctrlProp444.xml"/><Relationship Id="rId56" Type="http://schemas.openxmlformats.org/officeDocument/2006/relationships/ctrlProp" Target="../ctrlProps/ctrlProp452.xml"/><Relationship Id="rId64" Type="http://schemas.openxmlformats.org/officeDocument/2006/relationships/ctrlProp" Target="../ctrlProps/ctrlProp460.xml"/><Relationship Id="rId8" Type="http://schemas.openxmlformats.org/officeDocument/2006/relationships/ctrlProp" Target="../ctrlProps/ctrlProp404.xml"/><Relationship Id="rId51" Type="http://schemas.openxmlformats.org/officeDocument/2006/relationships/ctrlProp" Target="../ctrlProps/ctrlProp447.xml"/><Relationship Id="rId3" Type="http://schemas.openxmlformats.org/officeDocument/2006/relationships/vmlDrawing" Target="../drawings/vmlDrawing17.vml"/><Relationship Id="rId12" Type="http://schemas.openxmlformats.org/officeDocument/2006/relationships/ctrlProp" Target="../ctrlProps/ctrlProp408.xml"/><Relationship Id="rId17" Type="http://schemas.openxmlformats.org/officeDocument/2006/relationships/ctrlProp" Target="../ctrlProps/ctrlProp413.xml"/><Relationship Id="rId25" Type="http://schemas.openxmlformats.org/officeDocument/2006/relationships/ctrlProp" Target="../ctrlProps/ctrlProp421.xml"/><Relationship Id="rId33" Type="http://schemas.openxmlformats.org/officeDocument/2006/relationships/ctrlProp" Target="../ctrlProps/ctrlProp429.xml"/><Relationship Id="rId38" Type="http://schemas.openxmlformats.org/officeDocument/2006/relationships/ctrlProp" Target="../ctrlProps/ctrlProp434.xml"/><Relationship Id="rId46" Type="http://schemas.openxmlformats.org/officeDocument/2006/relationships/ctrlProp" Target="../ctrlProps/ctrlProp442.xml"/><Relationship Id="rId59" Type="http://schemas.openxmlformats.org/officeDocument/2006/relationships/ctrlProp" Target="../ctrlProps/ctrlProp455.xml"/><Relationship Id="rId67" Type="http://schemas.openxmlformats.org/officeDocument/2006/relationships/comments" Target="../comments16.xml"/><Relationship Id="rId20" Type="http://schemas.openxmlformats.org/officeDocument/2006/relationships/ctrlProp" Target="../ctrlProps/ctrlProp416.xml"/><Relationship Id="rId41" Type="http://schemas.openxmlformats.org/officeDocument/2006/relationships/ctrlProp" Target="../ctrlProps/ctrlProp437.xml"/><Relationship Id="rId54" Type="http://schemas.openxmlformats.org/officeDocument/2006/relationships/ctrlProp" Target="../ctrlProps/ctrlProp450.xml"/><Relationship Id="rId62" Type="http://schemas.openxmlformats.org/officeDocument/2006/relationships/ctrlProp" Target="../ctrlProps/ctrlProp458.xml"/><Relationship Id="rId1" Type="http://schemas.openxmlformats.org/officeDocument/2006/relationships/printerSettings" Target="../printerSettings/printerSettings19.bin"/><Relationship Id="rId6" Type="http://schemas.openxmlformats.org/officeDocument/2006/relationships/ctrlProp" Target="../ctrlProps/ctrlProp402.xml"/><Relationship Id="rId15" Type="http://schemas.openxmlformats.org/officeDocument/2006/relationships/ctrlProp" Target="../ctrlProps/ctrlProp411.xml"/><Relationship Id="rId23" Type="http://schemas.openxmlformats.org/officeDocument/2006/relationships/ctrlProp" Target="../ctrlProps/ctrlProp419.xml"/><Relationship Id="rId28" Type="http://schemas.openxmlformats.org/officeDocument/2006/relationships/ctrlProp" Target="../ctrlProps/ctrlProp424.xml"/><Relationship Id="rId36" Type="http://schemas.openxmlformats.org/officeDocument/2006/relationships/ctrlProp" Target="../ctrlProps/ctrlProp432.xml"/><Relationship Id="rId49" Type="http://schemas.openxmlformats.org/officeDocument/2006/relationships/ctrlProp" Target="../ctrlProps/ctrlProp445.xml"/><Relationship Id="rId57" Type="http://schemas.openxmlformats.org/officeDocument/2006/relationships/ctrlProp" Target="../ctrlProps/ctrlProp453.xml"/><Relationship Id="rId10" Type="http://schemas.openxmlformats.org/officeDocument/2006/relationships/ctrlProp" Target="../ctrlProps/ctrlProp406.xml"/><Relationship Id="rId31" Type="http://schemas.openxmlformats.org/officeDocument/2006/relationships/ctrlProp" Target="../ctrlProps/ctrlProp427.xml"/><Relationship Id="rId44" Type="http://schemas.openxmlformats.org/officeDocument/2006/relationships/ctrlProp" Target="../ctrlProps/ctrlProp440.xml"/><Relationship Id="rId52" Type="http://schemas.openxmlformats.org/officeDocument/2006/relationships/ctrlProp" Target="../ctrlProps/ctrlProp448.xml"/><Relationship Id="rId60" Type="http://schemas.openxmlformats.org/officeDocument/2006/relationships/ctrlProp" Target="../ctrlProps/ctrlProp456.xml"/><Relationship Id="rId65" Type="http://schemas.openxmlformats.org/officeDocument/2006/relationships/ctrlProp" Target="../ctrlProps/ctrlProp461.xml"/><Relationship Id="rId4" Type="http://schemas.openxmlformats.org/officeDocument/2006/relationships/ctrlProp" Target="../ctrlProps/ctrlProp400.xml"/><Relationship Id="rId9" Type="http://schemas.openxmlformats.org/officeDocument/2006/relationships/ctrlProp" Target="../ctrlProps/ctrlProp405.xml"/><Relationship Id="rId13" Type="http://schemas.openxmlformats.org/officeDocument/2006/relationships/ctrlProp" Target="../ctrlProps/ctrlProp409.xml"/><Relationship Id="rId18" Type="http://schemas.openxmlformats.org/officeDocument/2006/relationships/ctrlProp" Target="../ctrlProps/ctrlProp414.xml"/><Relationship Id="rId39" Type="http://schemas.openxmlformats.org/officeDocument/2006/relationships/ctrlProp" Target="../ctrlProps/ctrlProp43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omments" Target="../comments17.xml"/><Relationship Id="rId5" Type="http://schemas.openxmlformats.org/officeDocument/2006/relationships/ctrlProp" Target="../ctrlProps/ctrlProp464.xml"/><Relationship Id="rId4" Type="http://schemas.openxmlformats.org/officeDocument/2006/relationships/ctrlProp" Target="../ctrlProps/ctrlProp46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69.xml"/><Relationship Id="rId13" Type="http://schemas.openxmlformats.org/officeDocument/2006/relationships/ctrlProp" Target="../ctrlProps/ctrlProp474.xml"/><Relationship Id="rId3" Type="http://schemas.openxmlformats.org/officeDocument/2006/relationships/vmlDrawing" Target="../drawings/vmlDrawing19.vml"/><Relationship Id="rId7" Type="http://schemas.openxmlformats.org/officeDocument/2006/relationships/ctrlProp" Target="../ctrlProps/ctrlProp468.xml"/><Relationship Id="rId12" Type="http://schemas.openxmlformats.org/officeDocument/2006/relationships/ctrlProp" Target="../ctrlProps/ctrlProp473.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467.xml"/><Relationship Id="rId11" Type="http://schemas.openxmlformats.org/officeDocument/2006/relationships/ctrlProp" Target="../ctrlProps/ctrlProp472.xml"/><Relationship Id="rId5" Type="http://schemas.openxmlformats.org/officeDocument/2006/relationships/ctrlProp" Target="../ctrlProps/ctrlProp466.xml"/><Relationship Id="rId10" Type="http://schemas.openxmlformats.org/officeDocument/2006/relationships/ctrlProp" Target="../ctrlProps/ctrlProp471.xml"/><Relationship Id="rId4" Type="http://schemas.openxmlformats.org/officeDocument/2006/relationships/ctrlProp" Target="../ctrlProps/ctrlProp465.xml"/><Relationship Id="rId9" Type="http://schemas.openxmlformats.org/officeDocument/2006/relationships/ctrlProp" Target="../ctrlProps/ctrlProp470.xml"/><Relationship Id="rId1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479.xml"/><Relationship Id="rId13" Type="http://schemas.openxmlformats.org/officeDocument/2006/relationships/ctrlProp" Target="../ctrlProps/ctrlProp484.xml"/><Relationship Id="rId18" Type="http://schemas.openxmlformats.org/officeDocument/2006/relationships/ctrlProp" Target="../ctrlProps/ctrlProp489.xml"/><Relationship Id="rId3" Type="http://schemas.openxmlformats.org/officeDocument/2006/relationships/vmlDrawing" Target="../drawings/vmlDrawing20.vml"/><Relationship Id="rId21" Type="http://schemas.openxmlformats.org/officeDocument/2006/relationships/ctrlProp" Target="../ctrlProps/ctrlProp492.xml"/><Relationship Id="rId7" Type="http://schemas.openxmlformats.org/officeDocument/2006/relationships/ctrlProp" Target="../ctrlProps/ctrlProp478.xml"/><Relationship Id="rId12" Type="http://schemas.openxmlformats.org/officeDocument/2006/relationships/ctrlProp" Target="../ctrlProps/ctrlProp483.xml"/><Relationship Id="rId17" Type="http://schemas.openxmlformats.org/officeDocument/2006/relationships/ctrlProp" Target="../ctrlProps/ctrlProp488.xml"/><Relationship Id="rId25" Type="http://schemas.openxmlformats.org/officeDocument/2006/relationships/ctrlProp" Target="../ctrlProps/ctrlProp496.xml"/><Relationship Id="rId2" Type="http://schemas.openxmlformats.org/officeDocument/2006/relationships/drawing" Target="../drawings/drawing19.xml"/><Relationship Id="rId16" Type="http://schemas.openxmlformats.org/officeDocument/2006/relationships/ctrlProp" Target="../ctrlProps/ctrlProp487.xml"/><Relationship Id="rId20" Type="http://schemas.openxmlformats.org/officeDocument/2006/relationships/ctrlProp" Target="../ctrlProps/ctrlProp491.xml"/><Relationship Id="rId1" Type="http://schemas.openxmlformats.org/officeDocument/2006/relationships/printerSettings" Target="../printerSettings/printerSettings22.bin"/><Relationship Id="rId6" Type="http://schemas.openxmlformats.org/officeDocument/2006/relationships/ctrlProp" Target="../ctrlProps/ctrlProp477.xml"/><Relationship Id="rId11" Type="http://schemas.openxmlformats.org/officeDocument/2006/relationships/ctrlProp" Target="../ctrlProps/ctrlProp482.xml"/><Relationship Id="rId24" Type="http://schemas.openxmlformats.org/officeDocument/2006/relationships/ctrlProp" Target="../ctrlProps/ctrlProp495.xml"/><Relationship Id="rId5" Type="http://schemas.openxmlformats.org/officeDocument/2006/relationships/ctrlProp" Target="../ctrlProps/ctrlProp476.xml"/><Relationship Id="rId15" Type="http://schemas.openxmlformats.org/officeDocument/2006/relationships/ctrlProp" Target="../ctrlProps/ctrlProp486.xml"/><Relationship Id="rId23" Type="http://schemas.openxmlformats.org/officeDocument/2006/relationships/ctrlProp" Target="../ctrlProps/ctrlProp494.xml"/><Relationship Id="rId10" Type="http://schemas.openxmlformats.org/officeDocument/2006/relationships/ctrlProp" Target="../ctrlProps/ctrlProp481.xml"/><Relationship Id="rId19" Type="http://schemas.openxmlformats.org/officeDocument/2006/relationships/ctrlProp" Target="../ctrlProps/ctrlProp490.xml"/><Relationship Id="rId4" Type="http://schemas.openxmlformats.org/officeDocument/2006/relationships/ctrlProp" Target="../ctrlProps/ctrlProp475.xml"/><Relationship Id="rId9" Type="http://schemas.openxmlformats.org/officeDocument/2006/relationships/ctrlProp" Target="../ctrlProps/ctrlProp480.xml"/><Relationship Id="rId14" Type="http://schemas.openxmlformats.org/officeDocument/2006/relationships/ctrlProp" Target="../ctrlProps/ctrlProp485.xml"/><Relationship Id="rId22" Type="http://schemas.openxmlformats.org/officeDocument/2006/relationships/ctrlProp" Target="../ctrlProps/ctrlProp493.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501.xml"/><Relationship Id="rId13" Type="http://schemas.openxmlformats.org/officeDocument/2006/relationships/ctrlProp" Target="../ctrlProps/ctrlProp506.xml"/><Relationship Id="rId18" Type="http://schemas.openxmlformats.org/officeDocument/2006/relationships/ctrlProp" Target="../ctrlProps/ctrlProp511.xml"/><Relationship Id="rId3" Type="http://schemas.openxmlformats.org/officeDocument/2006/relationships/vmlDrawing" Target="../drawings/vmlDrawing21.vml"/><Relationship Id="rId7" Type="http://schemas.openxmlformats.org/officeDocument/2006/relationships/ctrlProp" Target="../ctrlProps/ctrlProp500.xml"/><Relationship Id="rId12" Type="http://schemas.openxmlformats.org/officeDocument/2006/relationships/ctrlProp" Target="../ctrlProps/ctrlProp505.xml"/><Relationship Id="rId17" Type="http://schemas.openxmlformats.org/officeDocument/2006/relationships/ctrlProp" Target="../ctrlProps/ctrlProp510.xml"/><Relationship Id="rId2" Type="http://schemas.openxmlformats.org/officeDocument/2006/relationships/drawing" Target="../drawings/drawing20.xml"/><Relationship Id="rId16" Type="http://schemas.openxmlformats.org/officeDocument/2006/relationships/ctrlProp" Target="../ctrlProps/ctrlProp509.xml"/><Relationship Id="rId1" Type="http://schemas.openxmlformats.org/officeDocument/2006/relationships/printerSettings" Target="../printerSettings/printerSettings23.bin"/><Relationship Id="rId6" Type="http://schemas.openxmlformats.org/officeDocument/2006/relationships/ctrlProp" Target="../ctrlProps/ctrlProp499.xml"/><Relationship Id="rId11" Type="http://schemas.openxmlformats.org/officeDocument/2006/relationships/ctrlProp" Target="../ctrlProps/ctrlProp504.xml"/><Relationship Id="rId5" Type="http://schemas.openxmlformats.org/officeDocument/2006/relationships/ctrlProp" Target="../ctrlProps/ctrlProp498.xml"/><Relationship Id="rId15" Type="http://schemas.openxmlformats.org/officeDocument/2006/relationships/ctrlProp" Target="../ctrlProps/ctrlProp508.xml"/><Relationship Id="rId10" Type="http://schemas.openxmlformats.org/officeDocument/2006/relationships/ctrlProp" Target="../ctrlProps/ctrlProp503.xml"/><Relationship Id="rId19" Type="http://schemas.openxmlformats.org/officeDocument/2006/relationships/comments" Target="../comments19.xml"/><Relationship Id="rId4" Type="http://schemas.openxmlformats.org/officeDocument/2006/relationships/ctrlProp" Target="../ctrlProps/ctrlProp497.xml"/><Relationship Id="rId9" Type="http://schemas.openxmlformats.org/officeDocument/2006/relationships/ctrlProp" Target="../ctrlProps/ctrlProp502.xml"/><Relationship Id="rId14" Type="http://schemas.openxmlformats.org/officeDocument/2006/relationships/ctrlProp" Target="../ctrlProps/ctrlProp507.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10" Type="http://schemas.openxmlformats.org/officeDocument/2006/relationships/comments" Target="../comments3.xml"/><Relationship Id="rId4" Type="http://schemas.openxmlformats.org/officeDocument/2006/relationships/ctrlProp" Target="../ctrlProps/ctrlProp10.xml"/><Relationship Id="rId9" Type="http://schemas.openxmlformats.org/officeDocument/2006/relationships/ctrlProp" Target="../ctrlProps/ctrlProp1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25.xml"/><Relationship Id="rId18" Type="http://schemas.openxmlformats.org/officeDocument/2006/relationships/ctrlProp" Target="../ctrlProps/ctrlProp30.xml"/><Relationship Id="rId26" Type="http://schemas.openxmlformats.org/officeDocument/2006/relationships/ctrlProp" Target="../ctrlProps/ctrlProp38.xml"/><Relationship Id="rId39" Type="http://schemas.openxmlformats.org/officeDocument/2006/relationships/ctrlProp" Target="../ctrlProps/ctrlProp51.xml"/><Relationship Id="rId21" Type="http://schemas.openxmlformats.org/officeDocument/2006/relationships/ctrlProp" Target="../ctrlProps/ctrlProp33.xml"/><Relationship Id="rId34" Type="http://schemas.openxmlformats.org/officeDocument/2006/relationships/ctrlProp" Target="../ctrlProps/ctrlProp46.xml"/><Relationship Id="rId7" Type="http://schemas.openxmlformats.org/officeDocument/2006/relationships/ctrlProp" Target="../ctrlProps/ctrlProp19.x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33" Type="http://schemas.openxmlformats.org/officeDocument/2006/relationships/ctrlProp" Target="../ctrlProps/ctrlProp45.xml"/><Relationship Id="rId38" Type="http://schemas.openxmlformats.org/officeDocument/2006/relationships/ctrlProp" Target="../ctrlProps/ctrlProp50.xml"/><Relationship Id="rId2" Type="http://schemas.openxmlformats.org/officeDocument/2006/relationships/drawing" Target="../drawings/drawing3.xml"/><Relationship Id="rId16" Type="http://schemas.openxmlformats.org/officeDocument/2006/relationships/ctrlProp" Target="../ctrlProps/ctrlProp28.xml"/><Relationship Id="rId20" Type="http://schemas.openxmlformats.org/officeDocument/2006/relationships/ctrlProp" Target="../ctrlProps/ctrlProp32.xml"/><Relationship Id="rId29" Type="http://schemas.openxmlformats.org/officeDocument/2006/relationships/ctrlProp" Target="../ctrlProps/ctrlProp41.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24" Type="http://schemas.openxmlformats.org/officeDocument/2006/relationships/ctrlProp" Target="../ctrlProps/ctrlProp36.xml"/><Relationship Id="rId32" Type="http://schemas.openxmlformats.org/officeDocument/2006/relationships/ctrlProp" Target="../ctrlProps/ctrlProp44.xml"/><Relationship Id="rId37" Type="http://schemas.openxmlformats.org/officeDocument/2006/relationships/ctrlProp" Target="../ctrlProps/ctrlProp49.xml"/><Relationship Id="rId40" Type="http://schemas.openxmlformats.org/officeDocument/2006/relationships/comments" Target="../comments4.xml"/><Relationship Id="rId5" Type="http://schemas.openxmlformats.org/officeDocument/2006/relationships/ctrlProp" Target="../ctrlProps/ctrlProp17.xml"/><Relationship Id="rId15" Type="http://schemas.openxmlformats.org/officeDocument/2006/relationships/ctrlProp" Target="../ctrlProps/ctrlProp27.xml"/><Relationship Id="rId23" Type="http://schemas.openxmlformats.org/officeDocument/2006/relationships/ctrlProp" Target="../ctrlProps/ctrlProp35.xml"/><Relationship Id="rId28" Type="http://schemas.openxmlformats.org/officeDocument/2006/relationships/ctrlProp" Target="../ctrlProps/ctrlProp40.xml"/><Relationship Id="rId36" Type="http://schemas.openxmlformats.org/officeDocument/2006/relationships/ctrlProp" Target="../ctrlProps/ctrlProp48.xml"/><Relationship Id="rId10" Type="http://schemas.openxmlformats.org/officeDocument/2006/relationships/ctrlProp" Target="../ctrlProps/ctrlProp22.xml"/><Relationship Id="rId19" Type="http://schemas.openxmlformats.org/officeDocument/2006/relationships/ctrlProp" Target="../ctrlProps/ctrlProp31.xml"/><Relationship Id="rId31" Type="http://schemas.openxmlformats.org/officeDocument/2006/relationships/ctrlProp" Target="../ctrlProps/ctrlProp43.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 Id="rId22" Type="http://schemas.openxmlformats.org/officeDocument/2006/relationships/ctrlProp" Target="../ctrlProps/ctrlProp34.xml"/><Relationship Id="rId27" Type="http://schemas.openxmlformats.org/officeDocument/2006/relationships/ctrlProp" Target="../ctrlProps/ctrlProp39.xml"/><Relationship Id="rId30" Type="http://schemas.openxmlformats.org/officeDocument/2006/relationships/ctrlProp" Target="../ctrlProps/ctrlProp42.xml"/><Relationship Id="rId35" Type="http://schemas.openxmlformats.org/officeDocument/2006/relationships/ctrlProp" Target="../ctrlProps/ctrlProp47.xml"/><Relationship Id="rId8" Type="http://schemas.openxmlformats.org/officeDocument/2006/relationships/ctrlProp" Target="../ctrlProps/ctrlProp20.xml"/><Relationship Id="rId3"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65.xml"/><Relationship Id="rId21" Type="http://schemas.openxmlformats.org/officeDocument/2006/relationships/ctrlProp" Target="../ctrlProps/ctrlProp69.xml"/><Relationship Id="rId42" Type="http://schemas.openxmlformats.org/officeDocument/2006/relationships/ctrlProp" Target="../ctrlProps/ctrlProp90.xml"/><Relationship Id="rId63" Type="http://schemas.openxmlformats.org/officeDocument/2006/relationships/ctrlProp" Target="../ctrlProps/ctrlProp111.xml"/><Relationship Id="rId84" Type="http://schemas.openxmlformats.org/officeDocument/2006/relationships/ctrlProp" Target="../ctrlProps/ctrlProp132.xml"/><Relationship Id="rId138" Type="http://schemas.openxmlformats.org/officeDocument/2006/relationships/ctrlProp" Target="../ctrlProps/ctrlProp186.xml"/><Relationship Id="rId107" Type="http://schemas.openxmlformats.org/officeDocument/2006/relationships/ctrlProp" Target="../ctrlProps/ctrlProp155.xml"/><Relationship Id="rId11" Type="http://schemas.openxmlformats.org/officeDocument/2006/relationships/ctrlProp" Target="../ctrlProps/ctrlProp59.xml"/><Relationship Id="rId32" Type="http://schemas.openxmlformats.org/officeDocument/2006/relationships/ctrlProp" Target="../ctrlProps/ctrlProp80.xml"/><Relationship Id="rId53" Type="http://schemas.openxmlformats.org/officeDocument/2006/relationships/ctrlProp" Target="../ctrlProps/ctrlProp101.xml"/><Relationship Id="rId74" Type="http://schemas.openxmlformats.org/officeDocument/2006/relationships/ctrlProp" Target="../ctrlProps/ctrlProp122.xml"/><Relationship Id="rId128" Type="http://schemas.openxmlformats.org/officeDocument/2006/relationships/ctrlProp" Target="../ctrlProps/ctrlProp176.xml"/><Relationship Id="rId149" Type="http://schemas.openxmlformats.org/officeDocument/2006/relationships/ctrlProp" Target="../ctrlProps/ctrlProp197.xml"/><Relationship Id="rId5" Type="http://schemas.openxmlformats.org/officeDocument/2006/relationships/ctrlProp" Target="../ctrlProps/ctrlProp53.xml"/><Relationship Id="rId95" Type="http://schemas.openxmlformats.org/officeDocument/2006/relationships/ctrlProp" Target="../ctrlProps/ctrlProp143.xml"/><Relationship Id="rId22" Type="http://schemas.openxmlformats.org/officeDocument/2006/relationships/ctrlProp" Target="../ctrlProps/ctrlProp70.xml"/><Relationship Id="rId27" Type="http://schemas.openxmlformats.org/officeDocument/2006/relationships/ctrlProp" Target="../ctrlProps/ctrlProp75.xml"/><Relationship Id="rId43" Type="http://schemas.openxmlformats.org/officeDocument/2006/relationships/ctrlProp" Target="../ctrlProps/ctrlProp91.xml"/><Relationship Id="rId48" Type="http://schemas.openxmlformats.org/officeDocument/2006/relationships/ctrlProp" Target="../ctrlProps/ctrlProp96.xml"/><Relationship Id="rId64" Type="http://schemas.openxmlformats.org/officeDocument/2006/relationships/ctrlProp" Target="../ctrlProps/ctrlProp112.xml"/><Relationship Id="rId69" Type="http://schemas.openxmlformats.org/officeDocument/2006/relationships/ctrlProp" Target="../ctrlProps/ctrlProp117.xml"/><Relationship Id="rId113" Type="http://schemas.openxmlformats.org/officeDocument/2006/relationships/ctrlProp" Target="../ctrlProps/ctrlProp161.xml"/><Relationship Id="rId118" Type="http://schemas.openxmlformats.org/officeDocument/2006/relationships/ctrlProp" Target="../ctrlProps/ctrlProp166.xml"/><Relationship Id="rId134" Type="http://schemas.openxmlformats.org/officeDocument/2006/relationships/ctrlProp" Target="../ctrlProps/ctrlProp182.xml"/><Relationship Id="rId139" Type="http://schemas.openxmlformats.org/officeDocument/2006/relationships/ctrlProp" Target="../ctrlProps/ctrlProp187.xml"/><Relationship Id="rId80" Type="http://schemas.openxmlformats.org/officeDocument/2006/relationships/ctrlProp" Target="../ctrlProps/ctrlProp128.xml"/><Relationship Id="rId85" Type="http://schemas.openxmlformats.org/officeDocument/2006/relationships/ctrlProp" Target="../ctrlProps/ctrlProp133.xml"/><Relationship Id="rId150" Type="http://schemas.openxmlformats.org/officeDocument/2006/relationships/ctrlProp" Target="../ctrlProps/ctrlProp198.xml"/><Relationship Id="rId12" Type="http://schemas.openxmlformats.org/officeDocument/2006/relationships/ctrlProp" Target="../ctrlProps/ctrlProp60.xml"/><Relationship Id="rId17" Type="http://schemas.openxmlformats.org/officeDocument/2006/relationships/ctrlProp" Target="../ctrlProps/ctrlProp65.xml"/><Relationship Id="rId33" Type="http://schemas.openxmlformats.org/officeDocument/2006/relationships/ctrlProp" Target="../ctrlProps/ctrlProp81.xml"/><Relationship Id="rId38" Type="http://schemas.openxmlformats.org/officeDocument/2006/relationships/ctrlProp" Target="../ctrlProps/ctrlProp86.xml"/><Relationship Id="rId59" Type="http://schemas.openxmlformats.org/officeDocument/2006/relationships/ctrlProp" Target="../ctrlProps/ctrlProp107.xml"/><Relationship Id="rId103" Type="http://schemas.openxmlformats.org/officeDocument/2006/relationships/ctrlProp" Target="../ctrlProps/ctrlProp151.xml"/><Relationship Id="rId108" Type="http://schemas.openxmlformats.org/officeDocument/2006/relationships/ctrlProp" Target="../ctrlProps/ctrlProp156.xml"/><Relationship Id="rId124" Type="http://schemas.openxmlformats.org/officeDocument/2006/relationships/ctrlProp" Target="../ctrlProps/ctrlProp172.xml"/><Relationship Id="rId129" Type="http://schemas.openxmlformats.org/officeDocument/2006/relationships/ctrlProp" Target="../ctrlProps/ctrlProp177.xml"/><Relationship Id="rId54" Type="http://schemas.openxmlformats.org/officeDocument/2006/relationships/ctrlProp" Target="../ctrlProps/ctrlProp102.xml"/><Relationship Id="rId70" Type="http://schemas.openxmlformats.org/officeDocument/2006/relationships/ctrlProp" Target="../ctrlProps/ctrlProp118.xml"/><Relationship Id="rId75" Type="http://schemas.openxmlformats.org/officeDocument/2006/relationships/ctrlProp" Target="../ctrlProps/ctrlProp123.xml"/><Relationship Id="rId91" Type="http://schemas.openxmlformats.org/officeDocument/2006/relationships/ctrlProp" Target="../ctrlProps/ctrlProp139.xml"/><Relationship Id="rId96" Type="http://schemas.openxmlformats.org/officeDocument/2006/relationships/ctrlProp" Target="../ctrlProps/ctrlProp144.xml"/><Relationship Id="rId140" Type="http://schemas.openxmlformats.org/officeDocument/2006/relationships/ctrlProp" Target="../ctrlProps/ctrlProp188.xml"/><Relationship Id="rId145" Type="http://schemas.openxmlformats.org/officeDocument/2006/relationships/ctrlProp" Target="../ctrlProps/ctrlProp193.xml"/><Relationship Id="rId1" Type="http://schemas.openxmlformats.org/officeDocument/2006/relationships/printerSettings" Target="../printerSettings/printerSettings7.bin"/><Relationship Id="rId6" Type="http://schemas.openxmlformats.org/officeDocument/2006/relationships/ctrlProp" Target="../ctrlProps/ctrlProp54.xml"/><Relationship Id="rId23" Type="http://schemas.openxmlformats.org/officeDocument/2006/relationships/ctrlProp" Target="../ctrlProps/ctrlProp71.xml"/><Relationship Id="rId28" Type="http://schemas.openxmlformats.org/officeDocument/2006/relationships/ctrlProp" Target="../ctrlProps/ctrlProp76.xml"/><Relationship Id="rId49" Type="http://schemas.openxmlformats.org/officeDocument/2006/relationships/ctrlProp" Target="../ctrlProps/ctrlProp97.xml"/><Relationship Id="rId114" Type="http://schemas.openxmlformats.org/officeDocument/2006/relationships/ctrlProp" Target="../ctrlProps/ctrlProp162.xml"/><Relationship Id="rId119" Type="http://schemas.openxmlformats.org/officeDocument/2006/relationships/ctrlProp" Target="../ctrlProps/ctrlProp167.xml"/><Relationship Id="rId44" Type="http://schemas.openxmlformats.org/officeDocument/2006/relationships/ctrlProp" Target="../ctrlProps/ctrlProp92.xml"/><Relationship Id="rId60" Type="http://schemas.openxmlformats.org/officeDocument/2006/relationships/ctrlProp" Target="../ctrlProps/ctrlProp108.xml"/><Relationship Id="rId65" Type="http://schemas.openxmlformats.org/officeDocument/2006/relationships/ctrlProp" Target="../ctrlProps/ctrlProp113.xml"/><Relationship Id="rId81" Type="http://schemas.openxmlformats.org/officeDocument/2006/relationships/ctrlProp" Target="../ctrlProps/ctrlProp129.xml"/><Relationship Id="rId86" Type="http://schemas.openxmlformats.org/officeDocument/2006/relationships/ctrlProp" Target="../ctrlProps/ctrlProp134.xml"/><Relationship Id="rId130" Type="http://schemas.openxmlformats.org/officeDocument/2006/relationships/ctrlProp" Target="../ctrlProps/ctrlProp178.xml"/><Relationship Id="rId135" Type="http://schemas.openxmlformats.org/officeDocument/2006/relationships/ctrlProp" Target="../ctrlProps/ctrlProp183.xml"/><Relationship Id="rId151" Type="http://schemas.openxmlformats.org/officeDocument/2006/relationships/ctrlProp" Target="../ctrlProps/ctrlProp199.xml"/><Relationship Id="rId13" Type="http://schemas.openxmlformats.org/officeDocument/2006/relationships/ctrlProp" Target="../ctrlProps/ctrlProp61.xml"/><Relationship Id="rId18" Type="http://schemas.openxmlformats.org/officeDocument/2006/relationships/ctrlProp" Target="../ctrlProps/ctrlProp66.xml"/><Relationship Id="rId39" Type="http://schemas.openxmlformats.org/officeDocument/2006/relationships/ctrlProp" Target="../ctrlProps/ctrlProp87.xml"/><Relationship Id="rId109" Type="http://schemas.openxmlformats.org/officeDocument/2006/relationships/ctrlProp" Target="../ctrlProps/ctrlProp15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104" Type="http://schemas.openxmlformats.org/officeDocument/2006/relationships/ctrlProp" Target="../ctrlProps/ctrlProp152.xml"/><Relationship Id="rId120" Type="http://schemas.openxmlformats.org/officeDocument/2006/relationships/ctrlProp" Target="../ctrlProps/ctrlProp168.xml"/><Relationship Id="rId125" Type="http://schemas.openxmlformats.org/officeDocument/2006/relationships/ctrlProp" Target="../ctrlProps/ctrlProp173.xml"/><Relationship Id="rId141" Type="http://schemas.openxmlformats.org/officeDocument/2006/relationships/ctrlProp" Target="../ctrlProps/ctrlProp189.xml"/><Relationship Id="rId146" Type="http://schemas.openxmlformats.org/officeDocument/2006/relationships/ctrlProp" Target="../ctrlProps/ctrlProp194.xml"/><Relationship Id="rId7" Type="http://schemas.openxmlformats.org/officeDocument/2006/relationships/ctrlProp" Target="../ctrlProps/ctrlProp55.xml"/><Relationship Id="rId71" Type="http://schemas.openxmlformats.org/officeDocument/2006/relationships/ctrlProp" Target="../ctrlProps/ctrlProp119.xml"/><Relationship Id="rId92" Type="http://schemas.openxmlformats.org/officeDocument/2006/relationships/ctrlProp" Target="../ctrlProps/ctrlProp140.xml"/><Relationship Id="rId2" Type="http://schemas.openxmlformats.org/officeDocument/2006/relationships/drawing" Target="../drawings/drawing4.xml"/><Relationship Id="rId29" Type="http://schemas.openxmlformats.org/officeDocument/2006/relationships/ctrlProp" Target="../ctrlProps/ctrlProp77.xml"/><Relationship Id="rId24" Type="http://schemas.openxmlformats.org/officeDocument/2006/relationships/ctrlProp" Target="../ctrlProps/ctrlProp72.x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110" Type="http://schemas.openxmlformats.org/officeDocument/2006/relationships/ctrlProp" Target="../ctrlProps/ctrlProp158.xml"/><Relationship Id="rId115" Type="http://schemas.openxmlformats.org/officeDocument/2006/relationships/ctrlProp" Target="../ctrlProps/ctrlProp163.xml"/><Relationship Id="rId131" Type="http://schemas.openxmlformats.org/officeDocument/2006/relationships/ctrlProp" Target="../ctrlProps/ctrlProp179.xml"/><Relationship Id="rId136" Type="http://schemas.openxmlformats.org/officeDocument/2006/relationships/ctrlProp" Target="../ctrlProps/ctrlProp184.xml"/><Relationship Id="rId61" Type="http://schemas.openxmlformats.org/officeDocument/2006/relationships/ctrlProp" Target="../ctrlProps/ctrlProp109.xml"/><Relationship Id="rId82" Type="http://schemas.openxmlformats.org/officeDocument/2006/relationships/ctrlProp" Target="../ctrlProps/ctrlProp130.xml"/><Relationship Id="rId152" Type="http://schemas.openxmlformats.org/officeDocument/2006/relationships/ctrlProp" Target="../ctrlProps/ctrlProp200.xml"/><Relationship Id="rId19" Type="http://schemas.openxmlformats.org/officeDocument/2006/relationships/ctrlProp" Target="../ctrlProps/ctrlProp67.xml"/><Relationship Id="rId14" Type="http://schemas.openxmlformats.org/officeDocument/2006/relationships/ctrlProp" Target="../ctrlProps/ctrlProp62.xml"/><Relationship Id="rId30" Type="http://schemas.openxmlformats.org/officeDocument/2006/relationships/ctrlProp" Target="../ctrlProps/ctrlProp78.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100" Type="http://schemas.openxmlformats.org/officeDocument/2006/relationships/ctrlProp" Target="../ctrlProps/ctrlProp148.xml"/><Relationship Id="rId105" Type="http://schemas.openxmlformats.org/officeDocument/2006/relationships/ctrlProp" Target="../ctrlProps/ctrlProp153.xml"/><Relationship Id="rId126" Type="http://schemas.openxmlformats.org/officeDocument/2006/relationships/ctrlProp" Target="../ctrlProps/ctrlProp174.xml"/><Relationship Id="rId147" Type="http://schemas.openxmlformats.org/officeDocument/2006/relationships/ctrlProp" Target="../ctrlProps/ctrlProp195.xml"/><Relationship Id="rId8" Type="http://schemas.openxmlformats.org/officeDocument/2006/relationships/ctrlProp" Target="../ctrlProps/ctrlProp56.xml"/><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98" Type="http://schemas.openxmlformats.org/officeDocument/2006/relationships/ctrlProp" Target="../ctrlProps/ctrlProp146.xml"/><Relationship Id="rId121" Type="http://schemas.openxmlformats.org/officeDocument/2006/relationships/ctrlProp" Target="../ctrlProps/ctrlProp169.xml"/><Relationship Id="rId142" Type="http://schemas.openxmlformats.org/officeDocument/2006/relationships/ctrlProp" Target="../ctrlProps/ctrlProp190.xml"/><Relationship Id="rId3" Type="http://schemas.openxmlformats.org/officeDocument/2006/relationships/vmlDrawing" Target="../drawings/vmlDrawing5.vml"/><Relationship Id="rId25" Type="http://schemas.openxmlformats.org/officeDocument/2006/relationships/ctrlProp" Target="../ctrlProps/ctrlProp73.xml"/><Relationship Id="rId46" Type="http://schemas.openxmlformats.org/officeDocument/2006/relationships/ctrlProp" Target="../ctrlProps/ctrlProp94.xml"/><Relationship Id="rId67" Type="http://schemas.openxmlformats.org/officeDocument/2006/relationships/ctrlProp" Target="../ctrlProps/ctrlProp115.xml"/><Relationship Id="rId116" Type="http://schemas.openxmlformats.org/officeDocument/2006/relationships/ctrlProp" Target="../ctrlProps/ctrlProp164.xml"/><Relationship Id="rId137" Type="http://schemas.openxmlformats.org/officeDocument/2006/relationships/ctrlProp" Target="../ctrlProps/ctrlProp185.xml"/><Relationship Id="rId20" Type="http://schemas.openxmlformats.org/officeDocument/2006/relationships/ctrlProp" Target="../ctrlProps/ctrlProp68.xml"/><Relationship Id="rId41" Type="http://schemas.openxmlformats.org/officeDocument/2006/relationships/ctrlProp" Target="../ctrlProps/ctrlProp89.xml"/><Relationship Id="rId62" Type="http://schemas.openxmlformats.org/officeDocument/2006/relationships/ctrlProp" Target="../ctrlProps/ctrlProp110.xml"/><Relationship Id="rId83" Type="http://schemas.openxmlformats.org/officeDocument/2006/relationships/ctrlProp" Target="../ctrlProps/ctrlProp131.xml"/><Relationship Id="rId88" Type="http://schemas.openxmlformats.org/officeDocument/2006/relationships/ctrlProp" Target="../ctrlProps/ctrlProp136.xml"/><Relationship Id="rId111" Type="http://schemas.openxmlformats.org/officeDocument/2006/relationships/ctrlProp" Target="../ctrlProps/ctrlProp159.xml"/><Relationship Id="rId132" Type="http://schemas.openxmlformats.org/officeDocument/2006/relationships/ctrlProp" Target="../ctrlProps/ctrlProp180.xml"/><Relationship Id="rId153" Type="http://schemas.openxmlformats.org/officeDocument/2006/relationships/ctrlProp" Target="../ctrlProps/ctrlProp201.xml"/><Relationship Id="rId15" Type="http://schemas.openxmlformats.org/officeDocument/2006/relationships/ctrlProp" Target="../ctrlProps/ctrlProp63.xml"/><Relationship Id="rId36" Type="http://schemas.openxmlformats.org/officeDocument/2006/relationships/ctrlProp" Target="../ctrlProps/ctrlProp84.xml"/><Relationship Id="rId57" Type="http://schemas.openxmlformats.org/officeDocument/2006/relationships/ctrlProp" Target="../ctrlProps/ctrlProp105.xml"/><Relationship Id="rId106" Type="http://schemas.openxmlformats.org/officeDocument/2006/relationships/ctrlProp" Target="../ctrlProps/ctrlProp154.xml"/><Relationship Id="rId127" Type="http://schemas.openxmlformats.org/officeDocument/2006/relationships/ctrlProp" Target="../ctrlProps/ctrlProp175.xml"/><Relationship Id="rId10" Type="http://schemas.openxmlformats.org/officeDocument/2006/relationships/ctrlProp" Target="../ctrlProps/ctrlProp58.xml"/><Relationship Id="rId31" Type="http://schemas.openxmlformats.org/officeDocument/2006/relationships/ctrlProp" Target="../ctrlProps/ctrlProp79.xml"/><Relationship Id="rId52" Type="http://schemas.openxmlformats.org/officeDocument/2006/relationships/ctrlProp" Target="../ctrlProps/ctrlProp100.xml"/><Relationship Id="rId73" Type="http://schemas.openxmlformats.org/officeDocument/2006/relationships/ctrlProp" Target="../ctrlProps/ctrlProp121.xml"/><Relationship Id="rId78" Type="http://schemas.openxmlformats.org/officeDocument/2006/relationships/ctrlProp" Target="../ctrlProps/ctrlProp126.xml"/><Relationship Id="rId94" Type="http://schemas.openxmlformats.org/officeDocument/2006/relationships/ctrlProp" Target="../ctrlProps/ctrlProp142.xml"/><Relationship Id="rId99" Type="http://schemas.openxmlformats.org/officeDocument/2006/relationships/ctrlProp" Target="../ctrlProps/ctrlProp147.xml"/><Relationship Id="rId101" Type="http://schemas.openxmlformats.org/officeDocument/2006/relationships/ctrlProp" Target="../ctrlProps/ctrlProp149.xml"/><Relationship Id="rId122" Type="http://schemas.openxmlformats.org/officeDocument/2006/relationships/ctrlProp" Target="../ctrlProps/ctrlProp170.xml"/><Relationship Id="rId143" Type="http://schemas.openxmlformats.org/officeDocument/2006/relationships/ctrlProp" Target="../ctrlProps/ctrlProp191.xml"/><Relationship Id="rId148" Type="http://schemas.openxmlformats.org/officeDocument/2006/relationships/ctrlProp" Target="../ctrlProps/ctrlProp196.xml"/><Relationship Id="rId4" Type="http://schemas.openxmlformats.org/officeDocument/2006/relationships/ctrlProp" Target="../ctrlProps/ctrlProp52.xml"/><Relationship Id="rId9" Type="http://schemas.openxmlformats.org/officeDocument/2006/relationships/ctrlProp" Target="../ctrlProps/ctrlProp57.xml"/><Relationship Id="rId26" Type="http://schemas.openxmlformats.org/officeDocument/2006/relationships/ctrlProp" Target="../ctrlProps/ctrlProp74.xml"/><Relationship Id="rId47" Type="http://schemas.openxmlformats.org/officeDocument/2006/relationships/ctrlProp" Target="../ctrlProps/ctrlProp95.xml"/><Relationship Id="rId68" Type="http://schemas.openxmlformats.org/officeDocument/2006/relationships/ctrlProp" Target="../ctrlProps/ctrlProp116.xml"/><Relationship Id="rId89" Type="http://schemas.openxmlformats.org/officeDocument/2006/relationships/ctrlProp" Target="../ctrlProps/ctrlProp137.xml"/><Relationship Id="rId112" Type="http://schemas.openxmlformats.org/officeDocument/2006/relationships/ctrlProp" Target="../ctrlProps/ctrlProp160.xml"/><Relationship Id="rId133" Type="http://schemas.openxmlformats.org/officeDocument/2006/relationships/ctrlProp" Target="../ctrlProps/ctrlProp181.xml"/><Relationship Id="rId154" Type="http://schemas.openxmlformats.org/officeDocument/2006/relationships/comments" Target="../comments5.xml"/><Relationship Id="rId16" Type="http://schemas.openxmlformats.org/officeDocument/2006/relationships/ctrlProp" Target="../ctrlProps/ctrlProp64.xml"/><Relationship Id="rId37" Type="http://schemas.openxmlformats.org/officeDocument/2006/relationships/ctrlProp" Target="../ctrlProps/ctrlProp85.xml"/><Relationship Id="rId58" Type="http://schemas.openxmlformats.org/officeDocument/2006/relationships/ctrlProp" Target="../ctrlProps/ctrlProp106.xml"/><Relationship Id="rId79" Type="http://schemas.openxmlformats.org/officeDocument/2006/relationships/ctrlProp" Target="../ctrlProps/ctrlProp127.xml"/><Relationship Id="rId102" Type="http://schemas.openxmlformats.org/officeDocument/2006/relationships/ctrlProp" Target="../ctrlProps/ctrlProp150.xml"/><Relationship Id="rId123" Type="http://schemas.openxmlformats.org/officeDocument/2006/relationships/ctrlProp" Target="../ctrlProps/ctrlProp171.xml"/><Relationship Id="rId144" Type="http://schemas.openxmlformats.org/officeDocument/2006/relationships/ctrlProp" Target="../ctrlProps/ctrlProp192.xml"/><Relationship Id="rId90" Type="http://schemas.openxmlformats.org/officeDocument/2006/relationships/ctrlProp" Target="../ctrlProps/ctrlProp13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18" Type="http://schemas.openxmlformats.org/officeDocument/2006/relationships/ctrlProp" Target="../ctrlProps/ctrlProp216.xml"/><Relationship Id="rId3" Type="http://schemas.openxmlformats.org/officeDocument/2006/relationships/vmlDrawing" Target="../drawings/vmlDrawing6.vml"/><Relationship Id="rId21" Type="http://schemas.openxmlformats.org/officeDocument/2006/relationships/ctrlProp" Target="../ctrlProps/ctrlProp219.xml"/><Relationship Id="rId7" Type="http://schemas.openxmlformats.org/officeDocument/2006/relationships/ctrlProp" Target="../ctrlProps/ctrlProp205.xml"/><Relationship Id="rId12" Type="http://schemas.openxmlformats.org/officeDocument/2006/relationships/ctrlProp" Target="../ctrlProps/ctrlProp210.xml"/><Relationship Id="rId17" Type="http://schemas.openxmlformats.org/officeDocument/2006/relationships/ctrlProp" Target="../ctrlProps/ctrlProp215.xml"/><Relationship Id="rId2" Type="http://schemas.openxmlformats.org/officeDocument/2006/relationships/drawing" Target="../drawings/drawing5.xml"/><Relationship Id="rId16" Type="http://schemas.openxmlformats.org/officeDocument/2006/relationships/ctrlProp" Target="../ctrlProps/ctrlProp214.xml"/><Relationship Id="rId20" Type="http://schemas.openxmlformats.org/officeDocument/2006/relationships/ctrlProp" Target="../ctrlProps/ctrlProp218.xml"/><Relationship Id="rId1" Type="http://schemas.openxmlformats.org/officeDocument/2006/relationships/printerSettings" Target="../printerSettings/printerSettings8.bin"/><Relationship Id="rId6" Type="http://schemas.openxmlformats.org/officeDocument/2006/relationships/ctrlProp" Target="../ctrlProps/ctrlProp204.xml"/><Relationship Id="rId11" Type="http://schemas.openxmlformats.org/officeDocument/2006/relationships/ctrlProp" Target="../ctrlProps/ctrlProp209.xml"/><Relationship Id="rId24" Type="http://schemas.openxmlformats.org/officeDocument/2006/relationships/comments" Target="../comments6.xml"/><Relationship Id="rId5" Type="http://schemas.openxmlformats.org/officeDocument/2006/relationships/ctrlProp" Target="../ctrlProps/ctrlProp203.xml"/><Relationship Id="rId15" Type="http://schemas.openxmlformats.org/officeDocument/2006/relationships/ctrlProp" Target="../ctrlProps/ctrlProp213.xml"/><Relationship Id="rId23" Type="http://schemas.openxmlformats.org/officeDocument/2006/relationships/ctrlProp" Target="../ctrlProps/ctrlProp221.xml"/><Relationship Id="rId10" Type="http://schemas.openxmlformats.org/officeDocument/2006/relationships/ctrlProp" Target="../ctrlProps/ctrlProp208.xml"/><Relationship Id="rId19" Type="http://schemas.openxmlformats.org/officeDocument/2006/relationships/ctrlProp" Target="../ctrlProps/ctrlProp217.xml"/><Relationship Id="rId4" Type="http://schemas.openxmlformats.org/officeDocument/2006/relationships/ctrlProp" Target="../ctrlProps/ctrlProp202.xml"/><Relationship Id="rId9" Type="http://schemas.openxmlformats.org/officeDocument/2006/relationships/ctrlProp" Target="../ctrlProps/ctrlProp207.xml"/><Relationship Id="rId14" Type="http://schemas.openxmlformats.org/officeDocument/2006/relationships/ctrlProp" Target="../ctrlProps/ctrlProp212.xml"/><Relationship Id="rId22" Type="http://schemas.openxmlformats.org/officeDocument/2006/relationships/ctrlProp" Target="../ctrlProps/ctrlProp220.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30.xml"/><Relationship Id="rId18" Type="http://schemas.openxmlformats.org/officeDocument/2006/relationships/ctrlProp" Target="../ctrlProps/ctrlProp235.xml"/><Relationship Id="rId26" Type="http://schemas.openxmlformats.org/officeDocument/2006/relationships/ctrlProp" Target="../ctrlProps/ctrlProp243.xml"/><Relationship Id="rId3" Type="http://schemas.openxmlformats.org/officeDocument/2006/relationships/drawing" Target="../drawings/drawing6.xml"/><Relationship Id="rId21" Type="http://schemas.openxmlformats.org/officeDocument/2006/relationships/ctrlProp" Target="../ctrlProps/ctrlProp238.xml"/><Relationship Id="rId34" Type="http://schemas.openxmlformats.org/officeDocument/2006/relationships/ctrlProp" Target="../ctrlProps/ctrlProp251.xml"/><Relationship Id="rId7" Type="http://schemas.openxmlformats.org/officeDocument/2006/relationships/ctrlProp" Target="../ctrlProps/ctrlProp224.xml"/><Relationship Id="rId12" Type="http://schemas.openxmlformats.org/officeDocument/2006/relationships/ctrlProp" Target="../ctrlProps/ctrlProp229.xml"/><Relationship Id="rId17" Type="http://schemas.openxmlformats.org/officeDocument/2006/relationships/ctrlProp" Target="../ctrlProps/ctrlProp234.xml"/><Relationship Id="rId25" Type="http://schemas.openxmlformats.org/officeDocument/2006/relationships/ctrlProp" Target="../ctrlProps/ctrlProp242.xml"/><Relationship Id="rId33" Type="http://schemas.openxmlformats.org/officeDocument/2006/relationships/ctrlProp" Target="../ctrlProps/ctrlProp250.xml"/><Relationship Id="rId2" Type="http://schemas.openxmlformats.org/officeDocument/2006/relationships/printerSettings" Target="../printerSettings/printerSettings9.bin"/><Relationship Id="rId16" Type="http://schemas.openxmlformats.org/officeDocument/2006/relationships/ctrlProp" Target="../ctrlProps/ctrlProp233.xml"/><Relationship Id="rId20" Type="http://schemas.openxmlformats.org/officeDocument/2006/relationships/ctrlProp" Target="../ctrlProps/ctrlProp237.xml"/><Relationship Id="rId29" Type="http://schemas.openxmlformats.org/officeDocument/2006/relationships/ctrlProp" Target="../ctrlProps/ctrlProp246.xml"/><Relationship Id="rId1" Type="http://schemas.openxmlformats.org/officeDocument/2006/relationships/hyperlink" Target="https://www.wri.org/applications/aqueduct/water-risk-atlas" TargetMode="External"/><Relationship Id="rId6" Type="http://schemas.openxmlformats.org/officeDocument/2006/relationships/ctrlProp" Target="../ctrlProps/ctrlProp223.xml"/><Relationship Id="rId11" Type="http://schemas.openxmlformats.org/officeDocument/2006/relationships/ctrlProp" Target="../ctrlProps/ctrlProp228.xml"/><Relationship Id="rId24" Type="http://schemas.openxmlformats.org/officeDocument/2006/relationships/ctrlProp" Target="../ctrlProps/ctrlProp241.xml"/><Relationship Id="rId32" Type="http://schemas.openxmlformats.org/officeDocument/2006/relationships/ctrlProp" Target="../ctrlProps/ctrlProp249.xml"/><Relationship Id="rId5" Type="http://schemas.openxmlformats.org/officeDocument/2006/relationships/ctrlProp" Target="../ctrlProps/ctrlProp222.xml"/><Relationship Id="rId15" Type="http://schemas.openxmlformats.org/officeDocument/2006/relationships/ctrlProp" Target="../ctrlProps/ctrlProp232.xml"/><Relationship Id="rId23" Type="http://schemas.openxmlformats.org/officeDocument/2006/relationships/ctrlProp" Target="../ctrlProps/ctrlProp240.xml"/><Relationship Id="rId28" Type="http://schemas.openxmlformats.org/officeDocument/2006/relationships/ctrlProp" Target="../ctrlProps/ctrlProp245.xml"/><Relationship Id="rId10" Type="http://schemas.openxmlformats.org/officeDocument/2006/relationships/ctrlProp" Target="../ctrlProps/ctrlProp227.xml"/><Relationship Id="rId19" Type="http://schemas.openxmlformats.org/officeDocument/2006/relationships/ctrlProp" Target="../ctrlProps/ctrlProp236.xml"/><Relationship Id="rId31" Type="http://schemas.openxmlformats.org/officeDocument/2006/relationships/ctrlProp" Target="../ctrlProps/ctrlProp248.xml"/><Relationship Id="rId4" Type="http://schemas.openxmlformats.org/officeDocument/2006/relationships/vmlDrawing" Target="../drawings/vmlDrawing7.vml"/><Relationship Id="rId9" Type="http://schemas.openxmlformats.org/officeDocument/2006/relationships/ctrlProp" Target="../ctrlProps/ctrlProp226.xml"/><Relationship Id="rId14" Type="http://schemas.openxmlformats.org/officeDocument/2006/relationships/ctrlProp" Target="../ctrlProps/ctrlProp231.xml"/><Relationship Id="rId22" Type="http://schemas.openxmlformats.org/officeDocument/2006/relationships/ctrlProp" Target="../ctrlProps/ctrlProp239.xml"/><Relationship Id="rId27" Type="http://schemas.openxmlformats.org/officeDocument/2006/relationships/ctrlProp" Target="../ctrlProps/ctrlProp244.xml"/><Relationship Id="rId30" Type="http://schemas.openxmlformats.org/officeDocument/2006/relationships/ctrlProp" Target="../ctrlProps/ctrlProp247.xml"/><Relationship Id="rId35" Type="http://schemas.openxmlformats.org/officeDocument/2006/relationships/comments" Target="../comments7.xml"/><Relationship Id="rId8" Type="http://schemas.openxmlformats.org/officeDocument/2006/relationships/ctrlProp" Target="../ctrlProps/ctrlProp2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6"/>
  <sheetViews>
    <sheetView topLeftCell="A3" zoomScale="90" zoomScaleNormal="90" workbookViewId="0">
      <selection activeCell="A5" sqref="A5"/>
    </sheetView>
  </sheetViews>
  <sheetFormatPr defaultColWidth="8.81640625" defaultRowHeight="14.5" x14ac:dyDescent="0.35"/>
  <cols>
    <col min="1" max="1" width="150.453125" customWidth="1"/>
  </cols>
  <sheetData>
    <row r="1" spans="1:1" ht="76.5" customHeight="1" x14ac:dyDescent="0.35">
      <c r="A1" s="497" t="s">
        <v>7715</v>
      </c>
    </row>
    <row r="2" spans="1:1" ht="76.5" customHeight="1" x14ac:dyDescent="0.35">
      <c r="A2" s="497" t="s">
        <v>7715</v>
      </c>
    </row>
    <row r="3" spans="1:1" ht="120.75" customHeight="1" x14ac:dyDescent="0.35">
      <c r="A3" s="497" t="s">
        <v>8023</v>
      </c>
    </row>
    <row r="4" spans="1:1" ht="92.25" customHeight="1" x14ac:dyDescent="0.35">
      <c r="A4" s="497" t="s">
        <v>7716</v>
      </c>
    </row>
    <row r="5" spans="1:1" ht="104.25" customHeight="1" x14ac:dyDescent="0.35">
      <c r="A5" s="5" t="s">
        <v>8636</v>
      </c>
    </row>
    <row r="6" spans="1:1" ht="94" customHeight="1" x14ac:dyDescent="0.35">
      <c r="A6" s="6" t="s">
        <v>8968</v>
      </c>
    </row>
  </sheetData>
  <sheetProtection algorithmName="SHA-512" hashValue="S0nUQmd0HwSTGTINl4BDGzpqExCXpz/nxAH/dzlRrATC8sU4T/+VFfkv3WiB2+3GZd+fR2ig06d1SEtHaAADug==" saltValue="bteMlp9tDRnTGTpT4YAoxQ==" spinCount="100000" sheet="1" objects="1" scenarios="1"/>
  <pageMargins left="0.7" right="0.7" top="0.75" bottom="0.75" header="0.3" footer="0.3"/>
  <pageSetup paperSize="9" orientation="portrait" horizontalDpi="360" verticalDpi="36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6">
    <tabColor rgb="FF00B050"/>
  </sheetPr>
  <dimension ref="A1:J46"/>
  <sheetViews>
    <sheetView zoomScale="85" zoomScaleNormal="85" workbookViewId="0">
      <pane ySplit="2" topLeftCell="A6" activePane="bottomLeft" state="frozen"/>
      <selection activeCell="G28" sqref="G28"/>
      <selection pane="bottomLeft" sqref="A1:XFD1048576"/>
    </sheetView>
  </sheetViews>
  <sheetFormatPr defaultColWidth="9.1796875" defaultRowHeight="14.5" x14ac:dyDescent="0.35"/>
  <cols>
    <col min="1" max="1" width="8.1796875" style="1638" customWidth="1"/>
    <col min="2" max="2" width="19.6328125" style="566" customWidth="1"/>
    <col min="3" max="3" width="82.453125" style="556" customWidth="1"/>
    <col min="4" max="4" width="19.6328125" style="565" customWidth="1"/>
    <col min="5" max="5" width="21.453125" style="566" customWidth="1"/>
    <col min="6" max="6" width="20.453125" style="556" customWidth="1"/>
    <col min="7" max="7" width="15.1796875" style="556" customWidth="1"/>
    <col min="8" max="8" width="23" style="556" customWidth="1"/>
    <col min="9" max="9" width="12.36328125" style="556" customWidth="1"/>
    <col min="10" max="10" width="43.36328125" style="556" customWidth="1"/>
    <col min="11" max="16384" width="9.1796875" style="556"/>
  </cols>
  <sheetData>
    <row r="1" spans="1:10" ht="19" customHeight="1" thickBot="1" x14ac:dyDescent="0.4">
      <c r="A1" s="564"/>
      <c r="C1" s="1148" t="s">
        <v>8901</v>
      </c>
      <c r="D1" s="1703" t="s">
        <v>8414</v>
      </c>
      <c r="E1" s="1704"/>
      <c r="F1" s="554" t="str">
        <f>LOOKUP(' Preparation'!$F$4,Data!$B$2:$B$194,Data!$C$2:$C$194)</f>
        <v>€ (Euro)</v>
      </c>
      <c r="G1" s="1149"/>
    </row>
    <row r="2" spans="1:10" ht="19" thickBot="1" x14ac:dyDescent="0.4">
      <c r="A2" s="1150" t="s">
        <v>82</v>
      </c>
      <c r="B2" s="558" t="s">
        <v>150</v>
      </c>
      <c r="C2" s="558" t="s">
        <v>708</v>
      </c>
      <c r="D2" s="558" t="s">
        <v>224</v>
      </c>
      <c r="E2" s="501" t="s">
        <v>8112</v>
      </c>
      <c r="F2" s="559" t="s">
        <v>225</v>
      </c>
      <c r="G2" s="559" t="s">
        <v>258</v>
      </c>
    </row>
    <row r="3" spans="1:10" ht="19" thickBot="1" x14ac:dyDescent="0.4">
      <c r="A3" s="1151"/>
      <c r="B3" s="1727" t="s">
        <v>7794</v>
      </c>
      <c r="C3" s="1759"/>
      <c r="D3" s="1726"/>
      <c r="E3" s="1759"/>
      <c r="F3" s="1152"/>
      <c r="G3" s="1153"/>
    </row>
    <row r="4" spans="1:10" ht="23.25" customHeight="1" thickBot="1" x14ac:dyDescent="0.4">
      <c r="A4" s="1154"/>
      <c r="B4" s="1155" t="s">
        <v>89</v>
      </c>
      <c r="C4" s="1728" t="s">
        <v>8939</v>
      </c>
      <c r="D4" s="1729"/>
      <c r="E4" s="1729"/>
      <c r="F4" s="1729"/>
      <c r="G4" s="1729"/>
      <c r="H4" s="1729"/>
      <c r="I4" s="1729"/>
      <c r="J4" s="556" t="s">
        <v>7811</v>
      </c>
    </row>
    <row r="5" spans="1:10" ht="24.75" customHeight="1" x14ac:dyDescent="0.35">
      <c r="A5" s="1156" t="s">
        <v>761</v>
      </c>
      <c r="B5" s="1157" t="s">
        <v>762</v>
      </c>
      <c r="C5" s="1158" t="s">
        <v>2160</v>
      </c>
      <c r="D5" s="1159"/>
      <c r="E5" s="1158"/>
      <c r="F5" s="1158">
        <v>1</v>
      </c>
      <c r="G5" s="407" t="str">
        <f>IF(F5=1,"",IF(F5=2,"Goto LO 1",(IF(F5=3,"Goto FLO 1",IF(F5=4,"Goto LLO 1","Goto NALO 1")))))</f>
        <v/>
      </c>
      <c r="I5" s="556">
        <v>1</v>
      </c>
      <c r="J5" s="7" t="s">
        <v>7458</v>
      </c>
    </row>
    <row r="6" spans="1:10" ht="30.75" customHeight="1" x14ac:dyDescent="0.35">
      <c r="A6" s="564" t="s">
        <v>711</v>
      </c>
      <c r="B6" s="443" t="s">
        <v>107</v>
      </c>
      <c r="C6" s="727" t="s">
        <v>2170</v>
      </c>
      <c r="D6" s="1117" t="s">
        <v>710</v>
      </c>
      <c r="E6" s="523" t="s">
        <v>720</v>
      </c>
      <c r="F6" s="727">
        <v>1</v>
      </c>
      <c r="G6" s="407" t="str">
        <f>IF(F6=1,"",IF(F6=2,"Goto LO 14","Goto LO 2"))</f>
        <v/>
      </c>
      <c r="I6" s="556">
        <v>2</v>
      </c>
      <c r="J6" s="11" t="s">
        <v>763</v>
      </c>
    </row>
    <row r="7" spans="1:10" ht="29" x14ac:dyDescent="0.35">
      <c r="A7" s="564" t="s">
        <v>712</v>
      </c>
      <c r="B7" s="443" t="s">
        <v>721</v>
      </c>
      <c r="C7" s="727" t="s">
        <v>8647</v>
      </c>
      <c r="D7" s="1117" t="s">
        <v>69</v>
      </c>
      <c r="E7" s="523" t="s">
        <v>721</v>
      </c>
      <c r="F7" s="727">
        <v>1</v>
      </c>
      <c r="G7" s="407" t="str">
        <f>IF(F7=1,"",IF(F7=2,"Goto LO 3","Goto LO 4"))</f>
        <v/>
      </c>
      <c r="I7" s="556">
        <v>3</v>
      </c>
      <c r="J7" s="11" t="s">
        <v>764</v>
      </c>
    </row>
    <row r="8" spans="1:10" ht="46.5" customHeight="1" x14ac:dyDescent="0.35">
      <c r="A8" s="564" t="s">
        <v>713</v>
      </c>
      <c r="B8" s="443" t="s">
        <v>19</v>
      </c>
      <c r="C8" s="727" t="s">
        <v>8987</v>
      </c>
      <c r="D8" s="1117" t="s">
        <v>69</v>
      </c>
      <c r="E8" s="523" t="s">
        <v>8240</v>
      </c>
      <c r="F8" s="1858"/>
      <c r="G8" s="1160"/>
      <c r="I8" s="556">
        <v>4</v>
      </c>
      <c r="J8" s="11" t="s">
        <v>22</v>
      </c>
    </row>
    <row r="9" spans="1:10" ht="30.75" customHeight="1" thickBot="1" x14ac:dyDescent="0.4">
      <c r="A9" s="564" t="s">
        <v>714</v>
      </c>
      <c r="B9" s="443" t="s">
        <v>71</v>
      </c>
      <c r="C9" s="538" t="s">
        <v>8523</v>
      </c>
      <c r="D9" s="1117" t="s">
        <v>70</v>
      </c>
      <c r="E9" s="523" t="s">
        <v>8241</v>
      </c>
      <c r="F9" s="1859"/>
      <c r="G9" s="1160"/>
      <c r="I9" s="556">
        <v>5</v>
      </c>
      <c r="J9" s="11" t="s">
        <v>765</v>
      </c>
    </row>
    <row r="10" spans="1:10" ht="32.5" customHeight="1" thickBot="1" x14ac:dyDescent="0.4">
      <c r="A10" s="564" t="s">
        <v>715</v>
      </c>
      <c r="B10" s="443" t="s">
        <v>20</v>
      </c>
      <c r="C10" s="556" t="s">
        <v>8524</v>
      </c>
      <c r="D10" s="1117" t="s">
        <v>7760</v>
      </c>
      <c r="E10" s="523" t="s">
        <v>20</v>
      </c>
      <c r="F10" s="1161" t="str">
        <f>IF($F$6&lt;&gt;3,"",IF($F$9=0,0,IF($F$7=2,IF(AND(0.9&lt;($F$8/$F$9),($F$8/$F$9)&lt;1.1),1,($F$8/$F$9)),0.5)))</f>
        <v/>
      </c>
      <c r="G10" s="521"/>
    </row>
    <row r="11" spans="1:10" ht="31.5" customHeight="1" thickBot="1" x14ac:dyDescent="0.4">
      <c r="A11" s="564" t="s">
        <v>716</v>
      </c>
      <c r="B11" s="443" t="s">
        <v>7795</v>
      </c>
      <c r="C11" s="556" t="s">
        <v>7780</v>
      </c>
      <c r="D11" s="565" t="s">
        <v>7165</v>
      </c>
      <c r="E11" s="1622">
        <v>1</v>
      </c>
      <c r="F11" s="1622">
        <v>1</v>
      </c>
      <c r="G11" s="1622"/>
      <c r="H11" s="1622"/>
      <c r="I11" s="1622"/>
    </row>
    <row r="12" spans="1:10" ht="27.75" customHeight="1" thickBot="1" x14ac:dyDescent="0.4">
      <c r="A12" s="564" t="s">
        <v>717</v>
      </c>
      <c r="B12" s="443" t="s">
        <v>767</v>
      </c>
      <c r="C12" s="538" t="s">
        <v>742</v>
      </c>
      <c r="D12" s="1117" t="s">
        <v>7760</v>
      </c>
      <c r="E12" s="523" t="s">
        <v>8347</v>
      </c>
      <c r="F12" s="1162">
        <f>IF($F$10&gt;1,0,(1-$F$10))      *LOOKUP($F$11,Data!$X$2:$X$9,Data!$Z$2:$Z$9)</f>
        <v>0</v>
      </c>
      <c r="G12" s="1160"/>
    </row>
    <row r="13" spans="1:10" ht="27" customHeight="1" x14ac:dyDescent="0.35">
      <c r="A13" s="564" t="s">
        <v>718</v>
      </c>
      <c r="B13" s="443" t="s">
        <v>744</v>
      </c>
      <c r="C13" s="538" t="s">
        <v>743</v>
      </c>
      <c r="D13" s="1117" t="s">
        <v>69</v>
      </c>
      <c r="E13" s="523" t="s">
        <v>744</v>
      </c>
      <c r="F13" s="1916">
        <v>1</v>
      </c>
      <c r="G13" s="407" t="str">
        <f>IF($F$13=1,"",IF($F$13=2,"Goto LO 10","Goto LO 14"))</f>
        <v/>
      </c>
    </row>
    <row r="14" spans="1:10" ht="33.75" customHeight="1" x14ac:dyDescent="0.35">
      <c r="A14" s="564" t="s">
        <v>719</v>
      </c>
      <c r="B14" s="443" t="s">
        <v>8238</v>
      </c>
      <c r="C14" s="499" t="s">
        <v>8656</v>
      </c>
      <c r="D14" s="1117" t="s">
        <v>746</v>
      </c>
      <c r="E14" s="1163" t="s">
        <v>8237</v>
      </c>
      <c r="F14" s="1858"/>
      <c r="G14" s="407"/>
    </row>
    <row r="15" spans="1:10" ht="35.25" customHeight="1" thickBot="1" x14ac:dyDescent="0.4">
      <c r="A15" s="564" t="s">
        <v>722</v>
      </c>
      <c r="B15" s="443" t="s">
        <v>8080</v>
      </c>
      <c r="C15" s="538" t="s">
        <v>8239</v>
      </c>
      <c r="D15" s="1117" t="s">
        <v>746</v>
      </c>
      <c r="E15" s="523" t="s">
        <v>8348</v>
      </c>
      <c r="F15" s="1917"/>
      <c r="G15" s="521"/>
    </row>
    <row r="16" spans="1:10" ht="29.25" customHeight="1" thickBot="1" x14ac:dyDescent="0.4">
      <c r="A16" s="564" t="s">
        <v>723</v>
      </c>
      <c r="B16" s="443" t="s">
        <v>747</v>
      </c>
      <c r="C16" s="538" t="s">
        <v>8657</v>
      </c>
      <c r="D16" s="1117" t="s">
        <v>7760</v>
      </c>
      <c r="E16" s="523" t="s">
        <v>8349</v>
      </c>
      <c r="F16" s="1162">
        <f>IF($F$9=$F$8,0,$F$12*($F$9-$F$14)/($F$9-$F$8)+$F$15*($F$14-$F$8)/($F$9-$F$8))</f>
        <v>0</v>
      </c>
      <c r="G16" s="407"/>
    </row>
    <row r="17" spans="1:7" ht="21.75" customHeight="1" thickBot="1" x14ac:dyDescent="0.4">
      <c r="A17" s="564" t="s">
        <v>745</v>
      </c>
      <c r="B17" s="443" t="s">
        <v>73</v>
      </c>
      <c r="C17" s="538" t="s">
        <v>748</v>
      </c>
      <c r="D17" s="1117" t="s">
        <v>7760</v>
      </c>
      <c r="E17" s="523" t="s">
        <v>8658</v>
      </c>
      <c r="F17" s="1164" t="str">
        <f>IF(OR($F$5=1,$F$8=0),"",IF($F$6=2,0,IF($F$7=1,"",IF($F$13=1,"",IF($F$13=2,$F$16/$F$8,$F$12/$F$8)))))</f>
        <v/>
      </c>
      <c r="G17" s="1160"/>
    </row>
    <row r="18" spans="1:7" ht="23.25" customHeight="1" thickTop="1" thickBot="1" x14ac:dyDescent="0.4">
      <c r="A18" s="564" t="s">
        <v>7781</v>
      </c>
      <c r="B18" s="443" t="s">
        <v>272</v>
      </c>
      <c r="C18" s="720" t="s">
        <v>8242</v>
      </c>
      <c r="D18" s="1165"/>
      <c r="E18" s="1166"/>
      <c r="F18" s="1167" t="str">
        <f>IF(F6=1,"",IF(F6=2,0,F17))</f>
        <v/>
      </c>
      <c r="G18" s="1160"/>
    </row>
    <row r="19" spans="1:7" ht="15.5" thickTop="1" thickBot="1" x14ac:dyDescent="0.4">
      <c r="A19" s="564"/>
      <c r="B19" s="443"/>
      <c r="C19" s="727"/>
      <c r="D19" s="1117"/>
      <c r="E19" s="523"/>
      <c r="F19" s="727"/>
      <c r="G19" s="1132"/>
    </row>
    <row r="20" spans="1:7" ht="23.25" customHeight="1" thickBot="1" x14ac:dyDescent="0.4">
      <c r="A20" s="1151"/>
      <c r="B20" s="1727" t="s">
        <v>768</v>
      </c>
      <c r="C20" s="1759"/>
      <c r="D20" s="1168"/>
      <c r="E20" s="1153"/>
      <c r="F20" s="1153"/>
      <c r="G20" s="1153"/>
    </row>
    <row r="21" spans="1:7" ht="48.75" customHeight="1" x14ac:dyDescent="0.35">
      <c r="A21" s="1154"/>
      <c r="B21" s="407" t="s">
        <v>89</v>
      </c>
      <c r="C21" s="1762" t="s">
        <v>8988</v>
      </c>
      <c r="D21" s="1763"/>
      <c r="E21" s="1763"/>
      <c r="F21" s="1763"/>
      <c r="G21" s="1764"/>
    </row>
    <row r="22" spans="1:7" ht="40.5" customHeight="1" x14ac:dyDescent="0.35">
      <c r="A22" s="564" t="s">
        <v>749</v>
      </c>
      <c r="B22" s="443" t="s">
        <v>752</v>
      </c>
      <c r="C22" s="556" t="s">
        <v>755</v>
      </c>
      <c r="D22" s="1117" t="s">
        <v>21</v>
      </c>
      <c r="E22" s="523" t="s">
        <v>753</v>
      </c>
      <c r="F22" s="1130">
        <v>3</v>
      </c>
      <c r="G22" s="407" t="str">
        <f>IF($F$22=1,"",IF($F$22=2,"GotoFLO 5","Goto FLO 2"))</f>
        <v>Goto FLO 2</v>
      </c>
    </row>
    <row r="23" spans="1:7" ht="33.75" customHeight="1" x14ac:dyDescent="0.35">
      <c r="A23" s="564" t="s">
        <v>754</v>
      </c>
      <c r="B23" s="443" t="s">
        <v>756</v>
      </c>
      <c r="C23" s="556" t="s">
        <v>7804</v>
      </c>
      <c r="D23" s="1117" t="s">
        <v>756</v>
      </c>
      <c r="E23" s="523" t="s">
        <v>78</v>
      </c>
      <c r="F23" s="683"/>
      <c r="G23" s="617"/>
    </row>
    <row r="24" spans="1:7" ht="48" customHeight="1" x14ac:dyDescent="0.35">
      <c r="A24" s="564" t="s">
        <v>757</v>
      </c>
      <c r="B24" s="443" t="s">
        <v>7807</v>
      </c>
      <c r="C24" s="556" t="s">
        <v>8989</v>
      </c>
      <c r="D24" s="1117"/>
      <c r="E24" s="523" t="s">
        <v>7810</v>
      </c>
      <c r="F24" s="1137"/>
      <c r="G24" s="617"/>
    </row>
    <row r="25" spans="1:7" ht="34.5" customHeight="1" x14ac:dyDescent="0.35">
      <c r="A25" s="564" t="s">
        <v>758</v>
      </c>
      <c r="B25" s="443" t="s">
        <v>7808</v>
      </c>
      <c r="C25" s="556" t="s">
        <v>7806</v>
      </c>
      <c r="D25" s="1117" t="s">
        <v>76</v>
      </c>
      <c r="E25" s="523" t="s">
        <v>7809</v>
      </c>
      <c r="F25" s="1137"/>
      <c r="G25" s="1132"/>
    </row>
    <row r="26" spans="1:7" ht="29.5" thickBot="1" x14ac:dyDescent="0.4">
      <c r="A26" s="564" t="s">
        <v>759</v>
      </c>
      <c r="B26" s="443" t="s">
        <v>7805</v>
      </c>
      <c r="C26" s="556" t="s">
        <v>8525</v>
      </c>
      <c r="D26" s="1117" t="s">
        <v>7759</v>
      </c>
      <c r="E26" s="523" t="s">
        <v>8350</v>
      </c>
      <c r="F26" s="1169">
        <f>$F$23*(1-$F$24)*(1-$F$25)*Pol.Data!$K$30*1.8</f>
        <v>0</v>
      </c>
      <c r="G26" s="1132"/>
    </row>
    <row r="27" spans="1:7" ht="38" thickTop="1" thickBot="1" x14ac:dyDescent="0.4">
      <c r="A27" s="564" t="s">
        <v>7812</v>
      </c>
      <c r="B27" s="443" t="s">
        <v>272</v>
      </c>
      <c r="C27" s="1170" t="s">
        <v>760</v>
      </c>
      <c r="D27" s="1165"/>
      <c r="E27" s="1166"/>
      <c r="F27" s="1167">
        <f>IF(F22=1,"",$F$26)</f>
        <v>0</v>
      </c>
      <c r="G27" s="1132"/>
    </row>
    <row r="28" spans="1:7" ht="15.5" thickTop="1" thickBot="1" x14ac:dyDescent="0.4">
      <c r="A28" s="564"/>
      <c r="B28" s="1171"/>
      <c r="C28" s="727"/>
      <c r="D28" s="1117"/>
      <c r="E28" s="523"/>
      <c r="F28" s="727"/>
      <c r="G28" s="1132"/>
    </row>
    <row r="29" spans="1:7" ht="19.5" customHeight="1" thickBot="1" x14ac:dyDescent="0.4">
      <c r="A29" s="1151"/>
      <c r="B29" s="1726" t="s">
        <v>769</v>
      </c>
      <c r="C29" s="1759"/>
      <c r="D29" s="1168"/>
      <c r="E29" s="1153"/>
      <c r="F29" s="1153"/>
      <c r="G29" s="1153"/>
    </row>
    <row r="30" spans="1:7" ht="23.5" customHeight="1" thickBot="1" x14ac:dyDescent="0.4">
      <c r="A30" s="1172"/>
      <c r="B30" s="1765" t="s">
        <v>8903</v>
      </c>
      <c r="C30" s="1765"/>
      <c r="D30" s="1765"/>
      <c r="E30" s="1765"/>
      <c r="F30" s="1765"/>
      <c r="G30" s="1173"/>
    </row>
    <row r="31" spans="1:7" ht="67.5" customHeight="1" x14ac:dyDescent="0.35">
      <c r="A31" s="1154"/>
      <c r="B31" s="407" t="s">
        <v>89</v>
      </c>
      <c r="C31" s="1760" t="s">
        <v>7813</v>
      </c>
      <c r="D31" s="1760"/>
      <c r="E31" s="1760"/>
      <c r="F31" s="1760"/>
      <c r="G31" s="1761"/>
    </row>
    <row r="32" spans="1:7" ht="52.5" customHeight="1" x14ac:dyDescent="0.35">
      <c r="A32" s="564" t="s">
        <v>750</v>
      </c>
      <c r="B32" s="443" t="s">
        <v>24</v>
      </c>
      <c r="C32" s="727" t="s">
        <v>7783</v>
      </c>
      <c r="D32" s="1117" t="s">
        <v>756</v>
      </c>
      <c r="E32" s="523" t="s">
        <v>8351</v>
      </c>
      <c r="F32" s="574"/>
      <c r="G32" s="617"/>
    </row>
    <row r="33" spans="1:7" ht="15" thickBot="1" x14ac:dyDescent="0.4">
      <c r="A33" s="564"/>
      <c r="B33" s="443"/>
      <c r="C33" s="727"/>
      <c r="D33" s="1117"/>
      <c r="E33" s="539"/>
      <c r="F33" s="525"/>
      <c r="G33" s="1132"/>
    </row>
    <row r="34" spans="1:7" ht="19" thickBot="1" x14ac:dyDescent="0.4">
      <c r="A34" s="1151"/>
      <c r="B34" s="1727" t="s">
        <v>770</v>
      </c>
      <c r="C34" s="1759"/>
      <c r="D34" s="1168"/>
      <c r="E34" s="1153"/>
      <c r="F34" s="1153"/>
      <c r="G34" s="1153"/>
    </row>
    <row r="35" spans="1:7" ht="63" customHeight="1" x14ac:dyDescent="0.35">
      <c r="A35" s="564" t="s">
        <v>751</v>
      </c>
      <c r="B35" s="443" t="s">
        <v>77</v>
      </c>
      <c r="C35" s="522" t="s">
        <v>7784</v>
      </c>
      <c r="D35" s="1117" t="s">
        <v>69</v>
      </c>
      <c r="E35" s="523" t="s">
        <v>7785</v>
      </c>
      <c r="F35" s="1130">
        <v>1</v>
      </c>
      <c r="G35" s="407" t="str">
        <f>IF(F35=1,"",IF(F35=2,"Goto NALO 5","Goto NALO 2"))</f>
        <v/>
      </c>
    </row>
    <row r="36" spans="1:7" ht="42" customHeight="1" x14ac:dyDescent="0.35">
      <c r="A36" s="564" t="s">
        <v>771</v>
      </c>
      <c r="B36" s="443" t="s">
        <v>74</v>
      </c>
      <c r="C36" s="727" t="s">
        <v>7787</v>
      </c>
      <c r="D36" s="1117" t="s">
        <v>69</v>
      </c>
      <c r="E36" s="523" t="s">
        <v>8243</v>
      </c>
      <c r="F36" s="574"/>
      <c r="G36" s="1132"/>
    </row>
    <row r="37" spans="1:7" ht="18.75" customHeight="1" thickBot="1" x14ac:dyDescent="0.4">
      <c r="A37" s="564" t="s">
        <v>772</v>
      </c>
      <c r="B37" s="443" t="s">
        <v>775</v>
      </c>
      <c r="C37" s="727" t="s">
        <v>7793</v>
      </c>
      <c r="D37" s="1117" t="s">
        <v>69</v>
      </c>
      <c r="E37" s="523" t="s">
        <v>7786</v>
      </c>
      <c r="F37" s="574"/>
      <c r="G37" s="1132"/>
    </row>
    <row r="38" spans="1:7" ht="33" customHeight="1" thickTop="1" thickBot="1" x14ac:dyDescent="0.4">
      <c r="A38" s="564" t="s">
        <v>773</v>
      </c>
      <c r="B38" s="443" t="s">
        <v>26</v>
      </c>
      <c r="C38" s="727" t="s">
        <v>7792</v>
      </c>
      <c r="D38" s="1117" t="s">
        <v>7759</v>
      </c>
      <c r="E38" s="1163" t="s">
        <v>8335</v>
      </c>
      <c r="F38" s="1174">
        <f>IF($F$37=0,0,$F$36*Data!$W$24/$F$37)</f>
        <v>0</v>
      </c>
      <c r="G38" s="1132"/>
    </row>
    <row r="39" spans="1:7" ht="19.5" thickTop="1" thickBot="1" x14ac:dyDescent="0.4">
      <c r="A39" s="564" t="s">
        <v>774</v>
      </c>
      <c r="B39" s="714" t="s">
        <v>272</v>
      </c>
      <c r="C39" s="1175" t="s">
        <v>776</v>
      </c>
      <c r="D39" s="1176"/>
      <c r="E39" s="1177"/>
      <c r="F39" s="1178" t="str">
        <f>IF(F35=1,"",IF($F$37=0,0,IF($F$35=1,"",IF($F$35=2,0,$F$38/$F$37))))</f>
        <v/>
      </c>
      <c r="G39" s="1179"/>
    </row>
    <row r="40" spans="1:7" ht="15" thickBot="1" x14ac:dyDescent="0.4"/>
    <row r="41" spans="1:7" ht="19.5" thickTop="1" thickBot="1" x14ac:dyDescent="0.4">
      <c r="A41" s="564"/>
      <c r="C41" s="733" t="s">
        <v>7222</v>
      </c>
      <c r="F41" s="1174">
        <f>IF($F$18="",0,$F$17)+IF($F$27="",0,$F$27)+IF($F$32="",0,$F$32)+IF($F$39="",0,$F$39)</f>
        <v>0</v>
      </c>
    </row>
    <row r="42" spans="1:7" ht="15" thickTop="1" x14ac:dyDescent="0.35">
      <c r="C42" s="549"/>
    </row>
    <row r="43" spans="1:7" ht="15.75" customHeight="1" x14ac:dyDescent="0.35">
      <c r="D43" s="1702" t="str">
        <f>IF($F$18="","No data included for land occupation for agricultural or forestry products","")</f>
        <v>No data included for land occupation for agricultural or forestry products</v>
      </c>
      <c r="E43" s="1702"/>
      <c r="F43" s="1702"/>
      <c r="G43" s="1702"/>
    </row>
    <row r="44" spans="1:7" ht="15.75" customHeight="1" x14ac:dyDescent="0.35">
      <c r="D44" s="1702" t="str">
        <f>IF($F$27="","No data included for land occupation for non-food forestry products","")</f>
        <v/>
      </c>
      <c r="E44" s="1702"/>
      <c r="F44" s="1702"/>
      <c r="G44" s="1702"/>
    </row>
    <row r="45" spans="1:7" ht="15.75" customHeight="1" x14ac:dyDescent="0.35">
      <c r="D45" s="1702" t="str">
        <f>IF($F$33="","No data included for land occupation for livestock products","")</f>
        <v>No data included for land occupation for livestock products</v>
      </c>
      <c r="E45" s="1702"/>
      <c r="F45" s="1702"/>
      <c r="G45" s="1702"/>
    </row>
    <row r="46" spans="1:7" ht="15.75" customHeight="1" x14ac:dyDescent="0.35">
      <c r="D46" s="1702" t="str">
        <f>IF($F$39="","No data included for land occupation for non-agricultural products","")</f>
        <v>No data included for land occupation for non-agricultural products</v>
      </c>
      <c r="E46" s="1702"/>
      <c r="F46" s="1702"/>
      <c r="G46" s="1702"/>
    </row>
  </sheetData>
  <sheetProtection algorithmName="SHA-512" hashValue="tcQ9szTMjDdPK5e1wKQoOvLiPrs5jHXOTWmKkJm+ujadxxTOBLaHoUClpCT2/uuUDlhnsFy88RvPwevo3ggPIg==" saltValue="2vS4c5UqXerYJEv/5snsgQ==" spinCount="100000" sheet="1" objects="1" scenarios="1"/>
  <mergeCells count="14">
    <mergeCell ref="D43:G43"/>
    <mergeCell ref="D44:G44"/>
    <mergeCell ref="D45:G45"/>
    <mergeCell ref="D46:G46"/>
    <mergeCell ref="B34:C34"/>
    <mergeCell ref="D1:E1"/>
    <mergeCell ref="B29:C29"/>
    <mergeCell ref="C31:G31"/>
    <mergeCell ref="C21:G21"/>
    <mergeCell ref="B20:C20"/>
    <mergeCell ref="B3:C3"/>
    <mergeCell ref="B30:F30"/>
    <mergeCell ref="D3:E3"/>
    <mergeCell ref="C4:I4"/>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43017" r:id="rId4" name="Drop Down 9">
              <controlPr defaultSize="0" autoLine="0" autoPict="0">
                <anchor moveWithCells="1">
                  <from>
                    <xdr:col>5</xdr:col>
                    <xdr:colOff>0</xdr:colOff>
                    <xdr:row>21</xdr:row>
                    <xdr:rowOff>0</xdr:rowOff>
                  </from>
                  <to>
                    <xdr:col>6</xdr:col>
                    <xdr:colOff>12700</xdr:colOff>
                    <xdr:row>22</xdr:row>
                    <xdr:rowOff>0</xdr:rowOff>
                  </to>
                </anchor>
              </controlPr>
            </control>
          </mc:Choice>
        </mc:AlternateContent>
        <mc:AlternateContent xmlns:mc="http://schemas.openxmlformats.org/markup-compatibility/2006">
          <mc:Choice Requires="x14">
            <control shapeId="43019" r:id="rId5" name="Drop Down 11">
              <controlPr defaultSize="0" autoLine="0" autoPict="0">
                <anchor moveWithCells="1">
                  <from>
                    <xdr:col>5</xdr:col>
                    <xdr:colOff>0</xdr:colOff>
                    <xdr:row>34</xdr:row>
                    <xdr:rowOff>12700</xdr:rowOff>
                  </from>
                  <to>
                    <xdr:col>6</xdr:col>
                    <xdr:colOff>12700</xdr:colOff>
                    <xdr:row>34</xdr:row>
                    <xdr:rowOff>393700</xdr:rowOff>
                  </to>
                </anchor>
              </controlPr>
            </control>
          </mc:Choice>
        </mc:AlternateContent>
        <mc:AlternateContent xmlns:mc="http://schemas.openxmlformats.org/markup-compatibility/2006">
          <mc:Choice Requires="x14">
            <control shapeId="43020" r:id="rId6" name="Drop Down 12">
              <controlPr defaultSize="0" autoLine="0" autoPict="0">
                <anchor moveWithCells="1">
                  <from>
                    <xdr:col>5</xdr:col>
                    <xdr:colOff>0</xdr:colOff>
                    <xdr:row>34</xdr:row>
                    <xdr:rowOff>0</xdr:rowOff>
                  </from>
                  <to>
                    <xdr:col>6</xdr:col>
                    <xdr:colOff>12700</xdr:colOff>
                    <xdr:row>35</xdr:row>
                    <xdr:rowOff>12700</xdr:rowOff>
                  </to>
                </anchor>
              </controlPr>
            </control>
          </mc:Choice>
        </mc:AlternateContent>
        <mc:AlternateContent xmlns:mc="http://schemas.openxmlformats.org/markup-compatibility/2006">
          <mc:Choice Requires="x14">
            <control shapeId="43029" r:id="rId7" name="Drop Down 21">
              <controlPr defaultSize="0" autoLine="0" autoPict="0">
                <anchor moveWithCells="1">
                  <from>
                    <xdr:col>4</xdr:col>
                    <xdr:colOff>609600</xdr:colOff>
                    <xdr:row>4</xdr:row>
                    <xdr:rowOff>12700</xdr:rowOff>
                  </from>
                  <to>
                    <xdr:col>6</xdr:col>
                    <xdr:colOff>12700</xdr:colOff>
                    <xdr:row>5</xdr:row>
                    <xdr:rowOff>0</xdr:rowOff>
                  </to>
                </anchor>
              </controlPr>
            </control>
          </mc:Choice>
        </mc:AlternateContent>
        <mc:AlternateContent xmlns:mc="http://schemas.openxmlformats.org/markup-compatibility/2006">
          <mc:Choice Requires="x14">
            <control shapeId="43030" r:id="rId8" name="Drop Down 22">
              <controlPr defaultSize="0" autoLine="0" autoPict="0">
                <anchor moveWithCells="1">
                  <from>
                    <xdr:col>4</xdr:col>
                    <xdr:colOff>12700</xdr:colOff>
                    <xdr:row>10</xdr:row>
                    <xdr:rowOff>12700</xdr:rowOff>
                  </from>
                  <to>
                    <xdr:col>8</xdr:col>
                    <xdr:colOff>520700</xdr:colOff>
                    <xdr:row>11</xdr:row>
                    <xdr:rowOff>0</xdr:rowOff>
                  </to>
                </anchor>
              </controlPr>
            </control>
          </mc:Choice>
        </mc:AlternateContent>
        <mc:AlternateContent xmlns:mc="http://schemas.openxmlformats.org/markup-compatibility/2006">
          <mc:Choice Requires="x14">
            <control shapeId="43032" r:id="rId9" name="Drop Down 24">
              <controlPr defaultSize="0" autoLine="0" autoPict="0">
                <anchor moveWithCells="1">
                  <from>
                    <xdr:col>5</xdr:col>
                    <xdr:colOff>0</xdr:colOff>
                    <xdr:row>5</xdr:row>
                    <xdr:rowOff>0</xdr:rowOff>
                  </from>
                  <to>
                    <xdr:col>6</xdr:col>
                    <xdr:colOff>12700</xdr:colOff>
                    <xdr:row>6</xdr:row>
                    <xdr:rowOff>0</xdr:rowOff>
                  </to>
                </anchor>
              </controlPr>
            </control>
          </mc:Choice>
        </mc:AlternateContent>
        <mc:AlternateContent xmlns:mc="http://schemas.openxmlformats.org/markup-compatibility/2006">
          <mc:Choice Requires="x14">
            <control shapeId="43033" r:id="rId10" name="Drop Down 25">
              <controlPr defaultSize="0" autoLine="0" autoPict="0">
                <anchor moveWithCells="1">
                  <from>
                    <xdr:col>5</xdr:col>
                    <xdr:colOff>0</xdr:colOff>
                    <xdr:row>6</xdr:row>
                    <xdr:rowOff>0</xdr:rowOff>
                  </from>
                  <to>
                    <xdr:col>6</xdr:col>
                    <xdr:colOff>12700</xdr:colOff>
                    <xdr:row>7</xdr:row>
                    <xdr:rowOff>12700</xdr:rowOff>
                  </to>
                </anchor>
              </controlPr>
            </control>
          </mc:Choice>
        </mc:AlternateContent>
        <mc:AlternateContent xmlns:mc="http://schemas.openxmlformats.org/markup-compatibility/2006">
          <mc:Choice Requires="x14">
            <control shapeId="43034" r:id="rId11" name="Drop Down 26">
              <controlPr defaultSize="0" autoLine="0" autoPict="0">
                <anchor moveWithCells="1">
                  <from>
                    <xdr:col>5</xdr:col>
                    <xdr:colOff>0</xdr:colOff>
                    <xdr:row>12</xdr:row>
                    <xdr:rowOff>0</xdr:rowOff>
                  </from>
                  <to>
                    <xdr:col>6</xdr:col>
                    <xdr:colOff>0</xdr:colOff>
                    <xdr:row>13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7">
    <tabColor rgb="FF00B050"/>
  </sheetPr>
  <dimension ref="A1:G28"/>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5.81640625" style="1638" customWidth="1"/>
    <col min="2" max="2" width="17" style="566" customWidth="1"/>
    <col min="3" max="3" width="97.453125" style="556" customWidth="1"/>
    <col min="4" max="4" width="17.81640625" style="565" customWidth="1"/>
    <col min="5" max="5" width="16.81640625" style="566" customWidth="1"/>
    <col min="6" max="6" width="17.453125" style="556" customWidth="1"/>
    <col min="7" max="7" width="13.81640625" style="556" customWidth="1"/>
    <col min="8" max="16384" width="9.1796875" style="556"/>
  </cols>
  <sheetData>
    <row r="1" spans="1:7" ht="19.5" customHeight="1" thickBot="1" x14ac:dyDescent="0.4">
      <c r="A1" s="564"/>
      <c r="C1" s="1633" t="s">
        <v>8902</v>
      </c>
      <c r="D1" s="1703" t="s">
        <v>8414</v>
      </c>
      <c r="E1" s="1704"/>
      <c r="F1" s="554" t="str">
        <f>LOOKUP(' Preparation'!$F$4,Data!$B$2:$B$194,Data!$C$2:$C$194)</f>
        <v>€ (Euro)</v>
      </c>
      <c r="G1" s="1180"/>
    </row>
    <row r="2" spans="1:7" ht="21.75" customHeight="1" thickBot="1" x14ac:dyDescent="0.4">
      <c r="A2" s="1181" t="s">
        <v>82</v>
      </c>
      <c r="B2" s="558" t="s">
        <v>150</v>
      </c>
      <c r="C2" s="1182" t="s">
        <v>777</v>
      </c>
      <c r="D2" s="1182" t="s">
        <v>67</v>
      </c>
      <c r="E2" s="501" t="s">
        <v>8112</v>
      </c>
      <c r="F2" s="559" t="s">
        <v>149</v>
      </c>
      <c r="G2" s="1183" t="s">
        <v>258</v>
      </c>
    </row>
    <row r="3" spans="1:7" ht="61.5" customHeight="1" x14ac:dyDescent="0.35">
      <c r="A3" s="562"/>
      <c r="B3" s="563" t="s">
        <v>89</v>
      </c>
      <c r="C3" s="1766" t="s">
        <v>8986</v>
      </c>
      <c r="D3" s="1766"/>
      <c r="E3" s="1766"/>
      <c r="F3" s="1766"/>
    </row>
    <row r="4" spans="1:7" ht="15.75" customHeight="1" x14ac:dyDescent="0.35">
      <c r="A4" s="564"/>
      <c r="B4" s="1768" t="s">
        <v>795</v>
      </c>
      <c r="C4" s="1768"/>
      <c r="D4" s="1184"/>
      <c r="E4" s="564"/>
      <c r="F4" s="1185"/>
      <c r="G4" s="1185"/>
    </row>
    <row r="5" spans="1:7" ht="45.75" customHeight="1" x14ac:dyDescent="0.35">
      <c r="A5" s="564" t="s">
        <v>796</v>
      </c>
      <c r="B5" s="443" t="s">
        <v>25</v>
      </c>
      <c r="C5" s="1186" t="s">
        <v>8143</v>
      </c>
      <c r="D5" s="565" t="s">
        <v>778</v>
      </c>
      <c r="E5" s="566" t="s">
        <v>25</v>
      </c>
      <c r="F5" s="556">
        <v>1</v>
      </c>
      <c r="G5" s="650" t="str">
        <f>IF(F5=1,"Goto LB 10",IF(F5=8,"Goto S1","Goto LB2"))</f>
        <v>Goto LB 10</v>
      </c>
    </row>
    <row r="6" spans="1:7" ht="29" x14ac:dyDescent="0.35">
      <c r="A6" s="564" t="s">
        <v>797</v>
      </c>
      <c r="B6" s="443" t="s">
        <v>785</v>
      </c>
      <c r="C6" s="556" t="s">
        <v>766</v>
      </c>
      <c r="D6" s="565" t="s">
        <v>69</v>
      </c>
      <c r="E6" s="566" t="s">
        <v>721</v>
      </c>
      <c r="F6" s="556">
        <v>1</v>
      </c>
    </row>
    <row r="7" spans="1:7" ht="88" customHeight="1" x14ac:dyDescent="0.35">
      <c r="A7" s="564" t="s">
        <v>798</v>
      </c>
      <c r="B7" s="443" t="s">
        <v>775</v>
      </c>
      <c r="C7" s="556" t="s">
        <v>8308</v>
      </c>
      <c r="D7" s="565" t="s">
        <v>69</v>
      </c>
      <c r="E7" s="566" t="s">
        <v>8306</v>
      </c>
      <c r="F7" s="1858"/>
      <c r="G7" s="650" t="str">
        <f>IF($F$6=1,"",IF($F$6=2,"Goto LB 4","Goto LB 9"))</f>
        <v/>
      </c>
    </row>
    <row r="8" spans="1:7" ht="42.5" customHeight="1" x14ac:dyDescent="0.35">
      <c r="A8" s="564" t="s">
        <v>799</v>
      </c>
      <c r="B8" s="443" t="s">
        <v>785</v>
      </c>
      <c r="C8" s="549" t="s">
        <v>8985</v>
      </c>
      <c r="D8" s="565" t="s">
        <v>8139</v>
      </c>
      <c r="E8" s="566" t="s">
        <v>786</v>
      </c>
      <c r="F8" s="556">
        <v>1</v>
      </c>
      <c r="G8" s="650" t="str">
        <f>IF(F8=2,"Goto LB 5", "Goto LB 9")</f>
        <v>Goto LB 9</v>
      </c>
    </row>
    <row r="9" spans="1:7" ht="33" customHeight="1" x14ac:dyDescent="0.35">
      <c r="A9" s="564" t="s">
        <v>800</v>
      </c>
      <c r="B9" s="443" t="s">
        <v>8140</v>
      </c>
      <c r="C9" s="556" t="s">
        <v>8105</v>
      </c>
      <c r="D9" s="565" t="s">
        <v>69</v>
      </c>
      <c r="E9" s="566" t="s">
        <v>787</v>
      </c>
      <c r="F9" s="1137"/>
    </row>
    <row r="10" spans="1:7" ht="32.25" customHeight="1" x14ac:dyDescent="0.35">
      <c r="A10" s="564" t="s">
        <v>801</v>
      </c>
      <c r="B10" s="443" t="s">
        <v>7566</v>
      </c>
      <c r="C10" s="499" t="s">
        <v>8655</v>
      </c>
      <c r="D10" s="565" t="s">
        <v>69</v>
      </c>
      <c r="E10" s="566" t="s">
        <v>721</v>
      </c>
      <c r="F10" s="556">
        <v>1</v>
      </c>
      <c r="G10" s="650" t="str">
        <f>IF($F$10=1,"Goto LB 10",IF($F$10=2,"Goto LB 8","Goto LB 9"))</f>
        <v>Goto LB 10</v>
      </c>
    </row>
    <row r="11" spans="1:7" ht="47.25" customHeight="1" x14ac:dyDescent="0.35">
      <c r="A11" s="564" t="s">
        <v>802</v>
      </c>
      <c r="B11" s="443" t="s">
        <v>793</v>
      </c>
      <c r="C11" s="549" t="s">
        <v>8141</v>
      </c>
      <c r="D11" s="499" t="s">
        <v>76</v>
      </c>
      <c r="E11" s="1187" t="s">
        <v>8373</v>
      </c>
      <c r="F11" s="683"/>
    </row>
    <row r="12" spans="1:7" ht="28.5" customHeight="1" x14ac:dyDescent="0.35">
      <c r="A12" s="564" t="s">
        <v>803</v>
      </c>
      <c r="B12" s="443" t="s">
        <v>792</v>
      </c>
      <c r="C12" s="499" t="s">
        <v>8142</v>
      </c>
      <c r="D12" s="499"/>
      <c r="E12" s="512" t="s">
        <v>8138</v>
      </c>
      <c r="F12" s="1137"/>
      <c r="G12" s="650" t="s">
        <v>805</v>
      </c>
    </row>
    <row r="13" spans="1:7" ht="31.5" customHeight="1" x14ac:dyDescent="0.35">
      <c r="A13" s="564" t="s">
        <v>8307</v>
      </c>
      <c r="B13" s="443" t="s">
        <v>72</v>
      </c>
      <c r="C13" s="499" t="s">
        <v>8309</v>
      </c>
      <c r="D13" s="565" t="s">
        <v>8106</v>
      </c>
      <c r="E13" s="566" t="s">
        <v>8374</v>
      </c>
      <c r="F13" s="1623">
        <f>IF($F$8=3, LOOKUP(F5,Data!B2:'Data'!B26,Data!W2:W26),IF(F10=1,LOOKUP(F5,Data!X2:X9,Data!Z2:Z9),IF(F10=2,F11*(F12-F9)+(1-F12)*LOOKUP(F5,Data!X2:X9,Data!Z2:Z9),LOOKUP(F5,Data!X2:X9,Data!Z2:Z9))))</f>
        <v>0</v>
      </c>
      <c r="G13" s="1188"/>
    </row>
    <row r="14" spans="1:7" ht="29" x14ac:dyDescent="0.35">
      <c r="A14" s="564" t="s">
        <v>804</v>
      </c>
      <c r="B14" s="443" t="s">
        <v>272</v>
      </c>
      <c r="C14" s="1189" t="s">
        <v>794</v>
      </c>
      <c r="D14" s="1190"/>
      <c r="E14" s="1191" t="s">
        <v>8375</v>
      </c>
      <c r="F14" s="1192" t="str">
        <f>IF(F5=1,"",IF(F7=0,"No data",$F$13/$F$7))</f>
        <v/>
      </c>
    </row>
    <row r="15" spans="1:7" x14ac:dyDescent="0.35">
      <c r="A15" s="564"/>
      <c r="B15" s="443"/>
      <c r="E15" s="556"/>
    </row>
    <row r="16" spans="1:7" ht="15" customHeight="1" thickBot="1" x14ac:dyDescent="0.4">
      <c r="A16" s="564"/>
      <c r="B16" s="1767" t="s">
        <v>8878</v>
      </c>
      <c r="C16" s="1767"/>
      <c r="D16" s="1184"/>
      <c r="E16" s="564"/>
      <c r="F16" s="1193"/>
      <c r="G16" s="1193"/>
    </row>
    <row r="17" spans="1:7" ht="15" customHeight="1" thickBot="1" x14ac:dyDescent="0.4">
      <c r="A17" s="564"/>
      <c r="B17" s="563" t="s">
        <v>89</v>
      </c>
      <c r="C17" s="1769" t="s">
        <v>8244</v>
      </c>
      <c r="D17" s="1770"/>
      <c r="E17" s="1770"/>
      <c r="F17" s="1770"/>
      <c r="G17" s="1770"/>
    </row>
    <row r="18" spans="1:7" ht="29" x14ac:dyDescent="0.35">
      <c r="A18" s="564" t="s">
        <v>176</v>
      </c>
      <c r="B18" s="443" t="s">
        <v>752</v>
      </c>
      <c r="C18" s="556" t="s">
        <v>8136</v>
      </c>
      <c r="D18" s="565" t="s">
        <v>21</v>
      </c>
      <c r="E18" s="566" t="s">
        <v>753</v>
      </c>
      <c r="F18" s="1102">
        <v>1</v>
      </c>
      <c r="G18" s="650" t="str">
        <f>IF($F$18=1,"",IF($F$18=2,"Goto S4","Goto S 2"))</f>
        <v/>
      </c>
    </row>
    <row r="19" spans="1:7" ht="35.25" customHeight="1" x14ac:dyDescent="0.35">
      <c r="A19" s="564" t="s">
        <v>177</v>
      </c>
      <c r="B19" s="443" t="s">
        <v>25</v>
      </c>
      <c r="C19" s="556" t="s">
        <v>8904</v>
      </c>
      <c r="D19" s="565" t="s">
        <v>778</v>
      </c>
      <c r="E19" s="566" t="s">
        <v>25</v>
      </c>
      <c r="F19" s="556">
        <v>1</v>
      </c>
      <c r="G19" s="1194"/>
    </row>
    <row r="20" spans="1:7" ht="20.5" customHeight="1" x14ac:dyDescent="0.35">
      <c r="A20" s="564" t="s">
        <v>178</v>
      </c>
      <c r="B20" s="443" t="s">
        <v>807</v>
      </c>
      <c r="C20" s="556" t="s">
        <v>8145</v>
      </c>
      <c r="D20" s="565" t="s">
        <v>76</v>
      </c>
      <c r="E20" s="566" t="s">
        <v>8144</v>
      </c>
      <c r="F20" s="1858"/>
      <c r="G20" s="1194"/>
    </row>
    <row r="21" spans="1:7" ht="20.5" customHeight="1" x14ac:dyDescent="0.35">
      <c r="A21" s="564" t="s">
        <v>179</v>
      </c>
      <c r="B21" s="443" t="s">
        <v>775</v>
      </c>
      <c r="C21" s="556" t="s">
        <v>8146</v>
      </c>
      <c r="D21" s="565" t="s">
        <v>76</v>
      </c>
      <c r="E21" s="566" t="s">
        <v>8147</v>
      </c>
      <c r="F21" s="1858"/>
      <c r="G21" s="1194"/>
    </row>
    <row r="22" spans="1:7" ht="19" customHeight="1" x14ac:dyDescent="0.35">
      <c r="A22" s="564" t="s">
        <v>180</v>
      </c>
      <c r="B22" s="443" t="s">
        <v>806</v>
      </c>
      <c r="C22" s="556" t="s">
        <v>808</v>
      </c>
      <c r="D22" s="565" t="s">
        <v>7759</v>
      </c>
      <c r="E22" s="1191" t="s">
        <v>8376</v>
      </c>
      <c r="F22" s="1192">
        <f>$F$20*LOOKUP($F$19,Data!$B$2:$B$4,Data!$AC$2:$AC$4)</f>
        <v>0</v>
      </c>
    </row>
    <row r="23" spans="1:7" ht="29" x14ac:dyDescent="0.35">
      <c r="A23" s="564" t="s">
        <v>181</v>
      </c>
      <c r="B23" s="443" t="s">
        <v>272</v>
      </c>
      <c r="C23" s="1189" t="s">
        <v>8137</v>
      </c>
      <c r="E23" s="1191" t="s">
        <v>8377</v>
      </c>
      <c r="F23" s="1192" t="str">
        <f>IF(F18=1,"",IF(F22=0,0,$F$21/$F$22))</f>
        <v/>
      </c>
    </row>
    <row r="24" spans="1:7" ht="15" thickBot="1" x14ac:dyDescent="0.4"/>
    <row r="25" spans="1:7" ht="19.5" thickTop="1" thickBot="1" x14ac:dyDescent="0.4">
      <c r="C25" s="733" t="s">
        <v>8245</v>
      </c>
      <c r="F25" s="1195">
        <f>IF($F$14="",0,$F$14)+IF($F$23="",0,$F$23)</f>
        <v>0</v>
      </c>
    </row>
    <row r="26" spans="1:7" ht="15" thickTop="1" x14ac:dyDescent="0.35">
      <c r="C26" s="549"/>
    </row>
    <row r="27" spans="1:7" ht="15.5" x14ac:dyDescent="0.35">
      <c r="D27" s="1702" t="str">
        <f>IF($F$14="","No data included for degradation of land and biodiversity","")</f>
        <v>No data included for degradation of land and biodiversity</v>
      </c>
      <c r="E27" s="1702"/>
      <c r="F27" s="1702"/>
      <c r="G27" s="1702"/>
    </row>
    <row r="28" spans="1:7" ht="15.5" x14ac:dyDescent="0.35">
      <c r="D28" s="1702" t="str">
        <f>IF($F$18=1,"No data included for sea use","")</f>
        <v>No data included for sea use</v>
      </c>
      <c r="E28" s="1702"/>
      <c r="F28" s="1702"/>
      <c r="G28" s="1702"/>
    </row>
  </sheetData>
  <sheetProtection algorithmName="SHA-512" hashValue="YWzVJwujkX1DxlehURA5iudeaN5Y8jxaxOa90JLQ3J84KA/66eYIXj+uhNy91lt6L8O+kpFhWpq2thIczUzj6g==" saltValue="lWVgWYbraTxm6jYI6CaArg==" spinCount="100000" sheet="1" objects="1" scenarios="1"/>
  <mergeCells count="7">
    <mergeCell ref="D1:E1"/>
    <mergeCell ref="D28:G28"/>
    <mergeCell ref="D27:G27"/>
    <mergeCell ref="C3:F3"/>
    <mergeCell ref="B16:C16"/>
    <mergeCell ref="B4:C4"/>
    <mergeCell ref="C17:G17"/>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Drop Down 1">
              <controlPr defaultSize="0" autoLine="0" autoPict="0">
                <anchor moveWithCells="1">
                  <from>
                    <xdr:col>5</xdr:col>
                    <xdr:colOff>0</xdr:colOff>
                    <xdr:row>4</xdr:row>
                    <xdr:rowOff>12700</xdr:rowOff>
                  </from>
                  <to>
                    <xdr:col>5</xdr:col>
                    <xdr:colOff>1219200</xdr:colOff>
                    <xdr:row>4</xdr:row>
                    <xdr:rowOff>584200</xdr:rowOff>
                  </to>
                </anchor>
              </controlPr>
            </control>
          </mc:Choice>
        </mc:AlternateContent>
        <mc:AlternateContent xmlns:mc="http://schemas.openxmlformats.org/markup-compatibility/2006">
          <mc:Choice Requires="x14">
            <control shapeId="49155" r:id="rId5" name="Drop Down 3">
              <controlPr defaultSize="0" autoLine="0" autoPict="0">
                <anchor moveWithCells="1">
                  <from>
                    <xdr:col>5</xdr:col>
                    <xdr:colOff>12700</xdr:colOff>
                    <xdr:row>18</xdr:row>
                    <xdr:rowOff>0</xdr:rowOff>
                  </from>
                  <to>
                    <xdr:col>6</xdr:col>
                    <xdr:colOff>914400</xdr:colOff>
                    <xdr:row>19</xdr:row>
                    <xdr:rowOff>0</xdr:rowOff>
                  </to>
                </anchor>
              </controlPr>
            </control>
          </mc:Choice>
        </mc:AlternateContent>
        <mc:AlternateContent xmlns:mc="http://schemas.openxmlformats.org/markup-compatibility/2006">
          <mc:Choice Requires="x14">
            <control shapeId="49156" r:id="rId6" name="Drop Down 4">
              <controlPr defaultSize="0" autoLine="0" autoPict="0">
                <anchor moveWithCells="1">
                  <from>
                    <xdr:col>5</xdr:col>
                    <xdr:colOff>0</xdr:colOff>
                    <xdr:row>5</xdr:row>
                    <xdr:rowOff>0</xdr:rowOff>
                  </from>
                  <to>
                    <xdr:col>5</xdr:col>
                    <xdr:colOff>1219200</xdr:colOff>
                    <xdr:row>6</xdr:row>
                    <xdr:rowOff>0</xdr:rowOff>
                  </to>
                </anchor>
              </controlPr>
            </control>
          </mc:Choice>
        </mc:AlternateContent>
        <mc:AlternateContent xmlns:mc="http://schemas.openxmlformats.org/markup-compatibility/2006">
          <mc:Choice Requires="x14">
            <control shapeId="49159" r:id="rId7" name="Drop Down 7">
              <controlPr defaultSize="0" autoLine="0" autoPict="0">
                <anchor moveWithCells="1">
                  <from>
                    <xdr:col>4</xdr:col>
                    <xdr:colOff>1174750</xdr:colOff>
                    <xdr:row>7</xdr:row>
                    <xdr:rowOff>0</xdr:rowOff>
                  </from>
                  <to>
                    <xdr:col>5</xdr:col>
                    <xdr:colOff>1219200</xdr:colOff>
                    <xdr:row>8</xdr:row>
                    <xdr:rowOff>12700</xdr:rowOff>
                  </to>
                </anchor>
              </controlPr>
            </control>
          </mc:Choice>
        </mc:AlternateContent>
        <mc:AlternateContent xmlns:mc="http://schemas.openxmlformats.org/markup-compatibility/2006">
          <mc:Choice Requires="x14">
            <control shapeId="49161" r:id="rId8" name="Drop Down 9">
              <controlPr defaultSize="0" autoLine="0" autoPict="0">
                <anchor moveWithCells="1">
                  <from>
                    <xdr:col>5</xdr:col>
                    <xdr:colOff>12700</xdr:colOff>
                    <xdr:row>17</xdr:row>
                    <xdr:rowOff>0</xdr:rowOff>
                  </from>
                  <to>
                    <xdr:col>6</xdr:col>
                    <xdr:colOff>12700</xdr:colOff>
                    <xdr:row>18</xdr:row>
                    <xdr:rowOff>0</xdr:rowOff>
                  </to>
                </anchor>
              </controlPr>
            </control>
          </mc:Choice>
        </mc:AlternateContent>
        <mc:AlternateContent xmlns:mc="http://schemas.openxmlformats.org/markup-compatibility/2006">
          <mc:Choice Requires="x14">
            <control shapeId="49163" r:id="rId9" name="Drop Down 11">
              <controlPr defaultSize="0" autoLine="0" autoPict="0">
                <anchor moveWithCells="1">
                  <from>
                    <xdr:col>5</xdr:col>
                    <xdr:colOff>0</xdr:colOff>
                    <xdr:row>9</xdr:row>
                    <xdr:rowOff>0</xdr:rowOff>
                  </from>
                  <to>
                    <xdr:col>6</xdr:col>
                    <xdr:colOff>0</xdr:colOff>
                    <xdr:row>10</xdr:row>
                    <xdr:rowOff>12700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8">
    <tabColor rgb="FF00B050"/>
  </sheetPr>
  <dimension ref="A1:XFA50"/>
  <sheetViews>
    <sheetView zoomScale="90" zoomScaleNormal="90" workbookViewId="0">
      <pane ySplit="1" topLeftCell="A2" activePane="bottomLeft" state="frozen"/>
      <selection activeCell="G28" sqref="G28"/>
      <selection pane="bottomLeft" sqref="A1:XFD1048576"/>
    </sheetView>
  </sheetViews>
  <sheetFormatPr defaultColWidth="9.1796875" defaultRowHeight="14.5" x14ac:dyDescent="0.35"/>
  <cols>
    <col min="1" max="1" width="5.453125" style="547" customWidth="1"/>
    <col min="2" max="2" width="20.36328125" style="512" customWidth="1"/>
    <col min="3" max="3" width="96" style="499" customWidth="1"/>
    <col min="4" max="4" width="14.453125" style="499" customWidth="1"/>
    <col min="5" max="5" width="19.1796875" style="1269" customWidth="1"/>
    <col min="6" max="6" width="17" style="601" customWidth="1"/>
    <col min="7" max="7" width="12.453125" style="1199" customWidth="1"/>
    <col min="8" max="9" width="9.1796875" style="499"/>
    <col min="10" max="10" width="9.1796875" style="499" customWidth="1"/>
    <col min="11" max="11" width="22.1796875" style="499" customWidth="1"/>
    <col min="12" max="12" width="36.1796875" style="499" customWidth="1"/>
    <col min="13" max="13" width="17.453125" style="499" customWidth="1"/>
    <col min="14" max="14" width="17.6328125" style="499" customWidth="1"/>
    <col min="15" max="15" width="21.81640625" style="601" customWidth="1"/>
    <col min="16" max="16" width="14.6328125" style="499" customWidth="1"/>
    <col min="17" max="17" width="13" style="1198" customWidth="1"/>
    <col min="18" max="18" width="15.6328125" style="1198" customWidth="1"/>
    <col min="19" max="19" width="18.81640625" style="1198" customWidth="1"/>
    <col min="20" max="20" width="21.453125" style="1198" customWidth="1"/>
    <col min="21" max="21" width="15.1796875" style="1199" customWidth="1"/>
    <col min="22" max="22" width="17.453125" style="1199" customWidth="1"/>
    <col min="23" max="23" width="17" style="499" customWidth="1"/>
    <col min="24" max="24" width="15.453125" style="499" customWidth="1"/>
    <col min="25" max="25" width="11.453125" style="499" bestFit="1" customWidth="1"/>
    <col min="26" max="26" width="9.1796875" style="499"/>
    <col min="27" max="28" width="9.1796875" style="499" customWidth="1"/>
    <col min="29" max="16384" width="9.1796875" style="499"/>
  </cols>
  <sheetData>
    <row r="1" spans="1:25" ht="19.5" customHeight="1" thickBot="1" x14ac:dyDescent="0.5">
      <c r="A1" s="498"/>
      <c r="B1" s="1776" t="s">
        <v>1046</v>
      </c>
      <c r="C1" s="1777"/>
      <c r="D1" s="1703" t="s">
        <v>8414</v>
      </c>
      <c r="E1" s="1704"/>
      <c r="F1" s="554" t="str">
        <f>LOOKUP(' Preparation'!$F$4,Data!$B$2:$B$194,Data!$C$2:$C$194)</f>
        <v>€ (Euro)</v>
      </c>
      <c r="G1" s="1196"/>
      <c r="K1" s="1197"/>
    </row>
    <row r="2" spans="1:25" ht="21.75" customHeight="1" thickBot="1" x14ac:dyDescent="0.4">
      <c r="A2" s="1105" t="s">
        <v>82</v>
      </c>
      <c r="B2" s="558" t="s">
        <v>150</v>
      </c>
      <c r="C2" s="558" t="s">
        <v>809</v>
      </c>
      <c r="D2" s="558" t="s">
        <v>67</v>
      </c>
      <c r="E2" s="1200" t="s">
        <v>8112</v>
      </c>
      <c r="F2" s="559" t="s">
        <v>149</v>
      </c>
      <c r="G2" s="1201" t="s">
        <v>258</v>
      </c>
      <c r="J2" s="1102"/>
      <c r="K2" s="1102"/>
      <c r="L2" s="1202" t="s">
        <v>7122</v>
      </c>
      <c r="M2" s="1203" t="s">
        <v>7126</v>
      </c>
      <c r="N2" s="1202"/>
      <c r="O2" s="1202"/>
      <c r="P2" s="1688" t="s">
        <v>8323</v>
      </c>
      <c r="Q2" s="1689"/>
      <c r="R2" s="554" t="str">
        <f>LOOKUP(' Preparation'!$F$4,Data!$B$2:$B$194,Data!$C$2:$C$194)</f>
        <v>€ (Euro)</v>
      </c>
      <c r="S2" s="1204"/>
      <c r="T2" s="1204"/>
      <c r="U2" s="1103"/>
      <c r="V2" s="1103"/>
      <c r="W2" s="1205"/>
    </row>
    <row r="3" spans="1:25" s="552" customFormat="1" ht="72" customHeight="1" thickBot="1" x14ac:dyDescent="0.4">
      <c r="A3" s="1154"/>
      <c r="B3" s="563" t="s">
        <v>89</v>
      </c>
      <c r="C3" s="1778" t="s">
        <v>8691</v>
      </c>
      <c r="D3" s="1779"/>
      <c r="E3" s="1779"/>
      <c r="F3" s="1779"/>
      <c r="G3" s="1206"/>
      <c r="H3" s="499"/>
      <c r="I3" s="499"/>
      <c r="J3" s="1207" t="s">
        <v>82</v>
      </c>
      <c r="K3" s="1207" t="s">
        <v>8206</v>
      </c>
      <c r="L3" s="1207" t="s">
        <v>7123</v>
      </c>
      <c r="M3" s="689" t="s">
        <v>8204</v>
      </c>
      <c r="N3" s="689" t="s">
        <v>134</v>
      </c>
      <c r="O3" s="689" t="s">
        <v>8559</v>
      </c>
      <c r="P3" s="689" t="s">
        <v>8558</v>
      </c>
      <c r="Q3" s="689" t="s">
        <v>8208</v>
      </c>
      <c r="R3" s="689" t="s">
        <v>8209</v>
      </c>
      <c r="S3" s="1208" t="s">
        <v>8560</v>
      </c>
      <c r="T3" s="1208" t="s">
        <v>8561</v>
      </c>
      <c r="U3" s="688" t="s">
        <v>7125</v>
      </c>
      <c r="V3" s="688" t="s">
        <v>7124</v>
      </c>
      <c r="W3" s="754" t="s">
        <v>8387</v>
      </c>
      <c r="X3" s="754" t="s">
        <v>8388</v>
      </c>
    </row>
    <row r="4" spans="1:25" s="552" customFormat="1" ht="49.5" customHeight="1" thickBot="1" x14ac:dyDescent="0.4">
      <c r="A4" s="1209" t="s">
        <v>7338</v>
      </c>
      <c r="B4" s="1210" t="s">
        <v>7130</v>
      </c>
      <c r="C4" s="1211" t="s">
        <v>8205</v>
      </c>
      <c r="D4" s="1211" t="s">
        <v>76</v>
      </c>
      <c r="E4" s="1212" t="s">
        <v>8212</v>
      </c>
      <c r="F4" s="520" t="s">
        <v>7131</v>
      </c>
      <c r="G4" s="1206"/>
      <c r="H4" s="499"/>
      <c r="I4" s="499"/>
      <c r="J4" s="1213">
        <v>1</v>
      </c>
      <c r="K4" s="1918" t="s">
        <v>8965</v>
      </c>
      <c r="L4" s="1919">
        <v>1</v>
      </c>
      <c r="M4" s="1918">
        <v>1.0003740000000001E-3</v>
      </c>
      <c r="N4" s="1920">
        <v>8</v>
      </c>
      <c r="O4" s="1214">
        <f>M4*LOOKUP(N4,Data!B$2:B$37,Data!AH$2:AH$37)</f>
        <v>4.0014960000000006E-5</v>
      </c>
      <c r="P4" s="1918">
        <v>1.0003740000000001E-3</v>
      </c>
      <c r="Q4" s="1918">
        <v>0</v>
      </c>
      <c r="R4" s="1918">
        <v>0</v>
      </c>
      <c r="S4" s="1918">
        <v>0</v>
      </c>
      <c r="T4" s="1918">
        <v>0</v>
      </c>
      <c r="U4" s="683">
        <v>0</v>
      </c>
      <c r="V4" s="683">
        <v>0</v>
      </c>
      <c r="W4" s="1215">
        <f ca="1">IF(Y4="n.a.","no country data",      IF(' Preparation'!$F$24*' Preparation'!$F$26=0,0,((IF(P4&gt;0,P4,O4)-Q4)-R4*(1-(S4/(' Preparation'!$F$24*' Preparation'!$F$26)))*T4-U4*LOOKUP(' Preparation'!F$6,Pol.Data!$A$47:$A$238,Pol.Data!$C$47:$C$239)-V4*Pol.Data!$D$37)*LOOKUP(L4,$B$20:$B$51,$G$20:$G$50)))</f>
        <v>0</v>
      </c>
      <c r="X4" s="1215">
        <f>IF(' Preparation'!$F$24*' Preparation'!$F$26=0,0,R4*S4/(' Preparation'!$F$24*' Preparation'!$F$26)*T4)</f>
        <v>0</v>
      </c>
      <c r="Y4" s="1216">
        <f ca="1">LOOKUP(' Preparation'!F$6,Pol.Data!$A$47:$A$238,Pol.Data!$C$47)</f>
        <v>0</v>
      </c>
    </row>
    <row r="5" spans="1:25" ht="47.5" customHeight="1" thickBot="1" x14ac:dyDescent="0.4">
      <c r="A5" s="1217" t="s">
        <v>7040</v>
      </c>
      <c r="B5" s="1218" t="s">
        <v>7132</v>
      </c>
      <c r="C5" s="525" t="s">
        <v>8940</v>
      </c>
      <c r="D5" s="538" t="s">
        <v>7759</v>
      </c>
      <c r="E5" s="1219" t="s">
        <v>8211</v>
      </c>
      <c r="F5" s="520" t="s">
        <v>7117</v>
      </c>
      <c r="G5" s="1220"/>
      <c r="I5" s="1221"/>
      <c r="J5" s="1213">
        <v>2</v>
      </c>
      <c r="K5" s="1918" t="s">
        <v>8966</v>
      </c>
      <c r="L5" s="1919">
        <v>1</v>
      </c>
      <c r="M5" s="1918">
        <v>2.5769999999999999E-3</v>
      </c>
      <c r="N5" s="1920">
        <v>8</v>
      </c>
      <c r="O5" s="1214">
        <f>M5*LOOKUP(N5,Data!B$2:B$37,Data!AH$2:AH$37)</f>
        <v>1.0308E-4</v>
      </c>
      <c r="P5" s="1918">
        <v>2.5769999999999999E-3</v>
      </c>
      <c r="Q5" s="1918">
        <v>0</v>
      </c>
      <c r="R5" s="1918">
        <v>0</v>
      </c>
      <c r="S5" s="1918">
        <v>0</v>
      </c>
      <c r="T5" s="1918">
        <v>0</v>
      </c>
      <c r="U5" s="683">
        <v>0</v>
      </c>
      <c r="V5" s="683">
        <v>0</v>
      </c>
      <c r="W5" s="1215">
        <f ca="1">IF(Y5="n.a.","no country data",      IF(' Preparation'!$F$24*' Preparation'!$F$26=0,0,((IF(P5&gt;0,P5,O5)-Q5)-R5*(1-(S5/(' Preparation'!$F$24*' Preparation'!$F$26)))*T5-U5*LOOKUP(' Preparation'!F$6,Pol.Data!$A$47:$A$238,Pol.Data!$C$47:$C$239)-V5*Pol.Data!$D$37)*LOOKUP(L5,$B$20:$B$51,$G$20:$G$50)))</f>
        <v>0</v>
      </c>
      <c r="X5" s="1215">
        <f>IF(' Preparation'!$F$24*' Preparation'!$F$26=0,0,R5*S5/(' Preparation'!$F$24*' Preparation'!$F$26)*T5)</f>
        <v>0</v>
      </c>
      <c r="Y5" s="1216">
        <f ca="1">LOOKUP(' Preparation'!F$6,Pol.Data!$A$47:$A$238,Pol.Data!$C$47)</f>
        <v>0</v>
      </c>
    </row>
    <row r="6" spans="1:25" ht="44.25" customHeight="1" thickBot="1" x14ac:dyDescent="0.4">
      <c r="A6" s="1217" t="s">
        <v>7041</v>
      </c>
      <c r="B6" s="1218" t="s">
        <v>7133</v>
      </c>
      <c r="C6" s="525" t="s">
        <v>8207</v>
      </c>
      <c r="D6" s="538" t="s">
        <v>76</v>
      </c>
      <c r="E6" s="1219" t="s">
        <v>7133</v>
      </c>
      <c r="F6" s="520" t="s">
        <v>7133</v>
      </c>
      <c r="G6" s="1220"/>
      <c r="I6" s="1221"/>
      <c r="J6" s="1213">
        <v>3</v>
      </c>
      <c r="K6" s="1918" t="s">
        <v>8967</v>
      </c>
      <c r="L6" s="1919">
        <v>1</v>
      </c>
      <c r="M6" s="1918">
        <v>0.77646199999999999</v>
      </c>
      <c r="N6" s="1910">
        <v>2</v>
      </c>
      <c r="O6" s="1214">
        <f>M6*LOOKUP(N6,Data!B$2:B$37,Data!AH$2:AH$37)</f>
        <v>6.2116959999999999E-2</v>
      </c>
      <c r="P6" s="1918">
        <v>0.77646199999999999</v>
      </c>
      <c r="Q6" s="1918">
        <v>0.77646199999999999</v>
      </c>
      <c r="R6" s="1918">
        <v>0</v>
      </c>
      <c r="S6" s="1918">
        <v>0</v>
      </c>
      <c r="T6" s="1918">
        <v>0</v>
      </c>
      <c r="U6" s="683">
        <v>0</v>
      </c>
      <c r="V6" s="683">
        <v>0</v>
      </c>
      <c r="W6" s="1215">
        <f ca="1">IF(Y6="n.a.","no country data",      IF(' Preparation'!$F$24*' Preparation'!$F$26=0,0,((IF(P6&gt;0,P6,O6)-Q6)-R6*(1-(S6/(' Preparation'!$F$24*' Preparation'!$F$26)))*T6-U6*LOOKUP(' Preparation'!F$6,Pol.Data!$A$47:$A$238,Pol.Data!$C$47:$C$239)-V6*Pol.Data!$D$37)*LOOKUP(L6,$B$20:$B$51,$G$20:$G$50)))</f>
        <v>0</v>
      </c>
      <c r="X6" s="1215">
        <f>IF(' Preparation'!$F$24*' Preparation'!$F$26=0,0,R6*S6/(' Preparation'!$F$24*' Preparation'!$F$26)*T6)</f>
        <v>0</v>
      </c>
      <c r="Y6" s="1216">
        <f ca="1">LOOKUP(' Preparation'!F$6,Pol.Data!$A$47:$A$238,Pol.Data!$C$47)</f>
        <v>0</v>
      </c>
    </row>
    <row r="7" spans="1:25" ht="46.5" customHeight="1" thickBot="1" x14ac:dyDescent="0.4">
      <c r="A7" s="1217" t="s">
        <v>7042</v>
      </c>
      <c r="B7" s="1218" t="s">
        <v>8650</v>
      </c>
      <c r="C7" s="538" t="s">
        <v>8210</v>
      </c>
      <c r="D7" s="538" t="s">
        <v>76</v>
      </c>
      <c r="E7" s="1219" t="s">
        <v>8650</v>
      </c>
      <c r="F7" s="1626">
        <v>2</v>
      </c>
      <c r="G7" s="1220" t="str">
        <f>IF($F$7=1,"",IF($F$7=2,"Goto W 5", "Goto W 6"))</f>
        <v>Goto W 5</v>
      </c>
      <c r="I7" s="1221"/>
      <c r="J7" s="1213">
        <v>4</v>
      </c>
      <c r="K7" s="1918"/>
      <c r="L7" s="1919">
        <v>1</v>
      </c>
      <c r="M7" s="1918"/>
      <c r="N7" s="1920">
        <v>1</v>
      </c>
      <c r="O7" s="1214">
        <f>M7*LOOKUP(N7,Data!B$2:B$37,Data!AH$2:AH$37)</f>
        <v>0</v>
      </c>
      <c r="P7" s="1918"/>
      <c r="Q7" s="1918"/>
      <c r="R7" s="1918"/>
      <c r="S7" s="1918"/>
      <c r="T7" s="1918"/>
      <c r="U7" s="683"/>
      <c r="V7" s="683"/>
      <c r="W7" s="1215">
        <f ca="1">IF(Y7="n.a.","no country data",      IF(' Preparation'!$F$24*' Preparation'!$F$26=0,0,((IF(P7&gt;0,P7,O7)-Q7)-R7*(1-(S7/(' Preparation'!$F$24*' Preparation'!$F$26)))*T7-U7*LOOKUP(' Preparation'!F$6,Pol.Data!$A$47:$A$238,Pol.Data!$C$47:$C$239)-V7*Pol.Data!$D$37)*LOOKUP(L7,$B$20:$B$51,$G$20:$G$50)))</f>
        <v>0</v>
      </c>
      <c r="X7" s="1215">
        <f>IF(' Preparation'!$F$24*' Preparation'!$F$26=0,0,R7*S7/(' Preparation'!$F$24*' Preparation'!$F$26)*T7)</f>
        <v>0</v>
      </c>
      <c r="Y7" s="1216">
        <f ca="1">LOOKUP(' Preparation'!F$6,Pol.Data!$A$47:$A$238,Pol.Data!$C$47)</f>
        <v>0</v>
      </c>
    </row>
    <row r="8" spans="1:25" ht="45.75" customHeight="1" thickBot="1" x14ac:dyDescent="0.4">
      <c r="A8" s="1217" t="s">
        <v>7043</v>
      </c>
      <c r="B8" s="1218" t="s">
        <v>8654</v>
      </c>
      <c r="C8" s="525" t="s">
        <v>8653</v>
      </c>
      <c r="D8" s="538" t="s">
        <v>76</v>
      </c>
      <c r="E8" s="1219" t="s">
        <v>7135</v>
      </c>
      <c r="F8" s="520" t="s">
        <v>7135</v>
      </c>
      <c r="G8" s="1220" t="s">
        <v>7134</v>
      </c>
      <c r="I8" s="1221"/>
      <c r="J8" s="1222">
        <v>5</v>
      </c>
      <c r="K8" s="1918"/>
      <c r="L8" s="1919">
        <v>1</v>
      </c>
      <c r="M8" s="1918"/>
      <c r="N8" s="1920">
        <v>1</v>
      </c>
      <c r="O8" s="1214">
        <f>M8*LOOKUP(N8,Data!B$2:B$37,Data!AH$2:AH$37)</f>
        <v>0</v>
      </c>
      <c r="P8" s="1918"/>
      <c r="Q8" s="1918"/>
      <c r="R8" s="1918"/>
      <c r="S8" s="1918"/>
      <c r="T8" s="1918"/>
      <c r="U8" s="683"/>
      <c r="V8" s="683"/>
      <c r="W8" s="1215">
        <f ca="1">IF(Y8="n.a.","no country data",      IF(' Preparation'!$F$24*' Preparation'!$F$26=0,0,((IF(P8&gt;0,P8,O8)-Q8)-R8*(1-(S8/(' Preparation'!$F$24*' Preparation'!$F$26)))*T8-U8*LOOKUP(' Preparation'!F$6,Pol.Data!$A$47:$A$238,Pol.Data!$C$47:$C$239)-V8*Pol.Data!$D$37)*LOOKUP(L8,$B$20:$B$51,$G$20:$G$50)))</f>
        <v>0</v>
      </c>
      <c r="X8" s="1215">
        <f>IF(' Preparation'!$F$24*' Preparation'!$F$26=0,0,R8*S8/(' Preparation'!$F$24*' Preparation'!$F$26)*T8)</f>
        <v>0</v>
      </c>
      <c r="Y8" s="1216">
        <f ca="1">LOOKUP(' Preparation'!F$6,Pol.Data!$A$47:$A$238,Pol.Data!$C$47)</f>
        <v>0</v>
      </c>
    </row>
    <row r="9" spans="1:25" ht="61.5" customHeight="1" thickBot="1" x14ac:dyDescent="0.4">
      <c r="A9" s="1217" t="s">
        <v>7044</v>
      </c>
      <c r="B9" s="1218" t="s">
        <v>8651</v>
      </c>
      <c r="C9" s="525" t="s">
        <v>8221</v>
      </c>
      <c r="D9" s="538" t="s">
        <v>7759</v>
      </c>
      <c r="E9" s="1219" t="s">
        <v>7136</v>
      </c>
      <c r="F9" s="520" t="s">
        <v>7136</v>
      </c>
      <c r="G9" s="1223"/>
      <c r="I9" s="1221"/>
      <c r="J9" s="1222">
        <v>6</v>
      </c>
      <c r="K9" s="1918"/>
      <c r="L9" s="1222">
        <v>1</v>
      </c>
      <c r="M9" s="1918"/>
      <c r="N9" s="1921">
        <v>1</v>
      </c>
      <c r="O9" s="1214">
        <f>M9*LOOKUP(N9,Data!B$2:B$37,Data!AH$2:AH$37)</f>
        <v>0</v>
      </c>
      <c r="P9" s="1918"/>
      <c r="Q9" s="1918"/>
      <c r="R9" s="1918"/>
      <c r="S9" s="1918"/>
      <c r="T9" s="1918"/>
      <c r="U9" s="683"/>
      <c r="V9" s="683"/>
      <c r="W9" s="1215">
        <f ca="1">IF(Y9="n.a.","no country data",      IF(' Preparation'!$F$24*' Preparation'!$F$26=0,0,((IF(P9&gt;0,P9,O9)-Q9)-R9*(1-(S9/(' Preparation'!$F$24*' Preparation'!$F$26)))*T9-U9*LOOKUP(' Preparation'!F$6,Pol.Data!$A$47:$A$238,Pol.Data!$C$47:$C$239)-V9*Pol.Data!$D$37)*LOOKUP(L9,$B$20:$B$51,$G$20:$G$50)))</f>
        <v>0</v>
      </c>
      <c r="X9" s="1215">
        <f>IF(' Preparation'!$F$24*' Preparation'!$F$26=0,0,R9*S9/(' Preparation'!$F$24*' Preparation'!$F$26)*T9)</f>
        <v>0</v>
      </c>
      <c r="Y9" s="1216">
        <f ca="1">LOOKUP(' Preparation'!F$6,Pol.Data!$A$47:$A$238,Pol.Data!$C$47)</f>
        <v>0</v>
      </c>
    </row>
    <row r="10" spans="1:25" ht="46" customHeight="1" thickBot="1" x14ac:dyDescent="0.4">
      <c r="A10" s="1217" t="s">
        <v>7045</v>
      </c>
      <c r="B10" s="1218" t="s">
        <v>7137</v>
      </c>
      <c r="C10" s="538" t="s">
        <v>8213</v>
      </c>
      <c r="D10" s="538" t="s">
        <v>7759</v>
      </c>
      <c r="E10" s="1219" t="s">
        <v>7139</v>
      </c>
      <c r="F10" s="520" t="s">
        <v>8607</v>
      </c>
      <c r="G10" s="1223"/>
      <c r="I10" s="1221"/>
      <c r="J10" s="1213">
        <v>7</v>
      </c>
      <c r="K10" s="1918"/>
      <c r="L10" s="1213">
        <v>1</v>
      </c>
      <c r="M10" s="1918"/>
      <c r="N10" s="1130">
        <v>1</v>
      </c>
      <c r="O10" s="1214">
        <f>M10*LOOKUP(N10,Data!B$2:B$37,Data!AH$2:AH$37)</f>
        <v>0</v>
      </c>
      <c r="P10" s="1918"/>
      <c r="Q10" s="1918"/>
      <c r="R10" s="1918"/>
      <c r="S10" s="1918"/>
      <c r="T10" s="1918"/>
      <c r="U10" s="683"/>
      <c r="V10" s="683"/>
      <c r="W10" s="1215">
        <f ca="1">IF(Y10="n.a.","no country data",      IF(' Preparation'!$F$24*' Preparation'!$F$26=0,0,((IF(P10&gt;0,P10,O10)-Q10)-R10*(1-(S10/(' Preparation'!$F$24*' Preparation'!$F$26)))*T10-U10*LOOKUP(' Preparation'!F$6,Pol.Data!$A$47:$A$238,Pol.Data!$C$47:$C$239)-V10*Pol.Data!$D$37)*LOOKUP(L10,$B$20:$B$51,$G$20:$G$50)))</f>
        <v>0</v>
      </c>
      <c r="X10" s="1215">
        <f>IF(' Preparation'!$F$24*' Preparation'!$F$26=0,0,R10*S10/(' Preparation'!$F$24*' Preparation'!$F$26)*T10)</f>
        <v>0</v>
      </c>
      <c r="Y10" s="1216">
        <f ca="1">LOOKUP(' Preparation'!F$6,Pol.Data!$A$47:$A$238,Pol.Data!$C$47)</f>
        <v>0</v>
      </c>
    </row>
    <row r="11" spans="1:25" ht="44.25" customHeight="1" thickBot="1" x14ac:dyDescent="0.4">
      <c r="A11" s="1217" t="s">
        <v>7046</v>
      </c>
      <c r="B11" s="1218" t="s">
        <v>7138</v>
      </c>
      <c r="C11" s="538" t="s">
        <v>8214</v>
      </c>
      <c r="D11" s="538" t="s">
        <v>48</v>
      </c>
      <c r="E11" s="1219" t="s">
        <v>7140</v>
      </c>
      <c r="F11" s="520" t="s">
        <v>8608</v>
      </c>
      <c r="G11" s="1223"/>
      <c r="I11" s="1221"/>
      <c r="J11" s="1213">
        <v>8</v>
      </c>
      <c r="K11" s="1918"/>
      <c r="L11" s="1213">
        <v>1</v>
      </c>
      <c r="M11" s="1918"/>
      <c r="N11" s="1130">
        <v>6</v>
      </c>
      <c r="O11" s="1214">
        <f>M11*LOOKUP(N11,Data!B$2:B$37,Data!AH$2:AH$37)</f>
        <v>0</v>
      </c>
      <c r="P11" s="1918"/>
      <c r="Q11" s="1918"/>
      <c r="R11" s="1918"/>
      <c r="S11" s="1918"/>
      <c r="T11" s="1918"/>
      <c r="U11" s="683"/>
      <c r="V11" s="683"/>
      <c r="W11" s="1215">
        <f ca="1">IF(Y11="n.a.","no country data",      IF(' Preparation'!$F$24*' Preparation'!$F$26=0,0,((IF(P11&gt;0,P11,O11)-Q11)-R11*(1-(S11/(' Preparation'!$F$24*' Preparation'!$F$26)))*T11-U11*LOOKUP(' Preparation'!F$6,Pol.Data!$A$47:$A$238,Pol.Data!$C$47:$C$239)-V11*Pol.Data!$D$37)*LOOKUP(L11,$B$20:$B$51,$G$20:$G$50)))</f>
        <v>0</v>
      </c>
      <c r="X11" s="1215">
        <f>IF(' Preparation'!$F$24*' Preparation'!$F$26=0,0,R11*S11/(' Preparation'!$F$24*' Preparation'!$F$26)*T11)</f>
        <v>0</v>
      </c>
      <c r="Y11" s="1216">
        <f ca="1">LOOKUP(' Preparation'!F$6,Pol.Data!$A$47:$A$238,Pol.Data!$C$47)</f>
        <v>0</v>
      </c>
    </row>
    <row r="12" spans="1:25" ht="74.5" customHeight="1" thickBot="1" x14ac:dyDescent="0.4">
      <c r="A12" s="1217" t="s">
        <v>7141</v>
      </c>
      <c r="B12" s="1218" t="s">
        <v>7157</v>
      </c>
      <c r="C12" s="525" t="s">
        <v>7155</v>
      </c>
      <c r="D12" s="538" t="s">
        <v>7152</v>
      </c>
      <c r="E12" s="1219" t="s">
        <v>7159</v>
      </c>
      <c r="F12" s="520" t="s">
        <v>7153</v>
      </c>
      <c r="G12" s="1223"/>
      <c r="I12" s="1221"/>
      <c r="J12" s="1213">
        <v>9</v>
      </c>
      <c r="K12" s="1918"/>
      <c r="L12" s="1213">
        <v>1</v>
      </c>
      <c r="M12" s="1918"/>
      <c r="N12" s="1922">
        <v>6</v>
      </c>
      <c r="O12" s="1214">
        <f>M12*LOOKUP(N12,Data!B$2:B$37,Data!AH$2:AH$37)</f>
        <v>0</v>
      </c>
      <c r="P12" s="1918"/>
      <c r="Q12" s="1918"/>
      <c r="R12" s="1918"/>
      <c r="S12" s="1918"/>
      <c r="T12" s="1918"/>
      <c r="U12" s="683"/>
      <c r="V12" s="683"/>
      <c r="W12" s="1215">
        <f ca="1">IF(Y12="n.a.","no country data",      IF(' Preparation'!$F$24*' Preparation'!$F$26=0,0,((IF(P12&gt;0,P12,O12)-Q12)-R12*(1-(S12/(' Preparation'!$F$24*' Preparation'!$F$26)))*T12-U12*LOOKUP(' Preparation'!F$6,Pol.Data!$A$47:$A$238,Pol.Data!$C$47:$C$239)-V12*Pol.Data!$D$37)*LOOKUP(L12,$B$20:$B$51,$G$20:$G$50)))</f>
        <v>0</v>
      </c>
      <c r="X12" s="1215">
        <f>IF(' Preparation'!$F$24*' Preparation'!$F$26=0,0,R12*S12/(' Preparation'!$F$24*' Preparation'!$F$26)*T12)</f>
        <v>0</v>
      </c>
      <c r="Y12" s="1216">
        <f ca="1">LOOKUP(' Preparation'!F$6,Pol.Data!$A$47:$A$238,Pol.Data!$C$47)</f>
        <v>0</v>
      </c>
    </row>
    <row r="13" spans="1:25" ht="47" customHeight="1" thickTop="1" thickBot="1" x14ac:dyDescent="0.4">
      <c r="A13" s="1217" t="s">
        <v>7047</v>
      </c>
      <c r="B13" s="1218" t="s">
        <v>7158</v>
      </c>
      <c r="C13" s="525" t="s">
        <v>8606</v>
      </c>
      <c r="D13" s="538" t="s">
        <v>7759</v>
      </c>
      <c r="E13" s="1219" t="s">
        <v>8389</v>
      </c>
      <c r="F13" s="1224">
        <f>$Q$44</f>
        <v>0</v>
      </c>
      <c r="G13" s="1223"/>
      <c r="I13" s="1221"/>
      <c r="J13" s="1213">
        <v>10</v>
      </c>
      <c r="K13" s="1918"/>
      <c r="L13" s="1213">
        <v>1</v>
      </c>
      <c r="M13" s="1918"/>
      <c r="N13" s="1130">
        <v>6</v>
      </c>
      <c r="O13" s="1214">
        <f>M13*LOOKUP(N13,Data!B$2:B$37,Data!AH$2:AH$37)</f>
        <v>0</v>
      </c>
      <c r="P13" s="1918"/>
      <c r="Q13" s="1918"/>
      <c r="R13" s="1918"/>
      <c r="S13" s="1918"/>
      <c r="T13" s="1918"/>
      <c r="U13" s="683"/>
      <c r="V13" s="683"/>
      <c r="W13" s="1215">
        <f ca="1">IF(Y13="n.a.","no country data",      IF(' Preparation'!$F$24*' Preparation'!$F$26=0,0,((IF(P13&gt;0,P13,O13)-Q13)-R13*(1-(S13/(' Preparation'!$F$24*' Preparation'!$F$26)))*T13-U13*LOOKUP(' Preparation'!F$6,Pol.Data!$A$47:$A$238,Pol.Data!$C$47:$C$239)-V13*Pol.Data!$D$37)*LOOKUP(L13,$B$20:$B$51,$G$20:$G$50)))</f>
        <v>0</v>
      </c>
      <c r="X13" s="1215">
        <f>IF(' Preparation'!$F$24*' Preparation'!$F$26=0,0,R13*S13/(' Preparation'!$F$24*' Preparation'!$F$26)*T13)</f>
        <v>0</v>
      </c>
      <c r="Y13" s="1216">
        <f ca="1">LOOKUP(' Preparation'!F$6,Pol.Data!$A$47:$A$238,Pol.Data!$C$47)</f>
        <v>0</v>
      </c>
    </row>
    <row r="14" spans="1:25" ht="45" customHeight="1" thickTop="1" thickBot="1" x14ac:dyDescent="0.4">
      <c r="A14" s="1217" t="s">
        <v>7154</v>
      </c>
      <c r="B14" s="1218" t="s">
        <v>272</v>
      </c>
      <c r="C14" s="1225" t="s">
        <v>7144</v>
      </c>
      <c r="D14" s="538" t="s">
        <v>7759</v>
      </c>
      <c r="E14" s="1226" t="s">
        <v>7599</v>
      </c>
      <c r="F14" s="734">
        <f ca="1">$W$19+$F$13</f>
        <v>0</v>
      </c>
      <c r="G14" s="1223"/>
      <c r="I14" s="1221"/>
      <c r="J14" s="1213">
        <v>11</v>
      </c>
      <c r="K14" s="1918"/>
      <c r="L14" s="1213">
        <v>1</v>
      </c>
      <c r="M14" s="1918"/>
      <c r="N14" s="1130">
        <v>1</v>
      </c>
      <c r="O14" s="1214">
        <f>M14*LOOKUP(N14,Data!B$2:B$37,Data!AH$2:AH$37)</f>
        <v>0</v>
      </c>
      <c r="P14" s="1918"/>
      <c r="Q14" s="1918"/>
      <c r="R14" s="1918"/>
      <c r="S14" s="1918"/>
      <c r="T14" s="1918"/>
      <c r="U14" s="683"/>
      <c r="V14" s="683"/>
      <c r="W14" s="1215">
        <f ca="1">IF(Y14="n.a.","no country data",      IF(' Preparation'!$F$24*' Preparation'!$F$26=0,0,((IF(P14&gt;0,P14,O14)-Q14)-R14*(1-(S14/(' Preparation'!$F$24*' Preparation'!$F$26)))*T14-U14*LOOKUP(' Preparation'!F$6,Pol.Data!$A$47:$A$238,Pol.Data!$C$47:$C$239)-V14*Pol.Data!$D$37)*LOOKUP(L14,$B$20:$B$51,$G$20:$G$50)))</f>
        <v>0</v>
      </c>
      <c r="X14" s="1215">
        <f>IF(' Preparation'!$F$24*' Preparation'!$F$26=0,0,R14*S14/(' Preparation'!$F$24*' Preparation'!$F$26)*T14)</f>
        <v>0</v>
      </c>
      <c r="Y14" s="1216">
        <f ca="1">LOOKUP(' Preparation'!F$6,Pol.Data!$A$47:$A$238,Pol.Data!$C$47)</f>
        <v>0</v>
      </c>
    </row>
    <row r="15" spans="1:25" ht="50.5" customHeight="1" thickTop="1" thickBot="1" x14ac:dyDescent="0.4">
      <c r="A15" s="1227" t="s">
        <v>7156</v>
      </c>
      <c r="B15" s="1228" t="s">
        <v>7142</v>
      </c>
      <c r="C15" s="1229" t="s">
        <v>8231</v>
      </c>
      <c r="D15" s="1229"/>
      <c r="E15" s="1230" t="s">
        <v>8310</v>
      </c>
      <c r="F15" s="1231" t="s">
        <v>7143</v>
      </c>
      <c r="G15" s="1232"/>
      <c r="I15" s="1221"/>
      <c r="J15" s="1213">
        <v>12</v>
      </c>
      <c r="K15" s="1918"/>
      <c r="L15" s="1213">
        <v>1</v>
      </c>
      <c r="M15" s="1918"/>
      <c r="N15" s="1130">
        <v>1</v>
      </c>
      <c r="O15" s="1214">
        <f>M15*LOOKUP(N15,Data!B$2:B$37,Data!AH$2:AH$37)</f>
        <v>0</v>
      </c>
      <c r="P15" s="1918"/>
      <c r="Q15" s="1918"/>
      <c r="R15" s="1918"/>
      <c r="S15" s="1918"/>
      <c r="T15" s="1918"/>
      <c r="U15" s="683"/>
      <c r="V15" s="683"/>
      <c r="W15" s="1215">
        <f ca="1">IF(Y15="n.a.","no country data",      IF(' Preparation'!$F$24*' Preparation'!$F$26=0,0,((IF(P15&gt;0,P15,O15)-Q15)-R15*(1-(S15/(' Preparation'!$F$24*' Preparation'!$F$26)))*T15-U15*LOOKUP(' Preparation'!F$6,Pol.Data!$A$47:$A$238,Pol.Data!$C$47:$C$239)-V15*Pol.Data!$D$37)*LOOKUP(L15,$B$20:$B$51,$G$20:$G$50)))</f>
        <v>0</v>
      </c>
      <c r="X15" s="1215">
        <f>IF(' Preparation'!$F$24*' Preparation'!$F$26=0,0,R15*S15/(' Preparation'!$F$24*' Preparation'!$F$26)*T15)</f>
        <v>0</v>
      </c>
      <c r="Y15" s="1216">
        <f ca="1">LOOKUP(' Preparation'!F$6,Pol.Data!$A$47:$A$238,Pol.Data!$C$47)</f>
        <v>0</v>
      </c>
    </row>
    <row r="16" spans="1:25" ht="20.5" customHeight="1" thickBot="1" x14ac:dyDescent="0.4">
      <c r="A16" s="499"/>
      <c r="B16" s="499"/>
      <c r="E16" s="1233"/>
      <c r="I16" s="1221"/>
      <c r="J16" s="1213">
        <v>13</v>
      </c>
      <c r="K16" s="1918"/>
      <c r="L16" s="1213">
        <v>1</v>
      </c>
      <c r="M16" s="1918"/>
      <c r="N16" s="1130">
        <v>1</v>
      </c>
      <c r="O16" s="1214">
        <f>M16*LOOKUP(N16,Data!B$2:B$37,Data!AH$2:AH$37)</f>
        <v>0</v>
      </c>
      <c r="P16" s="1918"/>
      <c r="Q16" s="1918"/>
      <c r="R16" s="1918"/>
      <c r="S16" s="1918"/>
      <c r="T16" s="1918"/>
      <c r="U16" s="683"/>
      <c r="V16" s="683"/>
      <c r="W16" s="1215">
        <f ca="1">IF(Y16="n.a.","no country data",      IF(' Preparation'!$F$24*' Preparation'!$F$26=0,0,((IF(P16&gt;0,P16,O16)-Q16)-R16*(1-(S16/(' Preparation'!$F$24*' Preparation'!$F$26)))*T16-U16*LOOKUP(' Preparation'!F$6,Pol.Data!$A$47:$A$238,Pol.Data!$C$47:$C$239)-V16*Pol.Data!$D$37)*LOOKUP(L16,$B$20:$B$51,$G$20:$G$50)))</f>
        <v>0</v>
      </c>
      <c r="X16" s="1215">
        <f>IF(' Preparation'!$F$24*' Preparation'!$F$26=0,0,R16*S16/(' Preparation'!$F$24*' Preparation'!$F$26)*T16)</f>
        <v>0</v>
      </c>
      <c r="Y16" s="1216">
        <f ca="1">LOOKUP(' Preparation'!F$6,Pol.Data!$A$47:$A$238,Pol.Data!$C$47)</f>
        <v>0</v>
      </c>
    </row>
    <row r="17" spans="1:25" ht="21.75" customHeight="1" thickBot="1" x14ac:dyDescent="0.4">
      <c r="A17" s="499"/>
      <c r="B17" s="499"/>
      <c r="E17" s="1233"/>
      <c r="I17" s="1221"/>
      <c r="J17" s="1213">
        <v>18</v>
      </c>
      <c r="K17" s="1918"/>
      <c r="L17" s="1213">
        <v>10</v>
      </c>
      <c r="M17" s="1918"/>
      <c r="N17" s="1130">
        <v>2</v>
      </c>
      <c r="O17" s="1214">
        <f>M17*LOOKUP(N17,Data!B$2:B$37,Data!AH$2:AH$37)</f>
        <v>0</v>
      </c>
      <c r="P17" s="1918"/>
      <c r="Q17" s="1918"/>
      <c r="R17" s="1918"/>
      <c r="S17" s="1918"/>
      <c r="T17" s="1918"/>
      <c r="U17" s="683"/>
      <c r="V17" s="683"/>
      <c r="W17" s="1215">
        <f ca="1">IF(Y17="n.a.","no country data",      IF(' Preparation'!$F$24*' Preparation'!$F$26=0,0,((IF(P17&gt;0,P17,O17)-Q17)-R17*(1-(S17/(' Preparation'!$F$24*' Preparation'!$F$26)))*T17-U17*LOOKUP(' Preparation'!F$6,Pol.Data!$A$47:$A$238,Pol.Data!$C$47:$C$239)-V17*Pol.Data!$D$37)*LOOKUP(L17,$B$20:$B$51,$G$20:$G$50)))</f>
        <v>0</v>
      </c>
      <c r="X17" s="1215">
        <f>IF(' Preparation'!$F$24*' Preparation'!$F$26=0,0,R17*S17/(' Preparation'!$F$24*' Preparation'!$F$26)*T17)</f>
        <v>0</v>
      </c>
      <c r="Y17" s="1216">
        <f ca="1">LOOKUP(' Preparation'!F$6,Pol.Data!$A$47:$A$238,Pol.Data!$C$47)</f>
        <v>0</v>
      </c>
    </row>
    <row r="18" spans="1:25" ht="19" thickBot="1" x14ac:dyDescent="0.4">
      <c r="A18" s="499"/>
      <c r="B18" s="1234"/>
      <c r="C18" s="1235" t="s">
        <v>8652</v>
      </c>
      <c r="D18" s="1236"/>
      <c r="E18" s="1237"/>
      <c r="F18" s="1236"/>
      <c r="G18" s="1238"/>
      <c r="J18" s="1239"/>
      <c r="K18" s="538"/>
      <c r="L18" s="538"/>
      <c r="M18" s="538"/>
      <c r="N18" s="538"/>
      <c r="O18" s="1626"/>
      <c r="P18" s="538"/>
      <c r="Q18" s="1240"/>
      <c r="R18" s="1240"/>
      <c r="S18" s="1240"/>
      <c r="T18" s="1240"/>
      <c r="U18" s="1241"/>
      <c r="V18" s="1241"/>
      <c r="W18" s="538"/>
      <c r="X18" s="1242"/>
    </row>
    <row r="19" spans="1:25" ht="41.25" customHeight="1" thickBot="1" x14ac:dyDescent="0.4">
      <c r="A19" s="499"/>
      <c r="B19" s="1243" t="s">
        <v>82</v>
      </c>
      <c r="C19" s="582" t="s">
        <v>7051</v>
      </c>
      <c r="D19" s="1244" t="s">
        <v>8390</v>
      </c>
      <c r="E19" s="1245" t="s">
        <v>8391</v>
      </c>
      <c r="F19" s="689" t="s">
        <v>7129</v>
      </c>
      <c r="G19" s="1115" t="s">
        <v>8392</v>
      </c>
      <c r="J19" s="1246"/>
      <c r="K19" s="1229"/>
      <c r="L19" s="1229"/>
      <c r="M19" s="1229"/>
      <c r="N19" s="1229"/>
      <c r="O19" s="657"/>
      <c r="P19" s="1229"/>
      <c r="Q19" s="1247" t="s">
        <v>7128</v>
      </c>
      <c r="R19" s="1248"/>
      <c r="S19" s="1248"/>
      <c r="T19" s="1248"/>
      <c r="U19" s="1249"/>
      <c r="V19" s="1249"/>
      <c r="W19" s="1250">
        <f ca="1">SUM(W4:W17)</f>
        <v>0</v>
      </c>
      <c r="X19" s="1250">
        <f>SUM(X4:X17)</f>
        <v>0</v>
      </c>
    </row>
    <row r="20" spans="1:25" ht="20.25" customHeight="1" thickBot="1" x14ac:dyDescent="0.4">
      <c r="A20" s="499"/>
      <c r="B20" s="1234">
        <v>1</v>
      </c>
      <c r="C20" s="1251" t="s">
        <v>8230</v>
      </c>
      <c r="D20" s="1252">
        <f>Data!$AE2</f>
        <v>0.61</v>
      </c>
      <c r="E20" s="1253"/>
      <c r="F20" s="1254"/>
      <c r="G20" s="1252">
        <f>F20*E20+(1-F20)*D20</f>
        <v>0.61</v>
      </c>
      <c r="W20" s="1198"/>
    </row>
    <row r="21" spans="1:25" ht="20.25" customHeight="1" thickBot="1" x14ac:dyDescent="0.4">
      <c r="A21" s="499"/>
      <c r="B21" s="1255">
        <v>2</v>
      </c>
      <c r="C21" s="1251" t="s">
        <v>7052</v>
      </c>
      <c r="D21" s="1252">
        <f>Data!$AE3</f>
        <v>0</v>
      </c>
      <c r="E21" s="1256"/>
      <c r="F21" s="1137"/>
      <c r="G21" s="1252">
        <f>F21*E21+(1-F21)*D21</f>
        <v>0</v>
      </c>
      <c r="L21" s="1771" t="s">
        <v>8605</v>
      </c>
      <c r="M21" s="1772"/>
      <c r="N21" s="1772"/>
      <c r="O21" s="1772"/>
      <c r="P21" s="1772"/>
      <c r="Q21" s="1773"/>
    </row>
    <row r="22" spans="1:25" ht="40" customHeight="1" thickBot="1" x14ac:dyDescent="0.4">
      <c r="A22" s="499"/>
      <c r="B22" s="1255">
        <v>3</v>
      </c>
      <c r="C22" s="1251" t="s">
        <v>7053</v>
      </c>
      <c r="D22" s="1252">
        <f>Data!$AE4</f>
        <v>0</v>
      </c>
      <c r="E22" s="574"/>
      <c r="F22" s="1137"/>
      <c r="G22" s="1257">
        <f>F22*E22+(1-F22)*D22</f>
        <v>0</v>
      </c>
      <c r="L22" s="686" t="s">
        <v>2224</v>
      </c>
      <c r="M22" s="754" t="s">
        <v>5820</v>
      </c>
      <c r="N22" s="754" t="s">
        <v>8611</v>
      </c>
      <c r="O22" s="754" t="s">
        <v>8609</v>
      </c>
      <c r="P22" s="1258" t="s">
        <v>5833</v>
      </c>
      <c r="Q22" s="1258" t="s">
        <v>78</v>
      </c>
    </row>
    <row r="23" spans="1:25" ht="20.25" customHeight="1" thickBot="1" x14ac:dyDescent="0.4">
      <c r="A23" s="499"/>
      <c r="B23" s="1255">
        <v>4</v>
      </c>
      <c r="C23" s="1251" t="s">
        <v>7054</v>
      </c>
      <c r="D23" s="1252">
        <f>Data!$AE5</f>
        <v>1.7999999999999999E-2</v>
      </c>
      <c r="E23" s="1256"/>
      <c r="F23" s="1137"/>
      <c r="G23" s="1252">
        <v>31</v>
      </c>
      <c r="K23" s="1259"/>
      <c r="L23" s="1923">
        <v>1</v>
      </c>
      <c r="M23" s="1924"/>
      <c r="N23" s="1260">
        <f>LOOKUP(L23,Pol.Data!$AC$4:$AC$7152,Pol.Data!$AF$4:$AF$7152)</f>
        <v>0</v>
      </c>
      <c r="O23" s="1924"/>
      <c r="P23" s="1925"/>
      <c r="Q23" s="1260">
        <f>M23*(P23*O23+(1-P23)*N23)</f>
        <v>0</v>
      </c>
    </row>
    <row r="24" spans="1:25" ht="20.25" customHeight="1" thickBot="1" x14ac:dyDescent="0.4">
      <c r="A24" s="499"/>
      <c r="B24" s="1255">
        <v>5</v>
      </c>
      <c r="C24" s="1261" t="s">
        <v>7055</v>
      </c>
      <c r="D24" s="1252">
        <f>Data!$AE6</f>
        <v>0.4</v>
      </c>
      <c r="E24" s="1256"/>
      <c r="F24" s="1137"/>
      <c r="G24" s="1252">
        <v>1</v>
      </c>
      <c r="L24" s="1926">
        <v>1</v>
      </c>
      <c r="M24" s="1924"/>
      <c r="N24" s="1260">
        <f>LOOKUP(L24,Pol.Data!$AC$4:$AC$7152,Pol.Data!$AF$4:$AF$7152)</f>
        <v>0</v>
      </c>
      <c r="O24" s="1924"/>
      <c r="P24" s="1925"/>
      <c r="Q24" s="1260">
        <f t="shared" ref="Q24:Q42" si="0">M24*(P24*O24+(1-P24)*N24)</f>
        <v>0</v>
      </c>
    </row>
    <row r="25" spans="1:25" ht="20.25" customHeight="1" thickBot="1" x14ac:dyDescent="0.4">
      <c r="A25" s="499"/>
      <c r="B25" s="1255">
        <v>6</v>
      </c>
      <c r="C25" s="1261" t="s">
        <v>7056</v>
      </c>
      <c r="D25" s="1252">
        <f>Data!$AE7</f>
        <v>0.61</v>
      </c>
      <c r="E25" s="1256"/>
      <c r="F25" s="1137"/>
      <c r="G25" s="1252">
        <v>1</v>
      </c>
      <c r="L25" s="1926">
        <v>1</v>
      </c>
      <c r="M25" s="1924"/>
      <c r="N25" s="1260">
        <f>LOOKUP(L25,Pol.Data!$AC$4:$AC$7152,Pol.Data!$AF$4:$AF$7152)</f>
        <v>0</v>
      </c>
      <c r="O25" s="1924"/>
      <c r="P25" s="1925"/>
      <c r="Q25" s="1260">
        <f t="shared" si="0"/>
        <v>0</v>
      </c>
    </row>
    <row r="26" spans="1:25" ht="20.25" customHeight="1" thickBot="1" x14ac:dyDescent="0.4">
      <c r="A26" s="499"/>
      <c r="B26" s="1255">
        <v>7</v>
      </c>
      <c r="C26" s="1261" t="s">
        <v>7057</v>
      </c>
      <c r="D26" s="1252">
        <f>Data!$AE8</f>
        <v>0.61</v>
      </c>
      <c r="E26" s="1256"/>
      <c r="F26" s="1137"/>
      <c r="G26" s="1252">
        <v>1</v>
      </c>
      <c r="L26" s="1926">
        <v>1</v>
      </c>
      <c r="M26" s="1924"/>
      <c r="N26" s="1260">
        <f>LOOKUP(L26,Pol.Data!$AC$4:$AC$7152,Pol.Data!$AF$4:$AF$7152)</f>
        <v>0</v>
      </c>
      <c r="O26" s="1924"/>
      <c r="P26" s="1925"/>
      <c r="Q26" s="1260">
        <f t="shared" si="0"/>
        <v>0</v>
      </c>
    </row>
    <row r="27" spans="1:25" ht="20.25" customHeight="1" thickBot="1" x14ac:dyDescent="0.4">
      <c r="A27" s="499"/>
      <c r="B27" s="1255">
        <v>8</v>
      </c>
      <c r="C27" s="1261" t="s">
        <v>7058</v>
      </c>
      <c r="D27" s="1252">
        <f>Data!$AE9</f>
        <v>0.61</v>
      </c>
      <c r="E27" s="1256"/>
      <c r="F27" s="1137"/>
      <c r="G27" s="1252">
        <v>1</v>
      </c>
      <c r="L27" s="1926">
        <v>1</v>
      </c>
      <c r="M27" s="1924"/>
      <c r="N27" s="1260">
        <f>LOOKUP(L27,Pol.Data!$AC$4:$AC$7152,Pol.Data!$AF$4:$AF$7152)</f>
        <v>0</v>
      </c>
      <c r="O27" s="1924"/>
      <c r="P27" s="1925"/>
      <c r="Q27" s="1260">
        <f t="shared" si="0"/>
        <v>0</v>
      </c>
    </row>
    <row r="28" spans="1:25" ht="20.25" customHeight="1" thickBot="1" x14ac:dyDescent="0.4">
      <c r="A28" s="499"/>
      <c r="B28" s="1255">
        <v>9</v>
      </c>
      <c r="C28" s="1251" t="s">
        <v>7059</v>
      </c>
      <c r="D28" s="1252">
        <f>Data!AE10</f>
        <v>0.61</v>
      </c>
      <c r="E28" s="1256"/>
      <c r="F28" s="1137"/>
      <c r="G28" s="1252">
        <v>1</v>
      </c>
      <c r="L28" s="1926">
        <v>1</v>
      </c>
      <c r="M28" s="1924"/>
      <c r="N28" s="1260">
        <f>LOOKUP(L28,Pol.Data!$AC$4:$AC$7152,Pol.Data!$AF$4:$AF$7152)</f>
        <v>0</v>
      </c>
      <c r="O28" s="1924"/>
      <c r="P28" s="1925"/>
      <c r="Q28" s="1260">
        <f t="shared" si="0"/>
        <v>0</v>
      </c>
    </row>
    <row r="29" spans="1:25" ht="20.25" customHeight="1" thickBot="1" x14ac:dyDescent="0.4">
      <c r="A29" s="499"/>
      <c r="B29" s="1255">
        <v>10</v>
      </c>
      <c r="C29" s="1251" t="s">
        <v>7060</v>
      </c>
      <c r="D29" s="1252">
        <f>Data!AE11</f>
        <v>0.1</v>
      </c>
      <c r="E29" s="1256"/>
      <c r="F29" s="1137"/>
      <c r="G29" s="1252">
        <v>1</v>
      </c>
      <c r="L29" s="1926">
        <v>1</v>
      </c>
      <c r="M29" s="1924"/>
      <c r="N29" s="1260">
        <f>LOOKUP(L29,Pol.Data!$AC$4:$AC$7152,Pol.Data!$AF$4:$AF$7152)</f>
        <v>0</v>
      </c>
      <c r="O29" s="1924"/>
      <c r="P29" s="1925"/>
      <c r="Q29" s="1260">
        <f t="shared" si="0"/>
        <v>0</v>
      </c>
    </row>
    <row r="30" spans="1:25" ht="20.25" customHeight="1" thickBot="1" x14ac:dyDescent="0.4">
      <c r="A30" s="499"/>
      <c r="B30" s="1255">
        <v>11</v>
      </c>
      <c r="C30" s="1251" t="s">
        <v>7061</v>
      </c>
      <c r="D30" s="1252">
        <f>Data!$AE12</f>
        <v>0.11799999999999999</v>
      </c>
      <c r="E30" s="1256"/>
      <c r="F30" s="1137"/>
      <c r="G30" s="1252">
        <v>1</v>
      </c>
      <c r="L30" s="1926">
        <v>1</v>
      </c>
      <c r="M30" s="1924"/>
      <c r="N30" s="1260">
        <f>LOOKUP(L30,Pol.Data!$AC$4:$AC$7152,Pol.Data!$AF$4:$AF$7152)</f>
        <v>0</v>
      </c>
      <c r="O30" s="1924"/>
      <c r="P30" s="1925"/>
      <c r="Q30" s="1260">
        <f t="shared" si="0"/>
        <v>0</v>
      </c>
    </row>
    <row r="31" spans="1:25" ht="20.25" customHeight="1" thickBot="1" x14ac:dyDescent="0.4">
      <c r="A31" s="499"/>
      <c r="B31" s="1255">
        <v>12</v>
      </c>
      <c r="C31" s="1251" t="s">
        <v>7062</v>
      </c>
      <c r="D31" s="1252">
        <f>Data!$AE13</f>
        <v>3.5000000000000001E-3</v>
      </c>
      <c r="E31" s="1256"/>
      <c r="F31" s="1137"/>
      <c r="G31" s="1252">
        <v>1</v>
      </c>
      <c r="L31" s="1926">
        <v>1</v>
      </c>
      <c r="M31" s="1924"/>
      <c r="N31" s="1260">
        <f>LOOKUP(L31,Pol.Data!$AC$4:$AC$7152,Pol.Data!$AF$4:$AF$7152)</f>
        <v>0</v>
      </c>
      <c r="O31" s="1924"/>
      <c r="P31" s="1925"/>
      <c r="Q31" s="1260">
        <f t="shared" si="0"/>
        <v>0</v>
      </c>
    </row>
    <row r="32" spans="1:25" ht="20.25" customHeight="1" thickBot="1" x14ac:dyDescent="0.4">
      <c r="A32" s="499"/>
      <c r="B32" s="1255">
        <v>13</v>
      </c>
      <c r="C32" s="1251" t="s">
        <v>7063</v>
      </c>
      <c r="D32" s="1252">
        <f>Data!$AE14</f>
        <v>0.1</v>
      </c>
      <c r="E32" s="1256"/>
      <c r="F32" s="1137"/>
      <c r="G32" s="1252">
        <v>1</v>
      </c>
      <c r="L32" s="1926">
        <v>1</v>
      </c>
      <c r="M32" s="1924"/>
      <c r="N32" s="1260">
        <f>LOOKUP(L32,Pol.Data!$AC$4:$AC$7152,Pol.Data!$AF$4:$AF$7152)</f>
        <v>0</v>
      </c>
      <c r="O32" s="1924"/>
      <c r="P32" s="1925"/>
      <c r="Q32" s="1260">
        <f t="shared" si="0"/>
        <v>0</v>
      </c>
    </row>
    <row r="33" spans="1:16381" ht="20.25" customHeight="1" thickBot="1" x14ac:dyDescent="0.4">
      <c r="A33" s="499"/>
      <c r="B33" s="1255">
        <v>14</v>
      </c>
      <c r="C33" s="1261" t="s">
        <v>7064</v>
      </c>
      <c r="D33" s="1252">
        <f>Data!$AE15</f>
        <v>0.24</v>
      </c>
      <c r="E33" s="1256"/>
      <c r="F33" s="1137"/>
      <c r="G33" s="1252">
        <v>1</v>
      </c>
      <c r="L33" s="1926">
        <v>1</v>
      </c>
      <c r="M33" s="1924"/>
      <c r="N33" s="1260">
        <f>LOOKUP(L33,Pol.Data!$AC$4:$AC$7152,Pol.Data!$AF$4:$AF$7152)</f>
        <v>0</v>
      </c>
      <c r="O33" s="1924"/>
      <c r="P33" s="1925"/>
      <c r="Q33" s="1260">
        <f t="shared" si="0"/>
        <v>0</v>
      </c>
    </row>
    <row r="34" spans="1:16381" ht="20.25" customHeight="1" thickBot="1" x14ac:dyDescent="0.4">
      <c r="A34" s="499"/>
      <c r="B34" s="1255">
        <v>15</v>
      </c>
      <c r="C34" s="1261" t="s">
        <v>7065</v>
      </c>
      <c r="D34" s="1252">
        <f>Data!$AE16</f>
        <v>0.24</v>
      </c>
      <c r="E34" s="1256"/>
      <c r="F34" s="1137"/>
      <c r="G34" s="1252">
        <v>1</v>
      </c>
      <c r="L34" s="1926">
        <v>1</v>
      </c>
      <c r="M34" s="1924"/>
      <c r="N34" s="1260">
        <f>LOOKUP(L34,Pol.Data!$AC$4:$AC$7152,Pol.Data!$AF$4:$AF$7152)</f>
        <v>0</v>
      </c>
      <c r="O34" s="1924"/>
      <c r="P34" s="1925"/>
      <c r="Q34" s="1260">
        <f t="shared" si="0"/>
        <v>0</v>
      </c>
    </row>
    <row r="35" spans="1:16381" ht="20.25" customHeight="1" thickBot="1" x14ac:dyDescent="0.4">
      <c r="B35" s="1255">
        <v>16</v>
      </c>
      <c r="C35" s="1261" t="s">
        <v>7066</v>
      </c>
      <c r="D35" s="1252">
        <f>Data!$AE17</f>
        <v>0.31</v>
      </c>
      <c r="E35" s="1256"/>
      <c r="F35" s="1137"/>
      <c r="G35" s="1252">
        <v>1</v>
      </c>
      <c r="L35" s="1927">
        <v>1</v>
      </c>
      <c r="M35" s="1924"/>
      <c r="N35" s="1260">
        <f>LOOKUP(L35,Pol.Data!$AC$4:$AC$7152,Pol.Data!$AF$4:$AF$7152)</f>
        <v>0</v>
      </c>
      <c r="O35" s="1924"/>
      <c r="P35" s="1925"/>
      <c r="Q35" s="1260">
        <f t="shared" si="0"/>
        <v>0</v>
      </c>
    </row>
    <row r="36" spans="1:16381" ht="20.25" customHeight="1" thickBot="1" x14ac:dyDescent="0.4">
      <c r="B36" s="1255">
        <v>17</v>
      </c>
      <c r="C36" s="1261" t="s">
        <v>4486</v>
      </c>
      <c r="D36" s="1252">
        <f>Data!$AE18</f>
        <v>0.24</v>
      </c>
      <c r="E36" s="1256"/>
      <c r="F36" s="1137"/>
      <c r="G36" s="1252">
        <v>1</v>
      </c>
      <c r="H36" s="512"/>
      <c r="I36" s="601"/>
      <c r="L36" s="1927">
        <v>1</v>
      </c>
      <c r="M36" s="1924"/>
      <c r="N36" s="1260">
        <f>LOOKUP(L36,Pol.Data!$AC$4:$AC$7152,Pol.Data!$AF$4:$AF$7152)</f>
        <v>0</v>
      </c>
      <c r="O36" s="1924"/>
      <c r="P36" s="1925"/>
      <c r="Q36" s="1260">
        <f t="shared" si="0"/>
        <v>0</v>
      </c>
      <c r="R36" s="1262"/>
      <c r="S36" s="1262"/>
      <c r="T36" s="1262"/>
      <c r="U36" s="578"/>
      <c r="X36" s="512"/>
      <c r="Y36" s="601"/>
      <c r="AB36" s="512"/>
      <c r="AC36" s="601"/>
      <c r="AF36" s="512"/>
      <c r="AG36" s="601"/>
      <c r="AJ36" s="512"/>
      <c r="AK36" s="601"/>
      <c r="AN36" s="512"/>
      <c r="AO36" s="601"/>
      <c r="AR36" s="512"/>
      <c r="AS36" s="601"/>
      <c r="AV36" s="512"/>
      <c r="AW36" s="601"/>
      <c r="AZ36" s="512"/>
      <c r="BA36" s="601"/>
      <c r="BD36" s="512"/>
      <c r="BE36" s="601"/>
      <c r="BH36" s="512"/>
      <c r="BI36" s="601"/>
      <c r="BL36" s="512"/>
      <c r="BM36" s="601"/>
      <c r="BP36" s="512"/>
      <c r="BQ36" s="601"/>
      <c r="BT36" s="512"/>
      <c r="BU36" s="601"/>
      <c r="BX36" s="512"/>
      <c r="BY36" s="601"/>
      <c r="CB36" s="512"/>
      <c r="CC36" s="601"/>
      <c r="CF36" s="512"/>
      <c r="CG36" s="601"/>
      <c r="CJ36" s="512"/>
      <c r="CK36" s="601"/>
      <c r="CN36" s="512"/>
      <c r="CO36" s="601"/>
      <c r="CR36" s="512"/>
      <c r="CS36" s="601"/>
      <c r="CV36" s="512"/>
      <c r="CW36" s="601"/>
      <c r="CZ36" s="512"/>
      <c r="DA36" s="601"/>
      <c r="DD36" s="512"/>
      <c r="DE36" s="601"/>
      <c r="DH36" s="512"/>
      <c r="DI36" s="601"/>
      <c r="DL36" s="512"/>
      <c r="DM36" s="601"/>
      <c r="DP36" s="512"/>
      <c r="DQ36" s="601"/>
      <c r="DT36" s="512"/>
      <c r="DU36" s="601"/>
      <c r="DX36" s="512"/>
      <c r="DY36" s="601"/>
      <c r="EB36" s="512"/>
      <c r="EC36" s="601"/>
      <c r="EF36" s="512"/>
      <c r="EG36" s="601"/>
      <c r="EJ36" s="512"/>
      <c r="EK36" s="601"/>
      <c r="EN36" s="512"/>
      <c r="EO36" s="601"/>
      <c r="ER36" s="512"/>
      <c r="ES36" s="601"/>
      <c r="EV36" s="512"/>
      <c r="EW36" s="601"/>
      <c r="EZ36" s="512"/>
      <c r="FA36" s="601"/>
      <c r="FD36" s="512"/>
      <c r="FE36" s="601"/>
      <c r="FH36" s="512"/>
      <c r="FI36" s="601"/>
      <c r="FL36" s="512"/>
      <c r="FM36" s="601"/>
      <c r="FP36" s="512"/>
      <c r="FQ36" s="601"/>
      <c r="FT36" s="512"/>
      <c r="FU36" s="601"/>
      <c r="FX36" s="512"/>
      <c r="FY36" s="601"/>
      <c r="GB36" s="512"/>
      <c r="GC36" s="601"/>
      <c r="GF36" s="512"/>
      <c r="GG36" s="601"/>
      <c r="GJ36" s="512"/>
      <c r="GK36" s="601"/>
      <c r="GN36" s="512"/>
      <c r="GO36" s="601"/>
      <c r="GR36" s="512"/>
      <c r="GS36" s="601"/>
      <c r="GV36" s="512"/>
      <c r="GW36" s="601"/>
      <c r="GZ36" s="512"/>
      <c r="HA36" s="601"/>
      <c r="HD36" s="512"/>
      <c r="HE36" s="601"/>
      <c r="HH36" s="512"/>
      <c r="HI36" s="601"/>
      <c r="HL36" s="512"/>
      <c r="HM36" s="601"/>
      <c r="HP36" s="512"/>
      <c r="HQ36" s="601"/>
      <c r="HT36" s="512"/>
      <c r="HU36" s="601"/>
      <c r="HX36" s="512"/>
      <c r="HY36" s="601"/>
      <c r="IB36" s="512"/>
      <c r="IC36" s="601"/>
      <c r="IF36" s="512"/>
      <c r="IG36" s="601"/>
      <c r="IJ36" s="512"/>
      <c r="IK36" s="601"/>
      <c r="IN36" s="512"/>
      <c r="IO36" s="601"/>
      <c r="IR36" s="512"/>
      <c r="IS36" s="601"/>
      <c r="IV36" s="512"/>
      <c r="IW36" s="601"/>
      <c r="IZ36" s="512"/>
      <c r="JA36" s="601"/>
      <c r="JD36" s="512"/>
      <c r="JE36" s="601"/>
      <c r="JH36" s="512"/>
      <c r="JI36" s="601"/>
      <c r="JL36" s="512"/>
      <c r="JM36" s="601"/>
      <c r="JP36" s="512"/>
      <c r="JQ36" s="601"/>
      <c r="JT36" s="512"/>
      <c r="JU36" s="601"/>
      <c r="JX36" s="512"/>
      <c r="JY36" s="601"/>
      <c r="KB36" s="512"/>
      <c r="KC36" s="601"/>
      <c r="KF36" s="512"/>
      <c r="KG36" s="601"/>
      <c r="KJ36" s="512"/>
      <c r="KK36" s="601"/>
      <c r="KN36" s="512"/>
      <c r="KO36" s="601"/>
      <c r="KR36" s="512"/>
      <c r="KS36" s="601"/>
      <c r="KV36" s="512"/>
      <c r="KW36" s="601"/>
      <c r="KZ36" s="512"/>
      <c r="LA36" s="601"/>
      <c r="LD36" s="512"/>
      <c r="LE36" s="601"/>
      <c r="LH36" s="512"/>
      <c r="LI36" s="601"/>
      <c r="LL36" s="512"/>
      <c r="LM36" s="601"/>
      <c r="LP36" s="512"/>
      <c r="LQ36" s="601"/>
      <c r="LT36" s="512"/>
      <c r="LU36" s="601"/>
      <c r="LX36" s="512"/>
      <c r="LY36" s="601"/>
      <c r="MB36" s="512"/>
      <c r="MC36" s="601"/>
      <c r="MF36" s="512"/>
      <c r="MG36" s="601"/>
      <c r="MJ36" s="512"/>
      <c r="MK36" s="601"/>
      <c r="MN36" s="512"/>
      <c r="MO36" s="601"/>
      <c r="MR36" s="512"/>
      <c r="MS36" s="601"/>
      <c r="MV36" s="512"/>
      <c r="MW36" s="601"/>
      <c r="MZ36" s="512"/>
      <c r="NA36" s="601"/>
      <c r="ND36" s="512"/>
      <c r="NE36" s="601"/>
      <c r="NH36" s="512"/>
      <c r="NI36" s="601"/>
      <c r="NL36" s="512"/>
      <c r="NM36" s="601"/>
      <c r="NP36" s="512"/>
      <c r="NQ36" s="601"/>
      <c r="NT36" s="512"/>
      <c r="NU36" s="601"/>
      <c r="NX36" s="512"/>
      <c r="NY36" s="601"/>
      <c r="OB36" s="512"/>
      <c r="OC36" s="601"/>
      <c r="OF36" s="512"/>
      <c r="OG36" s="601"/>
      <c r="OJ36" s="512"/>
      <c r="OK36" s="601"/>
      <c r="ON36" s="512"/>
      <c r="OO36" s="601"/>
      <c r="OR36" s="512"/>
      <c r="OS36" s="601"/>
      <c r="OV36" s="512"/>
      <c r="OW36" s="601"/>
      <c r="OZ36" s="512"/>
      <c r="PA36" s="601"/>
      <c r="PD36" s="512"/>
      <c r="PE36" s="601"/>
      <c r="PH36" s="512"/>
      <c r="PI36" s="601"/>
      <c r="PL36" s="512"/>
      <c r="PM36" s="601"/>
      <c r="PP36" s="512"/>
      <c r="PQ36" s="601"/>
      <c r="PT36" s="512"/>
      <c r="PU36" s="601"/>
      <c r="PX36" s="512"/>
      <c r="PY36" s="601"/>
      <c r="QB36" s="512"/>
      <c r="QC36" s="601"/>
      <c r="QF36" s="512"/>
      <c r="QG36" s="601"/>
      <c r="QJ36" s="512"/>
      <c r="QK36" s="601"/>
      <c r="QN36" s="512"/>
      <c r="QO36" s="601"/>
      <c r="QR36" s="512"/>
      <c r="QS36" s="601"/>
      <c r="QV36" s="512"/>
      <c r="QW36" s="601"/>
      <c r="QZ36" s="512"/>
      <c r="RA36" s="601"/>
      <c r="RD36" s="512"/>
      <c r="RE36" s="601"/>
      <c r="RH36" s="512"/>
      <c r="RI36" s="601"/>
      <c r="RL36" s="512"/>
      <c r="RM36" s="601"/>
      <c r="RP36" s="512"/>
      <c r="RQ36" s="601"/>
      <c r="RT36" s="512"/>
      <c r="RU36" s="601"/>
      <c r="RX36" s="512"/>
      <c r="RY36" s="601"/>
      <c r="SB36" s="512"/>
      <c r="SC36" s="601"/>
      <c r="SF36" s="512"/>
      <c r="SG36" s="601"/>
      <c r="SJ36" s="512"/>
      <c r="SK36" s="601"/>
      <c r="SN36" s="512"/>
      <c r="SO36" s="601"/>
      <c r="SR36" s="512"/>
      <c r="SS36" s="601"/>
      <c r="SV36" s="512"/>
      <c r="SW36" s="601"/>
      <c r="SZ36" s="512"/>
      <c r="TA36" s="601"/>
      <c r="TD36" s="512"/>
      <c r="TE36" s="601"/>
      <c r="TH36" s="512"/>
      <c r="TI36" s="601"/>
      <c r="TL36" s="512"/>
      <c r="TM36" s="601"/>
      <c r="TP36" s="512"/>
      <c r="TQ36" s="601"/>
      <c r="TT36" s="512"/>
      <c r="TU36" s="601"/>
      <c r="TX36" s="512"/>
      <c r="TY36" s="601"/>
      <c r="UB36" s="512"/>
      <c r="UC36" s="601"/>
      <c r="UF36" s="512"/>
      <c r="UG36" s="601"/>
      <c r="UJ36" s="512"/>
      <c r="UK36" s="601"/>
      <c r="UN36" s="512"/>
      <c r="UO36" s="601"/>
      <c r="UR36" s="512"/>
      <c r="US36" s="601"/>
      <c r="UV36" s="512"/>
      <c r="UW36" s="601"/>
      <c r="UZ36" s="512"/>
      <c r="VA36" s="601"/>
      <c r="VD36" s="512"/>
      <c r="VE36" s="601"/>
      <c r="VH36" s="512"/>
      <c r="VI36" s="601"/>
      <c r="VL36" s="512"/>
      <c r="VM36" s="601"/>
      <c r="VP36" s="512"/>
      <c r="VQ36" s="601"/>
      <c r="VT36" s="512"/>
      <c r="VU36" s="601"/>
      <c r="VX36" s="512"/>
      <c r="VY36" s="601"/>
      <c r="WB36" s="512"/>
      <c r="WC36" s="601"/>
      <c r="WF36" s="512"/>
      <c r="WG36" s="601"/>
      <c r="WJ36" s="512"/>
      <c r="WK36" s="601"/>
      <c r="WN36" s="512"/>
      <c r="WO36" s="601"/>
      <c r="WR36" s="512"/>
      <c r="WS36" s="601"/>
      <c r="WV36" s="512"/>
      <c r="WW36" s="601"/>
      <c r="WZ36" s="512"/>
      <c r="XA36" s="601"/>
      <c r="XD36" s="512"/>
      <c r="XE36" s="601"/>
      <c r="XH36" s="512"/>
      <c r="XI36" s="601"/>
      <c r="XL36" s="512"/>
      <c r="XM36" s="601"/>
      <c r="XP36" s="512"/>
      <c r="XQ36" s="601"/>
      <c r="XT36" s="512"/>
      <c r="XU36" s="601"/>
      <c r="XX36" s="512"/>
      <c r="XY36" s="601"/>
      <c r="YB36" s="512"/>
      <c r="YC36" s="601"/>
      <c r="YF36" s="512"/>
      <c r="YG36" s="601"/>
      <c r="YJ36" s="512"/>
      <c r="YK36" s="601"/>
      <c r="YN36" s="512"/>
      <c r="YO36" s="601"/>
      <c r="YR36" s="512"/>
      <c r="YS36" s="601"/>
      <c r="YV36" s="512"/>
      <c r="YW36" s="601"/>
      <c r="YZ36" s="512"/>
      <c r="ZA36" s="601"/>
      <c r="ZD36" s="512"/>
      <c r="ZE36" s="601"/>
      <c r="ZH36" s="512"/>
      <c r="ZI36" s="601"/>
      <c r="ZL36" s="512"/>
      <c r="ZM36" s="601"/>
      <c r="ZP36" s="512"/>
      <c r="ZQ36" s="601"/>
      <c r="ZT36" s="512"/>
      <c r="ZU36" s="601"/>
      <c r="ZX36" s="512"/>
      <c r="ZY36" s="601"/>
      <c r="AAB36" s="512"/>
      <c r="AAC36" s="601"/>
      <c r="AAF36" s="512"/>
      <c r="AAG36" s="601"/>
      <c r="AAJ36" s="512"/>
      <c r="AAK36" s="601"/>
      <c r="AAN36" s="512"/>
      <c r="AAO36" s="601"/>
      <c r="AAR36" s="512"/>
      <c r="AAS36" s="601"/>
      <c r="AAV36" s="512"/>
      <c r="AAW36" s="601"/>
      <c r="AAZ36" s="512"/>
      <c r="ABA36" s="601"/>
      <c r="ABD36" s="512"/>
      <c r="ABE36" s="601"/>
      <c r="ABH36" s="512"/>
      <c r="ABI36" s="601"/>
      <c r="ABL36" s="512"/>
      <c r="ABM36" s="601"/>
      <c r="ABP36" s="512"/>
      <c r="ABQ36" s="601"/>
      <c r="ABT36" s="512"/>
      <c r="ABU36" s="601"/>
      <c r="ABX36" s="512"/>
      <c r="ABY36" s="601"/>
      <c r="ACB36" s="512"/>
      <c r="ACC36" s="601"/>
      <c r="ACF36" s="512"/>
      <c r="ACG36" s="601"/>
      <c r="ACJ36" s="512"/>
      <c r="ACK36" s="601"/>
      <c r="ACN36" s="512"/>
      <c r="ACO36" s="601"/>
      <c r="ACR36" s="512"/>
      <c r="ACS36" s="601"/>
      <c r="ACV36" s="512"/>
      <c r="ACW36" s="601"/>
      <c r="ACZ36" s="512"/>
      <c r="ADA36" s="601"/>
      <c r="ADD36" s="512"/>
      <c r="ADE36" s="601"/>
      <c r="ADH36" s="512"/>
      <c r="ADI36" s="601"/>
      <c r="ADL36" s="512"/>
      <c r="ADM36" s="601"/>
      <c r="ADP36" s="512"/>
      <c r="ADQ36" s="601"/>
      <c r="ADT36" s="512"/>
      <c r="ADU36" s="601"/>
      <c r="ADX36" s="512"/>
      <c r="ADY36" s="601"/>
      <c r="AEB36" s="512"/>
      <c r="AEC36" s="601"/>
      <c r="AEF36" s="512"/>
      <c r="AEG36" s="601"/>
      <c r="AEJ36" s="512"/>
      <c r="AEK36" s="601"/>
      <c r="AEN36" s="512"/>
      <c r="AEO36" s="601"/>
      <c r="AER36" s="512"/>
      <c r="AES36" s="601"/>
      <c r="AEV36" s="512"/>
      <c r="AEW36" s="601"/>
      <c r="AEZ36" s="512"/>
      <c r="AFA36" s="601"/>
      <c r="AFD36" s="512"/>
      <c r="AFE36" s="601"/>
      <c r="AFH36" s="512"/>
      <c r="AFI36" s="601"/>
      <c r="AFL36" s="512"/>
      <c r="AFM36" s="601"/>
      <c r="AFP36" s="512"/>
      <c r="AFQ36" s="601"/>
      <c r="AFT36" s="512"/>
      <c r="AFU36" s="601"/>
      <c r="AFX36" s="512"/>
      <c r="AFY36" s="601"/>
      <c r="AGB36" s="512"/>
      <c r="AGC36" s="601"/>
      <c r="AGF36" s="512"/>
      <c r="AGG36" s="601"/>
      <c r="AGJ36" s="512"/>
      <c r="AGK36" s="601"/>
      <c r="AGN36" s="512"/>
      <c r="AGO36" s="601"/>
      <c r="AGR36" s="512"/>
      <c r="AGS36" s="601"/>
      <c r="AGV36" s="512"/>
      <c r="AGW36" s="601"/>
      <c r="AGZ36" s="512"/>
      <c r="AHA36" s="601"/>
      <c r="AHD36" s="512"/>
      <c r="AHE36" s="601"/>
      <c r="AHH36" s="512"/>
      <c r="AHI36" s="601"/>
      <c r="AHL36" s="512"/>
      <c r="AHM36" s="601"/>
      <c r="AHP36" s="512"/>
      <c r="AHQ36" s="601"/>
      <c r="AHT36" s="512"/>
      <c r="AHU36" s="601"/>
      <c r="AHX36" s="512"/>
      <c r="AHY36" s="601"/>
      <c r="AIB36" s="512"/>
      <c r="AIC36" s="601"/>
      <c r="AIF36" s="512"/>
      <c r="AIG36" s="601"/>
      <c r="AIJ36" s="512"/>
      <c r="AIK36" s="601"/>
      <c r="AIN36" s="512"/>
      <c r="AIO36" s="601"/>
      <c r="AIR36" s="512"/>
      <c r="AIS36" s="601"/>
      <c r="AIV36" s="512"/>
      <c r="AIW36" s="601"/>
      <c r="AIZ36" s="512"/>
      <c r="AJA36" s="601"/>
      <c r="AJD36" s="512"/>
      <c r="AJE36" s="601"/>
      <c r="AJH36" s="512"/>
      <c r="AJI36" s="601"/>
      <c r="AJL36" s="512"/>
      <c r="AJM36" s="601"/>
      <c r="AJP36" s="512"/>
      <c r="AJQ36" s="601"/>
      <c r="AJT36" s="512"/>
      <c r="AJU36" s="601"/>
      <c r="AJX36" s="512"/>
      <c r="AJY36" s="601"/>
      <c r="AKB36" s="512"/>
      <c r="AKC36" s="601"/>
      <c r="AKF36" s="512"/>
      <c r="AKG36" s="601"/>
      <c r="AKJ36" s="512"/>
      <c r="AKK36" s="601"/>
      <c r="AKN36" s="512"/>
      <c r="AKO36" s="601"/>
      <c r="AKR36" s="512"/>
      <c r="AKS36" s="601"/>
      <c r="AKV36" s="512"/>
      <c r="AKW36" s="601"/>
      <c r="AKZ36" s="512"/>
      <c r="ALA36" s="601"/>
      <c r="ALD36" s="512"/>
      <c r="ALE36" s="601"/>
      <c r="ALH36" s="512"/>
      <c r="ALI36" s="601"/>
      <c r="ALL36" s="512"/>
      <c r="ALM36" s="601"/>
      <c r="ALP36" s="512"/>
      <c r="ALQ36" s="601"/>
      <c r="ALT36" s="512"/>
      <c r="ALU36" s="601"/>
      <c r="ALX36" s="512"/>
      <c r="ALY36" s="601"/>
      <c r="AMB36" s="512"/>
      <c r="AMC36" s="601"/>
      <c r="AMF36" s="512"/>
      <c r="AMG36" s="601"/>
      <c r="AMJ36" s="512"/>
      <c r="AMK36" s="601"/>
      <c r="AMN36" s="512"/>
      <c r="AMO36" s="601"/>
      <c r="AMR36" s="512"/>
      <c r="AMS36" s="601"/>
      <c r="AMV36" s="512"/>
      <c r="AMW36" s="601"/>
      <c r="AMZ36" s="512"/>
      <c r="ANA36" s="601"/>
      <c r="AND36" s="512"/>
      <c r="ANE36" s="601"/>
      <c r="ANH36" s="512"/>
      <c r="ANI36" s="601"/>
      <c r="ANL36" s="512"/>
      <c r="ANM36" s="601"/>
      <c r="ANP36" s="512"/>
      <c r="ANQ36" s="601"/>
      <c r="ANT36" s="512"/>
      <c r="ANU36" s="601"/>
      <c r="ANX36" s="512"/>
      <c r="ANY36" s="601"/>
      <c r="AOB36" s="512"/>
      <c r="AOC36" s="601"/>
      <c r="AOF36" s="512"/>
      <c r="AOG36" s="601"/>
      <c r="AOJ36" s="512"/>
      <c r="AOK36" s="601"/>
      <c r="AON36" s="512"/>
      <c r="AOO36" s="601"/>
      <c r="AOR36" s="512"/>
      <c r="AOS36" s="601"/>
      <c r="AOV36" s="512"/>
      <c r="AOW36" s="601"/>
      <c r="AOZ36" s="512"/>
      <c r="APA36" s="601"/>
      <c r="APD36" s="512"/>
      <c r="APE36" s="601"/>
      <c r="APH36" s="512"/>
      <c r="API36" s="601"/>
      <c r="APL36" s="512"/>
      <c r="APM36" s="601"/>
      <c r="APP36" s="512"/>
      <c r="APQ36" s="601"/>
      <c r="APT36" s="512"/>
      <c r="APU36" s="601"/>
      <c r="APX36" s="512"/>
      <c r="APY36" s="601"/>
      <c r="AQB36" s="512"/>
      <c r="AQC36" s="601"/>
      <c r="AQF36" s="512"/>
      <c r="AQG36" s="601"/>
      <c r="AQJ36" s="512"/>
      <c r="AQK36" s="601"/>
      <c r="AQN36" s="512"/>
      <c r="AQO36" s="601"/>
      <c r="AQR36" s="512"/>
      <c r="AQS36" s="601"/>
      <c r="AQV36" s="512"/>
      <c r="AQW36" s="601"/>
      <c r="AQZ36" s="512"/>
      <c r="ARA36" s="601"/>
      <c r="ARD36" s="512"/>
      <c r="ARE36" s="601"/>
      <c r="ARH36" s="512"/>
      <c r="ARI36" s="601"/>
      <c r="ARL36" s="512"/>
      <c r="ARM36" s="601"/>
      <c r="ARP36" s="512"/>
      <c r="ARQ36" s="601"/>
      <c r="ART36" s="512"/>
      <c r="ARU36" s="601"/>
      <c r="ARX36" s="512"/>
      <c r="ARY36" s="601"/>
      <c r="ASB36" s="512"/>
      <c r="ASC36" s="601"/>
      <c r="ASF36" s="512"/>
      <c r="ASG36" s="601"/>
      <c r="ASJ36" s="512"/>
      <c r="ASK36" s="601"/>
      <c r="ASN36" s="512"/>
      <c r="ASO36" s="601"/>
      <c r="ASR36" s="512"/>
      <c r="ASS36" s="601"/>
      <c r="ASV36" s="512"/>
      <c r="ASW36" s="601"/>
      <c r="ASZ36" s="512"/>
      <c r="ATA36" s="601"/>
      <c r="ATD36" s="512"/>
      <c r="ATE36" s="601"/>
      <c r="ATH36" s="512"/>
      <c r="ATI36" s="601"/>
      <c r="ATL36" s="512"/>
      <c r="ATM36" s="601"/>
      <c r="ATP36" s="512"/>
      <c r="ATQ36" s="601"/>
      <c r="ATT36" s="512"/>
      <c r="ATU36" s="601"/>
      <c r="ATX36" s="512"/>
      <c r="ATY36" s="601"/>
      <c r="AUB36" s="512"/>
      <c r="AUC36" s="601"/>
      <c r="AUF36" s="512"/>
      <c r="AUG36" s="601"/>
      <c r="AUJ36" s="512"/>
      <c r="AUK36" s="601"/>
      <c r="AUN36" s="512"/>
      <c r="AUO36" s="601"/>
      <c r="AUR36" s="512"/>
      <c r="AUS36" s="601"/>
      <c r="AUV36" s="512"/>
      <c r="AUW36" s="601"/>
      <c r="AUZ36" s="512"/>
      <c r="AVA36" s="601"/>
      <c r="AVD36" s="512"/>
      <c r="AVE36" s="601"/>
      <c r="AVH36" s="512"/>
      <c r="AVI36" s="601"/>
      <c r="AVL36" s="512"/>
      <c r="AVM36" s="601"/>
      <c r="AVP36" s="512"/>
      <c r="AVQ36" s="601"/>
      <c r="AVT36" s="512"/>
      <c r="AVU36" s="601"/>
      <c r="AVX36" s="512"/>
      <c r="AVY36" s="601"/>
      <c r="AWB36" s="512"/>
      <c r="AWC36" s="601"/>
      <c r="AWF36" s="512"/>
      <c r="AWG36" s="601"/>
      <c r="AWJ36" s="512"/>
      <c r="AWK36" s="601"/>
      <c r="AWN36" s="512"/>
      <c r="AWO36" s="601"/>
      <c r="AWR36" s="512"/>
      <c r="AWS36" s="601"/>
      <c r="AWV36" s="512"/>
      <c r="AWW36" s="601"/>
      <c r="AWZ36" s="512"/>
      <c r="AXA36" s="601"/>
      <c r="AXD36" s="512"/>
      <c r="AXE36" s="601"/>
      <c r="AXH36" s="512"/>
      <c r="AXI36" s="601"/>
      <c r="AXL36" s="512"/>
      <c r="AXM36" s="601"/>
      <c r="AXP36" s="512"/>
      <c r="AXQ36" s="601"/>
      <c r="AXT36" s="512"/>
      <c r="AXU36" s="601"/>
      <c r="AXX36" s="512"/>
      <c r="AXY36" s="601"/>
      <c r="AYB36" s="512"/>
      <c r="AYC36" s="601"/>
      <c r="AYF36" s="512"/>
      <c r="AYG36" s="601"/>
      <c r="AYJ36" s="512"/>
      <c r="AYK36" s="601"/>
      <c r="AYN36" s="512"/>
      <c r="AYO36" s="601"/>
      <c r="AYR36" s="512"/>
      <c r="AYS36" s="601"/>
      <c r="AYV36" s="512"/>
      <c r="AYW36" s="601"/>
      <c r="AYZ36" s="512"/>
      <c r="AZA36" s="601"/>
      <c r="AZD36" s="512"/>
      <c r="AZE36" s="601"/>
      <c r="AZH36" s="512"/>
      <c r="AZI36" s="601"/>
      <c r="AZL36" s="512"/>
      <c r="AZM36" s="601"/>
      <c r="AZP36" s="512"/>
      <c r="AZQ36" s="601"/>
      <c r="AZT36" s="512"/>
      <c r="AZU36" s="601"/>
      <c r="AZX36" s="512"/>
      <c r="AZY36" s="601"/>
      <c r="BAB36" s="512"/>
      <c r="BAC36" s="601"/>
      <c r="BAF36" s="512"/>
      <c r="BAG36" s="601"/>
      <c r="BAJ36" s="512"/>
      <c r="BAK36" s="601"/>
      <c r="BAN36" s="512"/>
      <c r="BAO36" s="601"/>
      <c r="BAR36" s="512"/>
      <c r="BAS36" s="601"/>
      <c r="BAV36" s="512"/>
      <c r="BAW36" s="601"/>
      <c r="BAZ36" s="512"/>
      <c r="BBA36" s="601"/>
      <c r="BBD36" s="512"/>
      <c r="BBE36" s="601"/>
      <c r="BBH36" s="512"/>
      <c r="BBI36" s="601"/>
      <c r="BBL36" s="512"/>
      <c r="BBM36" s="601"/>
      <c r="BBP36" s="512"/>
      <c r="BBQ36" s="601"/>
      <c r="BBT36" s="512"/>
      <c r="BBU36" s="601"/>
      <c r="BBX36" s="512"/>
      <c r="BBY36" s="601"/>
      <c r="BCB36" s="512"/>
      <c r="BCC36" s="601"/>
      <c r="BCF36" s="512"/>
      <c r="BCG36" s="601"/>
      <c r="BCJ36" s="512"/>
      <c r="BCK36" s="601"/>
      <c r="BCN36" s="512"/>
      <c r="BCO36" s="601"/>
      <c r="BCR36" s="512"/>
      <c r="BCS36" s="601"/>
      <c r="BCV36" s="512"/>
      <c r="BCW36" s="601"/>
      <c r="BCZ36" s="512"/>
      <c r="BDA36" s="601"/>
      <c r="BDD36" s="512"/>
      <c r="BDE36" s="601"/>
      <c r="BDH36" s="512"/>
      <c r="BDI36" s="601"/>
      <c r="BDL36" s="512"/>
      <c r="BDM36" s="601"/>
      <c r="BDP36" s="512"/>
      <c r="BDQ36" s="601"/>
      <c r="BDT36" s="512"/>
      <c r="BDU36" s="601"/>
      <c r="BDX36" s="512"/>
      <c r="BDY36" s="601"/>
      <c r="BEB36" s="512"/>
      <c r="BEC36" s="601"/>
      <c r="BEF36" s="512"/>
      <c r="BEG36" s="601"/>
      <c r="BEJ36" s="512"/>
      <c r="BEK36" s="601"/>
      <c r="BEN36" s="512"/>
      <c r="BEO36" s="601"/>
      <c r="BER36" s="512"/>
      <c r="BES36" s="601"/>
      <c r="BEV36" s="512"/>
      <c r="BEW36" s="601"/>
      <c r="BEZ36" s="512"/>
      <c r="BFA36" s="601"/>
      <c r="BFD36" s="512"/>
      <c r="BFE36" s="601"/>
      <c r="BFH36" s="512"/>
      <c r="BFI36" s="601"/>
      <c r="BFL36" s="512"/>
      <c r="BFM36" s="601"/>
      <c r="BFP36" s="512"/>
      <c r="BFQ36" s="601"/>
      <c r="BFT36" s="512"/>
      <c r="BFU36" s="601"/>
      <c r="BFX36" s="512"/>
      <c r="BFY36" s="601"/>
      <c r="BGB36" s="512"/>
      <c r="BGC36" s="601"/>
      <c r="BGF36" s="512"/>
      <c r="BGG36" s="601"/>
      <c r="BGJ36" s="512"/>
      <c r="BGK36" s="601"/>
      <c r="BGN36" s="512"/>
      <c r="BGO36" s="601"/>
      <c r="BGR36" s="512"/>
      <c r="BGS36" s="601"/>
      <c r="BGV36" s="512"/>
      <c r="BGW36" s="601"/>
      <c r="BGZ36" s="512"/>
      <c r="BHA36" s="601"/>
      <c r="BHD36" s="512"/>
      <c r="BHE36" s="601"/>
      <c r="BHH36" s="512"/>
      <c r="BHI36" s="601"/>
      <c r="BHL36" s="512"/>
      <c r="BHM36" s="601"/>
      <c r="BHP36" s="512"/>
      <c r="BHQ36" s="601"/>
      <c r="BHT36" s="512"/>
      <c r="BHU36" s="601"/>
      <c r="BHX36" s="512"/>
      <c r="BHY36" s="601"/>
      <c r="BIB36" s="512"/>
      <c r="BIC36" s="601"/>
      <c r="BIF36" s="512"/>
      <c r="BIG36" s="601"/>
      <c r="BIJ36" s="512"/>
      <c r="BIK36" s="601"/>
      <c r="BIN36" s="512"/>
      <c r="BIO36" s="601"/>
      <c r="BIR36" s="512"/>
      <c r="BIS36" s="601"/>
      <c r="BIV36" s="512"/>
      <c r="BIW36" s="601"/>
      <c r="BIZ36" s="512"/>
      <c r="BJA36" s="601"/>
      <c r="BJD36" s="512"/>
      <c r="BJE36" s="601"/>
      <c r="BJH36" s="512"/>
      <c r="BJI36" s="601"/>
      <c r="BJL36" s="512"/>
      <c r="BJM36" s="601"/>
      <c r="BJP36" s="512"/>
      <c r="BJQ36" s="601"/>
      <c r="BJT36" s="512"/>
      <c r="BJU36" s="601"/>
      <c r="BJX36" s="512"/>
      <c r="BJY36" s="601"/>
      <c r="BKB36" s="512"/>
      <c r="BKC36" s="601"/>
      <c r="BKF36" s="512"/>
      <c r="BKG36" s="601"/>
      <c r="BKJ36" s="512"/>
      <c r="BKK36" s="601"/>
      <c r="BKN36" s="512"/>
      <c r="BKO36" s="601"/>
      <c r="BKR36" s="512"/>
      <c r="BKS36" s="601"/>
      <c r="BKV36" s="512"/>
      <c r="BKW36" s="601"/>
      <c r="BKZ36" s="512"/>
      <c r="BLA36" s="601"/>
      <c r="BLD36" s="512"/>
      <c r="BLE36" s="601"/>
      <c r="BLH36" s="512"/>
      <c r="BLI36" s="601"/>
      <c r="BLL36" s="512"/>
      <c r="BLM36" s="601"/>
      <c r="BLP36" s="512"/>
      <c r="BLQ36" s="601"/>
      <c r="BLT36" s="512"/>
      <c r="BLU36" s="601"/>
      <c r="BLX36" s="512"/>
      <c r="BLY36" s="601"/>
      <c r="BMB36" s="512"/>
      <c r="BMC36" s="601"/>
      <c r="BMF36" s="512"/>
      <c r="BMG36" s="601"/>
      <c r="BMJ36" s="512"/>
      <c r="BMK36" s="601"/>
      <c r="BMN36" s="512"/>
      <c r="BMO36" s="601"/>
      <c r="BMR36" s="512"/>
      <c r="BMS36" s="601"/>
      <c r="BMV36" s="512"/>
      <c r="BMW36" s="601"/>
      <c r="BMZ36" s="512"/>
      <c r="BNA36" s="601"/>
      <c r="BND36" s="512"/>
      <c r="BNE36" s="601"/>
      <c r="BNH36" s="512"/>
      <c r="BNI36" s="601"/>
      <c r="BNL36" s="512"/>
      <c r="BNM36" s="601"/>
      <c r="BNP36" s="512"/>
      <c r="BNQ36" s="601"/>
      <c r="BNT36" s="512"/>
      <c r="BNU36" s="601"/>
      <c r="BNX36" s="512"/>
      <c r="BNY36" s="601"/>
      <c r="BOB36" s="512"/>
      <c r="BOC36" s="601"/>
      <c r="BOF36" s="512"/>
      <c r="BOG36" s="601"/>
      <c r="BOJ36" s="512"/>
      <c r="BOK36" s="601"/>
      <c r="BON36" s="512"/>
      <c r="BOO36" s="601"/>
      <c r="BOR36" s="512"/>
      <c r="BOS36" s="601"/>
      <c r="BOV36" s="512"/>
      <c r="BOW36" s="601"/>
      <c r="BOZ36" s="512"/>
      <c r="BPA36" s="601"/>
      <c r="BPD36" s="512"/>
      <c r="BPE36" s="601"/>
      <c r="BPH36" s="512"/>
      <c r="BPI36" s="601"/>
      <c r="BPL36" s="512"/>
      <c r="BPM36" s="601"/>
      <c r="BPP36" s="512"/>
      <c r="BPQ36" s="601"/>
      <c r="BPT36" s="512"/>
      <c r="BPU36" s="601"/>
      <c r="BPX36" s="512"/>
      <c r="BPY36" s="601"/>
      <c r="BQB36" s="512"/>
      <c r="BQC36" s="601"/>
      <c r="BQF36" s="512"/>
      <c r="BQG36" s="601"/>
      <c r="BQJ36" s="512"/>
      <c r="BQK36" s="601"/>
      <c r="BQN36" s="512"/>
      <c r="BQO36" s="601"/>
      <c r="BQR36" s="512"/>
      <c r="BQS36" s="601"/>
      <c r="BQV36" s="512"/>
      <c r="BQW36" s="601"/>
      <c r="BQZ36" s="512"/>
      <c r="BRA36" s="601"/>
      <c r="BRD36" s="512"/>
      <c r="BRE36" s="601"/>
      <c r="BRH36" s="512"/>
      <c r="BRI36" s="601"/>
      <c r="BRL36" s="512"/>
      <c r="BRM36" s="601"/>
      <c r="BRP36" s="512"/>
      <c r="BRQ36" s="601"/>
      <c r="BRT36" s="512"/>
      <c r="BRU36" s="601"/>
      <c r="BRX36" s="512"/>
      <c r="BRY36" s="601"/>
      <c r="BSB36" s="512"/>
      <c r="BSC36" s="601"/>
      <c r="BSF36" s="512"/>
      <c r="BSG36" s="601"/>
      <c r="BSJ36" s="512"/>
      <c r="BSK36" s="601"/>
      <c r="BSN36" s="512"/>
      <c r="BSO36" s="601"/>
      <c r="BSR36" s="512"/>
      <c r="BSS36" s="601"/>
      <c r="BSV36" s="512"/>
      <c r="BSW36" s="601"/>
      <c r="BSZ36" s="512"/>
      <c r="BTA36" s="601"/>
      <c r="BTD36" s="512"/>
      <c r="BTE36" s="601"/>
      <c r="BTH36" s="512"/>
      <c r="BTI36" s="601"/>
      <c r="BTL36" s="512"/>
      <c r="BTM36" s="601"/>
      <c r="BTP36" s="512"/>
      <c r="BTQ36" s="601"/>
      <c r="BTT36" s="512"/>
      <c r="BTU36" s="601"/>
      <c r="BTX36" s="512"/>
      <c r="BTY36" s="601"/>
      <c r="BUB36" s="512"/>
      <c r="BUC36" s="601"/>
      <c r="BUF36" s="512"/>
      <c r="BUG36" s="601"/>
      <c r="BUJ36" s="512"/>
      <c r="BUK36" s="601"/>
      <c r="BUN36" s="512"/>
      <c r="BUO36" s="601"/>
      <c r="BUR36" s="512"/>
      <c r="BUS36" s="601"/>
      <c r="BUV36" s="512"/>
      <c r="BUW36" s="601"/>
      <c r="BUZ36" s="512"/>
      <c r="BVA36" s="601"/>
      <c r="BVD36" s="512"/>
      <c r="BVE36" s="601"/>
      <c r="BVH36" s="512"/>
      <c r="BVI36" s="601"/>
      <c r="BVL36" s="512"/>
      <c r="BVM36" s="601"/>
      <c r="BVP36" s="512"/>
      <c r="BVQ36" s="601"/>
      <c r="BVT36" s="512"/>
      <c r="BVU36" s="601"/>
      <c r="BVX36" s="512"/>
      <c r="BVY36" s="601"/>
      <c r="BWB36" s="512"/>
      <c r="BWC36" s="601"/>
      <c r="BWF36" s="512"/>
      <c r="BWG36" s="601"/>
      <c r="BWJ36" s="512"/>
      <c r="BWK36" s="601"/>
      <c r="BWN36" s="512"/>
      <c r="BWO36" s="601"/>
      <c r="BWR36" s="512"/>
      <c r="BWS36" s="601"/>
      <c r="BWV36" s="512"/>
      <c r="BWW36" s="601"/>
      <c r="BWZ36" s="512"/>
      <c r="BXA36" s="601"/>
      <c r="BXD36" s="512"/>
      <c r="BXE36" s="601"/>
      <c r="BXH36" s="512"/>
      <c r="BXI36" s="601"/>
      <c r="BXL36" s="512"/>
      <c r="BXM36" s="601"/>
      <c r="BXP36" s="512"/>
      <c r="BXQ36" s="601"/>
      <c r="BXT36" s="512"/>
      <c r="BXU36" s="601"/>
      <c r="BXX36" s="512"/>
      <c r="BXY36" s="601"/>
      <c r="BYB36" s="512"/>
      <c r="BYC36" s="601"/>
      <c r="BYF36" s="512"/>
      <c r="BYG36" s="601"/>
      <c r="BYJ36" s="512"/>
      <c r="BYK36" s="601"/>
      <c r="BYN36" s="512"/>
      <c r="BYO36" s="601"/>
      <c r="BYR36" s="512"/>
      <c r="BYS36" s="601"/>
      <c r="BYV36" s="512"/>
      <c r="BYW36" s="601"/>
      <c r="BYZ36" s="512"/>
      <c r="BZA36" s="601"/>
      <c r="BZD36" s="512"/>
      <c r="BZE36" s="601"/>
      <c r="BZH36" s="512"/>
      <c r="BZI36" s="601"/>
      <c r="BZL36" s="512"/>
      <c r="BZM36" s="601"/>
      <c r="BZP36" s="512"/>
      <c r="BZQ36" s="601"/>
      <c r="BZT36" s="512"/>
      <c r="BZU36" s="601"/>
      <c r="BZX36" s="512"/>
      <c r="BZY36" s="601"/>
      <c r="CAB36" s="512"/>
      <c r="CAC36" s="601"/>
      <c r="CAF36" s="512"/>
      <c r="CAG36" s="601"/>
      <c r="CAJ36" s="512"/>
      <c r="CAK36" s="601"/>
      <c r="CAN36" s="512"/>
      <c r="CAO36" s="601"/>
      <c r="CAR36" s="512"/>
      <c r="CAS36" s="601"/>
      <c r="CAV36" s="512"/>
      <c r="CAW36" s="601"/>
      <c r="CAZ36" s="512"/>
      <c r="CBA36" s="601"/>
      <c r="CBD36" s="512"/>
      <c r="CBE36" s="601"/>
      <c r="CBH36" s="512"/>
      <c r="CBI36" s="601"/>
      <c r="CBL36" s="512"/>
      <c r="CBM36" s="601"/>
      <c r="CBP36" s="512"/>
      <c r="CBQ36" s="601"/>
      <c r="CBT36" s="512"/>
      <c r="CBU36" s="601"/>
      <c r="CBX36" s="512"/>
      <c r="CBY36" s="601"/>
      <c r="CCB36" s="512"/>
      <c r="CCC36" s="601"/>
      <c r="CCF36" s="512"/>
      <c r="CCG36" s="601"/>
      <c r="CCJ36" s="512"/>
      <c r="CCK36" s="601"/>
      <c r="CCN36" s="512"/>
      <c r="CCO36" s="601"/>
      <c r="CCR36" s="512"/>
      <c r="CCS36" s="601"/>
      <c r="CCV36" s="512"/>
      <c r="CCW36" s="601"/>
      <c r="CCZ36" s="512"/>
      <c r="CDA36" s="601"/>
      <c r="CDD36" s="512"/>
      <c r="CDE36" s="601"/>
      <c r="CDH36" s="512"/>
      <c r="CDI36" s="601"/>
      <c r="CDL36" s="512"/>
      <c r="CDM36" s="601"/>
      <c r="CDP36" s="512"/>
      <c r="CDQ36" s="601"/>
      <c r="CDT36" s="512"/>
      <c r="CDU36" s="601"/>
      <c r="CDX36" s="512"/>
      <c r="CDY36" s="601"/>
      <c r="CEB36" s="512"/>
      <c r="CEC36" s="601"/>
      <c r="CEF36" s="512"/>
      <c r="CEG36" s="601"/>
      <c r="CEJ36" s="512"/>
      <c r="CEK36" s="601"/>
      <c r="CEN36" s="512"/>
      <c r="CEO36" s="601"/>
      <c r="CER36" s="512"/>
      <c r="CES36" s="601"/>
      <c r="CEV36" s="512"/>
      <c r="CEW36" s="601"/>
      <c r="CEZ36" s="512"/>
      <c r="CFA36" s="601"/>
      <c r="CFD36" s="512"/>
      <c r="CFE36" s="601"/>
      <c r="CFH36" s="512"/>
      <c r="CFI36" s="601"/>
      <c r="CFL36" s="512"/>
      <c r="CFM36" s="601"/>
      <c r="CFP36" s="512"/>
      <c r="CFQ36" s="601"/>
      <c r="CFT36" s="512"/>
      <c r="CFU36" s="601"/>
      <c r="CFX36" s="512"/>
      <c r="CFY36" s="601"/>
      <c r="CGB36" s="512"/>
      <c r="CGC36" s="601"/>
      <c r="CGF36" s="512"/>
      <c r="CGG36" s="601"/>
      <c r="CGJ36" s="512"/>
      <c r="CGK36" s="601"/>
      <c r="CGN36" s="512"/>
      <c r="CGO36" s="601"/>
      <c r="CGR36" s="512"/>
      <c r="CGS36" s="601"/>
      <c r="CGV36" s="512"/>
      <c r="CGW36" s="601"/>
      <c r="CGZ36" s="512"/>
      <c r="CHA36" s="601"/>
      <c r="CHD36" s="512"/>
      <c r="CHE36" s="601"/>
      <c r="CHH36" s="512"/>
      <c r="CHI36" s="601"/>
      <c r="CHL36" s="512"/>
      <c r="CHM36" s="601"/>
      <c r="CHP36" s="512"/>
      <c r="CHQ36" s="601"/>
      <c r="CHT36" s="512"/>
      <c r="CHU36" s="601"/>
      <c r="CHX36" s="512"/>
      <c r="CHY36" s="601"/>
      <c r="CIB36" s="512"/>
      <c r="CIC36" s="601"/>
      <c r="CIF36" s="512"/>
      <c r="CIG36" s="601"/>
      <c r="CIJ36" s="512"/>
      <c r="CIK36" s="601"/>
      <c r="CIN36" s="512"/>
      <c r="CIO36" s="601"/>
      <c r="CIR36" s="512"/>
      <c r="CIS36" s="601"/>
      <c r="CIV36" s="512"/>
      <c r="CIW36" s="601"/>
      <c r="CIZ36" s="512"/>
      <c r="CJA36" s="601"/>
      <c r="CJD36" s="512"/>
      <c r="CJE36" s="601"/>
      <c r="CJH36" s="512"/>
      <c r="CJI36" s="601"/>
      <c r="CJL36" s="512"/>
      <c r="CJM36" s="601"/>
      <c r="CJP36" s="512"/>
      <c r="CJQ36" s="601"/>
      <c r="CJT36" s="512"/>
      <c r="CJU36" s="601"/>
      <c r="CJX36" s="512"/>
      <c r="CJY36" s="601"/>
      <c r="CKB36" s="512"/>
      <c r="CKC36" s="601"/>
      <c r="CKF36" s="512"/>
      <c r="CKG36" s="601"/>
      <c r="CKJ36" s="512"/>
      <c r="CKK36" s="601"/>
      <c r="CKN36" s="512"/>
      <c r="CKO36" s="601"/>
      <c r="CKR36" s="512"/>
      <c r="CKS36" s="601"/>
      <c r="CKV36" s="512"/>
      <c r="CKW36" s="601"/>
      <c r="CKZ36" s="512"/>
      <c r="CLA36" s="601"/>
      <c r="CLD36" s="512"/>
      <c r="CLE36" s="601"/>
      <c r="CLH36" s="512"/>
      <c r="CLI36" s="601"/>
      <c r="CLL36" s="512"/>
      <c r="CLM36" s="601"/>
      <c r="CLP36" s="512"/>
      <c r="CLQ36" s="601"/>
      <c r="CLT36" s="512"/>
      <c r="CLU36" s="601"/>
      <c r="CLX36" s="512"/>
      <c r="CLY36" s="601"/>
      <c r="CMB36" s="512"/>
      <c r="CMC36" s="601"/>
      <c r="CMF36" s="512"/>
      <c r="CMG36" s="601"/>
      <c r="CMJ36" s="512"/>
      <c r="CMK36" s="601"/>
      <c r="CMN36" s="512"/>
      <c r="CMO36" s="601"/>
      <c r="CMR36" s="512"/>
      <c r="CMS36" s="601"/>
      <c r="CMV36" s="512"/>
      <c r="CMW36" s="601"/>
      <c r="CMZ36" s="512"/>
      <c r="CNA36" s="601"/>
      <c r="CND36" s="512"/>
      <c r="CNE36" s="601"/>
      <c r="CNH36" s="512"/>
      <c r="CNI36" s="601"/>
      <c r="CNL36" s="512"/>
      <c r="CNM36" s="601"/>
      <c r="CNP36" s="512"/>
      <c r="CNQ36" s="601"/>
      <c r="CNT36" s="512"/>
      <c r="CNU36" s="601"/>
      <c r="CNX36" s="512"/>
      <c r="CNY36" s="601"/>
      <c r="COB36" s="512"/>
      <c r="COC36" s="601"/>
      <c r="COF36" s="512"/>
      <c r="COG36" s="601"/>
      <c r="COJ36" s="512"/>
      <c r="COK36" s="601"/>
      <c r="CON36" s="512"/>
      <c r="COO36" s="601"/>
      <c r="COR36" s="512"/>
      <c r="COS36" s="601"/>
      <c r="COV36" s="512"/>
      <c r="COW36" s="601"/>
      <c r="COZ36" s="512"/>
      <c r="CPA36" s="601"/>
      <c r="CPD36" s="512"/>
      <c r="CPE36" s="601"/>
      <c r="CPH36" s="512"/>
      <c r="CPI36" s="601"/>
      <c r="CPL36" s="512"/>
      <c r="CPM36" s="601"/>
      <c r="CPP36" s="512"/>
      <c r="CPQ36" s="601"/>
      <c r="CPT36" s="512"/>
      <c r="CPU36" s="601"/>
      <c r="CPX36" s="512"/>
      <c r="CPY36" s="601"/>
      <c r="CQB36" s="512"/>
      <c r="CQC36" s="601"/>
      <c r="CQF36" s="512"/>
      <c r="CQG36" s="601"/>
      <c r="CQJ36" s="512"/>
      <c r="CQK36" s="601"/>
      <c r="CQN36" s="512"/>
      <c r="CQO36" s="601"/>
      <c r="CQR36" s="512"/>
      <c r="CQS36" s="601"/>
      <c r="CQV36" s="512"/>
      <c r="CQW36" s="601"/>
      <c r="CQZ36" s="512"/>
      <c r="CRA36" s="601"/>
      <c r="CRD36" s="512"/>
      <c r="CRE36" s="601"/>
      <c r="CRH36" s="512"/>
      <c r="CRI36" s="601"/>
      <c r="CRL36" s="512"/>
      <c r="CRM36" s="601"/>
      <c r="CRP36" s="512"/>
      <c r="CRQ36" s="601"/>
      <c r="CRT36" s="512"/>
      <c r="CRU36" s="601"/>
      <c r="CRX36" s="512"/>
      <c r="CRY36" s="601"/>
      <c r="CSB36" s="512"/>
      <c r="CSC36" s="601"/>
      <c r="CSF36" s="512"/>
      <c r="CSG36" s="601"/>
      <c r="CSJ36" s="512"/>
      <c r="CSK36" s="601"/>
      <c r="CSN36" s="512"/>
      <c r="CSO36" s="601"/>
      <c r="CSR36" s="512"/>
      <c r="CSS36" s="601"/>
      <c r="CSV36" s="512"/>
      <c r="CSW36" s="601"/>
      <c r="CSZ36" s="512"/>
      <c r="CTA36" s="601"/>
      <c r="CTD36" s="512"/>
      <c r="CTE36" s="601"/>
      <c r="CTH36" s="512"/>
      <c r="CTI36" s="601"/>
      <c r="CTL36" s="512"/>
      <c r="CTM36" s="601"/>
      <c r="CTP36" s="512"/>
      <c r="CTQ36" s="601"/>
      <c r="CTT36" s="512"/>
      <c r="CTU36" s="601"/>
      <c r="CTX36" s="512"/>
      <c r="CTY36" s="601"/>
      <c r="CUB36" s="512"/>
      <c r="CUC36" s="601"/>
      <c r="CUF36" s="512"/>
      <c r="CUG36" s="601"/>
      <c r="CUJ36" s="512"/>
      <c r="CUK36" s="601"/>
      <c r="CUN36" s="512"/>
      <c r="CUO36" s="601"/>
      <c r="CUR36" s="512"/>
      <c r="CUS36" s="601"/>
      <c r="CUV36" s="512"/>
      <c r="CUW36" s="601"/>
      <c r="CUZ36" s="512"/>
      <c r="CVA36" s="601"/>
      <c r="CVD36" s="512"/>
      <c r="CVE36" s="601"/>
      <c r="CVH36" s="512"/>
      <c r="CVI36" s="601"/>
      <c r="CVL36" s="512"/>
      <c r="CVM36" s="601"/>
      <c r="CVP36" s="512"/>
      <c r="CVQ36" s="601"/>
      <c r="CVT36" s="512"/>
      <c r="CVU36" s="601"/>
      <c r="CVX36" s="512"/>
      <c r="CVY36" s="601"/>
      <c r="CWB36" s="512"/>
      <c r="CWC36" s="601"/>
      <c r="CWF36" s="512"/>
      <c r="CWG36" s="601"/>
      <c r="CWJ36" s="512"/>
      <c r="CWK36" s="601"/>
      <c r="CWN36" s="512"/>
      <c r="CWO36" s="601"/>
      <c r="CWR36" s="512"/>
      <c r="CWS36" s="601"/>
      <c r="CWV36" s="512"/>
      <c r="CWW36" s="601"/>
      <c r="CWZ36" s="512"/>
      <c r="CXA36" s="601"/>
      <c r="CXD36" s="512"/>
      <c r="CXE36" s="601"/>
      <c r="CXH36" s="512"/>
      <c r="CXI36" s="601"/>
      <c r="CXL36" s="512"/>
      <c r="CXM36" s="601"/>
      <c r="CXP36" s="512"/>
      <c r="CXQ36" s="601"/>
      <c r="CXT36" s="512"/>
      <c r="CXU36" s="601"/>
      <c r="CXX36" s="512"/>
      <c r="CXY36" s="601"/>
      <c r="CYB36" s="512"/>
      <c r="CYC36" s="601"/>
      <c r="CYF36" s="512"/>
      <c r="CYG36" s="601"/>
      <c r="CYJ36" s="512"/>
      <c r="CYK36" s="601"/>
      <c r="CYN36" s="512"/>
      <c r="CYO36" s="601"/>
      <c r="CYR36" s="512"/>
      <c r="CYS36" s="601"/>
      <c r="CYV36" s="512"/>
      <c r="CYW36" s="601"/>
      <c r="CYZ36" s="512"/>
      <c r="CZA36" s="601"/>
      <c r="CZD36" s="512"/>
      <c r="CZE36" s="601"/>
      <c r="CZH36" s="512"/>
      <c r="CZI36" s="601"/>
      <c r="CZL36" s="512"/>
      <c r="CZM36" s="601"/>
      <c r="CZP36" s="512"/>
      <c r="CZQ36" s="601"/>
      <c r="CZT36" s="512"/>
      <c r="CZU36" s="601"/>
      <c r="CZX36" s="512"/>
      <c r="CZY36" s="601"/>
      <c r="DAB36" s="512"/>
      <c r="DAC36" s="601"/>
      <c r="DAF36" s="512"/>
      <c r="DAG36" s="601"/>
      <c r="DAJ36" s="512"/>
      <c r="DAK36" s="601"/>
      <c r="DAN36" s="512"/>
      <c r="DAO36" s="601"/>
      <c r="DAR36" s="512"/>
      <c r="DAS36" s="601"/>
      <c r="DAV36" s="512"/>
      <c r="DAW36" s="601"/>
      <c r="DAZ36" s="512"/>
      <c r="DBA36" s="601"/>
      <c r="DBD36" s="512"/>
      <c r="DBE36" s="601"/>
      <c r="DBH36" s="512"/>
      <c r="DBI36" s="601"/>
      <c r="DBL36" s="512"/>
      <c r="DBM36" s="601"/>
      <c r="DBP36" s="512"/>
      <c r="DBQ36" s="601"/>
      <c r="DBT36" s="512"/>
      <c r="DBU36" s="601"/>
      <c r="DBX36" s="512"/>
      <c r="DBY36" s="601"/>
      <c r="DCB36" s="512"/>
      <c r="DCC36" s="601"/>
      <c r="DCF36" s="512"/>
      <c r="DCG36" s="601"/>
      <c r="DCJ36" s="512"/>
      <c r="DCK36" s="601"/>
      <c r="DCN36" s="512"/>
      <c r="DCO36" s="601"/>
      <c r="DCR36" s="512"/>
      <c r="DCS36" s="601"/>
      <c r="DCV36" s="512"/>
      <c r="DCW36" s="601"/>
      <c r="DCZ36" s="512"/>
      <c r="DDA36" s="601"/>
      <c r="DDD36" s="512"/>
      <c r="DDE36" s="601"/>
      <c r="DDH36" s="512"/>
      <c r="DDI36" s="601"/>
      <c r="DDL36" s="512"/>
      <c r="DDM36" s="601"/>
      <c r="DDP36" s="512"/>
      <c r="DDQ36" s="601"/>
      <c r="DDT36" s="512"/>
      <c r="DDU36" s="601"/>
      <c r="DDX36" s="512"/>
      <c r="DDY36" s="601"/>
      <c r="DEB36" s="512"/>
      <c r="DEC36" s="601"/>
      <c r="DEF36" s="512"/>
      <c r="DEG36" s="601"/>
      <c r="DEJ36" s="512"/>
      <c r="DEK36" s="601"/>
      <c r="DEN36" s="512"/>
      <c r="DEO36" s="601"/>
      <c r="DER36" s="512"/>
      <c r="DES36" s="601"/>
      <c r="DEV36" s="512"/>
      <c r="DEW36" s="601"/>
      <c r="DEZ36" s="512"/>
      <c r="DFA36" s="601"/>
      <c r="DFD36" s="512"/>
      <c r="DFE36" s="601"/>
      <c r="DFH36" s="512"/>
      <c r="DFI36" s="601"/>
      <c r="DFL36" s="512"/>
      <c r="DFM36" s="601"/>
      <c r="DFP36" s="512"/>
      <c r="DFQ36" s="601"/>
      <c r="DFT36" s="512"/>
      <c r="DFU36" s="601"/>
      <c r="DFX36" s="512"/>
      <c r="DFY36" s="601"/>
      <c r="DGB36" s="512"/>
      <c r="DGC36" s="601"/>
      <c r="DGF36" s="512"/>
      <c r="DGG36" s="601"/>
      <c r="DGJ36" s="512"/>
      <c r="DGK36" s="601"/>
      <c r="DGN36" s="512"/>
      <c r="DGO36" s="601"/>
      <c r="DGR36" s="512"/>
      <c r="DGS36" s="601"/>
      <c r="DGV36" s="512"/>
      <c r="DGW36" s="601"/>
      <c r="DGZ36" s="512"/>
      <c r="DHA36" s="601"/>
      <c r="DHD36" s="512"/>
      <c r="DHE36" s="601"/>
      <c r="DHH36" s="512"/>
      <c r="DHI36" s="601"/>
      <c r="DHL36" s="512"/>
      <c r="DHM36" s="601"/>
      <c r="DHP36" s="512"/>
      <c r="DHQ36" s="601"/>
      <c r="DHT36" s="512"/>
      <c r="DHU36" s="601"/>
      <c r="DHX36" s="512"/>
      <c r="DHY36" s="601"/>
      <c r="DIB36" s="512"/>
      <c r="DIC36" s="601"/>
      <c r="DIF36" s="512"/>
      <c r="DIG36" s="601"/>
      <c r="DIJ36" s="512"/>
      <c r="DIK36" s="601"/>
      <c r="DIN36" s="512"/>
      <c r="DIO36" s="601"/>
      <c r="DIR36" s="512"/>
      <c r="DIS36" s="601"/>
      <c r="DIV36" s="512"/>
      <c r="DIW36" s="601"/>
      <c r="DIZ36" s="512"/>
      <c r="DJA36" s="601"/>
      <c r="DJD36" s="512"/>
      <c r="DJE36" s="601"/>
      <c r="DJH36" s="512"/>
      <c r="DJI36" s="601"/>
      <c r="DJL36" s="512"/>
      <c r="DJM36" s="601"/>
      <c r="DJP36" s="512"/>
      <c r="DJQ36" s="601"/>
      <c r="DJT36" s="512"/>
      <c r="DJU36" s="601"/>
      <c r="DJX36" s="512"/>
      <c r="DJY36" s="601"/>
      <c r="DKB36" s="512"/>
      <c r="DKC36" s="601"/>
      <c r="DKF36" s="512"/>
      <c r="DKG36" s="601"/>
      <c r="DKJ36" s="512"/>
      <c r="DKK36" s="601"/>
      <c r="DKN36" s="512"/>
      <c r="DKO36" s="601"/>
      <c r="DKR36" s="512"/>
      <c r="DKS36" s="601"/>
      <c r="DKV36" s="512"/>
      <c r="DKW36" s="601"/>
      <c r="DKZ36" s="512"/>
      <c r="DLA36" s="601"/>
      <c r="DLD36" s="512"/>
      <c r="DLE36" s="601"/>
      <c r="DLH36" s="512"/>
      <c r="DLI36" s="601"/>
      <c r="DLL36" s="512"/>
      <c r="DLM36" s="601"/>
      <c r="DLP36" s="512"/>
      <c r="DLQ36" s="601"/>
      <c r="DLT36" s="512"/>
      <c r="DLU36" s="601"/>
      <c r="DLX36" s="512"/>
      <c r="DLY36" s="601"/>
      <c r="DMB36" s="512"/>
      <c r="DMC36" s="601"/>
      <c r="DMF36" s="512"/>
      <c r="DMG36" s="601"/>
      <c r="DMJ36" s="512"/>
      <c r="DMK36" s="601"/>
      <c r="DMN36" s="512"/>
      <c r="DMO36" s="601"/>
      <c r="DMR36" s="512"/>
      <c r="DMS36" s="601"/>
      <c r="DMV36" s="512"/>
      <c r="DMW36" s="601"/>
      <c r="DMZ36" s="512"/>
      <c r="DNA36" s="601"/>
      <c r="DND36" s="512"/>
      <c r="DNE36" s="601"/>
      <c r="DNH36" s="512"/>
      <c r="DNI36" s="601"/>
      <c r="DNL36" s="512"/>
      <c r="DNM36" s="601"/>
      <c r="DNP36" s="512"/>
      <c r="DNQ36" s="601"/>
      <c r="DNT36" s="512"/>
      <c r="DNU36" s="601"/>
      <c r="DNX36" s="512"/>
      <c r="DNY36" s="601"/>
      <c r="DOB36" s="512"/>
      <c r="DOC36" s="601"/>
      <c r="DOF36" s="512"/>
      <c r="DOG36" s="601"/>
      <c r="DOJ36" s="512"/>
      <c r="DOK36" s="601"/>
      <c r="DON36" s="512"/>
      <c r="DOO36" s="601"/>
      <c r="DOR36" s="512"/>
      <c r="DOS36" s="601"/>
      <c r="DOV36" s="512"/>
      <c r="DOW36" s="601"/>
      <c r="DOZ36" s="512"/>
      <c r="DPA36" s="601"/>
      <c r="DPD36" s="512"/>
      <c r="DPE36" s="601"/>
      <c r="DPH36" s="512"/>
      <c r="DPI36" s="601"/>
      <c r="DPL36" s="512"/>
      <c r="DPM36" s="601"/>
      <c r="DPP36" s="512"/>
      <c r="DPQ36" s="601"/>
      <c r="DPT36" s="512"/>
      <c r="DPU36" s="601"/>
      <c r="DPX36" s="512"/>
      <c r="DPY36" s="601"/>
      <c r="DQB36" s="512"/>
      <c r="DQC36" s="601"/>
      <c r="DQF36" s="512"/>
      <c r="DQG36" s="601"/>
      <c r="DQJ36" s="512"/>
      <c r="DQK36" s="601"/>
      <c r="DQN36" s="512"/>
      <c r="DQO36" s="601"/>
      <c r="DQR36" s="512"/>
      <c r="DQS36" s="601"/>
      <c r="DQV36" s="512"/>
      <c r="DQW36" s="601"/>
      <c r="DQZ36" s="512"/>
      <c r="DRA36" s="601"/>
      <c r="DRD36" s="512"/>
      <c r="DRE36" s="601"/>
      <c r="DRH36" s="512"/>
      <c r="DRI36" s="601"/>
      <c r="DRL36" s="512"/>
      <c r="DRM36" s="601"/>
      <c r="DRP36" s="512"/>
      <c r="DRQ36" s="601"/>
      <c r="DRT36" s="512"/>
      <c r="DRU36" s="601"/>
      <c r="DRX36" s="512"/>
      <c r="DRY36" s="601"/>
      <c r="DSB36" s="512"/>
      <c r="DSC36" s="601"/>
      <c r="DSF36" s="512"/>
      <c r="DSG36" s="601"/>
      <c r="DSJ36" s="512"/>
      <c r="DSK36" s="601"/>
      <c r="DSN36" s="512"/>
      <c r="DSO36" s="601"/>
      <c r="DSR36" s="512"/>
      <c r="DSS36" s="601"/>
      <c r="DSV36" s="512"/>
      <c r="DSW36" s="601"/>
      <c r="DSZ36" s="512"/>
      <c r="DTA36" s="601"/>
      <c r="DTD36" s="512"/>
      <c r="DTE36" s="601"/>
      <c r="DTH36" s="512"/>
      <c r="DTI36" s="601"/>
      <c r="DTL36" s="512"/>
      <c r="DTM36" s="601"/>
      <c r="DTP36" s="512"/>
      <c r="DTQ36" s="601"/>
      <c r="DTT36" s="512"/>
      <c r="DTU36" s="601"/>
      <c r="DTX36" s="512"/>
      <c r="DTY36" s="601"/>
      <c r="DUB36" s="512"/>
      <c r="DUC36" s="601"/>
      <c r="DUF36" s="512"/>
      <c r="DUG36" s="601"/>
      <c r="DUJ36" s="512"/>
      <c r="DUK36" s="601"/>
      <c r="DUN36" s="512"/>
      <c r="DUO36" s="601"/>
      <c r="DUR36" s="512"/>
      <c r="DUS36" s="601"/>
      <c r="DUV36" s="512"/>
      <c r="DUW36" s="601"/>
      <c r="DUZ36" s="512"/>
      <c r="DVA36" s="601"/>
      <c r="DVD36" s="512"/>
      <c r="DVE36" s="601"/>
      <c r="DVH36" s="512"/>
      <c r="DVI36" s="601"/>
      <c r="DVL36" s="512"/>
      <c r="DVM36" s="601"/>
      <c r="DVP36" s="512"/>
      <c r="DVQ36" s="601"/>
      <c r="DVT36" s="512"/>
      <c r="DVU36" s="601"/>
      <c r="DVX36" s="512"/>
      <c r="DVY36" s="601"/>
      <c r="DWB36" s="512"/>
      <c r="DWC36" s="601"/>
      <c r="DWF36" s="512"/>
      <c r="DWG36" s="601"/>
      <c r="DWJ36" s="512"/>
      <c r="DWK36" s="601"/>
      <c r="DWN36" s="512"/>
      <c r="DWO36" s="601"/>
      <c r="DWR36" s="512"/>
      <c r="DWS36" s="601"/>
      <c r="DWV36" s="512"/>
      <c r="DWW36" s="601"/>
      <c r="DWZ36" s="512"/>
      <c r="DXA36" s="601"/>
      <c r="DXD36" s="512"/>
      <c r="DXE36" s="601"/>
      <c r="DXH36" s="512"/>
      <c r="DXI36" s="601"/>
      <c r="DXL36" s="512"/>
      <c r="DXM36" s="601"/>
      <c r="DXP36" s="512"/>
      <c r="DXQ36" s="601"/>
      <c r="DXT36" s="512"/>
      <c r="DXU36" s="601"/>
      <c r="DXX36" s="512"/>
      <c r="DXY36" s="601"/>
      <c r="DYB36" s="512"/>
      <c r="DYC36" s="601"/>
      <c r="DYF36" s="512"/>
      <c r="DYG36" s="601"/>
      <c r="DYJ36" s="512"/>
      <c r="DYK36" s="601"/>
      <c r="DYN36" s="512"/>
      <c r="DYO36" s="601"/>
      <c r="DYR36" s="512"/>
      <c r="DYS36" s="601"/>
      <c r="DYV36" s="512"/>
      <c r="DYW36" s="601"/>
      <c r="DYZ36" s="512"/>
      <c r="DZA36" s="601"/>
      <c r="DZD36" s="512"/>
      <c r="DZE36" s="601"/>
      <c r="DZH36" s="512"/>
      <c r="DZI36" s="601"/>
      <c r="DZL36" s="512"/>
      <c r="DZM36" s="601"/>
      <c r="DZP36" s="512"/>
      <c r="DZQ36" s="601"/>
      <c r="DZT36" s="512"/>
      <c r="DZU36" s="601"/>
      <c r="DZX36" s="512"/>
      <c r="DZY36" s="601"/>
      <c r="EAB36" s="512"/>
      <c r="EAC36" s="601"/>
      <c r="EAF36" s="512"/>
      <c r="EAG36" s="601"/>
      <c r="EAJ36" s="512"/>
      <c r="EAK36" s="601"/>
      <c r="EAN36" s="512"/>
      <c r="EAO36" s="601"/>
      <c r="EAR36" s="512"/>
      <c r="EAS36" s="601"/>
      <c r="EAV36" s="512"/>
      <c r="EAW36" s="601"/>
      <c r="EAZ36" s="512"/>
      <c r="EBA36" s="601"/>
      <c r="EBD36" s="512"/>
      <c r="EBE36" s="601"/>
      <c r="EBH36" s="512"/>
      <c r="EBI36" s="601"/>
      <c r="EBL36" s="512"/>
      <c r="EBM36" s="601"/>
      <c r="EBP36" s="512"/>
      <c r="EBQ36" s="601"/>
      <c r="EBT36" s="512"/>
      <c r="EBU36" s="601"/>
      <c r="EBX36" s="512"/>
      <c r="EBY36" s="601"/>
      <c r="ECB36" s="512"/>
      <c r="ECC36" s="601"/>
      <c r="ECF36" s="512"/>
      <c r="ECG36" s="601"/>
      <c r="ECJ36" s="512"/>
      <c r="ECK36" s="601"/>
      <c r="ECN36" s="512"/>
      <c r="ECO36" s="601"/>
      <c r="ECR36" s="512"/>
      <c r="ECS36" s="601"/>
      <c r="ECV36" s="512"/>
      <c r="ECW36" s="601"/>
      <c r="ECZ36" s="512"/>
      <c r="EDA36" s="601"/>
      <c r="EDD36" s="512"/>
      <c r="EDE36" s="601"/>
      <c r="EDH36" s="512"/>
      <c r="EDI36" s="601"/>
      <c r="EDL36" s="512"/>
      <c r="EDM36" s="601"/>
      <c r="EDP36" s="512"/>
      <c r="EDQ36" s="601"/>
      <c r="EDT36" s="512"/>
      <c r="EDU36" s="601"/>
      <c r="EDX36" s="512"/>
      <c r="EDY36" s="601"/>
      <c r="EEB36" s="512"/>
      <c r="EEC36" s="601"/>
      <c r="EEF36" s="512"/>
      <c r="EEG36" s="601"/>
      <c r="EEJ36" s="512"/>
      <c r="EEK36" s="601"/>
      <c r="EEN36" s="512"/>
      <c r="EEO36" s="601"/>
      <c r="EER36" s="512"/>
      <c r="EES36" s="601"/>
      <c r="EEV36" s="512"/>
      <c r="EEW36" s="601"/>
      <c r="EEZ36" s="512"/>
      <c r="EFA36" s="601"/>
      <c r="EFD36" s="512"/>
      <c r="EFE36" s="601"/>
      <c r="EFH36" s="512"/>
      <c r="EFI36" s="601"/>
      <c r="EFL36" s="512"/>
      <c r="EFM36" s="601"/>
      <c r="EFP36" s="512"/>
      <c r="EFQ36" s="601"/>
      <c r="EFT36" s="512"/>
      <c r="EFU36" s="601"/>
      <c r="EFX36" s="512"/>
      <c r="EFY36" s="601"/>
      <c r="EGB36" s="512"/>
      <c r="EGC36" s="601"/>
      <c r="EGF36" s="512"/>
      <c r="EGG36" s="601"/>
      <c r="EGJ36" s="512"/>
      <c r="EGK36" s="601"/>
      <c r="EGN36" s="512"/>
      <c r="EGO36" s="601"/>
      <c r="EGR36" s="512"/>
      <c r="EGS36" s="601"/>
      <c r="EGV36" s="512"/>
      <c r="EGW36" s="601"/>
      <c r="EGZ36" s="512"/>
      <c r="EHA36" s="601"/>
      <c r="EHD36" s="512"/>
      <c r="EHE36" s="601"/>
      <c r="EHH36" s="512"/>
      <c r="EHI36" s="601"/>
      <c r="EHL36" s="512"/>
      <c r="EHM36" s="601"/>
      <c r="EHP36" s="512"/>
      <c r="EHQ36" s="601"/>
      <c r="EHT36" s="512"/>
      <c r="EHU36" s="601"/>
      <c r="EHX36" s="512"/>
      <c r="EHY36" s="601"/>
      <c r="EIB36" s="512"/>
      <c r="EIC36" s="601"/>
      <c r="EIF36" s="512"/>
      <c r="EIG36" s="601"/>
      <c r="EIJ36" s="512"/>
      <c r="EIK36" s="601"/>
      <c r="EIN36" s="512"/>
      <c r="EIO36" s="601"/>
      <c r="EIR36" s="512"/>
      <c r="EIS36" s="601"/>
      <c r="EIV36" s="512"/>
      <c r="EIW36" s="601"/>
      <c r="EIZ36" s="512"/>
      <c r="EJA36" s="601"/>
      <c r="EJD36" s="512"/>
      <c r="EJE36" s="601"/>
      <c r="EJH36" s="512"/>
      <c r="EJI36" s="601"/>
      <c r="EJL36" s="512"/>
      <c r="EJM36" s="601"/>
      <c r="EJP36" s="512"/>
      <c r="EJQ36" s="601"/>
      <c r="EJT36" s="512"/>
      <c r="EJU36" s="601"/>
      <c r="EJX36" s="512"/>
      <c r="EJY36" s="601"/>
      <c r="EKB36" s="512"/>
      <c r="EKC36" s="601"/>
      <c r="EKF36" s="512"/>
      <c r="EKG36" s="601"/>
      <c r="EKJ36" s="512"/>
      <c r="EKK36" s="601"/>
      <c r="EKN36" s="512"/>
      <c r="EKO36" s="601"/>
      <c r="EKR36" s="512"/>
      <c r="EKS36" s="601"/>
      <c r="EKV36" s="512"/>
      <c r="EKW36" s="601"/>
      <c r="EKZ36" s="512"/>
      <c r="ELA36" s="601"/>
      <c r="ELD36" s="512"/>
      <c r="ELE36" s="601"/>
      <c r="ELH36" s="512"/>
      <c r="ELI36" s="601"/>
      <c r="ELL36" s="512"/>
      <c r="ELM36" s="601"/>
      <c r="ELP36" s="512"/>
      <c r="ELQ36" s="601"/>
      <c r="ELT36" s="512"/>
      <c r="ELU36" s="601"/>
      <c r="ELX36" s="512"/>
      <c r="ELY36" s="601"/>
      <c r="EMB36" s="512"/>
      <c r="EMC36" s="601"/>
      <c r="EMF36" s="512"/>
      <c r="EMG36" s="601"/>
      <c r="EMJ36" s="512"/>
      <c r="EMK36" s="601"/>
      <c r="EMN36" s="512"/>
      <c r="EMO36" s="601"/>
      <c r="EMR36" s="512"/>
      <c r="EMS36" s="601"/>
      <c r="EMV36" s="512"/>
      <c r="EMW36" s="601"/>
      <c r="EMZ36" s="512"/>
      <c r="ENA36" s="601"/>
      <c r="END36" s="512"/>
      <c r="ENE36" s="601"/>
      <c r="ENH36" s="512"/>
      <c r="ENI36" s="601"/>
      <c r="ENL36" s="512"/>
      <c r="ENM36" s="601"/>
      <c r="ENP36" s="512"/>
      <c r="ENQ36" s="601"/>
      <c r="ENT36" s="512"/>
      <c r="ENU36" s="601"/>
      <c r="ENX36" s="512"/>
      <c r="ENY36" s="601"/>
      <c r="EOB36" s="512"/>
      <c r="EOC36" s="601"/>
      <c r="EOF36" s="512"/>
      <c r="EOG36" s="601"/>
      <c r="EOJ36" s="512"/>
      <c r="EOK36" s="601"/>
      <c r="EON36" s="512"/>
      <c r="EOO36" s="601"/>
      <c r="EOR36" s="512"/>
      <c r="EOS36" s="601"/>
      <c r="EOV36" s="512"/>
      <c r="EOW36" s="601"/>
      <c r="EOZ36" s="512"/>
      <c r="EPA36" s="601"/>
      <c r="EPD36" s="512"/>
      <c r="EPE36" s="601"/>
      <c r="EPH36" s="512"/>
      <c r="EPI36" s="601"/>
      <c r="EPL36" s="512"/>
      <c r="EPM36" s="601"/>
      <c r="EPP36" s="512"/>
      <c r="EPQ36" s="601"/>
      <c r="EPT36" s="512"/>
      <c r="EPU36" s="601"/>
      <c r="EPX36" s="512"/>
      <c r="EPY36" s="601"/>
      <c r="EQB36" s="512"/>
      <c r="EQC36" s="601"/>
      <c r="EQF36" s="512"/>
      <c r="EQG36" s="601"/>
      <c r="EQJ36" s="512"/>
      <c r="EQK36" s="601"/>
      <c r="EQN36" s="512"/>
      <c r="EQO36" s="601"/>
      <c r="EQR36" s="512"/>
      <c r="EQS36" s="601"/>
      <c r="EQV36" s="512"/>
      <c r="EQW36" s="601"/>
      <c r="EQZ36" s="512"/>
      <c r="ERA36" s="601"/>
      <c r="ERD36" s="512"/>
      <c r="ERE36" s="601"/>
      <c r="ERH36" s="512"/>
      <c r="ERI36" s="601"/>
      <c r="ERL36" s="512"/>
      <c r="ERM36" s="601"/>
      <c r="ERP36" s="512"/>
      <c r="ERQ36" s="601"/>
      <c r="ERT36" s="512"/>
      <c r="ERU36" s="601"/>
      <c r="ERX36" s="512"/>
      <c r="ERY36" s="601"/>
      <c r="ESB36" s="512"/>
      <c r="ESC36" s="601"/>
      <c r="ESF36" s="512"/>
      <c r="ESG36" s="601"/>
      <c r="ESJ36" s="512"/>
      <c r="ESK36" s="601"/>
      <c r="ESN36" s="512"/>
      <c r="ESO36" s="601"/>
      <c r="ESR36" s="512"/>
      <c r="ESS36" s="601"/>
      <c r="ESV36" s="512"/>
      <c r="ESW36" s="601"/>
      <c r="ESZ36" s="512"/>
      <c r="ETA36" s="601"/>
      <c r="ETD36" s="512"/>
      <c r="ETE36" s="601"/>
      <c r="ETH36" s="512"/>
      <c r="ETI36" s="601"/>
      <c r="ETL36" s="512"/>
      <c r="ETM36" s="601"/>
      <c r="ETP36" s="512"/>
      <c r="ETQ36" s="601"/>
      <c r="ETT36" s="512"/>
      <c r="ETU36" s="601"/>
      <c r="ETX36" s="512"/>
      <c r="ETY36" s="601"/>
      <c r="EUB36" s="512"/>
      <c r="EUC36" s="601"/>
      <c r="EUF36" s="512"/>
      <c r="EUG36" s="601"/>
      <c r="EUJ36" s="512"/>
      <c r="EUK36" s="601"/>
      <c r="EUN36" s="512"/>
      <c r="EUO36" s="601"/>
      <c r="EUR36" s="512"/>
      <c r="EUS36" s="601"/>
      <c r="EUV36" s="512"/>
      <c r="EUW36" s="601"/>
      <c r="EUZ36" s="512"/>
      <c r="EVA36" s="601"/>
      <c r="EVD36" s="512"/>
      <c r="EVE36" s="601"/>
      <c r="EVH36" s="512"/>
      <c r="EVI36" s="601"/>
      <c r="EVL36" s="512"/>
      <c r="EVM36" s="601"/>
      <c r="EVP36" s="512"/>
      <c r="EVQ36" s="601"/>
      <c r="EVT36" s="512"/>
      <c r="EVU36" s="601"/>
      <c r="EVX36" s="512"/>
      <c r="EVY36" s="601"/>
      <c r="EWB36" s="512"/>
      <c r="EWC36" s="601"/>
      <c r="EWF36" s="512"/>
      <c r="EWG36" s="601"/>
      <c r="EWJ36" s="512"/>
      <c r="EWK36" s="601"/>
      <c r="EWN36" s="512"/>
      <c r="EWO36" s="601"/>
      <c r="EWR36" s="512"/>
      <c r="EWS36" s="601"/>
      <c r="EWV36" s="512"/>
      <c r="EWW36" s="601"/>
      <c r="EWZ36" s="512"/>
      <c r="EXA36" s="601"/>
      <c r="EXD36" s="512"/>
      <c r="EXE36" s="601"/>
      <c r="EXH36" s="512"/>
      <c r="EXI36" s="601"/>
      <c r="EXL36" s="512"/>
      <c r="EXM36" s="601"/>
      <c r="EXP36" s="512"/>
      <c r="EXQ36" s="601"/>
      <c r="EXT36" s="512"/>
      <c r="EXU36" s="601"/>
      <c r="EXX36" s="512"/>
      <c r="EXY36" s="601"/>
      <c r="EYB36" s="512"/>
      <c r="EYC36" s="601"/>
      <c r="EYF36" s="512"/>
      <c r="EYG36" s="601"/>
      <c r="EYJ36" s="512"/>
      <c r="EYK36" s="601"/>
      <c r="EYN36" s="512"/>
      <c r="EYO36" s="601"/>
      <c r="EYR36" s="512"/>
      <c r="EYS36" s="601"/>
      <c r="EYV36" s="512"/>
      <c r="EYW36" s="601"/>
      <c r="EYZ36" s="512"/>
      <c r="EZA36" s="601"/>
      <c r="EZD36" s="512"/>
      <c r="EZE36" s="601"/>
      <c r="EZH36" s="512"/>
      <c r="EZI36" s="601"/>
      <c r="EZL36" s="512"/>
      <c r="EZM36" s="601"/>
      <c r="EZP36" s="512"/>
      <c r="EZQ36" s="601"/>
      <c r="EZT36" s="512"/>
      <c r="EZU36" s="601"/>
      <c r="EZX36" s="512"/>
      <c r="EZY36" s="601"/>
      <c r="FAB36" s="512"/>
      <c r="FAC36" s="601"/>
      <c r="FAF36" s="512"/>
      <c r="FAG36" s="601"/>
      <c r="FAJ36" s="512"/>
      <c r="FAK36" s="601"/>
      <c r="FAN36" s="512"/>
      <c r="FAO36" s="601"/>
      <c r="FAR36" s="512"/>
      <c r="FAS36" s="601"/>
      <c r="FAV36" s="512"/>
      <c r="FAW36" s="601"/>
      <c r="FAZ36" s="512"/>
      <c r="FBA36" s="601"/>
      <c r="FBD36" s="512"/>
      <c r="FBE36" s="601"/>
      <c r="FBH36" s="512"/>
      <c r="FBI36" s="601"/>
      <c r="FBL36" s="512"/>
      <c r="FBM36" s="601"/>
      <c r="FBP36" s="512"/>
      <c r="FBQ36" s="601"/>
      <c r="FBT36" s="512"/>
      <c r="FBU36" s="601"/>
      <c r="FBX36" s="512"/>
      <c r="FBY36" s="601"/>
      <c r="FCB36" s="512"/>
      <c r="FCC36" s="601"/>
      <c r="FCF36" s="512"/>
      <c r="FCG36" s="601"/>
      <c r="FCJ36" s="512"/>
      <c r="FCK36" s="601"/>
      <c r="FCN36" s="512"/>
      <c r="FCO36" s="601"/>
      <c r="FCR36" s="512"/>
      <c r="FCS36" s="601"/>
      <c r="FCV36" s="512"/>
      <c r="FCW36" s="601"/>
      <c r="FCZ36" s="512"/>
      <c r="FDA36" s="601"/>
      <c r="FDD36" s="512"/>
      <c r="FDE36" s="601"/>
      <c r="FDH36" s="512"/>
      <c r="FDI36" s="601"/>
      <c r="FDL36" s="512"/>
      <c r="FDM36" s="601"/>
      <c r="FDP36" s="512"/>
      <c r="FDQ36" s="601"/>
      <c r="FDT36" s="512"/>
      <c r="FDU36" s="601"/>
      <c r="FDX36" s="512"/>
      <c r="FDY36" s="601"/>
      <c r="FEB36" s="512"/>
      <c r="FEC36" s="601"/>
      <c r="FEF36" s="512"/>
      <c r="FEG36" s="601"/>
      <c r="FEJ36" s="512"/>
      <c r="FEK36" s="601"/>
      <c r="FEN36" s="512"/>
      <c r="FEO36" s="601"/>
      <c r="FER36" s="512"/>
      <c r="FES36" s="601"/>
      <c r="FEV36" s="512"/>
      <c r="FEW36" s="601"/>
      <c r="FEZ36" s="512"/>
      <c r="FFA36" s="601"/>
      <c r="FFD36" s="512"/>
      <c r="FFE36" s="601"/>
      <c r="FFH36" s="512"/>
      <c r="FFI36" s="601"/>
      <c r="FFL36" s="512"/>
      <c r="FFM36" s="601"/>
      <c r="FFP36" s="512"/>
      <c r="FFQ36" s="601"/>
      <c r="FFT36" s="512"/>
      <c r="FFU36" s="601"/>
      <c r="FFX36" s="512"/>
      <c r="FFY36" s="601"/>
      <c r="FGB36" s="512"/>
      <c r="FGC36" s="601"/>
      <c r="FGF36" s="512"/>
      <c r="FGG36" s="601"/>
      <c r="FGJ36" s="512"/>
      <c r="FGK36" s="601"/>
      <c r="FGN36" s="512"/>
      <c r="FGO36" s="601"/>
      <c r="FGR36" s="512"/>
      <c r="FGS36" s="601"/>
      <c r="FGV36" s="512"/>
      <c r="FGW36" s="601"/>
      <c r="FGZ36" s="512"/>
      <c r="FHA36" s="601"/>
      <c r="FHD36" s="512"/>
      <c r="FHE36" s="601"/>
      <c r="FHH36" s="512"/>
      <c r="FHI36" s="601"/>
      <c r="FHL36" s="512"/>
      <c r="FHM36" s="601"/>
      <c r="FHP36" s="512"/>
      <c r="FHQ36" s="601"/>
      <c r="FHT36" s="512"/>
      <c r="FHU36" s="601"/>
      <c r="FHX36" s="512"/>
      <c r="FHY36" s="601"/>
      <c r="FIB36" s="512"/>
      <c r="FIC36" s="601"/>
      <c r="FIF36" s="512"/>
      <c r="FIG36" s="601"/>
      <c r="FIJ36" s="512"/>
      <c r="FIK36" s="601"/>
      <c r="FIN36" s="512"/>
      <c r="FIO36" s="601"/>
      <c r="FIR36" s="512"/>
      <c r="FIS36" s="601"/>
      <c r="FIV36" s="512"/>
      <c r="FIW36" s="601"/>
      <c r="FIZ36" s="512"/>
      <c r="FJA36" s="601"/>
      <c r="FJD36" s="512"/>
      <c r="FJE36" s="601"/>
      <c r="FJH36" s="512"/>
      <c r="FJI36" s="601"/>
      <c r="FJL36" s="512"/>
      <c r="FJM36" s="601"/>
      <c r="FJP36" s="512"/>
      <c r="FJQ36" s="601"/>
      <c r="FJT36" s="512"/>
      <c r="FJU36" s="601"/>
      <c r="FJX36" s="512"/>
      <c r="FJY36" s="601"/>
      <c r="FKB36" s="512"/>
      <c r="FKC36" s="601"/>
      <c r="FKF36" s="512"/>
      <c r="FKG36" s="601"/>
      <c r="FKJ36" s="512"/>
      <c r="FKK36" s="601"/>
      <c r="FKN36" s="512"/>
      <c r="FKO36" s="601"/>
      <c r="FKR36" s="512"/>
      <c r="FKS36" s="601"/>
      <c r="FKV36" s="512"/>
      <c r="FKW36" s="601"/>
      <c r="FKZ36" s="512"/>
      <c r="FLA36" s="601"/>
      <c r="FLD36" s="512"/>
      <c r="FLE36" s="601"/>
      <c r="FLH36" s="512"/>
      <c r="FLI36" s="601"/>
      <c r="FLL36" s="512"/>
      <c r="FLM36" s="601"/>
      <c r="FLP36" s="512"/>
      <c r="FLQ36" s="601"/>
      <c r="FLT36" s="512"/>
      <c r="FLU36" s="601"/>
      <c r="FLX36" s="512"/>
      <c r="FLY36" s="601"/>
      <c r="FMB36" s="512"/>
      <c r="FMC36" s="601"/>
      <c r="FMF36" s="512"/>
      <c r="FMG36" s="601"/>
      <c r="FMJ36" s="512"/>
      <c r="FMK36" s="601"/>
      <c r="FMN36" s="512"/>
      <c r="FMO36" s="601"/>
      <c r="FMR36" s="512"/>
      <c r="FMS36" s="601"/>
      <c r="FMV36" s="512"/>
      <c r="FMW36" s="601"/>
      <c r="FMZ36" s="512"/>
      <c r="FNA36" s="601"/>
      <c r="FND36" s="512"/>
      <c r="FNE36" s="601"/>
      <c r="FNH36" s="512"/>
      <c r="FNI36" s="601"/>
      <c r="FNL36" s="512"/>
      <c r="FNM36" s="601"/>
      <c r="FNP36" s="512"/>
      <c r="FNQ36" s="601"/>
      <c r="FNT36" s="512"/>
      <c r="FNU36" s="601"/>
      <c r="FNX36" s="512"/>
      <c r="FNY36" s="601"/>
      <c r="FOB36" s="512"/>
      <c r="FOC36" s="601"/>
      <c r="FOF36" s="512"/>
      <c r="FOG36" s="601"/>
      <c r="FOJ36" s="512"/>
      <c r="FOK36" s="601"/>
      <c r="FON36" s="512"/>
      <c r="FOO36" s="601"/>
      <c r="FOR36" s="512"/>
      <c r="FOS36" s="601"/>
      <c r="FOV36" s="512"/>
      <c r="FOW36" s="601"/>
      <c r="FOZ36" s="512"/>
      <c r="FPA36" s="601"/>
      <c r="FPD36" s="512"/>
      <c r="FPE36" s="601"/>
      <c r="FPH36" s="512"/>
      <c r="FPI36" s="601"/>
      <c r="FPL36" s="512"/>
      <c r="FPM36" s="601"/>
      <c r="FPP36" s="512"/>
      <c r="FPQ36" s="601"/>
      <c r="FPT36" s="512"/>
      <c r="FPU36" s="601"/>
      <c r="FPX36" s="512"/>
      <c r="FPY36" s="601"/>
      <c r="FQB36" s="512"/>
      <c r="FQC36" s="601"/>
      <c r="FQF36" s="512"/>
      <c r="FQG36" s="601"/>
      <c r="FQJ36" s="512"/>
      <c r="FQK36" s="601"/>
      <c r="FQN36" s="512"/>
      <c r="FQO36" s="601"/>
      <c r="FQR36" s="512"/>
      <c r="FQS36" s="601"/>
      <c r="FQV36" s="512"/>
      <c r="FQW36" s="601"/>
      <c r="FQZ36" s="512"/>
      <c r="FRA36" s="601"/>
      <c r="FRD36" s="512"/>
      <c r="FRE36" s="601"/>
      <c r="FRH36" s="512"/>
      <c r="FRI36" s="601"/>
      <c r="FRL36" s="512"/>
      <c r="FRM36" s="601"/>
      <c r="FRP36" s="512"/>
      <c r="FRQ36" s="601"/>
      <c r="FRT36" s="512"/>
      <c r="FRU36" s="601"/>
      <c r="FRX36" s="512"/>
      <c r="FRY36" s="601"/>
      <c r="FSB36" s="512"/>
      <c r="FSC36" s="601"/>
      <c r="FSF36" s="512"/>
      <c r="FSG36" s="601"/>
      <c r="FSJ36" s="512"/>
      <c r="FSK36" s="601"/>
      <c r="FSN36" s="512"/>
      <c r="FSO36" s="601"/>
      <c r="FSR36" s="512"/>
      <c r="FSS36" s="601"/>
      <c r="FSV36" s="512"/>
      <c r="FSW36" s="601"/>
      <c r="FSZ36" s="512"/>
      <c r="FTA36" s="601"/>
      <c r="FTD36" s="512"/>
      <c r="FTE36" s="601"/>
      <c r="FTH36" s="512"/>
      <c r="FTI36" s="601"/>
      <c r="FTL36" s="512"/>
      <c r="FTM36" s="601"/>
      <c r="FTP36" s="512"/>
      <c r="FTQ36" s="601"/>
      <c r="FTT36" s="512"/>
      <c r="FTU36" s="601"/>
      <c r="FTX36" s="512"/>
      <c r="FTY36" s="601"/>
      <c r="FUB36" s="512"/>
      <c r="FUC36" s="601"/>
      <c r="FUF36" s="512"/>
      <c r="FUG36" s="601"/>
      <c r="FUJ36" s="512"/>
      <c r="FUK36" s="601"/>
      <c r="FUN36" s="512"/>
      <c r="FUO36" s="601"/>
      <c r="FUR36" s="512"/>
      <c r="FUS36" s="601"/>
      <c r="FUV36" s="512"/>
      <c r="FUW36" s="601"/>
      <c r="FUZ36" s="512"/>
      <c r="FVA36" s="601"/>
      <c r="FVD36" s="512"/>
      <c r="FVE36" s="601"/>
      <c r="FVH36" s="512"/>
      <c r="FVI36" s="601"/>
      <c r="FVL36" s="512"/>
      <c r="FVM36" s="601"/>
      <c r="FVP36" s="512"/>
      <c r="FVQ36" s="601"/>
      <c r="FVT36" s="512"/>
      <c r="FVU36" s="601"/>
      <c r="FVX36" s="512"/>
      <c r="FVY36" s="601"/>
      <c r="FWB36" s="512"/>
      <c r="FWC36" s="601"/>
      <c r="FWF36" s="512"/>
      <c r="FWG36" s="601"/>
      <c r="FWJ36" s="512"/>
      <c r="FWK36" s="601"/>
      <c r="FWN36" s="512"/>
      <c r="FWO36" s="601"/>
      <c r="FWR36" s="512"/>
      <c r="FWS36" s="601"/>
      <c r="FWV36" s="512"/>
      <c r="FWW36" s="601"/>
      <c r="FWZ36" s="512"/>
      <c r="FXA36" s="601"/>
      <c r="FXD36" s="512"/>
      <c r="FXE36" s="601"/>
      <c r="FXH36" s="512"/>
      <c r="FXI36" s="601"/>
      <c r="FXL36" s="512"/>
      <c r="FXM36" s="601"/>
      <c r="FXP36" s="512"/>
      <c r="FXQ36" s="601"/>
      <c r="FXT36" s="512"/>
      <c r="FXU36" s="601"/>
      <c r="FXX36" s="512"/>
      <c r="FXY36" s="601"/>
      <c r="FYB36" s="512"/>
      <c r="FYC36" s="601"/>
      <c r="FYF36" s="512"/>
      <c r="FYG36" s="601"/>
      <c r="FYJ36" s="512"/>
      <c r="FYK36" s="601"/>
      <c r="FYN36" s="512"/>
      <c r="FYO36" s="601"/>
      <c r="FYR36" s="512"/>
      <c r="FYS36" s="601"/>
      <c r="FYV36" s="512"/>
      <c r="FYW36" s="601"/>
      <c r="FYZ36" s="512"/>
      <c r="FZA36" s="601"/>
      <c r="FZD36" s="512"/>
      <c r="FZE36" s="601"/>
      <c r="FZH36" s="512"/>
      <c r="FZI36" s="601"/>
      <c r="FZL36" s="512"/>
      <c r="FZM36" s="601"/>
      <c r="FZP36" s="512"/>
      <c r="FZQ36" s="601"/>
      <c r="FZT36" s="512"/>
      <c r="FZU36" s="601"/>
      <c r="FZX36" s="512"/>
      <c r="FZY36" s="601"/>
      <c r="GAB36" s="512"/>
      <c r="GAC36" s="601"/>
      <c r="GAF36" s="512"/>
      <c r="GAG36" s="601"/>
      <c r="GAJ36" s="512"/>
      <c r="GAK36" s="601"/>
      <c r="GAN36" s="512"/>
      <c r="GAO36" s="601"/>
      <c r="GAR36" s="512"/>
      <c r="GAS36" s="601"/>
      <c r="GAV36" s="512"/>
      <c r="GAW36" s="601"/>
      <c r="GAZ36" s="512"/>
      <c r="GBA36" s="601"/>
      <c r="GBD36" s="512"/>
      <c r="GBE36" s="601"/>
      <c r="GBH36" s="512"/>
      <c r="GBI36" s="601"/>
      <c r="GBL36" s="512"/>
      <c r="GBM36" s="601"/>
      <c r="GBP36" s="512"/>
      <c r="GBQ36" s="601"/>
      <c r="GBT36" s="512"/>
      <c r="GBU36" s="601"/>
      <c r="GBX36" s="512"/>
      <c r="GBY36" s="601"/>
      <c r="GCB36" s="512"/>
      <c r="GCC36" s="601"/>
      <c r="GCF36" s="512"/>
      <c r="GCG36" s="601"/>
      <c r="GCJ36" s="512"/>
      <c r="GCK36" s="601"/>
      <c r="GCN36" s="512"/>
      <c r="GCO36" s="601"/>
      <c r="GCR36" s="512"/>
      <c r="GCS36" s="601"/>
      <c r="GCV36" s="512"/>
      <c r="GCW36" s="601"/>
      <c r="GCZ36" s="512"/>
      <c r="GDA36" s="601"/>
      <c r="GDD36" s="512"/>
      <c r="GDE36" s="601"/>
      <c r="GDH36" s="512"/>
      <c r="GDI36" s="601"/>
      <c r="GDL36" s="512"/>
      <c r="GDM36" s="601"/>
      <c r="GDP36" s="512"/>
      <c r="GDQ36" s="601"/>
      <c r="GDT36" s="512"/>
      <c r="GDU36" s="601"/>
      <c r="GDX36" s="512"/>
      <c r="GDY36" s="601"/>
      <c r="GEB36" s="512"/>
      <c r="GEC36" s="601"/>
      <c r="GEF36" s="512"/>
      <c r="GEG36" s="601"/>
      <c r="GEJ36" s="512"/>
      <c r="GEK36" s="601"/>
      <c r="GEN36" s="512"/>
      <c r="GEO36" s="601"/>
      <c r="GER36" s="512"/>
      <c r="GES36" s="601"/>
      <c r="GEV36" s="512"/>
      <c r="GEW36" s="601"/>
      <c r="GEZ36" s="512"/>
      <c r="GFA36" s="601"/>
      <c r="GFD36" s="512"/>
      <c r="GFE36" s="601"/>
      <c r="GFH36" s="512"/>
      <c r="GFI36" s="601"/>
      <c r="GFL36" s="512"/>
      <c r="GFM36" s="601"/>
      <c r="GFP36" s="512"/>
      <c r="GFQ36" s="601"/>
      <c r="GFT36" s="512"/>
      <c r="GFU36" s="601"/>
      <c r="GFX36" s="512"/>
      <c r="GFY36" s="601"/>
      <c r="GGB36" s="512"/>
      <c r="GGC36" s="601"/>
      <c r="GGF36" s="512"/>
      <c r="GGG36" s="601"/>
      <c r="GGJ36" s="512"/>
      <c r="GGK36" s="601"/>
      <c r="GGN36" s="512"/>
      <c r="GGO36" s="601"/>
      <c r="GGR36" s="512"/>
      <c r="GGS36" s="601"/>
      <c r="GGV36" s="512"/>
      <c r="GGW36" s="601"/>
      <c r="GGZ36" s="512"/>
      <c r="GHA36" s="601"/>
      <c r="GHD36" s="512"/>
      <c r="GHE36" s="601"/>
      <c r="GHH36" s="512"/>
      <c r="GHI36" s="601"/>
      <c r="GHL36" s="512"/>
      <c r="GHM36" s="601"/>
      <c r="GHP36" s="512"/>
      <c r="GHQ36" s="601"/>
      <c r="GHT36" s="512"/>
      <c r="GHU36" s="601"/>
      <c r="GHX36" s="512"/>
      <c r="GHY36" s="601"/>
      <c r="GIB36" s="512"/>
      <c r="GIC36" s="601"/>
      <c r="GIF36" s="512"/>
      <c r="GIG36" s="601"/>
      <c r="GIJ36" s="512"/>
      <c r="GIK36" s="601"/>
      <c r="GIN36" s="512"/>
      <c r="GIO36" s="601"/>
      <c r="GIR36" s="512"/>
      <c r="GIS36" s="601"/>
      <c r="GIV36" s="512"/>
      <c r="GIW36" s="601"/>
      <c r="GIZ36" s="512"/>
      <c r="GJA36" s="601"/>
      <c r="GJD36" s="512"/>
      <c r="GJE36" s="601"/>
      <c r="GJH36" s="512"/>
      <c r="GJI36" s="601"/>
      <c r="GJL36" s="512"/>
      <c r="GJM36" s="601"/>
      <c r="GJP36" s="512"/>
      <c r="GJQ36" s="601"/>
      <c r="GJT36" s="512"/>
      <c r="GJU36" s="601"/>
      <c r="GJX36" s="512"/>
      <c r="GJY36" s="601"/>
      <c r="GKB36" s="512"/>
      <c r="GKC36" s="601"/>
      <c r="GKF36" s="512"/>
      <c r="GKG36" s="601"/>
      <c r="GKJ36" s="512"/>
      <c r="GKK36" s="601"/>
      <c r="GKN36" s="512"/>
      <c r="GKO36" s="601"/>
      <c r="GKR36" s="512"/>
      <c r="GKS36" s="601"/>
      <c r="GKV36" s="512"/>
      <c r="GKW36" s="601"/>
      <c r="GKZ36" s="512"/>
      <c r="GLA36" s="601"/>
      <c r="GLD36" s="512"/>
      <c r="GLE36" s="601"/>
      <c r="GLH36" s="512"/>
      <c r="GLI36" s="601"/>
      <c r="GLL36" s="512"/>
      <c r="GLM36" s="601"/>
      <c r="GLP36" s="512"/>
      <c r="GLQ36" s="601"/>
      <c r="GLT36" s="512"/>
      <c r="GLU36" s="601"/>
      <c r="GLX36" s="512"/>
      <c r="GLY36" s="601"/>
      <c r="GMB36" s="512"/>
      <c r="GMC36" s="601"/>
      <c r="GMF36" s="512"/>
      <c r="GMG36" s="601"/>
      <c r="GMJ36" s="512"/>
      <c r="GMK36" s="601"/>
      <c r="GMN36" s="512"/>
      <c r="GMO36" s="601"/>
      <c r="GMR36" s="512"/>
      <c r="GMS36" s="601"/>
      <c r="GMV36" s="512"/>
      <c r="GMW36" s="601"/>
      <c r="GMZ36" s="512"/>
      <c r="GNA36" s="601"/>
      <c r="GND36" s="512"/>
      <c r="GNE36" s="601"/>
      <c r="GNH36" s="512"/>
      <c r="GNI36" s="601"/>
      <c r="GNL36" s="512"/>
      <c r="GNM36" s="601"/>
      <c r="GNP36" s="512"/>
      <c r="GNQ36" s="601"/>
      <c r="GNT36" s="512"/>
      <c r="GNU36" s="601"/>
      <c r="GNX36" s="512"/>
      <c r="GNY36" s="601"/>
      <c r="GOB36" s="512"/>
      <c r="GOC36" s="601"/>
      <c r="GOF36" s="512"/>
      <c r="GOG36" s="601"/>
      <c r="GOJ36" s="512"/>
      <c r="GOK36" s="601"/>
      <c r="GON36" s="512"/>
      <c r="GOO36" s="601"/>
      <c r="GOR36" s="512"/>
      <c r="GOS36" s="601"/>
      <c r="GOV36" s="512"/>
      <c r="GOW36" s="601"/>
      <c r="GOZ36" s="512"/>
      <c r="GPA36" s="601"/>
      <c r="GPD36" s="512"/>
      <c r="GPE36" s="601"/>
      <c r="GPH36" s="512"/>
      <c r="GPI36" s="601"/>
      <c r="GPL36" s="512"/>
      <c r="GPM36" s="601"/>
      <c r="GPP36" s="512"/>
      <c r="GPQ36" s="601"/>
      <c r="GPT36" s="512"/>
      <c r="GPU36" s="601"/>
      <c r="GPX36" s="512"/>
      <c r="GPY36" s="601"/>
      <c r="GQB36" s="512"/>
      <c r="GQC36" s="601"/>
      <c r="GQF36" s="512"/>
      <c r="GQG36" s="601"/>
      <c r="GQJ36" s="512"/>
      <c r="GQK36" s="601"/>
      <c r="GQN36" s="512"/>
      <c r="GQO36" s="601"/>
      <c r="GQR36" s="512"/>
      <c r="GQS36" s="601"/>
      <c r="GQV36" s="512"/>
      <c r="GQW36" s="601"/>
      <c r="GQZ36" s="512"/>
      <c r="GRA36" s="601"/>
      <c r="GRD36" s="512"/>
      <c r="GRE36" s="601"/>
      <c r="GRH36" s="512"/>
      <c r="GRI36" s="601"/>
      <c r="GRL36" s="512"/>
      <c r="GRM36" s="601"/>
      <c r="GRP36" s="512"/>
      <c r="GRQ36" s="601"/>
      <c r="GRT36" s="512"/>
      <c r="GRU36" s="601"/>
      <c r="GRX36" s="512"/>
      <c r="GRY36" s="601"/>
      <c r="GSB36" s="512"/>
      <c r="GSC36" s="601"/>
      <c r="GSF36" s="512"/>
      <c r="GSG36" s="601"/>
      <c r="GSJ36" s="512"/>
      <c r="GSK36" s="601"/>
      <c r="GSN36" s="512"/>
      <c r="GSO36" s="601"/>
      <c r="GSR36" s="512"/>
      <c r="GSS36" s="601"/>
      <c r="GSV36" s="512"/>
      <c r="GSW36" s="601"/>
      <c r="GSZ36" s="512"/>
      <c r="GTA36" s="601"/>
      <c r="GTD36" s="512"/>
      <c r="GTE36" s="601"/>
      <c r="GTH36" s="512"/>
      <c r="GTI36" s="601"/>
      <c r="GTL36" s="512"/>
      <c r="GTM36" s="601"/>
      <c r="GTP36" s="512"/>
      <c r="GTQ36" s="601"/>
      <c r="GTT36" s="512"/>
      <c r="GTU36" s="601"/>
      <c r="GTX36" s="512"/>
      <c r="GTY36" s="601"/>
      <c r="GUB36" s="512"/>
      <c r="GUC36" s="601"/>
      <c r="GUF36" s="512"/>
      <c r="GUG36" s="601"/>
      <c r="GUJ36" s="512"/>
      <c r="GUK36" s="601"/>
      <c r="GUN36" s="512"/>
      <c r="GUO36" s="601"/>
      <c r="GUR36" s="512"/>
      <c r="GUS36" s="601"/>
      <c r="GUV36" s="512"/>
      <c r="GUW36" s="601"/>
      <c r="GUZ36" s="512"/>
      <c r="GVA36" s="601"/>
      <c r="GVD36" s="512"/>
      <c r="GVE36" s="601"/>
      <c r="GVH36" s="512"/>
      <c r="GVI36" s="601"/>
      <c r="GVL36" s="512"/>
      <c r="GVM36" s="601"/>
      <c r="GVP36" s="512"/>
      <c r="GVQ36" s="601"/>
      <c r="GVT36" s="512"/>
      <c r="GVU36" s="601"/>
      <c r="GVX36" s="512"/>
      <c r="GVY36" s="601"/>
      <c r="GWB36" s="512"/>
      <c r="GWC36" s="601"/>
      <c r="GWF36" s="512"/>
      <c r="GWG36" s="601"/>
      <c r="GWJ36" s="512"/>
      <c r="GWK36" s="601"/>
      <c r="GWN36" s="512"/>
      <c r="GWO36" s="601"/>
      <c r="GWR36" s="512"/>
      <c r="GWS36" s="601"/>
      <c r="GWV36" s="512"/>
      <c r="GWW36" s="601"/>
      <c r="GWZ36" s="512"/>
      <c r="GXA36" s="601"/>
      <c r="GXD36" s="512"/>
      <c r="GXE36" s="601"/>
      <c r="GXH36" s="512"/>
      <c r="GXI36" s="601"/>
      <c r="GXL36" s="512"/>
      <c r="GXM36" s="601"/>
      <c r="GXP36" s="512"/>
      <c r="GXQ36" s="601"/>
      <c r="GXT36" s="512"/>
      <c r="GXU36" s="601"/>
      <c r="GXX36" s="512"/>
      <c r="GXY36" s="601"/>
      <c r="GYB36" s="512"/>
      <c r="GYC36" s="601"/>
      <c r="GYF36" s="512"/>
      <c r="GYG36" s="601"/>
      <c r="GYJ36" s="512"/>
      <c r="GYK36" s="601"/>
      <c r="GYN36" s="512"/>
      <c r="GYO36" s="601"/>
      <c r="GYR36" s="512"/>
      <c r="GYS36" s="601"/>
      <c r="GYV36" s="512"/>
      <c r="GYW36" s="601"/>
      <c r="GYZ36" s="512"/>
      <c r="GZA36" s="601"/>
      <c r="GZD36" s="512"/>
      <c r="GZE36" s="601"/>
      <c r="GZH36" s="512"/>
      <c r="GZI36" s="601"/>
      <c r="GZL36" s="512"/>
      <c r="GZM36" s="601"/>
      <c r="GZP36" s="512"/>
      <c r="GZQ36" s="601"/>
      <c r="GZT36" s="512"/>
      <c r="GZU36" s="601"/>
      <c r="GZX36" s="512"/>
      <c r="GZY36" s="601"/>
      <c r="HAB36" s="512"/>
      <c r="HAC36" s="601"/>
      <c r="HAF36" s="512"/>
      <c r="HAG36" s="601"/>
      <c r="HAJ36" s="512"/>
      <c r="HAK36" s="601"/>
      <c r="HAN36" s="512"/>
      <c r="HAO36" s="601"/>
      <c r="HAR36" s="512"/>
      <c r="HAS36" s="601"/>
      <c r="HAV36" s="512"/>
      <c r="HAW36" s="601"/>
      <c r="HAZ36" s="512"/>
      <c r="HBA36" s="601"/>
      <c r="HBD36" s="512"/>
      <c r="HBE36" s="601"/>
      <c r="HBH36" s="512"/>
      <c r="HBI36" s="601"/>
      <c r="HBL36" s="512"/>
      <c r="HBM36" s="601"/>
      <c r="HBP36" s="512"/>
      <c r="HBQ36" s="601"/>
      <c r="HBT36" s="512"/>
      <c r="HBU36" s="601"/>
      <c r="HBX36" s="512"/>
      <c r="HBY36" s="601"/>
      <c r="HCB36" s="512"/>
      <c r="HCC36" s="601"/>
      <c r="HCF36" s="512"/>
      <c r="HCG36" s="601"/>
      <c r="HCJ36" s="512"/>
      <c r="HCK36" s="601"/>
      <c r="HCN36" s="512"/>
      <c r="HCO36" s="601"/>
      <c r="HCR36" s="512"/>
      <c r="HCS36" s="601"/>
      <c r="HCV36" s="512"/>
      <c r="HCW36" s="601"/>
      <c r="HCZ36" s="512"/>
      <c r="HDA36" s="601"/>
      <c r="HDD36" s="512"/>
      <c r="HDE36" s="601"/>
      <c r="HDH36" s="512"/>
      <c r="HDI36" s="601"/>
      <c r="HDL36" s="512"/>
      <c r="HDM36" s="601"/>
      <c r="HDP36" s="512"/>
      <c r="HDQ36" s="601"/>
      <c r="HDT36" s="512"/>
      <c r="HDU36" s="601"/>
      <c r="HDX36" s="512"/>
      <c r="HDY36" s="601"/>
      <c r="HEB36" s="512"/>
      <c r="HEC36" s="601"/>
      <c r="HEF36" s="512"/>
      <c r="HEG36" s="601"/>
      <c r="HEJ36" s="512"/>
      <c r="HEK36" s="601"/>
      <c r="HEN36" s="512"/>
      <c r="HEO36" s="601"/>
      <c r="HER36" s="512"/>
      <c r="HES36" s="601"/>
      <c r="HEV36" s="512"/>
      <c r="HEW36" s="601"/>
      <c r="HEZ36" s="512"/>
      <c r="HFA36" s="601"/>
      <c r="HFD36" s="512"/>
      <c r="HFE36" s="601"/>
      <c r="HFH36" s="512"/>
      <c r="HFI36" s="601"/>
      <c r="HFL36" s="512"/>
      <c r="HFM36" s="601"/>
      <c r="HFP36" s="512"/>
      <c r="HFQ36" s="601"/>
      <c r="HFT36" s="512"/>
      <c r="HFU36" s="601"/>
      <c r="HFX36" s="512"/>
      <c r="HFY36" s="601"/>
      <c r="HGB36" s="512"/>
      <c r="HGC36" s="601"/>
      <c r="HGF36" s="512"/>
      <c r="HGG36" s="601"/>
      <c r="HGJ36" s="512"/>
      <c r="HGK36" s="601"/>
      <c r="HGN36" s="512"/>
      <c r="HGO36" s="601"/>
      <c r="HGR36" s="512"/>
      <c r="HGS36" s="601"/>
      <c r="HGV36" s="512"/>
      <c r="HGW36" s="601"/>
      <c r="HGZ36" s="512"/>
      <c r="HHA36" s="601"/>
      <c r="HHD36" s="512"/>
      <c r="HHE36" s="601"/>
      <c r="HHH36" s="512"/>
      <c r="HHI36" s="601"/>
      <c r="HHL36" s="512"/>
      <c r="HHM36" s="601"/>
      <c r="HHP36" s="512"/>
      <c r="HHQ36" s="601"/>
      <c r="HHT36" s="512"/>
      <c r="HHU36" s="601"/>
      <c r="HHX36" s="512"/>
      <c r="HHY36" s="601"/>
      <c r="HIB36" s="512"/>
      <c r="HIC36" s="601"/>
      <c r="HIF36" s="512"/>
      <c r="HIG36" s="601"/>
      <c r="HIJ36" s="512"/>
      <c r="HIK36" s="601"/>
      <c r="HIN36" s="512"/>
      <c r="HIO36" s="601"/>
      <c r="HIR36" s="512"/>
      <c r="HIS36" s="601"/>
      <c r="HIV36" s="512"/>
      <c r="HIW36" s="601"/>
      <c r="HIZ36" s="512"/>
      <c r="HJA36" s="601"/>
      <c r="HJD36" s="512"/>
      <c r="HJE36" s="601"/>
      <c r="HJH36" s="512"/>
      <c r="HJI36" s="601"/>
      <c r="HJL36" s="512"/>
      <c r="HJM36" s="601"/>
      <c r="HJP36" s="512"/>
      <c r="HJQ36" s="601"/>
      <c r="HJT36" s="512"/>
      <c r="HJU36" s="601"/>
      <c r="HJX36" s="512"/>
      <c r="HJY36" s="601"/>
      <c r="HKB36" s="512"/>
      <c r="HKC36" s="601"/>
      <c r="HKF36" s="512"/>
      <c r="HKG36" s="601"/>
      <c r="HKJ36" s="512"/>
      <c r="HKK36" s="601"/>
      <c r="HKN36" s="512"/>
      <c r="HKO36" s="601"/>
      <c r="HKR36" s="512"/>
      <c r="HKS36" s="601"/>
      <c r="HKV36" s="512"/>
      <c r="HKW36" s="601"/>
      <c r="HKZ36" s="512"/>
      <c r="HLA36" s="601"/>
      <c r="HLD36" s="512"/>
      <c r="HLE36" s="601"/>
      <c r="HLH36" s="512"/>
      <c r="HLI36" s="601"/>
      <c r="HLL36" s="512"/>
      <c r="HLM36" s="601"/>
      <c r="HLP36" s="512"/>
      <c r="HLQ36" s="601"/>
      <c r="HLT36" s="512"/>
      <c r="HLU36" s="601"/>
      <c r="HLX36" s="512"/>
      <c r="HLY36" s="601"/>
      <c r="HMB36" s="512"/>
      <c r="HMC36" s="601"/>
      <c r="HMF36" s="512"/>
      <c r="HMG36" s="601"/>
      <c r="HMJ36" s="512"/>
      <c r="HMK36" s="601"/>
      <c r="HMN36" s="512"/>
      <c r="HMO36" s="601"/>
      <c r="HMR36" s="512"/>
      <c r="HMS36" s="601"/>
      <c r="HMV36" s="512"/>
      <c r="HMW36" s="601"/>
      <c r="HMZ36" s="512"/>
      <c r="HNA36" s="601"/>
      <c r="HND36" s="512"/>
      <c r="HNE36" s="601"/>
      <c r="HNH36" s="512"/>
      <c r="HNI36" s="601"/>
      <c r="HNL36" s="512"/>
      <c r="HNM36" s="601"/>
      <c r="HNP36" s="512"/>
      <c r="HNQ36" s="601"/>
      <c r="HNT36" s="512"/>
      <c r="HNU36" s="601"/>
      <c r="HNX36" s="512"/>
      <c r="HNY36" s="601"/>
      <c r="HOB36" s="512"/>
      <c r="HOC36" s="601"/>
      <c r="HOF36" s="512"/>
      <c r="HOG36" s="601"/>
      <c r="HOJ36" s="512"/>
      <c r="HOK36" s="601"/>
      <c r="HON36" s="512"/>
      <c r="HOO36" s="601"/>
      <c r="HOR36" s="512"/>
      <c r="HOS36" s="601"/>
      <c r="HOV36" s="512"/>
      <c r="HOW36" s="601"/>
      <c r="HOZ36" s="512"/>
      <c r="HPA36" s="601"/>
      <c r="HPD36" s="512"/>
      <c r="HPE36" s="601"/>
      <c r="HPH36" s="512"/>
      <c r="HPI36" s="601"/>
      <c r="HPL36" s="512"/>
      <c r="HPM36" s="601"/>
      <c r="HPP36" s="512"/>
      <c r="HPQ36" s="601"/>
      <c r="HPT36" s="512"/>
      <c r="HPU36" s="601"/>
      <c r="HPX36" s="512"/>
      <c r="HPY36" s="601"/>
      <c r="HQB36" s="512"/>
      <c r="HQC36" s="601"/>
      <c r="HQF36" s="512"/>
      <c r="HQG36" s="601"/>
      <c r="HQJ36" s="512"/>
      <c r="HQK36" s="601"/>
      <c r="HQN36" s="512"/>
      <c r="HQO36" s="601"/>
      <c r="HQR36" s="512"/>
      <c r="HQS36" s="601"/>
      <c r="HQV36" s="512"/>
      <c r="HQW36" s="601"/>
      <c r="HQZ36" s="512"/>
      <c r="HRA36" s="601"/>
      <c r="HRD36" s="512"/>
      <c r="HRE36" s="601"/>
      <c r="HRH36" s="512"/>
      <c r="HRI36" s="601"/>
      <c r="HRL36" s="512"/>
      <c r="HRM36" s="601"/>
      <c r="HRP36" s="512"/>
      <c r="HRQ36" s="601"/>
      <c r="HRT36" s="512"/>
      <c r="HRU36" s="601"/>
      <c r="HRX36" s="512"/>
      <c r="HRY36" s="601"/>
      <c r="HSB36" s="512"/>
      <c r="HSC36" s="601"/>
      <c r="HSF36" s="512"/>
      <c r="HSG36" s="601"/>
      <c r="HSJ36" s="512"/>
      <c r="HSK36" s="601"/>
      <c r="HSN36" s="512"/>
      <c r="HSO36" s="601"/>
      <c r="HSR36" s="512"/>
      <c r="HSS36" s="601"/>
      <c r="HSV36" s="512"/>
      <c r="HSW36" s="601"/>
      <c r="HSZ36" s="512"/>
      <c r="HTA36" s="601"/>
      <c r="HTD36" s="512"/>
      <c r="HTE36" s="601"/>
      <c r="HTH36" s="512"/>
      <c r="HTI36" s="601"/>
      <c r="HTL36" s="512"/>
      <c r="HTM36" s="601"/>
      <c r="HTP36" s="512"/>
      <c r="HTQ36" s="601"/>
      <c r="HTT36" s="512"/>
      <c r="HTU36" s="601"/>
      <c r="HTX36" s="512"/>
      <c r="HTY36" s="601"/>
      <c r="HUB36" s="512"/>
      <c r="HUC36" s="601"/>
      <c r="HUF36" s="512"/>
      <c r="HUG36" s="601"/>
      <c r="HUJ36" s="512"/>
      <c r="HUK36" s="601"/>
      <c r="HUN36" s="512"/>
      <c r="HUO36" s="601"/>
      <c r="HUR36" s="512"/>
      <c r="HUS36" s="601"/>
      <c r="HUV36" s="512"/>
      <c r="HUW36" s="601"/>
      <c r="HUZ36" s="512"/>
      <c r="HVA36" s="601"/>
      <c r="HVD36" s="512"/>
      <c r="HVE36" s="601"/>
      <c r="HVH36" s="512"/>
      <c r="HVI36" s="601"/>
      <c r="HVL36" s="512"/>
      <c r="HVM36" s="601"/>
      <c r="HVP36" s="512"/>
      <c r="HVQ36" s="601"/>
      <c r="HVT36" s="512"/>
      <c r="HVU36" s="601"/>
      <c r="HVX36" s="512"/>
      <c r="HVY36" s="601"/>
      <c r="HWB36" s="512"/>
      <c r="HWC36" s="601"/>
      <c r="HWF36" s="512"/>
      <c r="HWG36" s="601"/>
      <c r="HWJ36" s="512"/>
      <c r="HWK36" s="601"/>
      <c r="HWN36" s="512"/>
      <c r="HWO36" s="601"/>
      <c r="HWR36" s="512"/>
      <c r="HWS36" s="601"/>
      <c r="HWV36" s="512"/>
      <c r="HWW36" s="601"/>
      <c r="HWZ36" s="512"/>
      <c r="HXA36" s="601"/>
      <c r="HXD36" s="512"/>
      <c r="HXE36" s="601"/>
      <c r="HXH36" s="512"/>
      <c r="HXI36" s="601"/>
      <c r="HXL36" s="512"/>
      <c r="HXM36" s="601"/>
      <c r="HXP36" s="512"/>
      <c r="HXQ36" s="601"/>
      <c r="HXT36" s="512"/>
      <c r="HXU36" s="601"/>
      <c r="HXX36" s="512"/>
      <c r="HXY36" s="601"/>
      <c r="HYB36" s="512"/>
      <c r="HYC36" s="601"/>
      <c r="HYF36" s="512"/>
      <c r="HYG36" s="601"/>
      <c r="HYJ36" s="512"/>
      <c r="HYK36" s="601"/>
      <c r="HYN36" s="512"/>
      <c r="HYO36" s="601"/>
      <c r="HYR36" s="512"/>
      <c r="HYS36" s="601"/>
      <c r="HYV36" s="512"/>
      <c r="HYW36" s="601"/>
      <c r="HYZ36" s="512"/>
      <c r="HZA36" s="601"/>
      <c r="HZD36" s="512"/>
      <c r="HZE36" s="601"/>
      <c r="HZH36" s="512"/>
      <c r="HZI36" s="601"/>
      <c r="HZL36" s="512"/>
      <c r="HZM36" s="601"/>
      <c r="HZP36" s="512"/>
      <c r="HZQ36" s="601"/>
      <c r="HZT36" s="512"/>
      <c r="HZU36" s="601"/>
      <c r="HZX36" s="512"/>
      <c r="HZY36" s="601"/>
      <c r="IAB36" s="512"/>
      <c r="IAC36" s="601"/>
      <c r="IAF36" s="512"/>
      <c r="IAG36" s="601"/>
      <c r="IAJ36" s="512"/>
      <c r="IAK36" s="601"/>
      <c r="IAN36" s="512"/>
      <c r="IAO36" s="601"/>
      <c r="IAR36" s="512"/>
      <c r="IAS36" s="601"/>
      <c r="IAV36" s="512"/>
      <c r="IAW36" s="601"/>
      <c r="IAZ36" s="512"/>
      <c r="IBA36" s="601"/>
      <c r="IBD36" s="512"/>
      <c r="IBE36" s="601"/>
      <c r="IBH36" s="512"/>
      <c r="IBI36" s="601"/>
      <c r="IBL36" s="512"/>
      <c r="IBM36" s="601"/>
      <c r="IBP36" s="512"/>
      <c r="IBQ36" s="601"/>
      <c r="IBT36" s="512"/>
      <c r="IBU36" s="601"/>
      <c r="IBX36" s="512"/>
      <c r="IBY36" s="601"/>
      <c r="ICB36" s="512"/>
      <c r="ICC36" s="601"/>
      <c r="ICF36" s="512"/>
      <c r="ICG36" s="601"/>
      <c r="ICJ36" s="512"/>
      <c r="ICK36" s="601"/>
      <c r="ICN36" s="512"/>
      <c r="ICO36" s="601"/>
      <c r="ICR36" s="512"/>
      <c r="ICS36" s="601"/>
      <c r="ICV36" s="512"/>
      <c r="ICW36" s="601"/>
      <c r="ICZ36" s="512"/>
      <c r="IDA36" s="601"/>
      <c r="IDD36" s="512"/>
      <c r="IDE36" s="601"/>
      <c r="IDH36" s="512"/>
      <c r="IDI36" s="601"/>
      <c r="IDL36" s="512"/>
      <c r="IDM36" s="601"/>
      <c r="IDP36" s="512"/>
      <c r="IDQ36" s="601"/>
      <c r="IDT36" s="512"/>
      <c r="IDU36" s="601"/>
      <c r="IDX36" s="512"/>
      <c r="IDY36" s="601"/>
      <c r="IEB36" s="512"/>
      <c r="IEC36" s="601"/>
      <c r="IEF36" s="512"/>
      <c r="IEG36" s="601"/>
      <c r="IEJ36" s="512"/>
      <c r="IEK36" s="601"/>
      <c r="IEN36" s="512"/>
      <c r="IEO36" s="601"/>
      <c r="IER36" s="512"/>
      <c r="IES36" s="601"/>
      <c r="IEV36" s="512"/>
      <c r="IEW36" s="601"/>
      <c r="IEZ36" s="512"/>
      <c r="IFA36" s="601"/>
      <c r="IFD36" s="512"/>
      <c r="IFE36" s="601"/>
      <c r="IFH36" s="512"/>
      <c r="IFI36" s="601"/>
      <c r="IFL36" s="512"/>
      <c r="IFM36" s="601"/>
      <c r="IFP36" s="512"/>
      <c r="IFQ36" s="601"/>
      <c r="IFT36" s="512"/>
      <c r="IFU36" s="601"/>
      <c r="IFX36" s="512"/>
      <c r="IFY36" s="601"/>
      <c r="IGB36" s="512"/>
      <c r="IGC36" s="601"/>
      <c r="IGF36" s="512"/>
      <c r="IGG36" s="601"/>
      <c r="IGJ36" s="512"/>
      <c r="IGK36" s="601"/>
      <c r="IGN36" s="512"/>
      <c r="IGO36" s="601"/>
      <c r="IGR36" s="512"/>
      <c r="IGS36" s="601"/>
      <c r="IGV36" s="512"/>
      <c r="IGW36" s="601"/>
      <c r="IGZ36" s="512"/>
      <c r="IHA36" s="601"/>
      <c r="IHD36" s="512"/>
      <c r="IHE36" s="601"/>
      <c r="IHH36" s="512"/>
      <c r="IHI36" s="601"/>
      <c r="IHL36" s="512"/>
      <c r="IHM36" s="601"/>
      <c r="IHP36" s="512"/>
      <c r="IHQ36" s="601"/>
      <c r="IHT36" s="512"/>
      <c r="IHU36" s="601"/>
      <c r="IHX36" s="512"/>
      <c r="IHY36" s="601"/>
      <c r="IIB36" s="512"/>
      <c r="IIC36" s="601"/>
      <c r="IIF36" s="512"/>
      <c r="IIG36" s="601"/>
      <c r="IIJ36" s="512"/>
      <c r="IIK36" s="601"/>
      <c r="IIN36" s="512"/>
      <c r="IIO36" s="601"/>
      <c r="IIR36" s="512"/>
      <c r="IIS36" s="601"/>
      <c r="IIV36" s="512"/>
      <c r="IIW36" s="601"/>
      <c r="IIZ36" s="512"/>
      <c r="IJA36" s="601"/>
      <c r="IJD36" s="512"/>
      <c r="IJE36" s="601"/>
      <c r="IJH36" s="512"/>
      <c r="IJI36" s="601"/>
      <c r="IJL36" s="512"/>
      <c r="IJM36" s="601"/>
      <c r="IJP36" s="512"/>
      <c r="IJQ36" s="601"/>
      <c r="IJT36" s="512"/>
      <c r="IJU36" s="601"/>
      <c r="IJX36" s="512"/>
      <c r="IJY36" s="601"/>
      <c r="IKB36" s="512"/>
      <c r="IKC36" s="601"/>
      <c r="IKF36" s="512"/>
      <c r="IKG36" s="601"/>
      <c r="IKJ36" s="512"/>
      <c r="IKK36" s="601"/>
      <c r="IKN36" s="512"/>
      <c r="IKO36" s="601"/>
      <c r="IKR36" s="512"/>
      <c r="IKS36" s="601"/>
      <c r="IKV36" s="512"/>
      <c r="IKW36" s="601"/>
      <c r="IKZ36" s="512"/>
      <c r="ILA36" s="601"/>
      <c r="ILD36" s="512"/>
      <c r="ILE36" s="601"/>
      <c r="ILH36" s="512"/>
      <c r="ILI36" s="601"/>
      <c r="ILL36" s="512"/>
      <c r="ILM36" s="601"/>
      <c r="ILP36" s="512"/>
      <c r="ILQ36" s="601"/>
      <c r="ILT36" s="512"/>
      <c r="ILU36" s="601"/>
      <c r="ILX36" s="512"/>
      <c r="ILY36" s="601"/>
      <c r="IMB36" s="512"/>
      <c r="IMC36" s="601"/>
      <c r="IMF36" s="512"/>
      <c r="IMG36" s="601"/>
      <c r="IMJ36" s="512"/>
      <c r="IMK36" s="601"/>
      <c r="IMN36" s="512"/>
      <c r="IMO36" s="601"/>
      <c r="IMR36" s="512"/>
      <c r="IMS36" s="601"/>
      <c r="IMV36" s="512"/>
      <c r="IMW36" s="601"/>
      <c r="IMZ36" s="512"/>
      <c r="INA36" s="601"/>
      <c r="IND36" s="512"/>
      <c r="INE36" s="601"/>
      <c r="INH36" s="512"/>
      <c r="INI36" s="601"/>
      <c r="INL36" s="512"/>
      <c r="INM36" s="601"/>
      <c r="INP36" s="512"/>
      <c r="INQ36" s="601"/>
      <c r="INT36" s="512"/>
      <c r="INU36" s="601"/>
      <c r="INX36" s="512"/>
      <c r="INY36" s="601"/>
      <c r="IOB36" s="512"/>
      <c r="IOC36" s="601"/>
      <c r="IOF36" s="512"/>
      <c r="IOG36" s="601"/>
      <c r="IOJ36" s="512"/>
      <c r="IOK36" s="601"/>
      <c r="ION36" s="512"/>
      <c r="IOO36" s="601"/>
      <c r="IOR36" s="512"/>
      <c r="IOS36" s="601"/>
      <c r="IOV36" s="512"/>
      <c r="IOW36" s="601"/>
      <c r="IOZ36" s="512"/>
      <c r="IPA36" s="601"/>
      <c r="IPD36" s="512"/>
      <c r="IPE36" s="601"/>
      <c r="IPH36" s="512"/>
      <c r="IPI36" s="601"/>
      <c r="IPL36" s="512"/>
      <c r="IPM36" s="601"/>
      <c r="IPP36" s="512"/>
      <c r="IPQ36" s="601"/>
      <c r="IPT36" s="512"/>
      <c r="IPU36" s="601"/>
      <c r="IPX36" s="512"/>
      <c r="IPY36" s="601"/>
      <c r="IQB36" s="512"/>
      <c r="IQC36" s="601"/>
      <c r="IQF36" s="512"/>
      <c r="IQG36" s="601"/>
      <c r="IQJ36" s="512"/>
      <c r="IQK36" s="601"/>
      <c r="IQN36" s="512"/>
      <c r="IQO36" s="601"/>
      <c r="IQR36" s="512"/>
      <c r="IQS36" s="601"/>
      <c r="IQV36" s="512"/>
      <c r="IQW36" s="601"/>
      <c r="IQZ36" s="512"/>
      <c r="IRA36" s="601"/>
      <c r="IRD36" s="512"/>
      <c r="IRE36" s="601"/>
      <c r="IRH36" s="512"/>
      <c r="IRI36" s="601"/>
      <c r="IRL36" s="512"/>
      <c r="IRM36" s="601"/>
      <c r="IRP36" s="512"/>
      <c r="IRQ36" s="601"/>
      <c r="IRT36" s="512"/>
      <c r="IRU36" s="601"/>
      <c r="IRX36" s="512"/>
      <c r="IRY36" s="601"/>
      <c r="ISB36" s="512"/>
      <c r="ISC36" s="601"/>
      <c r="ISF36" s="512"/>
      <c r="ISG36" s="601"/>
      <c r="ISJ36" s="512"/>
      <c r="ISK36" s="601"/>
      <c r="ISN36" s="512"/>
      <c r="ISO36" s="601"/>
      <c r="ISR36" s="512"/>
      <c r="ISS36" s="601"/>
      <c r="ISV36" s="512"/>
      <c r="ISW36" s="601"/>
      <c r="ISZ36" s="512"/>
      <c r="ITA36" s="601"/>
      <c r="ITD36" s="512"/>
      <c r="ITE36" s="601"/>
      <c r="ITH36" s="512"/>
      <c r="ITI36" s="601"/>
      <c r="ITL36" s="512"/>
      <c r="ITM36" s="601"/>
      <c r="ITP36" s="512"/>
      <c r="ITQ36" s="601"/>
      <c r="ITT36" s="512"/>
      <c r="ITU36" s="601"/>
      <c r="ITX36" s="512"/>
      <c r="ITY36" s="601"/>
      <c r="IUB36" s="512"/>
      <c r="IUC36" s="601"/>
      <c r="IUF36" s="512"/>
      <c r="IUG36" s="601"/>
      <c r="IUJ36" s="512"/>
      <c r="IUK36" s="601"/>
      <c r="IUN36" s="512"/>
      <c r="IUO36" s="601"/>
      <c r="IUR36" s="512"/>
      <c r="IUS36" s="601"/>
      <c r="IUV36" s="512"/>
      <c r="IUW36" s="601"/>
      <c r="IUZ36" s="512"/>
      <c r="IVA36" s="601"/>
      <c r="IVD36" s="512"/>
      <c r="IVE36" s="601"/>
      <c r="IVH36" s="512"/>
      <c r="IVI36" s="601"/>
      <c r="IVL36" s="512"/>
      <c r="IVM36" s="601"/>
      <c r="IVP36" s="512"/>
      <c r="IVQ36" s="601"/>
      <c r="IVT36" s="512"/>
      <c r="IVU36" s="601"/>
      <c r="IVX36" s="512"/>
      <c r="IVY36" s="601"/>
      <c r="IWB36" s="512"/>
      <c r="IWC36" s="601"/>
      <c r="IWF36" s="512"/>
      <c r="IWG36" s="601"/>
      <c r="IWJ36" s="512"/>
      <c r="IWK36" s="601"/>
      <c r="IWN36" s="512"/>
      <c r="IWO36" s="601"/>
      <c r="IWR36" s="512"/>
      <c r="IWS36" s="601"/>
      <c r="IWV36" s="512"/>
      <c r="IWW36" s="601"/>
      <c r="IWZ36" s="512"/>
      <c r="IXA36" s="601"/>
      <c r="IXD36" s="512"/>
      <c r="IXE36" s="601"/>
      <c r="IXH36" s="512"/>
      <c r="IXI36" s="601"/>
      <c r="IXL36" s="512"/>
      <c r="IXM36" s="601"/>
      <c r="IXP36" s="512"/>
      <c r="IXQ36" s="601"/>
      <c r="IXT36" s="512"/>
      <c r="IXU36" s="601"/>
      <c r="IXX36" s="512"/>
      <c r="IXY36" s="601"/>
      <c r="IYB36" s="512"/>
      <c r="IYC36" s="601"/>
      <c r="IYF36" s="512"/>
      <c r="IYG36" s="601"/>
      <c r="IYJ36" s="512"/>
      <c r="IYK36" s="601"/>
      <c r="IYN36" s="512"/>
      <c r="IYO36" s="601"/>
      <c r="IYR36" s="512"/>
      <c r="IYS36" s="601"/>
      <c r="IYV36" s="512"/>
      <c r="IYW36" s="601"/>
      <c r="IYZ36" s="512"/>
      <c r="IZA36" s="601"/>
      <c r="IZD36" s="512"/>
      <c r="IZE36" s="601"/>
      <c r="IZH36" s="512"/>
      <c r="IZI36" s="601"/>
      <c r="IZL36" s="512"/>
      <c r="IZM36" s="601"/>
      <c r="IZP36" s="512"/>
      <c r="IZQ36" s="601"/>
      <c r="IZT36" s="512"/>
      <c r="IZU36" s="601"/>
      <c r="IZX36" s="512"/>
      <c r="IZY36" s="601"/>
      <c r="JAB36" s="512"/>
      <c r="JAC36" s="601"/>
      <c r="JAF36" s="512"/>
      <c r="JAG36" s="601"/>
      <c r="JAJ36" s="512"/>
      <c r="JAK36" s="601"/>
      <c r="JAN36" s="512"/>
      <c r="JAO36" s="601"/>
      <c r="JAR36" s="512"/>
      <c r="JAS36" s="601"/>
      <c r="JAV36" s="512"/>
      <c r="JAW36" s="601"/>
      <c r="JAZ36" s="512"/>
      <c r="JBA36" s="601"/>
      <c r="JBD36" s="512"/>
      <c r="JBE36" s="601"/>
      <c r="JBH36" s="512"/>
      <c r="JBI36" s="601"/>
      <c r="JBL36" s="512"/>
      <c r="JBM36" s="601"/>
      <c r="JBP36" s="512"/>
      <c r="JBQ36" s="601"/>
      <c r="JBT36" s="512"/>
      <c r="JBU36" s="601"/>
      <c r="JBX36" s="512"/>
      <c r="JBY36" s="601"/>
      <c r="JCB36" s="512"/>
      <c r="JCC36" s="601"/>
      <c r="JCF36" s="512"/>
      <c r="JCG36" s="601"/>
      <c r="JCJ36" s="512"/>
      <c r="JCK36" s="601"/>
      <c r="JCN36" s="512"/>
      <c r="JCO36" s="601"/>
      <c r="JCR36" s="512"/>
      <c r="JCS36" s="601"/>
      <c r="JCV36" s="512"/>
      <c r="JCW36" s="601"/>
      <c r="JCZ36" s="512"/>
      <c r="JDA36" s="601"/>
      <c r="JDD36" s="512"/>
      <c r="JDE36" s="601"/>
      <c r="JDH36" s="512"/>
      <c r="JDI36" s="601"/>
      <c r="JDL36" s="512"/>
      <c r="JDM36" s="601"/>
      <c r="JDP36" s="512"/>
      <c r="JDQ36" s="601"/>
      <c r="JDT36" s="512"/>
      <c r="JDU36" s="601"/>
      <c r="JDX36" s="512"/>
      <c r="JDY36" s="601"/>
      <c r="JEB36" s="512"/>
      <c r="JEC36" s="601"/>
      <c r="JEF36" s="512"/>
      <c r="JEG36" s="601"/>
      <c r="JEJ36" s="512"/>
      <c r="JEK36" s="601"/>
      <c r="JEN36" s="512"/>
      <c r="JEO36" s="601"/>
      <c r="JER36" s="512"/>
      <c r="JES36" s="601"/>
      <c r="JEV36" s="512"/>
      <c r="JEW36" s="601"/>
      <c r="JEZ36" s="512"/>
      <c r="JFA36" s="601"/>
      <c r="JFD36" s="512"/>
      <c r="JFE36" s="601"/>
      <c r="JFH36" s="512"/>
      <c r="JFI36" s="601"/>
      <c r="JFL36" s="512"/>
      <c r="JFM36" s="601"/>
      <c r="JFP36" s="512"/>
      <c r="JFQ36" s="601"/>
      <c r="JFT36" s="512"/>
      <c r="JFU36" s="601"/>
      <c r="JFX36" s="512"/>
      <c r="JFY36" s="601"/>
      <c r="JGB36" s="512"/>
      <c r="JGC36" s="601"/>
      <c r="JGF36" s="512"/>
      <c r="JGG36" s="601"/>
      <c r="JGJ36" s="512"/>
      <c r="JGK36" s="601"/>
      <c r="JGN36" s="512"/>
      <c r="JGO36" s="601"/>
      <c r="JGR36" s="512"/>
      <c r="JGS36" s="601"/>
      <c r="JGV36" s="512"/>
      <c r="JGW36" s="601"/>
      <c r="JGZ36" s="512"/>
      <c r="JHA36" s="601"/>
      <c r="JHD36" s="512"/>
      <c r="JHE36" s="601"/>
      <c r="JHH36" s="512"/>
      <c r="JHI36" s="601"/>
      <c r="JHL36" s="512"/>
      <c r="JHM36" s="601"/>
      <c r="JHP36" s="512"/>
      <c r="JHQ36" s="601"/>
      <c r="JHT36" s="512"/>
      <c r="JHU36" s="601"/>
      <c r="JHX36" s="512"/>
      <c r="JHY36" s="601"/>
      <c r="JIB36" s="512"/>
      <c r="JIC36" s="601"/>
      <c r="JIF36" s="512"/>
      <c r="JIG36" s="601"/>
      <c r="JIJ36" s="512"/>
      <c r="JIK36" s="601"/>
      <c r="JIN36" s="512"/>
      <c r="JIO36" s="601"/>
      <c r="JIR36" s="512"/>
      <c r="JIS36" s="601"/>
      <c r="JIV36" s="512"/>
      <c r="JIW36" s="601"/>
      <c r="JIZ36" s="512"/>
      <c r="JJA36" s="601"/>
      <c r="JJD36" s="512"/>
      <c r="JJE36" s="601"/>
      <c r="JJH36" s="512"/>
      <c r="JJI36" s="601"/>
      <c r="JJL36" s="512"/>
      <c r="JJM36" s="601"/>
      <c r="JJP36" s="512"/>
      <c r="JJQ36" s="601"/>
      <c r="JJT36" s="512"/>
      <c r="JJU36" s="601"/>
      <c r="JJX36" s="512"/>
      <c r="JJY36" s="601"/>
      <c r="JKB36" s="512"/>
      <c r="JKC36" s="601"/>
      <c r="JKF36" s="512"/>
      <c r="JKG36" s="601"/>
      <c r="JKJ36" s="512"/>
      <c r="JKK36" s="601"/>
      <c r="JKN36" s="512"/>
      <c r="JKO36" s="601"/>
      <c r="JKR36" s="512"/>
      <c r="JKS36" s="601"/>
      <c r="JKV36" s="512"/>
      <c r="JKW36" s="601"/>
      <c r="JKZ36" s="512"/>
      <c r="JLA36" s="601"/>
      <c r="JLD36" s="512"/>
      <c r="JLE36" s="601"/>
      <c r="JLH36" s="512"/>
      <c r="JLI36" s="601"/>
      <c r="JLL36" s="512"/>
      <c r="JLM36" s="601"/>
      <c r="JLP36" s="512"/>
      <c r="JLQ36" s="601"/>
      <c r="JLT36" s="512"/>
      <c r="JLU36" s="601"/>
      <c r="JLX36" s="512"/>
      <c r="JLY36" s="601"/>
      <c r="JMB36" s="512"/>
      <c r="JMC36" s="601"/>
      <c r="JMF36" s="512"/>
      <c r="JMG36" s="601"/>
      <c r="JMJ36" s="512"/>
      <c r="JMK36" s="601"/>
      <c r="JMN36" s="512"/>
      <c r="JMO36" s="601"/>
      <c r="JMR36" s="512"/>
      <c r="JMS36" s="601"/>
      <c r="JMV36" s="512"/>
      <c r="JMW36" s="601"/>
      <c r="JMZ36" s="512"/>
      <c r="JNA36" s="601"/>
      <c r="JND36" s="512"/>
      <c r="JNE36" s="601"/>
      <c r="JNH36" s="512"/>
      <c r="JNI36" s="601"/>
      <c r="JNL36" s="512"/>
      <c r="JNM36" s="601"/>
      <c r="JNP36" s="512"/>
      <c r="JNQ36" s="601"/>
      <c r="JNT36" s="512"/>
      <c r="JNU36" s="601"/>
      <c r="JNX36" s="512"/>
      <c r="JNY36" s="601"/>
      <c r="JOB36" s="512"/>
      <c r="JOC36" s="601"/>
      <c r="JOF36" s="512"/>
      <c r="JOG36" s="601"/>
      <c r="JOJ36" s="512"/>
      <c r="JOK36" s="601"/>
      <c r="JON36" s="512"/>
      <c r="JOO36" s="601"/>
      <c r="JOR36" s="512"/>
      <c r="JOS36" s="601"/>
      <c r="JOV36" s="512"/>
      <c r="JOW36" s="601"/>
      <c r="JOZ36" s="512"/>
      <c r="JPA36" s="601"/>
      <c r="JPD36" s="512"/>
      <c r="JPE36" s="601"/>
      <c r="JPH36" s="512"/>
      <c r="JPI36" s="601"/>
      <c r="JPL36" s="512"/>
      <c r="JPM36" s="601"/>
      <c r="JPP36" s="512"/>
      <c r="JPQ36" s="601"/>
      <c r="JPT36" s="512"/>
      <c r="JPU36" s="601"/>
      <c r="JPX36" s="512"/>
      <c r="JPY36" s="601"/>
      <c r="JQB36" s="512"/>
      <c r="JQC36" s="601"/>
      <c r="JQF36" s="512"/>
      <c r="JQG36" s="601"/>
      <c r="JQJ36" s="512"/>
      <c r="JQK36" s="601"/>
      <c r="JQN36" s="512"/>
      <c r="JQO36" s="601"/>
      <c r="JQR36" s="512"/>
      <c r="JQS36" s="601"/>
      <c r="JQV36" s="512"/>
      <c r="JQW36" s="601"/>
      <c r="JQZ36" s="512"/>
      <c r="JRA36" s="601"/>
      <c r="JRD36" s="512"/>
      <c r="JRE36" s="601"/>
      <c r="JRH36" s="512"/>
      <c r="JRI36" s="601"/>
      <c r="JRL36" s="512"/>
      <c r="JRM36" s="601"/>
      <c r="JRP36" s="512"/>
      <c r="JRQ36" s="601"/>
      <c r="JRT36" s="512"/>
      <c r="JRU36" s="601"/>
      <c r="JRX36" s="512"/>
      <c r="JRY36" s="601"/>
      <c r="JSB36" s="512"/>
      <c r="JSC36" s="601"/>
      <c r="JSF36" s="512"/>
      <c r="JSG36" s="601"/>
      <c r="JSJ36" s="512"/>
      <c r="JSK36" s="601"/>
      <c r="JSN36" s="512"/>
      <c r="JSO36" s="601"/>
      <c r="JSR36" s="512"/>
      <c r="JSS36" s="601"/>
      <c r="JSV36" s="512"/>
      <c r="JSW36" s="601"/>
      <c r="JSZ36" s="512"/>
      <c r="JTA36" s="601"/>
      <c r="JTD36" s="512"/>
      <c r="JTE36" s="601"/>
      <c r="JTH36" s="512"/>
      <c r="JTI36" s="601"/>
      <c r="JTL36" s="512"/>
      <c r="JTM36" s="601"/>
      <c r="JTP36" s="512"/>
      <c r="JTQ36" s="601"/>
      <c r="JTT36" s="512"/>
      <c r="JTU36" s="601"/>
      <c r="JTX36" s="512"/>
      <c r="JTY36" s="601"/>
      <c r="JUB36" s="512"/>
      <c r="JUC36" s="601"/>
      <c r="JUF36" s="512"/>
      <c r="JUG36" s="601"/>
      <c r="JUJ36" s="512"/>
      <c r="JUK36" s="601"/>
      <c r="JUN36" s="512"/>
      <c r="JUO36" s="601"/>
      <c r="JUR36" s="512"/>
      <c r="JUS36" s="601"/>
      <c r="JUV36" s="512"/>
      <c r="JUW36" s="601"/>
      <c r="JUZ36" s="512"/>
      <c r="JVA36" s="601"/>
      <c r="JVD36" s="512"/>
      <c r="JVE36" s="601"/>
      <c r="JVH36" s="512"/>
      <c r="JVI36" s="601"/>
      <c r="JVL36" s="512"/>
      <c r="JVM36" s="601"/>
      <c r="JVP36" s="512"/>
      <c r="JVQ36" s="601"/>
      <c r="JVT36" s="512"/>
      <c r="JVU36" s="601"/>
      <c r="JVX36" s="512"/>
      <c r="JVY36" s="601"/>
      <c r="JWB36" s="512"/>
      <c r="JWC36" s="601"/>
      <c r="JWF36" s="512"/>
      <c r="JWG36" s="601"/>
      <c r="JWJ36" s="512"/>
      <c r="JWK36" s="601"/>
      <c r="JWN36" s="512"/>
      <c r="JWO36" s="601"/>
      <c r="JWR36" s="512"/>
      <c r="JWS36" s="601"/>
      <c r="JWV36" s="512"/>
      <c r="JWW36" s="601"/>
      <c r="JWZ36" s="512"/>
      <c r="JXA36" s="601"/>
      <c r="JXD36" s="512"/>
      <c r="JXE36" s="601"/>
      <c r="JXH36" s="512"/>
      <c r="JXI36" s="601"/>
      <c r="JXL36" s="512"/>
      <c r="JXM36" s="601"/>
      <c r="JXP36" s="512"/>
      <c r="JXQ36" s="601"/>
      <c r="JXT36" s="512"/>
      <c r="JXU36" s="601"/>
      <c r="JXX36" s="512"/>
      <c r="JXY36" s="601"/>
      <c r="JYB36" s="512"/>
      <c r="JYC36" s="601"/>
      <c r="JYF36" s="512"/>
      <c r="JYG36" s="601"/>
      <c r="JYJ36" s="512"/>
      <c r="JYK36" s="601"/>
      <c r="JYN36" s="512"/>
      <c r="JYO36" s="601"/>
      <c r="JYR36" s="512"/>
      <c r="JYS36" s="601"/>
      <c r="JYV36" s="512"/>
      <c r="JYW36" s="601"/>
      <c r="JYZ36" s="512"/>
      <c r="JZA36" s="601"/>
      <c r="JZD36" s="512"/>
      <c r="JZE36" s="601"/>
      <c r="JZH36" s="512"/>
      <c r="JZI36" s="601"/>
      <c r="JZL36" s="512"/>
      <c r="JZM36" s="601"/>
      <c r="JZP36" s="512"/>
      <c r="JZQ36" s="601"/>
      <c r="JZT36" s="512"/>
      <c r="JZU36" s="601"/>
      <c r="JZX36" s="512"/>
      <c r="JZY36" s="601"/>
      <c r="KAB36" s="512"/>
      <c r="KAC36" s="601"/>
      <c r="KAF36" s="512"/>
      <c r="KAG36" s="601"/>
      <c r="KAJ36" s="512"/>
      <c r="KAK36" s="601"/>
      <c r="KAN36" s="512"/>
      <c r="KAO36" s="601"/>
      <c r="KAR36" s="512"/>
      <c r="KAS36" s="601"/>
      <c r="KAV36" s="512"/>
      <c r="KAW36" s="601"/>
      <c r="KAZ36" s="512"/>
      <c r="KBA36" s="601"/>
      <c r="KBD36" s="512"/>
      <c r="KBE36" s="601"/>
      <c r="KBH36" s="512"/>
      <c r="KBI36" s="601"/>
      <c r="KBL36" s="512"/>
      <c r="KBM36" s="601"/>
      <c r="KBP36" s="512"/>
      <c r="KBQ36" s="601"/>
      <c r="KBT36" s="512"/>
      <c r="KBU36" s="601"/>
      <c r="KBX36" s="512"/>
      <c r="KBY36" s="601"/>
      <c r="KCB36" s="512"/>
      <c r="KCC36" s="601"/>
      <c r="KCF36" s="512"/>
      <c r="KCG36" s="601"/>
      <c r="KCJ36" s="512"/>
      <c r="KCK36" s="601"/>
      <c r="KCN36" s="512"/>
      <c r="KCO36" s="601"/>
      <c r="KCR36" s="512"/>
      <c r="KCS36" s="601"/>
      <c r="KCV36" s="512"/>
      <c r="KCW36" s="601"/>
      <c r="KCZ36" s="512"/>
      <c r="KDA36" s="601"/>
      <c r="KDD36" s="512"/>
      <c r="KDE36" s="601"/>
      <c r="KDH36" s="512"/>
      <c r="KDI36" s="601"/>
      <c r="KDL36" s="512"/>
      <c r="KDM36" s="601"/>
      <c r="KDP36" s="512"/>
      <c r="KDQ36" s="601"/>
      <c r="KDT36" s="512"/>
      <c r="KDU36" s="601"/>
      <c r="KDX36" s="512"/>
      <c r="KDY36" s="601"/>
      <c r="KEB36" s="512"/>
      <c r="KEC36" s="601"/>
      <c r="KEF36" s="512"/>
      <c r="KEG36" s="601"/>
      <c r="KEJ36" s="512"/>
      <c r="KEK36" s="601"/>
      <c r="KEN36" s="512"/>
      <c r="KEO36" s="601"/>
      <c r="KER36" s="512"/>
      <c r="KES36" s="601"/>
      <c r="KEV36" s="512"/>
      <c r="KEW36" s="601"/>
      <c r="KEZ36" s="512"/>
      <c r="KFA36" s="601"/>
      <c r="KFD36" s="512"/>
      <c r="KFE36" s="601"/>
      <c r="KFH36" s="512"/>
      <c r="KFI36" s="601"/>
      <c r="KFL36" s="512"/>
      <c r="KFM36" s="601"/>
      <c r="KFP36" s="512"/>
      <c r="KFQ36" s="601"/>
      <c r="KFT36" s="512"/>
      <c r="KFU36" s="601"/>
      <c r="KFX36" s="512"/>
      <c r="KFY36" s="601"/>
      <c r="KGB36" s="512"/>
      <c r="KGC36" s="601"/>
      <c r="KGF36" s="512"/>
      <c r="KGG36" s="601"/>
      <c r="KGJ36" s="512"/>
      <c r="KGK36" s="601"/>
      <c r="KGN36" s="512"/>
      <c r="KGO36" s="601"/>
      <c r="KGR36" s="512"/>
      <c r="KGS36" s="601"/>
      <c r="KGV36" s="512"/>
      <c r="KGW36" s="601"/>
      <c r="KGZ36" s="512"/>
      <c r="KHA36" s="601"/>
      <c r="KHD36" s="512"/>
      <c r="KHE36" s="601"/>
      <c r="KHH36" s="512"/>
      <c r="KHI36" s="601"/>
      <c r="KHL36" s="512"/>
      <c r="KHM36" s="601"/>
      <c r="KHP36" s="512"/>
      <c r="KHQ36" s="601"/>
      <c r="KHT36" s="512"/>
      <c r="KHU36" s="601"/>
      <c r="KHX36" s="512"/>
      <c r="KHY36" s="601"/>
      <c r="KIB36" s="512"/>
      <c r="KIC36" s="601"/>
      <c r="KIF36" s="512"/>
      <c r="KIG36" s="601"/>
      <c r="KIJ36" s="512"/>
      <c r="KIK36" s="601"/>
      <c r="KIN36" s="512"/>
      <c r="KIO36" s="601"/>
      <c r="KIR36" s="512"/>
      <c r="KIS36" s="601"/>
      <c r="KIV36" s="512"/>
      <c r="KIW36" s="601"/>
      <c r="KIZ36" s="512"/>
      <c r="KJA36" s="601"/>
      <c r="KJD36" s="512"/>
      <c r="KJE36" s="601"/>
      <c r="KJH36" s="512"/>
      <c r="KJI36" s="601"/>
      <c r="KJL36" s="512"/>
      <c r="KJM36" s="601"/>
      <c r="KJP36" s="512"/>
      <c r="KJQ36" s="601"/>
      <c r="KJT36" s="512"/>
      <c r="KJU36" s="601"/>
      <c r="KJX36" s="512"/>
      <c r="KJY36" s="601"/>
      <c r="KKB36" s="512"/>
      <c r="KKC36" s="601"/>
      <c r="KKF36" s="512"/>
      <c r="KKG36" s="601"/>
      <c r="KKJ36" s="512"/>
      <c r="KKK36" s="601"/>
      <c r="KKN36" s="512"/>
      <c r="KKO36" s="601"/>
      <c r="KKR36" s="512"/>
      <c r="KKS36" s="601"/>
      <c r="KKV36" s="512"/>
      <c r="KKW36" s="601"/>
      <c r="KKZ36" s="512"/>
      <c r="KLA36" s="601"/>
      <c r="KLD36" s="512"/>
      <c r="KLE36" s="601"/>
      <c r="KLH36" s="512"/>
      <c r="KLI36" s="601"/>
      <c r="KLL36" s="512"/>
      <c r="KLM36" s="601"/>
      <c r="KLP36" s="512"/>
      <c r="KLQ36" s="601"/>
      <c r="KLT36" s="512"/>
      <c r="KLU36" s="601"/>
      <c r="KLX36" s="512"/>
      <c r="KLY36" s="601"/>
      <c r="KMB36" s="512"/>
      <c r="KMC36" s="601"/>
      <c r="KMF36" s="512"/>
      <c r="KMG36" s="601"/>
      <c r="KMJ36" s="512"/>
      <c r="KMK36" s="601"/>
      <c r="KMN36" s="512"/>
      <c r="KMO36" s="601"/>
      <c r="KMR36" s="512"/>
      <c r="KMS36" s="601"/>
      <c r="KMV36" s="512"/>
      <c r="KMW36" s="601"/>
      <c r="KMZ36" s="512"/>
      <c r="KNA36" s="601"/>
      <c r="KND36" s="512"/>
      <c r="KNE36" s="601"/>
      <c r="KNH36" s="512"/>
      <c r="KNI36" s="601"/>
      <c r="KNL36" s="512"/>
      <c r="KNM36" s="601"/>
      <c r="KNP36" s="512"/>
      <c r="KNQ36" s="601"/>
      <c r="KNT36" s="512"/>
      <c r="KNU36" s="601"/>
      <c r="KNX36" s="512"/>
      <c r="KNY36" s="601"/>
      <c r="KOB36" s="512"/>
      <c r="KOC36" s="601"/>
      <c r="KOF36" s="512"/>
      <c r="KOG36" s="601"/>
      <c r="KOJ36" s="512"/>
      <c r="KOK36" s="601"/>
      <c r="KON36" s="512"/>
      <c r="KOO36" s="601"/>
      <c r="KOR36" s="512"/>
      <c r="KOS36" s="601"/>
      <c r="KOV36" s="512"/>
      <c r="KOW36" s="601"/>
      <c r="KOZ36" s="512"/>
      <c r="KPA36" s="601"/>
      <c r="KPD36" s="512"/>
      <c r="KPE36" s="601"/>
      <c r="KPH36" s="512"/>
      <c r="KPI36" s="601"/>
      <c r="KPL36" s="512"/>
      <c r="KPM36" s="601"/>
      <c r="KPP36" s="512"/>
      <c r="KPQ36" s="601"/>
      <c r="KPT36" s="512"/>
      <c r="KPU36" s="601"/>
      <c r="KPX36" s="512"/>
      <c r="KPY36" s="601"/>
      <c r="KQB36" s="512"/>
      <c r="KQC36" s="601"/>
      <c r="KQF36" s="512"/>
      <c r="KQG36" s="601"/>
      <c r="KQJ36" s="512"/>
      <c r="KQK36" s="601"/>
      <c r="KQN36" s="512"/>
      <c r="KQO36" s="601"/>
      <c r="KQR36" s="512"/>
      <c r="KQS36" s="601"/>
      <c r="KQV36" s="512"/>
      <c r="KQW36" s="601"/>
      <c r="KQZ36" s="512"/>
      <c r="KRA36" s="601"/>
      <c r="KRD36" s="512"/>
      <c r="KRE36" s="601"/>
      <c r="KRH36" s="512"/>
      <c r="KRI36" s="601"/>
      <c r="KRL36" s="512"/>
      <c r="KRM36" s="601"/>
      <c r="KRP36" s="512"/>
      <c r="KRQ36" s="601"/>
      <c r="KRT36" s="512"/>
      <c r="KRU36" s="601"/>
      <c r="KRX36" s="512"/>
      <c r="KRY36" s="601"/>
      <c r="KSB36" s="512"/>
      <c r="KSC36" s="601"/>
      <c r="KSF36" s="512"/>
      <c r="KSG36" s="601"/>
      <c r="KSJ36" s="512"/>
      <c r="KSK36" s="601"/>
      <c r="KSN36" s="512"/>
      <c r="KSO36" s="601"/>
      <c r="KSR36" s="512"/>
      <c r="KSS36" s="601"/>
      <c r="KSV36" s="512"/>
      <c r="KSW36" s="601"/>
      <c r="KSZ36" s="512"/>
      <c r="KTA36" s="601"/>
      <c r="KTD36" s="512"/>
      <c r="KTE36" s="601"/>
      <c r="KTH36" s="512"/>
      <c r="KTI36" s="601"/>
      <c r="KTL36" s="512"/>
      <c r="KTM36" s="601"/>
      <c r="KTP36" s="512"/>
      <c r="KTQ36" s="601"/>
      <c r="KTT36" s="512"/>
      <c r="KTU36" s="601"/>
      <c r="KTX36" s="512"/>
      <c r="KTY36" s="601"/>
      <c r="KUB36" s="512"/>
      <c r="KUC36" s="601"/>
      <c r="KUF36" s="512"/>
      <c r="KUG36" s="601"/>
      <c r="KUJ36" s="512"/>
      <c r="KUK36" s="601"/>
      <c r="KUN36" s="512"/>
      <c r="KUO36" s="601"/>
      <c r="KUR36" s="512"/>
      <c r="KUS36" s="601"/>
      <c r="KUV36" s="512"/>
      <c r="KUW36" s="601"/>
      <c r="KUZ36" s="512"/>
      <c r="KVA36" s="601"/>
      <c r="KVD36" s="512"/>
      <c r="KVE36" s="601"/>
      <c r="KVH36" s="512"/>
      <c r="KVI36" s="601"/>
      <c r="KVL36" s="512"/>
      <c r="KVM36" s="601"/>
      <c r="KVP36" s="512"/>
      <c r="KVQ36" s="601"/>
      <c r="KVT36" s="512"/>
      <c r="KVU36" s="601"/>
      <c r="KVX36" s="512"/>
      <c r="KVY36" s="601"/>
      <c r="KWB36" s="512"/>
      <c r="KWC36" s="601"/>
      <c r="KWF36" s="512"/>
      <c r="KWG36" s="601"/>
      <c r="KWJ36" s="512"/>
      <c r="KWK36" s="601"/>
      <c r="KWN36" s="512"/>
      <c r="KWO36" s="601"/>
      <c r="KWR36" s="512"/>
      <c r="KWS36" s="601"/>
      <c r="KWV36" s="512"/>
      <c r="KWW36" s="601"/>
      <c r="KWZ36" s="512"/>
      <c r="KXA36" s="601"/>
      <c r="KXD36" s="512"/>
      <c r="KXE36" s="601"/>
      <c r="KXH36" s="512"/>
      <c r="KXI36" s="601"/>
      <c r="KXL36" s="512"/>
      <c r="KXM36" s="601"/>
      <c r="KXP36" s="512"/>
      <c r="KXQ36" s="601"/>
      <c r="KXT36" s="512"/>
      <c r="KXU36" s="601"/>
      <c r="KXX36" s="512"/>
      <c r="KXY36" s="601"/>
      <c r="KYB36" s="512"/>
      <c r="KYC36" s="601"/>
      <c r="KYF36" s="512"/>
      <c r="KYG36" s="601"/>
      <c r="KYJ36" s="512"/>
      <c r="KYK36" s="601"/>
      <c r="KYN36" s="512"/>
      <c r="KYO36" s="601"/>
      <c r="KYR36" s="512"/>
      <c r="KYS36" s="601"/>
      <c r="KYV36" s="512"/>
      <c r="KYW36" s="601"/>
      <c r="KYZ36" s="512"/>
      <c r="KZA36" s="601"/>
      <c r="KZD36" s="512"/>
      <c r="KZE36" s="601"/>
      <c r="KZH36" s="512"/>
      <c r="KZI36" s="601"/>
      <c r="KZL36" s="512"/>
      <c r="KZM36" s="601"/>
      <c r="KZP36" s="512"/>
      <c r="KZQ36" s="601"/>
      <c r="KZT36" s="512"/>
      <c r="KZU36" s="601"/>
      <c r="KZX36" s="512"/>
      <c r="KZY36" s="601"/>
      <c r="LAB36" s="512"/>
      <c r="LAC36" s="601"/>
      <c r="LAF36" s="512"/>
      <c r="LAG36" s="601"/>
      <c r="LAJ36" s="512"/>
      <c r="LAK36" s="601"/>
      <c r="LAN36" s="512"/>
      <c r="LAO36" s="601"/>
      <c r="LAR36" s="512"/>
      <c r="LAS36" s="601"/>
      <c r="LAV36" s="512"/>
      <c r="LAW36" s="601"/>
      <c r="LAZ36" s="512"/>
      <c r="LBA36" s="601"/>
      <c r="LBD36" s="512"/>
      <c r="LBE36" s="601"/>
      <c r="LBH36" s="512"/>
      <c r="LBI36" s="601"/>
      <c r="LBL36" s="512"/>
      <c r="LBM36" s="601"/>
      <c r="LBP36" s="512"/>
      <c r="LBQ36" s="601"/>
      <c r="LBT36" s="512"/>
      <c r="LBU36" s="601"/>
      <c r="LBX36" s="512"/>
      <c r="LBY36" s="601"/>
      <c r="LCB36" s="512"/>
      <c r="LCC36" s="601"/>
      <c r="LCF36" s="512"/>
      <c r="LCG36" s="601"/>
      <c r="LCJ36" s="512"/>
      <c r="LCK36" s="601"/>
      <c r="LCN36" s="512"/>
      <c r="LCO36" s="601"/>
      <c r="LCR36" s="512"/>
      <c r="LCS36" s="601"/>
      <c r="LCV36" s="512"/>
      <c r="LCW36" s="601"/>
      <c r="LCZ36" s="512"/>
      <c r="LDA36" s="601"/>
      <c r="LDD36" s="512"/>
      <c r="LDE36" s="601"/>
      <c r="LDH36" s="512"/>
      <c r="LDI36" s="601"/>
      <c r="LDL36" s="512"/>
      <c r="LDM36" s="601"/>
      <c r="LDP36" s="512"/>
      <c r="LDQ36" s="601"/>
      <c r="LDT36" s="512"/>
      <c r="LDU36" s="601"/>
      <c r="LDX36" s="512"/>
      <c r="LDY36" s="601"/>
      <c r="LEB36" s="512"/>
      <c r="LEC36" s="601"/>
      <c r="LEF36" s="512"/>
      <c r="LEG36" s="601"/>
      <c r="LEJ36" s="512"/>
      <c r="LEK36" s="601"/>
      <c r="LEN36" s="512"/>
      <c r="LEO36" s="601"/>
      <c r="LER36" s="512"/>
      <c r="LES36" s="601"/>
      <c r="LEV36" s="512"/>
      <c r="LEW36" s="601"/>
      <c r="LEZ36" s="512"/>
      <c r="LFA36" s="601"/>
      <c r="LFD36" s="512"/>
      <c r="LFE36" s="601"/>
      <c r="LFH36" s="512"/>
      <c r="LFI36" s="601"/>
      <c r="LFL36" s="512"/>
      <c r="LFM36" s="601"/>
      <c r="LFP36" s="512"/>
      <c r="LFQ36" s="601"/>
      <c r="LFT36" s="512"/>
      <c r="LFU36" s="601"/>
      <c r="LFX36" s="512"/>
      <c r="LFY36" s="601"/>
      <c r="LGB36" s="512"/>
      <c r="LGC36" s="601"/>
      <c r="LGF36" s="512"/>
      <c r="LGG36" s="601"/>
      <c r="LGJ36" s="512"/>
      <c r="LGK36" s="601"/>
      <c r="LGN36" s="512"/>
      <c r="LGO36" s="601"/>
      <c r="LGR36" s="512"/>
      <c r="LGS36" s="601"/>
      <c r="LGV36" s="512"/>
      <c r="LGW36" s="601"/>
      <c r="LGZ36" s="512"/>
      <c r="LHA36" s="601"/>
      <c r="LHD36" s="512"/>
      <c r="LHE36" s="601"/>
      <c r="LHH36" s="512"/>
      <c r="LHI36" s="601"/>
      <c r="LHL36" s="512"/>
      <c r="LHM36" s="601"/>
      <c r="LHP36" s="512"/>
      <c r="LHQ36" s="601"/>
      <c r="LHT36" s="512"/>
      <c r="LHU36" s="601"/>
      <c r="LHX36" s="512"/>
      <c r="LHY36" s="601"/>
      <c r="LIB36" s="512"/>
      <c r="LIC36" s="601"/>
      <c r="LIF36" s="512"/>
      <c r="LIG36" s="601"/>
      <c r="LIJ36" s="512"/>
      <c r="LIK36" s="601"/>
      <c r="LIN36" s="512"/>
      <c r="LIO36" s="601"/>
      <c r="LIR36" s="512"/>
      <c r="LIS36" s="601"/>
      <c r="LIV36" s="512"/>
      <c r="LIW36" s="601"/>
      <c r="LIZ36" s="512"/>
      <c r="LJA36" s="601"/>
      <c r="LJD36" s="512"/>
      <c r="LJE36" s="601"/>
      <c r="LJH36" s="512"/>
      <c r="LJI36" s="601"/>
      <c r="LJL36" s="512"/>
      <c r="LJM36" s="601"/>
      <c r="LJP36" s="512"/>
      <c r="LJQ36" s="601"/>
      <c r="LJT36" s="512"/>
      <c r="LJU36" s="601"/>
      <c r="LJX36" s="512"/>
      <c r="LJY36" s="601"/>
      <c r="LKB36" s="512"/>
      <c r="LKC36" s="601"/>
      <c r="LKF36" s="512"/>
      <c r="LKG36" s="601"/>
      <c r="LKJ36" s="512"/>
      <c r="LKK36" s="601"/>
      <c r="LKN36" s="512"/>
      <c r="LKO36" s="601"/>
      <c r="LKR36" s="512"/>
      <c r="LKS36" s="601"/>
      <c r="LKV36" s="512"/>
      <c r="LKW36" s="601"/>
      <c r="LKZ36" s="512"/>
      <c r="LLA36" s="601"/>
      <c r="LLD36" s="512"/>
      <c r="LLE36" s="601"/>
      <c r="LLH36" s="512"/>
      <c r="LLI36" s="601"/>
      <c r="LLL36" s="512"/>
      <c r="LLM36" s="601"/>
      <c r="LLP36" s="512"/>
      <c r="LLQ36" s="601"/>
      <c r="LLT36" s="512"/>
      <c r="LLU36" s="601"/>
      <c r="LLX36" s="512"/>
      <c r="LLY36" s="601"/>
      <c r="LMB36" s="512"/>
      <c r="LMC36" s="601"/>
      <c r="LMF36" s="512"/>
      <c r="LMG36" s="601"/>
      <c r="LMJ36" s="512"/>
      <c r="LMK36" s="601"/>
      <c r="LMN36" s="512"/>
      <c r="LMO36" s="601"/>
      <c r="LMR36" s="512"/>
      <c r="LMS36" s="601"/>
      <c r="LMV36" s="512"/>
      <c r="LMW36" s="601"/>
      <c r="LMZ36" s="512"/>
      <c r="LNA36" s="601"/>
      <c r="LND36" s="512"/>
      <c r="LNE36" s="601"/>
      <c r="LNH36" s="512"/>
      <c r="LNI36" s="601"/>
      <c r="LNL36" s="512"/>
      <c r="LNM36" s="601"/>
      <c r="LNP36" s="512"/>
      <c r="LNQ36" s="601"/>
      <c r="LNT36" s="512"/>
      <c r="LNU36" s="601"/>
      <c r="LNX36" s="512"/>
      <c r="LNY36" s="601"/>
      <c r="LOB36" s="512"/>
      <c r="LOC36" s="601"/>
      <c r="LOF36" s="512"/>
      <c r="LOG36" s="601"/>
      <c r="LOJ36" s="512"/>
      <c r="LOK36" s="601"/>
      <c r="LON36" s="512"/>
      <c r="LOO36" s="601"/>
      <c r="LOR36" s="512"/>
      <c r="LOS36" s="601"/>
      <c r="LOV36" s="512"/>
      <c r="LOW36" s="601"/>
      <c r="LOZ36" s="512"/>
      <c r="LPA36" s="601"/>
      <c r="LPD36" s="512"/>
      <c r="LPE36" s="601"/>
      <c r="LPH36" s="512"/>
      <c r="LPI36" s="601"/>
      <c r="LPL36" s="512"/>
      <c r="LPM36" s="601"/>
      <c r="LPP36" s="512"/>
      <c r="LPQ36" s="601"/>
      <c r="LPT36" s="512"/>
      <c r="LPU36" s="601"/>
      <c r="LPX36" s="512"/>
      <c r="LPY36" s="601"/>
      <c r="LQB36" s="512"/>
      <c r="LQC36" s="601"/>
      <c r="LQF36" s="512"/>
      <c r="LQG36" s="601"/>
      <c r="LQJ36" s="512"/>
      <c r="LQK36" s="601"/>
      <c r="LQN36" s="512"/>
      <c r="LQO36" s="601"/>
      <c r="LQR36" s="512"/>
      <c r="LQS36" s="601"/>
      <c r="LQV36" s="512"/>
      <c r="LQW36" s="601"/>
      <c r="LQZ36" s="512"/>
      <c r="LRA36" s="601"/>
      <c r="LRD36" s="512"/>
      <c r="LRE36" s="601"/>
      <c r="LRH36" s="512"/>
      <c r="LRI36" s="601"/>
      <c r="LRL36" s="512"/>
      <c r="LRM36" s="601"/>
      <c r="LRP36" s="512"/>
      <c r="LRQ36" s="601"/>
      <c r="LRT36" s="512"/>
      <c r="LRU36" s="601"/>
      <c r="LRX36" s="512"/>
      <c r="LRY36" s="601"/>
      <c r="LSB36" s="512"/>
      <c r="LSC36" s="601"/>
      <c r="LSF36" s="512"/>
      <c r="LSG36" s="601"/>
      <c r="LSJ36" s="512"/>
      <c r="LSK36" s="601"/>
      <c r="LSN36" s="512"/>
      <c r="LSO36" s="601"/>
      <c r="LSR36" s="512"/>
      <c r="LSS36" s="601"/>
      <c r="LSV36" s="512"/>
      <c r="LSW36" s="601"/>
      <c r="LSZ36" s="512"/>
      <c r="LTA36" s="601"/>
      <c r="LTD36" s="512"/>
      <c r="LTE36" s="601"/>
      <c r="LTH36" s="512"/>
      <c r="LTI36" s="601"/>
      <c r="LTL36" s="512"/>
      <c r="LTM36" s="601"/>
      <c r="LTP36" s="512"/>
      <c r="LTQ36" s="601"/>
      <c r="LTT36" s="512"/>
      <c r="LTU36" s="601"/>
      <c r="LTX36" s="512"/>
      <c r="LTY36" s="601"/>
      <c r="LUB36" s="512"/>
      <c r="LUC36" s="601"/>
      <c r="LUF36" s="512"/>
      <c r="LUG36" s="601"/>
      <c r="LUJ36" s="512"/>
      <c r="LUK36" s="601"/>
      <c r="LUN36" s="512"/>
      <c r="LUO36" s="601"/>
      <c r="LUR36" s="512"/>
      <c r="LUS36" s="601"/>
      <c r="LUV36" s="512"/>
      <c r="LUW36" s="601"/>
      <c r="LUZ36" s="512"/>
      <c r="LVA36" s="601"/>
      <c r="LVD36" s="512"/>
      <c r="LVE36" s="601"/>
      <c r="LVH36" s="512"/>
      <c r="LVI36" s="601"/>
      <c r="LVL36" s="512"/>
      <c r="LVM36" s="601"/>
      <c r="LVP36" s="512"/>
      <c r="LVQ36" s="601"/>
      <c r="LVT36" s="512"/>
      <c r="LVU36" s="601"/>
      <c r="LVX36" s="512"/>
      <c r="LVY36" s="601"/>
      <c r="LWB36" s="512"/>
      <c r="LWC36" s="601"/>
      <c r="LWF36" s="512"/>
      <c r="LWG36" s="601"/>
      <c r="LWJ36" s="512"/>
      <c r="LWK36" s="601"/>
      <c r="LWN36" s="512"/>
      <c r="LWO36" s="601"/>
      <c r="LWR36" s="512"/>
      <c r="LWS36" s="601"/>
      <c r="LWV36" s="512"/>
      <c r="LWW36" s="601"/>
      <c r="LWZ36" s="512"/>
      <c r="LXA36" s="601"/>
      <c r="LXD36" s="512"/>
      <c r="LXE36" s="601"/>
      <c r="LXH36" s="512"/>
      <c r="LXI36" s="601"/>
      <c r="LXL36" s="512"/>
      <c r="LXM36" s="601"/>
      <c r="LXP36" s="512"/>
      <c r="LXQ36" s="601"/>
      <c r="LXT36" s="512"/>
      <c r="LXU36" s="601"/>
      <c r="LXX36" s="512"/>
      <c r="LXY36" s="601"/>
      <c r="LYB36" s="512"/>
      <c r="LYC36" s="601"/>
      <c r="LYF36" s="512"/>
      <c r="LYG36" s="601"/>
      <c r="LYJ36" s="512"/>
      <c r="LYK36" s="601"/>
      <c r="LYN36" s="512"/>
      <c r="LYO36" s="601"/>
      <c r="LYR36" s="512"/>
      <c r="LYS36" s="601"/>
      <c r="LYV36" s="512"/>
      <c r="LYW36" s="601"/>
      <c r="LYZ36" s="512"/>
      <c r="LZA36" s="601"/>
      <c r="LZD36" s="512"/>
      <c r="LZE36" s="601"/>
      <c r="LZH36" s="512"/>
      <c r="LZI36" s="601"/>
      <c r="LZL36" s="512"/>
      <c r="LZM36" s="601"/>
      <c r="LZP36" s="512"/>
      <c r="LZQ36" s="601"/>
      <c r="LZT36" s="512"/>
      <c r="LZU36" s="601"/>
      <c r="LZX36" s="512"/>
      <c r="LZY36" s="601"/>
      <c r="MAB36" s="512"/>
      <c r="MAC36" s="601"/>
      <c r="MAF36" s="512"/>
      <c r="MAG36" s="601"/>
      <c r="MAJ36" s="512"/>
      <c r="MAK36" s="601"/>
      <c r="MAN36" s="512"/>
      <c r="MAO36" s="601"/>
      <c r="MAR36" s="512"/>
      <c r="MAS36" s="601"/>
      <c r="MAV36" s="512"/>
      <c r="MAW36" s="601"/>
      <c r="MAZ36" s="512"/>
      <c r="MBA36" s="601"/>
      <c r="MBD36" s="512"/>
      <c r="MBE36" s="601"/>
      <c r="MBH36" s="512"/>
      <c r="MBI36" s="601"/>
      <c r="MBL36" s="512"/>
      <c r="MBM36" s="601"/>
      <c r="MBP36" s="512"/>
      <c r="MBQ36" s="601"/>
      <c r="MBT36" s="512"/>
      <c r="MBU36" s="601"/>
      <c r="MBX36" s="512"/>
      <c r="MBY36" s="601"/>
      <c r="MCB36" s="512"/>
      <c r="MCC36" s="601"/>
      <c r="MCF36" s="512"/>
      <c r="MCG36" s="601"/>
      <c r="MCJ36" s="512"/>
      <c r="MCK36" s="601"/>
      <c r="MCN36" s="512"/>
      <c r="MCO36" s="601"/>
      <c r="MCR36" s="512"/>
      <c r="MCS36" s="601"/>
      <c r="MCV36" s="512"/>
      <c r="MCW36" s="601"/>
      <c r="MCZ36" s="512"/>
      <c r="MDA36" s="601"/>
      <c r="MDD36" s="512"/>
      <c r="MDE36" s="601"/>
      <c r="MDH36" s="512"/>
      <c r="MDI36" s="601"/>
      <c r="MDL36" s="512"/>
      <c r="MDM36" s="601"/>
      <c r="MDP36" s="512"/>
      <c r="MDQ36" s="601"/>
      <c r="MDT36" s="512"/>
      <c r="MDU36" s="601"/>
      <c r="MDX36" s="512"/>
      <c r="MDY36" s="601"/>
      <c r="MEB36" s="512"/>
      <c r="MEC36" s="601"/>
      <c r="MEF36" s="512"/>
      <c r="MEG36" s="601"/>
      <c r="MEJ36" s="512"/>
      <c r="MEK36" s="601"/>
      <c r="MEN36" s="512"/>
      <c r="MEO36" s="601"/>
      <c r="MER36" s="512"/>
      <c r="MES36" s="601"/>
      <c r="MEV36" s="512"/>
      <c r="MEW36" s="601"/>
      <c r="MEZ36" s="512"/>
      <c r="MFA36" s="601"/>
      <c r="MFD36" s="512"/>
      <c r="MFE36" s="601"/>
      <c r="MFH36" s="512"/>
      <c r="MFI36" s="601"/>
      <c r="MFL36" s="512"/>
      <c r="MFM36" s="601"/>
      <c r="MFP36" s="512"/>
      <c r="MFQ36" s="601"/>
      <c r="MFT36" s="512"/>
      <c r="MFU36" s="601"/>
      <c r="MFX36" s="512"/>
      <c r="MFY36" s="601"/>
      <c r="MGB36" s="512"/>
      <c r="MGC36" s="601"/>
      <c r="MGF36" s="512"/>
      <c r="MGG36" s="601"/>
      <c r="MGJ36" s="512"/>
      <c r="MGK36" s="601"/>
      <c r="MGN36" s="512"/>
      <c r="MGO36" s="601"/>
      <c r="MGR36" s="512"/>
      <c r="MGS36" s="601"/>
      <c r="MGV36" s="512"/>
      <c r="MGW36" s="601"/>
      <c r="MGZ36" s="512"/>
      <c r="MHA36" s="601"/>
      <c r="MHD36" s="512"/>
      <c r="MHE36" s="601"/>
      <c r="MHH36" s="512"/>
      <c r="MHI36" s="601"/>
      <c r="MHL36" s="512"/>
      <c r="MHM36" s="601"/>
      <c r="MHP36" s="512"/>
      <c r="MHQ36" s="601"/>
      <c r="MHT36" s="512"/>
      <c r="MHU36" s="601"/>
      <c r="MHX36" s="512"/>
      <c r="MHY36" s="601"/>
      <c r="MIB36" s="512"/>
      <c r="MIC36" s="601"/>
      <c r="MIF36" s="512"/>
      <c r="MIG36" s="601"/>
      <c r="MIJ36" s="512"/>
      <c r="MIK36" s="601"/>
      <c r="MIN36" s="512"/>
      <c r="MIO36" s="601"/>
      <c r="MIR36" s="512"/>
      <c r="MIS36" s="601"/>
      <c r="MIV36" s="512"/>
      <c r="MIW36" s="601"/>
      <c r="MIZ36" s="512"/>
      <c r="MJA36" s="601"/>
      <c r="MJD36" s="512"/>
      <c r="MJE36" s="601"/>
      <c r="MJH36" s="512"/>
      <c r="MJI36" s="601"/>
      <c r="MJL36" s="512"/>
      <c r="MJM36" s="601"/>
      <c r="MJP36" s="512"/>
      <c r="MJQ36" s="601"/>
      <c r="MJT36" s="512"/>
      <c r="MJU36" s="601"/>
      <c r="MJX36" s="512"/>
      <c r="MJY36" s="601"/>
      <c r="MKB36" s="512"/>
      <c r="MKC36" s="601"/>
      <c r="MKF36" s="512"/>
      <c r="MKG36" s="601"/>
      <c r="MKJ36" s="512"/>
      <c r="MKK36" s="601"/>
      <c r="MKN36" s="512"/>
      <c r="MKO36" s="601"/>
      <c r="MKR36" s="512"/>
      <c r="MKS36" s="601"/>
      <c r="MKV36" s="512"/>
      <c r="MKW36" s="601"/>
      <c r="MKZ36" s="512"/>
      <c r="MLA36" s="601"/>
      <c r="MLD36" s="512"/>
      <c r="MLE36" s="601"/>
      <c r="MLH36" s="512"/>
      <c r="MLI36" s="601"/>
      <c r="MLL36" s="512"/>
      <c r="MLM36" s="601"/>
      <c r="MLP36" s="512"/>
      <c r="MLQ36" s="601"/>
      <c r="MLT36" s="512"/>
      <c r="MLU36" s="601"/>
      <c r="MLX36" s="512"/>
      <c r="MLY36" s="601"/>
      <c r="MMB36" s="512"/>
      <c r="MMC36" s="601"/>
      <c r="MMF36" s="512"/>
      <c r="MMG36" s="601"/>
      <c r="MMJ36" s="512"/>
      <c r="MMK36" s="601"/>
      <c r="MMN36" s="512"/>
      <c r="MMO36" s="601"/>
      <c r="MMR36" s="512"/>
      <c r="MMS36" s="601"/>
      <c r="MMV36" s="512"/>
      <c r="MMW36" s="601"/>
      <c r="MMZ36" s="512"/>
      <c r="MNA36" s="601"/>
      <c r="MND36" s="512"/>
      <c r="MNE36" s="601"/>
      <c r="MNH36" s="512"/>
      <c r="MNI36" s="601"/>
      <c r="MNL36" s="512"/>
      <c r="MNM36" s="601"/>
      <c r="MNP36" s="512"/>
      <c r="MNQ36" s="601"/>
      <c r="MNT36" s="512"/>
      <c r="MNU36" s="601"/>
      <c r="MNX36" s="512"/>
      <c r="MNY36" s="601"/>
      <c r="MOB36" s="512"/>
      <c r="MOC36" s="601"/>
      <c r="MOF36" s="512"/>
      <c r="MOG36" s="601"/>
      <c r="MOJ36" s="512"/>
      <c r="MOK36" s="601"/>
      <c r="MON36" s="512"/>
      <c r="MOO36" s="601"/>
      <c r="MOR36" s="512"/>
      <c r="MOS36" s="601"/>
      <c r="MOV36" s="512"/>
      <c r="MOW36" s="601"/>
      <c r="MOZ36" s="512"/>
      <c r="MPA36" s="601"/>
      <c r="MPD36" s="512"/>
      <c r="MPE36" s="601"/>
      <c r="MPH36" s="512"/>
      <c r="MPI36" s="601"/>
      <c r="MPL36" s="512"/>
      <c r="MPM36" s="601"/>
      <c r="MPP36" s="512"/>
      <c r="MPQ36" s="601"/>
      <c r="MPT36" s="512"/>
      <c r="MPU36" s="601"/>
      <c r="MPX36" s="512"/>
      <c r="MPY36" s="601"/>
      <c r="MQB36" s="512"/>
      <c r="MQC36" s="601"/>
      <c r="MQF36" s="512"/>
      <c r="MQG36" s="601"/>
      <c r="MQJ36" s="512"/>
      <c r="MQK36" s="601"/>
      <c r="MQN36" s="512"/>
      <c r="MQO36" s="601"/>
      <c r="MQR36" s="512"/>
      <c r="MQS36" s="601"/>
      <c r="MQV36" s="512"/>
      <c r="MQW36" s="601"/>
      <c r="MQZ36" s="512"/>
      <c r="MRA36" s="601"/>
      <c r="MRD36" s="512"/>
      <c r="MRE36" s="601"/>
      <c r="MRH36" s="512"/>
      <c r="MRI36" s="601"/>
      <c r="MRL36" s="512"/>
      <c r="MRM36" s="601"/>
      <c r="MRP36" s="512"/>
      <c r="MRQ36" s="601"/>
      <c r="MRT36" s="512"/>
      <c r="MRU36" s="601"/>
      <c r="MRX36" s="512"/>
      <c r="MRY36" s="601"/>
      <c r="MSB36" s="512"/>
      <c r="MSC36" s="601"/>
      <c r="MSF36" s="512"/>
      <c r="MSG36" s="601"/>
      <c r="MSJ36" s="512"/>
      <c r="MSK36" s="601"/>
      <c r="MSN36" s="512"/>
      <c r="MSO36" s="601"/>
      <c r="MSR36" s="512"/>
      <c r="MSS36" s="601"/>
      <c r="MSV36" s="512"/>
      <c r="MSW36" s="601"/>
      <c r="MSZ36" s="512"/>
      <c r="MTA36" s="601"/>
      <c r="MTD36" s="512"/>
      <c r="MTE36" s="601"/>
      <c r="MTH36" s="512"/>
      <c r="MTI36" s="601"/>
      <c r="MTL36" s="512"/>
      <c r="MTM36" s="601"/>
      <c r="MTP36" s="512"/>
      <c r="MTQ36" s="601"/>
      <c r="MTT36" s="512"/>
      <c r="MTU36" s="601"/>
      <c r="MTX36" s="512"/>
      <c r="MTY36" s="601"/>
      <c r="MUB36" s="512"/>
      <c r="MUC36" s="601"/>
      <c r="MUF36" s="512"/>
      <c r="MUG36" s="601"/>
      <c r="MUJ36" s="512"/>
      <c r="MUK36" s="601"/>
      <c r="MUN36" s="512"/>
      <c r="MUO36" s="601"/>
      <c r="MUR36" s="512"/>
      <c r="MUS36" s="601"/>
      <c r="MUV36" s="512"/>
      <c r="MUW36" s="601"/>
      <c r="MUZ36" s="512"/>
      <c r="MVA36" s="601"/>
      <c r="MVD36" s="512"/>
      <c r="MVE36" s="601"/>
      <c r="MVH36" s="512"/>
      <c r="MVI36" s="601"/>
      <c r="MVL36" s="512"/>
      <c r="MVM36" s="601"/>
      <c r="MVP36" s="512"/>
      <c r="MVQ36" s="601"/>
      <c r="MVT36" s="512"/>
      <c r="MVU36" s="601"/>
      <c r="MVX36" s="512"/>
      <c r="MVY36" s="601"/>
      <c r="MWB36" s="512"/>
      <c r="MWC36" s="601"/>
      <c r="MWF36" s="512"/>
      <c r="MWG36" s="601"/>
      <c r="MWJ36" s="512"/>
      <c r="MWK36" s="601"/>
      <c r="MWN36" s="512"/>
      <c r="MWO36" s="601"/>
      <c r="MWR36" s="512"/>
      <c r="MWS36" s="601"/>
      <c r="MWV36" s="512"/>
      <c r="MWW36" s="601"/>
      <c r="MWZ36" s="512"/>
      <c r="MXA36" s="601"/>
      <c r="MXD36" s="512"/>
      <c r="MXE36" s="601"/>
      <c r="MXH36" s="512"/>
      <c r="MXI36" s="601"/>
      <c r="MXL36" s="512"/>
      <c r="MXM36" s="601"/>
      <c r="MXP36" s="512"/>
      <c r="MXQ36" s="601"/>
      <c r="MXT36" s="512"/>
      <c r="MXU36" s="601"/>
      <c r="MXX36" s="512"/>
      <c r="MXY36" s="601"/>
      <c r="MYB36" s="512"/>
      <c r="MYC36" s="601"/>
      <c r="MYF36" s="512"/>
      <c r="MYG36" s="601"/>
      <c r="MYJ36" s="512"/>
      <c r="MYK36" s="601"/>
      <c r="MYN36" s="512"/>
      <c r="MYO36" s="601"/>
      <c r="MYR36" s="512"/>
      <c r="MYS36" s="601"/>
      <c r="MYV36" s="512"/>
      <c r="MYW36" s="601"/>
      <c r="MYZ36" s="512"/>
      <c r="MZA36" s="601"/>
      <c r="MZD36" s="512"/>
      <c r="MZE36" s="601"/>
      <c r="MZH36" s="512"/>
      <c r="MZI36" s="601"/>
      <c r="MZL36" s="512"/>
      <c r="MZM36" s="601"/>
      <c r="MZP36" s="512"/>
      <c r="MZQ36" s="601"/>
      <c r="MZT36" s="512"/>
      <c r="MZU36" s="601"/>
      <c r="MZX36" s="512"/>
      <c r="MZY36" s="601"/>
      <c r="NAB36" s="512"/>
      <c r="NAC36" s="601"/>
      <c r="NAF36" s="512"/>
      <c r="NAG36" s="601"/>
      <c r="NAJ36" s="512"/>
      <c r="NAK36" s="601"/>
      <c r="NAN36" s="512"/>
      <c r="NAO36" s="601"/>
      <c r="NAR36" s="512"/>
      <c r="NAS36" s="601"/>
      <c r="NAV36" s="512"/>
      <c r="NAW36" s="601"/>
      <c r="NAZ36" s="512"/>
      <c r="NBA36" s="601"/>
      <c r="NBD36" s="512"/>
      <c r="NBE36" s="601"/>
      <c r="NBH36" s="512"/>
      <c r="NBI36" s="601"/>
      <c r="NBL36" s="512"/>
      <c r="NBM36" s="601"/>
      <c r="NBP36" s="512"/>
      <c r="NBQ36" s="601"/>
      <c r="NBT36" s="512"/>
      <c r="NBU36" s="601"/>
      <c r="NBX36" s="512"/>
      <c r="NBY36" s="601"/>
      <c r="NCB36" s="512"/>
      <c r="NCC36" s="601"/>
      <c r="NCF36" s="512"/>
      <c r="NCG36" s="601"/>
      <c r="NCJ36" s="512"/>
      <c r="NCK36" s="601"/>
      <c r="NCN36" s="512"/>
      <c r="NCO36" s="601"/>
      <c r="NCR36" s="512"/>
      <c r="NCS36" s="601"/>
      <c r="NCV36" s="512"/>
      <c r="NCW36" s="601"/>
      <c r="NCZ36" s="512"/>
      <c r="NDA36" s="601"/>
      <c r="NDD36" s="512"/>
      <c r="NDE36" s="601"/>
      <c r="NDH36" s="512"/>
      <c r="NDI36" s="601"/>
      <c r="NDL36" s="512"/>
      <c r="NDM36" s="601"/>
      <c r="NDP36" s="512"/>
      <c r="NDQ36" s="601"/>
      <c r="NDT36" s="512"/>
      <c r="NDU36" s="601"/>
      <c r="NDX36" s="512"/>
      <c r="NDY36" s="601"/>
      <c r="NEB36" s="512"/>
      <c r="NEC36" s="601"/>
      <c r="NEF36" s="512"/>
      <c r="NEG36" s="601"/>
      <c r="NEJ36" s="512"/>
      <c r="NEK36" s="601"/>
      <c r="NEN36" s="512"/>
      <c r="NEO36" s="601"/>
      <c r="NER36" s="512"/>
      <c r="NES36" s="601"/>
      <c r="NEV36" s="512"/>
      <c r="NEW36" s="601"/>
      <c r="NEZ36" s="512"/>
      <c r="NFA36" s="601"/>
      <c r="NFD36" s="512"/>
      <c r="NFE36" s="601"/>
      <c r="NFH36" s="512"/>
      <c r="NFI36" s="601"/>
      <c r="NFL36" s="512"/>
      <c r="NFM36" s="601"/>
      <c r="NFP36" s="512"/>
      <c r="NFQ36" s="601"/>
      <c r="NFT36" s="512"/>
      <c r="NFU36" s="601"/>
      <c r="NFX36" s="512"/>
      <c r="NFY36" s="601"/>
      <c r="NGB36" s="512"/>
      <c r="NGC36" s="601"/>
      <c r="NGF36" s="512"/>
      <c r="NGG36" s="601"/>
      <c r="NGJ36" s="512"/>
      <c r="NGK36" s="601"/>
      <c r="NGN36" s="512"/>
      <c r="NGO36" s="601"/>
      <c r="NGR36" s="512"/>
      <c r="NGS36" s="601"/>
      <c r="NGV36" s="512"/>
      <c r="NGW36" s="601"/>
      <c r="NGZ36" s="512"/>
      <c r="NHA36" s="601"/>
      <c r="NHD36" s="512"/>
      <c r="NHE36" s="601"/>
      <c r="NHH36" s="512"/>
      <c r="NHI36" s="601"/>
      <c r="NHL36" s="512"/>
      <c r="NHM36" s="601"/>
      <c r="NHP36" s="512"/>
      <c r="NHQ36" s="601"/>
      <c r="NHT36" s="512"/>
      <c r="NHU36" s="601"/>
      <c r="NHX36" s="512"/>
      <c r="NHY36" s="601"/>
      <c r="NIB36" s="512"/>
      <c r="NIC36" s="601"/>
      <c r="NIF36" s="512"/>
      <c r="NIG36" s="601"/>
      <c r="NIJ36" s="512"/>
      <c r="NIK36" s="601"/>
      <c r="NIN36" s="512"/>
      <c r="NIO36" s="601"/>
      <c r="NIR36" s="512"/>
      <c r="NIS36" s="601"/>
      <c r="NIV36" s="512"/>
      <c r="NIW36" s="601"/>
      <c r="NIZ36" s="512"/>
      <c r="NJA36" s="601"/>
      <c r="NJD36" s="512"/>
      <c r="NJE36" s="601"/>
      <c r="NJH36" s="512"/>
      <c r="NJI36" s="601"/>
      <c r="NJL36" s="512"/>
      <c r="NJM36" s="601"/>
      <c r="NJP36" s="512"/>
      <c r="NJQ36" s="601"/>
      <c r="NJT36" s="512"/>
      <c r="NJU36" s="601"/>
      <c r="NJX36" s="512"/>
      <c r="NJY36" s="601"/>
      <c r="NKB36" s="512"/>
      <c r="NKC36" s="601"/>
      <c r="NKF36" s="512"/>
      <c r="NKG36" s="601"/>
      <c r="NKJ36" s="512"/>
      <c r="NKK36" s="601"/>
      <c r="NKN36" s="512"/>
      <c r="NKO36" s="601"/>
      <c r="NKR36" s="512"/>
      <c r="NKS36" s="601"/>
      <c r="NKV36" s="512"/>
      <c r="NKW36" s="601"/>
      <c r="NKZ36" s="512"/>
      <c r="NLA36" s="601"/>
      <c r="NLD36" s="512"/>
      <c r="NLE36" s="601"/>
      <c r="NLH36" s="512"/>
      <c r="NLI36" s="601"/>
      <c r="NLL36" s="512"/>
      <c r="NLM36" s="601"/>
      <c r="NLP36" s="512"/>
      <c r="NLQ36" s="601"/>
      <c r="NLT36" s="512"/>
      <c r="NLU36" s="601"/>
      <c r="NLX36" s="512"/>
      <c r="NLY36" s="601"/>
      <c r="NMB36" s="512"/>
      <c r="NMC36" s="601"/>
      <c r="NMF36" s="512"/>
      <c r="NMG36" s="601"/>
      <c r="NMJ36" s="512"/>
      <c r="NMK36" s="601"/>
      <c r="NMN36" s="512"/>
      <c r="NMO36" s="601"/>
      <c r="NMR36" s="512"/>
      <c r="NMS36" s="601"/>
      <c r="NMV36" s="512"/>
      <c r="NMW36" s="601"/>
      <c r="NMZ36" s="512"/>
      <c r="NNA36" s="601"/>
      <c r="NND36" s="512"/>
      <c r="NNE36" s="601"/>
      <c r="NNH36" s="512"/>
      <c r="NNI36" s="601"/>
      <c r="NNL36" s="512"/>
      <c r="NNM36" s="601"/>
      <c r="NNP36" s="512"/>
      <c r="NNQ36" s="601"/>
      <c r="NNT36" s="512"/>
      <c r="NNU36" s="601"/>
      <c r="NNX36" s="512"/>
      <c r="NNY36" s="601"/>
      <c r="NOB36" s="512"/>
      <c r="NOC36" s="601"/>
      <c r="NOF36" s="512"/>
      <c r="NOG36" s="601"/>
      <c r="NOJ36" s="512"/>
      <c r="NOK36" s="601"/>
      <c r="NON36" s="512"/>
      <c r="NOO36" s="601"/>
      <c r="NOR36" s="512"/>
      <c r="NOS36" s="601"/>
      <c r="NOV36" s="512"/>
      <c r="NOW36" s="601"/>
      <c r="NOZ36" s="512"/>
      <c r="NPA36" s="601"/>
      <c r="NPD36" s="512"/>
      <c r="NPE36" s="601"/>
      <c r="NPH36" s="512"/>
      <c r="NPI36" s="601"/>
      <c r="NPL36" s="512"/>
      <c r="NPM36" s="601"/>
      <c r="NPP36" s="512"/>
      <c r="NPQ36" s="601"/>
      <c r="NPT36" s="512"/>
      <c r="NPU36" s="601"/>
      <c r="NPX36" s="512"/>
      <c r="NPY36" s="601"/>
      <c r="NQB36" s="512"/>
      <c r="NQC36" s="601"/>
      <c r="NQF36" s="512"/>
      <c r="NQG36" s="601"/>
      <c r="NQJ36" s="512"/>
      <c r="NQK36" s="601"/>
      <c r="NQN36" s="512"/>
      <c r="NQO36" s="601"/>
      <c r="NQR36" s="512"/>
      <c r="NQS36" s="601"/>
      <c r="NQV36" s="512"/>
      <c r="NQW36" s="601"/>
      <c r="NQZ36" s="512"/>
      <c r="NRA36" s="601"/>
      <c r="NRD36" s="512"/>
      <c r="NRE36" s="601"/>
      <c r="NRH36" s="512"/>
      <c r="NRI36" s="601"/>
      <c r="NRL36" s="512"/>
      <c r="NRM36" s="601"/>
      <c r="NRP36" s="512"/>
      <c r="NRQ36" s="601"/>
      <c r="NRT36" s="512"/>
      <c r="NRU36" s="601"/>
      <c r="NRX36" s="512"/>
      <c r="NRY36" s="601"/>
      <c r="NSB36" s="512"/>
      <c r="NSC36" s="601"/>
      <c r="NSF36" s="512"/>
      <c r="NSG36" s="601"/>
      <c r="NSJ36" s="512"/>
      <c r="NSK36" s="601"/>
      <c r="NSN36" s="512"/>
      <c r="NSO36" s="601"/>
      <c r="NSR36" s="512"/>
      <c r="NSS36" s="601"/>
      <c r="NSV36" s="512"/>
      <c r="NSW36" s="601"/>
      <c r="NSZ36" s="512"/>
      <c r="NTA36" s="601"/>
      <c r="NTD36" s="512"/>
      <c r="NTE36" s="601"/>
      <c r="NTH36" s="512"/>
      <c r="NTI36" s="601"/>
      <c r="NTL36" s="512"/>
      <c r="NTM36" s="601"/>
      <c r="NTP36" s="512"/>
      <c r="NTQ36" s="601"/>
      <c r="NTT36" s="512"/>
      <c r="NTU36" s="601"/>
      <c r="NTX36" s="512"/>
      <c r="NTY36" s="601"/>
      <c r="NUB36" s="512"/>
      <c r="NUC36" s="601"/>
      <c r="NUF36" s="512"/>
      <c r="NUG36" s="601"/>
      <c r="NUJ36" s="512"/>
      <c r="NUK36" s="601"/>
      <c r="NUN36" s="512"/>
      <c r="NUO36" s="601"/>
      <c r="NUR36" s="512"/>
      <c r="NUS36" s="601"/>
      <c r="NUV36" s="512"/>
      <c r="NUW36" s="601"/>
      <c r="NUZ36" s="512"/>
      <c r="NVA36" s="601"/>
      <c r="NVD36" s="512"/>
      <c r="NVE36" s="601"/>
      <c r="NVH36" s="512"/>
      <c r="NVI36" s="601"/>
      <c r="NVL36" s="512"/>
      <c r="NVM36" s="601"/>
      <c r="NVP36" s="512"/>
      <c r="NVQ36" s="601"/>
      <c r="NVT36" s="512"/>
      <c r="NVU36" s="601"/>
      <c r="NVX36" s="512"/>
      <c r="NVY36" s="601"/>
      <c r="NWB36" s="512"/>
      <c r="NWC36" s="601"/>
      <c r="NWF36" s="512"/>
      <c r="NWG36" s="601"/>
      <c r="NWJ36" s="512"/>
      <c r="NWK36" s="601"/>
      <c r="NWN36" s="512"/>
      <c r="NWO36" s="601"/>
      <c r="NWR36" s="512"/>
      <c r="NWS36" s="601"/>
      <c r="NWV36" s="512"/>
      <c r="NWW36" s="601"/>
      <c r="NWZ36" s="512"/>
      <c r="NXA36" s="601"/>
      <c r="NXD36" s="512"/>
      <c r="NXE36" s="601"/>
      <c r="NXH36" s="512"/>
      <c r="NXI36" s="601"/>
      <c r="NXL36" s="512"/>
      <c r="NXM36" s="601"/>
      <c r="NXP36" s="512"/>
      <c r="NXQ36" s="601"/>
      <c r="NXT36" s="512"/>
      <c r="NXU36" s="601"/>
      <c r="NXX36" s="512"/>
      <c r="NXY36" s="601"/>
      <c r="NYB36" s="512"/>
      <c r="NYC36" s="601"/>
      <c r="NYF36" s="512"/>
      <c r="NYG36" s="601"/>
      <c r="NYJ36" s="512"/>
      <c r="NYK36" s="601"/>
      <c r="NYN36" s="512"/>
      <c r="NYO36" s="601"/>
      <c r="NYR36" s="512"/>
      <c r="NYS36" s="601"/>
      <c r="NYV36" s="512"/>
      <c r="NYW36" s="601"/>
      <c r="NYZ36" s="512"/>
      <c r="NZA36" s="601"/>
      <c r="NZD36" s="512"/>
      <c r="NZE36" s="601"/>
      <c r="NZH36" s="512"/>
      <c r="NZI36" s="601"/>
      <c r="NZL36" s="512"/>
      <c r="NZM36" s="601"/>
      <c r="NZP36" s="512"/>
      <c r="NZQ36" s="601"/>
      <c r="NZT36" s="512"/>
      <c r="NZU36" s="601"/>
      <c r="NZX36" s="512"/>
      <c r="NZY36" s="601"/>
      <c r="OAB36" s="512"/>
      <c r="OAC36" s="601"/>
      <c r="OAF36" s="512"/>
      <c r="OAG36" s="601"/>
      <c r="OAJ36" s="512"/>
      <c r="OAK36" s="601"/>
      <c r="OAN36" s="512"/>
      <c r="OAO36" s="601"/>
      <c r="OAR36" s="512"/>
      <c r="OAS36" s="601"/>
      <c r="OAV36" s="512"/>
      <c r="OAW36" s="601"/>
      <c r="OAZ36" s="512"/>
      <c r="OBA36" s="601"/>
      <c r="OBD36" s="512"/>
      <c r="OBE36" s="601"/>
      <c r="OBH36" s="512"/>
      <c r="OBI36" s="601"/>
      <c r="OBL36" s="512"/>
      <c r="OBM36" s="601"/>
      <c r="OBP36" s="512"/>
      <c r="OBQ36" s="601"/>
      <c r="OBT36" s="512"/>
      <c r="OBU36" s="601"/>
      <c r="OBX36" s="512"/>
      <c r="OBY36" s="601"/>
      <c r="OCB36" s="512"/>
      <c r="OCC36" s="601"/>
      <c r="OCF36" s="512"/>
      <c r="OCG36" s="601"/>
      <c r="OCJ36" s="512"/>
      <c r="OCK36" s="601"/>
      <c r="OCN36" s="512"/>
      <c r="OCO36" s="601"/>
      <c r="OCR36" s="512"/>
      <c r="OCS36" s="601"/>
      <c r="OCV36" s="512"/>
      <c r="OCW36" s="601"/>
      <c r="OCZ36" s="512"/>
      <c r="ODA36" s="601"/>
      <c r="ODD36" s="512"/>
      <c r="ODE36" s="601"/>
      <c r="ODH36" s="512"/>
      <c r="ODI36" s="601"/>
      <c r="ODL36" s="512"/>
      <c r="ODM36" s="601"/>
      <c r="ODP36" s="512"/>
      <c r="ODQ36" s="601"/>
      <c r="ODT36" s="512"/>
      <c r="ODU36" s="601"/>
      <c r="ODX36" s="512"/>
      <c r="ODY36" s="601"/>
      <c r="OEB36" s="512"/>
      <c r="OEC36" s="601"/>
      <c r="OEF36" s="512"/>
      <c r="OEG36" s="601"/>
      <c r="OEJ36" s="512"/>
      <c r="OEK36" s="601"/>
      <c r="OEN36" s="512"/>
      <c r="OEO36" s="601"/>
      <c r="OER36" s="512"/>
      <c r="OES36" s="601"/>
      <c r="OEV36" s="512"/>
      <c r="OEW36" s="601"/>
      <c r="OEZ36" s="512"/>
      <c r="OFA36" s="601"/>
      <c r="OFD36" s="512"/>
      <c r="OFE36" s="601"/>
      <c r="OFH36" s="512"/>
      <c r="OFI36" s="601"/>
      <c r="OFL36" s="512"/>
      <c r="OFM36" s="601"/>
      <c r="OFP36" s="512"/>
      <c r="OFQ36" s="601"/>
      <c r="OFT36" s="512"/>
      <c r="OFU36" s="601"/>
      <c r="OFX36" s="512"/>
      <c r="OFY36" s="601"/>
      <c r="OGB36" s="512"/>
      <c r="OGC36" s="601"/>
      <c r="OGF36" s="512"/>
      <c r="OGG36" s="601"/>
      <c r="OGJ36" s="512"/>
      <c r="OGK36" s="601"/>
      <c r="OGN36" s="512"/>
      <c r="OGO36" s="601"/>
      <c r="OGR36" s="512"/>
      <c r="OGS36" s="601"/>
      <c r="OGV36" s="512"/>
      <c r="OGW36" s="601"/>
      <c r="OGZ36" s="512"/>
      <c r="OHA36" s="601"/>
      <c r="OHD36" s="512"/>
      <c r="OHE36" s="601"/>
      <c r="OHH36" s="512"/>
      <c r="OHI36" s="601"/>
      <c r="OHL36" s="512"/>
      <c r="OHM36" s="601"/>
      <c r="OHP36" s="512"/>
      <c r="OHQ36" s="601"/>
      <c r="OHT36" s="512"/>
      <c r="OHU36" s="601"/>
      <c r="OHX36" s="512"/>
      <c r="OHY36" s="601"/>
      <c r="OIB36" s="512"/>
      <c r="OIC36" s="601"/>
      <c r="OIF36" s="512"/>
      <c r="OIG36" s="601"/>
      <c r="OIJ36" s="512"/>
      <c r="OIK36" s="601"/>
      <c r="OIN36" s="512"/>
      <c r="OIO36" s="601"/>
      <c r="OIR36" s="512"/>
      <c r="OIS36" s="601"/>
      <c r="OIV36" s="512"/>
      <c r="OIW36" s="601"/>
      <c r="OIZ36" s="512"/>
      <c r="OJA36" s="601"/>
      <c r="OJD36" s="512"/>
      <c r="OJE36" s="601"/>
      <c r="OJH36" s="512"/>
      <c r="OJI36" s="601"/>
      <c r="OJL36" s="512"/>
      <c r="OJM36" s="601"/>
      <c r="OJP36" s="512"/>
      <c r="OJQ36" s="601"/>
      <c r="OJT36" s="512"/>
      <c r="OJU36" s="601"/>
      <c r="OJX36" s="512"/>
      <c r="OJY36" s="601"/>
      <c r="OKB36" s="512"/>
      <c r="OKC36" s="601"/>
      <c r="OKF36" s="512"/>
      <c r="OKG36" s="601"/>
      <c r="OKJ36" s="512"/>
      <c r="OKK36" s="601"/>
      <c r="OKN36" s="512"/>
      <c r="OKO36" s="601"/>
      <c r="OKR36" s="512"/>
      <c r="OKS36" s="601"/>
      <c r="OKV36" s="512"/>
      <c r="OKW36" s="601"/>
      <c r="OKZ36" s="512"/>
      <c r="OLA36" s="601"/>
      <c r="OLD36" s="512"/>
      <c r="OLE36" s="601"/>
      <c r="OLH36" s="512"/>
      <c r="OLI36" s="601"/>
      <c r="OLL36" s="512"/>
      <c r="OLM36" s="601"/>
      <c r="OLP36" s="512"/>
      <c r="OLQ36" s="601"/>
      <c r="OLT36" s="512"/>
      <c r="OLU36" s="601"/>
      <c r="OLX36" s="512"/>
      <c r="OLY36" s="601"/>
      <c r="OMB36" s="512"/>
      <c r="OMC36" s="601"/>
      <c r="OMF36" s="512"/>
      <c r="OMG36" s="601"/>
      <c r="OMJ36" s="512"/>
      <c r="OMK36" s="601"/>
      <c r="OMN36" s="512"/>
      <c r="OMO36" s="601"/>
      <c r="OMR36" s="512"/>
      <c r="OMS36" s="601"/>
      <c r="OMV36" s="512"/>
      <c r="OMW36" s="601"/>
      <c r="OMZ36" s="512"/>
      <c r="ONA36" s="601"/>
      <c r="OND36" s="512"/>
      <c r="ONE36" s="601"/>
      <c r="ONH36" s="512"/>
      <c r="ONI36" s="601"/>
      <c r="ONL36" s="512"/>
      <c r="ONM36" s="601"/>
      <c r="ONP36" s="512"/>
      <c r="ONQ36" s="601"/>
      <c r="ONT36" s="512"/>
      <c r="ONU36" s="601"/>
      <c r="ONX36" s="512"/>
      <c r="ONY36" s="601"/>
      <c r="OOB36" s="512"/>
      <c r="OOC36" s="601"/>
      <c r="OOF36" s="512"/>
      <c r="OOG36" s="601"/>
      <c r="OOJ36" s="512"/>
      <c r="OOK36" s="601"/>
      <c r="OON36" s="512"/>
      <c r="OOO36" s="601"/>
      <c r="OOR36" s="512"/>
      <c r="OOS36" s="601"/>
      <c r="OOV36" s="512"/>
      <c r="OOW36" s="601"/>
      <c r="OOZ36" s="512"/>
      <c r="OPA36" s="601"/>
      <c r="OPD36" s="512"/>
      <c r="OPE36" s="601"/>
      <c r="OPH36" s="512"/>
      <c r="OPI36" s="601"/>
      <c r="OPL36" s="512"/>
      <c r="OPM36" s="601"/>
      <c r="OPP36" s="512"/>
      <c r="OPQ36" s="601"/>
      <c r="OPT36" s="512"/>
      <c r="OPU36" s="601"/>
      <c r="OPX36" s="512"/>
      <c r="OPY36" s="601"/>
      <c r="OQB36" s="512"/>
      <c r="OQC36" s="601"/>
      <c r="OQF36" s="512"/>
      <c r="OQG36" s="601"/>
      <c r="OQJ36" s="512"/>
      <c r="OQK36" s="601"/>
      <c r="OQN36" s="512"/>
      <c r="OQO36" s="601"/>
      <c r="OQR36" s="512"/>
      <c r="OQS36" s="601"/>
      <c r="OQV36" s="512"/>
      <c r="OQW36" s="601"/>
      <c r="OQZ36" s="512"/>
      <c r="ORA36" s="601"/>
      <c r="ORD36" s="512"/>
      <c r="ORE36" s="601"/>
      <c r="ORH36" s="512"/>
      <c r="ORI36" s="601"/>
      <c r="ORL36" s="512"/>
      <c r="ORM36" s="601"/>
      <c r="ORP36" s="512"/>
      <c r="ORQ36" s="601"/>
      <c r="ORT36" s="512"/>
      <c r="ORU36" s="601"/>
      <c r="ORX36" s="512"/>
      <c r="ORY36" s="601"/>
      <c r="OSB36" s="512"/>
      <c r="OSC36" s="601"/>
      <c r="OSF36" s="512"/>
      <c r="OSG36" s="601"/>
      <c r="OSJ36" s="512"/>
      <c r="OSK36" s="601"/>
      <c r="OSN36" s="512"/>
      <c r="OSO36" s="601"/>
      <c r="OSR36" s="512"/>
      <c r="OSS36" s="601"/>
      <c r="OSV36" s="512"/>
      <c r="OSW36" s="601"/>
      <c r="OSZ36" s="512"/>
      <c r="OTA36" s="601"/>
      <c r="OTD36" s="512"/>
      <c r="OTE36" s="601"/>
      <c r="OTH36" s="512"/>
      <c r="OTI36" s="601"/>
      <c r="OTL36" s="512"/>
      <c r="OTM36" s="601"/>
      <c r="OTP36" s="512"/>
      <c r="OTQ36" s="601"/>
      <c r="OTT36" s="512"/>
      <c r="OTU36" s="601"/>
      <c r="OTX36" s="512"/>
      <c r="OTY36" s="601"/>
      <c r="OUB36" s="512"/>
      <c r="OUC36" s="601"/>
      <c r="OUF36" s="512"/>
      <c r="OUG36" s="601"/>
      <c r="OUJ36" s="512"/>
      <c r="OUK36" s="601"/>
      <c r="OUN36" s="512"/>
      <c r="OUO36" s="601"/>
      <c r="OUR36" s="512"/>
      <c r="OUS36" s="601"/>
      <c r="OUV36" s="512"/>
      <c r="OUW36" s="601"/>
      <c r="OUZ36" s="512"/>
      <c r="OVA36" s="601"/>
      <c r="OVD36" s="512"/>
      <c r="OVE36" s="601"/>
      <c r="OVH36" s="512"/>
      <c r="OVI36" s="601"/>
      <c r="OVL36" s="512"/>
      <c r="OVM36" s="601"/>
      <c r="OVP36" s="512"/>
      <c r="OVQ36" s="601"/>
      <c r="OVT36" s="512"/>
      <c r="OVU36" s="601"/>
      <c r="OVX36" s="512"/>
      <c r="OVY36" s="601"/>
      <c r="OWB36" s="512"/>
      <c r="OWC36" s="601"/>
      <c r="OWF36" s="512"/>
      <c r="OWG36" s="601"/>
      <c r="OWJ36" s="512"/>
      <c r="OWK36" s="601"/>
      <c r="OWN36" s="512"/>
      <c r="OWO36" s="601"/>
      <c r="OWR36" s="512"/>
      <c r="OWS36" s="601"/>
      <c r="OWV36" s="512"/>
      <c r="OWW36" s="601"/>
      <c r="OWZ36" s="512"/>
      <c r="OXA36" s="601"/>
      <c r="OXD36" s="512"/>
      <c r="OXE36" s="601"/>
      <c r="OXH36" s="512"/>
      <c r="OXI36" s="601"/>
      <c r="OXL36" s="512"/>
      <c r="OXM36" s="601"/>
      <c r="OXP36" s="512"/>
      <c r="OXQ36" s="601"/>
      <c r="OXT36" s="512"/>
      <c r="OXU36" s="601"/>
      <c r="OXX36" s="512"/>
      <c r="OXY36" s="601"/>
      <c r="OYB36" s="512"/>
      <c r="OYC36" s="601"/>
      <c r="OYF36" s="512"/>
      <c r="OYG36" s="601"/>
      <c r="OYJ36" s="512"/>
      <c r="OYK36" s="601"/>
      <c r="OYN36" s="512"/>
      <c r="OYO36" s="601"/>
      <c r="OYR36" s="512"/>
      <c r="OYS36" s="601"/>
      <c r="OYV36" s="512"/>
      <c r="OYW36" s="601"/>
      <c r="OYZ36" s="512"/>
      <c r="OZA36" s="601"/>
      <c r="OZD36" s="512"/>
      <c r="OZE36" s="601"/>
      <c r="OZH36" s="512"/>
      <c r="OZI36" s="601"/>
      <c r="OZL36" s="512"/>
      <c r="OZM36" s="601"/>
      <c r="OZP36" s="512"/>
      <c r="OZQ36" s="601"/>
      <c r="OZT36" s="512"/>
      <c r="OZU36" s="601"/>
      <c r="OZX36" s="512"/>
      <c r="OZY36" s="601"/>
      <c r="PAB36" s="512"/>
      <c r="PAC36" s="601"/>
      <c r="PAF36" s="512"/>
      <c r="PAG36" s="601"/>
      <c r="PAJ36" s="512"/>
      <c r="PAK36" s="601"/>
      <c r="PAN36" s="512"/>
      <c r="PAO36" s="601"/>
      <c r="PAR36" s="512"/>
      <c r="PAS36" s="601"/>
      <c r="PAV36" s="512"/>
      <c r="PAW36" s="601"/>
      <c r="PAZ36" s="512"/>
      <c r="PBA36" s="601"/>
      <c r="PBD36" s="512"/>
      <c r="PBE36" s="601"/>
      <c r="PBH36" s="512"/>
      <c r="PBI36" s="601"/>
      <c r="PBL36" s="512"/>
      <c r="PBM36" s="601"/>
      <c r="PBP36" s="512"/>
      <c r="PBQ36" s="601"/>
      <c r="PBT36" s="512"/>
      <c r="PBU36" s="601"/>
      <c r="PBX36" s="512"/>
      <c r="PBY36" s="601"/>
      <c r="PCB36" s="512"/>
      <c r="PCC36" s="601"/>
      <c r="PCF36" s="512"/>
      <c r="PCG36" s="601"/>
      <c r="PCJ36" s="512"/>
      <c r="PCK36" s="601"/>
      <c r="PCN36" s="512"/>
      <c r="PCO36" s="601"/>
      <c r="PCR36" s="512"/>
      <c r="PCS36" s="601"/>
      <c r="PCV36" s="512"/>
      <c r="PCW36" s="601"/>
      <c r="PCZ36" s="512"/>
      <c r="PDA36" s="601"/>
      <c r="PDD36" s="512"/>
      <c r="PDE36" s="601"/>
      <c r="PDH36" s="512"/>
      <c r="PDI36" s="601"/>
      <c r="PDL36" s="512"/>
      <c r="PDM36" s="601"/>
      <c r="PDP36" s="512"/>
      <c r="PDQ36" s="601"/>
      <c r="PDT36" s="512"/>
      <c r="PDU36" s="601"/>
      <c r="PDX36" s="512"/>
      <c r="PDY36" s="601"/>
      <c r="PEB36" s="512"/>
      <c r="PEC36" s="601"/>
      <c r="PEF36" s="512"/>
      <c r="PEG36" s="601"/>
      <c r="PEJ36" s="512"/>
      <c r="PEK36" s="601"/>
      <c r="PEN36" s="512"/>
      <c r="PEO36" s="601"/>
      <c r="PER36" s="512"/>
      <c r="PES36" s="601"/>
      <c r="PEV36" s="512"/>
      <c r="PEW36" s="601"/>
      <c r="PEZ36" s="512"/>
      <c r="PFA36" s="601"/>
      <c r="PFD36" s="512"/>
      <c r="PFE36" s="601"/>
      <c r="PFH36" s="512"/>
      <c r="PFI36" s="601"/>
      <c r="PFL36" s="512"/>
      <c r="PFM36" s="601"/>
      <c r="PFP36" s="512"/>
      <c r="PFQ36" s="601"/>
      <c r="PFT36" s="512"/>
      <c r="PFU36" s="601"/>
      <c r="PFX36" s="512"/>
      <c r="PFY36" s="601"/>
      <c r="PGB36" s="512"/>
      <c r="PGC36" s="601"/>
      <c r="PGF36" s="512"/>
      <c r="PGG36" s="601"/>
      <c r="PGJ36" s="512"/>
      <c r="PGK36" s="601"/>
      <c r="PGN36" s="512"/>
      <c r="PGO36" s="601"/>
      <c r="PGR36" s="512"/>
      <c r="PGS36" s="601"/>
      <c r="PGV36" s="512"/>
      <c r="PGW36" s="601"/>
      <c r="PGZ36" s="512"/>
      <c r="PHA36" s="601"/>
      <c r="PHD36" s="512"/>
      <c r="PHE36" s="601"/>
      <c r="PHH36" s="512"/>
      <c r="PHI36" s="601"/>
      <c r="PHL36" s="512"/>
      <c r="PHM36" s="601"/>
      <c r="PHP36" s="512"/>
      <c r="PHQ36" s="601"/>
      <c r="PHT36" s="512"/>
      <c r="PHU36" s="601"/>
      <c r="PHX36" s="512"/>
      <c r="PHY36" s="601"/>
      <c r="PIB36" s="512"/>
      <c r="PIC36" s="601"/>
      <c r="PIF36" s="512"/>
      <c r="PIG36" s="601"/>
      <c r="PIJ36" s="512"/>
      <c r="PIK36" s="601"/>
      <c r="PIN36" s="512"/>
      <c r="PIO36" s="601"/>
      <c r="PIR36" s="512"/>
      <c r="PIS36" s="601"/>
      <c r="PIV36" s="512"/>
      <c r="PIW36" s="601"/>
      <c r="PIZ36" s="512"/>
      <c r="PJA36" s="601"/>
      <c r="PJD36" s="512"/>
      <c r="PJE36" s="601"/>
      <c r="PJH36" s="512"/>
      <c r="PJI36" s="601"/>
      <c r="PJL36" s="512"/>
      <c r="PJM36" s="601"/>
      <c r="PJP36" s="512"/>
      <c r="PJQ36" s="601"/>
      <c r="PJT36" s="512"/>
      <c r="PJU36" s="601"/>
      <c r="PJX36" s="512"/>
      <c r="PJY36" s="601"/>
      <c r="PKB36" s="512"/>
      <c r="PKC36" s="601"/>
      <c r="PKF36" s="512"/>
      <c r="PKG36" s="601"/>
      <c r="PKJ36" s="512"/>
      <c r="PKK36" s="601"/>
      <c r="PKN36" s="512"/>
      <c r="PKO36" s="601"/>
      <c r="PKR36" s="512"/>
      <c r="PKS36" s="601"/>
      <c r="PKV36" s="512"/>
      <c r="PKW36" s="601"/>
      <c r="PKZ36" s="512"/>
      <c r="PLA36" s="601"/>
      <c r="PLD36" s="512"/>
      <c r="PLE36" s="601"/>
      <c r="PLH36" s="512"/>
      <c r="PLI36" s="601"/>
      <c r="PLL36" s="512"/>
      <c r="PLM36" s="601"/>
      <c r="PLP36" s="512"/>
      <c r="PLQ36" s="601"/>
      <c r="PLT36" s="512"/>
      <c r="PLU36" s="601"/>
      <c r="PLX36" s="512"/>
      <c r="PLY36" s="601"/>
      <c r="PMB36" s="512"/>
      <c r="PMC36" s="601"/>
      <c r="PMF36" s="512"/>
      <c r="PMG36" s="601"/>
      <c r="PMJ36" s="512"/>
      <c r="PMK36" s="601"/>
      <c r="PMN36" s="512"/>
      <c r="PMO36" s="601"/>
      <c r="PMR36" s="512"/>
      <c r="PMS36" s="601"/>
      <c r="PMV36" s="512"/>
      <c r="PMW36" s="601"/>
      <c r="PMZ36" s="512"/>
      <c r="PNA36" s="601"/>
      <c r="PND36" s="512"/>
      <c r="PNE36" s="601"/>
      <c r="PNH36" s="512"/>
      <c r="PNI36" s="601"/>
      <c r="PNL36" s="512"/>
      <c r="PNM36" s="601"/>
      <c r="PNP36" s="512"/>
      <c r="PNQ36" s="601"/>
      <c r="PNT36" s="512"/>
      <c r="PNU36" s="601"/>
      <c r="PNX36" s="512"/>
      <c r="PNY36" s="601"/>
      <c r="POB36" s="512"/>
      <c r="POC36" s="601"/>
      <c r="POF36" s="512"/>
      <c r="POG36" s="601"/>
      <c r="POJ36" s="512"/>
      <c r="POK36" s="601"/>
      <c r="PON36" s="512"/>
      <c r="POO36" s="601"/>
      <c r="POR36" s="512"/>
      <c r="POS36" s="601"/>
      <c r="POV36" s="512"/>
      <c r="POW36" s="601"/>
      <c r="POZ36" s="512"/>
      <c r="PPA36" s="601"/>
      <c r="PPD36" s="512"/>
      <c r="PPE36" s="601"/>
      <c r="PPH36" s="512"/>
      <c r="PPI36" s="601"/>
      <c r="PPL36" s="512"/>
      <c r="PPM36" s="601"/>
      <c r="PPP36" s="512"/>
      <c r="PPQ36" s="601"/>
      <c r="PPT36" s="512"/>
      <c r="PPU36" s="601"/>
      <c r="PPX36" s="512"/>
      <c r="PPY36" s="601"/>
      <c r="PQB36" s="512"/>
      <c r="PQC36" s="601"/>
      <c r="PQF36" s="512"/>
      <c r="PQG36" s="601"/>
      <c r="PQJ36" s="512"/>
      <c r="PQK36" s="601"/>
      <c r="PQN36" s="512"/>
      <c r="PQO36" s="601"/>
      <c r="PQR36" s="512"/>
      <c r="PQS36" s="601"/>
      <c r="PQV36" s="512"/>
      <c r="PQW36" s="601"/>
      <c r="PQZ36" s="512"/>
      <c r="PRA36" s="601"/>
      <c r="PRD36" s="512"/>
      <c r="PRE36" s="601"/>
      <c r="PRH36" s="512"/>
      <c r="PRI36" s="601"/>
      <c r="PRL36" s="512"/>
      <c r="PRM36" s="601"/>
      <c r="PRP36" s="512"/>
      <c r="PRQ36" s="601"/>
      <c r="PRT36" s="512"/>
      <c r="PRU36" s="601"/>
      <c r="PRX36" s="512"/>
      <c r="PRY36" s="601"/>
      <c r="PSB36" s="512"/>
      <c r="PSC36" s="601"/>
      <c r="PSF36" s="512"/>
      <c r="PSG36" s="601"/>
      <c r="PSJ36" s="512"/>
      <c r="PSK36" s="601"/>
      <c r="PSN36" s="512"/>
      <c r="PSO36" s="601"/>
      <c r="PSR36" s="512"/>
      <c r="PSS36" s="601"/>
      <c r="PSV36" s="512"/>
      <c r="PSW36" s="601"/>
      <c r="PSZ36" s="512"/>
      <c r="PTA36" s="601"/>
      <c r="PTD36" s="512"/>
      <c r="PTE36" s="601"/>
      <c r="PTH36" s="512"/>
      <c r="PTI36" s="601"/>
      <c r="PTL36" s="512"/>
      <c r="PTM36" s="601"/>
      <c r="PTP36" s="512"/>
      <c r="PTQ36" s="601"/>
      <c r="PTT36" s="512"/>
      <c r="PTU36" s="601"/>
      <c r="PTX36" s="512"/>
      <c r="PTY36" s="601"/>
      <c r="PUB36" s="512"/>
      <c r="PUC36" s="601"/>
      <c r="PUF36" s="512"/>
      <c r="PUG36" s="601"/>
      <c r="PUJ36" s="512"/>
      <c r="PUK36" s="601"/>
      <c r="PUN36" s="512"/>
      <c r="PUO36" s="601"/>
      <c r="PUR36" s="512"/>
      <c r="PUS36" s="601"/>
      <c r="PUV36" s="512"/>
      <c r="PUW36" s="601"/>
      <c r="PUZ36" s="512"/>
      <c r="PVA36" s="601"/>
      <c r="PVD36" s="512"/>
      <c r="PVE36" s="601"/>
      <c r="PVH36" s="512"/>
      <c r="PVI36" s="601"/>
      <c r="PVL36" s="512"/>
      <c r="PVM36" s="601"/>
      <c r="PVP36" s="512"/>
      <c r="PVQ36" s="601"/>
      <c r="PVT36" s="512"/>
      <c r="PVU36" s="601"/>
      <c r="PVX36" s="512"/>
      <c r="PVY36" s="601"/>
      <c r="PWB36" s="512"/>
      <c r="PWC36" s="601"/>
      <c r="PWF36" s="512"/>
      <c r="PWG36" s="601"/>
      <c r="PWJ36" s="512"/>
      <c r="PWK36" s="601"/>
      <c r="PWN36" s="512"/>
      <c r="PWO36" s="601"/>
      <c r="PWR36" s="512"/>
      <c r="PWS36" s="601"/>
      <c r="PWV36" s="512"/>
      <c r="PWW36" s="601"/>
      <c r="PWZ36" s="512"/>
      <c r="PXA36" s="601"/>
      <c r="PXD36" s="512"/>
      <c r="PXE36" s="601"/>
      <c r="PXH36" s="512"/>
      <c r="PXI36" s="601"/>
      <c r="PXL36" s="512"/>
      <c r="PXM36" s="601"/>
      <c r="PXP36" s="512"/>
      <c r="PXQ36" s="601"/>
      <c r="PXT36" s="512"/>
      <c r="PXU36" s="601"/>
      <c r="PXX36" s="512"/>
      <c r="PXY36" s="601"/>
      <c r="PYB36" s="512"/>
      <c r="PYC36" s="601"/>
      <c r="PYF36" s="512"/>
      <c r="PYG36" s="601"/>
      <c r="PYJ36" s="512"/>
      <c r="PYK36" s="601"/>
      <c r="PYN36" s="512"/>
      <c r="PYO36" s="601"/>
      <c r="PYR36" s="512"/>
      <c r="PYS36" s="601"/>
      <c r="PYV36" s="512"/>
      <c r="PYW36" s="601"/>
      <c r="PYZ36" s="512"/>
      <c r="PZA36" s="601"/>
      <c r="PZD36" s="512"/>
      <c r="PZE36" s="601"/>
      <c r="PZH36" s="512"/>
      <c r="PZI36" s="601"/>
      <c r="PZL36" s="512"/>
      <c r="PZM36" s="601"/>
      <c r="PZP36" s="512"/>
      <c r="PZQ36" s="601"/>
      <c r="PZT36" s="512"/>
      <c r="PZU36" s="601"/>
      <c r="PZX36" s="512"/>
      <c r="PZY36" s="601"/>
      <c r="QAB36" s="512"/>
      <c r="QAC36" s="601"/>
      <c r="QAF36" s="512"/>
      <c r="QAG36" s="601"/>
      <c r="QAJ36" s="512"/>
      <c r="QAK36" s="601"/>
      <c r="QAN36" s="512"/>
      <c r="QAO36" s="601"/>
      <c r="QAR36" s="512"/>
      <c r="QAS36" s="601"/>
      <c r="QAV36" s="512"/>
      <c r="QAW36" s="601"/>
      <c r="QAZ36" s="512"/>
      <c r="QBA36" s="601"/>
      <c r="QBD36" s="512"/>
      <c r="QBE36" s="601"/>
      <c r="QBH36" s="512"/>
      <c r="QBI36" s="601"/>
      <c r="QBL36" s="512"/>
      <c r="QBM36" s="601"/>
      <c r="QBP36" s="512"/>
      <c r="QBQ36" s="601"/>
      <c r="QBT36" s="512"/>
      <c r="QBU36" s="601"/>
      <c r="QBX36" s="512"/>
      <c r="QBY36" s="601"/>
      <c r="QCB36" s="512"/>
      <c r="QCC36" s="601"/>
      <c r="QCF36" s="512"/>
      <c r="QCG36" s="601"/>
      <c r="QCJ36" s="512"/>
      <c r="QCK36" s="601"/>
      <c r="QCN36" s="512"/>
      <c r="QCO36" s="601"/>
      <c r="QCR36" s="512"/>
      <c r="QCS36" s="601"/>
      <c r="QCV36" s="512"/>
      <c r="QCW36" s="601"/>
      <c r="QCZ36" s="512"/>
      <c r="QDA36" s="601"/>
      <c r="QDD36" s="512"/>
      <c r="QDE36" s="601"/>
      <c r="QDH36" s="512"/>
      <c r="QDI36" s="601"/>
      <c r="QDL36" s="512"/>
      <c r="QDM36" s="601"/>
      <c r="QDP36" s="512"/>
      <c r="QDQ36" s="601"/>
      <c r="QDT36" s="512"/>
      <c r="QDU36" s="601"/>
      <c r="QDX36" s="512"/>
      <c r="QDY36" s="601"/>
      <c r="QEB36" s="512"/>
      <c r="QEC36" s="601"/>
      <c r="QEF36" s="512"/>
      <c r="QEG36" s="601"/>
      <c r="QEJ36" s="512"/>
      <c r="QEK36" s="601"/>
      <c r="QEN36" s="512"/>
      <c r="QEO36" s="601"/>
      <c r="QER36" s="512"/>
      <c r="QES36" s="601"/>
      <c r="QEV36" s="512"/>
      <c r="QEW36" s="601"/>
      <c r="QEZ36" s="512"/>
      <c r="QFA36" s="601"/>
      <c r="QFD36" s="512"/>
      <c r="QFE36" s="601"/>
      <c r="QFH36" s="512"/>
      <c r="QFI36" s="601"/>
      <c r="QFL36" s="512"/>
      <c r="QFM36" s="601"/>
      <c r="QFP36" s="512"/>
      <c r="QFQ36" s="601"/>
      <c r="QFT36" s="512"/>
      <c r="QFU36" s="601"/>
      <c r="QFX36" s="512"/>
      <c r="QFY36" s="601"/>
      <c r="QGB36" s="512"/>
      <c r="QGC36" s="601"/>
      <c r="QGF36" s="512"/>
      <c r="QGG36" s="601"/>
      <c r="QGJ36" s="512"/>
      <c r="QGK36" s="601"/>
      <c r="QGN36" s="512"/>
      <c r="QGO36" s="601"/>
      <c r="QGR36" s="512"/>
      <c r="QGS36" s="601"/>
      <c r="QGV36" s="512"/>
      <c r="QGW36" s="601"/>
      <c r="QGZ36" s="512"/>
      <c r="QHA36" s="601"/>
      <c r="QHD36" s="512"/>
      <c r="QHE36" s="601"/>
      <c r="QHH36" s="512"/>
      <c r="QHI36" s="601"/>
      <c r="QHL36" s="512"/>
      <c r="QHM36" s="601"/>
      <c r="QHP36" s="512"/>
      <c r="QHQ36" s="601"/>
      <c r="QHT36" s="512"/>
      <c r="QHU36" s="601"/>
      <c r="QHX36" s="512"/>
      <c r="QHY36" s="601"/>
      <c r="QIB36" s="512"/>
      <c r="QIC36" s="601"/>
      <c r="QIF36" s="512"/>
      <c r="QIG36" s="601"/>
      <c r="QIJ36" s="512"/>
      <c r="QIK36" s="601"/>
      <c r="QIN36" s="512"/>
      <c r="QIO36" s="601"/>
      <c r="QIR36" s="512"/>
      <c r="QIS36" s="601"/>
      <c r="QIV36" s="512"/>
      <c r="QIW36" s="601"/>
      <c r="QIZ36" s="512"/>
      <c r="QJA36" s="601"/>
      <c r="QJD36" s="512"/>
      <c r="QJE36" s="601"/>
      <c r="QJH36" s="512"/>
      <c r="QJI36" s="601"/>
      <c r="QJL36" s="512"/>
      <c r="QJM36" s="601"/>
      <c r="QJP36" s="512"/>
      <c r="QJQ36" s="601"/>
      <c r="QJT36" s="512"/>
      <c r="QJU36" s="601"/>
      <c r="QJX36" s="512"/>
      <c r="QJY36" s="601"/>
      <c r="QKB36" s="512"/>
      <c r="QKC36" s="601"/>
      <c r="QKF36" s="512"/>
      <c r="QKG36" s="601"/>
      <c r="QKJ36" s="512"/>
      <c r="QKK36" s="601"/>
      <c r="QKN36" s="512"/>
      <c r="QKO36" s="601"/>
      <c r="QKR36" s="512"/>
      <c r="QKS36" s="601"/>
      <c r="QKV36" s="512"/>
      <c r="QKW36" s="601"/>
      <c r="QKZ36" s="512"/>
      <c r="QLA36" s="601"/>
      <c r="QLD36" s="512"/>
      <c r="QLE36" s="601"/>
      <c r="QLH36" s="512"/>
      <c r="QLI36" s="601"/>
      <c r="QLL36" s="512"/>
      <c r="QLM36" s="601"/>
      <c r="QLP36" s="512"/>
      <c r="QLQ36" s="601"/>
      <c r="QLT36" s="512"/>
      <c r="QLU36" s="601"/>
      <c r="QLX36" s="512"/>
      <c r="QLY36" s="601"/>
      <c r="QMB36" s="512"/>
      <c r="QMC36" s="601"/>
      <c r="QMF36" s="512"/>
      <c r="QMG36" s="601"/>
      <c r="QMJ36" s="512"/>
      <c r="QMK36" s="601"/>
      <c r="QMN36" s="512"/>
      <c r="QMO36" s="601"/>
      <c r="QMR36" s="512"/>
      <c r="QMS36" s="601"/>
      <c r="QMV36" s="512"/>
      <c r="QMW36" s="601"/>
      <c r="QMZ36" s="512"/>
      <c r="QNA36" s="601"/>
      <c r="QND36" s="512"/>
      <c r="QNE36" s="601"/>
      <c r="QNH36" s="512"/>
      <c r="QNI36" s="601"/>
      <c r="QNL36" s="512"/>
      <c r="QNM36" s="601"/>
      <c r="QNP36" s="512"/>
      <c r="QNQ36" s="601"/>
      <c r="QNT36" s="512"/>
      <c r="QNU36" s="601"/>
      <c r="QNX36" s="512"/>
      <c r="QNY36" s="601"/>
      <c r="QOB36" s="512"/>
      <c r="QOC36" s="601"/>
      <c r="QOF36" s="512"/>
      <c r="QOG36" s="601"/>
      <c r="QOJ36" s="512"/>
      <c r="QOK36" s="601"/>
      <c r="QON36" s="512"/>
      <c r="QOO36" s="601"/>
      <c r="QOR36" s="512"/>
      <c r="QOS36" s="601"/>
      <c r="QOV36" s="512"/>
      <c r="QOW36" s="601"/>
      <c r="QOZ36" s="512"/>
      <c r="QPA36" s="601"/>
      <c r="QPD36" s="512"/>
      <c r="QPE36" s="601"/>
      <c r="QPH36" s="512"/>
      <c r="QPI36" s="601"/>
      <c r="QPL36" s="512"/>
      <c r="QPM36" s="601"/>
      <c r="QPP36" s="512"/>
      <c r="QPQ36" s="601"/>
      <c r="QPT36" s="512"/>
      <c r="QPU36" s="601"/>
      <c r="QPX36" s="512"/>
      <c r="QPY36" s="601"/>
      <c r="QQB36" s="512"/>
      <c r="QQC36" s="601"/>
      <c r="QQF36" s="512"/>
      <c r="QQG36" s="601"/>
      <c r="QQJ36" s="512"/>
      <c r="QQK36" s="601"/>
      <c r="QQN36" s="512"/>
      <c r="QQO36" s="601"/>
      <c r="QQR36" s="512"/>
      <c r="QQS36" s="601"/>
      <c r="QQV36" s="512"/>
      <c r="QQW36" s="601"/>
      <c r="QQZ36" s="512"/>
      <c r="QRA36" s="601"/>
      <c r="QRD36" s="512"/>
      <c r="QRE36" s="601"/>
      <c r="QRH36" s="512"/>
      <c r="QRI36" s="601"/>
      <c r="QRL36" s="512"/>
      <c r="QRM36" s="601"/>
      <c r="QRP36" s="512"/>
      <c r="QRQ36" s="601"/>
      <c r="QRT36" s="512"/>
      <c r="QRU36" s="601"/>
      <c r="QRX36" s="512"/>
      <c r="QRY36" s="601"/>
      <c r="QSB36" s="512"/>
      <c r="QSC36" s="601"/>
      <c r="QSF36" s="512"/>
      <c r="QSG36" s="601"/>
      <c r="QSJ36" s="512"/>
      <c r="QSK36" s="601"/>
      <c r="QSN36" s="512"/>
      <c r="QSO36" s="601"/>
      <c r="QSR36" s="512"/>
      <c r="QSS36" s="601"/>
      <c r="QSV36" s="512"/>
      <c r="QSW36" s="601"/>
      <c r="QSZ36" s="512"/>
      <c r="QTA36" s="601"/>
      <c r="QTD36" s="512"/>
      <c r="QTE36" s="601"/>
      <c r="QTH36" s="512"/>
      <c r="QTI36" s="601"/>
      <c r="QTL36" s="512"/>
      <c r="QTM36" s="601"/>
      <c r="QTP36" s="512"/>
      <c r="QTQ36" s="601"/>
      <c r="QTT36" s="512"/>
      <c r="QTU36" s="601"/>
      <c r="QTX36" s="512"/>
      <c r="QTY36" s="601"/>
      <c r="QUB36" s="512"/>
      <c r="QUC36" s="601"/>
      <c r="QUF36" s="512"/>
      <c r="QUG36" s="601"/>
      <c r="QUJ36" s="512"/>
      <c r="QUK36" s="601"/>
      <c r="QUN36" s="512"/>
      <c r="QUO36" s="601"/>
      <c r="QUR36" s="512"/>
      <c r="QUS36" s="601"/>
      <c r="QUV36" s="512"/>
      <c r="QUW36" s="601"/>
      <c r="QUZ36" s="512"/>
      <c r="QVA36" s="601"/>
      <c r="QVD36" s="512"/>
      <c r="QVE36" s="601"/>
      <c r="QVH36" s="512"/>
      <c r="QVI36" s="601"/>
      <c r="QVL36" s="512"/>
      <c r="QVM36" s="601"/>
      <c r="QVP36" s="512"/>
      <c r="QVQ36" s="601"/>
      <c r="QVT36" s="512"/>
      <c r="QVU36" s="601"/>
      <c r="QVX36" s="512"/>
      <c r="QVY36" s="601"/>
      <c r="QWB36" s="512"/>
      <c r="QWC36" s="601"/>
      <c r="QWF36" s="512"/>
      <c r="QWG36" s="601"/>
      <c r="QWJ36" s="512"/>
      <c r="QWK36" s="601"/>
      <c r="QWN36" s="512"/>
      <c r="QWO36" s="601"/>
      <c r="QWR36" s="512"/>
      <c r="QWS36" s="601"/>
      <c r="QWV36" s="512"/>
      <c r="QWW36" s="601"/>
      <c r="QWZ36" s="512"/>
      <c r="QXA36" s="601"/>
      <c r="QXD36" s="512"/>
      <c r="QXE36" s="601"/>
      <c r="QXH36" s="512"/>
      <c r="QXI36" s="601"/>
      <c r="QXL36" s="512"/>
      <c r="QXM36" s="601"/>
      <c r="QXP36" s="512"/>
      <c r="QXQ36" s="601"/>
      <c r="QXT36" s="512"/>
      <c r="QXU36" s="601"/>
      <c r="QXX36" s="512"/>
      <c r="QXY36" s="601"/>
      <c r="QYB36" s="512"/>
      <c r="QYC36" s="601"/>
      <c r="QYF36" s="512"/>
      <c r="QYG36" s="601"/>
      <c r="QYJ36" s="512"/>
      <c r="QYK36" s="601"/>
      <c r="QYN36" s="512"/>
      <c r="QYO36" s="601"/>
      <c r="QYR36" s="512"/>
      <c r="QYS36" s="601"/>
      <c r="QYV36" s="512"/>
      <c r="QYW36" s="601"/>
      <c r="QYZ36" s="512"/>
      <c r="QZA36" s="601"/>
      <c r="QZD36" s="512"/>
      <c r="QZE36" s="601"/>
      <c r="QZH36" s="512"/>
      <c r="QZI36" s="601"/>
      <c r="QZL36" s="512"/>
      <c r="QZM36" s="601"/>
      <c r="QZP36" s="512"/>
      <c r="QZQ36" s="601"/>
      <c r="QZT36" s="512"/>
      <c r="QZU36" s="601"/>
      <c r="QZX36" s="512"/>
      <c r="QZY36" s="601"/>
      <c r="RAB36" s="512"/>
      <c r="RAC36" s="601"/>
      <c r="RAF36" s="512"/>
      <c r="RAG36" s="601"/>
      <c r="RAJ36" s="512"/>
      <c r="RAK36" s="601"/>
      <c r="RAN36" s="512"/>
      <c r="RAO36" s="601"/>
      <c r="RAR36" s="512"/>
      <c r="RAS36" s="601"/>
      <c r="RAV36" s="512"/>
      <c r="RAW36" s="601"/>
      <c r="RAZ36" s="512"/>
      <c r="RBA36" s="601"/>
      <c r="RBD36" s="512"/>
      <c r="RBE36" s="601"/>
      <c r="RBH36" s="512"/>
      <c r="RBI36" s="601"/>
      <c r="RBL36" s="512"/>
      <c r="RBM36" s="601"/>
      <c r="RBP36" s="512"/>
      <c r="RBQ36" s="601"/>
      <c r="RBT36" s="512"/>
      <c r="RBU36" s="601"/>
      <c r="RBX36" s="512"/>
      <c r="RBY36" s="601"/>
      <c r="RCB36" s="512"/>
      <c r="RCC36" s="601"/>
      <c r="RCF36" s="512"/>
      <c r="RCG36" s="601"/>
      <c r="RCJ36" s="512"/>
      <c r="RCK36" s="601"/>
      <c r="RCN36" s="512"/>
      <c r="RCO36" s="601"/>
      <c r="RCR36" s="512"/>
      <c r="RCS36" s="601"/>
      <c r="RCV36" s="512"/>
      <c r="RCW36" s="601"/>
      <c r="RCZ36" s="512"/>
      <c r="RDA36" s="601"/>
      <c r="RDD36" s="512"/>
      <c r="RDE36" s="601"/>
      <c r="RDH36" s="512"/>
      <c r="RDI36" s="601"/>
      <c r="RDL36" s="512"/>
      <c r="RDM36" s="601"/>
      <c r="RDP36" s="512"/>
      <c r="RDQ36" s="601"/>
      <c r="RDT36" s="512"/>
      <c r="RDU36" s="601"/>
      <c r="RDX36" s="512"/>
      <c r="RDY36" s="601"/>
      <c r="REB36" s="512"/>
      <c r="REC36" s="601"/>
      <c r="REF36" s="512"/>
      <c r="REG36" s="601"/>
      <c r="REJ36" s="512"/>
      <c r="REK36" s="601"/>
      <c r="REN36" s="512"/>
      <c r="REO36" s="601"/>
      <c r="RER36" s="512"/>
      <c r="RES36" s="601"/>
      <c r="REV36" s="512"/>
      <c r="REW36" s="601"/>
      <c r="REZ36" s="512"/>
      <c r="RFA36" s="601"/>
      <c r="RFD36" s="512"/>
      <c r="RFE36" s="601"/>
      <c r="RFH36" s="512"/>
      <c r="RFI36" s="601"/>
      <c r="RFL36" s="512"/>
      <c r="RFM36" s="601"/>
      <c r="RFP36" s="512"/>
      <c r="RFQ36" s="601"/>
      <c r="RFT36" s="512"/>
      <c r="RFU36" s="601"/>
      <c r="RFX36" s="512"/>
      <c r="RFY36" s="601"/>
      <c r="RGB36" s="512"/>
      <c r="RGC36" s="601"/>
      <c r="RGF36" s="512"/>
      <c r="RGG36" s="601"/>
      <c r="RGJ36" s="512"/>
      <c r="RGK36" s="601"/>
      <c r="RGN36" s="512"/>
      <c r="RGO36" s="601"/>
      <c r="RGR36" s="512"/>
      <c r="RGS36" s="601"/>
      <c r="RGV36" s="512"/>
      <c r="RGW36" s="601"/>
      <c r="RGZ36" s="512"/>
      <c r="RHA36" s="601"/>
      <c r="RHD36" s="512"/>
      <c r="RHE36" s="601"/>
      <c r="RHH36" s="512"/>
      <c r="RHI36" s="601"/>
      <c r="RHL36" s="512"/>
      <c r="RHM36" s="601"/>
      <c r="RHP36" s="512"/>
      <c r="RHQ36" s="601"/>
      <c r="RHT36" s="512"/>
      <c r="RHU36" s="601"/>
      <c r="RHX36" s="512"/>
      <c r="RHY36" s="601"/>
      <c r="RIB36" s="512"/>
      <c r="RIC36" s="601"/>
      <c r="RIF36" s="512"/>
      <c r="RIG36" s="601"/>
      <c r="RIJ36" s="512"/>
      <c r="RIK36" s="601"/>
      <c r="RIN36" s="512"/>
      <c r="RIO36" s="601"/>
      <c r="RIR36" s="512"/>
      <c r="RIS36" s="601"/>
      <c r="RIV36" s="512"/>
      <c r="RIW36" s="601"/>
      <c r="RIZ36" s="512"/>
      <c r="RJA36" s="601"/>
      <c r="RJD36" s="512"/>
      <c r="RJE36" s="601"/>
      <c r="RJH36" s="512"/>
      <c r="RJI36" s="601"/>
      <c r="RJL36" s="512"/>
      <c r="RJM36" s="601"/>
      <c r="RJP36" s="512"/>
      <c r="RJQ36" s="601"/>
      <c r="RJT36" s="512"/>
      <c r="RJU36" s="601"/>
      <c r="RJX36" s="512"/>
      <c r="RJY36" s="601"/>
      <c r="RKB36" s="512"/>
      <c r="RKC36" s="601"/>
      <c r="RKF36" s="512"/>
      <c r="RKG36" s="601"/>
      <c r="RKJ36" s="512"/>
      <c r="RKK36" s="601"/>
      <c r="RKN36" s="512"/>
      <c r="RKO36" s="601"/>
      <c r="RKR36" s="512"/>
      <c r="RKS36" s="601"/>
      <c r="RKV36" s="512"/>
      <c r="RKW36" s="601"/>
      <c r="RKZ36" s="512"/>
      <c r="RLA36" s="601"/>
      <c r="RLD36" s="512"/>
      <c r="RLE36" s="601"/>
      <c r="RLH36" s="512"/>
      <c r="RLI36" s="601"/>
      <c r="RLL36" s="512"/>
      <c r="RLM36" s="601"/>
      <c r="RLP36" s="512"/>
      <c r="RLQ36" s="601"/>
      <c r="RLT36" s="512"/>
      <c r="RLU36" s="601"/>
      <c r="RLX36" s="512"/>
      <c r="RLY36" s="601"/>
      <c r="RMB36" s="512"/>
      <c r="RMC36" s="601"/>
      <c r="RMF36" s="512"/>
      <c r="RMG36" s="601"/>
      <c r="RMJ36" s="512"/>
      <c r="RMK36" s="601"/>
      <c r="RMN36" s="512"/>
      <c r="RMO36" s="601"/>
      <c r="RMR36" s="512"/>
      <c r="RMS36" s="601"/>
      <c r="RMV36" s="512"/>
      <c r="RMW36" s="601"/>
      <c r="RMZ36" s="512"/>
      <c r="RNA36" s="601"/>
      <c r="RND36" s="512"/>
      <c r="RNE36" s="601"/>
      <c r="RNH36" s="512"/>
      <c r="RNI36" s="601"/>
      <c r="RNL36" s="512"/>
      <c r="RNM36" s="601"/>
      <c r="RNP36" s="512"/>
      <c r="RNQ36" s="601"/>
      <c r="RNT36" s="512"/>
      <c r="RNU36" s="601"/>
      <c r="RNX36" s="512"/>
      <c r="RNY36" s="601"/>
      <c r="ROB36" s="512"/>
      <c r="ROC36" s="601"/>
      <c r="ROF36" s="512"/>
      <c r="ROG36" s="601"/>
      <c r="ROJ36" s="512"/>
      <c r="ROK36" s="601"/>
      <c r="RON36" s="512"/>
      <c r="ROO36" s="601"/>
      <c r="ROR36" s="512"/>
      <c r="ROS36" s="601"/>
      <c r="ROV36" s="512"/>
      <c r="ROW36" s="601"/>
      <c r="ROZ36" s="512"/>
      <c r="RPA36" s="601"/>
      <c r="RPD36" s="512"/>
      <c r="RPE36" s="601"/>
      <c r="RPH36" s="512"/>
      <c r="RPI36" s="601"/>
      <c r="RPL36" s="512"/>
      <c r="RPM36" s="601"/>
      <c r="RPP36" s="512"/>
      <c r="RPQ36" s="601"/>
      <c r="RPT36" s="512"/>
      <c r="RPU36" s="601"/>
      <c r="RPX36" s="512"/>
      <c r="RPY36" s="601"/>
      <c r="RQB36" s="512"/>
      <c r="RQC36" s="601"/>
      <c r="RQF36" s="512"/>
      <c r="RQG36" s="601"/>
      <c r="RQJ36" s="512"/>
      <c r="RQK36" s="601"/>
      <c r="RQN36" s="512"/>
      <c r="RQO36" s="601"/>
      <c r="RQR36" s="512"/>
      <c r="RQS36" s="601"/>
      <c r="RQV36" s="512"/>
      <c r="RQW36" s="601"/>
      <c r="RQZ36" s="512"/>
      <c r="RRA36" s="601"/>
      <c r="RRD36" s="512"/>
      <c r="RRE36" s="601"/>
      <c r="RRH36" s="512"/>
      <c r="RRI36" s="601"/>
      <c r="RRL36" s="512"/>
      <c r="RRM36" s="601"/>
      <c r="RRP36" s="512"/>
      <c r="RRQ36" s="601"/>
      <c r="RRT36" s="512"/>
      <c r="RRU36" s="601"/>
      <c r="RRX36" s="512"/>
      <c r="RRY36" s="601"/>
      <c r="RSB36" s="512"/>
      <c r="RSC36" s="601"/>
      <c r="RSF36" s="512"/>
      <c r="RSG36" s="601"/>
      <c r="RSJ36" s="512"/>
      <c r="RSK36" s="601"/>
      <c r="RSN36" s="512"/>
      <c r="RSO36" s="601"/>
      <c r="RSR36" s="512"/>
      <c r="RSS36" s="601"/>
      <c r="RSV36" s="512"/>
      <c r="RSW36" s="601"/>
      <c r="RSZ36" s="512"/>
      <c r="RTA36" s="601"/>
      <c r="RTD36" s="512"/>
      <c r="RTE36" s="601"/>
      <c r="RTH36" s="512"/>
      <c r="RTI36" s="601"/>
      <c r="RTL36" s="512"/>
      <c r="RTM36" s="601"/>
      <c r="RTP36" s="512"/>
      <c r="RTQ36" s="601"/>
      <c r="RTT36" s="512"/>
      <c r="RTU36" s="601"/>
      <c r="RTX36" s="512"/>
      <c r="RTY36" s="601"/>
      <c r="RUB36" s="512"/>
      <c r="RUC36" s="601"/>
      <c r="RUF36" s="512"/>
      <c r="RUG36" s="601"/>
      <c r="RUJ36" s="512"/>
      <c r="RUK36" s="601"/>
      <c r="RUN36" s="512"/>
      <c r="RUO36" s="601"/>
      <c r="RUR36" s="512"/>
      <c r="RUS36" s="601"/>
      <c r="RUV36" s="512"/>
      <c r="RUW36" s="601"/>
      <c r="RUZ36" s="512"/>
      <c r="RVA36" s="601"/>
      <c r="RVD36" s="512"/>
      <c r="RVE36" s="601"/>
      <c r="RVH36" s="512"/>
      <c r="RVI36" s="601"/>
      <c r="RVL36" s="512"/>
      <c r="RVM36" s="601"/>
      <c r="RVP36" s="512"/>
      <c r="RVQ36" s="601"/>
      <c r="RVT36" s="512"/>
      <c r="RVU36" s="601"/>
      <c r="RVX36" s="512"/>
      <c r="RVY36" s="601"/>
      <c r="RWB36" s="512"/>
      <c r="RWC36" s="601"/>
      <c r="RWF36" s="512"/>
      <c r="RWG36" s="601"/>
      <c r="RWJ36" s="512"/>
      <c r="RWK36" s="601"/>
      <c r="RWN36" s="512"/>
      <c r="RWO36" s="601"/>
      <c r="RWR36" s="512"/>
      <c r="RWS36" s="601"/>
      <c r="RWV36" s="512"/>
      <c r="RWW36" s="601"/>
      <c r="RWZ36" s="512"/>
      <c r="RXA36" s="601"/>
      <c r="RXD36" s="512"/>
      <c r="RXE36" s="601"/>
      <c r="RXH36" s="512"/>
      <c r="RXI36" s="601"/>
      <c r="RXL36" s="512"/>
      <c r="RXM36" s="601"/>
      <c r="RXP36" s="512"/>
      <c r="RXQ36" s="601"/>
      <c r="RXT36" s="512"/>
      <c r="RXU36" s="601"/>
      <c r="RXX36" s="512"/>
      <c r="RXY36" s="601"/>
      <c r="RYB36" s="512"/>
      <c r="RYC36" s="601"/>
      <c r="RYF36" s="512"/>
      <c r="RYG36" s="601"/>
      <c r="RYJ36" s="512"/>
      <c r="RYK36" s="601"/>
      <c r="RYN36" s="512"/>
      <c r="RYO36" s="601"/>
      <c r="RYR36" s="512"/>
      <c r="RYS36" s="601"/>
      <c r="RYV36" s="512"/>
      <c r="RYW36" s="601"/>
      <c r="RYZ36" s="512"/>
      <c r="RZA36" s="601"/>
      <c r="RZD36" s="512"/>
      <c r="RZE36" s="601"/>
      <c r="RZH36" s="512"/>
      <c r="RZI36" s="601"/>
      <c r="RZL36" s="512"/>
      <c r="RZM36" s="601"/>
      <c r="RZP36" s="512"/>
      <c r="RZQ36" s="601"/>
      <c r="RZT36" s="512"/>
      <c r="RZU36" s="601"/>
      <c r="RZX36" s="512"/>
      <c r="RZY36" s="601"/>
      <c r="SAB36" s="512"/>
      <c r="SAC36" s="601"/>
      <c r="SAF36" s="512"/>
      <c r="SAG36" s="601"/>
      <c r="SAJ36" s="512"/>
      <c r="SAK36" s="601"/>
      <c r="SAN36" s="512"/>
      <c r="SAO36" s="601"/>
      <c r="SAR36" s="512"/>
      <c r="SAS36" s="601"/>
      <c r="SAV36" s="512"/>
      <c r="SAW36" s="601"/>
      <c r="SAZ36" s="512"/>
      <c r="SBA36" s="601"/>
      <c r="SBD36" s="512"/>
      <c r="SBE36" s="601"/>
      <c r="SBH36" s="512"/>
      <c r="SBI36" s="601"/>
      <c r="SBL36" s="512"/>
      <c r="SBM36" s="601"/>
      <c r="SBP36" s="512"/>
      <c r="SBQ36" s="601"/>
      <c r="SBT36" s="512"/>
      <c r="SBU36" s="601"/>
      <c r="SBX36" s="512"/>
      <c r="SBY36" s="601"/>
      <c r="SCB36" s="512"/>
      <c r="SCC36" s="601"/>
      <c r="SCF36" s="512"/>
      <c r="SCG36" s="601"/>
      <c r="SCJ36" s="512"/>
      <c r="SCK36" s="601"/>
      <c r="SCN36" s="512"/>
      <c r="SCO36" s="601"/>
      <c r="SCR36" s="512"/>
      <c r="SCS36" s="601"/>
      <c r="SCV36" s="512"/>
      <c r="SCW36" s="601"/>
      <c r="SCZ36" s="512"/>
      <c r="SDA36" s="601"/>
      <c r="SDD36" s="512"/>
      <c r="SDE36" s="601"/>
      <c r="SDH36" s="512"/>
      <c r="SDI36" s="601"/>
      <c r="SDL36" s="512"/>
      <c r="SDM36" s="601"/>
      <c r="SDP36" s="512"/>
      <c r="SDQ36" s="601"/>
      <c r="SDT36" s="512"/>
      <c r="SDU36" s="601"/>
      <c r="SDX36" s="512"/>
      <c r="SDY36" s="601"/>
      <c r="SEB36" s="512"/>
      <c r="SEC36" s="601"/>
      <c r="SEF36" s="512"/>
      <c r="SEG36" s="601"/>
      <c r="SEJ36" s="512"/>
      <c r="SEK36" s="601"/>
      <c r="SEN36" s="512"/>
      <c r="SEO36" s="601"/>
      <c r="SER36" s="512"/>
      <c r="SES36" s="601"/>
      <c r="SEV36" s="512"/>
      <c r="SEW36" s="601"/>
      <c r="SEZ36" s="512"/>
      <c r="SFA36" s="601"/>
      <c r="SFD36" s="512"/>
      <c r="SFE36" s="601"/>
      <c r="SFH36" s="512"/>
      <c r="SFI36" s="601"/>
      <c r="SFL36" s="512"/>
      <c r="SFM36" s="601"/>
      <c r="SFP36" s="512"/>
      <c r="SFQ36" s="601"/>
      <c r="SFT36" s="512"/>
      <c r="SFU36" s="601"/>
      <c r="SFX36" s="512"/>
      <c r="SFY36" s="601"/>
      <c r="SGB36" s="512"/>
      <c r="SGC36" s="601"/>
      <c r="SGF36" s="512"/>
      <c r="SGG36" s="601"/>
      <c r="SGJ36" s="512"/>
      <c r="SGK36" s="601"/>
      <c r="SGN36" s="512"/>
      <c r="SGO36" s="601"/>
      <c r="SGR36" s="512"/>
      <c r="SGS36" s="601"/>
      <c r="SGV36" s="512"/>
      <c r="SGW36" s="601"/>
      <c r="SGZ36" s="512"/>
      <c r="SHA36" s="601"/>
      <c r="SHD36" s="512"/>
      <c r="SHE36" s="601"/>
      <c r="SHH36" s="512"/>
      <c r="SHI36" s="601"/>
      <c r="SHL36" s="512"/>
      <c r="SHM36" s="601"/>
      <c r="SHP36" s="512"/>
      <c r="SHQ36" s="601"/>
      <c r="SHT36" s="512"/>
      <c r="SHU36" s="601"/>
      <c r="SHX36" s="512"/>
      <c r="SHY36" s="601"/>
      <c r="SIB36" s="512"/>
      <c r="SIC36" s="601"/>
      <c r="SIF36" s="512"/>
      <c r="SIG36" s="601"/>
      <c r="SIJ36" s="512"/>
      <c r="SIK36" s="601"/>
      <c r="SIN36" s="512"/>
      <c r="SIO36" s="601"/>
      <c r="SIR36" s="512"/>
      <c r="SIS36" s="601"/>
      <c r="SIV36" s="512"/>
      <c r="SIW36" s="601"/>
      <c r="SIZ36" s="512"/>
      <c r="SJA36" s="601"/>
      <c r="SJD36" s="512"/>
      <c r="SJE36" s="601"/>
      <c r="SJH36" s="512"/>
      <c r="SJI36" s="601"/>
      <c r="SJL36" s="512"/>
      <c r="SJM36" s="601"/>
      <c r="SJP36" s="512"/>
      <c r="SJQ36" s="601"/>
      <c r="SJT36" s="512"/>
      <c r="SJU36" s="601"/>
      <c r="SJX36" s="512"/>
      <c r="SJY36" s="601"/>
      <c r="SKB36" s="512"/>
      <c r="SKC36" s="601"/>
      <c r="SKF36" s="512"/>
      <c r="SKG36" s="601"/>
      <c r="SKJ36" s="512"/>
      <c r="SKK36" s="601"/>
      <c r="SKN36" s="512"/>
      <c r="SKO36" s="601"/>
      <c r="SKR36" s="512"/>
      <c r="SKS36" s="601"/>
      <c r="SKV36" s="512"/>
      <c r="SKW36" s="601"/>
      <c r="SKZ36" s="512"/>
      <c r="SLA36" s="601"/>
      <c r="SLD36" s="512"/>
      <c r="SLE36" s="601"/>
      <c r="SLH36" s="512"/>
      <c r="SLI36" s="601"/>
      <c r="SLL36" s="512"/>
      <c r="SLM36" s="601"/>
      <c r="SLP36" s="512"/>
      <c r="SLQ36" s="601"/>
      <c r="SLT36" s="512"/>
      <c r="SLU36" s="601"/>
      <c r="SLX36" s="512"/>
      <c r="SLY36" s="601"/>
      <c r="SMB36" s="512"/>
      <c r="SMC36" s="601"/>
      <c r="SMF36" s="512"/>
      <c r="SMG36" s="601"/>
      <c r="SMJ36" s="512"/>
      <c r="SMK36" s="601"/>
      <c r="SMN36" s="512"/>
      <c r="SMO36" s="601"/>
      <c r="SMR36" s="512"/>
      <c r="SMS36" s="601"/>
      <c r="SMV36" s="512"/>
      <c r="SMW36" s="601"/>
      <c r="SMZ36" s="512"/>
      <c r="SNA36" s="601"/>
      <c r="SND36" s="512"/>
      <c r="SNE36" s="601"/>
      <c r="SNH36" s="512"/>
      <c r="SNI36" s="601"/>
      <c r="SNL36" s="512"/>
      <c r="SNM36" s="601"/>
      <c r="SNP36" s="512"/>
      <c r="SNQ36" s="601"/>
      <c r="SNT36" s="512"/>
      <c r="SNU36" s="601"/>
      <c r="SNX36" s="512"/>
      <c r="SNY36" s="601"/>
      <c r="SOB36" s="512"/>
      <c r="SOC36" s="601"/>
      <c r="SOF36" s="512"/>
      <c r="SOG36" s="601"/>
      <c r="SOJ36" s="512"/>
      <c r="SOK36" s="601"/>
      <c r="SON36" s="512"/>
      <c r="SOO36" s="601"/>
      <c r="SOR36" s="512"/>
      <c r="SOS36" s="601"/>
      <c r="SOV36" s="512"/>
      <c r="SOW36" s="601"/>
      <c r="SOZ36" s="512"/>
      <c r="SPA36" s="601"/>
      <c r="SPD36" s="512"/>
      <c r="SPE36" s="601"/>
      <c r="SPH36" s="512"/>
      <c r="SPI36" s="601"/>
      <c r="SPL36" s="512"/>
      <c r="SPM36" s="601"/>
      <c r="SPP36" s="512"/>
      <c r="SPQ36" s="601"/>
      <c r="SPT36" s="512"/>
      <c r="SPU36" s="601"/>
      <c r="SPX36" s="512"/>
      <c r="SPY36" s="601"/>
      <c r="SQB36" s="512"/>
      <c r="SQC36" s="601"/>
      <c r="SQF36" s="512"/>
      <c r="SQG36" s="601"/>
      <c r="SQJ36" s="512"/>
      <c r="SQK36" s="601"/>
      <c r="SQN36" s="512"/>
      <c r="SQO36" s="601"/>
      <c r="SQR36" s="512"/>
      <c r="SQS36" s="601"/>
      <c r="SQV36" s="512"/>
      <c r="SQW36" s="601"/>
      <c r="SQZ36" s="512"/>
      <c r="SRA36" s="601"/>
      <c r="SRD36" s="512"/>
      <c r="SRE36" s="601"/>
      <c r="SRH36" s="512"/>
      <c r="SRI36" s="601"/>
      <c r="SRL36" s="512"/>
      <c r="SRM36" s="601"/>
      <c r="SRP36" s="512"/>
      <c r="SRQ36" s="601"/>
      <c r="SRT36" s="512"/>
      <c r="SRU36" s="601"/>
      <c r="SRX36" s="512"/>
      <c r="SRY36" s="601"/>
      <c r="SSB36" s="512"/>
      <c r="SSC36" s="601"/>
      <c r="SSF36" s="512"/>
      <c r="SSG36" s="601"/>
      <c r="SSJ36" s="512"/>
      <c r="SSK36" s="601"/>
      <c r="SSN36" s="512"/>
      <c r="SSO36" s="601"/>
      <c r="SSR36" s="512"/>
      <c r="SSS36" s="601"/>
      <c r="SSV36" s="512"/>
      <c r="SSW36" s="601"/>
      <c r="SSZ36" s="512"/>
      <c r="STA36" s="601"/>
      <c r="STD36" s="512"/>
      <c r="STE36" s="601"/>
      <c r="STH36" s="512"/>
      <c r="STI36" s="601"/>
      <c r="STL36" s="512"/>
      <c r="STM36" s="601"/>
      <c r="STP36" s="512"/>
      <c r="STQ36" s="601"/>
      <c r="STT36" s="512"/>
      <c r="STU36" s="601"/>
      <c r="STX36" s="512"/>
      <c r="STY36" s="601"/>
      <c r="SUB36" s="512"/>
      <c r="SUC36" s="601"/>
      <c r="SUF36" s="512"/>
      <c r="SUG36" s="601"/>
      <c r="SUJ36" s="512"/>
      <c r="SUK36" s="601"/>
      <c r="SUN36" s="512"/>
      <c r="SUO36" s="601"/>
      <c r="SUR36" s="512"/>
      <c r="SUS36" s="601"/>
      <c r="SUV36" s="512"/>
      <c r="SUW36" s="601"/>
      <c r="SUZ36" s="512"/>
      <c r="SVA36" s="601"/>
      <c r="SVD36" s="512"/>
      <c r="SVE36" s="601"/>
      <c r="SVH36" s="512"/>
      <c r="SVI36" s="601"/>
      <c r="SVL36" s="512"/>
      <c r="SVM36" s="601"/>
      <c r="SVP36" s="512"/>
      <c r="SVQ36" s="601"/>
      <c r="SVT36" s="512"/>
      <c r="SVU36" s="601"/>
      <c r="SVX36" s="512"/>
      <c r="SVY36" s="601"/>
      <c r="SWB36" s="512"/>
      <c r="SWC36" s="601"/>
      <c r="SWF36" s="512"/>
      <c r="SWG36" s="601"/>
      <c r="SWJ36" s="512"/>
      <c r="SWK36" s="601"/>
      <c r="SWN36" s="512"/>
      <c r="SWO36" s="601"/>
      <c r="SWR36" s="512"/>
      <c r="SWS36" s="601"/>
      <c r="SWV36" s="512"/>
      <c r="SWW36" s="601"/>
      <c r="SWZ36" s="512"/>
      <c r="SXA36" s="601"/>
      <c r="SXD36" s="512"/>
      <c r="SXE36" s="601"/>
      <c r="SXH36" s="512"/>
      <c r="SXI36" s="601"/>
      <c r="SXL36" s="512"/>
      <c r="SXM36" s="601"/>
      <c r="SXP36" s="512"/>
      <c r="SXQ36" s="601"/>
      <c r="SXT36" s="512"/>
      <c r="SXU36" s="601"/>
      <c r="SXX36" s="512"/>
      <c r="SXY36" s="601"/>
      <c r="SYB36" s="512"/>
      <c r="SYC36" s="601"/>
      <c r="SYF36" s="512"/>
      <c r="SYG36" s="601"/>
      <c r="SYJ36" s="512"/>
      <c r="SYK36" s="601"/>
      <c r="SYN36" s="512"/>
      <c r="SYO36" s="601"/>
      <c r="SYR36" s="512"/>
      <c r="SYS36" s="601"/>
      <c r="SYV36" s="512"/>
      <c r="SYW36" s="601"/>
      <c r="SYZ36" s="512"/>
      <c r="SZA36" s="601"/>
      <c r="SZD36" s="512"/>
      <c r="SZE36" s="601"/>
      <c r="SZH36" s="512"/>
      <c r="SZI36" s="601"/>
      <c r="SZL36" s="512"/>
      <c r="SZM36" s="601"/>
      <c r="SZP36" s="512"/>
      <c r="SZQ36" s="601"/>
      <c r="SZT36" s="512"/>
      <c r="SZU36" s="601"/>
      <c r="SZX36" s="512"/>
      <c r="SZY36" s="601"/>
      <c r="TAB36" s="512"/>
      <c r="TAC36" s="601"/>
      <c r="TAF36" s="512"/>
      <c r="TAG36" s="601"/>
      <c r="TAJ36" s="512"/>
      <c r="TAK36" s="601"/>
      <c r="TAN36" s="512"/>
      <c r="TAO36" s="601"/>
      <c r="TAR36" s="512"/>
      <c r="TAS36" s="601"/>
      <c r="TAV36" s="512"/>
      <c r="TAW36" s="601"/>
      <c r="TAZ36" s="512"/>
      <c r="TBA36" s="601"/>
      <c r="TBD36" s="512"/>
      <c r="TBE36" s="601"/>
      <c r="TBH36" s="512"/>
      <c r="TBI36" s="601"/>
      <c r="TBL36" s="512"/>
      <c r="TBM36" s="601"/>
      <c r="TBP36" s="512"/>
      <c r="TBQ36" s="601"/>
      <c r="TBT36" s="512"/>
      <c r="TBU36" s="601"/>
      <c r="TBX36" s="512"/>
      <c r="TBY36" s="601"/>
      <c r="TCB36" s="512"/>
      <c r="TCC36" s="601"/>
      <c r="TCF36" s="512"/>
      <c r="TCG36" s="601"/>
      <c r="TCJ36" s="512"/>
      <c r="TCK36" s="601"/>
      <c r="TCN36" s="512"/>
      <c r="TCO36" s="601"/>
      <c r="TCR36" s="512"/>
      <c r="TCS36" s="601"/>
      <c r="TCV36" s="512"/>
      <c r="TCW36" s="601"/>
      <c r="TCZ36" s="512"/>
      <c r="TDA36" s="601"/>
      <c r="TDD36" s="512"/>
      <c r="TDE36" s="601"/>
      <c r="TDH36" s="512"/>
      <c r="TDI36" s="601"/>
      <c r="TDL36" s="512"/>
      <c r="TDM36" s="601"/>
      <c r="TDP36" s="512"/>
      <c r="TDQ36" s="601"/>
      <c r="TDT36" s="512"/>
      <c r="TDU36" s="601"/>
      <c r="TDX36" s="512"/>
      <c r="TDY36" s="601"/>
      <c r="TEB36" s="512"/>
      <c r="TEC36" s="601"/>
      <c r="TEF36" s="512"/>
      <c r="TEG36" s="601"/>
      <c r="TEJ36" s="512"/>
      <c r="TEK36" s="601"/>
      <c r="TEN36" s="512"/>
      <c r="TEO36" s="601"/>
      <c r="TER36" s="512"/>
      <c r="TES36" s="601"/>
      <c r="TEV36" s="512"/>
      <c r="TEW36" s="601"/>
      <c r="TEZ36" s="512"/>
      <c r="TFA36" s="601"/>
      <c r="TFD36" s="512"/>
      <c r="TFE36" s="601"/>
      <c r="TFH36" s="512"/>
      <c r="TFI36" s="601"/>
      <c r="TFL36" s="512"/>
      <c r="TFM36" s="601"/>
      <c r="TFP36" s="512"/>
      <c r="TFQ36" s="601"/>
      <c r="TFT36" s="512"/>
      <c r="TFU36" s="601"/>
      <c r="TFX36" s="512"/>
      <c r="TFY36" s="601"/>
      <c r="TGB36" s="512"/>
      <c r="TGC36" s="601"/>
      <c r="TGF36" s="512"/>
      <c r="TGG36" s="601"/>
      <c r="TGJ36" s="512"/>
      <c r="TGK36" s="601"/>
      <c r="TGN36" s="512"/>
      <c r="TGO36" s="601"/>
      <c r="TGR36" s="512"/>
      <c r="TGS36" s="601"/>
      <c r="TGV36" s="512"/>
      <c r="TGW36" s="601"/>
      <c r="TGZ36" s="512"/>
      <c r="THA36" s="601"/>
      <c r="THD36" s="512"/>
      <c r="THE36" s="601"/>
      <c r="THH36" s="512"/>
      <c r="THI36" s="601"/>
      <c r="THL36" s="512"/>
      <c r="THM36" s="601"/>
      <c r="THP36" s="512"/>
      <c r="THQ36" s="601"/>
      <c r="THT36" s="512"/>
      <c r="THU36" s="601"/>
      <c r="THX36" s="512"/>
      <c r="THY36" s="601"/>
      <c r="TIB36" s="512"/>
      <c r="TIC36" s="601"/>
      <c r="TIF36" s="512"/>
      <c r="TIG36" s="601"/>
      <c r="TIJ36" s="512"/>
      <c r="TIK36" s="601"/>
      <c r="TIN36" s="512"/>
      <c r="TIO36" s="601"/>
      <c r="TIR36" s="512"/>
      <c r="TIS36" s="601"/>
      <c r="TIV36" s="512"/>
      <c r="TIW36" s="601"/>
      <c r="TIZ36" s="512"/>
      <c r="TJA36" s="601"/>
      <c r="TJD36" s="512"/>
      <c r="TJE36" s="601"/>
      <c r="TJH36" s="512"/>
      <c r="TJI36" s="601"/>
      <c r="TJL36" s="512"/>
      <c r="TJM36" s="601"/>
      <c r="TJP36" s="512"/>
      <c r="TJQ36" s="601"/>
      <c r="TJT36" s="512"/>
      <c r="TJU36" s="601"/>
      <c r="TJX36" s="512"/>
      <c r="TJY36" s="601"/>
      <c r="TKB36" s="512"/>
      <c r="TKC36" s="601"/>
      <c r="TKF36" s="512"/>
      <c r="TKG36" s="601"/>
      <c r="TKJ36" s="512"/>
      <c r="TKK36" s="601"/>
      <c r="TKN36" s="512"/>
      <c r="TKO36" s="601"/>
      <c r="TKR36" s="512"/>
      <c r="TKS36" s="601"/>
      <c r="TKV36" s="512"/>
      <c r="TKW36" s="601"/>
      <c r="TKZ36" s="512"/>
      <c r="TLA36" s="601"/>
      <c r="TLD36" s="512"/>
      <c r="TLE36" s="601"/>
      <c r="TLH36" s="512"/>
      <c r="TLI36" s="601"/>
      <c r="TLL36" s="512"/>
      <c r="TLM36" s="601"/>
      <c r="TLP36" s="512"/>
      <c r="TLQ36" s="601"/>
      <c r="TLT36" s="512"/>
      <c r="TLU36" s="601"/>
      <c r="TLX36" s="512"/>
      <c r="TLY36" s="601"/>
      <c r="TMB36" s="512"/>
      <c r="TMC36" s="601"/>
      <c r="TMF36" s="512"/>
      <c r="TMG36" s="601"/>
      <c r="TMJ36" s="512"/>
      <c r="TMK36" s="601"/>
      <c r="TMN36" s="512"/>
      <c r="TMO36" s="601"/>
      <c r="TMR36" s="512"/>
      <c r="TMS36" s="601"/>
      <c r="TMV36" s="512"/>
      <c r="TMW36" s="601"/>
      <c r="TMZ36" s="512"/>
      <c r="TNA36" s="601"/>
      <c r="TND36" s="512"/>
      <c r="TNE36" s="601"/>
      <c r="TNH36" s="512"/>
      <c r="TNI36" s="601"/>
      <c r="TNL36" s="512"/>
      <c r="TNM36" s="601"/>
      <c r="TNP36" s="512"/>
      <c r="TNQ36" s="601"/>
      <c r="TNT36" s="512"/>
      <c r="TNU36" s="601"/>
      <c r="TNX36" s="512"/>
      <c r="TNY36" s="601"/>
      <c r="TOB36" s="512"/>
      <c r="TOC36" s="601"/>
      <c r="TOF36" s="512"/>
      <c r="TOG36" s="601"/>
      <c r="TOJ36" s="512"/>
      <c r="TOK36" s="601"/>
      <c r="TON36" s="512"/>
      <c r="TOO36" s="601"/>
      <c r="TOR36" s="512"/>
      <c r="TOS36" s="601"/>
      <c r="TOV36" s="512"/>
      <c r="TOW36" s="601"/>
      <c r="TOZ36" s="512"/>
      <c r="TPA36" s="601"/>
      <c r="TPD36" s="512"/>
      <c r="TPE36" s="601"/>
      <c r="TPH36" s="512"/>
      <c r="TPI36" s="601"/>
      <c r="TPL36" s="512"/>
      <c r="TPM36" s="601"/>
      <c r="TPP36" s="512"/>
      <c r="TPQ36" s="601"/>
      <c r="TPT36" s="512"/>
      <c r="TPU36" s="601"/>
      <c r="TPX36" s="512"/>
      <c r="TPY36" s="601"/>
      <c r="TQB36" s="512"/>
      <c r="TQC36" s="601"/>
      <c r="TQF36" s="512"/>
      <c r="TQG36" s="601"/>
      <c r="TQJ36" s="512"/>
      <c r="TQK36" s="601"/>
      <c r="TQN36" s="512"/>
      <c r="TQO36" s="601"/>
      <c r="TQR36" s="512"/>
      <c r="TQS36" s="601"/>
      <c r="TQV36" s="512"/>
      <c r="TQW36" s="601"/>
      <c r="TQZ36" s="512"/>
      <c r="TRA36" s="601"/>
      <c r="TRD36" s="512"/>
      <c r="TRE36" s="601"/>
      <c r="TRH36" s="512"/>
      <c r="TRI36" s="601"/>
      <c r="TRL36" s="512"/>
      <c r="TRM36" s="601"/>
      <c r="TRP36" s="512"/>
      <c r="TRQ36" s="601"/>
      <c r="TRT36" s="512"/>
      <c r="TRU36" s="601"/>
      <c r="TRX36" s="512"/>
      <c r="TRY36" s="601"/>
      <c r="TSB36" s="512"/>
      <c r="TSC36" s="601"/>
      <c r="TSF36" s="512"/>
      <c r="TSG36" s="601"/>
      <c r="TSJ36" s="512"/>
      <c r="TSK36" s="601"/>
      <c r="TSN36" s="512"/>
      <c r="TSO36" s="601"/>
      <c r="TSR36" s="512"/>
      <c r="TSS36" s="601"/>
      <c r="TSV36" s="512"/>
      <c r="TSW36" s="601"/>
      <c r="TSZ36" s="512"/>
      <c r="TTA36" s="601"/>
      <c r="TTD36" s="512"/>
      <c r="TTE36" s="601"/>
      <c r="TTH36" s="512"/>
      <c r="TTI36" s="601"/>
      <c r="TTL36" s="512"/>
      <c r="TTM36" s="601"/>
      <c r="TTP36" s="512"/>
      <c r="TTQ36" s="601"/>
      <c r="TTT36" s="512"/>
      <c r="TTU36" s="601"/>
      <c r="TTX36" s="512"/>
      <c r="TTY36" s="601"/>
      <c r="TUB36" s="512"/>
      <c r="TUC36" s="601"/>
      <c r="TUF36" s="512"/>
      <c r="TUG36" s="601"/>
      <c r="TUJ36" s="512"/>
      <c r="TUK36" s="601"/>
      <c r="TUN36" s="512"/>
      <c r="TUO36" s="601"/>
      <c r="TUR36" s="512"/>
      <c r="TUS36" s="601"/>
      <c r="TUV36" s="512"/>
      <c r="TUW36" s="601"/>
      <c r="TUZ36" s="512"/>
      <c r="TVA36" s="601"/>
      <c r="TVD36" s="512"/>
      <c r="TVE36" s="601"/>
      <c r="TVH36" s="512"/>
      <c r="TVI36" s="601"/>
      <c r="TVL36" s="512"/>
      <c r="TVM36" s="601"/>
      <c r="TVP36" s="512"/>
      <c r="TVQ36" s="601"/>
      <c r="TVT36" s="512"/>
      <c r="TVU36" s="601"/>
      <c r="TVX36" s="512"/>
      <c r="TVY36" s="601"/>
      <c r="TWB36" s="512"/>
      <c r="TWC36" s="601"/>
      <c r="TWF36" s="512"/>
      <c r="TWG36" s="601"/>
      <c r="TWJ36" s="512"/>
      <c r="TWK36" s="601"/>
      <c r="TWN36" s="512"/>
      <c r="TWO36" s="601"/>
      <c r="TWR36" s="512"/>
      <c r="TWS36" s="601"/>
      <c r="TWV36" s="512"/>
      <c r="TWW36" s="601"/>
      <c r="TWZ36" s="512"/>
      <c r="TXA36" s="601"/>
      <c r="TXD36" s="512"/>
      <c r="TXE36" s="601"/>
      <c r="TXH36" s="512"/>
      <c r="TXI36" s="601"/>
      <c r="TXL36" s="512"/>
      <c r="TXM36" s="601"/>
      <c r="TXP36" s="512"/>
      <c r="TXQ36" s="601"/>
      <c r="TXT36" s="512"/>
      <c r="TXU36" s="601"/>
      <c r="TXX36" s="512"/>
      <c r="TXY36" s="601"/>
      <c r="TYB36" s="512"/>
      <c r="TYC36" s="601"/>
      <c r="TYF36" s="512"/>
      <c r="TYG36" s="601"/>
      <c r="TYJ36" s="512"/>
      <c r="TYK36" s="601"/>
      <c r="TYN36" s="512"/>
      <c r="TYO36" s="601"/>
      <c r="TYR36" s="512"/>
      <c r="TYS36" s="601"/>
      <c r="TYV36" s="512"/>
      <c r="TYW36" s="601"/>
      <c r="TYZ36" s="512"/>
      <c r="TZA36" s="601"/>
      <c r="TZD36" s="512"/>
      <c r="TZE36" s="601"/>
      <c r="TZH36" s="512"/>
      <c r="TZI36" s="601"/>
      <c r="TZL36" s="512"/>
      <c r="TZM36" s="601"/>
      <c r="TZP36" s="512"/>
      <c r="TZQ36" s="601"/>
      <c r="TZT36" s="512"/>
      <c r="TZU36" s="601"/>
      <c r="TZX36" s="512"/>
      <c r="TZY36" s="601"/>
      <c r="UAB36" s="512"/>
      <c r="UAC36" s="601"/>
      <c r="UAF36" s="512"/>
      <c r="UAG36" s="601"/>
      <c r="UAJ36" s="512"/>
      <c r="UAK36" s="601"/>
      <c r="UAN36" s="512"/>
      <c r="UAO36" s="601"/>
      <c r="UAR36" s="512"/>
      <c r="UAS36" s="601"/>
      <c r="UAV36" s="512"/>
      <c r="UAW36" s="601"/>
      <c r="UAZ36" s="512"/>
      <c r="UBA36" s="601"/>
      <c r="UBD36" s="512"/>
      <c r="UBE36" s="601"/>
      <c r="UBH36" s="512"/>
      <c r="UBI36" s="601"/>
      <c r="UBL36" s="512"/>
      <c r="UBM36" s="601"/>
      <c r="UBP36" s="512"/>
      <c r="UBQ36" s="601"/>
      <c r="UBT36" s="512"/>
      <c r="UBU36" s="601"/>
      <c r="UBX36" s="512"/>
      <c r="UBY36" s="601"/>
      <c r="UCB36" s="512"/>
      <c r="UCC36" s="601"/>
      <c r="UCF36" s="512"/>
      <c r="UCG36" s="601"/>
      <c r="UCJ36" s="512"/>
      <c r="UCK36" s="601"/>
      <c r="UCN36" s="512"/>
      <c r="UCO36" s="601"/>
      <c r="UCR36" s="512"/>
      <c r="UCS36" s="601"/>
      <c r="UCV36" s="512"/>
      <c r="UCW36" s="601"/>
      <c r="UCZ36" s="512"/>
      <c r="UDA36" s="601"/>
      <c r="UDD36" s="512"/>
      <c r="UDE36" s="601"/>
      <c r="UDH36" s="512"/>
      <c r="UDI36" s="601"/>
      <c r="UDL36" s="512"/>
      <c r="UDM36" s="601"/>
      <c r="UDP36" s="512"/>
      <c r="UDQ36" s="601"/>
      <c r="UDT36" s="512"/>
      <c r="UDU36" s="601"/>
      <c r="UDX36" s="512"/>
      <c r="UDY36" s="601"/>
      <c r="UEB36" s="512"/>
      <c r="UEC36" s="601"/>
      <c r="UEF36" s="512"/>
      <c r="UEG36" s="601"/>
      <c r="UEJ36" s="512"/>
      <c r="UEK36" s="601"/>
      <c r="UEN36" s="512"/>
      <c r="UEO36" s="601"/>
      <c r="UER36" s="512"/>
      <c r="UES36" s="601"/>
      <c r="UEV36" s="512"/>
      <c r="UEW36" s="601"/>
      <c r="UEZ36" s="512"/>
      <c r="UFA36" s="601"/>
      <c r="UFD36" s="512"/>
      <c r="UFE36" s="601"/>
      <c r="UFH36" s="512"/>
      <c r="UFI36" s="601"/>
      <c r="UFL36" s="512"/>
      <c r="UFM36" s="601"/>
      <c r="UFP36" s="512"/>
      <c r="UFQ36" s="601"/>
      <c r="UFT36" s="512"/>
      <c r="UFU36" s="601"/>
      <c r="UFX36" s="512"/>
      <c r="UFY36" s="601"/>
      <c r="UGB36" s="512"/>
      <c r="UGC36" s="601"/>
      <c r="UGF36" s="512"/>
      <c r="UGG36" s="601"/>
      <c r="UGJ36" s="512"/>
      <c r="UGK36" s="601"/>
      <c r="UGN36" s="512"/>
      <c r="UGO36" s="601"/>
      <c r="UGR36" s="512"/>
      <c r="UGS36" s="601"/>
      <c r="UGV36" s="512"/>
      <c r="UGW36" s="601"/>
      <c r="UGZ36" s="512"/>
      <c r="UHA36" s="601"/>
      <c r="UHD36" s="512"/>
      <c r="UHE36" s="601"/>
      <c r="UHH36" s="512"/>
      <c r="UHI36" s="601"/>
      <c r="UHL36" s="512"/>
      <c r="UHM36" s="601"/>
      <c r="UHP36" s="512"/>
      <c r="UHQ36" s="601"/>
      <c r="UHT36" s="512"/>
      <c r="UHU36" s="601"/>
      <c r="UHX36" s="512"/>
      <c r="UHY36" s="601"/>
      <c r="UIB36" s="512"/>
      <c r="UIC36" s="601"/>
      <c r="UIF36" s="512"/>
      <c r="UIG36" s="601"/>
      <c r="UIJ36" s="512"/>
      <c r="UIK36" s="601"/>
      <c r="UIN36" s="512"/>
      <c r="UIO36" s="601"/>
      <c r="UIR36" s="512"/>
      <c r="UIS36" s="601"/>
      <c r="UIV36" s="512"/>
      <c r="UIW36" s="601"/>
      <c r="UIZ36" s="512"/>
      <c r="UJA36" s="601"/>
      <c r="UJD36" s="512"/>
      <c r="UJE36" s="601"/>
      <c r="UJH36" s="512"/>
      <c r="UJI36" s="601"/>
      <c r="UJL36" s="512"/>
      <c r="UJM36" s="601"/>
      <c r="UJP36" s="512"/>
      <c r="UJQ36" s="601"/>
      <c r="UJT36" s="512"/>
      <c r="UJU36" s="601"/>
      <c r="UJX36" s="512"/>
      <c r="UJY36" s="601"/>
      <c r="UKB36" s="512"/>
      <c r="UKC36" s="601"/>
      <c r="UKF36" s="512"/>
      <c r="UKG36" s="601"/>
      <c r="UKJ36" s="512"/>
      <c r="UKK36" s="601"/>
      <c r="UKN36" s="512"/>
      <c r="UKO36" s="601"/>
      <c r="UKR36" s="512"/>
      <c r="UKS36" s="601"/>
      <c r="UKV36" s="512"/>
      <c r="UKW36" s="601"/>
      <c r="UKZ36" s="512"/>
      <c r="ULA36" s="601"/>
      <c r="ULD36" s="512"/>
      <c r="ULE36" s="601"/>
      <c r="ULH36" s="512"/>
      <c r="ULI36" s="601"/>
      <c r="ULL36" s="512"/>
      <c r="ULM36" s="601"/>
      <c r="ULP36" s="512"/>
      <c r="ULQ36" s="601"/>
      <c r="ULT36" s="512"/>
      <c r="ULU36" s="601"/>
      <c r="ULX36" s="512"/>
      <c r="ULY36" s="601"/>
      <c r="UMB36" s="512"/>
      <c r="UMC36" s="601"/>
      <c r="UMF36" s="512"/>
      <c r="UMG36" s="601"/>
      <c r="UMJ36" s="512"/>
      <c r="UMK36" s="601"/>
      <c r="UMN36" s="512"/>
      <c r="UMO36" s="601"/>
      <c r="UMR36" s="512"/>
      <c r="UMS36" s="601"/>
      <c r="UMV36" s="512"/>
      <c r="UMW36" s="601"/>
      <c r="UMZ36" s="512"/>
      <c r="UNA36" s="601"/>
      <c r="UND36" s="512"/>
      <c r="UNE36" s="601"/>
      <c r="UNH36" s="512"/>
      <c r="UNI36" s="601"/>
      <c r="UNL36" s="512"/>
      <c r="UNM36" s="601"/>
      <c r="UNP36" s="512"/>
      <c r="UNQ36" s="601"/>
      <c r="UNT36" s="512"/>
      <c r="UNU36" s="601"/>
      <c r="UNX36" s="512"/>
      <c r="UNY36" s="601"/>
      <c r="UOB36" s="512"/>
      <c r="UOC36" s="601"/>
      <c r="UOF36" s="512"/>
      <c r="UOG36" s="601"/>
      <c r="UOJ36" s="512"/>
      <c r="UOK36" s="601"/>
      <c r="UON36" s="512"/>
      <c r="UOO36" s="601"/>
      <c r="UOR36" s="512"/>
      <c r="UOS36" s="601"/>
      <c r="UOV36" s="512"/>
      <c r="UOW36" s="601"/>
      <c r="UOZ36" s="512"/>
      <c r="UPA36" s="601"/>
      <c r="UPD36" s="512"/>
      <c r="UPE36" s="601"/>
      <c r="UPH36" s="512"/>
      <c r="UPI36" s="601"/>
      <c r="UPL36" s="512"/>
      <c r="UPM36" s="601"/>
      <c r="UPP36" s="512"/>
      <c r="UPQ36" s="601"/>
      <c r="UPT36" s="512"/>
      <c r="UPU36" s="601"/>
      <c r="UPX36" s="512"/>
      <c r="UPY36" s="601"/>
      <c r="UQB36" s="512"/>
      <c r="UQC36" s="601"/>
      <c r="UQF36" s="512"/>
      <c r="UQG36" s="601"/>
      <c r="UQJ36" s="512"/>
      <c r="UQK36" s="601"/>
      <c r="UQN36" s="512"/>
      <c r="UQO36" s="601"/>
      <c r="UQR36" s="512"/>
      <c r="UQS36" s="601"/>
      <c r="UQV36" s="512"/>
      <c r="UQW36" s="601"/>
      <c r="UQZ36" s="512"/>
      <c r="URA36" s="601"/>
      <c r="URD36" s="512"/>
      <c r="URE36" s="601"/>
      <c r="URH36" s="512"/>
      <c r="URI36" s="601"/>
      <c r="URL36" s="512"/>
      <c r="URM36" s="601"/>
      <c r="URP36" s="512"/>
      <c r="URQ36" s="601"/>
      <c r="URT36" s="512"/>
      <c r="URU36" s="601"/>
      <c r="URX36" s="512"/>
      <c r="URY36" s="601"/>
      <c r="USB36" s="512"/>
      <c r="USC36" s="601"/>
      <c r="USF36" s="512"/>
      <c r="USG36" s="601"/>
      <c r="USJ36" s="512"/>
      <c r="USK36" s="601"/>
      <c r="USN36" s="512"/>
      <c r="USO36" s="601"/>
      <c r="USR36" s="512"/>
      <c r="USS36" s="601"/>
      <c r="USV36" s="512"/>
      <c r="USW36" s="601"/>
      <c r="USZ36" s="512"/>
      <c r="UTA36" s="601"/>
      <c r="UTD36" s="512"/>
      <c r="UTE36" s="601"/>
      <c r="UTH36" s="512"/>
      <c r="UTI36" s="601"/>
      <c r="UTL36" s="512"/>
      <c r="UTM36" s="601"/>
      <c r="UTP36" s="512"/>
      <c r="UTQ36" s="601"/>
      <c r="UTT36" s="512"/>
      <c r="UTU36" s="601"/>
      <c r="UTX36" s="512"/>
      <c r="UTY36" s="601"/>
      <c r="UUB36" s="512"/>
      <c r="UUC36" s="601"/>
      <c r="UUF36" s="512"/>
      <c r="UUG36" s="601"/>
      <c r="UUJ36" s="512"/>
      <c r="UUK36" s="601"/>
      <c r="UUN36" s="512"/>
      <c r="UUO36" s="601"/>
      <c r="UUR36" s="512"/>
      <c r="UUS36" s="601"/>
      <c r="UUV36" s="512"/>
      <c r="UUW36" s="601"/>
      <c r="UUZ36" s="512"/>
      <c r="UVA36" s="601"/>
      <c r="UVD36" s="512"/>
      <c r="UVE36" s="601"/>
      <c r="UVH36" s="512"/>
      <c r="UVI36" s="601"/>
      <c r="UVL36" s="512"/>
      <c r="UVM36" s="601"/>
      <c r="UVP36" s="512"/>
      <c r="UVQ36" s="601"/>
      <c r="UVT36" s="512"/>
      <c r="UVU36" s="601"/>
      <c r="UVX36" s="512"/>
      <c r="UVY36" s="601"/>
      <c r="UWB36" s="512"/>
      <c r="UWC36" s="601"/>
      <c r="UWF36" s="512"/>
      <c r="UWG36" s="601"/>
      <c r="UWJ36" s="512"/>
      <c r="UWK36" s="601"/>
      <c r="UWN36" s="512"/>
      <c r="UWO36" s="601"/>
      <c r="UWR36" s="512"/>
      <c r="UWS36" s="601"/>
      <c r="UWV36" s="512"/>
      <c r="UWW36" s="601"/>
      <c r="UWZ36" s="512"/>
      <c r="UXA36" s="601"/>
      <c r="UXD36" s="512"/>
      <c r="UXE36" s="601"/>
      <c r="UXH36" s="512"/>
      <c r="UXI36" s="601"/>
      <c r="UXL36" s="512"/>
      <c r="UXM36" s="601"/>
      <c r="UXP36" s="512"/>
      <c r="UXQ36" s="601"/>
      <c r="UXT36" s="512"/>
      <c r="UXU36" s="601"/>
      <c r="UXX36" s="512"/>
      <c r="UXY36" s="601"/>
      <c r="UYB36" s="512"/>
      <c r="UYC36" s="601"/>
      <c r="UYF36" s="512"/>
      <c r="UYG36" s="601"/>
      <c r="UYJ36" s="512"/>
      <c r="UYK36" s="601"/>
      <c r="UYN36" s="512"/>
      <c r="UYO36" s="601"/>
      <c r="UYR36" s="512"/>
      <c r="UYS36" s="601"/>
      <c r="UYV36" s="512"/>
      <c r="UYW36" s="601"/>
      <c r="UYZ36" s="512"/>
      <c r="UZA36" s="601"/>
      <c r="UZD36" s="512"/>
      <c r="UZE36" s="601"/>
      <c r="UZH36" s="512"/>
      <c r="UZI36" s="601"/>
      <c r="UZL36" s="512"/>
      <c r="UZM36" s="601"/>
      <c r="UZP36" s="512"/>
      <c r="UZQ36" s="601"/>
      <c r="UZT36" s="512"/>
      <c r="UZU36" s="601"/>
      <c r="UZX36" s="512"/>
      <c r="UZY36" s="601"/>
      <c r="VAB36" s="512"/>
      <c r="VAC36" s="601"/>
      <c r="VAF36" s="512"/>
      <c r="VAG36" s="601"/>
      <c r="VAJ36" s="512"/>
      <c r="VAK36" s="601"/>
      <c r="VAN36" s="512"/>
      <c r="VAO36" s="601"/>
      <c r="VAR36" s="512"/>
      <c r="VAS36" s="601"/>
      <c r="VAV36" s="512"/>
      <c r="VAW36" s="601"/>
      <c r="VAZ36" s="512"/>
      <c r="VBA36" s="601"/>
      <c r="VBD36" s="512"/>
      <c r="VBE36" s="601"/>
      <c r="VBH36" s="512"/>
      <c r="VBI36" s="601"/>
      <c r="VBL36" s="512"/>
      <c r="VBM36" s="601"/>
      <c r="VBP36" s="512"/>
      <c r="VBQ36" s="601"/>
      <c r="VBT36" s="512"/>
      <c r="VBU36" s="601"/>
      <c r="VBX36" s="512"/>
      <c r="VBY36" s="601"/>
      <c r="VCB36" s="512"/>
      <c r="VCC36" s="601"/>
      <c r="VCF36" s="512"/>
      <c r="VCG36" s="601"/>
      <c r="VCJ36" s="512"/>
      <c r="VCK36" s="601"/>
      <c r="VCN36" s="512"/>
      <c r="VCO36" s="601"/>
      <c r="VCR36" s="512"/>
      <c r="VCS36" s="601"/>
      <c r="VCV36" s="512"/>
      <c r="VCW36" s="601"/>
      <c r="VCZ36" s="512"/>
      <c r="VDA36" s="601"/>
      <c r="VDD36" s="512"/>
      <c r="VDE36" s="601"/>
      <c r="VDH36" s="512"/>
      <c r="VDI36" s="601"/>
      <c r="VDL36" s="512"/>
      <c r="VDM36" s="601"/>
      <c r="VDP36" s="512"/>
      <c r="VDQ36" s="601"/>
      <c r="VDT36" s="512"/>
      <c r="VDU36" s="601"/>
      <c r="VDX36" s="512"/>
      <c r="VDY36" s="601"/>
      <c r="VEB36" s="512"/>
      <c r="VEC36" s="601"/>
      <c r="VEF36" s="512"/>
      <c r="VEG36" s="601"/>
      <c r="VEJ36" s="512"/>
      <c r="VEK36" s="601"/>
      <c r="VEN36" s="512"/>
      <c r="VEO36" s="601"/>
      <c r="VER36" s="512"/>
      <c r="VES36" s="601"/>
      <c r="VEV36" s="512"/>
      <c r="VEW36" s="601"/>
      <c r="VEZ36" s="512"/>
      <c r="VFA36" s="601"/>
      <c r="VFD36" s="512"/>
      <c r="VFE36" s="601"/>
      <c r="VFH36" s="512"/>
      <c r="VFI36" s="601"/>
      <c r="VFL36" s="512"/>
      <c r="VFM36" s="601"/>
      <c r="VFP36" s="512"/>
      <c r="VFQ36" s="601"/>
      <c r="VFT36" s="512"/>
      <c r="VFU36" s="601"/>
      <c r="VFX36" s="512"/>
      <c r="VFY36" s="601"/>
      <c r="VGB36" s="512"/>
      <c r="VGC36" s="601"/>
      <c r="VGF36" s="512"/>
      <c r="VGG36" s="601"/>
      <c r="VGJ36" s="512"/>
      <c r="VGK36" s="601"/>
      <c r="VGN36" s="512"/>
      <c r="VGO36" s="601"/>
      <c r="VGR36" s="512"/>
      <c r="VGS36" s="601"/>
      <c r="VGV36" s="512"/>
      <c r="VGW36" s="601"/>
      <c r="VGZ36" s="512"/>
      <c r="VHA36" s="601"/>
      <c r="VHD36" s="512"/>
      <c r="VHE36" s="601"/>
      <c r="VHH36" s="512"/>
      <c r="VHI36" s="601"/>
      <c r="VHL36" s="512"/>
      <c r="VHM36" s="601"/>
      <c r="VHP36" s="512"/>
      <c r="VHQ36" s="601"/>
      <c r="VHT36" s="512"/>
      <c r="VHU36" s="601"/>
      <c r="VHX36" s="512"/>
      <c r="VHY36" s="601"/>
      <c r="VIB36" s="512"/>
      <c r="VIC36" s="601"/>
      <c r="VIF36" s="512"/>
      <c r="VIG36" s="601"/>
      <c r="VIJ36" s="512"/>
      <c r="VIK36" s="601"/>
      <c r="VIN36" s="512"/>
      <c r="VIO36" s="601"/>
      <c r="VIR36" s="512"/>
      <c r="VIS36" s="601"/>
      <c r="VIV36" s="512"/>
      <c r="VIW36" s="601"/>
      <c r="VIZ36" s="512"/>
      <c r="VJA36" s="601"/>
      <c r="VJD36" s="512"/>
      <c r="VJE36" s="601"/>
      <c r="VJH36" s="512"/>
      <c r="VJI36" s="601"/>
      <c r="VJL36" s="512"/>
      <c r="VJM36" s="601"/>
      <c r="VJP36" s="512"/>
      <c r="VJQ36" s="601"/>
      <c r="VJT36" s="512"/>
      <c r="VJU36" s="601"/>
      <c r="VJX36" s="512"/>
      <c r="VJY36" s="601"/>
      <c r="VKB36" s="512"/>
      <c r="VKC36" s="601"/>
      <c r="VKF36" s="512"/>
      <c r="VKG36" s="601"/>
      <c r="VKJ36" s="512"/>
      <c r="VKK36" s="601"/>
      <c r="VKN36" s="512"/>
      <c r="VKO36" s="601"/>
      <c r="VKR36" s="512"/>
      <c r="VKS36" s="601"/>
      <c r="VKV36" s="512"/>
      <c r="VKW36" s="601"/>
      <c r="VKZ36" s="512"/>
      <c r="VLA36" s="601"/>
      <c r="VLD36" s="512"/>
      <c r="VLE36" s="601"/>
      <c r="VLH36" s="512"/>
      <c r="VLI36" s="601"/>
      <c r="VLL36" s="512"/>
      <c r="VLM36" s="601"/>
      <c r="VLP36" s="512"/>
      <c r="VLQ36" s="601"/>
      <c r="VLT36" s="512"/>
      <c r="VLU36" s="601"/>
      <c r="VLX36" s="512"/>
      <c r="VLY36" s="601"/>
      <c r="VMB36" s="512"/>
      <c r="VMC36" s="601"/>
      <c r="VMF36" s="512"/>
      <c r="VMG36" s="601"/>
      <c r="VMJ36" s="512"/>
      <c r="VMK36" s="601"/>
      <c r="VMN36" s="512"/>
      <c r="VMO36" s="601"/>
      <c r="VMR36" s="512"/>
      <c r="VMS36" s="601"/>
      <c r="VMV36" s="512"/>
      <c r="VMW36" s="601"/>
      <c r="VMZ36" s="512"/>
      <c r="VNA36" s="601"/>
      <c r="VND36" s="512"/>
      <c r="VNE36" s="601"/>
      <c r="VNH36" s="512"/>
      <c r="VNI36" s="601"/>
      <c r="VNL36" s="512"/>
      <c r="VNM36" s="601"/>
      <c r="VNP36" s="512"/>
      <c r="VNQ36" s="601"/>
      <c r="VNT36" s="512"/>
      <c r="VNU36" s="601"/>
      <c r="VNX36" s="512"/>
      <c r="VNY36" s="601"/>
      <c r="VOB36" s="512"/>
      <c r="VOC36" s="601"/>
      <c r="VOF36" s="512"/>
      <c r="VOG36" s="601"/>
      <c r="VOJ36" s="512"/>
      <c r="VOK36" s="601"/>
      <c r="VON36" s="512"/>
      <c r="VOO36" s="601"/>
      <c r="VOR36" s="512"/>
      <c r="VOS36" s="601"/>
      <c r="VOV36" s="512"/>
      <c r="VOW36" s="601"/>
      <c r="VOZ36" s="512"/>
      <c r="VPA36" s="601"/>
      <c r="VPD36" s="512"/>
      <c r="VPE36" s="601"/>
      <c r="VPH36" s="512"/>
      <c r="VPI36" s="601"/>
      <c r="VPL36" s="512"/>
      <c r="VPM36" s="601"/>
      <c r="VPP36" s="512"/>
      <c r="VPQ36" s="601"/>
      <c r="VPT36" s="512"/>
      <c r="VPU36" s="601"/>
      <c r="VPX36" s="512"/>
      <c r="VPY36" s="601"/>
      <c r="VQB36" s="512"/>
      <c r="VQC36" s="601"/>
      <c r="VQF36" s="512"/>
      <c r="VQG36" s="601"/>
      <c r="VQJ36" s="512"/>
      <c r="VQK36" s="601"/>
      <c r="VQN36" s="512"/>
      <c r="VQO36" s="601"/>
      <c r="VQR36" s="512"/>
      <c r="VQS36" s="601"/>
      <c r="VQV36" s="512"/>
      <c r="VQW36" s="601"/>
      <c r="VQZ36" s="512"/>
      <c r="VRA36" s="601"/>
      <c r="VRD36" s="512"/>
      <c r="VRE36" s="601"/>
      <c r="VRH36" s="512"/>
      <c r="VRI36" s="601"/>
      <c r="VRL36" s="512"/>
      <c r="VRM36" s="601"/>
      <c r="VRP36" s="512"/>
      <c r="VRQ36" s="601"/>
      <c r="VRT36" s="512"/>
      <c r="VRU36" s="601"/>
      <c r="VRX36" s="512"/>
      <c r="VRY36" s="601"/>
      <c r="VSB36" s="512"/>
      <c r="VSC36" s="601"/>
      <c r="VSF36" s="512"/>
      <c r="VSG36" s="601"/>
      <c r="VSJ36" s="512"/>
      <c r="VSK36" s="601"/>
      <c r="VSN36" s="512"/>
      <c r="VSO36" s="601"/>
      <c r="VSR36" s="512"/>
      <c r="VSS36" s="601"/>
      <c r="VSV36" s="512"/>
      <c r="VSW36" s="601"/>
      <c r="VSZ36" s="512"/>
      <c r="VTA36" s="601"/>
      <c r="VTD36" s="512"/>
      <c r="VTE36" s="601"/>
      <c r="VTH36" s="512"/>
      <c r="VTI36" s="601"/>
      <c r="VTL36" s="512"/>
      <c r="VTM36" s="601"/>
      <c r="VTP36" s="512"/>
      <c r="VTQ36" s="601"/>
      <c r="VTT36" s="512"/>
      <c r="VTU36" s="601"/>
      <c r="VTX36" s="512"/>
      <c r="VTY36" s="601"/>
      <c r="VUB36" s="512"/>
      <c r="VUC36" s="601"/>
      <c r="VUF36" s="512"/>
      <c r="VUG36" s="601"/>
      <c r="VUJ36" s="512"/>
      <c r="VUK36" s="601"/>
      <c r="VUN36" s="512"/>
      <c r="VUO36" s="601"/>
      <c r="VUR36" s="512"/>
      <c r="VUS36" s="601"/>
      <c r="VUV36" s="512"/>
      <c r="VUW36" s="601"/>
      <c r="VUZ36" s="512"/>
      <c r="VVA36" s="601"/>
      <c r="VVD36" s="512"/>
      <c r="VVE36" s="601"/>
      <c r="VVH36" s="512"/>
      <c r="VVI36" s="601"/>
      <c r="VVL36" s="512"/>
      <c r="VVM36" s="601"/>
      <c r="VVP36" s="512"/>
      <c r="VVQ36" s="601"/>
      <c r="VVT36" s="512"/>
      <c r="VVU36" s="601"/>
      <c r="VVX36" s="512"/>
      <c r="VVY36" s="601"/>
      <c r="VWB36" s="512"/>
      <c r="VWC36" s="601"/>
      <c r="VWF36" s="512"/>
      <c r="VWG36" s="601"/>
      <c r="VWJ36" s="512"/>
      <c r="VWK36" s="601"/>
      <c r="VWN36" s="512"/>
      <c r="VWO36" s="601"/>
      <c r="VWR36" s="512"/>
      <c r="VWS36" s="601"/>
      <c r="VWV36" s="512"/>
      <c r="VWW36" s="601"/>
      <c r="VWZ36" s="512"/>
      <c r="VXA36" s="601"/>
      <c r="VXD36" s="512"/>
      <c r="VXE36" s="601"/>
      <c r="VXH36" s="512"/>
      <c r="VXI36" s="601"/>
      <c r="VXL36" s="512"/>
      <c r="VXM36" s="601"/>
      <c r="VXP36" s="512"/>
      <c r="VXQ36" s="601"/>
      <c r="VXT36" s="512"/>
      <c r="VXU36" s="601"/>
      <c r="VXX36" s="512"/>
      <c r="VXY36" s="601"/>
      <c r="VYB36" s="512"/>
      <c r="VYC36" s="601"/>
      <c r="VYF36" s="512"/>
      <c r="VYG36" s="601"/>
      <c r="VYJ36" s="512"/>
      <c r="VYK36" s="601"/>
      <c r="VYN36" s="512"/>
      <c r="VYO36" s="601"/>
      <c r="VYR36" s="512"/>
      <c r="VYS36" s="601"/>
      <c r="VYV36" s="512"/>
      <c r="VYW36" s="601"/>
      <c r="VYZ36" s="512"/>
      <c r="VZA36" s="601"/>
      <c r="VZD36" s="512"/>
      <c r="VZE36" s="601"/>
      <c r="VZH36" s="512"/>
      <c r="VZI36" s="601"/>
      <c r="VZL36" s="512"/>
      <c r="VZM36" s="601"/>
      <c r="VZP36" s="512"/>
      <c r="VZQ36" s="601"/>
      <c r="VZT36" s="512"/>
      <c r="VZU36" s="601"/>
      <c r="VZX36" s="512"/>
      <c r="VZY36" s="601"/>
      <c r="WAB36" s="512"/>
      <c r="WAC36" s="601"/>
      <c r="WAF36" s="512"/>
      <c r="WAG36" s="601"/>
      <c r="WAJ36" s="512"/>
      <c r="WAK36" s="601"/>
      <c r="WAN36" s="512"/>
      <c r="WAO36" s="601"/>
      <c r="WAR36" s="512"/>
      <c r="WAS36" s="601"/>
      <c r="WAV36" s="512"/>
      <c r="WAW36" s="601"/>
      <c r="WAZ36" s="512"/>
      <c r="WBA36" s="601"/>
      <c r="WBD36" s="512"/>
      <c r="WBE36" s="601"/>
      <c r="WBH36" s="512"/>
      <c r="WBI36" s="601"/>
      <c r="WBL36" s="512"/>
      <c r="WBM36" s="601"/>
      <c r="WBP36" s="512"/>
      <c r="WBQ36" s="601"/>
      <c r="WBT36" s="512"/>
      <c r="WBU36" s="601"/>
      <c r="WBX36" s="512"/>
      <c r="WBY36" s="601"/>
      <c r="WCB36" s="512"/>
      <c r="WCC36" s="601"/>
      <c r="WCF36" s="512"/>
      <c r="WCG36" s="601"/>
      <c r="WCJ36" s="512"/>
      <c r="WCK36" s="601"/>
      <c r="WCN36" s="512"/>
      <c r="WCO36" s="601"/>
      <c r="WCR36" s="512"/>
      <c r="WCS36" s="601"/>
      <c r="WCV36" s="512"/>
      <c r="WCW36" s="601"/>
      <c r="WCZ36" s="512"/>
      <c r="WDA36" s="601"/>
      <c r="WDD36" s="512"/>
      <c r="WDE36" s="601"/>
      <c r="WDH36" s="512"/>
      <c r="WDI36" s="601"/>
      <c r="WDL36" s="512"/>
      <c r="WDM36" s="601"/>
      <c r="WDP36" s="512"/>
      <c r="WDQ36" s="601"/>
      <c r="WDT36" s="512"/>
      <c r="WDU36" s="601"/>
      <c r="WDX36" s="512"/>
      <c r="WDY36" s="601"/>
      <c r="WEB36" s="512"/>
      <c r="WEC36" s="601"/>
      <c r="WEF36" s="512"/>
      <c r="WEG36" s="601"/>
      <c r="WEJ36" s="512"/>
      <c r="WEK36" s="601"/>
      <c r="WEN36" s="512"/>
      <c r="WEO36" s="601"/>
      <c r="WER36" s="512"/>
      <c r="WES36" s="601"/>
      <c r="WEV36" s="512"/>
      <c r="WEW36" s="601"/>
      <c r="WEZ36" s="512"/>
      <c r="WFA36" s="601"/>
      <c r="WFD36" s="512"/>
      <c r="WFE36" s="601"/>
      <c r="WFH36" s="512"/>
      <c r="WFI36" s="601"/>
      <c r="WFL36" s="512"/>
      <c r="WFM36" s="601"/>
      <c r="WFP36" s="512"/>
      <c r="WFQ36" s="601"/>
      <c r="WFT36" s="512"/>
      <c r="WFU36" s="601"/>
      <c r="WFX36" s="512"/>
      <c r="WFY36" s="601"/>
      <c r="WGB36" s="512"/>
      <c r="WGC36" s="601"/>
      <c r="WGF36" s="512"/>
      <c r="WGG36" s="601"/>
      <c r="WGJ36" s="512"/>
      <c r="WGK36" s="601"/>
      <c r="WGN36" s="512"/>
      <c r="WGO36" s="601"/>
      <c r="WGR36" s="512"/>
      <c r="WGS36" s="601"/>
      <c r="WGV36" s="512"/>
      <c r="WGW36" s="601"/>
      <c r="WGZ36" s="512"/>
      <c r="WHA36" s="601"/>
      <c r="WHD36" s="512"/>
      <c r="WHE36" s="601"/>
      <c r="WHH36" s="512"/>
      <c r="WHI36" s="601"/>
      <c r="WHL36" s="512"/>
      <c r="WHM36" s="601"/>
      <c r="WHP36" s="512"/>
      <c r="WHQ36" s="601"/>
      <c r="WHT36" s="512"/>
      <c r="WHU36" s="601"/>
      <c r="WHX36" s="512"/>
      <c r="WHY36" s="601"/>
      <c r="WIB36" s="512"/>
      <c r="WIC36" s="601"/>
      <c r="WIF36" s="512"/>
      <c r="WIG36" s="601"/>
      <c r="WIJ36" s="512"/>
      <c r="WIK36" s="601"/>
      <c r="WIN36" s="512"/>
      <c r="WIO36" s="601"/>
      <c r="WIR36" s="512"/>
      <c r="WIS36" s="601"/>
      <c r="WIV36" s="512"/>
      <c r="WIW36" s="601"/>
      <c r="WIZ36" s="512"/>
      <c r="WJA36" s="601"/>
      <c r="WJD36" s="512"/>
      <c r="WJE36" s="601"/>
      <c r="WJH36" s="512"/>
      <c r="WJI36" s="601"/>
      <c r="WJL36" s="512"/>
      <c r="WJM36" s="601"/>
      <c r="WJP36" s="512"/>
      <c r="WJQ36" s="601"/>
      <c r="WJT36" s="512"/>
      <c r="WJU36" s="601"/>
      <c r="WJX36" s="512"/>
      <c r="WJY36" s="601"/>
      <c r="WKB36" s="512"/>
      <c r="WKC36" s="601"/>
      <c r="WKF36" s="512"/>
      <c r="WKG36" s="601"/>
      <c r="WKJ36" s="512"/>
      <c r="WKK36" s="601"/>
      <c r="WKN36" s="512"/>
      <c r="WKO36" s="601"/>
      <c r="WKR36" s="512"/>
      <c r="WKS36" s="601"/>
      <c r="WKV36" s="512"/>
      <c r="WKW36" s="601"/>
      <c r="WKZ36" s="512"/>
      <c r="WLA36" s="601"/>
      <c r="WLD36" s="512"/>
      <c r="WLE36" s="601"/>
      <c r="WLH36" s="512"/>
      <c r="WLI36" s="601"/>
      <c r="WLL36" s="512"/>
      <c r="WLM36" s="601"/>
      <c r="WLP36" s="512"/>
      <c r="WLQ36" s="601"/>
      <c r="WLT36" s="512"/>
      <c r="WLU36" s="601"/>
      <c r="WLX36" s="512"/>
      <c r="WLY36" s="601"/>
      <c r="WMB36" s="512"/>
      <c r="WMC36" s="601"/>
      <c r="WMF36" s="512"/>
      <c r="WMG36" s="601"/>
      <c r="WMJ36" s="512"/>
      <c r="WMK36" s="601"/>
      <c r="WMN36" s="512"/>
      <c r="WMO36" s="601"/>
      <c r="WMR36" s="512"/>
      <c r="WMS36" s="601"/>
      <c r="WMV36" s="512"/>
      <c r="WMW36" s="601"/>
      <c r="WMZ36" s="512"/>
      <c r="WNA36" s="601"/>
      <c r="WND36" s="512"/>
      <c r="WNE36" s="601"/>
      <c r="WNH36" s="512"/>
      <c r="WNI36" s="601"/>
      <c r="WNL36" s="512"/>
      <c r="WNM36" s="601"/>
      <c r="WNP36" s="512"/>
      <c r="WNQ36" s="601"/>
      <c r="WNT36" s="512"/>
      <c r="WNU36" s="601"/>
      <c r="WNX36" s="512"/>
      <c r="WNY36" s="601"/>
      <c r="WOB36" s="512"/>
      <c r="WOC36" s="601"/>
      <c r="WOF36" s="512"/>
      <c r="WOG36" s="601"/>
      <c r="WOJ36" s="512"/>
      <c r="WOK36" s="601"/>
      <c r="WON36" s="512"/>
      <c r="WOO36" s="601"/>
      <c r="WOR36" s="512"/>
      <c r="WOS36" s="601"/>
      <c r="WOV36" s="512"/>
      <c r="WOW36" s="601"/>
      <c r="WOZ36" s="512"/>
      <c r="WPA36" s="601"/>
      <c r="WPD36" s="512"/>
      <c r="WPE36" s="601"/>
      <c r="WPH36" s="512"/>
      <c r="WPI36" s="601"/>
      <c r="WPL36" s="512"/>
      <c r="WPM36" s="601"/>
      <c r="WPP36" s="512"/>
      <c r="WPQ36" s="601"/>
      <c r="WPT36" s="512"/>
      <c r="WPU36" s="601"/>
      <c r="WPX36" s="512"/>
      <c r="WPY36" s="601"/>
      <c r="WQB36" s="512"/>
      <c r="WQC36" s="601"/>
      <c r="WQF36" s="512"/>
      <c r="WQG36" s="601"/>
      <c r="WQJ36" s="512"/>
      <c r="WQK36" s="601"/>
      <c r="WQN36" s="512"/>
      <c r="WQO36" s="601"/>
      <c r="WQR36" s="512"/>
      <c r="WQS36" s="601"/>
      <c r="WQV36" s="512"/>
      <c r="WQW36" s="601"/>
      <c r="WQZ36" s="512"/>
      <c r="WRA36" s="601"/>
      <c r="WRD36" s="512"/>
      <c r="WRE36" s="601"/>
      <c r="WRH36" s="512"/>
      <c r="WRI36" s="601"/>
      <c r="WRL36" s="512"/>
      <c r="WRM36" s="601"/>
      <c r="WRP36" s="512"/>
      <c r="WRQ36" s="601"/>
      <c r="WRT36" s="512"/>
      <c r="WRU36" s="601"/>
      <c r="WRX36" s="512"/>
      <c r="WRY36" s="601"/>
      <c r="WSB36" s="512"/>
      <c r="WSC36" s="601"/>
      <c r="WSF36" s="512"/>
      <c r="WSG36" s="601"/>
      <c r="WSJ36" s="512"/>
      <c r="WSK36" s="601"/>
      <c r="WSN36" s="512"/>
      <c r="WSO36" s="601"/>
      <c r="WSR36" s="512"/>
      <c r="WSS36" s="601"/>
      <c r="WSV36" s="512"/>
      <c r="WSW36" s="601"/>
      <c r="WSZ36" s="512"/>
      <c r="WTA36" s="601"/>
      <c r="WTD36" s="512"/>
      <c r="WTE36" s="601"/>
      <c r="WTH36" s="512"/>
      <c r="WTI36" s="601"/>
      <c r="WTL36" s="512"/>
      <c r="WTM36" s="601"/>
      <c r="WTP36" s="512"/>
      <c r="WTQ36" s="601"/>
      <c r="WTT36" s="512"/>
      <c r="WTU36" s="601"/>
      <c r="WTX36" s="512"/>
      <c r="WTY36" s="601"/>
      <c r="WUB36" s="512"/>
      <c r="WUC36" s="601"/>
      <c r="WUF36" s="512"/>
      <c r="WUG36" s="601"/>
      <c r="WUJ36" s="512"/>
      <c r="WUK36" s="601"/>
      <c r="WUN36" s="512"/>
      <c r="WUO36" s="601"/>
      <c r="WUR36" s="512"/>
      <c r="WUS36" s="601"/>
      <c r="WUV36" s="512"/>
      <c r="WUW36" s="601"/>
      <c r="WUZ36" s="512"/>
      <c r="WVA36" s="601"/>
      <c r="WVD36" s="512"/>
      <c r="WVE36" s="601"/>
      <c r="WVH36" s="512"/>
      <c r="WVI36" s="601"/>
      <c r="WVL36" s="512"/>
      <c r="WVM36" s="601"/>
      <c r="WVP36" s="512"/>
      <c r="WVQ36" s="601"/>
      <c r="WVT36" s="512"/>
      <c r="WVU36" s="601"/>
      <c r="WVX36" s="512"/>
      <c r="WVY36" s="601"/>
      <c r="WWB36" s="512"/>
      <c r="WWC36" s="601"/>
      <c r="WWF36" s="512"/>
      <c r="WWG36" s="601"/>
      <c r="WWJ36" s="512"/>
      <c r="WWK36" s="601"/>
      <c r="WWN36" s="512"/>
      <c r="WWO36" s="601"/>
      <c r="WWR36" s="512"/>
      <c r="WWS36" s="601"/>
      <c r="WWV36" s="512"/>
      <c r="WWW36" s="601"/>
      <c r="WWZ36" s="512"/>
      <c r="WXA36" s="601"/>
      <c r="WXD36" s="512"/>
      <c r="WXE36" s="601"/>
      <c r="WXH36" s="512"/>
      <c r="WXI36" s="601"/>
      <c r="WXL36" s="512"/>
      <c r="WXM36" s="601"/>
      <c r="WXP36" s="512"/>
      <c r="WXQ36" s="601"/>
      <c r="WXT36" s="512"/>
      <c r="WXU36" s="601"/>
      <c r="WXX36" s="512"/>
      <c r="WXY36" s="601"/>
      <c r="WYB36" s="512"/>
      <c r="WYC36" s="601"/>
      <c r="WYF36" s="512"/>
      <c r="WYG36" s="601"/>
      <c r="WYJ36" s="512"/>
      <c r="WYK36" s="601"/>
      <c r="WYN36" s="512"/>
      <c r="WYO36" s="601"/>
      <c r="WYR36" s="512"/>
      <c r="WYS36" s="601"/>
      <c r="WYV36" s="512"/>
      <c r="WYW36" s="601"/>
      <c r="WYZ36" s="512"/>
      <c r="WZA36" s="601"/>
      <c r="WZD36" s="512"/>
      <c r="WZE36" s="601"/>
      <c r="WZH36" s="512"/>
      <c r="WZI36" s="601"/>
      <c r="WZL36" s="512"/>
      <c r="WZM36" s="601"/>
      <c r="WZP36" s="512"/>
      <c r="WZQ36" s="601"/>
      <c r="WZT36" s="512"/>
      <c r="WZU36" s="601"/>
      <c r="WZX36" s="512"/>
      <c r="WZY36" s="601"/>
      <c r="XAB36" s="512"/>
      <c r="XAC36" s="601"/>
      <c r="XAF36" s="512"/>
      <c r="XAG36" s="601"/>
      <c r="XAJ36" s="512"/>
      <c r="XAK36" s="601"/>
      <c r="XAN36" s="512"/>
      <c r="XAO36" s="601"/>
      <c r="XAR36" s="512"/>
      <c r="XAS36" s="601"/>
      <c r="XAV36" s="512"/>
      <c r="XAW36" s="601"/>
      <c r="XAZ36" s="512"/>
      <c r="XBA36" s="601"/>
      <c r="XBD36" s="512"/>
      <c r="XBE36" s="601"/>
      <c r="XBH36" s="512"/>
      <c r="XBI36" s="601"/>
      <c r="XBL36" s="512"/>
      <c r="XBM36" s="601"/>
      <c r="XBP36" s="512"/>
      <c r="XBQ36" s="601"/>
      <c r="XBT36" s="512"/>
      <c r="XBU36" s="601"/>
      <c r="XBX36" s="512"/>
      <c r="XBY36" s="601"/>
      <c r="XCB36" s="512"/>
      <c r="XCC36" s="601"/>
      <c r="XCF36" s="512"/>
      <c r="XCG36" s="601"/>
      <c r="XCJ36" s="512"/>
      <c r="XCK36" s="601"/>
      <c r="XCN36" s="512"/>
      <c r="XCO36" s="601"/>
      <c r="XCR36" s="512"/>
      <c r="XCS36" s="601"/>
      <c r="XCV36" s="512"/>
      <c r="XCW36" s="601"/>
      <c r="XCZ36" s="512"/>
      <c r="XDA36" s="601"/>
      <c r="XDD36" s="512"/>
      <c r="XDE36" s="601"/>
      <c r="XDH36" s="512"/>
      <c r="XDI36" s="601"/>
      <c r="XDL36" s="512"/>
      <c r="XDM36" s="601"/>
      <c r="XDP36" s="512"/>
      <c r="XDQ36" s="601"/>
      <c r="XDT36" s="512"/>
      <c r="XDU36" s="601"/>
      <c r="XDX36" s="512"/>
      <c r="XDY36" s="601"/>
      <c r="XEB36" s="512"/>
      <c r="XEC36" s="601"/>
      <c r="XEF36" s="512"/>
      <c r="XEG36" s="601"/>
      <c r="XEJ36" s="512"/>
      <c r="XEK36" s="601"/>
      <c r="XEN36" s="512"/>
      <c r="XEO36" s="601"/>
      <c r="XER36" s="512"/>
      <c r="XES36" s="601"/>
      <c r="XEV36" s="512"/>
      <c r="XEW36" s="601"/>
      <c r="XEZ36" s="512"/>
      <c r="XFA36" s="601"/>
    </row>
    <row r="37" spans="1:16381" ht="20.25" customHeight="1" thickBot="1" x14ac:dyDescent="0.4">
      <c r="B37" s="1255">
        <v>18</v>
      </c>
      <c r="C37" s="1261" t="s">
        <v>7067</v>
      </c>
      <c r="D37" s="1252">
        <f>Data!$AE19</f>
        <v>0.24</v>
      </c>
      <c r="E37" s="1256"/>
      <c r="F37" s="1137"/>
      <c r="G37" s="1252">
        <v>1</v>
      </c>
      <c r="L37" s="1927">
        <v>1</v>
      </c>
      <c r="M37" s="1924"/>
      <c r="N37" s="1260">
        <f>LOOKUP(L37,Pol.Data!$AC$4:$AC$7152,Pol.Data!$AF$4:$AF$7152)</f>
        <v>0</v>
      </c>
      <c r="O37" s="1924"/>
      <c r="P37" s="1925"/>
      <c r="Q37" s="1260">
        <f t="shared" si="0"/>
        <v>0</v>
      </c>
    </row>
    <row r="38" spans="1:16381" ht="20.25" customHeight="1" thickBot="1" x14ac:dyDescent="0.4">
      <c r="B38" s="1255">
        <v>19</v>
      </c>
      <c r="C38" s="1261" t="s">
        <v>7068</v>
      </c>
      <c r="D38" s="1252">
        <f>Data!$AE20</f>
        <v>0.24</v>
      </c>
      <c r="E38" s="1256"/>
      <c r="F38" s="1137"/>
      <c r="G38" s="1252">
        <v>1</v>
      </c>
      <c r="L38" s="1927">
        <v>1</v>
      </c>
      <c r="M38" s="1924"/>
      <c r="N38" s="1260">
        <f>LOOKUP(L38,Pol.Data!$AC$4:$AC$7152,Pol.Data!$AF$4:$AF$7152)</f>
        <v>0</v>
      </c>
      <c r="O38" s="1924"/>
      <c r="P38" s="1925"/>
      <c r="Q38" s="1260">
        <f t="shared" si="0"/>
        <v>0</v>
      </c>
    </row>
    <row r="39" spans="1:16381" ht="20.25" customHeight="1" thickBot="1" x14ac:dyDescent="0.4">
      <c r="B39" s="1255">
        <v>20</v>
      </c>
      <c r="C39" s="1261" t="s">
        <v>7069</v>
      </c>
      <c r="D39" s="1252">
        <f>Data!$AE21</f>
        <v>0.15</v>
      </c>
      <c r="E39" s="1256"/>
      <c r="F39" s="1137"/>
      <c r="G39" s="1252">
        <v>1</v>
      </c>
      <c r="L39" s="1927">
        <v>1</v>
      </c>
      <c r="M39" s="1924"/>
      <c r="N39" s="1260">
        <f>LOOKUP(L39,Pol.Data!$AC$4:$AC$7152,Pol.Data!$AF$4:$AF$7152)</f>
        <v>0</v>
      </c>
      <c r="O39" s="1924"/>
      <c r="P39" s="1925"/>
      <c r="Q39" s="1260">
        <f t="shared" si="0"/>
        <v>0</v>
      </c>
    </row>
    <row r="40" spans="1:16381" ht="20.25" customHeight="1" thickBot="1" x14ac:dyDescent="0.4">
      <c r="B40" s="1255">
        <v>21</v>
      </c>
      <c r="C40" s="1261" t="s">
        <v>7070</v>
      </c>
      <c r="D40" s="1252">
        <f>Data!$AE22</f>
        <v>0.2</v>
      </c>
      <c r="E40" s="1256"/>
      <c r="F40" s="1137"/>
      <c r="G40" s="1252">
        <v>1</v>
      </c>
      <c r="L40" s="1927">
        <v>1</v>
      </c>
      <c r="M40" s="1924"/>
      <c r="N40" s="1260">
        <f>LOOKUP(L40,Pol.Data!$AC$4:$AC$7152,Pol.Data!$AF$4:$AF$7152)</f>
        <v>0</v>
      </c>
      <c r="O40" s="1924"/>
      <c r="P40" s="1925"/>
      <c r="Q40" s="1260">
        <f t="shared" si="0"/>
        <v>0</v>
      </c>
    </row>
    <row r="41" spans="1:16381" ht="20.25" customHeight="1" thickBot="1" x14ac:dyDescent="0.4">
      <c r="B41" s="1255">
        <v>22</v>
      </c>
      <c r="C41" s="1261" t="s">
        <v>7071</v>
      </c>
      <c r="D41" s="1252">
        <f>Data!$AE23</f>
        <v>8.4000000000000005E-2</v>
      </c>
      <c r="E41" s="1256"/>
      <c r="F41" s="1137"/>
      <c r="G41" s="1252">
        <v>1</v>
      </c>
      <c r="L41" s="1927">
        <v>1</v>
      </c>
      <c r="M41" s="1924"/>
      <c r="N41" s="1260">
        <f>LOOKUP(L41,Pol.Data!$AC$4:$AC$7152,Pol.Data!$AF$4:$AF$7152)</f>
        <v>0</v>
      </c>
      <c r="O41" s="1924"/>
      <c r="P41" s="1925"/>
      <c r="Q41" s="1260">
        <f t="shared" si="0"/>
        <v>0</v>
      </c>
    </row>
    <row r="42" spans="1:16381" ht="20.25" customHeight="1" thickBot="1" x14ac:dyDescent="0.4">
      <c r="B42" s="1255">
        <v>23</v>
      </c>
      <c r="C42" s="1261" t="s">
        <v>7072</v>
      </c>
      <c r="D42" s="1252">
        <f>Data!$AE24</f>
        <v>9.5000000000000001E-2</v>
      </c>
      <c r="E42" s="1256"/>
      <c r="F42" s="1137"/>
      <c r="G42" s="1252">
        <v>1</v>
      </c>
      <c r="L42" s="1928">
        <v>1</v>
      </c>
      <c r="M42" s="1924"/>
      <c r="N42" s="1260">
        <f>LOOKUP(L42,Pol.Data!$AC$4:$AC$7152,Pol.Data!$AF$4:$AF$7152)</f>
        <v>0</v>
      </c>
      <c r="O42" s="1924"/>
      <c r="P42" s="1925"/>
      <c r="Q42" s="1260">
        <f t="shared" si="0"/>
        <v>0</v>
      </c>
    </row>
    <row r="43" spans="1:16381" ht="20.25" customHeight="1" thickBot="1" x14ac:dyDescent="0.4">
      <c r="B43" s="1255">
        <v>24</v>
      </c>
      <c r="C43" s="1261" t="s">
        <v>7073</v>
      </c>
      <c r="D43" s="1252">
        <f>Data!$AE25</f>
        <v>0.1</v>
      </c>
      <c r="E43" s="1256"/>
      <c r="F43" s="1137"/>
      <c r="G43" s="1252">
        <f t="shared" ref="G43:G50" si="1">F43*E43+(1-F43)*D43</f>
        <v>0.1</v>
      </c>
      <c r="Q43" s="499"/>
    </row>
    <row r="44" spans="1:16381" ht="20.25" customHeight="1" thickBot="1" x14ac:dyDescent="0.4">
      <c r="B44" s="1255">
        <v>25</v>
      </c>
      <c r="C44" s="1261" t="s">
        <v>7074</v>
      </c>
      <c r="D44" s="1252">
        <f>Data!$AE26</f>
        <v>0.1</v>
      </c>
      <c r="E44" s="1256"/>
      <c r="F44" s="1137"/>
      <c r="G44" s="1252">
        <f t="shared" si="1"/>
        <v>0.1</v>
      </c>
      <c r="O44" s="1774" t="s">
        <v>7599</v>
      </c>
      <c r="P44" s="1775"/>
      <c r="Q44" s="1263">
        <f>SUM(Q23:Q42)</f>
        <v>0</v>
      </c>
    </row>
    <row r="45" spans="1:16381" ht="20.25" customHeight="1" x14ac:dyDescent="0.35">
      <c r="B45" s="1255">
        <v>26</v>
      </c>
      <c r="C45" s="1261" t="s">
        <v>7075</v>
      </c>
      <c r="D45" s="1252">
        <f>Data!$AE27</f>
        <v>0.4</v>
      </c>
      <c r="E45" s="1256"/>
      <c r="F45" s="1137"/>
      <c r="G45" s="1252">
        <f t="shared" si="1"/>
        <v>0.4</v>
      </c>
    </row>
    <row r="46" spans="1:16381" ht="20.25" customHeight="1" x14ac:dyDescent="0.35">
      <c r="B46" s="1255">
        <v>27</v>
      </c>
      <c r="C46" s="1261" t="s">
        <v>7076</v>
      </c>
      <c r="D46" s="1252">
        <f>Data!$AE28</f>
        <v>0.1</v>
      </c>
      <c r="E46" s="1256"/>
      <c r="F46" s="1137"/>
      <c r="G46" s="1252">
        <f t="shared" si="1"/>
        <v>0.1</v>
      </c>
      <c r="P46" s="807"/>
    </row>
    <row r="47" spans="1:16381" ht="20.25" customHeight="1" x14ac:dyDescent="0.35">
      <c r="B47" s="1255">
        <v>28</v>
      </c>
      <c r="C47" s="1261" t="s">
        <v>7077</v>
      </c>
      <c r="D47" s="1252">
        <f>Data!$AE29</f>
        <v>0.4</v>
      </c>
      <c r="E47" s="1256"/>
      <c r="F47" s="1137"/>
      <c r="G47" s="1252">
        <f t="shared" si="1"/>
        <v>0.4</v>
      </c>
    </row>
    <row r="48" spans="1:16381" ht="20.25" customHeight="1" x14ac:dyDescent="0.35">
      <c r="B48" s="1255">
        <v>29</v>
      </c>
      <c r="C48" s="1261" t="s">
        <v>7078</v>
      </c>
      <c r="D48" s="1252">
        <f>Data!$AE30</f>
        <v>0.4</v>
      </c>
      <c r="E48" s="1256"/>
      <c r="F48" s="1137"/>
      <c r="G48" s="1252">
        <f t="shared" si="1"/>
        <v>0.4</v>
      </c>
    </row>
    <row r="49" spans="2:7" ht="20.25" customHeight="1" x14ac:dyDescent="0.35">
      <c r="B49" s="1255">
        <v>30</v>
      </c>
      <c r="C49" s="1261" t="s">
        <v>7079</v>
      </c>
      <c r="D49" s="1252">
        <f>Data!$AE31</f>
        <v>0.4</v>
      </c>
      <c r="E49" s="1256"/>
      <c r="F49" s="1137"/>
      <c r="G49" s="1252">
        <f t="shared" si="1"/>
        <v>0.4</v>
      </c>
    </row>
    <row r="50" spans="2:7" ht="20.25" customHeight="1" thickBot="1" x14ac:dyDescent="0.4">
      <c r="B50" s="1264">
        <v>31</v>
      </c>
      <c r="C50" s="1265" t="s">
        <v>7080</v>
      </c>
      <c r="D50" s="1266">
        <f>Data!AE32</f>
        <v>0.4</v>
      </c>
      <c r="E50" s="1267"/>
      <c r="F50" s="1268"/>
      <c r="G50" s="1266">
        <f t="shared" si="1"/>
        <v>0.4</v>
      </c>
    </row>
  </sheetData>
  <sheetProtection algorithmName="SHA-512" hashValue="X/wlRCpo2mH+ycBAeodvxscK0HbuNat17Q4OUaD0WzLSGbUHegmtVi+wGc8IRJ8NTXDmH/NE2iDAvi2jU9yAVw==" saltValue="vChzmmoguCmzw3lKov7QvQ==" spinCount="100000" sheet="1" objects="1" scenarios="1"/>
  <mergeCells count="6">
    <mergeCell ref="L21:Q21"/>
    <mergeCell ref="O44:P44"/>
    <mergeCell ref="B1:C1"/>
    <mergeCell ref="D1:E1"/>
    <mergeCell ref="P2:Q2"/>
    <mergeCell ref="C3:F3"/>
  </mergeCell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92170" r:id="rId4" name="Drop Down 10">
              <controlPr defaultSize="0" autoLine="0" autoPict="0">
                <anchor moveWithCells="1">
                  <from>
                    <xdr:col>11</xdr:col>
                    <xdr:colOff>12700</xdr:colOff>
                    <xdr:row>3</xdr:row>
                    <xdr:rowOff>12700</xdr:rowOff>
                  </from>
                  <to>
                    <xdr:col>12</xdr:col>
                    <xdr:colOff>12700</xdr:colOff>
                    <xdr:row>3</xdr:row>
                    <xdr:rowOff>622300</xdr:rowOff>
                  </to>
                </anchor>
              </controlPr>
            </control>
          </mc:Choice>
        </mc:AlternateContent>
        <mc:AlternateContent xmlns:mc="http://schemas.openxmlformats.org/markup-compatibility/2006">
          <mc:Choice Requires="x14">
            <control shapeId="92171" r:id="rId5" name="Drop Down 11">
              <controlPr defaultSize="0" autoLine="0" autoPict="0">
                <anchor moveWithCells="1">
                  <from>
                    <xdr:col>11</xdr:col>
                    <xdr:colOff>12700</xdr:colOff>
                    <xdr:row>4</xdr:row>
                    <xdr:rowOff>12700</xdr:rowOff>
                  </from>
                  <to>
                    <xdr:col>12</xdr:col>
                    <xdr:colOff>0</xdr:colOff>
                    <xdr:row>5</xdr:row>
                    <xdr:rowOff>0</xdr:rowOff>
                  </to>
                </anchor>
              </controlPr>
            </control>
          </mc:Choice>
        </mc:AlternateContent>
        <mc:AlternateContent xmlns:mc="http://schemas.openxmlformats.org/markup-compatibility/2006">
          <mc:Choice Requires="x14">
            <control shapeId="92172" r:id="rId6" name="Drop Down 12">
              <controlPr defaultSize="0" autoLine="0" autoPict="0">
                <anchor moveWithCells="1">
                  <from>
                    <xdr:col>11</xdr:col>
                    <xdr:colOff>12700</xdr:colOff>
                    <xdr:row>5</xdr:row>
                    <xdr:rowOff>12700</xdr:rowOff>
                  </from>
                  <to>
                    <xdr:col>12</xdr:col>
                    <xdr:colOff>0</xdr:colOff>
                    <xdr:row>5</xdr:row>
                    <xdr:rowOff>571500</xdr:rowOff>
                  </to>
                </anchor>
              </controlPr>
            </control>
          </mc:Choice>
        </mc:AlternateContent>
        <mc:AlternateContent xmlns:mc="http://schemas.openxmlformats.org/markup-compatibility/2006">
          <mc:Choice Requires="x14">
            <control shapeId="92174" r:id="rId7" name="Drop Down 14">
              <controlPr defaultSize="0" autoLine="0" autoPict="0">
                <anchor moveWithCells="1">
                  <from>
                    <xdr:col>11</xdr:col>
                    <xdr:colOff>12700</xdr:colOff>
                    <xdr:row>7</xdr:row>
                    <xdr:rowOff>12700</xdr:rowOff>
                  </from>
                  <to>
                    <xdr:col>12</xdr:col>
                    <xdr:colOff>0</xdr:colOff>
                    <xdr:row>8</xdr:row>
                    <xdr:rowOff>12700</xdr:rowOff>
                  </to>
                </anchor>
              </controlPr>
            </control>
          </mc:Choice>
        </mc:AlternateContent>
        <mc:AlternateContent xmlns:mc="http://schemas.openxmlformats.org/markup-compatibility/2006">
          <mc:Choice Requires="x14">
            <control shapeId="92175" r:id="rId8" name="Drop Down 15">
              <controlPr defaultSize="0" autoLine="0" autoPict="0">
                <anchor moveWithCells="1">
                  <from>
                    <xdr:col>11</xdr:col>
                    <xdr:colOff>12700</xdr:colOff>
                    <xdr:row>8</xdr:row>
                    <xdr:rowOff>12700</xdr:rowOff>
                  </from>
                  <to>
                    <xdr:col>12</xdr:col>
                    <xdr:colOff>12700</xdr:colOff>
                    <xdr:row>8</xdr:row>
                    <xdr:rowOff>571500</xdr:rowOff>
                  </to>
                </anchor>
              </controlPr>
            </control>
          </mc:Choice>
        </mc:AlternateContent>
        <mc:AlternateContent xmlns:mc="http://schemas.openxmlformats.org/markup-compatibility/2006">
          <mc:Choice Requires="x14">
            <control shapeId="92176" r:id="rId9" name="Drop Down 16">
              <controlPr defaultSize="0" autoLine="0" autoPict="0">
                <anchor moveWithCells="1">
                  <from>
                    <xdr:col>11</xdr:col>
                    <xdr:colOff>12700</xdr:colOff>
                    <xdr:row>9</xdr:row>
                    <xdr:rowOff>12700</xdr:rowOff>
                  </from>
                  <to>
                    <xdr:col>12</xdr:col>
                    <xdr:colOff>12700</xdr:colOff>
                    <xdr:row>10</xdr:row>
                    <xdr:rowOff>12700</xdr:rowOff>
                  </to>
                </anchor>
              </controlPr>
            </control>
          </mc:Choice>
        </mc:AlternateContent>
        <mc:AlternateContent xmlns:mc="http://schemas.openxmlformats.org/markup-compatibility/2006">
          <mc:Choice Requires="x14">
            <control shapeId="92178" r:id="rId10" name="Drop Down 18">
              <controlPr defaultSize="0" autoLine="0" autoPict="0">
                <anchor moveWithCells="1">
                  <from>
                    <xdr:col>11</xdr:col>
                    <xdr:colOff>12700</xdr:colOff>
                    <xdr:row>13</xdr:row>
                    <xdr:rowOff>12700</xdr:rowOff>
                  </from>
                  <to>
                    <xdr:col>12</xdr:col>
                    <xdr:colOff>12700</xdr:colOff>
                    <xdr:row>14</xdr:row>
                    <xdr:rowOff>12700</xdr:rowOff>
                  </to>
                </anchor>
              </controlPr>
            </control>
          </mc:Choice>
        </mc:AlternateContent>
        <mc:AlternateContent xmlns:mc="http://schemas.openxmlformats.org/markup-compatibility/2006">
          <mc:Choice Requires="x14">
            <control shapeId="92179" r:id="rId11" name="Drop Down 19">
              <controlPr defaultSize="0" autoLine="0" autoPict="0">
                <anchor moveWithCells="1">
                  <from>
                    <xdr:col>11</xdr:col>
                    <xdr:colOff>12700</xdr:colOff>
                    <xdr:row>10</xdr:row>
                    <xdr:rowOff>12700</xdr:rowOff>
                  </from>
                  <to>
                    <xdr:col>12</xdr:col>
                    <xdr:colOff>12700</xdr:colOff>
                    <xdr:row>11</xdr:row>
                    <xdr:rowOff>12700</xdr:rowOff>
                  </to>
                </anchor>
              </controlPr>
            </control>
          </mc:Choice>
        </mc:AlternateContent>
        <mc:AlternateContent xmlns:mc="http://schemas.openxmlformats.org/markup-compatibility/2006">
          <mc:Choice Requires="x14">
            <control shapeId="92181" r:id="rId12" name="Drop Down 21">
              <controlPr defaultSize="0" autoLine="0" autoPict="0">
                <anchor moveWithCells="1">
                  <from>
                    <xdr:col>11</xdr:col>
                    <xdr:colOff>12700</xdr:colOff>
                    <xdr:row>15</xdr:row>
                    <xdr:rowOff>12700</xdr:rowOff>
                  </from>
                  <to>
                    <xdr:col>12</xdr:col>
                    <xdr:colOff>12700</xdr:colOff>
                    <xdr:row>16</xdr:row>
                    <xdr:rowOff>0</xdr:rowOff>
                  </to>
                </anchor>
              </controlPr>
            </control>
          </mc:Choice>
        </mc:AlternateContent>
        <mc:AlternateContent xmlns:mc="http://schemas.openxmlformats.org/markup-compatibility/2006">
          <mc:Choice Requires="x14">
            <control shapeId="92183" r:id="rId13" name="Drop Down 23">
              <controlPr defaultSize="0" autoLine="0" autoPict="0">
                <anchor moveWithCells="1">
                  <from>
                    <xdr:col>11</xdr:col>
                    <xdr:colOff>12700</xdr:colOff>
                    <xdr:row>16</xdr:row>
                    <xdr:rowOff>0</xdr:rowOff>
                  </from>
                  <to>
                    <xdr:col>12</xdr:col>
                    <xdr:colOff>12700</xdr:colOff>
                    <xdr:row>16</xdr:row>
                    <xdr:rowOff>266700</xdr:rowOff>
                  </to>
                </anchor>
              </controlPr>
            </control>
          </mc:Choice>
        </mc:AlternateContent>
        <mc:AlternateContent xmlns:mc="http://schemas.openxmlformats.org/markup-compatibility/2006">
          <mc:Choice Requires="x14">
            <control shapeId="92187" r:id="rId14" name="Drop Down 27">
              <controlPr defaultSize="0" autoLine="0" autoPict="0">
                <anchor moveWithCells="1">
                  <from>
                    <xdr:col>13</xdr:col>
                    <xdr:colOff>0</xdr:colOff>
                    <xdr:row>2</xdr:row>
                    <xdr:rowOff>914400</xdr:rowOff>
                  </from>
                  <to>
                    <xdr:col>14</xdr:col>
                    <xdr:colOff>12700</xdr:colOff>
                    <xdr:row>3</xdr:row>
                    <xdr:rowOff>635000</xdr:rowOff>
                  </to>
                </anchor>
              </controlPr>
            </control>
          </mc:Choice>
        </mc:AlternateContent>
        <mc:AlternateContent xmlns:mc="http://schemas.openxmlformats.org/markup-compatibility/2006">
          <mc:Choice Requires="x14">
            <control shapeId="92188" r:id="rId15" name="Drop Down 28">
              <controlPr defaultSize="0" autoLine="0" autoPict="0">
                <anchor moveWithCells="1">
                  <from>
                    <xdr:col>13</xdr:col>
                    <xdr:colOff>0</xdr:colOff>
                    <xdr:row>4</xdr:row>
                    <xdr:rowOff>12700</xdr:rowOff>
                  </from>
                  <to>
                    <xdr:col>14</xdr:col>
                    <xdr:colOff>12700</xdr:colOff>
                    <xdr:row>5</xdr:row>
                    <xdr:rowOff>0</xdr:rowOff>
                  </to>
                </anchor>
              </controlPr>
            </control>
          </mc:Choice>
        </mc:AlternateContent>
        <mc:AlternateContent xmlns:mc="http://schemas.openxmlformats.org/markup-compatibility/2006">
          <mc:Choice Requires="x14">
            <control shapeId="92190" r:id="rId16" name="Drop Down 30">
              <controlPr defaultSize="0" autoLine="0" autoPict="0">
                <anchor moveWithCells="1">
                  <from>
                    <xdr:col>13</xdr:col>
                    <xdr:colOff>0</xdr:colOff>
                    <xdr:row>6</xdr:row>
                    <xdr:rowOff>12700</xdr:rowOff>
                  </from>
                  <to>
                    <xdr:col>14</xdr:col>
                    <xdr:colOff>12700</xdr:colOff>
                    <xdr:row>7</xdr:row>
                    <xdr:rowOff>12700</xdr:rowOff>
                  </to>
                </anchor>
              </controlPr>
            </control>
          </mc:Choice>
        </mc:AlternateContent>
        <mc:AlternateContent xmlns:mc="http://schemas.openxmlformats.org/markup-compatibility/2006">
          <mc:Choice Requires="x14">
            <control shapeId="92191" r:id="rId17" name="Drop Down 31">
              <controlPr defaultSize="0" autoLine="0" autoPict="0">
                <anchor moveWithCells="1">
                  <from>
                    <xdr:col>13</xdr:col>
                    <xdr:colOff>0</xdr:colOff>
                    <xdr:row>7</xdr:row>
                    <xdr:rowOff>12700</xdr:rowOff>
                  </from>
                  <to>
                    <xdr:col>14</xdr:col>
                    <xdr:colOff>12700</xdr:colOff>
                    <xdr:row>8</xdr:row>
                    <xdr:rowOff>0</xdr:rowOff>
                  </to>
                </anchor>
              </controlPr>
            </control>
          </mc:Choice>
        </mc:AlternateContent>
        <mc:AlternateContent xmlns:mc="http://schemas.openxmlformats.org/markup-compatibility/2006">
          <mc:Choice Requires="x14">
            <control shapeId="92192" r:id="rId18" name="Drop Down 32">
              <controlPr defaultSize="0" autoLine="0" autoPict="0">
                <anchor moveWithCells="1">
                  <from>
                    <xdr:col>13</xdr:col>
                    <xdr:colOff>0</xdr:colOff>
                    <xdr:row>7</xdr:row>
                    <xdr:rowOff>584200</xdr:rowOff>
                  </from>
                  <to>
                    <xdr:col>14</xdr:col>
                    <xdr:colOff>12700</xdr:colOff>
                    <xdr:row>8</xdr:row>
                    <xdr:rowOff>533400</xdr:rowOff>
                  </to>
                </anchor>
              </controlPr>
            </control>
          </mc:Choice>
        </mc:AlternateContent>
        <mc:AlternateContent xmlns:mc="http://schemas.openxmlformats.org/markup-compatibility/2006">
          <mc:Choice Requires="x14">
            <control shapeId="92193" r:id="rId19" name="Drop Down 33">
              <controlPr defaultSize="0" autoLine="0" autoPict="0">
                <anchor moveWithCells="1">
                  <from>
                    <xdr:col>13</xdr:col>
                    <xdr:colOff>0</xdr:colOff>
                    <xdr:row>9</xdr:row>
                    <xdr:rowOff>12700</xdr:rowOff>
                  </from>
                  <to>
                    <xdr:col>14</xdr:col>
                    <xdr:colOff>12700</xdr:colOff>
                    <xdr:row>10</xdr:row>
                    <xdr:rowOff>0</xdr:rowOff>
                  </to>
                </anchor>
              </controlPr>
            </control>
          </mc:Choice>
        </mc:AlternateContent>
        <mc:AlternateContent xmlns:mc="http://schemas.openxmlformats.org/markup-compatibility/2006">
          <mc:Choice Requires="x14">
            <control shapeId="92194" r:id="rId20" name="Drop Down 34">
              <controlPr defaultSize="0" autoLine="0" autoPict="0">
                <anchor moveWithCells="1">
                  <from>
                    <xdr:col>13</xdr:col>
                    <xdr:colOff>0</xdr:colOff>
                    <xdr:row>10</xdr:row>
                    <xdr:rowOff>12700</xdr:rowOff>
                  </from>
                  <to>
                    <xdr:col>14</xdr:col>
                    <xdr:colOff>12700</xdr:colOff>
                    <xdr:row>11</xdr:row>
                    <xdr:rowOff>0</xdr:rowOff>
                  </to>
                </anchor>
              </controlPr>
            </control>
          </mc:Choice>
        </mc:AlternateContent>
        <mc:AlternateContent xmlns:mc="http://schemas.openxmlformats.org/markup-compatibility/2006">
          <mc:Choice Requires="x14">
            <control shapeId="92195" r:id="rId21" name="Drop Down 35">
              <controlPr defaultSize="0" autoLine="0" autoPict="0">
                <anchor moveWithCells="1">
                  <from>
                    <xdr:col>13</xdr:col>
                    <xdr:colOff>0</xdr:colOff>
                    <xdr:row>13</xdr:row>
                    <xdr:rowOff>12700</xdr:rowOff>
                  </from>
                  <to>
                    <xdr:col>14</xdr:col>
                    <xdr:colOff>12700</xdr:colOff>
                    <xdr:row>14</xdr:row>
                    <xdr:rowOff>12700</xdr:rowOff>
                  </to>
                </anchor>
              </controlPr>
            </control>
          </mc:Choice>
        </mc:AlternateContent>
        <mc:AlternateContent xmlns:mc="http://schemas.openxmlformats.org/markup-compatibility/2006">
          <mc:Choice Requires="x14">
            <control shapeId="92196" r:id="rId22" name="Drop Down 36">
              <controlPr defaultSize="0" autoLine="0" autoPict="0">
                <anchor moveWithCells="1">
                  <from>
                    <xdr:col>13</xdr:col>
                    <xdr:colOff>0</xdr:colOff>
                    <xdr:row>14</xdr:row>
                    <xdr:rowOff>12700</xdr:rowOff>
                  </from>
                  <to>
                    <xdr:col>14</xdr:col>
                    <xdr:colOff>12700</xdr:colOff>
                    <xdr:row>15</xdr:row>
                    <xdr:rowOff>12700</xdr:rowOff>
                  </to>
                </anchor>
              </controlPr>
            </control>
          </mc:Choice>
        </mc:AlternateContent>
        <mc:AlternateContent xmlns:mc="http://schemas.openxmlformats.org/markup-compatibility/2006">
          <mc:Choice Requires="x14">
            <control shapeId="92197" r:id="rId23" name="Drop Down 37">
              <controlPr defaultSize="0" autoLine="0" autoPict="0">
                <anchor moveWithCells="1">
                  <from>
                    <xdr:col>13</xdr:col>
                    <xdr:colOff>0</xdr:colOff>
                    <xdr:row>15</xdr:row>
                    <xdr:rowOff>12700</xdr:rowOff>
                  </from>
                  <to>
                    <xdr:col>14</xdr:col>
                    <xdr:colOff>12700</xdr:colOff>
                    <xdr:row>16</xdr:row>
                    <xdr:rowOff>0</xdr:rowOff>
                  </to>
                </anchor>
              </controlPr>
            </control>
          </mc:Choice>
        </mc:AlternateContent>
        <mc:AlternateContent xmlns:mc="http://schemas.openxmlformats.org/markup-compatibility/2006">
          <mc:Choice Requires="x14">
            <control shapeId="92199" r:id="rId24" name="Drop Down 39">
              <controlPr defaultSize="0" autoLine="0" autoPict="0">
                <anchor moveWithCells="1">
                  <from>
                    <xdr:col>13</xdr:col>
                    <xdr:colOff>0</xdr:colOff>
                    <xdr:row>16</xdr:row>
                    <xdr:rowOff>0</xdr:rowOff>
                  </from>
                  <to>
                    <xdr:col>14</xdr:col>
                    <xdr:colOff>12700</xdr:colOff>
                    <xdr:row>17</xdr:row>
                    <xdr:rowOff>0</xdr:rowOff>
                  </to>
                </anchor>
              </controlPr>
            </control>
          </mc:Choice>
        </mc:AlternateContent>
        <mc:AlternateContent xmlns:mc="http://schemas.openxmlformats.org/markup-compatibility/2006">
          <mc:Choice Requires="x14">
            <control shapeId="92207" r:id="rId25" name="Drop Down 47">
              <controlPr defaultSize="0" autoLine="0" autoPict="0">
                <anchor moveWithCells="1">
                  <from>
                    <xdr:col>5</xdr:col>
                    <xdr:colOff>12700</xdr:colOff>
                    <xdr:row>6</xdr:row>
                    <xdr:rowOff>0</xdr:rowOff>
                  </from>
                  <to>
                    <xdr:col>6</xdr:col>
                    <xdr:colOff>0</xdr:colOff>
                    <xdr:row>7</xdr:row>
                    <xdr:rowOff>25400</xdr:rowOff>
                  </to>
                </anchor>
              </controlPr>
            </control>
          </mc:Choice>
        </mc:AlternateContent>
        <mc:AlternateContent xmlns:mc="http://schemas.openxmlformats.org/markup-compatibility/2006">
          <mc:Choice Requires="x14">
            <control shapeId="92209" r:id="rId26" name="Drop Down 49">
              <controlPr defaultSize="0" autoLine="0" autoPict="0">
                <anchor moveWithCells="1">
                  <from>
                    <xdr:col>11</xdr:col>
                    <xdr:colOff>12700</xdr:colOff>
                    <xdr:row>12</xdr:row>
                    <xdr:rowOff>12700</xdr:rowOff>
                  </from>
                  <to>
                    <xdr:col>12</xdr:col>
                    <xdr:colOff>12700</xdr:colOff>
                    <xdr:row>13</xdr:row>
                    <xdr:rowOff>12700</xdr:rowOff>
                  </to>
                </anchor>
              </controlPr>
            </control>
          </mc:Choice>
        </mc:AlternateContent>
        <mc:AlternateContent xmlns:mc="http://schemas.openxmlformats.org/markup-compatibility/2006">
          <mc:Choice Requires="x14">
            <control shapeId="92210" r:id="rId27" name="Drop Down 50">
              <controlPr defaultSize="0" autoLine="0" autoPict="0">
                <anchor moveWithCells="1">
                  <from>
                    <xdr:col>13</xdr:col>
                    <xdr:colOff>0</xdr:colOff>
                    <xdr:row>11</xdr:row>
                    <xdr:rowOff>12700</xdr:rowOff>
                  </from>
                  <to>
                    <xdr:col>14</xdr:col>
                    <xdr:colOff>12700</xdr:colOff>
                    <xdr:row>11</xdr:row>
                    <xdr:rowOff>584200</xdr:rowOff>
                  </to>
                </anchor>
              </controlPr>
            </control>
          </mc:Choice>
        </mc:AlternateContent>
        <mc:AlternateContent xmlns:mc="http://schemas.openxmlformats.org/markup-compatibility/2006">
          <mc:Choice Requires="x14">
            <control shapeId="92211" r:id="rId28" name="Drop Down 51">
              <controlPr defaultSize="0" autoLine="0" autoPict="0">
                <anchor moveWithCells="1">
                  <from>
                    <xdr:col>13</xdr:col>
                    <xdr:colOff>0</xdr:colOff>
                    <xdr:row>12</xdr:row>
                    <xdr:rowOff>12700</xdr:rowOff>
                  </from>
                  <to>
                    <xdr:col>14</xdr:col>
                    <xdr:colOff>12700</xdr:colOff>
                    <xdr:row>13</xdr:row>
                    <xdr:rowOff>12700</xdr:rowOff>
                  </to>
                </anchor>
              </controlPr>
            </control>
          </mc:Choice>
        </mc:AlternateContent>
        <mc:AlternateContent xmlns:mc="http://schemas.openxmlformats.org/markup-compatibility/2006">
          <mc:Choice Requires="x14">
            <control shapeId="92217" r:id="rId29" name="Drop Down 57">
              <controlPr defaultSize="0" autoLine="0" autoPict="0">
                <anchor moveWithCells="1">
                  <from>
                    <xdr:col>13</xdr:col>
                    <xdr:colOff>0</xdr:colOff>
                    <xdr:row>10</xdr:row>
                    <xdr:rowOff>12700</xdr:rowOff>
                  </from>
                  <to>
                    <xdr:col>14</xdr:col>
                    <xdr:colOff>12700</xdr:colOff>
                    <xdr:row>11</xdr:row>
                    <xdr:rowOff>12700</xdr:rowOff>
                  </to>
                </anchor>
              </controlPr>
            </control>
          </mc:Choice>
        </mc:AlternateContent>
        <mc:AlternateContent xmlns:mc="http://schemas.openxmlformats.org/markup-compatibility/2006">
          <mc:Choice Requires="x14">
            <control shapeId="92225" r:id="rId30" name="Drop Down 65">
              <controlPr defaultSize="0" autoLine="0" autoPict="0">
                <anchor moveWithCells="1">
                  <from>
                    <xdr:col>13</xdr:col>
                    <xdr:colOff>0</xdr:colOff>
                    <xdr:row>5</xdr:row>
                    <xdr:rowOff>12700</xdr:rowOff>
                  </from>
                  <to>
                    <xdr:col>14</xdr:col>
                    <xdr:colOff>12700</xdr:colOff>
                    <xdr:row>6</xdr:row>
                    <xdr:rowOff>12700</xdr:rowOff>
                  </to>
                </anchor>
              </controlPr>
            </control>
          </mc:Choice>
        </mc:AlternateContent>
        <mc:AlternateContent xmlns:mc="http://schemas.openxmlformats.org/markup-compatibility/2006">
          <mc:Choice Requires="x14">
            <control shapeId="92228" r:id="rId31" name="Drop Down 68">
              <controlPr defaultSize="0" autoLine="0" autoPict="0">
                <anchor moveWithCells="1">
                  <from>
                    <xdr:col>11</xdr:col>
                    <xdr:colOff>12700</xdr:colOff>
                    <xdr:row>6</xdr:row>
                    <xdr:rowOff>0</xdr:rowOff>
                  </from>
                  <to>
                    <xdr:col>12</xdr:col>
                    <xdr:colOff>0</xdr:colOff>
                    <xdr:row>7</xdr:row>
                    <xdr:rowOff>12700</xdr:rowOff>
                  </to>
                </anchor>
              </controlPr>
            </control>
          </mc:Choice>
        </mc:AlternateContent>
        <mc:AlternateContent xmlns:mc="http://schemas.openxmlformats.org/markup-compatibility/2006">
          <mc:Choice Requires="x14">
            <control shapeId="92229" r:id="rId32" name="Drop Down 69">
              <controlPr defaultSize="0" autoLine="0" autoPict="0">
                <anchor moveWithCells="1">
                  <from>
                    <xdr:col>11</xdr:col>
                    <xdr:colOff>12700</xdr:colOff>
                    <xdr:row>11</xdr:row>
                    <xdr:rowOff>12700</xdr:rowOff>
                  </from>
                  <to>
                    <xdr:col>12</xdr:col>
                    <xdr:colOff>12700</xdr:colOff>
                    <xdr:row>11</xdr:row>
                    <xdr:rowOff>609600</xdr:rowOff>
                  </to>
                </anchor>
              </controlPr>
            </control>
          </mc:Choice>
        </mc:AlternateContent>
        <mc:AlternateContent xmlns:mc="http://schemas.openxmlformats.org/markup-compatibility/2006">
          <mc:Choice Requires="x14">
            <control shapeId="92230" r:id="rId33" name="Drop Down 70">
              <controlPr defaultSize="0" autoLine="0" autoPict="0">
                <anchor moveWithCells="1">
                  <from>
                    <xdr:col>11</xdr:col>
                    <xdr:colOff>12700</xdr:colOff>
                    <xdr:row>14</xdr:row>
                    <xdr:rowOff>12700</xdr:rowOff>
                  </from>
                  <to>
                    <xdr:col>12</xdr:col>
                    <xdr:colOff>12700</xdr:colOff>
                    <xdr:row>15</xdr:row>
                    <xdr:rowOff>12700</xdr:rowOff>
                  </to>
                </anchor>
              </controlPr>
            </control>
          </mc:Choice>
        </mc:AlternateContent>
        <mc:AlternateContent xmlns:mc="http://schemas.openxmlformats.org/markup-compatibility/2006">
          <mc:Choice Requires="x14">
            <control shapeId="92252" r:id="rId34" name="Drop Down 92">
              <controlPr defaultSize="0" autoLine="0" autoPict="0">
                <anchor moveWithCells="1">
                  <from>
                    <xdr:col>11</xdr:col>
                    <xdr:colOff>12700</xdr:colOff>
                    <xdr:row>21</xdr:row>
                    <xdr:rowOff>508000</xdr:rowOff>
                  </from>
                  <to>
                    <xdr:col>12</xdr:col>
                    <xdr:colOff>0</xdr:colOff>
                    <xdr:row>22</xdr:row>
                    <xdr:rowOff>254000</xdr:rowOff>
                  </to>
                </anchor>
              </controlPr>
            </control>
          </mc:Choice>
        </mc:AlternateContent>
        <mc:AlternateContent xmlns:mc="http://schemas.openxmlformats.org/markup-compatibility/2006">
          <mc:Choice Requires="x14">
            <control shapeId="92272" r:id="rId35" name="Drop Down 112">
              <controlPr defaultSize="0" autoLine="0" autoPict="0">
                <anchor moveWithCells="1">
                  <from>
                    <xdr:col>11</xdr:col>
                    <xdr:colOff>12700</xdr:colOff>
                    <xdr:row>22</xdr:row>
                    <xdr:rowOff>266700</xdr:rowOff>
                  </from>
                  <to>
                    <xdr:col>12</xdr:col>
                    <xdr:colOff>0</xdr:colOff>
                    <xdr:row>24</xdr:row>
                    <xdr:rowOff>0</xdr:rowOff>
                  </to>
                </anchor>
              </controlPr>
            </control>
          </mc:Choice>
        </mc:AlternateContent>
        <mc:AlternateContent xmlns:mc="http://schemas.openxmlformats.org/markup-compatibility/2006">
          <mc:Choice Requires="x14">
            <control shapeId="92273" r:id="rId36" name="Drop Down 113">
              <controlPr defaultSize="0" autoLine="0" autoPict="0">
                <anchor moveWithCells="1">
                  <from>
                    <xdr:col>11</xdr:col>
                    <xdr:colOff>12700</xdr:colOff>
                    <xdr:row>24</xdr:row>
                    <xdr:rowOff>0</xdr:rowOff>
                  </from>
                  <to>
                    <xdr:col>12</xdr:col>
                    <xdr:colOff>0</xdr:colOff>
                    <xdr:row>25</xdr:row>
                    <xdr:rowOff>0</xdr:rowOff>
                  </to>
                </anchor>
              </controlPr>
            </control>
          </mc:Choice>
        </mc:AlternateContent>
        <mc:AlternateContent xmlns:mc="http://schemas.openxmlformats.org/markup-compatibility/2006">
          <mc:Choice Requires="x14">
            <control shapeId="92274" r:id="rId37" name="Drop Down 114">
              <controlPr defaultSize="0" autoLine="0" autoPict="0">
                <anchor moveWithCells="1">
                  <from>
                    <xdr:col>11</xdr:col>
                    <xdr:colOff>12700</xdr:colOff>
                    <xdr:row>25</xdr:row>
                    <xdr:rowOff>0</xdr:rowOff>
                  </from>
                  <to>
                    <xdr:col>12</xdr:col>
                    <xdr:colOff>0</xdr:colOff>
                    <xdr:row>26</xdr:row>
                    <xdr:rowOff>12700</xdr:rowOff>
                  </to>
                </anchor>
              </controlPr>
            </control>
          </mc:Choice>
        </mc:AlternateContent>
        <mc:AlternateContent xmlns:mc="http://schemas.openxmlformats.org/markup-compatibility/2006">
          <mc:Choice Requires="x14">
            <control shapeId="92275" r:id="rId38" name="Drop Down 115">
              <controlPr defaultSize="0" autoLine="0" autoPict="0">
                <anchor moveWithCells="1">
                  <from>
                    <xdr:col>11</xdr:col>
                    <xdr:colOff>12700</xdr:colOff>
                    <xdr:row>26</xdr:row>
                    <xdr:rowOff>0</xdr:rowOff>
                  </from>
                  <to>
                    <xdr:col>12</xdr:col>
                    <xdr:colOff>0</xdr:colOff>
                    <xdr:row>27</xdr:row>
                    <xdr:rowOff>12700</xdr:rowOff>
                  </to>
                </anchor>
              </controlPr>
            </control>
          </mc:Choice>
        </mc:AlternateContent>
        <mc:AlternateContent xmlns:mc="http://schemas.openxmlformats.org/markup-compatibility/2006">
          <mc:Choice Requires="x14">
            <control shapeId="92276" r:id="rId39" name="Drop Down 116">
              <controlPr defaultSize="0" autoLine="0" autoPict="0">
                <anchor moveWithCells="1">
                  <from>
                    <xdr:col>11</xdr:col>
                    <xdr:colOff>12700</xdr:colOff>
                    <xdr:row>27</xdr:row>
                    <xdr:rowOff>0</xdr:rowOff>
                  </from>
                  <to>
                    <xdr:col>12</xdr:col>
                    <xdr:colOff>0</xdr:colOff>
                    <xdr:row>28</xdr:row>
                    <xdr:rowOff>0</xdr:rowOff>
                  </to>
                </anchor>
              </controlPr>
            </control>
          </mc:Choice>
        </mc:AlternateContent>
        <mc:AlternateContent xmlns:mc="http://schemas.openxmlformats.org/markup-compatibility/2006">
          <mc:Choice Requires="x14">
            <control shapeId="92277" r:id="rId40" name="Drop Down 117">
              <controlPr defaultSize="0" autoLine="0" autoPict="0">
                <anchor moveWithCells="1">
                  <from>
                    <xdr:col>11</xdr:col>
                    <xdr:colOff>12700</xdr:colOff>
                    <xdr:row>27</xdr:row>
                    <xdr:rowOff>266700</xdr:rowOff>
                  </from>
                  <to>
                    <xdr:col>12</xdr:col>
                    <xdr:colOff>0</xdr:colOff>
                    <xdr:row>28</xdr:row>
                    <xdr:rowOff>254000</xdr:rowOff>
                  </to>
                </anchor>
              </controlPr>
            </control>
          </mc:Choice>
        </mc:AlternateContent>
        <mc:AlternateContent xmlns:mc="http://schemas.openxmlformats.org/markup-compatibility/2006">
          <mc:Choice Requires="x14">
            <control shapeId="92278" r:id="rId41" name="Drop Down 118">
              <controlPr defaultSize="0" autoLine="0" autoPict="0">
                <anchor moveWithCells="1">
                  <from>
                    <xdr:col>11</xdr:col>
                    <xdr:colOff>12700</xdr:colOff>
                    <xdr:row>28</xdr:row>
                    <xdr:rowOff>266700</xdr:rowOff>
                  </from>
                  <to>
                    <xdr:col>12</xdr:col>
                    <xdr:colOff>0</xdr:colOff>
                    <xdr:row>29</xdr:row>
                    <xdr:rowOff>254000</xdr:rowOff>
                  </to>
                </anchor>
              </controlPr>
            </control>
          </mc:Choice>
        </mc:AlternateContent>
        <mc:AlternateContent xmlns:mc="http://schemas.openxmlformats.org/markup-compatibility/2006">
          <mc:Choice Requires="x14">
            <control shapeId="92279" r:id="rId42" name="Drop Down 119">
              <controlPr defaultSize="0" autoLine="0" autoPict="0">
                <anchor moveWithCells="1">
                  <from>
                    <xdr:col>11</xdr:col>
                    <xdr:colOff>12700</xdr:colOff>
                    <xdr:row>30</xdr:row>
                    <xdr:rowOff>0</xdr:rowOff>
                  </from>
                  <to>
                    <xdr:col>12</xdr:col>
                    <xdr:colOff>0</xdr:colOff>
                    <xdr:row>31</xdr:row>
                    <xdr:rowOff>12700</xdr:rowOff>
                  </to>
                </anchor>
              </controlPr>
            </control>
          </mc:Choice>
        </mc:AlternateContent>
        <mc:AlternateContent xmlns:mc="http://schemas.openxmlformats.org/markup-compatibility/2006">
          <mc:Choice Requires="x14">
            <control shapeId="92280" r:id="rId43" name="Drop Down 120">
              <controlPr defaultSize="0" autoLine="0" autoPict="0">
                <anchor moveWithCells="1">
                  <from>
                    <xdr:col>11</xdr:col>
                    <xdr:colOff>12700</xdr:colOff>
                    <xdr:row>31</xdr:row>
                    <xdr:rowOff>0</xdr:rowOff>
                  </from>
                  <to>
                    <xdr:col>12</xdr:col>
                    <xdr:colOff>0</xdr:colOff>
                    <xdr:row>32</xdr:row>
                    <xdr:rowOff>0</xdr:rowOff>
                  </to>
                </anchor>
              </controlPr>
            </control>
          </mc:Choice>
        </mc:AlternateContent>
        <mc:AlternateContent xmlns:mc="http://schemas.openxmlformats.org/markup-compatibility/2006">
          <mc:Choice Requires="x14">
            <control shapeId="92281" r:id="rId44" name="Drop Down 121">
              <controlPr defaultSize="0" autoLine="0" autoPict="0">
                <anchor moveWithCells="1">
                  <from>
                    <xdr:col>11</xdr:col>
                    <xdr:colOff>12700</xdr:colOff>
                    <xdr:row>32</xdr:row>
                    <xdr:rowOff>0</xdr:rowOff>
                  </from>
                  <to>
                    <xdr:col>12</xdr:col>
                    <xdr:colOff>0</xdr:colOff>
                    <xdr:row>33</xdr:row>
                    <xdr:rowOff>12700</xdr:rowOff>
                  </to>
                </anchor>
              </controlPr>
            </control>
          </mc:Choice>
        </mc:AlternateContent>
        <mc:AlternateContent xmlns:mc="http://schemas.openxmlformats.org/markup-compatibility/2006">
          <mc:Choice Requires="x14">
            <control shapeId="92282" r:id="rId45" name="Drop Down 122">
              <controlPr defaultSize="0" autoLine="0" autoPict="0">
                <anchor moveWithCells="1">
                  <from>
                    <xdr:col>11</xdr:col>
                    <xdr:colOff>12700</xdr:colOff>
                    <xdr:row>32</xdr:row>
                    <xdr:rowOff>266700</xdr:rowOff>
                  </from>
                  <to>
                    <xdr:col>12</xdr:col>
                    <xdr:colOff>0</xdr:colOff>
                    <xdr:row>33</xdr:row>
                    <xdr:rowOff>254000</xdr:rowOff>
                  </to>
                </anchor>
              </controlPr>
            </control>
          </mc:Choice>
        </mc:AlternateContent>
        <mc:AlternateContent xmlns:mc="http://schemas.openxmlformats.org/markup-compatibility/2006">
          <mc:Choice Requires="x14">
            <control shapeId="92283" r:id="rId46" name="Drop Down 123">
              <controlPr defaultSize="0" autoLine="0" autoPict="0">
                <anchor moveWithCells="1">
                  <from>
                    <xdr:col>11</xdr:col>
                    <xdr:colOff>12700</xdr:colOff>
                    <xdr:row>33</xdr:row>
                    <xdr:rowOff>266700</xdr:rowOff>
                  </from>
                  <to>
                    <xdr:col>12</xdr:col>
                    <xdr:colOff>0</xdr:colOff>
                    <xdr:row>34</xdr:row>
                    <xdr:rowOff>254000</xdr:rowOff>
                  </to>
                </anchor>
              </controlPr>
            </control>
          </mc:Choice>
        </mc:AlternateContent>
        <mc:AlternateContent xmlns:mc="http://schemas.openxmlformats.org/markup-compatibility/2006">
          <mc:Choice Requires="x14">
            <control shapeId="92284" r:id="rId47" name="Drop Down 124">
              <controlPr defaultSize="0" autoLine="0" autoPict="0">
                <anchor moveWithCells="1">
                  <from>
                    <xdr:col>11</xdr:col>
                    <xdr:colOff>12700</xdr:colOff>
                    <xdr:row>35</xdr:row>
                    <xdr:rowOff>0</xdr:rowOff>
                  </from>
                  <to>
                    <xdr:col>12</xdr:col>
                    <xdr:colOff>0</xdr:colOff>
                    <xdr:row>36</xdr:row>
                    <xdr:rowOff>12700</xdr:rowOff>
                  </to>
                </anchor>
              </controlPr>
            </control>
          </mc:Choice>
        </mc:AlternateContent>
        <mc:AlternateContent xmlns:mc="http://schemas.openxmlformats.org/markup-compatibility/2006">
          <mc:Choice Requires="x14">
            <control shapeId="92285" r:id="rId48" name="Drop Down 125">
              <controlPr defaultSize="0" autoLine="0" autoPict="0">
                <anchor moveWithCells="1">
                  <from>
                    <xdr:col>11</xdr:col>
                    <xdr:colOff>12700</xdr:colOff>
                    <xdr:row>36</xdr:row>
                    <xdr:rowOff>0</xdr:rowOff>
                  </from>
                  <to>
                    <xdr:col>12</xdr:col>
                    <xdr:colOff>0</xdr:colOff>
                    <xdr:row>37</xdr:row>
                    <xdr:rowOff>0</xdr:rowOff>
                  </to>
                </anchor>
              </controlPr>
            </control>
          </mc:Choice>
        </mc:AlternateContent>
        <mc:AlternateContent xmlns:mc="http://schemas.openxmlformats.org/markup-compatibility/2006">
          <mc:Choice Requires="x14">
            <control shapeId="92286" r:id="rId49" name="Drop Down 126">
              <controlPr defaultSize="0" autoLine="0" autoPict="0">
                <anchor moveWithCells="1">
                  <from>
                    <xdr:col>11</xdr:col>
                    <xdr:colOff>12700</xdr:colOff>
                    <xdr:row>37</xdr:row>
                    <xdr:rowOff>0</xdr:rowOff>
                  </from>
                  <to>
                    <xdr:col>12</xdr:col>
                    <xdr:colOff>0</xdr:colOff>
                    <xdr:row>38</xdr:row>
                    <xdr:rowOff>12700</xdr:rowOff>
                  </to>
                </anchor>
              </controlPr>
            </control>
          </mc:Choice>
        </mc:AlternateContent>
        <mc:AlternateContent xmlns:mc="http://schemas.openxmlformats.org/markup-compatibility/2006">
          <mc:Choice Requires="x14">
            <control shapeId="92287" r:id="rId50" name="Drop Down 127">
              <controlPr defaultSize="0" autoLine="0" autoPict="0">
                <anchor moveWithCells="1">
                  <from>
                    <xdr:col>11</xdr:col>
                    <xdr:colOff>12700</xdr:colOff>
                    <xdr:row>37</xdr:row>
                    <xdr:rowOff>266700</xdr:rowOff>
                  </from>
                  <to>
                    <xdr:col>12</xdr:col>
                    <xdr:colOff>0</xdr:colOff>
                    <xdr:row>39</xdr:row>
                    <xdr:rowOff>12700</xdr:rowOff>
                  </to>
                </anchor>
              </controlPr>
            </control>
          </mc:Choice>
        </mc:AlternateContent>
        <mc:AlternateContent xmlns:mc="http://schemas.openxmlformats.org/markup-compatibility/2006">
          <mc:Choice Requires="x14">
            <control shapeId="92288" r:id="rId51" name="Drop Down 128">
              <controlPr defaultSize="0" autoLine="0" autoPict="0">
                <anchor moveWithCells="1">
                  <from>
                    <xdr:col>11</xdr:col>
                    <xdr:colOff>12700</xdr:colOff>
                    <xdr:row>38</xdr:row>
                    <xdr:rowOff>266700</xdr:rowOff>
                  </from>
                  <to>
                    <xdr:col>12</xdr:col>
                    <xdr:colOff>0</xdr:colOff>
                    <xdr:row>39</xdr:row>
                    <xdr:rowOff>241300</xdr:rowOff>
                  </to>
                </anchor>
              </controlPr>
            </control>
          </mc:Choice>
        </mc:AlternateContent>
        <mc:AlternateContent xmlns:mc="http://schemas.openxmlformats.org/markup-compatibility/2006">
          <mc:Choice Requires="x14">
            <control shapeId="92289" r:id="rId52" name="Drop Down 129">
              <controlPr defaultSize="0" autoLine="0" autoPict="0">
                <anchor moveWithCells="1">
                  <from>
                    <xdr:col>11</xdr:col>
                    <xdr:colOff>12700</xdr:colOff>
                    <xdr:row>40</xdr:row>
                    <xdr:rowOff>0</xdr:rowOff>
                  </from>
                  <to>
                    <xdr:col>12</xdr:col>
                    <xdr:colOff>0</xdr:colOff>
                    <xdr:row>41</xdr:row>
                    <xdr:rowOff>12700</xdr:rowOff>
                  </to>
                </anchor>
              </controlPr>
            </control>
          </mc:Choice>
        </mc:AlternateContent>
        <mc:AlternateContent xmlns:mc="http://schemas.openxmlformats.org/markup-compatibility/2006">
          <mc:Choice Requires="x14">
            <control shapeId="92290" r:id="rId53" name="Drop Down 130">
              <controlPr defaultSize="0" autoLine="0" autoPict="0">
                <anchor moveWithCells="1">
                  <from>
                    <xdr:col>11</xdr:col>
                    <xdr:colOff>12700</xdr:colOff>
                    <xdr:row>40</xdr:row>
                    <xdr:rowOff>266700</xdr:rowOff>
                  </from>
                  <to>
                    <xdr:col>12</xdr:col>
                    <xdr:colOff>0</xdr:colOff>
                    <xdr:row>42</xdr:row>
                    <xdr:rowOff>12700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0">
    <tabColor rgb="FF7030A0"/>
  </sheetPr>
  <dimension ref="A1:I75"/>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7" style="1102" customWidth="1"/>
    <col min="2" max="2" width="18.453125" style="556" customWidth="1"/>
    <col min="3" max="3" width="81.453125" style="556" customWidth="1"/>
    <col min="4" max="4" width="19.36328125" style="565" customWidth="1"/>
    <col min="5" max="5" width="23" style="1102" customWidth="1"/>
    <col min="6" max="6" width="19.453125" style="556" customWidth="1"/>
    <col min="7" max="7" width="15.453125" style="556" customWidth="1"/>
    <col min="8" max="8" width="25.453125" style="556" customWidth="1"/>
    <col min="9" max="9" width="19.1796875" style="556" customWidth="1"/>
    <col min="10" max="16384" width="9.1796875" style="556"/>
  </cols>
  <sheetData>
    <row r="1" spans="1:9" ht="19.5" customHeight="1" thickBot="1" x14ac:dyDescent="0.4">
      <c r="A1" s="1193"/>
      <c r="B1" s="1694" t="s">
        <v>7450</v>
      </c>
      <c r="C1" s="1694"/>
      <c r="D1" s="1703" t="s">
        <v>8414</v>
      </c>
      <c r="E1" s="1704"/>
      <c r="F1" s="554" t="str">
        <f>LOOKUP(' Preparation'!$F$4,Data!$B$2:$B$194,Data!$C$2:$C$194)</f>
        <v>€ (Euro)</v>
      </c>
      <c r="G1" s="1153"/>
    </row>
    <row r="2" spans="1:9" ht="21.75" customHeight="1" thickBot="1" x14ac:dyDescent="0.4">
      <c r="A2" s="1105" t="s">
        <v>82</v>
      </c>
      <c r="B2" s="558" t="s">
        <v>150</v>
      </c>
      <c r="C2" s="558" t="s">
        <v>394</v>
      </c>
      <c r="D2" s="558" t="s">
        <v>67</v>
      </c>
      <c r="E2" s="501" t="s">
        <v>8112</v>
      </c>
      <c r="F2" s="559" t="s">
        <v>149</v>
      </c>
      <c r="G2" s="560" t="s">
        <v>258</v>
      </c>
    </row>
    <row r="3" spans="1:9" ht="74.5" customHeight="1" x14ac:dyDescent="0.35">
      <c r="A3" s="562"/>
      <c r="B3" s="563" t="s">
        <v>89</v>
      </c>
      <c r="C3" s="1780" t="s">
        <v>8924</v>
      </c>
      <c r="D3" s="1766"/>
      <c r="E3" s="1766"/>
      <c r="F3" s="1766"/>
      <c r="G3" s="1781"/>
    </row>
    <row r="4" spans="1:9" ht="29.25" customHeight="1" x14ac:dyDescent="0.35">
      <c r="A4" s="564" t="s">
        <v>396</v>
      </c>
      <c r="B4" s="521" t="s">
        <v>15</v>
      </c>
      <c r="C4" s="1270" t="s">
        <v>393</v>
      </c>
      <c r="D4" s="565" t="s">
        <v>304</v>
      </c>
      <c r="E4" s="1271" t="s">
        <v>753</v>
      </c>
      <c r="F4" s="566">
        <v>1</v>
      </c>
      <c r="G4" s="407" t="str">
        <f>IF($F$4=1,"",IF($F$4=2,"Goto PHS 8"," Goto PHS 2"))</f>
        <v/>
      </c>
      <c r="H4" s="566" t="s">
        <v>8810</v>
      </c>
      <c r="I4" s="566" t="s">
        <v>8718</v>
      </c>
    </row>
    <row r="5" spans="1:9" ht="43.5" x14ac:dyDescent="0.35">
      <c r="A5" s="564" t="s">
        <v>397</v>
      </c>
      <c r="B5" s="443" t="s">
        <v>390</v>
      </c>
      <c r="C5" s="1270" t="s">
        <v>7449</v>
      </c>
      <c r="D5" s="565" t="s">
        <v>76</v>
      </c>
      <c r="E5" s="1638" t="s">
        <v>2197</v>
      </c>
      <c r="F5" s="683"/>
      <c r="G5" s="1272" t="str">
        <f>IF(E4=2,"Goto OHS 3","")</f>
        <v/>
      </c>
      <c r="H5" s="1929"/>
      <c r="I5" s="1929"/>
    </row>
    <row r="6" spans="1:9" ht="29" x14ac:dyDescent="0.35">
      <c r="A6" s="564" t="s">
        <v>398</v>
      </c>
      <c r="B6" s="521" t="s">
        <v>2187</v>
      </c>
      <c r="C6" s="556" t="s">
        <v>7425</v>
      </c>
      <c r="D6" s="565" t="s">
        <v>76</v>
      </c>
      <c r="E6" s="1638" t="s">
        <v>7426</v>
      </c>
      <c r="F6" s="556">
        <v>1</v>
      </c>
      <c r="G6" s="407" t="str">
        <f>IF(F4&lt;&gt;3,"",IF($F$6=1,"",IF($F$6=2,"Goto PHS 6", "Goto PHS 8")))</f>
        <v/>
      </c>
    </row>
    <row r="7" spans="1:9" ht="29.5" customHeight="1" x14ac:dyDescent="0.35">
      <c r="A7" s="564" t="s">
        <v>7453</v>
      </c>
      <c r="B7" s="443" t="s">
        <v>7428</v>
      </c>
      <c r="C7" s="549" t="s">
        <v>8811</v>
      </c>
      <c r="D7" s="499" t="s">
        <v>28</v>
      </c>
      <c r="E7" s="547" t="s">
        <v>8400</v>
      </c>
      <c r="F7" s="981" t="str">
        <f>IF(F4&lt;&gt;3,"",Data!$AK$3*' Preparation'!$F$23*' Preparation'!$F$24*LOOKUP(' Preparation'!$F$10,Data!$B$2:$B$115,Data!$S$2:S$115))</f>
        <v/>
      </c>
      <c r="G7" s="1273"/>
    </row>
    <row r="8" spans="1:9" ht="31.5" customHeight="1" x14ac:dyDescent="0.35">
      <c r="A8" s="564" t="s">
        <v>7454</v>
      </c>
      <c r="B8" s="443" t="s">
        <v>5825</v>
      </c>
      <c r="C8" s="556" t="s">
        <v>8065</v>
      </c>
      <c r="D8" s="565" t="s">
        <v>8026</v>
      </c>
      <c r="E8" s="547"/>
      <c r="F8" s="981" t="str">
        <f>IF(F4&lt;&gt;3,"",IF(OR($F$6&lt;&gt;2,F5=0),"",$H$5*($F$5-$I$5)/$F$5+$I$5*$F$7))</f>
        <v/>
      </c>
      <c r="G8" s="1273"/>
    </row>
    <row r="9" spans="1:9" ht="21" customHeight="1" thickBot="1" x14ac:dyDescent="0.4">
      <c r="A9" s="564" t="s">
        <v>7456</v>
      </c>
      <c r="B9" s="443" t="s">
        <v>7350</v>
      </c>
      <c r="C9" s="556" t="s">
        <v>7455</v>
      </c>
      <c r="D9" s="499" t="s">
        <v>7759</v>
      </c>
      <c r="E9" s="547"/>
      <c r="F9" s="697" t="str">
        <f>IF(OR(F4&lt;&gt;3,F6=3),"",$F$5*$F$7)</f>
        <v/>
      </c>
      <c r="G9" s="1273"/>
    </row>
    <row r="10" spans="1:9" ht="36.75" customHeight="1" thickBot="1" x14ac:dyDescent="0.4">
      <c r="A10" s="1274" t="s">
        <v>7457</v>
      </c>
      <c r="B10" s="1171" t="s">
        <v>272</v>
      </c>
      <c r="C10" s="1175" t="s">
        <v>7451</v>
      </c>
      <c r="D10" s="1229" t="s">
        <v>7759</v>
      </c>
      <c r="E10" s="1275" t="s">
        <v>8401</v>
      </c>
      <c r="F10" s="1050" t="str">
        <f>IF(F4=2,0,IF($F$6=2,$F$8,$F$9))</f>
        <v/>
      </c>
      <c r="G10" s="1276"/>
    </row>
    <row r="16" spans="1:9" x14ac:dyDescent="0.35">
      <c r="C16" s="1644"/>
    </row>
    <row r="19" spans="3:3" x14ac:dyDescent="0.35">
      <c r="C19" s="1277"/>
    </row>
    <row r="75" spans="5:5" x14ac:dyDescent="0.35">
      <c r="E75" s="1102">
        <v>1</v>
      </c>
    </row>
  </sheetData>
  <sheetProtection algorithmName="SHA-512" hashValue="vfho1rwR9TmcsEwuMyIfSTm6v1vy/c4uhZJlw31x/GJJYCe350CinVtbEIJnA+GPBmacnH3NGlsAwQ5BxETxtA==" saltValue="1Ii7OQBTdcTix6C7FCjSuA==" spinCount="100000" sheet="1" objects="1" scenarios="1"/>
  <mergeCells count="3">
    <mergeCell ref="B1:C1"/>
    <mergeCell ref="C3:G3"/>
    <mergeCell ref="D1:E1"/>
  </mergeCells>
  <pageMargins left="0.7" right="0.7" top="0.75" bottom="0.75" header="0.3" footer="0.3"/>
  <pageSetup paperSize="9" orientation="portrait"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Drop Down 1">
              <controlPr defaultSize="0" autoLine="0" autoPict="0">
                <anchor moveWithCells="1">
                  <from>
                    <xdr:col>5</xdr:col>
                    <xdr:colOff>12700</xdr:colOff>
                    <xdr:row>3</xdr:row>
                    <xdr:rowOff>0</xdr:rowOff>
                  </from>
                  <to>
                    <xdr:col>6</xdr:col>
                    <xdr:colOff>12700</xdr:colOff>
                    <xdr:row>4</xdr:row>
                    <xdr:rowOff>0</xdr:rowOff>
                  </to>
                </anchor>
              </controlPr>
            </control>
          </mc:Choice>
        </mc:AlternateContent>
        <mc:AlternateContent xmlns:mc="http://schemas.openxmlformats.org/markup-compatibility/2006">
          <mc:Choice Requires="x14">
            <control shapeId="24581" r:id="rId5" name="Drop Down 5">
              <controlPr defaultSize="0" autoLine="0" autoPict="0">
                <anchor moveWithCells="1">
                  <from>
                    <xdr:col>5</xdr:col>
                    <xdr:colOff>0</xdr:colOff>
                    <xdr:row>5</xdr:row>
                    <xdr:rowOff>0</xdr:rowOff>
                  </from>
                  <to>
                    <xdr:col>6</xdr:col>
                    <xdr:colOff>12700</xdr:colOff>
                    <xdr:row>6</xdr:row>
                    <xdr:rowOff>12700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11">
    <tabColor rgb="FF00B0F0"/>
  </sheetPr>
  <dimension ref="A1:O125"/>
  <sheetViews>
    <sheetView zoomScale="90" zoomScaleNormal="90" workbookViewId="0">
      <pane xSplit="1" ySplit="2" topLeftCell="B4" activePane="bottomRight" state="frozen"/>
      <selection activeCell="G28" sqref="G28"/>
      <selection pane="topRight" activeCell="G28" sqref="G28"/>
      <selection pane="bottomLeft" activeCell="G28" sqref="G28"/>
      <selection pane="bottomRight" sqref="A1:XFD1048576"/>
    </sheetView>
  </sheetViews>
  <sheetFormatPr defaultColWidth="9.1796875" defaultRowHeight="14.5" x14ac:dyDescent="0.35"/>
  <cols>
    <col min="1" max="1" width="6.453125" style="566" customWidth="1"/>
    <col min="2" max="2" width="17.453125" style="1191" customWidth="1"/>
    <col min="3" max="3" width="93.81640625" style="1270" customWidth="1"/>
    <col min="4" max="4" width="18.453125" style="1270" customWidth="1"/>
    <col min="5" max="5" width="20.36328125" style="1270" customWidth="1"/>
    <col min="6" max="6" width="16" style="1270" customWidth="1"/>
    <col min="7" max="7" width="13.36328125" style="1280" customWidth="1"/>
    <col min="8" max="8" width="8.453125" style="1270" customWidth="1"/>
    <col min="9" max="9" width="61.453125" style="1270" customWidth="1"/>
    <col min="10" max="10" width="13.453125" style="1270" customWidth="1"/>
    <col min="11" max="11" width="14.453125" style="1270" customWidth="1"/>
    <col min="12" max="12" width="12.453125" style="1270" customWidth="1"/>
    <col min="13" max="13" width="17.36328125" style="1270" customWidth="1"/>
    <col min="14" max="14" width="15.453125" style="1270" customWidth="1"/>
    <col min="15" max="15" width="14.1796875" style="1270" customWidth="1"/>
    <col min="16" max="16384" width="9.1796875" style="1270"/>
  </cols>
  <sheetData>
    <row r="1" spans="1:10" ht="19.5" customHeight="1" thickBot="1" x14ac:dyDescent="0.4">
      <c r="A1" s="1278"/>
      <c r="B1" s="1676" t="s">
        <v>819</v>
      </c>
      <c r="C1" s="1677"/>
      <c r="D1" s="1703" t="s">
        <v>8414</v>
      </c>
      <c r="E1" s="1704"/>
      <c r="F1" s="554" t="str">
        <f>LOOKUP(' Preparation'!$F$4,Data!$B$2:$B$194,Data!$C$2:$C$194)</f>
        <v>€ (Euro)</v>
      </c>
      <c r="G1" s="1279"/>
    </row>
    <row r="2" spans="1:10" s="1280" customFormat="1" ht="22" customHeight="1" thickBot="1" x14ac:dyDescent="0.4">
      <c r="A2" s="1105" t="s">
        <v>82</v>
      </c>
      <c r="B2" s="558" t="s">
        <v>150</v>
      </c>
      <c r="C2" s="558" t="s">
        <v>395</v>
      </c>
      <c r="D2" s="558" t="s">
        <v>67</v>
      </c>
      <c r="E2" s="501" t="s">
        <v>8112</v>
      </c>
      <c r="F2" s="559" t="s">
        <v>149</v>
      </c>
      <c r="G2" s="559" t="s">
        <v>258</v>
      </c>
    </row>
    <row r="3" spans="1:10" ht="20.5" customHeight="1" thickBot="1" x14ac:dyDescent="0.4">
      <c r="A3" s="1281"/>
      <c r="B3" s="563" t="s">
        <v>89</v>
      </c>
      <c r="C3" s="1778" t="s">
        <v>8691</v>
      </c>
      <c r="D3" s="1779"/>
      <c r="E3" s="1779"/>
      <c r="F3" s="1779"/>
      <c r="G3" s="1784"/>
    </row>
    <row r="4" spans="1:10" ht="19" customHeight="1" thickBot="1" x14ac:dyDescent="0.4">
      <c r="A4" s="1278"/>
      <c r="B4" s="1782" t="s">
        <v>399</v>
      </c>
      <c r="C4" s="1783"/>
      <c r="D4" s="1168"/>
      <c r="E4" s="1153"/>
      <c r="F4" s="1153"/>
      <c r="G4" s="1634"/>
    </row>
    <row r="5" spans="1:10" ht="17.25" customHeight="1" x14ac:dyDescent="0.35">
      <c r="A5" s="1282"/>
      <c r="B5" s="1283"/>
      <c r="C5" s="1284"/>
      <c r="G5" s="1285"/>
    </row>
    <row r="6" spans="1:10" ht="29" x14ac:dyDescent="0.35">
      <c r="A6" s="1278" t="s">
        <v>237</v>
      </c>
      <c r="B6" s="1286" t="s">
        <v>257</v>
      </c>
      <c r="C6" s="1270" t="s">
        <v>8526</v>
      </c>
      <c r="D6" s="1270" t="s">
        <v>69</v>
      </c>
      <c r="E6" s="1287" t="s">
        <v>721</v>
      </c>
      <c r="F6" s="1270">
        <v>2</v>
      </c>
      <c r="G6" s="407" t="str">
        <f>IF($F$6=1,"",IF($F$6=2,"Goto RW 2","Goto RW 4"))</f>
        <v>Goto RW 2</v>
      </c>
    </row>
    <row r="7" spans="1:10" ht="63" customHeight="1" x14ac:dyDescent="0.35">
      <c r="A7" s="1278" t="s">
        <v>238</v>
      </c>
      <c r="B7" s="1286" t="s">
        <v>144</v>
      </c>
      <c r="C7" s="1186" t="s">
        <v>8914</v>
      </c>
      <c r="D7" s="1186" t="s">
        <v>69</v>
      </c>
      <c r="E7" s="566" t="s">
        <v>7843</v>
      </c>
      <c r="F7" s="1288" t="str">
        <f>IF($F$6=2,"List RW 2 (separate)","")</f>
        <v>List RW 2 (separate)</v>
      </c>
      <c r="G7" s="1285"/>
      <c r="I7" s="1289" t="s">
        <v>155</v>
      </c>
      <c r="J7" s="444" t="s">
        <v>8731</v>
      </c>
    </row>
    <row r="8" spans="1:10" ht="44.25" customHeight="1" x14ac:dyDescent="0.35">
      <c r="A8" s="1278" t="s">
        <v>239</v>
      </c>
      <c r="B8" s="1286" t="s">
        <v>7757</v>
      </c>
      <c r="C8" s="1186" t="s">
        <v>8734</v>
      </c>
      <c r="D8" s="1270" t="s">
        <v>8036</v>
      </c>
      <c r="E8" s="1290" t="s">
        <v>8153</v>
      </c>
      <c r="F8" s="1291">
        <f>IF($F$6=2,$I$8+$J$8/60,"")</f>
        <v>0</v>
      </c>
      <c r="G8" s="407" t="str">
        <f>IF($F$6=2,"Goto RW 7","")</f>
        <v>Goto RW 7</v>
      </c>
      <c r="I8" s="1930"/>
      <c r="J8" s="1858"/>
    </row>
    <row r="9" spans="1:10" ht="30.75" customHeight="1" x14ac:dyDescent="0.35">
      <c r="A9" s="1278" t="s">
        <v>240</v>
      </c>
      <c r="B9" s="1286" t="s">
        <v>8172</v>
      </c>
      <c r="C9" s="1186" t="str">
        <f>IF(F6=3,"Follow the procedure in sheet suppliers - S4-S6, and enter (select) the most probable country (neglect the choices of € and $).","")</f>
        <v/>
      </c>
      <c r="D9" s="1270" t="s">
        <v>8912</v>
      </c>
      <c r="E9" s="566" t="str">
        <f>IF(E6=1,"",IF(E6=2,"skip choice","Default Country      "))</f>
        <v xml:space="preserve">Default Country      </v>
      </c>
      <c r="F9" s="1270">
        <v>1</v>
      </c>
      <c r="G9" s="407"/>
    </row>
    <row r="10" spans="1:10" ht="76.5" customHeight="1" x14ac:dyDescent="0.35">
      <c r="A10" s="1278" t="s">
        <v>241</v>
      </c>
      <c r="B10" s="1286" t="s">
        <v>8532</v>
      </c>
      <c r="C10" s="1270" t="s">
        <v>8735</v>
      </c>
      <c r="D10" s="1270" t="s">
        <v>8991</v>
      </c>
      <c r="E10" s="566" t="s">
        <v>8732</v>
      </c>
      <c r="F10" s="1291">
        <f>I10+J10/60</f>
        <v>0</v>
      </c>
      <c r="G10" s="1285"/>
      <c r="I10" s="1930"/>
      <c r="J10" s="1858"/>
    </row>
    <row r="11" spans="1:10" ht="45" customHeight="1" x14ac:dyDescent="0.35">
      <c r="A11" s="1278" t="s">
        <v>242</v>
      </c>
      <c r="B11" s="1286" t="s">
        <v>7840</v>
      </c>
      <c r="C11" s="1270" t="s">
        <v>8915</v>
      </c>
      <c r="D11" s="1270" t="s">
        <v>236</v>
      </c>
      <c r="E11" s="566" t="s">
        <v>8733</v>
      </c>
      <c r="F11" s="1931"/>
      <c r="G11" s="407"/>
    </row>
    <row r="12" spans="1:10" ht="25.5" customHeight="1" x14ac:dyDescent="0.35">
      <c r="A12" s="1278" t="s">
        <v>7671</v>
      </c>
      <c r="B12" s="1286" t="s">
        <v>158</v>
      </c>
      <c r="C12" s="1270" t="s">
        <v>297</v>
      </c>
      <c r="D12" s="1270" t="s">
        <v>7758</v>
      </c>
      <c r="E12" s="1191" t="s">
        <v>8424</v>
      </c>
      <c r="F12" s="1292">
        <f ca="1">IF(F6=1,"",IF(F6=2,LOOKUP(' Preparation'!$F$6,Data!$B$2:$B$193,Data!$F$2:$F$194),LOOKUP($F$9,Data!$B$2:$B$193,Data!$F$2:$F$194)))</f>
        <v>0</v>
      </c>
      <c r="G12" s="407" t="str">
        <f>IF($F$6=1,"",IF($F$6=2,"Goto RW 8", "Goto RW 10"))</f>
        <v>Goto RW 8</v>
      </c>
    </row>
    <row r="13" spans="1:10" ht="46.5" customHeight="1" x14ac:dyDescent="0.35">
      <c r="A13" s="1278" t="s">
        <v>256</v>
      </c>
      <c r="B13" s="1286" t="s">
        <v>5825</v>
      </c>
      <c r="C13" s="1270" t="s">
        <v>8932</v>
      </c>
      <c r="D13" s="1270" t="s">
        <v>8913</v>
      </c>
      <c r="E13" s="1191" t="s">
        <v>8352</v>
      </c>
      <c r="F13" s="1875">
        <v>0</v>
      </c>
      <c r="G13" s="407" t="str">
        <f>IF($F$6=2,"Goto RW 10","")</f>
        <v>Goto RW 10</v>
      </c>
    </row>
    <row r="14" spans="1:10" ht="33.75" customHeight="1" thickBot="1" x14ac:dyDescent="0.4">
      <c r="A14" s="1278" t="s">
        <v>295</v>
      </c>
      <c r="B14" s="1286" t="s">
        <v>7350</v>
      </c>
      <c r="C14" s="1270" t="s">
        <v>7842</v>
      </c>
      <c r="D14" s="1270" t="s">
        <v>7760</v>
      </c>
      <c r="E14" s="1191" t="s">
        <v>8425</v>
      </c>
      <c r="F14" s="724" t="e">
        <f>IF($F$6=1,"data incomplete",MAX(IF($F$6=2,"",$F$10*($F$12-$F$11)),0))</f>
        <v>#VALUE!</v>
      </c>
      <c r="G14" s="1285"/>
    </row>
    <row r="15" spans="1:10" ht="48.75" customHeight="1" thickTop="1" thickBot="1" x14ac:dyDescent="0.4">
      <c r="A15" s="1278" t="s">
        <v>7841</v>
      </c>
      <c r="B15" s="1286" t="s">
        <v>275</v>
      </c>
      <c r="C15" s="1189" t="s">
        <v>288</v>
      </c>
      <c r="D15" s="1270" t="s">
        <v>7759</v>
      </c>
      <c r="E15" s="1293" t="s">
        <v>8426</v>
      </c>
      <c r="F15" s="1294">
        <f>IF($F$6=1,"",MAX(IF($F$6=2,$F$13,$F$14),0))</f>
        <v>0</v>
      </c>
      <c r="G15" s="1295"/>
    </row>
    <row r="16" spans="1:10" ht="14.25" customHeight="1" thickTop="1" thickBot="1" x14ac:dyDescent="0.4">
      <c r="A16" s="1278"/>
      <c r="B16" s="1286"/>
      <c r="C16" s="1189"/>
      <c r="E16" s="1293"/>
      <c r="F16" s="1296"/>
      <c r="G16" s="1285"/>
    </row>
    <row r="17" spans="1:11" ht="30" customHeight="1" thickBot="1" x14ac:dyDescent="0.4">
      <c r="A17" s="1278"/>
      <c r="B17" s="1782" t="s">
        <v>244</v>
      </c>
      <c r="C17" s="1783"/>
      <c r="D17" s="1168"/>
      <c r="E17" s="1153"/>
      <c r="F17" s="1153"/>
      <c r="G17" s="1634"/>
      <c r="I17" s="1703" t="s">
        <v>8414</v>
      </c>
      <c r="J17" s="1704"/>
      <c r="K17" s="554" t="str">
        <f>LOOKUP(' Preparation'!$F$4,Data!$B$2:$B$194,Data!$C$2:$C$194)</f>
        <v>€ (Euro)</v>
      </c>
    </row>
    <row r="18" spans="1:11" ht="61" customHeight="1" thickBot="1" x14ac:dyDescent="0.4">
      <c r="A18" s="1278" t="s">
        <v>243</v>
      </c>
      <c r="B18" s="1286" t="s">
        <v>112</v>
      </c>
      <c r="C18" s="1270" t="s">
        <v>8788</v>
      </c>
      <c r="D18" s="1270" t="s">
        <v>7761</v>
      </c>
      <c r="E18" s="1287" t="s">
        <v>112</v>
      </c>
      <c r="F18" s="1932">
        <v>191</v>
      </c>
      <c r="G18" s="407"/>
    </row>
    <row r="19" spans="1:11" ht="30" customHeight="1" thickBot="1" x14ac:dyDescent="0.4">
      <c r="A19" s="1278" t="s">
        <v>246</v>
      </c>
      <c r="B19" s="1286" t="s">
        <v>259</v>
      </c>
      <c r="C19" s="556" t="s">
        <v>8536</v>
      </c>
      <c r="D19" s="556" t="s">
        <v>7760</v>
      </c>
      <c r="E19" s="523" t="s">
        <v>259</v>
      </c>
      <c r="F19" s="1291">
        <f ca="1">IF(LOOKUP(' Preparation'!$F$6,Data!$B$2:$B$193,Data!$D$2:$D$194)=0,0,LOOKUP($F$18,Data!$B$2:$B$193,Data!$D$2:$D$194)/LOOKUP(' Preparation'!$F$6,Data!$B$2:$B$193,Data!$D$2:$D$194))</f>
        <v>0</v>
      </c>
      <c r="G19" s="407"/>
      <c r="I19" s="1297" t="s">
        <v>8789</v>
      </c>
      <c r="J19" s="1298" t="s">
        <v>7849</v>
      </c>
      <c r="K19" s="1298" t="s">
        <v>8737</v>
      </c>
    </row>
    <row r="20" spans="1:11" ht="46" customHeight="1" x14ac:dyDescent="0.35">
      <c r="A20" s="1278" t="s">
        <v>247</v>
      </c>
      <c r="B20" s="521" t="s">
        <v>251</v>
      </c>
      <c r="C20" s="565" t="s">
        <v>8928</v>
      </c>
      <c r="D20" s="1270" t="s">
        <v>8749</v>
      </c>
      <c r="E20" s="523" t="str">
        <f ca="1">IF(' Preparation'!F11&lt; 25000000*F19, "Org &lt; $ 25 mio --&gt; Zero ESCU's", " Org. &gt;$ 25 mio; ESCU's shall be calculated")</f>
        <v xml:space="preserve"> Org. &gt;$ 25 mio; ESCU's shall be calculated</v>
      </c>
      <c r="F20" s="981" t="str">
        <f ca="1">IF($F$18=1,"",IF(' Preparation'!$F$11&lt; (25000000*$F$19*' Preparation'!I4), "Organization &lt;  $ 25 mio", " Organization &gt; $ 25 mio"))</f>
        <v xml:space="preserve"> Organization &gt; $ 25 mio</v>
      </c>
      <c r="G20" s="1299" t="str">
        <f ca="1">IF(' Preparation'!$F$11&lt;25000000*F19*' Preparation'!I4,"Goto RI 10","Goto RI 4")</f>
        <v>Goto RI 4</v>
      </c>
      <c r="I20" s="1300" t="s">
        <v>8736</v>
      </c>
      <c r="J20" s="1301" t="s">
        <v>7847</v>
      </c>
      <c r="K20" s="1933"/>
    </row>
    <row r="21" spans="1:11" ht="29.5" customHeight="1" x14ac:dyDescent="0.35">
      <c r="A21" s="1278" t="s">
        <v>248</v>
      </c>
      <c r="B21" s="1286" t="s">
        <v>7850</v>
      </c>
      <c r="C21" s="1270" t="s">
        <v>8534</v>
      </c>
      <c r="D21" s="1270" t="s">
        <v>69</v>
      </c>
      <c r="E21" s="1287" t="s">
        <v>7116</v>
      </c>
      <c r="F21" s="1270">
        <v>2</v>
      </c>
      <c r="G21" s="407" t="str">
        <f>IF(F21=1,"",IF(F21=2,"Goto RI 5","Goto RI 6"))</f>
        <v>Goto RI 5</v>
      </c>
      <c r="I21" s="1302" t="s">
        <v>8174</v>
      </c>
      <c r="J21" s="1303" t="s">
        <v>8535</v>
      </c>
      <c r="K21" s="1934"/>
    </row>
    <row r="22" spans="1:11" ht="45.75" customHeight="1" thickBot="1" x14ac:dyDescent="0.4">
      <c r="A22" s="1278" t="s">
        <v>249</v>
      </c>
      <c r="B22" s="1286" t="s">
        <v>8778</v>
      </c>
      <c r="C22" s="1270" t="s">
        <v>8783</v>
      </c>
      <c r="D22" s="1270" t="s">
        <v>8782</v>
      </c>
      <c r="E22" s="1191" t="s">
        <v>8781</v>
      </c>
      <c r="F22" s="1931">
        <v>1.276824022</v>
      </c>
      <c r="G22" s="407" t="str">
        <f>IF(F21=2,"Goto RI 7","")</f>
        <v>Goto RI 7</v>
      </c>
      <c r="I22" s="1304" t="s">
        <v>7848</v>
      </c>
      <c r="J22" s="1305" t="s">
        <v>8738</v>
      </c>
      <c r="K22" s="1306">
        <f>K21/(60*48)</f>
        <v>0</v>
      </c>
    </row>
    <row r="23" spans="1:11" ht="44.25" customHeight="1" x14ac:dyDescent="0.35">
      <c r="A23" s="1278" t="s">
        <v>250</v>
      </c>
      <c r="B23" s="1286" t="s">
        <v>8779</v>
      </c>
      <c r="C23" s="1270" t="s">
        <v>8790</v>
      </c>
      <c r="D23" s="1270" t="s">
        <v>8791</v>
      </c>
      <c r="E23" s="1191" t="s">
        <v>8780</v>
      </c>
      <c r="F23" s="1291" t="str">
        <f>IF(F21=3,IF(' Preparation'!$F$11&lt; 25000000*$F$19, "", K22),"")</f>
        <v/>
      </c>
      <c r="G23" s="1285"/>
    </row>
    <row r="24" spans="1:11" ht="21.75" customHeight="1" x14ac:dyDescent="0.35">
      <c r="A24" s="1278" t="s">
        <v>254</v>
      </c>
      <c r="B24" s="1286" t="s">
        <v>157</v>
      </c>
      <c r="C24" s="1270" t="s">
        <v>8787</v>
      </c>
      <c r="D24" s="1270" t="s">
        <v>7759</v>
      </c>
      <c r="E24" s="566" t="s">
        <v>8399</v>
      </c>
      <c r="F24" s="1307">
        <f ca="1">LOOKUP(' Preparation'!$F$6,Data!$B$2:$B$193,Data!$F$2:$F$194)</f>
        <v>0</v>
      </c>
      <c r="G24" s="1285"/>
      <c r="I24" s="1308"/>
    </row>
    <row r="25" spans="1:11" ht="30.75" customHeight="1" x14ac:dyDescent="0.35">
      <c r="A25" s="1278" t="s">
        <v>255</v>
      </c>
      <c r="B25" s="521" t="s">
        <v>8786</v>
      </c>
      <c r="C25" s="1270" t="s">
        <v>8785</v>
      </c>
      <c r="D25" s="1270" t="s">
        <v>7759</v>
      </c>
      <c r="E25" s="1191" t="s">
        <v>260</v>
      </c>
      <c r="F25" s="1292">
        <f ca="1">IF(OR($F$21=1,' Preparation'!$F$11&lt; 25000000*$F$19*' Preparation'!I4),"",IF(F21=2,F22,F23)/IF(' Preparation'!$F$11&lt; 25000000*$F$19*' Preparation'!I4, "", Data!$AK$12))</f>
        <v>5.3648068151260504E-2</v>
      </c>
      <c r="G25" s="407" t="str">
        <f>IF(F21=3,"Goto RI 10", "")</f>
        <v/>
      </c>
    </row>
    <row r="26" spans="1:11" ht="51" customHeight="1" x14ac:dyDescent="0.35">
      <c r="A26" s="1278" t="s">
        <v>8173</v>
      </c>
      <c r="B26" s="1286" t="s">
        <v>8792</v>
      </c>
      <c r="C26" s="1270" t="s">
        <v>8941</v>
      </c>
      <c r="D26" s="1270" t="s">
        <v>69</v>
      </c>
      <c r="E26" s="1191" t="s">
        <v>8942</v>
      </c>
      <c r="F26" s="1931">
        <v>0</v>
      </c>
      <c r="G26" s="407" t="str">
        <f>IF(F21=2,"Goto RI 11","")</f>
        <v>Goto RI 11</v>
      </c>
    </row>
    <row r="27" spans="1:11" ht="46" customHeight="1" thickBot="1" x14ac:dyDescent="0.4">
      <c r="A27" s="1278" t="s">
        <v>8533</v>
      </c>
      <c r="B27" s="1286" t="s">
        <v>8793</v>
      </c>
      <c r="C27" s="1270" t="s">
        <v>8537</v>
      </c>
      <c r="D27" s="1270" t="s">
        <v>7759</v>
      </c>
      <c r="E27" s="1191"/>
      <c r="F27" s="1309" t="e">
        <f ca="1">IF(' Preparation'!F11&lt;25000000*$F$19*' Preparation'!I4,0,IF($F$21=1,0,   IF(F21=2,F22*$F$19, ($F$23*$F$19-$F$24))     *(0.8*' Preparation'!$F$23*' Preparation'!$F$24/$F$24)))</f>
        <v>#DIV/0!</v>
      </c>
      <c r="G27" s="1285"/>
      <c r="I27" s="1270" t="s">
        <v>8784</v>
      </c>
    </row>
    <row r="28" spans="1:11" ht="28.5" customHeight="1" thickTop="1" thickBot="1" x14ac:dyDescent="0.4">
      <c r="A28" s="1278" t="s">
        <v>8777</v>
      </c>
      <c r="B28" s="1286" t="s">
        <v>272</v>
      </c>
      <c r="C28" s="1189" t="s">
        <v>252</v>
      </c>
      <c r="E28" s="1293" t="s">
        <v>8427</v>
      </c>
      <c r="F28" s="1294">
        <f ca="1">IF(F21=1,"",IF(' Preparation'!$F$11&lt;25000000*F19*' Preparation'!I4,0,IF($F$21=2,$F$26,$F$27)))</f>
        <v>0</v>
      </c>
      <c r="G28" s="1285"/>
    </row>
    <row r="29" spans="1:11" ht="19" customHeight="1" thickTop="1" thickBot="1" x14ac:dyDescent="0.4">
      <c r="A29" s="1278"/>
      <c r="B29" s="1286"/>
      <c r="C29" s="1189"/>
      <c r="E29" s="1293"/>
      <c r="F29" s="1310"/>
      <c r="G29" s="407"/>
    </row>
    <row r="30" spans="1:11" ht="37.5" customHeight="1" thickBot="1" x14ac:dyDescent="0.4">
      <c r="A30" s="1278"/>
      <c r="B30" s="1782" t="s">
        <v>12</v>
      </c>
      <c r="C30" s="1783"/>
      <c r="D30" s="1168"/>
      <c r="E30" s="1153"/>
      <c r="F30" s="1153"/>
      <c r="G30" s="1634"/>
    </row>
    <row r="31" spans="1:11" ht="29.5" customHeight="1" x14ac:dyDescent="0.35">
      <c r="A31" s="1278" t="s">
        <v>261</v>
      </c>
      <c r="B31" s="1286" t="s">
        <v>111</v>
      </c>
      <c r="C31" s="1186" t="s">
        <v>8538</v>
      </c>
      <c r="D31" s="1186" t="s">
        <v>69</v>
      </c>
      <c r="E31" s="1191" t="s">
        <v>7116</v>
      </c>
      <c r="F31" s="1191">
        <v>1</v>
      </c>
      <c r="G31" s="407"/>
    </row>
    <row r="32" spans="1:11" ht="43.5" x14ac:dyDescent="0.35">
      <c r="A32" s="1278" t="s">
        <v>268</v>
      </c>
      <c r="B32" s="1286" t="s">
        <v>8798</v>
      </c>
      <c r="C32" s="1186" t="s">
        <v>8797</v>
      </c>
      <c r="D32" s="1186" t="s">
        <v>69</v>
      </c>
      <c r="E32" s="1191" t="s">
        <v>8539</v>
      </c>
      <c r="F32" s="1137"/>
      <c r="G32" s="1311"/>
    </row>
    <row r="33" spans="1:7" ht="30.75" customHeight="1" x14ac:dyDescent="0.35">
      <c r="A33" s="1278" t="s">
        <v>269</v>
      </c>
      <c r="B33" s="1286" t="s">
        <v>7782</v>
      </c>
      <c r="C33" s="1186" t="s">
        <v>8175</v>
      </c>
      <c r="D33" s="1186" t="s">
        <v>7759</v>
      </c>
      <c r="E33" s="1191" t="s">
        <v>8540</v>
      </c>
      <c r="F33" s="982">
        <f>Data!$AK$13</f>
        <v>0.5</v>
      </c>
      <c r="G33" s="407" t="str">
        <f>IF(F31=3,"Goto RO 5","")</f>
        <v/>
      </c>
    </row>
    <row r="34" spans="1:7" ht="33" customHeight="1" x14ac:dyDescent="0.35">
      <c r="A34" s="1278" t="s">
        <v>270</v>
      </c>
      <c r="B34" s="1286" t="s">
        <v>8796</v>
      </c>
      <c r="C34" s="1186" t="s">
        <v>8739</v>
      </c>
      <c r="D34" s="1186" t="s">
        <v>69</v>
      </c>
      <c r="E34" s="1191" t="s">
        <v>8541</v>
      </c>
      <c r="F34" s="1137"/>
      <c r="G34" s="407" t="str">
        <f>IF(F31=2,"Goto RO 6","")</f>
        <v/>
      </c>
    </row>
    <row r="35" spans="1:7" ht="31.5" customHeight="1" thickBot="1" x14ac:dyDescent="0.4">
      <c r="A35" s="1278" t="s">
        <v>7668</v>
      </c>
      <c r="B35" s="1286" t="s">
        <v>7350</v>
      </c>
      <c r="C35" s="1186" t="s">
        <v>8542</v>
      </c>
      <c r="D35" s="1186" t="s">
        <v>7759</v>
      </c>
      <c r="E35" s="1191" t="s">
        <v>8428</v>
      </c>
      <c r="F35" s="1309" t="str">
        <f>IF(F31&lt;&gt;3,"",F10*LOOKUP(IF($F$31=2,"",$F$9),Data!$B$2:$B$193,Data!$F$2:$F$193)*F32*(F33-F34))</f>
        <v/>
      </c>
      <c r="G35" s="1312"/>
    </row>
    <row r="36" spans="1:7" ht="33" customHeight="1" thickTop="1" thickBot="1" x14ac:dyDescent="0.4">
      <c r="A36" s="1278" t="s">
        <v>7669</v>
      </c>
      <c r="B36" s="521" t="s">
        <v>272</v>
      </c>
      <c r="C36" s="1313" t="s">
        <v>279</v>
      </c>
      <c r="D36" s="1186"/>
      <c r="E36" s="1293" t="s">
        <v>8429</v>
      </c>
      <c r="F36" s="1314" t="str">
        <f>IF($F$31=1,"",(IF($F$31=2,($F$33-$F$34),$F$35)*' Preparation'!$F$23*' Preparation'!$F$24)*F32)</f>
        <v/>
      </c>
      <c r="G36" s="407"/>
    </row>
    <row r="37" spans="1:7" ht="19.5" customHeight="1" thickTop="1" thickBot="1" x14ac:dyDescent="0.4">
      <c r="A37" s="1278"/>
      <c r="B37" s="1286"/>
      <c r="C37" s="1189"/>
      <c r="E37" s="1293"/>
      <c r="F37" s="1315"/>
      <c r="G37" s="1285"/>
    </row>
    <row r="38" spans="1:7" ht="19.5" customHeight="1" thickBot="1" x14ac:dyDescent="0.4">
      <c r="A38" s="1278"/>
      <c r="B38" s="1782" t="s">
        <v>13</v>
      </c>
      <c r="C38" s="1783"/>
      <c r="D38" s="1168"/>
      <c r="E38" s="1153"/>
      <c r="F38" s="1153"/>
      <c r="G38" s="1634"/>
    </row>
    <row r="39" spans="1:7" ht="22" customHeight="1" x14ac:dyDescent="0.35">
      <c r="A39" s="1278"/>
      <c r="B39" s="563" t="s">
        <v>89</v>
      </c>
      <c r="C39" s="1789" t="s">
        <v>8930</v>
      </c>
      <c r="D39" s="1763"/>
      <c r="E39" s="1763"/>
      <c r="F39" s="1763"/>
      <c r="G39" s="407"/>
    </row>
    <row r="40" spans="1:7" ht="32.5" customHeight="1" x14ac:dyDescent="0.35">
      <c r="A40" s="1278" t="s">
        <v>262</v>
      </c>
      <c r="B40" s="1286" t="s">
        <v>257</v>
      </c>
      <c r="C40" s="1270" t="s">
        <v>8526</v>
      </c>
      <c r="D40" s="1270" t="s">
        <v>69</v>
      </c>
      <c r="E40" s="1287" t="s">
        <v>721</v>
      </c>
      <c r="F40" s="1270">
        <v>2</v>
      </c>
      <c r="G40" s="407"/>
    </row>
    <row r="41" spans="1:7" ht="31.5" customHeight="1" x14ac:dyDescent="0.35">
      <c r="A41" s="1278" t="s">
        <v>273</v>
      </c>
      <c r="B41" s="1286" t="s">
        <v>13</v>
      </c>
      <c r="C41" s="1270" t="s">
        <v>8800</v>
      </c>
      <c r="E41" s="1287" t="s">
        <v>8152</v>
      </c>
      <c r="F41" s="1935">
        <v>0</v>
      </c>
      <c r="G41" s="407"/>
    </row>
    <row r="42" spans="1:7" ht="44" thickBot="1" x14ac:dyDescent="0.4">
      <c r="A42" s="1278" t="s">
        <v>274</v>
      </c>
      <c r="B42" s="1286" t="s">
        <v>18</v>
      </c>
      <c r="C42" s="1270" t="s">
        <v>7763</v>
      </c>
      <c r="D42" s="1270" t="s">
        <v>8176</v>
      </c>
      <c r="E42" s="1191" t="s">
        <v>8430</v>
      </c>
      <c r="F42" s="1316">
        <f>MAX((Data!$AK$16-$F$41),0)*' Preparation'!$F$23*' Preparation'!$F$24</f>
        <v>0</v>
      </c>
      <c r="G42" s="1317"/>
    </row>
    <row r="43" spans="1:7" ht="32.5" customHeight="1" thickTop="1" thickBot="1" x14ac:dyDescent="0.4">
      <c r="A43" s="1278" t="s">
        <v>8821</v>
      </c>
      <c r="B43" s="521" t="s">
        <v>272</v>
      </c>
      <c r="C43" s="1313" t="s">
        <v>278</v>
      </c>
      <c r="E43" s="1293" t="s">
        <v>8429</v>
      </c>
      <c r="F43" s="1294">
        <f>IF(F40=1,"",$F$42)</f>
        <v>0</v>
      </c>
      <c r="G43" s="1285"/>
    </row>
    <row r="44" spans="1:7" ht="19.5" customHeight="1" thickTop="1" thickBot="1" x14ac:dyDescent="0.4">
      <c r="A44" s="1278"/>
      <c r="B44" s="1286"/>
      <c r="C44" s="1189"/>
      <c r="E44" s="1293"/>
      <c r="F44" s="1296"/>
      <c r="G44" s="1285"/>
    </row>
    <row r="45" spans="1:7" ht="30.75" customHeight="1" thickBot="1" x14ac:dyDescent="0.4">
      <c r="A45" s="1278"/>
      <c r="B45" s="1782" t="s">
        <v>14</v>
      </c>
      <c r="C45" s="1783"/>
      <c r="D45" s="1168"/>
      <c r="E45" s="1153"/>
      <c r="F45" s="1153"/>
      <c r="G45" s="1634"/>
    </row>
    <row r="46" spans="1:7" ht="30.75" customHeight="1" x14ac:dyDescent="0.35">
      <c r="A46" s="1278" t="s">
        <v>263</v>
      </c>
      <c r="B46" s="1286" t="s">
        <v>257</v>
      </c>
      <c r="C46" s="1270" t="s">
        <v>8526</v>
      </c>
      <c r="D46" s="1270" t="s">
        <v>69</v>
      </c>
      <c r="E46" s="1287" t="s">
        <v>721</v>
      </c>
      <c r="F46" s="1270">
        <v>2</v>
      </c>
      <c r="G46" s="407"/>
    </row>
    <row r="47" spans="1:7" ht="46.5" customHeight="1" x14ac:dyDescent="0.35">
      <c r="A47" s="1278" t="s">
        <v>276</v>
      </c>
      <c r="B47" s="1286" t="s">
        <v>7764</v>
      </c>
      <c r="C47" s="1270" t="s">
        <v>8929</v>
      </c>
      <c r="E47" s="1287" t="s">
        <v>8152</v>
      </c>
      <c r="F47" s="1936"/>
      <c r="G47" s="407"/>
    </row>
    <row r="48" spans="1:7" ht="44" thickBot="1" x14ac:dyDescent="0.4">
      <c r="A48" s="1278" t="s">
        <v>277</v>
      </c>
      <c r="B48" s="1286" t="s">
        <v>18</v>
      </c>
      <c r="C48" s="1270" t="s">
        <v>7766</v>
      </c>
      <c r="D48" s="1270" t="s">
        <v>8176</v>
      </c>
      <c r="E48" s="1191" t="s">
        <v>8431</v>
      </c>
      <c r="F48" s="1316">
        <f>MAX((Data!$AK$14-$F$47),0)*' Preparation'!$F$23*' Preparation'!$F$24</f>
        <v>0</v>
      </c>
      <c r="G48" s="407"/>
    </row>
    <row r="49" spans="1:7" ht="31.5" customHeight="1" thickTop="1" thickBot="1" x14ac:dyDescent="0.4">
      <c r="A49" s="1278" t="s">
        <v>8822</v>
      </c>
      <c r="B49" s="521" t="s">
        <v>272</v>
      </c>
      <c r="C49" s="1313" t="s">
        <v>7765</v>
      </c>
      <c r="E49" s="1293" t="s">
        <v>8432</v>
      </c>
      <c r="F49" s="1294">
        <f>IF(F46=1,"",$F$48)</f>
        <v>0</v>
      </c>
      <c r="G49" s="407"/>
    </row>
    <row r="50" spans="1:7" ht="19.5" customHeight="1" thickTop="1" thickBot="1" x14ac:dyDescent="0.4">
      <c r="A50" s="1278"/>
      <c r="B50" s="1286"/>
      <c r="C50" s="1189"/>
      <c r="E50" s="1293"/>
      <c r="F50" s="1296"/>
      <c r="G50" s="1285"/>
    </row>
    <row r="51" spans="1:7" ht="20.5" customHeight="1" thickBot="1" x14ac:dyDescent="0.4">
      <c r="A51" s="1278"/>
      <c r="B51" s="1782" t="s">
        <v>265</v>
      </c>
      <c r="C51" s="1783"/>
      <c r="D51" s="1168"/>
      <c r="E51" s="1153"/>
      <c r="F51" s="1153"/>
      <c r="G51" s="1634"/>
    </row>
    <row r="52" spans="1:7" ht="30.75" customHeight="1" x14ac:dyDescent="0.35">
      <c r="A52" s="1278" t="s">
        <v>264</v>
      </c>
      <c r="B52" s="1286" t="s">
        <v>257</v>
      </c>
      <c r="C52" s="1270" t="s">
        <v>8526</v>
      </c>
      <c r="D52" s="1270" t="s">
        <v>69</v>
      </c>
      <c r="E52" s="1287" t="s">
        <v>721</v>
      </c>
      <c r="F52" s="1270">
        <v>2</v>
      </c>
      <c r="G52" s="407"/>
    </row>
    <row r="53" spans="1:7" ht="44.25" customHeight="1" x14ac:dyDescent="0.35">
      <c r="A53" s="1278" t="s">
        <v>280</v>
      </c>
      <c r="B53" s="1286" t="s">
        <v>265</v>
      </c>
      <c r="C53" s="1270" t="s">
        <v>8799</v>
      </c>
      <c r="E53" s="1287" t="s">
        <v>8152</v>
      </c>
      <c r="F53" s="1936"/>
      <c r="G53" s="407"/>
    </row>
    <row r="54" spans="1:7" ht="33" customHeight="1" thickBot="1" x14ac:dyDescent="0.4">
      <c r="A54" s="1278" t="s">
        <v>281</v>
      </c>
      <c r="B54" s="1286" t="s">
        <v>18</v>
      </c>
      <c r="C54" s="1270" t="s">
        <v>7768</v>
      </c>
      <c r="D54" s="1270" t="s">
        <v>8176</v>
      </c>
      <c r="E54" s="1191" t="s">
        <v>8434</v>
      </c>
      <c r="F54" s="1316">
        <f>MAX((Data!$AK$17-$F$53),0)*' Preparation'!$F$23*' Preparation'!$F$24</f>
        <v>0</v>
      </c>
      <c r="G54" s="407" t="str">
        <f>IF(F53=2,"Goto RD 4","")</f>
        <v/>
      </c>
    </row>
    <row r="55" spans="1:7" ht="38.5" customHeight="1" thickTop="1" thickBot="1" x14ac:dyDescent="0.4">
      <c r="A55" s="1278" t="s">
        <v>8823</v>
      </c>
      <c r="B55" s="1286" t="s">
        <v>272</v>
      </c>
      <c r="C55" s="1189" t="s">
        <v>7769</v>
      </c>
      <c r="E55" s="1293" t="s">
        <v>8433</v>
      </c>
      <c r="F55" s="1294">
        <f>IF(F52=1,"",$F$54)</f>
        <v>0</v>
      </c>
      <c r="G55" s="1285"/>
    </row>
    <row r="56" spans="1:7" ht="19.5" customHeight="1" thickTop="1" thickBot="1" x14ac:dyDescent="0.4">
      <c r="A56" s="1278"/>
      <c r="B56" s="1286"/>
      <c r="C56" s="1189"/>
      <c r="E56" s="1293"/>
      <c r="F56" s="1310"/>
      <c r="G56" s="1285"/>
    </row>
    <row r="57" spans="1:7" ht="19.5" customHeight="1" thickBot="1" x14ac:dyDescent="0.4">
      <c r="A57" s="1278"/>
      <c r="B57" s="1676" t="s">
        <v>7223</v>
      </c>
      <c r="C57" s="1788"/>
      <c r="D57" s="1168"/>
      <c r="E57" s="1153"/>
      <c r="F57" s="1153"/>
      <c r="G57" s="1634"/>
    </row>
    <row r="58" spans="1:7" ht="18.5" x14ac:dyDescent="0.35">
      <c r="A58" s="1278"/>
      <c r="B58" s="563" t="s">
        <v>89</v>
      </c>
      <c r="C58" s="1318" t="s">
        <v>8740</v>
      </c>
      <c r="D58" s="1319"/>
      <c r="E58" s="1319"/>
      <c r="F58" s="1319"/>
      <c r="G58" s="1320"/>
    </row>
    <row r="59" spans="1:7" ht="30" customHeight="1" x14ac:dyDescent="0.35">
      <c r="A59" s="1278" t="s">
        <v>266</v>
      </c>
      <c r="B59" s="1286" t="s">
        <v>111</v>
      </c>
      <c r="C59" s="1270" t="s">
        <v>7777</v>
      </c>
      <c r="D59" s="1270" t="s">
        <v>69</v>
      </c>
      <c r="E59" s="1287" t="s">
        <v>7116</v>
      </c>
      <c r="F59" s="1270">
        <v>1</v>
      </c>
      <c r="G59" s="407" t="str">
        <f>IF(F59=1,"",IF(F59=2,"Goto RT 2"," Goto RT 3"))</f>
        <v/>
      </c>
    </row>
    <row r="60" spans="1:7" ht="45" customHeight="1" x14ac:dyDescent="0.35">
      <c r="A60" s="1278" t="s">
        <v>282</v>
      </c>
      <c r="B60" s="1286" t="s">
        <v>7776</v>
      </c>
      <c r="C60" s="1270" t="s">
        <v>286</v>
      </c>
      <c r="D60" s="1270" t="s">
        <v>8748</v>
      </c>
      <c r="E60" s="1191" t="s">
        <v>146</v>
      </c>
      <c r="F60" s="1321"/>
      <c r="G60" s="407" t="str">
        <f>IF(E59=2,"Goto RT 4","")</f>
        <v/>
      </c>
    </row>
    <row r="61" spans="1:7" ht="62.25" customHeight="1" thickBot="1" x14ac:dyDescent="0.4">
      <c r="A61" s="1278" t="s">
        <v>283</v>
      </c>
      <c r="B61" s="1286" t="s">
        <v>271</v>
      </c>
      <c r="C61" s="1270" t="s">
        <v>7774</v>
      </c>
      <c r="D61" s="1270" t="s">
        <v>11</v>
      </c>
      <c r="E61" s="1191" t="s">
        <v>8435</v>
      </c>
      <c r="F61" s="1321"/>
      <c r="G61" s="1285"/>
    </row>
    <row r="62" spans="1:7" ht="47.5" customHeight="1" thickBot="1" x14ac:dyDescent="0.4">
      <c r="A62" s="1278" t="s">
        <v>284</v>
      </c>
      <c r="B62" s="521" t="s">
        <v>272</v>
      </c>
      <c r="C62" s="1313" t="s">
        <v>285</v>
      </c>
      <c r="E62" s="1293" t="s">
        <v>8436</v>
      </c>
      <c r="F62" s="1322" t="str">
        <f>IF(F59=1,"",IF(F59=2,F60,F61))</f>
        <v/>
      </c>
      <c r="G62" s="1285"/>
    </row>
    <row r="63" spans="1:7" ht="19.5" customHeight="1" thickBot="1" x14ac:dyDescent="0.4">
      <c r="A63" s="1278"/>
      <c r="B63" s="1286"/>
      <c r="C63" s="1189"/>
      <c r="E63" s="1293"/>
      <c r="F63" s="1296"/>
      <c r="G63" s="1285"/>
    </row>
    <row r="64" spans="1:7" ht="24" customHeight="1" thickBot="1" x14ac:dyDescent="0.4">
      <c r="A64" s="1278"/>
      <c r="B64" s="1782" t="s">
        <v>298</v>
      </c>
      <c r="C64" s="1783"/>
      <c r="D64" s="1168"/>
      <c r="E64" s="1153"/>
      <c r="F64" s="1153"/>
      <c r="G64" s="1634"/>
    </row>
    <row r="65" spans="1:7" ht="47.25" customHeight="1" x14ac:dyDescent="0.35">
      <c r="A65" s="1278" t="s">
        <v>267</v>
      </c>
      <c r="B65" s="1286" t="s">
        <v>111</v>
      </c>
      <c r="C65" s="1270" t="s">
        <v>289</v>
      </c>
      <c r="D65" s="1270" t="s">
        <v>69</v>
      </c>
      <c r="E65" s="1287" t="s">
        <v>7116</v>
      </c>
      <c r="F65" s="1270">
        <v>2</v>
      </c>
      <c r="G65" s="407" t="str">
        <f>IF($F$65=1,"",IF($F$65=2,"Goto RV 2"," Goto RV 6"))</f>
        <v>Goto RV 2</v>
      </c>
    </row>
    <row r="66" spans="1:7" ht="43.5" x14ac:dyDescent="0.35">
      <c r="A66" s="1278" t="s">
        <v>290</v>
      </c>
      <c r="B66" s="1286" t="s">
        <v>291</v>
      </c>
      <c r="C66" s="1270" t="s">
        <v>8741</v>
      </c>
      <c r="D66" s="1270" t="s">
        <v>11</v>
      </c>
      <c r="E66" s="1191" t="s">
        <v>8151</v>
      </c>
      <c r="F66" s="1323"/>
      <c r="G66" s="407"/>
    </row>
    <row r="67" spans="1:7" ht="15.5" x14ac:dyDescent="0.35">
      <c r="A67" s="1278"/>
      <c r="B67" s="1286"/>
      <c r="C67" s="1324" t="s">
        <v>7755</v>
      </c>
      <c r="E67" s="1287" t="s">
        <v>8943</v>
      </c>
      <c r="F67" s="1321">
        <v>0</v>
      </c>
      <c r="G67" s="1285"/>
    </row>
    <row r="68" spans="1:7" ht="15.5" x14ac:dyDescent="0.35">
      <c r="A68" s="1278"/>
      <c r="B68" s="1286"/>
      <c r="C68" s="1324" t="s">
        <v>7753</v>
      </c>
      <c r="E68" s="1287" t="s">
        <v>8943</v>
      </c>
      <c r="F68" s="1321">
        <v>0</v>
      </c>
      <c r="G68" s="1285"/>
    </row>
    <row r="69" spans="1:7" ht="29" x14ac:dyDescent="0.35">
      <c r="A69" s="1278"/>
      <c r="B69" s="1286"/>
      <c r="C69" s="1324" t="s">
        <v>7770</v>
      </c>
      <c r="E69" s="1287" t="s">
        <v>8943</v>
      </c>
      <c r="F69" s="1321">
        <v>0</v>
      </c>
      <c r="G69" s="1285"/>
    </row>
    <row r="70" spans="1:7" ht="31.5" customHeight="1" x14ac:dyDescent="0.35">
      <c r="A70" s="1278"/>
      <c r="B70" s="1286"/>
      <c r="C70" s="1324" t="s">
        <v>7771</v>
      </c>
      <c r="E70" s="1287" t="s">
        <v>8943</v>
      </c>
      <c r="F70" s="1321">
        <v>0</v>
      </c>
      <c r="G70" s="1285"/>
    </row>
    <row r="71" spans="1:7" ht="19" customHeight="1" x14ac:dyDescent="0.35">
      <c r="A71" s="1278"/>
      <c r="B71" s="1286"/>
      <c r="C71" s="1324" t="s">
        <v>7773</v>
      </c>
      <c r="E71" s="1287" t="s">
        <v>8943</v>
      </c>
      <c r="F71" s="1321">
        <v>0</v>
      </c>
      <c r="G71" s="1285"/>
    </row>
    <row r="72" spans="1:7" ht="31" customHeight="1" x14ac:dyDescent="0.35">
      <c r="A72" s="1278"/>
      <c r="B72" s="1286"/>
      <c r="C72" s="1324" t="s">
        <v>7772</v>
      </c>
      <c r="E72" s="1287" t="s">
        <v>8943</v>
      </c>
      <c r="F72" s="1321">
        <v>0</v>
      </c>
      <c r="G72" s="1285"/>
    </row>
    <row r="73" spans="1:7" ht="21" customHeight="1" x14ac:dyDescent="0.35">
      <c r="A73" s="1278"/>
      <c r="B73" s="1286"/>
      <c r="C73" s="1325" t="s">
        <v>7754</v>
      </c>
      <c r="D73" s="1326"/>
      <c r="E73" s="1287" t="s">
        <v>8943</v>
      </c>
      <c r="F73" s="1321">
        <v>0</v>
      </c>
      <c r="G73" s="1327"/>
    </row>
    <row r="74" spans="1:7" ht="21.75" customHeight="1" x14ac:dyDescent="0.35">
      <c r="A74" s="1278"/>
      <c r="B74" s="1286"/>
      <c r="C74" s="1324" t="s">
        <v>7845</v>
      </c>
      <c r="D74" s="1270" t="s">
        <v>7760</v>
      </c>
      <c r="E74" s="1287" t="s">
        <v>8944</v>
      </c>
      <c r="F74" s="1328">
        <f>IF(F65=2,SUM($F$67:$F$73),"")</f>
        <v>0</v>
      </c>
      <c r="G74" s="1285"/>
    </row>
    <row r="75" spans="1:7" ht="21.75" customHeight="1" thickBot="1" x14ac:dyDescent="0.4">
      <c r="A75" s="1278" t="s">
        <v>292</v>
      </c>
      <c r="B75" s="1286" t="s">
        <v>302</v>
      </c>
      <c r="C75" s="1324" t="s">
        <v>7844</v>
      </c>
      <c r="D75" s="1270" t="s">
        <v>69</v>
      </c>
      <c r="E75" s="1287" t="s">
        <v>8945</v>
      </c>
      <c r="F75" s="1321"/>
      <c r="G75" s="1285"/>
    </row>
    <row r="76" spans="1:7" ht="21.75" customHeight="1" thickBot="1" x14ac:dyDescent="0.4">
      <c r="A76" s="1278" t="s">
        <v>293</v>
      </c>
      <c r="B76" s="1286" t="s">
        <v>296</v>
      </c>
      <c r="C76" s="1324" t="s">
        <v>7752</v>
      </c>
      <c r="D76" s="1270" t="s">
        <v>7760</v>
      </c>
      <c r="E76" s="1166" t="s">
        <v>296</v>
      </c>
      <c r="F76" s="1329" t="str">
        <f>IF($F$75=0,"",$F$74/$F$75)</f>
        <v/>
      </c>
      <c r="G76" s="1330"/>
    </row>
    <row r="77" spans="1:7" ht="29.25" customHeight="1" thickBot="1" x14ac:dyDescent="0.4">
      <c r="A77" s="1278" t="s">
        <v>294</v>
      </c>
      <c r="B77" s="1286" t="s">
        <v>18</v>
      </c>
      <c r="C77" s="1324" t="s">
        <v>8742</v>
      </c>
      <c r="D77" s="1270" t="s">
        <v>7760</v>
      </c>
      <c r="E77" s="1287" t="s">
        <v>299</v>
      </c>
      <c r="F77" s="1329" t="str">
        <f>IF(OR($F$75=0,$F$74=0),"",$F$76*155.3*$F$12)</f>
        <v/>
      </c>
      <c r="G77" s="407" t="str">
        <f>IF(F65=2,"Goto RV 7","")</f>
        <v>Goto RV 7</v>
      </c>
    </row>
    <row r="78" spans="1:7" ht="31" customHeight="1" thickBot="1" x14ac:dyDescent="0.4">
      <c r="A78" s="1278" t="s">
        <v>300</v>
      </c>
      <c r="B78" s="1286" t="s">
        <v>8743</v>
      </c>
      <c r="C78" s="1270" t="s">
        <v>8802</v>
      </c>
      <c r="D78" s="1270" t="s">
        <v>7760</v>
      </c>
      <c r="E78" s="1287" t="s">
        <v>8437</v>
      </c>
      <c r="F78" s="1331" t="str">
        <f>IF(F65=3,Data!AK19*' Preparation'!$F$23*' Preparation'!$F$24,"")</f>
        <v/>
      </c>
      <c r="G78" s="1299"/>
    </row>
    <row r="79" spans="1:7" ht="34" customHeight="1" thickTop="1" thickBot="1" x14ac:dyDescent="0.4">
      <c r="A79" s="1278" t="s">
        <v>301</v>
      </c>
      <c r="B79" s="1286" t="s">
        <v>272</v>
      </c>
      <c r="C79" s="1189" t="s">
        <v>287</v>
      </c>
      <c r="D79" s="1270" t="s">
        <v>7760</v>
      </c>
      <c r="E79" s="1293" t="s">
        <v>8429</v>
      </c>
      <c r="F79" s="1174" t="str">
        <f>IF($F$65=1,"",IF($F$65=2,$F$77,$F$78))</f>
        <v/>
      </c>
      <c r="G79" s="1285"/>
    </row>
    <row r="80" spans="1:7" ht="19.5" customHeight="1" thickTop="1" thickBot="1" x14ac:dyDescent="0.4">
      <c r="A80" s="1278"/>
      <c r="B80" s="1286"/>
      <c r="C80" s="1189"/>
      <c r="E80" s="1293"/>
      <c r="F80" s="1332"/>
      <c r="G80" s="1285"/>
    </row>
    <row r="81" spans="1:15" ht="21" customHeight="1" thickBot="1" x14ac:dyDescent="0.4">
      <c r="A81" s="1278"/>
      <c r="B81" s="1782" t="s">
        <v>27</v>
      </c>
      <c r="C81" s="1783"/>
      <c r="D81" s="1168"/>
      <c r="E81" s="1153"/>
      <c r="F81" s="1153"/>
      <c r="G81" s="1634"/>
    </row>
    <row r="82" spans="1:15" ht="29.5" customHeight="1" x14ac:dyDescent="0.35">
      <c r="A82" s="1278" t="s">
        <v>169</v>
      </c>
      <c r="B82" s="1286" t="s">
        <v>15</v>
      </c>
      <c r="C82" s="1270" t="s">
        <v>389</v>
      </c>
      <c r="D82" s="1270" t="s">
        <v>8747</v>
      </c>
      <c r="E82" s="1290" t="s">
        <v>753</v>
      </c>
      <c r="F82" s="1191">
        <v>1</v>
      </c>
      <c r="G82" s="407" t="str">
        <f>IF($F$82=1,"",IF($F$82=2,"Goto OHS 4"," Goto OHS 2"))</f>
        <v/>
      </c>
    </row>
    <row r="83" spans="1:15" ht="30" customHeight="1" x14ac:dyDescent="0.35">
      <c r="A83" s="1278" t="s">
        <v>170</v>
      </c>
      <c r="B83" s="1286" t="s">
        <v>390</v>
      </c>
      <c r="C83" s="1270" t="s">
        <v>8803</v>
      </c>
      <c r="D83" s="1270" t="s">
        <v>8150</v>
      </c>
      <c r="E83" s="1641" t="s">
        <v>2197</v>
      </c>
      <c r="F83" s="1256">
        <v>0</v>
      </c>
      <c r="G83" s="407" t="str">
        <f>IF(E82=2,"Goto OHS 3","")</f>
        <v/>
      </c>
    </row>
    <row r="84" spans="1:15" ht="31.5" customHeight="1" x14ac:dyDescent="0.35">
      <c r="A84" s="1278"/>
      <c r="B84" s="521" t="s">
        <v>192</v>
      </c>
      <c r="C84" s="1270" t="s">
        <v>7846</v>
      </c>
      <c r="D84" s="1270" t="s">
        <v>7760</v>
      </c>
      <c r="E84" s="1191" t="s">
        <v>8149</v>
      </c>
      <c r="F84" s="1333">
        <f>' Preparation'!$F$23</f>
        <v>0</v>
      </c>
      <c r="G84" s="407"/>
    </row>
    <row r="85" spans="1:15" ht="32.5" customHeight="1" thickBot="1" x14ac:dyDescent="0.4">
      <c r="A85" s="1278" t="s">
        <v>171</v>
      </c>
      <c r="B85" s="1334" t="s">
        <v>32</v>
      </c>
      <c r="C85" s="549" t="s">
        <v>7751</v>
      </c>
      <c r="D85" s="549" t="s">
        <v>7760</v>
      </c>
      <c r="E85" s="1187" t="s">
        <v>8439</v>
      </c>
      <c r="F85" s="1119">
        <f>F83*LOOKUP(' Preparation'!$F$10,Data!$B$2:$B$115,Data!$S$2:$S$115)*' Preparation'!$F$23*' Preparation'!$F$24</f>
        <v>0</v>
      </c>
      <c r="G85" s="1285"/>
    </row>
    <row r="86" spans="1:15" ht="32.5" customHeight="1" thickTop="1" thickBot="1" x14ac:dyDescent="0.4">
      <c r="A86" s="1278" t="s">
        <v>172</v>
      </c>
      <c r="B86" s="1286" t="s">
        <v>272</v>
      </c>
      <c r="C86" s="1189" t="s">
        <v>303</v>
      </c>
      <c r="E86" s="1293" t="s">
        <v>8438</v>
      </c>
      <c r="F86" s="1174" t="str">
        <f>IF($F$82=1,"",IF($F$82=2,0,$F$83*$F$85))</f>
        <v/>
      </c>
      <c r="G86" s="1285"/>
    </row>
    <row r="87" spans="1:15" ht="21.75" customHeight="1" thickTop="1" thickBot="1" x14ac:dyDescent="0.4">
      <c r="A87" s="1278"/>
      <c r="B87" s="1286"/>
      <c r="C87" s="1189"/>
      <c r="E87" s="1293"/>
      <c r="F87" s="1296"/>
      <c r="G87" s="1285"/>
    </row>
    <row r="88" spans="1:15" ht="21.75" customHeight="1" thickBot="1" x14ac:dyDescent="0.4">
      <c r="A88" s="1278"/>
      <c r="B88" s="1782" t="s">
        <v>17</v>
      </c>
      <c r="C88" s="1783"/>
      <c r="D88" s="1168"/>
      <c r="E88" s="1153"/>
      <c r="F88" s="1153"/>
      <c r="G88" s="1634"/>
    </row>
    <row r="89" spans="1:15" ht="28.5" customHeight="1" x14ac:dyDescent="0.35">
      <c r="A89" s="1278" t="s">
        <v>173</v>
      </c>
      <c r="B89" s="1286" t="s">
        <v>15</v>
      </c>
      <c r="C89" s="1270" t="s">
        <v>8543</v>
      </c>
      <c r="D89" s="1270" t="s">
        <v>21</v>
      </c>
      <c r="E89" s="1287" t="s">
        <v>753</v>
      </c>
      <c r="F89" s="1270">
        <v>3</v>
      </c>
      <c r="G89" s="407" t="str">
        <f>IF(F89=1, "",IF(F89=2,"RMF = 1; Goto LC5", " Goto LC 2"))</f>
        <v xml:space="preserve"> Goto LC 2</v>
      </c>
    </row>
    <row r="90" spans="1:15" ht="43.5" x14ac:dyDescent="0.35">
      <c r="A90" s="1278" t="s">
        <v>174</v>
      </c>
      <c r="B90" s="1286" t="s">
        <v>390</v>
      </c>
      <c r="C90" s="549" t="s">
        <v>8746</v>
      </c>
      <c r="D90" s="1270" t="s">
        <v>392</v>
      </c>
      <c r="E90" s="1191" t="s">
        <v>7750</v>
      </c>
      <c r="F90" s="1256">
        <v>1</v>
      </c>
      <c r="G90" s="1285"/>
    </row>
    <row r="91" spans="1:15" ht="29" x14ac:dyDescent="0.35">
      <c r="A91" s="1278" t="s">
        <v>175</v>
      </c>
      <c r="B91" s="1286" t="s">
        <v>192</v>
      </c>
      <c r="C91" s="1270" t="s">
        <v>8744</v>
      </c>
      <c r="D91" s="1270" t="s">
        <v>8745</v>
      </c>
      <c r="E91" s="1191" t="s">
        <v>8149</v>
      </c>
      <c r="F91" s="1333">
        <f>' Preparation'!$F$23</f>
        <v>0</v>
      </c>
      <c r="G91" s="1285"/>
    </row>
    <row r="92" spans="1:15" ht="29.5" thickBot="1" x14ac:dyDescent="0.4">
      <c r="A92" s="1278" t="s">
        <v>7747</v>
      </c>
      <c r="B92" s="1334" t="s">
        <v>32</v>
      </c>
      <c r="C92" s="549" t="s">
        <v>7673</v>
      </c>
      <c r="D92" s="549" t="s">
        <v>147</v>
      </c>
      <c r="E92" s="1187" t="s">
        <v>8440</v>
      </c>
      <c r="F92" s="1333">
        <f>Data!$AK$15</f>
        <v>0.1</v>
      </c>
      <c r="G92" s="1285"/>
    </row>
    <row r="93" spans="1:15" ht="32" thickTop="1" thickBot="1" x14ac:dyDescent="0.4">
      <c r="A93" s="1278" t="s">
        <v>7748</v>
      </c>
      <c r="B93" s="1286" t="s">
        <v>26</v>
      </c>
      <c r="C93" s="1189" t="s">
        <v>391</v>
      </c>
      <c r="E93" s="1335" t="s">
        <v>8441</v>
      </c>
      <c r="F93" s="1174">
        <f>IF($F$89=1,"",IF($F$89=2,0,$F$91*$F$92*' Preparation'!$F$24*F90))</f>
        <v>0</v>
      </c>
      <c r="G93" s="1285"/>
    </row>
    <row r="94" spans="1:15" ht="19.5" customHeight="1" thickTop="1" thickBot="1" x14ac:dyDescent="0.4">
      <c r="A94" s="1278"/>
      <c r="B94" s="1286"/>
      <c r="C94" s="1191"/>
      <c r="G94" s="1285"/>
    </row>
    <row r="95" spans="1:15" s="565" customFormat="1" ht="32.25" customHeight="1" thickBot="1" x14ac:dyDescent="0.4">
      <c r="A95" s="1278"/>
      <c r="B95" s="1782" t="s">
        <v>7682</v>
      </c>
      <c r="C95" s="1783"/>
      <c r="D95" s="1168"/>
      <c r="E95" s="1153"/>
      <c r="F95" s="1153"/>
      <c r="G95" s="1634"/>
      <c r="I95" s="1336" t="s">
        <v>7681</v>
      </c>
      <c r="K95" s="1785" t="s">
        <v>7683</v>
      </c>
      <c r="L95" s="1786"/>
      <c r="M95" s="1786"/>
      <c r="N95" s="1786"/>
      <c r="O95" s="1787"/>
    </row>
    <row r="96" spans="1:15" s="565" customFormat="1" ht="37" customHeight="1" thickBot="1" x14ac:dyDescent="0.4">
      <c r="A96" s="1278" t="s">
        <v>160</v>
      </c>
      <c r="B96" s="521" t="s">
        <v>153</v>
      </c>
      <c r="C96" s="565" t="s">
        <v>8154</v>
      </c>
      <c r="D96" s="1337" t="s">
        <v>7759</v>
      </c>
      <c r="E96" s="1338" t="str">
        <f>IF(' Preparation'!$F$6=1,"",LOOKUP(' Preparation'!$F$6,Data!B2:B193,Data!H2:H193))</f>
        <v/>
      </c>
      <c r="F96" s="1339" t="str">
        <f>IF($E$96="","",IF($E$96&gt;0%, "Child Labor risk present", "Child Labor free country"))</f>
        <v/>
      </c>
      <c r="G96" s="1340" t="str">
        <f>IF($E$96=0,"Goto CL 15"," Goto CL 2")</f>
        <v xml:space="preserve"> Goto CL 2</v>
      </c>
      <c r="I96" s="1341"/>
      <c r="K96" s="1342"/>
      <c r="L96" s="1343"/>
      <c r="M96" s="1343"/>
      <c r="N96" s="1343"/>
      <c r="O96" s="1344"/>
    </row>
    <row r="97" spans="1:15" s="565" customFormat="1" ht="33.75" customHeight="1" thickBot="1" x14ac:dyDescent="0.4">
      <c r="A97" s="1278" t="s">
        <v>161</v>
      </c>
      <c r="B97" s="1286" t="s">
        <v>7116</v>
      </c>
      <c r="C97" s="1270" t="s">
        <v>8546</v>
      </c>
      <c r="D97" s="1270" t="s">
        <v>76</v>
      </c>
      <c r="E97" s="566" t="s">
        <v>7119</v>
      </c>
      <c r="F97" s="1270">
        <v>2</v>
      </c>
      <c r="G97" s="1340" t="str">
        <f>IF(F97=3,"Goto CL 9","Goto CL 3")</f>
        <v>Goto CL 3</v>
      </c>
      <c r="I97" s="1345" t="s">
        <v>7674</v>
      </c>
      <c r="K97" s="1346" t="s">
        <v>7684</v>
      </c>
      <c r="L97" s="1347" t="s">
        <v>7685</v>
      </c>
      <c r="M97" s="1347" t="s">
        <v>8547</v>
      </c>
      <c r="N97" s="1347" t="s">
        <v>7686</v>
      </c>
      <c r="O97" s="1347" t="s">
        <v>7687</v>
      </c>
    </row>
    <row r="98" spans="1:15" ht="43.5" customHeight="1" thickBot="1" x14ac:dyDescent="0.4">
      <c r="A98" s="1278" t="s">
        <v>162</v>
      </c>
      <c r="B98" s="1286" t="s">
        <v>8544</v>
      </c>
      <c r="C98" s="1270" t="s">
        <v>8805</v>
      </c>
      <c r="D98" s="1270" t="s">
        <v>76</v>
      </c>
      <c r="E98" s="566" t="s">
        <v>8544</v>
      </c>
      <c r="F98" s="1270">
        <v>3</v>
      </c>
      <c r="G98" s="1340"/>
      <c r="I98" s="1345" t="s">
        <v>7674</v>
      </c>
      <c r="K98" s="1348">
        <v>13</v>
      </c>
      <c r="L98" s="1349">
        <v>6</v>
      </c>
      <c r="M98" s="1349">
        <v>30</v>
      </c>
      <c r="N98" s="1349" t="s">
        <v>7689</v>
      </c>
      <c r="O98" s="1349" t="s">
        <v>7688</v>
      </c>
    </row>
    <row r="99" spans="1:15" ht="48.75" customHeight="1" thickBot="1" x14ac:dyDescent="0.4">
      <c r="A99" s="1278" t="s">
        <v>164</v>
      </c>
      <c r="B99" s="1286" t="s">
        <v>235</v>
      </c>
      <c r="C99" s="1270" t="s">
        <v>8804</v>
      </c>
      <c r="D99" s="1270" t="s">
        <v>76</v>
      </c>
      <c r="E99" s="566" t="s">
        <v>7744</v>
      </c>
      <c r="F99" s="1270">
        <v>2</v>
      </c>
      <c r="G99" s="1340" t="str">
        <f>IF(F97=2,IF(OR($F$99=2,$F$98=3),"Goto CL 5","Goto CL 15"),"")</f>
        <v>Goto CL 5</v>
      </c>
      <c r="I99" s="1345" t="s">
        <v>7675</v>
      </c>
      <c r="K99" s="1348">
        <v>14</v>
      </c>
      <c r="L99" s="1349">
        <v>12</v>
      </c>
      <c r="M99" s="1349">
        <v>30</v>
      </c>
      <c r="N99" s="1349" t="s">
        <v>7690</v>
      </c>
      <c r="O99" s="1349" t="s">
        <v>7691</v>
      </c>
    </row>
    <row r="100" spans="1:15" ht="73.5" customHeight="1" thickBot="1" x14ac:dyDescent="0.4">
      <c r="A100" s="1278" t="s">
        <v>165</v>
      </c>
      <c r="B100" s="1286" t="s">
        <v>152</v>
      </c>
      <c r="C100" s="1270" t="s">
        <v>8750</v>
      </c>
      <c r="D100" s="1270" t="s">
        <v>76</v>
      </c>
      <c r="E100" s="566" t="s">
        <v>152</v>
      </c>
      <c r="F100" s="1270">
        <v>3</v>
      </c>
      <c r="G100" s="1340" t="str">
        <f>IF(F97=2,IF(F99=3,"",IF(AND($F$99=2,$F$100=2),"Goto CL 15","Goto CL 6")),"")</f>
        <v>Goto CL 6</v>
      </c>
      <c r="I100" s="1345" t="s">
        <v>7676</v>
      </c>
      <c r="K100" s="1348">
        <v>15</v>
      </c>
      <c r="L100" s="1349">
        <v>12</v>
      </c>
      <c r="M100" s="1349">
        <v>30</v>
      </c>
      <c r="N100" s="1349" t="s">
        <v>7690</v>
      </c>
      <c r="O100" s="1349" t="s">
        <v>7691</v>
      </c>
    </row>
    <row r="101" spans="1:15" ht="43" customHeight="1" thickBot="1" x14ac:dyDescent="0.4">
      <c r="A101" s="1278" t="s">
        <v>167</v>
      </c>
      <c r="B101" s="1286" t="s">
        <v>7120</v>
      </c>
      <c r="C101" s="1270" t="s">
        <v>8806</v>
      </c>
      <c r="D101" s="1270" t="s">
        <v>8155</v>
      </c>
      <c r="E101" s="566" t="s">
        <v>8992</v>
      </c>
      <c r="F101" s="1270">
        <v>3</v>
      </c>
      <c r="G101" s="1340" t="str">
        <f>IF(AND(F97=2,F100&lt;&gt;2),IF(F101=1,"",IF(F101=3, "Goto CL 7", "Goto CL 15")),"")</f>
        <v>Goto CL 7</v>
      </c>
      <c r="I101" s="1345" t="s">
        <v>7677</v>
      </c>
      <c r="K101" s="1348">
        <v>16</v>
      </c>
      <c r="L101" s="1349">
        <v>20</v>
      </c>
      <c r="M101" s="1349">
        <v>34.5</v>
      </c>
      <c r="N101" s="1349" t="s">
        <v>7692</v>
      </c>
      <c r="O101" s="1349" t="s">
        <v>7691</v>
      </c>
    </row>
    <row r="102" spans="1:15" ht="45.75" customHeight="1" thickBot="1" x14ac:dyDescent="0.4">
      <c r="A102" s="1278" t="s">
        <v>168</v>
      </c>
      <c r="B102" s="1286" t="s">
        <v>7121</v>
      </c>
      <c r="C102" s="1270" t="s">
        <v>154</v>
      </c>
      <c r="D102" s="1270" t="s">
        <v>76</v>
      </c>
      <c r="E102" s="566" t="s">
        <v>7121</v>
      </c>
      <c r="F102" s="1270">
        <v>3</v>
      </c>
      <c r="G102" s="1340" t="str">
        <f>IF(AND(F97=2,F100&lt;&gt;2),IF(F102=1,"",IF(F102=3,"Goto CL 9", "Goto CL 8")),"")</f>
        <v>Goto CL 9</v>
      </c>
      <c r="I102" s="1345" t="s">
        <v>7678</v>
      </c>
      <c r="K102" s="1348">
        <v>17</v>
      </c>
      <c r="L102" s="1349">
        <v>40</v>
      </c>
      <c r="M102" s="1349">
        <v>39.5</v>
      </c>
      <c r="N102" s="1349" t="s">
        <v>7692</v>
      </c>
      <c r="O102" s="1349" t="s">
        <v>7693</v>
      </c>
    </row>
    <row r="103" spans="1:15" ht="48" customHeight="1" thickBot="1" x14ac:dyDescent="0.4">
      <c r="A103" s="1278" t="s">
        <v>163</v>
      </c>
      <c r="B103" s="1286" t="s">
        <v>5825</v>
      </c>
      <c r="C103" s="1270" t="s">
        <v>8807</v>
      </c>
      <c r="D103" s="1270" t="s">
        <v>8156</v>
      </c>
      <c r="E103" s="566" t="s">
        <v>8442</v>
      </c>
      <c r="F103" s="1937"/>
      <c r="G103" s="1340" t="str">
        <f>IF(F102=2,"Goto CL 15","")</f>
        <v/>
      </c>
      <c r="I103" s="1345" t="s">
        <v>7679</v>
      </c>
      <c r="K103" s="1348">
        <v>18</v>
      </c>
      <c r="L103" s="1349">
        <v>48</v>
      </c>
      <c r="M103" s="1349">
        <v>50</v>
      </c>
      <c r="N103" s="1349" t="s">
        <v>7694</v>
      </c>
      <c r="O103" s="1349" t="s">
        <v>7695</v>
      </c>
    </row>
    <row r="104" spans="1:15" ht="28.5" customHeight="1" thickBot="1" x14ac:dyDescent="0.4">
      <c r="A104" s="1278"/>
      <c r="B104" s="1350"/>
      <c r="C104" s="1351"/>
      <c r="D104" s="1351"/>
      <c r="E104" s="1352"/>
      <c r="F104" s="1353"/>
      <c r="G104" s="1354"/>
      <c r="I104" s="1345" t="s">
        <v>7680</v>
      </c>
      <c r="K104" s="1348">
        <v>19</v>
      </c>
      <c r="L104" s="1349">
        <v>48</v>
      </c>
      <c r="M104" s="1349">
        <v>60</v>
      </c>
      <c r="N104" s="1349" t="s">
        <v>7697</v>
      </c>
      <c r="O104" s="1349" t="s">
        <v>7695</v>
      </c>
    </row>
    <row r="105" spans="1:15" ht="32.5" customHeight="1" thickBot="1" x14ac:dyDescent="0.4">
      <c r="A105" s="1355"/>
      <c r="B105" s="563" t="s">
        <v>89</v>
      </c>
      <c r="C105" s="1356" t="s">
        <v>7749</v>
      </c>
      <c r="D105" s="1625"/>
      <c r="E105" s="1625"/>
      <c r="F105" s="1625"/>
      <c r="G105" s="1357"/>
      <c r="I105" s="1358" t="s">
        <v>8548</v>
      </c>
      <c r="K105" s="1348">
        <v>20</v>
      </c>
      <c r="L105" s="1349">
        <v>48</v>
      </c>
      <c r="M105" s="1349">
        <v>80</v>
      </c>
      <c r="N105" s="1349" t="s">
        <v>7697</v>
      </c>
      <c r="O105" s="1349" t="s">
        <v>7695</v>
      </c>
    </row>
    <row r="106" spans="1:15" ht="33" customHeight="1" thickBot="1" x14ac:dyDescent="0.4">
      <c r="A106" s="1359" t="s">
        <v>166</v>
      </c>
      <c r="B106" s="1286" t="s">
        <v>253</v>
      </c>
      <c r="C106" s="1270" t="s">
        <v>8549</v>
      </c>
      <c r="D106" s="1270" t="str">
        <f>IF(E97=1, "country known", "Suppliers -S 7")</f>
        <v>Suppliers -S 7</v>
      </c>
      <c r="E106" s="1191" t="str">
        <f>IF(E97=1,"Country","Default Country ")</f>
        <v xml:space="preserve">Default Country </v>
      </c>
      <c r="F106" s="1938">
        <v>191</v>
      </c>
      <c r="G106" s="1285"/>
      <c r="K106" s="1348" t="s">
        <v>7696</v>
      </c>
      <c r="L106" s="1349">
        <v>48</v>
      </c>
      <c r="M106" s="1349">
        <v>100</v>
      </c>
      <c r="N106" s="1349">
        <v>1</v>
      </c>
      <c r="O106" s="1349" t="s">
        <v>7695</v>
      </c>
    </row>
    <row r="107" spans="1:15" s="1360" customFormat="1" ht="45.75" customHeight="1" x14ac:dyDescent="0.35">
      <c r="A107" s="1278" t="s">
        <v>186</v>
      </c>
      <c r="B107" s="1286" t="s">
        <v>148</v>
      </c>
      <c r="C107" s="1270" t="s">
        <v>8545</v>
      </c>
      <c r="D107" s="1270" t="s">
        <v>8168</v>
      </c>
      <c r="E107" s="1191" t="s">
        <v>8443</v>
      </c>
      <c r="F107" s="1931">
        <v>0.156</v>
      </c>
      <c r="G107" s="1285"/>
    </row>
    <row r="108" spans="1:15" ht="30.75" customHeight="1" x14ac:dyDescent="0.35">
      <c r="A108" s="1278" t="s">
        <v>187</v>
      </c>
      <c r="B108" s="1286" t="s">
        <v>155</v>
      </c>
      <c r="C108" s="1270" t="s">
        <v>8170</v>
      </c>
      <c r="D108" s="1270" t="s">
        <v>8990</v>
      </c>
      <c r="E108" s="1191" t="s">
        <v>8148</v>
      </c>
      <c r="F108" s="1931">
        <v>0.9</v>
      </c>
      <c r="G108" s="1285"/>
    </row>
    <row r="109" spans="1:15" ht="29.5" customHeight="1" x14ac:dyDescent="0.35">
      <c r="A109" s="1278" t="s">
        <v>188</v>
      </c>
      <c r="B109" s="1286" t="s">
        <v>156</v>
      </c>
      <c r="C109" s="1270" t="s">
        <v>8169</v>
      </c>
      <c r="D109" s="1270" t="s">
        <v>7759</v>
      </c>
      <c r="E109" s="1191" t="s">
        <v>7746</v>
      </c>
      <c r="F109" s="1215">
        <f ca="1">LOOKUP($F$106,Data!$B$2:$B$193,Data!$G$2:$G$194)</f>
        <v>0.47</v>
      </c>
      <c r="G109" s="1285"/>
    </row>
    <row r="110" spans="1:15" ht="29" x14ac:dyDescent="0.35">
      <c r="A110" s="1278" t="s">
        <v>189</v>
      </c>
      <c r="B110" s="1286" t="s">
        <v>157</v>
      </c>
      <c r="C110" s="1270" t="s">
        <v>8171</v>
      </c>
      <c r="D110" s="1270" t="s">
        <v>7759</v>
      </c>
      <c r="E110" s="1191" t="s">
        <v>8444</v>
      </c>
      <c r="F110" s="1215">
        <f ca="1">LOOKUP($F$106,Data!$B$2:$B$193,Data!$F$2:$F$194)</f>
        <v>0.45749205305018681</v>
      </c>
      <c r="G110" s="1285"/>
    </row>
    <row r="111" spans="1:15" ht="44" thickBot="1" x14ac:dyDescent="0.4">
      <c r="A111" s="1278" t="s">
        <v>190</v>
      </c>
      <c r="B111" s="1286" t="s">
        <v>18</v>
      </c>
      <c r="C111" s="1270" t="s">
        <v>8550</v>
      </c>
      <c r="D111" s="1270" t="s">
        <v>7759</v>
      </c>
      <c r="E111" s="1191" t="s">
        <v>8446</v>
      </c>
      <c r="F111" s="981">
        <f ca="1">$F$108*(1-$F$109)*($F$110-$F$107)</f>
        <v>0.14381170930493911</v>
      </c>
      <c r="G111" s="1361"/>
    </row>
    <row r="112" spans="1:15" ht="32" thickTop="1" thickBot="1" x14ac:dyDescent="0.4">
      <c r="A112" s="1282" t="s">
        <v>191</v>
      </c>
      <c r="B112" s="1362" t="s">
        <v>7350</v>
      </c>
      <c r="C112" s="1363" t="s">
        <v>159</v>
      </c>
      <c r="D112" s="1305"/>
      <c r="E112" s="1364" t="s">
        <v>8445</v>
      </c>
      <c r="F112" s="1174">
        <f ca="1">IF(OR($G$96="Goto Cl 15",$F$99="Goto Cl 15",$F$100="Goto Cl 15",$F$101="Goto Cl 15"),0,IF($F$102=2,$F$103,$F$111))</f>
        <v>0.14381170930493911</v>
      </c>
      <c r="G112" s="1365"/>
    </row>
    <row r="113" spans="3:8" ht="15" thickBot="1" x14ac:dyDescent="0.4"/>
    <row r="114" spans="3:8" ht="19.5" customHeight="1" thickTop="1" thickBot="1" x14ac:dyDescent="0.4">
      <c r="C114" s="1366" t="s">
        <v>7231</v>
      </c>
      <c r="E114" s="1293" t="s">
        <v>272</v>
      </c>
      <c r="F114" s="1174">
        <f ca="1">IF($F$15="",0,$F$15)+IF($F$28="",0,$F$28)+IF($F$36="",0,$F$36)+IF($F$49="",0,$F$49)+IF($F$55="",0,$F$55)+IF($F$62="",0,$F$62)+IF($F$79="",0,$F$79)+IF($F$86="",0,$F$86)+IF($F$93="",0,$F$93)+IF($F$112="",0,$F$112)</f>
        <v>0.14381170930493911</v>
      </c>
    </row>
    <row r="115" spans="3:8" ht="20.25" customHeight="1" thickTop="1" x14ac:dyDescent="0.35">
      <c r="C115" s="1367"/>
      <c r="D115" s="1367"/>
      <c r="E115" s="1367"/>
      <c r="F115" s="1367"/>
    </row>
    <row r="116" spans="3:8" ht="19" customHeight="1" x14ac:dyDescent="0.35">
      <c r="D116" s="1702" t="str">
        <f>IF($F$15="","No data included for fair wages","")</f>
        <v/>
      </c>
      <c r="E116" s="1702"/>
      <c r="F116" s="1702"/>
      <c r="G116" s="1702"/>
    </row>
    <row r="117" spans="3:8" ht="15.5" x14ac:dyDescent="0.35">
      <c r="D117" s="1702" t="str">
        <f ca="1">IF($F$28="","No data included for fair inequality","")</f>
        <v/>
      </c>
      <c r="E117" s="1702"/>
      <c r="F117" s="1702"/>
      <c r="G117" s="1702"/>
    </row>
    <row r="118" spans="3:8" ht="15.5" x14ac:dyDescent="0.35">
      <c r="D118" s="1702" t="str">
        <f>IF($F$36="","No data included for overwork wages","")</f>
        <v>No data included for overwork wages</v>
      </c>
      <c r="E118" s="1702"/>
      <c r="F118" s="1702"/>
      <c r="G118" s="1702"/>
    </row>
    <row r="119" spans="3:8" ht="15.5" x14ac:dyDescent="0.35">
      <c r="D119" s="1702" t="b">
        <f>IF($F$43="",IF($F$15&lt;&gt;1,"Pension plans not assessed","Pension palns not assessed, but included in fair wages"))</f>
        <v>0</v>
      </c>
      <c r="E119" s="1702"/>
      <c r="F119" s="1702"/>
      <c r="G119" s="1702"/>
    </row>
    <row r="120" spans="3:8" ht="15.5" x14ac:dyDescent="0.35">
      <c r="D120" s="1702" t="str">
        <f>IF($F$49="","No data for health insurance","")</f>
        <v/>
      </c>
      <c r="E120" s="1702"/>
      <c r="F120" s="1702"/>
      <c r="G120" s="1702"/>
      <c r="H120" s="1293"/>
    </row>
    <row r="121" spans="3:8" ht="15.5" x14ac:dyDescent="0.35">
      <c r="D121" s="1702" t="str">
        <f>IF($F$55="","No data for personnel development plans ","")</f>
        <v/>
      </c>
      <c r="E121" s="1702"/>
      <c r="F121" s="1702"/>
      <c r="G121" s="1702"/>
    </row>
    <row r="122" spans="3:8" ht="15.5" x14ac:dyDescent="0.35">
      <c r="D122" s="1702" t="str">
        <f>IF($F$79="","No data for various labor related aspects ","")</f>
        <v xml:space="preserve">No data for various labor related aspects </v>
      </c>
      <c r="E122" s="1702"/>
      <c r="F122" s="1702"/>
      <c r="G122" s="1702"/>
    </row>
    <row r="123" spans="3:8" ht="15.5" x14ac:dyDescent="0.35">
      <c r="D123" s="1702" t="str">
        <f>IF($F$86="","No data for occupational health and safety","")</f>
        <v>No data for occupational health and safety</v>
      </c>
      <c r="E123" s="1702"/>
      <c r="F123" s="1702"/>
      <c r="G123" s="1702"/>
    </row>
    <row r="124" spans="3:8" ht="15.5" x14ac:dyDescent="0.35">
      <c r="D124" s="1702" t="str">
        <f>IF($F$89=1,"No data for labor conditions","")</f>
        <v/>
      </c>
      <c r="E124" s="1702"/>
      <c r="F124" s="1702"/>
      <c r="G124" s="1702"/>
    </row>
    <row r="125" spans="3:8" ht="15.5" x14ac:dyDescent="0.35">
      <c r="D125" s="1702" t="str">
        <f>IF($F$97=1,"No data for labor child labor","")</f>
        <v/>
      </c>
      <c r="E125" s="1702"/>
      <c r="F125" s="1702"/>
      <c r="G125" s="1702"/>
    </row>
  </sheetData>
  <sheetProtection algorithmName="SHA-512" hashValue="/QXc4Pv1EiBwqu8tgKv8gWxDViQuYOe3QlP3PqG7hqfeXZPF33MH2A5N/qyAZsTlW38ai6f741XKE5EGGO5gnw==" saltValue="C7JRymtyAb7cYLwl68cFjA==" spinCount="100000" sheet="1" objects="1" scenarios="1"/>
  <mergeCells count="27">
    <mergeCell ref="D118:G118"/>
    <mergeCell ref="B81:C81"/>
    <mergeCell ref="B88:C88"/>
    <mergeCell ref="B95:C95"/>
    <mergeCell ref="B38:C38"/>
    <mergeCell ref="B45:C45"/>
    <mergeCell ref="B51:C51"/>
    <mergeCell ref="B57:C57"/>
    <mergeCell ref="B64:C64"/>
    <mergeCell ref="C39:F39"/>
    <mergeCell ref="K95:O95"/>
    <mergeCell ref="D116:G116"/>
    <mergeCell ref="B30:C30"/>
    <mergeCell ref="I17:J17"/>
    <mergeCell ref="D117:G117"/>
    <mergeCell ref="D1:E1"/>
    <mergeCell ref="B1:C1"/>
    <mergeCell ref="B4:C4"/>
    <mergeCell ref="B17:C17"/>
    <mergeCell ref="C3:G3"/>
    <mergeCell ref="D123:G123"/>
    <mergeCell ref="D124:G124"/>
    <mergeCell ref="D125:G125"/>
    <mergeCell ref="D119:G119"/>
    <mergeCell ref="D121:G121"/>
    <mergeCell ref="D120:G120"/>
    <mergeCell ref="D122:G122"/>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2330" r:id="rId4" name="Drop Down 42">
              <controlPr defaultSize="0" autoLine="0" autoPict="0">
                <anchor moveWithCells="1">
                  <from>
                    <xdr:col>5</xdr:col>
                    <xdr:colOff>12700</xdr:colOff>
                    <xdr:row>58</xdr:row>
                    <xdr:rowOff>0</xdr:rowOff>
                  </from>
                  <to>
                    <xdr:col>6</xdr:col>
                    <xdr:colOff>0</xdr:colOff>
                    <xdr:row>58</xdr:row>
                    <xdr:rowOff>381000</xdr:rowOff>
                  </to>
                </anchor>
              </controlPr>
            </control>
          </mc:Choice>
        </mc:AlternateContent>
        <mc:AlternateContent xmlns:mc="http://schemas.openxmlformats.org/markup-compatibility/2006">
          <mc:Choice Requires="x14">
            <control shapeId="12345" r:id="rId5" name="Drop Down 57">
              <controlPr defaultSize="0" autoLine="0" autoPict="0">
                <anchor moveWithCells="1">
                  <from>
                    <xdr:col>4</xdr:col>
                    <xdr:colOff>1422400</xdr:colOff>
                    <xdr:row>5</xdr:row>
                    <xdr:rowOff>12700</xdr:rowOff>
                  </from>
                  <to>
                    <xdr:col>5</xdr:col>
                    <xdr:colOff>1104900</xdr:colOff>
                    <xdr:row>5</xdr:row>
                    <xdr:rowOff>368300</xdr:rowOff>
                  </to>
                </anchor>
              </controlPr>
            </control>
          </mc:Choice>
        </mc:AlternateContent>
        <mc:AlternateContent xmlns:mc="http://schemas.openxmlformats.org/markup-compatibility/2006">
          <mc:Choice Requires="x14">
            <control shapeId="12349" r:id="rId6" name="Drop Down 61">
              <controlPr defaultSize="0" autoLine="0" autoPict="0">
                <anchor moveWithCells="1">
                  <from>
                    <xdr:col>5</xdr:col>
                    <xdr:colOff>12700</xdr:colOff>
                    <xdr:row>20</xdr:row>
                    <xdr:rowOff>0</xdr:rowOff>
                  </from>
                  <to>
                    <xdr:col>6</xdr:col>
                    <xdr:colOff>0</xdr:colOff>
                    <xdr:row>21</xdr:row>
                    <xdr:rowOff>0</xdr:rowOff>
                  </to>
                </anchor>
              </controlPr>
            </control>
          </mc:Choice>
        </mc:AlternateContent>
        <mc:AlternateContent xmlns:mc="http://schemas.openxmlformats.org/markup-compatibility/2006">
          <mc:Choice Requires="x14">
            <control shapeId="12350" r:id="rId7" name="Drop Down 62">
              <controlPr defaultSize="0" autoLine="0" autoPict="0">
                <anchor moveWithCells="1">
                  <from>
                    <xdr:col>5</xdr:col>
                    <xdr:colOff>12700</xdr:colOff>
                    <xdr:row>17</xdr:row>
                    <xdr:rowOff>12700</xdr:rowOff>
                  </from>
                  <to>
                    <xdr:col>6</xdr:col>
                    <xdr:colOff>0</xdr:colOff>
                    <xdr:row>17</xdr:row>
                    <xdr:rowOff>571500</xdr:rowOff>
                  </to>
                </anchor>
              </controlPr>
            </control>
          </mc:Choice>
        </mc:AlternateContent>
        <mc:AlternateContent xmlns:mc="http://schemas.openxmlformats.org/markup-compatibility/2006">
          <mc:Choice Requires="x14">
            <control shapeId="12351" r:id="rId8" name="Drop Down 63">
              <controlPr defaultSize="0" autoLine="0" autoPict="0">
                <anchor moveWithCells="1">
                  <from>
                    <xdr:col>5</xdr:col>
                    <xdr:colOff>12700</xdr:colOff>
                    <xdr:row>30</xdr:row>
                    <xdr:rowOff>0</xdr:rowOff>
                  </from>
                  <to>
                    <xdr:col>6</xdr:col>
                    <xdr:colOff>0</xdr:colOff>
                    <xdr:row>31</xdr:row>
                    <xdr:rowOff>0</xdr:rowOff>
                  </to>
                </anchor>
              </controlPr>
            </control>
          </mc:Choice>
        </mc:AlternateContent>
        <mc:AlternateContent xmlns:mc="http://schemas.openxmlformats.org/markup-compatibility/2006">
          <mc:Choice Requires="x14">
            <control shapeId="12352" r:id="rId9" name="Drop Down 64">
              <controlPr defaultSize="0" autoLine="0" autoPict="0">
                <anchor moveWithCells="1">
                  <from>
                    <xdr:col>5</xdr:col>
                    <xdr:colOff>0</xdr:colOff>
                    <xdr:row>64</xdr:row>
                    <xdr:rowOff>12700</xdr:rowOff>
                  </from>
                  <to>
                    <xdr:col>6</xdr:col>
                    <xdr:colOff>0</xdr:colOff>
                    <xdr:row>65</xdr:row>
                    <xdr:rowOff>12700</xdr:rowOff>
                  </to>
                </anchor>
              </controlPr>
            </control>
          </mc:Choice>
        </mc:AlternateContent>
        <mc:AlternateContent xmlns:mc="http://schemas.openxmlformats.org/markup-compatibility/2006">
          <mc:Choice Requires="x14">
            <control shapeId="12353" r:id="rId10" name="Drop Down 65">
              <controlPr defaultSize="0" autoLine="0" autoPict="0">
                <anchor moveWithCells="1">
                  <from>
                    <xdr:col>5</xdr:col>
                    <xdr:colOff>12700</xdr:colOff>
                    <xdr:row>80</xdr:row>
                    <xdr:rowOff>711200</xdr:rowOff>
                  </from>
                  <to>
                    <xdr:col>6</xdr:col>
                    <xdr:colOff>12700</xdr:colOff>
                    <xdr:row>82</xdr:row>
                    <xdr:rowOff>0</xdr:rowOff>
                  </to>
                </anchor>
              </controlPr>
            </control>
          </mc:Choice>
        </mc:AlternateContent>
        <mc:AlternateContent xmlns:mc="http://schemas.openxmlformats.org/markup-compatibility/2006">
          <mc:Choice Requires="x14">
            <control shapeId="12354" r:id="rId11" name="Drop Down 66">
              <controlPr defaultSize="0" autoLine="0" autoPict="0">
                <anchor moveWithCells="1">
                  <from>
                    <xdr:col>5</xdr:col>
                    <xdr:colOff>0</xdr:colOff>
                    <xdr:row>88</xdr:row>
                    <xdr:rowOff>0</xdr:rowOff>
                  </from>
                  <to>
                    <xdr:col>6</xdr:col>
                    <xdr:colOff>0</xdr:colOff>
                    <xdr:row>89</xdr:row>
                    <xdr:rowOff>12700</xdr:rowOff>
                  </to>
                </anchor>
              </controlPr>
            </control>
          </mc:Choice>
        </mc:AlternateContent>
        <mc:AlternateContent xmlns:mc="http://schemas.openxmlformats.org/markup-compatibility/2006">
          <mc:Choice Requires="x14">
            <control shapeId="12355" r:id="rId12" name="Drop Down 67">
              <controlPr defaultSize="0" autoLine="0" autoPict="0">
                <anchor moveWithCells="1">
                  <from>
                    <xdr:col>5</xdr:col>
                    <xdr:colOff>0</xdr:colOff>
                    <xdr:row>96</xdr:row>
                    <xdr:rowOff>12700</xdr:rowOff>
                  </from>
                  <to>
                    <xdr:col>6</xdr:col>
                    <xdr:colOff>0</xdr:colOff>
                    <xdr:row>97</xdr:row>
                    <xdr:rowOff>12700</xdr:rowOff>
                  </to>
                </anchor>
              </controlPr>
            </control>
          </mc:Choice>
        </mc:AlternateContent>
        <mc:AlternateContent xmlns:mc="http://schemas.openxmlformats.org/markup-compatibility/2006">
          <mc:Choice Requires="x14">
            <control shapeId="12356" r:id="rId13" name="Drop Down 68">
              <controlPr defaultSize="0" autoLine="0" autoPict="0">
                <anchor moveWithCells="1">
                  <from>
                    <xdr:col>5</xdr:col>
                    <xdr:colOff>12700</xdr:colOff>
                    <xdr:row>98</xdr:row>
                    <xdr:rowOff>12700</xdr:rowOff>
                  </from>
                  <to>
                    <xdr:col>5</xdr:col>
                    <xdr:colOff>1104900</xdr:colOff>
                    <xdr:row>98</xdr:row>
                    <xdr:rowOff>609600</xdr:rowOff>
                  </to>
                </anchor>
              </controlPr>
            </control>
          </mc:Choice>
        </mc:AlternateContent>
        <mc:AlternateContent xmlns:mc="http://schemas.openxmlformats.org/markup-compatibility/2006">
          <mc:Choice Requires="x14">
            <control shapeId="12357" r:id="rId14" name="Drop Down 69">
              <controlPr defaultSize="0" autoLine="0" autoPict="0">
                <anchor moveWithCells="1">
                  <from>
                    <xdr:col>5</xdr:col>
                    <xdr:colOff>12700</xdr:colOff>
                    <xdr:row>99</xdr:row>
                    <xdr:rowOff>0</xdr:rowOff>
                  </from>
                  <to>
                    <xdr:col>6</xdr:col>
                    <xdr:colOff>0</xdr:colOff>
                    <xdr:row>99</xdr:row>
                    <xdr:rowOff>584200</xdr:rowOff>
                  </to>
                </anchor>
              </controlPr>
            </control>
          </mc:Choice>
        </mc:AlternateContent>
        <mc:AlternateContent xmlns:mc="http://schemas.openxmlformats.org/markup-compatibility/2006">
          <mc:Choice Requires="x14">
            <control shapeId="12358" r:id="rId15" name="Drop Down 70">
              <controlPr defaultSize="0" autoLine="0" autoPict="0">
                <anchor moveWithCells="1">
                  <from>
                    <xdr:col>5</xdr:col>
                    <xdr:colOff>12700</xdr:colOff>
                    <xdr:row>97</xdr:row>
                    <xdr:rowOff>12700</xdr:rowOff>
                  </from>
                  <to>
                    <xdr:col>6</xdr:col>
                    <xdr:colOff>0</xdr:colOff>
                    <xdr:row>98</xdr:row>
                    <xdr:rowOff>12700</xdr:rowOff>
                  </to>
                </anchor>
              </controlPr>
            </control>
          </mc:Choice>
        </mc:AlternateContent>
        <mc:AlternateContent xmlns:mc="http://schemas.openxmlformats.org/markup-compatibility/2006">
          <mc:Choice Requires="x14">
            <control shapeId="12359" r:id="rId16" name="Drop Down 71">
              <controlPr defaultSize="0" autoLine="0" autoPict="0">
                <anchor moveWithCells="1">
                  <from>
                    <xdr:col>5</xdr:col>
                    <xdr:colOff>0</xdr:colOff>
                    <xdr:row>100</xdr:row>
                    <xdr:rowOff>12700</xdr:rowOff>
                  </from>
                  <to>
                    <xdr:col>6</xdr:col>
                    <xdr:colOff>0</xdr:colOff>
                    <xdr:row>101</xdr:row>
                    <xdr:rowOff>12700</xdr:rowOff>
                  </to>
                </anchor>
              </controlPr>
            </control>
          </mc:Choice>
        </mc:AlternateContent>
        <mc:AlternateContent xmlns:mc="http://schemas.openxmlformats.org/markup-compatibility/2006">
          <mc:Choice Requires="x14">
            <control shapeId="12360" r:id="rId17" name="Drop Down 72">
              <controlPr defaultSize="0" autoLine="0" autoPict="0">
                <anchor moveWithCells="1">
                  <from>
                    <xdr:col>5</xdr:col>
                    <xdr:colOff>12700</xdr:colOff>
                    <xdr:row>105</xdr:row>
                    <xdr:rowOff>12700</xdr:rowOff>
                  </from>
                  <to>
                    <xdr:col>6</xdr:col>
                    <xdr:colOff>0</xdr:colOff>
                    <xdr:row>106</xdr:row>
                    <xdr:rowOff>12700</xdr:rowOff>
                  </to>
                </anchor>
              </controlPr>
            </control>
          </mc:Choice>
        </mc:AlternateContent>
        <mc:AlternateContent xmlns:mc="http://schemas.openxmlformats.org/markup-compatibility/2006">
          <mc:Choice Requires="x14">
            <control shapeId="12362" r:id="rId18" name="Drop Down 74">
              <controlPr defaultSize="0" autoLine="0" autoPict="0">
                <anchor moveWithCells="1">
                  <from>
                    <xdr:col>4</xdr:col>
                    <xdr:colOff>1409700</xdr:colOff>
                    <xdr:row>101</xdr:row>
                    <xdr:rowOff>12700</xdr:rowOff>
                  </from>
                  <to>
                    <xdr:col>6</xdr:col>
                    <xdr:colOff>12700</xdr:colOff>
                    <xdr:row>101</xdr:row>
                    <xdr:rowOff>571500</xdr:rowOff>
                  </to>
                </anchor>
              </controlPr>
            </control>
          </mc:Choice>
        </mc:AlternateContent>
        <mc:AlternateContent xmlns:mc="http://schemas.openxmlformats.org/markup-compatibility/2006">
          <mc:Choice Requires="x14">
            <control shapeId="12363" r:id="rId19" name="Drop Down 75">
              <controlPr defaultSize="0" autoLine="0" autoPict="0">
                <anchor moveWithCells="1">
                  <from>
                    <xdr:col>5</xdr:col>
                    <xdr:colOff>12700</xdr:colOff>
                    <xdr:row>8</xdr:row>
                    <xdr:rowOff>12700</xdr:rowOff>
                  </from>
                  <to>
                    <xdr:col>6</xdr:col>
                    <xdr:colOff>0</xdr:colOff>
                    <xdr:row>9</xdr:row>
                    <xdr:rowOff>0</xdr:rowOff>
                  </to>
                </anchor>
              </controlPr>
            </control>
          </mc:Choice>
        </mc:AlternateContent>
        <mc:AlternateContent xmlns:mc="http://schemas.openxmlformats.org/markup-compatibility/2006">
          <mc:Choice Requires="x14">
            <control shapeId="12371" r:id="rId20" name="Drop Down 83">
              <controlPr defaultSize="0" autoLine="0" autoPict="0">
                <anchor moveWithCells="1">
                  <from>
                    <xdr:col>5</xdr:col>
                    <xdr:colOff>12700</xdr:colOff>
                    <xdr:row>39</xdr:row>
                    <xdr:rowOff>12700</xdr:rowOff>
                  </from>
                  <to>
                    <xdr:col>6</xdr:col>
                    <xdr:colOff>0</xdr:colOff>
                    <xdr:row>40</xdr:row>
                    <xdr:rowOff>0</xdr:rowOff>
                  </to>
                </anchor>
              </controlPr>
            </control>
          </mc:Choice>
        </mc:AlternateContent>
        <mc:AlternateContent xmlns:mc="http://schemas.openxmlformats.org/markup-compatibility/2006">
          <mc:Choice Requires="x14">
            <control shapeId="12372" r:id="rId21" name="Drop Down 84">
              <controlPr defaultSize="0" autoLine="0" autoPict="0">
                <anchor moveWithCells="1">
                  <from>
                    <xdr:col>5</xdr:col>
                    <xdr:colOff>12700</xdr:colOff>
                    <xdr:row>45</xdr:row>
                    <xdr:rowOff>12700</xdr:rowOff>
                  </from>
                  <to>
                    <xdr:col>6</xdr:col>
                    <xdr:colOff>0</xdr:colOff>
                    <xdr:row>45</xdr:row>
                    <xdr:rowOff>381000</xdr:rowOff>
                  </to>
                </anchor>
              </controlPr>
            </control>
          </mc:Choice>
        </mc:AlternateContent>
        <mc:AlternateContent xmlns:mc="http://schemas.openxmlformats.org/markup-compatibility/2006">
          <mc:Choice Requires="x14">
            <control shapeId="12373" r:id="rId22" name="Drop Down 85">
              <controlPr defaultSize="0" autoLine="0" autoPict="0">
                <anchor moveWithCells="1">
                  <from>
                    <xdr:col>5</xdr:col>
                    <xdr:colOff>12700</xdr:colOff>
                    <xdr:row>50</xdr:row>
                    <xdr:rowOff>266700</xdr:rowOff>
                  </from>
                  <to>
                    <xdr:col>6</xdr:col>
                    <xdr:colOff>0</xdr:colOff>
                    <xdr:row>52</xdr:row>
                    <xdr:rowOff>12700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3">
    <tabColor rgb="FF7030A0"/>
  </sheetPr>
  <dimension ref="A1:J102"/>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6.81640625" style="1638" customWidth="1"/>
    <col min="2" max="2" width="16.453125" style="1377" customWidth="1"/>
    <col min="3" max="3" width="87.81640625" style="556" customWidth="1"/>
    <col min="4" max="4" width="20.453125" style="556" customWidth="1"/>
    <col min="5" max="5" width="18.453125" style="556" customWidth="1"/>
    <col min="6" max="6" width="19.453125" style="556" customWidth="1"/>
    <col min="7" max="7" width="14.453125" style="556" customWidth="1"/>
    <col min="8" max="8" width="27.1796875" style="556" customWidth="1"/>
    <col min="9" max="9" width="21.90625" style="556" customWidth="1"/>
    <col min="10" max="10" width="14.81640625" style="556" customWidth="1"/>
    <col min="11" max="16384" width="9.1796875" style="556"/>
  </cols>
  <sheetData>
    <row r="1" spans="1:10" ht="19.5" customHeight="1" thickBot="1" x14ac:dyDescent="0.4">
      <c r="B1" s="1368"/>
      <c r="C1" s="1635" t="s">
        <v>7376</v>
      </c>
      <c r="D1" s="1703" t="s">
        <v>8414</v>
      </c>
      <c r="E1" s="1704"/>
      <c r="F1" s="554" t="str">
        <f>LOOKUP(' Preparation'!$F$4,Data!$B$2:$B$194,Data!$C$2:$C$194)</f>
        <v>€ (Euro)</v>
      </c>
      <c r="G1" s="1369"/>
    </row>
    <row r="2" spans="1:10" ht="24.75" customHeight="1" thickBot="1" x14ac:dyDescent="0.4">
      <c r="A2" s="557" t="s">
        <v>82</v>
      </c>
      <c r="B2" s="558" t="s">
        <v>150</v>
      </c>
      <c r="C2" s="1182" t="s">
        <v>822</v>
      </c>
      <c r="D2" s="1182" t="s">
        <v>67</v>
      </c>
      <c r="E2" s="501" t="s">
        <v>8112</v>
      </c>
      <c r="F2" s="1370" t="s">
        <v>149</v>
      </c>
      <c r="G2" s="1183" t="s">
        <v>258</v>
      </c>
    </row>
    <row r="3" spans="1:10" ht="47" customHeight="1" thickBot="1" x14ac:dyDescent="0.4">
      <c r="A3" s="1371"/>
      <c r="B3" s="563" t="s">
        <v>89</v>
      </c>
      <c r="C3" s="1780" t="s">
        <v>8925</v>
      </c>
      <c r="D3" s="1766"/>
      <c r="E3" s="1766"/>
      <c r="F3" s="1766"/>
      <c r="G3" s="1372"/>
    </row>
    <row r="4" spans="1:10" ht="26.5" customHeight="1" x14ac:dyDescent="0.35">
      <c r="A4" s="1371"/>
      <c r="B4" s="1791" t="s">
        <v>820</v>
      </c>
      <c r="C4" s="1792"/>
      <c r="D4" s="1792"/>
      <c r="E4" s="1792"/>
      <c r="F4" s="1792"/>
      <c r="G4" s="1792"/>
    </row>
    <row r="5" spans="1:10" ht="44.25" customHeight="1" thickBot="1" x14ac:dyDescent="0.4">
      <c r="A5" s="564" t="s">
        <v>697</v>
      </c>
      <c r="B5" s="521" t="s">
        <v>390</v>
      </c>
      <c r="C5" s="556" t="s">
        <v>8070</v>
      </c>
      <c r="D5" s="565" t="s">
        <v>7262</v>
      </c>
      <c r="E5" s="1638" t="s">
        <v>2197</v>
      </c>
      <c r="F5" s="1939"/>
      <c r="J5" s="1373"/>
    </row>
    <row r="6" spans="1:10" ht="32.25" customHeight="1" thickBot="1" x14ac:dyDescent="0.4">
      <c r="A6" s="564" t="s">
        <v>698</v>
      </c>
      <c r="B6" s="521" t="s">
        <v>8076</v>
      </c>
      <c r="C6" s="556" t="s">
        <v>7425</v>
      </c>
      <c r="D6" s="565" t="s">
        <v>76</v>
      </c>
      <c r="E6" s="1638" t="s">
        <v>7426</v>
      </c>
      <c r="F6" s="1638">
        <v>1</v>
      </c>
      <c r="G6" s="407" t="str">
        <f>IF($F$6=1,"",IF($F$6=2,"Goto VS 3","Goto VS 4"))</f>
        <v/>
      </c>
      <c r="H6" s="1374" t="s">
        <v>8418</v>
      </c>
      <c r="I6" s="1374" t="s">
        <v>8718</v>
      </c>
      <c r="J6" s="1373"/>
    </row>
    <row r="7" spans="1:10" ht="46" customHeight="1" x14ac:dyDescent="0.35">
      <c r="A7" s="564" t="s">
        <v>699</v>
      </c>
      <c r="B7" s="443" t="s">
        <v>5825</v>
      </c>
      <c r="C7" s="556" t="s">
        <v>8075</v>
      </c>
      <c r="D7" s="565" t="s">
        <v>8009</v>
      </c>
      <c r="E7" s="547" t="s">
        <v>8417</v>
      </c>
      <c r="F7" s="981" t="s">
        <v>8419</v>
      </c>
      <c r="G7" s="644"/>
      <c r="H7" s="1940"/>
      <c r="I7" s="1940"/>
    </row>
    <row r="8" spans="1:10" ht="30" customHeight="1" x14ac:dyDescent="0.35">
      <c r="A8" s="564" t="s">
        <v>7437</v>
      </c>
      <c r="B8" s="521" t="s">
        <v>134</v>
      </c>
      <c r="C8" s="556" t="s">
        <v>7448</v>
      </c>
      <c r="D8" s="565" t="s">
        <v>7441</v>
      </c>
      <c r="E8" s="1641" t="s">
        <v>7436</v>
      </c>
      <c r="F8" s="556">
        <v>1</v>
      </c>
      <c r="G8" s="644"/>
    </row>
    <row r="9" spans="1:10" ht="42.75" customHeight="1" x14ac:dyDescent="0.35">
      <c r="A9" s="564" t="s">
        <v>7438</v>
      </c>
      <c r="B9" s="521" t="s">
        <v>7428</v>
      </c>
      <c r="C9" s="556" t="s">
        <v>7420</v>
      </c>
      <c r="D9" s="565" t="s">
        <v>42</v>
      </c>
      <c r="E9" s="1638" t="s">
        <v>8416</v>
      </c>
      <c r="F9" s="981">
        <f>Data!$AK$6*LOOKUP(F8,Data!$AN$2:$AN$74,Data!$AP$2:$AP$74)</f>
        <v>0</v>
      </c>
    </row>
    <row r="10" spans="1:10" ht="29.5" thickBot="1" x14ac:dyDescent="0.4">
      <c r="A10" s="564" t="s">
        <v>7439</v>
      </c>
      <c r="B10" s="521" t="s">
        <v>26</v>
      </c>
      <c r="C10" s="556" t="s">
        <v>421</v>
      </c>
      <c r="D10" s="565" t="s">
        <v>7759</v>
      </c>
      <c r="E10" s="1638" t="s">
        <v>8335</v>
      </c>
      <c r="F10" s="697" t="str">
        <f>IF($F$6=1,"",IF($F$6=2,(F5-I7)*H7+I7*F9,$F$9))</f>
        <v/>
      </c>
    </row>
    <row r="11" spans="1:10" ht="31.5" customHeight="1" thickTop="1" thickBot="1" x14ac:dyDescent="0.4">
      <c r="A11" s="564" t="s">
        <v>7440</v>
      </c>
      <c r="B11" s="1375" t="s">
        <v>26</v>
      </c>
      <c r="C11" s="572" t="s">
        <v>8077</v>
      </c>
      <c r="D11" s="565" t="s">
        <v>7759</v>
      </c>
      <c r="E11" s="1638" t="s">
        <v>8353</v>
      </c>
      <c r="F11" s="1174" t="str">
        <f>IF($F$7=2,$F$9,$F$10)</f>
        <v/>
      </c>
    </row>
    <row r="12" spans="1:10" ht="15.5" thickTop="1" thickBot="1" x14ac:dyDescent="0.4">
      <c r="A12" s="564"/>
      <c r="B12" s="1375"/>
    </row>
    <row r="13" spans="1:10" ht="18.75" customHeight="1" thickBot="1" x14ac:dyDescent="0.4">
      <c r="A13" s="1376"/>
      <c r="B13" s="1791" t="s">
        <v>7375</v>
      </c>
      <c r="C13" s="1792"/>
      <c r="D13" s="1792"/>
      <c r="E13" s="1792"/>
      <c r="F13" s="1792"/>
      <c r="G13" s="1792"/>
    </row>
    <row r="14" spans="1:10" ht="38.25" customHeight="1" thickBot="1" x14ac:dyDescent="0.4">
      <c r="A14" s="564" t="s">
        <v>7377</v>
      </c>
      <c r="B14" s="1286" t="s">
        <v>15</v>
      </c>
      <c r="C14" s="1270" t="s">
        <v>8994</v>
      </c>
      <c r="D14" s="1270" t="s">
        <v>304</v>
      </c>
      <c r="E14" s="1638" t="s">
        <v>753</v>
      </c>
      <c r="F14" s="1191">
        <v>1</v>
      </c>
      <c r="G14" s="644" t="str">
        <f>IF($F$14=1,"",IF($F$14=2,"Goto VA 8"," Goto VA 2"))</f>
        <v/>
      </c>
      <c r="H14" s="1374" t="s">
        <v>8418</v>
      </c>
      <c r="I14" s="1374" t="s">
        <v>7429</v>
      </c>
    </row>
    <row r="15" spans="1:10" ht="43.5" x14ac:dyDescent="0.35">
      <c r="A15" s="564" t="s">
        <v>7378</v>
      </c>
      <c r="B15" s="521" t="s">
        <v>390</v>
      </c>
      <c r="C15" s="556" t="s">
        <v>7447</v>
      </c>
      <c r="D15" s="565" t="s">
        <v>7444</v>
      </c>
      <c r="E15" s="1638" t="s">
        <v>2197</v>
      </c>
      <c r="F15" s="1929"/>
      <c r="H15" s="1940"/>
      <c r="I15" s="1940"/>
    </row>
    <row r="16" spans="1:10" ht="25.5" customHeight="1" x14ac:dyDescent="0.35">
      <c r="A16" s="564" t="s">
        <v>7379</v>
      </c>
      <c r="B16" s="521" t="s">
        <v>7401</v>
      </c>
      <c r="C16" s="556" t="s">
        <v>8993</v>
      </c>
      <c r="D16" s="565" t="s">
        <v>69</v>
      </c>
      <c r="E16" s="1638" t="s">
        <v>7422</v>
      </c>
      <c r="F16" s="556">
        <v>1</v>
      </c>
    </row>
    <row r="17" spans="1:8" ht="29.5" customHeight="1" x14ac:dyDescent="0.35">
      <c r="A17" s="564" t="s">
        <v>7380</v>
      </c>
      <c r="B17" s="521" t="s">
        <v>8076</v>
      </c>
      <c r="C17" s="556" t="s">
        <v>7425</v>
      </c>
      <c r="D17" s="565" t="s">
        <v>76</v>
      </c>
      <c r="E17" s="1638" t="s">
        <v>7426</v>
      </c>
      <c r="F17" s="556">
        <v>1</v>
      </c>
      <c r="G17" s="644" t="str">
        <f>IF($F$17=1,"",IF($F$17=2,"Goto VA 5", "Goto VA 8"))</f>
        <v/>
      </c>
    </row>
    <row r="18" spans="1:8" ht="42" customHeight="1" x14ac:dyDescent="0.35">
      <c r="A18" s="564" t="s">
        <v>7421</v>
      </c>
      <c r="B18" s="521" t="s">
        <v>5825</v>
      </c>
      <c r="C18" s="556" t="s">
        <v>8420</v>
      </c>
      <c r="D18" s="565" t="s">
        <v>7445</v>
      </c>
      <c r="E18" s="547" t="s">
        <v>8417</v>
      </c>
      <c r="F18" s="981" t="s">
        <v>8421</v>
      </c>
      <c r="G18" s="644"/>
    </row>
    <row r="19" spans="1:8" ht="46.5" customHeight="1" x14ac:dyDescent="0.35">
      <c r="A19" s="564" t="s">
        <v>7442</v>
      </c>
      <c r="B19" s="521" t="s">
        <v>7428</v>
      </c>
      <c r="C19" s="556" t="s">
        <v>7446</v>
      </c>
      <c r="D19" s="565" t="s">
        <v>7423</v>
      </c>
      <c r="E19" s="1638" t="s">
        <v>8422</v>
      </c>
      <c r="F19" s="981">
        <f>LOOKUP($F$16,$B$86:$B$102,$D$86:$D$102)*' Preparation'!$F$24</f>
        <v>0</v>
      </c>
    </row>
    <row r="20" spans="1:8" ht="29.5" thickBot="1" x14ac:dyDescent="0.4">
      <c r="A20" s="564" t="s">
        <v>7443</v>
      </c>
      <c r="B20" s="521" t="s">
        <v>7350</v>
      </c>
      <c r="C20" s="556" t="s">
        <v>421</v>
      </c>
      <c r="D20" s="565" t="s">
        <v>7759</v>
      </c>
      <c r="E20" s="1638" t="s">
        <v>78</v>
      </c>
      <c r="F20" s="981">
        <f>IF(F14=2,0,IF(F17=2, ((F15-I15)*H15+I15*F19),F19))</f>
        <v>0</v>
      </c>
    </row>
    <row r="21" spans="1:8" ht="31.5" customHeight="1" thickTop="1" thickBot="1" x14ac:dyDescent="0.4">
      <c r="A21" s="564" t="s">
        <v>7443</v>
      </c>
      <c r="B21" s="1375" t="s">
        <v>272</v>
      </c>
      <c r="C21" s="572" t="s">
        <v>8079</v>
      </c>
      <c r="D21" s="556" t="s">
        <v>91</v>
      </c>
      <c r="E21" s="1638" t="s">
        <v>8423</v>
      </c>
      <c r="F21" s="734" t="str">
        <f>IF(F14=1,"",$F$20)</f>
        <v/>
      </c>
    </row>
    <row r="22" spans="1:8" ht="15.5" thickTop="1" thickBot="1" x14ac:dyDescent="0.4"/>
    <row r="23" spans="1:8" ht="19.5" thickTop="1" thickBot="1" x14ac:dyDescent="0.4">
      <c r="C23" s="572" t="s">
        <v>8078</v>
      </c>
      <c r="F23" s="734">
        <f>IF(F11="",0, $F$11)+IF(F21="",0, $F$21)</f>
        <v>0</v>
      </c>
    </row>
    <row r="24" spans="1:8" ht="15" thickTop="1" x14ac:dyDescent="0.35">
      <c r="F24" s="1378"/>
    </row>
    <row r="25" spans="1:8" ht="15.5" x14ac:dyDescent="0.35">
      <c r="E25" s="1702" t="str">
        <f>IF($F$11="","No data included for various social aspects","")</f>
        <v>No data included for various social aspects</v>
      </c>
      <c r="F25" s="1702"/>
      <c r="G25" s="1702"/>
      <c r="H25" s="1702"/>
    </row>
    <row r="26" spans="1:8" ht="15.5" x14ac:dyDescent="0.35">
      <c r="E26" s="1702" t="str">
        <f>IF($F$21="","No data included for animal welfare","")</f>
        <v>No data included for animal welfare</v>
      </c>
      <c r="F26" s="1702"/>
      <c r="G26" s="1702"/>
      <c r="H26" s="1702"/>
    </row>
    <row r="27" spans="1:8" ht="15" thickBot="1" x14ac:dyDescent="0.4">
      <c r="F27" s="1378"/>
    </row>
    <row r="28" spans="1:8" ht="19" thickBot="1" x14ac:dyDescent="0.4">
      <c r="C28" s="1790" t="s">
        <v>7261</v>
      </c>
      <c r="D28" s="1790"/>
    </row>
    <row r="29" spans="1:8" x14ac:dyDescent="0.35">
      <c r="C29" s="1379" t="s">
        <v>7234</v>
      </c>
    </row>
    <row r="30" spans="1:8" x14ac:dyDescent="0.35">
      <c r="C30" s="1379" t="s">
        <v>7235</v>
      </c>
    </row>
    <row r="31" spans="1:8" x14ac:dyDescent="0.35">
      <c r="C31" s="1379" t="s">
        <v>7236</v>
      </c>
    </row>
    <row r="32" spans="1:8" x14ac:dyDescent="0.35">
      <c r="C32" s="1379" t="s">
        <v>7237</v>
      </c>
    </row>
    <row r="33" spans="3:3" x14ac:dyDescent="0.35">
      <c r="C33" s="1379" t="s">
        <v>8072</v>
      </c>
    </row>
    <row r="34" spans="3:3" x14ac:dyDescent="0.35">
      <c r="C34" s="1379" t="s">
        <v>7238</v>
      </c>
    </row>
    <row r="35" spans="3:3" x14ac:dyDescent="0.35">
      <c r="C35" s="1379" t="s">
        <v>7239</v>
      </c>
    </row>
    <row r="36" spans="3:3" x14ac:dyDescent="0.35">
      <c r="C36" s="1379" t="s">
        <v>7240</v>
      </c>
    </row>
    <row r="37" spans="3:3" x14ac:dyDescent="0.35">
      <c r="C37" s="1379" t="s">
        <v>7241</v>
      </c>
    </row>
    <row r="38" spans="3:3" x14ac:dyDescent="0.35">
      <c r="C38" s="1379" t="s">
        <v>7242</v>
      </c>
    </row>
    <row r="39" spans="3:3" x14ac:dyDescent="0.35">
      <c r="C39" s="1379" t="s">
        <v>7243</v>
      </c>
    </row>
    <row r="40" spans="3:3" x14ac:dyDescent="0.35">
      <c r="C40" s="1379" t="s">
        <v>7244</v>
      </c>
    </row>
    <row r="41" spans="3:3" x14ac:dyDescent="0.35">
      <c r="C41" s="1379" t="s">
        <v>7245</v>
      </c>
    </row>
    <row r="42" spans="3:3" x14ac:dyDescent="0.35">
      <c r="C42" s="1379" t="s">
        <v>7246</v>
      </c>
    </row>
    <row r="43" spans="3:3" x14ac:dyDescent="0.35">
      <c r="C43" s="1379" t="s">
        <v>7247</v>
      </c>
    </row>
    <row r="44" spans="3:3" x14ac:dyDescent="0.35">
      <c r="C44" s="1379" t="s">
        <v>7248</v>
      </c>
    </row>
    <row r="45" spans="3:3" x14ac:dyDescent="0.35">
      <c r="C45" s="1379" t="s">
        <v>8073</v>
      </c>
    </row>
    <row r="46" spans="3:3" x14ac:dyDescent="0.35">
      <c r="C46" s="1379" t="s">
        <v>7249</v>
      </c>
    </row>
    <row r="47" spans="3:3" x14ac:dyDescent="0.35">
      <c r="C47" s="1379" t="s">
        <v>7250</v>
      </c>
    </row>
    <row r="48" spans="3:3" x14ac:dyDescent="0.35">
      <c r="C48" s="1379" t="s">
        <v>7251</v>
      </c>
    </row>
    <row r="49" spans="3:4" x14ac:dyDescent="0.35">
      <c r="C49" s="1379" t="s">
        <v>8071</v>
      </c>
    </row>
    <row r="50" spans="3:4" x14ac:dyDescent="0.35">
      <c r="C50" s="1379" t="s">
        <v>7252</v>
      </c>
    </row>
    <row r="51" spans="3:4" x14ac:dyDescent="0.35">
      <c r="C51" s="1379" t="s">
        <v>7253</v>
      </c>
    </row>
    <row r="52" spans="3:4" x14ac:dyDescent="0.35">
      <c r="C52" s="1380" t="s">
        <v>7254</v>
      </c>
    </row>
    <row r="53" spans="3:4" x14ac:dyDescent="0.35">
      <c r="C53" s="1380" t="s">
        <v>7255</v>
      </c>
    </row>
    <row r="54" spans="3:4" x14ac:dyDescent="0.35">
      <c r="C54" s="1380" t="s">
        <v>7256</v>
      </c>
    </row>
    <row r="55" spans="3:4" x14ac:dyDescent="0.35">
      <c r="C55" s="1379" t="s">
        <v>7257</v>
      </c>
    </row>
    <row r="56" spans="3:4" x14ac:dyDescent="0.35">
      <c r="C56" s="1379" t="s">
        <v>7258</v>
      </c>
    </row>
    <row r="57" spans="3:4" x14ac:dyDescent="0.35">
      <c r="C57" s="1379" t="s">
        <v>7259</v>
      </c>
    </row>
    <row r="58" spans="3:4" x14ac:dyDescent="0.35">
      <c r="C58" s="1379" t="s">
        <v>7260</v>
      </c>
    </row>
    <row r="59" spans="3:4" x14ac:dyDescent="0.35">
      <c r="C59" s="1379" t="s">
        <v>8074</v>
      </c>
    </row>
    <row r="61" spans="3:4" ht="15" thickBot="1" x14ac:dyDescent="0.4"/>
    <row r="62" spans="3:4" ht="19" thickBot="1" x14ac:dyDescent="0.4">
      <c r="C62" s="1790" t="s">
        <v>7381</v>
      </c>
      <c r="D62" s="1790"/>
    </row>
    <row r="63" spans="3:4" x14ac:dyDescent="0.35">
      <c r="C63" s="1379" t="s">
        <v>7382</v>
      </c>
    </row>
    <row r="64" spans="3:4" x14ac:dyDescent="0.35">
      <c r="C64" s="1379" t="s">
        <v>7383</v>
      </c>
    </row>
    <row r="65" spans="3:4" x14ac:dyDescent="0.35">
      <c r="C65" s="1379" t="s">
        <v>7384</v>
      </c>
    </row>
    <row r="66" spans="3:4" x14ac:dyDescent="0.35">
      <c r="C66" s="1379" t="s">
        <v>7385</v>
      </c>
    </row>
    <row r="67" spans="3:4" x14ac:dyDescent="0.35">
      <c r="C67" s="1379" t="s">
        <v>7386</v>
      </c>
    </row>
    <row r="68" spans="3:4" ht="15" thickBot="1" x14ac:dyDescent="0.4">
      <c r="C68" s="1381"/>
    </row>
    <row r="69" spans="3:4" ht="19" thickBot="1" x14ac:dyDescent="0.4">
      <c r="C69" s="1790" t="s">
        <v>7387</v>
      </c>
      <c r="D69" s="1790"/>
    </row>
    <row r="70" spans="3:4" x14ac:dyDescent="0.35">
      <c r="C70" s="1379" t="s">
        <v>7388</v>
      </c>
    </row>
    <row r="71" spans="3:4" x14ac:dyDescent="0.35">
      <c r="C71" s="1379" t="s">
        <v>7389</v>
      </c>
    </row>
    <row r="72" spans="3:4" x14ac:dyDescent="0.35">
      <c r="C72" s="1379" t="s">
        <v>7390</v>
      </c>
    </row>
    <row r="73" spans="3:4" x14ac:dyDescent="0.35">
      <c r="C73" s="1379" t="s">
        <v>7391</v>
      </c>
    </row>
    <row r="74" spans="3:4" x14ac:dyDescent="0.35">
      <c r="C74" s="1379" t="s">
        <v>7392</v>
      </c>
    </row>
    <row r="75" spans="3:4" x14ac:dyDescent="0.35">
      <c r="C75" s="1379" t="s">
        <v>7393</v>
      </c>
    </row>
    <row r="76" spans="3:4" x14ac:dyDescent="0.35">
      <c r="C76" s="1379" t="s">
        <v>7394</v>
      </c>
    </row>
    <row r="77" spans="3:4" x14ac:dyDescent="0.35">
      <c r="C77" s="1379" t="s">
        <v>7395</v>
      </c>
    </row>
    <row r="78" spans="3:4" x14ac:dyDescent="0.35">
      <c r="C78" s="1379" t="s">
        <v>7396</v>
      </c>
    </row>
    <row r="79" spans="3:4" x14ac:dyDescent="0.35">
      <c r="C79" s="1379" t="s">
        <v>7397</v>
      </c>
    </row>
    <row r="80" spans="3:4" x14ac:dyDescent="0.35">
      <c r="C80" s="1379" t="s">
        <v>7398</v>
      </c>
    </row>
    <row r="81" spans="2:6" x14ac:dyDescent="0.35">
      <c r="C81" s="1379" t="s">
        <v>7399</v>
      </c>
    </row>
    <row r="82" spans="2:6" x14ac:dyDescent="0.35">
      <c r="C82" s="1379" t="s">
        <v>7400</v>
      </c>
    </row>
    <row r="83" spans="2:6" ht="15" thickBot="1" x14ac:dyDescent="0.4"/>
    <row r="84" spans="2:6" ht="16" thickBot="1" x14ac:dyDescent="0.4">
      <c r="B84" s="1382"/>
      <c r="C84" s="1383" t="s">
        <v>7419</v>
      </c>
      <c r="D84" s="1384"/>
      <c r="F84" s="556">
        <v>2</v>
      </c>
    </row>
    <row r="85" spans="2:6" ht="31.5" thickBot="1" x14ac:dyDescent="0.4">
      <c r="B85" s="558" t="s">
        <v>82</v>
      </c>
      <c r="C85" s="1385" t="s">
        <v>7401</v>
      </c>
      <c r="D85" s="1386" t="s">
        <v>7402</v>
      </c>
    </row>
    <row r="86" spans="2:6" x14ac:dyDescent="0.35">
      <c r="B86" s="1387">
        <v>1</v>
      </c>
      <c r="C86" s="523" t="s">
        <v>7458</v>
      </c>
      <c r="D86" s="1132"/>
    </row>
    <row r="87" spans="2:6" x14ac:dyDescent="0.35">
      <c r="B87" s="1387">
        <v>2</v>
      </c>
      <c r="C87" s="794" t="s">
        <v>7403</v>
      </c>
      <c r="D87" s="1388">
        <v>0.23</v>
      </c>
    </row>
    <row r="88" spans="2:6" x14ac:dyDescent="0.35">
      <c r="B88" s="1387">
        <v>3</v>
      </c>
      <c r="C88" s="794" t="s">
        <v>7404</v>
      </c>
      <c r="D88" s="1388">
        <v>0.28000000000000003</v>
      </c>
    </row>
    <row r="89" spans="2:6" x14ac:dyDescent="0.35">
      <c r="B89" s="1387">
        <v>4</v>
      </c>
      <c r="C89" s="794" t="s">
        <v>7405</v>
      </c>
      <c r="D89" s="1388">
        <v>0.23</v>
      </c>
    </row>
    <row r="90" spans="2:6" x14ac:dyDescent="0.35">
      <c r="B90" s="1387">
        <v>5</v>
      </c>
      <c r="C90" s="794" t="s">
        <v>7406</v>
      </c>
      <c r="D90" s="1388">
        <v>0.23</v>
      </c>
    </row>
    <row r="91" spans="2:6" x14ac:dyDescent="0.35">
      <c r="B91" s="1387">
        <v>6</v>
      </c>
      <c r="C91" s="794" t="s">
        <v>7407</v>
      </c>
      <c r="D91" s="1388">
        <v>0.23</v>
      </c>
    </row>
    <row r="92" spans="2:6" x14ac:dyDescent="0.35">
      <c r="B92" s="1387">
        <v>7</v>
      </c>
      <c r="C92" s="794" t="s">
        <v>7408</v>
      </c>
      <c r="D92" s="1388">
        <v>0.23</v>
      </c>
    </row>
    <row r="93" spans="2:6" x14ac:dyDescent="0.35">
      <c r="B93" s="1387">
        <v>8</v>
      </c>
      <c r="C93" s="794" t="s">
        <v>7409</v>
      </c>
      <c r="D93" s="1388">
        <v>0</v>
      </c>
    </row>
    <row r="94" spans="2:6" x14ac:dyDescent="0.35">
      <c r="B94" s="1387">
        <v>9</v>
      </c>
      <c r="C94" s="794" t="s">
        <v>7410</v>
      </c>
      <c r="D94" s="1388">
        <v>0.18</v>
      </c>
    </row>
    <row r="95" spans="2:6" x14ac:dyDescent="0.35">
      <c r="B95" s="1387">
        <v>10</v>
      </c>
      <c r="C95" s="794" t="s">
        <v>7411</v>
      </c>
      <c r="D95" s="1388">
        <v>0</v>
      </c>
    </row>
    <row r="96" spans="2:6" x14ac:dyDescent="0.35">
      <c r="B96" s="1387">
        <v>11</v>
      </c>
      <c r="C96" s="794" t="s">
        <v>7412</v>
      </c>
      <c r="D96" s="1388">
        <v>0</v>
      </c>
    </row>
    <row r="97" spans="2:4" x14ac:dyDescent="0.35">
      <c r="B97" s="1387">
        <v>12</v>
      </c>
      <c r="C97" s="794" t="s">
        <v>7413</v>
      </c>
      <c r="D97" s="1388">
        <v>0.05</v>
      </c>
    </row>
    <row r="98" spans="2:4" x14ac:dyDescent="0.35">
      <c r="B98" s="1387">
        <v>13</v>
      </c>
      <c r="C98" s="794" t="s">
        <v>7414</v>
      </c>
      <c r="D98" s="1388">
        <v>0.05</v>
      </c>
    </row>
    <row r="99" spans="2:4" x14ac:dyDescent="0.35">
      <c r="B99" s="1387">
        <v>14</v>
      </c>
      <c r="C99" s="794" t="s">
        <v>7415</v>
      </c>
      <c r="D99" s="1388">
        <v>0.05</v>
      </c>
    </row>
    <row r="100" spans="2:4" x14ac:dyDescent="0.35">
      <c r="B100" s="1387">
        <v>15</v>
      </c>
      <c r="C100" s="794" t="s">
        <v>7416</v>
      </c>
      <c r="D100" s="1388">
        <v>0.05</v>
      </c>
    </row>
    <row r="101" spans="2:4" x14ac:dyDescent="0.35">
      <c r="B101" s="1387">
        <v>16</v>
      </c>
      <c r="C101" s="794" t="s">
        <v>7417</v>
      </c>
      <c r="D101" s="1388">
        <v>0.05</v>
      </c>
    </row>
    <row r="102" spans="2:4" ht="15" thickBot="1" x14ac:dyDescent="0.4">
      <c r="B102" s="1389">
        <v>17</v>
      </c>
      <c r="C102" s="1390" t="s">
        <v>7418</v>
      </c>
      <c r="D102" s="1391">
        <v>0.3</v>
      </c>
    </row>
  </sheetData>
  <sheetProtection algorithmName="SHA-512" hashValue="XBhkeSAyqcGHhP9kew1HT/IWKjRBvGnqUTMV7fJoFAruXSILvvLe/0kT82wz4G2JOVn+xOWu5BXXwd/RALGi2w==" saltValue="m3OTfI561mC9Be3qFTDr/Q==" spinCount="100000" sheet="1" objects="1" scenarios="1"/>
  <mergeCells count="9">
    <mergeCell ref="D1:E1"/>
    <mergeCell ref="C62:D62"/>
    <mergeCell ref="C69:D69"/>
    <mergeCell ref="C3:F3"/>
    <mergeCell ref="C28:D28"/>
    <mergeCell ref="B13:G13"/>
    <mergeCell ref="B4:G4"/>
    <mergeCell ref="E25:H25"/>
    <mergeCell ref="E26:H26"/>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25954" r:id="rId4" name="Drop Down 2">
              <controlPr defaultSize="0" autoLine="0" autoPict="0">
                <anchor moveWithCells="1">
                  <from>
                    <xdr:col>5</xdr:col>
                    <xdr:colOff>0</xdr:colOff>
                    <xdr:row>12</xdr:row>
                    <xdr:rowOff>241300</xdr:rowOff>
                  </from>
                  <to>
                    <xdr:col>6</xdr:col>
                    <xdr:colOff>12700</xdr:colOff>
                    <xdr:row>14</xdr:row>
                    <xdr:rowOff>12700</xdr:rowOff>
                  </to>
                </anchor>
              </controlPr>
            </control>
          </mc:Choice>
        </mc:AlternateContent>
        <mc:AlternateContent xmlns:mc="http://schemas.openxmlformats.org/markup-compatibility/2006">
          <mc:Choice Requires="x14">
            <control shapeId="125955" r:id="rId5" name="Drop Down 3">
              <controlPr defaultSize="0" autoLine="0" autoPict="0">
                <anchor moveWithCells="1">
                  <from>
                    <xdr:col>5</xdr:col>
                    <xdr:colOff>12700</xdr:colOff>
                    <xdr:row>15</xdr:row>
                    <xdr:rowOff>12700</xdr:rowOff>
                  </from>
                  <to>
                    <xdr:col>6</xdr:col>
                    <xdr:colOff>0</xdr:colOff>
                    <xdr:row>16</xdr:row>
                    <xdr:rowOff>0</xdr:rowOff>
                  </to>
                </anchor>
              </controlPr>
            </control>
          </mc:Choice>
        </mc:AlternateContent>
        <mc:AlternateContent xmlns:mc="http://schemas.openxmlformats.org/markup-compatibility/2006">
          <mc:Choice Requires="x14">
            <control shapeId="126224" r:id="rId6" name="Drop Down 272">
              <controlPr defaultSize="0" autoLine="0" autoPict="0">
                <anchor moveWithCells="1">
                  <from>
                    <xdr:col>4</xdr:col>
                    <xdr:colOff>819150</xdr:colOff>
                    <xdr:row>7</xdr:row>
                    <xdr:rowOff>0</xdr:rowOff>
                  </from>
                  <to>
                    <xdr:col>6</xdr:col>
                    <xdr:colOff>971550</xdr:colOff>
                    <xdr:row>8</xdr:row>
                    <xdr:rowOff>0</xdr:rowOff>
                  </to>
                </anchor>
              </controlPr>
            </control>
          </mc:Choice>
        </mc:AlternateContent>
        <mc:AlternateContent xmlns:mc="http://schemas.openxmlformats.org/markup-compatibility/2006">
          <mc:Choice Requires="x14">
            <control shapeId="126225" r:id="rId7" name="Drop Down 273">
              <controlPr defaultSize="0" autoLine="0" autoPict="0">
                <anchor moveWithCells="1">
                  <from>
                    <xdr:col>5</xdr:col>
                    <xdr:colOff>6350</xdr:colOff>
                    <xdr:row>16</xdr:row>
                    <xdr:rowOff>0</xdr:rowOff>
                  </from>
                  <to>
                    <xdr:col>5</xdr:col>
                    <xdr:colOff>1352550</xdr:colOff>
                    <xdr:row>17</xdr:row>
                    <xdr:rowOff>0</xdr:rowOff>
                  </to>
                </anchor>
              </controlPr>
            </control>
          </mc:Choice>
        </mc:AlternateContent>
        <mc:AlternateContent xmlns:mc="http://schemas.openxmlformats.org/markup-compatibility/2006">
          <mc:Choice Requires="x14">
            <control shapeId="126227" r:id="rId8" name="Drop Down 275">
              <controlPr defaultSize="0" autoLine="0" autoPict="0">
                <anchor moveWithCells="1">
                  <from>
                    <xdr:col>5</xdr:col>
                    <xdr:colOff>0</xdr:colOff>
                    <xdr:row>5</xdr:row>
                    <xdr:rowOff>0</xdr:rowOff>
                  </from>
                  <to>
                    <xdr:col>6</xdr:col>
                    <xdr:colOff>12700</xdr:colOff>
                    <xdr:row>6</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9">
    <tabColor rgb="FF00B0F0"/>
  </sheetPr>
  <dimension ref="A1:W78"/>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5.81640625" style="1638" customWidth="1"/>
    <col min="2" max="2" width="18.453125" style="566" customWidth="1"/>
    <col min="3" max="3" width="82.81640625" style="556" customWidth="1"/>
    <col min="4" max="4" width="18.453125" style="565" customWidth="1"/>
    <col min="5" max="5" width="20.453125" style="1641" customWidth="1"/>
    <col min="6" max="6" width="20.1796875" style="1102" customWidth="1"/>
    <col min="7" max="7" width="16.453125" style="1102" customWidth="1"/>
    <col min="8" max="9" width="9.1796875" style="556"/>
    <col min="10" max="10" width="16.453125" style="1373" customWidth="1"/>
    <col min="11" max="11" width="24.6328125" style="1373" customWidth="1"/>
    <col min="12" max="12" width="18.453125" style="1392" customWidth="1"/>
    <col min="13" max="13" width="18.453125" style="556" customWidth="1"/>
    <col min="14" max="14" width="14.81640625" style="1392" customWidth="1"/>
    <col min="15" max="15" width="9.453125" style="556" bestFit="1" customWidth="1"/>
    <col min="16" max="16384" width="9.1796875" style="556"/>
  </cols>
  <sheetData>
    <row r="1" spans="1:23" ht="23.25" customHeight="1" thickBot="1" x14ac:dyDescent="0.4">
      <c r="A1" s="564"/>
      <c r="B1" s="1694" t="s">
        <v>446</v>
      </c>
      <c r="C1" s="1694"/>
      <c r="D1" s="1703" t="s">
        <v>8414</v>
      </c>
      <c r="E1" s="1704"/>
      <c r="F1" s="554" t="str">
        <f>LOOKUP(' Preparation'!$F$4,Data!$B$2:$B$194,Data!$C$2:$C$194)</f>
        <v>€ (Euro)</v>
      </c>
      <c r="G1" s="1634"/>
    </row>
    <row r="2" spans="1:23" ht="23.25" customHeight="1" thickBot="1" x14ac:dyDescent="0.4">
      <c r="A2" s="1393" t="s">
        <v>82</v>
      </c>
      <c r="B2" s="558" t="s">
        <v>150</v>
      </c>
      <c r="C2" s="558" t="s">
        <v>400</v>
      </c>
      <c r="D2" s="558" t="s">
        <v>67</v>
      </c>
      <c r="E2" s="1394" t="s">
        <v>8112</v>
      </c>
      <c r="F2" s="559" t="s">
        <v>149</v>
      </c>
      <c r="G2" s="559" t="s">
        <v>258</v>
      </c>
    </row>
    <row r="3" spans="1:23" ht="23.5" customHeight="1" thickBot="1" x14ac:dyDescent="0.4">
      <c r="A3" s="1395"/>
      <c r="B3" s="1396" t="s">
        <v>89</v>
      </c>
      <c r="C3" s="1728" t="s">
        <v>8691</v>
      </c>
      <c r="D3" s="1729"/>
      <c r="E3" s="1729"/>
      <c r="F3" s="1729"/>
      <c r="G3" s="1729"/>
      <c r="H3" s="1729"/>
      <c r="I3" s="1729"/>
      <c r="J3" s="1397"/>
      <c r="K3" s="1397"/>
      <c r="L3" s="1398"/>
      <c r="M3" s="1399"/>
      <c r="N3" s="1398"/>
      <c r="O3" s="1399"/>
      <c r="P3" s="1399"/>
      <c r="Q3" s="1399"/>
      <c r="R3" s="1399"/>
      <c r="S3" s="1399"/>
      <c r="T3" s="1399"/>
      <c r="U3" s="1399"/>
      <c r="V3" s="1399"/>
      <c r="W3" s="1399"/>
    </row>
    <row r="4" spans="1:23" ht="19" customHeight="1" thickBot="1" x14ac:dyDescent="0.4">
      <c r="A4" s="564"/>
      <c r="B4" s="1694" t="s">
        <v>401</v>
      </c>
      <c r="C4" s="1694"/>
      <c r="D4" s="1168"/>
      <c r="E4" s="1152"/>
      <c r="F4" s="1634"/>
      <c r="G4" s="1634"/>
      <c r="H4" s="1399"/>
      <c r="I4" s="1399"/>
      <c r="J4" s="1397"/>
      <c r="K4" s="1397"/>
      <c r="L4" s="1398"/>
      <c r="M4" s="1399"/>
      <c r="N4" s="1398"/>
      <c r="O4" s="1399"/>
      <c r="P4" s="1399"/>
      <c r="Q4" s="1399"/>
      <c r="R4" s="1399"/>
      <c r="S4" s="1399"/>
      <c r="T4" s="1399"/>
      <c r="U4" s="1399"/>
      <c r="V4" s="1399"/>
      <c r="W4" s="1399"/>
    </row>
    <row r="5" spans="1:23" ht="26.25" customHeight="1" x14ac:dyDescent="0.35">
      <c r="A5" s="564" t="s">
        <v>407</v>
      </c>
      <c r="B5" s="521" t="s">
        <v>409</v>
      </c>
      <c r="C5" s="556" t="s">
        <v>8405</v>
      </c>
      <c r="D5" s="556" t="s">
        <v>76</v>
      </c>
      <c r="E5" s="1636" t="s">
        <v>409</v>
      </c>
      <c r="F5" s="1102">
        <v>3</v>
      </c>
      <c r="G5" s="1340" t="str">
        <f>IF($F$5=1,"",IF($F$5=2,"Goto FT 2","Goto FT 12"))</f>
        <v>Goto FT 12</v>
      </c>
    </row>
    <row r="6" spans="1:23" ht="24" customHeight="1" x14ac:dyDescent="0.35">
      <c r="A6" s="564" t="s">
        <v>410</v>
      </c>
      <c r="B6" s="521" t="s">
        <v>7116</v>
      </c>
      <c r="C6" s="556" t="s">
        <v>8180</v>
      </c>
      <c r="D6" s="556" t="s">
        <v>76</v>
      </c>
      <c r="E6" s="1636" t="s">
        <v>7116</v>
      </c>
      <c r="F6" s="1102">
        <v>2</v>
      </c>
      <c r="G6" s="1340" t="str">
        <f>IF($F$6=1,"",IF($F$6=2,"Goto FT 3","Goto FT 9"))</f>
        <v>Goto FT 3</v>
      </c>
    </row>
    <row r="7" spans="1:23" ht="33.75" customHeight="1" x14ac:dyDescent="0.35">
      <c r="A7" s="564" t="s">
        <v>411</v>
      </c>
      <c r="B7" s="521" t="s">
        <v>155</v>
      </c>
      <c r="C7" s="556" t="s">
        <v>8403</v>
      </c>
      <c r="D7" s="556" t="s">
        <v>8107</v>
      </c>
      <c r="E7" s="1641" t="s">
        <v>8396</v>
      </c>
      <c r="F7" s="574"/>
      <c r="G7" s="1340"/>
    </row>
    <row r="8" spans="1:23" ht="42.75" customHeight="1" x14ac:dyDescent="0.35">
      <c r="A8" s="564" t="s">
        <v>412</v>
      </c>
      <c r="B8" s="521" t="s">
        <v>413</v>
      </c>
      <c r="C8" s="556" t="s">
        <v>8404</v>
      </c>
      <c r="D8" s="556" t="s">
        <v>8107</v>
      </c>
      <c r="E8" s="1641" t="s">
        <v>8397</v>
      </c>
      <c r="F8" s="574"/>
      <c r="G8" s="1340"/>
    </row>
    <row r="9" spans="1:23" ht="32.25" customHeight="1" x14ac:dyDescent="0.35">
      <c r="A9" s="564" t="s">
        <v>414</v>
      </c>
      <c r="B9" s="521" t="s">
        <v>415</v>
      </c>
      <c r="C9" s="556" t="s">
        <v>429</v>
      </c>
      <c r="D9" s="556" t="s">
        <v>76</v>
      </c>
      <c r="E9" s="1641" t="s">
        <v>8108</v>
      </c>
      <c r="F9" s="574"/>
      <c r="G9" s="1340"/>
    </row>
    <row r="10" spans="1:23" ht="32.25" customHeight="1" x14ac:dyDescent="0.35">
      <c r="A10" s="564" t="s">
        <v>416</v>
      </c>
      <c r="B10" s="521" t="s">
        <v>417</v>
      </c>
      <c r="C10" s="556" t="s">
        <v>8181</v>
      </c>
      <c r="D10" s="556" t="s">
        <v>7759</v>
      </c>
      <c r="E10" s="1641" t="s">
        <v>8398</v>
      </c>
      <c r="F10" s="1288">
        <f>IF(F7=0,0,($F$9-$F$8)/$F$7)</f>
        <v>0</v>
      </c>
    </row>
    <row r="11" spans="1:23" ht="21" customHeight="1" x14ac:dyDescent="0.35">
      <c r="A11" s="564" t="s">
        <v>418</v>
      </c>
      <c r="B11" s="521" t="s">
        <v>419</v>
      </c>
      <c r="C11" s="556" t="s">
        <v>419</v>
      </c>
      <c r="D11" s="556" t="s">
        <v>7759</v>
      </c>
      <c r="E11" s="1641" t="s">
        <v>8399</v>
      </c>
      <c r="F11" s="1400">
        <f ca="1">LOOKUP(' Preparation'!F6,Data!B2:B193,Data!F2:F194)</f>
        <v>0</v>
      </c>
    </row>
    <row r="12" spans="1:23" ht="20.25" customHeight="1" x14ac:dyDescent="0.35">
      <c r="A12" s="564" t="s">
        <v>420</v>
      </c>
      <c r="B12" s="521" t="s">
        <v>421</v>
      </c>
      <c r="C12" s="556" t="s">
        <v>422</v>
      </c>
      <c r="D12" s="556" t="s">
        <v>7759</v>
      </c>
      <c r="E12" s="1641" t="s">
        <v>78</v>
      </c>
      <c r="F12" s="1400">
        <f>IF($F$5=1,"",IF($F$5=3,0,MAX(0,($F$11-$F$10)*$F$7)))</f>
        <v>0</v>
      </c>
      <c r="G12" s="1340" t="s">
        <v>8110</v>
      </c>
    </row>
    <row r="13" spans="1:23" ht="13.5" customHeight="1" x14ac:dyDescent="0.35">
      <c r="A13" s="564"/>
      <c r="B13" s="1278"/>
      <c r="C13" s="1401"/>
      <c r="D13" s="1401"/>
      <c r="E13" s="661"/>
      <c r="F13" s="1402"/>
      <c r="G13" s="1193"/>
    </row>
    <row r="14" spans="1:23" ht="33.75" customHeight="1" x14ac:dyDescent="0.35">
      <c r="A14" s="564" t="s">
        <v>423</v>
      </c>
      <c r="B14" s="521" t="s">
        <v>8109</v>
      </c>
      <c r="C14" s="556" t="s">
        <v>8402</v>
      </c>
      <c r="D14" s="556" t="s">
        <v>427</v>
      </c>
      <c r="E14" s="1641" t="s">
        <v>8411</v>
      </c>
      <c r="F14" s="1288">
        <f>Labor!F10</f>
        <v>0</v>
      </c>
    </row>
    <row r="15" spans="1:23" ht="32.25" customHeight="1" thickBot="1" x14ac:dyDescent="0.4">
      <c r="A15" s="564" t="s">
        <v>424</v>
      </c>
      <c r="B15" s="521" t="s">
        <v>8406</v>
      </c>
      <c r="C15" s="556" t="s">
        <v>8408</v>
      </c>
      <c r="D15" s="556" t="s">
        <v>427</v>
      </c>
      <c r="E15" s="1641" t="s">
        <v>8407</v>
      </c>
      <c r="F15" s="1288">
        <f>Labor!F11</f>
        <v>0</v>
      </c>
    </row>
    <row r="16" spans="1:23" ht="29.5" customHeight="1" thickBot="1" x14ac:dyDescent="0.4">
      <c r="A16" s="564" t="s">
        <v>425</v>
      </c>
      <c r="B16" s="521" t="s">
        <v>7350</v>
      </c>
      <c r="C16" s="556" t="s">
        <v>428</v>
      </c>
      <c r="D16" s="556" t="s">
        <v>91</v>
      </c>
      <c r="E16" s="1641" t="s">
        <v>8409</v>
      </c>
      <c r="F16" s="678">
        <f ca="1">MAX(0,($F$11-$F$15)*$F$14)</f>
        <v>0</v>
      </c>
    </row>
    <row r="17" spans="1:7" ht="21.75" customHeight="1" thickBot="1" x14ac:dyDescent="0.4">
      <c r="A17" s="564"/>
      <c r="B17" s="521"/>
      <c r="D17" s="556"/>
      <c r="F17" s="1403"/>
    </row>
    <row r="18" spans="1:7" ht="32.5" customHeight="1" thickTop="1" thickBot="1" x14ac:dyDescent="0.4">
      <c r="A18" s="564" t="s">
        <v>426</v>
      </c>
      <c r="B18" s="521" t="s">
        <v>272</v>
      </c>
      <c r="C18" s="1189" t="s">
        <v>408</v>
      </c>
      <c r="D18" s="1186" t="s">
        <v>91</v>
      </c>
      <c r="E18" s="1404" t="s">
        <v>8410</v>
      </c>
      <c r="F18" s="1195">
        <f>IF($F$5=1,"",IF($F$5=3,0,IF($F$6=2, $F$12,$F$16)))</f>
        <v>0</v>
      </c>
    </row>
    <row r="19" spans="1:7" ht="14.25" customHeight="1" thickTop="1" thickBot="1" x14ac:dyDescent="0.3">
      <c r="A19" s="564"/>
      <c r="B19" s="521"/>
      <c r="C19" s="1405"/>
      <c r="D19" s="556"/>
    </row>
    <row r="20" spans="1:7" ht="19" thickBot="1" x14ac:dyDescent="0.4">
      <c r="A20" s="564"/>
      <c r="B20" s="1694" t="s">
        <v>90</v>
      </c>
      <c r="C20" s="1694"/>
      <c r="D20" s="1168"/>
      <c r="E20" s="1152"/>
      <c r="F20" s="1634"/>
      <c r="G20" s="1634"/>
    </row>
    <row r="21" spans="1:7" ht="49.5" customHeight="1" thickBot="1" x14ac:dyDescent="0.4">
      <c r="A21" s="564"/>
      <c r="B21" s="1396" t="s">
        <v>89</v>
      </c>
      <c r="C21" s="1794" t="s">
        <v>8194</v>
      </c>
      <c r="D21" s="1795"/>
      <c r="E21" s="1795"/>
    </row>
    <row r="22" spans="1:7" ht="29" x14ac:dyDescent="0.35">
      <c r="A22" s="564" t="s">
        <v>432</v>
      </c>
      <c r="B22" s="521" t="s">
        <v>8203</v>
      </c>
      <c r="C22" s="556" t="s">
        <v>8195</v>
      </c>
      <c r="D22" s="556" t="s">
        <v>76</v>
      </c>
      <c r="E22" s="1636" t="s">
        <v>8203</v>
      </c>
      <c r="F22" s="1102">
        <v>1</v>
      </c>
      <c r="G22" s="1340" t="str">
        <f>IF($F$22=1,"",IF($F$22=2,"Goto Tr 9","Goto Tr 2"))</f>
        <v/>
      </c>
    </row>
    <row r="23" spans="1:7" ht="29" x14ac:dyDescent="0.35">
      <c r="A23" s="564" t="s">
        <v>433</v>
      </c>
      <c r="B23" s="521" t="s">
        <v>8202</v>
      </c>
      <c r="C23" s="556" t="s">
        <v>8196</v>
      </c>
      <c r="D23" s="556" t="s">
        <v>431</v>
      </c>
      <c r="E23" s="1636" t="s">
        <v>8202</v>
      </c>
      <c r="F23" s="1102">
        <v>1</v>
      </c>
      <c r="G23" s="1340" t="str">
        <f>IF($F$23=1,"",IF($F$23=2,"Goto Tr 3","Goto Tr 4"))</f>
        <v/>
      </c>
    </row>
    <row r="24" spans="1:7" ht="29" x14ac:dyDescent="0.35">
      <c r="A24" s="564" t="s">
        <v>434</v>
      </c>
      <c r="B24" s="521" t="s">
        <v>7536</v>
      </c>
      <c r="C24" s="556" t="s">
        <v>8197</v>
      </c>
      <c r="D24" s="556"/>
      <c r="E24" s="1641" t="s">
        <v>8198</v>
      </c>
      <c r="F24" s="574"/>
      <c r="G24" s="1340"/>
    </row>
    <row r="25" spans="1:7" ht="19.5" customHeight="1" x14ac:dyDescent="0.35">
      <c r="A25" s="564" t="s">
        <v>435</v>
      </c>
      <c r="B25" s="521" t="s">
        <v>7436</v>
      </c>
      <c r="C25" s="556" t="s">
        <v>8179</v>
      </c>
      <c r="D25" s="556"/>
      <c r="F25" s="568">
        <v>1</v>
      </c>
      <c r="G25" s="1340"/>
    </row>
    <row r="26" spans="1:7" ht="21.75" customHeight="1" x14ac:dyDescent="0.35">
      <c r="A26" s="564" t="s">
        <v>439</v>
      </c>
      <c r="B26" s="521" t="s">
        <v>7432</v>
      </c>
      <c r="C26" s="556" t="s">
        <v>8067</v>
      </c>
      <c r="D26" s="556" t="s">
        <v>7759</v>
      </c>
      <c r="E26" s="1641" t="s">
        <v>8178</v>
      </c>
      <c r="F26" s="1941">
        <f>LOOKUP($F$25,Data!$AN$2:$AN$74,Data!$AP$2:$AP$74)</f>
        <v>0</v>
      </c>
      <c r="G26" s="1340"/>
    </row>
    <row r="27" spans="1:7" ht="29" x14ac:dyDescent="0.35">
      <c r="A27" s="564" t="s">
        <v>440</v>
      </c>
      <c r="B27" s="521" t="s">
        <v>436</v>
      </c>
      <c r="C27" s="556" t="s">
        <v>441</v>
      </c>
      <c r="D27" s="556" t="s">
        <v>76</v>
      </c>
      <c r="E27" s="1636" t="s">
        <v>436</v>
      </c>
      <c r="F27" s="1102">
        <v>1</v>
      </c>
      <c r="G27" s="1340" t="str">
        <f>IF(F27=1,"",IF(F27=2,"Goto Tr 9","Goto Tr 8"))</f>
        <v/>
      </c>
    </row>
    <row r="28" spans="1:7" ht="29" x14ac:dyDescent="0.35">
      <c r="A28" s="564" t="s">
        <v>442</v>
      </c>
      <c r="B28" s="521" t="s">
        <v>437</v>
      </c>
      <c r="C28" s="556" t="s">
        <v>8199</v>
      </c>
      <c r="D28" s="556" t="s">
        <v>76</v>
      </c>
      <c r="E28" s="1636" t="s">
        <v>437</v>
      </c>
      <c r="F28" s="1102">
        <v>1</v>
      </c>
      <c r="G28" s="1340"/>
    </row>
    <row r="29" spans="1:7" ht="20.5" customHeight="1" thickBot="1" x14ac:dyDescent="0.4">
      <c r="A29" s="564" t="s">
        <v>8200</v>
      </c>
      <c r="B29" s="521" t="s">
        <v>443</v>
      </c>
      <c r="C29" s="556" t="s">
        <v>444</v>
      </c>
      <c r="D29" s="556" t="s">
        <v>7759</v>
      </c>
      <c r="E29" s="1641" t="s">
        <v>443</v>
      </c>
      <c r="F29" s="1288" t="str">
        <f>IF($F$22=1,"",IF($F$22=2,0,IF(F27=2,0.33,IF(F28=2,0.66,1))))</f>
        <v/>
      </c>
      <c r="G29" s="1340"/>
    </row>
    <row r="30" spans="1:7" ht="31.5" thickBot="1" x14ac:dyDescent="0.4">
      <c r="A30" s="564" t="s">
        <v>8201</v>
      </c>
      <c r="B30" s="521" t="s">
        <v>272</v>
      </c>
      <c r="C30" s="1313" t="s">
        <v>438</v>
      </c>
      <c r="D30" s="556" t="s">
        <v>7759</v>
      </c>
      <c r="E30" s="1404" t="s">
        <v>445</v>
      </c>
      <c r="F30" s="678" t="str">
        <f>IF($F$23=1,"",IF($F$23=2,$F$24,$F$29*$F$26))</f>
        <v/>
      </c>
    </row>
    <row r="31" spans="1:7" ht="12" customHeight="1" thickBot="1" x14ac:dyDescent="0.4">
      <c r="A31" s="564"/>
      <c r="B31" s="521"/>
    </row>
    <row r="32" spans="1:7" ht="19" thickBot="1" x14ac:dyDescent="0.4">
      <c r="A32" s="564"/>
      <c r="B32" s="1694" t="s">
        <v>402</v>
      </c>
      <c r="C32" s="1694"/>
      <c r="D32" s="1168"/>
      <c r="E32" s="1152"/>
      <c r="F32" s="1634"/>
      <c r="G32" s="1634"/>
    </row>
    <row r="33" spans="1:7" ht="19" thickBot="1" x14ac:dyDescent="0.4">
      <c r="A33" s="564"/>
      <c r="B33" s="563" t="s">
        <v>89</v>
      </c>
      <c r="C33" s="1769" t="s">
        <v>8244</v>
      </c>
      <c r="D33" s="1770"/>
      <c r="E33" s="1770"/>
      <c r="F33" s="1770"/>
      <c r="G33" s="1770"/>
    </row>
    <row r="34" spans="1:7" ht="18.5" x14ac:dyDescent="0.35">
      <c r="A34" s="564"/>
      <c r="B34" s="1406"/>
      <c r="C34" s="1644" t="s">
        <v>8247</v>
      </c>
      <c r="D34" s="1407"/>
      <c r="E34" s="1407"/>
      <c r="F34" s="1408">
        <f>' Preparation'!F11</f>
        <v>100000</v>
      </c>
      <c r="G34" s="1407"/>
    </row>
    <row r="35" spans="1:7" ht="18.5" x14ac:dyDescent="0.35">
      <c r="A35" s="564"/>
      <c r="B35" s="1406"/>
      <c r="C35" s="1644" t="s">
        <v>8248</v>
      </c>
      <c r="D35" s="1407"/>
      <c r="E35" s="1407"/>
      <c r="F35" s="1407"/>
      <c r="G35" s="1407"/>
    </row>
    <row r="36" spans="1:7" ht="29" x14ac:dyDescent="0.35">
      <c r="A36" s="564"/>
      <c r="B36" s="521" t="s">
        <v>143</v>
      </c>
      <c r="C36" s="1644" t="s">
        <v>51</v>
      </c>
      <c r="D36" s="565" t="s">
        <v>4</v>
      </c>
      <c r="E36" s="1641" t="s">
        <v>26</v>
      </c>
    </row>
    <row r="37" spans="1:7" ht="29" x14ac:dyDescent="0.35">
      <c r="A37" s="564"/>
      <c r="B37" s="521"/>
      <c r="C37" s="1644" t="s">
        <v>5</v>
      </c>
      <c r="D37" s="565" t="s">
        <v>4</v>
      </c>
      <c r="E37" s="1641" t="s">
        <v>26</v>
      </c>
    </row>
    <row r="38" spans="1:7" ht="29" x14ac:dyDescent="0.35">
      <c r="A38" s="564"/>
      <c r="B38" s="521"/>
      <c r="C38" s="1644" t="s">
        <v>52</v>
      </c>
      <c r="D38" s="565" t="s">
        <v>4</v>
      </c>
      <c r="E38" s="1641" t="s">
        <v>26</v>
      </c>
    </row>
    <row r="39" spans="1:7" ht="29" x14ac:dyDescent="0.35">
      <c r="A39" s="564"/>
      <c r="B39" s="521"/>
      <c r="C39" s="1644" t="s">
        <v>53</v>
      </c>
      <c r="D39" s="565" t="s">
        <v>4</v>
      </c>
      <c r="E39" s="1641" t="s">
        <v>26</v>
      </c>
    </row>
    <row r="40" spans="1:7" ht="29" x14ac:dyDescent="0.35">
      <c r="A40" s="564"/>
      <c r="B40" s="521"/>
      <c r="C40" s="1644" t="s">
        <v>6</v>
      </c>
      <c r="D40" s="565" t="s">
        <v>4</v>
      </c>
      <c r="E40" s="1641" t="s">
        <v>26</v>
      </c>
    </row>
    <row r="41" spans="1:7" ht="29" x14ac:dyDescent="0.35">
      <c r="A41" s="564"/>
      <c r="B41" s="521"/>
      <c r="C41" s="1644" t="s">
        <v>7</v>
      </c>
      <c r="D41" s="565" t="s">
        <v>4</v>
      </c>
      <c r="E41" s="1641" t="s">
        <v>26</v>
      </c>
    </row>
    <row r="42" spans="1:7" ht="29" x14ac:dyDescent="0.35">
      <c r="A42" s="564"/>
      <c r="B42" s="521"/>
      <c r="C42" s="1644" t="s">
        <v>8</v>
      </c>
      <c r="D42" s="565" t="s">
        <v>4</v>
      </c>
      <c r="E42" s="1641" t="s">
        <v>26</v>
      </c>
    </row>
    <row r="43" spans="1:7" ht="43.5" x14ac:dyDescent="0.35">
      <c r="A43" s="564"/>
      <c r="B43" s="521"/>
      <c r="C43" s="1644" t="s">
        <v>9</v>
      </c>
      <c r="D43" s="565" t="s">
        <v>4</v>
      </c>
      <c r="E43" s="1641" t="s">
        <v>26</v>
      </c>
    </row>
    <row r="44" spans="1:7" ht="29" x14ac:dyDescent="0.35">
      <c r="A44" s="564"/>
      <c r="B44" s="521"/>
      <c r="C44" s="1644" t="s">
        <v>430</v>
      </c>
      <c r="D44" s="565" t="s">
        <v>4</v>
      </c>
      <c r="E44" s="1641" t="s">
        <v>26</v>
      </c>
    </row>
    <row r="45" spans="1:7" ht="29" x14ac:dyDescent="0.35">
      <c r="A45" s="564"/>
      <c r="B45" s="521"/>
      <c r="C45" s="1644" t="s">
        <v>10</v>
      </c>
      <c r="D45" s="565" t="s">
        <v>4</v>
      </c>
      <c r="E45" s="1641" t="s">
        <v>26</v>
      </c>
    </row>
    <row r="46" spans="1:7" ht="29" x14ac:dyDescent="0.35">
      <c r="A46" s="564"/>
      <c r="B46" s="521"/>
      <c r="C46" s="1409" t="s">
        <v>106</v>
      </c>
      <c r="D46" s="565" t="s">
        <v>4</v>
      </c>
      <c r="E46" s="1641" t="s">
        <v>26</v>
      </c>
    </row>
    <row r="47" spans="1:7" ht="29" x14ac:dyDescent="0.35">
      <c r="A47" s="564"/>
      <c r="B47" s="521"/>
      <c r="C47" s="1409" t="s">
        <v>102</v>
      </c>
      <c r="D47" s="565" t="s">
        <v>4</v>
      </c>
      <c r="E47" s="1641" t="s">
        <v>26</v>
      </c>
    </row>
    <row r="48" spans="1:7" ht="29" x14ac:dyDescent="0.35">
      <c r="A48" s="564"/>
      <c r="B48" s="521"/>
      <c r="C48" s="1409" t="s">
        <v>103</v>
      </c>
      <c r="D48" s="565" t="s">
        <v>4</v>
      </c>
      <c r="E48" s="1641" t="s">
        <v>26</v>
      </c>
    </row>
    <row r="49" spans="1:14" ht="29" x14ac:dyDescent="0.35">
      <c r="A49" s="564"/>
      <c r="B49" s="521"/>
      <c r="C49" s="1409" t="s">
        <v>104</v>
      </c>
      <c r="D49" s="565" t="s">
        <v>4</v>
      </c>
      <c r="E49" s="1641" t="s">
        <v>26</v>
      </c>
    </row>
    <row r="50" spans="1:14" ht="29" x14ac:dyDescent="0.35">
      <c r="A50" s="564"/>
      <c r="B50" s="521"/>
      <c r="C50" s="1409" t="s">
        <v>105</v>
      </c>
      <c r="D50" s="565" t="s">
        <v>4</v>
      </c>
      <c r="E50" s="1641" t="s">
        <v>26</v>
      </c>
    </row>
    <row r="51" spans="1:14" ht="15" thickBot="1" x14ac:dyDescent="0.4">
      <c r="A51" s="564"/>
      <c r="B51" s="521"/>
      <c r="C51" s="1409"/>
    </row>
    <row r="52" spans="1:14" ht="19" thickBot="1" x14ac:dyDescent="0.4">
      <c r="A52" s="564"/>
      <c r="B52" s="521"/>
      <c r="C52" s="1799" t="s">
        <v>8246</v>
      </c>
      <c r="D52" s="1800"/>
      <c r="F52" s="678">
        <f>SUM($B$36:$G$50)</f>
        <v>0</v>
      </c>
    </row>
    <row r="53" spans="1:14" ht="11.25" customHeight="1" thickBot="1" x14ac:dyDescent="0.4">
      <c r="A53" s="564"/>
      <c r="B53" s="521"/>
      <c r="C53" s="1409"/>
    </row>
    <row r="54" spans="1:14" ht="19" thickBot="1" x14ac:dyDescent="0.4">
      <c r="A54" s="564"/>
      <c r="B54" s="1676" t="s">
        <v>447</v>
      </c>
      <c r="C54" s="1788"/>
      <c r="D54" s="1168"/>
      <c r="E54" s="1152"/>
      <c r="F54" s="1634"/>
      <c r="G54" s="1634"/>
    </row>
    <row r="55" spans="1:14" ht="34.5" customHeight="1" thickBot="1" x14ac:dyDescent="0.4">
      <c r="A55" s="564" t="s">
        <v>448</v>
      </c>
      <c r="B55" s="521" t="s">
        <v>454</v>
      </c>
      <c r="C55" s="1644" t="s">
        <v>8186</v>
      </c>
      <c r="D55" s="556" t="s">
        <v>76</v>
      </c>
      <c r="E55" s="1410" t="s">
        <v>8187</v>
      </c>
      <c r="F55" s="1288" t="s">
        <v>8395</v>
      </c>
      <c r="I55" s="1796" t="s">
        <v>8182</v>
      </c>
      <c r="J55" s="1797"/>
      <c r="K55" s="1797"/>
      <c r="L55" s="1797"/>
      <c r="M55" s="1797"/>
      <c r="N55" s="1798"/>
    </row>
    <row r="56" spans="1:14" ht="32.25" customHeight="1" thickBot="1" x14ac:dyDescent="0.4">
      <c r="A56" s="564" t="s">
        <v>449</v>
      </c>
      <c r="B56" s="521" t="s">
        <v>7431</v>
      </c>
      <c r="C56" s="556" t="s">
        <v>8188</v>
      </c>
      <c r="D56" s="556" t="s">
        <v>76</v>
      </c>
      <c r="E56" s="1641" t="s">
        <v>8189</v>
      </c>
      <c r="F56" s="1137"/>
      <c r="I56" s="1411" t="s">
        <v>82</v>
      </c>
      <c r="J56" s="1412" t="s">
        <v>112</v>
      </c>
      <c r="K56" s="1412" t="s">
        <v>8183</v>
      </c>
      <c r="L56" s="1413" t="s">
        <v>8184</v>
      </c>
      <c r="M56" s="1414" t="s">
        <v>457</v>
      </c>
      <c r="N56" s="1415" t="s">
        <v>456</v>
      </c>
    </row>
    <row r="57" spans="1:14" ht="19" customHeight="1" thickBot="1" x14ac:dyDescent="0.4">
      <c r="A57" s="564" t="s">
        <v>450</v>
      </c>
      <c r="B57" s="521" t="s">
        <v>7436</v>
      </c>
      <c r="C57" s="556" t="s">
        <v>8179</v>
      </c>
      <c r="D57" s="556"/>
      <c r="F57" s="568">
        <v>1</v>
      </c>
      <c r="I57" s="1411">
        <v>1</v>
      </c>
      <c r="J57" s="727">
        <v>1</v>
      </c>
      <c r="K57" s="1934"/>
      <c r="L57" s="1416"/>
      <c r="M57" s="1417">
        <f ca="1">IF(J57="",0,LOOKUP(J57,Data!$B$2:$B$193,Data!$I$2:$I$194))</f>
        <v>0</v>
      </c>
      <c r="N57" s="1418">
        <f>IF($K$77=0,0,IF(ISERROR($K$77),0,(K57/$K$77)*IF($F$56&gt;0,$F$56,$F$58)*' Preparation'!$F$11))</f>
        <v>0</v>
      </c>
    </row>
    <row r="58" spans="1:14" ht="19.5" customHeight="1" thickBot="1" x14ac:dyDescent="0.4">
      <c r="A58" s="564" t="s">
        <v>451</v>
      </c>
      <c r="B58" s="521" t="s">
        <v>7432</v>
      </c>
      <c r="C58" s="556" t="s">
        <v>8067</v>
      </c>
      <c r="D58" s="556" t="s">
        <v>7759</v>
      </c>
      <c r="E58" s="1641" t="s">
        <v>8178</v>
      </c>
      <c r="F58" s="569">
        <f>LOOKUP($F$57,Data!$AN$2:$AN$74,Data!$AP$2:$AP$74)</f>
        <v>0</v>
      </c>
      <c r="I58" s="1411">
        <f>I57+1</f>
        <v>2</v>
      </c>
      <c r="J58" s="727">
        <v>1</v>
      </c>
      <c r="K58" s="1321"/>
      <c r="L58" s="1416"/>
      <c r="M58" s="1417">
        <f ca="1">IF(J58="",0,LOOKUP(J58,Data!$B$2:$B$193,Data!$I$2:$I$194))</f>
        <v>0</v>
      </c>
      <c r="N58" s="1418">
        <f>IF($K$77=0,0,IF(ISERROR($K$77),0,(K58/$K$77)*IF($F$56&gt;0,$F$56,$F$58)*' Preparation'!$F$11))</f>
        <v>0</v>
      </c>
    </row>
    <row r="59" spans="1:14" ht="27" customHeight="1" thickBot="1" x14ac:dyDescent="0.4">
      <c r="A59" s="564" t="s">
        <v>452</v>
      </c>
      <c r="B59" s="521" t="s">
        <v>8190</v>
      </c>
      <c r="C59" s="1644" t="s">
        <v>8191</v>
      </c>
      <c r="D59" s="556" t="s">
        <v>7759</v>
      </c>
      <c r="E59" s="1419" t="s">
        <v>8393</v>
      </c>
      <c r="F59" s="1420">
        <f>N78</f>
        <v>0</v>
      </c>
      <c r="I59" s="1411">
        <f t="shared" ref="I59:I76" si="0">I58+1</f>
        <v>3</v>
      </c>
      <c r="J59" s="727">
        <v>1</v>
      </c>
      <c r="K59" s="1321"/>
      <c r="L59" s="1416"/>
      <c r="M59" s="1417">
        <f ca="1">IF(J59="",0,LOOKUP(J59,Data!$B$2:$B$193,Data!$I$2:$I$194))</f>
        <v>0</v>
      </c>
      <c r="N59" s="1418">
        <f>IF($K$77=0,0,IF(ISERROR($K$77),0,(K59/$K$77)*IF($F$56&gt;0,$F$56,$F$58)*' Preparation'!$F$11))</f>
        <v>0</v>
      </c>
    </row>
    <row r="60" spans="1:14" ht="18.75" customHeight="1" thickBot="1" x14ac:dyDescent="0.4">
      <c r="D60" s="556"/>
      <c r="I60" s="1411">
        <f t="shared" si="0"/>
        <v>4</v>
      </c>
      <c r="J60" s="727">
        <v>1</v>
      </c>
      <c r="K60" s="1321"/>
      <c r="L60" s="1416"/>
      <c r="M60" s="1417">
        <f ca="1">IF(J60="",0,LOOKUP(J60,Data!$B$2:$B$193,Data!$I$2:$I$194))</f>
        <v>0</v>
      </c>
      <c r="N60" s="1418">
        <f>IF($K$77=0,0,IF(ISERROR($K$77),0,(K60/$K$77)*IF($F$56&gt;0,$F$56,$F$58)*' Preparation'!$F$11))</f>
        <v>0</v>
      </c>
    </row>
    <row r="61" spans="1:14" ht="29.25" customHeight="1" thickBot="1" x14ac:dyDescent="0.4">
      <c r="A61" s="564" t="s">
        <v>453</v>
      </c>
      <c r="B61" s="521" t="s">
        <v>26</v>
      </c>
      <c r="C61" s="1404" t="s">
        <v>8192</v>
      </c>
      <c r="D61" s="556" t="s">
        <v>7759</v>
      </c>
      <c r="E61" s="1419" t="s">
        <v>8394</v>
      </c>
      <c r="F61" s="678">
        <f>IF(' Preparation'!$F$11=0,0,($F$59*' Preparation'!$F$24/' Preparation'!$F$11))</f>
        <v>0</v>
      </c>
      <c r="I61" s="1411">
        <f t="shared" si="0"/>
        <v>5</v>
      </c>
      <c r="J61" s="727">
        <v>1</v>
      </c>
      <c r="K61" s="1321"/>
      <c r="L61" s="1416"/>
      <c r="M61" s="1417">
        <f ca="1">IF(J61="",0,LOOKUP(J61,Data!$B$2:$B$193,Data!$I$2:$I$194))</f>
        <v>0</v>
      </c>
      <c r="N61" s="1418">
        <f>IF($K$77=0,0,IF(ISERROR($K$77),0,(K61/$K$77)*IF($F$56&gt;0,$F$56,$F$58)*' Preparation'!$F$11))</f>
        <v>0</v>
      </c>
    </row>
    <row r="62" spans="1:14" ht="17.25" customHeight="1" thickBot="1" x14ac:dyDescent="0.4">
      <c r="D62" s="556"/>
      <c r="I62" s="1411">
        <f t="shared" si="0"/>
        <v>6</v>
      </c>
      <c r="J62" s="727">
        <v>1</v>
      </c>
      <c r="K62" s="1321"/>
      <c r="L62" s="1416"/>
      <c r="M62" s="1417">
        <f ca="1">IF(J62="",0,LOOKUP(J62,Data!$B$2:$B$193,Data!$I$2:$I$194))</f>
        <v>0</v>
      </c>
      <c r="N62" s="1418">
        <f>IF($K$77=0,0,IF(ISERROR($K$77),0,(K62/$K$77)*IF($F$56&gt;0,$F$56,$F$58)*' Preparation'!$F$11))</f>
        <v>0</v>
      </c>
    </row>
    <row r="63" spans="1:14" ht="17.25" customHeight="1" thickTop="1" thickBot="1" x14ac:dyDescent="0.4">
      <c r="C63" s="1313" t="s">
        <v>8193</v>
      </c>
      <c r="D63" s="556"/>
      <c r="F63" s="1195">
        <f>IF(F57=1,0,IF($F$18="",0,$F$18)+IF($F$30="",0,$F$30)+IF($F$61="",0,$F$61))</f>
        <v>0</v>
      </c>
      <c r="I63" s="1411">
        <f t="shared" si="0"/>
        <v>7</v>
      </c>
      <c r="J63" s="727">
        <v>1</v>
      </c>
      <c r="K63" s="1321"/>
      <c r="L63" s="1416"/>
      <c r="M63" s="1417">
        <f ca="1">IF(J63="",0,LOOKUP(J63,Data!$B$2:$B$193,Data!$I$2:$I$194))</f>
        <v>0</v>
      </c>
      <c r="N63" s="1418">
        <f>IF($K$77=0,0,IF(ISERROR($K$77),0,(K63/$K$77)*IF($F$56&gt;0,$F$56,$F$58)*' Preparation'!$F$11))</f>
        <v>0</v>
      </c>
    </row>
    <row r="64" spans="1:14" ht="17.25" customHeight="1" thickTop="1" thickBot="1" x14ac:dyDescent="0.4">
      <c r="I64" s="1411">
        <f t="shared" si="0"/>
        <v>8</v>
      </c>
      <c r="J64" s="727">
        <v>1</v>
      </c>
      <c r="K64" s="1321"/>
      <c r="L64" s="1416"/>
      <c r="M64" s="1417">
        <f ca="1">IF(J64="",0,LOOKUP(J64,Data!$B$2:$B$193,Data!$I$2:$I$194))</f>
        <v>0</v>
      </c>
      <c r="N64" s="1418">
        <f>IF($K$77=0,0,IF(ISERROR($K$77),0,(K64/$K$77)*IF($F$56&gt;0,$F$56,$F$58)*' Preparation'!$F$11))</f>
        <v>0</v>
      </c>
    </row>
    <row r="65" spans="4:14" ht="17.25" customHeight="1" thickBot="1" x14ac:dyDescent="0.4">
      <c r="D65" s="1702" t="str">
        <f>IF($F$18="","No data included for fair transactions","")</f>
        <v/>
      </c>
      <c r="E65" s="1702"/>
      <c r="F65" s="1702"/>
      <c r="G65" s="1702"/>
      <c r="I65" s="1411">
        <f t="shared" si="0"/>
        <v>9</v>
      </c>
      <c r="J65" s="727">
        <v>1</v>
      </c>
      <c r="K65" s="1321"/>
      <c r="L65" s="1416"/>
      <c r="M65" s="1417">
        <f ca="1">IF(J65="",0,LOOKUP(J65,Data!$B$2:$B$193,Data!$I$2:$I$194))</f>
        <v>0</v>
      </c>
      <c r="N65" s="1418">
        <f>IF($K$77=0,0,IF(ISERROR($K$77),0,(K65/$K$77)*IF($F$56&gt;0,$F$56,$F$58)*' Preparation'!$F$11))</f>
        <v>0</v>
      </c>
    </row>
    <row r="66" spans="4:14" ht="17.25" customHeight="1" thickBot="1" x14ac:dyDescent="0.4">
      <c r="D66" s="1702" t="str">
        <f>IF($F$30="","No data included for transparency","")</f>
        <v>No data included for transparency</v>
      </c>
      <c r="E66" s="1702"/>
      <c r="F66" s="1702"/>
      <c r="G66" s="1702"/>
      <c r="I66" s="1411">
        <f t="shared" si="0"/>
        <v>10</v>
      </c>
      <c r="J66" s="727">
        <v>1</v>
      </c>
      <c r="K66" s="1321"/>
      <c r="L66" s="1416"/>
      <c r="M66" s="1417">
        <f ca="1">IF(J66="",0,LOOKUP(J66,Data!$B$2:$B$193,Data!$I$2:$I$194))</f>
        <v>0</v>
      </c>
      <c r="N66" s="1418">
        <f>IF($K$77=0,0,IF(ISERROR($K$77),0,(K66/$K$77)*IF($F$56&gt;0,$F$56,$F$58)*' Preparation'!$F$11))</f>
        <v>0</v>
      </c>
    </row>
    <row r="67" spans="4:14" ht="17.25" customHeight="1" thickBot="1" x14ac:dyDescent="0.4">
      <c r="D67" s="1702" t="str">
        <f>IF($F$30="","No data included for taxes","")</f>
        <v>No data included for taxes</v>
      </c>
      <c r="E67" s="1702"/>
      <c r="F67" s="1702"/>
      <c r="G67" s="1702"/>
      <c r="I67" s="1411">
        <f t="shared" si="0"/>
        <v>11</v>
      </c>
      <c r="J67" s="727">
        <v>1</v>
      </c>
      <c r="K67" s="1321"/>
      <c r="L67" s="1416"/>
      <c r="M67" s="1417">
        <f ca="1">IF(J67="",0,LOOKUP(J67,Data!$B$2:$B$193,Data!$I$2:$I$194))</f>
        <v>0</v>
      </c>
      <c r="N67" s="1418">
        <f>IF($K$77=0,0,IF(ISERROR($K$77),0,(K67/$K$77)*IF($F$56&gt;0,$F$56,$F$58)*' Preparation'!$F$11))</f>
        <v>0</v>
      </c>
    </row>
    <row r="68" spans="4:14" ht="17.25" customHeight="1" thickBot="1" x14ac:dyDescent="0.4">
      <c r="I68" s="1411">
        <f t="shared" si="0"/>
        <v>12</v>
      </c>
      <c r="J68" s="727">
        <v>1</v>
      </c>
      <c r="K68" s="1321"/>
      <c r="L68" s="1416"/>
      <c r="M68" s="1417">
        <f ca="1">IF(J68="",0,LOOKUP(J68,Data!$B$2:$B$193,Data!$I$2:$I$194))</f>
        <v>0</v>
      </c>
      <c r="N68" s="1418">
        <f>IF($K$77=0,0,IF(ISERROR($K$77),0,(K68/$K$77)*IF($F$56&gt;0,$F$56,$F$58)*' Preparation'!$F$11))</f>
        <v>0</v>
      </c>
    </row>
    <row r="69" spans="4:14" ht="17.25" customHeight="1" thickBot="1" x14ac:dyDescent="0.4">
      <c r="I69" s="1411">
        <f t="shared" si="0"/>
        <v>13</v>
      </c>
      <c r="J69" s="727">
        <v>1</v>
      </c>
      <c r="K69" s="1321"/>
      <c r="L69" s="1416"/>
      <c r="M69" s="1417">
        <f ca="1">IF(J69="",0,LOOKUP(J69,Data!$B$2:$B$193,Data!$I$2:$I$194))</f>
        <v>0</v>
      </c>
      <c r="N69" s="1418">
        <f>IF($K$77=0,0,IF(ISERROR($K$77),0,(K69/$K$77)*IF($F$56&gt;0,$F$56,$F$58)*' Preparation'!$F$11))</f>
        <v>0</v>
      </c>
    </row>
    <row r="70" spans="4:14" ht="17.25" customHeight="1" thickBot="1" x14ac:dyDescent="0.4">
      <c r="I70" s="1411">
        <f t="shared" si="0"/>
        <v>14</v>
      </c>
      <c r="J70" s="727">
        <v>1</v>
      </c>
      <c r="K70" s="1321"/>
      <c r="L70" s="1416"/>
      <c r="M70" s="1417">
        <f ca="1">IF(J70="",0,LOOKUP(J70,Data!$B$2:$B$193,Data!$I$2:$I$194))</f>
        <v>0</v>
      </c>
      <c r="N70" s="1418">
        <f>IF($K$77=0,0,IF(ISERROR($K$77),0,(K70/$K$77)*IF($F$56&gt;0,$F$56,$F$58)*' Preparation'!$F$11))</f>
        <v>0</v>
      </c>
    </row>
    <row r="71" spans="4:14" ht="17.25" customHeight="1" thickBot="1" x14ac:dyDescent="0.4">
      <c r="I71" s="1411">
        <f t="shared" si="0"/>
        <v>15</v>
      </c>
      <c r="J71" s="727">
        <v>1</v>
      </c>
      <c r="K71" s="1321"/>
      <c r="L71" s="1416"/>
      <c r="M71" s="1417">
        <f ca="1">IF(J71="",0,LOOKUP(J71,Data!$B$2:$B$193,Data!$I$2:$I$194))</f>
        <v>0</v>
      </c>
      <c r="N71" s="1418">
        <f>IF($K$77=0,0,IF(ISERROR($K$77),0,(K71/$K$77)*IF($F$56&gt;0,$F$56,$F$58)*' Preparation'!$F$11))</f>
        <v>0</v>
      </c>
    </row>
    <row r="72" spans="4:14" ht="17.25" customHeight="1" thickBot="1" x14ac:dyDescent="0.4">
      <c r="I72" s="1411">
        <f t="shared" si="0"/>
        <v>16</v>
      </c>
      <c r="J72" s="727">
        <v>1</v>
      </c>
      <c r="K72" s="1321"/>
      <c r="L72" s="1416"/>
      <c r="M72" s="1417">
        <f ca="1">IF(J72="",0,LOOKUP(J72,Data!$B$2:$B$193,Data!$I$2:$I$194))</f>
        <v>0</v>
      </c>
      <c r="N72" s="1418">
        <f>IF($K$77=0,0,IF(ISERROR($K$77),0,(K72/$K$77)*IF($F$56&gt;0,$F$56,$F$58)*' Preparation'!$F$11))</f>
        <v>0</v>
      </c>
    </row>
    <row r="73" spans="4:14" ht="17.25" customHeight="1" thickBot="1" x14ac:dyDescent="0.4">
      <c r="I73" s="1411">
        <f t="shared" si="0"/>
        <v>17</v>
      </c>
      <c r="J73" s="727">
        <v>1</v>
      </c>
      <c r="K73" s="1321"/>
      <c r="L73" s="1416"/>
      <c r="M73" s="1417">
        <f ca="1">IF(J73="",0,LOOKUP(J73,Data!$B$2:$B$193,Data!$I$2:$I$194))</f>
        <v>0</v>
      </c>
      <c r="N73" s="1418">
        <f>IF($K$77=0,0,IF(ISERROR($K$77),0,(K73/$K$77)*IF($F$56&gt;0,$F$56,$F$58)*' Preparation'!$F$11))</f>
        <v>0</v>
      </c>
    </row>
    <row r="74" spans="4:14" ht="17.25" customHeight="1" thickBot="1" x14ac:dyDescent="0.4">
      <c r="I74" s="1411">
        <f t="shared" si="0"/>
        <v>18</v>
      </c>
      <c r="J74" s="727">
        <v>1</v>
      </c>
      <c r="K74" s="1321"/>
      <c r="L74" s="1416"/>
      <c r="M74" s="1417">
        <f ca="1">IF(J74="",0,LOOKUP(J74,Data!$B$2:$B$193,Data!$I$2:$I$194))</f>
        <v>0</v>
      </c>
      <c r="N74" s="1418">
        <f>IF($K$77=0,0,IF(ISERROR($K$77),0,(K74/$K$77)*IF($F$56&gt;0,$F$56,$F$58)*' Preparation'!$F$11))</f>
        <v>0</v>
      </c>
    </row>
    <row r="75" spans="4:14" ht="17.25" customHeight="1" thickBot="1" x14ac:dyDescent="0.4">
      <c r="I75" s="1411">
        <f t="shared" si="0"/>
        <v>19</v>
      </c>
      <c r="J75" s="727">
        <v>1</v>
      </c>
      <c r="K75" s="1321"/>
      <c r="L75" s="1416"/>
      <c r="M75" s="1417">
        <f ca="1">IF(J75="",0,LOOKUP(J75,Data!$B$2:$B$193,Data!$I$2:$I$194))</f>
        <v>0</v>
      </c>
      <c r="N75" s="1418">
        <f>IF($K$77=0,0,IF(ISERROR($K$77),0,(K75/$K$77)*IF($F$56&gt;0,$F$56,$F$58)*' Preparation'!$F$11))</f>
        <v>0</v>
      </c>
    </row>
    <row r="76" spans="4:14" ht="17.25" customHeight="1" thickBot="1" x14ac:dyDescent="0.4">
      <c r="I76" s="1411">
        <f t="shared" si="0"/>
        <v>20</v>
      </c>
      <c r="J76" s="727">
        <v>1</v>
      </c>
      <c r="K76" s="1321"/>
      <c r="L76" s="1416"/>
      <c r="M76" s="1417">
        <f ca="1">IF(J76="",0,LOOKUP(J76,Data!$B$2:$B$193,Data!$I$2:$I$194))</f>
        <v>0</v>
      </c>
      <c r="N76" s="1418">
        <f>IF($K$77=0,0,IF(ISERROR($K$77),0,(K76/$K$77)*IF($F$56&gt;0,$F$56,$F$58)*' Preparation'!$F$11))</f>
        <v>0</v>
      </c>
    </row>
    <row r="77" spans="4:14" ht="15.5" thickTop="1" thickBot="1" x14ac:dyDescent="0.4">
      <c r="I77" s="1411"/>
      <c r="J77" s="1421" t="s">
        <v>40</v>
      </c>
      <c r="K77" s="1422">
        <f>SUM(K57:K76)</f>
        <v>0</v>
      </c>
      <c r="L77" s="1423">
        <f>SUM(L57:L76)</f>
        <v>0</v>
      </c>
      <c r="M77" s="1424"/>
      <c r="N77" s="1425">
        <f>SUM(N57:N76)</f>
        <v>0</v>
      </c>
    </row>
    <row r="78" spans="4:14" ht="16.5" thickTop="1" thickBot="1" x14ac:dyDescent="0.4">
      <c r="I78" s="1426"/>
      <c r="J78" s="1427"/>
      <c r="K78" s="1793" t="s">
        <v>8185</v>
      </c>
      <c r="L78" s="1793"/>
      <c r="M78" s="1793"/>
      <c r="N78" s="1428">
        <f>N77-L77</f>
        <v>0</v>
      </c>
    </row>
  </sheetData>
  <sheetProtection algorithmName="SHA-512" hashValue="UOFzIr+ZT4GIcDroxHNx0rl2TRXnXEIFFLkYtvsvHbqioiMESBVhzXhpoNZHT9bfFv8aBqhLCvNiklbHCN0AVQ==" saltValue="hjwefnJbnPXNzq4K82yfXA==" spinCount="100000" sheet="1" objects="1" scenarios="1"/>
  <mergeCells count="15">
    <mergeCell ref="K78:M78"/>
    <mergeCell ref="B1:C1"/>
    <mergeCell ref="B4:C4"/>
    <mergeCell ref="B20:C20"/>
    <mergeCell ref="B32:C32"/>
    <mergeCell ref="B54:C54"/>
    <mergeCell ref="C21:E21"/>
    <mergeCell ref="C33:G33"/>
    <mergeCell ref="I55:N55"/>
    <mergeCell ref="D65:G65"/>
    <mergeCell ref="D66:G66"/>
    <mergeCell ref="D67:G67"/>
    <mergeCell ref="C52:D52"/>
    <mergeCell ref="D1:E1"/>
    <mergeCell ref="C3:I3"/>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32775" r:id="rId4" name="Drop Down 7">
              <controlPr defaultSize="0" autoLine="0" autoPict="0">
                <anchor moveWithCells="1">
                  <from>
                    <xdr:col>5</xdr:col>
                    <xdr:colOff>12700</xdr:colOff>
                    <xdr:row>21</xdr:row>
                    <xdr:rowOff>12700</xdr:rowOff>
                  </from>
                  <to>
                    <xdr:col>6</xdr:col>
                    <xdr:colOff>0</xdr:colOff>
                    <xdr:row>22</xdr:row>
                    <xdr:rowOff>12700</xdr:rowOff>
                  </to>
                </anchor>
              </controlPr>
            </control>
          </mc:Choice>
        </mc:AlternateContent>
        <mc:AlternateContent xmlns:mc="http://schemas.openxmlformats.org/markup-compatibility/2006">
          <mc:Choice Requires="x14">
            <control shapeId="32784" r:id="rId5" name="Drop Down 16">
              <controlPr defaultSize="0" autoLine="0" autoPict="0">
                <anchor moveWithCells="1">
                  <from>
                    <xdr:col>5</xdr:col>
                    <xdr:colOff>12700</xdr:colOff>
                    <xdr:row>4</xdr:row>
                    <xdr:rowOff>12700</xdr:rowOff>
                  </from>
                  <to>
                    <xdr:col>5</xdr:col>
                    <xdr:colOff>1409700</xdr:colOff>
                    <xdr:row>4</xdr:row>
                    <xdr:rowOff>330200</xdr:rowOff>
                  </to>
                </anchor>
              </controlPr>
            </control>
          </mc:Choice>
        </mc:AlternateContent>
        <mc:AlternateContent xmlns:mc="http://schemas.openxmlformats.org/markup-compatibility/2006">
          <mc:Choice Requires="x14">
            <control shapeId="32789" r:id="rId6" name="Drop Down 21">
              <controlPr defaultSize="0" autoLine="0" autoPict="0">
                <anchor moveWithCells="1">
                  <from>
                    <xdr:col>9</xdr:col>
                    <xdr:colOff>12700</xdr:colOff>
                    <xdr:row>56</xdr:row>
                    <xdr:rowOff>12700</xdr:rowOff>
                  </from>
                  <to>
                    <xdr:col>10</xdr:col>
                    <xdr:colOff>0</xdr:colOff>
                    <xdr:row>57</xdr:row>
                    <xdr:rowOff>12700</xdr:rowOff>
                  </to>
                </anchor>
              </controlPr>
            </control>
          </mc:Choice>
        </mc:AlternateContent>
        <mc:AlternateContent xmlns:mc="http://schemas.openxmlformats.org/markup-compatibility/2006">
          <mc:Choice Requires="x14">
            <control shapeId="32790" r:id="rId7" name="Drop Down 22">
              <controlPr defaultSize="0" autoLine="0" autoPict="0">
                <anchor moveWithCells="1">
                  <from>
                    <xdr:col>9</xdr:col>
                    <xdr:colOff>12700</xdr:colOff>
                    <xdr:row>57</xdr:row>
                    <xdr:rowOff>0</xdr:rowOff>
                  </from>
                  <to>
                    <xdr:col>10</xdr:col>
                    <xdr:colOff>0</xdr:colOff>
                    <xdr:row>58</xdr:row>
                    <xdr:rowOff>12700</xdr:rowOff>
                  </to>
                </anchor>
              </controlPr>
            </control>
          </mc:Choice>
        </mc:AlternateContent>
        <mc:AlternateContent xmlns:mc="http://schemas.openxmlformats.org/markup-compatibility/2006">
          <mc:Choice Requires="x14">
            <control shapeId="32791" r:id="rId8" name="Drop Down 23">
              <controlPr defaultSize="0" autoLine="0" autoPict="0">
                <anchor moveWithCells="1">
                  <from>
                    <xdr:col>9</xdr:col>
                    <xdr:colOff>12700</xdr:colOff>
                    <xdr:row>58</xdr:row>
                    <xdr:rowOff>12700</xdr:rowOff>
                  </from>
                  <to>
                    <xdr:col>10</xdr:col>
                    <xdr:colOff>0</xdr:colOff>
                    <xdr:row>59</xdr:row>
                    <xdr:rowOff>0</xdr:rowOff>
                  </to>
                </anchor>
              </controlPr>
            </control>
          </mc:Choice>
        </mc:AlternateContent>
        <mc:AlternateContent xmlns:mc="http://schemas.openxmlformats.org/markup-compatibility/2006">
          <mc:Choice Requires="x14">
            <control shapeId="32792" r:id="rId9" name="Drop Down 24">
              <controlPr defaultSize="0" autoLine="0" autoPict="0">
                <anchor moveWithCells="1">
                  <from>
                    <xdr:col>9</xdr:col>
                    <xdr:colOff>12700</xdr:colOff>
                    <xdr:row>59</xdr:row>
                    <xdr:rowOff>12700</xdr:rowOff>
                  </from>
                  <to>
                    <xdr:col>10</xdr:col>
                    <xdr:colOff>0</xdr:colOff>
                    <xdr:row>60</xdr:row>
                    <xdr:rowOff>12700</xdr:rowOff>
                  </to>
                </anchor>
              </controlPr>
            </control>
          </mc:Choice>
        </mc:AlternateContent>
        <mc:AlternateContent xmlns:mc="http://schemas.openxmlformats.org/markup-compatibility/2006">
          <mc:Choice Requires="x14">
            <control shapeId="32793" r:id="rId10" name="Drop Down 25">
              <controlPr defaultSize="0" autoLine="0" autoPict="0">
                <anchor moveWithCells="1">
                  <from>
                    <xdr:col>9</xdr:col>
                    <xdr:colOff>12700</xdr:colOff>
                    <xdr:row>60</xdr:row>
                    <xdr:rowOff>12700</xdr:rowOff>
                  </from>
                  <to>
                    <xdr:col>9</xdr:col>
                    <xdr:colOff>1143000</xdr:colOff>
                    <xdr:row>61</xdr:row>
                    <xdr:rowOff>0</xdr:rowOff>
                  </to>
                </anchor>
              </controlPr>
            </control>
          </mc:Choice>
        </mc:AlternateContent>
        <mc:AlternateContent xmlns:mc="http://schemas.openxmlformats.org/markup-compatibility/2006">
          <mc:Choice Requires="x14">
            <control shapeId="32794" r:id="rId11" name="Drop Down 26">
              <controlPr defaultSize="0" autoLine="0" autoPict="0">
                <anchor moveWithCells="1">
                  <from>
                    <xdr:col>9</xdr:col>
                    <xdr:colOff>12700</xdr:colOff>
                    <xdr:row>61</xdr:row>
                    <xdr:rowOff>0</xdr:rowOff>
                  </from>
                  <to>
                    <xdr:col>10</xdr:col>
                    <xdr:colOff>0</xdr:colOff>
                    <xdr:row>62</xdr:row>
                    <xdr:rowOff>12700</xdr:rowOff>
                  </to>
                </anchor>
              </controlPr>
            </control>
          </mc:Choice>
        </mc:AlternateContent>
        <mc:AlternateContent xmlns:mc="http://schemas.openxmlformats.org/markup-compatibility/2006">
          <mc:Choice Requires="x14">
            <control shapeId="32839" r:id="rId12" name="Drop Down 71">
              <controlPr defaultSize="0" autoLine="0" autoPict="0">
                <anchor moveWithCells="1">
                  <from>
                    <xdr:col>5</xdr:col>
                    <xdr:colOff>12700</xdr:colOff>
                    <xdr:row>5</xdr:row>
                    <xdr:rowOff>0</xdr:rowOff>
                  </from>
                  <to>
                    <xdr:col>6</xdr:col>
                    <xdr:colOff>12700</xdr:colOff>
                    <xdr:row>6</xdr:row>
                    <xdr:rowOff>12700</xdr:rowOff>
                  </to>
                </anchor>
              </controlPr>
            </control>
          </mc:Choice>
        </mc:AlternateContent>
        <mc:AlternateContent xmlns:mc="http://schemas.openxmlformats.org/markup-compatibility/2006">
          <mc:Choice Requires="x14">
            <control shapeId="32846" r:id="rId13" name="Drop Down 78">
              <controlPr defaultSize="0" autoLine="0" autoPict="0">
                <anchor moveWithCells="1">
                  <from>
                    <xdr:col>4</xdr:col>
                    <xdr:colOff>12700</xdr:colOff>
                    <xdr:row>24</xdr:row>
                    <xdr:rowOff>12700</xdr:rowOff>
                  </from>
                  <to>
                    <xdr:col>7</xdr:col>
                    <xdr:colOff>266700</xdr:colOff>
                    <xdr:row>25</xdr:row>
                    <xdr:rowOff>12700</xdr:rowOff>
                  </to>
                </anchor>
              </controlPr>
            </control>
          </mc:Choice>
        </mc:AlternateContent>
        <mc:AlternateContent xmlns:mc="http://schemas.openxmlformats.org/markup-compatibility/2006">
          <mc:Choice Requires="x14">
            <control shapeId="32847" r:id="rId14" name="Drop Down 79">
              <controlPr defaultSize="0" autoLine="0" autoPict="0">
                <anchor moveWithCells="1">
                  <from>
                    <xdr:col>5</xdr:col>
                    <xdr:colOff>12700</xdr:colOff>
                    <xdr:row>22</xdr:row>
                    <xdr:rowOff>12700</xdr:rowOff>
                  </from>
                  <to>
                    <xdr:col>6</xdr:col>
                    <xdr:colOff>0</xdr:colOff>
                    <xdr:row>23</xdr:row>
                    <xdr:rowOff>12700</xdr:rowOff>
                  </to>
                </anchor>
              </controlPr>
            </control>
          </mc:Choice>
        </mc:AlternateContent>
        <mc:AlternateContent xmlns:mc="http://schemas.openxmlformats.org/markup-compatibility/2006">
          <mc:Choice Requires="x14">
            <control shapeId="32848" r:id="rId15" name="Drop Down 80">
              <controlPr defaultSize="0" autoLine="0" autoPict="0">
                <anchor moveWithCells="1">
                  <from>
                    <xdr:col>5</xdr:col>
                    <xdr:colOff>12700</xdr:colOff>
                    <xdr:row>26</xdr:row>
                    <xdr:rowOff>12700</xdr:rowOff>
                  </from>
                  <to>
                    <xdr:col>6</xdr:col>
                    <xdr:colOff>12700</xdr:colOff>
                    <xdr:row>27</xdr:row>
                    <xdr:rowOff>0</xdr:rowOff>
                  </to>
                </anchor>
              </controlPr>
            </control>
          </mc:Choice>
        </mc:AlternateContent>
        <mc:AlternateContent xmlns:mc="http://schemas.openxmlformats.org/markup-compatibility/2006">
          <mc:Choice Requires="x14">
            <control shapeId="32849" r:id="rId16" name="Drop Down 81">
              <controlPr defaultSize="0" autoLine="0" autoPict="0">
                <anchor moveWithCells="1">
                  <from>
                    <xdr:col>5</xdr:col>
                    <xdr:colOff>12700</xdr:colOff>
                    <xdr:row>27</xdr:row>
                    <xdr:rowOff>12700</xdr:rowOff>
                  </from>
                  <to>
                    <xdr:col>6</xdr:col>
                    <xdr:colOff>12700</xdr:colOff>
                    <xdr:row>28</xdr:row>
                    <xdr:rowOff>12700</xdr:rowOff>
                  </to>
                </anchor>
              </controlPr>
            </control>
          </mc:Choice>
        </mc:AlternateContent>
        <mc:AlternateContent xmlns:mc="http://schemas.openxmlformats.org/markup-compatibility/2006">
          <mc:Choice Requires="x14">
            <control shapeId="32859" r:id="rId17" name="Drop Down 91">
              <controlPr defaultSize="0" autoLine="0" autoPict="0">
                <anchor moveWithCells="1">
                  <from>
                    <xdr:col>4</xdr:col>
                    <xdr:colOff>12700</xdr:colOff>
                    <xdr:row>56</xdr:row>
                    <xdr:rowOff>12700</xdr:rowOff>
                  </from>
                  <to>
                    <xdr:col>7</xdr:col>
                    <xdr:colOff>279400</xdr:colOff>
                    <xdr:row>57</xdr:row>
                    <xdr:rowOff>12700</xdr:rowOff>
                  </to>
                </anchor>
              </controlPr>
            </control>
          </mc:Choice>
        </mc:AlternateContent>
        <mc:AlternateContent xmlns:mc="http://schemas.openxmlformats.org/markup-compatibility/2006">
          <mc:Choice Requires="x14">
            <control shapeId="32863" r:id="rId18" name="Drop Down 95">
              <controlPr defaultSize="0" autoLine="0" autoPict="0">
                <anchor moveWithCells="1">
                  <from>
                    <xdr:col>9</xdr:col>
                    <xdr:colOff>12700</xdr:colOff>
                    <xdr:row>62</xdr:row>
                    <xdr:rowOff>0</xdr:rowOff>
                  </from>
                  <to>
                    <xdr:col>10</xdr:col>
                    <xdr:colOff>0</xdr:colOff>
                    <xdr:row>63</xdr:row>
                    <xdr:rowOff>12700</xdr:rowOff>
                  </to>
                </anchor>
              </controlPr>
            </control>
          </mc:Choice>
        </mc:AlternateContent>
        <mc:AlternateContent xmlns:mc="http://schemas.openxmlformats.org/markup-compatibility/2006">
          <mc:Choice Requires="x14">
            <control shapeId="32864" r:id="rId19" name="Drop Down 96">
              <controlPr defaultSize="0" autoLine="0" autoPict="0">
                <anchor moveWithCells="1">
                  <from>
                    <xdr:col>9</xdr:col>
                    <xdr:colOff>12700</xdr:colOff>
                    <xdr:row>63</xdr:row>
                    <xdr:rowOff>0</xdr:rowOff>
                  </from>
                  <to>
                    <xdr:col>10</xdr:col>
                    <xdr:colOff>0</xdr:colOff>
                    <xdr:row>64</xdr:row>
                    <xdr:rowOff>12700</xdr:rowOff>
                  </to>
                </anchor>
              </controlPr>
            </control>
          </mc:Choice>
        </mc:AlternateContent>
        <mc:AlternateContent xmlns:mc="http://schemas.openxmlformats.org/markup-compatibility/2006">
          <mc:Choice Requires="x14">
            <control shapeId="32865" r:id="rId20" name="Drop Down 97">
              <controlPr defaultSize="0" autoLine="0" autoPict="0">
                <anchor moveWithCells="1">
                  <from>
                    <xdr:col>9</xdr:col>
                    <xdr:colOff>12700</xdr:colOff>
                    <xdr:row>64</xdr:row>
                    <xdr:rowOff>12700</xdr:rowOff>
                  </from>
                  <to>
                    <xdr:col>10</xdr:col>
                    <xdr:colOff>0</xdr:colOff>
                    <xdr:row>65</xdr:row>
                    <xdr:rowOff>12700</xdr:rowOff>
                  </to>
                </anchor>
              </controlPr>
            </control>
          </mc:Choice>
        </mc:AlternateContent>
        <mc:AlternateContent xmlns:mc="http://schemas.openxmlformats.org/markup-compatibility/2006">
          <mc:Choice Requires="x14">
            <control shapeId="32866" r:id="rId21" name="Drop Down 98">
              <controlPr defaultSize="0" autoLine="0" autoPict="0">
                <anchor moveWithCells="1">
                  <from>
                    <xdr:col>9</xdr:col>
                    <xdr:colOff>12700</xdr:colOff>
                    <xdr:row>65</xdr:row>
                    <xdr:rowOff>0</xdr:rowOff>
                  </from>
                  <to>
                    <xdr:col>10</xdr:col>
                    <xdr:colOff>0</xdr:colOff>
                    <xdr:row>66</xdr:row>
                    <xdr:rowOff>12700</xdr:rowOff>
                  </to>
                </anchor>
              </controlPr>
            </control>
          </mc:Choice>
        </mc:AlternateContent>
        <mc:AlternateContent xmlns:mc="http://schemas.openxmlformats.org/markup-compatibility/2006">
          <mc:Choice Requires="x14">
            <control shapeId="32867" r:id="rId22" name="Drop Down 99">
              <controlPr defaultSize="0" autoLine="0" autoPict="0">
                <anchor moveWithCells="1">
                  <from>
                    <xdr:col>9</xdr:col>
                    <xdr:colOff>12700</xdr:colOff>
                    <xdr:row>66</xdr:row>
                    <xdr:rowOff>0</xdr:rowOff>
                  </from>
                  <to>
                    <xdr:col>10</xdr:col>
                    <xdr:colOff>0</xdr:colOff>
                    <xdr:row>67</xdr:row>
                    <xdr:rowOff>12700</xdr:rowOff>
                  </to>
                </anchor>
              </controlPr>
            </control>
          </mc:Choice>
        </mc:AlternateContent>
        <mc:AlternateContent xmlns:mc="http://schemas.openxmlformats.org/markup-compatibility/2006">
          <mc:Choice Requires="x14">
            <control shapeId="32868" r:id="rId23" name="Drop Down 100">
              <controlPr defaultSize="0" autoLine="0" autoPict="0">
                <anchor moveWithCells="1">
                  <from>
                    <xdr:col>9</xdr:col>
                    <xdr:colOff>12700</xdr:colOff>
                    <xdr:row>67</xdr:row>
                    <xdr:rowOff>0</xdr:rowOff>
                  </from>
                  <to>
                    <xdr:col>10</xdr:col>
                    <xdr:colOff>0</xdr:colOff>
                    <xdr:row>68</xdr:row>
                    <xdr:rowOff>12700</xdr:rowOff>
                  </to>
                </anchor>
              </controlPr>
            </control>
          </mc:Choice>
        </mc:AlternateContent>
        <mc:AlternateContent xmlns:mc="http://schemas.openxmlformats.org/markup-compatibility/2006">
          <mc:Choice Requires="x14">
            <control shapeId="32869" r:id="rId24" name="Drop Down 101">
              <controlPr defaultSize="0" autoLine="0" autoPict="0">
                <anchor moveWithCells="1">
                  <from>
                    <xdr:col>9</xdr:col>
                    <xdr:colOff>12700</xdr:colOff>
                    <xdr:row>68</xdr:row>
                    <xdr:rowOff>0</xdr:rowOff>
                  </from>
                  <to>
                    <xdr:col>10</xdr:col>
                    <xdr:colOff>0</xdr:colOff>
                    <xdr:row>69</xdr:row>
                    <xdr:rowOff>12700</xdr:rowOff>
                  </to>
                </anchor>
              </controlPr>
            </control>
          </mc:Choice>
        </mc:AlternateContent>
        <mc:AlternateContent xmlns:mc="http://schemas.openxmlformats.org/markup-compatibility/2006">
          <mc:Choice Requires="x14">
            <control shapeId="32870" r:id="rId25" name="Drop Down 102">
              <controlPr defaultSize="0" autoLine="0" autoPict="0">
                <anchor moveWithCells="1">
                  <from>
                    <xdr:col>9</xdr:col>
                    <xdr:colOff>12700</xdr:colOff>
                    <xdr:row>69</xdr:row>
                    <xdr:rowOff>0</xdr:rowOff>
                  </from>
                  <to>
                    <xdr:col>10</xdr:col>
                    <xdr:colOff>0</xdr:colOff>
                    <xdr:row>70</xdr:row>
                    <xdr:rowOff>12700</xdr:rowOff>
                  </to>
                </anchor>
              </controlPr>
            </control>
          </mc:Choice>
        </mc:AlternateContent>
        <mc:AlternateContent xmlns:mc="http://schemas.openxmlformats.org/markup-compatibility/2006">
          <mc:Choice Requires="x14">
            <control shapeId="32871" r:id="rId26" name="Drop Down 103">
              <controlPr defaultSize="0" autoLine="0" autoPict="0">
                <anchor moveWithCells="1">
                  <from>
                    <xdr:col>9</xdr:col>
                    <xdr:colOff>12700</xdr:colOff>
                    <xdr:row>70</xdr:row>
                    <xdr:rowOff>0</xdr:rowOff>
                  </from>
                  <to>
                    <xdr:col>10</xdr:col>
                    <xdr:colOff>0</xdr:colOff>
                    <xdr:row>71</xdr:row>
                    <xdr:rowOff>12700</xdr:rowOff>
                  </to>
                </anchor>
              </controlPr>
            </control>
          </mc:Choice>
        </mc:AlternateContent>
        <mc:AlternateContent xmlns:mc="http://schemas.openxmlformats.org/markup-compatibility/2006">
          <mc:Choice Requires="x14">
            <control shapeId="32872" r:id="rId27" name="Drop Down 104">
              <controlPr defaultSize="0" autoLine="0" autoPict="0">
                <anchor moveWithCells="1">
                  <from>
                    <xdr:col>9</xdr:col>
                    <xdr:colOff>12700</xdr:colOff>
                    <xdr:row>71</xdr:row>
                    <xdr:rowOff>0</xdr:rowOff>
                  </from>
                  <to>
                    <xdr:col>10</xdr:col>
                    <xdr:colOff>0</xdr:colOff>
                    <xdr:row>72</xdr:row>
                    <xdr:rowOff>12700</xdr:rowOff>
                  </to>
                </anchor>
              </controlPr>
            </control>
          </mc:Choice>
        </mc:AlternateContent>
        <mc:AlternateContent xmlns:mc="http://schemas.openxmlformats.org/markup-compatibility/2006">
          <mc:Choice Requires="x14">
            <control shapeId="32873" r:id="rId28" name="Drop Down 105">
              <controlPr defaultSize="0" autoLine="0" autoPict="0">
                <anchor moveWithCells="1">
                  <from>
                    <xdr:col>9</xdr:col>
                    <xdr:colOff>12700</xdr:colOff>
                    <xdr:row>72</xdr:row>
                    <xdr:rowOff>0</xdr:rowOff>
                  </from>
                  <to>
                    <xdr:col>10</xdr:col>
                    <xdr:colOff>0</xdr:colOff>
                    <xdr:row>73</xdr:row>
                    <xdr:rowOff>12700</xdr:rowOff>
                  </to>
                </anchor>
              </controlPr>
            </control>
          </mc:Choice>
        </mc:AlternateContent>
        <mc:AlternateContent xmlns:mc="http://schemas.openxmlformats.org/markup-compatibility/2006">
          <mc:Choice Requires="x14">
            <control shapeId="32874" r:id="rId29" name="Drop Down 106">
              <controlPr defaultSize="0" autoLine="0" autoPict="0">
                <anchor moveWithCells="1">
                  <from>
                    <xdr:col>9</xdr:col>
                    <xdr:colOff>12700</xdr:colOff>
                    <xdr:row>73</xdr:row>
                    <xdr:rowOff>0</xdr:rowOff>
                  </from>
                  <to>
                    <xdr:col>10</xdr:col>
                    <xdr:colOff>0</xdr:colOff>
                    <xdr:row>74</xdr:row>
                    <xdr:rowOff>12700</xdr:rowOff>
                  </to>
                </anchor>
              </controlPr>
            </control>
          </mc:Choice>
        </mc:AlternateContent>
        <mc:AlternateContent xmlns:mc="http://schemas.openxmlformats.org/markup-compatibility/2006">
          <mc:Choice Requires="x14">
            <control shapeId="32875" r:id="rId30" name="Drop Down 107">
              <controlPr defaultSize="0" autoLine="0" autoPict="0">
                <anchor moveWithCells="1">
                  <from>
                    <xdr:col>9</xdr:col>
                    <xdr:colOff>12700</xdr:colOff>
                    <xdr:row>74</xdr:row>
                    <xdr:rowOff>0</xdr:rowOff>
                  </from>
                  <to>
                    <xdr:col>10</xdr:col>
                    <xdr:colOff>0</xdr:colOff>
                    <xdr:row>75</xdr:row>
                    <xdr:rowOff>12700</xdr:rowOff>
                  </to>
                </anchor>
              </controlPr>
            </control>
          </mc:Choice>
        </mc:AlternateContent>
        <mc:AlternateContent xmlns:mc="http://schemas.openxmlformats.org/markup-compatibility/2006">
          <mc:Choice Requires="x14">
            <control shapeId="32876" r:id="rId31" name="Drop Down 108">
              <controlPr defaultSize="0" autoLine="0" autoPict="0">
                <anchor moveWithCells="1">
                  <from>
                    <xdr:col>9</xdr:col>
                    <xdr:colOff>12700</xdr:colOff>
                    <xdr:row>75</xdr:row>
                    <xdr:rowOff>0</xdr:rowOff>
                  </from>
                  <to>
                    <xdr:col>10</xdr:col>
                    <xdr:colOff>0</xdr:colOff>
                    <xdr:row>76</xdr:row>
                    <xdr:rowOff>12700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2">
    <tabColor rgb="FF7030A0"/>
  </sheetPr>
  <dimension ref="A1:G15"/>
  <sheetViews>
    <sheetView zoomScale="90" zoomScaleNormal="90" workbookViewId="0">
      <pane xSplit="1" ySplit="2" topLeftCell="B3" activePane="bottomRight" state="frozen"/>
      <selection activeCell="G28" sqref="G28"/>
      <selection pane="topRight" activeCell="G28" sqref="G28"/>
      <selection pane="bottomLeft" activeCell="G28" sqref="G28"/>
      <selection pane="bottomRight" sqref="A1:XFD1048576"/>
    </sheetView>
  </sheetViews>
  <sheetFormatPr defaultColWidth="9.1796875" defaultRowHeight="14.5" x14ac:dyDescent="0.35"/>
  <cols>
    <col min="1" max="1" width="6.36328125" style="1638" customWidth="1"/>
    <col min="2" max="2" width="20.453125" style="566" customWidth="1"/>
    <col min="3" max="3" width="87.1796875" style="556" customWidth="1"/>
    <col min="4" max="4" width="15.81640625" style="565" customWidth="1"/>
    <col min="5" max="5" width="17.453125" style="566" customWidth="1"/>
    <col min="6" max="6" width="18.6328125" style="556" customWidth="1"/>
    <col min="7" max="7" width="15.1796875" style="556" customWidth="1"/>
    <col min="8" max="16384" width="9.1796875" style="556"/>
  </cols>
  <sheetData>
    <row r="1" spans="1:7" ht="21" customHeight="1" thickBot="1" x14ac:dyDescent="0.4">
      <c r="A1" s="553"/>
      <c r="B1" s="1782" t="s">
        <v>821</v>
      </c>
      <c r="C1" s="1783"/>
      <c r="D1" s="1688" t="s">
        <v>8412</v>
      </c>
      <c r="E1" s="1689"/>
      <c r="F1" s="554" t="str">
        <f>LOOKUP(' Preparation'!$F$4,Data!$B$2:$B$194,Data!$C$2:$C$194)</f>
        <v>€ (Euro)</v>
      </c>
      <c r="G1" s="555"/>
    </row>
    <row r="2" spans="1:7" s="561" customFormat="1" ht="24" customHeight="1" thickBot="1" x14ac:dyDescent="0.4">
      <c r="A2" s="557" t="s">
        <v>82</v>
      </c>
      <c r="B2" s="558" t="s">
        <v>150</v>
      </c>
      <c r="C2" s="558" t="s">
        <v>822</v>
      </c>
      <c r="D2" s="558" t="s">
        <v>67</v>
      </c>
      <c r="E2" s="501" t="s">
        <v>8112</v>
      </c>
      <c r="F2" s="559" t="s">
        <v>149</v>
      </c>
      <c r="G2" s="560" t="s">
        <v>258</v>
      </c>
    </row>
    <row r="3" spans="1:7" s="561" customFormat="1" ht="60.5" customHeight="1" x14ac:dyDescent="0.35">
      <c r="A3" s="562"/>
      <c r="B3" s="563" t="s">
        <v>89</v>
      </c>
      <c r="C3" s="1780" t="s">
        <v>8926</v>
      </c>
      <c r="D3" s="1766"/>
      <c r="E3" s="1766"/>
      <c r="F3" s="1766"/>
      <c r="G3" s="1766"/>
    </row>
    <row r="4" spans="1:7" ht="29" x14ac:dyDescent="0.35">
      <c r="A4" s="564" t="s">
        <v>690</v>
      </c>
      <c r="B4" s="521" t="s">
        <v>29</v>
      </c>
      <c r="C4" s="556" t="s">
        <v>7430</v>
      </c>
      <c r="D4" s="565" t="s">
        <v>30</v>
      </c>
      <c r="E4" s="566" t="s">
        <v>823</v>
      </c>
      <c r="F4" s="567">
        <f ca="1">LOOKUP(' Preparation'!F6,Data!B2:B193,Data!J2:J194)</f>
        <v>0</v>
      </c>
      <c r="G4" s="568"/>
    </row>
    <row r="5" spans="1:7" ht="29" x14ac:dyDescent="0.35">
      <c r="A5" s="564" t="s">
        <v>691</v>
      </c>
      <c r="B5" s="521" t="s">
        <v>31</v>
      </c>
      <c r="C5" s="556" t="s">
        <v>8897</v>
      </c>
      <c r="D5" s="565" t="s">
        <v>30</v>
      </c>
      <c r="E5" s="566" t="s">
        <v>824</v>
      </c>
      <c r="F5" s="567" t="str">
        <f ca="1">LOOKUP(' Preparation'!F6,Data!B2:B193,Data!K2:K194)</f>
        <v>Select</v>
      </c>
      <c r="G5" s="568"/>
    </row>
    <row r="6" spans="1:7" ht="31" customHeight="1" x14ac:dyDescent="0.35">
      <c r="A6" s="564" t="s">
        <v>692</v>
      </c>
      <c r="B6" s="521" t="s">
        <v>31</v>
      </c>
      <c r="C6" s="556" t="s">
        <v>8898</v>
      </c>
      <c r="E6" s="566" t="s">
        <v>8899</v>
      </c>
      <c r="F6" s="1942">
        <v>3</v>
      </c>
      <c r="G6" s="568"/>
    </row>
    <row r="7" spans="1:7" ht="29" x14ac:dyDescent="0.35">
      <c r="A7" s="564" t="s">
        <v>693</v>
      </c>
      <c r="B7" s="521" t="s">
        <v>827</v>
      </c>
      <c r="C7" s="556" t="s">
        <v>828</v>
      </c>
      <c r="D7" s="565" t="s">
        <v>7118</v>
      </c>
      <c r="E7" s="566" t="s">
        <v>988</v>
      </c>
      <c r="F7" s="556">
        <v>3</v>
      </c>
    </row>
    <row r="8" spans="1:7" ht="23.5" customHeight="1" x14ac:dyDescent="0.35">
      <c r="A8" s="564" t="s">
        <v>694</v>
      </c>
      <c r="B8" s="521" t="s">
        <v>15</v>
      </c>
      <c r="C8" s="556" t="s">
        <v>8896</v>
      </c>
      <c r="D8" s="565" t="s">
        <v>7118</v>
      </c>
      <c r="E8" s="566" t="s">
        <v>753</v>
      </c>
      <c r="F8" s="556">
        <v>3</v>
      </c>
      <c r="G8" s="568" t="str">
        <f ca="1">IF(OR(AND($F$4&gt;63,$F$5="N",$F$6=3,$F$7=3),$F$8=2),"Goto CC 8",IF($F$6=1,"","Goto CC 6"))</f>
        <v>Goto CC 6</v>
      </c>
    </row>
    <row r="9" spans="1:7" ht="43.5" x14ac:dyDescent="0.35">
      <c r="A9" s="564" t="s">
        <v>695</v>
      </c>
      <c r="B9" s="521" t="s">
        <v>16</v>
      </c>
      <c r="C9" s="556" t="s">
        <v>8066</v>
      </c>
      <c r="D9" s="565" t="s">
        <v>987</v>
      </c>
      <c r="E9" s="566" t="s">
        <v>2197</v>
      </c>
      <c r="F9" s="1256"/>
    </row>
    <row r="10" spans="1:7" ht="36.75" customHeight="1" x14ac:dyDescent="0.35">
      <c r="A10" s="564" t="s">
        <v>696</v>
      </c>
      <c r="B10" s="521" t="s">
        <v>7431</v>
      </c>
      <c r="C10" s="556" t="s">
        <v>8068</v>
      </c>
      <c r="D10" s="565" t="s">
        <v>76</v>
      </c>
      <c r="E10" s="566" t="s">
        <v>8069</v>
      </c>
      <c r="F10" s="1943"/>
      <c r="G10" s="568" t="str">
        <f>IF($F$10=0,"Goto CC 8", "Goto CC 10")</f>
        <v>Goto CC 8</v>
      </c>
    </row>
    <row r="11" spans="1:7" ht="21" customHeight="1" x14ac:dyDescent="0.35">
      <c r="A11" s="564" t="s">
        <v>7434</v>
      </c>
      <c r="B11" s="521" t="s">
        <v>7436</v>
      </c>
      <c r="C11" s="556" t="s">
        <v>8179</v>
      </c>
      <c r="F11" s="568">
        <v>1</v>
      </c>
      <c r="G11" s="568"/>
    </row>
    <row r="12" spans="1:7" ht="19.5" customHeight="1" x14ac:dyDescent="0.35">
      <c r="A12" s="564" t="s">
        <v>7435</v>
      </c>
      <c r="B12" s="521" t="s">
        <v>7432</v>
      </c>
      <c r="C12" s="556" t="s">
        <v>8067</v>
      </c>
      <c r="D12" s="565" t="s">
        <v>7433</v>
      </c>
      <c r="E12" s="566" t="s">
        <v>8178</v>
      </c>
      <c r="F12" s="569">
        <f>LOOKUP($F$11,Data!$AN$2:$AN$74,Data!$AP$2:$AP$74)</f>
        <v>0</v>
      </c>
      <c r="G12" s="566"/>
    </row>
    <row r="13" spans="1:7" ht="15.75" customHeight="1" thickBot="1" x14ac:dyDescent="0.4">
      <c r="A13" s="564"/>
      <c r="B13" s="570"/>
    </row>
    <row r="14" spans="1:7" ht="30" thickTop="1" thickBot="1" x14ac:dyDescent="0.4">
      <c r="A14" s="564" t="s">
        <v>8900</v>
      </c>
      <c r="B14" s="571" t="s">
        <v>26</v>
      </c>
      <c r="C14" s="572" t="s">
        <v>7424</v>
      </c>
      <c r="D14" s="565" t="s">
        <v>91</v>
      </c>
      <c r="E14" s="566" t="s">
        <v>8353</v>
      </c>
      <c r="F14" s="573">
        <f ca="1">$F$9*IF(OR(AND($F$4&gt;63,$F$5="N",$F$7=3),$F$8=2),0,IF($F$10=0,$F$12*' Preparation'!$F$24,$F$10*' Preparation'!$F$24))</f>
        <v>0</v>
      </c>
    </row>
    <row r="15" spans="1:7" ht="15" thickTop="1" x14ac:dyDescent="0.35"/>
  </sheetData>
  <sheetProtection algorithmName="SHA-512" hashValue="PaPD0ikjEdttDWlaPAnu8bBoO4vTMnhOEPqWewGzoKt7dyjh3IcpuUNRymODO5xUVzXgKfFxQmT0Tb0OQ+xzPQ==" saltValue="5Qvx+s5VULIkcW4hiUy7gA==" spinCount="100000" sheet="1" selectLockedCells="1" selectUnlockedCells="1"/>
  <mergeCells count="3">
    <mergeCell ref="B1:C1"/>
    <mergeCell ref="C3:G3"/>
    <mergeCell ref="D1:E1"/>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Drop Down 1">
              <controlPr defaultSize="0" autoLine="0" autoPict="0">
                <anchor moveWithCells="1">
                  <from>
                    <xdr:col>5</xdr:col>
                    <xdr:colOff>12700</xdr:colOff>
                    <xdr:row>7</xdr:row>
                    <xdr:rowOff>12700</xdr:rowOff>
                  </from>
                  <to>
                    <xdr:col>6</xdr:col>
                    <xdr:colOff>0</xdr:colOff>
                    <xdr:row>8</xdr:row>
                    <xdr:rowOff>12700</xdr:rowOff>
                  </to>
                </anchor>
              </controlPr>
            </control>
          </mc:Choice>
        </mc:AlternateContent>
        <mc:AlternateContent xmlns:mc="http://schemas.openxmlformats.org/markup-compatibility/2006">
          <mc:Choice Requires="x14">
            <control shapeId="57346" r:id="rId5" name="Drop Down 2">
              <controlPr defaultSize="0" autoLine="0" autoPict="0">
                <anchor moveWithCells="1">
                  <from>
                    <xdr:col>5</xdr:col>
                    <xdr:colOff>12700</xdr:colOff>
                    <xdr:row>5</xdr:row>
                    <xdr:rowOff>393700</xdr:rowOff>
                  </from>
                  <to>
                    <xdr:col>6</xdr:col>
                    <xdr:colOff>12700</xdr:colOff>
                    <xdr:row>7</xdr:row>
                    <xdr:rowOff>0</xdr:rowOff>
                  </to>
                </anchor>
              </controlPr>
            </control>
          </mc:Choice>
        </mc:AlternateContent>
        <mc:AlternateContent xmlns:mc="http://schemas.openxmlformats.org/markup-compatibility/2006">
          <mc:Choice Requires="x14">
            <control shapeId="57348" r:id="rId6" name="Drop Down 4">
              <controlPr defaultSize="0" autoLine="0" autoPict="0">
                <anchor moveWithCells="1">
                  <from>
                    <xdr:col>4</xdr:col>
                    <xdr:colOff>25400</xdr:colOff>
                    <xdr:row>10</xdr:row>
                    <xdr:rowOff>12700</xdr:rowOff>
                  </from>
                  <to>
                    <xdr:col>8</xdr:col>
                    <xdr:colOff>114300</xdr:colOff>
                    <xdr:row>11</xdr:row>
                    <xdr:rowOff>0</xdr:rowOff>
                  </to>
                </anchor>
              </controlPr>
            </control>
          </mc:Choice>
        </mc:AlternateContent>
        <mc:AlternateContent xmlns:mc="http://schemas.openxmlformats.org/markup-compatibility/2006">
          <mc:Choice Requires="x14">
            <control shapeId="57350" r:id="rId7" name="Drop Down 6">
              <controlPr defaultSize="0" autoLine="0" autoPict="0">
                <anchor moveWithCells="1">
                  <from>
                    <xdr:col>5</xdr:col>
                    <xdr:colOff>12700</xdr:colOff>
                    <xdr:row>5</xdr:row>
                    <xdr:rowOff>12700</xdr:rowOff>
                  </from>
                  <to>
                    <xdr:col>6</xdr:col>
                    <xdr:colOff>0</xdr:colOff>
                    <xdr:row>6</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B050"/>
  </sheetPr>
  <dimension ref="A1:AH45"/>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6.453125" style="1638" customWidth="1"/>
    <col min="2" max="2" width="17.453125" style="556" customWidth="1"/>
    <col min="3" max="3" width="91.6328125" style="556" customWidth="1"/>
    <col min="4" max="4" width="16.453125" style="556" customWidth="1"/>
    <col min="5" max="5" width="19.6328125" style="1644" customWidth="1"/>
    <col min="6" max="6" width="18.81640625" style="556" customWidth="1"/>
    <col min="7" max="7" width="14.453125" style="556" customWidth="1"/>
    <col min="8" max="8" width="9.1796875" style="556"/>
    <col min="9" max="9" width="9.453125" style="556" customWidth="1"/>
    <col min="10" max="10" width="35.81640625" style="556" customWidth="1"/>
    <col min="11" max="11" width="14" style="1102" customWidth="1"/>
    <col min="12" max="12" width="20.1796875" style="1102" customWidth="1"/>
    <col min="13" max="13" width="11.453125" style="1444" customWidth="1"/>
    <col min="14" max="14" width="18.6328125" style="1378" customWidth="1"/>
    <col min="15" max="15" width="12.453125" style="1443" customWidth="1"/>
    <col min="16" max="16" width="19.453125" style="556" customWidth="1"/>
    <col min="17" max="17" width="11.36328125" style="556" customWidth="1"/>
    <col min="18" max="18" width="7.36328125" style="1378" customWidth="1"/>
    <col min="19" max="19" width="13.453125" style="1337" customWidth="1"/>
    <col min="20" max="20" width="35.81640625" style="1337" customWidth="1"/>
    <col min="21" max="21" width="14.81640625" style="1378" customWidth="1"/>
    <col min="22" max="22" width="14.453125" style="1337" customWidth="1"/>
    <col min="23" max="23" width="12.453125" style="1378" customWidth="1"/>
    <col min="24" max="24" width="15.1796875" style="1378" customWidth="1"/>
    <col min="25" max="25" width="12.453125" style="1337" customWidth="1"/>
    <col min="26" max="26" width="16.453125" style="556" customWidth="1"/>
    <col min="27" max="27" width="12.453125" style="556" customWidth="1"/>
    <col min="28" max="30" width="14.453125" style="1378" customWidth="1"/>
    <col min="31" max="31" width="15.453125" style="1378" customWidth="1"/>
    <col min="32" max="32" width="13.453125" style="1337" customWidth="1"/>
    <col min="33" max="33" width="15" style="1378" customWidth="1"/>
    <col min="34" max="34" width="10.453125" style="1378" customWidth="1"/>
    <col min="35" max="16384" width="9.1796875" style="556"/>
  </cols>
  <sheetData>
    <row r="1" spans="1:27" ht="28.5" customHeight="1" thickBot="1" x14ac:dyDescent="0.4">
      <c r="A1" s="1193"/>
      <c r="B1" s="1790" t="s">
        <v>7357</v>
      </c>
      <c r="C1" s="1790"/>
      <c r="D1" s="1703" t="s">
        <v>8414</v>
      </c>
      <c r="E1" s="1704"/>
      <c r="F1" s="554" t="str">
        <f>LOOKUP(' Preparation'!$F$4,Data!$B$2:$B$194,Data!$C$2:$C$194)</f>
        <v>€ (Euro)</v>
      </c>
      <c r="G1" s="1429"/>
      <c r="K1" s="1703" t="s">
        <v>8414</v>
      </c>
      <c r="L1" s="1704"/>
      <c r="M1" s="1731" t="str">
        <f>LOOKUP(' Preparation'!$F$4,Data!$B$2:$B$194,Data!$C$2:$C$194)</f>
        <v>€ (Euro)</v>
      </c>
      <c r="N1" s="1732"/>
      <c r="O1" s="1337"/>
      <c r="P1" s="1378"/>
      <c r="Q1" s="1378"/>
      <c r="R1" s="556"/>
      <c r="S1" s="556"/>
      <c r="T1" s="556"/>
      <c r="U1" s="1703" t="s">
        <v>8414</v>
      </c>
      <c r="V1" s="1704"/>
      <c r="W1" s="1731" t="str">
        <f>LOOKUP(' Preparation'!$F$4,Data!$B$2:$B$194,Data!$C$2:$C$194)</f>
        <v>€ (Euro)</v>
      </c>
      <c r="X1" s="1732"/>
      <c r="Z1" s="1378"/>
      <c r="AA1" s="1378"/>
    </row>
    <row r="2" spans="1:27" s="561" customFormat="1" ht="21" customHeight="1" thickBot="1" x14ac:dyDescent="0.4">
      <c r="A2" s="1181" t="s">
        <v>82</v>
      </c>
      <c r="B2" s="1182" t="s">
        <v>150</v>
      </c>
      <c r="C2" s="1182" t="s">
        <v>811</v>
      </c>
      <c r="D2" s="1182" t="s">
        <v>67</v>
      </c>
      <c r="E2" s="1394" t="s">
        <v>8112</v>
      </c>
      <c r="F2" s="1370" t="s">
        <v>149</v>
      </c>
      <c r="G2" s="1183" t="s">
        <v>258</v>
      </c>
      <c r="I2" s="1750" t="s">
        <v>7567</v>
      </c>
      <c r="J2" s="1751"/>
      <c r="K2" s="1751"/>
      <c r="L2" s="1751"/>
      <c r="M2" s="1751"/>
      <c r="N2" s="1751"/>
      <c r="O2" s="1751"/>
      <c r="P2" s="1751"/>
      <c r="Q2" s="1756"/>
      <c r="S2" s="1750" t="s">
        <v>7568</v>
      </c>
      <c r="T2" s="1751"/>
      <c r="U2" s="1751"/>
      <c r="V2" s="1751"/>
      <c r="W2" s="1751"/>
      <c r="X2" s="1751"/>
      <c r="Y2" s="1751"/>
      <c r="Z2" s="1751"/>
      <c r="AA2" s="1756"/>
    </row>
    <row r="3" spans="1:27" s="561" customFormat="1" ht="46.5" customHeight="1" thickBot="1" x14ac:dyDescent="0.4">
      <c r="A3" s="1154"/>
      <c r="B3" s="1430" t="s">
        <v>89</v>
      </c>
      <c r="C3" s="1728" t="s">
        <v>8691</v>
      </c>
      <c r="D3" s="1729"/>
      <c r="E3" s="1729"/>
      <c r="F3" s="1729"/>
      <c r="G3" s="1805"/>
      <c r="I3" s="1431" t="s">
        <v>82</v>
      </c>
      <c r="J3" s="754" t="s">
        <v>8313</v>
      </c>
      <c r="K3" s="688" t="s">
        <v>8047</v>
      </c>
      <c r="L3" s="690" t="s">
        <v>8570</v>
      </c>
      <c r="M3" s="688" t="s">
        <v>8048</v>
      </c>
      <c r="N3" s="688" t="s">
        <v>8587</v>
      </c>
      <c r="O3" s="690" t="s">
        <v>8680</v>
      </c>
      <c r="P3" s="688" t="s">
        <v>8588</v>
      </c>
      <c r="Q3" s="1115" t="s">
        <v>8586</v>
      </c>
      <c r="S3" s="1431" t="s">
        <v>82</v>
      </c>
      <c r="T3" s="754" t="s">
        <v>8313</v>
      </c>
      <c r="U3" s="688" t="s">
        <v>8049</v>
      </c>
      <c r="V3" s="690" t="s">
        <v>8051</v>
      </c>
      <c r="W3" s="688" t="s">
        <v>8050</v>
      </c>
      <c r="X3" s="688" t="s">
        <v>8566</v>
      </c>
      <c r="Y3" s="690" t="s">
        <v>8680</v>
      </c>
      <c r="Z3" s="688" t="s">
        <v>8567</v>
      </c>
      <c r="AA3" s="1115" t="s">
        <v>8568</v>
      </c>
    </row>
    <row r="4" spans="1:27" ht="32.25" customHeight="1" x14ac:dyDescent="0.35">
      <c r="A4" s="564" t="s">
        <v>7533</v>
      </c>
      <c r="B4" s="521" t="s">
        <v>35</v>
      </c>
      <c r="C4" s="556" t="s">
        <v>7559</v>
      </c>
      <c r="D4" s="556" t="s">
        <v>69</v>
      </c>
      <c r="E4" s="1636" t="s">
        <v>7570</v>
      </c>
      <c r="F4" s="556">
        <v>1</v>
      </c>
      <c r="G4" s="407" t="str">
        <f>IF($F$4=1,"",IF($F$4=2,"Goto UD 2","Goto UD 6"))</f>
        <v/>
      </c>
      <c r="I4" s="1113">
        <v>1</v>
      </c>
      <c r="J4" s="1944">
        <v>1</v>
      </c>
      <c r="K4" s="1906"/>
      <c r="L4" s="1943"/>
      <c r="M4" s="1119">
        <f t="shared" ref="M4:M14" si="0">(1-L4)*K4</f>
        <v>0</v>
      </c>
      <c r="N4" s="1906"/>
      <c r="O4" s="1943"/>
      <c r="P4" s="1119">
        <f>M4*LOOKUP(J4, 'Idemat Data'!$G$1:$G$1120,'Idemat Data'!$P$1:$P$1120)</f>
        <v>0</v>
      </c>
      <c r="Q4" s="1119">
        <f>(O4*N4)+(1-O4)*P4</f>
        <v>0</v>
      </c>
      <c r="R4" s="556"/>
      <c r="S4" s="1113">
        <v>1</v>
      </c>
      <c r="T4" s="1944">
        <v>1</v>
      </c>
      <c r="U4" s="1906"/>
      <c r="V4" s="1943"/>
      <c r="W4" s="1119">
        <f t="shared" ref="W4:W14" si="1">(1-V4)*U4</f>
        <v>0</v>
      </c>
      <c r="X4" s="1906"/>
      <c r="Y4" s="1943"/>
      <c r="Z4" s="1119">
        <f>W4*LOOKUP(T4, 'Idemat Data'!$G$1:$G$1120,'Idemat Data'!$P$1:$P$1120)</f>
        <v>0</v>
      </c>
      <c r="AA4" s="1119">
        <f>(Y4*X4)+(1-Y4)*Z4</f>
        <v>0</v>
      </c>
    </row>
    <row r="5" spans="1:27" ht="24.75" customHeight="1" thickBot="1" x14ac:dyDescent="0.4">
      <c r="A5" s="564" t="s">
        <v>7549</v>
      </c>
      <c r="B5" s="521" t="s">
        <v>7527</v>
      </c>
      <c r="C5" s="556" t="s">
        <v>7528</v>
      </c>
      <c r="D5" s="565" t="s">
        <v>69</v>
      </c>
      <c r="E5" s="1636" t="s">
        <v>7527</v>
      </c>
      <c r="F5" s="1638">
        <v>1</v>
      </c>
      <c r="G5" s="407"/>
      <c r="I5" s="1120">
        <v>2</v>
      </c>
      <c r="J5" s="1911">
        <v>1</v>
      </c>
      <c r="K5" s="1906"/>
      <c r="L5" s="1943"/>
      <c r="M5" s="1119">
        <f t="shared" si="0"/>
        <v>0</v>
      </c>
      <c r="N5" s="1906"/>
      <c r="O5" s="1943"/>
      <c r="P5" s="1119">
        <f>M5*LOOKUP(J5, 'Idemat Data'!$G$1:$G$1120,'Idemat Data'!$P$1:$P$1120)</f>
        <v>0</v>
      </c>
      <c r="Q5" s="1119">
        <f t="shared" ref="Q5:Q14" si="2">(O5*N5)+(1-O5)*P5</f>
        <v>0</v>
      </c>
      <c r="R5" s="556"/>
      <c r="S5" s="1120">
        <v>2</v>
      </c>
      <c r="T5" s="1911">
        <v>1</v>
      </c>
      <c r="U5" s="1906"/>
      <c r="V5" s="1943"/>
      <c r="W5" s="1119">
        <f t="shared" si="1"/>
        <v>0</v>
      </c>
      <c r="X5" s="1906"/>
      <c r="Y5" s="1943"/>
      <c r="Z5" s="1119">
        <f>W5*LOOKUP(T5, 'Idemat Data'!$G$1:$G$1120,'Idemat Data'!$P$1:$P$1120)</f>
        <v>0</v>
      </c>
      <c r="AA5" s="1119">
        <f t="shared" ref="AA5:AA14" si="3">(Y5*X5)+(1-Y5)*Z5</f>
        <v>0</v>
      </c>
    </row>
    <row r="6" spans="1:27" ht="61" customHeight="1" thickBot="1" x14ac:dyDescent="0.4">
      <c r="A6" s="564" t="s">
        <v>7552</v>
      </c>
      <c r="B6" s="521" t="s">
        <v>7553</v>
      </c>
      <c r="C6" s="1186" t="s">
        <v>8683</v>
      </c>
      <c r="D6" s="1303" t="s">
        <v>8311</v>
      </c>
      <c r="E6" s="1163" t="str">
        <f>IF(F5=3,"Background Depleted quantities (kg/hour of use","Background Depleted quantities (kg/km of use")</f>
        <v>Background Depleted quantities (kg/km of use</v>
      </c>
      <c r="F6" s="1432" t="s">
        <v>8052</v>
      </c>
      <c r="G6" s="407"/>
      <c r="I6" s="1120">
        <v>3</v>
      </c>
      <c r="J6" s="1912">
        <v>1</v>
      </c>
      <c r="K6" s="1906"/>
      <c r="L6" s="1943"/>
      <c r="M6" s="1119">
        <f t="shared" si="0"/>
        <v>0</v>
      </c>
      <c r="N6" s="1906"/>
      <c r="O6" s="1943"/>
      <c r="P6" s="1119">
        <f>M6*LOOKUP(J6, 'Idemat Data'!$G$1:$G$1120,'Idemat Data'!$P$1:$P$1120)</f>
        <v>0</v>
      </c>
      <c r="Q6" s="1119">
        <f t="shared" si="2"/>
        <v>0</v>
      </c>
      <c r="R6" s="556"/>
      <c r="S6" s="1120">
        <v>3</v>
      </c>
      <c r="T6" s="1912">
        <v>1</v>
      </c>
      <c r="U6" s="1906"/>
      <c r="V6" s="1943"/>
      <c r="W6" s="1119">
        <f t="shared" si="1"/>
        <v>0</v>
      </c>
      <c r="X6" s="1906"/>
      <c r="Y6" s="1943"/>
      <c r="Z6" s="1119">
        <f>W6*LOOKUP(T6, 'Idemat Data'!$G$1:$G$1120,'Idemat Data'!$P$1:$P$1120)</f>
        <v>0</v>
      </c>
      <c r="AA6" s="1119">
        <f t="shared" si="3"/>
        <v>0</v>
      </c>
    </row>
    <row r="7" spans="1:27" ht="43.5" customHeight="1" thickBot="1" x14ac:dyDescent="0.4">
      <c r="A7" s="564" t="s">
        <v>7554</v>
      </c>
      <c r="B7" s="521" t="s">
        <v>8571</v>
      </c>
      <c r="C7" s="522" t="s">
        <v>8589</v>
      </c>
      <c r="D7" s="1117" t="s">
        <v>69</v>
      </c>
      <c r="E7" s="1163" t="str">
        <f>IF(F5=3,"Mitigation Costs (ESCU's/hour of use) and %","Mitigation Costs (ESCU's/km of use) and %")</f>
        <v>Mitigation Costs (ESCU's/km of use) and %</v>
      </c>
      <c r="F7" s="1432" t="s">
        <v>7586</v>
      </c>
      <c r="G7" s="407"/>
      <c r="I7" s="1120">
        <v>4</v>
      </c>
      <c r="J7" s="1911">
        <v>1</v>
      </c>
      <c r="K7" s="1906"/>
      <c r="L7" s="1943"/>
      <c r="M7" s="1119"/>
      <c r="N7" s="1906"/>
      <c r="O7" s="1943"/>
      <c r="P7" s="1119"/>
      <c r="Q7" s="1119"/>
      <c r="R7" s="556"/>
      <c r="S7" s="1120">
        <v>4</v>
      </c>
      <c r="T7" s="1911">
        <v>1</v>
      </c>
      <c r="U7" s="1906"/>
      <c r="V7" s="1943"/>
      <c r="W7" s="1119">
        <f t="shared" si="1"/>
        <v>0</v>
      </c>
      <c r="X7" s="1906"/>
      <c r="Y7" s="1943"/>
      <c r="Z7" s="1119">
        <f>W7*LOOKUP(T7, 'Idemat Data'!$G$1:$G$1120,'Idemat Data'!$P$1:$P$1120)</f>
        <v>0</v>
      </c>
      <c r="AA7" s="1119">
        <f>(Y7*X7)+(1-Y7)*Z7</f>
        <v>0</v>
      </c>
    </row>
    <row r="8" spans="1:27" ht="45.75" customHeight="1" thickBot="1" x14ac:dyDescent="0.4">
      <c r="A8" s="564" t="s">
        <v>7556</v>
      </c>
      <c r="B8" s="521" t="s">
        <v>7566</v>
      </c>
      <c r="C8" s="522" t="s">
        <v>8590</v>
      </c>
      <c r="D8" s="1117" t="s">
        <v>7558</v>
      </c>
      <c r="E8" s="1433" t="s">
        <v>8448</v>
      </c>
      <c r="F8" s="1432" t="s">
        <v>7586</v>
      </c>
      <c r="G8" s="407"/>
      <c r="I8" s="1128">
        <v>5</v>
      </c>
      <c r="J8" s="1911">
        <v>1</v>
      </c>
      <c r="K8" s="1906"/>
      <c r="L8" s="1943"/>
      <c r="M8" s="1119">
        <f t="shared" si="0"/>
        <v>0</v>
      </c>
      <c r="N8" s="1906"/>
      <c r="O8" s="1943"/>
      <c r="P8" s="1119">
        <f>M8*LOOKUP(J8, 'Idemat Data'!$G$1:$G$1120,'Idemat Data'!$P$1:$P$1120)</f>
        <v>0</v>
      </c>
      <c r="Q8" s="1119">
        <f t="shared" si="2"/>
        <v>0</v>
      </c>
      <c r="R8" s="556"/>
      <c r="S8" s="1128">
        <v>5</v>
      </c>
      <c r="T8" s="1911">
        <v>1</v>
      </c>
      <c r="U8" s="1906"/>
      <c r="V8" s="1943"/>
      <c r="W8" s="1119">
        <f t="shared" si="1"/>
        <v>0</v>
      </c>
      <c r="X8" s="1906"/>
      <c r="Y8" s="1943"/>
      <c r="Z8" s="1119">
        <f>W8*LOOKUP(T8, 'Idemat Data'!$G$1:$G$1120,'Idemat Data'!$P$1:$P$1120)</f>
        <v>0</v>
      </c>
      <c r="AA8" s="1119">
        <f t="shared" si="3"/>
        <v>0</v>
      </c>
    </row>
    <row r="9" spans="1:27" ht="45.75" customHeight="1" thickTop="1" thickBot="1" x14ac:dyDescent="0.4">
      <c r="A9" s="1434" t="s">
        <v>7557</v>
      </c>
      <c r="B9" s="1435" t="s">
        <v>272</v>
      </c>
      <c r="C9" s="558" t="s">
        <v>7584</v>
      </c>
      <c r="D9" s="1436"/>
      <c r="E9" s="1437" t="s">
        <v>8449</v>
      </c>
      <c r="F9" s="1174" t="str">
        <f>IF($F$4=1,"",' Preparation'!F25 * IF($F$5=2,$AA$16,$Q$16))</f>
        <v/>
      </c>
      <c r="G9" s="1438"/>
      <c r="I9" s="1128">
        <v>6</v>
      </c>
      <c r="J9" s="1911">
        <v>1</v>
      </c>
      <c r="K9" s="1906"/>
      <c r="L9" s="1943"/>
      <c r="M9" s="1119">
        <f t="shared" si="0"/>
        <v>0</v>
      </c>
      <c r="N9" s="1906"/>
      <c r="O9" s="1943"/>
      <c r="P9" s="1119">
        <f>M9*LOOKUP(J9, 'Idemat Data'!$G$1:$G$1120,'Idemat Data'!$P$1:$P$1120)</f>
        <v>0</v>
      </c>
      <c r="Q9" s="1119">
        <f t="shared" si="2"/>
        <v>0</v>
      </c>
      <c r="R9" s="556"/>
      <c r="S9" s="1128">
        <v>6</v>
      </c>
      <c r="T9" s="1911">
        <v>1</v>
      </c>
      <c r="U9" s="1906"/>
      <c r="V9" s="1906"/>
      <c r="W9" s="1119">
        <f t="shared" si="1"/>
        <v>0</v>
      </c>
      <c r="X9" s="1906"/>
      <c r="Y9" s="1943"/>
      <c r="Z9" s="1119">
        <f>W9*LOOKUP(T9, 'Idemat Data'!$G$1:$G$1120,'Idemat Data'!$P$1:$P$1120)</f>
        <v>0</v>
      </c>
      <c r="AA9" s="1119">
        <f t="shared" si="3"/>
        <v>0</v>
      </c>
    </row>
    <row r="10" spans="1:27" ht="27" customHeight="1" x14ac:dyDescent="0.35">
      <c r="A10" s="556"/>
      <c r="I10" s="1120">
        <v>7</v>
      </c>
      <c r="J10" s="1915">
        <v>1</v>
      </c>
      <c r="K10" s="1906"/>
      <c r="L10" s="1943"/>
      <c r="M10" s="1119">
        <f t="shared" si="0"/>
        <v>0</v>
      </c>
      <c r="N10" s="1906"/>
      <c r="O10" s="1943"/>
      <c r="P10" s="1119">
        <f>M10*LOOKUP(J10, 'Idemat Data'!$G$1:$G$1120,'Idemat Data'!$P$1:$P$1120)</f>
        <v>0</v>
      </c>
      <c r="Q10" s="1119">
        <f t="shared" si="2"/>
        <v>0</v>
      </c>
      <c r="R10" s="556"/>
      <c r="S10" s="1120">
        <v>7</v>
      </c>
      <c r="T10" s="1915">
        <v>1</v>
      </c>
      <c r="U10" s="1906"/>
      <c r="V10" s="1906"/>
      <c r="W10" s="1119">
        <f t="shared" si="1"/>
        <v>0</v>
      </c>
      <c r="X10" s="1906"/>
      <c r="Y10" s="1943"/>
      <c r="Z10" s="1119">
        <f>W10*LOOKUP(T10, 'Idemat Data'!$G$1:$G$1120,'Idemat Data'!$P$1:$P$1120)</f>
        <v>0</v>
      </c>
      <c r="AA10" s="1119">
        <f t="shared" si="3"/>
        <v>0</v>
      </c>
    </row>
    <row r="11" spans="1:27" ht="21.75" customHeight="1" x14ac:dyDescent="0.35">
      <c r="A11" s="1767" t="s">
        <v>7571</v>
      </c>
      <c r="B11" s="1767"/>
      <c r="C11" s="1767"/>
      <c r="D11" s="1767"/>
      <c r="E11" s="1632"/>
      <c r="F11" s="1632"/>
      <c r="G11" s="1632"/>
      <c r="I11" s="1120">
        <v>8</v>
      </c>
      <c r="J11" s="1102">
        <v>1</v>
      </c>
      <c r="K11" s="1906"/>
      <c r="L11" s="1943"/>
      <c r="M11" s="1119">
        <f t="shared" si="0"/>
        <v>0</v>
      </c>
      <c r="N11" s="1906"/>
      <c r="O11" s="1943"/>
      <c r="P11" s="1119">
        <f>M11*LOOKUP(J11, 'Idemat Data'!$G$1:$G$1120,'Idemat Data'!$P$1:$P$1120)</f>
        <v>0</v>
      </c>
      <c r="Q11" s="1119">
        <f t="shared" si="2"/>
        <v>0</v>
      </c>
      <c r="R11" s="556"/>
      <c r="S11" s="1120">
        <v>8</v>
      </c>
      <c r="T11" s="1102">
        <v>1</v>
      </c>
      <c r="U11" s="1906"/>
      <c r="V11" s="1906"/>
      <c r="W11" s="1119">
        <f t="shared" si="1"/>
        <v>0</v>
      </c>
      <c r="X11" s="1906"/>
      <c r="Y11" s="1943"/>
      <c r="Z11" s="1119">
        <f>W11*LOOKUP(T11, 'Idemat Data'!$G$1:$G$1120,'Idemat Data'!$P$1:$P$1120)</f>
        <v>0</v>
      </c>
      <c r="AA11" s="1119">
        <f t="shared" si="3"/>
        <v>0</v>
      </c>
    </row>
    <row r="12" spans="1:27" ht="32.5" customHeight="1" thickBot="1" x14ac:dyDescent="0.4">
      <c r="A12" s="564" t="s">
        <v>7573</v>
      </c>
      <c r="B12" s="521" t="s">
        <v>7577</v>
      </c>
      <c r="C12" s="556" t="s">
        <v>8053</v>
      </c>
      <c r="D12" s="556" t="s">
        <v>76</v>
      </c>
      <c r="E12" s="1641" t="s">
        <v>7578</v>
      </c>
      <c r="F12" s="556">
        <v>1</v>
      </c>
      <c r="G12" s="407" t="str">
        <f>IF($F$12=1,"",IF($F$12=2,"Goto UW 2","Goto UW 7"))</f>
        <v/>
      </c>
      <c r="I12" s="1120">
        <v>9</v>
      </c>
      <c r="J12" s="1102">
        <v>1</v>
      </c>
      <c r="K12" s="1906"/>
      <c r="L12" s="1943"/>
      <c r="M12" s="1119">
        <f t="shared" si="0"/>
        <v>0</v>
      </c>
      <c r="N12" s="1906"/>
      <c r="O12" s="1943"/>
      <c r="P12" s="1119">
        <f>M12*LOOKUP(J12, 'Idemat Data'!$G$1:$G$1120,'Idemat Data'!$P$1:$P$1120)</f>
        <v>0</v>
      </c>
      <c r="Q12" s="1119">
        <f t="shared" si="2"/>
        <v>0</v>
      </c>
      <c r="R12" s="556"/>
      <c r="S12" s="1120">
        <v>9</v>
      </c>
      <c r="T12" s="1102">
        <v>1</v>
      </c>
      <c r="U12" s="1906"/>
      <c r="V12" s="1906"/>
      <c r="W12" s="1119">
        <f t="shared" si="1"/>
        <v>0</v>
      </c>
      <c r="X12" s="1906"/>
      <c r="Y12" s="1943"/>
      <c r="Z12" s="1119">
        <f>W12*LOOKUP(T12, 'Idemat Data'!$G$1:$G$1120,'Idemat Data'!$P$1:$P$1120)</f>
        <v>0</v>
      </c>
      <c r="AA12" s="1119">
        <f t="shared" si="3"/>
        <v>0</v>
      </c>
    </row>
    <row r="13" spans="1:27" ht="49" customHeight="1" thickBot="1" x14ac:dyDescent="0.4">
      <c r="A13" s="564" t="s">
        <v>7574</v>
      </c>
      <c r="B13" s="521" t="s">
        <v>8057</v>
      </c>
      <c r="C13" s="556" t="s">
        <v>8591</v>
      </c>
      <c r="D13" s="556" t="s">
        <v>76</v>
      </c>
      <c r="E13" s="1641" t="s">
        <v>8054</v>
      </c>
      <c r="F13" s="1432" t="s">
        <v>8058</v>
      </c>
      <c r="G13" s="407"/>
      <c r="I13" s="1120">
        <v>10</v>
      </c>
      <c r="J13" s="1102">
        <v>1</v>
      </c>
      <c r="K13" s="1906"/>
      <c r="L13" s="1943"/>
      <c r="M13" s="1119">
        <f t="shared" si="0"/>
        <v>0</v>
      </c>
      <c r="N13" s="1906"/>
      <c r="O13" s="1943"/>
      <c r="P13" s="1119">
        <f>M13*LOOKUP(J13, 'Idemat Data'!$G$1:$G$1120,'Idemat Data'!$P$1:$P$1120)</f>
        <v>0</v>
      </c>
      <c r="Q13" s="1119">
        <f t="shared" si="2"/>
        <v>0</v>
      </c>
      <c r="R13" s="556"/>
      <c r="S13" s="1120">
        <v>10</v>
      </c>
      <c r="T13" s="1102">
        <v>1</v>
      </c>
      <c r="U13" s="1906"/>
      <c r="V13" s="1906"/>
      <c r="W13" s="1119">
        <f t="shared" si="1"/>
        <v>0</v>
      </c>
      <c r="X13" s="1906"/>
      <c r="Y13" s="1943"/>
      <c r="Z13" s="1119">
        <f>W13*LOOKUP(T13, 'Idemat Data'!$G$1:$G$1120,'Idemat Data'!$P$1:$P$1120)</f>
        <v>0</v>
      </c>
      <c r="AA13" s="1119">
        <f t="shared" si="3"/>
        <v>0</v>
      </c>
    </row>
    <row r="14" spans="1:27" ht="29.5" customHeight="1" thickBot="1" x14ac:dyDescent="0.4">
      <c r="A14" s="564" t="s">
        <v>7575</v>
      </c>
      <c r="B14" s="524" t="s">
        <v>8593</v>
      </c>
      <c r="C14" s="525" t="s">
        <v>8572</v>
      </c>
      <c r="D14" s="1117"/>
      <c r="E14" s="1163" t="s">
        <v>112</v>
      </c>
      <c r="F14" s="1439">
        <v>1</v>
      </c>
      <c r="G14" s="1440"/>
      <c r="I14" s="1129">
        <v>11</v>
      </c>
      <c r="J14" s="1102">
        <v>1</v>
      </c>
      <c r="K14" s="1906"/>
      <c r="L14" s="1943"/>
      <c r="M14" s="1441">
        <f t="shared" si="0"/>
        <v>0</v>
      </c>
      <c r="N14" s="1945"/>
      <c r="O14" s="1946"/>
      <c r="P14" s="1119">
        <f>M14*LOOKUP(J14, 'Idemat Data'!$G$1:$G$1120,'Idemat Data'!$P$1:$P$1120)</f>
        <v>0</v>
      </c>
      <c r="Q14" s="1441">
        <f t="shared" si="2"/>
        <v>0</v>
      </c>
      <c r="R14" s="556"/>
      <c r="S14" s="1129">
        <v>11</v>
      </c>
      <c r="T14" s="1102">
        <v>1</v>
      </c>
      <c r="U14" s="1906"/>
      <c r="V14" s="1906"/>
      <c r="W14" s="1119">
        <f t="shared" si="1"/>
        <v>0</v>
      </c>
      <c r="X14" s="1906"/>
      <c r="Y14" s="1943"/>
      <c r="Z14" s="1119">
        <f>W14*LOOKUP(T14, 'Idemat Data'!$G$1:$G$1120,'Idemat Data'!$P$1:$P$1120)</f>
        <v>0</v>
      </c>
      <c r="AA14" s="1119">
        <f t="shared" si="3"/>
        <v>0</v>
      </c>
    </row>
    <row r="15" spans="1:27" ht="27.75" customHeight="1" thickBot="1" x14ac:dyDescent="0.4">
      <c r="A15" s="564"/>
      <c r="B15" s="1442" t="s">
        <v>8594</v>
      </c>
      <c r="C15" s="525" t="s">
        <v>8082</v>
      </c>
      <c r="D15" s="1117"/>
      <c r="E15" s="1163" t="s">
        <v>8085</v>
      </c>
      <c r="F15" s="683"/>
      <c r="G15" s="407"/>
      <c r="I15" s="1130"/>
      <c r="J15" s="1102"/>
      <c r="K15" s="1103"/>
      <c r="L15" s="1443"/>
      <c r="M15" s="1443"/>
      <c r="O15" s="1337"/>
      <c r="P15" s="1378"/>
      <c r="Q15" s="1378"/>
      <c r="R15" s="556"/>
      <c r="S15" s="1130"/>
      <c r="T15" s="1102"/>
      <c r="U15" s="1103"/>
      <c r="V15" s="1103"/>
      <c r="W15" s="1103"/>
      <c r="Z15" s="1378"/>
      <c r="AA15" s="1378"/>
    </row>
    <row r="16" spans="1:27" ht="33.75" customHeight="1" thickTop="1" thickBot="1" x14ac:dyDescent="0.4">
      <c r="A16" s="564"/>
      <c r="B16" s="1442" t="s">
        <v>8595</v>
      </c>
      <c r="C16" s="525" t="s">
        <v>8083</v>
      </c>
      <c r="D16" s="1117"/>
      <c r="E16" s="1163" t="s">
        <v>8084</v>
      </c>
      <c r="F16" s="1858"/>
      <c r="G16" s="407"/>
      <c r="K16" s="1378"/>
      <c r="L16" s="1337"/>
      <c r="M16" s="1337"/>
      <c r="N16" s="1801" t="s">
        <v>7221</v>
      </c>
      <c r="O16" s="1802"/>
      <c r="P16" s="1803"/>
      <c r="Q16" s="1050">
        <f>SUM(Q4:Q14)</f>
        <v>0</v>
      </c>
      <c r="R16" s="556"/>
      <c r="S16" s="1130"/>
      <c r="T16" s="1102"/>
      <c r="U16" s="1103"/>
      <c r="V16" s="1103"/>
      <c r="W16" s="1103"/>
      <c r="X16" s="1801" t="s">
        <v>7221</v>
      </c>
      <c r="Y16" s="1802"/>
      <c r="Z16" s="1804"/>
      <c r="AA16" s="1050">
        <f>SUM(AA4:AA14)</f>
        <v>0</v>
      </c>
    </row>
    <row r="17" spans="1:15" ht="25" customHeight="1" thickTop="1" thickBot="1" x14ac:dyDescent="0.4">
      <c r="A17" s="564"/>
      <c r="B17" s="1442" t="s">
        <v>8596</v>
      </c>
      <c r="C17" s="525" t="s">
        <v>8573</v>
      </c>
      <c r="D17" s="1117"/>
      <c r="E17" s="1163" t="s">
        <v>8086</v>
      </c>
      <c r="F17" s="1858"/>
      <c r="G17" s="407"/>
      <c r="O17" s="1337"/>
    </row>
    <row r="18" spans="1:15" ht="54.75" customHeight="1" thickBot="1" x14ac:dyDescent="0.4">
      <c r="A18" s="564" t="s">
        <v>7576</v>
      </c>
      <c r="B18" s="521" t="s">
        <v>68</v>
      </c>
      <c r="C18" s="727" t="s">
        <v>8962</v>
      </c>
      <c r="D18" s="1138" t="s">
        <v>7663</v>
      </c>
      <c r="E18" s="1163" t="s">
        <v>8064</v>
      </c>
      <c r="F18" s="574"/>
      <c r="G18" s="407"/>
      <c r="I18" s="1750" t="s">
        <v>8059</v>
      </c>
      <c r="J18" s="1751"/>
      <c r="K18" s="1751"/>
      <c r="L18" s="1751"/>
      <c r="M18" s="1751"/>
      <c r="N18" s="1756"/>
      <c r="O18" s="1337"/>
    </row>
    <row r="19" spans="1:15" ht="45" customHeight="1" thickBot="1" x14ac:dyDescent="0.4">
      <c r="A19" s="564" t="s">
        <v>8592</v>
      </c>
      <c r="B19" s="521" t="s">
        <v>7566</v>
      </c>
      <c r="C19" s="522" t="s">
        <v>8597</v>
      </c>
      <c r="D19" s="556" t="s">
        <v>7572</v>
      </c>
      <c r="E19" s="1641" t="s">
        <v>8129</v>
      </c>
      <c r="F19" s="1432" t="s">
        <v>7586</v>
      </c>
      <c r="G19" s="407"/>
      <c r="I19" s="688" t="s">
        <v>8056</v>
      </c>
      <c r="J19" s="688" t="s">
        <v>8132</v>
      </c>
      <c r="K19" s="688" t="s">
        <v>8450</v>
      </c>
      <c r="L19" s="688" t="s">
        <v>8451</v>
      </c>
      <c r="M19" s="688" t="s">
        <v>8055</v>
      </c>
      <c r="N19" s="1115" t="s">
        <v>8470</v>
      </c>
      <c r="O19" s="1337"/>
    </row>
    <row r="20" spans="1:15" ht="33.75" customHeight="1" thickBot="1" x14ac:dyDescent="0.4">
      <c r="A20" s="564" t="s">
        <v>7580</v>
      </c>
      <c r="B20" s="521" t="s">
        <v>8060</v>
      </c>
      <c r="C20" s="556" t="s">
        <v>7581</v>
      </c>
      <c r="D20" s="556" t="s">
        <v>7759</v>
      </c>
      <c r="E20" s="1641" t="s">
        <v>8130</v>
      </c>
      <c r="F20" s="1445">
        <f>$N$21</f>
        <v>0</v>
      </c>
      <c r="G20" s="407"/>
      <c r="I20" s="683"/>
      <c r="J20" s="683"/>
      <c r="K20" s="1445">
        <f>MAX((F18-0.1),0)*(Data!$BG$19+J20*Data!$BG$24      +J20*(F16*Data!$BG$9+F17*Data!$BG$8)/100)    +(F16*Data!$BG$13+F17*Data!$BG$12)/100</f>
        <v>0</v>
      </c>
      <c r="L20" s="1446"/>
      <c r="M20" s="1447"/>
      <c r="N20" s="1445">
        <f>I20*J20*(L20*M20+(1-M20)*K20)</f>
        <v>0</v>
      </c>
      <c r="O20" s="1337"/>
    </row>
    <row r="21" spans="1:15" ht="37.5" customHeight="1" thickTop="1" thickBot="1" x14ac:dyDescent="0.4">
      <c r="A21" s="564" t="s">
        <v>8131</v>
      </c>
      <c r="B21" s="1448" t="s">
        <v>272</v>
      </c>
      <c r="C21" s="1631" t="s">
        <v>7579</v>
      </c>
      <c r="D21" s="1436"/>
      <c r="E21" s="1437" t="s">
        <v>7569</v>
      </c>
      <c r="F21" s="1174" t="str">
        <f>IF(F12=1,"",IF($F$12=3,0,$F$20))</f>
        <v/>
      </c>
      <c r="G21" s="1438"/>
      <c r="K21" s="1449"/>
      <c r="L21" s="1118"/>
      <c r="M21" s="1639"/>
      <c r="N21" s="1121">
        <f>N20</f>
        <v>0</v>
      </c>
      <c r="O21" s="1337"/>
    </row>
    <row r="22" spans="1:15" ht="21" customHeight="1" thickBot="1" x14ac:dyDescent="0.4">
      <c r="K22" s="556"/>
      <c r="L22" s="556"/>
      <c r="M22" s="556"/>
      <c r="O22" s="1337"/>
    </row>
    <row r="23" spans="1:15" ht="20.25" customHeight="1" thickTop="1" thickBot="1" x14ac:dyDescent="0.4">
      <c r="C23" s="1645" t="s">
        <v>8061</v>
      </c>
      <c r="F23" s="1174">
        <f>IF($F$9="",0,F$9)+IF($F$21="",0,F$21)</f>
        <v>0</v>
      </c>
      <c r="O23" s="1337"/>
    </row>
    <row r="24" spans="1:15" ht="20.25" customHeight="1" thickTop="1" x14ac:dyDescent="0.35">
      <c r="O24" s="1337"/>
    </row>
    <row r="25" spans="1:15" ht="27" customHeight="1" x14ac:dyDescent="0.35">
      <c r="A25" s="556"/>
      <c r="D25" s="1702" t="str">
        <f>IF($F$9="","No data included for lifetime resource depletion","")</f>
        <v>No data included for lifetime resource depletion</v>
      </c>
      <c r="E25" s="1702"/>
      <c r="F25" s="1702"/>
      <c r="G25" s="1702"/>
    </row>
    <row r="26" spans="1:15" ht="23.5" customHeight="1" x14ac:dyDescent="0.35">
      <c r="D26" s="1702" t="str">
        <f>IF($F$21="","No data included for lifetime water depletion","")</f>
        <v>No data included for lifetime water depletion</v>
      </c>
      <c r="E26" s="1702"/>
      <c r="F26" s="1702"/>
      <c r="G26" s="1702"/>
    </row>
    <row r="27" spans="1:15" ht="20.5" customHeight="1" x14ac:dyDescent="0.35">
      <c r="D27" s="1702"/>
      <c r="E27" s="1702"/>
      <c r="F27" s="1702"/>
      <c r="G27" s="1702"/>
      <c r="O27" s="1337"/>
    </row>
    <row r="28" spans="1:15" ht="21.75" customHeight="1" x14ac:dyDescent="0.35">
      <c r="O28" s="1337"/>
    </row>
    <row r="29" spans="1:15" ht="22" customHeight="1" x14ac:dyDescent="0.35">
      <c r="O29" s="1337"/>
    </row>
    <row r="30" spans="1:15" ht="27.75" customHeight="1" x14ac:dyDescent="0.35">
      <c r="O30" s="1337"/>
    </row>
    <row r="31" spans="1:15" ht="24.75" customHeight="1" x14ac:dyDescent="0.35">
      <c r="O31" s="1337"/>
    </row>
    <row r="32" spans="1:15" ht="25.5" customHeight="1" x14ac:dyDescent="0.35">
      <c r="O32" s="1337"/>
    </row>
    <row r="33" spans="15:15" ht="56.25" customHeight="1" x14ac:dyDescent="0.35">
      <c r="O33" s="1337"/>
    </row>
    <row r="34" spans="15:15" ht="33.75" customHeight="1" x14ac:dyDescent="0.35">
      <c r="O34" s="1337"/>
    </row>
    <row r="35" spans="15:15" ht="30" customHeight="1" x14ac:dyDescent="0.35"/>
    <row r="36" spans="15:15" ht="33.75" customHeight="1" x14ac:dyDescent="0.35"/>
    <row r="42" spans="15:15" ht="15.75" customHeight="1" x14ac:dyDescent="0.35"/>
    <row r="43" spans="15:15" ht="15.75" customHeight="1" x14ac:dyDescent="0.35"/>
    <row r="44" spans="15:15" ht="20.25" customHeight="1" x14ac:dyDescent="0.35"/>
    <row r="45" spans="15:15" ht="19.5" customHeight="1" x14ac:dyDescent="0.35"/>
  </sheetData>
  <sheetProtection algorithmName="SHA-512" hashValue="v5sb3D/6b5ZLH1BNS+Jx2cgCIw0Zk4GiqRNz4KbEurw2WzWcslrBK6HAi/YPjGwFLJtNmoaCdANJMvt0fyS1bg==" saltValue="1bppNlPwfHJo9MwNpyGrdw==" spinCount="100000" sheet="1" objects="1" scenarios="1"/>
  <mergeCells count="16">
    <mergeCell ref="D27:G27"/>
    <mergeCell ref="I18:N18"/>
    <mergeCell ref="I2:Q2"/>
    <mergeCell ref="S2:AA2"/>
    <mergeCell ref="K1:L1"/>
    <mergeCell ref="M1:N1"/>
    <mergeCell ref="N16:P16"/>
    <mergeCell ref="X16:Z16"/>
    <mergeCell ref="A11:D11"/>
    <mergeCell ref="U1:V1"/>
    <mergeCell ref="W1:X1"/>
    <mergeCell ref="D25:G25"/>
    <mergeCell ref="D26:G26"/>
    <mergeCell ref="C3:G3"/>
    <mergeCell ref="B1:C1"/>
    <mergeCell ref="D1:E1"/>
  </mergeCells>
  <hyperlinks>
    <hyperlink ref="D18" r:id="rId1" xr:uid="{6FB42ACF-ACD0-4293-8B3E-FB9CFC2397EF}"/>
  </hyperlinks>
  <pageMargins left="0.7" right="0.7" top="0.75" bottom="0.75" header="0.3" footer="0.3"/>
  <pageSetup paperSize="9" orientation="portrait" horizontalDpi="4294967293" verticalDpi="360" r:id="rId2"/>
  <drawing r:id="rId3"/>
  <legacyDrawing r:id="rId4"/>
  <mc:AlternateContent xmlns:mc="http://schemas.openxmlformats.org/markup-compatibility/2006">
    <mc:Choice Requires="x14">
      <controls>
        <mc:AlternateContent xmlns:mc="http://schemas.openxmlformats.org/markup-compatibility/2006">
          <mc:Choice Requires="x14">
            <control shapeId="127063" r:id="rId5" name="Drop Down 87">
              <controlPr defaultSize="0" autoLine="0" autoPict="0">
                <anchor moveWithCells="1">
                  <from>
                    <xdr:col>5</xdr:col>
                    <xdr:colOff>0</xdr:colOff>
                    <xdr:row>3</xdr:row>
                    <xdr:rowOff>419100</xdr:rowOff>
                  </from>
                  <to>
                    <xdr:col>6</xdr:col>
                    <xdr:colOff>12700</xdr:colOff>
                    <xdr:row>4</xdr:row>
                    <xdr:rowOff>317500</xdr:rowOff>
                  </to>
                </anchor>
              </controlPr>
            </control>
          </mc:Choice>
        </mc:AlternateContent>
        <mc:AlternateContent xmlns:mc="http://schemas.openxmlformats.org/markup-compatibility/2006">
          <mc:Choice Requires="x14">
            <control shapeId="127064" r:id="rId6" name="Drop Down 88">
              <controlPr defaultSize="0" autoLine="0" autoPict="0">
                <anchor moveWithCells="1">
                  <from>
                    <xdr:col>5</xdr:col>
                    <xdr:colOff>0</xdr:colOff>
                    <xdr:row>3</xdr:row>
                    <xdr:rowOff>12700</xdr:rowOff>
                  </from>
                  <to>
                    <xdr:col>6</xdr:col>
                    <xdr:colOff>12700</xdr:colOff>
                    <xdr:row>4</xdr:row>
                    <xdr:rowOff>0</xdr:rowOff>
                  </to>
                </anchor>
              </controlPr>
            </control>
          </mc:Choice>
        </mc:AlternateContent>
        <mc:AlternateContent xmlns:mc="http://schemas.openxmlformats.org/markup-compatibility/2006">
          <mc:Choice Requires="x14">
            <control shapeId="127106" r:id="rId7" name="Drop Down 130">
              <controlPr defaultSize="0" autoLine="0" autoPict="0">
                <anchor moveWithCells="1">
                  <from>
                    <xdr:col>9</xdr:col>
                    <xdr:colOff>12700</xdr:colOff>
                    <xdr:row>3</xdr:row>
                    <xdr:rowOff>12700</xdr:rowOff>
                  </from>
                  <to>
                    <xdr:col>10</xdr:col>
                    <xdr:colOff>0</xdr:colOff>
                    <xdr:row>4</xdr:row>
                    <xdr:rowOff>0</xdr:rowOff>
                  </to>
                </anchor>
              </controlPr>
            </control>
          </mc:Choice>
        </mc:AlternateContent>
        <mc:AlternateContent xmlns:mc="http://schemas.openxmlformats.org/markup-compatibility/2006">
          <mc:Choice Requires="x14">
            <control shapeId="127107" r:id="rId8" name="Drop Down 131">
              <controlPr defaultSize="0" autoLine="0" autoPict="0">
                <anchor moveWithCells="1">
                  <from>
                    <xdr:col>9</xdr:col>
                    <xdr:colOff>12700</xdr:colOff>
                    <xdr:row>4</xdr:row>
                    <xdr:rowOff>12700</xdr:rowOff>
                  </from>
                  <to>
                    <xdr:col>9</xdr:col>
                    <xdr:colOff>2501900</xdr:colOff>
                    <xdr:row>5</xdr:row>
                    <xdr:rowOff>12700</xdr:rowOff>
                  </to>
                </anchor>
              </controlPr>
            </control>
          </mc:Choice>
        </mc:AlternateContent>
        <mc:AlternateContent xmlns:mc="http://schemas.openxmlformats.org/markup-compatibility/2006">
          <mc:Choice Requires="x14">
            <control shapeId="127108" r:id="rId9" name="Drop Down 132">
              <controlPr defaultSize="0" autoLine="0" autoPict="0">
                <anchor moveWithCells="1">
                  <from>
                    <xdr:col>9</xdr:col>
                    <xdr:colOff>12700</xdr:colOff>
                    <xdr:row>5</xdr:row>
                    <xdr:rowOff>12700</xdr:rowOff>
                  </from>
                  <to>
                    <xdr:col>9</xdr:col>
                    <xdr:colOff>2489200</xdr:colOff>
                    <xdr:row>5</xdr:row>
                    <xdr:rowOff>622300</xdr:rowOff>
                  </to>
                </anchor>
              </controlPr>
            </control>
          </mc:Choice>
        </mc:AlternateContent>
        <mc:AlternateContent xmlns:mc="http://schemas.openxmlformats.org/markup-compatibility/2006">
          <mc:Choice Requires="x14">
            <control shapeId="127109" r:id="rId10" name="Drop Down 133">
              <controlPr defaultSize="0" autoLine="0" autoPict="0">
                <anchor moveWithCells="1">
                  <from>
                    <xdr:col>9</xdr:col>
                    <xdr:colOff>12700</xdr:colOff>
                    <xdr:row>7</xdr:row>
                    <xdr:rowOff>12700</xdr:rowOff>
                  </from>
                  <to>
                    <xdr:col>9</xdr:col>
                    <xdr:colOff>2489200</xdr:colOff>
                    <xdr:row>8</xdr:row>
                    <xdr:rowOff>12700</xdr:rowOff>
                  </to>
                </anchor>
              </controlPr>
            </control>
          </mc:Choice>
        </mc:AlternateContent>
        <mc:AlternateContent xmlns:mc="http://schemas.openxmlformats.org/markup-compatibility/2006">
          <mc:Choice Requires="x14">
            <control shapeId="127110" r:id="rId11" name="Drop Down 134">
              <controlPr defaultSize="0" autoLine="0" autoPict="0">
                <anchor moveWithCells="1">
                  <from>
                    <xdr:col>9</xdr:col>
                    <xdr:colOff>12700</xdr:colOff>
                    <xdr:row>8</xdr:row>
                    <xdr:rowOff>12700</xdr:rowOff>
                  </from>
                  <to>
                    <xdr:col>10</xdr:col>
                    <xdr:colOff>0</xdr:colOff>
                    <xdr:row>9</xdr:row>
                    <xdr:rowOff>0</xdr:rowOff>
                  </to>
                </anchor>
              </controlPr>
            </control>
          </mc:Choice>
        </mc:AlternateContent>
        <mc:AlternateContent xmlns:mc="http://schemas.openxmlformats.org/markup-compatibility/2006">
          <mc:Choice Requires="x14">
            <control shapeId="127111" r:id="rId12" name="Drop Down 135">
              <controlPr defaultSize="0" autoLine="0" autoPict="0">
                <anchor moveWithCells="1">
                  <from>
                    <xdr:col>9</xdr:col>
                    <xdr:colOff>12700</xdr:colOff>
                    <xdr:row>9</xdr:row>
                    <xdr:rowOff>12700</xdr:rowOff>
                  </from>
                  <to>
                    <xdr:col>9</xdr:col>
                    <xdr:colOff>2501900</xdr:colOff>
                    <xdr:row>10</xdr:row>
                    <xdr:rowOff>12700</xdr:rowOff>
                  </to>
                </anchor>
              </controlPr>
            </control>
          </mc:Choice>
        </mc:AlternateContent>
        <mc:AlternateContent xmlns:mc="http://schemas.openxmlformats.org/markup-compatibility/2006">
          <mc:Choice Requires="x14">
            <control shapeId="127112" r:id="rId13" name="Drop Down 136">
              <controlPr defaultSize="0" autoLine="0" autoPict="0">
                <anchor moveWithCells="1">
                  <from>
                    <xdr:col>9</xdr:col>
                    <xdr:colOff>12700</xdr:colOff>
                    <xdr:row>10</xdr:row>
                    <xdr:rowOff>12700</xdr:rowOff>
                  </from>
                  <to>
                    <xdr:col>9</xdr:col>
                    <xdr:colOff>2501900</xdr:colOff>
                    <xdr:row>11</xdr:row>
                    <xdr:rowOff>12700</xdr:rowOff>
                  </to>
                </anchor>
              </controlPr>
            </control>
          </mc:Choice>
        </mc:AlternateContent>
        <mc:AlternateContent xmlns:mc="http://schemas.openxmlformats.org/markup-compatibility/2006">
          <mc:Choice Requires="x14">
            <control shapeId="127113" r:id="rId14" name="Drop Down 137">
              <controlPr defaultSize="0" autoLine="0" autoPict="0">
                <anchor moveWithCells="1">
                  <from>
                    <xdr:col>9</xdr:col>
                    <xdr:colOff>12700</xdr:colOff>
                    <xdr:row>13</xdr:row>
                    <xdr:rowOff>12700</xdr:rowOff>
                  </from>
                  <to>
                    <xdr:col>10</xdr:col>
                    <xdr:colOff>12700</xdr:colOff>
                    <xdr:row>13</xdr:row>
                    <xdr:rowOff>381000</xdr:rowOff>
                  </to>
                </anchor>
              </controlPr>
            </control>
          </mc:Choice>
        </mc:AlternateContent>
        <mc:AlternateContent xmlns:mc="http://schemas.openxmlformats.org/markup-compatibility/2006">
          <mc:Choice Requires="x14">
            <control shapeId="127114" r:id="rId15" name="Drop Down 138">
              <controlPr defaultSize="0" autoLine="0" autoPict="0">
                <anchor moveWithCells="1">
                  <from>
                    <xdr:col>9</xdr:col>
                    <xdr:colOff>12700</xdr:colOff>
                    <xdr:row>12</xdr:row>
                    <xdr:rowOff>12700</xdr:rowOff>
                  </from>
                  <to>
                    <xdr:col>10</xdr:col>
                    <xdr:colOff>12700</xdr:colOff>
                    <xdr:row>13</xdr:row>
                    <xdr:rowOff>12700</xdr:rowOff>
                  </to>
                </anchor>
              </controlPr>
            </control>
          </mc:Choice>
        </mc:AlternateContent>
        <mc:AlternateContent xmlns:mc="http://schemas.openxmlformats.org/markup-compatibility/2006">
          <mc:Choice Requires="x14">
            <control shapeId="127115" r:id="rId16" name="Drop Down 139">
              <controlPr defaultSize="0" autoLine="0" autoPict="0">
                <anchor moveWithCells="1">
                  <from>
                    <xdr:col>9</xdr:col>
                    <xdr:colOff>12700</xdr:colOff>
                    <xdr:row>11</xdr:row>
                    <xdr:rowOff>12700</xdr:rowOff>
                  </from>
                  <to>
                    <xdr:col>10</xdr:col>
                    <xdr:colOff>25400</xdr:colOff>
                    <xdr:row>12</xdr:row>
                    <xdr:rowOff>12700</xdr:rowOff>
                  </to>
                </anchor>
              </controlPr>
            </control>
          </mc:Choice>
        </mc:AlternateContent>
        <mc:AlternateContent xmlns:mc="http://schemas.openxmlformats.org/markup-compatibility/2006">
          <mc:Choice Requires="x14">
            <control shapeId="127126" r:id="rId17" name="Drop Down 150">
              <controlPr defaultSize="0" autoLine="0" autoPict="0">
                <anchor moveWithCells="1">
                  <from>
                    <xdr:col>19</xdr:col>
                    <xdr:colOff>12700</xdr:colOff>
                    <xdr:row>3</xdr:row>
                    <xdr:rowOff>12700</xdr:rowOff>
                  </from>
                  <to>
                    <xdr:col>20</xdr:col>
                    <xdr:colOff>12700</xdr:colOff>
                    <xdr:row>4</xdr:row>
                    <xdr:rowOff>12700</xdr:rowOff>
                  </to>
                </anchor>
              </controlPr>
            </control>
          </mc:Choice>
        </mc:AlternateContent>
        <mc:AlternateContent xmlns:mc="http://schemas.openxmlformats.org/markup-compatibility/2006">
          <mc:Choice Requires="x14">
            <control shapeId="127136" r:id="rId18" name="Drop Down 160">
              <controlPr defaultSize="0" autoLine="0" autoPict="0">
                <anchor moveWithCells="1">
                  <from>
                    <xdr:col>19</xdr:col>
                    <xdr:colOff>12700</xdr:colOff>
                    <xdr:row>4</xdr:row>
                    <xdr:rowOff>12700</xdr:rowOff>
                  </from>
                  <to>
                    <xdr:col>20</xdr:col>
                    <xdr:colOff>12700</xdr:colOff>
                    <xdr:row>5</xdr:row>
                    <xdr:rowOff>12700</xdr:rowOff>
                  </to>
                </anchor>
              </controlPr>
            </control>
          </mc:Choice>
        </mc:AlternateContent>
        <mc:AlternateContent xmlns:mc="http://schemas.openxmlformats.org/markup-compatibility/2006">
          <mc:Choice Requires="x14">
            <control shapeId="127138" r:id="rId19" name="Drop Down 162">
              <controlPr defaultSize="0" autoLine="0" autoPict="0">
                <anchor moveWithCells="1">
                  <from>
                    <xdr:col>19</xdr:col>
                    <xdr:colOff>12700</xdr:colOff>
                    <xdr:row>7</xdr:row>
                    <xdr:rowOff>12700</xdr:rowOff>
                  </from>
                  <to>
                    <xdr:col>20</xdr:col>
                    <xdr:colOff>12700</xdr:colOff>
                    <xdr:row>8</xdr:row>
                    <xdr:rowOff>12700</xdr:rowOff>
                  </to>
                </anchor>
              </controlPr>
            </control>
          </mc:Choice>
        </mc:AlternateContent>
        <mc:AlternateContent xmlns:mc="http://schemas.openxmlformats.org/markup-compatibility/2006">
          <mc:Choice Requires="x14">
            <control shapeId="127139" r:id="rId20" name="Drop Down 163">
              <controlPr defaultSize="0" autoLine="0" autoPict="0">
                <anchor moveWithCells="1">
                  <from>
                    <xdr:col>19</xdr:col>
                    <xdr:colOff>12700</xdr:colOff>
                    <xdr:row>8</xdr:row>
                    <xdr:rowOff>12700</xdr:rowOff>
                  </from>
                  <to>
                    <xdr:col>20</xdr:col>
                    <xdr:colOff>12700</xdr:colOff>
                    <xdr:row>9</xdr:row>
                    <xdr:rowOff>12700</xdr:rowOff>
                  </to>
                </anchor>
              </controlPr>
            </control>
          </mc:Choice>
        </mc:AlternateContent>
        <mc:AlternateContent xmlns:mc="http://schemas.openxmlformats.org/markup-compatibility/2006">
          <mc:Choice Requires="x14">
            <control shapeId="127140" r:id="rId21" name="Drop Down 164">
              <controlPr defaultSize="0" autoLine="0" autoPict="0">
                <anchor moveWithCells="1">
                  <from>
                    <xdr:col>19</xdr:col>
                    <xdr:colOff>12700</xdr:colOff>
                    <xdr:row>9</xdr:row>
                    <xdr:rowOff>12700</xdr:rowOff>
                  </from>
                  <to>
                    <xdr:col>20</xdr:col>
                    <xdr:colOff>12700</xdr:colOff>
                    <xdr:row>10</xdr:row>
                    <xdr:rowOff>12700</xdr:rowOff>
                  </to>
                </anchor>
              </controlPr>
            </control>
          </mc:Choice>
        </mc:AlternateContent>
        <mc:AlternateContent xmlns:mc="http://schemas.openxmlformats.org/markup-compatibility/2006">
          <mc:Choice Requires="x14">
            <control shapeId="127141" r:id="rId22" name="Drop Down 165">
              <controlPr defaultSize="0" autoLine="0" autoPict="0">
                <anchor moveWithCells="1">
                  <from>
                    <xdr:col>19</xdr:col>
                    <xdr:colOff>12700</xdr:colOff>
                    <xdr:row>10</xdr:row>
                    <xdr:rowOff>25400</xdr:rowOff>
                  </from>
                  <to>
                    <xdr:col>20</xdr:col>
                    <xdr:colOff>12700</xdr:colOff>
                    <xdr:row>11</xdr:row>
                    <xdr:rowOff>12700</xdr:rowOff>
                  </to>
                </anchor>
              </controlPr>
            </control>
          </mc:Choice>
        </mc:AlternateContent>
        <mc:AlternateContent xmlns:mc="http://schemas.openxmlformats.org/markup-compatibility/2006">
          <mc:Choice Requires="x14">
            <control shapeId="127142" r:id="rId23" name="Drop Down 166">
              <controlPr defaultSize="0" autoLine="0" autoPict="0">
                <anchor moveWithCells="1">
                  <from>
                    <xdr:col>19</xdr:col>
                    <xdr:colOff>12700</xdr:colOff>
                    <xdr:row>11</xdr:row>
                    <xdr:rowOff>12700</xdr:rowOff>
                  </from>
                  <to>
                    <xdr:col>20</xdr:col>
                    <xdr:colOff>12700</xdr:colOff>
                    <xdr:row>12</xdr:row>
                    <xdr:rowOff>0</xdr:rowOff>
                  </to>
                </anchor>
              </controlPr>
            </control>
          </mc:Choice>
        </mc:AlternateContent>
        <mc:AlternateContent xmlns:mc="http://schemas.openxmlformats.org/markup-compatibility/2006">
          <mc:Choice Requires="x14">
            <control shapeId="127143" r:id="rId24" name="Drop Down 167">
              <controlPr defaultSize="0" autoLine="0" autoPict="0">
                <anchor moveWithCells="1">
                  <from>
                    <xdr:col>19</xdr:col>
                    <xdr:colOff>12700</xdr:colOff>
                    <xdr:row>12</xdr:row>
                    <xdr:rowOff>12700</xdr:rowOff>
                  </from>
                  <to>
                    <xdr:col>20</xdr:col>
                    <xdr:colOff>12700</xdr:colOff>
                    <xdr:row>13</xdr:row>
                    <xdr:rowOff>12700</xdr:rowOff>
                  </to>
                </anchor>
              </controlPr>
            </control>
          </mc:Choice>
        </mc:AlternateContent>
        <mc:AlternateContent xmlns:mc="http://schemas.openxmlformats.org/markup-compatibility/2006">
          <mc:Choice Requires="x14">
            <control shapeId="127144" r:id="rId25" name="Drop Down 168">
              <controlPr defaultSize="0" autoLine="0" autoPict="0">
                <anchor moveWithCells="1">
                  <from>
                    <xdr:col>19</xdr:col>
                    <xdr:colOff>12700</xdr:colOff>
                    <xdr:row>13</xdr:row>
                    <xdr:rowOff>12700</xdr:rowOff>
                  </from>
                  <to>
                    <xdr:col>20</xdr:col>
                    <xdr:colOff>12700</xdr:colOff>
                    <xdr:row>14</xdr:row>
                    <xdr:rowOff>0</xdr:rowOff>
                  </to>
                </anchor>
              </controlPr>
            </control>
          </mc:Choice>
        </mc:AlternateContent>
        <mc:AlternateContent xmlns:mc="http://schemas.openxmlformats.org/markup-compatibility/2006">
          <mc:Choice Requires="x14">
            <control shapeId="127145" r:id="rId26" name="Drop Down 169">
              <controlPr defaultSize="0" autoLine="0" autoPict="0">
                <anchor moveWithCells="1">
                  <from>
                    <xdr:col>5</xdr:col>
                    <xdr:colOff>0</xdr:colOff>
                    <xdr:row>11</xdr:row>
                    <xdr:rowOff>12700</xdr:rowOff>
                  </from>
                  <to>
                    <xdr:col>6</xdr:col>
                    <xdr:colOff>12700</xdr:colOff>
                    <xdr:row>12</xdr:row>
                    <xdr:rowOff>0</xdr:rowOff>
                  </to>
                </anchor>
              </controlPr>
            </control>
          </mc:Choice>
        </mc:AlternateContent>
        <mc:AlternateContent xmlns:mc="http://schemas.openxmlformats.org/markup-compatibility/2006">
          <mc:Choice Requires="x14">
            <control shapeId="127146" r:id="rId27" name="Drop Down 170">
              <controlPr defaultSize="0" autoLine="0" autoPict="0">
                <anchor moveWithCells="1">
                  <from>
                    <xdr:col>5</xdr:col>
                    <xdr:colOff>12700</xdr:colOff>
                    <xdr:row>13</xdr:row>
                    <xdr:rowOff>0</xdr:rowOff>
                  </from>
                  <to>
                    <xdr:col>6</xdr:col>
                    <xdr:colOff>12700</xdr:colOff>
                    <xdr:row>14</xdr:row>
                    <xdr:rowOff>0</xdr:rowOff>
                  </to>
                </anchor>
              </controlPr>
            </control>
          </mc:Choice>
        </mc:AlternateContent>
        <mc:AlternateContent xmlns:mc="http://schemas.openxmlformats.org/markup-compatibility/2006">
          <mc:Choice Requires="x14">
            <control shapeId="127153" r:id="rId28" name="Drop Down 177">
              <controlPr defaultSize="0" autoLine="0" autoPict="0">
                <anchor moveWithCells="1">
                  <from>
                    <xdr:col>9</xdr:col>
                    <xdr:colOff>12700</xdr:colOff>
                    <xdr:row>6</xdr:row>
                    <xdr:rowOff>12700</xdr:rowOff>
                  </from>
                  <to>
                    <xdr:col>9</xdr:col>
                    <xdr:colOff>2489200</xdr:colOff>
                    <xdr:row>7</xdr:row>
                    <xdr:rowOff>12700</xdr:rowOff>
                  </to>
                </anchor>
              </controlPr>
            </control>
          </mc:Choice>
        </mc:AlternateContent>
        <mc:AlternateContent xmlns:mc="http://schemas.openxmlformats.org/markup-compatibility/2006">
          <mc:Choice Requires="x14">
            <control shapeId="127154" r:id="rId29" name="Drop Down 178">
              <controlPr defaultSize="0" autoLine="0" autoPict="0">
                <anchor moveWithCells="1">
                  <from>
                    <xdr:col>19</xdr:col>
                    <xdr:colOff>12700</xdr:colOff>
                    <xdr:row>6</xdr:row>
                    <xdr:rowOff>12700</xdr:rowOff>
                  </from>
                  <to>
                    <xdr:col>20</xdr:col>
                    <xdr:colOff>12700</xdr:colOff>
                    <xdr:row>7</xdr:row>
                    <xdr:rowOff>12700</xdr:rowOff>
                  </to>
                </anchor>
              </controlPr>
            </control>
          </mc:Choice>
        </mc:AlternateContent>
        <mc:AlternateContent xmlns:mc="http://schemas.openxmlformats.org/markup-compatibility/2006">
          <mc:Choice Requires="x14">
            <control shapeId="127155" r:id="rId30" name="Drop Down 179">
              <controlPr defaultSize="0" autoLine="0" autoPict="0">
                <anchor moveWithCells="1">
                  <from>
                    <xdr:col>19</xdr:col>
                    <xdr:colOff>12700</xdr:colOff>
                    <xdr:row>5</xdr:row>
                    <xdr:rowOff>12700</xdr:rowOff>
                  </from>
                  <to>
                    <xdr:col>20</xdr:col>
                    <xdr:colOff>12700</xdr:colOff>
                    <xdr:row>5</xdr:row>
                    <xdr:rowOff>660400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6">
    <tabColor rgb="FF7030A0"/>
  </sheetPr>
  <dimension ref="A1:AU64"/>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5.81640625" style="1102" customWidth="1"/>
    <col min="2" max="2" width="20.36328125" style="556" customWidth="1"/>
    <col min="3" max="3" width="90.81640625" style="556" customWidth="1"/>
    <col min="4" max="4" width="17.81640625" style="556" customWidth="1"/>
    <col min="5" max="5" width="17.453125" style="556" customWidth="1"/>
    <col min="6" max="6" width="18.81640625" style="556" customWidth="1"/>
    <col min="7" max="7" width="13.453125" style="556" customWidth="1"/>
    <col min="8" max="8" width="14.36328125" style="556" customWidth="1"/>
    <col min="9" max="9" width="18.1796875" style="556" customWidth="1"/>
    <col min="10" max="10" width="20.6328125" style="556" customWidth="1"/>
    <col min="11" max="11" width="16.453125" style="556" customWidth="1"/>
    <col min="12" max="12" width="17.81640625" style="556" customWidth="1"/>
    <col min="13" max="13" width="11.6328125" style="556" customWidth="1"/>
    <col min="14" max="14" width="13.81640625" style="556" customWidth="1"/>
    <col min="15" max="15" width="19.453125" style="556" customWidth="1"/>
    <col min="16" max="16" width="12.36328125" style="556" customWidth="1"/>
    <col min="17" max="17" width="14.1796875" style="556" customWidth="1"/>
    <col min="18" max="18" width="11.81640625" style="556" customWidth="1"/>
    <col min="19" max="19" width="9.1796875" style="556" customWidth="1"/>
    <col min="20" max="20" width="16.453125" style="556" customWidth="1"/>
    <col min="21" max="21" width="22.453125" style="556" customWidth="1"/>
    <col min="22" max="22" width="9.1796875" style="556" customWidth="1"/>
    <col min="23" max="23" width="11.453125" style="556" customWidth="1"/>
    <col min="24" max="24" width="11" style="556" customWidth="1"/>
    <col min="25" max="25" width="15.453125" style="556" customWidth="1"/>
    <col min="26" max="26" width="20.81640625" style="556" customWidth="1"/>
    <col min="27" max="27" width="15.1796875" style="556" customWidth="1"/>
    <col min="28" max="28" width="12.36328125" style="556" customWidth="1"/>
    <col min="29" max="29" width="12.1796875" style="556" customWidth="1"/>
    <col min="30" max="30" width="9.1796875" style="556"/>
    <col min="31" max="31" width="26.36328125" style="556" customWidth="1"/>
    <col min="32" max="32" width="12" style="556" customWidth="1"/>
    <col min="33" max="33" width="13" style="556" customWidth="1"/>
    <col min="34" max="34" width="17.453125" style="556" customWidth="1"/>
    <col min="35" max="35" width="17.1796875" style="556" customWidth="1"/>
    <col min="36" max="36" width="17.453125" style="556" customWidth="1"/>
    <col min="37" max="37" width="14.453125" style="556" customWidth="1"/>
    <col min="38" max="38" width="15.453125" style="556" customWidth="1"/>
    <col min="39" max="39" width="14.1796875" style="556" customWidth="1"/>
    <col min="40" max="40" width="9.1796875" style="556"/>
    <col min="41" max="41" width="11.6328125" style="556" customWidth="1"/>
    <col min="42" max="42" width="11.1796875" style="556" customWidth="1"/>
    <col min="43" max="43" width="14.81640625" style="556" customWidth="1"/>
    <col min="44" max="44" width="16.81640625" style="556" customWidth="1"/>
    <col min="45" max="45" width="14.453125" style="556" customWidth="1"/>
    <col min="46" max="46" width="12.1796875" style="556" customWidth="1"/>
    <col min="47" max="47" width="11.1796875" style="556" customWidth="1"/>
    <col min="48" max="16384" width="9.1796875" style="556"/>
  </cols>
  <sheetData>
    <row r="1" spans="1:47" ht="19" customHeight="1" thickBot="1" x14ac:dyDescent="0.4">
      <c r="A1" s="1193"/>
      <c r="B1" s="1811" t="s">
        <v>813</v>
      </c>
      <c r="C1" s="1811"/>
      <c r="D1" s="1703" t="s">
        <v>8414</v>
      </c>
      <c r="E1" s="1704"/>
      <c r="F1" s="554" t="str">
        <f>LOOKUP(' Preparation'!$F$4,Data!$B$2:$B$194,Data!$C$2:$C$194)</f>
        <v>€ (Euro)</v>
      </c>
      <c r="G1" s="1429"/>
      <c r="K1" s="1102"/>
      <c r="L1" s="1703" t="s">
        <v>8414</v>
      </c>
      <c r="M1" s="1704"/>
      <c r="N1" s="1705" t="str">
        <f>LOOKUP(' Preparation'!$F$4,Data!$B$2:$B$194,Data!$C$2:$C$194)</f>
        <v>€ (Euro)</v>
      </c>
      <c r="O1" s="1707"/>
      <c r="P1" s="1443"/>
      <c r="Q1" s="1103"/>
      <c r="R1" s="1103"/>
      <c r="U1" s="1703" t="s">
        <v>8414</v>
      </c>
      <c r="V1" s="1704"/>
      <c r="W1" s="1705" t="str">
        <f>LOOKUP(' Preparation'!$F$4,Data!$B$2:$B$194,Data!$C$2:$C$194)</f>
        <v>€ (Euro)</v>
      </c>
      <c r="X1" s="1707"/>
      <c r="AB1" s="1378"/>
      <c r="AC1" s="1378"/>
      <c r="AE1" s="1637"/>
      <c r="AF1" s="1703" t="s">
        <v>8414</v>
      </c>
      <c r="AG1" s="1704"/>
      <c r="AH1" s="1705" t="str">
        <f>LOOKUP(' Preparation'!$F$4,Data!$B$2:$B$194,Data!$C$2:$C$194)</f>
        <v>€ (Euro)</v>
      </c>
      <c r="AI1" s="1707"/>
      <c r="AJ1" s="1378"/>
      <c r="AK1" s="1337"/>
      <c r="AL1" s="1378"/>
      <c r="AM1" s="1378"/>
      <c r="AR1" s="1703" t="s">
        <v>8414</v>
      </c>
      <c r="AS1" s="1704"/>
      <c r="AT1" s="1705" t="str">
        <f>LOOKUP(' Preparation'!$F$4,Data!$B$2:$B$194,Data!$C$2:$C$194)</f>
        <v>€ (Euro)</v>
      </c>
      <c r="AU1" s="1707"/>
    </row>
    <row r="2" spans="1:47" s="561" customFormat="1" ht="26.25" customHeight="1" thickBot="1" x14ac:dyDescent="0.4">
      <c r="A2" s="1393" t="s">
        <v>82</v>
      </c>
      <c r="B2" s="558" t="s">
        <v>150</v>
      </c>
      <c r="C2" s="558" t="s">
        <v>816</v>
      </c>
      <c r="D2" s="558" t="s">
        <v>67</v>
      </c>
      <c r="E2" s="501" t="s">
        <v>8112</v>
      </c>
      <c r="F2" s="559" t="s">
        <v>149</v>
      </c>
      <c r="G2" s="560" t="s">
        <v>258</v>
      </c>
      <c r="K2" s="1450"/>
      <c r="L2" s="1450"/>
      <c r="M2" s="1451"/>
      <c r="N2" s="1452"/>
      <c r="O2" s="1450"/>
      <c r="P2" s="1453"/>
      <c r="Q2" s="1454"/>
      <c r="R2" s="1454"/>
      <c r="V2" s="1450"/>
      <c r="W2" s="1450"/>
      <c r="X2" s="1450"/>
      <c r="Z2" s="1450"/>
      <c r="AA2" s="1450"/>
      <c r="AB2" s="1454"/>
      <c r="AC2" s="1452"/>
      <c r="AE2" s="1455"/>
      <c r="AG2" s="1452"/>
      <c r="AH2" s="1456"/>
      <c r="AI2" s="1452"/>
      <c r="AJ2" s="1452"/>
      <c r="AK2" s="1457"/>
      <c r="AL2" s="1452"/>
      <c r="AM2" s="1452"/>
    </row>
    <row r="3" spans="1:47" ht="48" customHeight="1" thickBot="1" x14ac:dyDescent="0.4">
      <c r="A3" s="562"/>
      <c r="B3" s="559" t="s">
        <v>89</v>
      </c>
      <c r="C3" s="1778" t="s">
        <v>8691</v>
      </c>
      <c r="D3" s="1779"/>
      <c r="E3" s="1779"/>
      <c r="F3" s="1779"/>
      <c r="G3" s="1779"/>
      <c r="H3" s="561"/>
      <c r="I3" s="1458" t="s">
        <v>8563</v>
      </c>
      <c r="J3" s="1459" t="s">
        <v>7373</v>
      </c>
      <c r="K3" s="1460" t="s">
        <v>8039</v>
      </c>
      <c r="L3" s="1460" t="s">
        <v>8040</v>
      </c>
      <c r="M3" s="1461" t="s">
        <v>8041</v>
      </c>
      <c r="N3" s="1462" t="s">
        <v>8469</v>
      </c>
      <c r="O3" s="1460" t="s">
        <v>8466</v>
      </c>
      <c r="P3" s="1460" t="s">
        <v>7537</v>
      </c>
      <c r="Q3" s="1462" t="s">
        <v>8468</v>
      </c>
      <c r="R3" s="1462" t="s">
        <v>8467</v>
      </c>
      <c r="S3" s="1293"/>
      <c r="T3" s="1463" t="s">
        <v>8312</v>
      </c>
      <c r="U3" s="1459" t="s">
        <v>7373</v>
      </c>
      <c r="V3" s="1460" t="s">
        <v>8038</v>
      </c>
      <c r="W3" s="1460" t="s">
        <v>8043</v>
      </c>
      <c r="X3" s="1460" t="s">
        <v>8037</v>
      </c>
      <c r="Y3" s="1460" t="s">
        <v>8551</v>
      </c>
      <c r="Z3" s="1460" t="s">
        <v>8552</v>
      </c>
      <c r="AA3" s="1460" t="s">
        <v>8042</v>
      </c>
      <c r="AB3" s="1464" t="s">
        <v>8553</v>
      </c>
      <c r="AC3" s="1462" t="s">
        <v>8554</v>
      </c>
      <c r="AD3" s="572"/>
      <c r="AE3" s="1465" t="s">
        <v>5848</v>
      </c>
      <c r="AF3" s="950" t="s">
        <v>8044</v>
      </c>
      <c r="AG3" s="951" t="s">
        <v>8045</v>
      </c>
      <c r="AH3" s="1466" t="s">
        <v>8701</v>
      </c>
      <c r="AI3" s="951" t="s">
        <v>8579</v>
      </c>
      <c r="AJ3" s="951" t="s">
        <v>8580</v>
      </c>
      <c r="AK3" s="1467" t="s">
        <v>8581</v>
      </c>
      <c r="AL3" s="951" t="s">
        <v>8582</v>
      </c>
      <c r="AM3" s="1468" t="s">
        <v>8583</v>
      </c>
      <c r="AN3" s="561"/>
      <c r="AO3" s="951" t="s">
        <v>7542</v>
      </c>
      <c r="AP3" s="1466" t="s">
        <v>8046</v>
      </c>
      <c r="AQ3" s="951" t="s">
        <v>8555</v>
      </c>
      <c r="AR3" s="951" t="s">
        <v>8556</v>
      </c>
      <c r="AS3" s="1467" t="s">
        <v>7537</v>
      </c>
      <c r="AT3" s="951" t="s">
        <v>8557</v>
      </c>
      <c r="AU3" s="1468" t="s">
        <v>8372</v>
      </c>
    </row>
    <row r="4" spans="1:47" ht="22.5" customHeight="1" thickBot="1" x14ac:dyDescent="0.4">
      <c r="A4" s="1819" t="s">
        <v>8668</v>
      </c>
      <c r="B4" s="1820"/>
      <c r="C4" s="1820"/>
      <c r="D4" s="1820"/>
      <c r="E4" s="1820"/>
      <c r="F4" s="1820"/>
      <c r="G4" s="1821"/>
      <c r="H4" s="561"/>
      <c r="I4" s="1819" t="s">
        <v>8034</v>
      </c>
      <c r="J4" s="1820">
        <v>13</v>
      </c>
      <c r="K4" s="1820"/>
      <c r="L4" s="1820"/>
      <c r="M4" s="1820"/>
      <c r="N4" s="1820"/>
      <c r="O4" s="1820"/>
      <c r="P4" s="1820"/>
      <c r="Q4" s="1820"/>
      <c r="R4" s="1821"/>
      <c r="T4" s="1819" t="s">
        <v>8035</v>
      </c>
      <c r="U4" s="1820"/>
      <c r="V4" s="1820"/>
      <c r="W4" s="1820"/>
      <c r="X4" s="1820"/>
      <c r="Y4" s="1820"/>
      <c r="Z4" s="1820"/>
      <c r="AA4" s="1820"/>
      <c r="AB4" s="1820"/>
      <c r="AC4" s="1821"/>
      <c r="AE4" s="1819" t="s">
        <v>7544</v>
      </c>
      <c r="AF4" s="1820"/>
      <c r="AG4" s="1820"/>
      <c r="AH4" s="1820"/>
      <c r="AI4" s="1820"/>
      <c r="AJ4" s="1820"/>
      <c r="AK4" s="1820"/>
      <c r="AL4" s="1820"/>
      <c r="AM4" s="1820"/>
      <c r="AO4" s="1819" t="s">
        <v>7545</v>
      </c>
      <c r="AP4" s="1820"/>
      <c r="AQ4" s="1820"/>
      <c r="AR4" s="1820"/>
      <c r="AS4" s="1820"/>
      <c r="AT4" s="1820"/>
      <c r="AU4" s="1820"/>
    </row>
    <row r="5" spans="1:47" ht="31.5" customHeight="1" thickBot="1" x14ac:dyDescent="0.4">
      <c r="A5" s="564" t="s">
        <v>7529</v>
      </c>
      <c r="B5" s="521" t="s">
        <v>7525</v>
      </c>
      <c r="C5" s="556" t="s">
        <v>8562</v>
      </c>
      <c r="D5" s="565" t="s">
        <v>69</v>
      </c>
      <c r="E5" s="1641" t="s">
        <v>7546</v>
      </c>
      <c r="F5" s="1638">
        <v>1</v>
      </c>
      <c r="G5" s="407" t="str">
        <f>IF(F5=1,"",IF(F5=2,"Goto UC 2","Goto UC 5"))</f>
        <v/>
      </c>
      <c r="H5" s="561"/>
      <c r="I5" s="1947"/>
      <c r="J5" s="727">
        <v>1</v>
      </c>
      <c r="K5" s="1947"/>
      <c r="L5" s="1947"/>
      <c r="M5" s="1469">
        <f>$F$7</f>
        <v>0</v>
      </c>
      <c r="N5" s="1470">
        <f>LOOKUP(J5,'Idemat Data'!$AK$4:$AK$19,'Idemat Data'!$AN$4:$AN$19)*K5+IF(J5=2,LOOKUP(' Preparation'!$F$6,Pol.Data!$A$47:$A$239,Pol.Data!$C$47:$C$239))*L5</f>
        <v>0</v>
      </c>
      <c r="O5" s="1947"/>
      <c r="P5" s="1948"/>
      <c r="Q5" s="1471">
        <f t="shared" ref="Q5:Q15" si="0">O5*P5+(1-P5)*N5</f>
        <v>0</v>
      </c>
      <c r="R5" s="1471">
        <f>M5*Q5</f>
        <v>0</v>
      </c>
      <c r="T5" s="1947"/>
      <c r="U5" s="727">
        <v>1</v>
      </c>
      <c r="V5" s="1947"/>
      <c r="W5" s="1947"/>
      <c r="X5" s="1469">
        <f t="shared" ref="X5:X15" si="1">$F$7</f>
        <v>0</v>
      </c>
      <c r="Y5" s="1469">
        <f>LOOKUP(U5,'Idemat Data'!$AK$4:$AK$19,'Idemat Data'!$AN$4:$AN$19)*V5+IF(U5=3,LOOKUP(' Preparation'!$F$6,Pol.Data!$A$47:$A$238,Pol.Data!$C$47:$C$239))*W5</f>
        <v>0</v>
      </c>
      <c r="Z5" s="1947"/>
      <c r="AA5" s="1948"/>
      <c r="AB5" s="1471">
        <f t="shared" ref="AB5:AB15" si="2">Z5*AA5+(1-AA5)*Y5</f>
        <v>0</v>
      </c>
      <c r="AC5" s="1471">
        <f>X5*AB5</f>
        <v>0</v>
      </c>
      <c r="AE5" s="1472" t="s">
        <v>7538</v>
      </c>
      <c r="AF5" s="1949"/>
      <c r="AG5" s="1949"/>
      <c r="AH5" s="1469">
        <f t="shared" ref="AH5:AH21" si="3">$F$7</f>
        <v>0</v>
      </c>
      <c r="AI5" s="1473">
        <f>AF5*AG5</f>
        <v>0</v>
      </c>
      <c r="AJ5" s="1949"/>
      <c r="AK5" s="1948"/>
      <c r="AL5" s="1471">
        <f>AJ5*AK5+(1-AK5)*AI5</f>
        <v>0</v>
      </c>
      <c r="AM5" s="1471">
        <f>AH5*AL5</f>
        <v>0</v>
      </c>
      <c r="AO5" s="1949"/>
      <c r="AP5" s="1469">
        <f t="shared" ref="AP5:AP21" si="4">$F$7</f>
        <v>0</v>
      </c>
      <c r="AQ5" s="1473">
        <f>AO5*AP5</f>
        <v>0</v>
      </c>
      <c r="AR5" s="1949"/>
      <c r="AS5" s="1948"/>
      <c r="AT5" s="1471">
        <f t="shared" ref="AT5:AT21" si="5">AR5*AS5+(1-AS5)*AQ5</f>
        <v>0</v>
      </c>
      <c r="AU5" s="1471">
        <f>AP5*AT5</f>
        <v>0</v>
      </c>
    </row>
    <row r="6" spans="1:47" ht="28.5" customHeight="1" thickBot="1" x14ac:dyDescent="0.4">
      <c r="A6" s="564" t="s">
        <v>7530</v>
      </c>
      <c r="B6" s="521" t="s">
        <v>7527</v>
      </c>
      <c r="C6" s="556" t="s">
        <v>7528</v>
      </c>
      <c r="D6" s="565" t="s">
        <v>69</v>
      </c>
      <c r="E6" s="1641" t="s">
        <v>7527</v>
      </c>
      <c r="F6" s="1638">
        <v>1</v>
      </c>
      <c r="G6" s="407"/>
      <c r="H6" s="561"/>
      <c r="I6" s="1947"/>
      <c r="J6" s="727">
        <v>1</v>
      </c>
      <c r="K6" s="1947"/>
      <c r="L6" s="1947"/>
      <c r="M6" s="1469">
        <f t="shared" ref="M6:M15" si="6">$F$7</f>
        <v>0</v>
      </c>
      <c r="N6" s="1470">
        <f>LOOKUP(J6,'Idemat Data'!$AK$4:$AK$19,'Idemat Data'!$AN$4:$AN$19)*K6+IF(J6=2,LOOKUP(' Preparation'!$F$6,Pol.Data!$A$47:$A$239,Pol.Data!$C$47:$C$239))*L6</f>
        <v>0</v>
      </c>
      <c r="O6" s="1947"/>
      <c r="P6" s="1948"/>
      <c r="Q6" s="1471">
        <f t="shared" si="0"/>
        <v>0</v>
      </c>
      <c r="R6" s="1471">
        <f>M6*Q6</f>
        <v>0</v>
      </c>
      <c r="T6" s="1947"/>
      <c r="U6" s="727">
        <v>1</v>
      </c>
      <c r="V6" s="1947"/>
      <c r="W6" s="1947"/>
      <c r="X6" s="1469">
        <f t="shared" si="1"/>
        <v>0</v>
      </c>
      <c r="Y6" s="1469">
        <f>LOOKUP(U6,'Idemat Data'!$AK$4:$AK$19,'Idemat Data'!$AN$4:$AN$19)*V6+IF(U6=3,LOOKUP(' Preparation'!$F$6,Pol.Data!$A$47:$A$238,Pol.Data!$C$47:$C$239))*W6</f>
        <v>0</v>
      </c>
      <c r="Z6" s="1947"/>
      <c r="AA6" s="1948"/>
      <c r="AB6" s="1471">
        <f t="shared" si="2"/>
        <v>0</v>
      </c>
      <c r="AC6" s="1471">
        <f>X6*AB6</f>
        <v>0</v>
      </c>
      <c r="AE6" s="1474" t="s">
        <v>5850</v>
      </c>
      <c r="AF6" s="1475">
        <f>P!K31</f>
        <v>17.18</v>
      </c>
      <c r="AG6" s="1950"/>
      <c r="AH6" s="1469">
        <f t="shared" si="3"/>
        <v>0</v>
      </c>
      <c r="AI6" s="1473">
        <f>AF6*AG6</f>
        <v>0</v>
      </c>
      <c r="AJ6" s="1949"/>
      <c r="AK6" s="1948"/>
      <c r="AL6" s="1471">
        <f>AJ6*AK6+(1-AK6)*AI6</f>
        <v>0</v>
      </c>
      <c r="AM6" s="1471">
        <f>AH6*AL6</f>
        <v>0</v>
      </c>
      <c r="AO6" s="1949"/>
      <c r="AP6" s="1469">
        <f t="shared" si="4"/>
        <v>0</v>
      </c>
      <c r="AQ6" s="1473">
        <f t="shared" ref="AQ6:AQ21" si="7">AF6*AO6</f>
        <v>0</v>
      </c>
      <c r="AR6" s="1949"/>
      <c r="AS6" s="1948"/>
      <c r="AT6" s="1471">
        <f t="shared" si="5"/>
        <v>0</v>
      </c>
      <c r="AU6" s="1471">
        <f>AP6*AT6</f>
        <v>0</v>
      </c>
    </row>
    <row r="7" spans="1:47" ht="41.25" customHeight="1" thickBot="1" x14ac:dyDescent="0.4">
      <c r="A7" s="564" t="s">
        <v>7531</v>
      </c>
      <c r="B7" s="521" t="s">
        <v>7555</v>
      </c>
      <c r="C7" s="556" t="s">
        <v>8696</v>
      </c>
      <c r="D7" s="565" t="s">
        <v>69</v>
      </c>
      <c r="E7" s="1163" t="str">
        <f>IF(F6=3,"Product life (hours of use)","Product life (km of use)")</f>
        <v>Product life (km of use)</v>
      </c>
      <c r="F7" s="1445">
        <f>' Preparation'!F25</f>
        <v>0</v>
      </c>
      <c r="G7" s="1299"/>
      <c r="H7" s="561"/>
      <c r="I7" s="1947"/>
      <c r="J7" s="727">
        <v>1</v>
      </c>
      <c r="K7" s="1947"/>
      <c r="L7" s="1947"/>
      <c r="M7" s="1469">
        <f t="shared" si="6"/>
        <v>0</v>
      </c>
      <c r="N7" s="1470">
        <f>LOOKUP(J7,'Idemat Data'!$AK$4:$AK$19,'Idemat Data'!$AN$4:$AN$19)*K7+IF(J7=2,LOOKUP(' Preparation'!$F$6,Pol.Data!$A$47:$A$239,Pol.Data!$C$47:$C$239))*L7</f>
        <v>0</v>
      </c>
      <c r="O7" s="1947"/>
      <c r="P7" s="1948"/>
      <c r="Q7" s="1471">
        <f t="shared" si="0"/>
        <v>0</v>
      </c>
      <c r="R7" s="1471">
        <f>M7*Q7</f>
        <v>0</v>
      </c>
      <c r="T7" s="1947"/>
      <c r="U7" s="727">
        <v>1</v>
      </c>
      <c r="V7" s="1947"/>
      <c r="W7" s="1947"/>
      <c r="X7" s="1469">
        <f t="shared" si="1"/>
        <v>0</v>
      </c>
      <c r="Y7" s="1469">
        <f>LOOKUP(U7,'Idemat Data'!$AK$4:$AK$19,'Idemat Data'!$AN$4:$AN$19)*V7+IF(U7=3,LOOKUP(' Preparation'!$F$6,Pol.Data!$A$47:$A$238,Pol.Data!$C$47:$C$239))*W7</f>
        <v>0</v>
      </c>
      <c r="Z7" s="1947"/>
      <c r="AA7" s="1948"/>
      <c r="AB7" s="1471">
        <f t="shared" si="2"/>
        <v>0</v>
      </c>
      <c r="AC7" s="1471">
        <f>X7*AB7</f>
        <v>0</v>
      </c>
      <c r="AE7" s="1474" t="s">
        <v>5851</v>
      </c>
      <c r="AF7" s="1475">
        <f>P!K32</f>
        <v>6.36</v>
      </c>
      <c r="AG7" s="1950"/>
      <c r="AH7" s="1469">
        <f t="shared" si="3"/>
        <v>0</v>
      </c>
      <c r="AI7" s="1473">
        <f>AF7*AG7</f>
        <v>0</v>
      </c>
      <c r="AJ7" s="1949"/>
      <c r="AK7" s="1948"/>
      <c r="AL7" s="1471">
        <f>AJ7*AK7+(1-AK7)*AI7</f>
        <v>0</v>
      </c>
      <c r="AM7" s="1471">
        <f>AH7*AL7</f>
        <v>0</v>
      </c>
      <c r="AO7" s="1949"/>
      <c r="AP7" s="1469">
        <f t="shared" si="4"/>
        <v>0</v>
      </c>
      <c r="AQ7" s="1473">
        <f t="shared" si="7"/>
        <v>0</v>
      </c>
      <c r="AR7" s="1949"/>
      <c r="AS7" s="1948"/>
      <c r="AT7" s="1471">
        <f t="shared" si="5"/>
        <v>0</v>
      </c>
      <c r="AU7" s="1471">
        <f>AP7*AT7</f>
        <v>0</v>
      </c>
    </row>
    <row r="8" spans="1:47" ht="42.75" customHeight="1" thickBot="1" x14ac:dyDescent="0.4">
      <c r="A8" s="564"/>
      <c r="B8" s="1822" t="s">
        <v>7373</v>
      </c>
      <c r="C8" s="1186" t="s">
        <v>8612</v>
      </c>
      <c r="D8" s="1823" t="s">
        <v>8036</v>
      </c>
      <c r="E8" s="1815" t="s">
        <v>8584</v>
      </c>
      <c r="F8" s="1813" t="str">
        <f>IF($F$6=1,"",IF($F$6=2,$AC$17,$R$17))</f>
        <v/>
      </c>
      <c r="G8" s="1476"/>
      <c r="H8" s="561"/>
      <c r="I8" s="1947"/>
      <c r="J8" s="727">
        <v>1</v>
      </c>
      <c r="K8" s="1947"/>
      <c r="L8" s="1947"/>
      <c r="M8" s="1469">
        <f t="shared" si="6"/>
        <v>0</v>
      </c>
      <c r="N8" s="1470">
        <f>LOOKUP(J8,'Idemat Data'!$AK$4:$AK$19,'Idemat Data'!$AN$4:$AN$19)*K8+IF(J8=2,LOOKUP(' Preparation'!$F$6,Pol.Data!$A$47:$A$239,Pol.Data!$C$47:$C$239))*L8</f>
        <v>0</v>
      </c>
      <c r="O8" s="1947"/>
      <c r="P8" s="1948"/>
      <c r="Q8" s="1471">
        <f t="shared" si="0"/>
        <v>0</v>
      </c>
      <c r="R8" s="1471">
        <f>M8*Q8</f>
        <v>0</v>
      </c>
      <c r="T8" s="1947"/>
      <c r="U8" s="727">
        <v>1</v>
      </c>
      <c r="V8" s="1947"/>
      <c r="W8" s="1947"/>
      <c r="X8" s="1469">
        <f t="shared" si="1"/>
        <v>0</v>
      </c>
      <c r="Y8" s="1469">
        <f>LOOKUP(U8,'Idemat Data'!$AK$4:$AK$19,'Idemat Data'!$AN$4:$AN$19)*V8+IF(U8=3,LOOKUP(' Preparation'!$F$6,Pol.Data!$A$47:$A$238,Pol.Data!$C$47:$C$239))*W8</f>
        <v>0</v>
      </c>
      <c r="Z8" s="1947"/>
      <c r="AA8" s="1948"/>
      <c r="AB8" s="1471">
        <f t="shared" si="2"/>
        <v>0</v>
      </c>
      <c r="AC8" s="1471">
        <f>X8*AB8</f>
        <v>0</v>
      </c>
      <c r="AE8" s="1474" t="s">
        <v>5852</v>
      </c>
      <c r="AF8" s="1475">
        <f>P!K33</f>
        <v>9.75</v>
      </c>
      <c r="AG8" s="1950"/>
      <c r="AH8" s="1469">
        <f t="shared" si="3"/>
        <v>0</v>
      </c>
      <c r="AI8" s="1473">
        <f t="shared" ref="AI8:AI15" si="8">AF8*AG8</f>
        <v>0</v>
      </c>
      <c r="AJ8" s="1949"/>
      <c r="AK8" s="1948"/>
      <c r="AL8" s="1471">
        <f t="shared" ref="AL8:AL15" si="9">AJ8*AK8+(1-AK8)*AI8</f>
        <v>0</v>
      </c>
      <c r="AM8" s="1471">
        <f t="shared" ref="AM8:AM15" si="10">AH8*AL8</f>
        <v>0</v>
      </c>
      <c r="AO8" s="1949"/>
      <c r="AP8" s="1469">
        <f t="shared" si="4"/>
        <v>0</v>
      </c>
      <c r="AQ8" s="1473">
        <f t="shared" si="7"/>
        <v>0</v>
      </c>
      <c r="AR8" s="1949"/>
      <c r="AS8" s="1948"/>
      <c r="AT8" s="1471">
        <f t="shared" si="5"/>
        <v>0</v>
      </c>
      <c r="AU8" s="1471">
        <f t="shared" ref="AU8:AU15" si="11">AP8*AT8</f>
        <v>0</v>
      </c>
    </row>
    <row r="9" spans="1:47" ht="45.75" customHeight="1" thickBot="1" x14ac:dyDescent="0.4">
      <c r="A9" s="564" t="s">
        <v>7532</v>
      </c>
      <c r="B9" s="1822"/>
      <c r="C9" s="1186" t="s">
        <v>8490</v>
      </c>
      <c r="D9" s="1823"/>
      <c r="E9" s="1815"/>
      <c r="F9" s="1814"/>
      <c r="G9" s="1476"/>
      <c r="H9" s="561"/>
      <c r="I9" s="1947"/>
      <c r="J9" s="727">
        <v>1</v>
      </c>
      <c r="K9" s="1947"/>
      <c r="L9" s="1947"/>
      <c r="M9" s="1469">
        <f t="shared" si="6"/>
        <v>0</v>
      </c>
      <c r="N9" s="1470">
        <f>LOOKUP(J9,'Idemat Data'!$AK$4:$AK$19,'Idemat Data'!$AN$4:$AN$19)*K9+IF(J9=2,LOOKUP(' Preparation'!$F$6,Pol.Data!$A$47:$A$239,Pol.Data!$C$47:$C$239))*L9</f>
        <v>0</v>
      </c>
      <c r="O9" s="1947"/>
      <c r="P9" s="1948"/>
      <c r="Q9" s="1471">
        <f t="shared" si="0"/>
        <v>0</v>
      </c>
      <c r="R9" s="1471">
        <f>M9*Q9</f>
        <v>0</v>
      </c>
      <c r="T9" s="1947"/>
      <c r="U9" s="727">
        <v>1</v>
      </c>
      <c r="V9" s="1947"/>
      <c r="W9" s="1947"/>
      <c r="X9" s="1469">
        <f t="shared" si="1"/>
        <v>0</v>
      </c>
      <c r="Y9" s="1469">
        <f>LOOKUP(U9,'Idemat Data'!$AK$4:$AK$19,'Idemat Data'!$AN$4:$AN$19)*V9+IF(U9=3,LOOKUP(' Preparation'!$F$6,Pol.Data!$A$47:$A$238,Pol.Data!$C$47:$C$239))*W9</f>
        <v>0</v>
      </c>
      <c r="Z9" s="1947"/>
      <c r="AA9" s="1948"/>
      <c r="AB9" s="1471">
        <f t="shared" si="2"/>
        <v>0</v>
      </c>
      <c r="AC9" s="1471">
        <f>X9*AB9</f>
        <v>0</v>
      </c>
      <c r="AE9" s="1474" t="s">
        <v>5853</v>
      </c>
      <c r="AF9" s="1475">
        <f>P!K34</f>
        <v>8.75</v>
      </c>
      <c r="AG9" s="1950"/>
      <c r="AH9" s="1469">
        <f t="shared" si="3"/>
        <v>0</v>
      </c>
      <c r="AI9" s="1473">
        <f t="shared" si="8"/>
        <v>0</v>
      </c>
      <c r="AJ9" s="1949"/>
      <c r="AK9" s="1948"/>
      <c r="AL9" s="1471">
        <f t="shared" si="9"/>
        <v>0</v>
      </c>
      <c r="AM9" s="1471">
        <f t="shared" si="10"/>
        <v>0</v>
      </c>
      <c r="AO9" s="1949"/>
      <c r="AP9" s="1469">
        <f t="shared" si="4"/>
        <v>0</v>
      </c>
      <c r="AQ9" s="1473">
        <f t="shared" si="7"/>
        <v>0</v>
      </c>
      <c r="AR9" s="1949"/>
      <c r="AS9" s="1948"/>
      <c r="AT9" s="1471">
        <f t="shared" si="5"/>
        <v>0</v>
      </c>
      <c r="AU9" s="1471">
        <f t="shared" si="11"/>
        <v>0</v>
      </c>
    </row>
    <row r="10" spans="1:47" ht="31.5" customHeight="1" thickTop="1" thickBot="1" x14ac:dyDescent="0.4">
      <c r="A10" s="564" t="s">
        <v>8565</v>
      </c>
      <c r="B10" s="571" t="s">
        <v>272</v>
      </c>
      <c r="C10" s="558" t="s">
        <v>7585</v>
      </c>
      <c r="E10" s="1636" t="s">
        <v>8458</v>
      </c>
      <c r="F10" s="734" t="str">
        <f>IF($F$5=1,"",IF($F$5=3,0,$F$9*$F$7))</f>
        <v/>
      </c>
      <c r="G10" s="407"/>
      <c r="H10" s="561"/>
      <c r="I10" s="1951"/>
      <c r="J10" s="522">
        <v>1</v>
      </c>
      <c r="K10" s="1951"/>
      <c r="L10" s="1951"/>
      <c r="M10" s="1469">
        <f t="shared" si="6"/>
        <v>0</v>
      </c>
      <c r="N10" s="1470">
        <f>LOOKUP(J10,'Idemat Data'!$AK$4:$AK$19,'Idemat Data'!$AN$4:$AN$19)*K10+IF(J10=2,LOOKUP(' Preparation'!$F$6,Pol.Data!$A$47:$A$239,Pol.Data!$C$47:$C$239))*L10</f>
        <v>0</v>
      </c>
      <c r="O10" s="1951"/>
      <c r="P10" s="1951"/>
      <c r="Q10" s="1477">
        <f t="shared" si="0"/>
        <v>0</v>
      </c>
      <c r="R10" s="1477">
        <f t="shared" ref="R10:R15" si="12">M10*Q10</f>
        <v>0</v>
      </c>
      <c r="T10" s="1951"/>
      <c r="U10" s="522">
        <v>1</v>
      </c>
      <c r="V10" s="1951"/>
      <c r="W10" s="1951"/>
      <c r="X10" s="1469">
        <f t="shared" si="1"/>
        <v>0</v>
      </c>
      <c r="Y10" s="1469">
        <f>LOOKUP(U10,'Idemat Data'!$AK$4:$AK$19,'Idemat Data'!$AN$4:$AN$19)*V10+IF(U10=3,LOOKUP(' Preparation'!$F$6,Pol.Data!$A$47:$A$238,Pol.Data!$C$47:$C$239))*W10</f>
        <v>0</v>
      </c>
      <c r="Z10" s="1951"/>
      <c r="AA10" s="1952"/>
      <c r="AB10" s="1477">
        <f t="shared" si="2"/>
        <v>0</v>
      </c>
      <c r="AC10" s="1477">
        <f t="shared" ref="AC10:AC15" si="13">X10*AB10</f>
        <v>0</v>
      </c>
      <c r="AE10" s="1474" t="s">
        <v>5854</v>
      </c>
      <c r="AF10" s="1475">
        <f>P!K35</f>
        <v>0.24</v>
      </c>
      <c r="AG10" s="1950"/>
      <c r="AH10" s="1469">
        <f t="shared" si="3"/>
        <v>0</v>
      </c>
      <c r="AI10" s="1473">
        <f t="shared" si="8"/>
        <v>0</v>
      </c>
      <c r="AJ10" s="1949"/>
      <c r="AK10" s="1948"/>
      <c r="AL10" s="1471">
        <f t="shared" si="9"/>
        <v>0</v>
      </c>
      <c r="AM10" s="1471">
        <f t="shared" si="10"/>
        <v>0</v>
      </c>
      <c r="AO10" s="1949"/>
      <c r="AP10" s="1469">
        <f t="shared" si="4"/>
        <v>0</v>
      </c>
      <c r="AQ10" s="1473">
        <f t="shared" si="7"/>
        <v>0</v>
      </c>
      <c r="AR10" s="1949"/>
      <c r="AS10" s="1948"/>
      <c r="AT10" s="1471">
        <f t="shared" si="5"/>
        <v>0</v>
      </c>
      <c r="AU10" s="1471">
        <f t="shared" si="11"/>
        <v>0</v>
      </c>
    </row>
    <row r="11" spans="1:47" ht="22.5" customHeight="1" thickBot="1" x14ac:dyDescent="0.4">
      <c r="A11" s="1638"/>
      <c r="E11" s="1644"/>
      <c r="G11" s="407"/>
      <c r="H11" s="561"/>
      <c r="I11" s="1951"/>
      <c r="J11" s="1478">
        <v>1</v>
      </c>
      <c r="K11" s="1951"/>
      <c r="L11" s="1951"/>
      <c r="M11" s="1469">
        <f t="shared" si="6"/>
        <v>0</v>
      </c>
      <c r="N11" s="1470">
        <f>LOOKUP(J11,'Idemat Data'!$AK$4:$AK$19,'Idemat Data'!$AN$4:$AN$19)*K11+IF(J11=2,LOOKUP(' Preparation'!$F$6,Pol.Data!$A$47:$A$239,Pol.Data!$C$47:$C$239))*L11</f>
        <v>0</v>
      </c>
      <c r="O11" s="1951"/>
      <c r="P11" s="1951"/>
      <c r="Q11" s="1477">
        <f t="shared" si="0"/>
        <v>0</v>
      </c>
      <c r="R11" s="1477">
        <f t="shared" si="12"/>
        <v>0</v>
      </c>
      <c r="T11" s="1951"/>
      <c r="U11" s="1478">
        <v>1</v>
      </c>
      <c r="V11" s="1951"/>
      <c r="W11" s="1951"/>
      <c r="X11" s="1469">
        <f t="shared" si="1"/>
        <v>0</v>
      </c>
      <c r="Y11" s="1469">
        <f>LOOKUP(U11,'Idemat Data'!$AK$4:$AK$19,'Idemat Data'!$AN$4:$AN$19)*V11+IF(U11=3,LOOKUP(' Preparation'!$F$6,Pol.Data!$A$47:$A$238,Pol.Data!$C$47:$C$239))*W11</f>
        <v>0</v>
      </c>
      <c r="Z11" s="1951"/>
      <c r="AA11" s="1952"/>
      <c r="AB11" s="1477">
        <f t="shared" si="2"/>
        <v>0</v>
      </c>
      <c r="AC11" s="1477">
        <f t="shared" si="13"/>
        <v>0</v>
      </c>
      <c r="AE11" s="1474" t="s">
        <v>2869</v>
      </c>
      <c r="AF11" s="1475">
        <f>P!K36</f>
        <v>41.49</v>
      </c>
      <c r="AG11" s="1950"/>
      <c r="AH11" s="1469">
        <f t="shared" si="3"/>
        <v>0</v>
      </c>
      <c r="AI11" s="1473">
        <f t="shared" si="8"/>
        <v>0</v>
      </c>
      <c r="AJ11" s="1949"/>
      <c r="AK11" s="1948"/>
      <c r="AL11" s="1471">
        <f t="shared" si="9"/>
        <v>0</v>
      </c>
      <c r="AM11" s="1471">
        <f t="shared" si="10"/>
        <v>0</v>
      </c>
      <c r="AO11" s="1949"/>
      <c r="AP11" s="1469">
        <f t="shared" si="4"/>
        <v>0</v>
      </c>
      <c r="AQ11" s="1473">
        <f t="shared" si="7"/>
        <v>0</v>
      </c>
      <c r="AR11" s="1949"/>
      <c r="AS11" s="1948"/>
      <c r="AT11" s="1471">
        <f t="shared" si="5"/>
        <v>0</v>
      </c>
      <c r="AU11" s="1471">
        <f t="shared" si="11"/>
        <v>0</v>
      </c>
    </row>
    <row r="12" spans="1:47" ht="22.5" customHeight="1" thickBot="1" x14ac:dyDescent="0.4">
      <c r="A12" s="1767" t="s">
        <v>8698</v>
      </c>
      <c r="B12" s="1767"/>
      <c r="C12" s="1767"/>
      <c r="D12" s="1767"/>
      <c r="E12" s="1767"/>
      <c r="F12" s="1767"/>
      <c r="G12" s="1767"/>
      <c r="H12" s="561"/>
      <c r="I12" s="1951"/>
      <c r="J12" s="1478">
        <v>1</v>
      </c>
      <c r="K12" s="1951"/>
      <c r="L12" s="1951"/>
      <c r="M12" s="1469">
        <f t="shared" si="6"/>
        <v>0</v>
      </c>
      <c r="N12" s="1470">
        <f>LOOKUP(J12,'Idemat Data'!$AK$4:$AK$19,'Idemat Data'!$AN$4:$AN$19)*K12+IF(J12=2,LOOKUP(' Preparation'!$F$6,Pol.Data!$A$47:$A$239,Pol.Data!$C$47:$C$239))*L12</f>
        <v>0</v>
      </c>
      <c r="O12" s="1951"/>
      <c r="P12" s="1951"/>
      <c r="Q12" s="1477">
        <f t="shared" si="0"/>
        <v>0</v>
      </c>
      <c r="R12" s="1477">
        <f t="shared" si="12"/>
        <v>0</v>
      </c>
      <c r="T12" s="1951"/>
      <c r="U12" s="1478">
        <v>1</v>
      </c>
      <c r="V12" s="1951"/>
      <c r="W12" s="1951"/>
      <c r="X12" s="1469">
        <f t="shared" si="1"/>
        <v>0</v>
      </c>
      <c r="Y12" s="1469">
        <f>LOOKUP(U12,'Idemat Data'!$AK$4:$AK$19,'Idemat Data'!$AN$4:$AN$19)*V12+IF(U12=3,LOOKUP(' Preparation'!$F$6,Pol.Data!$A$47:$A$238,Pol.Data!$C$47:$C$239))*W12</f>
        <v>0</v>
      </c>
      <c r="Z12" s="1951"/>
      <c r="AA12" s="1952"/>
      <c r="AB12" s="1477">
        <f t="shared" si="2"/>
        <v>0</v>
      </c>
      <c r="AC12" s="1477">
        <f t="shared" si="13"/>
        <v>0</v>
      </c>
      <c r="AE12" s="1474" t="s">
        <v>2842</v>
      </c>
      <c r="AF12" s="1475">
        <f>P!K37</f>
        <v>9844</v>
      </c>
      <c r="AG12" s="1950"/>
      <c r="AH12" s="1469">
        <f t="shared" si="3"/>
        <v>0</v>
      </c>
      <c r="AI12" s="1473">
        <f t="shared" si="8"/>
        <v>0</v>
      </c>
      <c r="AJ12" s="1949"/>
      <c r="AK12" s="1948"/>
      <c r="AL12" s="1471">
        <f t="shared" si="9"/>
        <v>0</v>
      </c>
      <c r="AM12" s="1471">
        <f t="shared" si="10"/>
        <v>0</v>
      </c>
      <c r="AO12" s="1949"/>
      <c r="AP12" s="1469">
        <f t="shared" si="4"/>
        <v>0</v>
      </c>
      <c r="AQ12" s="1473">
        <f t="shared" si="7"/>
        <v>0</v>
      </c>
      <c r="AR12" s="1949"/>
      <c r="AS12" s="1948"/>
      <c r="AT12" s="1471">
        <f t="shared" si="5"/>
        <v>0</v>
      </c>
      <c r="AU12" s="1471">
        <f t="shared" si="11"/>
        <v>0</v>
      </c>
    </row>
    <row r="13" spans="1:47" ht="29.25" customHeight="1" thickBot="1" x14ac:dyDescent="0.4">
      <c r="A13" s="564" t="s">
        <v>7355</v>
      </c>
      <c r="B13" s="521" t="s">
        <v>7548</v>
      </c>
      <c r="C13" s="556" t="s">
        <v>8700</v>
      </c>
      <c r="D13" s="565"/>
      <c r="E13" s="1641" t="s">
        <v>7547</v>
      </c>
      <c r="F13" s="1638">
        <v>1</v>
      </c>
      <c r="G13" s="407" t="str">
        <f>IF(F13=1,"",IF(F13=2,"Goto UG 2","Goto UG 4"))</f>
        <v/>
      </c>
      <c r="H13" s="561"/>
      <c r="I13" s="1951"/>
      <c r="J13" s="1478">
        <v>1</v>
      </c>
      <c r="K13" s="1951"/>
      <c r="L13" s="1951"/>
      <c r="M13" s="1469">
        <f t="shared" si="6"/>
        <v>0</v>
      </c>
      <c r="N13" s="1470">
        <f>LOOKUP(J13,'Idemat Data'!$AK$4:$AK$19,'Idemat Data'!$AN$4:$AN$19)*K13+IF(J13=2,LOOKUP(' Preparation'!$F$6,Pol.Data!$A$47:$A$239,Pol.Data!$C$47:$C$239))*L13</f>
        <v>0</v>
      </c>
      <c r="O13" s="1951"/>
      <c r="P13" s="1951"/>
      <c r="Q13" s="1477">
        <f t="shared" si="0"/>
        <v>0</v>
      </c>
      <c r="R13" s="1477">
        <f t="shared" si="12"/>
        <v>0</v>
      </c>
      <c r="T13" s="1951"/>
      <c r="U13" s="1478">
        <v>1</v>
      </c>
      <c r="V13" s="1951"/>
      <c r="W13" s="1951"/>
      <c r="X13" s="1469">
        <f t="shared" si="1"/>
        <v>0</v>
      </c>
      <c r="Y13" s="1469">
        <f>LOOKUP(U13,'Idemat Data'!$AK$4:$AK$19,'Idemat Data'!$AN$4:$AN$19)*V13+IF(U13=3,LOOKUP(' Preparation'!$F$6,Pol.Data!$A$47:$A$238,Pol.Data!$C$47:$C$239))*W13</f>
        <v>0</v>
      </c>
      <c r="Z13" s="1951"/>
      <c r="AA13" s="1952"/>
      <c r="AB13" s="1477">
        <f t="shared" si="2"/>
        <v>0</v>
      </c>
      <c r="AC13" s="1477">
        <f t="shared" si="13"/>
        <v>0</v>
      </c>
      <c r="AE13" s="1472" t="s">
        <v>4963</v>
      </c>
      <c r="AF13" s="1475">
        <f>P!K38</f>
        <v>3.5379999999999998</v>
      </c>
      <c r="AG13" s="1950"/>
      <c r="AH13" s="1469">
        <f t="shared" si="3"/>
        <v>0</v>
      </c>
      <c r="AI13" s="1473">
        <f t="shared" si="8"/>
        <v>0</v>
      </c>
      <c r="AJ13" s="1949"/>
      <c r="AK13" s="1948"/>
      <c r="AL13" s="1471">
        <f t="shared" si="9"/>
        <v>0</v>
      </c>
      <c r="AM13" s="1471">
        <f t="shared" si="10"/>
        <v>0</v>
      </c>
      <c r="AO13" s="1949"/>
      <c r="AP13" s="1469">
        <f t="shared" si="4"/>
        <v>0</v>
      </c>
      <c r="AQ13" s="1473">
        <f t="shared" si="7"/>
        <v>0</v>
      </c>
      <c r="AR13" s="1949"/>
      <c r="AS13" s="1948"/>
      <c r="AT13" s="1471">
        <f t="shared" si="5"/>
        <v>0</v>
      </c>
      <c r="AU13" s="1471">
        <f t="shared" si="11"/>
        <v>0</v>
      </c>
    </row>
    <row r="14" spans="1:47" ht="28" customHeight="1" thickBot="1" x14ac:dyDescent="0.4">
      <c r="A14" s="564" t="s">
        <v>7459</v>
      </c>
      <c r="B14" s="521" t="s">
        <v>7527</v>
      </c>
      <c r="C14" s="556" t="s">
        <v>7528</v>
      </c>
      <c r="D14" s="565"/>
      <c r="E14" s="1636" t="s">
        <v>7527</v>
      </c>
      <c r="F14" s="1638">
        <v>1</v>
      </c>
      <c r="G14" s="407"/>
      <c r="H14" s="561"/>
      <c r="I14" s="1951"/>
      <c r="J14" s="1478">
        <v>1</v>
      </c>
      <c r="K14" s="1951"/>
      <c r="L14" s="1951"/>
      <c r="M14" s="1469">
        <f t="shared" si="6"/>
        <v>0</v>
      </c>
      <c r="N14" s="1470">
        <f>LOOKUP(J14,'Idemat Data'!$AK$4:$AK$19,'Idemat Data'!$AN$4:$AN$19)*K14+IF(J14=2,LOOKUP(' Preparation'!$F$6,Pol.Data!$A$47:$A$239,Pol.Data!$C$47:$C$239))*L14</f>
        <v>0</v>
      </c>
      <c r="O14" s="1951"/>
      <c r="P14" s="1951"/>
      <c r="Q14" s="1477">
        <f t="shared" si="0"/>
        <v>0</v>
      </c>
      <c r="R14" s="1477">
        <f t="shared" si="12"/>
        <v>0</v>
      </c>
      <c r="T14" s="1951"/>
      <c r="U14" s="1478">
        <v>1</v>
      </c>
      <c r="V14" s="1951"/>
      <c r="W14" s="1951"/>
      <c r="X14" s="1469">
        <f t="shared" si="1"/>
        <v>0</v>
      </c>
      <c r="Y14" s="1469">
        <f>LOOKUP(U14,'Idemat Data'!$AK$4:$AK$19,'Idemat Data'!$AN$4:$AN$19)*V14+IF(U14=3,LOOKUP(' Preparation'!$F$6,Pol.Data!$A$47:$A$238,Pol.Data!$C$47:$C$239))*W14</f>
        <v>0</v>
      </c>
      <c r="Z14" s="1951"/>
      <c r="AA14" s="1952"/>
      <c r="AB14" s="1477">
        <f t="shared" si="2"/>
        <v>0</v>
      </c>
      <c r="AC14" s="1477">
        <f t="shared" si="13"/>
        <v>0</v>
      </c>
      <c r="AE14" s="1474" t="s">
        <v>5855</v>
      </c>
      <c r="AF14" s="1475">
        <f>P!K39</f>
        <v>30.74</v>
      </c>
      <c r="AG14" s="1950"/>
      <c r="AH14" s="1469">
        <f t="shared" si="3"/>
        <v>0</v>
      </c>
      <c r="AI14" s="1473">
        <f t="shared" si="8"/>
        <v>0</v>
      </c>
      <c r="AJ14" s="1949"/>
      <c r="AK14" s="1948"/>
      <c r="AL14" s="1471">
        <f t="shared" si="9"/>
        <v>0</v>
      </c>
      <c r="AM14" s="1471">
        <f t="shared" si="10"/>
        <v>0</v>
      </c>
      <c r="AO14" s="1949"/>
      <c r="AP14" s="1469">
        <f t="shared" si="4"/>
        <v>0</v>
      </c>
      <c r="AQ14" s="1473">
        <f t="shared" si="7"/>
        <v>0</v>
      </c>
      <c r="AR14" s="1949"/>
      <c r="AS14" s="1948"/>
      <c r="AT14" s="1471">
        <f t="shared" si="5"/>
        <v>0</v>
      </c>
      <c r="AU14" s="1471">
        <f t="shared" si="11"/>
        <v>0</v>
      </c>
    </row>
    <row r="15" spans="1:47" ht="62.25" customHeight="1" thickBot="1" x14ac:dyDescent="0.4">
      <c r="A15" s="564" t="s">
        <v>7460</v>
      </c>
      <c r="B15" s="521" t="s">
        <v>7543</v>
      </c>
      <c r="C15" s="1186" t="s">
        <v>8569</v>
      </c>
      <c r="D15" s="1637" t="s">
        <v>8036</v>
      </c>
      <c r="E15" s="1641" t="s">
        <v>7526</v>
      </c>
      <c r="F15" s="1445" t="str">
        <f>IF($F$14=1,"",IF($F$14=2,$AU$24,$AM$24))</f>
        <v/>
      </c>
      <c r="G15" s="407"/>
      <c r="H15" s="561"/>
      <c r="I15" s="1953"/>
      <c r="J15" s="1954">
        <v>1</v>
      </c>
      <c r="K15" s="1953"/>
      <c r="L15" s="1953"/>
      <c r="M15" s="1469">
        <f t="shared" si="6"/>
        <v>0</v>
      </c>
      <c r="N15" s="1470">
        <f>LOOKUP(J15,'Idemat Data'!$AK$4:$AK$19,'Idemat Data'!$AN$4:$AN$19)*K15+IF(J15=2,LOOKUP(' Preparation'!$F$6,Pol.Data!$A$47:$A$239,Pol.Data!$C$47:$C$239))*L15</f>
        <v>0</v>
      </c>
      <c r="O15" s="1955"/>
      <c r="P15" s="1955"/>
      <c r="Q15" s="1477">
        <f t="shared" si="0"/>
        <v>0</v>
      </c>
      <c r="R15" s="1477">
        <f t="shared" si="12"/>
        <v>0</v>
      </c>
      <c r="T15" s="1951"/>
      <c r="U15" s="1954">
        <v>1</v>
      </c>
      <c r="V15" s="1951"/>
      <c r="W15" s="1951"/>
      <c r="X15" s="1469">
        <f t="shared" si="1"/>
        <v>0</v>
      </c>
      <c r="Y15" s="1469">
        <f>LOOKUP(U15,'Idemat Data'!$AK$4:$AK$19,'Idemat Data'!$AN$4:$AN$19)*V15+IF(U15=3,LOOKUP(' Preparation'!$F$6,Pol.Data!$A$47:$A$238,Pol.Data!$C$47:$C$239))*W15</f>
        <v>0</v>
      </c>
      <c r="Z15" s="1951"/>
      <c r="AA15" s="1952"/>
      <c r="AB15" s="1477">
        <f t="shared" si="2"/>
        <v>0</v>
      </c>
      <c r="AC15" s="1477">
        <f t="shared" si="13"/>
        <v>0</v>
      </c>
      <c r="AE15" s="1474" t="s">
        <v>7534</v>
      </c>
      <c r="AF15" s="1475">
        <f>P!K40</f>
        <v>7.98</v>
      </c>
      <c r="AG15" s="1950"/>
      <c r="AH15" s="1469">
        <f t="shared" si="3"/>
        <v>0</v>
      </c>
      <c r="AI15" s="1473">
        <f t="shared" si="8"/>
        <v>0</v>
      </c>
      <c r="AJ15" s="1949"/>
      <c r="AK15" s="1948"/>
      <c r="AL15" s="1471">
        <f t="shared" si="9"/>
        <v>0</v>
      </c>
      <c r="AM15" s="1471">
        <f t="shared" si="10"/>
        <v>0</v>
      </c>
      <c r="AO15" s="1949"/>
      <c r="AP15" s="1469">
        <f t="shared" si="4"/>
        <v>0</v>
      </c>
      <c r="AQ15" s="1473">
        <f t="shared" si="7"/>
        <v>0</v>
      </c>
      <c r="AR15" s="1949"/>
      <c r="AS15" s="1948"/>
      <c r="AT15" s="1471">
        <f t="shared" si="5"/>
        <v>0</v>
      </c>
      <c r="AU15" s="1471">
        <f t="shared" si="11"/>
        <v>0</v>
      </c>
    </row>
    <row r="16" spans="1:47" ht="37" customHeight="1" thickTop="1" thickBot="1" x14ac:dyDescent="0.4">
      <c r="A16" s="564" t="s">
        <v>8135</v>
      </c>
      <c r="B16" s="571" t="s">
        <v>272</v>
      </c>
      <c r="C16" s="558" t="s">
        <v>8699</v>
      </c>
      <c r="E16" s="1636" t="s">
        <v>8447</v>
      </c>
      <c r="F16" s="734" t="str">
        <f>IF($F$13=1,"",IF($F$13=3,0,$F$15))</f>
        <v/>
      </c>
      <c r="G16" s="407"/>
      <c r="H16" s="561"/>
      <c r="I16" s="727"/>
      <c r="J16" s="727"/>
      <c r="K16" s="727"/>
      <c r="L16" s="727"/>
      <c r="M16" s="727"/>
      <c r="N16" s="1479"/>
      <c r="O16" s="727"/>
      <c r="P16" s="727"/>
      <c r="Q16" s="1480"/>
      <c r="R16" s="1480"/>
      <c r="T16" s="727"/>
      <c r="U16" s="727"/>
      <c r="V16" s="727"/>
      <c r="W16" s="727"/>
      <c r="X16" s="727"/>
      <c r="Y16" s="727"/>
      <c r="Z16" s="727"/>
      <c r="AA16" s="727"/>
      <c r="AB16" s="1480"/>
      <c r="AC16" s="1480"/>
      <c r="AE16" s="1474" t="s">
        <v>7535</v>
      </c>
      <c r="AF16" s="1475">
        <f>P!K41</f>
        <v>7.98</v>
      </c>
      <c r="AG16" s="1950"/>
      <c r="AH16" s="1469">
        <f t="shared" si="3"/>
        <v>0</v>
      </c>
      <c r="AI16" s="1473">
        <f t="shared" ref="AI16:AI21" si="14">AF16*AG16</f>
        <v>0</v>
      </c>
      <c r="AJ16" s="1949"/>
      <c r="AK16" s="1948"/>
      <c r="AL16" s="1471">
        <f t="shared" ref="AL16:AL21" si="15">AJ16*AK16+(1-AK16)*AI16</f>
        <v>0</v>
      </c>
      <c r="AM16" s="1471">
        <f t="shared" ref="AM16:AM21" si="16">AH16*AL16</f>
        <v>0</v>
      </c>
      <c r="AO16" s="1949"/>
      <c r="AP16" s="1469">
        <f t="shared" si="4"/>
        <v>0</v>
      </c>
      <c r="AQ16" s="1473">
        <f t="shared" si="7"/>
        <v>0</v>
      </c>
      <c r="AR16" s="1949"/>
      <c r="AS16" s="1948"/>
      <c r="AT16" s="1471">
        <f t="shared" si="5"/>
        <v>0</v>
      </c>
      <c r="AU16" s="1471">
        <f t="shared" ref="AU16:AU21" si="17">AP16*AT16</f>
        <v>0</v>
      </c>
    </row>
    <row r="17" spans="1:47" ht="22.5" customHeight="1" thickTop="1" thickBot="1" x14ac:dyDescent="0.4">
      <c r="A17" s="1481"/>
      <c r="B17" s="1818" t="s">
        <v>8585</v>
      </c>
      <c r="C17" s="1818"/>
      <c r="D17" s="1818"/>
      <c r="E17" s="1818"/>
      <c r="F17" s="1818"/>
      <c r="G17" s="1482"/>
      <c r="H17" s="561"/>
      <c r="K17" s="1102"/>
      <c r="L17" s="1102"/>
      <c r="M17" s="1444"/>
      <c r="N17" s="1378"/>
      <c r="O17" s="1102"/>
      <c r="P17" s="1483" t="s">
        <v>7462</v>
      </c>
      <c r="Q17" s="1484"/>
      <c r="R17" s="1174">
        <f>SUM(R5:R15)</f>
        <v>0</v>
      </c>
      <c r="Z17" s="1816" t="s">
        <v>7463</v>
      </c>
      <c r="AA17" s="1816"/>
      <c r="AB17" s="1817"/>
      <c r="AC17" s="1485">
        <f>SUM(AC5:AC15)</f>
        <v>0</v>
      </c>
      <c r="AE17" s="1474" t="s">
        <v>4707</v>
      </c>
      <c r="AF17" s="1475">
        <f>P!K42</f>
        <v>35</v>
      </c>
      <c r="AG17" s="1950"/>
      <c r="AH17" s="1469">
        <f t="shared" si="3"/>
        <v>0</v>
      </c>
      <c r="AI17" s="1473">
        <f t="shared" si="14"/>
        <v>0</v>
      </c>
      <c r="AJ17" s="1949"/>
      <c r="AK17" s="1948"/>
      <c r="AL17" s="1471">
        <f t="shared" si="15"/>
        <v>0</v>
      </c>
      <c r="AM17" s="1471">
        <f t="shared" si="16"/>
        <v>0</v>
      </c>
      <c r="AO17" s="1949"/>
      <c r="AP17" s="1469">
        <f t="shared" si="4"/>
        <v>0</v>
      </c>
      <c r="AQ17" s="1473">
        <f t="shared" si="7"/>
        <v>0</v>
      </c>
      <c r="AR17" s="1949"/>
      <c r="AS17" s="1948"/>
      <c r="AT17" s="1471">
        <f t="shared" si="5"/>
        <v>0</v>
      </c>
      <c r="AU17" s="1471">
        <f t="shared" si="17"/>
        <v>0</v>
      </c>
    </row>
    <row r="18" spans="1:47" ht="46" customHeight="1" thickTop="1" thickBot="1" x14ac:dyDescent="0.4">
      <c r="A18" s="1486" t="s">
        <v>7337</v>
      </c>
      <c r="B18" s="1487" t="s">
        <v>7588</v>
      </c>
      <c r="C18" s="1488" t="s">
        <v>7603</v>
      </c>
      <c r="D18" s="1488" t="s">
        <v>76</v>
      </c>
      <c r="E18" s="1489" t="s">
        <v>7589</v>
      </c>
      <c r="F18" s="1488">
        <v>1</v>
      </c>
      <c r="G18" s="1490" t="str">
        <f>IF($F$18=1,"",IF($F$18=2,"Goto UP 2","Goto UP 16"))</f>
        <v/>
      </c>
      <c r="H18" s="561"/>
      <c r="K18" s="1102"/>
      <c r="L18" s="1102"/>
      <c r="M18" s="1444"/>
      <c r="N18" s="1378"/>
      <c r="O18" s="1102"/>
      <c r="P18" s="1443"/>
      <c r="Q18" s="1103"/>
      <c r="R18" s="1103"/>
      <c r="AB18" s="1378"/>
      <c r="AC18" s="1378"/>
      <c r="AE18" s="1474" t="s">
        <v>8688</v>
      </c>
      <c r="AF18" s="1475">
        <f>P!K43</f>
        <v>32660000</v>
      </c>
      <c r="AG18" s="1950"/>
      <c r="AH18" s="1469">
        <f t="shared" si="3"/>
        <v>0</v>
      </c>
      <c r="AI18" s="1473">
        <f t="shared" si="14"/>
        <v>0</v>
      </c>
      <c r="AJ18" s="1949"/>
      <c r="AK18" s="1948"/>
      <c r="AL18" s="1471">
        <f t="shared" si="15"/>
        <v>0</v>
      </c>
      <c r="AM18" s="1471">
        <f t="shared" si="16"/>
        <v>0</v>
      </c>
      <c r="AO18" s="1949"/>
      <c r="AP18" s="1469">
        <f t="shared" si="4"/>
        <v>0</v>
      </c>
      <c r="AQ18" s="1473">
        <f t="shared" si="7"/>
        <v>0</v>
      </c>
      <c r="AR18" s="1949"/>
      <c r="AS18" s="1948"/>
      <c r="AT18" s="1471">
        <f t="shared" si="5"/>
        <v>0</v>
      </c>
      <c r="AU18" s="1471">
        <f t="shared" si="17"/>
        <v>0</v>
      </c>
    </row>
    <row r="19" spans="1:47" ht="60" customHeight="1" thickBot="1" x14ac:dyDescent="0.4">
      <c r="A19" s="1491" t="s">
        <v>7340</v>
      </c>
      <c r="B19" s="1171" t="s">
        <v>33</v>
      </c>
      <c r="C19" s="1478" t="s">
        <v>8574</v>
      </c>
      <c r="D19" s="1478" t="s">
        <v>7985</v>
      </c>
      <c r="E19" s="1492" t="s">
        <v>7991</v>
      </c>
      <c r="F19" s="1956"/>
      <c r="G19" s="1132"/>
      <c r="H19" s="561"/>
      <c r="K19" s="1102"/>
      <c r="L19" s="1102"/>
      <c r="M19" s="1444"/>
      <c r="N19" s="1378"/>
      <c r="O19" s="1102"/>
      <c r="P19" s="1443"/>
      <c r="Q19" s="1103"/>
      <c r="R19" s="1103"/>
      <c r="AB19" s="1378"/>
      <c r="AC19" s="1378"/>
      <c r="AE19" s="1474" t="s">
        <v>7539</v>
      </c>
      <c r="AF19" s="1950"/>
      <c r="AG19" s="1949"/>
      <c r="AH19" s="1469">
        <f t="shared" si="3"/>
        <v>0</v>
      </c>
      <c r="AI19" s="1473">
        <f t="shared" si="14"/>
        <v>0</v>
      </c>
      <c r="AJ19" s="1949"/>
      <c r="AK19" s="1948"/>
      <c r="AL19" s="1471">
        <f t="shared" si="15"/>
        <v>0</v>
      </c>
      <c r="AM19" s="1471">
        <f t="shared" si="16"/>
        <v>0</v>
      </c>
      <c r="AO19" s="1949"/>
      <c r="AP19" s="1469">
        <f t="shared" si="4"/>
        <v>0</v>
      </c>
      <c r="AQ19" s="1473">
        <f t="shared" si="7"/>
        <v>0</v>
      </c>
      <c r="AR19" s="1949"/>
      <c r="AS19" s="1948"/>
      <c r="AT19" s="1471">
        <f t="shared" si="5"/>
        <v>0</v>
      </c>
      <c r="AU19" s="1471">
        <f t="shared" si="17"/>
        <v>0</v>
      </c>
    </row>
    <row r="20" spans="1:47" ht="41.25" customHeight="1" thickBot="1" x14ac:dyDescent="0.4">
      <c r="A20" s="1491"/>
      <c r="B20" s="523"/>
      <c r="C20" s="727"/>
      <c r="D20" s="727"/>
      <c r="E20" s="523"/>
      <c r="F20" s="523"/>
      <c r="G20" s="1132"/>
      <c r="K20" s="1102"/>
      <c r="L20" s="1102"/>
      <c r="M20" s="1444"/>
      <c r="N20" s="1378"/>
      <c r="O20" s="1102"/>
      <c r="P20" s="1443"/>
      <c r="Q20" s="1103"/>
      <c r="R20" s="1103"/>
      <c r="AB20" s="1378"/>
      <c r="AC20" s="1378"/>
      <c r="AE20" s="1474" t="s">
        <v>7540</v>
      </c>
      <c r="AF20" s="1950"/>
      <c r="AG20" s="1949"/>
      <c r="AH20" s="1469">
        <f t="shared" si="3"/>
        <v>0</v>
      </c>
      <c r="AI20" s="1473">
        <f t="shared" si="14"/>
        <v>0</v>
      </c>
      <c r="AJ20" s="1949"/>
      <c r="AK20" s="1948"/>
      <c r="AL20" s="1471">
        <f t="shared" si="15"/>
        <v>0</v>
      </c>
      <c r="AM20" s="1471">
        <f t="shared" si="16"/>
        <v>0</v>
      </c>
      <c r="AO20" s="1949"/>
      <c r="AP20" s="1469">
        <f t="shared" si="4"/>
        <v>0</v>
      </c>
      <c r="AQ20" s="1473">
        <f t="shared" si="7"/>
        <v>0</v>
      </c>
      <c r="AR20" s="1949"/>
      <c r="AS20" s="1948"/>
      <c r="AT20" s="1471">
        <f t="shared" si="5"/>
        <v>0</v>
      </c>
      <c r="AU20" s="1471">
        <f t="shared" si="17"/>
        <v>0</v>
      </c>
    </row>
    <row r="21" spans="1:47" ht="21.75" customHeight="1" thickBot="1" x14ac:dyDescent="0.4">
      <c r="A21" s="1481"/>
      <c r="B21" s="1812" t="s">
        <v>7604</v>
      </c>
      <c r="C21" s="1812"/>
      <c r="D21" s="1493"/>
      <c r="E21" s="1493"/>
      <c r="F21" s="1493"/>
      <c r="G21" s="1482"/>
      <c r="K21" s="1102"/>
      <c r="L21" s="1102"/>
      <c r="M21" s="1444"/>
      <c r="N21" s="1378"/>
      <c r="O21" s="1102"/>
      <c r="P21" s="1443"/>
      <c r="Q21" s="1103"/>
      <c r="R21" s="1103"/>
      <c r="AB21" s="1378"/>
      <c r="AC21" s="1378"/>
      <c r="AE21" s="1474" t="s">
        <v>7541</v>
      </c>
      <c r="AF21" s="1950"/>
      <c r="AG21" s="1949"/>
      <c r="AH21" s="1469">
        <f t="shared" si="3"/>
        <v>0</v>
      </c>
      <c r="AI21" s="1473">
        <f t="shared" si="14"/>
        <v>0</v>
      </c>
      <c r="AJ21" s="1949"/>
      <c r="AK21" s="1948"/>
      <c r="AL21" s="1471">
        <f t="shared" si="15"/>
        <v>0</v>
      </c>
      <c r="AM21" s="1471">
        <f t="shared" si="16"/>
        <v>0</v>
      </c>
      <c r="AO21" s="1949"/>
      <c r="AP21" s="1469">
        <f t="shared" si="4"/>
        <v>0</v>
      </c>
      <c r="AQ21" s="1473">
        <f t="shared" si="7"/>
        <v>0</v>
      </c>
      <c r="AR21" s="1949"/>
      <c r="AS21" s="1948"/>
      <c r="AT21" s="1471">
        <f t="shared" si="5"/>
        <v>0</v>
      </c>
      <c r="AU21" s="1471">
        <f t="shared" si="17"/>
        <v>0</v>
      </c>
    </row>
    <row r="22" spans="1:47" ht="2.25" customHeight="1" x14ac:dyDescent="0.35">
      <c r="A22" s="1481"/>
      <c r="B22" s="1640"/>
      <c r="C22" s="1640"/>
      <c r="D22" s="1493"/>
      <c r="E22" s="1493"/>
      <c r="F22" s="1493"/>
      <c r="G22" s="1482"/>
      <c r="K22" s="1102"/>
      <c r="L22" s="1102"/>
      <c r="M22" s="1444"/>
      <c r="N22" s="1378"/>
      <c r="O22" s="1102"/>
      <c r="P22" s="1443"/>
      <c r="Q22" s="1103"/>
      <c r="R22" s="1103"/>
      <c r="AB22" s="1378"/>
      <c r="AC22" s="1378"/>
      <c r="AE22" s="1637"/>
      <c r="AF22" s="1637"/>
      <c r="AG22" s="1637"/>
      <c r="AH22" s="1637"/>
      <c r="AI22" s="1637"/>
      <c r="AJ22" s="1637"/>
      <c r="AK22" s="1637"/>
      <c r="AL22" s="1637"/>
      <c r="AM22" s="1637"/>
      <c r="AN22" s="1637"/>
      <c r="AO22" s="1637"/>
      <c r="AP22" s="1637"/>
      <c r="AQ22" s="1637"/>
      <c r="AR22" s="1637"/>
      <c r="AS22" s="1637"/>
      <c r="AT22" s="1637"/>
      <c r="AU22" s="1637"/>
    </row>
    <row r="23" spans="1:47" ht="34.5" customHeight="1" thickBot="1" x14ac:dyDescent="0.4">
      <c r="A23" s="1491" t="s">
        <v>7341</v>
      </c>
      <c r="B23" s="521" t="s">
        <v>36</v>
      </c>
      <c r="C23" s="727" t="s">
        <v>8702</v>
      </c>
      <c r="D23" s="1117" t="s">
        <v>7348</v>
      </c>
      <c r="E23" s="523" t="s">
        <v>7590</v>
      </c>
      <c r="F23" s="1439" t="s">
        <v>7339</v>
      </c>
      <c r="G23" s="1132"/>
      <c r="K23" s="1102"/>
      <c r="L23" s="1102"/>
      <c r="M23" s="1444"/>
      <c r="N23" s="1378"/>
      <c r="O23" s="1102"/>
      <c r="P23" s="1443"/>
      <c r="Q23" s="1103"/>
      <c r="R23" s="1103"/>
      <c r="AB23" s="1378"/>
      <c r="AC23" s="1378"/>
      <c r="AE23" s="1637"/>
      <c r="AG23" s="1378"/>
      <c r="AH23" s="1494"/>
      <c r="AI23" s="1378"/>
      <c r="AJ23" s="1378"/>
      <c r="AK23" s="1337"/>
      <c r="AL23" s="1378"/>
      <c r="AM23" s="1378"/>
    </row>
    <row r="24" spans="1:47" ht="49.5" customHeight="1" thickTop="1" thickBot="1" x14ac:dyDescent="0.4">
      <c r="A24" s="1491" t="s">
        <v>7342</v>
      </c>
      <c r="B24" s="521" t="s">
        <v>37</v>
      </c>
      <c r="C24" s="727" t="s">
        <v>8575</v>
      </c>
      <c r="D24" s="1303" t="s">
        <v>7993</v>
      </c>
      <c r="E24" s="523" t="s">
        <v>7591</v>
      </c>
      <c r="F24" s="1439" t="s">
        <v>7613</v>
      </c>
      <c r="G24" s="1132"/>
      <c r="K24" s="1102"/>
      <c r="L24" s="1102"/>
      <c r="M24" s="1444"/>
      <c r="N24" s="1378"/>
      <c r="O24" s="1102"/>
      <c r="P24" s="1443"/>
      <c r="Q24" s="1103"/>
      <c r="R24" s="1103"/>
      <c r="AB24" s="1378"/>
      <c r="AC24" s="1378"/>
      <c r="AE24" s="1637"/>
      <c r="AG24" s="1378"/>
      <c r="AH24" s="1494"/>
      <c r="AI24" s="1378"/>
      <c r="AJ24" s="1483" t="s">
        <v>8564</v>
      </c>
      <c r="AL24" s="1495"/>
      <c r="AM24" s="1174">
        <f>SUM(AM5:AM22)</f>
        <v>0</v>
      </c>
      <c r="AR24" s="1483" t="s">
        <v>8564</v>
      </c>
      <c r="AT24" s="1495"/>
      <c r="AU24" s="1174">
        <f>SUM(AU5:AU22)</f>
        <v>0</v>
      </c>
    </row>
    <row r="25" spans="1:47" ht="60" customHeight="1" thickTop="1" x14ac:dyDescent="0.35">
      <c r="A25" s="1491" t="s">
        <v>7343</v>
      </c>
      <c r="B25" s="521" t="s">
        <v>7992</v>
      </c>
      <c r="C25" s="522" t="s">
        <v>8704</v>
      </c>
      <c r="D25" s="1117" t="s">
        <v>8577</v>
      </c>
      <c r="E25" s="523" t="s">
        <v>7994</v>
      </c>
      <c r="F25" s="1439" t="s">
        <v>8602</v>
      </c>
      <c r="G25" s="1496"/>
    </row>
    <row r="26" spans="1:47" ht="32.5" customHeight="1" x14ac:dyDescent="0.35">
      <c r="A26" s="1491" t="s">
        <v>7344</v>
      </c>
      <c r="B26" s="521" t="s">
        <v>7995</v>
      </c>
      <c r="C26" s="727" t="s">
        <v>8705</v>
      </c>
      <c r="D26" s="1117" t="s">
        <v>8604</v>
      </c>
      <c r="E26" s="523" t="s">
        <v>8329</v>
      </c>
      <c r="F26" s="1439" t="s">
        <v>8603</v>
      </c>
      <c r="G26" s="1496"/>
    </row>
    <row r="27" spans="1:47" ht="33" customHeight="1" thickBot="1" x14ac:dyDescent="0.4">
      <c r="A27" s="1491" t="s">
        <v>7345</v>
      </c>
      <c r="B27" s="521" t="s">
        <v>26</v>
      </c>
      <c r="C27" s="727" t="s">
        <v>8598</v>
      </c>
      <c r="D27" s="1117"/>
      <c r="E27" s="523" t="s">
        <v>78</v>
      </c>
      <c r="F27" s="1957"/>
      <c r="G27" s="1496"/>
    </row>
    <row r="28" spans="1:47" ht="29.25" customHeight="1" thickBot="1" x14ac:dyDescent="0.4">
      <c r="A28" s="1491" t="s">
        <v>7346</v>
      </c>
      <c r="B28" s="521" t="s">
        <v>7349</v>
      </c>
      <c r="C28" s="1497" t="s">
        <v>7602</v>
      </c>
      <c r="D28" s="1117" t="s">
        <v>7759</v>
      </c>
      <c r="E28" s="523" t="s">
        <v>7953</v>
      </c>
      <c r="F28" s="1329" t="str">
        <f>IF(F18=1,"",$F$27)</f>
        <v/>
      </c>
      <c r="G28" s="1132"/>
    </row>
    <row r="29" spans="1:47" ht="19.5" customHeight="1" x14ac:dyDescent="0.35">
      <c r="A29" s="1491"/>
      <c r="B29" s="523"/>
      <c r="C29" s="1497"/>
      <c r="D29" s="1117"/>
      <c r="E29" s="523"/>
      <c r="F29" s="1498"/>
      <c r="G29" s="1132"/>
    </row>
    <row r="30" spans="1:47" ht="18" customHeight="1" x14ac:dyDescent="0.35">
      <c r="A30" s="1499"/>
      <c r="B30" s="1812" t="s">
        <v>7587</v>
      </c>
      <c r="C30" s="1812"/>
      <c r="D30" s="1499"/>
      <c r="E30" s="1493"/>
      <c r="F30" s="1493"/>
      <c r="G30" s="1482"/>
    </row>
    <row r="31" spans="1:47" ht="32.25" customHeight="1" x14ac:dyDescent="0.35">
      <c r="A31" s="1491" t="s">
        <v>7347</v>
      </c>
      <c r="B31" s="521" t="s">
        <v>7996</v>
      </c>
      <c r="C31" s="727" t="s">
        <v>8706</v>
      </c>
      <c r="D31" s="1117" t="s">
        <v>7760</v>
      </c>
      <c r="E31" s="523" t="s">
        <v>8001</v>
      </c>
      <c r="F31" s="1439" t="s">
        <v>8707</v>
      </c>
      <c r="G31" s="1132"/>
    </row>
    <row r="32" spans="1:47" ht="48" customHeight="1" x14ac:dyDescent="0.35">
      <c r="A32" s="1491" t="s">
        <v>7605</v>
      </c>
      <c r="B32" s="521" t="s">
        <v>7614</v>
      </c>
      <c r="C32" s="1123" t="s">
        <v>8599</v>
      </c>
      <c r="D32" s="1117" t="s">
        <v>7611</v>
      </c>
      <c r="E32" s="523" t="s">
        <v>8007</v>
      </c>
      <c r="F32" s="1439" t="s">
        <v>8708</v>
      </c>
      <c r="G32" s="1132"/>
    </row>
    <row r="33" spans="1:9" ht="47.25" customHeight="1" x14ac:dyDescent="0.35">
      <c r="A33" s="1491" t="s">
        <v>7606</v>
      </c>
      <c r="B33" s="521" t="s">
        <v>7610</v>
      </c>
      <c r="C33" s="1123" t="s">
        <v>8600</v>
      </c>
      <c r="D33" s="1117" t="s">
        <v>7612</v>
      </c>
      <c r="E33" s="523" t="s">
        <v>7610</v>
      </c>
      <c r="F33" s="1439" t="s">
        <v>7610</v>
      </c>
      <c r="G33" s="1132"/>
    </row>
    <row r="34" spans="1:9" ht="43.5" customHeight="1" thickBot="1" x14ac:dyDescent="0.4">
      <c r="A34" s="1491" t="s">
        <v>7607</v>
      </c>
      <c r="B34" s="521" t="s">
        <v>7350</v>
      </c>
      <c r="C34" s="727" t="s">
        <v>8578</v>
      </c>
      <c r="D34" s="1117" t="s">
        <v>76</v>
      </c>
      <c r="E34" s="523" t="s">
        <v>8008</v>
      </c>
      <c r="F34" s="1500" t="s">
        <v>8005</v>
      </c>
      <c r="G34" s="1496"/>
    </row>
    <row r="35" spans="1:9" ht="35.25" customHeight="1" thickTop="1" thickBot="1" x14ac:dyDescent="0.4">
      <c r="A35" s="1491" t="s">
        <v>7608</v>
      </c>
      <c r="B35" s="521" t="s">
        <v>26</v>
      </c>
      <c r="C35" s="727" t="s">
        <v>8709</v>
      </c>
      <c r="D35" s="1117"/>
      <c r="E35" s="523" t="s">
        <v>8353</v>
      </c>
      <c r="F35" s="1174" t="str">
        <f>IF($F$18=1,"",IF($F$18=3,0,$F$35))</f>
        <v/>
      </c>
      <c r="G35" s="1496"/>
    </row>
    <row r="36" spans="1:9" ht="20.25" customHeight="1" thickTop="1" thickBot="1" x14ac:dyDescent="0.4">
      <c r="A36" s="1130"/>
      <c r="B36" s="727"/>
      <c r="C36" s="727"/>
      <c r="D36" s="727"/>
      <c r="E36" s="727"/>
      <c r="F36" s="727"/>
      <c r="G36" s="1132"/>
    </row>
    <row r="37" spans="1:9" ht="31.5" customHeight="1" thickTop="1" thickBot="1" x14ac:dyDescent="0.4">
      <c r="A37" s="1501" t="s">
        <v>8710</v>
      </c>
      <c r="B37" s="1502" t="s">
        <v>26</v>
      </c>
      <c r="C37" s="1202" t="s">
        <v>7615</v>
      </c>
      <c r="D37" s="1141"/>
      <c r="E37" s="1503" t="s">
        <v>8353</v>
      </c>
      <c r="F37" s="1174">
        <f>IF(F10="",0,F10)+IF(F16="",0,F16)+IF(F35="",0,F35)</f>
        <v>0</v>
      </c>
      <c r="G37" s="1504"/>
    </row>
    <row r="38" spans="1:9" ht="20.25" customHeight="1" x14ac:dyDescent="0.35">
      <c r="B38" s="1505"/>
      <c r="C38" s="1505"/>
      <c r="D38" s="1702"/>
      <c r="E38" s="1702"/>
      <c r="F38" s="1702"/>
    </row>
    <row r="39" spans="1:9" ht="20.25" customHeight="1" x14ac:dyDescent="0.35">
      <c r="B39" s="1505"/>
      <c r="C39" s="1505"/>
      <c r="D39" s="1702" t="str">
        <f>IF($F$18=1,"no data included for Use-Pollution","")</f>
        <v>no data included for Use-Pollution</v>
      </c>
      <c r="E39" s="1702"/>
      <c r="F39" s="1702"/>
    </row>
    <row r="40" spans="1:9" ht="20.25" customHeight="1" x14ac:dyDescent="0.35">
      <c r="B40" s="1505"/>
      <c r="C40" s="1505"/>
      <c r="D40" s="1627"/>
      <c r="E40" s="1627"/>
      <c r="F40" s="1627"/>
    </row>
    <row r="41" spans="1:9" ht="20.25" customHeight="1" x14ac:dyDescent="0.35"/>
    <row r="42" spans="1:9" ht="49.5" customHeight="1" thickBot="1" x14ac:dyDescent="0.4"/>
    <row r="43" spans="1:9" ht="20.25" customHeight="1" x14ac:dyDescent="0.35">
      <c r="B43" s="1506" t="s">
        <v>8006</v>
      </c>
      <c r="C43" s="1808" t="s">
        <v>8576</v>
      </c>
      <c r="D43" s="1809"/>
      <c r="E43" s="1809"/>
      <c r="F43" s="1809"/>
      <c r="G43" s="1809"/>
      <c r="H43" s="1809"/>
      <c r="I43" s="1810"/>
    </row>
    <row r="44" spans="1:9" ht="59.5" customHeight="1" x14ac:dyDescent="0.35">
      <c r="A44" s="1213"/>
      <c r="B44" s="820"/>
      <c r="C44" s="1507" t="s">
        <v>8271</v>
      </c>
      <c r="D44" s="1508" t="s">
        <v>8703</v>
      </c>
      <c r="E44" s="1508" t="s">
        <v>8452</v>
      </c>
      <c r="F44" s="1508" t="s">
        <v>8453</v>
      </c>
      <c r="G44" s="1508" t="s">
        <v>5833</v>
      </c>
      <c r="H44" s="1508" t="s">
        <v>7609</v>
      </c>
      <c r="I44" s="1509" t="s">
        <v>8454</v>
      </c>
    </row>
    <row r="45" spans="1:9" ht="23.25" customHeight="1" x14ac:dyDescent="0.35">
      <c r="A45" s="1213"/>
      <c r="B45" s="820">
        <v>1</v>
      </c>
      <c r="C45" s="1958">
        <v>1</v>
      </c>
      <c r="D45" s="1959"/>
      <c r="E45" s="1510">
        <f>IF($B45=1,0,IF($B45=2,LOOKUP($C45,Pol.Data!$X$4:$X$7152,Pol.Data!$V$4:$V$7152),IF($B45=3,LOOKUP($C45,Pol.Data!$X$4:$X$7152,Pol.Data!$AA$4:$AA$7152),LOOKUP($C45,Pol.Data!$X$4:$X$7152,Pol.Data!$AF$4:$AF$7152))))</f>
        <v>0</v>
      </c>
      <c r="F45" s="1959"/>
      <c r="G45" s="1960"/>
      <c r="H45" s="1960"/>
      <c r="I45" s="1510">
        <f>$D45*((1-$H45)*($G45*$F45)+(1-$G45)*$E45)</f>
        <v>0</v>
      </c>
    </row>
    <row r="46" spans="1:9" ht="23.25" customHeight="1" x14ac:dyDescent="0.35">
      <c r="A46" s="1213"/>
      <c r="B46" s="820">
        <v>1</v>
      </c>
      <c r="C46" s="1961">
        <v>1</v>
      </c>
      <c r="D46" s="1959"/>
      <c r="E46" s="1510">
        <f>IF($B46=1,0,IF($B46=2,LOOKUP($C46,Pol.Data!$X$4:$X$7152,Pol.Data!$V$4:$V$7152),IF($B46=3,LOOKUP($C46,Pol.Data!$X$4:$X$7152,Pol.Data!$AA$4:$AA$7152),LOOKUP($C46,Pol.Data!$X$4:$X$7152,Pol.Data!$AF$4:$AF$7152))))</f>
        <v>0</v>
      </c>
      <c r="F46" s="1959"/>
      <c r="G46" s="1960"/>
      <c r="H46" s="1960"/>
      <c r="I46" s="1510">
        <f>$D46*((1-$H46)*($G46*$F46)+(1-$G46)*$E46)</f>
        <v>0</v>
      </c>
    </row>
    <row r="47" spans="1:9" ht="23.25" customHeight="1" x14ac:dyDescent="0.35">
      <c r="A47" s="1213"/>
      <c r="B47" s="820">
        <v>1</v>
      </c>
      <c r="C47" s="1961">
        <v>1</v>
      </c>
      <c r="D47" s="1959"/>
      <c r="E47" s="1510">
        <f>IF($B47=1,0,IF($B47=2,LOOKUP($C47,Pol.Data!$X$4:$X$7152,Pol.Data!$V$4:$V$7152),IF($B47=3,LOOKUP($C47,Pol.Data!$X$4:$X$7152,Pol.Data!$AA$4:$AA$7152),LOOKUP($C47,Pol.Data!$X$4:$X$7152,Pol.Data!$AF$4:$AF$7152))))</f>
        <v>0</v>
      </c>
      <c r="F47" s="1959"/>
      <c r="G47" s="1960"/>
      <c r="H47" s="1960"/>
      <c r="I47" s="1510">
        <f t="shared" ref="I47:I62" si="18">$D47*((1-$H47)*($G47*$F47)+(1-$G47)*$E47)</f>
        <v>0</v>
      </c>
    </row>
    <row r="48" spans="1:9" ht="23.25" customHeight="1" x14ac:dyDescent="0.35">
      <c r="A48" s="1213"/>
      <c r="B48" s="820">
        <v>1</v>
      </c>
      <c r="C48" s="1961">
        <v>1</v>
      </c>
      <c r="D48" s="1959"/>
      <c r="E48" s="1510">
        <f>IF($B48=1,0,IF($B48=2,LOOKUP($C48,Pol.Data!$X$4:$X$7152,Pol.Data!$V$4:$V$7152),IF($B48=3,LOOKUP($C48,Pol.Data!$X$4:$X$7152,Pol.Data!$AA$4:$AA$7152),LOOKUP($C48,Pol.Data!$X$4:$X$7152,Pol.Data!$AF$4:$AF$7152))))</f>
        <v>0</v>
      </c>
      <c r="F48" s="1959"/>
      <c r="G48" s="1960"/>
      <c r="H48" s="1960"/>
      <c r="I48" s="1510">
        <f t="shared" si="18"/>
        <v>0</v>
      </c>
    </row>
    <row r="49" spans="1:15" ht="23.25" customHeight="1" x14ac:dyDescent="0.35">
      <c r="A49" s="1213"/>
      <c r="B49" s="820">
        <v>1</v>
      </c>
      <c r="C49" s="1961">
        <v>1</v>
      </c>
      <c r="D49" s="1959"/>
      <c r="E49" s="1510">
        <f>IF($B49=1,0,IF($B49=2,LOOKUP($C49,Pol.Data!$X$4:$X$7152,Pol.Data!$V$4:$V$7152),IF($B49=3,LOOKUP($C49,Pol.Data!$X$4:$X$7152,Pol.Data!$AA$4:$AA$7152),LOOKUP($C49,Pol.Data!$X$4:$X$7152,Pol.Data!$AF$4:$AF$7152))))</f>
        <v>0</v>
      </c>
      <c r="F49" s="1959"/>
      <c r="G49" s="1960"/>
      <c r="H49" s="1960"/>
      <c r="I49" s="1510">
        <f t="shared" si="18"/>
        <v>0</v>
      </c>
    </row>
    <row r="50" spans="1:15" ht="23.25" customHeight="1" x14ac:dyDescent="0.35">
      <c r="A50" s="1213"/>
      <c r="B50" s="820">
        <v>1</v>
      </c>
      <c r="C50" s="1961">
        <v>1</v>
      </c>
      <c r="D50" s="1959"/>
      <c r="E50" s="1510">
        <f>IF($B50=1,0,IF($B50=2,LOOKUP($C50,Pol.Data!$X$4:$X$7152,Pol.Data!$V$4:$V$7152),IF($B50=3,LOOKUP($C50,Pol.Data!$X$4:$X$7152,Pol.Data!$AA$4:$AA$7152),LOOKUP($C50,Pol.Data!$X$4:$X$7152,Pol.Data!$AF$4:$AF$7152))))</f>
        <v>0</v>
      </c>
      <c r="F50" s="1959"/>
      <c r="G50" s="1960"/>
      <c r="H50" s="1960"/>
      <c r="I50" s="1510">
        <f t="shared" si="18"/>
        <v>0</v>
      </c>
    </row>
    <row r="51" spans="1:15" ht="23.25" customHeight="1" x14ac:dyDescent="0.35">
      <c r="A51" s="1213"/>
      <c r="B51" s="820">
        <v>1</v>
      </c>
      <c r="C51" s="1961">
        <v>1</v>
      </c>
      <c r="D51" s="1959"/>
      <c r="E51" s="1510">
        <f>IF($B51=1,0,IF($B51=2,LOOKUP($C51,Pol.Data!$X$4:$X$7152,Pol.Data!$V$4:$V$7152),IF($B51=3,LOOKUP($C51,Pol.Data!$X$4:$X$7152,Pol.Data!$AA$4:$AA$7152),LOOKUP($C51,Pol.Data!$X$4:$X$7152,Pol.Data!$AF$4:$AF$7152))))</f>
        <v>0</v>
      </c>
      <c r="F51" s="1959"/>
      <c r="G51" s="1960"/>
      <c r="H51" s="1960"/>
      <c r="I51" s="1510">
        <f t="shared" si="18"/>
        <v>0</v>
      </c>
    </row>
    <row r="52" spans="1:15" ht="23.25" customHeight="1" x14ac:dyDescent="0.35">
      <c r="A52" s="1213"/>
      <c r="B52" s="820">
        <v>1</v>
      </c>
      <c r="C52" s="1961">
        <v>1</v>
      </c>
      <c r="D52" s="1959"/>
      <c r="E52" s="1510">
        <f>IF($B52=1,0,IF($B52=2,LOOKUP($C52,Pol.Data!$X$4:$X$7152,Pol.Data!$V$4:$V$7152),IF($B52=3,LOOKUP($C52,Pol.Data!$X$4:$X$7152,Pol.Data!$AA$4:$AA$7152),LOOKUP($C52,Pol.Data!$X$4:$X$7152,Pol.Data!$AF$4:$AF$7152))))</f>
        <v>0</v>
      </c>
      <c r="F52" s="1959"/>
      <c r="G52" s="1960"/>
      <c r="H52" s="1960"/>
      <c r="I52" s="1510">
        <f t="shared" si="18"/>
        <v>0</v>
      </c>
    </row>
    <row r="53" spans="1:15" ht="23.25" customHeight="1" x14ac:dyDescent="0.35">
      <c r="A53" s="1213"/>
      <c r="B53" s="820">
        <v>1</v>
      </c>
      <c r="C53" s="1961">
        <v>1</v>
      </c>
      <c r="D53" s="1959"/>
      <c r="E53" s="1510">
        <f>IF($B53=1,0,IF($B53=2,LOOKUP($C53,Pol.Data!$X$4:$X$7152,Pol.Data!$V$4:$V$7152),IF($B53=3,LOOKUP($C53,Pol.Data!$X$4:$X$7152,Pol.Data!$AA$4:$AA$7152),LOOKUP($C53,Pol.Data!$X$4:$X$7152,Pol.Data!$AF$4:$AF$7152))))</f>
        <v>0</v>
      </c>
      <c r="F53" s="1959"/>
      <c r="G53" s="1960"/>
      <c r="H53" s="1960"/>
      <c r="I53" s="1510">
        <f t="shared" si="18"/>
        <v>0</v>
      </c>
    </row>
    <row r="54" spans="1:15" ht="23.25" customHeight="1" x14ac:dyDescent="0.35">
      <c r="A54" s="1213"/>
      <c r="B54" s="820">
        <v>1</v>
      </c>
      <c r="C54" s="1961">
        <v>4</v>
      </c>
      <c r="D54" s="1959"/>
      <c r="E54" s="1510">
        <f>IF($B54=1,0,IF($B54=2,LOOKUP($C54,Pol.Data!$X$4:$X$7152,Pol.Data!$V$4:$V$7152),IF($B54=3,LOOKUP($C54,Pol.Data!$X$4:$X$7152,Pol.Data!$AA$4:$AA$7152),LOOKUP($C54,Pol.Data!$X$4:$X$7152,Pol.Data!$AF$4:$AF$7152))))</f>
        <v>0</v>
      </c>
      <c r="F54" s="1959"/>
      <c r="G54" s="1960"/>
      <c r="H54" s="1960"/>
      <c r="I54" s="1510">
        <f t="shared" si="18"/>
        <v>0</v>
      </c>
    </row>
    <row r="55" spans="1:15" ht="23.25" customHeight="1" x14ac:dyDescent="0.35">
      <c r="A55" s="1213"/>
      <c r="B55" s="820">
        <v>1</v>
      </c>
      <c r="C55" s="1962">
        <v>1</v>
      </c>
      <c r="D55" s="1959"/>
      <c r="E55" s="1510">
        <f>IF($B55=1,0,IF($B55=2,LOOKUP($C55,Pol.Data!$X$4:$X$7152,Pol.Data!$V$4:$V$7152),IF($B55=3,LOOKUP($C55,Pol.Data!$X$4:$X$7152,Pol.Data!$AA$4:$AA$7152),LOOKUP($C55,Pol.Data!$X$4:$X$7152,Pol.Data!$AF$4:$AF$7152))))</f>
        <v>0</v>
      </c>
      <c r="F55" s="1959"/>
      <c r="G55" s="1960"/>
      <c r="H55" s="1960"/>
      <c r="I55" s="1510">
        <f t="shared" si="18"/>
        <v>0</v>
      </c>
    </row>
    <row r="56" spans="1:15" ht="23.25" customHeight="1" x14ac:dyDescent="0.35">
      <c r="A56" s="1213"/>
      <c r="B56" s="820"/>
      <c r="C56" s="1962">
        <v>1</v>
      </c>
      <c r="D56" s="1959"/>
      <c r="E56" s="1510">
        <f>IF($B56=1,0,IF($B56=2,LOOKUP($C56,Pol.Data!$X$4:$X$7152,Pol.Data!$V$4:$V$7152),IF($B56=3,LOOKUP($C56,Pol.Data!$X$4:$X$7152,Pol.Data!$AA$4:$AA$7152),LOOKUP($C56,Pol.Data!$X$4:$X$7152,Pol.Data!$AF$4:$AF$7152))))</f>
        <v>0</v>
      </c>
      <c r="F56" s="1959"/>
      <c r="G56" s="1960"/>
      <c r="H56" s="1960"/>
      <c r="I56" s="1510">
        <f t="shared" si="18"/>
        <v>0</v>
      </c>
    </row>
    <row r="57" spans="1:15" ht="23.25" customHeight="1" x14ac:dyDescent="0.35">
      <c r="A57" s="1213"/>
      <c r="B57" s="820">
        <v>1</v>
      </c>
      <c r="C57" s="1962">
        <v>1</v>
      </c>
      <c r="D57" s="1959"/>
      <c r="E57" s="1510">
        <f>IF($B57=1,0,IF($B57=2,LOOKUP($C57,Pol.Data!$X$4:$X$7152,Pol.Data!$V$4:$V$7152),IF($B57=3,LOOKUP($C57,Pol.Data!$X$4:$X$7152,Pol.Data!$AA$4:$AA$7152),LOOKUP($C57,Pol.Data!$X$4:$X$7152,Pol.Data!$AF$4:$AF$7152))))</f>
        <v>0</v>
      </c>
      <c r="F57" s="1959"/>
      <c r="G57" s="1960"/>
      <c r="H57" s="1960"/>
      <c r="I57" s="1510">
        <f t="shared" si="18"/>
        <v>0</v>
      </c>
    </row>
    <row r="58" spans="1:15" ht="23.25" customHeight="1" x14ac:dyDescent="0.35">
      <c r="A58" s="1213"/>
      <c r="B58" s="820">
        <v>4</v>
      </c>
      <c r="C58" s="1962">
        <v>1</v>
      </c>
      <c r="D58" s="1959"/>
      <c r="E58" s="1510">
        <f>IF($B58=1,0,IF($B58=2,LOOKUP($C58,Pol.Data!$X$4:$X$7152,Pol.Data!$V$4:$V$7152),IF($B58=3,LOOKUP($C58,Pol.Data!$X$4:$X$7152,Pol.Data!$AA$4:$AA$7152),LOOKUP($C58,Pol.Data!$X$4:$X$7152,Pol.Data!$AF$4:$AF$7152))))</f>
        <v>0</v>
      </c>
      <c r="F58" s="1959"/>
      <c r="G58" s="1960"/>
      <c r="H58" s="1960"/>
      <c r="I58" s="1510">
        <f t="shared" si="18"/>
        <v>0</v>
      </c>
    </row>
    <row r="59" spans="1:15" ht="23.25" customHeight="1" x14ac:dyDescent="0.35">
      <c r="A59" s="1213"/>
      <c r="B59" s="820">
        <v>1</v>
      </c>
      <c r="C59" s="1962">
        <v>1</v>
      </c>
      <c r="D59" s="1959"/>
      <c r="E59" s="1510">
        <f>IF($B59=1,0,IF($B59=2,LOOKUP($C59,Pol.Data!$X$4:$X$7152,Pol.Data!$V$4:$V$7152),IF($B59=3,LOOKUP($C59,Pol.Data!$X$4:$X$7152,Pol.Data!$AA$4:$AA$7152),LOOKUP($C59,Pol.Data!$X$4:$X$7152,Pol.Data!$AF$4:$AF$7152))))</f>
        <v>0</v>
      </c>
      <c r="F59" s="1959"/>
      <c r="G59" s="1960"/>
      <c r="H59" s="1960"/>
      <c r="I59" s="1510">
        <f t="shared" si="18"/>
        <v>0</v>
      </c>
    </row>
    <row r="60" spans="1:15" ht="23.25" customHeight="1" x14ac:dyDescent="0.35">
      <c r="A60" s="1213"/>
      <c r="B60" s="820">
        <v>4</v>
      </c>
      <c r="C60" s="1962">
        <v>1</v>
      </c>
      <c r="D60" s="1959"/>
      <c r="E60" s="1510">
        <f>IF($B60=1,0,IF($B60=2,LOOKUP($C60,Pol.Data!$X$4:$X$7152,Pol.Data!$V$4:$V$7152),IF($B60=3,LOOKUP($C60,Pol.Data!$X$4:$X$7152,Pol.Data!$AA$4:$AA$7152),LOOKUP($C60,Pol.Data!$X$4:$X$7152,Pol.Data!$AF$4:$AF$7152))))</f>
        <v>0</v>
      </c>
      <c r="F60" s="1959"/>
      <c r="G60" s="1960"/>
      <c r="H60" s="1960"/>
      <c r="I60" s="1510">
        <f t="shared" si="18"/>
        <v>0</v>
      </c>
    </row>
    <row r="61" spans="1:15" ht="23.25" customHeight="1" x14ac:dyDescent="0.35">
      <c r="A61" s="1213"/>
      <c r="B61" s="820">
        <v>1</v>
      </c>
      <c r="C61" s="1962">
        <v>1</v>
      </c>
      <c r="D61" s="1959"/>
      <c r="E61" s="1510">
        <f>IF($B61=1,0,IF($B61=2,LOOKUP($C61,Pol.Data!$X$4:$X$7152,Pol.Data!$V$4:$V$7152),IF($B61=3,LOOKUP($C61,Pol.Data!$X$4:$X$7152,Pol.Data!$AA$4:$AA$7152),LOOKUP($C61,Pol.Data!$X$4:$X$7152,Pol.Data!$AF$4:$AF$7152))))</f>
        <v>0</v>
      </c>
      <c r="F61" s="1959"/>
      <c r="G61" s="1960"/>
      <c r="H61" s="1960"/>
      <c r="I61" s="1510">
        <f t="shared" si="18"/>
        <v>0</v>
      </c>
      <c r="O61" s="737"/>
    </row>
    <row r="62" spans="1:15" ht="23.25" customHeight="1" x14ac:dyDescent="0.35">
      <c r="A62" s="1213"/>
      <c r="B62" s="820">
        <v>1</v>
      </c>
      <c r="C62" s="1962">
        <v>1</v>
      </c>
      <c r="D62" s="1959"/>
      <c r="E62" s="1510">
        <f>IF($B62=1,0,IF($B62=2,LOOKUP($C62,Pol.Data!$X$4:$X$7152,Pol.Data!$V$4:$V$7152),IF($B62=3,LOOKUP($C62,Pol.Data!$X$4:$X$7152,Pol.Data!$AA$4:$AA$7152),LOOKUP($C62,Pol.Data!$X$4:$X$7152,Pol.Data!$AF$4:$AF$7152))))</f>
        <v>0</v>
      </c>
      <c r="F62" s="1959"/>
      <c r="G62" s="1960"/>
      <c r="H62" s="1960"/>
      <c r="I62" s="1510">
        <f t="shared" si="18"/>
        <v>0</v>
      </c>
    </row>
    <row r="63" spans="1:15" ht="23.25" customHeight="1" thickBot="1" x14ac:dyDescent="0.4"/>
    <row r="64" spans="1:15" ht="23.25" customHeight="1" thickBot="1" x14ac:dyDescent="0.4">
      <c r="E64" s="1806"/>
      <c r="F64" s="1806"/>
      <c r="G64" s="1806"/>
      <c r="H64" s="1807"/>
      <c r="I64" s="1511">
        <f>SUM(I45:I62)</f>
        <v>0</v>
      </c>
    </row>
  </sheetData>
  <sheetProtection algorithmName="SHA-512" hashValue="nWO0xevU41WMlwwpxR01hQa3XKZIXddLF4+TH0CydRtk3ClPRA0ELZiNqD97ut56CdfiAcEyr62JrxA6l4dP7w==" saltValue="TRmP9ec5YrRmyhYk7XHbsQ==" spinCount="100000" sheet="1" objects="1" scenarios="1"/>
  <mergeCells count="29">
    <mergeCell ref="Z17:AB17"/>
    <mergeCell ref="N1:O1"/>
    <mergeCell ref="B17:F17"/>
    <mergeCell ref="AT1:AU1"/>
    <mergeCell ref="I4:R4"/>
    <mergeCell ref="T4:AC4"/>
    <mergeCell ref="AE4:AM4"/>
    <mergeCell ref="AO4:AU4"/>
    <mergeCell ref="U1:V1"/>
    <mergeCell ref="W1:X1"/>
    <mergeCell ref="AF1:AG1"/>
    <mergeCell ref="AH1:AI1"/>
    <mergeCell ref="AR1:AS1"/>
    <mergeCell ref="B8:B9"/>
    <mergeCell ref="D8:D9"/>
    <mergeCell ref="A4:G4"/>
    <mergeCell ref="A12:G12"/>
    <mergeCell ref="L1:M1"/>
    <mergeCell ref="E64:H64"/>
    <mergeCell ref="C43:I43"/>
    <mergeCell ref="B1:C1"/>
    <mergeCell ref="B21:C21"/>
    <mergeCell ref="B30:C30"/>
    <mergeCell ref="D38:F38"/>
    <mergeCell ref="D39:F39"/>
    <mergeCell ref="D1:E1"/>
    <mergeCell ref="C3:G3"/>
    <mergeCell ref="F8:F9"/>
    <mergeCell ref="E8:E9"/>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18787" r:id="rId4" name="Drop Down 3">
              <controlPr defaultSize="0" autoLine="0" autoPict="0">
                <anchor moveWithCells="1">
                  <from>
                    <xdr:col>5</xdr:col>
                    <xdr:colOff>0</xdr:colOff>
                    <xdr:row>17</xdr:row>
                    <xdr:rowOff>12700</xdr:rowOff>
                  </from>
                  <to>
                    <xdr:col>6</xdr:col>
                    <xdr:colOff>0</xdr:colOff>
                    <xdr:row>18</xdr:row>
                    <xdr:rowOff>0</xdr:rowOff>
                  </to>
                </anchor>
              </controlPr>
            </control>
          </mc:Choice>
        </mc:AlternateContent>
        <mc:AlternateContent xmlns:mc="http://schemas.openxmlformats.org/markup-compatibility/2006">
          <mc:Choice Requires="x14">
            <control shapeId="118871" r:id="rId5" name="Drop Down 87">
              <controlPr defaultSize="0" autoLine="0" autoPict="0">
                <anchor moveWithCells="1">
                  <from>
                    <xdr:col>2</xdr:col>
                    <xdr:colOff>12700</xdr:colOff>
                    <xdr:row>44</xdr:row>
                    <xdr:rowOff>0</xdr:rowOff>
                  </from>
                  <to>
                    <xdr:col>3</xdr:col>
                    <xdr:colOff>12700</xdr:colOff>
                    <xdr:row>45</xdr:row>
                    <xdr:rowOff>0</xdr:rowOff>
                  </to>
                </anchor>
              </controlPr>
            </control>
          </mc:Choice>
        </mc:AlternateContent>
        <mc:AlternateContent xmlns:mc="http://schemas.openxmlformats.org/markup-compatibility/2006">
          <mc:Choice Requires="x14">
            <control shapeId="118872" r:id="rId6" name="Drop Down 88">
              <controlPr defaultSize="0" autoLine="0" autoPict="0">
                <anchor moveWithCells="1">
                  <from>
                    <xdr:col>2</xdr:col>
                    <xdr:colOff>12700</xdr:colOff>
                    <xdr:row>45</xdr:row>
                    <xdr:rowOff>12700</xdr:rowOff>
                  </from>
                  <to>
                    <xdr:col>3</xdr:col>
                    <xdr:colOff>12700</xdr:colOff>
                    <xdr:row>46</xdr:row>
                    <xdr:rowOff>0</xdr:rowOff>
                  </to>
                </anchor>
              </controlPr>
            </control>
          </mc:Choice>
        </mc:AlternateContent>
        <mc:AlternateContent xmlns:mc="http://schemas.openxmlformats.org/markup-compatibility/2006">
          <mc:Choice Requires="x14">
            <control shapeId="118874" r:id="rId7" name="Drop Down 90">
              <controlPr defaultSize="0" autoLine="0" autoPict="0">
                <anchor moveWithCells="1">
                  <from>
                    <xdr:col>2</xdr:col>
                    <xdr:colOff>12700</xdr:colOff>
                    <xdr:row>46</xdr:row>
                    <xdr:rowOff>12700</xdr:rowOff>
                  </from>
                  <to>
                    <xdr:col>3</xdr:col>
                    <xdr:colOff>12700</xdr:colOff>
                    <xdr:row>47</xdr:row>
                    <xdr:rowOff>12700</xdr:rowOff>
                  </to>
                </anchor>
              </controlPr>
            </control>
          </mc:Choice>
        </mc:AlternateContent>
        <mc:AlternateContent xmlns:mc="http://schemas.openxmlformats.org/markup-compatibility/2006">
          <mc:Choice Requires="x14">
            <control shapeId="118875" r:id="rId8" name="Drop Down 91">
              <controlPr defaultSize="0" autoLine="0" autoPict="0">
                <anchor moveWithCells="1">
                  <from>
                    <xdr:col>2</xdr:col>
                    <xdr:colOff>12700</xdr:colOff>
                    <xdr:row>47</xdr:row>
                    <xdr:rowOff>12700</xdr:rowOff>
                  </from>
                  <to>
                    <xdr:col>3</xdr:col>
                    <xdr:colOff>12700</xdr:colOff>
                    <xdr:row>47</xdr:row>
                    <xdr:rowOff>279400</xdr:rowOff>
                  </to>
                </anchor>
              </controlPr>
            </control>
          </mc:Choice>
        </mc:AlternateContent>
        <mc:AlternateContent xmlns:mc="http://schemas.openxmlformats.org/markup-compatibility/2006">
          <mc:Choice Requires="x14">
            <control shapeId="118876" r:id="rId9" name="Drop Down 92">
              <controlPr defaultSize="0" autoLine="0" autoPict="0">
                <anchor moveWithCells="1">
                  <from>
                    <xdr:col>2</xdr:col>
                    <xdr:colOff>12700</xdr:colOff>
                    <xdr:row>47</xdr:row>
                    <xdr:rowOff>279400</xdr:rowOff>
                  </from>
                  <to>
                    <xdr:col>3</xdr:col>
                    <xdr:colOff>12700</xdr:colOff>
                    <xdr:row>49</xdr:row>
                    <xdr:rowOff>12700</xdr:rowOff>
                  </to>
                </anchor>
              </controlPr>
            </control>
          </mc:Choice>
        </mc:AlternateContent>
        <mc:AlternateContent xmlns:mc="http://schemas.openxmlformats.org/markup-compatibility/2006">
          <mc:Choice Requires="x14">
            <control shapeId="118877" r:id="rId10" name="Drop Down 93">
              <controlPr defaultSize="0" autoLine="0" autoPict="0">
                <anchor moveWithCells="1">
                  <from>
                    <xdr:col>2</xdr:col>
                    <xdr:colOff>38100</xdr:colOff>
                    <xdr:row>49</xdr:row>
                    <xdr:rowOff>12700</xdr:rowOff>
                  </from>
                  <to>
                    <xdr:col>3</xdr:col>
                    <xdr:colOff>12700</xdr:colOff>
                    <xdr:row>50</xdr:row>
                    <xdr:rowOff>12700</xdr:rowOff>
                  </to>
                </anchor>
              </controlPr>
            </control>
          </mc:Choice>
        </mc:AlternateContent>
        <mc:AlternateContent xmlns:mc="http://schemas.openxmlformats.org/markup-compatibility/2006">
          <mc:Choice Requires="x14">
            <control shapeId="118881" r:id="rId11" name="Drop Down 97">
              <controlPr defaultSize="0" autoLine="0" autoPict="0">
                <anchor moveWithCells="1">
                  <from>
                    <xdr:col>2</xdr:col>
                    <xdr:colOff>12700</xdr:colOff>
                    <xdr:row>51</xdr:row>
                    <xdr:rowOff>12700</xdr:rowOff>
                  </from>
                  <to>
                    <xdr:col>3</xdr:col>
                    <xdr:colOff>12700</xdr:colOff>
                    <xdr:row>52</xdr:row>
                    <xdr:rowOff>0</xdr:rowOff>
                  </to>
                </anchor>
              </controlPr>
            </control>
          </mc:Choice>
        </mc:AlternateContent>
        <mc:AlternateContent xmlns:mc="http://schemas.openxmlformats.org/markup-compatibility/2006">
          <mc:Choice Requires="x14">
            <control shapeId="118882" r:id="rId12" name="Drop Down 98">
              <controlPr defaultSize="0" autoLine="0" autoPict="0">
                <anchor moveWithCells="1">
                  <from>
                    <xdr:col>2</xdr:col>
                    <xdr:colOff>12700</xdr:colOff>
                    <xdr:row>51</xdr:row>
                    <xdr:rowOff>304800</xdr:rowOff>
                  </from>
                  <to>
                    <xdr:col>3</xdr:col>
                    <xdr:colOff>12700</xdr:colOff>
                    <xdr:row>53</xdr:row>
                    <xdr:rowOff>0</xdr:rowOff>
                  </to>
                </anchor>
              </controlPr>
            </control>
          </mc:Choice>
        </mc:AlternateContent>
        <mc:AlternateContent xmlns:mc="http://schemas.openxmlformats.org/markup-compatibility/2006">
          <mc:Choice Requires="x14">
            <control shapeId="118883" r:id="rId13" name="Drop Down 99">
              <controlPr defaultSize="0" autoLine="0" autoPict="0">
                <anchor moveWithCells="1">
                  <from>
                    <xdr:col>2</xdr:col>
                    <xdr:colOff>12700</xdr:colOff>
                    <xdr:row>53</xdr:row>
                    <xdr:rowOff>12700</xdr:rowOff>
                  </from>
                  <to>
                    <xdr:col>3</xdr:col>
                    <xdr:colOff>12700</xdr:colOff>
                    <xdr:row>54</xdr:row>
                    <xdr:rowOff>12700</xdr:rowOff>
                  </to>
                </anchor>
              </controlPr>
            </control>
          </mc:Choice>
        </mc:AlternateContent>
        <mc:AlternateContent xmlns:mc="http://schemas.openxmlformats.org/markup-compatibility/2006">
          <mc:Choice Requires="x14">
            <control shapeId="118884" r:id="rId14" name="Drop Down 100">
              <controlPr defaultSize="0" autoLine="0" autoPict="0">
                <anchor moveWithCells="1">
                  <from>
                    <xdr:col>2</xdr:col>
                    <xdr:colOff>12700</xdr:colOff>
                    <xdr:row>54</xdr:row>
                    <xdr:rowOff>0</xdr:rowOff>
                  </from>
                  <to>
                    <xdr:col>3</xdr:col>
                    <xdr:colOff>12700</xdr:colOff>
                    <xdr:row>55</xdr:row>
                    <xdr:rowOff>0</xdr:rowOff>
                  </to>
                </anchor>
              </controlPr>
            </control>
          </mc:Choice>
        </mc:AlternateContent>
        <mc:AlternateContent xmlns:mc="http://schemas.openxmlformats.org/markup-compatibility/2006">
          <mc:Choice Requires="x14">
            <control shapeId="118885" r:id="rId15" name="Drop Down 101">
              <controlPr defaultSize="0" autoLine="0" autoPict="0">
                <anchor moveWithCells="1">
                  <from>
                    <xdr:col>2</xdr:col>
                    <xdr:colOff>12700</xdr:colOff>
                    <xdr:row>55</xdr:row>
                    <xdr:rowOff>0</xdr:rowOff>
                  </from>
                  <to>
                    <xdr:col>3</xdr:col>
                    <xdr:colOff>0</xdr:colOff>
                    <xdr:row>56</xdr:row>
                    <xdr:rowOff>0</xdr:rowOff>
                  </to>
                </anchor>
              </controlPr>
            </control>
          </mc:Choice>
        </mc:AlternateContent>
        <mc:AlternateContent xmlns:mc="http://schemas.openxmlformats.org/markup-compatibility/2006">
          <mc:Choice Requires="x14">
            <control shapeId="118886" r:id="rId16" name="Drop Down 102">
              <controlPr defaultSize="0" autoLine="0" autoPict="0">
                <anchor moveWithCells="1">
                  <from>
                    <xdr:col>2</xdr:col>
                    <xdr:colOff>12700</xdr:colOff>
                    <xdr:row>56</xdr:row>
                    <xdr:rowOff>0</xdr:rowOff>
                  </from>
                  <to>
                    <xdr:col>3</xdr:col>
                    <xdr:colOff>12700</xdr:colOff>
                    <xdr:row>57</xdr:row>
                    <xdr:rowOff>12700</xdr:rowOff>
                  </to>
                </anchor>
              </controlPr>
            </control>
          </mc:Choice>
        </mc:AlternateContent>
        <mc:AlternateContent xmlns:mc="http://schemas.openxmlformats.org/markup-compatibility/2006">
          <mc:Choice Requires="x14">
            <control shapeId="118887" r:id="rId17" name="Drop Down 103">
              <controlPr defaultSize="0" autoLine="0" autoPict="0">
                <anchor moveWithCells="1">
                  <from>
                    <xdr:col>2</xdr:col>
                    <xdr:colOff>12700</xdr:colOff>
                    <xdr:row>57</xdr:row>
                    <xdr:rowOff>0</xdr:rowOff>
                  </from>
                  <to>
                    <xdr:col>3</xdr:col>
                    <xdr:colOff>12700</xdr:colOff>
                    <xdr:row>58</xdr:row>
                    <xdr:rowOff>12700</xdr:rowOff>
                  </to>
                </anchor>
              </controlPr>
            </control>
          </mc:Choice>
        </mc:AlternateContent>
        <mc:AlternateContent xmlns:mc="http://schemas.openxmlformats.org/markup-compatibility/2006">
          <mc:Choice Requires="x14">
            <control shapeId="118888" r:id="rId18" name="Drop Down 104">
              <controlPr defaultSize="0" autoLine="0" autoPict="0">
                <anchor moveWithCells="1">
                  <from>
                    <xdr:col>2</xdr:col>
                    <xdr:colOff>12700</xdr:colOff>
                    <xdr:row>58</xdr:row>
                    <xdr:rowOff>12700</xdr:rowOff>
                  </from>
                  <to>
                    <xdr:col>3</xdr:col>
                    <xdr:colOff>0</xdr:colOff>
                    <xdr:row>59</xdr:row>
                    <xdr:rowOff>0</xdr:rowOff>
                  </to>
                </anchor>
              </controlPr>
            </control>
          </mc:Choice>
        </mc:AlternateContent>
        <mc:AlternateContent xmlns:mc="http://schemas.openxmlformats.org/markup-compatibility/2006">
          <mc:Choice Requires="x14">
            <control shapeId="118889" r:id="rId19" name="Drop Down 105">
              <controlPr defaultSize="0" autoLine="0" autoPict="0">
                <anchor moveWithCells="1">
                  <from>
                    <xdr:col>2</xdr:col>
                    <xdr:colOff>12700</xdr:colOff>
                    <xdr:row>59</xdr:row>
                    <xdr:rowOff>0</xdr:rowOff>
                  </from>
                  <to>
                    <xdr:col>2</xdr:col>
                    <xdr:colOff>6337300</xdr:colOff>
                    <xdr:row>60</xdr:row>
                    <xdr:rowOff>0</xdr:rowOff>
                  </to>
                </anchor>
              </controlPr>
            </control>
          </mc:Choice>
        </mc:AlternateContent>
        <mc:AlternateContent xmlns:mc="http://schemas.openxmlformats.org/markup-compatibility/2006">
          <mc:Choice Requires="x14">
            <control shapeId="118890" r:id="rId20" name="Drop Down 106">
              <controlPr defaultSize="0" autoLine="0" autoPict="0">
                <anchor moveWithCells="1">
                  <from>
                    <xdr:col>2</xdr:col>
                    <xdr:colOff>12700</xdr:colOff>
                    <xdr:row>60</xdr:row>
                    <xdr:rowOff>0</xdr:rowOff>
                  </from>
                  <to>
                    <xdr:col>3</xdr:col>
                    <xdr:colOff>12700</xdr:colOff>
                    <xdr:row>61</xdr:row>
                    <xdr:rowOff>0</xdr:rowOff>
                  </to>
                </anchor>
              </controlPr>
            </control>
          </mc:Choice>
        </mc:AlternateContent>
        <mc:AlternateContent xmlns:mc="http://schemas.openxmlformats.org/markup-compatibility/2006">
          <mc:Choice Requires="x14">
            <control shapeId="118891" r:id="rId21" name="Drop Down 107">
              <controlPr defaultSize="0" autoLine="0" autoPict="0">
                <anchor moveWithCells="1">
                  <from>
                    <xdr:col>2</xdr:col>
                    <xdr:colOff>12700</xdr:colOff>
                    <xdr:row>60</xdr:row>
                    <xdr:rowOff>304800</xdr:rowOff>
                  </from>
                  <to>
                    <xdr:col>2</xdr:col>
                    <xdr:colOff>6337300</xdr:colOff>
                    <xdr:row>62</xdr:row>
                    <xdr:rowOff>12700</xdr:rowOff>
                  </to>
                </anchor>
              </controlPr>
            </control>
          </mc:Choice>
        </mc:AlternateContent>
        <mc:AlternateContent xmlns:mc="http://schemas.openxmlformats.org/markup-compatibility/2006">
          <mc:Choice Requires="x14">
            <control shapeId="118892" r:id="rId22" name="Drop Down 108">
              <controlPr defaultSize="0" autoLine="0" autoPict="0">
                <anchor moveWithCells="1">
                  <from>
                    <xdr:col>1</xdr:col>
                    <xdr:colOff>12700</xdr:colOff>
                    <xdr:row>44</xdr:row>
                    <xdr:rowOff>0</xdr:rowOff>
                  </from>
                  <to>
                    <xdr:col>2</xdr:col>
                    <xdr:colOff>12700</xdr:colOff>
                    <xdr:row>45</xdr:row>
                    <xdr:rowOff>0</xdr:rowOff>
                  </to>
                </anchor>
              </controlPr>
            </control>
          </mc:Choice>
        </mc:AlternateContent>
        <mc:AlternateContent xmlns:mc="http://schemas.openxmlformats.org/markup-compatibility/2006">
          <mc:Choice Requires="x14">
            <control shapeId="118893" r:id="rId23" name="Drop Down 109">
              <controlPr defaultSize="0" autoLine="0" autoPict="0">
                <anchor moveWithCells="1">
                  <from>
                    <xdr:col>1</xdr:col>
                    <xdr:colOff>12700</xdr:colOff>
                    <xdr:row>45</xdr:row>
                    <xdr:rowOff>0</xdr:rowOff>
                  </from>
                  <to>
                    <xdr:col>2</xdr:col>
                    <xdr:colOff>12700</xdr:colOff>
                    <xdr:row>46</xdr:row>
                    <xdr:rowOff>0</xdr:rowOff>
                  </to>
                </anchor>
              </controlPr>
            </control>
          </mc:Choice>
        </mc:AlternateContent>
        <mc:AlternateContent xmlns:mc="http://schemas.openxmlformats.org/markup-compatibility/2006">
          <mc:Choice Requires="x14">
            <control shapeId="118894" r:id="rId24" name="Drop Down 110">
              <controlPr defaultSize="0" autoLine="0" autoPict="0">
                <anchor moveWithCells="1">
                  <from>
                    <xdr:col>1</xdr:col>
                    <xdr:colOff>12700</xdr:colOff>
                    <xdr:row>46</xdr:row>
                    <xdr:rowOff>0</xdr:rowOff>
                  </from>
                  <to>
                    <xdr:col>2</xdr:col>
                    <xdr:colOff>12700</xdr:colOff>
                    <xdr:row>47</xdr:row>
                    <xdr:rowOff>0</xdr:rowOff>
                  </to>
                </anchor>
              </controlPr>
            </control>
          </mc:Choice>
        </mc:AlternateContent>
        <mc:AlternateContent xmlns:mc="http://schemas.openxmlformats.org/markup-compatibility/2006">
          <mc:Choice Requires="x14">
            <control shapeId="118895" r:id="rId25" name="Drop Down 111">
              <controlPr defaultSize="0" autoLine="0" autoPict="0">
                <anchor moveWithCells="1">
                  <from>
                    <xdr:col>1</xdr:col>
                    <xdr:colOff>12700</xdr:colOff>
                    <xdr:row>47</xdr:row>
                    <xdr:rowOff>0</xdr:rowOff>
                  </from>
                  <to>
                    <xdr:col>2</xdr:col>
                    <xdr:colOff>12700</xdr:colOff>
                    <xdr:row>48</xdr:row>
                    <xdr:rowOff>0</xdr:rowOff>
                  </to>
                </anchor>
              </controlPr>
            </control>
          </mc:Choice>
        </mc:AlternateContent>
        <mc:AlternateContent xmlns:mc="http://schemas.openxmlformats.org/markup-compatibility/2006">
          <mc:Choice Requires="x14">
            <control shapeId="118896" r:id="rId26" name="Drop Down 112">
              <controlPr defaultSize="0" autoLine="0" autoPict="0">
                <anchor moveWithCells="1">
                  <from>
                    <xdr:col>1</xdr:col>
                    <xdr:colOff>12700</xdr:colOff>
                    <xdr:row>48</xdr:row>
                    <xdr:rowOff>0</xdr:rowOff>
                  </from>
                  <to>
                    <xdr:col>2</xdr:col>
                    <xdr:colOff>12700</xdr:colOff>
                    <xdr:row>49</xdr:row>
                    <xdr:rowOff>0</xdr:rowOff>
                  </to>
                </anchor>
              </controlPr>
            </control>
          </mc:Choice>
        </mc:AlternateContent>
        <mc:AlternateContent xmlns:mc="http://schemas.openxmlformats.org/markup-compatibility/2006">
          <mc:Choice Requires="x14">
            <control shapeId="118897" r:id="rId27" name="Drop Down 113">
              <controlPr defaultSize="0" autoLine="0" autoPict="0">
                <anchor moveWithCells="1">
                  <from>
                    <xdr:col>1</xdr:col>
                    <xdr:colOff>12700</xdr:colOff>
                    <xdr:row>49</xdr:row>
                    <xdr:rowOff>0</xdr:rowOff>
                  </from>
                  <to>
                    <xdr:col>2</xdr:col>
                    <xdr:colOff>12700</xdr:colOff>
                    <xdr:row>50</xdr:row>
                    <xdr:rowOff>0</xdr:rowOff>
                  </to>
                </anchor>
              </controlPr>
            </control>
          </mc:Choice>
        </mc:AlternateContent>
        <mc:AlternateContent xmlns:mc="http://schemas.openxmlformats.org/markup-compatibility/2006">
          <mc:Choice Requires="x14">
            <control shapeId="118898" r:id="rId28" name="Drop Down 114">
              <controlPr defaultSize="0" autoLine="0" autoPict="0">
                <anchor moveWithCells="1">
                  <from>
                    <xdr:col>1</xdr:col>
                    <xdr:colOff>12700</xdr:colOff>
                    <xdr:row>50</xdr:row>
                    <xdr:rowOff>0</xdr:rowOff>
                  </from>
                  <to>
                    <xdr:col>2</xdr:col>
                    <xdr:colOff>12700</xdr:colOff>
                    <xdr:row>51</xdr:row>
                    <xdr:rowOff>0</xdr:rowOff>
                  </to>
                </anchor>
              </controlPr>
            </control>
          </mc:Choice>
        </mc:AlternateContent>
        <mc:AlternateContent xmlns:mc="http://schemas.openxmlformats.org/markup-compatibility/2006">
          <mc:Choice Requires="x14">
            <control shapeId="118899" r:id="rId29" name="Drop Down 115">
              <controlPr defaultSize="0" autoLine="0" autoPict="0">
                <anchor moveWithCells="1">
                  <from>
                    <xdr:col>1</xdr:col>
                    <xdr:colOff>12700</xdr:colOff>
                    <xdr:row>51</xdr:row>
                    <xdr:rowOff>0</xdr:rowOff>
                  </from>
                  <to>
                    <xdr:col>2</xdr:col>
                    <xdr:colOff>12700</xdr:colOff>
                    <xdr:row>52</xdr:row>
                    <xdr:rowOff>0</xdr:rowOff>
                  </to>
                </anchor>
              </controlPr>
            </control>
          </mc:Choice>
        </mc:AlternateContent>
        <mc:AlternateContent xmlns:mc="http://schemas.openxmlformats.org/markup-compatibility/2006">
          <mc:Choice Requires="x14">
            <control shapeId="118900" r:id="rId30" name="Drop Down 116">
              <controlPr defaultSize="0" autoLine="0" autoPict="0">
                <anchor moveWithCells="1">
                  <from>
                    <xdr:col>1</xdr:col>
                    <xdr:colOff>12700</xdr:colOff>
                    <xdr:row>52</xdr:row>
                    <xdr:rowOff>0</xdr:rowOff>
                  </from>
                  <to>
                    <xdr:col>2</xdr:col>
                    <xdr:colOff>12700</xdr:colOff>
                    <xdr:row>53</xdr:row>
                    <xdr:rowOff>0</xdr:rowOff>
                  </to>
                </anchor>
              </controlPr>
            </control>
          </mc:Choice>
        </mc:AlternateContent>
        <mc:AlternateContent xmlns:mc="http://schemas.openxmlformats.org/markup-compatibility/2006">
          <mc:Choice Requires="x14">
            <control shapeId="118901" r:id="rId31" name="Drop Down 117">
              <controlPr defaultSize="0" autoLine="0" autoPict="0">
                <anchor moveWithCells="1">
                  <from>
                    <xdr:col>1</xdr:col>
                    <xdr:colOff>12700</xdr:colOff>
                    <xdr:row>53</xdr:row>
                    <xdr:rowOff>0</xdr:rowOff>
                  </from>
                  <to>
                    <xdr:col>2</xdr:col>
                    <xdr:colOff>12700</xdr:colOff>
                    <xdr:row>54</xdr:row>
                    <xdr:rowOff>0</xdr:rowOff>
                  </to>
                </anchor>
              </controlPr>
            </control>
          </mc:Choice>
        </mc:AlternateContent>
        <mc:AlternateContent xmlns:mc="http://schemas.openxmlformats.org/markup-compatibility/2006">
          <mc:Choice Requires="x14">
            <control shapeId="118902" r:id="rId32" name="Drop Down 118">
              <controlPr defaultSize="0" autoLine="0" autoPict="0">
                <anchor moveWithCells="1">
                  <from>
                    <xdr:col>1</xdr:col>
                    <xdr:colOff>12700</xdr:colOff>
                    <xdr:row>54</xdr:row>
                    <xdr:rowOff>0</xdr:rowOff>
                  </from>
                  <to>
                    <xdr:col>2</xdr:col>
                    <xdr:colOff>12700</xdr:colOff>
                    <xdr:row>55</xdr:row>
                    <xdr:rowOff>0</xdr:rowOff>
                  </to>
                </anchor>
              </controlPr>
            </control>
          </mc:Choice>
        </mc:AlternateContent>
        <mc:AlternateContent xmlns:mc="http://schemas.openxmlformats.org/markup-compatibility/2006">
          <mc:Choice Requires="x14">
            <control shapeId="118903" r:id="rId33" name="Drop Down 119">
              <controlPr defaultSize="0" autoLine="0" autoPict="0">
                <anchor moveWithCells="1">
                  <from>
                    <xdr:col>1</xdr:col>
                    <xdr:colOff>12700</xdr:colOff>
                    <xdr:row>55</xdr:row>
                    <xdr:rowOff>0</xdr:rowOff>
                  </from>
                  <to>
                    <xdr:col>2</xdr:col>
                    <xdr:colOff>12700</xdr:colOff>
                    <xdr:row>56</xdr:row>
                    <xdr:rowOff>0</xdr:rowOff>
                  </to>
                </anchor>
              </controlPr>
            </control>
          </mc:Choice>
        </mc:AlternateContent>
        <mc:AlternateContent xmlns:mc="http://schemas.openxmlformats.org/markup-compatibility/2006">
          <mc:Choice Requires="x14">
            <control shapeId="118904" r:id="rId34" name="Drop Down 120">
              <controlPr defaultSize="0" autoLine="0" autoPict="0">
                <anchor moveWithCells="1">
                  <from>
                    <xdr:col>1</xdr:col>
                    <xdr:colOff>12700</xdr:colOff>
                    <xdr:row>56</xdr:row>
                    <xdr:rowOff>0</xdr:rowOff>
                  </from>
                  <to>
                    <xdr:col>2</xdr:col>
                    <xdr:colOff>12700</xdr:colOff>
                    <xdr:row>57</xdr:row>
                    <xdr:rowOff>0</xdr:rowOff>
                  </to>
                </anchor>
              </controlPr>
            </control>
          </mc:Choice>
        </mc:AlternateContent>
        <mc:AlternateContent xmlns:mc="http://schemas.openxmlformats.org/markup-compatibility/2006">
          <mc:Choice Requires="x14">
            <control shapeId="118905" r:id="rId35" name="Drop Down 121">
              <controlPr defaultSize="0" autoLine="0" autoPict="0">
                <anchor moveWithCells="1">
                  <from>
                    <xdr:col>1</xdr:col>
                    <xdr:colOff>12700</xdr:colOff>
                    <xdr:row>57</xdr:row>
                    <xdr:rowOff>0</xdr:rowOff>
                  </from>
                  <to>
                    <xdr:col>2</xdr:col>
                    <xdr:colOff>12700</xdr:colOff>
                    <xdr:row>58</xdr:row>
                    <xdr:rowOff>0</xdr:rowOff>
                  </to>
                </anchor>
              </controlPr>
            </control>
          </mc:Choice>
        </mc:AlternateContent>
        <mc:AlternateContent xmlns:mc="http://schemas.openxmlformats.org/markup-compatibility/2006">
          <mc:Choice Requires="x14">
            <control shapeId="118906" r:id="rId36" name="Drop Down 122">
              <controlPr defaultSize="0" autoLine="0" autoPict="0">
                <anchor moveWithCells="1">
                  <from>
                    <xdr:col>1</xdr:col>
                    <xdr:colOff>12700</xdr:colOff>
                    <xdr:row>58</xdr:row>
                    <xdr:rowOff>0</xdr:rowOff>
                  </from>
                  <to>
                    <xdr:col>2</xdr:col>
                    <xdr:colOff>12700</xdr:colOff>
                    <xdr:row>59</xdr:row>
                    <xdr:rowOff>0</xdr:rowOff>
                  </to>
                </anchor>
              </controlPr>
            </control>
          </mc:Choice>
        </mc:AlternateContent>
        <mc:AlternateContent xmlns:mc="http://schemas.openxmlformats.org/markup-compatibility/2006">
          <mc:Choice Requires="x14">
            <control shapeId="118907" r:id="rId37" name="Drop Down 123">
              <controlPr defaultSize="0" autoLine="0" autoPict="0">
                <anchor moveWithCells="1">
                  <from>
                    <xdr:col>1</xdr:col>
                    <xdr:colOff>12700</xdr:colOff>
                    <xdr:row>59</xdr:row>
                    <xdr:rowOff>0</xdr:rowOff>
                  </from>
                  <to>
                    <xdr:col>2</xdr:col>
                    <xdr:colOff>12700</xdr:colOff>
                    <xdr:row>60</xdr:row>
                    <xdr:rowOff>0</xdr:rowOff>
                  </to>
                </anchor>
              </controlPr>
            </control>
          </mc:Choice>
        </mc:AlternateContent>
        <mc:AlternateContent xmlns:mc="http://schemas.openxmlformats.org/markup-compatibility/2006">
          <mc:Choice Requires="x14">
            <control shapeId="118908" r:id="rId38" name="Drop Down 124">
              <controlPr defaultSize="0" autoLine="0" autoPict="0">
                <anchor moveWithCells="1">
                  <from>
                    <xdr:col>1</xdr:col>
                    <xdr:colOff>12700</xdr:colOff>
                    <xdr:row>60</xdr:row>
                    <xdr:rowOff>0</xdr:rowOff>
                  </from>
                  <to>
                    <xdr:col>2</xdr:col>
                    <xdr:colOff>12700</xdr:colOff>
                    <xdr:row>61</xdr:row>
                    <xdr:rowOff>0</xdr:rowOff>
                  </to>
                </anchor>
              </controlPr>
            </control>
          </mc:Choice>
        </mc:AlternateContent>
        <mc:AlternateContent xmlns:mc="http://schemas.openxmlformats.org/markup-compatibility/2006">
          <mc:Choice Requires="x14">
            <control shapeId="118909" r:id="rId39" name="Drop Down 125">
              <controlPr defaultSize="0" autoLine="0" autoPict="0">
                <anchor moveWithCells="1">
                  <from>
                    <xdr:col>1</xdr:col>
                    <xdr:colOff>12700</xdr:colOff>
                    <xdr:row>61</xdr:row>
                    <xdr:rowOff>0</xdr:rowOff>
                  </from>
                  <to>
                    <xdr:col>2</xdr:col>
                    <xdr:colOff>12700</xdr:colOff>
                    <xdr:row>62</xdr:row>
                    <xdr:rowOff>0</xdr:rowOff>
                  </to>
                </anchor>
              </controlPr>
            </control>
          </mc:Choice>
        </mc:AlternateContent>
        <mc:AlternateContent xmlns:mc="http://schemas.openxmlformats.org/markup-compatibility/2006">
          <mc:Choice Requires="x14">
            <control shapeId="118911" r:id="rId40" name="Drop Down 127">
              <controlPr defaultSize="0" autoLine="0" autoPict="0">
                <anchor moveWithCells="1">
                  <from>
                    <xdr:col>2</xdr:col>
                    <xdr:colOff>12700</xdr:colOff>
                    <xdr:row>50</xdr:row>
                    <xdr:rowOff>0</xdr:rowOff>
                  </from>
                  <to>
                    <xdr:col>3</xdr:col>
                    <xdr:colOff>12700</xdr:colOff>
                    <xdr:row>51</xdr:row>
                    <xdr:rowOff>12700</xdr:rowOff>
                  </to>
                </anchor>
              </controlPr>
            </control>
          </mc:Choice>
        </mc:AlternateContent>
        <mc:AlternateContent xmlns:mc="http://schemas.openxmlformats.org/markup-compatibility/2006">
          <mc:Choice Requires="x14">
            <control shapeId="118920" r:id="rId41" name="Drop Down 136">
              <controlPr defaultSize="0" autoLine="0" autoPict="0">
                <anchor moveWithCells="1">
                  <from>
                    <xdr:col>5</xdr:col>
                    <xdr:colOff>12700</xdr:colOff>
                    <xdr:row>4</xdr:row>
                    <xdr:rowOff>393700</xdr:rowOff>
                  </from>
                  <to>
                    <xdr:col>6</xdr:col>
                    <xdr:colOff>12700</xdr:colOff>
                    <xdr:row>5</xdr:row>
                    <xdr:rowOff>342900</xdr:rowOff>
                  </to>
                </anchor>
              </controlPr>
            </control>
          </mc:Choice>
        </mc:AlternateContent>
        <mc:AlternateContent xmlns:mc="http://schemas.openxmlformats.org/markup-compatibility/2006">
          <mc:Choice Requires="x14">
            <control shapeId="118921" r:id="rId42" name="Drop Down 137">
              <controlPr defaultSize="0" autoLine="0" autoPict="0">
                <anchor moveWithCells="1">
                  <from>
                    <xdr:col>5</xdr:col>
                    <xdr:colOff>0</xdr:colOff>
                    <xdr:row>12</xdr:row>
                    <xdr:rowOff>12700</xdr:rowOff>
                  </from>
                  <to>
                    <xdr:col>6</xdr:col>
                    <xdr:colOff>0</xdr:colOff>
                    <xdr:row>13</xdr:row>
                    <xdr:rowOff>12700</xdr:rowOff>
                  </to>
                </anchor>
              </controlPr>
            </control>
          </mc:Choice>
        </mc:AlternateContent>
        <mc:AlternateContent xmlns:mc="http://schemas.openxmlformats.org/markup-compatibility/2006">
          <mc:Choice Requires="x14">
            <control shapeId="118922" r:id="rId43" name="Drop Down 138">
              <controlPr defaultSize="0" autoLine="0" autoPict="0">
                <anchor moveWithCells="1">
                  <from>
                    <xdr:col>5</xdr:col>
                    <xdr:colOff>0</xdr:colOff>
                    <xdr:row>13</xdr:row>
                    <xdr:rowOff>0</xdr:rowOff>
                  </from>
                  <to>
                    <xdr:col>6</xdr:col>
                    <xdr:colOff>0</xdr:colOff>
                    <xdr:row>13</xdr:row>
                    <xdr:rowOff>342900</xdr:rowOff>
                  </to>
                </anchor>
              </controlPr>
            </control>
          </mc:Choice>
        </mc:AlternateContent>
        <mc:AlternateContent xmlns:mc="http://schemas.openxmlformats.org/markup-compatibility/2006">
          <mc:Choice Requires="x14">
            <control shapeId="118923" r:id="rId44" name="Drop Down 139">
              <controlPr defaultSize="0" autoLine="0" autoPict="0">
                <anchor moveWithCells="1">
                  <from>
                    <xdr:col>9</xdr:col>
                    <xdr:colOff>0</xdr:colOff>
                    <xdr:row>6</xdr:row>
                    <xdr:rowOff>533400</xdr:rowOff>
                  </from>
                  <to>
                    <xdr:col>10</xdr:col>
                    <xdr:colOff>12700</xdr:colOff>
                    <xdr:row>8</xdr:row>
                    <xdr:rowOff>0</xdr:rowOff>
                  </to>
                </anchor>
              </controlPr>
            </control>
          </mc:Choice>
        </mc:AlternateContent>
        <mc:AlternateContent xmlns:mc="http://schemas.openxmlformats.org/markup-compatibility/2006">
          <mc:Choice Requires="x14">
            <control shapeId="118924" r:id="rId45" name="Drop Down 140">
              <controlPr defaultSize="0" autoLine="0" autoPict="0">
                <anchor moveWithCells="1">
                  <from>
                    <xdr:col>9</xdr:col>
                    <xdr:colOff>12700</xdr:colOff>
                    <xdr:row>9</xdr:row>
                    <xdr:rowOff>0</xdr:rowOff>
                  </from>
                  <to>
                    <xdr:col>10</xdr:col>
                    <xdr:colOff>12700</xdr:colOff>
                    <xdr:row>10</xdr:row>
                    <xdr:rowOff>12700</xdr:rowOff>
                  </to>
                </anchor>
              </controlPr>
            </control>
          </mc:Choice>
        </mc:AlternateContent>
        <mc:AlternateContent xmlns:mc="http://schemas.openxmlformats.org/markup-compatibility/2006">
          <mc:Choice Requires="x14">
            <control shapeId="118925" r:id="rId46" name="Drop Down 141">
              <controlPr defaultSize="0" autoLine="0" autoPict="0">
                <anchor moveWithCells="1">
                  <from>
                    <xdr:col>9</xdr:col>
                    <xdr:colOff>0</xdr:colOff>
                    <xdr:row>9</xdr:row>
                    <xdr:rowOff>406400</xdr:rowOff>
                  </from>
                  <to>
                    <xdr:col>10</xdr:col>
                    <xdr:colOff>0</xdr:colOff>
                    <xdr:row>11</xdr:row>
                    <xdr:rowOff>0</xdr:rowOff>
                  </to>
                </anchor>
              </controlPr>
            </control>
          </mc:Choice>
        </mc:AlternateContent>
        <mc:AlternateContent xmlns:mc="http://schemas.openxmlformats.org/markup-compatibility/2006">
          <mc:Choice Requires="x14">
            <control shapeId="118926" r:id="rId47" name="Drop Down 142">
              <controlPr defaultSize="0" autoLine="0" autoPict="0">
                <anchor moveWithCells="1">
                  <from>
                    <xdr:col>19</xdr:col>
                    <xdr:colOff>1155700</xdr:colOff>
                    <xdr:row>7</xdr:row>
                    <xdr:rowOff>0</xdr:rowOff>
                  </from>
                  <to>
                    <xdr:col>20</xdr:col>
                    <xdr:colOff>1574800</xdr:colOff>
                    <xdr:row>7</xdr:row>
                    <xdr:rowOff>533400</xdr:rowOff>
                  </to>
                </anchor>
              </controlPr>
            </control>
          </mc:Choice>
        </mc:AlternateContent>
        <mc:AlternateContent xmlns:mc="http://schemas.openxmlformats.org/markup-compatibility/2006">
          <mc:Choice Requires="x14">
            <control shapeId="118927" r:id="rId48" name="Drop Down 143">
              <controlPr defaultSize="0" autoLine="0" autoPict="0">
                <anchor moveWithCells="1">
                  <from>
                    <xdr:col>19</xdr:col>
                    <xdr:colOff>1155700</xdr:colOff>
                    <xdr:row>8</xdr:row>
                    <xdr:rowOff>584200</xdr:rowOff>
                  </from>
                  <to>
                    <xdr:col>20</xdr:col>
                    <xdr:colOff>1574800</xdr:colOff>
                    <xdr:row>10</xdr:row>
                    <xdr:rowOff>0</xdr:rowOff>
                  </to>
                </anchor>
              </controlPr>
            </control>
          </mc:Choice>
        </mc:AlternateContent>
        <mc:AlternateContent xmlns:mc="http://schemas.openxmlformats.org/markup-compatibility/2006">
          <mc:Choice Requires="x14">
            <control shapeId="118928" r:id="rId49" name="Drop Down 144">
              <controlPr defaultSize="0" autoLine="0" autoPict="0">
                <anchor moveWithCells="1">
                  <from>
                    <xdr:col>20</xdr:col>
                    <xdr:colOff>12700</xdr:colOff>
                    <xdr:row>10</xdr:row>
                    <xdr:rowOff>12700</xdr:rowOff>
                  </from>
                  <to>
                    <xdr:col>21</xdr:col>
                    <xdr:colOff>0</xdr:colOff>
                    <xdr:row>11</xdr:row>
                    <xdr:rowOff>0</xdr:rowOff>
                  </to>
                </anchor>
              </controlPr>
            </control>
          </mc:Choice>
        </mc:AlternateContent>
        <mc:AlternateContent xmlns:mc="http://schemas.openxmlformats.org/markup-compatibility/2006">
          <mc:Choice Requires="x14">
            <control shapeId="118929" r:id="rId50" name="Drop Down 145">
              <controlPr defaultSize="0" autoLine="0" autoPict="0">
                <anchor moveWithCells="1">
                  <from>
                    <xdr:col>9</xdr:col>
                    <xdr:colOff>0</xdr:colOff>
                    <xdr:row>4</xdr:row>
                    <xdr:rowOff>0</xdr:rowOff>
                  </from>
                  <to>
                    <xdr:col>10</xdr:col>
                    <xdr:colOff>0</xdr:colOff>
                    <xdr:row>5</xdr:row>
                    <xdr:rowOff>0</xdr:rowOff>
                  </to>
                </anchor>
              </controlPr>
            </control>
          </mc:Choice>
        </mc:AlternateContent>
        <mc:AlternateContent xmlns:mc="http://schemas.openxmlformats.org/markup-compatibility/2006">
          <mc:Choice Requires="x14">
            <control shapeId="118930" r:id="rId51" name="Drop Down 146">
              <controlPr defaultSize="0" autoLine="0" autoPict="0">
                <anchor moveWithCells="1">
                  <from>
                    <xdr:col>20</xdr:col>
                    <xdr:colOff>12700</xdr:colOff>
                    <xdr:row>4</xdr:row>
                    <xdr:rowOff>0</xdr:rowOff>
                  </from>
                  <to>
                    <xdr:col>21</xdr:col>
                    <xdr:colOff>12700</xdr:colOff>
                    <xdr:row>5</xdr:row>
                    <xdr:rowOff>0</xdr:rowOff>
                  </to>
                </anchor>
              </controlPr>
            </control>
          </mc:Choice>
        </mc:AlternateContent>
        <mc:AlternateContent xmlns:mc="http://schemas.openxmlformats.org/markup-compatibility/2006">
          <mc:Choice Requires="x14">
            <control shapeId="118931" r:id="rId52" name="Drop Down 147">
              <controlPr defaultSize="0" autoLine="0" autoPict="0">
                <anchor moveWithCells="1">
                  <from>
                    <xdr:col>9</xdr:col>
                    <xdr:colOff>0</xdr:colOff>
                    <xdr:row>4</xdr:row>
                    <xdr:rowOff>406400</xdr:rowOff>
                  </from>
                  <to>
                    <xdr:col>10</xdr:col>
                    <xdr:colOff>0</xdr:colOff>
                    <xdr:row>6</xdr:row>
                    <xdr:rowOff>12700</xdr:rowOff>
                  </to>
                </anchor>
              </controlPr>
            </control>
          </mc:Choice>
        </mc:AlternateContent>
        <mc:AlternateContent xmlns:mc="http://schemas.openxmlformats.org/markup-compatibility/2006">
          <mc:Choice Requires="x14">
            <control shapeId="118932" r:id="rId53" name="Drop Down 148">
              <controlPr defaultSize="0" autoLine="0" autoPict="0">
                <anchor moveWithCells="1">
                  <from>
                    <xdr:col>19</xdr:col>
                    <xdr:colOff>1155700</xdr:colOff>
                    <xdr:row>5</xdr:row>
                    <xdr:rowOff>0</xdr:rowOff>
                  </from>
                  <to>
                    <xdr:col>21</xdr:col>
                    <xdr:colOff>0</xdr:colOff>
                    <xdr:row>6</xdr:row>
                    <xdr:rowOff>12700</xdr:rowOff>
                  </to>
                </anchor>
              </controlPr>
            </control>
          </mc:Choice>
        </mc:AlternateContent>
        <mc:AlternateContent xmlns:mc="http://schemas.openxmlformats.org/markup-compatibility/2006">
          <mc:Choice Requires="x14">
            <control shapeId="118933" r:id="rId54" name="Drop Down 149">
              <controlPr defaultSize="0" autoLine="0" autoPict="0">
                <anchor moveWithCells="1">
                  <from>
                    <xdr:col>9</xdr:col>
                    <xdr:colOff>0</xdr:colOff>
                    <xdr:row>7</xdr:row>
                    <xdr:rowOff>533400</xdr:rowOff>
                  </from>
                  <to>
                    <xdr:col>10</xdr:col>
                    <xdr:colOff>12700</xdr:colOff>
                    <xdr:row>9</xdr:row>
                    <xdr:rowOff>0</xdr:rowOff>
                  </to>
                </anchor>
              </controlPr>
            </control>
          </mc:Choice>
        </mc:AlternateContent>
        <mc:AlternateContent xmlns:mc="http://schemas.openxmlformats.org/markup-compatibility/2006">
          <mc:Choice Requires="x14">
            <control shapeId="118934" r:id="rId55" name="Drop Down 150">
              <controlPr defaultSize="0" autoLine="0" autoPict="0">
                <anchor moveWithCells="1">
                  <from>
                    <xdr:col>20</xdr:col>
                    <xdr:colOff>0</xdr:colOff>
                    <xdr:row>8</xdr:row>
                    <xdr:rowOff>12700</xdr:rowOff>
                  </from>
                  <to>
                    <xdr:col>21</xdr:col>
                    <xdr:colOff>12700</xdr:colOff>
                    <xdr:row>8</xdr:row>
                    <xdr:rowOff>571500</xdr:rowOff>
                  </to>
                </anchor>
              </controlPr>
            </control>
          </mc:Choice>
        </mc:AlternateContent>
        <mc:AlternateContent xmlns:mc="http://schemas.openxmlformats.org/markup-compatibility/2006">
          <mc:Choice Requires="x14">
            <control shapeId="118935" r:id="rId56" name="Drop Down 151">
              <controlPr defaultSize="0" autoLine="0" autoPict="0">
                <anchor moveWithCells="1">
                  <from>
                    <xdr:col>9</xdr:col>
                    <xdr:colOff>0</xdr:colOff>
                    <xdr:row>11</xdr:row>
                    <xdr:rowOff>0</xdr:rowOff>
                  </from>
                  <to>
                    <xdr:col>10</xdr:col>
                    <xdr:colOff>0</xdr:colOff>
                    <xdr:row>12</xdr:row>
                    <xdr:rowOff>12700</xdr:rowOff>
                  </to>
                </anchor>
              </controlPr>
            </control>
          </mc:Choice>
        </mc:AlternateContent>
        <mc:AlternateContent xmlns:mc="http://schemas.openxmlformats.org/markup-compatibility/2006">
          <mc:Choice Requires="x14">
            <control shapeId="118937" r:id="rId57" name="Drop Down 153">
              <controlPr defaultSize="0" autoLine="0" autoPict="0">
                <anchor moveWithCells="1">
                  <from>
                    <xdr:col>9</xdr:col>
                    <xdr:colOff>12700</xdr:colOff>
                    <xdr:row>12</xdr:row>
                    <xdr:rowOff>12700</xdr:rowOff>
                  </from>
                  <to>
                    <xdr:col>10</xdr:col>
                    <xdr:colOff>0</xdr:colOff>
                    <xdr:row>12</xdr:row>
                    <xdr:rowOff>355600</xdr:rowOff>
                  </to>
                </anchor>
              </controlPr>
            </control>
          </mc:Choice>
        </mc:AlternateContent>
        <mc:AlternateContent xmlns:mc="http://schemas.openxmlformats.org/markup-compatibility/2006">
          <mc:Choice Requires="x14">
            <control shapeId="118938" r:id="rId58" name="Drop Down 154">
              <controlPr defaultSize="0" autoLine="0" autoPict="0">
                <anchor moveWithCells="1">
                  <from>
                    <xdr:col>20</xdr:col>
                    <xdr:colOff>0</xdr:colOff>
                    <xdr:row>12</xdr:row>
                    <xdr:rowOff>0</xdr:rowOff>
                  </from>
                  <to>
                    <xdr:col>21</xdr:col>
                    <xdr:colOff>0</xdr:colOff>
                    <xdr:row>12</xdr:row>
                    <xdr:rowOff>368300</xdr:rowOff>
                  </to>
                </anchor>
              </controlPr>
            </control>
          </mc:Choice>
        </mc:AlternateContent>
        <mc:AlternateContent xmlns:mc="http://schemas.openxmlformats.org/markup-compatibility/2006">
          <mc:Choice Requires="x14">
            <control shapeId="118939" r:id="rId59" name="Drop Down 155">
              <controlPr defaultSize="0" autoLine="0" autoPict="0">
                <anchor moveWithCells="1">
                  <from>
                    <xdr:col>9</xdr:col>
                    <xdr:colOff>0</xdr:colOff>
                    <xdr:row>12</xdr:row>
                    <xdr:rowOff>381000</xdr:rowOff>
                  </from>
                  <to>
                    <xdr:col>10</xdr:col>
                    <xdr:colOff>12700</xdr:colOff>
                    <xdr:row>13</xdr:row>
                    <xdr:rowOff>342900</xdr:rowOff>
                  </to>
                </anchor>
              </controlPr>
            </control>
          </mc:Choice>
        </mc:AlternateContent>
        <mc:AlternateContent xmlns:mc="http://schemas.openxmlformats.org/markup-compatibility/2006">
          <mc:Choice Requires="x14">
            <control shapeId="118940" r:id="rId60" name="Drop Down 156">
              <controlPr defaultSize="0" autoLine="0" autoPict="0">
                <anchor moveWithCells="1">
                  <from>
                    <xdr:col>20</xdr:col>
                    <xdr:colOff>0</xdr:colOff>
                    <xdr:row>12</xdr:row>
                    <xdr:rowOff>381000</xdr:rowOff>
                  </from>
                  <to>
                    <xdr:col>21</xdr:col>
                    <xdr:colOff>12700</xdr:colOff>
                    <xdr:row>13</xdr:row>
                    <xdr:rowOff>342900</xdr:rowOff>
                  </to>
                </anchor>
              </controlPr>
            </control>
          </mc:Choice>
        </mc:AlternateContent>
        <mc:AlternateContent xmlns:mc="http://schemas.openxmlformats.org/markup-compatibility/2006">
          <mc:Choice Requires="x14">
            <control shapeId="118941" r:id="rId61" name="Drop Down 157">
              <controlPr defaultSize="0" autoLine="0" autoPict="0">
                <anchor moveWithCells="1">
                  <from>
                    <xdr:col>9</xdr:col>
                    <xdr:colOff>0</xdr:colOff>
                    <xdr:row>13</xdr:row>
                    <xdr:rowOff>355600</xdr:rowOff>
                  </from>
                  <to>
                    <xdr:col>10</xdr:col>
                    <xdr:colOff>12700</xdr:colOff>
                    <xdr:row>14</xdr:row>
                    <xdr:rowOff>457200</xdr:rowOff>
                  </to>
                </anchor>
              </controlPr>
            </control>
          </mc:Choice>
        </mc:AlternateContent>
        <mc:AlternateContent xmlns:mc="http://schemas.openxmlformats.org/markup-compatibility/2006">
          <mc:Choice Requires="x14">
            <control shapeId="118942" r:id="rId62" name="Drop Down 158">
              <controlPr defaultSize="0" autoLine="0" autoPict="0">
                <anchor moveWithCells="1">
                  <from>
                    <xdr:col>20</xdr:col>
                    <xdr:colOff>0</xdr:colOff>
                    <xdr:row>13</xdr:row>
                    <xdr:rowOff>355600</xdr:rowOff>
                  </from>
                  <to>
                    <xdr:col>21</xdr:col>
                    <xdr:colOff>12700</xdr:colOff>
                    <xdr:row>14</xdr:row>
                    <xdr:rowOff>457200</xdr:rowOff>
                  </to>
                </anchor>
              </controlPr>
            </control>
          </mc:Choice>
        </mc:AlternateContent>
        <mc:AlternateContent xmlns:mc="http://schemas.openxmlformats.org/markup-compatibility/2006">
          <mc:Choice Requires="x14">
            <control shapeId="118943" r:id="rId63" name="Drop Down 159">
              <controlPr defaultSize="0" autoLine="0" autoPict="0">
                <anchor moveWithCells="1">
                  <from>
                    <xdr:col>9</xdr:col>
                    <xdr:colOff>0</xdr:colOff>
                    <xdr:row>6</xdr:row>
                    <xdr:rowOff>0</xdr:rowOff>
                  </from>
                  <to>
                    <xdr:col>10</xdr:col>
                    <xdr:colOff>12700</xdr:colOff>
                    <xdr:row>7</xdr:row>
                    <xdr:rowOff>0</xdr:rowOff>
                  </to>
                </anchor>
              </controlPr>
            </control>
          </mc:Choice>
        </mc:AlternateContent>
        <mc:AlternateContent xmlns:mc="http://schemas.openxmlformats.org/markup-compatibility/2006">
          <mc:Choice Requires="x14">
            <control shapeId="118944" r:id="rId64" name="Drop Down 160">
              <controlPr defaultSize="0" autoLine="0" autoPict="0">
                <anchor moveWithCells="1">
                  <from>
                    <xdr:col>19</xdr:col>
                    <xdr:colOff>1155700</xdr:colOff>
                    <xdr:row>6</xdr:row>
                    <xdr:rowOff>0</xdr:rowOff>
                  </from>
                  <to>
                    <xdr:col>20</xdr:col>
                    <xdr:colOff>1574800</xdr:colOff>
                    <xdr:row>7</xdr:row>
                    <xdr:rowOff>12700</xdr:rowOff>
                  </to>
                </anchor>
              </controlPr>
            </control>
          </mc:Choice>
        </mc:AlternateContent>
        <mc:AlternateContent xmlns:mc="http://schemas.openxmlformats.org/markup-compatibility/2006">
          <mc:Choice Requires="x14">
            <control shapeId="118945" r:id="rId65" name="Drop Down 161">
              <controlPr defaultSize="0" autoLine="0" autoPict="0">
                <anchor moveWithCells="1">
                  <from>
                    <xdr:col>20</xdr:col>
                    <xdr:colOff>12700</xdr:colOff>
                    <xdr:row>11</xdr:row>
                    <xdr:rowOff>12700</xdr:rowOff>
                  </from>
                  <to>
                    <xdr:col>21</xdr:col>
                    <xdr:colOff>0</xdr:colOff>
                    <xdr:row>12</xdr:row>
                    <xdr:rowOff>0</xdr:rowOff>
                  </to>
                </anchor>
              </controlPr>
            </control>
          </mc:Choice>
        </mc:AlternateContent>
        <mc:AlternateContent xmlns:mc="http://schemas.openxmlformats.org/markup-compatibility/2006">
          <mc:Choice Requires="x14">
            <control shapeId="118946" r:id="rId66" name="Drop Down 162">
              <controlPr defaultSize="0" autoLine="0" autoPict="0">
                <anchor moveWithCells="1">
                  <from>
                    <xdr:col>5</xdr:col>
                    <xdr:colOff>12700</xdr:colOff>
                    <xdr:row>4</xdr:row>
                    <xdr:rowOff>0</xdr:rowOff>
                  </from>
                  <to>
                    <xdr:col>6</xdr:col>
                    <xdr:colOff>12700</xdr:colOff>
                    <xdr:row>5</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1">
    <tabColor rgb="FFFF9933"/>
  </sheetPr>
  <dimension ref="A1:C44"/>
  <sheetViews>
    <sheetView zoomScale="90" zoomScaleNormal="90" workbookViewId="0">
      <pane ySplit="2" topLeftCell="A3" activePane="bottomLeft" state="frozen"/>
      <selection activeCell="G28" sqref="G28"/>
      <selection pane="bottomLeft" activeCell="C16" sqref="C16"/>
    </sheetView>
  </sheetViews>
  <sheetFormatPr defaultColWidth="9.1796875" defaultRowHeight="14.5" x14ac:dyDescent="0.35"/>
  <cols>
    <col min="1" max="1" width="7.453125" style="174" customWidth="1"/>
    <col min="2" max="2" width="43.453125" style="2" customWidth="1"/>
    <col min="3" max="3" width="116.1796875" style="2" customWidth="1"/>
    <col min="4" max="16384" width="9.1796875" style="2"/>
  </cols>
  <sheetData>
    <row r="1" spans="1:3" x14ac:dyDescent="0.35">
      <c r="A1" s="1647" t="s">
        <v>59</v>
      </c>
      <c r="B1" s="1647"/>
      <c r="C1" s="1647"/>
    </row>
    <row r="2" spans="1:3" ht="22.5" customHeight="1" thickBot="1" x14ac:dyDescent="0.4">
      <c r="A2" s="432" t="s">
        <v>82</v>
      </c>
      <c r="B2" s="433" t="s">
        <v>58</v>
      </c>
      <c r="C2" s="434" t="s">
        <v>8666</v>
      </c>
    </row>
    <row r="3" spans="1:3" ht="50.5" customHeight="1" thickBot="1" x14ac:dyDescent="0.4">
      <c r="A3" s="425" t="s">
        <v>89</v>
      </c>
      <c r="B3" s="1648" t="s">
        <v>8692</v>
      </c>
      <c r="C3" s="1648"/>
    </row>
    <row r="4" spans="1:3" ht="1" customHeight="1" thickBot="1" x14ac:dyDescent="0.4">
      <c r="A4" s="379"/>
      <c r="B4" s="1646" t="s">
        <v>8481</v>
      </c>
      <c r="C4" s="1646"/>
    </row>
    <row r="5" spans="1:3" ht="32.5" customHeight="1" x14ac:dyDescent="0.35">
      <c r="A5" s="9" t="s">
        <v>233</v>
      </c>
      <c r="B5" s="10" t="s">
        <v>7718</v>
      </c>
      <c r="C5" s="4" t="s">
        <v>7719</v>
      </c>
    </row>
    <row r="6" spans="1:3" ht="79.5" customHeight="1" x14ac:dyDescent="0.35">
      <c r="A6" s="9" t="s">
        <v>234</v>
      </c>
      <c r="B6" s="10" t="s">
        <v>145</v>
      </c>
      <c r="C6" s="4" t="s">
        <v>2162</v>
      </c>
    </row>
    <row r="7" spans="1:3" ht="22.5" customHeight="1" x14ac:dyDescent="0.35">
      <c r="A7" s="8" t="s">
        <v>462</v>
      </c>
      <c r="B7" s="10" t="s">
        <v>55</v>
      </c>
      <c r="C7" s="1" t="s">
        <v>7650</v>
      </c>
    </row>
    <row r="8" spans="1:3" x14ac:dyDescent="0.35">
      <c r="A8" s="8" t="s">
        <v>463</v>
      </c>
      <c r="B8" s="10" t="s">
        <v>56</v>
      </c>
      <c r="C8" s="2" t="s">
        <v>2163</v>
      </c>
    </row>
    <row r="9" spans="1:3" x14ac:dyDescent="0.35">
      <c r="A9" s="8" t="s">
        <v>464</v>
      </c>
      <c r="B9" s="10" t="s">
        <v>54</v>
      </c>
      <c r="C9" s="2" t="s">
        <v>467</v>
      </c>
    </row>
    <row r="10" spans="1:3" x14ac:dyDescent="0.35">
      <c r="A10" s="8" t="s">
        <v>465</v>
      </c>
      <c r="B10" s="10" t="s">
        <v>7229</v>
      </c>
      <c r="C10" s="3" t="s">
        <v>2164</v>
      </c>
    </row>
    <row r="11" spans="1:3" x14ac:dyDescent="0.35">
      <c r="A11" s="8"/>
      <c r="B11" s="10"/>
      <c r="C11" s="2" t="s">
        <v>2165</v>
      </c>
    </row>
    <row r="12" spans="1:3" x14ac:dyDescent="0.35">
      <c r="A12" s="8"/>
      <c r="B12" s="10"/>
      <c r="C12" s="2" t="s">
        <v>57</v>
      </c>
    </row>
    <row r="13" spans="1:3" x14ac:dyDescent="0.35">
      <c r="A13" s="8"/>
      <c r="B13" s="10"/>
      <c r="C13" s="2" t="s">
        <v>108</v>
      </c>
    </row>
    <row r="14" spans="1:3" x14ac:dyDescent="0.35">
      <c r="A14" s="8"/>
      <c r="B14" s="10"/>
      <c r="C14" s="2" t="s">
        <v>110</v>
      </c>
    </row>
    <row r="15" spans="1:3" ht="33.75" customHeight="1" x14ac:dyDescent="0.35">
      <c r="A15" s="8"/>
      <c r="B15" s="10"/>
      <c r="C15" s="2" t="s">
        <v>2166</v>
      </c>
    </row>
    <row r="16" spans="1:3" ht="31.5" customHeight="1" x14ac:dyDescent="0.35">
      <c r="A16" s="8"/>
      <c r="B16" s="10"/>
      <c r="C16" s="2" t="s">
        <v>8961</v>
      </c>
    </row>
    <row r="17" spans="1:3" ht="18" customHeight="1" x14ac:dyDescent="0.35">
      <c r="A17" s="8" t="s">
        <v>466</v>
      </c>
      <c r="B17" s="10" t="s">
        <v>49</v>
      </c>
      <c r="C17" s="3" t="s">
        <v>50</v>
      </c>
    </row>
    <row r="18" spans="1:3" x14ac:dyDescent="0.35">
      <c r="A18" s="8"/>
      <c r="B18" s="10"/>
      <c r="C18" s="2" t="s">
        <v>7562</v>
      </c>
    </row>
    <row r="19" spans="1:3" ht="32.25" customHeight="1" x14ac:dyDescent="0.35">
      <c r="A19" s="8"/>
      <c r="B19" s="10"/>
      <c r="C19" s="2" t="s">
        <v>2167</v>
      </c>
    </row>
    <row r="20" spans="1:3" ht="29" x14ac:dyDescent="0.35">
      <c r="A20" s="8"/>
      <c r="B20" s="10"/>
      <c r="C20" s="2" t="s">
        <v>7651</v>
      </c>
    </row>
    <row r="21" spans="1:3" x14ac:dyDescent="0.35">
      <c r="A21" s="8"/>
      <c r="B21" s="10"/>
      <c r="C21" s="2" t="s">
        <v>120</v>
      </c>
    </row>
    <row r="22" spans="1:3" ht="60" customHeight="1" x14ac:dyDescent="0.35">
      <c r="A22" s="8" t="s">
        <v>7564</v>
      </c>
      <c r="B22" s="10" t="s">
        <v>109</v>
      </c>
      <c r="C22" s="2" t="s">
        <v>7717</v>
      </c>
    </row>
    <row r="23" spans="1:3" ht="16.5" x14ac:dyDescent="0.35">
      <c r="A23" s="8"/>
      <c r="B23" s="10"/>
      <c r="C23" s="2" t="s">
        <v>7723</v>
      </c>
    </row>
    <row r="24" spans="1:3" x14ac:dyDescent="0.35">
      <c r="A24" s="8"/>
      <c r="B24" s="10"/>
      <c r="C24" s="2" t="s">
        <v>7724</v>
      </c>
    </row>
    <row r="25" spans="1:3" ht="18" customHeight="1" x14ac:dyDescent="0.35">
      <c r="A25" s="8"/>
      <c r="B25" s="10"/>
      <c r="C25" s="2" t="s">
        <v>7725</v>
      </c>
    </row>
    <row r="26" spans="1:3" ht="18.75" customHeight="1" x14ac:dyDescent="0.35">
      <c r="A26" s="8"/>
      <c r="B26" s="10"/>
      <c r="C26" s="2" t="s">
        <v>7726</v>
      </c>
    </row>
    <row r="27" spans="1:3" ht="16.5" x14ac:dyDescent="0.35">
      <c r="A27" s="8"/>
      <c r="B27" s="10"/>
      <c r="C27" s="2" t="s">
        <v>7727</v>
      </c>
    </row>
    <row r="28" spans="1:3" ht="16.5" x14ac:dyDescent="0.35">
      <c r="A28" s="8"/>
      <c r="B28" s="10"/>
      <c r="C28" s="2" t="s">
        <v>7728</v>
      </c>
    </row>
    <row r="29" spans="1:3" ht="16.5" x14ac:dyDescent="0.35">
      <c r="A29" s="8"/>
      <c r="B29" s="10"/>
      <c r="C29" s="2" t="s">
        <v>7729</v>
      </c>
    </row>
    <row r="30" spans="1:3" x14ac:dyDescent="0.35">
      <c r="A30" s="8"/>
      <c r="B30" s="10"/>
      <c r="C30" s="2" t="s">
        <v>7730</v>
      </c>
    </row>
    <row r="31" spans="1:3" ht="16.5" x14ac:dyDescent="0.35">
      <c r="A31" s="8"/>
      <c r="B31" s="10"/>
      <c r="C31" s="2" t="s">
        <v>7731</v>
      </c>
    </row>
    <row r="32" spans="1:3" x14ac:dyDescent="0.35">
      <c r="A32" s="8"/>
      <c r="B32" s="10"/>
      <c r="C32" s="2" t="s">
        <v>7732</v>
      </c>
    </row>
    <row r="33" spans="1:3" x14ac:dyDescent="0.35">
      <c r="A33" s="8"/>
      <c r="B33" s="10"/>
      <c r="C33" s="3" t="s">
        <v>7652</v>
      </c>
    </row>
    <row r="34" spans="1:3" ht="29" x14ac:dyDescent="0.35">
      <c r="A34" s="8" t="s">
        <v>468</v>
      </c>
      <c r="B34" s="10" t="s">
        <v>7565</v>
      </c>
      <c r="C34" s="2" t="s">
        <v>7653</v>
      </c>
    </row>
    <row r="35" spans="1:3" ht="103.5" customHeight="1" x14ac:dyDescent="0.35">
      <c r="A35" s="8" t="s">
        <v>7563</v>
      </c>
      <c r="B35" s="10" t="s">
        <v>65</v>
      </c>
      <c r="C35" s="2" t="s">
        <v>8808</v>
      </c>
    </row>
    <row r="36" spans="1:3" x14ac:dyDescent="0.35">
      <c r="A36" s="8" t="s">
        <v>7582</v>
      </c>
      <c r="B36" s="10" t="s">
        <v>469</v>
      </c>
      <c r="C36" s="173" t="s">
        <v>2168</v>
      </c>
    </row>
    <row r="37" spans="1:3" ht="29" x14ac:dyDescent="0.35">
      <c r="A37" s="8" t="s">
        <v>7656</v>
      </c>
      <c r="B37" s="10" t="s">
        <v>8521</v>
      </c>
      <c r="C37" s="1" t="s">
        <v>8635</v>
      </c>
    </row>
    <row r="38" spans="1:3" ht="50.25" customHeight="1" x14ac:dyDescent="0.35">
      <c r="A38" s="8" t="s">
        <v>7720</v>
      </c>
      <c r="B38" s="10" t="s">
        <v>7583</v>
      </c>
      <c r="C38" s="2" t="s">
        <v>8809</v>
      </c>
    </row>
    <row r="39" spans="1:3" ht="43.5" x14ac:dyDescent="0.35">
      <c r="A39" s="8" t="s">
        <v>8520</v>
      </c>
      <c r="B39" s="10" t="s">
        <v>7721</v>
      </c>
      <c r="C39" s="2" t="s">
        <v>7722</v>
      </c>
    </row>
    <row r="40" spans="1:3" ht="29" x14ac:dyDescent="0.35">
      <c r="A40" s="8" t="s">
        <v>8812</v>
      </c>
      <c r="B40" s="10" t="s">
        <v>8813</v>
      </c>
      <c r="C40" s="2" t="s">
        <v>8814</v>
      </c>
    </row>
    <row r="41" spans="1:3" ht="43.5" x14ac:dyDescent="0.35">
      <c r="A41" s="8" t="s">
        <v>8918</v>
      </c>
      <c r="B41" s="10" t="s">
        <v>8919</v>
      </c>
      <c r="C41" s="2" t="s">
        <v>8920</v>
      </c>
    </row>
    <row r="42" spans="1:3" x14ac:dyDescent="0.35">
      <c r="A42" s="3"/>
    </row>
    <row r="43" spans="1:3" x14ac:dyDescent="0.35">
      <c r="A43" s="3"/>
    </row>
    <row r="44" spans="1:3" x14ac:dyDescent="0.35">
      <c r="A44" s="3"/>
    </row>
  </sheetData>
  <sheetProtection algorithmName="SHA-512" hashValue="aNOErvsgaZVGpCaIxBOv7Oi8wVFJfovNbsMwlaVDI7DSH0RujO3F2NjsV/4HYsegvWqLVQUZRITuCUqsZpnaWg==" saltValue="JP9W5KWifN3KFNXCyP3MAg==" spinCount="100000" sheet="1" objects="1" scenarios="1"/>
  <mergeCells count="3">
    <mergeCell ref="B4:C4"/>
    <mergeCell ref="A1:C1"/>
    <mergeCell ref="B3:C3"/>
  </mergeCells>
  <pageMargins left="0.7" right="0.7" top="0.75" bottom="0.75" header="0.3" footer="0.3"/>
  <pageSetup paperSize="9" orientation="portrait" horizontalDpi="4294967293" verticalDpi="360"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5">
    <tabColor rgb="FF7030A0"/>
  </sheetPr>
  <dimension ref="A1:I13"/>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6.453125" style="1638" customWidth="1"/>
    <col min="2" max="2" width="18.453125" style="566" customWidth="1"/>
    <col min="3" max="3" width="94.1796875" style="556" customWidth="1"/>
    <col min="4" max="4" width="18.6328125" style="556" customWidth="1"/>
    <col min="5" max="5" width="17.453125" style="1102" customWidth="1"/>
    <col min="6" max="6" width="18.1796875" style="556" customWidth="1"/>
    <col min="7" max="7" width="13.453125" style="556" customWidth="1"/>
    <col min="8" max="8" width="28.453125" style="556" customWidth="1"/>
    <col min="9" max="9" width="13.453125" style="556" customWidth="1"/>
    <col min="10" max="16384" width="9.1796875" style="556"/>
  </cols>
  <sheetData>
    <row r="1" spans="1:9" ht="19.5" customHeight="1" thickBot="1" x14ac:dyDescent="0.4">
      <c r="A1" s="1193"/>
      <c r="B1" s="1694" t="s">
        <v>812</v>
      </c>
      <c r="C1" s="1694"/>
      <c r="D1" s="1703" t="s">
        <v>8414</v>
      </c>
      <c r="E1" s="1704"/>
      <c r="F1" s="554" t="str">
        <f>LOOKUP(' Preparation'!$F$4,Data!$B$2:$B$194,Data!$C$2:$C$194)</f>
        <v>€ (Euro)</v>
      </c>
      <c r="G1" s="1153"/>
    </row>
    <row r="2" spans="1:9" s="561" customFormat="1" ht="30.75" customHeight="1" thickBot="1" x14ac:dyDescent="0.4">
      <c r="A2" s="1393" t="s">
        <v>82</v>
      </c>
      <c r="B2" s="558" t="s">
        <v>150</v>
      </c>
      <c r="C2" s="558" t="s">
        <v>810</v>
      </c>
      <c r="D2" s="558" t="s">
        <v>67</v>
      </c>
      <c r="E2" s="501" t="s">
        <v>8112</v>
      </c>
      <c r="F2" s="559" t="s">
        <v>149</v>
      </c>
      <c r="G2" s="560" t="s">
        <v>258</v>
      </c>
      <c r="H2" s="556"/>
    </row>
    <row r="3" spans="1:9" s="561" customFormat="1" ht="24" customHeight="1" thickBot="1" x14ac:dyDescent="0.4">
      <c r="A3" s="1512"/>
      <c r="B3" s="563" t="s">
        <v>89</v>
      </c>
      <c r="C3" s="1728" t="s">
        <v>8691</v>
      </c>
      <c r="D3" s="1729"/>
      <c r="E3" s="1729"/>
      <c r="F3" s="1729"/>
      <c r="G3" s="1729"/>
      <c r="H3" s="1729"/>
      <c r="I3" s="1729"/>
    </row>
    <row r="4" spans="1:9" ht="29.25" customHeight="1" x14ac:dyDescent="0.35">
      <c r="A4" s="564" t="s">
        <v>7520</v>
      </c>
      <c r="B4" s="521" t="s">
        <v>15</v>
      </c>
      <c r="C4" s="1270" t="s">
        <v>393</v>
      </c>
      <c r="D4" s="1270" t="s">
        <v>304</v>
      </c>
      <c r="E4" s="1271" t="s">
        <v>753</v>
      </c>
      <c r="F4" s="566">
        <v>1</v>
      </c>
      <c r="G4" s="407" t="str">
        <f>IF($F$4=1,"",IF($F$4=3,"Goto UH 2"," Goto UH 7"))</f>
        <v/>
      </c>
      <c r="H4" s="566" t="s">
        <v>8471</v>
      </c>
      <c r="I4" s="566" t="s">
        <v>7429</v>
      </c>
    </row>
    <row r="5" spans="1:9" ht="35.25" customHeight="1" x14ac:dyDescent="0.35">
      <c r="A5" s="564" t="s">
        <v>7519</v>
      </c>
      <c r="B5" s="521" t="s">
        <v>16</v>
      </c>
      <c r="C5" s="556" t="s">
        <v>7230</v>
      </c>
      <c r="D5" s="565" t="s">
        <v>987</v>
      </c>
      <c r="E5" s="1638" t="s">
        <v>2197</v>
      </c>
      <c r="F5" s="1963"/>
      <c r="G5" s="407"/>
      <c r="H5" s="1929"/>
      <c r="I5" s="1929"/>
    </row>
    <row r="6" spans="1:9" ht="30" customHeight="1" x14ac:dyDescent="0.35">
      <c r="A6" s="564" t="s">
        <v>7518</v>
      </c>
      <c r="B6" s="521" t="s">
        <v>8076</v>
      </c>
      <c r="C6" s="556" t="s">
        <v>7425</v>
      </c>
      <c r="D6" s="565" t="s">
        <v>76</v>
      </c>
      <c r="E6" s="1638" t="s">
        <v>7426</v>
      </c>
      <c r="F6" s="556">
        <v>1</v>
      </c>
      <c r="G6" s="407" t="str">
        <f>IF($F$6=1,"",IF($F$6=2,"Goto UH 4","Goto UH 6"))</f>
        <v/>
      </c>
    </row>
    <row r="7" spans="1:9" ht="30" customHeight="1" x14ac:dyDescent="0.35">
      <c r="A7" s="564" t="s">
        <v>7521</v>
      </c>
      <c r="B7" s="443" t="s">
        <v>5825</v>
      </c>
      <c r="C7" s="556" t="s">
        <v>8075</v>
      </c>
      <c r="D7" s="565" t="s">
        <v>8009</v>
      </c>
      <c r="E7" s="547" t="s">
        <v>7501</v>
      </c>
      <c r="F7" s="981" t="s">
        <v>8345</v>
      </c>
      <c r="G7" s="407" t="s">
        <v>8010</v>
      </c>
    </row>
    <row r="8" spans="1:9" ht="30" customHeight="1" x14ac:dyDescent="0.35">
      <c r="A8" s="564" t="s">
        <v>7522</v>
      </c>
      <c r="B8" s="521" t="s">
        <v>32</v>
      </c>
      <c r="C8" s="556" t="s">
        <v>7474</v>
      </c>
      <c r="D8" s="565" t="s">
        <v>28</v>
      </c>
      <c r="E8" s="1638" t="s">
        <v>8455</v>
      </c>
      <c r="F8" s="981" t="str">
        <f>IF($F$4=1,"",Data!$AK$4*' Preparation'!$F$24)</f>
        <v/>
      </c>
      <c r="G8" s="407"/>
    </row>
    <row r="9" spans="1:9" ht="27.75" customHeight="1" thickBot="1" x14ac:dyDescent="0.4">
      <c r="A9" s="564" t="s">
        <v>7523</v>
      </c>
      <c r="B9" s="1171" t="s">
        <v>7350</v>
      </c>
      <c r="C9" s="1141" t="s">
        <v>8029</v>
      </c>
      <c r="D9" s="1478" t="s">
        <v>7759</v>
      </c>
      <c r="E9" s="1142" t="s">
        <v>8455</v>
      </c>
      <c r="F9" s="1513">
        <f>IF($F$8="",0,$F$5*$F$8)</f>
        <v>0</v>
      </c>
      <c r="G9" s="1514"/>
    </row>
    <row r="10" spans="1:9" ht="15" thickBot="1" x14ac:dyDescent="0.4"/>
    <row r="11" spans="1:9" ht="19.5" thickTop="1" thickBot="1" x14ac:dyDescent="0.4">
      <c r="A11" s="564" t="s">
        <v>7524</v>
      </c>
      <c r="B11" s="571" t="s">
        <v>272</v>
      </c>
      <c r="C11" s="558" t="s">
        <v>7160</v>
      </c>
      <c r="E11" s="1515" t="s">
        <v>272</v>
      </c>
      <c r="F11" s="734">
        <f>IF($F$4=1,0,IF($F$4=2,0,IF($F$6=2,$F$7,$F$9)))</f>
        <v>0</v>
      </c>
    </row>
    <row r="12" spans="1:9" x14ac:dyDescent="0.35">
      <c r="D12" s="1516"/>
    </row>
    <row r="13" spans="1:9" x14ac:dyDescent="0.35">
      <c r="D13" s="1806" t="str">
        <f>IF($F$4=1,"No data included for Use-Health","")</f>
        <v>No data included for Use-Health</v>
      </c>
      <c r="E13" s="1806"/>
      <c r="F13" s="1806"/>
    </row>
  </sheetData>
  <sheetProtection algorithmName="SHA-512" hashValue="A0oiT86mooYdtirtavSE7tSXVkXg5J2q0wz1NwF3zf1okZt9Va3s6rW3xux9LpWZU4wU+wZCt4Suf+vqfAqwAg==" saltValue="gPXQEx3hxMrM8JgFz1L4Og==" spinCount="100000" sheet="1" objects="1" scenarios="1"/>
  <mergeCells count="4">
    <mergeCell ref="B1:C1"/>
    <mergeCell ref="D1:E1"/>
    <mergeCell ref="C3:I3"/>
    <mergeCell ref="D13:F13"/>
  </mergeCell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9570" r:id="rId4" name="Drop Down 2">
              <controlPr defaultSize="0" autoLine="0" autoPict="0">
                <anchor moveWithCells="1">
                  <from>
                    <xdr:col>5</xdr:col>
                    <xdr:colOff>12700</xdr:colOff>
                    <xdr:row>3</xdr:row>
                    <xdr:rowOff>0</xdr:rowOff>
                  </from>
                  <to>
                    <xdr:col>6</xdr:col>
                    <xdr:colOff>0</xdr:colOff>
                    <xdr:row>4</xdr:row>
                    <xdr:rowOff>12700</xdr:rowOff>
                  </to>
                </anchor>
              </controlPr>
            </control>
          </mc:Choice>
        </mc:AlternateContent>
        <mc:AlternateContent xmlns:mc="http://schemas.openxmlformats.org/markup-compatibility/2006">
          <mc:Choice Requires="x14">
            <control shapeId="109571" r:id="rId5" name="Drop Down 3">
              <controlPr defaultSize="0" autoLine="0" autoPict="0">
                <anchor moveWithCells="1">
                  <from>
                    <xdr:col>5</xdr:col>
                    <xdr:colOff>0</xdr:colOff>
                    <xdr:row>5</xdr:row>
                    <xdr:rowOff>0</xdr:rowOff>
                  </from>
                  <to>
                    <xdr:col>6</xdr:col>
                    <xdr:colOff>12700</xdr:colOff>
                    <xdr:row>5</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7">
    <tabColor rgb="FF7030A0"/>
  </sheetPr>
  <dimension ref="A1:V39"/>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6" style="1638" customWidth="1"/>
    <col min="2" max="2" width="17.81640625" style="566" customWidth="1"/>
    <col min="3" max="3" width="92.453125" style="556" customWidth="1"/>
    <col min="4" max="4" width="18.81640625" style="556" customWidth="1"/>
    <col min="5" max="5" width="18" style="1638" customWidth="1"/>
    <col min="6" max="6" width="18.453125" style="556" customWidth="1"/>
    <col min="7" max="7" width="14.1796875" style="556" customWidth="1"/>
    <col min="8" max="8" width="23.453125" style="556" customWidth="1"/>
    <col min="9" max="9" width="17.1796875" style="556" customWidth="1"/>
    <col min="10" max="10" width="11.1796875" style="556" customWidth="1"/>
    <col min="11" max="11" width="32.36328125" style="556" customWidth="1"/>
    <col min="12" max="12" width="12.453125" style="556" customWidth="1"/>
    <col min="13" max="13" width="13.453125" style="556" customWidth="1"/>
    <col min="14" max="14" width="13.6328125" style="556" customWidth="1"/>
    <col min="15" max="15" width="14.1796875" style="556" customWidth="1"/>
    <col min="16" max="16" width="9.1796875" style="556"/>
    <col min="17" max="17" width="32.81640625" style="556" customWidth="1"/>
    <col min="18" max="18" width="9.453125" style="1644" customWidth="1"/>
    <col min="19" max="19" width="14.453125" style="556" customWidth="1"/>
    <col min="20" max="20" width="13.453125" style="556" customWidth="1"/>
    <col min="21" max="21" width="15.453125" style="556" customWidth="1"/>
    <col min="22" max="16384" width="9.1796875" style="556"/>
  </cols>
  <sheetData>
    <row r="1" spans="1:21" ht="19" customHeight="1" thickBot="1" x14ac:dyDescent="0.4">
      <c r="A1" s="1193"/>
      <c r="B1" s="1694" t="s">
        <v>814</v>
      </c>
      <c r="C1" s="1694"/>
      <c r="D1" s="1703" t="s">
        <v>8414</v>
      </c>
      <c r="E1" s="1704"/>
      <c r="F1" s="554" t="str">
        <f>LOOKUP(' Preparation'!$F$4,Data!$B$2:$B$194,Data!$C$2:$C$194)</f>
        <v>€ (Euro)</v>
      </c>
      <c r="G1" s="1153"/>
    </row>
    <row r="2" spans="1:21" s="561" customFormat="1" ht="20.25" customHeight="1" thickBot="1" x14ac:dyDescent="0.4">
      <c r="A2" s="1181" t="s">
        <v>82</v>
      </c>
      <c r="B2" s="1182" t="s">
        <v>150</v>
      </c>
      <c r="C2" s="1182" t="s">
        <v>818</v>
      </c>
      <c r="D2" s="1182" t="s">
        <v>67</v>
      </c>
      <c r="E2" s="501" t="s">
        <v>8112</v>
      </c>
      <c r="F2" s="1370" t="s">
        <v>149</v>
      </c>
      <c r="G2" s="1183" t="s">
        <v>258</v>
      </c>
      <c r="K2" s="1750" t="s">
        <v>7494</v>
      </c>
      <c r="L2" s="1751"/>
      <c r="M2" s="1756"/>
      <c r="P2" s="1517"/>
      <c r="Q2" s="1750" t="s">
        <v>8018</v>
      </c>
      <c r="R2" s="1751"/>
      <c r="S2" s="1756"/>
    </row>
    <row r="3" spans="1:21" s="561" customFormat="1" ht="22.5" customHeight="1" thickBot="1" x14ac:dyDescent="0.4">
      <c r="A3" s="562"/>
      <c r="B3" s="563" t="s">
        <v>89</v>
      </c>
      <c r="C3" s="1728" t="s">
        <v>8691</v>
      </c>
      <c r="D3" s="1729"/>
      <c r="E3" s="1729"/>
      <c r="F3" s="1729"/>
      <c r="G3" s="1729"/>
      <c r="H3" s="1729"/>
      <c r="I3" s="1729"/>
      <c r="K3" s="1825" t="s">
        <v>7516</v>
      </c>
      <c r="L3" s="1518"/>
      <c r="M3" s="1519" t="s">
        <v>7484</v>
      </c>
      <c r="N3" s="1520"/>
      <c r="O3" s="1521"/>
      <c r="Q3" s="1522" t="s">
        <v>7483</v>
      </c>
      <c r="R3" s="1523"/>
      <c r="S3" s="1827" t="s">
        <v>7484</v>
      </c>
      <c r="T3" s="1828"/>
      <c r="U3" s="1829"/>
    </row>
    <row r="4" spans="1:21" s="561" customFormat="1" ht="23.5" customHeight="1" thickBot="1" x14ac:dyDescent="0.4">
      <c r="A4" s="564" t="s">
        <v>7503</v>
      </c>
      <c r="B4" s="521" t="s">
        <v>134</v>
      </c>
      <c r="C4" s="556" t="s">
        <v>8011</v>
      </c>
      <c r="D4" s="565" t="s">
        <v>7441</v>
      </c>
      <c r="E4" s="1638" t="s">
        <v>7436</v>
      </c>
      <c r="F4" s="556">
        <v>1</v>
      </c>
      <c r="G4" s="407"/>
      <c r="K4" s="1825"/>
      <c r="L4" s="1518"/>
      <c r="M4" s="1524"/>
      <c r="N4" s="1525"/>
      <c r="O4" s="1526"/>
      <c r="Q4" s="1642"/>
      <c r="R4" s="1518"/>
      <c r="S4" s="1519"/>
      <c r="T4" s="1527"/>
      <c r="U4" s="1528"/>
    </row>
    <row r="5" spans="1:21" ht="18.75" customHeight="1" thickBot="1" x14ac:dyDescent="0.4">
      <c r="A5" s="1767" t="s">
        <v>41</v>
      </c>
      <c r="B5" s="1767"/>
      <c r="C5" s="1767"/>
      <c r="D5" s="1767"/>
      <c r="E5" s="1767"/>
      <c r="F5" s="1767"/>
      <c r="G5" s="1767"/>
      <c r="K5" s="1826"/>
      <c r="L5" s="1529"/>
      <c r="M5" s="1530" t="s">
        <v>7485</v>
      </c>
      <c r="N5" s="1531" t="s">
        <v>7486</v>
      </c>
      <c r="O5" s="1532" t="s">
        <v>7487</v>
      </c>
      <c r="Q5" s="1643"/>
      <c r="R5" s="1529"/>
      <c r="S5" s="1533" t="s">
        <v>7485</v>
      </c>
      <c r="T5" s="1534" t="s">
        <v>7486</v>
      </c>
      <c r="U5" s="1535" t="s">
        <v>7487</v>
      </c>
    </row>
    <row r="6" spans="1:21" ht="20.25" customHeight="1" thickBot="1" x14ac:dyDescent="0.4">
      <c r="A6" s="564" t="s">
        <v>7481</v>
      </c>
      <c r="B6" s="521" t="s">
        <v>8885</v>
      </c>
      <c r="C6" s="556" t="s">
        <v>8886</v>
      </c>
      <c r="D6" s="1629" t="s">
        <v>8887</v>
      </c>
      <c r="E6" s="1638" t="s">
        <v>8885</v>
      </c>
      <c r="F6" s="981">
        <v>1</v>
      </c>
      <c r="G6" s="407" t="str">
        <f>IF(F6=1,"",IF(F6=2,"Goto UN 2","Goto UN 6"))</f>
        <v/>
      </c>
      <c r="K6" s="1643"/>
      <c r="L6" s="1529"/>
      <c r="M6" s="1533"/>
      <c r="N6" s="1534"/>
      <c r="O6" s="1535"/>
      <c r="Q6" s="1643"/>
      <c r="R6" s="1529"/>
      <c r="S6" s="1533"/>
      <c r="T6" s="1534"/>
      <c r="U6" s="1535"/>
    </row>
    <row r="7" spans="1:21" ht="45" customHeight="1" thickBot="1" x14ac:dyDescent="0.4">
      <c r="A7" s="564" t="s">
        <v>7482</v>
      </c>
      <c r="B7" s="521" t="s">
        <v>7492</v>
      </c>
      <c r="C7" s="556" t="s">
        <v>9007</v>
      </c>
      <c r="D7" s="556" t="s">
        <v>8015</v>
      </c>
      <c r="E7" s="1638" t="s">
        <v>8017</v>
      </c>
      <c r="F7" s="981" t="s">
        <v>8016</v>
      </c>
      <c r="G7" s="407" t="str">
        <f>IF(O11=0,"Goto UN 6","Goto UN 3")</f>
        <v>Goto UN 6</v>
      </c>
      <c r="K7" s="1536" t="s">
        <v>8012</v>
      </c>
      <c r="L7" s="1537" t="s">
        <v>7488</v>
      </c>
      <c r="M7" s="1964"/>
      <c r="N7" s="1964"/>
      <c r="O7" s="1965"/>
      <c r="Q7" s="1536" t="s">
        <v>8012</v>
      </c>
      <c r="R7" s="1538" t="s">
        <v>7488</v>
      </c>
      <c r="S7" s="1539">
        <v>50</v>
      </c>
      <c r="T7" s="1539">
        <v>45</v>
      </c>
      <c r="U7" s="1540">
        <v>40</v>
      </c>
    </row>
    <row r="8" spans="1:21" ht="29.25" customHeight="1" thickBot="1" x14ac:dyDescent="0.4">
      <c r="A8" s="564" t="s">
        <v>7496</v>
      </c>
      <c r="B8" s="521" t="s">
        <v>2187</v>
      </c>
      <c r="C8" s="556" t="s">
        <v>7493</v>
      </c>
      <c r="D8" s="556" t="s">
        <v>69</v>
      </c>
      <c r="E8" s="1638" t="s">
        <v>7426</v>
      </c>
      <c r="F8" s="556">
        <v>1</v>
      </c>
      <c r="G8" s="407" t="str">
        <f>IF(F8=1,"",IF(F8=2,"Goto UN 4", "Goto UN 6"))</f>
        <v/>
      </c>
      <c r="H8" s="566"/>
      <c r="I8" s="566"/>
      <c r="K8" s="1541" t="s">
        <v>8013</v>
      </c>
      <c r="L8" s="1542" t="s">
        <v>7488</v>
      </c>
      <c r="M8" s="1964"/>
      <c r="N8" s="1964"/>
      <c r="O8" s="1965"/>
      <c r="Q8" s="1541" t="s">
        <v>8013</v>
      </c>
      <c r="R8" s="1543" t="s">
        <v>7488</v>
      </c>
      <c r="S8" s="1544">
        <v>35</v>
      </c>
      <c r="T8" s="1544">
        <v>30</v>
      </c>
      <c r="U8" s="1545">
        <v>25</v>
      </c>
    </row>
    <row r="9" spans="1:21" ht="46.5" customHeight="1" thickBot="1" x14ac:dyDescent="0.4">
      <c r="A9" s="564" t="s">
        <v>7498</v>
      </c>
      <c r="B9" s="521" t="s">
        <v>7497</v>
      </c>
      <c r="C9" s="556" t="s">
        <v>8711</v>
      </c>
      <c r="D9" s="556" t="s">
        <v>8019</v>
      </c>
      <c r="E9" s="1638" t="s">
        <v>7497</v>
      </c>
      <c r="F9" s="981" t="s">
        <v>8020</v>
      </c>
      <c r="G9" s="407"/>
      <c r="H9" s="566"/>
      <c r="I9" s="566"/>
      <c r="K9" s="1536" t="s">
        <v>8012</v>
      </c>
      <c r="L9" s="1537" t="s">
        <v>7490</v>
      </c>
      <c r="M9" s="1964"/>
      <c r="N9" s="1964"/>
      <c r="O9" s="1965"/>
      <c r="Q9" s="1536" t="s">
        <v>8012</v>
      </c>
      <c r="R9" s="1538" t="s">
        <v>7489</v>
      </c>
      <c r="S9" s="1539">
        <v>70</v>
      </c>
      <c r="T9" s="1539">
        <v>65</v>
      </c>
      <c r="U9" s="1540">
        <v>60</v>
      </c>
    </row>
    <row r="10" spans="1:21" ht="39" customHeight="1" thickBot="1" x14ac:dyDescent="0.4">
      <c r="A10" s="564" t="s">
        <v>7499</v>
      </c>
      <c r="B10" s="521" t="s">
        <v>7500</v>
      </c>
      <c r="C10" s="556" t="s">
        <v>8021</v>
      </c>
      <c r="D10" s="556" t="s">
        <v>69</v>
      </c>
      <c r="E10" s="1638" t="s">
        <v>8456</v>
      </c>
      <c r="F10" s="1446"/>
      <c r="G10" s="407"/>
      <c r="H10" s="1546"/>
      <c r="K10" s="1547" t="s">
        <v>8014</v>
      </c>
      <c r="L10" s="1548" t="s">
        <v>7490</v>
      </c>
      <c r="M10" s="1966"/>
      <c r="N10" s="1966"/>
      <c r="O10" s="1967"/>
      <c r="Q10" s="1547" t="s">
        <v>8014</v>
      </c>
      <c r="R10" s="1549" t="s">
        <v>7489</v>
      </c>
      <c r="S10" s="1550">
        <v>55</v>
      </c>
      <c r="T10" s="1550">
        <v>50</v>
      </c>
      <c r="U10" s="1551">
        <v>45</v>
      </c>
    </row>
    <row r="11" spans="1:21" ht="30" thickTop="1" thickBot="1" x14ac:dyDescent="0.4">
      <c r="A11" s="564" t="s">
        <v>8884</v>
      </c>
      <c r="B11" s="521" t="s">
        <v>26</v>
      </c>
      <c r="C11" s="1645" t="s">
        <v>7504</v>
      </c>
      <c r="D11" s="566" t="s">
        <v>42</v>
      </c>
      <c r="E11" s="1118" t="s">
        <v>8351</v>
      </c>
      <c r="F11" s="734">
        <f>IF($F$8=2,' Preparation'!$F$24*Data!$AK$10*(($O$19*(LOOKUP($F$4,Data!$AN$2:$AN$74,Data!$AP$2:$AP$74)+$F$10*($O$11-$O$19)/$O$11))),' Preparation'!F24*Data!$AK$10*$O$11*(LOOKUP($F$4,Data!$AN$2:$AN$74,Data!$AP$2:$AP$74)))</f>
        <v>0</v>
      </c>
      <c r="G11" s="407"/>
      <c r="N11" s="556" t="s">
        <v>8022</v>
      </c>
      <c r="O11" s="1552">
        <f>MAX($M$7-$S$7,$N$7-$T$7,$O$7-$U$7,$M$8-$S$8,$N$8-$T$8,$O$8-$U$8,$M$9-$S$9,$N$9-$T$9,$O$9-$U$9,$M$10-$S$10,$N$10-$T$10,$O$10-$U$10,0)</f>
        <v>0</v>
      </c>
    </row>
    <row r="12" spans="1:21" ht="18.75" customHeight="1" thickTop="1" thickBot="1" x14ac:dyDescent="0.4">
      <c r="A12" s="1767" t="s">
        <v>43</v>
      </c>
      <c r="B12" s="1767"/>
      <c r="C12" s="1767"/>
      <c r="D12" s="1767"/>
      <c r="E12" s="1767"/>
      <c r="F12" s="1767"/>
      <c r="G12" s="1767"/>
      <c r="H12" s="1378"/>
      <c r="K12" s="1750" t="s">
        <v>7495</v>
      </c>
      <c r="L12" s="1751"/>
      <c r="M12" s="1756"/>
    </row>
    <row r="13" spans="1:21" ht="32.5" customHeight="1" thickBot="1" x14ac:dyDescent="0.4">
      <c r="A13" s="564" t="s">
        <v>7505</v>
      </c>
      <c r="B13" s="521" t="s">
        <v>7506</v>
      </c>
      <c r="C13" s="1644" t="s">
        <v>8712</v>
      </c>
      <c r="D13" s="556" t="s">
        <v>69</v>
      </c>
      <c r="E13" s="1638" t="s">
        <v>7508</v>
      </c>
      <c r="F13" s="556">
        <v>1</v>
      </c>
      <c r="G13" s="407" t="str">
        <f>IF(F13=1,"",IF(F13=2,"Goto UI 5", "Goto UI 2"))</f>
        <v/>
      </c>
      <c r="H13" s="1378"/>
      <c r="K13" s="1642" t="s">
        <v>7491</v>
      </c>
      <c r="L13" s="1518"/>
      <c r="M13" s="1519" t="s">
        <v>7484</v>
      </c>
      <c r="N13" s="1520"/>
      <c r="O13" s="1521"/>
    </row>
    <row r="14" spans="1:21" ht="87.5" thickBot="1" x14ac:dyDescent="0.4">
      <c r="A14" s="564" t="s">
        <v>7507</v>
      </c>
      <c r="B14" s="521" t="s">
        <v>7509</v>
      </c>
      <c r="C14" s="556" t="s">
        <v>8715</v>
      </c>
      <c r="D14" s="556" t="s">
        <v>69</v>
      </c>
      <c r="E14" s="1638" t="s">
        <v>7510</v>
      </c>
      <c r="F14" s="1186">
        <v>1</v>
      </c>
      <c r="G14" s="407" t="str">
        <f>IF(F14=1,"",IF(F14=2,"Goto UI 5", "Goto UI 3"))</f>
        <v/>
      </c>
      <c r="H14" s="1378"/>
      <c r="K14" s="1536" t="s">
        <v>8012</v>
      </c>
      <c r="L14" s="1537" t="s">
        <v>7488</v>
      </c>
      <c r="M14" s="1964"/>
      <c r="N14" s="1964"/>
      <c r="O14" s="1965"/>
    </row>
    <row r="15" spans="1:21" ht="29.5" thickBot="1" x14ac:dyDescent="0.4">
      <c r="A15" s="564" t="s">
        <v>7511</v>
      </c>
      <c r="B15" s="521" t="s">
        <v>7514</v>
      </c>
      <c r="C15" s="1644" t="s">
        <v>8713</v>
      </c>
      <c r="D15" s="556" t="s">
        <v>69</v>
      </c>
      <c r="E15" s="1638" t="s">
        <v>8024</v>
      </c>
      <c r="F15" s="556">
        <v>1</v>
      </c>
      <c r="G15" s="407" t="str">
        <f>IF(F15=1,"",IF(F15=2,"Goto UI 5", "Goto UI 4"))</f>
        <v/>
      </c>
      <c r="H15" s="1378"/>
      <c r="K15" s="1541" t="s">
        <v>8013</v>
      </c>
      <c r="L15" s="1542" t="s">
        <v>7488</v>
      </c>
      <c r="M15" s="1964"/>
      <c r="N15" s="1964"/>
      <c r="O15" s="1965"/>
    </row>
    <row r="16" spans="1:21" ht="29.5" thickBot="1" x14ac:dyDescent="0.4">
      <c r="A16" s="564" t="s">
        <v>7512</v>
      </c>
      <c r="B16" s="521" t="s">
        <v>7515</v>
      </c>
      <c r="C16" s="1644" t="s">
        <v>8714</v>
      </c>
      <c r="D16" s="556" t="s">
        <v>69</v>
      </c>
      <c r="E16" s="1638" t="s">
        <v>8025</v>
      </c>
      <c r="F16" s="556">
        <v>1</v>
      </c>
      <c r="G16" s="407" t="str">
        <f>IF(F16=1,"",IF(F16=2,"Goto UI 5", "Goto UI 4"))</f>
        <v/>
      </c>
      <c r="H16" s="1378"/>
      <c r="K16" s="1536" t="s">
        <v>8012</v>
      </c>
      <c r="L16" s="1537" t="s">
        <v>7490</v>
      </c>
      <c r="M16" s="1964"/>
      <c r="N16" s="1964"/>
      <c r="O16" s="1965"/>
    </row>
    <row r="17" spans="1:20" ht="31.5" customHeight="1" thickTop="1" thickBot="1" x14ac:dyDescent="0.4">
      <c r="A17" s="564" t="s">
        <v>7513</v>
      </c>
      <c r="B17" s="1171" t="s">
        <v>26</v>
      </c>
      <c r="C17" s="1202" t="s">
        <v>8235</v>
      </c>
      <c r="D17" s="1141" t="s">
        <v>42</v>
      </c>
      <c r="E17" s="1142" t="s">
        <v>8375</v>
      </c>
      <c r="F17" s="1553" t="str">
        <f>IF($F$13=1,"",IF($F$13=2,0,IF($F$14=2,0,IF($F$15=2,0.5,1)*Data!$AK$7*LOOKUP($F$4,Data!$AN$2:$AN$74,Data!$AP$2:$AP$74))))</f>
        <v/>
      </c>
      <c r="G17" s="1554"/>
      <c r="K17" s="1547" t="s">
        <v>8014</v>
      </c>
      <c r="L17" s="1548" t="s">
        <v>7490</v>
      </c>
      <c r="M17" s="1966"/>
      <c r="N17" s="1966"/>
      <c r="O17" s="1968"/>
    </row>
    <row r="18" spans="1:20" ht="18" customHeight="1" thickBot="1" x14ac:dyDescent="0.4">
      <c r="A18" s="564"/>
      <c r="C18" s="1645"/>
      <c r="D18" s="566"/>
      <c r="E18" s="1118"/>
      <c r="F18" s="1146"/>
      <c r="G18" s="644"/>
    </row>
    <row r="19" spans="1:20" ht="27" customHeight="1" thickTop="1" thickBot="1" x14ac:dyDescent="0.4">
      <c r="A19" s="1767" t="s">
        <v>7475</v>
      </c>
      <c r="B19" s="1767"/>
      <c r="C19" s="1767"/>
      <c r="D19" s="1767"/>
      <c r="E19" s="1767"/>
      <c r="F19" s="1767"/>
      <c r="G19" s="1767"/>
      <c r="N19" s="556" t="s">
        <v>8022</v>
      </c>
      <c r="O19" s="1552">
        <f>MAX($M$14-$S$7,$N$14-$T$7,$O$14-$U$7,$M$15-$S$8,$N$15-$T$8,$O$15-$U$8,$M$16-$S$9,$N$16-$T$9,$O$16-$U$9,$M$17-$S$10,$N$17-$T$10,$O$17-$U$10,0)</f>
        <v>0</v>
      </c>
    </row>
    <row r="20" spans="1:20" ht="44.5" customHeight="1" thickTop="1" x14ac:dyDescent="0.35">
      <c r="A20" s="564" t="s">
        <v>7466</v>
      </c>
      <c r="B20" s="521" t="s">
        <v>15</v>
      </c>
      <c r="C20" s="1270" t="s">
        <v>7476</v>
      </c>
      <c r="D20" s="565" t="s">
        <v>304</v>
      </c>
      <c r="E20" s="1271" t="s">
        <v>753</v>
      </c>
      <c r="F20" s="566">
        <v>3</v>
      </c>
      <c r="G20" s="407" t="str">
        <f>IF($F$20=1,"",IF($F$20=2,"Goto Q 8"," Goto Q 2"))</f>
        <v xml:space="preserve"> Goto Q 2</v>
      </c>
      <c r="H20" s="566" t="s">
        <v>8717</v>
      </c>
      <c r="I20" s="566" t="s">
        <v>8718</v>
      </c>
      <c r="R20" s="556"/>
    </row>
    <row r="21" spans="1:20" ht="35.5" customHeight="1" x14ac:dyDescent="0.35">
      <c r="A21" s="564" t="s">
        <v>7467</v>
      </c>
      <c r="B21" s="443" t="s">
        <v>390</v>
      </c>
      <c r="C21" s="1270" t="s">
        <v>7477</v>
      </c>
      <c r="D21" s="565" t="s">
        <v>76</v>
      </c>
      <c r="E21" s="1638" t="s">
        <v>2197</v>
      </c>
      <c r="F21" s="574"/>
      <c r="G21" s="1272" t="str">
        <f>IF(E20=2,"Goto OHS 3","")</f>
        <v/>
      </c>
      <c r="H21" s="1929"/>
      <c r="I21" s="1969"/>
      <c r="R21" s="556"/>
    </row>
    <row r="22" spans="1:20" ht="29.5" customHeight="1" x14ac:dyDescent="0.35">
      <c r="A22" s="564" t="s">
        <v>7468</v>
      </c>
      <c r="B22" s="521" t="s">
        <v>2187</v>
      </c>
      <c r="C22" s="556" t="s">
        <v>7425</v>
      </c>
      <c r="D22" s="565" t="s">
        <v>76</v>
      </c>
      <c r="E22" s="1638" t="s">
        <v>7426</v>
      </c>
      <c r="F22" s="556">
        <v>3</v>
      </c>
      <c r="G22" s="407" t="str">
        <f>IF($F$22=1,"",IF($F$22=2,"Goto Q 4", "Goto Q 7"))</f>
        <v>Goto Q 7</v>
      </c>
      <c r="R22" s="556"/>
    </row>
    <row r="23" spans="1:20" ht="29.5" customHeight="1" x14ac:dyDescent="0.35">
      <c r="A23" s="564" t="s">
        <v>7469</v>
      </c>
      <c r="B23" s="443" t="s">
        <v>5825</v>
      </c>
      <c r="C23" s="556" t="s">
        <v>8716</v>
      </c>
      <c r="D23" s="565" t="s">
        <v>8028</v>
      </c>
      <c r="E23" s="547" t="s">
        <v>8719</v>
      </c>
      <c r="F23" s="981">
        <f>IF($F$21=0,0,IF($F$22=1,"",IF($F$22=2,($H$21*($F$21-$I$21)/$F$21+$I$21*$F$24),"")))</f>
        <v>0</v>
      </c>
      <c r="G23" s="1273"/>
      <c r="R23" s="556"/>
    </row>
    <row r="24" spans="1:20" ht="45" customHeight="1" x14ac:dyDescent="0.35">
      <c r="A24" s="564" t="s">
        <v>7470</v>
      </c>
      <c r="B24" s="443" t="s">
        <v>7428</v>
      </c>
      <c r="C24" s="549" t="s">
        <v>7478</v>
      </c>
      <c r="D24" s="499" t="s">
        <v>42</v>
      </c>
      <c r="E24" s="547" t="s">
        <v>8457</v>
      </c>
      <c r="F24" s="981">
        <f>Data!$AK$8*' Preparation'!$F$23*' Preparation'!$F$24*LOOKUP(' Preparation'!$F$10,Data!$B$2:$B$115,Data!$S$2:S$115)</f>
        <v>0</v>
      </c>
      <c r="G24" s="407"/>
      <c r="R24" s="556"/>
    </row>
    <row r="25" spans="1:20" ht="31.5" customHeight="1" thickBot="1" x14ac:dyDescent="0.4">
      <c r="A25" s="564" t="s">
        <v>7471</v>
      </c>
      <c r="B25" s="443" t="s">
        <v>7350</v>
      </c>
      <c r="C25" s="556" t="s">
        <v>8030</v>
      </c>
      <c r="D25" s="499" t="s">
        <v>7759</v>
      </c>
      <c r="E25" s="547" t="s">
        <v>8472</v>
      </c>
      <c r="F25" s="981">
        <f>$F$21*$F$24</f>
        <v>0</v>
      </c>
      <c r="G25" s="407"/>
      <c r="R25" s="556"/>
    </row>
    <row r="26" spans="1:20" ht="30.75" customHeight="1" thickBot="1" x14ac:dyDescent="0.4">
      <c r="A26" s="564" t="s">
        <v>8027</v>
      </c>
      <c r="B26" s="1171" t="s">
        <v>272</v>
      </c>
      <c r="C26" s="1202" t="s">
        <v>8233</v>
      </c>
      <c r="D26" s="1555" t="s">
        <v>7759</v>
      </c>
      <c r="E26" s="1275" t="s">
        <v>8458</v>
      </c>
      <c r="F26" s="1556">
        <f>IF($F$20=1,"",IF($F$20=2,0,IF($F$22=2,$F$23,$F$25)))</f>
        <v>0</v>
      </c>
      <c r="G26" s="1276"/>
      <c r="R26" s="556"/>
    </row>
    <row r="27" spans="1:20" ht="41.25" customHeight="1" x14ac:dyDescent="0.35">
      <c r="B27" s="556"/>
      <c r="E27" s="556"/>
      <c r="R27" s="556"/>
    </row>
    <row r="28" spans="1:20" ht="20.5" customHeight="1" x14ac:dyDescent="0.35">
      <c r="A28" s="1767" t="s">
        <v>7479</v>
      </c>
      <c r="B28" s="1767"/>
      <c r="C28" s="1767"/>
      <c r="D28" s="1767"/>
      <c r="E28" s="1767"/>
      <c r="F28" s="1767"/>
      <c r="G28" s="1767"/>
      <c r="R28" s="556"/>
    </row>
    <row r="29" spans="1:20" ht="45.75" customHeight="1" thickBot="1" x14ac:dyDescent="0.4">
      <c r="A29" s="564" t="s">
        <v>7338</v>
      </c>
      <c r="B29" s="1557" t="s">
        <v>8032</v>
      </c>
      <c r="C29" s="1270" t="s">
        <v>8720</v>
      </c>
      <c r="D29" s="565" t="s">
        <v>8033</v>
      </c>
      <c r="E29" s="1271" t="s">
        <v>8031</v>
      </c>
      <c r="F29" s="566">
        <v>1</v>
      </c>
      <c r="G29" s="407"/>
      <c r="R29" s="556"/>
    </row>
    <row r="30" spans="1:20" ht="29.25" customHeight="1" thickBot="1" x14ac:dyDescent="0.4">
      <c r="A30" s="1274" t="s">
        <v>7045</v>
      </c>
      <c r="B30" s="1171" t="s">
        <v>272</v>
      </c>
      <c r="C30" s="1202" t="s">
        <v>8234</v>
      </c>
      <c r="D30" s="1555" t="s">
        <v>7760</v>
      </c>
      <c r="E30" s="1275" t="s">
        <v>1050</v>
      </c>
      <c r="F30" s="1050" t="str">
        <f>IF(F29=1,"",IF($F$29=2,0,Data!$AK$9*LOOKUP($F$4,Data!$AN$2:$AN$74,Data!$AP$2:$AP$74)*' Preparation'!$F$24))</f>
        <v/>
      </c>
      <c r="G30" s="1276"/>
      <c r="R30" s="556"/>
    </row>
    <row r="31" spans="1:20" ht="29.5" customHeight="1" thickBot="1" x14ac:dyDescent="0.4">
      <c r="S31" s="1186"/>
      <c r="T31" s="1186"/>
    </row>
    <row r="32" spans="1:20" ht="31.5" customHeight="1" thickTop="1" thickBot="1" x14ac:dyDescent="0.4">
      <c r="C32" s="558" t="s">
        <v>7517</v>
      </c>
      <c r="F32" s="734">
        <f>IF($F$11&lt;&gt;"",$F$11,0+IF($F$17&lt;&gt;"",$F$17,0+IF($F26&lt;&gt;"",$F$26,0+IF($F$30&lt;&gt;"",$F$30,0))))</f>
        <v>0</v>
      </c>
    </row>
    <row r="33" spans="2:22" x14ac:dyDescent="0.35">
      <c r="B33" s="523"/>
      <c r="C33" s="727"/>
      <c r="D33" s="727"/>
      <c r="E33" s="1118"/>
      <c r="F33" s="727"/>
      <c r="G33" s="727"/>
    </row>
    <row r="34" spans="2:22" ht="23.25" customHeight="1" x14ac:dyDescent="0.35">
      <c r="E34" s="1702" t="str">
        <f>IF($F$6=1,"No data included for use instructions","")</f>
        <v>No data included for use instructions</v>
      </c>
      <c r="F34" s="1702"/>
      <c r="G34" s="1702"/>
    </row>
    <row r="35" spans="2:22" ht="15.75" customHeight="1" x14ac:dyDescent="0.35">
      <c r="E35" s="1702" t="str">
        <f>IF($F$17="","No data included for use instructions","")</f>
        <v>No data included for use instructions</v>
      </c>
      <c r="F35" s="1702"/>
      <c r="G35" s="1702"/>
    </row>
    <row r="36" spans="2:22" ht="19.5" customHeight="1" x14ac:dyDescent="0.35">
      <c r="E36" s="1702" t="str">
        <f>IF($F$26="","No data included for product quality","")</f>
        <v/>
      </c>
      <c r="F36" s="1702"/>
      <c r="G36" s="1702"/>
      <c r="R36" s="1824"/>
      <c r="S36" s="1824"/>
      <c r="T36" s="1824"/>
      <c r="U36" s="1824"/>
      <c r="V36" s="1824"/>
    </row>
    <row r="37" spans="2:22" ht="18" customHeight="1" x14ac:dyDescent="0.35">
      <c r="E37" s="1702" t="str">
        <f>IF($F$30="","No data included for product warrenties","")</f>
        <v>No data included for product warrenties</v>
      </c>
      <c r="F37" s="1702"/>
      <c r="G37" s="1702"/>
      <c r="K37" s="1824"/>
      <c r="L37" s="1824"/>
      <c r="M37" s="1824"/>
      <c r="N37" s="1824"/>
      <c r="O37" s="1824"/>
      <c r="P37" s="1824"/>
      <c r="Q37" s="1824"/>
    </row>
    <row r="38" spans="2:22" x14ac:dyDescent="0.35">
      <c r="O38" s="1824"/>
      <c r="P38" s="1824"/>
      <c r="Q38" s="1824"/>
      <c r="R38" s="1824"/>
      <c r="S38" s="1824"/>
      <c r="T38" s="1824"/>
      <c r="U38" s="1824"/>
    </row>
    <row r="39" spans="2:22" ht="15.5" x14ac:dyDescent="0.35">
      <c r="G39" s="1702"/>
      <c r="H39" s="1702"/>
      <c r="N39" s="1824"/>
      <c r="O39" s="1824"/>
      <c r="P39" s="1824"/>
      <c r="Q39" s="1824"/>
      <c r="R39" s="1824"/>
      <c r="S39" s="1824"/>
      <c r="T39" s="1824"/>
    </row>
  </sheetData>
  <sheetProtection algorithmName="SHA-512" hashValue="ULt+NlyW28sD9A1lkmAKUoHvLz2GCcBy4FeKMfeYcC3YJXHluwFowOLw7B7ru8sufu7qwhM/ASTVPXERdlCSzw==" saltValue="GVDujJRaWRERgQmhH/DWnw==" spinCount="100000" sheet="1" objects="1" scenarios="1"/>
  <mergeCells count="21">
    <mergeCell ref="A19:G19"/>
    <mergeCell ref="Q2:S2"/>
    <mergeCell ref="C3:I3"/>
    <mergeCell ref="D1:E1"/>
    <mergeCell ref="B1:C1"/>
    <mergeCell ref="A5:G5"/>
    <mergeCell ref="A12:G12"/>
    <mergeCell ref="K2:M2"/>
    <mergeCell ref="K12:M12"/>
    <mergeCell ref="K3:K5"/>
    <mergeCell ref="S3:U3"/>
    <mergeCell ref="N39:T39"/>
    <mergeCell ref="K37:Q37"/>
    <mergeCell ref="R36:V36"/>
    <mergeCell ref="O38:U38"/>
    <mergeCell ref="A28:G28"/>
    <mergeCell ref="G39:H39"/>
    <mergeCell ref="E37:G37"/>
    <mergeCell ref="E36:G36"/>
    <mergeCell ref="E35:G35"/>
    <mergeCell ref="E34:G34"/>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28001" r:id="rId4" name="Drop Down 1">
              <controlPr defaultSize="0" autoLine="0" autoPict="0">
                <anchor moveWithCells="1">
                  <from>
                    <xdr:col>5</xdr:col>
                    <xdr:colOff>0</xdr:colOff>
                    <xdr:row>19</xdr:row>
                    <xdr:rowOff>0</xdr:rowOff>
                  </from>
                  <to>
                    <xdr:col>6</xdr:col>
                    <xdr:colOff>0</xdr:colOff>
                    <xdr:row>20</xdr:row>
                    <xdr:rowOff>12700</xdr:rowOff>
                  </to>
                </anchor>
              </controlPr>
            </control>
          </mc:Choice>
        </mc:AlternateContent>
        <mc:AlternateContent xmlns:mc="http://schemas.openxmlformats.org/markup-compatibility/2006">
          <mc:Choice Requires="x14">
            <control shapeId="128003" r:id="rId5" name="Drop Down 3">
              <controlPr defaultSize="0" autoLine="0" autoPict="0">
                <anchor moveWithCells="1">
                  <from>
                    <xdr:col>5</xdr:col>
                    <xdr:colOff>0</xdr:colOff>
                    <xdr:row>21</xdr:row>
                    <xdr:rowOff>12700</xdr:rowOff>
                  </from>
                  <to>
                    <xdr:col>6</xdr:col>
                    <xdr:colOff>0</xdr:colOff>
                    <xdr:row>21</xdr:row>
                    <xdr:rowOff>381000</xdr:rowOff>
                  </to>
                </anchor>
              </controlPr>
            </control>
          </mc:Choice>
        </mc:AlternateContent>
        <mc:AlternateContent xmlns:mc="http://schemas.openxmlformats.org/markup-compatibility/2006">
          <mc:Choice Requires="x14">
            <control shapeId="128004" r:id="rId6" name="Drop Down 4">
              <controlPr defaultSize="0" autoLine="0" autoPict="0">
                <anchor moveWithCells="1">
                  <from>
                    <xdr:col>5</xdr:col>
                    <xdr:colOff>12700</xdr:colOff>
                    <xdr:row>28</xdr:row>
                    <xdr:rowOff>12700</xdr:rowOff>
                  </from>
                  <to>
                    <xdr:col>6</xdr:col>
                    <xdr:colOff>12700</xdr:colOff>
                    <xdr:row>28</xdr:row>
                    <xdr:rowOff>571500</xdr:rowOff>
                  </to>
                </anchor>
              </controlPr>
            </control>
          </mc:Choice>
        </mc:AlternateContent>
        <mc:AlternateContent xmlns:mc="http://schemas.openxmlformats.org/markup-compatibility/2006">
          <mc:Choice Requires="x14">
            <control shapeId="128006" r:id="rId7" name="Drop Down 6">
              <controlPr defaultSize="0" autoLine="0" autoPict="0">
                <anchor moveWithCells="1">
                  <from>
                    <xdr:col>5</xdr:col>
                    <xdr:colOff>12700</xdr:colOff>
                    <xdr:row>7</xdr:row>
                    <xdr:rowOff>12700</xdr:rowOff>
                  </from>
                  <to>
                    <xdr:col>6</xdr:col>
                    <xdr:colOff>12700</xdr:colOff>
                    <xdr:row>8</xdr:row>
                    <xdr:rowOff>0</xdr:rowOff>
                  </to>
                </anchor>
              </controlPr>
            </control>
          </mc:Choice>
        </mc:AlternateContent>
        <mc:AlternateContent xmlns:mc="http://schemas.openxmlformats.org/markup-compatibility/2006">
          <mc:Choice Requires="x14">
            <control shapeId="128007" r:id="rId8" name="Drop Down 7">
              <controlPr defaultSize="0" autoLine="0" autoPict="0">
                <anchor moveWithCells="1">
                  <from>
                    <xdr:col>5</xdr:col>
                    <xdr:colOff>12700</xdr:colOff>
                    <xdr:row>3</xdr:row>
                    <xdr:rowOff>12700</xdr:rowOff>
                  </from>
                  <to>
                    <xdr:col>8</xdr:col>
                    <xdr:colOff>876300</xdr:colOff>
                    <xdr:row>4</xdr:row>
                    <xdr:rowOff>12700</xdr:rowOff>
                  </to>
                </anchor>
              </controlPr>
            </control>
          </mc:Choice>
        </mc:AlternateContent>
        <mc:AlternateContent xmlns:mc="http://schemas.openxmlformats.org/markup-compatibility/2006">
          <mc:Choice Requires="x14">
            <control shapeId="128008" r:id="rId9" name="Drop Down 8">
              <controlPr defaultSize="0" autoLine="0" autoPict="0">
                <anchor moveWithCells="1">
                  <from>
                    <xdr:col>5</xdr:col>
                    <xdr:colOff>12700</xdr:colOff>
                    <xdr:row>12</xdr:row>
                    <xdr:rowOff>12700</xdr:rowOff>
                  </from>
                  <to>
                    <xdr:col>6</xdr:col>
                    <xdr:colOff>12700</xdr:colOff>
                    <xdr:row>13</xdr:row>
                    <xdr:rowOff>0</xdr:rowOff>
                  </to>
                </anchor>
              </controlPr>
            </control>
          </mc:Choice>
        </mc:AlternateContent>
        <mc:AlternateContent xmlns:mc="http://schemas.openxmlformats.org/markup-compatibility/2006">
          <mc:Choice Requires="x14">
            <control shapeId="128009" r:id="rId10" name="Drop Down 9">
              <controlPr defaultSize="0" autoLine="0" autoPict="0">
                <anchor moveWithCells="1">
                  <from>
                    <xdr:col>5</xdr:col>
                    <xdr:colOff>12700</xdr:colOff>
                    <xdr:row>13</xdr:row>
                    <xdr:rowOff>12700</xdr:rowOff>
                  </from>
                  <to>
                    <xdr:col>6</xdr:col>
                    <xdr:colOff>12700</xdr:colOff>
                    <xdr:row>13</xdr:row>
                    <xdr:rowOff>419100</xdr:rowOff>
                  </to>
                </anchor>
              </controlPr>
            </control>
          </mc:Choice>
        </mc:AlternateContent>
        <mc:AlternateContent xmlns:mc="http://schemas.openxmlformats.org/markup-compatibility/2006">
          <mc:Choice Requires="x14">
            <control shapeId="128010" r:id="rId11" name="Drop Down 10">
              <controlPr defaultSize="0" autoLine="0" autoPict="0">
                <anchor moveWithCells="1">
                  <from>
                    <xdr:col>4</xdr:col>
                    <xdr:colOff>1257300</xdr:colOff>
                    <xdr:row>14</xdr:row>
                    <xdr:rowOff>12700</xdr:rowOff>
                  </from>
                  <to>
                    <xdr:col>5</xdr:col>
                    <xdr:colOff>1295400</xdr:colOff>
                    <xdr:row>15</xdr:row>
                    <xdr:rowOff>0</xdr:rowOff>
                  </to>
                </anchor>
              </controlPr>
            </control>
          </mc:Choice>
        </mc:AlternateContent>
        <mc:AlternateContent xmlns:mc="http://schemas.openxmlformats.org/markup-compatibility/2006">
          <mc:Choice Requires="x14">
            <control shapeId="128019" r:id="rId12" name="Drop Down 19">
              <controlPr defaultSize="0" autoLine="0" autoPict="0">
                <anchor moveWithCells="1">
                  <from>
                    <xdr:col>5</xdr:col>
                    <xdr:colOff>6350</xdr:colOff>
                    <xdr:row>4</xdr:row>
                    <xdr:rowOff>228600</xdr:rowOff>
                  </from>
                  <to>
                    <xdr:col>6</xdr:col>
                    <xdr:colOff>6350</xdr:colOff>
                    <xdr:row>5</xdr:row>
                    <xdr:rowOff>254000</xdr:rowOff>
                  </to>
                </anchor>
              </controlPr>
            </control>
          </mc:Choice>
        </mc:AlternateContent>
        <mc:AlternateContent xmlns:mc="http://schemas.openxmlformats.org/markup-compatibility/2006">
          <mc:Choice Requires="x14">
            <control shapeId="128020" r:id="rId13" name="Drop Down 20">
              <controlPr defaultSize="0" autoLine="0" autoPict="0">
                <anchor moveWithCells="1">
                  <from>
                    <xdr:col>5</xdr:col>
                    <xdr:colOff>12700</xdr:colOff>
                    <xdr:row>15</xdr:row>
                    <xdr:rowOff>12700</xdr:rowOff>
                  </from>
                  <to>
                    <xdr:col>6</xdr:col>
                    <xdr:colOff>12700</xdr:colOff>
                    <xdr:row>16</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B050"/>
  </sheetPr>
  <dimension ref="A1:U28"/>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6.453125" style="1638" customWidth="1"/>
    <col min="2" max="2" width="21.453125" style="566" customWidth="1"/>
    <col min="3" max="3" width="84.453125" style="556" customWidth="1"/>
    <col min="4" max="4" width="19.453125" style="566" customWidth="1"/>
    <col min="5" max="5" width="21.1796875" style="556" customWidth="1"/>
    <col min="6" max="6" width="17.453125" style="556" customWidth="1"/>
    <col min="7" max="7" width="13.81640625" style="556" customWidth="1"/>
    <col min="8" max="9" width="9.1796875" style="556"/>
    <col min="10" max="10" width="35.453125" style="556" customWidth="1"/>
    <col min="11" max="11" width="13.453125" style="556" customWidth="1"/>
    <col min="12" max="13" width="16.453125" style="1337" customWidth="1"/>
    <col min="14" max="14" width="16.453125" style="556" customWidth="1"/>
    <col min="15" max="15" width="15.453125" style="556" customWidth="1"/>
    <col min="16" max="17" width="21.453125" style="556" customWidth="1"/>
    <col min="18" max="18" width="12.453125" style="1378" customWidth="1"/>
    <col min="19" max="19" width="13.36328125" style="556" customWidth="1"/>
    <col min="20" max="20" width="11.453125" style="1443" customWidth="1"/>
    <col min="21" max="21" width="12.1796875" style="1378" customWidth="1"/>
    <col min="22" max="23" width="9.453125" style="556" bestFit="1" customWidth="1"/>
    <col min="24" max="16384" width="9.1796875" style="556"/>
  </cols>
  <sheetData>
    <row r="1" spans="1:21" s="556" customFormat="1" ht="19" customHeight="1" thickBot="1" x14ac:dyDescent="0.4">
      <c r="A1" s="564"/>
      <c r="B1" s="1694" t="s">
        <v>815</v>
      </c>
      <c r="C1" s="1694"/>
      <c r="D1" s="1703" t="s">
        <v>8414</v>
      </c>
      <c r="E1" s="1704"/>
      <c r="F1" s="554" t="str">
        <f>LOOKUP(' Preparation'!$F$4,Data!$B$2:$B$194,Data!$C$2:$C$194)</f>
        <v>€ (Euro)</v>
      </c>
      <c r="G1" s="1153"/>
      <c r="L1" s="1337"/>
      <c r="M1" s="1337"/>
      <c r="R1" s="1378"/>
      <c r="T1" s="1443"/>
      <c r="U1" s="1378"/>
    </row>
    <row r="2" spans="1:21" s="561" customFormat="1" ht="21" customHeight="1" thickBot="1" x14ac:dyDescent="0.4">
      <c r="A2" s="1181" t="s">
        <v>82</v>
      </c>
      <c r="B2" s="1182" t="s">
        <v>150</v>
      </c>
      <c r="C2" s="1182" t="s">
        <v>817</v>
      </c>
      <c r="D2" s="1182" t="s">
        <v>67</v>
      </c>
      <c r="E2" s="501" t="s">
        <v>8112</v>
      </c>
      <c r="F2" s="1370" t="s">
        <v>149</v>
      </c>
      <c r="G2" s="1183" t="s">
        <v>258</v>
      </c>
      <c r="I2" s="1970"/>
      <c r="J2" s="1750" t="s">
        <v>7620</v>
      </c>
      <c r="K2" s="1751"/>
      <c r="L2" s="1751"/>
      <c r="M2" s="1751"/>
      <c r="N2" s="1751"/>
      <c r="O2" s="1751"/>
      <c r="P2" s="1751"/>
      <c r="Q2" s="1751"/>
      <c r="R2" s="1751"/>
      <c r="S2" s="1971" t="s">
        <v>7621</v>
      </c>
      <c r="T2" s="1972"/>
      <c r="U2" s="1973"/>
    </row>
    <row r="3" spans="1:21" s="561" customFormat="1" ht="114" customHeight="1" thickBot="1" x14ac:dyDescent="0.4">
      <c r="A3" s="1974"/>
      <c r="B3" s="563" t="s">
        <v>89</v>
      </c>
      <c r="C3" s="1678" t="s">
        <v>8927</v>
      </c>
      <c r="D3" s="1679"/>
      <c r="E3" s="1679"/>
      <c r="F3" s="1679"/>
      <c r="G3" s="1975"/>
      <c r="I3" s="1431" t="s">
        <v>82</v>
      </c>
      <c r="J3" s="754" t="s">
        <v>2159</v>
      </c>
      <c r="K3" s="688" t="s">
        <v>8272</v>
      </c>
      <c r="L3" s="690" t="s">
        <v>8273</v>
      </c>
      <c r="M3" s="690" t="s">
        <v>7617</v>
      </c>
      <c r="N3" s="689" t="s">
        <v>8473</v>
      </c>
      <c r="O3" s="689" t="s">
        <v>8474</v>
      </c>
      <c r="P3" s="688" t="s">
        <v>8274</v>
      </c>
      <c r="Q3" s="688" t="s">
        <v>8275</v>
      </c>
      <c r="R3" s="688" t="s">
        <v>8475</v>
      </c>
      <c r="S3" s="1976" t="s">
        <v>8476</v>
      </c>
      <c r="T3" s="1977" t="s">
        <v>8276</v>
      </c>
      <c r="U3" s="1978" t="s">
        <v>8467</v>
      </c>
    </row>
    <row r="4" spans="1:21" s="561" customFormat="1" ht="46.5" customHeight="1" thickBot="1" x14ac:dyDescent="0.4">
      <c r="A4" s="564" t="s">
        <v>7351</v>
      </c>
      <c r="B4" s="521" t="s">
        <v>8226</v>
      </c>
      <c r="C4" s="556" t="s">
        <v>8227</v>
      </c>
      <c r="D4" s="565" t="s">
        <v>7356</v>
      </c>
      <c r="E4" s="1638" t="s">
        <v>8226</v>
      </c>
      <c r="F4" s="1979">
        <v>1</v>
      </c>
      <c r="G4" s="407" t="str">
        <f>IF(F4=1,"",IF(F4=2,"Goto EL6","Goto EL 2"))</f>
        <v/>
      </c>
      <c r="I4" s="1980"/>
      <c r="J4" s="1118"/>
      <c r="K4" s="1981"/>
      <c r="L4" s="1982"/>
      <c r="M4" s="1982"/>
      <c r="N4" s="756"/>
      <c r="O4" s="756"/>
      <c r="P4" s="1981"/>
      <c r="Q4" s="1981"/>
      <c r="R4" s="1981"/>
      <c r="S4" s="1118"/>
      <c r="T4" s="1982"/>
      <c r="U4" s="1983"/>
    </row>
    <row r="5" spans="1:21" s="561" customFormat="1" ht="32.5" customHeight="1" x14ac:dyDescent="0.35">
      <c r="A5" s="564" t="s">
        <v>7351</v>
      </c>
      <c r="B5" s="521" t="s">
        <v>7464</v>
      </c>
      <c r="C5" s="556" t="s">
        <v>8224</v>
      </c>
      <c r="D5" s="565" t="s">
        <v>7356</v>
      </c>
      <c r="E5" s="1638" t="s">
        <v>7336</v>
      </c>
      <c r="F5" s="1979">
        <f>' Preparation'!F25</f>
        <v>0</v>
      </c>
      <c r="G5" s="407"/>
      <c r="I5" s="1113">
        <v>1</v>
      </c>
      <c r="J5" s="1944">
        <v>1</v>
      </c>
      <c r="K5" s="683"/>
      <c r="L5" s="1984"/>
      <c r="M5" s="1984"/>
      <c r="N5" s="1985"/>
      <c r="O5" s="1985"/>
      <c r="P5" s="683"/>
      <c r="Q5" s="683"/>
      <c r="R5" s="981">
        <f ca="1">K5*(IF(N5=0,1,(N5-O5)/N5))*(1-L5-M5)*((LOOKUP(J5,Data!$AR$2:$AR$32,Data!$AT$2:$AT$32))-P5*LOOKUP(' Preparation'!$F$6,Pol.Data!$A$47:$A$238,Pol.Data!$C$47:$C$239)-Q5*Pol.Data!$D$37)</f>
        <v>0</v>
      </c>
      <c r="S5" s="683"/>
      <c r="T5" s="1984"/>
      <c r="U5" s="1986">
        <f ca="1">(T5*S5+(1-T5)*R5)</f>
        <v>0</v>
      </c>
    </row>
    <row r="6" spans="1:21" s="561" customFormat="1" ht="29.25" customHeight="1" x14ac:dyDescent="0.35">
      <c r="A6" s="564" t="s">
        <v>7352</v>
      </c>
      <c r="B6" s="521" t="s">
        <v>34</v>
      </c>
      <c r="C6" s="556" t="s">
        <v>39</v>
      </c>
      <c r="D6" s="556"/>
      <c r="E6" s="1638" t="s">
        <v>7625</v>
      </c>
      <c r="F6" s="1987"/>
      <c r="G6" s="407"/>
      <c r="I6" s="1120">
        <v>2</v>
      </c>
      <c r="J6" s="1911">
        <v>1</v>
      </c>
      <c r="K6" s="683"/>
      <c r="L6" s="1137"/>
      <c r="M6" s="1137"/>
      <c r="N6" s="1985"/>
      <c r="O6" s="1985"/>
      <c r="P6" s="683"/>
      <c r="Q6" s="683"/>
      <c r="R6" s="981">
        <f ca="1">K6*(IF(N6=0,1,(N6-O6)/N6))*(1-L6-M6)*((LOOKUP(J6,Data!$AR$2:$AR$32,Data!$AT$2:$AT$32))-P6*LOOKUP(' Preparation'!$F$6,Pol.Data!$A$47:$A$238,Pol.Data!$C$47:$C$239)-Q6*Pol.Data!$D$37)</f>
        <v>0</v>
      </c>
      <c r="S6" s="683"/>
      <c r="T6" s="1984"/>
      <c r="U6" s="1986">
        <f t="shared" ref="U6:U23" ca="1" si="0">(T6*S6+(1-T6)*R6)</f>
        <v>0</v>
      </c>
    </row>
    <row r="7" spans="1:21" s="556" customFormat="1" ht="33.75" customHeight="1" x14ac:dyDescent="0.35">
      <c r="A7" s="564" t="s">
        <v>7353</v>
      </c>
      <c r="B7" s="521" t="s">
        <v>44</v>
      </c>
      <c r="C7" s="556" t="s">
        <v>8220</v>
      </c>
      <c r="D7" s="566" t="s">
        <v>93</v>
      </c>
      <c r="E7" s="556" t="s">
        <v>92</v>
      </c>
      <c r="F7" s="1988" t="s">
        <v>7624</v>
      </c>
      <c r="G7" s="407"/>
      <c r="I7" s="1120">
        <v>3</v>
      </c>
      <c r="J7" s="1911">
        <v>1</v>
      </c>
      <c r="K7" s="683"/>
      <c r="L7" s="1137"/>
      <c r="M7" s="1137"/>
      <c r="N7" s="1985"/>
      <c r="O7" s="1985"/>
      <c r="P7" s="683"/>
      <c r="Q7" s="683"/>
      <c r="R7" s="981">
        <f ca="1">K7*(IF(N7=0,1,(N7-O7)/N7))*(1-L7-M7)*((LOOKUP(J7,Data!$AR$2:$AR$32,Data!$AT$2:$AT$32))-P7*LOOKUP(' Preparation'!$F$6,Pol.Data!$A$47:$A$238,Pol.Data!$C$47:$C$239)-Q7*Pol.Data!$D$37)</f>
        <v>0</v>
      </c>
      <c r="S7" s="683"/>
      <c r="T7" s="1984"/>
      <c r="U7" s="1986">
        <f t="shared" ca="1" si="0"/>
        <v>0</v>
      </c>
    </row>
    <row r="8" spans="1:21" s="556" customFormat="1" ht="44.5" customHeight="1" x14ac:dyDescent="0.35">
      <c r="A8" s="564" t="s">
        <v>7354</v>
      </c>
      <c r="B8" s="521" t="s">
        <v>45</v>
      </c>
      <c r="C8" s="556" t="s">
        <v>8222</v>
      </c>
      <c r="D8" s="566" t="s">
        <v>38</v>
      </c>
      <c r="E8" s="556" t="s">
        <v>94</v>
      </c>
      <c r="F8" s="1988" t="s">
        <v>7623</v>
      </c>
      <c r="G8" s="407"/>
      <c r="I8" s="1120">
        <v>4</v>
      </c>
      <c r="J8" s="1911">
        <v>1</v>
      </c>
      <c r="K8" s="683"/>
      <c r="L8" s="1137"/>
      <c r="M8" s="1137"/>
      <c r="N8" s="1985"/>
      <c r="O8" s="1985"/>
      <c r="P8" s="683"/>
      <c r="Q8" s="683"/>
      <c r="R8" s="981">
        <f ca="1">K8*(IF(N8=0,1,(N8-O8)/N8))*(1-L8-M8)*((LOOKUP(J8,Data!$AR$2:$AR$32,Data!$AT$2:$AT$32))-P8*LOOKUP(' Preparation'!$F$6,Pol.Data!$A$47:$A$238,Pol.Data!$C$47:$C$239)-Q8*Pol.Data!$D$37)</f>
        <v>0</v>
      </c>
      <c r="S8" s="683"/>
      <c r="T8" s="1984"/>
      <c r="U8" s="1986">
        <f t="shared" ca="1" si="0"/>
        <v>0</v>
      </c>
    </row>
    <row r="9" spans="1:21" s="556" customFormat="1" ht="29.25" customHeight="1" x14ac:dyDescent="0.35">
      <c r="A9" s="564" t="s">
        <v>7616</v>
      </c>
      <c r="B9" s="521" t="s">
        <v>46</v>
      </c>
      <c r="C9" s="556" t="s">
        <v>8223</v>
      </c>
      <c r="D9" s="566" t="s">
        <v>47</v>
      </c>
      <c r="G9" s="407"/>
      <c r="I9" s="1128">
        <v>6</v>
      </c>
      <c r="J9" s="1921">
        <v>1</v>
      </c>
      <c r="K9" s="683"/>
      <c r="L9" s="1137"/>
      <c r="M9" s="1137"/>
      <c r="N9" s="1985"/>
      <c r="O9" s="1985"/>
      <c r="P9" s="683"/>
      <c r="Q9" s="683"/>
      <c r="R9" s="981">
        <f ca="1">K9*(IF(N9=0,1,(N9-O9)/N9))*(1-L9-M9)*((LOOKUP(J9,Data!$AR$2:$AR$32,Data!$AT$2:$AT$32))-P9*LOOKUP(' Preparation'!$F$6,Pol.Data!$A$47:$A$238,Pol.Data!$C$47:$C$239)-Q9*Pol.Data!$D$37)</f>
        <v>0</v>
      </c>
      <c r="S9" s="683"/>
      <c r="T9" s="1984"/>
      <c r="U9" s="1986">
        <f t="shared" ca="1" si="0"/>
        <v>0</v>
      </c>
    </row>
    <row r="10" spans="1:21" s="556" customFormat="1" ht="29.25" customHeight="1" x14ac:dyDescent="0.35">
      <c r="A10" s="1638"/>
      <c r="B10" s="566"/>
      <c r="D10" s="566"/>
      <c r="I10" s="1120">
        <v>7</v>
      </c>
      <c r="J10" s="1130">
        <v>1</v>
      </c>
      <c r="K10" s="683"/>
      <c r="L10" s="1137"/>
      <c r="M10" s="1137"/>
      <c r="N10" s="1985"/>
      <c r="O10" s="1985"/>
      <c r="P10" s="683"/>
      <c r="Q10" s="683"/>
      <c r="R10" s="981">
        <f ca="1">K10*(IF(N10=0,1,(N10-O10)/N10))*(1-L10-M10)*((LOOKUP(J10,Data!$AR$2:$AR$32,Data!$AT$2:$AT$32))-P10*LOOKUP(' Preparation'!$F$6,Pol.Data!$A$47:$A$238,Pol.Data!$C$47:$C$239)-Q10*Pol.Data!$D$37)</f>
        <v>0</v>
      </c>
      <c r="S10" s="683"/>
      <c r="T10" s="1984"/>
      <c r="U10" s="1986">
        <f t="shared" ca="1" si="0"/>
        <v>0</v>
      </c>
    </row>
    <row r="11" spans="1:21" s="556" customFormat="1" ht="24" customHeight="1" x14ac:dyDescent="0.35">
      <c r="A11" s="1638"/>
      <c r="B11" s="566"/>
      <c r="D11" s="566"/>
      <c r="I11" s="1120">
        <v>8</v>
      </c>
      <c r="J11" s="1130">
        <v>1</v>
      </c>
      <c r="K11" s="683"/>
      <c r="L11" s="1137"/>
      <c r="M11" s="1137"/>
      <c r="N11" s="1985"/>
      <c r="O11" s="1985"/>
      <c r="P11" s="683"/>
      <c r="Q11" s="683"/>
      <c r="R11" s="981">
        <f ca="1">K11*(IF(N11=0,1,(N11-O11)/N11))*(1-L11-M11)*((LOOKUP(J11,Data!$AR$2:$AR$32,Data!$AT$2:$AT$32))-P11*LOOKUP(' Preparation'!$F$6,Pol.Data!$A$47:$A$238,Pol.Data!$C$47:$C$239)-Q11*Pol.Data!$D$37)</f>
        <v>0</v>
      </c>
      <c r="S11" s="683"/>
      <c r="T11" s="1984"/>
      <c r="U11" s="1986">
        <f t="shared" ca="1" si="0"/>
        <v>0</v>
      </c>
    </row>
    <row r="12" spans="1:21" s="556" customFormat="1" ht="29.25" customHeight="1" x14ac:dyDescent="0.35">
      <c r="A12" s="1638"/>
      <c r="B12" s="566"/>
      <c r="C12" s="556" t="s">
        <v>8228</v>
      </c>
      <c r="D12" s="566"/>
      <c r="I12" s="1120">
        <v>9</v>
      </c>
      <c r="J12" s="1130">
        <v>1</v>
      </c>
      <c r="K12" s="683"/>
      <c r="L12" s="1137"/>
      <c r="M12" s="1137"/>
      <c r="N12" s="1985"/>
      <c r="O12" s="1985"/>
      <c r="P12" s="683"/>
      <c r="Q12" s="683"/>
      <c r="R12" s="981">
        <f ca="1">K12*(IF(N12=0,1,(N12-O12)/N12))*(1-L12-M12)*((LOOKUP(J12,Data!$AR$2:$AR$32,Data!$AT$2:$AT$32))-P12*LOOKUP(' Preparation'!$F$6,Pol.Data!$A$47:$A$238,Pol.Data!$C$47:$C$239)-Q12*Pol.Data!$D$37)</f>
        <v>0</v>
      </c>
      <c r="S12" s="683"/>
      <c r="T12" s="1984"/>
      <c r="U12" s="1986">
        <f t="shared" ca="1" si="0"/>
        <v>0</v>
      </c>
    </row>
    <row r="13" spans="1:21" s="556" customFormat="1" ht="44.25" customHeight="1" x14ac:dyDescent="0.35">
      <c r="A13" s="1638"/>
      <c r="B13" s="566"/>
      <c r="C13" s="556" t="s">
        <v>8815</v>
      </c>
      <c r="D13" s="566"/>
      <c r="I13" s="1120">
        <v>10</v>
      </c>
      <c r="J13" s="1130">
        <v>1</v>
      </c>
      <c r="K13" s="683"/>
      <c r="L13" s="1447"/>
      <c r="M13" s="1447"/>
      <c r="N13" s="1985"/>
      <c r="O13" s="1985"/>
      <c r="P13" s="683"/>
      <c r="Q13" s="683"/>
      <c r="R13" s="981">
        <f ca="1">K13*(IF(N13=0,1,(N13-O13)/N13))*(1-L13-M13)*((LOOKUP(J13,Data!$AR$2:$AR$32,Data!$AT$2:$AT$32))-P13*LOOKUP(' Preparation'!$F$6,Pol.Data!$A$47:$A$238,Pol.Data!$C$47:$C$239)-Q13*Pol.Data!$D$37)</f>
        <v>0</v>
      </c>
      <c r="S13" s="683"/>
      <c r="T13" s="1984"/>
      <c r="U13" s="1986">
        <f t="shared" ca="1" si="0"/>
        <v>0</v>
      </c>
    </row>
    <row r="14" spans="1:21" s="556" customFormat="1" ht="29.25" customHeight="1" x14ac:dyDescent="0.35">
      <c r="A14" s="1638"/>
      <c r="B14" s="566"/>
      <c r="D14" s="566"/>
      <c r="I14" s="1120">
        <v>11</v>
      </c>
      <c r="J14" s="1130">
        <v>1</v>
      </c>
      <c r="K14" s="683"/>
      <c r="L14" s="1447"/>
      <c r="M14" s="1447"/>
      <c r="N14" s="1985"/>
      <c r="O14" s="1985"/>
      <c r="P14" s="683"/>
      <c r="Q14" s="683"/>
      <c r="R14" s="981">
        <f ca="1">K14*(IF(N14=0,1,(N14-O14)/N14))*(1-L14-M14)*((LOOKUP(J14,Data!$AR$2:$AR$32,Data!$AT$2:$AT$32))-P14*LOOKUP(' Preparation'!$F$6,Pol.Data!$A$47:$A$238,Pol.Data!$C$47:$C$239)-Q14*Pol.Data!$D$37)</f>
        <v>0</v>
      </c>
      <c r="S14" s="683"/>
      <c r="T14" s="1984"/>
      <c r="U14" s="1986">
        <f t="shared" ca="1" si="0"/>
        <v>0</v>
      </c>
    </row>
    <row r="15" spans="1:21" s="556" customFormat="1" ht="29.25" customHeight="1" x14ac:dyDescent="0.35">
      <c r="A15" s="1638"/>
      <c r="B15" s="566"/>
      <c r="C15" s="556" t="s">
        <v>8480</v>
      </c>
      <c r="D15" s="566"/>
      <c r="I15" s="1120">
        <v>12</v>
      </c>
      <c r="J15" s="1130">
        <v>1</v>
      </c>
      <c r="K15" s="683"/>
      <c r="L15" s="1447"/>
      <c r="M15" s="1447"/>
      <c r="N15" s="1985"/>
      <c r="O15" s="1985"/>
      <c r="P15" s="683"/>
      <c r="Q15" s="683"/>
      <c r="R15" s="981">
        <f ca="1">K15*(IF(N15=0,1,(N15-O15)/N15))*(1-L15-M15)*((LOOKUP(J15,Data!$AR$2:$AR$32,Data!$AT$2:$AT$32))-P15*LOOKUP(' Preparation'!$F$6,Pol.Data!$A$47:$A$238,Pol.Data!$C$47:$C$239)-Q15*Pol.Data!$D$37)</f>
        <v>0</v>
      </c>
      <c r="S15" s="683"/>
      <c r="T15" s="1984"/>
      <c r="U15" s="1986">
        <f t="shared" ca="1" si="0"/>
        <v>0</v>
      </c>
    </row>
    <row r="16" spans="1:21" s="556" customFormat="1" ht="29.25" customHeight="1" x14ac:dyDescent="0.35">
      <c r="A16" s="1638"/>
      <c r="B16" s="566"/>
      <c r="D16" s="566"/>
      <c r="I16" s="1120">
        <v>13</v>
      </c>
      <c r="J16" s="1130">
        <v>1</v>
      </c>
      <c r="K16" s="683"/>
      <c r="L16" s="1447"/>
      <c r="M16" s="1447"/>
      <c r="N16" s="1985"/>
      <c r="O16" s="1985"/>
      <c r="P16" s="683"/>
      <c r="Q16" s="683"/>
      <c r="R16" s="981">
        <f ca="1">K16*(IF(N16=0,1,(N16-O16)/N16))*(1-L16-M16)*((LOOKUP(J16,Data!$AR$2:$AR$32,Data!$AT$2:$AT$32))-P16*LOOKUP(' Preparation'!$F$6,Pol.Data!$A$47:$A$238,Pol.Data!$C$47:$C$239)-Q16*Pol.Data!$D$37)</f>
        <v>0</v>
      </c>
      <c r="S16" s="683"/>
      <c r="T16" s="1984"/>
      <c r="U16" s="1986">
        <f t="shared" ca="1" si="0"/>
        <v>0</v>
      </c>
    </row>
    <row r="17" spans="1:21" s="556" customFormat="1" ht="29.25" customHeight="1" x14ac:dyDescent="0.35">
      <c r="A17" s="1638"/>
      <c r="B17" s="566"/>
      <c r="D17" s="566"/>
      <c r="I17" s="1120">
        <v>14</v>
      </c>
      <c r="J17" s="1130">
        <v>1</v>
      </c>
      <c r="K17" s="683"/>
      <c r="L17" s="1447"/>
      <c r="M17" s="1447"/>
      <c r="N17" s="1985"/>
      <c r="O17" s="1985"/>
      <c r="P17" s="683"/>
      <c r="Q17" s="683"/>
      <c r="R17" s="981">
        <f ca="1">K17*(IF(N17=0,1,(N17-O17)/N17))*(1-L17-M17)*((LOOKUP(J17,Data!$AR$2:$AR$32,Data!$AT$2:$AT$32))-P17*LOOKUP(' Preparation'!$F$6,Pol.Data!$A$47:$A$238,Pol.Data!$C$47:$C$239)-Q17*Pol.Data!$D$37)</f>
        <v>0</v>
      </c>
      <c r="S17" s="683"/>
      <c r="T17" s="1984"/>
      <c r="U17" s="1986">
        <f t="shared" ca="1" si="0"/>
        <v>0</v>
      </c>
    </row>
    <row r="18" spans="1:21" s="556" customFormat="1" ht="29.25" customHeight="1" x14ac:dyDescent="0.35">
      <c r="A18" s="1638"/>
      <c r="B18" s="566"/>
      <c r="D18" s="566"/>
      <c r="I18" s="1120">
        <v>15</v>
      </c>
      <c r="J18" s="1130">
        <v>1</v>
      </c>
      <c r="K18" s="683"/>
      <c r="L18" s="1447"/>
      <c r="M18" s="1447"/>
      <c r="N18" s="1985"/>
      <c r="O18" s="1985"/>
      <c r="P18" s="683"/>
      <c r="Q18" s="683"/>
      <c r="R18" s="981">
        <f ca="1">K18*(IF(N18=0,1,(N18-O18)/N18))*(1-L18-M18)*((LOOKUP(J18,Data!$AR$2:$AR$32,Data!$AT$2:$AT$32))-P18*LOOKUP(' Preparation'!$F$6,Pol.Data!$A$47:$A$238,Pol.Data!$C$47:$C$239)-Q18*Pol.Data!$D$37)</f>
        <v>0</v>
      </c>
      <c r="S18" s="683"/>
      <c r="T18" s="1984"/>
      <c r="U18" s="1986">
        <f t="shared" ca="1" si="0"/>
        <v>0</v>
      </c>
    </row>
    <row r="19" spans="1:21" s="556" customFormat="1" ht="29.25" customHeight="1" x14ac:dyDescent="0.35">
      <c r="A19" s="1638"/>
      <c r="B19" s="566"/>
      <c r="D19" s="566"/>
      <c r="I19" s="1120">
        <v>16</v>
      </c>
      <c r="J19" s="1130">
        <v>1</v>
      </c>
      <c r="K19" s="683"/>
      <c r="L19" s="1447"/>
      <c r="M19" s="1447"/>
      <c r="N19" s="1985"/>
      <c r="O19" s="1985"/>
      <c r="P19" s="683"/>
      <c r="Q19" s="683"/>
      <c r="R19" s="981">
        <f ca="1">K19*(IF(N19=0,1,(N19-O19)/N19))*(1-L19-M19)*((LOOKUP(J19,Data!$AR$2:$AR$32,Data!$AT$2:$AT$32))-P19*LOOKUP(' Preparation'!$F$6,Pol.Data!$A$47:$A$238,Pol.Data!$C$47:$C$239)-Q19*Pol.Data!$D$37)</f>
        <v>0</v>
      </c>
      <c r="S19" s="683"/>
      <c r="T19" s="1984"/>
      <c r="U19" s="1986">
        <f t="shared" ca="1" si="0"/>
        <v>0</v>
      </c>
    </row>
    <row r="20" spans="1:21" s="556" customFormat="1" ht="29.25" customHeight="1" x14ac:dyDescent="0.35">
      <c r="A20" s="1638"/>
      <c r="B20" s="566"/>
      <c r="D20" s="566"/>
      <c r="I20" s="1120">
        <v>17</v>
      </c>
      <c r="J20" s="1130">
        <v>1</v>
      </c>
      <c r="K20" s="683"/>
      <c r="L20" s="1447"/>
      <c r="M20" s="1447"/>
      <c r="N20" s="1985"/>
      <c r="O20" s="1985"/>
      <c r="P20" s="683"/>
      <c r="Q20" s="683"/>
      <c r="R20" s="981">
        <f ca="1">K20*(IF(N20=0,1,(N20-O20)/N20))*(1-L20-M20)*((LOOKUP(J20,Data!$AR$2:$AR$32,Data!$AT$2:$AT$32))-P20*LOOKUP(' Preparation'!$F$6,Pol.Data!$A$47:$A$238,Pol.Data!$C$47:$C$239)-Q20*Pol.Data!$D$37)</f>
        <v>0</v>
      </c>
      <c r="S20" s="683"/>
      <c r="T20" s="1984"/>
      <c r="U20" s="1986">
        <f t="shared" ca="1" si="0"/>
        <v>0</v>
      </c>
    </row>
    <row r="21" spans="1:21" s="556" customFormat="1" ht="29.25" customHeight="1" x14ac:dyDescent="0.35">
      <c r="A21" s="1638"/>
      <c r="B21" s="566"/>
      <c r="D21" s="566"/>
      <c r="I21" s="1120">
        <v>18</v>
      </c>
      <c r="J21" s="1130">
        <v>1</v>
      </c>
      <c r="K21" s="683"/>
      <c r="L21" s="1447"/>
      <c r="M21" s="1447"/>
      <c r="N21" s="1985"/>
      <c r="O21" s="1985"/>
      <c r="P21" s="683"/>
      <c r="Q21" s="683"/>
      <c r="R21" s="981">
        <f ca="1">K21*(IF(N21=0,1,(N21-O21)/N21))*(1-L21-M21)*((LOOKUP(J21,Data!$AR$2:$AR$32,Data!$AT$2:$AT$32))-P21*LOOKUP(' Preparation'!$F$6,Pol.Data!$A$47:$A$238,Pol.Data!$C$47:$C$239)-Q21*Pol.Data!$D$37)</f>
        <v>0</v>
      </c>
      <c r="S21" s="683"/>
      <c r="T21" s="1984"/>
      <c r="U21" s="1986">
        <f t="shared" ca="1" si="0"/>
        <v>0</v>
      </c>
    </row>
    <row r="22" spans="1:21" s="556" customFormat="1" ht="29.25" customHeight="1" x14ac:dyDescent="0.35">
      <c r="A22" s="1638"/>
      <c r="B22" s="566"/>
      <c r="D22" s="566"/>
      <c r="I22" s="1120">
        <v>19</v>
      </c>
      <c r="J22" s="1130">
        <v>1</v>
      </c>
      <c r="K22" s="683"/>
      <c r="L22" s="1447"/>
      <c r="M22" s="1447"/>
      <c r="N22" s="1985"/>
      <c r="O22" s="1985"/>
      <c r="P22" s="683"/>
      <c r="Q22" s="683"/>
      <c r="R22" s="981">
        <f ca="1">K22*(IF(N22=0,1,(N22-O22)/N22))*(1-L22-M22)*((LOOKUP(J22,Data!$AR$2:$AR$32,Data!$AT$2:$AT$32))-P22*LOOKUP(' Preparation'!$F$6,Pol.Data!$A$47:$A$238,Pol.Data!$C$47:$C$239)-Q22*Pol.Data!$D$37)</f>
        <v>0</v>
      </c>
      <c r="S22" s="683"/>
      <c r="T22" s="1984"/>
      <c r="U22" s="1986">
        <f t="shared" ca="1" si="0"/>
        <v>0</v>
      </c>
    </row>
    <row r="23" spans="1:21" s="556" customFormat="1" ht="29.25" customHeight="1" thickBot="1" x14ac:dyDescent="0.4">
      <c r="A23" s="1638"/>
      <c r="B23" s="566"/>
      <c r="D23" s="566"/>
      <c r="I23" s="1129">
        <v>20</v>
      </c>
      <c r="J23" s="1989">
        <v>1</v>
      </c>
      <c r="K23" s="1990"/>
      <c r="L23" s="1268"/>
      <c r="M23" s="1268"/>
      <c r="N23" s="1991"/>
      <c r="O23" s="1991"/>
      <c r="P23" s="1990"/>
      <c r="Q23" s="1990"/>
      <c r="R23" s="1513">
        <f ca="1">K23*(IF(N23=0,1,(N23-O23)/N23))*(1-L23-M23)*((LOOKUP(J23,Data!$AR$2:$AR$32,Data!$AT$2:$AT$32))-P23*LOOKUP(' Preparation'!$F$6,Pol.Data!$A$47:$A$238,Pol.Data!$C$47:$C$239)-Q23*Pol.Data!$D$37)</f>
        <v>0</v>
      </c>
      <c r="S23" s="1990"/>
      <c r="T23" s="1992"/>
      <c r="U23" s="1993">
        <f t="shared" ca="1" si="0"/>
        <v>0</v>
      </c>
    </row>
    <row r="24" spans="1:21" s="556" customFormat="1" ht="29.25" customHeight="1" thickBot="1" x14ac:dyDescent="0.4">
      <c r="A24" s="1638"/>
      <c r="B24" s="566"/>
      <c r="D24" s="566"/>
      <c r="L24" s="1337"/>
      <c r="M24" s="1337"/>
      <c r="R24" s="1378"/>
      <c r="T24" s="1443"/>
      <c r="U24" s="1378"/>
    </row>
    <row r="25" spans="1:21" s="556" customFormat="1" ht="29.25" customHeight="1" thickTop="1" thickBot="1" x14ac:dyDescent="0.4">
      <c r="A25" s="1638"/>
      <c r="B25" s="566"/>
      <c r="D25" s="566"/>
      <c r="L25" s="1337"/>
      <c r="M25" s="1337"/>
      <c r="Q25" s="1831" t="s">
        <v>7622</v>
      </c>
      <c r="R25" s="1831"/>
      <c r="S25" s="1831"/>
      <c r="T25" s="1443"/>
      <c r="U25" s="734">
        <f ca="1">SUM(U5:U23)</f>
        <v>0</v>
      </c>
    </row>
    <row r="26" spans="1:21" s="556" customFormat="1" ht="29.25" customHeight="1" thickTop="1" x14ac:dyDescent="0.35">
      <c r="A26" s="1638"/>
      <c r="B26" s="566"/>
      <c r="D26" s="566"/>
      <c r="L26" s="1337"/>
      <c r="M26" s="1337"/>
      <c r="R26" s="1378"/>
      <c r="T26" s="1443"/>
      <c r="U26" s="1378"/>
    </row>
    <row r="27" spans="1:21" s="556" customFormat="1" ht="29.25" customHeight="1" x14ac:dyDescent="0.35">
      <c r="A27" s="1638"/>
      <c r="B27" s="566"/>
      <c r="L27" s="1337"/>
      <c r="M27" s="1337"/>
      <c r="R27" s="1378"/>
      <c r="T27" s="1443"/>
      <c r="U27" s="1378"/>
    </row>
    <row r="28" spans="1:21" s="556" customFormat="1" ht="29.25" customHeight="1" x14ac:dyDescent="0.35">
      <c r="A28" s="1638"/>
      <c r="B28" s="566"/>
      <c r="L28" s="1337"/>
      <c r="M28" s="1337"/>
      <c r="R28" s="1378"/>
      <c r="T28" s="1443"/>
      <c r="U28" s="1378"/>
    </row>
  </sheetData>
  <sheetProtection algorithmName="SHA-512" hashValue="Ws+6fws4FzprpgkMjvwUTpCgOT1vOA7ywKQofEIXNJIS5JpoLFCyoBVoskwBI/2qr6wFcPQzRFyJjO5umxXHug==" saltValue="7U4KxAMVrvBQTRoNRBAhNQ==" spinCount="100000" sheet="1" objects="1" scenarios="1"/>
  <protectedRanges>
    <protectedRange sqref="F4" name="F"/>
  </protectedRanges>
  <mergeCells count="6">
    <mergeCell ref="B1:C1"/>
    <mergeCell ref="C3:G3"/>
    <mergeCell ref="J2:R2"/>
    <mergeCell ref="S2:U2"/>
    <mergeCell ref="Q25:S25"/>
    <mergeCell ref="D1:E1"/>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04540" r:id="rId4" name="Drop Down 92">
              <controlPr defaultSize="0" autoLine="0" autoPict="0">
                <anchor moveWithCells="1">
                  <from>
                    <xdr:col>9</xdr:col>
                    <xdr:colOff>12700</xdr:colOff>
                    <xdr:row>8</xdr:row>
                    <xdr:rowOff>0</xdr:rowOff>
                  </from>
                  <to>
                    <xdr:col>10</xdr:col>
                    <xdr:colOff>12700</xdr:colOff>
                    <xdr:row>9</xdr:row>
                    <xdr:rowOff>0</xdr:rowOff>
                  </to>
                </anchor>
              </controlPr>
            </control>
          </mc:Choice>
        </mc:AlternateContent>
        <mc:AlternateContent xmlns:mc="http://schemas.openxmlformats.org/markup-compatibility/2006">
          <mc:Choice Requires="x14">
            <control shapeId="104607" r:id="rId5" name="Drop Down 159">
              <controlPr defaultSize="0" autoLine="0" autoPict="0">
                <anchor moveWithCells="1">
                  <from>
                    <xdr:col>9</xdr:col>
                    <xdr:colOff>12700</xdr:colOff>
                    <xdr:row>5</xdr:row>
                    <xdr:rowOff>0</xdr:rowOff>
                  </from>
                  <to>
                    <xdr:col>10</xdr:col>
                    <xdr:colOff>12700</xdr:colOff>
                    <xdr:row>6</xdr:row>
                    <xdr:rowOff>0</xdr:rowOff>
                  </to>
                </anchor>
              </controlPr>
            </control>
          </mc:Choice>
        </mc:AlternateContent>
        <mc:AlternateContent xmlns:mc="http://schemas.openxmlformats.org/markup-compatibility/2006">
          <mc:Choice Requires="x14">
            <control shapeId="104629" r:id="rId6" name="Drop Down 181">
              <controlPr defaultSize="0" autoLine="0" autoPict="0">
                <anchor moveWithCells="1">
                  <from>
                    <xdr:col>9</xdr:col>
                    <xdr:colOff>12700</xdr:colOff>
                    <xdr:row>4</xdr:row>
                    <xdr:rowOff>0</xdr:rowOff>
                  </from>
                  <to>
                    <xdr:col>10</xdr:col>
                    <xdr:colOff>12700</xdr:colOff>
                    <xdr:row>5</xdr:row>
                    <xdr:rowOff>12700</xdr:rowOff>
                  </to>
                </anchor>
              </controlPr>
            </control>
          </mc:Choice>
        </mc:AlternateContent>
        <mc:AlternateContent xmlns:mc="http://schemas.openxmlformats.org/markup-compatibility/2006">
          <mc:Choice Requires="x14">
            <control shapeId="104630" r:id="rId7" name="Drop Down 182">
              <controlPr defaultSize="0" autoLine="0" autoPict="0">
                <anchor moveWithCells="1">
                  <from>
                    <xdr:col>9</xdr:col>
                    <xdr:colOff>12700</xdr:colOff>
                    <xdr:row>6</xdr:row>
                    <xdr:rowOff>0</xdr:rowOff>
                  </from>
                  <to>
                    <xdr:col>10</xdr:col>
                    <xdr:colOff>12700</xdr:colOff>
                    <xdr:row>7</xdr:row>
                    <xdr:rowOff>12700</xdr:rowOff>
                  </to>
                </anchor>
              </controlPr>
            </control>
          </mc:Choice>
        </mc:AlternateContent>
        <mc:AlternateContent xmlns:mc="http://schemas.openxmlformats.org/markup-compatibility/2006">
          <mc:Choice Requires="x14">
            <control shapeId="104631" r:id="rId8" name="Drop Down 183">
              <controlPr defaultSize="0" autoLine="0" autoPict="0">
                <anchor moveWithCells="1">
                  <from>
                    <xdr:col>9</xdr:col>
                    <xdr:colOff>12700</xdr:colOff>
                    <xdr:row>7</xdr:row>
                    <xdr:rowOff>0</xdr:rowOff>
                  </from>
                  <to>
                    <xdr:col>10</xdr:col>
                    <xdr:colOff>12700</xdr:colOff>
                    <xdr:row>8</xdr:row>
                    <xdr:rowOff>12700</xdr:rowOff>
                  </to>
                </anchor>
              </controlPr>
            </control>
          </mc:Choice>
        </mc:AlternateContent>
        <mc:AlternateContent xmlns:mc="http://schemas.openxmlformats.org/markup-compatibility/2006">
          <mc:Choice Requires="x14">
            <control shapeId="104632" r:id="rId9" name="Drop Down 184">
              <controlPr defaultSize="0" autoLine="0" autoPict="0">
                <anchor moveWithCells="1">
                  <from>
                    <xdr:col>9</xdr:col>
                    <xdr:colOff>12700</xdr:colOff>
                    <xdr:row>8</xdr:row>
                    <xdr:rowOff>0</xdr:rowOff>
                  </from>
                  <to>
                    <xdr:col>10</xdr:col>
                    <xdr:colOff>12700</xdr:colOff>
                    <xdr:row>8</xdr:row>
                    <xdr:rowOff>241300</xdr:rowOff>
                  </to>
                </anchor>
              </controlPr>
            </control>
          </mc:Choice>
        </mc:AlternateContent>
        <mc:AlternateContent xmlns:mc="http://schemas.openxmlformats.org/markup-compatibility/2006">
          <mc:Choice Requires="x14">
            <control shapeId="104633" r:id="rId10" name="Drop Down 185">
              <controlPr defaultSize="0" autoLine="0" autoPict="0">
                <anchor moveWithCells="1">
                  <from>
                    <xdr:col>9</xdr:col>
                    <xdr:colOff>12700</xdr:colOff>
                    <xdr:row>8</xdr:row>
                    <xdr:rowOff>0</xdr:rowOff>
                  </from>
                  <to>
                    <xdr:col>10</xdr:col>
                    <xdr:colOff>12700</xdr:colOff>
                    <xdr:row>9</xdr:row>
                    <xdr:rowOff>0</xdr:rowOff>
                  </to>
                </anchor>
              </controlPr>
            </control>
          </mc:Choice>
        </mc:AlternateContent>
        <mc:AlternateContent xmlns:mc="http://schemas.openxmlformats.org/markup-compatibility/2006">
          <mc:Choice Requires="x14">
            <control shapeId="104634" r:id="rId11" name="Drop Down 186">
              <controlPr defaultSize="0" autoLine="0" autoPict="0">
                <anchor moveWithCells="1">
                  <from>
                    <xdr:col>9</xdr:col>
                    <xdr:colOff>12700</xdr:colOff>
                    <xdr:row>9</xdr:row>
                    <xdr:rowOff>0</xdr:rowOff>
                  </from>
                  <to>
                    <xdr:col>10</xdr:col>
                    <xdr:colOff>12700</xdr:colOff>
                    <xdr:row>10</xdr:row>
                    <xdr:rowOff>0</xdr:rowOff>
                  </to>
                </anchor>
              </controlPr>
            </control>
          </mc:Choice>
        </mc:AlternateContent>
        <mc:AlternateContent xmlns:mc="http://schemas.openxmlformats.org/markup-compatibility/2006">
          <mc:Choice Requires="x14">
            <control shapeId="104635" r:id="rId12" name="Drop Down 187">
              <controlPr defaultSize="0" autoLine="0" autoPict="0">
                <anchor moveWithCells="1">
                  <from>
                    <xdr:col>9</xdr:col>
                    <xdr:colOff>12700</xdr:colOff>
                    <xdr:row>10</xdr:row>
                    <xdr:rowOff>0</xdr:rowOff>
                  </from>
                  <to>
                    <xdr:col>10</xdr:col>
                    <xdr:colOff>12700</xdr:colOff>
                    <xdr:row>11</xdr:row>
                    <xdr:rowOff>50800</xdr:rowOff>
                  </to>
                </anchor>
              </controlPr>
            </control>
          </mc:Choice>
        </mc:AlternateContent>
        <mc:AlternateContent xmlns:mc="http://schemas.openxmlformats.org/markup-compatibility/2006">
          <mc:Choice Requires="x14">
            <control shapeId="104636" r:id="rId13" name="Drop Down 188">
              <controlPr defaultSize="0" autoLine="0" autoPict="0">
                <anchor moveWithCells="1">
                  <from>
                    <xdr:col>9</xdr:col>
                    <xdr:colOff>12700</xdr:colOff>
                    <xdr:row>11</xdr:row>
                    <xdr:rowOff>0</xdr:rowOff>
                  </from>
                  <to>
                    <xdr:col>10</xdr:col>
                    <xdr:colOff>12700</xdr:colOff>
                    <xdr:row>12</xdr:row>
                    <xdr:rowOff>0</xdr:rowOff>
                  </to>
                </anchor>
              </controlPr>
            </control>
          </mc:Choice>
        </mc:AlternateContent>
        <mc:AlternateContent xmlns:mc="http://schemas.openxmlformats.org/markup-compatibility/2006">
          <mc:Choice Requires="x14">
            <control shapeId="104637" r:id="rId14" name="Drop Down 189">
              <controlPr defaultSize="0" autoLine="0" autoPict="0">
                <anchor moveWithCells="1">
                  <from>
                    <xdr:col>9</xdr:col>
                    <xdr:colOff>12700</xdr:colOff>
                    <xdr:row>12</xdr:row>
                    <xdr:rowOff>0</xdr:rowOff>
                  </from>
                  <to>
                    <xdr:col>10</xdr:col>
                    <xdr:colOff>12700</xdr:colOff>
                    <xdr:row>12</xdr:row>
                    <xdr:rowOff>381000</xdr:rowOff>
                  </to>
                </anchor>
              </controlPr>
            </control>
          </mc:Choice>
        </mc:AlternateContent>
        <mc:AlternateContent xmlns:mc="http://schemas.openxmlformats.org/markup-compatibility/2006">
          <mc:Choice Requires="x14">
            <control shapeId="104638" r:id="rId15" name="Drop Down 190">
              <controlPr defaultSize="0" autoLine="0" autoPict="0">
                <anchor moveWithCells="1">
                  <from>
                    <xdr:col>9</xdr:col>
                    <xdr:colOff>12700</xdr:colOff>
                    <xdr:row>13</xdr:row>
                    <xdr:rowOff>0</xdr:rowOff>
                  </from>
                  <to>
                    <xdr:col>10</xdr:col>
                    <xdr:colOff>12700</xdr:colOff>
                    <xdr:row>14</xdr:row>
                    <xdr:rowOff>0</xdr:rowOff>
                  </to>
                </anchor>
              </controlPr>
            </control>
          </mc:Choice>
        </mc:AlternateContent>
        <mc:AlternateContent xmlns:mc="http://schemas.openxmlformats.org/markup-compatibility/2006">
          <mc:Choice Requires="x14">
            <control shapeId="104639" r:id="rId16" name="Drop Down 191">
              <controlPr defaultSize="0" autoLine="0" autoPict="0">
                <anchor moveWithCells="1">
                  <from>
                    <xdr:col>9</xdr:col>
                    <xdr:colOff>12700</xdr:colOff>
                    <xdr:row>14</xdr:row>
                    <xdr:rowOff>0</xdr:rowOff>
                  </from>
                  <to>
                    <xdr:col>10</xdr:col>
                    <xdr:colOff>12700</xdr:colOff>
                    <xdr:row>15</xdr:row>
                    <xdr:rowOff>0</xdr:rowOff>
                  </to>
                </anchor>
              </controlPr>
            </control>
          </mc:Choice>
        </mc:AlternateContent>
        <mc:AlternateContent xmlns:mc="http://schemas.openxmlformats.org/markup-compatibility/2006">
          <mc:Choice Requires="x14">
            <control shapeId="104640" r:id="rId17" name="Drop Down 192">
              <controlPr defaultSize="0" autoLine="0" autoPict="0">
                <anchor moveWithCells="1">
                  <from>
                    <xdr:col>9</xdr:col>
                    <xdr:colOff>12700</xdr:colOff>
                    <xdr:row>15</xdr:row>
                    <xdr:rowOff>0</xdr:rowOff>
                  </from>
                  <to>
                    <xdr:col>10</xdr:col>
                    <xdr:colOff>12700</xdr:colOff>
                    <xdr:row>16</xdr:row>
                    <xdr:rowOff>0</xdr:rowOff>
                  </to>
                </anchor>
              </controlPr>
            </control>
          </mc:Choice>
        </mc:AlternateContent>
        <mc:AlternateContent xmlns:mc="http://schemas.openxmlformats.org/markup-compatibility/2006">
          <mc:Choice Requires="x14">
            <control shapeId="104641" r:id="rId18" name="Drop Down 193">
              <controlPr defaultSize="0" autoLine="0" autoPict="0">
                <anchor moveWithCells="1">
                  <from>
                    <xdr:col>9</xdr:col>
                    <xdr:colOff>12700</xdr:colOff>
                    <xdr:row>16</xdr:row>
                    <xdr:rowOff>0</xdr:rowOff>
                  </from>
                  <to>
                    <xdr:col>10</xdr:col>
                    <xdr:colOff>12700</xdr:colOff>
                    <xdr:row>17</xdr:row>
                    <xdr:rowOff>0</xdr:rowOff>
                  </to>
                </anchor>
              </controlPr>
            </control>
          </mc:Choice>
        </mc:AlternateContent>
        <mc:AlternateContent xmlns:mc="http://schemas.openxmlformats.org/markup-compatibility/2006">
          <mc:Choice Requires="x14">
            <control shapeId="104642" r:id="rId19" name="Drop Down 194">
              <controlPr defaultSize="0" autoLine="0" autoPict="0">
                <anchor moveWithCells="1">
                  <from>
                    <xdr:col>9</xdr:col>
                    <xdr:colOff>12700</xdr:colOff>
                    <xdr:row>17</xdr:row>
                    <xdr:rowOff>0</xdr:rowOff>
                  </from>
                  <to>
                    <xdr:col>10</xdr:col>
                    <xdr:colOff>12700</xdr:colOff>
                    <xdr:row>18</xdr:row>
                    <xdr:rowOff>0</xdr:rowOff>
                  </to>
                </anchor>
              </controlPr>
            </control>
          </mc:Choice>
        </mc:AlternateContent>
        <mc:AlternateContent xmlns:mc="http://schemas.openxmlformats.org/markup-compatibility/2006">
          <mc:Choice Requires="x14">
            <control shapeId="104643" r:id="rId20" name="Drop Down 195">
              <controlPr defaultSize="0" autoLine="0" autoPict="0">
                <anchor moveWithCells="1">
                  <from>
                    <xdr:col>9</xdr:col>
                    <xdr:colOff>12700</xdr:colOff>
                    <xdr:row>18</xdr:row>
                    <xdr:rowOff>0</xdr:rowOff>
                  </from>
                  <to>
                    <xdr:col>10</xdr:col>
                    <xdr:colOff>12700</xdr:colOff>
                    <xdr:row>19</xdr:row>
                    <xdr:rowOff>0</xdr:rowOff>
                  </to>
                </anchor>
              </controlPr>
            </control>
          </mc:Choice>
        </mc:AlternateContent>
        <mc:AlternateContent xmlns:mc="http://schemas.openxmlformats.org/markup-compatibility/2006">
          <mc:Choice Requires="x14">
            <control shapeId="104644" r:id="rId21" name="Drop Down 196">
              <controlPr defaultSize="0" autoLine="0" autoPict="0">
                <anchor moveWithCells="1">
                  <from>
                    <xdr:col>9</xdr:col>
                    <xdr:colOff>12700</xdr:colOff>
                    <xdr:row>19</xdr:row>
                    <xdr:rowOff>0</xdr:rowOff>
                  </from>
                  <to>
                    <xdr:col>10</xdr:col>
                    <xdr:colOff>12700</xdr:colOff>
                    <xdr:row>20</xdr:row>
                    <xdr:rowOff>0</xdr:rowOff>
                  </to>
                </anchor>
              </controlPr>
            </control>
          </mc:Choice>
        </mc:AlternateContent>
        <mc:AlternateContent xmlns:mc="http://schemas.openxmlformats.org/markup-compatibility/2006">
          <mc:Choice Requires="x14">
            <control shapeId="104645" r:id="rId22" name="Drop Down 197">
              <controlPr defaultSize="0" autoLine="0" autoPict="0">
                <anchor moveWithCells="1">
                  <from>
                    <xdr:col>9</xdr:col>
                    <xdr:colOff>12700</xdr:colOff>
                    <xdr:row>20</xdr:row>
                    <xdr:rowOff>0</xdr:rowOff>
                  </from>
                  <to>
                    <xdr:col>10</xdr:col>
                    <xdr:colOff>12700</xdr:colOff>
                    <xdr:row>21</xdr:row>
                    <xdr:rowOff>0</xdr:rowOff>
                  </to>
                </anchor>
              </controlPr>
            </control>
          </mc:Choice>
        </mc:AlternateContent>
        <mc:AlternateContent xmlns:mc="http://schemas.openxmlformats.org/markup-compatibility/2006">
          <mc:Choice Requires="x14">
            <control shapeId="104646" r:id="rId23" name="Drop Down 198">
              <controlPr defaultSize="0" autoLine="0" autoPict="0">
                <anchor moveWithCells="1">
                  <from>
                    <xdr:col>9</xdr:col>
                    <xdr:colOff>12700</xdr:colOff>
                    <xdr:row>21</xdr:row>
                    <xdr:rowOff>0</xdr:rowOff>
                  </from>
                  <to>
                    <xdr:col>10</xdr:col>
                    <xdr:colOff>12700</xdr:colOff>
                    <xdr:row>22</xdr:row>
                    <xdr:rowOff>0</xdr:rowOff>
                  </to>
                </anchor>
              </controlPr>
            </control>
          </mc:Choice>
        </mc:AlternateContent>
        <mc:AlternateContent xmlns:mc="http://schemas.openxmlformats.org/markup-compatibility/2006">
          <mc:Choice Requires="x14">
            <control shapeId="104647" r:id="rId24" name="Drop Down 199">
              <controlPr defaultSize="0" autoLine="0" autoPict="0">
                <anchor moveWithCells="1">
                  <from>
                    <xdr:col>9</xdr:col>
                    <xdr:colOff>12700</xdr:colOff>
                    <xdr:row>22</xdr:row>
                    <xdr:rowOff>0</xdr:rowOff>
                  </from>
                  <to>
                    <xdr:col>10</xdr:col>
                    <xdr:colOff>12700</xdr:colOff>
                    <xdr:row>23</xdr:row>
                    <xdr:rowOff>0</xdr:rowOff>
                  </to>
                </anchor>
              </controlPr>
            </control>
          </mc:Choice>
        </mc:AlternateContent>
        <mc:AlternateContent xmlns:mc="http://schemas.openxmlformats.org/markup-compatibility/2006">
          <mc:Choice Requires="x14">
            <control shapeId="104648" r:id="rId25" name="Drop Down 200">
              <controlPr locked="0" defaultSize="0" autoLine="0" autoPict="0">
                <anchor moveWithCells="1">
                  <from>
                    <xdr:col>5</xdr:col>
                    <xdr:colOff>0</xdr:colOff>
                    <xdr:row>3</xdr:row>
                    <xdr:rowOff>12700</xdr:rowOff>
                  </from>
                  <to>
                    <xdr:col>6</xdr:col>
                    <xdr:colOff>12700</xdr:colOff>
                    <xdr:row>4</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19">
    <tabColor rgb="FFFF0000"/>
  </sheetPr>
  <dimension ref="A1:AB36"/>
  <sheetViews>
    <sheetView zoomScale="95" zoomScaleNormal="95" workbookViewId="0">
      <pane ySplit="2" topLeftCell="A3" activePane="bottomLeft" state="frozen"/>
      <selection activeCell="G28" sqref="G28"/>
      <selection pane="bottomLeft" sqref="A1:XFD1048576"/>
    </sheetView>
  </sheetViews>
  <sheetFormatPr defaultColWidth="9.1796875" defaultRowHeight="14.5" x14ac:dyDescent="0.35"/>
  <cols>
    <col min="1" max="1" width="6.26953125" style="1638" customWidth="1"/>
    <col min="2" max="2" width="16" style="1638" customWidth="1"/>
    <col min="3" max="3" width="69.81640625" style="556" customWidth="1"/>
    <col min="4" max="4" width="21.36328125" style="556" customWidth="1"/>
    <col min="5" max="5" width="21.81640625" style="556" customWidth="1"/>
    <col min="6" max="6" width="15.1796875" style="556" customWidth="1"/>
    <col min="7" max="7" width="20.1796875" style="1378" customWidth="1"/>
    <col min="8" max="8" width="23.453125" style="556" customWidth="1"/>
    <col min="9" max="9" width="11.81640625" style="556" customWidth="1"/>
    <col min="10" max="10" width="10.453125" style="556" customWidth="1"/>
    <col min="11" max="11" width="12.36328125" style="556" customWidth="1"/>
    <col min="12" max="12" width="9.1796875" style="556" customWidth="1"/>
    <col min="13" max="21" width="9.1796875" style="556"/>
    <col min="22" max="22" width="12.453125" style="556" customWidth="1"/>
    <col min="23" max="23" width="9.1796875" style="556"/>
    <col min="24" max="24" width="7.36328125" style="556" customWidth="1"/>
    <col min="25" max="25" width="57.453125" style="556" customWidth="1"/>
    <col min="26" max="26" width="23.1796875" style="556" customWidth="1"/>
    <col min="27" max="27" width="16.81640625" style="556" customWidth="1"/>
    <col min="28" max="28" width="10.90625" style="556" customWidth="1"/>
    <col min="29" max="16384" width="9.1796875" style="556"/>
  </cols>
  <sheetData>
    <row r="1" spans="1:28" ht="37.5" thickBot="1" x14ac:dyDescent="0.4">
      <c r="A1" s="553"/>
      <c r="B1" s="1790" t="s">
        <v>23</v>
      </c>
      <c r="C1" s="1790" t="s">
        <v>989</v>
      </c>
      <c r="D1" s="1703" t="s">
        <v>8414</v>
      </c>
      <c r="E1" s="1704"/>
      <c r="F1" s="554" t="str">
        <f>LOOKUP(' Preparation'!$F$4,Data!$B$2:$B$194,Data!$C$2:$C$194)</f>
        <v>€ (Euro)</v>
      </c>
      <c r="G1" s="1558"/>
      <c r="Z1" s="1703" t="s">
        <v>8414</v>
      </c>
      <c r="AA1" s="1704"/>
      <c r="AB1" s="554" t="str">
        <f>LOOKUP(' Preparation'!$F$4,Data!$B$2:$B$194,Data!$C$2:$C$194)</f>
        <v>€ (Euro)</v>
      </c>
    </row>
    <row r="2" spans="1:28" s="561" customFormat="1" ht="56" thickBot="1" x14ac:dyDescent="0.4">
      <c r="A2" s="1559" t="s">
        <v>82</v>
      </c>
      <c r="B2" s="1750" t="s">
        <v>1018</v>
      </c>
      <c r="C2" s="1756"/>
      <c r="D2" s="558" t="s">
        <v>1020</v>
      </c>
      <c r="E2" s="501" t="s">
        <v>8112</v>
      </c>
      <c r="F2" s="559" t="s">
        <v>8758</v>
      </c>
      <c r="G2" s="1201" t="s">
        <v>78</v>
      </c>
      <c r="H2" s="565"/>
      <c r="J2" s="1834" t="s">
        <v>8723</v>
      </c>
      <c r="K2" s="1835"/>
      <c r="L2" s="1835"/>
      <c r="M2" s="1835"/>
      <c r="N2" s="1835"/>
      <c r="O2" s="1835"/>
      <c r="P2" s="1835"/>
      <c r="Q2" s="1835"/>
      <c r="R2" s="1835"/>
      <c r="S2" s="1836"/>
      <c r="X2" s="561" t="s">
        <v>8771</v>
      </c>
      <c r="Y2" s="1855" t="s">
        <v>8997</v>
      </c>
      <c r="Z2" s="1855"/>
      <c r="AA2" s="1855"/>
    </row>
    <row r="3" spans="1:28" s="561" customFormat="1" ht="32.5" customHeight="1" thickBot="1" x14ac:dyDescent="0.4">
      <c r="A3" s="1560"/>
      <c r="B3" s="1396" t="s">
        <v>89</v>
      </c>
      <c r="C3" s="1778" t="s">
        <v>8691</v>
      </c>
      <c r="D3" s="1779"/>
      <c r="E3" s="1779"/>
      <c r="F3" s="1779"/>
      <c r="G3" s="1779"/>
      <c r="J3" s="1561" t="s">
        <v>37</v>
      </c>
      <c r="K3" s="1561" t="s">
        <v>1040</v>
      </c>
      <c r="L3" s="1561" t="s">
        <v>8725</v>
      </c>
      <c r="M3" s="1561" t="s">
        <v>8724</v>
      </c>
      <c r="N3" s="1561" t="s">
        <v>7166</v>
      </c>
      <c r="O3" s="1561" t="s">
        <v>8729</v>
      </c>
      <c r="P3" s="1561" t="s">
        <v>819</v>
      </c>
      <c r="Q3" s="1561" t="s">
        <v>8726</v>
      </c>
      <c r="R3" s="1561" t="s">
        <v>8727</v>
      </c>
      <c r="S3" s="1561" t="s">
        <v>8728</v>
      </c>
      <c r="U3" s="556">
        <v>1</v>
      </c>
      <c r="V3" s="556" t="s">
        <v>7458</v>
      </c>
      <c r="X3" s="1113"/>
      <c r="Y3" s="754" t="s">
        <v>8772</v>
      </c>
      <c r="Z3" s="688" t="s">
        <v>8773</v>
      </c>
      <c r="AA3" s="688" t="s">
        <v>8774</v>
      </c>
    </row>
    <row r="4" spans="1:28" ht="29.5" customHeight="1" x14ac:dyDescent="0.35">
      <c r="A4" s="1562" t="s">
        <v>991</v>
      </c>
      <c r="B4" s="1832" t="s">
        <v>1019</v>
      </c>
      <c r="C4" s="1832"/>
      <c r="D4" s="1563"/>
      <c r="E4" s="566" t="s">
        <v>7778</v>
      </c>
      <c r="F4" s="1256"/>
      <c r="G4" s="1564">
        <f>IF(' Preparation'!$F$21=0,0,(F4*(' Preparation'!$F$24/' Preparation'!$F$21)))</f>
        <v>0</v>
      </c>
      <c r="H4" s="1392"/>
      <c r="J4" s="1565"/>
      <c r="K4" s="1565"/>
      <c r="L4" s="1565"/>
      <c r="M4" s="1565"/>
      <c r="N4" s="1565">
        <v>1</v>
      </c>
      <c r="O4" s="1565"/>
      <c r="P4" s="1565"/>
      <c r="Q4" s="1565"/>
      <c r="R4" s="1565">
        <f>G4</f>
        <v>0</v>
      </c>
      <c r="S4" s="1565"/>
      <c r="U4" s="556">
        <v>2</v>
      </c>
      <c r="V4" s="556" t="s">
        <v>37</v>
      </c>
      <c r="X4" s="1113">
        <v>1</v>
      </c>
      <c r="Y4" s="1905">
        <v>1</v>
      </c>
      <c r="Z4" s="1906"/>
      <c r="AA4" s="1119">
        <f>Z4*LOOKUP(Y4, 'Idemat Data'!$G$4:$G$1123,'Idemat Data'!$P$4:$P$1123)</f>
        <v>0</v>
      </c>
    </row>
    <row r="5" spans="1:28" ht="29.25" customHeight="1" x14ac:dyDescent="0.35">
      <c r="A5" s="1562" t="s">
        <v>990</v>
      </c>
      <c r="B5" s="1833" t="s">
        <v>8763</v>
      </c>
      <c r="C5" s="1833"/>
      <c r="D5" s="556" t="s">
        <v>7779</v>
      </c>
      <c r="E5" s="566" t="s">
        <v>1037</v>
      </c>
      <c r="F5" s="1256"/>
      <c r="G5" s="1564">
        <f>F5*Pol.Data!K30</f>
        <v>0</v>
      </c>
      <c r="H5" s="1392"/>
      <c r="I5" s="1194"/>
      <c r="J5" s="1566">
        <v>1</v>
      </c>
      <c r="K5" s="1566"/>
      <c r="L5" s="1566"/>
      <c r="M5" s="1566"/>
      <c r="N5" s="1566"/>
      <c r="O5" s="1566"/>
      <c r="P5" s="1566"/>
      <c r="Q5" s="1566"/>
      <c r="R5" s="1566"/>
      <c r="S5" s="1566"/>
      <c r="U5" s="556">
        <v>3</v>
      </c>
      <c r="V5" s="556" t="s">
        <v>1040</v>
      </c>
      <c r="X5" s="1120">
        <v>2</v>
      </c>
      <c r="Y5" s="1908">
        <v>1</v>
      </c>
      <c r="Z5" s="1906"/>
      <c r="AA5" s="1119">
        <f>Z5*LOOKUP(Y5, 'Idemat Data'!$G$4:$G$1123,'Idemat Data'!$P$4:$P$1123)</f>
        <v>0</v>
      </c>
    </row>
    <row r="6" spans="1:28" ht="41.25" customHeight="1" x14ac:dyDescent="0.35">
      <c r="A6" s="564" t="s">
        <v>992</v>
      </c>
      <c r="B6" s="1830" t="s">
        <v>8998</v>
      </c>
      <c r="C6" s="1830"/>
      <c r="D6" s="556" t="s">
        <v>8776</v>
      </c>
      <c r="E6" s="566" t="s">
        <v>8219</v>
      </c>
      <c r="F6" s="1564">
        <f>AA15</f>
        <v>0</v>
      </c>
      <c r="G6" s="1564">
        <f>IF(' Preparation'!$F$21=0,0,(F6*(' Preparation'!$F$24/' Preparation'!$F$21)))</f>
        <v>0</v>
      </c>
      <c r="H6" s="1392"/>
      <c r="I6" s="1194"/>
      <c r="J6" s="1566">
        <v>1</v>
      </c>
      <c r="K6" s="1566"/>
      <c r="L6" s="1566"/>
      <c r="M6" s="1566"/>
      <c r="N6" s="1566">
        <f>G6</f>
        <v>0</v>
      </c>
      <c r="O6" s="1566"/>
      <c r="P6" s="1566"/>
      <c r="Q6" s="1566"/>
      <c r="R6" s="1566"/>
      <c r="S6" s="1566"/>
      <c r="U6" s="556">
        <v>4</v>
      </c>
      <c r="V6" s="556" t="s">
        <v>8751</v>
      </c>
      <c r="X6" s="1120">
        <v>3</v>
      </c>
      <c r="Y6" s="1909">
        <v>1</v>
      </c>
      <c r="Z6" s="1906"/>
      <c r="AA6" s="1119">
        <f>Z6*LOOKUP(Y6, 'Idemat Data'!$G$4:$G$1123,'Idemat Data'!$P$4:$P$1123)</f>
        <v>0</v>
      </c>
    </row>
    <row r="7" spans="1:28" ht="29" x14ac:dyDescent="0.35">
      <c r="A7" s="564" t="s">
        <v>993</v>
      </c>
      <c r="B7" s="1830" t="s">
        <v>8755</v>
      </c>
      <c r="C7" s="1830"/>
      <c r="D7" s="556" t="s">
        <v>8217</v>
      </c>
      <c r="E7" s="566" t="s">
        <v>7778</v>
      </c>
      <c r="F7" s="1994"/>
      <c r="G7" s="1564">
        <f>IF(' Preparation'!$F$21=0,0,(F7*(' Preparation'!$F$24/' Preparation'!$F$21)))</f>
        <v>0</v>
      </c>
      <c r="J7" s="1566">
        <v>1</v>
      </c>
      <c r="K7" s="1566"/>
      <c r="L7" s="1566"/>
      <c r="M7" s="1566"/>
      <c r="N7" s="1566"/>
      <c r="O7" s="1566"/>
      <c r="P7" s="1566"/>
      <c r="Q7" s="1566"/>
      <c r="R7" s="1566"/>
      <c r="S7" s="1566"/>
      <c r="U7" s="556">
        <v>5</v>
      </c>
      <c r="V7" s="556" t="s">
        <v>8752</v>
      </c>
      <c r="X7" s="1120">
        <v>4</v>
      </c>
      <c r="Y7" s="1910">
        <v>1</v>
      </c>
      <c r="Z7" s="1906"/>
      <c r="AA7" s="1119">
        <f>Z7*LOOKUP(Y7, 'Idemat Data'!$G$4:$G$1123,'Idemat Data'!$P$4:$P$1123)</f>
        <v>0</v>
      </c>
    </row>
    <row r="8" spans="1:28" ht="29" x14ac:dyDescent="0.35">
      <c r="A8" s="564" t="s">
        <v>994</v>
      </c>
      <c r="B8" s="1830" t="s">
        <v>8756</v>
      </c>
      <c r="C8" s="1830"/>
      <c r="E8" s="566" t="s">
        <v>7778</v>
      </c>
      <c r="F8" s="1995"/>
      <c r="G8" s="1564">
        <f>IF(' Preparation'!$F$21=0,0,(F8*(' Preparation'!$F$24/' Preparation'!$F$21)))</f>
        <v>0</v>
      </c>
      <c r="J8" s="1566">
        <v>1</v>
      </c>
      <c r="K8" s="1566"/>
      <c r="L8" s="1566"/>
      <c r="M8" s="1566"/>
      <c r="N8" s="1566"/>
      <c r="O8" s="1566"/>
      <c r="P8" s="1566"/>
      <c r="Q8" s="1566"/>
      <c r="R8" s="1566"/>
      <c r="S8" s="1566"/>
      <c r="U8" s="556">
        <v>6</v>
      </c>
      <c r="V8" s="556" t="s">
        <v>8753</v>
      </c>
      <c r="X8" s="1120">
        <v>5</v>
      </c>
      <c r="Y8" s="1911">
        <v>1</v>
      </c>
      <c r="Z8" s="1906"/>
      <c r="AA8" s="1119">
        <f>Z8*LOOKUP(Y8, 'Idemat Data'!$G$4:$G$1123,'Idemat Data'!$P$4:$P$1123)</f>
        <v>0</v>
      </c>
    </row>
    <row r="9" spans="1:28" ht="29" x14ac:dyDescent="0.35">
      <c r="A9" s="564" t="s">
        <v>995</v>
      </c>
      <c r="B9" s="1830" t="s">
        <v>8762</v>
      </c>
      <c r="C9" s="1830"/>
      <c r="E9" s="566" t="s">
        <v>7778</v>
      </c>
      <c r="F9" s="1995"/>
      <c r="G9" s="1564">
        <f>IF(' Preparation'!$F$21=0,0,(F9*(' Preparation'!$F$24/' Preparation'!$F$21)))</f>
        <v>0</v>
      </c>
      <c r="I9" s="556">
        <v>1</v>
      </c>
      <c r="J9" s="1566">
        <v>1</v>
      </c>
      <c r="K9" s="1566">
        <f t="shared" ref="K9:S9" si="0">IF($I9=1,0,IF($I9=2,$G9,0))</f>
        <v>0</v>
      </c>
      <c r="L9" s="1566">
        <f t="shared" si="0"/>
        <v>0</v>
      </c>
      <c r="M9" s="1566">
        <f t="shared" si="0"/>
        <v>0</v>
      </c>
      <c r="N9" s="1566">
        <f t="shared" si="0"/>
        <v>0</v>
      </c>
      <c r="O9" s="1566">
        <f t="shared" si="0"/>
        <v>0</v>
      </c>
      <c r="P9" s="1566">
        <f t="shared" si="0"/>
        <v>0</v>
      </c>
      <c r="Q9" s="1566">
        <f t="shared" si="0"/>
        <v>0</v>
      </c>
      <c r="R9" s="1566">
        <f t="shared" si="0"/>
        <v>0</v>
      </c>
      <c r="S9" s="1566">
        <f t="shared" si="0"/>
        <v>0</v>
      </c>
      <c r="U9" s="556">
        <v>7</v>
      </c>
      <c r="V9" s="556" t="s">
        <v>7167</v>
      </c>
      <c r="X9" s="1120">
        <v>6</v>
      </c>
      <c r="Y9" s="1912">
        <v>1</v>
      </c>
      <c r="Z9" s="1906"/>
      <c r="AA9" s="1119">
        <f>Z9*LOOKUP(Y9, 'Idemat Data'!$G$4:$G$1123,'Idemat Data'!$P$4:$P$1123)</f>
        <v>0</v>
      </c>
    </row>
    <row r="10" spans="1:28" ht="29" x14ac:dyDescent="0.35">
      <c r="A10" s="564" t="s">
        <v>996</v>
      </c>
      <c r="B10" s="1830" t="s">
        <v>8722</v>
      </c>
      <c r="C10" s="1830"/>
      <c r="D10" s="499" t="s">
        <v>1032</v>
      </c>
      <c r="E10" s="566" t="s">
        <v>7778</v>
      </c>
      <c r="F10" s="1995"/>
      <c r="G10" s="1564">
        <f>IF(' Preparation'!$F$21=0,0,(F10*(' Preparation'!$F$24/' Preparation'!$F$21)))</f>
        <v>0</v>
      </c>
      <c r="J10" s="1566">
        <v>1</v>
      </c>
      <c r="K10" s="1566"/>
      <c r="L10" s="1566"/>
      <c r="M10" s="1566">
        <f>G10</f>
        <v>0</v>
      </c>
      <c r="N10" s="1566"/>
      <c r="O10" s="1566"/>
      <c r="P10" s="1566"/>
      <c r="Q10" s="1566"/>
      <c r="R10" s="1566"/>
      <c r="S10" s="1566"/>
      <c r="U10" s="556">
        <v>8</v>
      </c>
      <c r="V10" s="556" t="s">
        <v>819</v>
      </c>
      <c r="X10" s="1120">
        <v>7</v>
      </c>
      <c r="Y10" s="1913">
        <v>1</v>
      </c>
      <c r="Z10" s="683"/>
      <c r="AA10" s="1119">
        <f>Z10*LOOKUP(Y10, 'Idemat Data'!$G$4:$G$1123,'Idemat Data'!$P$4:$P$1123)</f>
        <v>0</v>
      </c>
    </row>
    <row r="11" spans="1:28" ht="43.5" x14ac:dyDescent="0.35">
      <c r="A11" s="564" t="s">
        <v>997</v>
      </c>
      <c r="B11" s="1830" t="s">
        <v>8757</v>
      </c>
      <c r="C11" s="1830"/>
      <c r="D11" s="556" t="s">
        <v>1033</v>
      </c>
      <c r="E11" s="566" t="s">
        <v>7778</v>
      </c>
      <c r="F11" s="1995"/>
      <c r="G11" s="1564">
        <f>IF(' Preparation'!$F$21=0,0,(F11*(' Preparation'!$F$24/' Preparation'!$F$21)))</f>
        <v>0</v>
      </c>
      <c r="J11" s="1566">
        <v>1</v>
      </c>
      <c r="K11" s="1566"/>
      <c r="L11" s="1566"/>
      <c r="M11" s="1566"/>
      <c r="N11" s="1566"/>
      <c r="O11" s="1566"/>
      <c r="P11" s="1566">
        <f>G11</f>
        <v>0</v>
      </c>
      <c r="Q11" s="1566"/>
      <c r="R11" s="1566"/>
      <c r="S11" s="1566"/>
      <c r="U11" s="556">
        <v>9</v>
      </c>
      <c r="V11" s="556" t="s">
        <v>820</v>
      </c>
      <c r="X11" s="1128">
        <v>8</v>
      </c>
      <c r="Y11" s="1915">
        <v>1</v>
      </c>
      <c r="Z11" s="1906"/>
      <c r="AA11" s="1119">
        <f>Z11*LOOKUP(Y11, 'Idemat Data'!$G$4:$G$1123,'Idemat Data'!$P$4:$P$1123)</f>
        <v>0</v>
      </c>
    </row>
    <row r="12" spans="1:28" ht="29" x14ac:dyDescent="0.35">
      <c r="A12" s="564" t="s">
        <v>998</v>
      </c>
      <c r="B12" s="1830" t="s">
        <v>1021</v>
      </c>
      <c r="C12" s="1830"/>
      <c r="E12" s="566" t="s">
        <v>7778</v>
      </c>
      <c r="F12" s="1995"/>
      <c r="G12" s="1564">
        <f>IF(' Preparation'!$F$21=0,0,(F12*(' Preparation'!$F$24/' Preparation'!$F$21)))</f>
        <v>0</v>
      </c>
      <c r="J12" s="1566">
        <v>1</v>
      </c>
      <c r="K12" s="1566"/>
      <c r="L12" s="1566"/>
      <c r="M12" s="1566"/>
      <c r="N12" s="1566"/>
      <c r="O12" s="1566"/>
      <c r="P12" s="1566"/>
      <c r="Q12" s="1566">
        <f>G12</f>
        <v>0</v>
      </c>
      <c r="R12" s="1566"/>
      <c r="S12" s="1566"/>
      <c r="U12" s="556">
        <v>10</v>
      </c>
      <c r="V12" s="556" t="s">
        <v>7169</v>
      </c>
      <c r="X12" s="1120">
        <v>9</v>
      </c>
      <c r="Y12" s="1102">
        <v>1</v>
      </c>
      <c r="Z12" s="1906"/>
      <c r="AA12" s="1119">
        <f>Z12*LOOKUP(Y12, 'Idemat Data'!$G$4:$G$1123,'Idemat Data'!$P$4:$P$1123)</f>
        <v>0</v>
      </c>
    </row>
    <row r="13" spans="1:28" ht="29" x14ac:dyDescent="0.35">
      <c r="A13" s="564" t="s">
        <v>999</v>
      </c>
      <c r="B13" s="1830" t="s">
        <v>1022</v>
      </c>
      <c r="C13" s="1830"/>
      <c r="D13" s="556" t="s">
        <v>1029</v>
      </c>
      <c r="E13" s="566" t="s">
        <v>7778</v>
      </c>
      <c r="F13" s="1995"/>
      <c r="G13" s="1564">
        <f>IF(' Preparation'!$F$21=0,0,(F13*(' Preparation'!$F$24/' Preparation'!$F$21)))</f>
        <v>0</v>
      </c>
      <c r="J13" s="1566">
        <v>1</v>
      </c>
      <c r="K13" s="1566"/>
      <c r="L13" s="1566"/>
      <c r="M13" s="1566"/>
      <c r="N13" s="1566"/>
      <c r="O13" s="1566"/>
      <c r="P13" s="1566"/>
      <c r="Q13" s="1566">
        <f>G13</f>
        <v>0</v>
      </c>
      <c r="R13" s="1566"/>
      <c r="S13" s="1566"/>
      <c r="U13" s="556">
        <v>11</v>
      </c>
      <c r="V13" s="556" t="s">
        <v>8754</v>
      </c>
      <c r="X13" s="1120">
        <v>10</v>
      </c>
      <c r="Y13" s="1102">
        <v>1</v>
      </c>
      <c r="Z13" s="1906"/>
      <c r="AA13" s="1119">
        <f>Z13*LOOKUP(Y13, 'Idemat Data'!$G$4:$G$1123,'Idemat Data'!$P$4:$P$1123)</f>
        <v>0</v>
      </c>
    </row>
    <row r="14" spans="1:28" ht="29.5" thickBot="1" x14ac:dyDescent="0.4">
      <c r="A14" s="564" t="s">
        <v>1000</v>
      </c>
      <c r="B14" s="1830" t="s">
        <v>1023</v>
      </c>
      <c r="C14" s="1830"/>
      <c r="D14" s="556" t="s">
        <v>1030</v>
      </c>
      <c r="E14" s="566" t="s">
        <v>7778</v>
      </c>
      <c r="F14" s="1995"/>
      <c r="G14" s="1564">
        <f>IF(' Preparation'!$F$21=0,0,(F14*(' Preparation'!$F$24/' Preparation'!$F$21)))</f>
        <v>0</v>
      </c>
      <c r="J14" s="1566">
        <v>1</v>
      </c>
      <c r="K14" s="1566"/>
      <c r="L14" s="1566"/>
      <c r="M14" s="1566"/>
      <c r="N14" s="1566"/>
      <c r="O14" s="1566"/>
      <c r="P14" s="1566"/>
      <c r="Q14" s="1566">
        <f>G14</f>
        <v>0</v>
      </c>
      <c r="R14" s="1566"/>
      <c r="S14" s="1566"/>
    </row>
    <row r="15" spans="1:28" ht="29.5" thickBot="1" x14ac:dyDescent="0.4">
      <c r="A15" s="564" t="s">
        <v>1001</v>
      </c>
      <c r="B15" s="1830" t="s">
        <v>1024</v>
      </c>
      <c r="C15" s="1830"/>
      <c r="E15" s="566" t="s">
        <v>7778</v>
      </c>
      <c r="F15" s="1995"/>
      <c r="G15" s="1564">
        <f>IF(' Preparation'!$F$21=0,0,(F15*(' Preparation'!$F$24/' Preparation'!$F$21)))</f>
        <v>0</v>
      </c>
      <c r="J15" s="1566"/>
      <c r="K15" s="1566"/>
      <c r="L15" s="1566"/>
      <c r="M15" s="1566"/>
      <c r="N15" s="1566"/>
      <c r="O15" s="1566"/>
      <c r="P15" s="1566"/>
      <c r="Q15" s="1566">
        <f>G15</f>
        <v>0</v>
      </c>
      <c r="R15" s="1566"/>
      <c r="S15" s="1566"/>
      <c r="Y15" s="1293" t="s">
        <v>8775</v>
      </c>
      <c r="AA15" s="678">
        <f>SUM(AA4:AA13)</f>
        <v>0</v>
      </c>
    </row>
    <row r="16" spans="1:28" ht="29" x14ac:dyDescent="0.35">
      <c r="A16" s="564" t="s">
        <v>1002</v>
      </c>
      <c r="B16" s="1830" t="s">
        <v>8765</v>
      </c>
      <c r="C16" s="1830"/>
      <c r="E16" s="566" t="s">
        <v>7778</v>
      </c>
      <c r="F16" s="1995"/>
      <c r="G16" s="1564">
        <f>IF(' Preparation'!$F$21=0,0,(F16*(' Preparation'!$F$24/' Preparation'!$F$21)))</f>
        <v>0</v>
      </c>
      <c r="J16" s="1566"/>
      <c r="K16" s="1566"/>
      <c r="L16" s="1566"/>
      <c r="M16" s="1566"/>
      <c r="N16" s="1566"/>
      <c r="O16" s="1566"/>
      <c r="P16" s="1566"/>
      <c r="Q16" s="1566">
        <f>G16</f>
        <v>0</v>
      </c>
      <c r="R16" s="1566"/>
      <c r="S16" s="1566"/>
    </row>
    <row r="17" spans="1:19" ht="43.5" x14ac:dyDescent="0.35">
      <c r="A17" s="564" t="s">
        <v>1003</v>
      </c>
      <c r="B17" s="1830" t="s">
        <v>8764</v>
      </c>
      <c r="C17" s="1830"/>
      <c r="D17" s="556" t="s">
        <v>1031</v>
      </c>
      <c r="E17" s="566" t="s">
        <v>7778</v>
      </c>
      <c r="F17" s="1995"/>
      <c r="G17" s="1564">
        <f>IF(' Preparation'!$F$21=0,0,(F17*(' Preparation'!$F$24/' Preparation'!$F$21)))</f>
        <v>0</v>
      </c>
      <c r="J17" s="1566"/>
      <c r="K17" s="1566"/>
      <c r="L17" s="1566"/>
      <c r="M17" s="1566"/>
      <c r="N17" s="1566"/>
      <c r="O17" s="1566"/>
      <c r="P17" s="1566"/>
      <c r="Q17" s="1566"/>
      <c r="R17" s="1566">
        <f>G17</f>
        <v>0</v>
      </c>
      <c r="S17" s="1566"/>
    </row>
    <row r="18" spans="1:19" ht="29" x14ac:dyDescent="0.35">
      <c r="A18" s="564" t="s">
        <v>1004</v>
      </c>
      <c r="B18" s="1830" t="s">
        <v>8766</v>
      </c>
      <c r="C18" s="1830"/>
      <c r="E18" s="566" t="s">
        <v>7778</v>
      </c>
      <c r="F18" s="1995"/>
      <c r="G18" s="1564">
        <f>IF(' Preparation'!$F$21=0,0,(F18*(' Preparation'!$F$24/' Preparation'!$F$21)))</f>
        <v>0</v>
      </c>
      <c r="J18" s="1566"/>
      <c r="K18" s="1566"/>
      <c r="L18" s="1566"/>
      <c r="M18" s="1566"/>
      <c r="N18" s="1566"/>
      <c r="O18" s="1566"/>
      <c r="P18" s="1566"/>
      <c r="Q18" s="1566"/>
      <c r="R18" s="1566">
        <f>G18</f>
        <v>0</v>
      </c>
      <c r="S18" s="1566"/>
    </row>
    <row r="19" spans="1:19" ht="29" x14ac:dyDescent="0.35">
      <c r="A19" s="564" t="s">
        <v>1005</v>
      </c>
      <c r="B19" s="1830" t="s">
        <v>8761</v>
      </c>
      <c r="C19" s="1830"/>
      <c r="E19" s="566" t="s">
        <v>7778</v>
      </c>
      <c r="F19" s="1995"/>
      <c r="G19" s="1564">
        <f>IF(' Preparation'!$F$21=0,0,(F19*(' Preparation'!$F$24/' Preparation'!$F$21)))</f>
        <v>0</v>
      </c>
      <c r="I19" s="556">
        <v>1</v>
      </c>
      <c r="J19" s="1566">
        <f>IF($I19=1,0,IF($I19=2,$G19,0))</f>
        <v>0</v>
      </c>
      <c r="K19" s="1566">
        <f>IF($I19=1,0,IF($I19=3,$G19,0))</f>
        <v>0</v>
      </c>
      <c r="L19" s="1566">
        <f>IF($I19=1,0,IF($I19=4,$G19,0))</f>
        <v>0</v>
      </c>
      <c r="M19" s="1566">
        <f>IF($I19=1,0,IF($I19=5,$G19,0))</f>
        <v>0</v>
      </c>
      <c r="N19" s="1566">
        <f>IF($I19=1,0,IF($I19=6,$G19,0))</f>
        <v>0</v>
      </c>
      <c r="O19" s="1566">
        <f>IF($I19=1,0,IF($I19=7,$G19,0))</f>
        <v>0</v>
      </c>
      <c r="P19" s="1566">
        <f>IF($I19=1,0,IF($I19=8,$G19,0))</f>
        <v>0</v>
      </c>
      <c r="Q19" s="1566">
        <f>IF($I19=1,0,IF($I19=9,$G19,0))</f>
        <v>0</v>
      </c>
      <c r="R19" s="1566">
        <f>IF($I19=1,0,IF($I19=10,$G19,0))</f>
        <v>0</v>
      </c>
      <c r="S19" s="1566">
        <f>IF($I19=1,0,IF($I19=11,$G19,0))</f>
        <v>0</v>
      </c>
    </row>
    <row r="20" spans="1:19" ht="29" x14ac:dyDescent="0.35">
      <c r="A20" s="564" t="s">
        <v>1006</v>
      </c>
      <c r="B20" s="1830" t="s">
        <v>8767</v>
      </c>
      <c r="C20" s="1830"/>
      <c r="E20" s="566" t="s">
        <v>7778</v>
      </c>
      <c r="F20" s="1995"/>
      <c r="G20" s="1564">
        <f>IF(' Preparation'!$F$21=0,0,(F20*(' Preparation'!$F$24/' Preparation'!$F$21)))</f>
        <v>0</v>
      </c>
      <c r="J20" s="1566"/>
      <c r="K20" s="1566"/>
      <c r="L20" s="1566"/>
      <c r="M20" s="1566"/>
      <c r="N20" s="1566"/>
      <c r="O20" s="1566"/>
      <c r="P20" s="1566"/>
      <c r="Q20" s="1566">
        <f>G20</f>
        <v>0</v>
      </c>
      <c r="R20" s="1566"/>
      <c r="S20" s="1566"/>
    </row>
    <row r="21" spans="1:19" ht="43.5" x14ac:dyDescent="0.35">
      <c r="A21" s="564" t="s">
        <v>1007</v>
      </c>
      <c r="B21" s="1830" t="s">
        <v>8768</v>
      </c>
      <c r="C21" s="1830"/>
      <c r="D21" s="556" t="s">
        <v>1028</v>
      </c>
      <c r="E21" s="566" t="s">
        <v>7778</v>
      </c>
      <c r="F21" s="1995"/>
      <c r="G21" s="1564">
        <f>IF(' Preparation'!$F$21=0,0,(F21*(' Preparation'!$F$24/' Preparation'!$F$21)))</f>
        <v>0</v>
      </c>
      <c r="J21" s="1566"/>
      <c r="K21" s="1566"/>
      <c r="L21" s="1566"/>
      <c r="M21" s="1566"/>
      <c r="N21" s="1566"/>
      <c r="O21" s="1566"/>
      <c r="P21" s="1566">
        <f>G21</f>
        <v>0</v>
      </c>
      <c r="Q21" s="1566"/>
      <c r="R21" s="1566"/>
      <c r="S21" s="1566"/>
    </row>
    <row r="22" spans="1:19" ht="58" x14ac:dyDescent="0.35">
      <c r="A22" s="564" t="s">
        <v>1008</v>
      </c>
      <c r="B22" s="1830" t="s">
        <v>1025</v>
      </c>
      <c r="C22" s="1830"/>
      <c r="D22" s="556" t="s">
        <v>1027</v>
      </c>
      <c r="E22" s="566" t="s">
        <v>7778</v>
      </c>
      <c r="F22" s="1995"/>
      <c r="G22" s="1564">
        <f>IF(' Preparation'!$F$21=0,0,(F22*(' Preparation'!$F$24/' Preparation'!$F$21)))</f>
        <v>0</v>
      </c>
      <c r="J22" s="1566"/>
      <c r="K22" s="1566"/>
      <c r="L22" s="1566"/>
      <c r="M22" s="1566"/>
      <c r="N22" s="1566"/>
      <c r="O22" s="1566"/>
      <c r="P22" s="1566">
        <f>G22</f>
        <v>0</v>
      </c>
      <c r="Q22" s="1566"/>
      <c r="R22" s="1566"/>
      <c r="S22" s="1566"/>
    </row>
    <row r="23" spans="1:19" ht="58" x14ac:dyDescent="0.35">
      <c r="A23" s="564" t="s">
        <v>1009</v>
      </c>
      <c r="B23" s="1830" t="s">
        <v>7712</v>
      </c>
      <c r="C23" s="1830"/>
      <c r="D23" s="556" t="s">
        <v>7713</v>
      </c>
      <c r="E23" s="566" t="s">
        <v>7778</v>
      </c>
      <c r="F23" s="1995"/>
      <c r="G23" s="1564">
        <f>IF(' Preparation'!$F$21=0,0,(F23*(' Preparation'!$F$24/' Preparation'!$F$21)))</f>
        <v>0</v>
      </c>
      <c r="J23" s="1566"/>
      <c r="K23" s="1566"/>
      <c r="L23" s="1566"/>
      <c r="M23" s="1566"/>
      <c r="N23" s="1566"/>
      <c r="O23" s="1566"/>
      <c r="P23" s="1566">
        <f>G23</f>
        <v>0</v>
      </c>
      <c r="Q23" s="1566"/>
      <c r="R23" s="1566"/>
      <c r="S23" s="1566"/>
    </row>
    <row r="24" spans="1:19" ht="72.5" x14ac:dyDescent="0.35">
      <c r="A24" s="564" t="s">
        <v>1010</v>
      </c>
      <c r="B24" s="1830" t="s">
        <v>8760</v>
      </c>
      <c r="C24" s="1830"/>
      <c r="D24" s="556" t="s">
        <v>1026</v>
      </c>
      <c r="E24" s="566" t="s">
        <v>7778</v>
      </c>
      <c r="F24" s="1995"/>
      <c r="G24" s="1564">
        <f>IF(' Preparation'!$F$21=0,0,(F24*(' Preparation'!$F$24/' Preparation'!$F$21)))</f>
        <v>0</v>
      </c>
      <c r="I24" s="556">
        <v>1</v>
      </c>
      <c r="J24" s="1566">
        <f>IF($I24=1,0,IF($I24=2,$G24,0))</f>
        <v>0</v>
      </c>
      <c r="K24" s="1566">
        <f>IF($I24=1,0,IF($I24=3,$G24,0))</f>
        <v>0</v>
      </c>
      <c r="L24" s="1566">
        <f>IF($I24=1,0,IF($I24=4,$G24,0))</f>
        <v>0</v>
      </c>
      <c r="M24" s="1566">
        <f>IF($I24=1,0,IF($I24=5,$G24,0))</f>
        <v>0</v>
      </c>
      <c r="N24" s="1566">
        <f>IF($I24=1,0,IF($I24=6,$G24,0))</f>
        <v>0</v>
      </c>
      <c r="O24" s="1566">
        <f>IF($I24=1,0,IF($I24=7,$G24,0))</f>
        <v>0</v>
      </c>
      <c r="P24" s="1566">
        <f>IF($I24=1,0,IF($I24=8,$G24,0))</f>
        <v>0</v>
      </c>
      <c r="Q24" s="1566">
        <f>IF($I24=1,0,IF($I24=9,$G24,0))</f>
        <v>0</v>
      </c>
      <c r="R24" s="1566">
        <f>IF($I24=1,0,IF($I24=10,$G24,0))</f>
        <v>0</v>
      </c>
      <c r="S24" s="1566">
        <f>IF($I24=1,0,IF($I24=11,$G24,0))</f>
        <v>0</v>
      </c>
    </row>
    <row r="25" spans="1:19" ht="43" customHeight="1" x14ac:dyDescent="0.35">
      <c r="A25" s="564" t="s">
        <v>1011</v>
      </c>
      <c r="B25" s="1830" t="s">
        <v>8759</v>
      </c>
      <c r="C25" s="1830"/>
      <c r="E25" s="566" t="s">
        <v>7778</v>
      </c>
      <c r="F25" s="1995"/>
      <c r="G25" s="1564">
        <f>IF(' Preparation'!$F$21=0,0,(F25*(' Preparation'!$F$24/' Preparation'!$F$21)))</f>
        <v>0</v>
      </c>
      <c r="I25" s="556">
        <v>1</v>
      </c>
      <c r="J25" s="1566">
        <f>IF($I25=1,0,IF($I25=2,$G25,0))</f>
        <v>0</v>
      </c>
      <c r="K25" s="1566">
        <f>IF($I25=1,0,IF($I25=3,$G25,0))</f>
        <v>0</v>
      </c>
      <c r="L25" s="1566">
        <f>IF($I25=1,0,IF($I25=4,$G25,0))</f>
        <v>0</v>
      </c>
      <c r="M25" s="1566">
        <f>IF($I25=1,0,IF($I25=5,$G25,0))</f>
        <v>0</v>
      </c>
      <c r="N25" s="1566">
        <f>IF($I25=1,0,IF($I25=6,$G25,0))</f>
        <v>0</v>
      </c>
      <c r="O25" s="1566">
        <f>IF($I25=1,0,IF($I25=7,$G25,0))</f>
        <v>0</v>
      </c>
      <c r="P25" s="1566">
        <f>IF($I25=1,0,IF($I25=8,$G25,0))</f>
        <v>0</v>
      </c>
      <c r="Q25" s="1566">
        <f>IF($I25=1,0,IF($I25=9,$G25,0))</f>
        <v>0</v>
      </c>
      <c r="R25" s="1566">
        <f>IF($I25=1,0,IF($I25=10,$G25,0))</f>
        <v>0</v>
      </c>
      <c r="S25" s="1566">
        <f>IF($I25=1,0,IF($I25=11,$G25,0))</f>
        <v>0</v>
      </c>
    </row>
    <row r="26" spans="1:19" ht="87" x14ac:dyDescent="0.35">
      <c r="A26" s="564" t="s">
        <v>1012</v>
      </c>
      <c r="B26" s="1830" t="s">
        <v>8769</v>
      </c>
      <c r="C26" s="1830"/>
      <c r="D26" s="556" t="s">
        <v>95</v>
      </c>
      <c r="E26" s="566" t="s">
        <v>7778</v>
      </c>
      <c r="F26" s="1995"/>
      <c r="G26" s="1564">
        <f>IF(' Preparation'!$F$21=0,0,(F26*(' Preparation'!$F$24/' Preparation'!$F$21)))</f>
        <v>0</v>
      </c>
      <c r="I26" s="556">
        <v>1</v>
      </c>
      <c r="J26" s="1566">
        <f>IF($I26=1,0,IF($I26=2,$G26,0))</f>
        <v>0</v>
      </c>
      <c r="K26" s="1566">
        <f>IF($I26=1,0,IF($I26=3,$G26,0))</f>
        <v>0</v>
      </c>
      <c r="L26" s="1566">
        <f>IF($I26=1,0,IF($I26=4,$G26,0))</f>
        <v>0</v>
      </c>
      <c r="M26" s="1566">
        <f>IF($I26=1,0,IF($I26=5,$G26,0))</f>
        <v>0</v>
      </c>
      <c r="N26" s="1566">
        <f>IF($I26=1,0,IF($I26=6,$G26,0))</f>
        <v>0</v>
      </c>
      <c r="O26" s="1566">
        <f>IF($I26=1,0,IF($I26=7,$G26,0))</f>
        <v>0</v>
      </c>
      <c r="P26" s="1566">
        <f>IF($I26=1,0,IF($I26=8,$G26,0))</f>
        <v>0</v>
      </c>
      <c r="Q26" s="1566">
        <f>IF($I26=1,0,IF($I26=9,$G26,0))</f>
        <v>0</v>
      </c>
      <c r="R26" s="1566">
        <f>IF($I26=1,0,IF($I26=10,$G26,0))</f>
        <v>0</v>
      </c>
      <c r="S26" s="1566">
        <f>IF($I26=1,0,IF($I26=11,$G26,0))</f>
        <v>0</v>
      </c>
    </row>
    <row r="27" spans="1:19" ht="29" x14ac:dyDescent="0.35">
      <c r="A27" s="564" t="s">
        <v>1013</v>
      </c>
      <c r="B27" s="1830" t="s">
        <v>8770</v>
      </c>
      <c r="C27" s="1830"/>
      <c r="E27" s="566" t="s">
        <v>7778</v>
      </c>
      <c r="F27" s="1995"/>
      <c r="G27" s="1564">
        <f>IF(' Preparation'!$F$21=0,0,(F27*(' Preparation'!$F$24/' Preparation'!$F$21)))</f>
        <v>0</v>
      </c>
      <c r="J27" s="1566"/>
      <c r="K27" s="1566"/>
      <c r="L27" s="1566"/>
      <c r="M27" s="1566"/>
      <c r="N27" s="1566"/>
      <c r="O27" s="1566"/>
      <c r="P27" s="1566"/>
      <c r="Q27" s="1566">
        <f>G27</f>
        <v>0</v>
      </c>
      <c r="R27" s="1566"/>
      <c r="S27" s="1566"/>
    </row>
    <row r="28" spans="1:19" ht="72.5" x14ac:dyDescent="0.35">
      <c r="A28" s="564" t="s">
        <v>1014</v>
      </c>
      <c r="B28" s="1830" t="s">
        <v>101</v>
      </c>
      <c r="C28" s="1830"/>
      <c r="D28" s="556" t="s">
        <v>100</v>
      </c>
      <c r="E28" s="566" t="s">
        <v>7778</v>
      </c>
      <c r="F28" s="1995"/>
      <c r="G28" s="1564">
        <f>IF(' Preparation'!$F$21=0,0,(F28*(' Preparation'!$F$24/' Preparation'!$F$21)))</f>
        <v>0</v>
      </c>
      <c r="J28" s="1566"/>
      <c r="K28" s="1566"/>
      <c r="L28" s="1566"/>
      <c r="M28" s="1566"/>
      <c r="N28" s="1566"/>
      <c r="O28" s="1566"/>
      <c r="P28" s="1566"/>
      <c r="Q28" s="1566"/>
      <c r="R28" s="1566">
        <f>G28</f>
        <v>0</v>
      </c>
      <c r="S28" s="1566"/>
    </row>
    <row r="29" spans="1:19" ht="43.5" x14ac:dyDescent="0.35">
      <c r="A29" s="564" t="s">
        <v>1015</v>
      </c>
      <c r="B29" s="1830" t="s">
        <v>7710</v>
      </c>
      <c r="C29" s="1830"/>
      <c r="D29" s="556" t="s">
        <v>1034</v>
      </c>
      <c r="E29" s="566" t="s">
        <v>7778</v>
      </c>
      <c r="F29" s="1995"/>
      <c r="G29" s="1564">
        <f>IF(' Preparation'!$F$21=0,0,(F29*(' Preparation'!$F$24/' Preparation'!$F$21)))</f>
        <v>0</v>
      </c>
      <c r="J29" s="1566">
        <f>G29</f>
        <v>0</v>
      </c>
      <c r="K29" s="1566"/>
      <c r="L29" s="1566"/>
      <c r="M29" s="1566"/>
      <c r="N29" s="1566"/>
      <c r="O29" s="1566"/>
      <c r="P29" s="1566"/>
      <c r="Q29" s="1566"/>
      <c r="R29" s="1566"/>
      <c r="S29" s="1566"/>
    </row>
    <row r="30" spans="1:19" ht="29" x14ac:dyDescent="0.35">
      <c r="A30" s="564" t="s">
        <v>1016</v>
      </c>
      <c r="B30" s="1830" t="s">
        <v>96</v>
      </c>
      <c r="C30" s="1830"/>
      <c r="E30" s="566" t="s">
        <v>7778</v>
      </c>
      <c r="F30" s="1995"/>
      <c r="G30" s="1564">
        <f>IF(' Preparation'!$F$21=0,0,(F30*(' Preparation'!$F$24/' Preparation'!$F$21)))</f>
        <v>0</v>
      </c>
      <c r="J30" s="1566">
        <f>G30</f>
        <v>0</v>
      </c>
      <c r="K30" s="1566"/>
      <c r="L30" s="1566"/>
      <c r="M30" s="1566"/>
      <c r="N30" s="1566"/>
      <c r="O30" s="1566"/>
      <c r="P30" s="1566"/>
      <c r="Q30" s="1566"/>
      <c r="R30" s="1566"/>
      <c r="S30" s="1566"/>
    </row>
    <row r="31" spans="1:19" ht="29" x14ac:dyDescent="0.35">
      <c r="A31" s="564" t="s">
        <v>1017</v>
      </c>
      <c r="B31" s="1830" t="s">
        <v>97</v>
      </c>
      <c r="C31" s="1830"/>
      <c r="E31" s="566" t="s">
        <v>7778</v>
      </c>
      <c r="F31" s="1995"/>
      <c r="G31" s="1564">
        <f>IF(' Preparation'!$F$21=0,0,(F31*(' Preparation'!$F$24/' Preparation'!$F$21)))</f>
        <v>0</v>
      </c>
      <c r="J31" s="1566">
        <f>G31</f>
        <v>0</v>
      </c>
      <c r="K31" s="1566"/>
      <c r="L31" s="1566"/>
      <c r="M31" s="1566"/>
      <c r="N31" s="1566"/>
      <c r="O31" s="1566"/>
      <c r="P31" s="1566"/>
      <c r="Q31" s="1566"/>
      <c r="R31" s="1566"/>
      <c r="S31" s="1566"/>
    </row>
    <row r="32" spans="1:19" ht="29" x14ac:dyDescent="0.35">
      <c r="A32" s="564" t="s">
        <v>1035</v>
      </c>
      <c r="B32" s="1830" t="s">
        <v>7711</v>
      </c>
      <c r="C32" s="1830"/>
      <c r="E32" s="566" t="s">
        <v>7778</v>
      </c>
      <c r="F32" s="1995"/>
      <c r="G32" s="1564">
        <f>IF(' Preparation'!$F$21=0,0,(F32*(' Preparation'!$F$24/' Preparation'!$F$21)))</f>
        <v>0</v>
      </c>
      <c r="J32" s="1566"/>
      <c r="K32" s="1566"/>
      <c r="L32" s="1566"/>
      <c r="M32" s="1566"/>
      <c r="N32" s="1566">
        <f>G32</f>
        <v>0</v>
      </c>
      <c r="O32" s="1566"/>
      <c r="P32" s="1566"/>
      <c r="Q32" s="1566"/>
      <c r="R32" s="1566"/>
      <c r="S32" s="1566"/>
    </row>
    <row r="33" spans="1:19" ht="43.5" x14ac:dyDescent="0.35">
      <c r="A33" s="564" t="s">
        <v>7714</v>
      </c>
      <c r="B33" s="1830" t="s">
        <v>98</v>
      </c>
      <c r="C33" s="1830"/>
      <c r="D33" s="556" t="s">
        <v>99</v>
      </c>
      <c r="E33" s="566" t="s">
        <v>7778</v>
      </c>
      <c r="F33" s="1995"/>
      <c r="G33" s="1564">
        <f>IF(' Preparation'!$F$21=0,0,(F33*(' Preparation'!$F$24/' Preparation'!$F$21)))</f>
        <v>0</v>
      </c>
      <c r="J33" s="1566">
        <f>G33</f>
        <v>0</v>
      </c>
      <c r="K33" s="1566"/>
      <c r="L33" s="1566"/>
      <c r="M33" s="1566"/>
      <c r="N33" s="1566"/>
      <c r="O33" s="1566"/>
      <c r="P33" s="1566"/>
      <c r="Q33" s="1566"/>
      <c r="R33" s="1566"/>
      <c r="S33" s="1566"/>
    </row>
    <row r="34" spans="1:19" ht="15" thickBot="1" x14ac:dyDescent="0.4">
      <c r="A34" s="556"/>
      <c r="B34" s="556"/>
    </row>
    <row r="35" spans="1:19" ht="30" thickTop="1" thickBot="1" x14ac:dyDescent="0.4">
      <c r="A35" s="564" t="s">
        <v>8218</v>
      </c>
      <c r="B35" s="1831" t="s">
        <v>1036</v>
      </c>
      <c r="C35" s="1831"/>
      <c r="E35" s="566" t="s">
        <v>8459</v>
      </c>
      <c r="G35" s="734">
        <f>SUM($G4:$G33)</f>
        <v>0</v>
      </c>
      <c r="J35" s="1567">
        <f t="shared" ref="J35:S35" si="1">SUM($G4:$G33)</f>
        <v>0</v>
      </c>
      <c r="K35" s="1567">
        <f t="shared" si="1"/>
        <v>0</v>
      </c>
      <c r="L35" s="1567">
        <f t="shared" si="1"/>
        <v>0</v>
      </c>
      <c r="M35" s="1567">
        <f t="shared" si="1"/>
        <v>0</v>
      </c>
      <c r="N35" s="1567">
        <f t="shared" si="1"/>
        <v>0</v>
      </c>
      <c r="O35" s="1567">
        <f t="shared" si="1"/>
        <v>0</v>
      </c>
      <c r="P35" s="1567">
        <f t="shared" si="1"/>
        <v>0</v>
      </c>
      <c r="Q35" s="1567">
        <f t="shared" si="1"/>
        <v>0</v>
      </c>
      <c r="R35" s="1567">
        <f t="shared" si="1"/>
        <v>0</v>
      </c>
      <c r="S35" s="1567">
        <f t="shared" si="1"/>
        <v>0</v>
      </c>
    </row>
    <row r="36" spans="1:19" ht="15" thickTop="1" x14ac:dyDescent="0.35"/>
  </sheetData>
  <sheetProtection algorithmName="SHA-512" hashValue="2zyZ/A6chn5RH853NJC8CuG+mwtEgHWU/twEB2T6iGsBF/Gfo9YTlb5nxteEMjVh/w2cO37sB+oICzUqoZ2KTg==" saltValue="plJy5JDqs8gsn1h3l9tYfw==" spinCount="100000" sheet="1" objects="1" scenarios="1"/>
  <mergeCells count="38">
    <mergeCell ref="Y2:AA2"/>
    <mergeCell ref="Z1:AA1"/>
    <mergeCell ref="B28:C28"/>
    <mergeCell ref="B27:C27"/>
    <mergeCell ref="B29:C29"/>
    <mergeCell ref="B31:C31"/>
    <mergeCell ref="B13:C13"/>
    <mergeCell ref="B23:C23"/>
    <mergeCell ref="B26:C26"/>
    <mergeCell ref="B25:C25"/>
    <mergeCell ref="B11:C11"/>
    <mergeCell ref="B19:C19"/>
    <mergeCell ref="B24:C24"/>
    <mergeCell ref="B17:C17"/>
    <mergeCell ref="B18:C18"/>
    <mergeCell ref="B16:C16"/>
    <mergeCell ref="J2:S2"/>
    <mergeCell ref="B33:C33"/>
    <mergeCell ref="B30:C30"/>
    <mergeCell ref="B35:C35"/>
    <mergeCell ref="B1:C1"/>
    <mergeCell ref="B4:C4"/>
    <mergeCell ref="B20:C20"/>
    <mergeCell ref="B21:C21"/>
    <mergeCell ref="B9:C9"/>
    <mergeCell ref="B5:C5"/>
    <mergeCell ref="B6:C6"/>
    <mergeCell ref="B22:C22"/>
    <mergeCell ref="B12:C12"/>
    <mergeCell ref="B2:C2"/>
    <mergeCell ref="B14:C14"/>
    <mergeCell ref="B15:C15"/>
    <mergeCell ref="B32:C32"/>
    <mergeCell ref="D1:E1"/>
    <mergeCell ref="B7:C7"/>
    <mergeCell ref="B8:C8"/>
    <mergeCell ref="B10:C10"/>
    <mergeCell ref="C3:G3"/>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138243" r:id="rId4" name="Drop Down 3">
              <controlPr defaultSize="0" autoLine="0" autoPict="0">
                <anchor moveWithCells="1">
                  <from>
                    <xdr:col>7</xdr:col>
                    <xdr:colOff>876300</xdr:colOff>
                    <xdr:row>8</xdr:row>
                    <xdr:rowOff>25400</xdr:rowOff>
                  </from>
                  <to>
                    <xdr:col>9</xdr:col>
                    <xdr:colOff>12700</xdr:colOff>
                    <xdr:row>9</xdr:row>
                    <xdr:rowOff>12700</xdr:rowOff>
                  </to>
                </anchor>
              </controlPr>
            </control>
          </mc:Choice>
        </mc:AlternateContent>
        <mc:AlternateContent xmlns:mc="http://schemas.openxmlformats.org/markup-compatibility/2006">
          <mc:Choice Requires="x14">
            <control shapeId="138244" r:id="rId5" name="Drop Down 4">
              <controlPr defaultSize="0" autoLine="0" autoPict="0">
                <anchor moveWithCells="1">
                  <from>
                    <xdr:col>7</xdr:col>
                    <xdr:colOff>876300</xdr:colOff>
                    <xdr:row>18</xdr:row>
                    <xdr:rowOff>12700</xdr:rowOff>
                  </from>
                  <to>
                    <xdr:col>9</xdr:col>
                    <xdr:colOff>12700</xdr:colOff>
                    <xdr:row>19</xdr:row>
                    <xdr:rowOff>0</xdr:rowOff>
                  </to>
                </anchor>
              </controlPr>
            </control>
          </mc:Choice>
        </mc:AlternateContent>
        <mc:AlternateContent xmlns:mc="http://schemas.openxmlformats.org/markup-compatibility/2006">
          <mc:Choice Requires="x14">
            <control shapeId="138245" r:id="rId6" name="Drop Down 5">
              <controlPr defaultSize="0" autoLine="0" autoPict="0">
                <anchor moveWithCells="1">
                  <from>
                    <xdr:col>7</xdr:col>
                    <xdr:colOff>876300</xdr:colOff>
                    <xdr:row>23</xdr:row>
                    <xdr:rowOff>12700</xdr:rowOff>
                  </from>
                  <to>
                    <xdr:col>9</xdr:col>
                    <xdr:colOff>12700</xdr:colOff>
                    <xdr:row>23</xdr:row>
                    <xdr:rowOff>762000</xdr:rowOff>
                  </to>
                </anchor>
              </controlPr>
            </control>
          </mc:Choice>
        </mc:AlternateContent>
        <mc:AlternateContent xmlns:mc="http://schemas.openxmlformats.org/markup-compatibility/2006">
          <mc:Choice Requires="x14">
            <control shapeId="138246" r:id="rId7" name="Drop Down 6">
              <controlPr defaultSize="0" autoLine="0" autoPict="0">
                <anchor moveWithCells="1">
                  <from>
                    <xdr:col>7</xdr:col>
                    <xdr:colOff>876300</xdr:colOff>
                    <xdr:row>24</xdr:row>
                    <xdr:rowOff>12700</xdr:rowOff>
                  </from>
                  <to>
                    <xdr:col>9</xdr:col>
                    <xdr:colOff>0</xdr:colOff>
                    <xdr:row>25</xdr:row>
                    <xdr:rowOff>25400</xdr:rowOff>
                  </to>
                </anchor>
              </controlPr>
            </control>
          </mc:Choice>
        </mc:AlternateContent>
        <mc:AlternateContent xmlns:mc="http://schemas.openxmlformats.org/markup-compatibility/2006">
          <mc:Choice Requires="x14">
            <control shapeId="138247" r:id="rId8" name="Drop Down 7">
              <controlPr defaultSize="0" autoLine="0" autoPict="0">
                <anchor moveWithCells="1">
                  <from>
                    <xdr:col>7</xdr:col>
                    <xdr:colOff>876300</xdr:colOff>
                    <xdr:row>25</xdr:row>
                    <xdr:rowOff>12700</xdr:rowOff>
                  </from>
                  <to>
                    <xdr:col>9</xdr:col>
                    <xdr:colOff>0</xdr:colOff>
                    <xdr:row>25</xdr:row>
                    <xdr:rowOff>647700</xdr:rowOff>
                  </to>
                </anchor>
              </controlPr>
            </control>
          </mc:Choice>
        </mc:AlternateContent>
        <mc:AlternateContent xmlns:mc="http://schemas.openxmlformats.org/markup-compatibility/2006">
          <mc:Choice Requires="x14">
            <control shapeId="138303" r:id="rId9" name="Drop Down 63">
              <controlPr defaultSize="0" autoLine="0" autoPict="0">
                <anchor moveWithCells="1">
                  <from>
                    <xdr:col>24</xdr:col>
                    <xdr:colOff>12700</xdr:colOff>
                    <xdr:row>5</xdr:row>
                    <xdr:rowOff>0</xdr:rowOff>
                  </from>
                  <to>
                    <xdr:col>25</xdr:col>
                    <xdr:colOff>12700</xdr:colOff>
                    <xdr:row>5</xdr:row>
                    <xdr:rowOff>520700</xdr:rowOff>
                  </to>
                </anchor>
              </controlPr>
            </control>
          </mc:Choice>
        </mc:AlternateContent>
        <mc:AlternateContent xmlns:mc="http://schemas.openxmlformats.org/markup-compatibility/2006">
          <mc:Choice Requires="x14">
            <control shapeId="138304" r:id="rId10" name="Drop Down 64">
              <controlPr defaultSize="0" autoLine="0" autoPict="0">
                <anchor moveWithCells="1">
                  <from>
                    <xdr:col>23</xdr:col>
                    <xdr:colOff>508000</xdr:colOff>
                    <xdr:row>7</xdr:row>
                    <xdr:rowOff>12700</xdr:rowOff>
                  </from>
                  <to>
                    <xdr:col>25</xdr:col>
                    <xdr:colOff>0</xdr:colOff>
                    <xdr:row>8</xdr:row>
                    <xdr:rowOff>0</xdr:rowOff>
                  </to>
                </anchor>
              </controlPr>
            </control>
          </mc:Choice>
        </mc:AlternateContent>
        <mc:AlternateContent xmlns:mc="http://schemas.openxmlformats.org/markup-compatibility/2006">
          <mc:Choice Requires="x14">
            <control shapeId="138305" r:id="rId11" name="Drop Down 65">
              <controlPr defaultSize="0" autoLine="0" autoPict="0">
                <anchor moveWithCells="1">
                  <from>
                    <xdr:col>24</xdr:col>
                    <xdr:colOff>12700</xdr:colOff>
                    <xdr:row>8</xdr:row>
                    <xdr:rowOff>12700</xdr:rowOff>
                  </from>
                  <to>
                    <xdr:col>25</xdr:col>
                    <xdr:colOff>12700</xdr:colOff>
                    <xdr:row>9</xdr:row>
                    <xdr:rowOff>0</xdr:rowOff>
                  </to>
                </anchor>
              </controlPr>
            </control>
          </mc:Choice>
        </mc:AlternateContent>
        <mc:AlternateContent xmlns:mc="http://schemas.openxmlformats.org/markup-compatibility/2006">
          <mc:Choice Requires="x14">
            <control shapeId="138306" r:id="rId12" name="Drop Down 66">
              <controlPr defaultSize="0" autoLine="0" autoPict="0">
                <anchor moveWithCells="1">
                  <from>
                    <xdr:col>24</xdr:col>
                    <xdr:colOff>12700</xdr:colOff>
                    <xdr:row>9</xdr:row>
                    <xdr:rowOff>0</xdr:rowOff>
                  </from>
                  <to>
                    <xdr:col>25</xdr:col>
                    <xdr:colOff>12700</xdr:colOff>
                    <xdr:row>9</xdr:row>
                    <xdr:rowOff>368300</xdr:rowOff>
                  </to>
                </anchor>
              </controlPr>
            </control>
          </mc:Choice>
        </mc:AlternateContent>
        <mc:AlternateContent xmlns:mc="http://schemas.openxmlformats.org/markup-compatibility/2006">
          <mc:Choice Requires="x14">
            <control shapeId="138307" r:id="rId13" name="Drop Down 67">
              <controlPr defaultSize="0" autoLine="0" autoPict="0">
                <anchor moveWithCells="1">
                  <from>
                    <xdr:col>24</xdr:col>
                    <xdr:colOff>12700</xdr:colOff>
                    <xdr:row>9</xdr:row>
                    <xdr:rowOff>381000</xdr:rowOff>
                  </from>
                  <to>
                    <xdr:col>25</xdr:col>
                    <xdr:colOff>12700</xdr:colOff>
                    <xdr:row>11</xdr:row>
                    <xdr:rowOff>12700</xdr:rowOff>
                  </to>
                </anchor>
              </controlPr>
            </control>
          </mc:Choice>
        </mc:AlternateContent>
        <mc:AlternateContent xmlns:mc="http://schemas.openxmlformats.org/markup-compatibility/2006">
          <mc:Choice Requires="x14">
            <control shapeId="138308" r:id="rId14" name="Drop Down 68">
              <controlPr defaultSize="0" autoLine="0" autoPict="0">
                <anchor moveWithCells="1">
                  <from>
                    <xdr:col>24</xdr:col>
                    <xdr:colOff>12700</xdr:colOff>
                    <xdr:row>11</xdr:row>
                    <xdr:rowOff>12700</xdr:rowOff>
                  </from>
                  <to>
                    <xdr:col>25</xdr:col>
                    <xdr:colOff>12700</xdr:colOff>
                    <xdr:row>12</xdr:row>
                    <xdr:rowOff>12700</xdr:rowOff>
                  </to>
                </anchor>
              </controlPr>
            </control>
          </mc:Choice>
        </mc:AlternateContent>
        <mc:AlternateContent xmlns:mc="http://schemas.openxmlformats.org/markup-compatibility/2006">
          <mc:Choice Requires="x14">
            <control shapeId="138309" r:id="rId15" name="Drop Down 69">
              <controlPr defaultSize="0" autoLine="0" autoPict="0">
                <anchor moveWithCells="1">
                  <from>
                    <xdr:col>24</xdr:col>
                    <xdr:colOff>12700</xdr:colOff>
                    <xdr:row>12</xdr:row>
                    <xdr:rowOff>12700</xdr:rowOff>
                  </from>
                  <to>
                    <xdr:col>25</xdr:col>
                    <xdr:colOff>12700</xdr:colOff>
                    <xdr:row>13</xdr:row>
                    <xdr:rowOff>12700</xdr:rowOff>
                  </to>
                </anchor>
              </controlPr>
            </control>
          </mc:Choice>
        </mc:AlternateContent>
        <mc:AlternateContent xmlns:mc="http://schemas.openxmlformats.org/markup-compatibility/2006">
          <mc:Choice Requires="x14">
            <control shapeId="138310" r:id="rId16" name="Drop Down 70">
              <controlPr defaultSize="0" autoLine="0" autoPict="0">
                <anchor moveWithCells="1">
                  <from>
                    <xdr:col>24</xdr:col>
                    <xdr:colOff>12700</xdr:colOff>
                    <xdr:row>3</xdr:row>
                    <xdr:rowOff>0</xdr:rowOff>
                  </from>
                  <to>
                    <xdr:col>25</xdr:col>
                    <xdr:colOff>12700</xdr:colOff>
                    <xdr:row>4</xdr:row>
                    <xdr:rowOff>0</xdr:rowOff>
                  </to>
                </anchor>
              </controlPr>
            </control>
          </mc:Choice>
        </mc:AlternateContent>
        <mc:AlternateContent xmlns:mc="http://schemas.openxmlformats.org/markup-compatibility/2006">
          <mc:Choice Requires="x14">
            <control shapeId="138311" r:id="rId17" name="Drop Down 71">
              <controlPr defaultSize="0" autoLine="0" autoPict="0">
                <anchor moveWithCells="1">
                  <from>
                    <xdr:col>24</xdr:col>
                    <xdr:colOff>12700</xdr:colOff>
                    <xdr:row>4</xdr:row>
                    <xdr:rowOff>0</xdr:rowOff>
                  </from>
                  <to>
                    <xdr:col>25</xdr:col>
                    <xdr:colOff>12700</xdr:colOff>
                    <xdr:row>4</xdr:row>
                    <xdr:rowOff>368300</xdr:rowOff>
                  </to>
                </anchor>
              </controlPr>
            </control>
          </mc:Choice>
        </mc:AlternateContent>
        <mc:AlternateContent xmlns:mc="http://schemas.openxmlformats.org/markup-compatibility/2006">
          <mc:Choice Requires="x14">
            <control shapeId="138312" r:id="rId18" name="Drop Down 72">
              <controlPr defaultSize="0" autoLine="0" autoPict="0">
                <anchor moveWithCells="1">
                  <from>
                    <xdr:col>24</xdr:col>
                    <xdr:colOff>12700</xdr:colOff>
                    <xdr:row>5</xdr:row>
                    <xdr:rowOff>533400</xdr:rowOff>
                  </from>
                  <to>
                    <xdr:col>25</xdr:col>
                    <xdr:colOff>12700</xdr:colOff>
                    <xdr:row>7</xdr:row>
                    <xdr:rowOff>12700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0">
    <tabColor rgb="FFFF0000"/>
  </sheetPr>
  <dimension ref="A1:BG194"/>
  <sheetViews>
    <sheetView zoomScale="80" zoomScaleNormal="80" workbookViewId="0"/>
  </sheetViews>
  <sheetFormatPr defaultColWidth="8.6328125" defaultRowHeight="14.5" x14ac:dyDescent="0.35"/>
  <cols>
    <col min="1" max="1" width="33.453125" style="205" customWidth="1"/>
    <col min="2" max="2" width="8.6328125" style="300"/>
    <col min="3" max="3" width="18.36328125" style="205" customWidth="1"/>
    <col min="4" max="4" width="16.36328125" style="210" customWidth="1"/>
    <col min="5" max="5" width="14.453125" style="211" customWidth="1"/>
    <col min="6" max="7" width="8.81640625" style="212" customWidth="1"/>
    <col min="8" max="8" width="8.81640625" style="1620" customWidth="1"/>
    <col min="9" max="9" width="9.6328125" style="213" customWidth="1"/>
    <col min="10" max="10" width="7.453125" style="208" customWidth="1"/>
    <col min="11" max="11" width="10.6328125" style="263" customWidth="1"/>
    <col min="12" max="12" width="12.81640625" style="361" customWidth="1"/>
    <col min="13" max="13" width="8.6328125" style="205"/>
    <col min="14" max="14" width="10.453125" style="205" customWidth="1"/>
    <col min="15" max="15" width="23" style="205" customWidth="1"/>
    <col min="16" max="16" width="16.36328125" style="205" customWidth="1"/>
    <col min="17" max="17" width="48.1796875" style="205" customWidth="1"/>
    <col min="18" max="18" width="10.1796875" style="205" customWidth="1"/>
    <col min="19" max="19" width="17.453125" style="216" customWidth="1"/>
    <col min="20" max="20" width="32.453125" style="205" customWidth="1"/>
    <col min="21" max="21" width="41" style="205" customWidth="1"/>
    <col min="22" max="22" width="45.36328125" style="205" customWidth="1"/>
    <col min="23" max="23" width="15" style="208" customWidth="1"/>
    <col min="24" max="24" width="8.453125" style="208" customWidth="1"/>
    <col min="25" max="25" width="40.36328125" style="251" customWidth="1"/>
    <col min="26" max="26" width="10.6328125" style="205" customWidth="1"/>
    <col min="27" max="27" width="20.453125" style="205" customWidth="1"/>
    <col min="28" max="28" width="37.453125" style="205" customWidth="1"/>
    <col min="29" max="29" width="10.1796875" style="205" customWidth="1"/>
    <col min="30" max="30" width="40.81640625" style="205" customWidth="1"/>
    <col min="31" max="31" width="13.81640625" style="205" customWidth="1"/>
    <col min="32" max="32" width="8.6328125" style="219"/>
    <col min="33" max="33" width="33.1796875" style="205" customWidth="1"/>
    <col min="34" max="34" width="13.81640625" style="205" customWidth="1"/>
    <col min="35" max="35" width="8.6328125" style="205"/>
    <col min="36" max="36" width="15.1796875" style="263" customWidth="1"/>
    <col min="37" max="37" width="9.1796875" style="205" customWidth="1"/>
    <col min="38" max="38" width="15.453125" style="205" customWidth="1"/>
    <col min="39" max="39" width="8.6328125" style="205"/>
    <col min="40" max="40" width="8.6328125" style="209"/>
    <col min="41" max="41" width="46.1796875" style="371" customWidth="1"/>
    <col min="42" max="42" width="18" style="209" customWidth="1"/>
    <col min="43" max="43" width="8.6328125" style="205"/>
    <col min="44" max="44" width="5.36328125" style="263" customWidth="1"/>
    <col min="45" max="45" width="46.453125" style="369" customWidth="1"/>
    <col min="46" max="46" width="11.1796875" style="205" customWidth="1"/>
    <col min="47" max="48" width="8.6328125" style="205"/>
    <col min="49" max="49" width="35.36328125" style="205" customWidth="1"/>
    <col min="50" max="50" width="8.6328125" style="205"/>
    <col min="51" max="51" width="33" style="205" customWidth="1"/>
    <col min="52" max="53" width="8.6328125" style="205"/>
    <col min="54" max="54" width="8.1796875" style="205" customWidth="1"/>
    <col min="55" max="55" width="17.453125" style="205" customWidth="1"/>
    <col min="56" max="56" width="8.6328125" style="205"/>
    <col min="57" max="57" width="55.453125" style="205" customWidth="1"/>
    <col min="58" max="58" width="14.6328125" style="205" customWidth="1"/>
    <col min="59" max="59" width="13.1796875" style="406" customWidth="1"/>
    <col min="60" max="16384" width="8.6328125" style="205"/>
  </cols>
  <sheetData>
    <row r="1" spans="1:59" ht="60" customHeight="1" x14ac:dyDescent="0.35">
      <c r="A1" s="362" t="s">
        <v>8415</v>
      </c>
      <c r="B1" s="298" t="s">
        <v>455</v>
      </c>
      <c r="C1" s="221" t="s">
        <v>672</v>
      </c>
      <c r="D1" s="222" t="s">
        <v>8910</v>
      </c>
      <c r="E1" s="223" t="s">
        <v>8908</v>
      </c>
      <c r="F1" s="224" t="s">
        <v>8907</v>
      </c>
      <c r="G1" s="224" t="s">
        <v>156</v>
      </c>
      <c r="H1" s="1616" t="s">
        <v>7743</v>
      </c>
      <c r="I1" s="226" t="s">
        <v>7756</v>
      </c>
      <c r="J1" s="227" t="s">
        <v>823</v>
      </c>
      <c r="K1" s="221" t="s">
        <v>8252</v>
      </c>
      <c r="L1" s="356" t="s">
        <v>8906</v>
      </c>
      <c r="M1" s="231" t="s">
        <v>8253</v>
      </c>
      <c r="N1" s="231" t="s">
        <v>678</v>
      </c>
      <c r="O1" s="231" t="s">
        <v>8254</v>
      </c>
      <c r="P1" s="231" t="s">
        <v>472</v>
      </c>
      <c r="Q1" s="233" t="s">
        <v>8255</v>
      </c>
      <c r="R1" s="233" t="s">
        <v>5863</v>
      </c>
      <c r="S1" s="234" t="s">
        <v>7452</v>
      </c>
      <c r="T1" s="236" t="s">
        <v>674</v>
      </c>
      <c r="U1" s="236" t="s">
        <v>8249</v>
      </c>
      <c r="V1" s="238" t="s">
        <v>25</v>
      </c>
      <c r="W1" s="239" t="s">
        <v>741</v>
      </c>
      <c r="X1" s="252"/>
      <c r="Y1" s="253" t="s">
        <v>7796</v>
      </c>
      <c r="Z1" s="254" t="s">
        <v>8250</v>
      </c>
      <c r="AA1" s="220" t="s">
        <v>788</v>
      </c>
      <c r="AB1" s="220" t="s">
        <v>782</v>
      </c>
      <c r="AC1" s="220" t="s">
        <v>8251</v>
      </c>
      <c r="AD1" s="255" t="s">
        <v>7051</v>
      </c>
      <c r="AE1" s="255" t="s">
        <v>7115</v>
      </c>
      <c r="AG1" s="255" t="s">
        <v>8256</v>
      </c>
      <c r="AH1" s="255" t="s">
        <v>7081</v>
      </c>
      <c r="AJ1" s="1837" t="s">
        <v>7232</v>
      </c>
      <c r="AK1" s="1837"/>
      <c r="AL1" s="1837"/>
      <c r="AN1" s="274" t="s">
        <v>82</v>
      </c>
      <c r="AO1" s="275" t="s">
        <v>8257</v>
      </c>
      <c r="AP1" s="277" t="s">
        <v>7263</v>
      </c>
      <c r="AR1" s="281"/>
      <c r="AS1" s="366" t="s">
        <v>7618</v>
      </c>
      <c r="AT1" s="282" t="s">
        <v>7619</v>
      </c>
      <c r="AV1" s="284" t="s">
        <v>7642</v>
      </c>
      <c r="AW1" s="256"/>
      <c r="AY1" s="264" t="s">
        <v>7814</v>
      </c>
      <c r="AZ1" s="264" t="s">
        <v>7821</v>
      </c>
      <c r="BB1" s="285" t="s">
        <v>82</v>
      </c>
      <c r="BC1" s="285" t="s">
        <v>8006</v>
      </c>
      <c r="BE1" s="286" t="s">
        <v>8963</v>
      </c>
      <c r="BF1" s="287"/>
      <c r="BG1" s="401"/>
    </row>
    <row r="2" spans="1:59" ht="36.75" customHeight="1" x14ac:dyDescent="0.35">
      <c r="A2" s="363" t="str">
        <f>LOOKUP(' Preparation'!F4,B2:B194,C2:C194)</f>
        <v>€ (Euro)</v>
      </c>
      <c r="B2" s="299">
        <v>1</v>
      </c>
      <c r="C2" s="228" t="s">
        <v>7458</v>
      </c>
      <c r="D2" s="222">
        <v>0</v>
      </c>
      <c r="E2" s="228">
        <v>0</v>
      </c>
      <c r="F2" s="228">
        <v>0</v>
      </c>
      <c r="G2" s="228">
        <v>0</v>
      </c>
      <c r="H2" s="1616">
        <v>0</v>
      </c>
      <c r="I2" s="226">
        <v>0</v>
      </c>
      <c r="J2" s="228"/>
      <c r="K2" s="228" t="s">
        <v>7458</v>
      </c>
      <c r="L2" s="356" t="s">
        <v>8324</v>
      </c>
      <c r="M2" s="232" t="s">
        <v>7458</v>
      </c>
      <c r="N2" s="232" t="s">
        <v>7458</v>
      </c>
      <c r="O2" s="232" t="s">
        <v>7458</v>
      </c>
      <c r="P2" s="232" t="s">
        <v>7458</v>
      </c>
      <c r="Q2" s="235" t="s">
        <v>7458</v>
      </c>
      <c r="R2" s="235" t="s">
        <v>826</v>
      </c>
      <c r="S2" s="234"/>
      <c r="T2" s="237" t="s">
        <v>7458</v>
      </c>
      <c r="U2" s="237"/>
      <c r="V2" s="240" t="s">
        <v>7458</v>
      </c>
      <c r="W2" s="241">
        <f>SA$4*D!W2</f>
        <v>0</v>
      </c>
      <c r="X2" s="246">
        <v>1</v>
      </c>
      <c r="Y2" s="250" t="s">
        <v>7458</v>
      </c>
      <c r="Z2" s="247">
        <f>$A$4*D!Z2</f>
        <v>0</v>
      </c>
      <c r="AA2" s="249" t="s">
        <v>789</v>
      </c>
      <c r="AB2" s="249" t="s">
        <v>7458</v>
      </c>
      <c r="AC2" s="220"/>
      <c r="AD2" s="256" t="s">
        <v>8230</v>
      </c>
      <c r="AE2" s="259">
        <f>D!$A$4*D!AE2</f>
        <v>0.61</v>
      </c>
      <c r="AG2" s="256" t="s">
        <v>7458</v>
      </c>
      <c r="AH2" s="257"/>
      <c r="AJ2" s="264" t="s">
        <v>7224</v>
      </c>
      <c r="AK2" s="265">
        <v>0.1</v>
      </c>
      <c r="AL2" s="266" t="s">
        <v>7227</v>
      </c>
      <c r="AN2" s="274">
        <v>1</v>
      </c>
      <c r="AO2" s="275" t="s">
        <v>7458</v>
      </c>
      <c r="AP2" s="274"/>
      <c r="AR2" s="281">
        <v>1</v>
      </c>
      <c r="AS2" s="279" t="s">
        <v>7458</v>
      </c>
      <c r="AT2" s="278"/>
      <c r="AV2" s="283">
        <v>1</v>
      </c>
      <c r="AW2" s="256" t="s">
        <v>7458</v>
      </c>
      <c r="AY2" s="266" t="s">
        <v>7815</v>
      </c>
      <c r="AZ2" s="266">
        <v>369.81</v>
      </c>
      <c r="BB2" s="285">
        <v>1</v>
      </c>
      <c r="BC2" s="285" t="s">
        <v>7458</v>
      </c>
      <c r="BE2" s="288" t="s">
        <v>8088</v>
      </c>
      <c r="BF2" s="288" t="s">
        <v>8089</v>
      </c>
      <c r="BG2" s="402" t="s">
        <v>8460</v>
      </c>
    </row>
    <row r="3" spans="1:59" ht="29" x14ac:dyDescent="0.35">
      <c r="A3" s="363" t="s">
        <v>8319</v>
      </c>
      <c r="B3" s="299">
        <v>2</v>
      </c>
      <c r="C3" s="228" t="s">
        <v>8659</v>
      </c>
      <c r="D3" s="222">
        <f>$A$4*D!D3</f>
        <v>0</v>
      </c>
      <c r="E3" s="222">
        <f>$A$4*D!E3</f>
        <v>0</v>
      </c>
      <c r="F3" s="222">
        <f>$A$4*D!F3</f>
        <v>0</v>
      </c>
      <c r="G3" s="225"/>
      <c r="H3" s="1616"/>
      <c r="I3" s="226"/>
      <c r="J3" s="226"/>
      <c r="K3" s="351"/>
      <c r="L3" s="358">
        <v>1</v>
      </c>
      <c r="M3" s="232" t="s">
        <v>118</v>
      </c>
      <c r="N3" s="232" t="s">
        <v>123</v>
      </c>
      <c r="O3" s="232" t="s">
        <v>7048</v>
      </c>
      <c r="P3" s="232" t="s">
        <v>472</v>
      </c>
      <c r="Q3" s="235"/>
      <c r="R3" s="235" t="s">
        <v>826</v>
      </c>
      <c r="S3" s="234">
        <v>4.0322370173419199E-2</v>
      </c>
      <c r="T3" s="237" t="s">
        <v>193</v>
      </c>
      <c r="U3" s="237" t="s">
        <v>194</v>
      </c>
      <c r="V3" s="240" t="s">
        <v>724</v>
      </c>
      <c r="W3" s="241">
        <f>$A$4*D!W3</f>
        <v>3924</v>
      </c>
      <c r="X3" s="246">
        <v>2</v>
      </c>
      <c r="Y3" s="250" t="s">
        <v>7797</v>
      </c>
      <c r="Z3" s="247">
        <f>$A$4*D!Z3</f>
        <v>3372</v>
      </c>
      <c r="AA3" s="249" t="s">
        <v>790</v>
      </c>
      <c r="AB3" s="249" t="s">
        <v>783</v>
      </c>
      <c r="AC3" s="365">
        <f>$A$4*D!AC3</f>
        <v>23000</v>
      </c>
      <c r="AD3" s="258" t="s">
        <v>7052</v>
      </c>
      <c r="AE3" s="259">
        <f>D!$A$4*D!AE3</f>
        <v>0</v>
      </c>
      <c r="AG3" s="257" t="s">
        <v>7082</v>
      </c>
      <c r="AH3" s="260">
        <v>0.08</v>
      </c>
      <c r="AJ3" s="264" t="s">
        <v>7225</v>
      </c>
      <c r="AK3" s="265">
        <v>0.1</v>
      </c>
      <c r="AL3" s="266" t="s">
        <v>7227</v>
      </c>
      <c r="AN3" s="274">
        <v>2</v>
      </c>
      <c r="AO3" s="370" t="s">
        <v>7264</v>
      </c>
      <c r="AP3" s="276">
        <v>0.24940000000000001</v>
      </c>
      <c r="AR3" s="281">
        <v>2</v>
      </c>
      <c r="AS3" s="367" t="s">
        <v>7052</v>
      </c>
      <c r="AT3" s="280">
        <f>$A$4*D!AT3</f>
        <v>0</v>
      </c>
      <c r="AV3" s="283">
        <v>2</v>
      </c>
      <c r="AW3" s="261" t="s">
        <v>7645</v>
      </c>
      <c r="AY3" s="266" t="s">
        <v>7818</v>
      </c>
      <c r="AZ3" s="266">
        <v>326.20999999999998</v>
      </c>
      <c r="BB3" s="285">
        <v>2</v>
      </c>
      <c r="BC3" s="285" t="s">
        <v>4284</v>
      </c>
      <c r="BE3" s="289" t="s">
        <v>8091</v>
      </c>
      <c r="BF3" s="289"/>
      <c r="BG3" s="293">
        <f>$A$4*D!BG3</f>
        <v>0.76</v>
      </c>
    </row>
    <row r="4" spans="1:59" ht="43.5" x14ac:dyDescent="0.35">
      <c r="A4" s="364">
        <f>' Preparation'!$H$4</f>
        <v>1</v>
      </c>
      <c r="B4" s="299">
        <v>3</v>
      </c>
      <c r="C4" s="228" t="s">
        <v>8317</v>
      </c>
      <c r="D4" s="222">
        <f>$A$4*D!D4</f>
        <v>0</v>
      </c>
      <c r="E4" s="222">
        <f>$A$4*D!E4</f>
        <v>0</v>
      </c>
      <c r="F4" s="222">
        <f>$A$4*D!F4</f>
        <v>0</v>
      </c>
      <c r="G4" s="225"/>
      <c r="H4" s="1616"/>
      <c r="I4" s="226"/>
      <c r="J4" s="226"/>
      <c r="K4" s="351"/>
      <c r="L4" s="358">
        <f>1/0.876</f>
        <v>1.1415525114155252</v>
      </c>
      <c r="M4" s="232" t="s">
        <v>119</v>
      </c>
      <c r="N4" s="232" t="s">
        <v>122</v>
      </c>
      <c r="O4" s="232" t="s">
        <v>7049</v>
      </c>
      <c r="P4" s="232" t="s">
        <v>473</v>
      </c>
      <c r="Q4" s="235"/>
      <c r="R4" s="235" t="s">
        <v>825</v>
      </c>
      <c r="S4" s="234">
        <v>4.6439466781137931E-2</v>
      </c>
      <c r="T4" s="237" t="s">
        <v>195</v>
      </c>
      <c r="U4" s="237" t="s">
        <v>196</v>
      </c>
      <c r="V4" s="240" t="s">
        <v>725</v>
      </c>
      <c r="W4" s="241">
        <f>$A$4*D!W4</f>
        <v>2236.6799999999998</v>
      </c>
      <c r="X4" s="246">
        <v>3</v>
      </c>
      <c r="Y4" s="250" t="s">
        <v>7798</v>
      </c>
      <c r="Z4" s="247">
        <f>$A$4*D!Z4</f>
        <v>0</v>
      </c>
      <c r="AA4" s="249" t="s">
        <v>791</v>
      </c>
      <c r="AB4" s="249" t="s">
        <v>784</v>
      </c>
      <c r="AC4" s="365">
        <f>$A$4*D!AC4</f>
        <v>775</v>
      </c>
      <c r="AD4" s="258" t="s">
        <v>7053</v>
      </c>
      <c r="AE4" s="259">
        <f>D!$A$4*D!AE4</f>
        <v>0</v>
      </c>
      <c r="AG4" s="257" t="s">
        <v>7083</v>
      </c>
      <c r="AH4" s="260">
        <v>0.1</v>
      </c>
      <c r="AJ4" s="264" t="s">
        <v>7226</v>
      </c>
      <c r="AK4" s="267">
        <v>1.6E-2</v>
      </c>
      <c r="AL4" s="266" t="s">
        <v>7228</v>
      </c>
      <c r="AN4" s="274">
        <v>3</v>
      </c>
      <c r="AO4" s="370" t="s">
        <v>7265</v>
      </c>
      <c r="AP4" s="276">
        <v>0.22439999999999999</v>
      </c>
      <c r="AR4" s="281">
        <v>3</v>
      </c>
      <c r="AS4" s="367" t="s">
        <v>7053</v>
      </c>
      <c r="AT4" s="280">
        <f>$A$4*D!AT4</f>
        <v>0</v>
      </c>
      <c r="AV4" s="283">
        <v>3</v>
      </c>
      <c r="AW4" s="261" t="s">
        <v>193</v>
      </c>
      <c r="AY4" s="266" t="s">
        <v>7816</v>
      </c>
      <c r="AZ4" s="266">
        <v>87.79</v>
      </c>
      <c r="BB4" s="285">
        <v>3</v>
      </c>
      <c r="BC4" s="285" t="s">
        <v>2248</v>
      </c>
      <c r="BE4" s="289" t="s">
        <v>8092</v>
      </c>
      <c r="BF4" s="287"/>
      <c r="BG4" s="293">
        <f>$A$4*D!BG4</f>
        <v>1</v>
      </c>
    </row>
    <row r="5" spans="1:59" ht="29" x14ac:dyDescent="0.35">
      <c r="A5" s="214"/>
      <c r="B5" s="299">
        <v>4</v>
      </c>
      <c r="C5" s="228" t="s">
        <v>476</v>
      </c>
      <c r="D5" s="222">
        <f>$A$4*D!D5</f>
        <v>31.308056872037916</v>
      </c>
      <c r="E5" s="222">
        <f>$A$4*D!E5</f>
        <v>1848.36</v>
      </c>
      <c r="F5" s="222">
        <f>$A$4*D!F5</f>
        <v>0.29888142489270386</v>
      </c>
      <c r="G5" s="349">
        <v>0.51100000000000001</v>
      </c>
      <c r="H5" s="1617">
        <v>7.4999999999999997E-2</v>
      </c>
      <c r="I5" s="226">
        <v>0.2</v>
      </c>
      <c r="J5" s="227">
        <v>19</v>
      </c>
      <c r="K5" s="352" t="s">
        <v>825</v>
      </c>
      <c r="L5" s="357">
        <v>103.77750103777502</v>
      </c>
      <c r="M5" s="232"/>
      <c r="N5" s="232" t="s">
        <v>121</v>
      </c>
      <c r="O5" s="232" t="s">
        <v>7050</v>
      </c>
      <c r="P5" s="232"/>
      <c r="Q5" s="235"/>
      <c r="R5" s="235" t="s">
        <v>825</v>
      </c>
      <c r="S5" s="234">
        <v>6.9540076435726447E-2</v>
      </c>
      <c r="T5" s="237" t="s">
        <v>197</v>
      </c>
      <c r="U5" s="237" t="s">
        <v>194</v>
      </c>
      <c r="V5" s="240" t="s">
        <v>726</v>
      </c>
      <c r="W5" s="241">
        <f>$A$4*D!W5</f>
        <v>2413.2600000000002</v>
      </c>
      <c r="X5" s="246">
        <v>4</v>
      </c>
      <c r="Y5" s="250" t="s">
        <v>7799</v>
      </c>
      <c r="Z5" s="247">
        <f>$A$4*D!Z5</f>
        <v>3372</v>
      </c>
      <c r="AD5" s="258" t="s">
        <v>7054</v>
      </c>
      <c r="AE5" s="259">
        <f>D!$A$4*D!AE5</f>
        <v>1.7999999999999999E-2</v>
      </c>
      <c r="AG5" s="257" t="s">
        <v>7084</v>
      </c>
      <c r="AH5" s="260">
        <v>0.06</v>
      </c>
      <c r="AJ5" s="264"/>
      <c r="AK5" s="266"/>
      <c r="AL5" s="266"/>
      <c r="AN5" s="274">
        <v>4</v>
      </c>
      <c r="AO5" s="370" t="s">
        <v>7266</v>
      </c>
      <c r="AP5" s="276">
        <v>0.34500000000000003</v>
      </c>
      <c r="AR5" s="281">
        <v>4</v>
      </c>
      <c r="AS5" s="367" t="s">
        <v>7054</v>
      </c>
      <c r="AT5" s="280">
        <f>$A$4*D!AT5</f>
        <v>1.7999999999999999E-2</v>
      </c>
      <c r="AV5" s="283">
        <v>4</v>
      </c>
      <c r="AW5" s="261" t="s">
        <v>195</v>
      </c>
      <c r="AY5" s="266" t="s">
        <v>7817</v>
      </c>
      <c r="AZ5" s="266">
        <v>68.959999999999994</v>
      </c>
      <c r="BB5" s="285">
        <v>4</v>
      </c>
      <c r="BC5" s="285" t="s">
        <v>4573</v>
      </c>
      <c r="BE5" s="289" t="s">
        <v>8093</v>
      </c>
      <c r="BF5" s="290">
        <v>2.8</v>
      </c>
      <c r="BG5" s="293"/>
    </row>
    <row r="6" spans="1:59" ht="43.5" x14ac:dyDescent="0.35">
      <c r="A6" s="214"/>
      <c r="B6" s="299">
        <v>5</v>
      </c>
      <c r="C6" s="228" t="s">
        <v>477</v>
      </c>
      <c r="D6" s="222">
        <f>$A$4*D!D6</f>
        <v>4.8645066273932249</v>
      </c>
      <c r="E6" s="222">
        <f>$A$4*D!E6</f>
        <v>11896.08</v>
      </c>
      <c r="F6" s="222">
        <f>$A$4*D!F6</f>
        <v>1.3640650274832167</v>
      </c>
      <c r="G6" s="349">
        <v>0.79500000000000004</v>
      </c>
      <c r="H6" s="1617">
        <v>4.5999999999999999E-2</v>
      </c>
      <c r="I6" s="226">
        <v>0.15</v>
      </c>
      <c r="J6" s="227">
        <v>36</v>
      </c>
      <c r="K6" s="353" t="s">
        <v>826</v>
      </c>
      <c r="L6" s="358">
        <v>124.02968036529681</v>
      </c>
      <c r="M6" s="232"/>
      <c r="N6" s="232" t="s">
        <v>124</v>
      </c>
      <c r="O6" s="232"/>
      <c r="P6" s="232"/>
      <c r="Q6" s="235" t="s">
        <v>305</v>
      </c>
      <c r="R6" s="235" t="s">
        <v>825</v>
      </c>
      <c r="S6" s="234">
        <v>5.7499716398245838E-2</v>
      </c>
      <c r="T6" s="237" t="s">
        <v>198</v>
      </c>
      <c r="U6" s="237" t="s">
        <v>199</v>
      </c>
      <c r="V6" s="240" t="s">
        <v>727</v>
      </c>
      <c r="W6" s="241">
        <f>$A$4*D!W6</f>
        <v>3924</v>
      </c>
      <c r="X6" s="246">
        <v>5</v>
      </c>
      <c r="Y6" s="250" t="s">
        <v>7800</v>
      </c>
      <c r="Z6" s="247">
        <f>$A$4*D!Z6</f>
        <v>0</v>
      </c>
      <c r="AD6" s="258" t="s">
        <v>7055</v>
      </c>
      <c r="AE6" s="259">
        <f>D!$A$4*D!AE6</f>
        <v>0.4</v>
      </c>
      <c r="AG6" s="257" t="s">
        <v>7085</v>
      </c>
      <c r="AH6" s="260">
        <v>0.06</v>
      </c>
      <c r="AJ6" s="268" t="s">
        <v>836</v>
      </c>
      <c r="AK6" s="269">
        <v>0.02</v>
      </c>
      <c r="AL6" s="266" t="s">
        <v>7233</v>
      </c>
      <c r="AN6" s="274">
        <v>5</v>
      </c>
      <c r="AO6" s="370" t="s">
        <v>7267</v>
      </c>
      <c r="AP6" s="276">
        <v>0.17419999999999999</v>
      </c>
      <c r="AR6" s="281">
        <v>5</v>
      </c>
      <c r="AS6" s="368" t="s">
        <v>7055</v>
      </c>
      <c r="AT6" s="280">
        <f>$A$4*D!AT6</f>
        <v>0.4</v>
      </c>
      <c r="AV6" s="283">
        <v>5</v>
      </c>
      <c r="AW6" s="257" t="s">
        <v>197</v>
      </c>
      <c r="AY6" s="266" t="s">
        <v>7819</v>
      </c>
      <c r="AZ6" s="266">
        <v>43.24</v>
      </c>
      <c r="BE6" s="288"/>
      <c r="BF6" s="287"/>
      <c r="BG6" s="403"/>
    </row>
    <row r="7" spans="1:59" ht="43.5" x14ac:dyDescent="0.35">
      <c r="A7" s="214"/>
      <c r="B7" s="299">
        <v>6</v>
      </c>
      <c r="C7" s="228" t="s">
        <v>478</v>
      </c>
      <c r="D7" s="222">
        <f>$A$4*D!D7</f>
        <v>6</v>
      </c>
      <c r="E7" s="222">
        <f>$A$4*D!E7</f>
        <v>9644.76</v>
      </c>
      <c r="F7" s="222">
        <f>$A$4*D!F7</f>
        <v>0.77935219081120777</v>
      </c>
      <c r="G7" s="349">
        <v>0.748</v>
      </c>
      <c r="H7" s="1617">
        <v>6.7000000000000004E-2</v>
      </c>
      <c r="I7" s="226">
        <v>0.26</v>
      </c>
      <c r="J7" s="227">
        <v>36</v>
      </c>
      <c r="K7" s="352" t="s">
        <v>825</v>
      </c>
      <c r="L7" s="357">
        <v>144.72237442922375</v>
      </c>
      <c r="M7" s="232"/>
      <c r="N7" s="232" t="s">
        <v>8674</v>
      </c>
      <c r="O7" s="232"/>
      <c r="P7" s="232"/>
      <c r="Q7" s="235" t="s">
        <v>306</v>
      </c>
      <c r="R7" s="235" t="s">
        <v>825</v>
      </c>
      <c r="S7" s="234">
        <v>0.24328855021831985</v>
      </c>
      <c r="T7" s="237" t="s">
        <v>200</v>
      </c>
      <c r="U7" s="237" t="s">
        <v>196</v>
      </c>
      <c r="V7" s="240" t="s">
        <v>728</v>
      </c>
      <c r="W7" s="241">
        <f>$A$4*D!W7</f>
        <v>2403.4499999999998</v>
      </c>
      <c r="X7" s="246">
        <v>6</v>
      </c>
      <c r="Y7" s="250" t="s">
        <v>7801</v>
      </c>
      <c r="Z7" s="247">
        <f>$A$4*D!Z7</f>
        <v>0</v>
      </c>
      <c r="AD7" s="258" t="s">
        <v>7056</v>
      </c>
      <c r="AE7" s="259">
        <f>D!$A$4*D!AE7</f>
        <v>0.61</v>
      </c>
      <c r="AG7" s="257" t="s">
        <v>7086</v>
      </c>
      <c r="AH7" s="260">
        <v>0.01</v>
      </c>
      <c r="AJ7" s="270" t="s">
        <v>7472</v>
      </c>
      <c r="AK7" s="271">
        <v>0.01</v>
      </c>
      <c r="AL7" s="266" t="s">
        <v>7233</v>
      </c>
      <c r="AN7" s="274">
        <v>6</v>
      </c>
      <c r="AO7" s="370" t="s">
        <v>7268</v>
      </c>
      <c r="AP7" s="276">
        <v>0.18219999999999997</v>
      </c>
      <c r="AR7" s="281">
        <v>6</v>
      </c>
      <c r="AS7" s="368" t="s">
        <v>7056</v>
      </c>
      <c r="AT7" s="280">
        <f>$A$4*D!AT7</f>
        <v>0.61</v>
      </c>
      <c r="AV7" s="283">
        <v>6</v>
      </c>
      <c r="AW7" s="257" t="s">
        <v>198</v>
      </c>
      <c r="AY7" s="266" t="s">
        <v>7820</v>
      </c>
      <c r="AZ7" s="266">
        <v>21.62</v>
      </c>
      <c r="BE7" s="288" t="s">
        <v>8094</v>
      </c>
      <c r="BF7" s="288"/>
      <c r="BG7" s="402" t="s">
        <v>8095</v>
      </c>
    </row>
    <row r="8" spans="1:59" ht="43.5" x14ac:dyDescent="0.35">
      <c r="A8" s="214"/>
      <c r="B8" s="299">
        <v>7</v>
      </c>
      <c r="C8" s="228" t="s">
        <v>479</v>
      </c>
      <c r="D8" s="222">
        <f>$A$4*D!D8</f>
        <v>10.973421926910298</v>
      </c>
      <c r="E8" s="222">
        <f>$A$4*D!E8</f>
        <v>5273.52</v>
      </c>
      <c r="F8" s="222">
        <f>$A$4*D!F8</f>
        <v>0.3548231956598098</v>
      </c>
      <c r="G8" s="349">
        <v>0.58099999999999996</v>
      </c>
      <c r="H8" s="1617">
        <v>0.151</v>
      </c>
      <c r="I8" s="226">
        <v>0.34</v>
      </c>
      <c r="J8" s="227">
        <v>27</v>
      </c>
      <c r="K8" s="352" t="s">
        <v>826</v>
      </c>
      <c r="L8" s="357">
        <v>660.11276287683904</v>
      </c>
      <c r="M8" s="232"/>
      <c r="N8" s="232" t="s">
        <v>8675</v>
      </c>
      <c r="O8" s="232"/>
      <c r="P8" s="232"/>
      <c r="Q8" s="235" t="s">
        <v>307</v>
      </c>
      <c r="R8" s="235" t="s">
        <v>825</v>
      </c>
      <c r="S8" s="234">
        <v>0.2522668811417319</v>
      </c>
      <c r="T8" s="237" t="s">
        <v>201</v>
      </c>
      <c r="U8" s="237" t="s">
        <v>199</v>
      </c>
      <c r="V8" s="240" t="s">
        <v>729</v>
      </c>
      <c r="W8" s="241">
        <f>$A$4*D!W8</f>
        <v>2403.4499999999998</v>
      </c>
      <c r="X8" s="246">
        <v>7</v>
      </c>
      <c r="Y8" s="250" t="s">
        <v>7802</v>
      </c>
      <c r="Z8" s="247">
        <f>$A$4*D!Z8</f>
        <v>0</v>
      </c>
      <c r="AD8" s="258" t="s">
        <v>7057</v>
      </c>
      <c r="AE8" s="259">
        <f>D!$A$4*D!AE8</f>
        <v>0.61</v>
      </c>
      <c r="AG8" s="257" t="s">
        <v>7087</v>
      </c>
      <c r="AH8" s="260">
        <v>0.02</v>
      </c>
      <c r="AJ8" s="270" t="s">
        <v>7473</v>
      </c>
      <c r="AK8" s="271">
        <v>0.08</v>
      </c>
      <c r="AL8" s="266" t="s">
        <v>7233</v>
      </c>
      <c r="AN8" s="274">
        <v>7</v>
      </c>
      <c r="AO8" s="370" t="s">
        <v>7269</v>
      </c>
      <c r="AP8" s="276">
        <v>0.246</v>
      </c>
      <c r="AR8" s="281">
        <v>7</v>
      </c>
      <c r="AS8" s="368" t="s">
        <v>7057</v>
      </c>
      <c r="AT8" s="280">
        <f>$A$4*D!AT8</f>
        <v>0.61</v>
      </c>
      <c r="AV8" s="283">
        <v>7</v>
      </c>
      <c r="AW8" s="257" t="s">
        <v>7643</v>
      </c>
      <c r="AY8" s="266" t="s">
        <v>7822</v>
      </c>
      <c r="AZ8" s="266">
        <v>17.36</v>
      </c>
      <c r="BE8" s="289" t="s">
        <v>8096</v>
      </c>
      <c r="BF8" s="287"/>
      <c r="BG8" s="293">
        <v>0.54600000000000004</v>
      </c>
    </row>
    <row r="9" spans="1:59" ht="31.5" customHeight="1" x14ac:dyDescent="0.35">
      <c r="A9" s="214"/>
      <c r="B9" s="299">
        <v>8</v>
      </c>
      <c r="C9" s="228" t="s">
        <v>480</v>
      </c>
      <c r="D9" s="222">
        <f>$A$4*D!D9</f>
        <v>3.5497044599677592</v>
      </c>
      <c r="E9" s="222">
        <f>$A$4*D!E9</f>
        <v>16302.36</v>
      </c>
      <c r="F9" s="222">
        <f>$A$4*D!F9</f>
        <v>2.623561781807966</v>
      </c>
      <c r="G9" s="349">
        <v>0.77800000000000002</v>
      </c>
      <c r="H9" s="1617">
        <v>0</v>
      </c>
      <c r="I9" s="226">
        <v>0.3</v>
      </c>
      <c r="J9" s="227"/>
      <c r="K9" s="353" t="s">
        <v>826</v>
      </c>
      <c r="L9" s="358">
        <v>3.0821917808219181</v>
      </c>
      <c r="M9" s="232"/>
      <c r="N9" s="232" t="s">
        <v>8676</v>
      </c>
      <c r="O9" s="232"/>
      <c r="P9" s="232"/>
      <c r="Q9" s="235"/>
      <c r="R9" s="235" t="s">
        <v>825</v>
      </c>
      <c r="S9" s="234">
        <v>0.11233276890440538</v>
      </c>
      <c r="T9" s="237" t="s">
        <v>202</v>
      </c>
      <c r="U9" s="237" t="s">
        <v>194</v>
      </c>
      <c r="V9" s="240" t="s">
        <v>730</v>
      </c>
      <c r="W9" s="241">
        <f>$A$4*D!W9</f>
        <v>3924</v>
      </c>
      <c r="X9" s="246">
        <v>8</v>
      </c>
      <c r="Y9" s="250" t="s">
        <v>7803</v>
      </c>
      <c r="Z9" s="247">
        <f>$A$4*D!Z9</f>
        <v>3372</v>
      </c>
      <c r="AD9" s="258" t="s">
        <v>7058</v>
      </c>
      <c r="AE9" s="259">
        <f>D!$A$4*D!AE9</f>
        <v>0.61</v>
      </c>
      <c r="AG9" s="257" t="s">
        <v>7056</v>
      </c>
      <c r="AH9" s="260">
        <v>0.04</v>
      </c>
      <c r="AJ9" s="270" t="s">
        <v>7465</v>
      </c>
      <c r="AK9" s="271">
        <v>0.02</v>
      </c>
      <c r="AL9" s="266" t="s">
        <v>7233</v>
      </c>
      <c r="AN9" s="274">
        <v>8</v>
      </c>
      <c r="AO9" s="370" t="s">
        <v>7270</v>
      </c>
      <c r="AP9" s="276">
        <v>0.24220000000000003</v>
      </c>
      <c r="AR9" s="281">
        <v>8</v>
      </c>
      <c r="AS9" s="368" t="s">
        <v>7058</v>
      </c>
      <c r="AT9" s="280">
        <f>$A$4*D!AT9</f>
        <v>0.61</v>
      </c>
      <c r="AV9" s="283">
        <v>8</v>
      </c>
      <c r="AW9" s="257" t="s">
        <v>201</v>
      </c>
      <c r="AY9" s="266" t="s">
        <v>7823</v>
      </c>
      <c r="AZ9" s="266">
        <v>12.96</v>
      </c>
      <c r="BE9" s="289" t="s">
        <v>8097</v>
      </c>
      <c r="BF9" s="287"/>
      <c r="BG9" s="293">
        <v>0.45500000000000002</v>
      </c>
    </row>
    <row r="10" spans="1:59" ht="29" x14ac:dyDescent="0.35">
      <c r="A10" s="214"/>
      <c r="B10" s="299">
        <v>9</v>
      </c>
      <c r="C10" s="228" t="s">
        <v>481</v>
      </c>
      <c r="D10" s="222">
        <f>$A$4*D!D10</f>
        <v>3.268678871845621</v>
      </c>
      <c r="E10" s="222">
        <f>$A$4*D!E10</f>
        <v>17703.96</v>
      </c>
      <c r="F10" s="222">
        <f>$A$4*D!F10</f>
        <v>2.2229002695630418</v>
      </c>
      <c r="G10" s="349">
        <v>0.84499999999999997</v>
      </c>
      <c r="H10" s="1617">
        <v>5.2999999999999999E-2</v>
      </c>
      <c r="I10" s="226">
        <v>0</v>
      </c>
      <c r="J10" s="227">
        <v>42</v>
      </c>
      <c r="K10" s="353" t="s">
        <v>826</v>
      </c>
      <c r="L10" s="358">
        <v>114.15525114155251</v>
      </c>
      <c r="M10" s="232"/>
      <c r="N10" s="232" t="s">
        <v>8677</v>
      </c>
      <c r="O10" s="232"/>
      <c r="P10" s="232"/>
      <c r="Q10" s="235" t="s">
        <v>308</v>
      </c>
      <c r="R10" s="235" t="s">
        <v>825</v>
      </c>
      <c r="S10" s="234">
        <v>0.10443957855709135</v>
      </c>
      <c r="T10" s="237" t="s">
        <v>203</v>
      </c>
      <c r="U10" s="237" t="s">
        <v>196</v>
      </c>
      <c r="V10" s="240" t="s">
        <v>731</v>
      </c>
      <c r="W10" s="241">
        <f>$A$4*D!W10</f>
        <v>2050.29</v>
      </c>
      <c r="X10" s="248"/>
      <c r="Y10" s="250"/>
      <c r="Z10" s="247">
        <f>$A$4*D!Z10</f>
        <v>0</v>
      </c>
      <c r="AD10" s="258" t="s">
        <v>7059</v>
      </c>
      <c r="AE10" s="259">
        <f>D!$A$4*D!AE10</f>
        <v>0.61</v>
      </c>
      <c r="AG10" s="257" t="s">
        <v>7088</v>
      </c>
      <c r="AH10" s="260">
        <v>0.02</v>
      </c>
      <c r="AJ10" s="270" t="s">
        <v>41</v>
      </c>
      <c r="AK10" s="265">
        <v>0.01</v>
      </c>
      <c r="AL10" s="273" t="s">
        <v>7502</v>
      </c>
      <c r="AN10" s="274">
        <v>9</v>
      </c>
      <c r="AO10" s="370" t="s">
        <v>7271</v>
      </c>
      <c r="AP10" s="276">
        <v>0.2162</v>
      </c>
      <c r="AR10" s="281">
        <v>9</v>
      </c>
      <c r="AS10" s="367" t="s">
        <v>7059</v>
      </c>
      <c r="AT10" s="280">
        <f>$A$4*D!AT10</f>
        <v>0.61</v>
      </c>
      <c r="AV10" s="283">
        <v>9</v>
      </c>
      <c r="AW10" s="261" t="s">
        <v>202</v>
      </c>
      <c r="AY10" s="266" t="s">
        <v>7824</v>
      </c>
      <c r="AZ10" s="266">
        <v>12.22</v>
      </c>
      <c r="BE10" s="287"/>
      <c r="BF10" s="287"/>
      <c r="BG10" s="401"/>
    </row>
    <row r="11" spans="1:59" ht="29.25" customHeight="1" x14ac:dyDescent="0.35">
      <c r="A11" s="214"/>
      <c r="B11" s="299">
        <v>10</v>
      </c>
      <c r="C11" s="228" t="s">
        <v>482</v>
      </c>
      <c r="D11" s="222">
        <f>$A$4*D!D11</f>
        <v>5.0504587155963305</v>
      </c>
      <c r="E11" s="222">
        <f>$A$4*D!E11</f>
        <v>11458.08</v>
      </c>
      <c r="F11" s="222">
        <f>$A$4*D!F11</f>
        <v>0.7765228191899215</v>
      </c>
      <c r="G11" s="349">
        <v>0.77600000000000002</v>
      </c>
      <c r="H11" s="1617">
        <v>7.0000000000000007E-2</v>
      </c>
      <c r="I11" s="226">
        <v>0.18</v>
      </c>
      <c r="J11" s="227">
        <v>49</v>
      </c>
      <c r="K11" s="352" t="s">
        <v>825</v>
      </c>
      <c r="L11" s="357">
        <v>558.22929062889841</v>
      </c>
      <c r="M11" s="232"/>
      <c r="N11" s="232" t="s">
        <v>8678</v>
      </c>
      <c r="O11" s="232"/>
      <c r="P11" s="232"/>
      <c r="Q11" s="235" t="s">
        <v>309</v>
      </c>
      <c r="R11" s="235" t="s">
        <v>825</v>
      </c>
      <c r="S11" s="234">
        <v>5.5124186651572961E-2</v>
      </c>
      <c r="T11" s="237" t="s">
        <v>204</v>
      </c>
      <c r="U11" s="237" t="s">
        <v>205</v>
      </c>
      <c r="V11" s="240" t="s">
        <v>732</v>
      </c>
      <c r="W11" s="241">
        <f>$A$4*D!W11</f>
        <v>3924</v>
      </c>
      <c r="X11" s="248"/>
      <c r="Y11" s="250"/>
      <c r="Z11" s="247">
        <f>$A$4*D!Z11</f>
        <v>0</v>
      </c>
      <c r="AD11" s="258" t="s">
        <v>7060</v>
      </c>
      <c r="AE11" s="259">
        <f>D!$A$4*D!AE11</f>
        <v>0.1</v>
      </c>
      <c r="AG11" s="257" t="s">
        <v>7089</v>
      </c>
      <c r="AH11" s="260">
        <v>0.12</v>
      </c>
      <c r="AJ11" s="264"/>
      <c r="AK11" s="266"/>
      <c r="AL11" s="266"/>
      <c r="AN11" s="274">
        <v>10</v>
      </c>
      <c r="AO11" s="370" t="s">
        <v>7272</v>
      </c>
      <c r="AP11" s="276">
        <v>0.1196</v>
      </c>
      <c r="AR11" s="281">
        <v>10</v>
      </c>
      <c r="AS11" s="367" t="s">
        <v>7060</v>
      </c>
      <c r="AT11" s="280">
        <f>$A$4*D!AT11</f>
        <v>0.1</v>
      </c>
      <c r="AV11" s="283">
        <v>10</v>
      </c>
      <c r="AW11" s="261" t="s">
        <v>203</v>
      </c>
      <c r="AY11" s="266" t="s">
        <v>7825</v>
      </c>
      <c r="AZ11" s="266">
        <v>9.11</v>
      </c>
      <c r="BE11" s="288" t="s">
        <v>8098</v>
      </c>
      <c r="BF11" s="287"/>
      <c r="BG11" s="402" t="s">
        <v>8460</v>
      </c>
    </row>
    <row r="12" spans="1:59" ht="43.5" x14ac:dyDescent="0.35">
      <c r="A12" s="214"/>
      <c r="B12" s="299">
        <v>11</v>
      </c>
      <c r="C12" s="228" t="s">
        <v>483</v>
      </c>
      <c r="D12" s="222">
        <f>$A$4*D!D12</f>
        <v>1.2847141190198366</v>
      </c>
      <c r="E12" s="222">
        <f>$A$4*D!E12</f>
        <v>45043.92</v>
      </c>
      <c r="F12" s="222">
        <f>$A$4*D!F12</f>
        <v>8.8701987510359999</v>
      </c>
      <c r="G12" s="349">
        <v>0.94399999999999995</v>
      </c>
      <c r="H12" s="1617">
        <v>0</v>
      </c>
      <c r="I12" s="226">
        <v>0.3</v>
      </c>
      <c r="J12" s="227">
        <v>77</v>
      </c>
      <c r="K12" s="353" t="s">
        <v>826</v>
      </c>
      <c r="L12" s="358">
        <v>1.8119881133579763</v>
      </c>
      <c r="M12" s="207"/>
      <c r="N12" s="207"/>
      <c r="O12" s="207"/>
      <c r="P12" s="207"/>
      <c r="Q12" s="235" t="s">
        <v>310</v>
      </c>
      <c r="R12" s="235" t="s">
        <v>825</v>
      </c>
      <c r="S12" s="234">
        <v>0.17164887070613866</v>
      </c>
      <c r="T12" s="237" t="s">
        <v>206</v>
      </c>
      <c r="U12" s="237" t="s">
        <v>199</v>
      </c>
      <c r="V12" s="240" t="s">
        <v>779</v>
      </c>
      <c r="W12" s="241">
        <f>$A$4*D!W12</f>
        <v>3924</v>
      </c>
      <c r="X12" s="215"/>
      <c r="AD12" s="258" t="s">
        <v>7061</v>
      </c>
      <c r="AE12" s="259">
        <f>D!$A$4*D!AE12</f>
        <v>0.11799999999999999</v>
      </c>
      <c r="AG12" s="257" t="s">
        <v>7090</v>
      </c>
      <c r="AH12" s="260">
        <v>7.0000000000000007E-2</v>
      </c>
      <c r="AJ12" s="270" t="s">
        <v>245</v>
      </c>
      <c r="AK12" s="272">
        <v>23.8</v>
      </c>
      <c r="AL12" s="266" t="s">
        <v>7666</v>
      </c>
      <c r="AN12" s="274">
        <v>11</v>
      </c>
      <c r="AO12" s="370" t="s">
        <v>7273</v>
      </c>
      <c r="AP12" s="276">
        <v>0.18339999999999998</v>
      </c>
      <c r="AR12" s="281">
        <v>11</v>
      </c>
      <c r="AS12" s="367" t="s">
        <v>7061</v>
      </c>
      <c r="AT12" s="280">
        <f>$A$4*D!AT12</f>
        <v>0.11799999999999999</v>
      </c>
      <c r="AV12" s="283">
        <v>11</v>
      </c>
      <c r="AW12" s="261" t="s">
        <v>204</v>
      </c>
      <c r="AY12" s="266" t="s">
        <v>7826</v>
      </c>
      <c r="AZ12" s="266">
        <v>8.9499999999999993</v>
      </c>
      <c r="BE12" s="289" t="s">
        <v>8134</v>
      </c>
      <c r="BF12" s="289" t="s">
        <v>8099</v>
      </c>
      <c r="BG12" s="293">
        <f>$A$4*D!BG12</f>
        <v>5.5199999999999999E-2</v>
      </c>
    </row>
    <row r="13" spans="1:59" ht="29" x14ac:dyDescent="0.35">
      <c r="A13" s="214"/>
      <c r="B13" s="299">
        <v>12</v>
      </c>
      <c r="C13" s="228" t="s">
        <v>484</v>
      </c>
      <c r="D13" s="222">
        <f>$A$4*D!D13</f>
        <v>1.1208008143875126</v>
      </c>
      <c r="E13" s="222">
        <f>$A$4*D!E13</f>
        <v>51631.44</v>
      </c>
      <c r="F13" s="222">
        <f>$A$4*D!F13</f>
        <v>9.5047168071587009</v>
      </c>
      <c r="G13" s="349">
        <v>0.92200000000000004</v>
      </c>
      <c r="H13" s="1617">
        <v>0</v>
      </c>
      <c r="I13" s="226">
        <v>0.25</v>
      </c>
      <c r="J13" s="227">
        <v>76</v>
      </c>
      <c r="K13" s="353" t="s">
        <v>826</v>
      </c>
      <c r="L13" s="358">
        <v>1</v>
      </c>
      <c r="M13" s="207"/>
      <c r="N13" s="207"/>
      <c r="O13" s="207"/>
      <c r="P13" s="207"/>
      <c r="Q13" s="235" t="s">
        <v>311</v>
      </c>
      <c r="R13" s="235" t="s">
        <v>825</v>
      </c>
      <c r="S13" s="234">
        <v>0.16971445821957556</v>
      </c>
      <c r="T13" s="237" t="s">
        <v>207</v>
      </c>
      <c r="U13" s="237" t="s">
        <v>196</v>
      </c>
      <c r="V13" s="240" t="s">
        <v>733</v>
      </c>
      <c r="W13" s="241">
        <f>$A$4*D!W13</f>
        <v>2001.24</v>
      </c>
      <c r="X13" s="215"/>
      <c r="AD13" s="258" t="s">
        <v>7062</v>
      </c>
      <c r="AE13" s="259">
        <f>D!$A$4*D!AE13</f>
        <v>3.5000000000000001E-3</v>
      </c>
      <c r="AG13" s="257" t="s">
        <v>7091</v>
      </c>
      <c r="AH13" s="260">
        <v>0.02</v>
      </c>
      <c r="AJ13" s="270" t="s">
        <v>7667</v>
      </c>
      <c r="AK13" s="265">
        <v>0.5</v>
      </c>
      <c r="AL13" s="266" t="s">
        <v>7227</v>
      </c>
      <c r="AN13" s="274">
        <v>12</v>
      </c>
      <c r="AO13" s="370" t="s">
        <v>7274</v>
      </c>
      <c r="AP13" s="276">
        <v>0.3216</v>
      </c>
      <c r="AR13" s="281">
        <v>12</v>
      </c>
      <c r="AS13" s="367" t="s">
        <v>7062</v>
      </c>
      <c r="AT13" s="280">
        <f>$A$4*D!AT13</f>
        <v>3.5000000000000001E-3</v>
      </c>
      <c r="AV13" s="283">
        <v>12</v>
      </c>
      <c r="AW13" s="261" t="s">
        <v>206</v>
      </c>
      <c r="AY13" s="266" t="s">
        <v>7827</v>
      </c>
      <c r="AZ13" s="266">
        <v>8.41</v>
      </c>
      <c r="BE13" s="289" t="s">
        <v>8133</v>
      </c>
      <c r="BF13" s="289" t="s">
        <v>8100</v>
      </c>
      <c r="BG13" s="293">
        <f>$A$4*D!BG13</f>
        <v>4.5999999999999999E-2</v>
      </c>
    </row>
    <row r="14" spans="1:59" ht="29" x14ac:dyDescent="0.35">
      <c r="A14" s="214"/>
      <c r="B14" s="299">
        <v>13</v>
      </c>
      <c r="C14" s="228" t="s">
        <v>485</v>
      </c>
      <c r="D14" s="222">
        <f>$A$4*D!D14</f>
        <v>4.6195804195804193</v>
      </c>
      <c r="E14" s="222">
        <f>$A$4*D!E14</f>
        <v>12526.8</v>
      </c>
      <c r="F14" s="222">
        <f>$A$4*D!F14</f>
        <v>0.77063210957403927</v>
      </c>
      <c r="G14" s="349">
        <v>0.75600000000000001</v>
      </c>
      <c r="H14" s="1617">
        <v>4.4999999999999998E-2</v>
      </c>
      <c r="I14" s="226">
        <v>0.2</v>
      </c>
      <c r="J14" s="227">
        <v>30</v>
      </c>
      <c r="K14" s="352" t="s">
        <v>825</v>
      </c>
      <c r="L14" s="357">
        <v>1.9406392694063925</v>
      </c>
      <c r="M14" s="207"/>
      <c r="N14" s="207"/>
      <c r="O14" s="207"/>
      <c r="P14" s="207"/>
      <c r="Q14" s="235" t="s">
        <v>312</v>
      </c>
      <c r="R14" s="235" t="s">
        <v>825</v>
      </c>
      <c r="S14" s="234">
        <v>3.1081540558023608E-2</v>
      </c>
      <c r="T14" s="237" t="s">
        <v>208</v>
      </c>
      <c r="U14" s="237" t="s">
        <v>196</v>
      </c>
      <c r="V14" s="240" t="s">
        <v>734</v>
      </c>
      <c r="W14" s="241">
        <f>$A$4*D!W14</f>
        <v>1765.8</v>
      </c>
      <c r="X14" s="215"/>
      <c r="AD14" s="258" t="s">
        <v>7063</v>
      </c>
      <c r="AE14" s="259">
        <f>D!$A$4*D!AE14</f>
        <v>0.1</v>
      </c>
      <c r="AG14" s="257" t="s">
        <v>7092</v>
      </c>
      <c r="AH14" s="260">
        <v>0.05</v>
      </c>
      <c r="AJ14" s="270" t="s">
        <v>7670</v>
      </c>
      <c r="AK14" s="265">
        <v>0.05</v>
      </c>
      <c r="AL14" s="266" t="s">
        <v>7227</v>
      </c>
      <c r="AN14" s="274">
        <v>13</v>
      </c>
      <c r="AO14" s="370" t="s">
        <v>7275</v>
      </c>
      <c r="AP14" s="276">
        <v>0.4098</v>
      </c>
      <c r="AR14" s="281">
        <v>13</v>
      </c>
      <c r="AS14" s="367" t="s">
        <v>7063</v>
      </c>
      <c r="AT14" s="280">
        <f>$A$4*D!AT14</f>
        <v>0.1</v>
      </c>
      <c r="AV14" s="283">
        <v>13</v>
      </c>
      <c r="AW14" s="261" t="s">
        <v>207</v>
      </c>
      <c r="AY14" s="266" t="s">
        <v>7828</v>
      </c>
      <c r="AZ14" s="266">
        <v>7.46</v>
      </c>
      <c r="BE14" s="289" t="s">
        <v>8101</v>
      </c>
      <c r="BF14" s="289" t="s">
        <v>8099</v>
      </c>
      <c r="BG14" s="293">
        <f>BG8*Pol.Data!C48</f>
        <v>0.11865303195443833</v>
      </c>
    </row>
    <row r="15" spans="1:59" ht="21" customHeight="1" x14ac:dyDescent="0.35">
      <c r="A15" s="214"/>
      <c r="B15" s="299">
        <v>14</v>
      </c>
      <c r="C15" s="228" t="s">
        <v>486</v>
      </c>
      <c r="D15" s="222">
        <f>$A$4*D!D15</f>
        <v>2.1173076923076923</v>
      </c>
      <c r="E15" s="222">
        <f>$A$4*D!E15</f>
        <v>27331.200000000001</v>
      </c>
      <c r="F15" s="222">
        <f>$A$4*D!F15</f>
        <v>5.0826542431210857</v>
      </c>
      <c r="G15" s="349">
        <v>0.81399999999999995</v>
      </c>
      <c r="H15" s="1617">
        <v>0</v>
      </c>
      <c r="I15" s="226">
        <v>0</v>
      </c>
      <c r="J15" s="227">
        <v>63</v>
      </c>
      <c r="K15" s="353" t="s">
        <v>826</v>
      </c>
      <c r="L15" s="358">
        <v>1.1415525114155252</v>
      </c>
      <c r="M15" s="207"/>
      <c r="N15" s="207"/>
      <c r="O15" s="207"/>
      <c r="P15" s="207"/>
      <c r="Q15" s="235"/>
      <c r="R15" s="235" t="s">
        <v>825</v>
      </c>
      <c r="S15" s="234">
        <v>4.6166368399273225E-2</v>
      </c>
      <c r="T15" s="237" t="s">
        <v>209</v>
      </c>
      <c r="U15" s="237" t="s">
        <v>196</v>
      </c>
      <c r="V15" s="240" t="s">
        <v>735</v>
      </c>
      <c r="W15" s="241">
        <f>$A$4*D!W15</f>
        <v>3541.41</v>
      </c>
      <c r="X15" s="215"/>
      <c r="AD15" s="258" t="s">
        <v>7064</v>
      </c>
      <c r="AE15" s="259">
        <f>D!$A$4*D!AE15</f>
        <v>0.24</v>
      </c>
      <c r="AG15" s="257" t="s">
        <v>7093</v>
      </c>
      <c r="AH15" s="260">
        <v>0.04</v>
      </c>
      <c r="AJ15" s="270" t="s">
        <v>7672</v>
      </c>
      <c r="AK15" s="265">
        <v>0.1</v>
      </c>
      <c r="AL15" s="266" t="s">
        <v>7227</v>
      </c>
      <c r="AN15" s="274">
        <v>14</v>
      </c>
      <c r="AO15" s="370" t="s">
        <v>7276</v>
      </c>
      <c r="AP15" s="276">
        <v>0.25319999999999998</v>
      </c>
      <c r="AR15" s="281">
        <v>14</v>
      </c>
      <c r="AS15" s="368" t="s">
        <v>7064</v>
      </c>
      <c r="AT15" s="280">
        <f>$A$4*D!AT15</f>
        <v>0.24</v>
      </c>
      <c r="AV15" s="283">
        <v>14</v>
      </c>
      <c r="AW15" s="257" t="s">
        <v>208</v>
      </c>
      <c r="AY15" s="266" t="s">
        <v>7829</v>
      </c>
      <c r="AZ15" s="266">
        <v>6.27</v>
      </c>
      <c r="BE15" s="289" t="s">
        <v>8102</v>
      </c>
      <c r="BF15" s="289" t="s">
        <v>8100</v>
      </c>
      <c r="BG15" s="293">
        <f>BG9*Pol.Data!C48</f>
        <v>9.88775266286986E-2</v>
      </c>
    </row>
    <row r="16" spans="1:59" ht="21" customHeight="1" x14ac:dyDescent="0.35">
      <c r="A16" s="214"/>
      <c r="B16" s="299">
        <v>15</v>
      </c>
      <c r="C16" s="228" t="s">
        <v>487</v>
      </c>
      <c r="D16" s="222">
        <f>$A$4*D!D16</f>
        <v>1.4901872321227159</v>
      </c>
      <c r="E16" s="222">
        <f>$A$4*D!E16</f>
        <v>38833.08</v>
      </c>
      <c r="F16" s="222">
        <f>$A$4*D!F16</f>
        <v>4.729968039448452</v>
      </c>
      <c r="G16" s="349">
        <v>0.85199999999999998</v>
      </c>
      <c r="H16" s="1617" t="s">
        <v>825</v>
      </c>
      <c r="I16" s="226">
        <v>0</v>
      </c>
      <c r="J16" s="227">
        <v>42</v>
      </c>
      <c r="K16" s="353" t="s">
        <v>826</v>
      </c>
      <c r="L16" s="358">
        <v>0.42922374429223742</v>
      </c>
      <c r="M16" s="207"/>
      <c r="N16" s="207"/>
      <c r="O16" s="207"/>
      <c r="P16" s="207"/>
      <c r="Q16" s="235" t="s">
        <v>313</v>
      </c>
      <c r="R16" s="235" t="s">
        <v>825</v>
      </c>
      <c r="S16" s="234">
        <v>5.3845238463294677E-2</v>
      </c>
      <c r="T16" s="237" t="s">
        <v>210</v>
      </c>
      <c r="U16" s="237" t="s">
        <v>196</v>
      </c>
      <c r="V16" s="240" t="s">
        <v>736</v>
      </c>
      <c r="W16" s="241">
        <f>$A$4*D!W16</f>
        <v>3541.41</v>
      </c>
      <c r="X16" s="215"/>
      <c r="AD16" s="258" t="s">
        <v>7065</v>
      </c>
      <c r="AE16" s="259">
        <f>D!$A$4*D!AE16</f>
        <v>0.24</v>
      </c>
      <c r="AG16" s="257" t="s">
        <v>7094</v>
      </c>
      <c r="AH16" s="260">
        <v>0.05</v>
      </c>
      <c r="AJ16" s="264" t="s">
        <v>7762</v>
      </c>
      <c r="AK16" s="267">
        <v>8.6499999999999994E-2</v>
      </c>
      <c r="AL16" s="266" t="s">
        <v>7227</v>
      </c>
      <c r="AN16" s="274">
        <v>15</v>
      </c>
      <c r="AO16" s="370" t="s">
        <v>7277</v>
      </c>
      <c r="AP16" s="276">
        <v>0.46060000000000001</v>
      </c>
      <c r="AR16" s="281">
        <v>15</v>
      </c>
      <c r="AS16" s="368" t="s">
        <v>7065</v>
      </c>
      <c r="AT16" s="280">
        <f>$A$4*D!AT16</f>
        <v>0.24</v>
      </c>
      <c r="AV16" s="283">
        <v>15</v>
      </c>
      <c r="AW16" s="257" t="s">
        <v>209</v>
      </c>
      <c r="AY16" s="266" t="s">
        <v>7830</v>
      </c>
      <c r="AZ16" s="266">
        <v>3.85</v>
      </c>
      <c r="BE16" s="288" t="s">
        <v>8103</v>
      </c>
      <c r="BF16" s="288" t="s">
        <v>8099</v>
      </c>
      <c r="BG16" s="404">
        <f>BG12+BG14</f>
        <v>0.17385303195443833</v>
      </c>
    </row>
    <row r="17" spans="1:59" ht="29" x14ac:dyDescent="0.35">
      <c r="A17" s="214"/>
      <c r="B17" s="299">
        <v>16</v>
      </c>
      <c r="C17" s="228" t="s">
        <v>488</v>
      </c>
      <c r="D17" s="222">
        <f>$A$4*D!D17</f>
        <v>12.440677966101694</v>
      </c>
      <c r="E17" s="222">
        <f>$A$4*D!E17</f>
        <v>4651.5600000000004</v>
      </c>
      <c r="F17" s="222">
        <f>$A$4*D!F17</f>
        <v>0.48140913526680917</v>
      </c>
      <c r="G17" s="349">
        <v>0.63200000000000001</v>
      </c>
      <c r="H17" s="1617">
        <v>9.1999999999999998E-2</v>
      </c>
      <c r="I17" s="226">
        <v>0.25</v>
      </c>
      <c r="J17" s="227">
        <v>26</v>
      </c>
      <c r="K17" s="352" t="s">
        <v>826</v>
      </c>
      <c r="L17" s="357">
        <v>95.129375951293753</v>
      </c>
      <c r="M17" s="207"/>
      <c r="N17" s="207"/>
      <c r="O17" s="207"/>
      <c r="P17" s="207"/>
      <c r="Q17" s="235" t="s">
        <v>314</v>
      </c>
      <c r="R17" s="235" t="s">
        <v>825</v>
      </c>
      <c r="S17" s="234">
        <v>5.4557471865754707E-2</v>
      </c>
      <c r="T17" s="237" t="s">
        <v>211</v>
      </c>
      <c r="U17" s="237" t="s">
        <v>194</v>
      </c>
      <c r="V17" s="240" t="s">
        <v>737</v>
      </c>
      <c r="W17" s="241">
        <f>$A$4*D!W17</f>
        <v>2982.24</v>
      </c>
      <c r="X17" s="215"/>
      <c r="AD17" s="258" t="s">
        <v>7066</v>
      </c>
      <c r="AE17" s="259">
        <f>D!$A$4*D!AE17</f>
        <v>0.31</v>
      </c>
      <c r="AG17" s="257" t="s">
        <v>7095</v>
      </c>
      <c r="AH17" s="260">
        <v>0.13</v>
      </c>
      <c r="AJ17" s="264" t="s">
        <v>7767</v>
      </c>
      <c r="AK17" s="267">
        <v>2.7E-2</v>
      </c>
      <c r="AL17" s="266" t="s">
        <v>7227</v>
      </c>
      <c r="AN17" s="274">
        <v>16</v>
      </c>
      <c r="AO17" s="370" t="s">
        <v>7278</v>
      </c>
      <c r="AP17" s="276">
        <v>0.20960000000000001</v>
      </c>
      <c r="AR17" s="281">
        <v>16</v>
      </c>
      <c r="AS17" s="368" t="s">
        <v>7066</v>
      </c>
      <c r="AT17" s="280">
        <f>$A$4*D!AT17</f>
        <v>0.31</v>
      </c>
      <c r="AV17" s="283">
        <v>16</v>
      </c>
      <c r="AW17" s="257" t="s">
        <v>210</v>
      </c>
      <c r="AY17" s="266" t="s">
        <v>7831</v>
      </c>
      <c r="AZ17" s="266">
        <v>3.52</v>
      </c>
      <c r="BE17" s="288" t="s">
        <v>8104</v>
      </c>
      <c r="BF17" s="288" t="s">
        <v>8100</v>
      </c>
      <c r="BG17" s="404">
        <f>BG13+BG15</f>
        <v>0.1448775266286986</v>
      </c>
    </row>
    <row r="18" spans="1:59" ht="29" x14ac:dyDescent="0.35">
      <c r="A18" s="214"/>
      <c r="B18" s="299">
        <v>17</v>
      </c>
      <c r="C18" s="228" t="s">
        <v>489</v>
      </c>
      <c r="D18" s="222">
        <f>$A$4*D!D18</f>
        <v>5.077632590315142</v>
      </c>
      <c r="E18" s="222">
        <f>$A$4*D!E18</f>
        <v>11396.76</v>
      </c>
      <c r="F18" s="222">
        <f>$A$4*D!F18</f>
        <v>2.690188931956345</v>
      </c>
      <c r="G18" s="349">
        <v>0.81399999999999995</v>
      </c>
      <c r="H18" s="1617">
        <v>0</v>
      </c>
      <c r="I18" s="226">
        <v>5.5E-2</v>
      </c>
      <c r="J18" s="227">
        <v>64</v>
      </c>
      <c r="K18" s="353" t="s">
        <v>826</v>
      </c>
      <c r="L18" s="358">
        <v>2.2831050228310503</v>
      </c>
      <c r="M18" s="207"/>
      <c r="N18" s="207"/>
      <c r="O18" s="207"/>
      <c r="P18" s="207"/>
      <c r="Q18" s="235" t="s">
        <v>315</v>
      </c>
      <c r="R18" s="235" t="s">
        <v>825</v>
      </c>
      <c r="S18" s="234">
        <v>1.1428413447360661E-2</v>
      </c>
      <c r="T18" s="237" t="s">
        <v>212</v>
      </c>
      <c r="U18" s="237" t="s">
        <v>194</v>
      </c>
      <c r="V18" s="240" t="s">
        <v>738</v>
      </c>
      <c r="W18" s="241">
        <f>$A$4*D!W18</f>
        <v>3404.07</v>
      </c>
      <c r="X18" s="215"/>
      <c r="AD18" s="258" t="s">
        <v>4486</v>
      </c>
      <c r="AE18" s="259">
        <f>D!$A$4*D!AE18</f>
        <v>0.24</v>
      </c>
      <c r="AG18" s="257" t="s">
        <v>7096</v>
      </c>
      <c r="AH18" s="260">
        <v>0</v>
      </c>
      <c r="AJ18" s="264" t="s">
        <v>7775</v>
      </c>
      <c r="AK18" s="267">
        <v>8.5000000000000006E-2</v>
      </c>
      <c r="AL18" s="266" t="s">
        <v>7227</v>
      </c>
      <c r="AN18" s="274">
        <v>17</v>
      </c>
      <c r="AO18" s="370" t="s">
        <v>7279</v>
      </c>
      <c r="AP18" s="276">
        <v>0.36520000000000002</v>
      </c>
      <c r="AR18" s="281">
        <v>17</v>
      </c>
      <c r="AS18" s="368" t="s">
        <v>4486</v>
      </c>
      <c r="AT18" s="280">
        <f>$A$4*D!AT18</f>
        <v>0.24</v>
      </c>
      <c r="AV18" s="283">
        <v>17</v>
      </c>
      <c r="AW18" s="257" t="s">
        <v>211</v>
      </c>
      <c r="AY18" s="266" t="s">
        <v>7832</v>
      </c>
      <c r="AZ18" s="266">
        <v>2.97</v>
      </c>
      <c r="BE18" s="287"/>
      <c r="BF18" s="287"/>
      <c r="BG18" s="401"/>
    </row>
    <row r="19" spans="1:59" ht="29" x14ac:dyDescent="0.35">
      <c r="A19" s="214"/>
      <c r="B19" s="299">
        <v>18</v>
      </c>
      <c r="C19" s="228" t="s">
        <v>490</v>
      </c>
      <c r="D19" s="222">
        <f>$A$4*D!D19</f>
        <v>3.4192546583850931</v>
      </c>
      <c r="E19" s="222">
        <f>$A$4*D!E19</f>
        <v>16924.32</v>
      </c>
      <c r="F19" s="222">
        <f>$A$4*D!F19</f>
        <v>1.1332345436427875</v>
      </c>
      <c r="G19" s="349">
        <v>0.82299999999999995</v>
      </c>
      <c r="H19" s="1617" t="s">
        <v>8911</v>
      </c>
      <c r="I19" s="226">
        <v>0.18</v>
      </c>
      <c r="J19" s="227">
        <v>47</v>
      </c>
      <c r="K19" s="353" t="s">
        <v>826</v>
      </c>
      <c r="L19" s="358">
        <v>2.7849029680365298</v>
      </c>
      <c r="M19" s="207"/>
      <c r="N19" s="207"/>
      <c r="O19" s="207"/>
      <c r="P19" s="207"/>
      <c r="Q19" s="235" t="s">
        <v>316</v>
      </c>
      <c r="R19" s="235" t="s">
        <v>825</v>
      </c>
      <c r="S19" s="234">
        <v>4.1048421580844929E-2</v>
      </c>
      <c r="T19" s="237" t="s">
        <v>213</v>
      </c>
      <c r="U19" s="237" t="s">
        <v>194</v>
      </c>
      <c r="V19" s="240" t="s">
        <v>739</v>
      </c>
      <c r="W19" s="241">
        <f>$A$4*D!W19</f>
        <v>2697.75</v>
      </c>
      <c r="X19" s="215"/>
      <c r="AD19" s="258" t="s">
        <v>7067</v>
      </c>
      <c r="AE19" s="259">
        <f>D!$A$4*D!AE19</f>
        <v>0.24</v>
      </c>
      <c r="AG19" s="257" t="s">
        <v>7097</v>
      </c>
      <c r="AH19" s="260">
        <v>0</v>
      </c>
      <c r="AJ19" s="268" t="s">
        <v>8801</v>
      </c>
      <c r="AK19" s="267">
        <v>8.5000000000000006E-2</v>
      </c>
      <c r="AL19" s="266" t="s">
        <v>7227</v>
      </c>
      <c r="AN19" s="274">
        <v>18</v>
      </c>
      <c r="AO19" s="370" t="s">
        <v>7280</v>
      </c>
      <c r="AP19" s="276">
        <v>0.18939999999999996</v>
      </c>
      <c r="AR19" s="281">
        <v>18</v>
      </c>
      <c r="AS19" s="368" t="s">
        <v>7067</v>
      </c>
      <c r="AT19" s="280">
        <f>$A$4*D!AT19</f>
        <v>0.24</v>
      </c>
      <c r="AV19" s="283">
        <v>18</v>
      </c>
      <c r="AW19" s="257" t="s">
        <v>212</v>
      </c>
      <c r="AY19" s="266" t="s">
        <v>7833</v>
      </c>
      <c r="AZ19" s="266">
        <v>2.94</v>
      </c>
      <c r="BE19" s="295" t="s">
        <v>8128</v>
      </c>
      <c r="BF19" s="296" t="s">
        <v>8461</v>
      </c>
      <c r="BG19" s="293">
        <f>$A$4*D!BG19</f>
        <v>0.76</v>
      </c>
    </row>
    <row r="20" spans="1:59" ht="29" x14ac:dyDescent="0.35">
      <c r="A20" s="214"/>
      <c r="B20" s="299">
        <v>19</v>
      </c>
      <c r="C20" s="228" t="s">
        <v>459</v>
      </c>
      <c r="D20" s="222">
        <f>$A$4*D!D20</f>
        <v>1.1930648365540906</v>
      </c>
      <c r="E20" s="222">
        <f>$A$4*D!E20</f>
        <v>48504.12</v>
      </c>
      <c r="F20" s="222">
        <f>$A$4*D!F20</f>
        <v>8.7098123433476395</v>
      </c>
      <c r="G20" s="349">
        <v>0.93100000000000005</v>
      </c>
      <c r="H20" s="1617">
        <v>0</v>
      </c>
      <c r="I20" s="226">
        <v>0.25</v>
      </c>
      <c r="J20" s="227">
        <v>76</v>
      </c>
      <c r="K20" s="353" t="s">
        <v>826</v>
      </c>
      <c r="L20" s="358">
        <v>1</v>
      </c>
      <c r="M20" s="207"/>
      <c r="N20" s="207"/>
      <c r="O20" s="207"/>
      <c r="P20" s="207"/>
      <c r="Q20" s="235" t="s">
        <v>317</v>
      </c>
      <c r="R20" s="235" t="s">
        <v>825</v>
      </c>
      <c r="S20" s="234">
        <v>1.1838701948231087E-2</v>
      </c>
      <c r="T20" s="237" t="s">
        <v>214</v>
      </c>
      <c r="U20" s="237" t="s">
        <v>194</v>
      </c>
      <c r="V20" s="240" t="s">
        <v>740</v>
      </c>
      <c r="W20" s="241">
        <f>$A$4*D!W20</f>
        <v>2462.31</v>
      </c>
      <c r="X20" s="215"/>
      <c r="AD20" s="258" t="s">
        <v>7068</v>
      </c>
      <c r="AE20" s="259">
        <f>D!$A$4*D!AE20</f>
        <v>0.24</v>
      </c>
      <c r="AG20" s="257" t="s">
        <v>663</v>
      </c>
      <c r="AH20" s="260">
        <v>0.24</v>
      </c>
      <c r="AN20" s="274">
        <v>19</v>
      </c>
      <c r="AO20" s="370" t="s">
        <v>7281</v>
      </c>
      <c r="AP20" s="276">
        <v>0.49320000000000003</v>
      </c>
      <c r="AR20" s="281">
        <v>19</v>
      </c>
      <c r="AS20" s="368" t="s">
        <v>7068</v>
      </c>
      <c r="AT20" s="280">
        <f>$A$4*D!AT20</f>
        <v>0.24</v>
      </c>
      <c r="AV20" s="283">
        <v>19</v>
      </c>
      <c r="AW20" s="257" t="s">
        <v>213</v>
      </c>
      <c r="AY20" s="266" t="s">
        <v>7834</v>
      </c>
      <c r="AZ20" s="266">
        <v>2.8</v>
      </c>
      <c r="BE20" s="296" t="s">
        <v>8117</v>
      </c>
      <c r="BF20" s="296" t="s">
        <v>8118</v>
      </c>
      <c r="BG20" s="405">
        <v>0.45500000000000002</v>
      </c>
    </row>
    <row r="21" spans="1:59" ht="43.5" x14ac:dyDescent="0.35">
      <c r="A21" s="214"/>
      <c r="B21" s="299">
        <v>20</v>
      </c>
      <c r="C21" s="228" t="s">
        <v>491</v>
      </c>
      <c r="D21" s="222">
        <f>$A$4*D!D21</f>
        <v>11.23469387755102</v>
      </c>
      <c r="E21" s="222">
        <f>$A$4*D!E21</f>
        <v>5150.88</v>
      </c>
      <c r="F21" s="222">
        <f>$A$4*D!F21</f>
        <v>1.6024969125000004</v>
      </c>
      <c r="G21" s="349">
        <v>0.71599999999999997</v>
      </c>
      <c r="H21" s="1617">
        <v>1.6E-2</v>
      </c>
      <c r="I21" s="226">
        <v>0.25</v>
      </c>
      <c r="J21" s="227"/>
      <c r="K21" s="353" t="s">
        <v>826</v>
      </c>
      <c r="L21" s="358">
        <v>2.2831050228310503</v>
      </c>
      <c r="M21" s="207"/>
      <c r="N21" s="207"/>
      <c r="O21" s="207"/>
      <c r="P21" s="207"/>
      <c r="Q21" s="235" t="s">
        <v>318</v>
      </c>
      <c r="R21" s="235" t="s">
        <v>825</v>
      </c>
      <c r="S21" s="234">
        <v>2.3225686351918264E-2</v>
      </c>
      <c r="T21" s="237" t="s">
        <v>215</v>
      </c>
      <c r="U21" s="237" t="s">
        <v>199</v>
      </c>
      <c r="V21" s="240" t="s">
        <v>780</v>
      </c>
      <c r="W21" s="241">
        <f>$A$4*D!W21</f>
        <v>784.8</v>
      </c>
      <c r="X21" s="215"/>
      <c r="AD21" s="258" t="s">
        <v>7069</v>
      </c>
      <c r="AE21" s="259">
        <f>D!$A$4*D!AE21</f>
        <v>0.15</v>
      </c>
      <c r="AG21" s="257" t="s">
        <v>7098</v>
      </c>
      <c r="AH21" s="260">
        <v>0.28999999999999998</v>
      </c>
      <c r="AN21" s="274">
        <v>20</v>
      </c>
      <c r="AO21" s="370" t="s">
        <v>7282</v>
      </c>
      <c r="AP21" s="276">
        <v>0.50239999999999996</v>
      </c>
      <c r="AR21" s="281">
        <v>20</v>
      </c>
      <c r="AS21" s="368" t="s">
        <v>7069</v>
      </c>
      <c r="AT21" s="280">
        <f>$A$4*D!AT21</f>
        <v>0.15</v>
      </c>
      <c r="AV21" s="283">
        <v>20</v>
      </c>
      <c r="AW21" s="257" t="s">
        <v>214</v>
      </c>
      <c r="AY21" s="266" t="s">
        <v>7835</v>
      </c>
      <c r="AZ21" s="266">
        <v>1.93</v>
      </c>
      <c r="BE21" s="296" t="s">
        <v>8119</v>
      </c>
      <c r="BF21" s="296" t="s">
        <v>8120</v>
      </c>
      <c r="BG21" s="405">
        <v>0.54600000000000004</v>
      </c>
    </row>
    <row r="22" spans="1:59" ht="43.5" x14ac:dyDescent="0.35">
      <c r="A22" s="214"/>
      <c r="B22" s="299">
        <v>21</v>
      </c>
      <c r="C22" s="228" t="s">
        <v>492</v>
      </c>
      <c r="D22" s="222">
        <f>$A$4*D!D22</f>
        <v>19.037463976945247</v>
      </c>
      <c r="E22" s="222">
        <f>$A$4*D!E22</f>
        <v>3039.72</v>
      </c>
      <c r="F22" s="222">
        <f>$A$4*D!F22</f>
        <v>0.48425659162130708</v>
      </c>
      <c r="G22" s="349">
        <v>0.54500000000000004</v>
      </c>
      <c r="H22" s="1617">
        <v>0.247</v>
      </c>
      <c r="I22" s="226">
        <v>0.3</v>
      </c>
      <c r="J22" s="227">
        <v>41</v>
      </c>
      <c r="K22" s="353" t="s">
        <v>826</v>
      </c>
      <c r="L22" s="358">
        <v>655.58738544411642</v>
      </c>
      <c r="M22" s="207"/>
      <c r="N22" s="207"/>
      <c r="O22" s="207"/>
      <c r="P22" s="207"/>
      <c r="Q22" s="235" t="s">
        <v>319</v>
      </c>
      <c r="R22" s="235" t="s">
        <v>825</v>
      </c>
      <c r="S22" s="234">
        <v>9.4370791159711198E-2</v>
      </c>
      <c r="T22" s="237" t="s">
        <v>216</v>
      </c>
      <c r="U22" s="237" t="s">
        <v>196</v>
      </c>
      <c r="V22" s="240" t="s">
        <v>781</v>
      </c>
      <c r="W22" s="241">
        <f>$A$4*D!W22</f>
        <v>1962</v>
      </c>
      <c r="X22" s="215"/>
      <c r="AD22" s="258" t="s">
        <v>7070</v>
      </c>
      <c r="AE22" s="259">
        <f>D!$A$4*D!AE22</f>
        <v>0.2</v>
      </c>
      <c r="AG22" s="261" t="s">
        <v>7099</v>
      </c>
      <c r="AH22" s="260">
        <v>0.6</v>
      </c>
      <c r="AN22" s="274">
        <v>21</v>
      </c>
      <c r="AO22" s="370" t="s">
        <v>7283</v>
      </c>
      <c r="AP22" s="276">
        <v>9.7799999999999998E-2</v>
      </c>
      <c r="AR22" s="281">
        <v>21</v>
      </c>
      <c r="AS22" s="368" t="s">
        <v>7070</v>
      </c>
      <c r="AT22" s="280">
        <f>$A$4*D!AT22</f>
        <v>0.2</v>
      </c>
      <c r="AV22" s="283">
        <v>21</v>
      </c>
      <c r="AW22" s="257" t="s">
        <v>215</v>
      </c>
      <c r="AY22" s="266" t="s">
        <v>7836</v>
      </c>
      <c r="AZ22" s="266">
        <v>0.88</v>
      </c>
      <c r="BE22" s="296" t="s">
        <v>8126</v>
      </c>
      <c r="BF22" s="296" t="s">
        <v>8462</v>
      </c>
      <c r="BG22" s="293">
        <f>$A$4*D!BG22</f>
        <v>4.5999999999999999E-2</v>
      </c>
    </row>
    <row r="23" spans="1:59" x14ac:dyDescent="0.35">
      <c r="A23" s="214"/>
      <c r="B23" s="299">
        <v>22</v>
      </c>
      <c r="C23" s="228" t="s">
        <v>493</v>
      </c>
      <c r="D23" s="222">
        <f>$A$4*D!D23</f>
        <v>0.76414112203585882</v>
      </c>
      <c r="E23" s="222">
        <f>$A$4*D!E23</f>
        <v>75730.2</v>
      </c>
      <c r="F23" s="222">
        <f>$A$4*D!F23</f>
        <v>0</v>
      </c>
      <c r="G23" s="230"/>
      <c r="H23" s="1618">
        <v>0</v>
      </c>
      <c r="I23" s="226">
        <v>0</v>
      </c>
      <c r="J23" s="227"/>
      <c r="K23" s="354"/>
      <c r="L23" s="359">
        <v>1.1415525114155252</v>
      </c>
      <c r="M23" s="207"/>
      <c r="N23" s="207"/>
      <c r="O23" s="207"/>
      <c r="P23" s="207"/>
      <c r="Q23" s="235" t="s">
        <v>320</v>
      </c>
      <c r="R23" s="235" t="s">
        <v>825</v>
      </c>
      <c r="S23" s="234">
        <v>4.9136437414978931E-2</v>
      </c>
      <c r="T23" s="237" t="s">
        <v>217</v>
      </c>
      <c r="U23" s="237" t="s">
        <v>196</v>
      </c>
      <c r="V23" s="240" t="s">
        <v>7788</v>
      </c>
      <c r="W23" s="241">
        <f>$A$4*D!W23</f>
        <v>0</v>
      </c>
      <c r="X23" s="215"/>
      <c r="AD23" s="258" t="s">
        <v>7071</v>
      </c>
      <c r="AE23" s="259">
        <f>D!$A$4*D!AE23</f>
        <v>8.4000000000000005E-2</v>
      </c>
      <c r="AG23" s="261" t="s">
        <v>7100</v>
      </c>
      <c r="AH23" s="260">
        <v>0.99</v>
      </c>
      <c r="AN23" s="274">
        <v>22</v>
      </c>
      <c r="AO23" s="370" t="s">
        <v>7284</v>
      </c>
      <c r="AP23" s="276">
        <v>0.29899999999999999</v>
      </c>
      <c r="AR23" s="281">
        <v>22</v>
      </c>
      <c r="AS23" s="368" t="s">
        <v>7071</v>
      </c>
      <c r="AT23" s="280">
        <f>$A$4*D!AT23</f>
        <v>8.4000000000000005E-2</v>
      </c>
      <c r="AV23" s="283">
        <v>22</v>
      </c>
      <c r="AW23" s="257" t="s">
        <v>216</v>
      </c>
      <c r="AY23" s="266" t="s">
        <v>7837</v>
      </c>
      <c r="AZ23" s="266">
        <v>0.86</v>
      </c>
      <c r="BE23" s="296" t="s">
        <v>8127</v>
      </c>
      <c r="BF23" s="296" t="s">
        <v>8463</v>
      </c>
      <c r="BG23" s="293">
        <f>$A$4*D!BG23</f>
        <v>5.5199999999999999E-2</v>
      </c>
    </row>
    <row r="24" spans="1:59" ht="26.25" customHeight="1" x14ac:dyDescent="0.35">
      <c r="A24" s="214"/>
      <c r="B24" s="299">
        <v>23</v>
      </c>
      <c r="C24" s="228" t="s">
        <v>494</v>
      </c>
      <c r="D24" s="222">
        <f>$A$4*D!D24</f>
        <v>6.3034351145038165</v>
      </c>
      <c r="E24" s="222">
        <f>$A$4*D!E24</f>
        <v>9180.48</v>
      </c>
      <c r="F24" s="222">
        <f>$A$4*D!F24</f>
        <v>0.52551271790257104</v>
      </c>
      <c r="G24" s="349">
        <v>0.65400000000000003</v>
      </c>
      <c r="H24" s="1617">
        <v>3.7999999999999999E-2</v>
      </c>
      <c r="I24" s="226">
        <v>0.3</v>
      </c>
      <c r="J24" s="227">
        <v>68</v>
      </c>
      <c r="K24" s="353" t="s">
        <v>826</v>
      </c>
      <c r="L24" s="358">
        <v>84.588546670782193</v>
      </c>
      <c r="M24" s="207"/>
      <c r="N24" s="207"/>
      <c r="O24" s="207"/>
      <c r="P24" s="207"/>
      <c r="Q24" s="235" t="s">
        <v>321</v>
      </c>
      <c r="R24" s="235" t="s">
        <v>825</v>
      </c>
      <c r="S24" s="234">
        <v>3.513223570932545E-2</v>
      </c>
      <c r="T24" s="237" t="s">
        <v>218</v>
      </c>
      <c r="U24" s="237" t="s">
        <v>219</v>
      </c>
      <c r="V24" s="240" t="s">
        <v>7789</v>
      </c>
      <c r="W24" s="241">
        <f>$A$4*D!W24</f>
        <v>3924</v>
      </c>
      <c r="X24" s="215"/>
      <c r="AD24" s="258" t="s">
        <v>7072</v>
      </c>
      <c r="AE24" s="259">
        <f>D!$A$4*D!AE24</f>
        <v>9.5000000000000001E-2</v>
      </c>
      <c r="AG24" s="261" t="s">
        <v>7101</v>
      </c>
      <c r="AH24" s="262">
        <v>0.99990000000000001</v>
      </c>
      <c r="AN24" s="274">
        <v>23</v>
      </c>
      <c r="AO24" s="370" t="s">
        <v>7285</v>
      </c>
      <c r="AP24" s="276">
        <v>0.53059999999999996</v>
      </c>
      <c r="AR24" s="281">
        <v>23</v>
      </c>
      <c r="AS24" s="368" t="s">
        <v>7072</v>
      </c>
      <c r="AT24" s="280">
        <f>$A$4*D!AT24</f>
        <v>9.5000000000000001E-2</v>
      </c>
      <c r="AV24" s="283">
        <v>23</v>
      </c>
      <c r="AW24" s="257" t="s">
        <v>217</v>
      </c>
      <c r="AY24" s="266" t="s">
        <v>7838</v>
      </c>
      <c r="AZ24" s="266">
        <v>0.8</v>
      </c>
      <c r="BE24" s="295" t="s">
        <v>8123</v>
      </c>
      <c r="BF24" s="295" t="s">
        <v>8124</v>
      </c>
      <c r="BG24" s="405">
        <v>2.8</v>
      </c>
    </row>
    <row r="25" spans="1:59" x14ac:dyDescent="0.35">
      <c r="A25" s="214"/>
      <c r="B25" s="299">
        <v>24</v>
      </c>
      <c r="C25" s="228" t="s">
        <v>495</v>
      </c>
      <c r="D25" s="222">
        <f>$A$4*D!D25</f>
        <v>8.0072727272727278</v>
      </c>
      <c r="E25" s="222">
        <f>$A$4*D!E25</f>
        <v>7227</v>
      </c>
      <c r="F25" s="222">
        <f>$A$4*D!F25</f>
        <v>1.9456834947296138</v>
      </c>
      <c r="G25" s="349">
        <v>0.71799999999999997</v>
      </c>
      <c r="H25" s="1617">
        <v>0.19399999999999998</v>
      </c>
      <c r="I25" s="226">
        <v>0.25</v>
      </c>
      <c r="J25" s="227">
        <v>31</v>
      </c>
      <c r="K25" s="353" t="s">
        <v>826</v>
      </c>
      <c r="L25" s="358">
        <v>8.1539465101108934</v>
      </c>
      <c r="M25" s="207"/>
      <c r="N25" s="207"/>
      <c r="O25" s="207"/>
      <c r="P25" s="207"/>
      <c r="Q25" s="235" t="s">
        <v>322</v>
      </c>
      <c r="R25" s="235" t="s">
        <v>825</v>
      </c>
      <c r="S25" s="234">
        <v>1.8690212945082336E-2</v>
      </c>
      <c r="T25" s="237" t="s">
        <v>220</v>
      </c>
      <c r="U25" s="237" t="s">
        <v>196</v>
      </c>
      <c r="V25" s="240" t="s">
        <v>7790</v>
      </c>
      <c r="W25" s="241">
        <f>$A$4*D!W25</f>
        <v>0</v>
      </c>
      <c r="X25" s="215"/>
      <c r="AD25" s="258" t="s">
        <v>7073</v>
      </c>
      <c r="AE25" s="259">
        <f>D!$A$4*D!AE25</f>
        <v>0.1</v>
      </c>
      <c r="AG25" s="261" t="s">
        <v>7102</v>
      </c>
      <c r="AH25" s="262">
        <v>0.99950000000000006</v>
      </c>
      <c r="AN25" s="274">
        <v>24</v>
      </c>
      <c r="AO25" s="370" t="s">
        <v>7286</v>
      </c>
      <c r="AP25" s="276">
        <v>0.22759999999999997</v>
      </c>
      <c r="AR25" s="281">
        <v>24</v>
      </c>
      <c r="AS25" s="368" t="s">
        <v>7073</v>
      </c>
      <c r="AT25" s="280">
        <f>$A$4*D!AT25</f>
        <v>0.1</v>
      </c>
      <c r="AV25" s="283">
        <v>24</v>
      </c>
      <c r="AW25" s="257" t="s">
        <v>218</v>
      </c>
      <c r="AY25" s="266" t="s">
        <v>7839</v>
      </c>
      <c r="AZ25" s="266">
        <v>0.63</v>
      </c>
      <c r="BE25" s="287"/>
      <c r="BF25" s="287"/>
      <c r="BG25" s="401"/>
    </row>
    <row r="26" spans="1:59" ht="29" x14ac:dyDescent="0.35">
      <c r="A26" s="214"/>
      <c r="B26" s="299">
        <v>25</v>
      </c>
      <c r="C26" s="228" t="s">
        <v>496</v>
      </c>
      <c r="D26" s="222">
        <f>$A$4*D!D26</f>
        <v>4.2183908045977008</v>
      </c>
      <c r="E26" s="222">
        <f>$A$4*D!E26</f>
        <v>13718.16</v>
      </c>
      <c r="F26" s="222">
        <f>$A$4*D!F26</f>
        <v>1.5156499364806864</v>
      </c>
      <c r="G26" s="349">
        <v>0.78</v>
      </c>
      <c r="H26" s="1617">
        <v>8.900000000000001E-2</v>
      </c>
      <c r="I26" s="226">
        <v>0.1</v>
      </c>
      <c r="J26" s="227">
        <v>35</v>
      </c>
      <c r="K26" s="353" t="s">
        <v>826</v>
      </c>
      <c r="L26" s="358">
        <v>1.9348347651110598</v>
      </c>
      <c r="M26" s="207"/>
      <c r="N26" s="207"/>
      <c r="O26" s="207"/>
      <c r="P26" s="207"/>
      <c r="Q26" s="235" t="s">
        <v>323</v>
      </c>
      <c r="R26" s="235" t="s">
        <v>825</v>
      </c>
      <c r="S26" s="234">
        <v>3.8847061957173162E-2</v>
      </c>
      <c r="T26" s="237" t="s">
        <v>221</v>
      </c>
      <c r="U26" s="237" t="s">
        <v>196</v>
      </c>
      <c r="V26" s="240" t="s">
        <v>7791</v>
      </c>
      <c r="W26" s="241">
        <f>$A$4*D!W26</f>
        <v>3924</v>
      </c>
      <c r="X26" s="215"/>
      <c r="AD26" s="258" t="s">
        <v>7074</v>
      </c>
      <c r="AE26" s="259">
        <f>D!$A$4*D!AE26</f>
        <v>0.1</v>
      </c>
      <c r="AG26" s="261" t="s">
        <v>7103</v>
      </c>
      <c r="AH26" s="262">
        <v>0.97499999999999998</v>
      </c>
      <c r="AN26" s="274">
        <v>25</v>
      </c>
      <c r="AO26" s="370" t="s">
        <v>7287</v>
      </c>
      <c r="AP26" s="276">
        <v>0.14319999999999999</v>
      </c>
      <c r="AR26" s="281">
        <v>25</v>
      </c>
      <c r="AS26" s="368" t="s">
        <v>7074</v>
      </c>
      <c r="AT26" s="280">
        <f>$A$4*D!AT26</f>
        <v>0.1</v>
      </c>
      <c r="AV26" s="283">
        <v>25</v>
      </c>
      <c r="AW26" s="257" t="s">
        <v>220</v>
      </c>
      <c r="AY26" s="266"/>
      <c r="AZ26" s="266"/>
      <c r="BE26" s="287"/>
      <c r="BF26" s="287"/>
      <c r="BG26" s="401"/>
    </row>
    <row r="27" spans="1:59" ht="29" x14ac:dyDescent="0.35">
      <c r="A27" s="214"/>
      <c r="B27" s="299">
        <v>26</v>
      </c>
      <c r="C27" s="228" t="s">
        <v>497</v>
      </c>
      <c r="D27" s="222">
        <f>$A$4*D!D27</f>
        <v>4.2427745664739884</v>
      </c>
      <c r="E27" s="222">
        <f>$A$4*D!E27</f>
        <v>13639.32</v>
      </c>
      <c r="F27" s="222">
        <f>$A$4*D!F27</f>
        <v>1.3694453853059023</v>
      </c>
      <c r="G27" s="349">
        <v>0.73499999999999999</v>
      </c>
      <c r="H27" s="1617" t="s">
        <v>825</v>
      </c>
      <c r="I27" s="226">
        <v>0.22</v>
      </c>
      <c r="J27" s="227">
        <v>60</v>
      </c>
      <c r="K27" s="353" t="s">
        <v>826</v>
      </c>
      <c r="L27" s="358">
        <v>13.077901445966553</v>
      </c>
      <c r="M27" s="207"/>
      <c r="N27" s="207"/>
      <c r="O27" s="207"/>
      <c r="P27" s="207"/>
      <c r="Q27" s="235" t="s">
        <v>324</v>
      </c>
      <c r="R27" s="235" t="s">
        <v>825</v>
      </c>
      <c r="S27" s="234">
        <v>1.7943174413295151E-2</v>
      </c>
      <c r="T27" s="237" t="s">
        <v>222</v>
      </c>
      <c r="U27" s="237" t="s">
        <v>196</v>
      </c>
      <c r="V27" s="242"/>
      <c r="W27" s="243"/>
      <c r="AD27" s="258" t="s">
        <v>7075</v>
      </c>
      <c r="AE27" s="259">
        <f>D!$A$4*D!AE27</f>
        <v>0.4</v>
      </c>
      <c r="AG27" s="261" t="s">
        <v>7104</v>
      </c>
      <c r="AH27" s="260">
        <v>0.7</v>
      </c>
      <c r="AN27" s="274">
        <v>26</v>
      </c>
      <c r="AO27" s="370" t="s">
        <v>7288</v>
      </c>
      <c r="AP27" s="276">
        <v>0.28360000000000002</v>
      </c>
      <c r="AR27" s="281">
        <v>26</v>
      </c>
      <c r="AS27" s="368" t="s">
        <v>7075</v>
      </c>
      <c r="AT27" s="280">
        <f>$A$4*D!AT27</f>
        <v>0.4</v>
      </c>
      <c r="AV27" s="283">
        <v>26</v>
      </c>
      <c r="AW27" s="257" t="s">
        <v>222</v>
      </c>
      <c r="AY27" s="266"/>
      <c r="AZ27" s="266"/>
    </row>
    <row r="28" spans="1:59" ht="29" x14ac:dyDescent="0.35">
      <c r="A28" s="214"/>
      <c r="B28" s="299">
        <v>27</v>
      </c>
      <c r="C28" s="228" t="s">
        <v>498</v>
      </c>
      <c r="D28" s="222">
        <f>$A$4*D!D28</f>
        <v>4.5402061855670102</v>
      </c>
      <c r="E28" s="222">
        <f>$A$4*D!E28</f>
        <v>12745.8</v>
      </c>
      <c r="F28" s="222">
        <f>$A$4*D!F28</f>
        <v>1.2573765239166246</v>
      </c>
      <c r="G28" s="349">
        <v>0.76500000000000001</v>
      </c>
      <c r="H28" s="1617">
        <v>2.1000000000000001E-2</v>
      </c>
      <c r="I28" s="226">
        <v>0.34</v>
      </c>
      <c r="J28" s="227">
        <v>38</v>
      </c>
      <c r="K28" s="353" t="s">
        <v>826</v>
      </c>
      <c r="L28" s="358">
        <v>6.3419583967529167</v>
      </c>
      <c r="M28" s="207"/>
      <c r="N28" s="207"/>
      <c r="O28" s="207"/>
      <c r="P28" s="207"/>
      <c r="Q28" s="235" t="s">
        <v>325</v>
      </c>
      <c r="R28" s="235" t="s">
        <v>825</v>
      </c>
      <c r="S28" s="234">
        <v>4.3085243433757296E-2</v>
      </c>
      <c r="T28" s="237" t="s">
        <v>196</v>
      </c>
      <c r="U28" s="237"/>
      <c r="V28" s="244"/>
      <c r="W28" s="245"/>
      <c r="X28" s="218"/>
      <c r="AD28" s="258" t="s">
        <v>7076</v>
      </c>
      <c r="AE28" s="259">
        <f>D!$A$4*D!AE28</f>
        <v>0.1</v>
      </c>
      <c r="AG28" s="261" t="s">
        <v>7105</v>
      </c>
      <c r="AH28" s="260">
        <v>0.7</v>
      </c>
      <c r="AN28" s="274">
        <v>27</v>
      </c>
      <c r="AO28" s="370" t="s">
        <v>7289</v>
      </c>
      <c r="AP28" s="276">
        <v>0.33560000000000001</v>
      </c>
      <c r="AR28" s="281">
        <v>27</v>
      </c>
      <c r="AS28" s="368" t="s">
        <v>7076</v>
      </c>
      <c r="AT28" s="280">
        <f>$A$4*D!AT28</f>
        <v>0.1</v>
      </c>
    </row>
    <row r="29" spans="1:59" ht="15" customHeight="1" x14ac:dyDescent="0.35">
      <c r="A29" s="214"/>
      <c r="B29" s="299">
        <v>28</v>
      </c>
      <c r="C29" s="228" t="s">
        <v>499</v>
      </c>
      <c r="D29" s="222">
        <f>$A$4*D!D29</f>
        <v>0</v>
      </c>
      <c r="E29" s="222">
        <f>$A$4*D!E29</f>
        <v>0</v>
      </c>
      <c r="F29" s="222">
        <f>$A$4*D!F29</f>
        <v>0</v>
      </c>
      <c r="G29" s="230"/>
      <c r="H29" s="1618">
        <v>0</v>
      </c>
      <c r="I29" s="226">
        <v>0</v>
      </c>
      <c r="J29" s="227"/>
      <c r="K29" s="354"/>
      <c r="L29" s="359">
        <v>0.8904109589041096</v>
      </c>
      <c r="M29" s="207"/>
      <c r="N29" s="207"/>
      <c r="O29" s="207"/>
      <c r="P29" s="207"/>
      <c r="Q29" s="235" t="s">
        <v>326</v>
      </c>
      <c r="R29" s="235" t="s">
        <v>825</v>
      </c>
      <c r="S29" s="234">
        <v>7.4998016571379653E-2</v>
      </c>
      <c r="T29" s="207"/>
      <c r="U29" s="207"/>
      <c r="V29" s="217"/>
      <c r="W29" s="218"/>
      <c r="X29" s="218"/>
      <c r="AD29" s="258" t="s">
        <v>7077</v>
      </c>
      <c r="AE29" s="259">
        <f>D!$A$4*D!AE29</f>
        <v>0.4</v>
      </c>
      <c r="AG29" s="261" t="s">
        <v>7106</v>
      </c>
      <c r="AH29" s="260">
        <v>0.97</v>
      </c>
      <c r="AN29" s="274">
        <v>28</v>
      </c>
      <c r="AO29" s="370" t="s">
        <v>7290</v>
      </c>
      <c r="AP29" s="276">
        <v>0.3584</v>
      </c>
      <c r="AR29" s="281">
        <v>28</v>
      </c>
      <c r="AS29" s="368" t="s">
        <v>7077</v>
      </c>
      <c r="AT29" s="280">
        <f>$A$4*D!AT29</f>
        <v>0.4</v>
      </c>
    </row>
    <row r="30" spans="1:59" x14ac:dyDescent="0.35">
      <c r="A30" s="214"/>
      <c r="B30" s="299">
        <v>29</v>
      </c>
      <c r="C30" s="228" t="s">
        <v>500</v>
      </c>
      <c r="D30" s="222">
        <f>$A$4*D!D30</f>
        <v>0.99398134216069811</v>
      </c>
      <c r="E30" s="222">
        <f>$A$4*D!E30</f>
        <v>58218.96</v>
      </c>
      <c r="F30" s="222">
        <f>$A$4*D!F30</f>
        <v>6.1651140744633945</v>
      </c>
      <c r="G30" s="349">
        <v>0.83799999999999997</v>
      </c>
      <c r="H30" s="1617">
        <v>0</v>
      </c>
      <c r="I30" s="226">
        <v>0.185</v>
      </c>
      <c r="J30" s="227">
        <v>60</v>
      </c>
      <c r="K30" s="353" t="s">
        <v>826</v>
      </c>
      <c r="L30" s="358">
        <v>1.5750039151986188</v>
      </c>
      <c r="M30" s="207"/>
      <c r="N30" s="207"/>
      <c r="O30" s="207"/>
      <c r="P30" s="207"/>
      <c r="Q30" s="235" t="s">
        <v>327</v>
      </c>
      <c r="R30" s="235" t="s">
        <v>825</v>
      </c>
      <c r="S30" s="234">
        <v>6.167565472170166E-2</v>
      </c>
      <c r="T30" s="207"/>
      <c r="U30" s="207"/>
      <c r="V30" s="217"/>
      <c r="W30" s="218"/>
      <c r="X30" s="218"/>
      <c r="AD30" s="258" t="s">
        <v>7078</v>
      </c>
      <c r="AE30" s="259">
        <f>D!$A$4*D!AE30</f>
        <v>0.4</v>
      </c>
      <c r="AG30" s="261" t="s">
        <v>7107</v>
      </c>
      <c r="AH30" s="260">
        <v>0.99</v>
      </c>
      <c r="AN30" s="274">
        <v>29</v>
      </c>
      <c r="AO30" s="370" t="s">
        <v>7291</v>
      </c>
      <c r="AP30" s="276">
        <v>0.19500000000000001</v>
      </c>
      <c r="AR30" s="281">
        <v>29</v>
      </c>
      <c r="AS30" s="368" t="s">
        <v>7078</v>
      </c>
      <c r="AT30" s="280">
        <f>$A$4*D!AT30</f>
        <v>0.4</v>
      </c>
    </row>
    <row r="31" spans="1:59" ht="43.5" x14ac:dyDescent="0.35">
      <c r="A31" s="214"/>
      <c r="B31" s="299">
        <v>30</v>
      </c>
      <c r="C31" s="228" t="s">
        <v>501</v>
      </c>
      <c r="D31" s="222">
        <f>$A$4*D!D31</f>
        <v>2.777964676198486</v>
      </c>
      <c r="E31" s="222">
        <f>$A$4*D!E31</f>
        <v>20831.28</v>
      </c>
      <c r="F31" s="222">
        <f>$A$4*D!F31</f>
        <v>1.8709202253531496</v>
      </c>
      <c r="G31" s="349">
        <v>0.81599999999999995</v>
      </c>
      <c r="H31" s="1617">
        <v>0</v>
      </c>
      <c r="I31" s="226">
        <v>0.1</v>
      </c>
      <c r="J31" s="227">
        <v>44</v>
      </c>
      <c r="K31" s="352" t="s">
        <v>826</v>
      </c>
      <c r="L31" s="357">
        <v>1.9592846270928423</v>
      </c>
      <c r="M31" s="207"/>
      <c r="N31" s="207"/>
      <c r="O31" s="207"/>
      <c r="P31" s="207"/>
      <c r="Q31" s="235" t="s">
        <v>328</v>
      </c>
      <c r="R31" s="235" t="s">
        <v>825</v>
      </c>
      <c r="S31" s="234">
        <v>7.738123329306229E-2</v>
      </c>
      <c r="T31" s="207"/>
      <c r="U31" s="207"/>
      <c r="V31" s="217"/>
      <c r="W31" s="218"/>
      <c r="X31" s="218"/>
      <c r="AD31" s="258" t="s">
        <v>7079</v>
      </c>
      <c r="AE31" s="259">
        <f>D!$A$4*D!AE31</f>
        <v>0.4</v>
      </c>
      <c r="AG31" s="261" t="s">
        <v>7108</v>
      </c>
      <c r="AH31" s="262">
        <v>0.99750000000000005</v>
      </c>
      <c r="AN31" s="274">
        <v>30</v>
      </c>
      <c r="AO31" s="370" t="s">
        <v>7292</v>
      </c>
      <c r="AP31" s="276">
        <v>0.50440000000000007</v>
      </c>
      <c r="AR31" s="281">
        <v>30</v>
      </c>
      <c r="AS31" s="368" t="s">
        <v>7079</v>
      </c>
      <c r="AT31" s="280">
        <f>$A$4*D!AT31</f>
        <v>0.4</v>
      </c>
    </row>
    <row r="32" spans="1:59" ht="29" x14ac:dyDescent="0.35">
      <c r="A32" s="214"/>
      <c r="B32" s="299">
        <v>31</v>
      </c>
      <c r="C32" s="228" t="s">
        <v>502</v>
      </c>
      <c r="D32" s="222">
        <f>$A$4*D!D32</f>
        <v>30.164383561643834</v>
      </c>
      <c r="E32" s="222">
        <f>$A$4*D!E32</f>
        <v>1918.44</v>
      </c>
      <c r="F32" s="222">
        <f>$A$4*D!F32</f>
        <v>0.37149175902884296</v>
      </c>
      <c r="G32" s="349">
        <v>0.45200000000000001</v>
      </c>
      <c r="H32" s="1617">
        <v>0.35700000000000004</v>
      </c>
      <c r="I32" s="226">
        <v>0.28000000000000003</v>
      </c>
      <c r="J32" s="227">
        <v>40</v>
      </c>
      <c r="K32" s="352" t="s">
        <v>825</v>
      </c>
      <c r="L32" s="357">
        <v>657.06164898509712</v>
      </c>
      <c r="M32" s="207"/>
      <c r="N32" s="207"/>
      <c r="O32" s="207"/>
      <c r="P32" s="207"/>
      <c r="Q32" s="235" t="s">
        <v>329</v>
      </c>
      <c r="R32" s="235" t="s">
        <v>825</v>
      </c>
      <c r="S32" s="234">
        <v>2.0970905551697571E-2</v>
      </c>
      <c r="T32" s="207"/>
      <c r="U32" s="207"/>
      <c r="V32" s="217"/>
      <c r="W32" s="218"/>
      <c r="X32" s="218"/>
      <c r="AD32" s="258" t="s">
        <v>7080</v>
      </c>
      <c r="AE32" s="259">
        <f>D!$A$4*D!AE32</f>
        <v>0.4</v>
      </c>
      <c r="AG32" s="261" t="s">
        <v>7109</v>
      </c>
      <c r="AH32" s="262">
        <v>0.99</v>
      </c>
      <c r="AN32" s="274">
        <v>31</v>
      </c>
      <c r="AO32" s="370" t="s">
        <v>7293</v>
      </c>
      <c r="AP32" s="276">
        <v>0.36920000000000003</v>
      </c>
      <c r="AR32" s="281">
        <v>31</v>
      </c>
      <c r="AS32" s="367" t="s">
        <v>7080</v>
      </c>
      <c r="AT32" s="280">
        <f>$A$4*D!AT32</f>
        <v>0.4</v>
      </c>
    </row>
    <row r="33" spans="1:42" x14ac:dyDescent="0.35">
      <c r="A33" s="214"/>
      <c r="B33" s="299">
        <v>32</v>
      </c>
      <c r="C33" s="228" t="s">
        <v>503</v>
      </c>
      <c r="D33" s="222">
        <f>$A$4*D!D33</f>
        <v>84.692307692307693</v>
      </c>
      <c r="E33" s="222">
        <f>$A$4*D!E33</f>
        <v>683.28</v>
      </c>
      <c r="F33" s="222">
        <f>$A$4*D!F33</f>
        <v>0.36203836144315016</v>
      </c>
      <c r="G33" s="349">
        <v>0.433</v>
      </c>
      <c r="H33" s="1617">
        <v>0.33200000000000002</v>
      </c>
      <c r="I33" s="226">
        <v>0.3</v>
      </c>
      <c r="J33" s="227">
        <v>19</v>
      </c>
      <c r="K33" s="353" t="s">
        <v>826</v>
      </c>
      <c r="L33" s="358">
        <v>2186.1257714992353</v>
      </c>
      <c r="M33" s="207"/>
      <c r="N33" s="207"/>
      <c r="O33" s="207"/>
      <c r="P33" s="207"/>
      <c r="Q33" s="235" t="s">
        <v>330</v>
      </c>
      <c r="R33" s="235" t="s">
        <v>825</v>
      </c>
      <c r="S33" s="234">
        <v>2.9840028990401536E-2</v>
      </c>
      <c r="T33" s="207"/>
      <c r="U33" s="207"/>
      <c r="V33" s="217"/>
      <c r="W33" s="218"/>
      <c r="X33" s="218"/>
      <c r="AD33" s="258"/>
      <c r="AE33" s="259">
        <f>D!$A$4*D!AE33</f>
        <v>0</v>
      </c>
      <c r="AG33" s="261" t="s">
        <v>7110</v>
      </c>
      <c r="AH33" s="260">
        <v>0</v>
      </c>
      <c r="AN33" s="274">
        <v>32</v>
      </c>
      <c r="AO33" s="370" t="s">
        <v>7294</v>
      </c>
      <c r="AP33" s="276">
        <v>0.89200000000000002</v>
      </c>
    </row>
    <row r="34" spans="1:42" x14ac:dyDescent="0.35">
      <c r="A34" s="214"/>
      <c r="B34" s="299">
        <v>33</v>
      </c>
      <c r="C34" s="228" t="s">
        <v>504</v>
      </c>
      <c r="D34" s="222">
        <f>$A$4*D!D34</f>
        <v>10.603531300160514</v>
      </c>
      <c r="E34" s="222">
        <f>$A$4*D!E34</f>
        <v>5457.48</v>
      </c>
      <c r="F34" s="222">
        <f>$A$4*D!F34</f>
        <v>0.79618115119321431</v>
      </c>
      <c r="G34" s="349">
        <v>0.66500000000000004</v>
      </c>
      <c r="H34" s="1617">
        <v>3.2000000000000001E-2</v>
      </c>
      <c r="I34" s="226">
        <v>0.22</v>
      </c>
      <c r="J34" s="227">
        <v>58</v>
      </c>
      <c r="K34" s="353" t="s">
        <v>826</v>
      </c>
      <c r="L34" s="358">
        <v>110.49742327281793</v>
      </c>
      <c r="M34" s="207"/>
      <c r="N34" s="207"/>
      <c r="O34" s="207"/>
      <c r="P34" s="207"/>
      <c r="Q34" s="235" t="s">
        <v>331</v>
      </c>
      <c r="R34" s="235" t="s">
        <v>825</v>
      </c>
      <c r="S34" s="234">
        <v>4.1174568473473429E-2</v>
      </c>
      <c r="T34" s="207"/>
      <c r="U34" s="207"/>
      <c r="V34" s="217"/>
      <c r="W34" s="218"/>
      <c r="X34" s="218"/>
      <c r="AD34" s="258"/>
      <c r="AE34" s="259">
        <f>D!$A$4*D!AE34</f>
        <v>0</v>
      </c>
      <c r="AG34" s="261" t="s">
        <v>7111</v>
      </c>
      <c r="AH34" s="260">
        <v>0.5</v>
      </c>
      <c r="AN34" s="274">
        <v>33</v>
      </c>
      <c r="AO34" s="370" t="s">
        <v>7295</v>
      </c>
      <c r="AP34" s="276">
        <v>0.42359999999999998</v>
      </c>
    </row>
    <row r="35" spans="1:42" ht="29" x14ac:dyDescent="0.35">
      <c r="A35" s="214"/>
      <c r="B35" s="299">
        <v>34</v>
      </c>
      <c r="C35" s="228" t="s">
        <v>505</v>
      </c>
      <c r="D35" s="222">
        <f>$A$4*D!D35</f>
        <v>15.543529411764705</v>
      </c>
      <c r="E35" s="222">
        <f>$A$4*D!E35</f>
        <v>3723</v>
      </c>
      <c r="F35" s="222">
        <f>$A$4*D!F35</f>
        <v>1.1085783759656653</v>
      </c>
      <c r="G35" s="349">
        <v>0.59399999999999997</v>
      </c>
      <c r="H35" s="1617">
        <v>7.4999999999999997E-2</v>
      </c>
      <c r="I35" s="226">
        <v>0.2</v>
      </c>
      <c r="J35" s="227">
        <v>21</v>
      </c>
      <c r="K35" s="352" t="s">
        <v>826</v>
      </c>
      <c r="L35" s="357">
        <v>4566.2100456621001</v>
      </c>
      <c r="M35" s="207"/>
      <c r="N35" s="207"/>
      <c r="O35" s="207"/>
      <c r="P35" s="207"/>
      <c r="Q35" s="235" t="s">
        <v>332</v>
      </c>
      <c r="R35" s="235" t="s">
        <v>825</v>
      </c>
      <c r="S35" s="234">
        <v>2.373578840098553E-2</v>
      </c>
      <c r="T35" s="207"/>
      <c r="U35" s="207"/>
      <c r="V35" s="217"/>
      <c r="W35" s="218"/>
      <c r="X35" s="218"/>
      <c r="AD35" s="258"/>
      <c r="AE35" s="259">
        <f>D!$A$4*D!AE35</f>
        <v>0</v>
      </c>
      <c r="AG35" s="261" t="s">
        <v>7112</v>
      </c>
      <c r="AH35" s="260"/>
      <c r="AN35" s="274">
        <v>34</v>
      </c>
      <c r="AO35" s="370" t="s">
        <v>7296</v>
      </c>
      <c r="AP35" s="276">
        <v>0.2752</v>
      </c>
    </row>
    <row r="36" spans="1:42" x14ac:dyDescent="0.35">
      <c r="A36" s="214"/>
      <c r="B36" s="299">
        <v>35</v>
      </c>
      <c r="C36" s="228" t="s">
        <v>506</v>
      </c>
      <c r="D36" s="222">
        <f>$A$4*D!D36</f>
        <v>17.758064516129032</v>
      </c>
      <c r="E36" s="222">
        <f>$A$4*D!E36</f>
        <v>3258.72</v>
      </c>
      <c r="F36" s="222">
        <f>$A$4*D!F36</f>
        <v>0.40496133330608197</v>
      </c>
      <c r="G36" s="349">
        <v>0.56299999999999994</v>
      </c>
      <c r="H36" s="1617">
        <v>0.43700000000000006</v>
      </c>
      <c r="I36" s="226">
        <v>0.33</v>
      </c>
      <c r="J36" s="227">
        <v>25</v>
      </c>
      <c r="K36" s="352" t="s">
        <v>825</v>
      </c>
      <c r="L36" s="357">
        <v>657.06164898509712</v>
      </c>
      <c r="M36" s="207"/>
      <c r="N36" s="207"/>
      <c r="O36" s="207"/>
      <c r="P36" s="207"/>
      <c r="Q36" s="235" t="s">
        <v>333</v>
      </c>
      <c r="R36" s="235" t="s">
        <v>825</v>
      </c>
      <c r="S36" s="234">
        <v>3.6716011191864614E-2</v>
      </c>
      <c r="T36" s="207"/>
      <c r="U36" s="207"/>
      <c r="V36" s="217"/>
      <c r="W36" s="218"/>
      <c r="X36" s="218"/>
      <c r="AD36" s="258"/>
      <c r="AE36" s="259">
        <f>D!$A$4*D!AE36</f>
        <v>0</v>
      </c>
      <c r="AG36" s="261" t="s">
        <v>7113</v>
      </c>
      <c r="AH36" s="259"/>
      <c r="AN36" s="274">
        <v>35</v>
      </c>
      <c r="AO36" s="370" t="s">
        <v>7297</v>
      </c>
      <c r="AP36" s="276">
        <v>0.51200000000000001</v>
      </c>
    </row>
    <row r="37" spans="1:42" x14ac:dyDescent="0.35">
      <c r="A37" s="214"/>
      <c r="B37" s="299">
        <v>36</v>
      </c>
      <c r="C37" s="228" t="s">
        <v>507</v>
      </c>
      <c r="D37" s="222">
        <f>$A$4*D!D37</f>
        <v>1.390736842105263</v>
      </c>
      <c r="E37" s="222">
        <f>$A$4*D!E37</f>
        <v>41610</v>
      </c>
      <c r="F37" s="222">
        <f>$A$4*D!F37</f>
        <v>7.8960517993707899</v>
      </c>
      <c r="G37" s="349">
        <v>0.92900000000000005</v>
      </c>
      <c r="H37" s="1617">
        <v>0</v>
      </c>
      <c r="I37" s="226">
        <v>0.26469999999999999</v>
      </c>
      <c r="J37" s="227">
        <v>77</v>
      </c>
      <c r="K37" s="352" t="s">
        <v>826</v>
      </c>
      <c r="L37" s="357">
        <v>1.5309962011687901</v>
      </c>
      <c r="M37" s="207"/>
      <c r="N37" s="207"/>
      <c r="O37" s="207"/>
      <c r="P37" s="207"/>
      <c r="Q37" s="235" t="s">
        <v>334</v>
      </c>
      <c r="R37" s="235" t="s">
        <v>825</v>
      </c>
      <c r="S37" s="234">
        <v>4.5378690984674806E-2</v>
      </c>
      <c r="T37" s="207"/>
      <c r="U37" s="207"/>
      <c r="V37" s="217"/>
      <c r="W37" s="218"/>
      <c r="X37" s="218"/>
      <c r="AD37" s="258"/>
      <c r="AE37" s="259">
        <f>D!$A$4*D!AE37</f>
        <v>0</v>
      </c>
      <c r="AG37" s="261" t="s">
        <v>7114</v>
      </c>
      <c r="AH37" s="259"/>
      <c r="AN37" s="274">
        <v>36</v>
      </c>
      <c r="AO37" s="370" t="s">
        <v>7298</v>
      </c>
      <c r="AP37" s="276">
        <v>0.4098</v>
      </c>
    </row>
    <row r="38" spans="1:42" x14ac:dyDescent="0.35">
      <c r="A38" s="214"/>
      <c r="B38" s="299">
        <v>37</v>
      </c>
      <c r="C38" s="228" t="s">
        <v>508</v>
      </c>
      <c r="D38" s="222">
        <f>$A$4*D!D38</f>
        <v>1.1370051635111875</v>
      </c>
      <c r="E38" s="222">
        <f>$A$4*D!E38</f>
        <v>50895.6</v>
      </c>
      <c r="F38" s="222">
        <f>$A$4*D!F38</f>
        <v>0</v>
      </c>
      <c r="G38" s="230"/>
      <c r="H38" s="1618">
        <v>0</v>
      </c>
      <c r="I38" s="226">
        <v>0</v>
      </c>
      <c r="J38" s="227"/>
      <c r="K38" s="355"/>
      <c r="L38" s="360">
        <v>1.3698684931726028</v>
      </c>
      <c r="M38" s="207"/>
      <c r="N38" s="207"/>
      <c r="O38" s="207"/>
      <c r="P38" s="207"/>
      <c r="Q38" s="235" t="s">
        <v>335</v>
      </c>
      <c r="R38" s="235" t="s">
        <v>825</v>
      </c>
      <c r="S38" s="234">
        <v>2.4158082114896166E-2</v>
      </c>
      <c r="T38" s="207"/>
      <c r="U38" s="207"/>
      <c r="V38" s="217"/>
      <c r="W38" s="218"/>
      <c r="X38" s="218"/>
      <c r="AN38" s="274">
        <v>37</v>
      </c>
      <c r="AO38" s="370" t="s">
        <v>7299</v>
      </c>
      <c r="AP38" s="276">
        <v>0.25</v>
      </c>
    </row>
    <row r="39" spans="1:42" ht="29" x14ac:dyDescent="0.35">
      <c r="A39" s="214"/>
      <c r="B39" s="299">
        <v>38</v>
      </c>
      <c r="C39" s="228" t="s">
        <v>509</v>
      </c>
      <c r="D39" s="222">
        <f>$A$4*D!D39</f>
        <v>63.519230769230766</v>
      </c>
      <c r="E39" s="222">
        <f>$A$4*D!E39</f>
        <v>911.04</v>
      </c>
      <c r="F39" s="222">
        <f>$A$4*D!F39</f>
        <v>0.49602424261223738</v>
      </c>
      <c r="G39" s="349">
        <v>0.39700000000000002</v>
      </c>
      <c r="H39" s="1617">
        <v>0.31</v>
      </c>
      <c r="I39" s="226">
        <v>0.3</v>
      </c>
      <c r="J39" s="227">
        <v>26</v>
      </c>
      <c r="K39" s="352" t="s">
        <v>826</v>
      </c>
      <c r="L39" s="357">
        <v>657.06164898509712</v>
      </c>
      <c r="M39" s="207"/>
      <c r="N39" s="207"/>
      <c r="O39" s="207"/>
      <c r="P39" s="207"/>
      <c r="Q39" s="235" t="s">
        <v>661</v>
      </c>
      <c r="R39" s="235" t="s">
        <v>825</v>
      </c>
      <c r="S39" s="234">
        <v>5.4660966291226298E-2</v>
      </c>
      <c r="T39" s="207"/>
      <c r="U39" s="207"/>
      <c r="V39" s="217"/>
      <c r="W39" s="218"/>
      <c r="X39" s="218"/>
      <c r="AN39" s="274">
        <v>38</v>
      </c>
      <c r="AO39" s="370" t="s">
        <v>7300</v>
      </c>
      <c r="AP39" s="276">
        <v>0.49060000000000004</v>
      </c>
    </row>
    <row r="40" spans="1:42" x14ac:dyDescent="0.35">
      <c r="A40" s="214"/>
      <c r="B40" s="299">
        <v>39</v>
      </c>
      <c r="C40" s="228" t="s">
        <v>510</v>
      </c>
      <c r="D40" s="222">
        <f>$A$4*D!D40</f>
        <v>41.810126582278478</v>
      </c>
      <c r="E40" s="222">
        <f>$A$4*D!E40</f>
        <v>1384.08</v>
      </c>
      <c r="F40" s="222">
        <f>$A$4*D!F40</f>
        <v>0.51493022277309564</v>
      </c>
      <c r="G40" s="349">
        <v>0.39800000000000002</v>
      </c>
      <c r="H40" s="1617">
        <v>0.48799999999999999</v>
      </c>
      <c r="I40" s="226">
        <v>0.35</v>
      </c>
      <c r="J40" s="227">
        <v>21</v>
      </c>
      <c r="K40" s="352" t="s">
        <v>825</v>
      </c>
      <c r="L40" s="357">
        <v>657.06164898509712</v>
      </c>
      <c r="M40" s="207"/>
      <c r="N40" s="207"/>
      <c r="O40" s="207"/>
      <c r="P40" s="207"/>
      <c r="Q40" s="235" t="s">
        <v>336</v>
      </c>
      <c r="R40" s="235" t="s">
        <v>825</v>
      </c>
      <c r="S40" s="234">
        <v>2.8998001707556054E-2</v>
      </c>
      <c r="T40" s="207"/>
      <c r="U40" s="207"/>
      <c r="V40" s="217"/>
      <c r="W40" s="218"/>
      <c r="X40" s="218"/>
      <c r="AN40" s="274">
        <v>39</v>
      </c>
      <c r="AO40" s="370" t="s">
        <v>7301</v>
      </c>
      <c r="AP40" s="276">
        <v>0.42380000000000007</v>
      </c>
    </row>
    <row r="41" spans="1:42" x14ac:dyDescent="0.35">
      <c r="A41" s="214"/>
      <c r="B41" s="299">
        <v>40</v>
      </c>
      <c r="C41" s="228" t="s">
        <v>511</v>
      </c>
      <c r="D41" s="222">
        <f>$A$4*D!D41</f>
        <v>2.7547956630525436</v>
      </c>
      <c r="E41" s="222">
        <f>$A$4*D!E41</f>
        <v>21006.48</v>
      </c>
      <c r="F41" s="222">
        <f>$A$4*D!F41</f>
        <v>2.5033412605124385</v>
      </c>
      <c r="G41" s="349">
        <v>0.85099999999999998</v>
      </c>
      <c r="H41" s="1619">
        <v>3.7999999999999999E-2</v>
      </c>
      <c r="I41" s="226">
        <v>0.25</v>
      </c>
      <c r="J41" s="227">
        <v>67</v>
      </c>
      <c r="K41" s="353" t="s">
        <v>826</v>
      </c>
      <c r="L41" s="358">
        <v>951.29375951293764</v>
      </c>
      <c r="M41" s="207"/>
      <c r="N41" s="207"/>
      <c r="O41" s="207"/>
      <c r="P41" s="207"/>
      <c r="Q41" s="235" t="s">
        <v>336</v>
      </c>
      <c r="R41" s="235" t="s">
        <v>825</v>
      </c>
      <c r="S41" s="234">
        <v>2.8998001707556054E-2</v>
      </c>
      <c r="T41" s="207"/>
      <c r="U41" s="207"/>
      <c r="V41" s="217"/>
      <c r="W41" s="218"/>
      <c r="X41" s="218"/>
      <c r="AN41" s="274">
        <v>40</v>
      </c>
      <c r="AO41" s="370" t="s">
        <v>7302</v>
      </c>
      <c r="AP41" s="276">
        <v>0.25060000000000004</v>
      </c>
    </row>
    <row r="42" spans="1:42" ht="29" x14ac:dyDescent="0.35">
      <c r="A42" s="214"/>
      <c r="B42" s="299">
        <v>41</v>
      </c>
      <c r="C42" s="228" t="s">
        <v>512</v>
      </c>
      <c r="D42" s="222">
        <f>$A$4*D!D42</f>
        <v>3.8406976744186041</v>
      </c>
      <c r="E42" s="222">
        <f>$A$4*D!E42</f>
        <v>15067.2</v>
      </c>
      <c r="F42" s="222">
        <f>$A$4*D!F42</f>
        <v>1.9279727319744508</v>
      </c>
      <c r="G42" s="349">
        <v>0.76100000000000001</v>
      </c>
      <c r="H42" s="1617" t="s">
        <v>825</v>
      </c>
      <c r="I42" s="226">
        <v>0.25</v>
      </c>
      <c r="J42" s="227">
        <v>42</v>
      </c>
      <c r="K42" s="352" t="s">
        <v>826</v>
      </c>
      <c r="L42" s="357">
        <v>7.8775882071338463</v>
      </c>
      <c r="M42" s="207"/>
      <c r="N42" s="207"/>
      <c r="O42" s="207"/>
      <c r="P42" s="207"/>
      <c r="Q42" s="235" t="s">
        <v>337</v>
      </c>
      <c r="R42" s="235" t="s">
        <v>825</v>
      </c>
      <c r="S42" s="234">
        <v>9.3966188963194808E-2</v>
      </c>
      <c r="T42" s="207"/>
      <c r="U42" s="207"/>
      <c r="V42" s="217"/>
      <c r="W42" s="218"/>
      <c r="X42" s="218"/>
      <c r="AN42" s="274">
        <v>41</v>
      </c>
      <c r="AO42" s="370" t="s">
        <v>7303</v>
      </c>
      <c r="AP42" s="276">
        <v>0.18180000000000002</v>
      </c>
    </row>
    <row r="43" spans="1:42" ht="29" x14ac:dyDescent="0.35">
      <c r="A43" s="214"/>
      <c r="B43" s="299">
        <v>42</v>
      </c>
      <c r="C43" s="228" t="s">
        <v>513</v>
      </c>
      <c r="D43" s="222">
        <f>$A$4*D!D43</f>
        <v>4.6260504201680668</v>
      </c>
      <c r="E43" s="222">
        <f>$A$4*D!E43</f>
        <v>12509.28</v>
      </c>
      <c r="F43" s="222">
        <f>$A$4*D!F43</f>
        <v>1.7641970708710499</v>
      </c>
      <c r="G43" s="349">
        <v>0.76700000000000002</v>
      </c>
      <c r="H43" s="1617">
        <v>2.5000000000000001E-2</v>
      </c>
      <c r="I43" s="226">
        <v>0.32</v>
      </c>
      <c r="J43" s="227">
        <v>39</v>
      </c>
      <c r="K43" s="353" t="s">
        <v>826</v>
      </c>
      <c r="L43" s="358">
        <v>4217.8699451649882</v>
      </c>
      <c r="M43" s="207"/>
      <c r="N43" s="207"/>
      <c r="O43" s="207"/>
      <c r="P43" s="207"/>
      <c r="Q43" s="235" t="s">
        <v>338</v>
      </c>
      <c r="R43" s="235" t="s">
        <v>825</v>
      </c>
      <c r="S43" s="234">
        <v>4.1100330214704953E-2</v>
      </c>
      <c r="T43" s="207"/>
      <c r="U43" s="207"/>
      <c r="V43" s="217"/>
      <c r="W43" s="218"/>
      <c r="X43" s="218"/>
      <c r="AN43" s="274">
        <v>42</v>
      </c>
      <c r="AO43" s="370" t="s">
        <v>7304</v>
      </c>
      <c r="AP43" s="276">
        <v>0.34340000000000004</v>
      </c>
    </row>
    <row r="44" spans="1:42" x14ac:dyDescent="0.35">
      <c r="A44" s="214"/>
      <c r="B44" s="299">
        <v>43</v>
      </c>
      <c r="C44" s="228" t="s">
        <v>514</v>
      </c>
      <c r="D44" s="222">
        <f>$A$4*D!D44</f>
        <v>19.837837837837839</v>
      </c>
      <c r="E44" s="222">
        <f>$A$4*D!E44</f>
        <v>2917.08</v>
      </c>
      <c r="F44" s="222">
        <f>$A$4*D!F44</f>
        <v>0.63082701245005735</v>
      </c>
      <c r="G44" s="349">
        <v>0.55400000000000005</v>
      </c>
      <c r="H44" s="1617">
        <v>0.23</v>
      </c>
      <c r="I44" s="226">
        <v>0.5</v>
      </c>
      <c r="J44" s="227">
        <v>21</v>
      </c>
      <c r="K44" s="352" t="s">
        <v>825</v>
      </c>
      <c r="L44" s="357">
        <v>491.69053908308791</v>
      </c>
      <c r="M44" s="207"/>
      <c r="N44" s="207"/>
      <c r="O44" s="207"/>
      <c r="P44" s="207"/>
      <c r="Q44" s="235" t="s">
        <v>339</v>
      </c>
      <c r="R44" s="235" t="s">
        <v>825</v>
      </c>
      <c r="S44" s="234">
        <v>6.8297646878359222E-2</v>
      </c>
      <c r="T44" s="207"/>
      <c r="U44" s="207"/>
      <c r="V44" s="217"/>
      <c r="W44" s="218"/>
      <c r="X44" s="218"/>
      <c r="AN44" s="274">
        <v>43</v>
      </c>
      <c r="AO44" s="370" t="s">
        <v>7305</v>
      </c>
      <c r="AP44" s="276">
        <v>0.31259999999999999</v>
      </c>
    </row>
    <row r="45" spans="1:42" ht="29" x14ac:dyDescent="0.35">
      <c r="A45" s="214"/>
      <c r="B45" s="299">
        <v>44</v>
      </c>
      <c r="C45" s="228" t="s">
        <v>515</v>
      </c>
      <c r="D45" s="222">
        <f>$A$4*D!D45</f>
        <v>60.054545454545448</v>
      </c>
      <c r="E45" s="222">
        <f>$A$4*D!E45</f>
        <v>963.6</v>
      </c>
      <c r="F45" s="222">
        <f>$A$4*D!F45</f>
        <v>0.5223133209700993</v>
      </c>
      <c r="G45" s="349">
        <v>0.48</v>
      </c>
      <c r="H45" s="1617">
        <v>0.17399999999999999</v>
      </c>
      <c r="I45" s="226">
        <v>0.35</v>
      </c>
      <c r="J45" s="227">
        <v>18</v>
      </c>
      <c r="K45" s="352" t="s">
        <v>825</v>
      </c>
      <c r="L45" s="357">
        <v>2283.1050228310501</v>
      </c>
      <c r="M45" s="207"/>
      <c r="N45" s="207"/>
      <c r="O45" s="207"/>
      <c r="P45" s="207"/>
      <c r="Q45" s="235" t="s">
        <v>662</v>
      </c>
      <c r="R45" s="235" t="s">
        <v>825</v>
      </c>
      <c r="S45" s="234">
        <v>0.11960111324093188</v>
      </c>
      <c r="T45" s="207"/>
      <c r="U45" s="207"/>
      <c r="V45" s="217"/>
      <c r="W45" s="218"/>
      <c r="X45" s="218"/>
      <c r="AN45" s="274">
        <v>44</v>
      </c>
      <c r="AO45" s="370" t="s">
        <v>7306</v>
      </c>
      <c r="AP45" s="276">
        <v>0.27540000000000003</v>
      </c>
    </row>
    <row r="46" spans="1:42" ht="29" x14ac:dyDescent="0.35">
      <c r="A46" s="214"/>
      <c r="B46" s="299">
        <v>45</v>
      </c>
      <c r="C46" s="228" t="s">
        <v>516</v>
      </c>
      <c r="D46" s="222">
        <f>$A$4*D!D46</f>
        <v>21.241157556270096</v>
      </c>
      <c r="E46" s="222">
        <f>$A$4*D!E46</f>
        <v>2724.36</v>
      </c>
      <c r="F46" s="222">
        <f>$A$4*D!F46</f>
        <v>0.77245970580179368</v>
      </c>
      <c r="G46" s="349">
        <v>0.57399999999999995</v>
      </c>
      <c r="H46" s="1617">
        <v>0.254</v>
      </c>
      <c r="I46" s="226">
        <v>0.2</v>
      </c>
      <c r="J46" s="227">
        <v>19</v>
      </c>
      <c r="K46" s="353" t="s">
        <v>826</v>
      </c>
      <c r="L46" s="358">
        <v>657.06164898509712</v>
      </c>
      <c r="M46" s="207"/>
      <c r="N46" s="207"/>
      <c r="O46" s="207"/>
      <c r="P46" s="207"/>
      <c r="Q46" s="235" t="s">
        <v>340</v>
      </c>
      <c r="R46" s="235" t="s">
        <v>825</v>
      </c>
      <c r="S46" s="234">
        <v>0.14186295019548903</v>
      </c>
      <c r="T46" s="207"/>
      <c r="U46" s="207"/>
      <c r="V46" s="217"/>
      <c r="W46" s="218"/>
      <c r="X46" s="218"/>
      <c r="AN46" s="274">
        <v>45</v>
      </c>
      <c r="AO46" s="370" t="s">
        <v>7307</v>
      </c>
      <c r="AP46" s="276">
        <v>0.22600000000000003</v>
      </c>
    </row>
    <row r="47" spans="1:42" x14ac:dyDescent="0.35">
      <c r="A47" s="214"/>
      <c r="B47" s="299">
        <v>46</v>
      </c>
      <c r="C47" s="228" t="s">
        <v>517</v>
      </c>
      <c r="D47" s="222">
        <f>$A$4*D!D47</f>
        <v>3.3296370967741935</v>
      </c>
      <c r="E47" s="222">
        <f>$A$4*D!E47</f>
        <v>17379.84</v>
      </c>
      <c r="F47" s="222">
        <f>$A$4*D!F47</f>
        <v>3.4907252378993747</v>
      </c>
      <c r="G47" s="349">
        <v>0.81</v>
      </c>
      <c r="H47" s="1617">
        <v>6.5000000000000002E-2</v>
      </c>
      <c r="I47" s="226">
        <v>0.3</v>
      </c>
      <c r="J47" s="227">
        <v>57</v>
      </c>
      <c r="K47" s="353" t="s">
        <v>826</v>
      </c>
      <c r="L47" s="358">
        <v>667.69503991130603</v>
      </c>
      <c r="M47" s="207"/>
      <c r="N47" s="207"/>
      <c r="O47" s="207"/>
      <c r="P47" s="207"/>
      <c r="Q47" s="235"/>
      <c r="R47" s="235" t="s">
        <v>825</v>
      </c>
      <c r="S47" s="234">
        <v>9.9835798746206739E-2</v>
      </c>
      <c r="T47" s="207"/>
      <c r="U47" s="207"/>
      <c r="V47" s="217"/>
      <c r="W47" s="218"/>
      <c r="X47" s="218"/>
      <c r="AN47" s="274">
        <v>46</v>
      </c>
      <c r="AO47" s="370" t="s">
        <v>7308</v>
      </c>
      <c r="AP47" s="276">
        <v>0.35019999999999996</v>
      </c>
    </row>
    <row r="48" spans="1:42" ht="29" x14ac:dyDescent="0.35">
      <c r="A48" s="214"/>
      <c r="B48" s="299">
        <v>47</v>
      </c>
      <c r="C48" s="228" t="s">
        <v>518</v>
      </c>
      <c r="D48" s="222">
        <f>$A$4*D!D48</f>
        <v>12.464150943396225</v>
      </c>
      <c r="E48" s="222">
        <f>$A$4*D!E48</f>
        <v>4642.8</v>
      </c>
      <c r="F48" s="222">
        <f>$A$4*D!F48</f>
        <v>0.51497313720119575</v>
      </c>
      <c r="G48" s="349">
        <v>0.53800000000000003</v>
      </c>
      <c r="H48" s="1617">
        <v>0.25600000000000001</v>
      </c>
      <c r="I48" s="226">
        <v>0.25</v>
      </c>
      <c r="J48" s="227">
        <v>36</v>
      </c>
      <c r="K48" s="353" t="s">
        <v>826</v>
      </c>
      <c r="L48" s="358">
        <v>657.06164898509712</v>
      </c>
      <c r="M48" s="207"/>
      <c r="N48" s="207"/>
      <c r="O48" s="207"/>
      <c r="P48" s="207"/>
      <c r="Q48" s="235" t="s">
        <v>341</v>
      </c>
      <c r="R48" s="235" t="s">
        <v>825</v>
      </c>
      <c r="S48" s="234">
        <v>8.6973074480836382E-2</v>
      </c>
      <c r="T48" s="207"/>
      <c r="U48" s="207"/>
      <c r="V48" s="217"/>
      <c r="W48" s="218"/>
      <c r="X48" s="218"/>
      <c r="AN48" s="274">
        <v>47</v>
      </c>
      <c r="AO48" s="370" t="s">
        <v>7309</v>
      </c>
      <c r="AP48" s="276">
        <v>0.36719999999999997</v>
      </c>
    </row>
    <row r="49" spans="1:42" x14ac:dyDescent="0.35">
      <c r="A49" s="214"/>
      <c r="B49" s="299">
        <v>48</v>
      </c>
      <c r="C49" s="228" t="s">
        <v>519</v>
      </c>
      <c r="D49" s="222">
        <f>$A$4*D!D49</f>
        <v>2.3073698917219696</v>
      </c>
      <c r="E49" s="222">
        <f>$A$4*D!E49</f>
        <v>25079.88</v>
      </c>
      <c r="F49" s="222">
        <f>$A$4*D!F49</f>
        <v>3.1744218921518419</v>
      </c>
      <c r="G49" s="349">
        <v>0.85099999999999998</v>
      </c>
      <c r="H49" s="1617">
        <v>0</v>
      </c>
      <c r="I49" s="226">
        <v>0.18</v>
      </c>
      <c r="J49" s="227">
        <v>47</v>
      </c>
      <c r="K49" s="353" t="s">
        <v>826</v>
      </c>
      <c r="L49" s="358">
        <v>7.5502916666666664</v>
      </c>
      <c r="M49" s="207"/>
      <c r="N49" s="207"/>
      <c r="O49" s="207"/>
      <c r="P49" s="207"/>
      <c r="Q49" s="235" t="s">
        <v>342</v>
      </c>
      <c r="R49" s="235" t="s">
        <v>825</v>
      </c>
      <c r="S49" s="234">
        <v>0.11453441748080784</v>
      </c>
      <c r="T49" s="207"/>
      <c r="U49" s="207"/>
      <c r="V49" s="217"/>
      <c r="W49" s="218"/>
      <c r="X49" s="218"/>
      <c r="AN49" s="274">
        <v>48</v>
      </c>
      <c r="AO49" s="370" t="s">
        <v>7310</v>
      </c>
      <c r="AP49" s="276">
        <v>0.38340000000000002</v>
      </c>
    </row>
    <row r="50" spans="1:42" x14ac:dyDescent="0.35">
      <c r="A50" s="214"/>
      <c r="B50" s="299">
        <v>49</v>
      </c>
      <c r="C50" s="228" t="s">
        <v>520</v>
      </c>
      <c r="D50" s="222">
        <f>$A$4*D!D50</f>
        <v>1.7931596091205211</v>
      </c>
      <c r="E50" s="222">
        <f>$A$4*D!E50</f>
        <v>32271.84</v>
      </c>
      <c r="F50" s="222">
        <f>$A$4*D!F50</f>
        <v>4.6628614602231764</v>
      </c>
      <c r="G50" s="349">
        <v>0.88700000000000001</v>
      </c>
      <c r="H50" s="1617">
        <v>0</v>
      </c>
      <c r="I50" s="226">
        <v>0.125</v>
      </c>
      <c r="J50" s="227">
        <v>57</v>
      </c>
      <c r="K50" s="353" t="s">
        <v>826</v>
      </c>
      <c r="L50" s="358">
        <v>0.99960815360378741</v>
      </c>
      <c r="M50" s="207"/>
      <c r="N50" s="207"/>
      <c r="O50" s="207"/>
      <c r="P50" s="207"/>
      <c r="Q50" s="235" t="s">
        <v>343</v>
      </c>
      <c r="R50" s="235" t="s">
        <v>825</v>
      </c>
      <c r="S50" s="234">
        <v>0.10254636621131837</v>
      </c>
      <c r="T50" s="207"/>
      <c r="U50" s="207"/>
      <c r="V50" s="217"/>
      <c r="W50" s="218"/>
      <c r="X50" s="218"/>
      <c r="AN50" s="274">
        <v>49</v>
      </c>
      <c r="AO50" s="370" t="s">
        <v>7311</v>
      </c>
      <c r="AP50" s="276">
        <v>0.32500000000000001</v>
      </c>
    </row>
    <row r="51" spans="1:42" x14ac:dyDescent="0.35">
      <c r="A51" s="214"/>
      <c r="B51" s="299">
        <v>50</v>
      </c>
      <c r="C51" s="228" t="s">
        <v>521</v>
      </c>
      <c r="D51" s="222">
        <f>$A$4*D!D51</f>
        <v>1.6367690782953419</v>
      </c>
      <c r="E51" s="222">
        <f>$A$4*D!E51</f>
        <v>35355.360000000001</v>
      </c>
      <c r="F51" s="222">
        <f>$A$4*D!F51</f>
        <v>4.0677257844025387</v>
      </c>
      <c r="G51" s="349">
        <v>0.9</v>
      </c>
      <c r="H51" s="1617">
        <v>0</v>
      </c>
      <c r="I51" s="226">
        <v>0.19</v>
      </c>
      <c r="J51" s="227">
        <v>54</v>
      </c>
      <c r="K51" s="353" t="s">
        <v>826</v>
      </c>
      <c r="L51" s="358">
        <v>26.49571917808219</v>
      </c>
      <c r="M51" s="207"/>
      <c r="N51" s="207"/>
      <c r="O51" s="207"/>
      <c r="P51" s="207"/>
      <c r="Q51" s="235"/>
      <c r="R51" s="235" t="s">
        <v>826</v>
      </c>
      <c r="S51" s="234">
        <v>3.1511547407273521E-2</v>
      </c>
      <c r="T51" s="207"/>
      <c r="U51" s="207"/>
      <c r="V51" s="217"/>
      <c r="W51" s="218"/>
      <c r="X51" s="218"/>
      <c r="AN51" s="274">
        <v>50</v>
      </c>
      <c r="AO51" s="370" t="s">
        <v>7312</v>
      </c>
      <c r="AP51" s="276">
        <v>0.95719999999999994</v>
      </c>
    </row>
    <row r="52" spans="1:42" ht="29" x14ac:dyDescent="0.35">
      <c r="A52" s="214"/>
      <c r="B52" s="299">
        <v>51</v>
      </c>
      <c r="C52" s="228" t="s">
        <v>522</v>
      </c>
      <c r="D52" s="222">
        <f>$A$4*D!D52</f>
        <v>1.0623994853650691</v>
      </c>
      <c r="E52" s="222">
        <f>$A$4*D!E52</f>
        <v>54469.68</v>
      </c>
      <c r="F52" s="222">
        <f>$A$4*D!F52</f>
        <v>10.863965558117426</v>
      </c>
      <c r="G52" s="349">
        <v>0.94</v>
      </c>
      <c r="H52" s="1617">
        <v>0</v>
      </c>
      <c r="I52" s="226">
        <v>0.22</v>
      </c>
      <c r="J52" s="227">
        <v>88</v>
      </c>
      <c r="K52" s="353" t="s">
        <v>826</v>
      </c>
      <c r="L52" s="358">
        <v>7.4682102787290754</v>
      </c>
      <c r="M52" s="207"/>
      <c r="N52" s="207"/>
      <c r="O52" s="207"/>
      <c r="P52" s="207"/>
      <c r="Q52" s="235" t="s">
        <v>344</v>
      </c>
      <c r="R52" s="235" t="s">
        <v>826</v>
      </c>
      <c r="S52" s="234">
        <v>4.7789813048772362E-2</v>
      </c>
      <c r="T52" s="207"/>
      <c r="U52" s="207"/>
      <c r="V52" s="217"/>
      <c r="W52" s="218"/>
      <c r="X52" s="218"/>
      <c r="AN52" s="274">
        <v>51</v>
      </c>
      <c r="AO52" s="370" t="s">
        <v>7313</v>
      </c>
      <c r="AP52" s="276">
        <v>0.70640000000000003</v>
      </c>
    </row>
    <row r="53" spans="1:42" ht="29" x14ac:dyDescent="0.35">
      <c r="A53" s="214"/>
      <c r="B53" s="299">
        <v>52</v>
      </c>
      <c r="C53" s="228" t="s">
        <v>523</v>
      </c>
      <c r="D53" s="222">
        <f>$A$4*D!D53</f>
        <v>11.754448398576512</v>
      </c>
      <c r="E53" s="222">
        <f>$A$4*D!E53</f>
        <v>4923.12</v>
      </c>
      <c r="F53" s="222">
        <f>$A$4*D!F53</f>
        <v>0.73835884904989479</v>
      </c>
      <c r="G53" s="349">
        <v>0.52400000000000002</v>
      </c>
      <c r="H53" s="1619">
        <v>0.12300000000000001</v>
      </c>
      <c r="I53" s="226">
        <v>0.25</v>
      </c>
      <c r="J53" s="227">
        <v>27</v>
      </c>
      <c r="K53" s="353" t="s">
        <v>826</v>
      </c>
      <c r="L53" s="358">
        <v>202.87671232876713</v>
      </c>
      <c r="M53" s="207"/>
      <c r="N53" s="207"/>
      <c r="O53" s="207"/>
      <c r="P53" s="207"/>
      <c r="Q53" s="235" t="s">
        <v>345</v>
      </c>
      <c r="R53" s="235" t="s">
        <v>826</v>
      </c>
      <c r="S53" s="234">
        <v>3.9406112955546468E-2</v>
      </c>
      <c r="T53" s="207"/>
      <c r="U53" s="207"/>
      <c r="V53" s="217"/>
      <c r="W53" s="218"/>
      <c r="X53" s="218"/>
      <c r="AN53" s="274">
        <v>52</v>
      </c>
      <c r="AO53" s="370" t="s">
        <v>7314</v>
      </c>
      <c r="AP53" s="276">
        <v>0.6462</v>
      </c>
    </row>
    <row r="54" spans="1:42" x14ac:dyDescent="0.35">
      <c r="A54" s="214"/>
      <c r="B54" s="299">
        <v>53</v>
      </c>
      <c r="C54" s="228" t="s">
        <v>524</v>
      </c>
      <c r="D54" s="222">
        <f>$A$4*D!D54</f>
        <v>6.1508379888268152</v>
      </c>
      <c r="E54" s="222">
        <f>$A$4*D!E54</f>
        <v>9408.24</v>
      </c>
      <c r="F54" s="222">
        <f>$A$4*D!F54</f>
        <v>1.241496579913475</v>
      </c>
      <c r="G54" s="349">
        <v>0.74199999999999999</v>
      </c>
      <c r="H54" s="1617" t="s">
        <v>825</v>
      </c>
      <c r="I54" s="226">
        <v>0.25</v>
      </c>
      <c r="J54" s="227">
        <v>55</v>
      </c>
      <c r="K54" s="353" t="s">
        <v>826</v>
      </c>
      <c r="L54" s="358">
        <v>3.0821917808219181</v>
      </c>
      <c r="M54" s="207"/>
      <c r="N54" s="207"/>
      <c r="O54" s="207"/>
      <c r="P54" s="207"/>
      <c r="Q54" s="235" t="s">
        <v>346</v>
      </c>
      <c r="R54" s="235" t="s">
        <v>826</v>
      </c>
      <c r="S54" s="234">
        <v>2.4406975057314904E-2</v>
      </c>
      <c r="T54" s="207"/>
      <c r="U54" s="207"/>
      <c r="V54" s="217"/>
      <c r="W54" s="218"/>
      <c r="X54" s="218"/>
      <c r="AN54" s="274">
        <v>53</v>
      </c>
      <c r="AO54" s="370" t="s">
        <v>7315</v>
      </c>
      <c r="AP54" s="276">
        <v>1.1194000000000002</v>
      </c>
    </row>
    <row r="55" spans="1:42" x14ac:dyDescent="0.35">
      <c r="A55" s="214"/>
      <c r="B55" s="299">
        <v>54</v>
      </c>
      <c r="C55" s="228" t="s">
        <v>525</v>
      </c>
      <c r="D55" s="222">
        <f>$A$4*D!D55</f>
        <v>3.8722157092614302</v>
      </c>
      <c r="E55" s="222">
        <f>$A$4*D!E55</f>
        <v>14944.56</v>
      </c>
      <c r="F55" s="222">
        <f>$A$4*D!F55</f>
        <v>1.4052922980917919</v>
      </c>
      <c r="G55" s="349">
        <v>0.75600000000000001</v>
      </c>
      <c r="H55" s="1617">
        <v>0.01</v>
      </c>
      <c r="I55" s="226">
        <v>0.27</v>
      </c>
      <c r="J55" s="227">
        <v>28</v>
      </c>
      <c r="K55" s="353" t="s">
        <v>826</v>
      </c>
      <c r="L55" s="358">
        <v>64.525722983257197</v>
      </c>
      <c r="M55" s="207"/>
      <c r="N55" s="207"/>
      <c r="O55" s="207"/>
      <c r="P55" s="207"/>
      <c r="Q55" s="235"/>
      <c r="R55" s="235" t="s">
        <v>826</v>
      </c>
      <c r="S55" s="234">
        <v>8.6895134535440122E-2</v>
      </c>
      <c r="T55" s="207"/>
      <c r="U55" s="207"/>
      <c r="V55" s="217"/>
      <c r="W55" s="218"/>
      <c r="X55" s="218"/>
      <c r="AN55" s="274">
        <v>54</v>
      </c>
      <c r="AO55" s="370" t="s">
        <v>7316</v>
      </c>
      <c r="AP55" s="276">
        <v>0.47119999999999995</v>
      </c>
    </row>
    <row r="56" spans="1:42" x14ac:dyDescent="0.35">
      <c r="A56" s="214"/>
      <c r="B56" s="299">
        <v>55</v>
      </c>
      <c r="C56" s="228" t="s">
        <v>526</v>
      </c>
      <c r="D56" s="222">
        <f>$A$4*D!D56</f>
        <v>6.2438563327032135</v>
      </c>
      <c r="E56" s="222">
        <f>$A$4*D!E56</f>
        <v>9268.08</v>
      </c>
      <c r="F56" s="222">
        <f>$A$4*D!F56</f>
        <v>1.9830412027467812</v>
      </c>
      <c r="G56" s="349">
        <v>0.75900000000000001</v>
      </c>
      <c r="H56" s="1617">
        <v>8.199999999999999E-2</v>
      </c>
      <c r="I56" s="226">
        <v>0.25</v>
      </c>
      <c r="J56" s="227">
        <v>39</v>
      </c>
      <c r="K56" s="352" t="s">
        <v>826</v>
      </c>
      <c r="L56" s="357">
        <v>1.1415525114155252</v>
      </c>
      <c r="M56" s="207"/>
      <c r="N56" s="207"/>
      <c r="O56" s="207"/>
      <c r="P56" s="207"/>
      <c r="Q56" s="235" t="s">
        <v>664</v>
      </c>
      <c r="R56" s="235" t="s">
        <v>825</v>
      </c>
      <c r="S56" s="234"/>
      <c r="T56" s="207"/>
      <c r="U56" s="207"/>
      <c r="V56" s="217"/>
      <c r="W56" s="218"/>
      <c r="X56" s="218"/>
      <c r="AN56" s="274">
        <v>55</v>
      </c>
      <c r="AO56" s="370" t="s">
        <v>7317</v>
      </c>
      <c r="AP56" s="276">
        <v>0.49980000000000002</v>
      </c>
    </row>
    <row r="57" spans="1:42" x14ac:dyDescent="0.35">
      <c r="A57" s="214"/>
      <c r="B57" s="299">
        <v>56</v>
      </c>
      <c r="C57" s="228" t="s">
        <v>527</v>
      </c>
      <c r="D57" s="222">
        <f>$A$4*D!D57</f>
        <v>5.4103194103194108</v>
      </c>
      <c r="E57" s="222">
        <f>$A$4*D!E57</f>
        <v>10695.96</v>
      </c>
      <c r="F57" s="222">
        <f>$A$4*D!F57</f>
        <v>0.77506605592743649</v>
      </c>
      <c r="G57" s="349">
        <v>0.70699999999999996</v>
      </c>
      <c r="H57" s="1617">
        <v>4.9000000000000002E-2</v>
      </c>
      <c r="I57" s="226">
        <v>0.22500000000000001</v>
      </c>
      <c r="J57" s="227">
        <v>33</v>
      </c>
      <c r="K57" s="353" t="s">
        <v>826</v>
      </c>
      <c r="L57" s="358">
        <v>17.989923420852396</v>
      </c>
      <c r="M57" s="207"/>
      <c r="N57" s="207"/>
      <c r="O57" s="207"/>
      <c r="P57" s="207"/>
      <c r="Q57" s="235" t="s">
        <v>347</v>
      </c>
      <c r="R57" s="235" t="s">
        <v>825</v>
      </c>
      <c r="S57" s="234">
        <v>0.1137004178518089</v>
      </c>
      <c r="T57" s="207"/>
      <c r="U57" s="207"/>
      <c r="V57" s="217"/>
      <c r="W57" s="218"/>
      <c r="X57" s="218"/>
      <c r="AN57" s="274">
        <v>56</v>
      </c>
      <c r="AO57" s="370" t="s">
        <v>7318</v>
      </c>
      <c r="AP57" s="276">
        <v>0.60640000000000005</v>
      </c>
    </row>
    <row r="58" spans="1:42" ht="29" x14ac:dyDescent="0.35">
      <c r="A58" s="214"/>
      <c r="B58" s="299">
        <v>57</v>
      </c>
      <c r="C58" s="228" t="s">
        <v>528</v>
      </c>
      <c r="D58" s="222">
        <f>$A$4*D!D58</f>
        <v>8.2062111801242228</v>
      </c>
      <c r="E58" s="222">
        <f>$A$4*D!E58</f>
        <v>7051.8</v>
      </c>
      <c r="F58" s="222">
        <f>$A$4*D!F58</f>
        <v>1.4332632305407724</v>
      </c>
      <c r="G58" s="349">
        <v>0.67300000000000004</v>
      </c>
      <c r="H58" s="1617">
        <v>3.6000000000000004E-2</v>
      </c>
      <c r="I58" s="226">
        <v>0.3</v>
      </c>
      <c r="J58" s="227">
        <v>36</v>
      </c>
      <c r="K58" s="353" t="s">
        <v>826</v>
      </c>
      <c r="L58" s="358">
        <v>1.1415525114155252</v>
      </c>
      <c r="M58" s="207"/>
      <c r="N58" s="207"/>
      <c r="O58" s="207"/>
      <c r="P58" s="207"/>
      <c r="Q58" s="235" t="s">
        <v>348</v>
      </c>
      <c r="R58" s="235" t="s">
        <v>825</v>
      </c>
      <c r="S58" s="234">
        <v>5.5679994958191037E-2</v>
      </c>
      <c r="T58" s="207"/>
      <c r="U58" s="207"/>
      <c r="V58" s="217"/>
      <c r="W58" s="218"/>
      <c r="X58" s="218"/>
      <c r="AN58" s="274">
        <v>57</v>
      </c>
      <c r="AO58" s="370" t="s">
        <v>7319</v>
      </c>
      <c r="AP58" s="276">
        <v>0.43099999999999994</v>
      </c>
    </row>
    <row r="59" spans="1:42" x14ac:dyDescent="0.35">
      <c r="A59" s="214"/>
      <c r="B59" s="299">
        <v>58</v>
      </c>
      <c r="C59" s="228" t="s">
        <v>529</v>
      </c>
      <c r="D59" s="222">
        <f>$A$4*D!D59</f>
        <v>4.9483146067415724</v>
      </c>
      <c r="E59" s="222">
        <f>$A$4*D!E59</f>
        <v>11694.6</v>
      </c>
      <c r="F59" s="222">
        <f>$A$4*D!F59</f>
        <v>1.3289911751751255</v>
      </c>
      <c r="G59" s="349">
        <v>0.59199999999999997</v>
      </c>
      <c r="H59" s="1619" t="s">
        <v>825</v>
      </c>
      <c r="I59" s="226">
        <v>0.35</v>
      </c>
      <c r="J59" s="227">
        <v>16</v>
      </c>
      <c r="K59" s="352" t="s">
        <v>826</v>
      </c>
      <c r="L59" s="357">
        <v>657.06164898509712</v>
      </c>
      <c r="M59" s="207"/>
      <c r="N59" s="207"/>
      <c r="O59" s="207"/>
      <c r="P59" s="207"/>
      <c r="Q59" s="235" t="s">
        <v>349</v>
      </c>
      <c r="R59" s="235" t="s">
        <v>825</v>
      </c>
      <c r="S59" s="234">
        <v>7.3570373070081144E-2</v>
      </c>
      <c r="T59" s="207"/>
      <c r="U59" s="207"/>
      <c r="V59" s="217"/>
      <c r="W59" s="218"/>
      <c r="X59" s="218"/>
      <c r="AN59" s="274">
        <v>58</v>
      </c>
      <c r="AO59" s="370" t="s">
        <v>7320</v>
      </c>
      <c r="AP59" s="276">
        <v>0.34399999999999997</v>
      </c>
    </row>
    <row r="60" spans="1:42" x14ac:dyDescent="0.35">
      <c r="A60" s="214"/>
      <c r="B60" s="299">
        <v>59</v>
      </c>
      <c r="C60" s="228" t="s">
        <v>530</v>
      </c>
      <c r="D60" s="222">
        <f>$A$4*D!D60</f>
        <v>0</v>
      </c>
      <c r="E60" s="222">
        <f>$A$4*D!E60</f>
        <v>0</v>
      </c>
      <c r="F60" s="222">
        <f>$A$4*D!F60</f>
        <v>0.41132376461097997</v>
      </c>
      <c r="G60" s="349">
        <v>0.45900000000000002</v>
      </c>
      <c r="H60" s="1617" t="s">
        <v>825</v>
      </c>
      <c r="I60" s="226">
        <v>0.3</v>
      </c>
      <c r="J60" s="227">
        <v>21</v>
      </c>
      <c r="K60" s="352" t="s">
        <v>825</v>
      </c>
      <c r="L60" s="357">
        <v>17.208904109589039</v>
      </c>
      <c r="M60" s="207"/>
      <c r="N60" s="207"/>
      <c r="O60" s="207"/>
      <c r="P60" s="207"/>
      <c r="Q60" s="235" t="s">
        <v>350</v>
      </c>
      <c r="R60" s="235" t="s">
        <v>826</v>
      </c>
      <c r="S60" s="234">
        <v>5.9931744132951548E-2</v>
      </c>
      <c r="T60" s="207"/>
      <c r="U60" s="207"/>
      <c r="V60" s="217"/>
      <c r="W60" s="218"/>
      <c r="X60" s="218"/>
      <c r="AN60" s="274">
        <v>59</v>
      </c>
      <c r="AO60" s="370" t="s">
        <v>7321</v>
      </c>
      <c r="AP60" s="276">
        <v>0.56319999999999992</v>
      </c>
    </row>
    <row r="61" spans="1:42" x14ac:dyDescent="0.35">
      <c r="A61" s="214"/>
      <c r="B61" s="299">
        <v>60</v>
      </c>
      <c r="C61" s="228" t="s">
        <v>531</v>
      </c>
      <c r="D61" s="222">
        <f>$A$4*D!D61</f>
        <v>1.7411702688455455</v>
      </c>
      <c r="E61" s="222">
        <f>$A$4*D!E61</f>
        <v>33235.440000000002</v>
      </c>
      <c r="F61" s="222">
        <f>$A$4*D!F61</f>
        <v>4.2547632252700174</v>
      </c>
      <c r="G61" s="349">
        <v>0.89200000000000002</v>
      </c>
      <c r="H61" s="1617">
        <v>0</v>
      </c>
      <c r="I61" s="226">
        <v>0.2</v>
      </c>
      <c r="J61" s="227">
        <v>75</v>
      </c>
      <c r="K61" s="352" t="s">
        <v>826</v>
      </c>
      <c r="L61" s="357">
        <v>1</v>
      </c>
      <c r="M61" s="207"/>
      <c r="N61" s="207"/>
      <c r="O61" s="207"/>
      <c r="P61" s="207"/>
      <c r="Q61" s="235" t="s">
        <v>351</v>
      </c>
      <c r="R61" s="235" t="s">
        <v>826</v>
      </c>
      <c r="S61" s="234">
        <v>5.1363198124066548E-2</v>
      </c>
      <c r="T61" s="207"/>
      <c r="U61" s="207"/>
      <c r="V61" s="217"/>
      <c r="W61" s="218"/>
      <c r="X61" s="218"/>
      <c r="AN61" s="274">
        <v>60</v>
      </c>
      <c r="AO61" s="370" t="s">
        <v>7322</v>
      </c>
      <c r="AP61" s="276">
        <v>0.46400000000000008</v>
      </c>
    </row>
    <row r="62" spans="1:42" x14ac:dyDescent="0.35">
      <c r="A62" s="214"/>
      <c r="B62" s="299">
        <v>61</v>
      </c>
      <c r="C62" s="228" t="s">
        <v>532</v>
      </c>
      <c r="D62" s="222">
        <f>$A$4*D!D62</f>
        <v>27.410788381742741</v>
      </c>
      <c r="E62" s="222">
        <f>$A$4*D!E62</f>
        <v>2111.16</v>
      </c>
      <c r="F62" s="222">
        <f>$A$4*D!F62</f>
        <v>0.34457717454765524</v>
      </c>
      <c r="G62" s="349">
        <v>0.48499999999999999</v>
      </c>
      <c r="H62" s="1619">
        <v>0.41499999999999998</v>
      </c>
      <c r="I62" s="226">
        <v>0.3</v>
      </c>
      <c r="J62" s="227">
        <v>38</v>
      </c>
      <c r="K62" s="352" t="s">
        <v>825</v>
      </c>
      <c r="L62" s="357">
        <v>39.871193383607768</v>
      </c>
      <c r="M62" s="207"/>
      <c r="N62" s="207"/>
      <c r="O62" s="207"/>
      <c r="P62" s="207"/>
      <c r="Q62" s="235"/>
      <c r="R62" s="235" t="s">
        <v>826</v>
      </c>
      <c r="S62" s="234">
        <v>3.2715929143558378E-2</v>
      </c>
      <c r="T62" s="207"/>
      <c r="U62" s="207"/>
      <c r="V62" s="217"/>
      <c r="W62" s="218"/>
      <c r="X62" s="218"/>
      <c r="AN62" s="274">
        <v>61</v>
      </c>
      <c r="AO62" s="370" t="s">
        <v>7323</v>
      </c>
      <c r="AP62" s="276">
        <v>-6.1600000000000023E-2</v>
      </c>
    </row>
    <row r="63" spans="1:42" x14ac:dyDescent="0.35">
      <c r="A63" s="214"/>
      <c r="B63" s="299">
        <v>62</v>
      </c>
      <c r="C63" s="228" t="s">
        <v>533</v>
      </c>
      <c r="D63" s="222">
        <f>$A$4*D!D63</f>
        <v>6.0549954170485796</v>
      </c>
      <c r="E63" s="222">
        <f>$A$4*D!E63</f>
        <v>9557.16</v>
      </c>
      <c r="F63" s="222">
        <f>$A$4*D!F63</f>
        <v>1.0180336013882223</v>
      </c>
      <c r="G63" s="349">
        <v>0.74299999999999999</v>
      </c>
      <c r="H63" s="1617" t="s">
        <v>825</v>
      </c>
      <c r="I63" s="226">
        <v>0.2</v>
      </c>
      <c r="J63" s="227"/>
      <c r="K63" s="353" t="s">
        <v>826</v>
      </c>
      <c r="L63" s="358">
        <v>2.4758047080392922</v>
      </c>
      <c r="M63" s="207"/>
      <c r="N63" s="207"/>
      <c r="O63" s="207"/>
      <c r="P63" s="207"/>
      <c r="Q63" s="235" t="s">
        <v>352</v>
      </c>
      <c r="R63" s="235" t="s">
        <v>826</v>
      </c>
      <c r="S63" s="234">
        <v>3.3386302451460702E-2</v>
      </c>
      <c r="T63" s="207"/>
      <c r="U63" s="207"/>
      <c r="V63" s="217"/>
      <c r="W63" s="218"/>
      <c r="X63" s="218"/>
      <c r="AN63" s="274">
        <v>62</v>
      </c>
      <c r="AO63" s="370" t="s">
        <v>7324</v>
      </c>
      <c r="AP63" s="276">
        <v>0.32700000000000007</v>
      </c>
    </row>
    <row r="64" spans="1:42" x14ac:dyDescent="0.35">
      <c r="A64" s="214"/>
      <c r="B64" s="299">
        <v>63</v>
      </c>
      <c r="C64" s="228" t="s">
        <v>534</v>
      </c>
      <c r="D64" s="222">
        <f>$A$4*D!D64</f>
        <v>1.2789932236205226</v>
      </c>
      <c r="E64" s="222">
        <f>$A$4*D!E64</f>
        <v>45245.4</v>
      </c>
      <c r="F64" s="222">
        <f>$A$4*D!F64</f>
        <v>9.1572637588005268</v>
      </c>
      <c r="G64" s="349">
        <v>0.93799999999999994</v>
      </c>
      <c r="H64" s="1617">
        <v>0</v>
      </c>
      <c r="I64" s="226">
        <v>0.2</v>
      </c>
      <c r="J64" s="227">
        <v>85</v>
      </c>
      <c r="K64" s="353" t="s">
        <v>826</v>
      </c>
      <c r="L64" s="358">
        <v>1</v>
      </c>
      <c r="M64" s="207"/>
      <c r="N64" s="207"/>
      <c r="O64" s="207"/>
      <c r="P64" s="207"/>
      <c r="Q64" s="235" t="s">
        <v>353</v>
      </c>
      <c r="R64" s="235" t="s">
        <v>826</v>
      </c>
      <c r="S64" s="234">
        <v>3.249722581596446E-2</v>
      </c>
      <c r="T64" s="207"/>
      <c r="U64" s="207"/>
      <c r="V64" s="217"/>
      <c r="W64" s="218"/>
      <c r="X64" s="218"/>
      <c r="AN64" s="274">
        <v>63</v>
      </c>
      <c r="AO64" s="370" t="s">
        <v>7325</v>
      </c>
      <c r="AP64" s="276">
        <v>0.46100000000000002</v>
      </c>
    </row>
    <row r="65" spans="1:42" x14ac:dyDescent="0.35">
      <c r="A65" s="214"/>
      <c r="B65" s="299">
        <v>64</v>
      </c>
      <c r="C65" s="228" t="s">
        <v>535</v>
      </c>
      <c r="D65" s="222">
        <f>$A$4*D!D65</f>
        <v>1.3107142857142857</v>
      </c>
      <c r="E65" s="222">
        <f>$A$4*D!E65</f>
        <v>44150.400000000001</v>
      </c>
      <c r="F65" s="222">
        <f>$A$4*D!F65</f>
        <v>7.8433181652360515</v>
      </c>
      <c r="G65" s="349">
        <v>0.90100000000000002</v>
      </c>
      <c r="H65" s="1617">
        <v>0</v>
      </c>
      <c r="I65" s="226">
        <v>0.32020000000000004</v>
      </c>
      <c r="J65" s="227">
        <v>69</v>
      </c>
      <c r="K65" s="353" t="s">
        <v>826</v>
      </c>
      <c r="L65" s="358">
        <v>1</v>
      </c>
      <c r="M65" s="207"/>
      <c r="N65" s="207"/>
      <c r="O65" s="207"/>
      <c r="P65" s="207"/>
      <c r="Q65" s="235"/>
      <c r="R65" s="235" t="s">
        <v>826</v>
      </c>
      <c r="S65" s="234">
        <v>9.7393010197772082E-3</v>
      </c>
      <c r="T65" s="207"/>
      <c r="U65" s="207"/>
      <c r="V65" s="217"/>
      <c r="W65" s="218"/>
      <c r="X65" s="218"/>
      <c r="AN65" s="274">
        <v>64</v>
      </c>
      <c r="AO65" s="370" t="s">
        <v>7326</v>
      </c>
      <c r="AP65" s="276">
        <v>0.374</v>
      </c>
    </row>
    <row r="66" spans="1:42" x14ac:dyDescent="0.35">
      <c r="A66" s="214"/>
      <c r="B66" s="299">
        <v>65</v>
      </c>
      <c r="C66" s="228" t="s">
        <v>536</v>
      </c>
      <c r="D66" s="222">
        <f>$A$4*D!D66</f>
        <v>4.6751592356687901</v>
      </c>
      <c r="E66" s="222">
        <f>$A$4*D!E66</f>
        <v>12377.88</v>
      </c>
      <c r="F66" s="222">
        <f>$A$4*D!F66</f>
        <v>1.2874328430029893</v>
      </c>
      <c r="G66" s="349">
        <v>0.70299999999999996</v>
      </c>
      <c r="H66" s="1617">
        <v>0.223</v>
      </c>
      <c r="I66" s="226">
        <v>0.3</v>
      </c>
      <c r="J66" s="227">
        <v>30</v>
      </c>
      <c r="K66" s="353" t="s">
        <v>826</v>
      </c>
      <c r="L66" s="358">
        <v>657.06164898509712</v>
      </c>
      <c r="M66" s="207"/>
      <c r="N66" s="207"/>
      <c r="O66" s="207"/>
      <c r="P66" s="207"/>
      <c r="Q66" s="235" t="s">
        <v>665</v>
      </c>
      <c r="R66" s="235" t="s">
        <v>825</v>
      </c>
      <c r="S66" s="234">
        <v>1.2882400400490863E-2</v>
      </c>
      <c r="T66" s="207"/>
      <c r="U66" s="207"/>
      <c r="V66" s="217"/>
      <c r="W66" s="218"/>
      <c r="X66" s="218"/>
      <c r="AN66" s="274">
        <v>65</v>
      </c>
      <c r="AO66" s="370" t="s">
        <v>7327</v>
      </c>
      <c r="AP66" s="276">
        <v>0.29280000000000006</v>
      </c>
    </row>
    <row r="67" spans="1:42" ht="43.5" x14ac:dyDescent="0.35">
      <c r="A67" s="214"/>
      <c r="B67" s="299">
        <v>66</v>
      </c>
      <c r="C67" s="228" t="s">
        <v>537</v>
      </c>
      <c r="D67" s="222">
        <f>$A$4*D!D67</f>
        <v>29.491071428571427</v>
      </c>
      <c r="E67" s="222">
        <f>$A$4*D!E67</f>
        <v>1962.24</v>
      </c>
      <c r="F67" s="222">
        <f>$A$4*D!F67</f>
        <v>1.0728017622571719</v>
      </c>
      <c r="G67" s="349">
        <v>0.496</v>
      </c>
      <c r="H67" s="1617">
        <v>0.22600000000000001</v>
      </c>
      <c r="I67" s="226">
        <v>0.31</v>
      </c>
      <c r="J67" s="227">
        <v>37</v>
      </c>
      <c r="K67" s="353" t="s">
        <v>826</v>
      </c>
      <c r="L67" s="358">
        <v>58.791849733073406</v>
      </c>
      <c r="M67" s="207"/>
      <c r="N67" s="207"/>
      <c r="O67" s="207"/>
      <c r="P67" s="207"/>
      <c r="Q67" s="235" t="s">
        <v>354</v>
      </c>
      <c r="R67" s="235" t="s">
        <v>826</v>
      </c>
      <c r="S67" s="234">
        <v>1.3580188544629522E-2</v>
      </c>
      <c r="T67" s="207"/>
      <c r="U67" s="207"/>
      <c r="V67" s="217"/>
      <c r="W67" s="218"/>
      <c r="X67" s="218"/>
      <c r="AN67" s="274">
        <v>66</v>
      </c>
      <c r="AO67" s="370" t="s">
        <v>7328</v>
      </c>
      <c r="AP67" s="276">
        <v>0.47519999999999996</v>
      </c>
    </row>
    <row r="68" spans="1:42" x14ac:dyDescent="0.35">
      <c r="A68" s="214"/>
      <c r="B68" s="299">
        <v>67</v>
      </c>
      <c r="C68" s="228" t="s">
        <v>538</v>
      </c>
      <c r="D68" s="222">
        <f>$A$4*D!D68</f>
        <v>4.6652542372881358</v>
      </c>
      <c r="E68" s="222">
        <f>$A$4*D!E68</f>
        <v>12404.16</v>
      </c>
      <c r="F68" s="222">
        <f>$A$4*D!F68</f>
        <v>0.75334516429277254</v>
      </c>
      <c r="G68" s="349">
        <v>0.81200000000000006</v>
      </c>
      <c r="H68" s="1617">
        <v>2.8999999999999998E-2</v>
      </c>
      <c r="I68" s="226">
        <v>0.15</v>
      </c>
      <c r="J68" s="227">
        <v>56</v>
      </c>
      <c r="K68" s="353" t="s">
        <v>826</v>
      </c>
      <c r="L68" s="358">
        <v>3.5491057838660613</v>
      </c>
      <c r="M68" s="207"/>
      <c r="N68" s="207"/>
      <c r="O68" s="207"/>
      <c r="P68" s="207"/>
      <c r="Q68" s="235" t="s">
        <v>355</v>
      </c>
      <c r="R68" s="235" t="s">
        <v>826</v>
      </c>
      <c r="S68" s="234">
        <v>1.9051295055222073E-2</v>
      </c>
      <c r="T68" s="207"/>
      <c r="U68" s="207"/>
      <c r="V68" s="217"/>
      <c r="W68" s="218"/>
      <c r="X68" s="218"/>
      <c r="AN68" s="274">
        <v>67</v>
      </c>
      <c r="AO68" s="370" t="s">
        <v>7329</v>
      </c>
      <c r="AP68" s="276">
        <v>0.2888</v>
      </c>
    </row>
    <row r="69" spans="1:42" ht="29" x14ac:dyDescent="0.35">
      <c r="A69" s="214"/>
      <c r="B69" s="299">
        <v>68</v>
      </c>
      <c r="C69" s="228" t="s">
        <v>539</v>
      </c>
      <c r="D69" s="222">
        <f>$A$4*D!D69</f>
        <v>1.1963056863455268</v>
      </c>
      <c r="E69" s="222">
        <f>$A$4*D!E69</f>
        <v>48372.72</v>
      </c>
      <c r="F69" s="222">
        <f>$A$4*D!F69</f>
        <v>8.6851182875742108</v>
      </c>
      <c r="G69" s="349">
        <v>0.94699999999999995</v>
      </c>
      <c r="H69" s="1617">
        <v>0</v>
      </c>
      <c r="I69" s="226">
        <v>0.29897058999999998</v>
      </c>
      <c r="J69" s="227">
        <v>80</v>
      </c>
      <c r="K69" s="353" t="s">
        <v>826</v>
      </c>
      <c r="L69" s="358">
        <v>1</v>
      </c>
      <c r="M69" s="207"/>
      <c r="N69" s="207"/>
      <c r="O69" s="207"/>
      <c r="P69" s="207"/>
      <c r="Q69" s="235" t="s">
        <v>356</v>
      </c>
      <c r="R69" s="235" t="s">
        <v>826</v>
      </c>
      <c r="S69" s="234">
        <v>1.5581731409518554E-2</v>
      </c>
      <c r="T69" s="207"/>
      <c r="U69" s="207"/>
      <c r="V69" s="217"/>
      <c r="W69" s="218"/>
      <c r="X69" s="218"/>
      <c r="AN69" s="274">
        <v>68</v>
      </c>
      <c r="AO69" s="370" t="s">
        <v>7330</v>
      </c>
      <c r="AP69" s="276">
        <v>0.32719999999999999</v>
      </c>
    </row>
    <row r="70" spans="1:42" ht="29" x14ac:dyDescent="0.35">
      <c r="A70" s="214"/>
      <c r="B70" s="299">
        <v>69</v>
      </c>
      <c r="C70" s="228" t="s">
        <v>540</v>
      </c>
      <c r="D70" s="222">
        <f>$A$4*D!D70</f>
        <v>12.076782449725776</v>
      </c>
      <c r="E70" s="222">
        <f>$A$4*D!E70</f>
        <v>4791.72</v>
      </c>
      <c r="F70" s="222">
        <f>$A$4*D!F70</f>
        <v>0.42397660364418754</v>
      </c>
      <c r="G70" s="349">
        <v>0.61099999999999999</v>
      </c>
      <c r="H70" s="1617">
        <v>0.13</v>
      </c>
      <c r="I70" s="226">
        <v>0.25</v>
      </c>
      <c r="J70" s="227">
        <v>43</v>
      </c>
      <c r="K70" s="353" t="s">
        <v>826</v>
      </c>
      <c r="L70" s="358">
        <v>6.3877949010654449</v>
      </c>
      <c r="M70" s="207"/>
      <c r="N70" s="207"/>
      <c r="O70" s="207"/>
      <c r="P70" s="207"/>
      <c r="Q70" s="235" t="s">
        <v>357</v>
      </c>
      <c r="R70" s="235" t="s">
        <v>826</v>
      </c>
      <c r="S70" s="234">
        <v>4.2608951826942285E-3</v>
      </c>
      <c r="T70" s="207"/>
      <c r="U70" s="207"/>
      <c r="V70" s="217"/>
      <c r="W70" s="218"/>
      <c r="X70" s="218"/>
      <c r="AN70" s="274">
        <v>69</v>
      </c>
      <c r="AO70" s="370" t="s">
        <v>7331</v>
      </c>
      <c r="AP70" s="276">
        <v>0.22120000000000001</v>
      </c>
    </row>
    <row r="71" spans="1:42" x14ac:dyDescent="0.35">
      <c r="A71" s="214"/>
      <c r="B71" s="299">
        <v>70</v>
      </c>
      <c r="C71" s="228" t="s">
        <v>541</v>
      </c>
      <c r="D71" s="222">
        <f>$A$4*D!D71</f>
        <v>2.1574134552580011</v>
      </c>
      <c r="E71" s="222">
        <f>$A$4*D!E71</f>
        <v>26823.119999999999</v>
      </c>
      <c r="F71" s="222">
        <f>$A$4*D!F71</f>
        <v>4.276609442060086</v>
      </c>
      <c r="G71" s="349">
        <v>0.88800000000000001</v>
      </c>
      <c r="H71" s="1617">
        <v>0</v>
      </c>
      <c r="I71" s="226">
        <v>0.24</v>
      </c>
      <c r="J71" s="227">
        <v>50</v>
      </c>
      <c r="K71" s="353" t="s">
        <v>826</v>
      </c>
      <c r="L71" s="358">
        <v>1</v>
      </c>
      <c r="M71" s="207"/>
      <c r="N71" s="207"/>
      <c r="O71" s="207"/>
      <c r="P71" s="207"/>
      <c r="Q71" s="235" t="s">
        <v>358</v>
      </c>
      <c r="R71" s="235" t="s">
        <v>826</v>
      </c>
      <c r="S71" s="234">
        <v>1.6756221402003408E-2</v>
      </c>
      <c r="T71" s="207"/>
      <c r="U71" s="207"/>
      <c r="V71" s="217"/>
      <c r="W71" s="218"/>
      <c r="X71" s="218"/>
      <c r="AN71" s="274">
        <v>70</v>
      </c>
      <c r="AO71" s="370" t="s">
        <v>7332</v>
      </c>
      <c r="AP71" s="276">
        <v>0.41719999999999996</v>
      </c>
    </row>
    <row r="72" spans="1:42" x14ac:dyDescent="0.35">
      <c r="A72" s="214"/>
      <c r="B72" s="299">
        <v>71</v>
      </c>
      <c r="C72" s="228" t="s">
        <v>542</v>
      </c>
      <c r="D72" s="222">
        <f>$A$4*D!D72</f>
        <v>4.5970772442588723</v>
      </c>
      <c r="E72" s="222">
        <f>$A$4*D!E72</f>
        <v>12588.12</v>
      </c>
      <c r="F72" s="222">
        <f>$A$4*D!F72</f>
        <v>1.6174846008403985</v>
      </c>
      <c r="G72" s="349">
        <v>0.77900000000000003</v>
      </c>
      <c r="H72" s="1617">
        <v>0</v>
      </c>
      <c r="I72" s="226">
        <v>0.28000000000000003</v>
      </c>
      <c r="J72" s="227">
        <v>53</v>
      </c>
      <c r="K72" s="353" t="s">
        <v>826</v>
      </c>
      <c r="L72" s="358">
        <v>3.0821917808219181</v>
      </c>
      <c r="M72" s="207"/>
      <c r="N72" s="207"/>
      <c r="O72" s="207"/>
      <c r="P72" s="207"/>
      <c r="Q72" s="235"/>
      <c r="R72" s="235" t="s">
        <v>826</v>
      </c>
      <c r="S72" s="234">
        <v>7.3000131990753519E-3</v>
      </c>
      <c r="T72" s="207"/>
      <c r="U72" s="207"/>
      <c r="V72" s="217"/>
      <c r="W72" s="218"/>
      <c r="X72" s="218"/>
      <c r="AN72" s="274">
        <v>71</v>
      </c>
      <c r="AO72" s="370" t="s">
        <v>7333</v>
      </c>
      <c r="AP72" s="276">
        <v>0.39240000000000003</v>
      </c>
    </row>
    <row r="73" spans="1:42" ht="29" x14ac:dyDescent="0.35">
      <c r="A73" s="214"/>
      <c r="B73" s="299">
        <v>72</v>
      </c>
      <c r="C73" s="228" t="s">
        <v>543</v>
      </c>
      <c r="D73" s="222">
        <f>$A$4*D!D73</f>
        <v>7.6018411967779054</v>
      </c>
      <c r="E73" s="222">
        <f>$A$4*D!E73</f>
        <v>7612.44</v>
      </c>
      <c r="F73" s="222">
        <f>$A$4*D!F73</f>
        <v>2.3479068985774614</v>
      </c>
      <c r="G73" s="349">
        <v>0.66300000000000003</v>
      </c>
      <c r="H73" s="1617">
        <v>6.5000000000000002E-2</v>
      </c>
      <c r="I73" s="226">
        <v>0.25</v>
      </c>
      <c r="J73" s="227">
        <v>25</v>
      </c>
      <c r="K73" s="353" t="s">
        <v>826</v>
      </c>
      <c r="L73" s="358">
        <v>8.8146689497716899</v>
      </c>
      <c r="M73" s="207"/>
      <c r="N73" s="207"/>
      <c r="O73" s="207"/>
      <c r="P73" s="207"/>
      <c r="Q73" s="235" t="s">
        <v>359</v>
      </c>
      <c r="R73" s="235" t="s">
        <v>826</v>
      </c>
      <c r="S73" s="234">
        <v>7.0576793647320717E-3</v>
      </c>
      <c r="T73" s="207"/>
      <c r="U73" s="207"/>
      <c r="V73" s="217"/>
      <c r="W73" s="218"/>
      <c r="X73" s="218"/>
      <c r="AN73" s="274">
        <v>72</v>
      </c>
      <c r="AO73" s="370" t="s">
        <v>7334</v>
      </c>
      <c r="AP73" s="276">
        <v>-1.5805999999999996</v>
      </c>
    </row>
    <row r="74" spans="1:42" ht="29" x14ac:dyDescent="0.35">
      <c r="A74" s="214"/>
      <c r="B74" s="299">
        <v>73</v>
      </c>
      <c r="C74" s="228" t="s">
        <v>544</v>
      </c>
      <c r="D74" s="222">
        <f>$A$4*D!D74</f>
        <v>0</v>
      </c>
      <c r="E74" s="222">
        <f>$A$4*D!E74</f>
        <v>0</v>
      </c>
      <c r="F74" s="222">
        <f>$A$4*D!F74</f>
        <v>8.7657950769230784</v>
      </c>
      <c r="G74" s="230"/>
      <c r="H74" s="1618">
        <v>0</v>
      </c>
      <c r="I74" s="226">
        <v>0</v>
      </c>
      <c r="J74" s="227"/>
      <c r="K74" s="355"/>
      <c r="L74" s="360">
        <v>0.8904109589041096</v>
      </c>
      <c r="M74" s="207"/>
      <c r="N74" s="207"/>
      <c r="O74" s="207"/>
      <c r="P74" s="207"/>
      <c r="Q74" s="235" t="s">
        <v>360</v>
      </c>
      <c r="R74" s="235" t="s">
        <v>826</v>
      </c>
      <c r="S74" s="234">
        <v>6.9893081544125345E-3</v>
      </c>
      <c r="T74" s="207"/>
      <c r="U74" s="207"/>
      <c r="V74" s="217"/>
      <c r="W74" s="218"/>
      <c r="X74" s="218"/>
      <c r="AN74" s="274">
        <v>73</v>
      </c>
      <c r="AO74" s="370" t="s">
        <v>7335</v>
      </c>
      <c r="AP74" s="276">
        <v>-8.5999999999999993E-2</v>
      </c>
    </row>
    <row r="75" spans="1:42" ht="29" x14ac:dyDescent="0.35">
      <c r="A75" s="214"/>
      <c r="B75" s="299">
        <v>74</v>
      </c>
      <c r="C75" s="228" t="s">
        <v>545</v>
      </c>
      <c r="D75" s="222">
        <f>$A$4*D!D75</f>
        <v>25.604651162790699</v>
      </c>
      <c r="E75" s="222">
        <f>$A$4*D!E75</f>
        <v>2260.08</v>
      </c>
      <c r="F75" s="222">
        <f>$A$4*D!F75</f>
        <v>0.50806080930958109</v>
      </c>
      <c r="G75" s="349">
        <v>0.47699999999999998</v>
      </c>
      <c r="H75" s="1617">
        <v>0.312</v>
      </c>
      <c r="I75" s="226">
        <v>0.35</v>
      </c>
      <c r="J75" s="227">
        <v>28</v>
      </c>
      <c r="K75" s="353" t="s">
        <v>826</v>
      </c>
      <c r="L75" s="358">
        <v>11136.986301369863</v>
      </c>
      <c r="M75" s="207"/>
      <c r="N75" s="207"/>
      <c r="O75" s="207"/>
      <c r="P75" s="207"/>
      <c r="Q75" s="235" t="s">
        <v>361</v>
      </c>
      <c r="R75" s="235" t="s">
        <v>826</v>
      </c>
      <c r="S75" s="234">
        <v>8.4801799830671321E-3</v>
      </c>
      <c r="T75" s="207"/>
      <c r="U75" s="207"/>
      <c r="V75" s="217"/>
      <c r="W75" s="218"/>
      <c r="X75" s="218"/>
    </row>
    <row r="76" spans="1:42" x14ac:dyDescent="0.35">
      <c r="A76" s="214"/>
      <c r="B76" s="299">
        <v>75</v>
      </c>
      <c r="C76" s="228" t="s">
        <v>546</v>
      </c>
      <c r="D76" s="222">
        <f>$A$4*D!D76</f>
        <v>33.36363636363636</v>
      </c>
      <c r="E76" s="222">
        <f>$A$4*D!E76</f>
        <v>1734.48</v>
      </c>
      <c r="F76" s="222">
        <f>$A$4*D!F76</f>
        <v>0.49904759293324874</v>
      </c>
      <c r="G76" s="349">
        <v>0.48</v>
      </c>
      <c r="H76" s="1617">
        <v>0.57399999999999995</v>
      </c>
      <c r="I76" s="226">
        <v>0.25</v>
      </c>
      <c r="J76" s="227">
        <v>19</v>
      </c>
      <c r="K76" s="353" t="s">
        <v>826</v>
      </c>
      <c r="L76" s="358">
        <v>657.06164898509712</v>
      </c>
      <c r="M76" s="207"/>
      <c r="N76" s="207"/>
      <c r="O76" s="207"/>
      <c r="P76" s="207"/>
      <c r="Q76" s="235" t="s">
        <v>362</v>
      </c>
      <c r="R76" s="235" t="s">
        <v>826</v>
      </c>
      <c r="S76" s="234">
        <v>2.0877031587408796E-2</v>
      </c>
      <c r="T76" s="207"/>
      <c r="U76" s="207"/>
      <c r="V76" s="217"/>
      <c r="W76" s="218"/>
      <c r="X76" s="218"/>
    </row>
    <row r="77" spans="1:42" x14ac:dyDescent="0.35">
      <c r="A77" s="214"/>
      <c r="B77" s="299">
        <v>76</v>
      </c>
      <c r="C77" s="228" t="s">
        <v>547</v>
      </c>
      <c r="D77" s="222">
        <f>$A$4*D!D77</f>
        <v>4.2979830839297328</v>
      </c>
      <c r="E77" s="222">
        <f>$A$4*D!E77</f>
        <v>13464.12</v>
      </c>
      <c r="F77" s="222">
        <f>$A$4*D!F77</f>
        <v>1.003448165126364</v>
      </c>
      <c r="G77" s="349">
        <v>0.68200000000000005</v>
      </c>
      <c r="H77" s="1617">
        <v>0.20100000000000001</v>
      </c>
      <c r="I77" s="226">
        <v>0.25</v>
      </c>
      <c r="J77" s="227">
        <v>41</v>
      </c>
      <c r="K77" s="353" t="s">
        <v>826</v>
      </c>
      <c r="L77" s="358">
        <v>237.82343987823441</v>
      </c>
      <c r="M77" s="207"/>
      <c r="N77" s="207"/>
      <c r="O77" s="207"/>
      <c r="P77" s="207"/>
      <c r="Q77" s="235" t="s">
        <v>362</v>
      </c>
      <c r="R77" s="235" t="s">
        <v>826</v>
      </c>
      <c r="S77" s="234">
        <v>2.0877031587408796E-2</v>
      </c>
      <c r="T77" s="207"/>
      <c r="U77" s="207"/>
      <c r="V77" s="217"/>
      <c r="W77" s="218"/>
      <c r="X77" s="218"/>
    </row>
    <row r="78" spans="1:42" x14ac:dyDescent="0.35">
      <c r="A78" s="214"/>
      <c r="B78" s="299">
        <v>77</v>
      </c>
      <c r="C78" s="228" t="s">
        <v>548</v>
      </c>
      <c r="D78" s="222">
        <f>$A$4*D!D78</f>
        <v>22.546075085324233</v>
      </c>
      <c r="E78" s="222">
        <f>$A$4*D!E78</f>
        <v>2566.6799999999998</v>
      </c>
      <c r="F78" s="222">
        <f>$A$4*D!F78</f>
        <v>0.56870138421431304</v>
      </c>
      <c r="G78" s="349">
        <v>0.51</v>
      </c>
      <c r="H78" s="1617">
        <v>0.34399999999999997</v>
      </c>
      <c r="I78" s="226">
        <v>0.3</v>
      </c>
      <c r="J78" s="227">
        <v>18</v>
      </c>
      <c r="K78" s="353" t="s">
        <v>826</v>
      </c>
      <c r="L78" s="358">
        <v>106.74635526669098</v>
      </c>
      <c r="M78" s="207"/>
      <c r="N78" s="207"/>
      <c r="O78" s="207"/>
      <c r="P78" s="207"/>
      <c r="Q78" s="235" t="s">
        <v>666</v>
      </c>
      <c r="R78" s="235" t="s">
        <v>826</v>
      </c>
      <c r="S78" s="234">
        <v>1.0605159173714102E-2</v>
      </c>
      <c r="T78" s="207"/>
      <c r="U78" s="207"/>
      <c r="V78" s="217"/>
      <c r="W78" s="218"/>
      <c r="X78" s="218"/>
    </row>
    <row r="79" spans="1:42" x14ac:dyDescent="0.35">
      <c r="A79" s="214"/>
      <c r="B79" s="299">
        <v>78</v>
      </c>
      <c r="C79" s="228" t="s">
        <v>549</v>
      </c>
      <c r="D79" s="222">
        <f>$A$4*D!D79</f>
        <v>13.08118811881188</v>
      </c>
      <c r="E79" s="222">
        <f>$A$4*D!E79</f>
        <v>4423.8</v>
      </c>
      <c r="F79" s="222">
        <f>$A$4*D!F79</f>
        <v>1.5891576496065425</v>
      </c>
      <c r="G79" s="349">
        <v>0.63400000000000001</v>
      </c>
      <c r="H79" s="1619">
        <v>0.09</v>
      </c>
      <c r="I79" s="226">
        <v>0.25</v>
      </c>
      <c r="J79" s="227">
        <v>24</v>
      </c>
      <c r="K79" s="353" t="s">
        <v>826</v>
      </c>
      <c r="L79" s="358">
        <v>28.061507439822602</v>
      </c>
      <c r="M79" s="207"/>
      <c r="N79" s="207"/>
      <c r="O79" s="207"/>
      <c r="P79" s="207"/>
      <c r="Q79" s="235" t="s">
        <v>363</v>
      </c>
      <c r="R79" s="235" t="s">
        <v>826</v>
      </c>
      <c r="S79" s="234">
        <v>3.2462400471837218E-3</v>
      </c>
      <c r="T79" s="207"/>
      <c r="U79" s="207"/>
      <c r="V79" s="217"/>
      <c r="W79" s="218"/>
      <c r="X79" s="218"/>
    </row>
    <row r="80" spans="1:42" ht="29" x14ac:dyDescent="0.35">
      <c r="A80" s="214"/>
      <c r="B80" s="299">
        <v>79</v>
      </c>
      <c r="C80" s="228" t="s">
        <v>550</v>
      </c>
      <c r="D80" s="222">
        <f>$A$4*D!D80</f>
        <v>1.0567909134538473</v>
      </c>
      <c r="E80" s="222">
        <f>$A$4*D!E80</f>
        <v>54758.76</v>
      </c>
      <c r="F80" s="222">
        <f>$A$4*D!F80</f>
        <v>9.033694674391187</v>
      </c>
      <c r="G80" s="349">
        <v>0.94899999999999995</v>
      </c>
      <c r="H80" s="1617">
        <v>0</v>
      </c>
      <c r="I80" s="226">
        <v>0.16500000000000001</v>
      </c>
      <c r="J80" s="227">
        <v>77</v>
      </c>
      <c r="K80" s="353" t="s">
        <v>826</v>
      </c>
      <c r="L80" s="358">
        <v>8.8553082191780828</v>
      </c>
      <c r="M80" s="207"/>
      <c r="N80" s="207"/>
      <c r="O80" s="207"/>
      <c r="P80" s="207"/>
      <c r="Q80" s="235" t="s">
        <v>364</v>
      </c>
      <c r="R80" s="235" t="s">
        <v>826</v>
      </c>
      <c r="S80" s="234">
        <v>1.3097984108788919E-2</v>
      </c>
      <c r="T80" s="207"/>
      <c r="U80" s="207"/>
      <c r="V80" s="217"/>
      <c r="W80" s="218"/>
      <c r="X80" s="218"/>
    </row>
    <row r="81" spans="1:24" ht="29" x14ac:dyDescent="0.35">
      <c r="A81" s="214"/>
      <c r="B81" s="299">
        <v>80</v>
      </c>
      <c r="C81" s="228" t="s">
        <v>551</v>
      </c>
      <c r="D81" s="222">
        <f>$A$4*D!D81</f>
        <v>1.9975808890232838</v>
      </c>
      <c r="E81" s="222">
        <f>$A$4*D!E81</f>
        <v>28969.32</v>
      </c>
      <c r="F81" s="222">
        <f>$A$4*D!F81</f>
        <v>2.936977969998146</v>
      </c>
      <c r="G81" s="349">
        <v>0.85399999999999998</v>
      </c>
      <c r="H81" s="1617">
        <v>0</v>
      </c>
      <c r="I81" s="226">
        <v>0.09</v>
      </c>
      <c r="J81" s="227">
        <v>44</v>
      </c>
      <c r="K81" s="353" t="s">
        <v>826</v>
      </c>
      <c r="L81" s="358">
        <v>351.59436834094407</v>
      </c>
      <c r="M81" s="207"/>
      <c r="N81" s="207"/>
      <c r="O81" s="207"/>
      <c r="P81" s="207"/>
      <c r="Q81" s="235" t="s">
        <v>365</v>
      </c>
      <c r="R81" s="235" t="s">
        <v>826</v>
      </c>
      <c r="S81" s="234">
        <v>1.4879299806889205E-2</v>
      </c>
      <c r="T81" s="207"/>
      <c r="U81" s="207"/>
      <c r="V81" s="217"/>
      <c r="W81" s="218"/>
      <c r="X81" s="218"/>
    </row>
    <row r="82" spans="1:24" x14ac:dyDescent="0.35">
      <c r="A82" s="214"/>
      <c r="B82" s="299">
        <v>81</v>
      </c>
      <c r="C82" s="228" t="s">
        <v>552</v>
      </c>
      <c r="D82" s="222">
        <f>$A$4*D!D82</f>
        <v>1.1085752643060915</v>
      </c>
      <c r="E82" s="222">
        <f>$A$4*D!E82</f>
        <v>52200.84</v>
      </c>
      <c r="F82" s="222">
        <f>$A$4*D!F82</f>
        <v>11.819205829893592</v>
      </c>
      <c r="G82" s="349">
        <v>0.94899999999999995</v>
      </c>
      <c r="H82" s="1617">
        <v>0</v>
      </c>
      <c r="I82" s="226">
        <v>0.2</v>
      </c>
      <c r="J82" s="227">
        <v>75</v>
      </c>
      <c r="K82" s="352" t="s">
        <v>826</v>
      </c>
      <c r="L82" s="357">
        <v>154.59099501050798</v>
      </c>
      <c r="M82" s="207"/>
      <c r="N82" s="207"/>
      <c r="O82" s="207"/>
      <c r="P82" s="207"/>
      <c r="Q82" s="235" t="s">
        <v>366</v>
      </c>
      <c r="R82" s="235" t="s">
        <v>826</v>
      </c>
      <c r="S82" s="234">
        <v>1.0251194456863996E-2</v>
      </c>
      <c r="T82" s="207"/>
      <c r="U82" s="207"/>
      <c r="V82" s="217"/>
      <c r="W82" s="218"/>
      <c r="X82" s="218"/>
    </row>
    <row r="83" spans="1:24" x14ac:dyDescent="0.35">
      <c r="A83" s="214"/>
      <c r="B83" s="299">
        <v>82</v>
      </c>
      <c r="C83" s="228" t="s">
        <v>553</v>
      </c>
      <c r="D83" s="222">
        <f>$A$4*D!D83</f>
        <v>10.338028169014084</v>
      </c>
      <c r="E83" s="222">
        <f>$A$4*D!E83</f>
        <v>5597.64</v>
      </c>
      <c r="F83" s="222">
        <f>$A$4*D!F83</f>
        <v>0.42632249186586635</v>
      </c>
      <c r="G83" s="349">
        <v>0.64500000000000002</v>
      </c>
      <c r="H83" s="1617">
        <v>1.3999999999999999E-2</v>
      </c>
      <c r="I83" s="226">
        <v>0.3</v>
      </c>
      <c r="J83" s="227">
        <v>40</v>
      </c>
      <c r="K83" s="353" t="s">
        <v>826</v>
      </c>
      <c r="L83" s="358">
        <v>84.588546670782193</v>
      </c>
      <c r="M83" s="207"/>
      <c r="N83" s="207"/>
      <c r="O83" s="207"/>
      <c r="P83" s="207"/>
      <c r="Q83" s="235" t="s">
        <v>367</v>
      </c>
      <c r="R83" s="235" t="s">
        <v>826</v>
      </c>
      <c r="S83" s="234">
        <v>1.291627862177871E-2</v>
      </c>
      <c r="T83" s="207"/>
      <c r="U83" s="207"/>
      <c r="V83" s="217"/>
      <c r="W83" s="218"/>
      <c r="X83" s="218"/>
    </row>
    <row r="84" spans="1:24" x14ac:dyDescent="0.35">
      <c r="A84" s="214"/>
      <c r="B84" s="299">
        <v>83</v>
      </c>
      <c r="C84" s="228" t="s">
        <v>554</v>
      </c>
      <c r="D84" s="222">
        <f>$A$4*D!D84</f>
        <v>5.6221276595744678</v>
      </c>
      <c r="E84" s="222">
        <f>$A$4*D!E84</f>
        <v>10293</v>
      </c>
      <c r="F84" s="222">
        <f>$A$4*D!F84</f>
        <v>0.69595755050572428</v>
      </c>
      <c r="G84" s="349">
        <v>0.71799999999999997</v>
      </c>
      <c r="H84" s="1617">
        <v>3.7000000000000005E-2</v>
      </c>
      <c r="I84" s="226">
        <v>0.25</v>
      </c>
      <c r="J84" s="227">
        <v>37</v>
      </c>
      <c r="K84" s="352" t="s">
        <v>826</v>
      </c>
      <c r="L84" s="357">
        <v>16646.350990659477</v>
      </c>
      <c r="M84" s="207"/>
      <c r="N84" s="207"/>
      <c r="O84" s="207"/>
      <c r="P84" s="207"/>
      <c r="Q84" s="235" t="s">
        <v>368</v>
      </c>
      <c r="R84" s="235" t="s">
        <v>825</v>
      </c>
      <c r="S84" s="234">
        <v>1.1435903625346029E-2</v>
      </c>
      <c r="T84" s="207"/>
      <c r="U84" s="207"/>
      <c r="V84" s="217"/>
      <c r="W84" s="218"/>
      <c r="X84" s="218"/>
    </row>
    <row r="85" spans="1:24" x14ac:dyDescent="0.35">
      <c r="A85" s="214"/>
      <c r="B85" s="299">
        <v>84</v>
      </c>
      <c r="C85" s="228" t="s">
        <v>555</v>
      </c>
      <c r="D85" s="222">
        <f>$A$4*D!D85</f>
        <v>5.0235741444866919</v>
      </c>
      <c r="E85" s="222">
        <f>$A$4*D!E85</f>
        <v>11519.4</v>
      </c>
      <c r="F85" s="222">
        <f>$A$4*D!F85</f>
        <v>1.9099096773710673</v>
      </c>
      <c r="G85" s="349">
        <v>0.78300000000000003</v>
      </c>
      <c r="H85" s="1617" t="s">
        <v>8911</v>
      </c>
      <c r="I85" s="226">
        <v>0.25</v>
      </c>
      <c r="J85" s="227">
        <v>25</v>
      </c>
      <c r="K85" s="352" t="s">
        <v>826</v>
      </c>
      <c r="L85" s="357">
        <v>47945.205479452052</v>
      </c>
      <c r="M85" s="207"/>
      <c r="N85" s="207"/>
      <c r="O85" s="207"/>
      <c r="P85" s="207"/>
      <c r="Q85" s="235" t="s">
        <v>667</v>
      </c>
      <c r="R85" s="235" t="s">
        <v>825</v>
      </c>
      <c r="S85" s="234">
        <v>2.5904490420562972E-2</v>
      </c>
      <c r="T85" s="207"/>
      <c r="U85" s="207"/>
      <c r="V85" s="217"/>
      <c r="W85" s="218"/>
      <c r="X85" s="218"/>
    </row>
    <row r="86" spans="1:24" x14ac:dyDescent="0.35">
      <c r="A86" s="214"/>
      <c r="B86" s="299">
        <v>85</v>
      </c>
      <c r="C86" s="228" t="s">
        <v>556</v>
      </c>
      <c r="D86" s="222">
        <f>$A$4*D!D86</f>
        <v>6.8385093167701863</v>
      </c>
      <c r="E86" s="222">
        <f>$A$4*D!E86</f>
        <v>8462.16</v>
      </c>
      <c r="F86" s="222">
        <f>$A$4*D!F86</f>
        <v>1.4505588040441282</v>
      </c>
      <c r="G86" s="349">
        <v>0.67400000000000004</v>
      </c>
      <c r="H86" s="1617">
        <v>4.8000000000000001E-2</v>
      </c>
      <c r="I86" s="226">
        <v>0.15</v>
      </c>
      <c r="J86" s="227">
        <v>21</v>
      </c>
      <c r="K86" s="352" t="s">
        <v>825</v>
      </c>
      <c r="L86" s="357">
        <v>1360.730593607306</v>
      </c>
      <c r="M86" s="207"/>
      <c r="N86" s="207"/>
      <c r="O86" s="207"/>
      <c r="P86" s="207"/>
      <c r="Q86" s="235" t="s">
        <v>668</v>
      </c>
      <c r="R86" s="235" t="s">
        <v>826</v>
      </c>
      <c r="S86" s="234">
        <v>5.3022485992332648E-2</v>
      </c>
      <c r="T86" s="207"/>
      <c r="U86" s="207"/>
      <c r="V86" s="217"/>
      <c r="W86" s="218"/>
      <c r="X86" s="218"/>
    </row>
    <row r="87" spans="1:24" x14ac:dyDescent="0.35">
      <c r="A87" s="214"/>
      <c r="B87" s="299">
        <v>86</v>
      </c>
      <c r="C87" s="228" t="s">
        <v>557</v>
      </c>
      <c r="D87" s="222">
        <f>$A$4*D!D87</f>
        <v>0.95476224887989591</v>
      </c>
      <c r="E87" s="222">
        <f>$A$4*D!E87</f>
        <v>60610.44</v>
      </c>
      <c r="F87" s="222">
        <f>$A$4*D!F87</f>
        <v>11.155605427875141</v>
      </c>
      <c r="G87" s="349">
        <v>0.95499999999999996</v>
      </c>
      <c r="H87" s="1617">
        <v>0</v>
      </c>
      <c r="I87" s="226">
        <v>0.125</v>
      </c>
      <c r="J87" s="227">
        <v>72</v>
      </c>
      <c r="K87" s="352" t="s">
        <v>826</v>
      </c>
      <c r="L87" s="357">
        <v>1</v>
      </c>
      <c r="M87" s="207"/>
      <c r="N87" s="207"/>
      <c r="O87" s="207"/>
      <c r="P87" s="207"/>
      <c r="Q87" s="235" t="s">
        <v>369</v>
      </c>
      <c r="R87" s="235" t="s">
        <v>826</v>
      </c>
      <c r="S87" s="234">
        <v>4.8574256689909723E-2</v>
      </c>
      <c r="T87" s="207"/>
      <c r="U87" s="207"/>
      <c r="V87" s="217"/>
      <c r="W87" s="218"/>
      <c r="X87" s="218"/>
    </row>
    <row r="88" spans="1:24" x14ac:dyDescent="0.35">
      <c r="A88" s="214"/>
      <c r="B88" s="299">
        <v>87</v>
      </c>
      <c r="C88" s="228" t="s">
        <v>558</v>
      </c>
      <c r="D88" s="222">
        <f>$A$4*D!D88</f>
        <v>0</v>
      </c>
      <c r="E88" s="222">
        <f>$A$4*D!E88</f>
        <v>0</v>
      </c>
      <c r="F88" s="222">
        <f>$A$4*D!F88</f>
        <v>0</v>
      </c>
      <c r="G88" s="230"/>
      <c r="H88" s="1618">
        <v>0</v>
      </c>
      <c r="I88" s="226">
        <v>0</v>
      </c>
      <c r="J88" s="227"/>
      <c r="K88" s="355"/>
      <c r="L88" s="360">
        <v>0.8904109589041096</v>
      </c>
      <c r="M88" s="207"/>
      <c r="N88" s="207"/>
      <c r="O88" s="207"/>
      <c r="P88" s="207"/>
      <c r="Q88" s="235" t="s">
        <v>370</v>
      </c>
      <c r="R88" s="235" t="s">
        <v>826</v>
      </c>
      <c r="S88" s="234">
        <v>9.5606919050427605E-2</v>
      </c>
      <c r="T88" s="207"/>
      <c r="U88" s="207"/>
      <c r="V88" s="217"/>
      <c r="W88" s="218"/>
      <c r="X88" s="218"/>
    </row>
    <row r="89" spans="1:24" ht="29" x14ac:dyDescent="0.35">
      <c r="A89" s="214"/>
      <c r="B89" s="299">
        <v>88</v>
      </c>
      <c r="C89" s="228" t="s">
        <v>559</v>
      </c>
      <c r="D89" s="222">
        <f>$A$4*D!D89</f>
        <v>1.5822754491017963</v>
      </c>
      <c r="E89" s="222">
        <f>$A$4*D!E89</f>
        <v>36573</v>
      </c>
      <c r="F89" s="222">
        <f>$A$4*D!F89</f>
        <v>8.4411631432860439</v>
      </c>
      <c r="G89" s="349">
        <v>0.91900000000000004</v>
      </c>
      <c r="H89" s="1617">
        <v>0</v>
      </c>
      <c r="I89" s="226">
        <v>0.23</v>
      </c>
      <c r="J89" s="227">
        <v>60</v>
      </c>
      <c r="K89" s="353" t="s">
        <v>826</v>
      </c>
      <c r="L89" s="358">
        <v>3.9296870456483108</v>
      </c>
      <c r="M89" s="207"/>
      <c r="N89" s="207"/>
      <c r="O89" s="207"/>
      <c r="P89" s="207"/>
      <c r="Q89" s="235" t="s">
        <v>371</v>
      </c>
      <c r="R89" s="235" t="s">
        <v>826</v>
      </c>
      <c r="S89" s="234">
        <v>9.3321874316264122E-3</v>
      </c>
      <c r="T89" s="207"/>
      <c r="U89" s="207"/>
      <c r="V89" s="217"/>
      <c r="W89" s="218"/>
      <c r="X89" s="218"/>
    </row>
    <row r="90" spans="1:24" x14ac:dyDescent="0.35">
      <c r="A90" s="214"/>
      <c r="B90" s="299">
        <v>89</v>
      </c>
      <c r="C90" s="228" t="s">
        <v>560</v>
      </c>
      <c r="D90" s="222">
        <f>$A$4*D!D90</f>
        <v>1.5628105039034776</v>
      </c>
      <c r="E90" s="222">
        <f>$A$4*D!E90</f>
        <v>37028.519999999997</v>
      </c>
      <c r="F90" s="222">
        <f>$A$4*D!F90</f>
        <v>5.9107269531716646</v>
      </c>
      <c r="G90" s="349">
        <v>0.89200000000000002</v>
      </c>
      <c r="H90" s="1617">
        <v>0</v>
      </c>
      <c r="I90" s="226">
        <v>0.27810000000000001</v>
      </c>
      <c r="J90" s="227">
        <v>53</v>
      </c>
      <c r="K90" s="353" t="s">
        <v>826</v>
      </c>
      <c r="L90" s="358">
        <v>1</v>
      </c>
      <c r="M90" s="207"/>
      <c r="N90" s="207"/>
      <c r="O90" s="207"/>
      <c r="P90" s="207"/>
      <c r="Q90" s="235" t="s">
        <v>372</v>
      </c>
      <c r="R90" s="235" t="s">
        <v>826</v>
      </c>
      <c r="S90" s="234">
        <v>4.347696582985322E-2</v>
      </c>
      <c r="T90" s="207"/>
      <c r="U90" s="207"/>
      <c r="V90" s="217"/>
      <c r="W90" s="218"/>
      <c r="X90" s="218"/>
    </row>
    <row r="91" spans="1:24" x14ac:dyDescent="0.35">
      <c r="A91" s="214"/>
      <c r="B91" s="299">
        <v>90</v>
      </c>
      <c r="C91" s="228" t="s">
        <v>561</v>
      </c>
      <c r="D91" s="222">
        <f>$A$4*D!D91</f>
        <v>7.4644067796610161</v>
      </c>
      <c r="E91" s="222">
        <f>$A$4*D!E91</f>
        <v>7752.6</v>
      </c>
      <c r="F91" s="222">
        <f>$A$4*D!F91</f>
        <v>1.0515038281111815</v>
      </c>
      <c r="G91" s="349">
        <v>0.73399999999999999</v>
      </c>
      <c r="H91" s="1617">
        <v>6.2E-2</v>
      </c>
      <c r="I91" s="226">
        <v>0.25</v>
      </c>
      <c r="J91" s="227">
        <v>44</v>
      </c>
      <c r="K91" s="353" t="s">
        <v>826</v>
      </c>
      <c r="L91" s="358">
        <v>162.56031136531163</v>
      </c>
      <c r="M91" s="207"/>
      <c r="N91" s="207"/>
      <c r="O91" s="207"/>
      <c r="P91" s="207"/>
      <c r="Q91" s="235" t="s">
        <v>373</v>
      </c>
      <c r="R91" s="235" t="s">
        <v>826</v>
      </c>
      <c r="S91" s="234">
        <v>4.5867543116979492E-2</v>
      </c>
      <c r="T91" s="207"/>
      <c r="U91" s="207"/>
      <c r="V91" s="217"/>
      <c r="W91" s="218"/>
      <c r="X91" s="218"/>
    </row>
    <row r="92" spans="1:24" ht="29" x14ac:dyDescent="0.35">
      <c r="A92" s="214"/>
      <c r="B92" s="299">
        <v>91</v>
      </c>
      <c r="C92" s="228" t="s">
        <v>562</v>
      </c>
      <c r="D92" s="222">
        <f>$A$4*D!D92</f>
        <v>1.509597806215722</v>
      </c>
      <c r="E92" s="222">
        <f>$A$4*D!E92</f>
        <v>38333.760000000002</v>
      </c>
      <c r="F92" s="222">
        <f>$A$4*D!F92</f>
        <v>7.7886849258784041</v>
      </c>
      <c r="G92" s="349">
        <v>0.91900000000000004</v>
      </c>
      <c r="H92" s="1617">
        <v>0</v>
      </c>
      <c r="I92" s="226">
        <v>0.2974</v>
      </c>
      <c r="J92" s="227">
        <v>74</v>
      </c>
      <c r="K92" s="353" t="s">
        <v>826</v>
      </c>
      <c r="L92" s="358">
        <v>121.88879253702854</v>
      </c>
      <c r="M92" s="207"/>
      <c r="N92" s="207"/>
      <c r="O92" s="207"/>
      <c r="P92" s="207"/>
      <c r="Q92" s="235" t="s">
        <v>374</v>
      </c>
      <c r="R92" s="235" t="s">
        <v>826</v>
      </c>
      <c r="S92" s="234">
        <v>2.5883638259719757E-2</v>
      </c>
      <c r="T92" s="207"/>
      <c r="U92" s="207"/>
      <c r="V92" s="217"/>
      <c r="W92" s="218"/>
      <c r="X92" s="218"/>
    </row>
    <row r="93" spans="1:24" ht="29" x14ac:dyDescent="0.35">
      <c r="A93" s="214"/>
      <c r="B93" s="299">
        <v>92</v>
      </c>
      <c r="C93" s="228" t="s">
        <v>460</v>
      </c>
      <c r="D93" s="222">
        <f>$A$4*D!D93</f>
        <v>0</v>
      </c>
      <c r="E93" s="222">
        <f>$A$4*D!E93</f>
        <v>0</v>
      </c>
      <c r="F93" s="222">
        <f>$A$4*D!F93</f>
        <v>8.7657950769230784</v>
      </c>
      <c r="G93" s="230"/>
      <c r="H93" s="1618">
        <v>0</v>
      </c>
      <c r="I93" s="226">
        <v>0</v>
      </c>
      <c r="J93" s="227"/>
      <c r="K93" s="355"/>
      <c r="L93" s="360">
        <v>0.8904109589041096</v>
      </c>
      <c r="M93" s="207"/>
      <c r="N93" s="207"/>
      <c r="O93" s="207"/>
      <c r="P93" s="207"/>
      <c r="Q93" s="235" t="s">
        <v>375</v>
      </c>
      <c r="R93" s="235" t="s">
        <v>826</v>
      </c>
      <c r="S93" s="234">
        <v>2.6934089049761703E-2</v>
      </c>
      <c r="T93" s="207"/>
      <c r="U93" s="207"/>
      <c r="V93" s="217"/>
      <c r="W93" s="218"/>
      <c r="X93" s="218"/>
    </row>
    <row r="94" spans="1:24" ht="29" x14ac:dyDescent="0.35">
      <c r="A94" s="214"/>
      <c r="B94" s="299">
        <v>93</v>
      </c>
      <c r="C94" s="228" t="s">
        <v>563</v>
      </c>
      <c r="D94" s="222">
        <f>$A$4*D!D94</f>
        <v>6.4011627906976747</v>
      </c>
      <c r="E94" s="222">
        <f>$A$4*D!E94</f>
        <v>9040.32</v>
      </c>
      <c r="F94" s="222">
        <f>$A$4*D!F94</f>
        <v>2.1708998851477963</v>
      </c>
      <c r="G94" s="349">
        <v>0.72899999999999998</v>
      </c>
      <c r="H94" s="1617">
        <v>0.01</v>
      </c>
      <c r="I94" s="226">
        <v>0.2</v>
      </c>
      <c r="J94" s="227">
        <v>49</v>
      </c>
      <c r="K94" s="353" t="s">
        <v>826</v>
      </c>
      <c r="L94" s="358">
        <v>0.81050228310502281</v>
      </c>
      <c r="M94" s="207"/>
      <c r="N94" s="207"/>
      <c r="O94" s="207"/>
      <c r="P94" s="207"/>
      <c r="Q94" s="235" t="s">
        <v>375</v>
      </c>
      <c r="R94" s="235" t="s">
        <v>826</v>
      </c>
      <c r="S94" s="234">
        <v>2.6934089049761703E-2</v>
      </c>
      <c r="T94" s="207"/>
      <c r="U94" s="207"/>
      <c r="V94" s="217"/>
      <c r="W94" s="218"/>
      <c r="X94" s="218"/>
    </row>
    <row r="95" spans="1:24" x14ac:dyDescent="0.35">
      <c r="A95" s="214"/>
      <c r="B95" s="299">
        <v>94</v>
      </c>
      <c r="C95" s="228" t="s">
        <v>564</v>
      </c>
      <c r="D95" s="222">
        <f>$A$4*D!D95</f>
        <v>2.7095980311730923</v>
      </c>
      <c r="E95" s="222">
        <f>$A$4*D!E95</f>
        <v>21356.880000000001</v>
      </c>
      <c r="F95" s="222">
        <f>$A$4*D!F95</f>
        <v>1.5264917470783874</v>
      </c>
      <c r="G95" s="349">
        <v>0.82499999999999996</v>
      </c>
      <c r="H95" s="1617">
        <v>3.2000000000000001E-2</v>
      </c>
      <c r="I95" s="226">
        <v>0.2</v>
      </c>
      <c r="J95" s="227">
        <v>38</v>
      </c>
      <c r="K95" s="352" t="s">
        <v>826</v>
      </c>
      <c r="L95" s="357">
        <v>471.40791476407873</v>
      </c>
      <c r="M95" s="207"/>
      <c r="N95" s="207"/>
      <c r="O95" s="207"/>
      <c r="P95" s="207"/>
      <c r="Q95" s="235"/>
      <c r="R95" s="235" t="s">
        <v>826</v>
      </c>
      <c r="S95" s="234">
        <v>1.0794944040676935E-2</v>
      </c>
      <c r="T95" s="207"/>
      <c r="U95" s="207"/>
      <c r="V95" s="217"/>
      <c r="W95" s="218"/>
      <c r="X95" s="218"/>
    </row>
    <row r="96" spans="1:24" x14ac:dyDescent="0.35">
      <c r="A96" s="214"/>
      <c r="B96" s="299">
        <v>95</v>
      </c>
      <c r="C96" s="228" t="s">
        <v>565</v>
      </c>
      <c r="D96" s="222">
        <f>$A$4*D!D96</f>
        <v>15.11670480549199</v>
      </c>
      <c r="E96" s="222">
        <f>$A$4*D!E96</f>
        <v>3828.12</v>
      </c>
      <c r="F96" s="222">
        <f>$A$4*D!F96</f>
        <v>0.54692108708315945</v>
      </c>
      <c r="G96" s="349">
        <v>0.60099999999999998</v>
      </c>
      <c r="H96" s="1619">
        <v>0.35600000000000004</v>
      </c>
      <c r="I96" s="226">
        <v>0.3</v>
      </c>
      <c r="J96" s="227">
        <v>31</v>
      </c>
      <c r="K96" s="353" t="s">
        <v>826</v>
      </c>
      <c r="L96" s="358">
        <v>121.51915543209704</v>
      </c>
      <c r="M96" s="207"/>
      <c r="N96" s="207"/>
      <c r="O96" s="207"/>
      <c r="P96" s="207"/>
      <c r="Q96" s="235" t="s">
        <v>135</v>
      </c>
      <c r="R96" s="235" t="s">
        <v>826</v>
      </c>
      <c r="S96" s="234">
        <v>1.0794944040676935E-2</v>
      </c>
      <c r="T96" s="207"/>
      <c r="U96" s="207"/>
      <c r="V96" s="217"/>
      <c r="W96" s="218"/>
      <c r="X96" s="218"/>
    </row>
    <row r="97" spans="1:24" x14ac:dyDescent="0.35">
      <c r="A97" s="214"/>
      <c r="B97" s="299">
        <v>96</v>
      </c>
      <c r="C97" s="228" t="s">
        <v>566</v>
      </c>
      <c r="D97" s="222">
        <f>$A$4*D!D97</f>
        <v>15.543529411764705</v>
      </c>
      <c r="E97" s="222">
        <f>$A$4*D!E97</f>
        <v>3723</v>
      </c>
      <c r="F97" s="222">
        <f>$A$4*D!F97</f>
        <v>0.70417754817219202</v>
      </c>
      <c r="G97" s="349">
        <v>0.63</v>
      </c>
      <c r="H97" s="1617" t="s">
        <v>825</v>
      </c>
      <c r="I97" s="226">
        <v>0.35</v>
      </c>
      <c r="J97" s="227">
        <v>18</v>
      </c>
      <c r="K97" s="353" t="s">
        <v>826</v>
      </c>
      <c r="L97" s="358">
        <v>1.6587729662901372</v>
      </c>
      <c r="M97" s="207"/>
      <c r="N97" s="207"/>
      <c r="O97" s="207"/>
      <c r="P97" s="207"/>
      <c r="Q97" s="235"/>
      <c r="R97" s="235" t="s">
        <v>826</v>
      </c>
      <c r="S97" s="234">
        <v>2.6406847228431996E-2</v>
      </c>
      <c r="T97" s="207"/>
      <c r="U97" s="207"/>
      <c r="V97" s="217"/>
      <c r="W97" s="218"/>
      <c r="X97" s="218"/>
    </row>
    <row r="98" spans="1:24" x14ac:dyDescent="0.35">
      <c r="A98" s="214"/>
      <c r="B98" s="299">
        <v>97</v>
      </c>
      <c r="C98" s="228" t="s">
        <v>567</v>
      </c>
      <c r="D98" s="222">
        <f>$A$4*D!D98</f>
        <v>0</v>
      </c>
      <c r="E98" s="222">
        <f>$A$4*D!E98</f>
        <v>0</v>
      </c>
      <c r="F98" s="222">
        <f>$A$4*D!F98</f>
        <v>5.8673228899323737</v>
      </c>
      <c r="G98" s="349">
        <v>0.91600000000000004</v>
      </c>
      <c r="H98" s="1619">
        <v>0</v>
      </c>
      <c r="I98" s="226">
        <v>0.27500000000000002</v>
      </c>
      <c r="J98" s="227">
        <v>61</v>
      </c>
      <c r="K98" s="353" t="s">
        <v>826</v>
      </c>
      <c r="L98" s="358">
        <v>1347.3354261796005</v>
      </c>
      <c r="M98" s="207"/>
      <c r="N98" s="207"/>
      <c r="O98" s="207"/>
      <c r="P98" s="207"/>
      <c r="Q98" s="235" t="s">
        <v>376</v>
      </c>
      <c r="R98" s="235" t="s">
        <v>826</v>
      </c>
      <c r="S98" s="234">
        <v>2.0305565729017035E-2</v>
      </c>
      <c r="T98" s="207"/>
      <c r="U98" s="207"/>
      <c r="V98" s="217"/>
      <c r="W98" s="218"/>
      <c r="X98" s="218"/>
    </row>
    <row r="99" spans="1:24" x14ac:dyDescent="0.35">
      <c r="A99" s="214"/>
      <c r="B99" s="299">
        <v>98</v>
      </c>
      <c r="C99" s="228" t="s">
        <v>568</v>
      </c>
      <c r="D99" s="222">
        <f>$A$4*D!D99</f>
        <v>1.5193192272309106</v>
      </c>
      <c r="E99" s="222">
        <f>$A$4*D!E99</f>
        <v>38088.480000000003</v>
      </c>
      <c r="F99" s="222">
        <f>$A$4*D!F99</f>
        <v>0.81241939756254211</v>
      </c>
      <c r="G99" s="350" t="s">
        <v>7745</v>
      </c>
      <c r="H99" s="1617">
        <v>0.11699999999999999</v>
      </c>
      <c r="I99" s="226">
        <v>0.1</v>
      </c>
      <c r="J99" s="227">
        <v>36</v>
      </c>
      <c r="K99" s="353" t="s">
        <v>826</v>
      </c>
      <c r="L99" s="358">
        <v>1.0011415525114156</v>
      </c>
      <c r="M99" s="207"/>
      <c r="N99" s="207"/>
      <c r="O99" s="207"/>
      <c r="P99" s="207"/>
      <c r="Q99" s="235" t="s">
        <v>377</v>
      </c>
      <c r="R99" s="235" t="s">
        <v>826</v>
      </c>
      <c r="S99" s="234">
        <v>3.8796236598776651E-2</v>
      </c>
      <c r="T99" s="207"/>
      <c r="U99" s="207"/>
      <c r="V99" s="217"/>
      <c r="W99" s="218"/>
      <c r="X99" s="218"/>
    </row>
    <row r="100" spans="1:24" x14ac:dyDescent="0.35">
      <c r="A100" s="214"/>
      <c r="B100" s="299">
        <v>99</v>
      </c>
      <c r="C100" s="228" t="s">
        <v>569</v>
      </c>
      <c r="D100" s="222">
        <f>$A$4*D!D100</f>
        <v>1.1209910062786357</v>
      </c>
      <c r="E100" s="222">
        <f>$A$4*D!E100</f>
        <v>51622.68</v>
      </c>
      <c r="F100" s="222">
        <f>$A$4*D!F100</f>
        <v>8.0719648355887941</v>
      </c>
      <c r="G100" s="349">
        <v>0.80600000000000005</v>
      </c>
      <c r="H100" s="1617">
        <v>0</v>
      </c>
      <c r="I100" s="226">
        <v>0.15</v>
      </c>
      <c r="J100" s="227">
        <v>42</v>
      </c>
      <c r="K100" s="353" t="s">
        <v>826</v>
      </c>
      <c r="L100" s="358">
        <v>0.34958118921999548</v>
      </c>
      <c r="M100" s="207"/>
      <c r="N100" s="207"/>
      <c r="O100" s="207"/>
      <c r="P100" s="207"/>
      <c r="Q100" s="235" t="s">
        <v>378</v>
      </c>
      <c r="R100" s="235" t="s">
        <v>826</v>
      </c>
      <c r="S100" s="234">
        <v>3.0677650635933831E-2</v>
      </c>
      <c r="T100" s="207"/>
      <c r="U100" s="207"/>
      <c r="V100" s="217"/>
      <c r="W100" s="218"/>
      <c r="X100" s="218"/>
    </row>
    <row r="101" spans="1:24" x14ac:dyDescent="0.35">
      <c r="A101" s="214"/>
      <c r="B101" s="299">
        <v>100</v>
      </c>
      <c r="C101" s="228" t="s">
        <v>570</v>
      </c>
      <c r="D101" s="222">
        <f>$A$4*D!D101</f>
        <v>13.907368421052631</v>
      </c>
      <c r="E101" s="222">
        <f>$A$4*D!E101</f>
        <v>4161</v>
      </c>
      <c r="F101" s="222">
        <f>$A$4*D!F101</f>
        <v>0.24085812257194406</v>
      </c>
      <c r="G101" s="349">
        <v>0.69699999999999995</v>
      </c>
      <c r="H101" s="1617">
        <v>0.34</v>
      </c>
      <c r="I101" s="226">
        <v>0.1</v>
      </c>
      <c r="J101" s="227">
        <v>31</v>
      </c>
      <c r="K101" s="353" t="s">
        <v>826</v>
      </c>
      <c r="L101" s="358">
        <v>88.294649205399892</v>
      </c>
      <c r="M101" s="207"/>
      <c r="N101" s="207"/>
      <c r="O101" s="207"/>
      <c r="P101" s="207"/>
      <c r="Q101" s="235"/>
      <c r="R101" s="235" t="s">
        <v>826</v>
      </c>
      <c r="S101" s="234">
        <v>3.5101139995814351E-2</v>
      </c>
      <c r="T101" s="207"/>
      <c r="U101" s="207"/>
      <c r="V101" s="217"/>
      <c r="W101" s="218"/>
      <c r="X101" s="218"/>
    </row>
    <row r="102" spans="1:24" x14ac:dyDescent="0.35">
      <c r="A102" s="214"/>
      <c r="B102" s="299">
        <v>101</v>
      </c>
      <c r="C102" s="228" t="s">
        <v>571</v>
      </c>
      <c r="D102" s="222">
        <f>$A$4*D!D102</f>
        <v>8.480102695763799</v>
      </c>
      <c r="E102" s="222">
        <f>$A$4*D!E102</f>
        <v>6824.04</v>
      </c>
      <c r="F102" s="222">
        <f>$A$4*D!F102</f>
        <v>0.72089345783704939</v>
      </c>
      <c r="G102" s="349">
        <v>0.61299999999999999</v>
      </c>
      <c r="H102" s="1617">
        <v>0.11</v>
      </c>
      <c r="I102" s="226">
        <v>0.24</v>
      </c>
      <c r="J102" s="227">
        <v>29</v>
      </c>
      <c r="K102" s="353" t="s">
        <v>826</v>
      </c>
      <c r="L102" s="358">
        <v>10326.241819434692</v>
      </c>
      <c r="M102" s="207"/>
      <c r="N102" s="207"/>
      <c r="O102" s="207"/>
      <c r="P102" s="207"/>
      <c r="Q102" s="235" t="s">
        <v>379</v>
      </c>
      <c r="R102" s="235" t="s">
        <v>826</v>
      </c>
      <c r="S102" s="234">
        <v>2.0567082219537486E-2</v>
      </c>
      <c r="T102" s="207"/>
      <c r="U102" s="207"/>
      <c r="V102" s="217"/>
      <c r="W102" s="218"/>
      <c r="X102" s="218"/>
    </row>
    <row r="103" spans="1:24" ht="29" x14ac:dyDescent="0.35">
      <c r="A103" s="214"/>
      <c r="B103" s="299">
        <v>102</v>
      </c>
      <c r="C103" s="228" t="s">
        <v>572</v>
      </c>
      <c r="D103" s="222">
        <f>$A$4*D!D103</f>
        <v>2.091168091168091</v>
      </c>
      <c r="E103" s="222">
        <f>$A$4*D!E103</f>
        <v>27672.84</v>
      </c>
      <c r="F103" s="222">
        <f>$A$4*D!F103</f>
        <v>3.2107811446291099</v>
      </c>
      <c r="G103" s="349">
        <v>0.86599999999999999</v>
      </c>
      <c r="H103" s="1617">
        <v>0</v>
      </c>
      <c r="I103" s="226">
        <v>0.2</v>
      </c>
      <c r="J103" s="227">
        <v>57</v>
      </c>
      <c r="K103" s="352" t="s">
        <v>826</v>
      </c>
      <c r="L103" s="357">
        <v>1</v>
      </c>
      <c r="M103" s="207"/>
      <c r="N103" s="207"/>
      <c r="O103" s="207"/>
      <c r="P103" s="207"/>
      <c r="Q103" s="235" t="s">
        <v>380</v>
      </c>
      <c r="R103" s="235" t="s">
        <v>826</v>
      </c>
      <c r="S103" s="234">
        <v>1.7793922004166626E-2</v>
      </c>
      <c r="T103" s="207"/>
      <c r="U103" s="207"/>
      <c r="V103" s="217"/>
      <c r="W103" s="218"/>
      <c r="X103" s="218"/>
    </row>
    <row r="104" spans="1:24" x14ac:dyDescent="0.35">
      <c r="A104" s="214"/>
      <c r="B104" s="299">
        <v>103</v>
      </c>
      <c r="C104" s="228" t="s">
        <v>573</v>
      </c>
      <c r="D104" s="222">
        <f>$A$4*D!D104</f>
        <v>5.5234113712374588</v>
      </c>
      <c r="E104" s="222">
        <f>$A$4*D!E104</f>
        <v>10476.959999999999</v>
      </c>
      <c r="F104" s="222">
        <f>$A$4*D!F104</f>
        <v>2.6544298251233105</v>
      </c>
      <c r="G104" s="349">
        <v>0.74399999999999999</v>
      </c>
      <c r="H104" s="1617" t="s">
        <v>825</v>
      </c>
      <c r="I104" s="226">
        <v>0.17</v>
      </c>
      <c r="J104" s="227">
        <v>25</v>
      </c>
      <c r="K104" s="353" t="s">
        <v>826</v>
      </c>
      <c r="L104" s="358">
        <v>1720.8904109589041</v>
      </c>
      <c r="M104" s="207"/>
      <c r="N104" s="207"/>
      <c r="O104" s="207"/>
      <c r="P104" s="207"/>
      <c r="Q104" s="235" t="s">
        <v>669</v>
      </c>
      <c r="R104" s="235" t="s">
        <v>826</v>
      </c>
      <c r="S104" s="234">
        <v>1.2337817253450784E-2</v>
      </c>
      <c r="T104" s="207"/>
      <c r="U104" s="207"/>
      <c r="V104" s="217"/>
      <c r="W104" s="218"/>
      <c r="X104" s="218"/>
    </row>
    <row r="105" spans="1:24" ht="29" x14ac:dyDescent="0.35">
      <c r="A105" s="214"/>
      <c r="B105" s="299">
        <v>104</v>
      </c>
      <c r="C105" s="228" t="s">
        <v>574</v>
      </c>
      <c r="D105" s="222">
        <f>$A$4*D!D105</f>
        <v>24.10948905109489</v>
      </c>
      <c r="E105" s="222">
        <f>$A$4*D!E105</f>
        <v>2400.2399999999998</v>
      </c>
      <c r="F105" s="222">
        <f>$A$4*D!F105</f>
        <v>0.54655448467662104</v>
      </c>
      <c r="G105" s="349">
        <v>0.52700000000000002</v>
      </c>
      <c r="H105" s="1617">
        <v>0.30099999999999999</v>
      </c>
      <c r="I105" s="226">
        <v>0.25</v>
      </c>
      <c r="J105" s="227">
        <v>41</v>
      </c>
      <c r="K105" s="353" t="s">
        <v>826</v>
      </c>
      <c r="L105" s="358">
        <v>18.805007847427511</v>
      </c>
      <c r="M105" s="207"/>
      <c r="N105" s="207"/>
      <c r="O105" s="207"/>
      <c r="P105" s="207"/>
      <c r="Q105" s="235" t="s">
        <v>670</v>
      </c>
      <c r="R105" s="235" t="s">
        <v>826</v>
      </c>
      <c r="S105" s="234">
        <v>5.6651795906621893E-2</v>
      </c>
      <c r="T105" s="207"/>
      <c r="U105" s="207"/>
      <c r="V105" s="217"/>
      <c r="W105" s="218"/>
      <c r="X105" s="218"/>
    </row>
    <row r="106" spans="1:24" x14ac:dyDescent="0.35">
      <c r="A106" s="214"/>
      <c r="B106" s="299">
        <v>105</v>
      </c>
      <c r="C106" s="228" t="s">
        <v>575</v>
      </c>
      <c r="D106" s="222">
        <f>$A$4*D!D106</f>
        <v>52.847999999999999</v>
      </c>
      <c r="E106" s="222">
        <f>$A$4*D!E106</f>
        <v>1095</v>
      </c>
      <c r="F106" s="222">
        <f>$A$4*D!F106</f>
        <v>0.4993761168048636</v>
      </c>
      <c r="G106" s="349">
        <v>0.48</v>
      </c>
      <c r="H106" s="1619">
        <v>0.16600000000000001</v>
      </c>
      <c r="I106" s="226">
        <v>0.25</v>
      </c>
      <c r="J106" s="227">
        <v>28</v>
      </c>
      <c r="K106" s="352" t="s">
        <v>826</v>
      </c>
      <c r="L106" s="357">
        <v>1.1415525114155252</v>
      </c>
      <c r="M106" s="207"/>
      <c r="N106" s="207"/>
      <c r="O106" s="207"/>
      <c r="P106" s="207"/>
      <c r="Q106" s="235" t="s">
        <v>671</v>
      </c>
      <c r="R106" s="235" t="s">
        <v>826</v>
      </c>
      <c r="S106" s="234">
        <v>1.6508119214999856E-2</v>
      </c>
      <c r="T106" s="207"/>
      <c r="U106" s="207"/>
      <c r="V106" s="217"/>
      <c r="W106" s="218"/>
      <c r="X106" s="218"/>
    </row>
    <row r="107" spans="1:24" x14ac:dyDescent="0.35">
      <c r="A107" s="214"/>
      <c r="B107" s="299">
        <v>106</v>
      </c>
      <c r="C107" s="228" t="s">
        <v>576</v>
      </c>
      <c r="D107" s="222">
        <f>$A$4*D!D107</f>
        <v>5.8719999999999999</v>
      </c>
      <c r="E107" s="222">
        <f>$A$4*D!E107</f>
        <v>9855</v>
      </c>
      <c r="F107" s="222">
        <f>$A$4*D!F107</f>
        <v>0.48907869527896991</v>
      </c>
      <c r="G107" s="349">
        <v>0.72399999999999998</v>
      </c>
      <c r="H107" s="1617" t="s">
        <v>825</v>
      </c>
      <c r="I107" s="226">
        <v>0.2</v>
      </c>
      <c r="J107" s="227">
        <v>17</v>
      </c>
      <c r="K107" s="352" t="s">
        <v>825</v>
      </c>
      <c r="L107" s="357">
        <v>5.1888750518887505</v>
      </c>
      <c r="M107" s="207"/>
      <c r="N107" s="207"/>
      <c r="O107" s="207"/>
      <c r="P107" s="207"/>
      <c r="Q107" s="235" t="s">
        <v>381</v>
      </c>
      <c r="R107" s="235" t="s">
        <v>826</v>
      </c>
      <c r="S107" s="234">
        <v>1.6543292967152141E-2</v>
      </c>
      <c r="T107" s="207"/>
      <c r="U107" s="207"/>
      <c r="V107" s="217"/>
      <c r="W107" s="218"/>
      <c r="X107" s="218"/>
    </row>
    <row r="108" spans="1:24" ht="29" x14ac:dyDescent="0.35">
      <c r="A108" s="214"/>
      <c r="B108" s="299">
        <v>107</v>
      </c>
      <c r="C108" s="228" t="s">
        <v>577</v>
      </c>
      <c r="D108" s="222">
        <f>$A$4*D!D108</f>
        <v>0</v>
      </c>
      <c r="E108" s="222">
        <f>$A$4*D!E108</f>
        <v>0</v>
      </c>
      <c r="F108" s="222">
        <f>$A$4*D!F108</f>
        <v>42.670798275332537</v>
      </c>
      <c r="G108" s="349">
        <v>0.91900000000000004</v>
      </c>
      <c r="H108" s="1618">
        <v>0</v>
      </c>
      <c r="I108" s="226">
        <v>0.125</v>
      </c>
      <c r="J108" s="227"/>
      <c r="K108" s="355"/>
      <c r="L108" s="360">
        <v>1.0559360730593608</v>
      </c>
      <c r="M108" s="207"/>
      <c r="N108" s="207"/>
      <c r="O108" s="207"/>
      <c r="P108" s="207"/>
      <c r="Q108" s="235" t="s">
        <v>382</v>
      </c>
      <c r="R108" s="235" t="s">
        <v>826</v>
      </c>
      <c r="S108" s="234">
        <v>2.408795756794551E-2</v>
      </c>
      <c r="T108" s="207"/>
      <c r="U108" s="207"/>
      <c r="V108" s="217"/>
      <c r="W108" s="218"/>
      <c r="X108" s="218"/>
    </row>
    <row r="109" spans="1:24" x14ac:dyDescent="0.35">
      <c r="A109" s="214"/>
      <c r="B109" s="299">
        <v>108</v>
      </c>
      <c r="C109" s="228" t="s">
        <v>578</v>
      </c>
      <c r="D109" s="222">
        <f>$A$4*D!D109</f>
        <v>1.7653661143773383</v>
      </c>
      <c r="E109" s="222">
        <f>$A$4*D!E109</f>
        <v>32779.919999999998</v>
      </c>
      <c r="F109" s="222">
        <f>$A$4*D!F109</f>
        <v>3.6205493562231759</v>
      </c>
      <c r="G109" s="349">
        <v>0.88200000000000001</v>
      </c>
      <c r="H109" s="1617">
        <v>0</v>
      </c>
      <c r="I109" s="226">
        <v>0.15</v>
      </c>
      <c r="J109" s="227">
        <v>60</v>
      </c>
      <c r="K109" s="353" t="s">
        <v>826</v>
      </c>
      <c r="L109" s="358">
        <v>1</v>
      </c>
      <c r="M109" s="207"/>
      <c r="N109" s="207"/>
      <c r="O109" s="207"/>
      <c r="P109" s="207"/>
      <c r="Q109" s="235" t="s">
        <v>383</v>
      </c>
      <c r="R109" s="235" t="s">
        <v>826</v>
      </c>
      <c r="S109" s="234">
        <v>1.536863531073715E-2</v>
      </c>
      <c r="T109" s="207"/>
      <c r="U109" s="207"/>
      <c r="V109" s="217"/>
      <c r="W109" s="218"/>
      <c r="X109" s="218"/>
    </row>
    <row r="110" spans="1:24" ht="43.5" x14ac:dyDescent="0.35">
      <c r="A110" s="214"/>
      <c r="B110" s="299">
        <v>109</v>
      </c>
      <c r="C110" s="228" t="s">
        <v>579</v>
      </c>
      <c r="D110" s="222">
        <f>$A$4*D!D110</f>
        <v>0</v>
      </c>
      <c r="E110" s="222">
        <f>$A$4*D!E110</f>
        <v>0</v>
      </c>
      <c r="F110" s="222">
        <f>$A$4*D!F110</f>
        <v>13.436794664388581</v>
      </c>
      <c r="G110" s="349">
        <v>0.91600000000000004</v>
      </c>
      <c r="H110" s="1619">
        <v>0</v>
      </c>
      <c r="I110" s="226">
        <v>0.24940000000000001</v>
      </c>
      <c r="J110" s="227">
        <v>80</v>
      </c>
      <c r="K110" s="353" t="s">
        <v>826</v>
      </c>
      <c r="L110" s="358">
        <v>1</v>
      </c>
      <c r="M110" s="207"/>
      <c r="N110" s="207"/>
      <c r="O110" s="207"/>
      <c r="P110" s="207"/>
      <c r="Q110" s="235" t="s">
        <v>384</v>
      </c>
      <c r="R110" s="235" t="s">
        <v>826</v>
      </c>
      <c r="S110" s="234">
        <v>3.7159297381113192E-3</v>
      </c>
      <c r="T110" s="207"/>
      <c r="U110" s="207"/>
      <c r="V110" s="217"/>
      <c r="W110" s="218"/>
      <c r="X110" s="218"/>
    </row>
    <row r="111" spans="1:24" ht="29" x14ac:dyDescent="0.35">
      <c r="A111" s="214"/>
      <c r="B111" s="299">
        <v>110</v>
      </c>
      <c r="C111" s="228" t="s">
        <v>580</v>
      </c>
      <c r="D111" s="222">
        <f>$A$4*D!D111</f>
        <v>0</v>
      </c>
      <c r="E111" s="222">
        <f>$A$4*D!E111</f>
        <v>0</v>
      </c>
      <c r="F111" s="222">
        <f>$A$4*D!F111</f>
        <v>1.3005300806239899</v>
      </c>
      <c r="G111" s="230"/>
      <c r="H111" s="1617">
        <v>0.188</v>
      </c>
      <c r="I111" s="226">
        <v>0</v>
      </c>
      <c r="J111" s="227"/>
      <c r="K111" s="353" t="s">
        <v>826</v>
      </c>
      <c r="L111" s="358">
        <v>60.081711127132905</v>
      </c>
      <c r="M111" s="207"/>
      <c r="N111" s="207"/>
      <c r="O111" s="207"/>
      <c r="P111" s="207"/>
      <c r="Q111" s="235" t="s">
        <v>385</v>
      </c>
      <c r="R111" s="235" t="s">
        <v>826</v>
      </c>
      <c r="S111" s="234">
        <v>3.7203924525071111E-3</v>
      </c>
      <c r="T111" s="207"/>
      <c r="U111" s="207"/>
      <c r="V111" s="217"/>
      <c r="W111" s="218"/>
      <c r="X111" s="218"/>
    </row>
    <row r="112" spans="1:24" ht="29" x14ac:dyDescent="0.35">
      <c r="A112" s="214"/>
      <c r="B112" s="299">
        <v>111</v>
      </c>
      <c r="C112" s="228" t="s">
        <v>581</v>
      </c>
      <c r="D112" s="222">
        <f>$A$4*D!D112</f>
        <v>42.896103896103895</v>
      </c>
      <c r="E112" s="222">
        <f>$A$4*D!E112</f>
        <v>1349.04</v>
      </c>
      <c r="F112" s="222">
        <f>$A$4*D!F112</f>
        <v>0.3248518035850117</v>
      </c>
      <c r="G112" s="349">
        <v>0.52800000000000002</v>
      </c>
      <c r="H112" s="1617">
        <v>0.43200000000000005</v>
      </c>
      <c r="I112" s="226">
        <v>0.2</v>
      </c>
      <c r="J112" s="227">
        <v>25</v>
      </c>
      <c r="K112" s="353" t="s">
        <v>826</v>
      </c>
      <c r="L112" s="358">
        <v>4323.9201577348631</v>
      </c>
      <c r="M112" s="207"/>
      <c r="N112" s="207"/>
      <c r="O112" s="207"/>
      <c r="P112" s="207"/>
      <c r="Q112" s="235" t="s">
        <v>386</v>
      </c>
      <c r="R112" s="235" t="s">
        <v>826</v>
      </c>
      <c r="S112" s="234">
        <v>3.3124256808820308E-3</v>
      </c>
      <c r="T112" s="207"/>
      <c r="U112" s="207"/>
      <c r="V112" s="217"/>
      <c r="W112" s="218"/>
      <c r="X112" s="218"/>
    </row>
    <row r="113" spans="1:24" x14ac:dyDescent="0.35">
      <c r="A113" s="214"/>
      <c r="B113" s="299">
        <v>112</v>
      </c>
      <c r="C113" s="228" t="s">
        <v>582</v>
      </c>
      <c r="D113" s="222">
        <f>$A$4*D!D113</f>
        <v>42.896103896103895</v>
      </c>
      <c r="E113" s="222">
        <f>$A$4*D!E113</f>
        <v>1349.04</v>
      </c>
      <c r="F113" s="222">
        <f>$A$4*D!F113</f>
        <v>0.48748726676473031</v>
      </c>
      <c r="G113" s="349">
        <v>0.48299999999999998</v>
      </c>
      <c r="H113" s="1619">
        <v>0.43200000000000005</v>
      </c>
      <c r="I113" s="226">
        <v>0.3</v>
      </c>
      <c r="J113" s="227">
        <v>30</v>
      </c>
      <c r="K113" s="353" t="s">
        <v>826</v>
      </c>
      <c r="L113" s="358">
        <v>855.62499301621119</v>
      </c>
      <c r="M113" s="207"/>
      <c r="N113" s="207"/>
      <c r="O113" s="207"/>
      <c r="P113" s="207"/>
      <c r="Q113" s="235"/>
      <c r="R113" s="235" t="s">
        <v>826</v>
      </c>
      <c r="S113" s="234">
        <v>0</v>
      </c>
      <c r="T113" s="207"/>
      <c r="U113" s="207"/>
      <c r="V113" s="217"/>
      <c r="W113" s="218"/>
      <c r="X113" s="218"/>
    </row>
    <row r="114" spans="1:24" x14ac:dyDescent="0.35">
      <c r="A114" s="214"/>
      <c r="B114" s="299">
        <v>113</v>
      </c>
      <c r="C114" s="228" t="s">
        <v>583</v>
      </c>
      <c r="D114" s="222">
        <f>$A$4*D!D114</f>
        <v>2.4135915235659482</v>
      </c>
      <c r="E114" s="222">
        <f>$A$4*D!E114</f>
        <v>23976.12</v>
      </c>
      <c r="F114" s="222">
        <f>$A$4*D!F114</f>
        <v>2.2640006730548543</v>
      </c>
      <c r="G114" s="349">
        <v>0.81</v>
      </c>
      <c r="H114" s="1619" t="s">
        <v>825</v>
      </c>
      <c r="I114" s="226">
        <v>0.24</v>
      </c>
      <c r="J114" s="227">
        <v>51</v>
      </c>
      <c r="K114" s="353" t="s">
        <v>826</v>
      </c>
      <c r="L114" s="358">
        <v>4.7984953750215071</v>
      </c>
      <c r="M114" s="207"/>
      <c r="N114" s="207"/>
      <c r="O114" s="207"/>
      <c r="P114" s="207"/>
      <c r="Q114" s="235" t="s">
        <v>387</v>
      </c>
      <c r="R114" s="235" t="s">
        <v>826</v>
      </c>
      <c r="S114" s="234">
        <v>3.0173366881974101E-2</v>
      </c>
      <c r="T114" s="207"/>
      <c r="U114" s="207"/>
      <c r="V114" s="217"/>
      <c r="W114" s="218"/>
      <c r="X114" s="218"/>
    </row>
    <row r="115" spans="1:24" x14ac:dyDescent="0.35">
      <c r="A115" s="214"/>
      <c r="B115" s="299">
        <v>114</v>
      </c>
      <c r="C115" s="228" t="s">
        <v>584</v>
      </c>
      <c r="D115" s="222">
        <f>$A$4*D!D115</f>
        <v>5.1448598130841114</v>
      </c>
      <c r="E115" s="222">
        <f>$A$4*D!E115</f>
        <v>11247.84</v>
      </c>
      <c r="F115" s="222">
        <f>$A$4*D!F115</f>
        <v>1.544811129767693</v>
      </c>
      <c r="G115" s="349">
        <v>0.74</v>
      </c>
      <c r="H115" s="1617">
        <v>3.9E-2</v>
      </c>
      <c r="I115" s="226">
        <v>0.15</v>
      </c>
      <c r="J115" s="227">
        <v>43</v>
      </c>
      <c r="K115" s="352" t="s">
        <v>826</v>
      </c>
      <c r="L115" s="357">
        <v>17.562346329469616</v>
      </c>
      <c r="M115" s="207"/>
      <c r="N115" s="207"/>
      <c r="O115" s="207"/>
      <c r="P115" s="207"/>
      <c r="Q115" s="235" t="s">
        <v>388</v>
      </c>
      <c r="R115" s="235" t="s">
        <v>825</v>
      </c>
      <c r="S115" s="234">
        <v>0</v>
      </c>
      <c r="T115" s="207"/>
      <c r="U115" s="207"/>
      <c r="V115" s="217"/>
      <c r="W115" s="218"/>
      <c r="X115" s="218"/>
    </row>
    <row r="116" spans="1:24" x14ac:dyDescent="0.35">
      <c r="A116" s="214"/>
      <c r="B116" s="299">
        <v>115</v>
      </c>
      <c r="C116" s="228" t="s">
        <v>585</v>
      </c>
      <c r="D116" s="222">
        <f>$A$4*D!D116</f>
        <v>29.36</v>
      </c>
      <c r="E116" s="222">
        <f>$A$4*D!E116</f>
        <v>1971</v>
      </c>
      <c r="F116" s="222">
        <f>$A$4*D!F116</f>
        <v>0.44911177013142506</v>
      </c>
      <c r="G116" s="349">
        <v>0.434</v>
      </c>
      <c r="H116" s="1617">
        <v>0.49200000000000005</v>
      </c>
      <c r="I116" s="226">
        <v>0.3</v>
      </c>
      <c r="J116" s="227">
        <v>30</v>
      </c>
      <c r="K116" s="352" t="s">
        <v>825</v>
      </c>
      <c r="L116" s="357">
        <v>657.06164898509712</v>
      </c>
      <c r="M116" s="207"/>
      <c r="N116" s="207"/>
      <c r="O116" s="207"/>
      <c r="P116" s="207"/>
      <c r="Q116" s="207"/>
      <c r="R116" s="207"/>
      <c r="S116" s="206"/>
      <c r="T116" s="207"/>
      <c r="U116" s="207"/>
      <c r="V116" s="217"/>
      <c r="W116" s="218"/>
      <c r="X116" s="218"/>
    </row>
    <row r="117" spans="1:24" x14ac:dyDescent="0.35">
      <c r="A117" s="214"/>
      <c r="B117" s="299">
        <v>116</v>
      </c>
      <c r="C117" s="228" t="s">
        <v>586</v>
      </c>
      <c r="D117" s="222">
        <f>$A$4*D!D117</f>
        <v>1.7025773195876286</v>
      </c>
      <c r="E117" s="222">
        <f>$A$4*D!E117</f>
        <v>33988.800000000003</v>
      </c>
      <c r="F117" s="222">
        <f>$A$4*D!F117</f>
        <v>4.6864327253702864</v>
      </c>
      <c r="G117" s="349">
        <v>0.89500000000000002</v>
      </c>
      <c r="H117" s="1617">
        <v>0</v>
      </c>
      <c r="I117" s="226">
        <v>0.35</v>
      </c>
      <c r="J117" s="227">
        <v>53</v>
      </c>
      <c r="K117" s="352" t="s">
        <v>826</v>
      </c>
      <c r="L117" s="357">
        <v>1</v>
      </c>
      <c r="M117" s="207"/>
      <c r="N117" s="207"/>
      <c r="O117" s="207"/>
      <c r="P117" s="207"/>
      <c r="Q117" s="207"/>
      <c r="R117" s="207"/>
      <c r="S117" s="206"/>
      <c r="T117" s="207"/>
      <c r="U117" s="207"/>
      <c r="V117" s="217"/>
      <c r="W117" s="218"/>
      <c r="X117" s="218"/>
    </row>
    <row r="118" spans="1:24" x14ac:dyDescent="0.35">
      <c r="A118" s="214"/>
      <c r="B118" s="299">
        <v>117</v>
      </c>
      <c r="C118" s="228" t="s">
        <v>587</v>
      </c>
      <c r="D118" s="222">
        <f>$A$4*D!D118</f>
        <v>12.606870229007633</v>
      </c>
      <c r="E118" s="222">
        <f>$A$4*D!E118</f>
        <v>4590.24</v>
      </c>
      <c r="F118" s="222">
        <f>$A$4*D!F118</f>
        <v>0.39851838188375122</v>
      </c>
      <c r="G118" s="349">
        <v>0.54600000000000004</v>
      </c>
      <c r="H118" s="1619">
        <v>0.19699999999999998</v>
      </c>
      <c r="I118" s="226">
        <v>0.25</v>
      </c>
      <c r="J118" s="227">
        <v>29</v>
      </c>
      <c r="K118" s="353" t="s">
        <v>826</v>
      </c>
      <c r="L118" s="358">
        <v>42.453386605783905</v>
      </c>
      <c r="M118" s="207"/>
      <c r="N118" s="207"/>
      <c r="O118" s="207"/>
      <c r="P118" s="207"/>
      <c r="Q118" s="207"/>
      <c r="R118" s="207"/>
      <c r="S118" s="206"/>
      <c r="T118" s="207"/>
      <c r="U118" s="207"/>
      <c r="V118" s="217"/>
      <c r="W118" s="218"/>
      <c r="X118" s="218"/>
    </row>
    <row r="119" spans="1:24" x14ac:dyDescent="0.35">
      <c r="A119" s="214"/>
      <c r="B119" s="299">
        <v>118</v>
      </c>
      <c r="C119" s="228" t="s">
        <v>588</v>
      </c>
      <c r="D119" s="222">
        <f>$A$4*D!D119</f>
        <v>2.9504242965609646</v>
      </c>
      <c r="E119" s="222">
        <f>$A$4*D!E119</f>
        <v>19613.64</v>
      </c>
      <c r="F119" s="222">
        <f>$A$4*D!F119</f>
        <v>1.9542842194658372</v>
      </c>
      <c r="G119" s="349">
        <v>0.80400000000000005</v>
      </c>
      <c r="H119" s="1617" t="s">
        <v>825</v>
      </c>
      <c r="I119" s="226">
        <v>0.15</v>
      </c>
      <c r="J119" s="227">
        <v>53</v>
      </c>
      <c r="K119" s="352" t="s">
        <v>826</v>
      </c>
      <c r="L119" s="357">
        <v>44.916590563165862</v>
      </c>
      <c r="M119" s="207"/>
      <c r="N119" s="207"/>
      <c r="O119" s="207"/>
      <c r="P119" s="207"/>
      <c r="Q119" s="207"/>
      <c r="R119" s="207"/>
      <c r="S119" s="206"/>
      <c r="T119" s="207"/>
      <c r="U119" s="207"/>
      <c r="V119" s="217"/>
      <c r="W119" s="218"/>
      <c r="X119" s="218"/>
    </row>
    <row r="120" spans="1:24" x14ac:dyDescent="0.35">
      <c r="A120" s="214"/>
      <c r="B120" s="299">
        <v>119</v>
      </c>
      <c r="C120" s="228" t="s">
        <v>589</v>
      </c>
      <c r="D120" s="222">
        <f>$A$4*D!D120</f>
        <v>3.6356631810676938</v>
      </c>
      <c r="E120" s="222">
        <f>$A$4*D!E120</f>
        <v>15916.92</v>
      </c>
      <c r="F120" s="222">
        <f>$A$4*D!F120</f>
        <v>1.8417492264819306</v>
      </c>
      <c r="G120" s="349">
        <v>0.77900000000000003</v>
      </c>
      <c r="H120" s="1619">
        <v>0.04</v>
      </c>
      <c r="I120" s="226">
        <v>0.3</v>
      </c>
      <c r="J120" s="227">
        <v>31</v>
      </c>
      <c r="K120" s="352" t="s">
        <v>825</v>
      </c>
      <c r="L120" s="357">
        <v>23.782343987823438</v>
      </c>
      <c r="M120" s="207"/>
      <c r="N120" s="207"/>
      <c r="O120" s="207"/>
      <c r="P120" s="207"/>
      <c r="Q120" s="207"/>
      <c r="R120" s="207"/>
      <c r="S120" s="206"/>
      <c r="T120" s="207"/>
      <c r="U120" s="207"/>
      <c r="V120" s="217"/>
      <c r="W120" s="218"/>
      <c r="X120" s="218"/>
    </row>
    <row r="121" spans="1:24" x14ac:dyDescent="0.35">
      <c r="A121" s="214"/>
      <c r="B121" s="299">
        <v>120</v>
      </c>
      <c r="C121" s="228" t="s">
        <v>590</v>
      </c>
      <c r="D121" s="222">
        <f>$A$4*D!D121</f>
        <v>4.8860946745562126</v>
      </c>
      <c r="E121" s="222">
        <f>$A$4*D!E121</f>
        <v>11843.52</v>
      </c>
      <c r="F121" s="222">
        <f>$A$4*D!F121</f>
        <v>0.87451744942345766</v>
      </c>
      <c r="G121" s="349">
        <v>0.75</v>
      </c>
      <c r="H121" s="1617">
        <v>0.24299999999999999</v>
      </c>
      <c r="I121" s="226">
        <v>0.12</v>
      </c>
      <c r="J121" s="227">
        <v>34</v>
      </c>
      <c r="K121" s="353" t="s">
        <v>826</v>
      </c>
      <c r="L121" s="358">
        <v>19.773784485368836</v>
      </c>
      <c r="M121" s="207"/>
      <c r="N121" s="207"/>
      <c r="O121" s="207"/>
      <c r="P121" s="207"/>
      <c r="Q121" s="207"/>
      <c r="R121" s="207"/>
      <c r="S121" s="206"/>
      <c r="T121" s="207"/>
      <c r="U121" s="207"/>
      <c r="V121" s="217"/>
      <c r="W121" s="218"/>
      <c r="X121" s="218"/>
    </row>
    <row r="122" spans="1:24" x14ac:dyDescent="0.35">
      <c r="A122" s="214"/>
      <c r="B122" s="299">
        <v>121</v>
      </c>
      <c r="C122" s="228" t="s">
        <v>591</v>
      </c>
      <c r="D122" s="222">
        <f>$A$4*D!D122</f>
        <v>6.0439158279963401</v>
      </c>
      <c r="E122" s="222">
        <f>$A$4*D!E122</f>
        <v>9574.68</v>
      </c>
      <c r="F122" s="222">
        <f>$A$4*D!F122</f>
        <v>0.73752774678617217</v>
      </c>
      <c r="G122" s="349">
        <v>0.73699999999999999</v>
      </c>
      <c r="H122" s="1617">
        <v>0.114</v>
      </c>
      <c r="I122" s="226">
        <v>0.25</v>
      </c>
      <c r="J122" s="227">
        <v>35</v>
      </c>
      <c r="K122" s="353" t="s">
        <v>826</v>
      </c>
      <c r="L122" s="358">
        <v>3211.5180768566211</v>
      </c>
      <c r="M122" s="207"/>
      <c r="N122" s="207"/>
      <c r="O122" s="207"/>
      <c r="P122" s="207"/>
      <c r="Q122" s="207"/>
      <c r="R122" s="207"/>
      <c r="S122" s="206"/>
      <c r="T122" s="207"/>
      <c r="U122" s="207"/>
      <c r="V122" s="217"/>
      <c r="W122" s="218"/>
      <c r="X122" s="218"/>
    </row>
    <row r="123" spans="1:24" x14ac:dyDescent="0.35">
      <c r="A123" s="214"/>
      <c r="B123" s="299">
        <v>122</v>
      </c>
      <c r="C123" s="228" t="s">
        <v>592</v>
      </c>
      <c r="D123" s="222">
        <f>$A$4*D!D123</f>
        <v>3.1653090560613322</v>
      </c>
      <c r="E123" s="222">
        <f>$A$4*D!E123</f>
        <v>18282.12</v>
      </c>
      <c r="F123" s="222">
        <f>$A$4*D!F123</f>
        <v>1.4414147073662622</v>
      </c>
      <c r="G123" s="349">
        <v>0.82899999999999996</v>
      </c>
      <c r="H123" s="1617">
        <v>0.183</v>
      </c>
      <c r="I123" s="226">
        <v>0.09</v>
      </c>
      <c r="J123" s="227">
        <v>45</v>
      </c>
      <c r="K123" s="353" t="s">
        <v>826</v>
      </c>
      <c r="L123" s="358">
        <v>1.0016840265217031</v>
      </c>
      <c r="M123" s="207"/>
      <c r="N123" s="207"/>
      <c r="O123" s="207"/>
      <c r="P123" s="207"/>
      <c r="Q123" s="207"/>
      <c r="R123" s="207"/>
      <c r="S123" s="206"/>
      <c r="T123" s="207"/>
      <c r="U123" s="207"/>
      <c r="V123" s="217"/>
      <c r="W123" s="218"/>
      <c r="X123" s="218"/>
    </row>
    <row r="124" spans="1:24" x14ac:dyDescent="0.35">
      <c r="A124" s="214"/>
      <c r="B124" s="299">
        <v>123</v>
      </c>
      <c r="C124" s="228" t="s">
        <v>593</v>
      </c>
      <c r="D124" s="222">
        <f>$A$4*D!D124</f>
        <v>9.187760778859527</v>
      </c>
      <c r="E124" s="222">
        <f>$A$4*D!E124</f>
        <v>6298.44</v>
      </c>
      <c r="F124" s="222">
        <f>$A$4*D!F124</f>
        <v>1.0893309726739724</v>
      </c>
      <c r="G124" s="349">
        <v>0.68600000000000005</v>
      </c>
      <c r="H124" s="1617" t="s">
        <v>825</v>
      </c>
      <c r="I124" s="226">
        <v>0.31</v>
      </c>
      <c r="J124" s="227">
        <v>40</v>
      </c>
      <c r="K124" s="353" t="s">
        <v>826</v>
      </c>
      <c r="L124" s="358">
        <v>10.841149911209692</v>
      </c>
      <c r="M124" s="207"/>
      <c r="N124" s="207"/>
      <c r="O124" s="207"/>
      <c r="P124" s="207"/>
      <c r="Q124" s="207"/>
      <c r="R124" s="207"/>
      <c r="S124" s="206"/>
      <c r="T124" s="207"/>
      <c r="U124" s="207"/>
      <c r="V124" s="217"/>
      <c r="W124" s="218"/>
      <c r="X124" s="218"/>
    </row>
    <row r="125" spans="1:24" x14ac:dyDescent="0.35">
      <c r="A125" s="214"/>
      <c r="B125" s="299">
        <v>124</v>
      </c>
      <c r="C125" s="228" t="s">
        <v>594</v>
      </c>
      <c r="D125" s="222">
        <f>$A$4*D!D125</f>
        <v>52.847999999999999</v>
      </c>
      <c r="E125" s="222">
        <f>$A$4*D!E125</f>
        <v>1095</v>
      </c>
      <c r="F125" s="222">
        <f>$A$4*D!F125</f>
        <v>0.35279333344559705</v>
      </c>
      <c r="G125" s="349">
        <v>0.45600000000000002</v>
      </c>
      <c r="H125" s="1618">
        <v>0.22500000000000001</v>
      </c>
      <c r="I125" s="226">
        <v>0.32</v>
      </c>
      <c r="J125" s="227">
        <v>25</v>
      </c>
      <c r="K125" s="352" t="s">
        <v>825</v>
      </c>
      <c r="L125" s="357">
        <v>79.297945205479451</v>
      </c>
      <c r="M125" s="207"/>
      <c r="N125" s="207"/>
      <c r="O125" s="207"/>
      <c r="P125" s="207"/>
      <c r="Q125" s="207"/>
      <c r="R125" s="207"/>
      <c r="S125" s="206"/>
      <c r="T125" s="207"/>
      <c r="U125" s="207"/>
      <c r="V125" s="217"/>
      <c r="W125" s="218"/>
      <c r="X125" s="218"/>
    </row>
    <row r="126" spans="1:24" x14ac:dyDescent="0.35">
      <c r="A126" s="214"/>
      <c r="B126" s="299">
        <v>125</v>
      </c>
      <c r="C126" s="228" t="s">
        <v>595</v>
      </c>
      <c r="D126" s="222">
        <f>$A$4*D!D126</f>
        <v>14.206451612903225</v>
      </c>
      <c r="E126" s="222">
        <f>$A$4*D!E126</f>
        <v>4073.4</v>
      </c>
      <c r="F126" s="222">
        <f>$A$4*D!F126</f>
        <v>0.40323338691378313</v>
      </c>
      <c r="G126" s="349">
        <v>0.58299999999999996</v>
      </c>
      <c r="H126" s="1619">
        <v>4.0000000000000001E-3</v>
      </c>
      <c r="I126" s="226">
        <v>0.25</v>
      </c>
      <c r="J126" s="227">
        <v>28</v>
      </c>
      <c r="K126" s="352" t="s">
        <v>825</v>
      </c>
      <c r="L126" s="357">
        <v>1577.1908295281621</v>
      </c>
      <c r="M126" s="207"/>
      <c r="N126" s="207"/>
      <c r="O126" s="207"/>
      <c r="P126" s="207"/>
      <c r="Q126" s="207"/>
      <c r="R126" s="207"/>
      <c r="S126" s="206"/>
      <c r="T126" s="207"/>
      <c r="U126" s="207"/>
      <c r="V126" s="217"/>
      <c r="W126" s="218"/>
      <c r="X126" s="218"/>
    </row>
    <row r="127" spans="1:24" x14ac:dyDescent="0.35">
      <c r="A127" s="214"/>
      <c r="B127" s="299">
        <v>126</v>
      </c>
      <c r="C127" s="228" t="s">
        <v>596</v>
      </c>
      <c r="D127" s="222">
        <f>$A$4*D!D127</f>
        <v>7.1648590021691971</v>
      </c>
      <c r="E127" s="222">
        <f>$A$4*D!E127</f>
        <v>8076.72</v>
      </c>
      <c r="F127" s="222">
        <f>$A$4*D!F127</f>
        <v>0.8611981654021138</v>
      </c>
      <c r="G127" s="349">
        <v>0.64600000000000002</v>
      </c>
      <c r="H127" s="1617" t="s">
        <v>825</v>
      </c>
      <c r="I127" s="226">
        <v>0.32</v>
      </c>
      <c r="J127" s="227">
        <v>51</v>
      </c>
      <c r="K127" s="353" t="s">
        <v>826</v>
      </c>
      <c r="L127" s="358">
        <v>18.793683409436873</v>
      </c>
      <c r="M127" s="207"/>
      <c r="N127" s="207"/>
      <c r="O127" s="207"/>
      <c r="P127" s="207"/>
      <c r="Q127" s="207"/>
      <c r="R127" s="207"/>
      <c r="S127" s="206"/>
      <c r="T127" s="207"/>
      <c r="U127" s="207"/>
      <c r="V127" s="217"/>
      <c r="W127" s="218"/>
      <c r="X127" s="218"/>
    </row>
    <row r="128" spans="1:24" x14ac:dyDescent="0.35">
      <c r="A128" s="214"/>
      <c r="B128" s="299">
        <v>127</v>
      </c>
      <c r="C128" s="228" t="s">
        <v>597</v>
      </c>
      <c r="D128" s="222">
        <f>$A$4*D!D128</f>
        <v>16.270935960591132</v>
      </c>
      <c r="E128" s="222">
        <f>$A$4*D!E128</f>
        <v>3556.56</v>
      </c>
      <c r="F128" s="222">
        <f>$A$4*D!F128</f>
        <v>0.67374643390483746</v>
      </c>
      <c r="G128" s="349">
        <v>0.60199999999999998</v>
      </c>
      <c r="H128" s="1617">
        <v>0.37200000000000005</v>
      </c>
      <c r="I128" s="226">
        <v>0.25</v>
      </c>
      <c r="J128" s="227">
        <v>33</v>
      </c>
      <c r="K128" s="353" t="s">
        <v>826</v>
      </c>
      <c r="L128" s="358">
        <v>135.09724574884248</v>
      </c>
      <c r="M128" s="207"/>
      <c r="N128" s="207"/>
      <c r="O128" s="207"/>
      <c r="P128" s="207"/>
      <c r="Q128" s="207"/>
      <c r="R128" s="207"/>
      <c r="S128" s="206"/>
      <c r="T128" s="207"/>
      <c r="U128" s="207"/>
      <c r="V128" s="217"/>
      <c r="W128" s="218"/>
      <c r="X128" s="218"/>
    </row>
    <row r="129" spans="1:24" x14ac:dyDescent="0.35">
      <c r="A129" s="214"/>
      <c r="B129" s="299">
        <v>128</v>
      </c>
      <c r="C129" s="228" t="s">
        <v>458</v>
      </c>
      <c r="D129" s="222">
        <f>$A$4*D!D129</f>
        <v>1.1065326633165828</v>
      </c>
      <c r="E129" s="222">
        <f>$A$4*D!E129</f>
        <v>52297.2</v>
      </c>
      <c r="F129" s="222">
        <f>$A$4*D!F129</f>
        <v>10.39216094420601</v>
      </c>
      <c r="G129" s="349">
        <v>0.94399999999999995</v>
      </c>
      <c r="H129" s="1617">
        <v>0</v>
      </c>
      <c r="I129" s="226">
        <v>0.25</v>
      </c>
      <c r="J129" s="227">
        <v>82</v>
      </c>
      <c r="K129" s="353" t="s">
        <v>826</v>
      </c>
      <c r="L129" s="358">
        <v>1</v>
      </c>
      <c r="M129" s="207"/>
      <c r="N129" s="207"/>
      <c r="O129" s="207"/>
      <c r="P129" s="207"/>
      <c r="Q129" s="207"/>
      <c r="R129" s="207"/>
      <c r="S129" s="206"/>
      <c r="T129" s="207"/>
      <c r="U129" s="207"/>
      <c r="V129" s="217"/>
      <c r="W129" s="218"/>
      <c r="X129" s="218"/>
    </row>
    <row r="130" spans="1:24" x14ac:dyDescent="0.35">
      <c r="A130" s="214"/>
      <c r="B130" s="299">
        <v>129</v>
      </c>
      <c r="C130" s="228" t="s">
        <v>598</v>
      </c>
      <c r="D130" s="222">
        <f>$A$4*D!D130</f>
        <v>1.5030716723549489</v>
      </c>
      <c r="E130" s="222">
        <f>$A$4*D!E130</f>
        <v>38500.199999999997</v>
      </c>
      <c r="F130" s="222">
        <f>$A$4*D!F130</f>
        <v>9.9526196047490867</v>
      </c>
      <c r="G130" s="349">
        <v>0.93100000000000005</v>
      </c>
      <c r="H130" s="1617">
        <v>0</v>
      </c>
      <c r="I130" s="226">
        <v>0.28000000000000003</v>
      </c>
      <c r="J130" s="227">
        <v>88</v>
      </c>
      <c r="K130" s="353" t="s">
        <v>826</v>
      </c>
      <c r="L130" s="358">
        <v>1.7603405631659017</v>
      </c>
      <c r="M130" s="207"/>
      <c r="N130" s="207"/>
      <c r="O130" s="207"/>
      <c r="P130" s="207"/>
      <c r="Q130" s="207"/>
      <c r="R130" s="207"/>
      <c r="S130" s="206"/>
      <c r="T130" s="207"/>
      <c r="U130" s="207"/>
      <c r="V130" s="217"/>
      <c r="W130" s="218"/>
      <c r="X130" s="218"/>
    </row>
    <row r="131" spans="1:24" x14ac:dyDescent="0.35">
      <c r="A131" s="214"/>
      <c r="B131" s="299">
        <v>130</v>
      </c>
      <c r="C131" s="228" t="s">
        <v>599</v>
      </c>
      <c r="D131" s="222">
        <f>$A$4*D!D131</f>
        <v>12.210720887245841</v>
      </c>
      <c r="E131" s="222">
        <f>$A$4*D!E131</f>
        <v>4739.16</v>
      </c>
      <c r="F131" s="222">
        <f>$A$4*D!F131</f>
        <v>0.82545253056217749</v>
      </c>
      <c r="G131" s="349">
        <v>0.66</v>
      </c>
      <c r="H131" s="1617">
        <v>0.47700000000000004</v>
      </c>
      <c r="I131" s="226">
        <v>0.3</v>
      </c>
      <c r="J131" s="227">
        <v>22</v>
      </c>
      <c r="K131" s="352" t="s">
        <v>826</v>
      </c>
      <c r="L131" s="357">
        <v>39.203335753084936</v>
      </c>
      <c r="M131" s="207"/>
      <c r="N131" s="207"/>
      <c r="O131" s="207"/>
      <c r="P131" s="207"/>
      <c r="Q131" s="207"/>
      <c r="R131" s="207"/>
      <c r="S131" s="206"/>
      <c r="T131" s="207"/>
      <c r="U131" s="207"/>
      <c r="V131" s="217"/>
      <c r="W131" s="218"/>
      <c r="X131" s="218"/>
    </row>
    <row r="132" spans="1:24" x14ac:dyDescent="0.35">
      <c r="A132" s="214"/>
      <c r="B132" s="299">
        <v>131</v>
      </c>
      <c r="C132" s="228" t="s">
        <v>600</v>
      </c>
      <c r="D132" s="222">
        <f>$A$4*D!D132</f>
        <v>54.595041322314046</v>
      </c>
      <c r="E132" s="222">
        <f>$A$4*D!E132</f>
        <v>1059.96</v>
      </c>
      <c r="F132" s="222">
        <f>$A$4*D!F132</f>
        <v>0.45602613853342888</v>
      </c>
      <c r="G132" s="349">
        <v>0.39400000000000002</v>
      </c>
      <c r="H132" s="1617">
        <v>0.42899999999999999</v>
      </c>
      <c r="I132" s="226">
        <v>0.3</v>
      </c>
      <c r="J132" s="227">
        <v>32</v>
      </c>
      <c r="K132" s="352" t="s">
        <v>825</v>
      </c>
      <c r="L132" s="357">
        <v>657.06164898509712</v>
      </c>
      <c r="M132" s="207"/>
      <c r="N132" s="207"/>
      <c r="O132" s="207"/>
      <c r="P132" s="207"/>
      <c r="Q132" s="207"/>
      <c r="R132" s="207"/>
      <c r="S132" s="206"/>
      <c r="T132" s="207"/>
      <c r="U132" s="207"/>
      <c r="V132" s="217"/>
      <c r="W132" s="218"/>
      <c r="X132" s="218"/>
    </row>
    <row r="133" spans="1:24" x14ac:dyDescent="0.35">
      <c r="A133" s="214"/>
      <c r="B133" s="299">
        <v>132</v>
      </c>
      <c r="C133" s="228" t="s">
        <v>601</v>
      </c>
      <c r="D133" s="222">
        <f>$A$4*D!D133</f>
        <v>13.212</v>
      </c>
      <c r="E133" s="222">
        <f>$A$4*D!E133</f>
        <v>4380</v>
      </c>
      <c r="F133" s="222">
        <f>$A$4*D!F133</f>
        <v>0.41304683796726094</v>
      </c>
      <c r="G133" s="349">
        <v>0.53900000000000003</v>
      </c>
      <c r="H133" s="1617">
        <v>0.47499999999999998</v>
      </c>
      <c r="I133" s="226">
        <v>0.3</v>
      </c>
      <c r="J133" s="227">
        <v>25</v>
      </c>
      <c r="K133" s="352" t="s">
        <v>825</v>
      </c>
      <c r="L133" s="357">
        <v>409.60136673321574</v>
      </c>
      <c r="M133" s="207"/>
      <c r="N133" s="207"/>
      <c r="O133" s="207"/>
      <c r="P133" s="207"/>
      <c r="Q133" s="207"/>
      <c r="R133" s="207"/>
      <c r="S133" s="206"/>
      <c r="T133" s="207"/>
      <c r="U133" s="207"/>
      <c r="V133" s="217"/>
      <c r="W133" s="218"/>
      <c r="X133" s="218"/>
    </row>
    <row r="134" spans="1:24" x14ac:dyDescent="0.35">
      <c r="A134" s="214"/>
      <c r="B134" s="299">
        <v>133</v>
      </c>
      <c r="C134" s="228" t="s">
        <v>602</v>
      </c>
      <c r="D134" s="222">
        <f>$A$4*D!D134</f>
        <v>1.0006058770069677</v>
      </c>
      <c r="E134" s="222">
        <f>$A$4*D!E134</f>
        <v>57833.52</v>
      </c>
      <c r="F134" s="222">
        <f>$A$4*D!F134</f>
        <v>12.179653156998416</v>
      </c>
      <c r="G134" s="349">
        <v>0.95699999999999996</v>
      </c>
      <c r="H134" s="1619">
        <v>0</v>
      </c>
      <c r="I134" s="226">
        <v>0.22</v>
      </c>
      <c r="J134" s="227">
        <v>84</v>
      </c>
      <c r="K134" s="353" t="s">
        <v>826</v>
      </c>
      <c r="L134" s="358">
        <v>10.748668188736678</v>
      </c>
      <c r="M134" s="207"/>
      <c r="N134" s="207"/>
      <c r="O134" s="207"/>
      <c r="P134" s="207"/>
      <c r="Q134" s="207"/>
      <c r="R134" s="207"/>
      <c r="S134" s="206"/>
      <c r="T134" s="207"/>
      <c r="U134" s="207"/>
      <c r="V134" s="217"/>
      <c r="W134" s="218"/>
      <c r="X134" s="218"/>
    </row>
    <row r="135" spans="1:24" x14ac:dyDescent="0.35">
      <c r="A135" s="214"/>
      <c r="B135" s="299">
        <v>134</v>
      </c>
      <c r="C135" s="228" t="s">
        <v>603</v>
      </c>
      <c r="D135" s="222">
        <f>$A$4*D!D135</f>
        <v>2.5252293577981653</v>
      </c>
      <c r="E135" s="222">
        <f>$A$4*D!E135</f>
        <v>22916.16</v>
      </c>
      <c r="F135" s="222">
        <f>$A$4*D!F135</f>
        <v>4.6976763200634011</v>
      </c>
      <c r="G135" s="349">
        <v>0.81299999999999994</v>
      </c>
      <c r="H135" s="1619">
        <v>0</v>
      </c>
      <c r="I135" s="226">
        <v>0.15</v>
      </c>
      <c r="J135" s="227">
        <v>54</v>
      </c>
      <c r="K135" s="352" t="s">
        <v>826</v>
      </c>
      <c r="L135" s="357">
        <v>0.4389269406392694</v>
      </c>
      <c r="M135" s="207"/>
      <c r="N135" s="207"/>
      <c r="O135" s="207"/>
      <c r="P135" s="207"/>
      <c r="Q135" s="207"/>
      <c r="R135" s="207"/>
      <c r="S135" s="206"/>
      <c r="T135" s="207"/>
      <c r="U135" s="207"/>
      <c r="V135" s="217"/>
      <c r="W135" s="218"/>
      <c r="X135" s="218"/>
    </row>
    <row r="136" spans="1:24" x14ac:dyDescent="0.35">
      <c r="A136" s="214"/>
      <c r="B136" s="299">
        <v>135</v>
      </c>
      <c r="C136" s="228" t="s">
        <v>604</v>
      </c>
      <c r="D136" s="222">
        <f>$A$4*D!D136</f>
        <v>13.849056603773583</v>
      </c>
      <c r="E136" s="222">
        <f>$A$4*D!E136</f>
        <v>4178.5200000000004</v>
      </c>
      <c r="F136" s="222">
        <f>$A$4*D!F136</f>
        <v>0.64103398565867986</v>
      </c>
      <c r="G136" s="349">
        <v>0.55700000000000005</v>
      </c>
      <c r="H136" s="1617">
        <v>9.8000000000000004E-2</v>
      </c>
      <c r="I136" s="226">
        <v>0.28999999999999998</v>
      </c>
      <c r="J136" s="227">
        <v>31</v>
      </c>
      <c r="K136" s="353" t="s">
        <v>826</v>
      </c>
      <c r="L136" s="358">
        <v>184.74712292776027</v>
      </c>
      <c r="M136" s="207"/>
      <c r="N136" s="207"/>
      <c r="O136" s="207"/>
      <c r="P136" s="207"/>
      <c r="Q136" s="207"/>
      <c r="R136" s="207"/>
      <c r="S136" s="206"/>
      <c r="T136" s="207"/>
      <c r="U136" s="207"/>
      <c r="V136" s="217"/>
      <c r="W136" s="218"/>
      <c r="X136" s="218"/>
    </row>
    <row r="137" spans="1:24" x14ac:dyDescent="0.35">
      <c r="A137" s="214"/>
      <c r="B137" s="299">
        <v>136</v>
      </c>
      <c r="C137" s="228" t="s">
        <v>605</v>
      </c>
      <c r="D137" s="222">
        <f>$A$4*D!D137</f>
        <v>2.6413434626149539</v>
      </c>
      <c r="E137" s="222">
        <f>$A$4*D!E137</f>
        <v>21908.76</v>
      </c>
      <c r="F137" s="222">
        <f>$A$4*D!F137</f>
        <v>2.5414232858140924</v>
      </c>
      <c r="G137" s="349">
        <v>0.81499999999999995</v>
      </c>
      <c r="H137" s="1619">
        <v>4.7E-2</v>
      </c>
      <c r="I137" s="226">
        <v>0.25</v>
      </c>
      <c r="J137" s="227">
        <v>35</v>
      </c>
      <c r="K137" s="353" t="s">
        <v>826</v>
      </c>
      <c r="L137" s="358">
        <v>1.1415525114155252</v>
      </c>
      <c r="M137" s="207"/>
      <c r="N137" s="207"/>
      <c r="O137" s="207"/>
      <c r="P137" s="207"/>
      <c r="Q137" s="207"/>
      <c r="R137" s="207"/>
      <c r="S137" s="206"/>
      <c r="T137" s="207"/>
      <c r="U137" s="207"/>
      <c r="V137" s="217"/>
      <c r="W137" s="218"/>
      <c r="X137" s="218"/>
    </row>
    <row r="138" spans="1:24" x14ac:dyDescent="0.35">
      <c r="A138" s="214"/>
      <c r="B138" s="299">
        <v>137</v>
      </c>
      <c r="C138" s="228" t="s">
        <v>606</v>
      </c>
      <c r="D138" s="222">
        <f>$A$4*D!D138</f>
        <v>15.580188679245284</v>
      </c>
      <c r="E138" s="222">
        <f>$A$4*D!E138</f>
        <v>3714.24</v>
      </c>
      <c r="F138" s="222">
        <f>$A$4*D!F138</f>
        <v>0.94245283439999983</v>
      </c>
      <c r="G138" s="349">
        <v>0.55500000000000005</v>
      </c>
      <c r="H138" s="1617" t="s">
        <v>825</v>
      </c>
      <c r="I138" s="226">
        <v>0.3</v>
      </c>
      <c r="J138" s="227">
        <v>27</v>
      </c>
      <c r="K138" s="353" t="s">
        <v>826</v>
      </c>
      <c r="L138" s="358">
        <v>3.9363879703983629</v>
      </c>
      <c r="M138" s="207"/>
      <c r="N138" s="207"/>
      <c r="O138" s="207"/>
      <c r="P138" s="207"/>
      <c r="Q138" s="207"/>
      <c r="R138" s="207"/>
      <c r="S138" s="206"/>
      <c r="T138" s="207"/>
      <c r="U138" s="207"/>
      <c r="V138" s="217"/>
      <c r="W138" s="218"/>
      <c r="X138" s="218"/>
    </row>
    <row r="139" spans="1:24" x14ac:dyDescent="0.35">
      <c r="A139" s="214"/>
      <c r="B139" s="299">
        <v>138</v>
      </c>
      <c r="C139" s="228" t="s">
        <v>607</v>
      </c>
      <c r="D139" s="222">
        <f>$A$4*D!D139</f>
        <v>5.2470214455917388</v>
      </c>
      <c r="E139" s="222">
        <f>$A$4*D!E139</f>
        <v>11028.84</v>
      </c>
      <c r="F139" s="222">
        <f>$A$4*D!F139</f>
        <v>2.0798623179533999</v>
      </c>
      <c r="G139" s="349">
        <v>0.72799999999999998</v>
      </c>
      <c r="H139" s="1617">
        <v>7.400000000000001E-2</v>
      </c>
      <c r="I139" s="226">
        <v>0.1</v>
      </c>
      <c r="J139" s="227">
        <v>28</v>
      </c>
      <c r="K139" s="353" t="s">
        <v>826</v>
      </c>
      <c r="L139" s="358">
        <v>7729.5632707722716</v>
      </c>
      <c r="M139" s="207"/>
      <c r="N139" s="207"/>
      <c r="O139" s="207"/>
      <c r="P139" s="207"/>
      <c r="Q139" s="207"/>
      <c r="R139" s="207"/>
      <c r="S139" s="206"/>
      <c r="T139" s="207"/>
      <c r="U139" s="207"/>
      <c r="V139" s="217"/>
      <c r="W139" s="218"/>
      <c r="X139" s="218"/>
    </row>
    <row r="140" spans="1:24" x14ac:dyDescent="0.35">
      <c r="A140" s="214"/>
      <c r="B140" s="299">
        <v>139</v>
      </c>
      <c r="C140" s="228" t="s">
        <v>608</v>
      </c>
      <c r="D140" s="222">
        <f>$A$4*D!D140</f>
        <v>5.7493472584856393</v>
      </c>
      <c r="E140" s="222">
        <f>$A$4*D!E140</f>
        <v>10065.24</v>
      </c>
      <c r="F140" s="222">
        <f>$A$4*D!F140</f>
        <v>1.5437102090987123</v>
      </c>
      <c r="G140" s="349">
        <v>0.77700000000000002</v>
      </c>
      <c r="H140" s="1617">
        <v>0.218</v>
      </c>
      <c r="I140" s="226">
        <v>0.29499999999999998</v>
      </c>
      <c r="J140" s="227">
        <v>38</v>
      </c>
      <c r="K140" s="352" t="s">
        <v>826</v>
      </c>
      <c r="L140" s="357">
        <v>4.756468797564688</v>
      </c>
      <c r="M140" s="207"/>
      <c r="N140" s="207"/>
      <c r="O140" s="207"/>
      <c r="P140" s="207"/>
      <c r="Q140" s="207"/>
      <c r="R140" s="207"/>
      <c r="S140" s="206"/>
      <c r="T140" s="207"/>
      <c r="U140" s="207"/>
      <c r="V140" s="217"/>
      <c r="W140" s="218"/>
      <c r="X140" s="218"/>
    </row>
    <row r="141" spans="1:24" x14ac:dyDescent="0.35">
      <c r="A141" s="214"/>
      <c r="B141" s="299">
        <v>140</v>
      </c>
      <c r="C141" s="228" t="s">
        <v>609</v>
      </c>
      <c r="D141" s="222">
        <f>$A$4*D!D141</f>
        <v>7.3075221238938051</v>
      </c>
      <c r="E141" s="222">
        <f>$A$4*D!E141</f>
        <v>7919.04</v>
      </c>
      <c r="F141" s="222">
        <f>$A$4*D!F141</f>
        <v>0.65190245978322492</v>
      </c>
      <c r="G141" s="349">
        <v>0.71799999999999997</v>
      </c>
      <c r="H141" s="1617">
        <v>0.02</v>
      </c>
      <c r="I141" s="226">
        <v>0.3</v>
      </c>
      <c r="J141" s="227">
        <v>34</v>
      </c>
      <c r="K141" s="353" t="s">
        <v>826</v>
      </c>
      <c r="L141" s="358">
        <v>57.077625570776256</v>
      </c>
      <c r="M141" s="207"/>
      <c r="N141" s="207"/>
      <c r="O141" s="207"/>
      <c r="P141" s="207"/>
      <c r="Q141" s="207"/>
      <c r="R141" s="207"/>
      <c r="S141" s="206"/>
      <c r="T141" s="207"/>
      <c r="U141" s="207"/>
      <c r="V141" s="217"/>
      <c r="W141" s="218"/>
      <c r="X141" s="218"/>
    </row>
    <row r="142" spans="1:24" x14ac:dyDescent="0.35">
      <c r="A142" s="214"/>
      <c r="B142" s="299">
        <v>141</v>
      </c>
      <c r="C142" s="228" t="s">
        <v>610</v>
      </c>
      <c r="D142" s="222">
        <f>$A$4*D!D142</f>
        <v>1.9885611077664056</v>
      </c>
      <c r="E142" s="222">
        <f>$A$4*D!E142</f>
        <v>29100.720000000001</v>
      </c>
      <c r="F142" s="222">
        <f>$A$4*D!F142</f>
        <v>3.5470371982840216</v>
      </c>
      <c r="G142" s="349">
        <v>0.88</v>
      </c>
      <c r="H142" s="1617">
        <v>0</v>
      </c>
      <c r="I142" s="226">
        <v>0.19</v>
      </c>
      <c r="J142" s="227">
        <v>56</v>
      </c>
      <c r="K142" s="353" t="s">
        <v>826</v>
      </c>
      <c r="L142" s="358">
        <v>4.4517598934551028</v>
      </c>
      <c r="M142" s="207"/>
      <c r="N142" s="207"/>
      <c r="O142" s="207"/>
      <c r="P142" s="207"/>
      <c r="Q142" s="207"/>
      <c r="R142" s="207"/>
      <c r="S142" s="206"/>
      <c r="T142" s="207"/>
      <c r="U142" s="207"/>
      <c r="V142" s="217"/>
      <c r="W142" s="218"/>
      <c r="X142" s="218"/>
    </row>
    <row r="143" spans="1:24" x14ac:dyDescent="0.35">
      <c r="A143" s="214"/>
      <c r="B143" s="299">
        <v>142</v>
      </c>
      <c r="C143" s="228" t="s">
        <v>611</v>
      </c>
      <c r="D143" s="222">
        <f>$A$4*D!D143</f>
        <v>1.9440847557386698</v>
      </c>
      <c r="E143" s="222">
        <f>$A$4*D!E143</f>
        <v>29766.48</v>
      </c>
      <c r="F143" s="222">
        <f>$A$4*D!F143</f>
        <v>4.0826599478288248</v>
      </c>
      <c r="G143" s="349">
        <v>0.86399999999999999</v>
      </c>
      <c r="H143" s="1617">
        <v>0</v>
      </c>
      <c r="I143" s="226">
        <v>0.315</v>
      </c>
      <c r="J143" s="227">
        <v>61</v>
      </c>
      <c r="K143" s="353" t="s">
        <v>826</v>
      </c>
      <c r="L143" s="358">
        <v>1</v>
      </c>
      <c r="M143" s="207"/>
      <c r="N143" s="207"/>
      <c r="O143" s="207"/>
      <c r="P143" s="207"/>
      <c r="Q143" s="207"/>
      <c r="R143" s="207"/>
      <c r="S143" s="206"/>
      <c r="T143" s="207"/>
      <c r="U143" s="207"/>
      <c r="V143" s="217"/>
      <c r="W143" s="218"/>
      <c r="X143" s="218"/>
    </row>
    <row r="144" spans="1:24" x14ac:dyDescent="0.35">
      <c r="A144" s="214"/>
      <c r="B144" s="299">
        <v>143</v>
      </c>
      <c r="C144" s="228" t="s">
        <v>612</v>
      </c>
      <c r="D144" s="222">
        <f>$A$4*D!D144</f>
        <v>0.75008515953219024</v>
      </c>
      <c r="E144" s="222">
        <f>$A$4*D!E144</f>
        <v>77149.320000000007</v>
      </c>
      <c r="F144" s="222">
        <f>$A$4*D!F144</f>
        <v>11.031564566953271</v>
      </c>
      <c r="G144" s="349">
        <v>0.84799999999999998</v>
      </c>
      <c r="H144" s="1617">
        <v>0</v>
      </c>
      <c r="I144" s="226">
        <v>0.1</v>
      </c>
      <c r="J144" s="227">
        <v>63</v>
      </c>
      <c r="K144" s="353" t="s">
        <v>826</v>
      </c>
      <c r="L144" s="358">
        <v>4.1552511415525117</v>
      </c>
      <c r="M144" s="207"/>
      <c r="N144" s="207"/>
      <c r="O144" s="207"/>
      <c r="P144" s="207"/>
      <c r="Q144" s="207"/>
      <c r="R144" s="207"/>
      <c r="S144" s="206"/>
      <c r="T144" s="207"/>
      <c r="U144" s="207"/>
      <c r="V144" s="217"/>
      <c r="W144" s="218"/>
      <c r="X144" s="218"/>
    </row>
    <row r="145" spans="1:24" x14ac:dyDescent="0.35">
      <c r="A145" s="214"/>
      <c r="B145" s="299">
        <v>144</v>
      </c>
      <c r="C145" s="228" t="s">
        <v>613</v>
      </c>
      <c r="D145" s="222">
        <f>$A$4*D!D145</f>
        <v>2.1031518624641832</v>
      </c>
      <c r="E145" s="222">
        <f>$A$4*D!E145</f>
        <v>27515.16</v>
      </c>
      <c r="F145" s="222">
        <f>$A$4*D!F145</f>
        <v>2.6772989268587017</v>
      </c>
      <c r="G145" s="349">
        <v>0.82799999999999996</v>
      </c>
      <c r="H145" s="1617">
        <v>0</v>
      </c>
      <c r="I145" s="226">
        <v>0.16</v>
      </c>
      <c r="J145" s="227">
        <v>44</v>
      </c>
      <c r="K145" s="352" t="s">
        <v>826</v>
      </c>
      <c r="L145" s="357">
        <v>4.8447393455098968</v>
      </c>
      <c r="M145" s="207"/>
      <c r="N145" s="207"/>
      <c r="O145" s="207"/>
      <c r="P145" s="207"/>
      <c r="Q145" s="207"/>
      <c r="R145" s="207"/>
      <c r="S145" s="206"/>
      <c r="T145" s="207"/>
      <c r="U145" s="207"/>
      <c r="V145" s="217"/>
      <c r="W145" s="218"/>
      <c r="X145" s="218"/>
    </row>
    <row r="146" spans="1:24" x14ac:dyDescent="0.35">
      <c r="A146" s="214"/>
      <c r="B146" s="299">
        <v>145</v>
      </c>
      <c r="C146" s="228" t="s">
        <v>614</v>
      </c>
      <c r="D146" s="222">
        <f>$A$4*D!D146</f>
        <v>2.3978221415607983</v>
      </c>
      <c r="E146" s="222">
        <f>$A$4*D!E146</f>
        <v>24133.8</v>
      </c>
      <c r="F146" s="222">
        <f>$A$4*D!F146</f>
        <v>1.8274528439458249</v>
      </c>
      <c r="G146" s="349">
        <v>0.82399999999999995</v>
      </c>
      <c r="H146" s="1617">
        <v>0</v>
      </c>
      <c r="I146" s="226">
        <v>0.2</v>
      </c>
      <c r="J146" s="227">
        <v>30</v>
      </c>
      <c r="K146" s="353" t="s">
        <v>826</v>
      </c>
      <c r="L146" s="358">
        <v>82.311539193302849</v>
      </c>
      <c r="M146" s="207"/>
      <c r="N146" s="207"/>
      <c r="O146" s="207"/>
      <c r="P146" s="207"/>
      <c r="Q146" s="207"/>
      <c r="R146" s="207"/>
      <c r="S146" s="206"/>
      <c r="T146" s="207"/>
      <c r="U146" s="207"/>
      <c r="V146" s="217"/>
      <c r="W146" s="218"/>
      <c r="X146" s="218"/>
    </row>
    <row r="147" spans="1:24" x14ac:dyDescent="0.35">
      <c r="A147" s="214"/>
      <c r="B147" s="299">
        <v>146</v>
      </c>
      <c r="C147" s="228" t="s">
        <v>615</v>
      </c>
      <c r="D147" s="222">
        <f>$A$4*D!D147</f>
        <v>30.583333333333332</v>
      </c>
      <c r="E147" s="222">
        <f>$A$4*D!E147</f>
        <v>1892.16</v>
      </c>
      <c r="F147" s="222">
        <f>$A$4*D!F147</f>
        <v>0.41305093936476794</v>
      </c>
      <c r="G147" s="349">
        <v>0.54300000000000004</v>
      </c>
      <c r="H147" s="1619">
        <v>5.4000000000000006E-2</v>
      </c>
      <c r="I147" s="226">
        <v>0.3</v>
      </c>
      <c r="J147" s="227">
        <v>54</v>
      </c>
      <c r="K147" s="353" t="s">
        <v>826</v>
      </c>
      <c r="L147" s="358">
        <v>1076.8014248477934</v>
      </c>
      <c r="M147" s="207"/>
      <c r="N147" s="207"/>
      <c r="O147" s="207"/>
      <c r="P147" s="207"/>
      <c r="Q147" s="207"/>
      <c r="R147" s="207"/>
      <c r="S147" s="206"/>
      <c r="T147" s="207"/>
      <c r="U147" s="207"/>
      <c r="V147" s="217"/>
      <c r="W147" s="218"/>
      <c r="X147" s="218"/>
    </row>
    <row r="148" spans="1:24" x14ac:dyDescent="0.35">
      <c r="A148" s="214"/>
      <c r="B148" s="299">
        <v>147</v>
      </c>
      <c r="C148" s="228" t="s">
        <v>616</v>
      </c>
      <c r="D148" s="222">
        <f>$A$4*D!D148</f>
        <v>10.194444444444445</v>
      </c>
      <c r="E148" s="222">
        <f>$A$4*D!E148</f>
        <v>5676.48</v>
      </c>
      <c r="F148" s="222">
        <f>$A$4*D!F148</f>
        <v>0.74913114947729109</v>
      </c>
      <c r="G148" s="349">
        <v>0.71499999999999997</v>
      </c>
      <c r="H148" s="1617" t="s">
        <v>825</v>
      </c>
      <c r="I148" s="226">
        <v>0.27</v>
      </c>
      <c r="J148" s="227"/>
      <c r="K148" s="353" t="s">
        <v>826</v>
      </c>
      <c r="L148" s="358">
        <v>3.0421927456586304</v>
      </c>
      <c r="M148" s="207"/>
      <c r="N148" s="207"/>
      <c r="O148" s="207"/>
      <c r="P148" s="207"/>
      <c r="Q148" s="207"/>
      <c r="R148" s="207"/>
      <c r="S148" s="206"/>
      <c r="T148" s="207"/>
      <c r="U148" s="207"/>
      <c r="V148" s="217"/>
      <c r="W148" s="218"/>
      <c r="X148" s="218"/>
    </row>
    <row r="149" spans="1:24" ht="29" x14ac:dyDescent="0.35">
      <c r="A149" s="214"/>
      <c r="B149" s="299">
        <v>148</v>
      </c>
      <c r="C149" s="228" t="s">
        <v>617</v>
      </c>
      <c r="D149" s="222">
        <f>$A$4*D!D149</f>
        <v>15.507042253521126</v>
      </c>
      <c r="E149" s="222">
        <f>$A$4*D!E149</f>
        <v>3731.76</v>
      </c>
      <c r="F149" s="222">
        <f>$A$4*D!F149</f>
        <v>0</v>
      </c>
      <c r="G149" s="349">
        <v>0.625</v>
      </c>
      <c r="H149" s="1617">
        <v>0.22600000000000001</v>
      </c>
      <c r="I149" s="226">
        <v>0.25</v>
      </c>
      <c r="J149" s="227">
        <v>47</v>
      </c>
      <c r="K149" s="352" t="s">
        <v>826</v>
      </c>
      <c r="L149" s="357">
        <v>24.551437328034478</v>
      </c>
      <c r="M149" s="207"/>
      <c r="N149" s="207"/>
      <c r="O149" s="207"/>
      <c r="P149" s="207"/>
      <c r="Q149" s="207"/>
      <c r="R149" s="207"/>
      <c r="S149" s="206"/>
      <c r="T149" s="207"/>
      <c r="U149" s="207"/>
      <c r="V149" s="217"/>
      <c r="W149" s="218"/>
      <c r="X149" s="218"/>
    </row>
    <row r="150" spans="1:24" x14ac:dyDescent="0.35">
      <c r="A150" s="214"/>
      <c r="B150" s="299">
        <v>149</v>
      </c>
      <c r="C150" s="228" t="s">
        <v>618</v>
      </c>
      <c r="D150" s="222">
        <f>$A$4*D!D150</f>
        <v>1.3822975517890772</v>
      </c>
      <c r="E150" s="222">
        <f>$A$4*D!E150</f>
        <v>41864.04</v>
      </c>
      <c r="F150" s="222">
        <f>$A$4*D!F150</f>
        <v>6.3234417167381967</v>
      </c>
      <c r="G150" s="349">
        <v>0.85399999999999998</v>
      </c>
      <c r="H150" s="1617">
        <v>0</v>
      </c>
      <c r="I150" s="226">
        <v>0.2</v>
      </c>
      <c r="J150" s="227">
        <v>53</v>
      </c>
      <c r="K150" s="352" t="s">
        <v>825</v>
      </c>
      <c r="L150" s="357">
        <v>4.2808219178082192</v>
      </c>
      <c r="M150" s="207"/>
      <c r="N150" s="207"/>
      <c r="O150" s="207"/>
      <c r="P150" s="207"/>
      <c r="Q150" s="207"/>
      <c r="R150" s="207"/>
      <c r="S150" s="206"/>
      <c r="T150" s="207"/>
      <c r="U150" s="207"/>
      <c r="V150" s="217"/>
      <c r="W150" s="218"/>
      <c r="X150" s="218"/>
    </row>
    <row r="151" spans="1:24" x14ac:dyDescent="0.35">
      <c r="A151" s="214"/>
      <c r="B151" s="299">
        <v>150</v>
      </c>
      <c r="C151" s="228" t="s">
        <v>619</v>
      </c>
      <c r="D151" s="222">
        <f>$A$4*D!D151</f>
        <v>19.429411764705883</v>
      </c>
      <c r="E151" s="222">
        <f>$A$4*D!E151</f>
        <v>2978.4</v>
      </c>
      <c r="F151" s="222">
        <f>$A$4*D!F151</f>
        <v>0.4354625109028406</v>
      </c>
      <c r="G151" s="349">
        <v>0.51200000000000001</v>
      </c>
      <c r="H151" s="1617">
        <v>0.223</v>
      </c>
      <c r="I151" s="226">
        <v>0.3</v>
      </c>
      <c r="J151" s="227">
        <v>45</v>
      </c>
      <c r="K151" s="353" t="s">
        <v>826</v>
      </c>
      <c r="L151" s="358">
        <v>657.06164898509712</v>
      </c>
      <c r="M151" s="207"/>
      <c r="N151" s="207"/>
      <c r="O151" s="207"/>
      <c r="P151" s="207"/>
      <c r="Q151" s="207"/>
      <c r="R151" s="207"/>
      <c r="S151" s="206"/>
      <c r="T151" s="207"/>
      <c r="U151" s="207"/>
      <c r="V151" s="217"/>
      <c r="W151" s="218"/>
      <c r="X151" s="218"/>
    </row>
    <row r="152" spans="1:24" x14ac:dyDescent="0.35">
      <c r="A152" s="214"/>
      <c r="B152" s="299">
        <v>151</v>
      </c>
      <c r="C152" s="228" t="s">
        <v>620</v>
      </c>
      <c r="D152" s="222">
        <f>$A$4*D!D152</f>
        <v>3.5420911528150132</v>
      </c>
      <c r="E152" s="222">
        <f>$A$4*D!E152</f>
        <v>16337.4</v>
      </c>
      <c r="F152" s="222">
        <f>$A$4*D!F152</f>
        <v>1.9858772237182349</v>
      </c>
      <c r="G152" s="349">
        <v>0.80600000000000005</v>
      </c>
      <c r="H152" s="1619" t="s">
        <v>825</v>
      </c>
      <c r="I152" s="226">
        <v>0.15</v>
      </c>
      <c r="J152" s="227">
        <v>38</v>
      </c>
      <c r="K152" s="353" t="s">
        <v>826</v>
      </c>
      <c r="L152" s="358">
        <v>117.76631468797603</v>
      </c>
      <c r="M152" s="207"/>
      <c r="N152" s="207"/>
      <c r="O152" s="207"/>
      <c r="P152" s="207"/>
      <c r="Q152" s="207"/>
      <c r="R152" s="207"/>
      <c r="S152" s="206"/>
      <c r="T152" s="207"/>
      <c r="U152" s="207"/>
      <c r="V152" s="217"/>
      <c r="W152" s="218"/>
      <c r="X152" s="218"/>
    </row>
    <row r="153" spans="1:24" x14ac:dyDescent="0.35">
      <c r="A153" s="214"/>
      <c r="B153" s="299">
        <v>152</v>
      </c>
      <c r="C153" s="228" t="s">
        <v>621</v>
      </c>
      <c r="D153" s="222">
        <f>$A$4*D!D153</f>
        <v>2.7174002468120113</v>
      </c>
      <c r="E153" s="222">
        <f>$A$4*D!E153</f>
        <v>21295.56</v>
      </c>
      <c r="F153" s="222">
        <f>$A$4*D!F153</f>
        <v>1.9953571521022755</v>
      </c>
      <c r="G153" s="349">
        <v>0.79600000000000004</v>
      </c>
      <c r="H153" s="1617">
        <v>0</v>
      </c>
      <c r="I153" s="226">
        <v>0.33</v>
      </c>
      <c r="J153" s="227">
        <v>66</v>
      </c>
      <c r="K153" s="353" t="s">
        <v>826</v>
      </c>
      <c r="L153" s="358">
        <v>20.110181227638471</v>
      </c>
      <c r="M153" s="207"/>
      <c r="N153" s="207"/>
      <c r="O153" s="207"/>
      <c r="P153" s="207"/>
      <c r="Q153" s="207"/>
      <c r="R153" s="207"/>
      <c r="S153" s="206"/>
      <c r="T153" s="207"/>
      <c r="U153" s="207"/>
      <c r="V153" s="217"/>
      <c r="W153" s="218"/>
      <c r="X153" s="218"/>
    </row>
    <row r="154" spans="1:24" x14ac:dyDescent="0.35">
      <c r="A154" s="214"/>
      <c r="B154" s="299">
        <v>153</v>
      </c>
      <c r="C154" s="228" t="s">
        <v>622</v>
      </c>
      <c r="D154" s="222">
        <f>$A$4*D!D154</f>
        <v>39.556886227544908</v>
      </c>
      <c r="E154" s="222">
        <f>$A$4*D!E154</f>
        <v>1462.92</v>
      </c>
      <c r="F154" s="222">
        <f>$A$4*D!F154</f>
        <v>0.30153971398651475</v>
      </c>
      <c r="G154" s="349">
        <v>0.45200000000000001</v>
      </c>
      <c r="H154" s="1617">
        <v>0.35100000000000003</v>
      </c>
      <c r="I154" s="226">
        <v>0.3</v>
      </c>
      <c r="J154" s="227">
        <v>33</v>
      </c>
      <c r="K154" s="353" t="s">
        <v>826</v>
      </c>
      <c r="L154" s="358">
        <v>11221.377583702912</v>
      </c>
      <c r="M154" s="207"/>
      <c r="N154" s="207"/>
      <c r="O154" s="207"/>
      <c r="P154" s="207"/>
      <c r="Q154" s="207"/>
      <c r="R154" s="207"/>
      <c r="S154" s="206"/>
      <c r="T154" s="207"/>
      <c r="U154" s="207"/>
      <c r="V154" s="217"/>
      <c r="W154" s="218"/>
      <c r="X154" s="218"/>
    </row>
    <row r="155" spans="1:24" x14ac:dyDescent="0.35">
      <c r="A155" s="214"/>
      <c r="B155" s="299">
        <v>154</v>
      </c>
      <c r="C155" s="228" t="s">
        <v>623</v>
      </c>
      <c r="D155" s="222">
        <f>$A$4*D!D155</f>
        <v>0.76387604070305271</v>
      </c>
      <c r="E155" s="222">
        <f>$A$4*D!E155</f>
        <v>75756.479999999996</v>
      </c>
      <c r="F155" s="222">
        <f>$A$4*D!F155</f>
        <v>10.669433702384005</v>
      </c>
      <c r="G155" s="349">
        <v>0.93799999999999994</v>
      </c>
      <c r="H155" s="1617">
        <v>0</v>
      </c>
      <c r="I155" s="226">
        <v>0.17</v>
      </c>
      <c r="J155" s="227">
        <v>85</v>
      </c>
      <c r="K155" s="353" t="s">
        <v>826</v>
      </c>
      <c r="L155" s="358">
        <v>1.5750475646879794</v>
      </c>
      <c r="M155" s="207"/>
      <c r="N155" s="207"/>
      <c r="O155" s="207"/>
      <c r="P155" s="207"/>
      <c r="Q155" s="207"/>
      <c r="R155" s="207"/>
      <c r="S155" s="206"/>
      <c r="T155" s="207"/>
      <c r="U155" s="207"/>
      <c r="V155" s="217"/>
      <c r="W155" s="218"/>
      <c r="X155" s="218"/>
    </row>
    <row r="156" spans="1:24" x14ac:dyDescent="0.35">
      <c r="A156" s="214"/>
      <c r="B156" s="299">
        <v>155</v>
      </c>
      <c r="C156" s="228" t="s">
        <v>624</v>
      </c>
      <c r="D156" s="222">
        <f>$A$4*D!D156</f>
        <v>2.1112176414189836</v>
      </c>
      <c r="E156" s="222">
        <f>$A$4*D!E156</f>
        <v>27410.04</v>
      </c>
      <c r="F156" s="222">
        <f>$A$4*D!F156</f>
        <v>3.5133991416309009</v>
      </c>
      <c r="G156" s="349">
        <v>0.86</v>
      </c>
      <c r="H156" s="1617">
        <v>0</v>
      </c>
      <c r="I156" s="226">
        <v>0.21</v>
      </c>
      <c r="J156" s="227">
        <v>49</v>
      </c>
      <c r="K156" s="353" t="s">
        <v>826</v>
      </c>
      <c r="L156" s="358">
        <v>1</v>
      </c>
      <c r="M156" s="207"/>
      <c r="N156" s="207"/>
      <c r="O156" s="207"/>
      <c r="P156" s="207"/>
      <c r="Q156" s="207"/>
      <c r="R156" s="207"/>
      <c r="S156" s="206"/>
      <c r="T156" s="207"/>
      <c r="U156" s="207"/>
      <c r="V156" s="217"/>
      <c r="W156" s="218"/>
      <c r="X156" s="218"/>
    </row>
    <row r="157" spans="1:24" x14ac:dyDescent="0.35">
      <c r="A157" s="214"/>
      <c r="B157" s="299">
        <v>156</v>
      </c>
      <c r="C157" s="228" t="s">
        <v>625</v>
      </c>
      <c r="D157" s="222">
        <f>$A$4*D!D157</f>
        <v>1.6299037749814951</v>
      </c>
      <c r="E157" s="222">
        <f>$A$4*D!E157</f>
        <v>35504.28</v>
      </c>
      <c r="F157" s="222">
        <f>$A$4*D!F157</f>
        <v>5.7748326180257514</v>
      </c>
      <c r="G157" s="349">
        <v>0.91700000000000004</v>
      </c>
      <c r="H157" s="1619">
        <v>0</v>
      </c>
      <c r="I157" s="226">
        <v>0.19</v>
      </c>
      <c r="J157" s="227">
        <v>60</v>
      </c>
      <c r="K157" s="353" t="s">
        <v>826</v>
      </c>
      <c r="L157" s="358">
        <v>1</v>
      </c>
      <c r="M157" s="207"/>
      <c r="N157" s="207"/>
      <c r="O157" s="207"/>
      <c r="P157" s="207"/>
      <c r="Q157" s="207"/>
      <c r="R157" s="207"/>
      <c r="S157" s="206"/>
      <c r="T157" s="207"/>
      <c r="U157" s="207"/>
      <c r="V157" s="217"/>
      <c r="W157" s="218"/>
      <c r="X157" s="218"/>
    </row>
    <row r="158" spans="1:24" x14ac:dyDescent="0.35">
      <c r="A158" s="214"/>
      <c r="B158" s="299">
        <v>157</v>
      </c>
      <c r="C158" s="228" t="s">
        <v>626</v>
      </c>
      <c r="D158" s="222">
        <f>$A$4*D!D158</f>
        <v>24.649253731343283</v>
      </c>
      <c r="E158" s="222">
        <f>$A$4*D!E158</f>
        <v>2347.6799999999998</v>
      </c>
      <c r="F158" s="222">
        <f>$A$4*D!F158</f>
        <v>0.97419800336646589</v>
      </c>
      <c r="G158" s="349">
        <v>0.56699999999999995</v>
      </c>
      <c r="H158" s="1619" t="s">
        <v>825</v>
      </c>
      <c r="I158" s="226">
        <v>0.3</v>
      </c>
      <c r="J158" s="227">
        <v>42</v>
      </c>
      <c r="K158" s="353" t="s">
        <v>826</v>
      </c>
      <c r="L158" s="358">
        <v>9.512937595129376</v>
      </c>
      <c r="M158" s="207"/>
      <c r="N158" s="207"/>
      <c r="O158" s="207"/>
      <c r="P158" s="207"/>
      <c r="Q158" s="207"/>
      <c r="R158" s="207"/>
      <c r="S158" s="206"/>
      <c r="T158" s="207"/>
      <c r="U158" s="207"/>
      <c r="V158" s="217"/>
      <c r="W158" s="218"/>
      <c r="X158" s="218"/>
    </row>
    <row r="159" spans="1:24" x14ac:dyDescent="0.35">
      <c r="A159" s="214"/>
      <c r="B159" s="299">
        <v>158</v>
      </c>
      <c r="C159" s="228" t="s">
        <v>627</v>
      </c>
      <c r="D159" s="222">
        <f>$A$4*D!D159</f>
        <v>5.5652906486941864</v>
      </c>
      <c r="E159" s="222">
        <f>$A$4*D!E159</f>
        <v>10398.120000000001</v>
      </c>
      <c r="F159" s="222">
        <f>$A$4*D!F159</f>
        <v>1.1376641181845437</v>
      </c>
      <c r="G159" s="349">
        <v>0.70899999999999996</v>
      </c>
      <c r="H159" s="1617" t="s">
        <v>825</v>
      </c>
      <c r="I159" s="226">
        <v>0.28000000000000003</v>
      </c>
      <c r="J159" s="227">
        <v>44</v>
      </c>
      <c r="K159" s="353" t="s">
        <v>826</v>
      </c>
      <c r="L159" s="358">
        <v>18.788933093987783</v>
      </c>
      <c r="M159" s="207"/>
      <c r="N159" s="207"/>
      <c r="O159" s="207"/>
      <c r="P159" s="207"/>
      <c r="Q159" s="207"/>
      <c r="R159" s="207"/>
      <c r="S159" s="206"/>
      <c r="T159" s="207"/>
      <c r="U159" s="207"/>
      <c r="V159" s="217"/>
      <c r="W159" s="218"/>
      <c r="X159" s="218"/>
    </row>
    <row r="160" spans="1:24" x14ac:dyDescent="0.35">
      <c r="A160" s="214"/>
      <c r="B160" s="299">
        <v>159</v>
      </c>
      <c r="C160" s="228" t="s">
        <v>628</v>
      </c>
      <c r="D160" s="222">
        <f>$A$4*D!D160</f>
        <v>1.5635502958579881</v>
      </c>
      <c r="E160" s="222">
        <f>$A$4*D!E160</f>
        <v>37011</v>
      </c>
      <c r="F160" s="222">
        <f>$A$4*D!F160</f>
        <v>6.9083690987124466</v>
      </c>
      <c r="G160" s="349">
        <v>0.90400000000000003</v>
      </c>
      <c r="H160" s="1617">
        <v>0</v>
      </c>
      <c r="I160" s="226">
        <v>0.25</v>
      </c>
      <c r="J160" s="227">
        <v>62</v>
      </c>
      <c r="K160" s="353" t="s">
        <v>826</v>
      </c>
      <c r="L160" s="358">
        <v>1</v>
      </c>
      <c r="M160" s="207"/>
      <c r="N160" s="207"/>
      <c r="O160" s="207"/>
      <c r="P160" s="207"/>
      <c r="Q160" s="207"/>
      <c r="R160" s="207"/>
      <c r="S160" s="206"/>
      <c r="T160" s="207"/>
      <c r="U160" s="207"/>
      <c r="V160" s="217"/>
      <c r="W160" s="218"/>
      <c r="X160" s="218"/>
    </row>
    <row r="161" spans="1:24" x14ac:dyDescent="0.35">
      <c r="A161" s="214"/>
      <c r="B161" s="299">
        <v>160</v>
      </c>
      <c r="C161" s="228" t="s">
        <v>629</v>
      </c>
      <c r="D161" s="222">
        <f>$A$4*D!D161</f>
        <v>5.1328671328671325</v>
      </c>
      <c r="E161" s="222">
        <f>$A$4*D!E161</f>
        <v>11274.12</v>
      </c>
      <c r="F161" s="222">
        <f>$A$4*D!F161</f>
        <v>0.69102192312224986</v>
      </c>
      <c r="G161" s="349">
        <v>0.78200000000000003</v>
      </c>
      <c r="H161" s="1617">
        <v>8.0000000000000002E-3</v>
      </c>
      <c r="I161" s="226">
        <v>0</v>
      </c>
      <c r="J161" s="227">
        <v>38</v>
      </c>
      <c r="K161" s="353" t="s">
        <v>826</v>
      </c>
      <c r="L161" s="358">
        <v>228.31050228310502</v>
      </c>
      <c r="M161" s="207"/>
      <c r="N161" s="207"/>
      <c r="O161" s="207"/>
      <c r="P161" s="207"/>
      <c r="Q161" s="207"/>
      <c r="R161" s="207"/>
      <c r="S161" s="206"/>
      <c r="T161" s="207"/>
      <c r="U161" s="207"/>
      <c r="V161" s="217"/>
      <c r="W161" s="218"/>
      <c r="X161" s="218"/>
    </row>
    <row r="162" spans="1:24" x14ac:dyDescent="0.35">
      <c r="A162" s="214"/>
      <c r="B162" s="299">
        <v>161</v>
      </c>
      <c r="C162" s="228" t="s">
        <v>630</v>
      </c>
      <c r="D162" s="222">
        <f>$A$4*D!D162</f>
        <v>2.7308805291442746</v>
      </c>
      <c r="E162" s="222">
        <f>$A$4*D!E162</f>
        <v>21190.44</v>
      </c>
      <c r="F162" s="222">
        <f>$A$4*D!F162</f>
        <v>3.1767097082475999</v>
      </c>
      <c r="G162" s="349">
        <v>0.77900000000000003</v>
      </c>
      <c r="H162" s="1619">
        <v>0</v>
      </c>
      <c r="I162" s="226">
        <v>0</v>
      </c>
      <c r="J162" s="227"/>
      <c r="K162" s="353" t="s">
        <v>826</v>
      </c>
      <c r="L162" s="358">
        <v>3.0821917808219181</v>
      </c>
      <c r="M162" s="207"/>
      <c r="N162" s="207"/>
      <c r="O162" s="207"/>
      <c r="P162" s="207"/>
      <c r="Q162" s="207"/>
      <c r="R162" s="207"/>
      <c r="S162" s="206"/>
      <c r="T162" s="207"/>
      <c r="U162" s="207"/>
      <c r="V162" s="217"/>
      <c r="W162" s="218"/>
      <c r="X162" s="218"/>
    </row>
    <row r="163" spans="1:24" x14ac:dyDescent="0.35">
      <c r="A163" s="214"/>
      <c r="B163" s="299">
        <v>162</v>
      </c>
      <c r="C163" s="228" t="s">
        <v>631</v>
      </c>
      <c r="D163" s="222">
        <f>$A$4*D!D163</f>
        <v>5.414754098360655</v>
      </c>
      <c r="E163" s="222">
        <f>$A$4*D!E163</f>
        <v>10687.2</v>
      </c>
      <c r="F163" s="222">
        <f>$A$4*D!F163</f>
        <v>1.6157548457034889</v>
      </c>
      <c r="G163" s="349">
        <v>0.75900000000000001</v>
      </c>
      <c r="H163" s="1617">
        <v>7.4999999999999997E-2</v>
      </c>
      <c r="I163" s="226">
        <v>0</v>
      </c>
      <c r="J163" s="227">
        <v>56</v>
      </c>
      <c r="K163" s="353" t="s">
        <v>826</v>
      </c>
      <c r="L163" s="358">
        <v>3.0821917808219181</v>
      </c>
      <c r="M163" s="207"/>
      <c r="N163" s="207"/>
      <c r="O163" s="207"/>
      <c r="P163" s="207"/>
      <c r="Q163" s="207"/>
      <c r="R163" s="207"/>
      <c r="S163" s="206"/>
      <c r="T163" s="207"/>
      <c r="U163" s="207"/>
      <c r="V163" s="217"/>
      <c r="W163" s="218"/>
      <c r="X163" s="218"/>
    </row>
    <row r="164" spans="1:24" ht="29" x14ac:dyDescent="0.35">
      <c r="A164" s="214"/>
      <c r="B164" s="299">
        <v>163</v>
      </c>
      <c r="C164" s="228" t="s">
        <v>632</v>
      </c>
      <c r="D164" s="222">
        <f>$A$4*D!D164</f>
        <v>5.1569086651053864</v>
      </c>
      <c r="E164" s="222">
        <f>$A$4*D!E164</f>
        <v>11221.56</v>
      </c>
      <c r="F164" s="222">
        <f>$A$4*D!F164</f>
        <v>1.3528938105577015</v>
      </c>
      <c r="G164" s="349">
        <v>0.73799999999999999</v>
      </c>
      <c r="H164" s="1617" t="s">
        <v>825</v>
      </c>
      <c r="I164" s="226">
        <v>0</v>
      </c>
      <c r="J164" s="227">
        <v>59</v>
      </c>
      <c r="K164" s="352" t="s">
        <v>826</v>
      </c>
      <c r="L164" s="357">
        <v>3.0821917808219181</v>
      </c>
      <c r="M164" s="207"/>
      <c r="N164" s="207"/>
      <c r="O164" s="207"/>
      <c r="P164" s="207"/>
      <c r="Q164" s="207"/>
      <c r="R164" s="207"/>
      <c r="S164" s="206"/>
      <c r="T164" s="207"/>
      <c r="U164" s="207"/>
      <c r="V164" s="217"/>
      <c r="W164" s="218"/>
      <c r="X164" s="218"/>
    </row>
    <row r="165" spans="1:24" x14ac:dyDescent="0.35">
      <c r="A165" s="214"/>
      <c r="B165" s="299">
        <v>164</v>
      </c>
      <c r="C165" s="228" t="s">
        <v>633</v>
      </c>
      <c r="D165" s="222">
        <f>$A$4*D!D165</f>
        <v>16.639798488664987</v>
      </c>
      <c r="E165" s="222">
        <f>$A$4*D!E165</f>
        <v>3477.72</v>
      </c>
      <c r="F165" s="222">
        <f>$A$4*D!F165</f>
        <v>0.41233666424010346</v>
      </c>
      <c r="G165" s="349">
        <v>0.51</v>
      </c>
      <c r="H165" s="1619" t="s">
        <v>825</v>
      </c>
      <c r="I165" s="226">
        <v>0.35</v>
      </c>
      <c r="J165" s="227">
        <v>16</v>
      </c>
      <c r="K165" s="352" t="s">
        <v>825</v>
      </c>
      <c r="L165" s="357">
        <v>61.639282996303542</v>
      </c>
      <c r="M165" s="207"/>
      <c r="N165" s="207"/>
      <c r="O165" s="207"/>
      <c r="P165" s="207"/>
      <c r="Q165" s="207"/>
      <c r="R165" s="207"/>
      <c r="S165" s="206"/>
      <c r="T165" s="207"/>
      <c r="U165" s="207"/>
      <c r="V165" s="217"/>
      <c r="W165" s="218"/>
      <c r="X165" s="218"/>
    </row>
    <row r="166" spans="1:24" x14ac:dyDescent="0.35">
      <c r="A166" s="214"/>
      <c r="B166" s="299">
        <v>165</v>
      </c>
      <c r="C166" s="228" t="s">
        <v>634</v>
      </c>
      <c r="D166" s="222">
        <f>$A$4*D!D166</f>
        <v>4.4039999999999999</v>
      </c>
      <c r="E166" s="222">
        <f>$A$4*D!E166</f>
        <v>13140</v>
      </c>
      <c r="F166" s="222">
        <f>$A$4*D!F166</f>
        <v>1.1896467463264759</v>
      </c>
      <c r="G166" s="349">
        <v>0.73799999999999999</v>
      </c>
      <c r="H166" s="1619">
        <v>7.2000000000000008E-2</v>
      </c>
      <c r="I166" s="226">
        <v>0.36</v>
      </c>
      <c r="J166" s="227">
        <v>38</v>
      </c>
      <c r="K166" s="353" t="s">
        <v>826</v>
      </c>
      <c r="L166" s="358">
        <v>10.627334993773356</v>
      </c>
      <c r="M166" s="207"/>
      <c r="N166" s="207"/>
      <c r="O166" s="207"/>
      <c r="P166" s="207"/>
      <c r="Q166" s="207"/>
      <c r="R166" s="207"/>
      <c r="S166" s="206"/>
      <c r="T166" s="207"/>
      <c r="U166" s="207"/>
      <c r="V166" s="217"/>
      <c r="W166" s="218"/>
      <c r="X166" s="218"/>
    </row>
    <row r="167" spans="1:24" x14ac:dyDescent="0.35">
      <c r="A167" s="214"/>
      <c r="B167" s="299">
        <v>166</v>
      </c>
      <c r="C167" s="228" t="s">
        <v>635</v>
      </c>
      <c r="D167" s="222">
        <f>$A$4*D!D167</f>
        <v>0</v>
      </c>
      <c r="E167" s="222">
        <f>$A$4*D!E167</f>
        <v>0</v>
      </c>
      <c r="F167" s="222">
        <f>$A$4*D!F167</f>
        <v>0.72021434133512829</v>
      </c>
      <c r="G167" s="230"/>
      <c r="H167" s="1617" t="s">
        <v>825</v>
      </c>
      <c r="I167" s="226">
        <v>0.27500000000000002</v>
      </c>
      <c r="J167" s="227"/>
      <c r="K167" s="353" t="s">
        <v>826</v>
      </c>
      <c r="L167" s="358">
        <v>17.038097185306345</v>
      </c>
      <c r="M167" s="207"/>
      <c r="N167" s="207"/>
      <c r="O167" s="207"/>
      <c r="P167" s="207"/>
      <c r="Q167" s="207"/>
      <c r="R167" s="207"/>
      <c r="S167" s="206"/>
      <c r="T167" s="207"/>
      <c r="U167" s="207"/>
      <c r="V167" s="217"/>
      <c r="W167" s="218"/>
      <c r="X167" s="218"/>
    </row>
    <row r="168" spans="1:24" x14ac:dyDescent="0.35">
      <c r="A168" s="214"/>
      <c r="B168" s="299">
        <v>167</v>
      </c>
      <c r="C168" s="228" t="s">
        <v>636</v>
      </c>
      <c r="D168" s="222">
        <f>$A$4*D!D168</f>
        <v>1.1739825839701439</v>
      </c>
      <c r="E168" s="222">
        <f>$A$4*D!E168</f>
        <v>49292.52</v>
      </c>
      <c r="F168" s="222">
        <f>$A$4*D!F168</f>
        <v>9.8962826923160581</v>
      </c>
      <c r="G168" s="349">
        <v>0.94499999999999995</v>
      </c>
      <c r="H168" s="1617">
        <v>0</v>
      </c>
      <c r="I168" s="226">
        <v>0.214</v>
      </c>
      <c r="J168" s="227">
        <v>85</v>
      </c>
      <c r="K168" s="353" t="s">
        <v>826</v>
      </c>
      <c r="L168" s="358">
        <v>10.514051402306906</v>
      </c>
      <c r="M168" s="207"/>
      <c r="N168" s="207"/>
      <c r="O168" s="207"/>
      <c r="P168" s="207"/>
      <c r="Q168" s="207"/>
      <c r="R168" s="207"/>
      <c r="S168" s="206"/>
      <c r="T168" s="207"/>
      <c r="U168" s="207"/>
      <c r="V168" s="217"/>
      <c r="W168" s="218"/>
      <c r="X168" s="218"/>
    </row>
    <row r="169" spans="1:24" x14ac:dyDescent="0.35">
      <c r="A169" s="214"/>
      <c r="B169" s="299">
        <v>168</v>
      </c>
      <c r="C169" s="228" t="s">
        <v>637</v>
      </c>
      <c r="D169" s="222">
        <f>$A$4*D!D169</f>
        <v>0.89731051344743273</v>
      </c>
      <c r="E169" s="222">
        <f>$A$4*D!E169</f>
        <v>64491.12</v>
      </c>
      <c r="F169" s="222">
        <f>$A$4*D!F169</f>
        <v>17.215532537405924</v>
      </c>
      <c r="G169" s="349">
        <v>0.95499999999999996</v>
      </c>
      <c r="H169" s="1617">
        <v>0</v>
      </c>
      <c r="I169" s="226">
        <v>0.21148581</v>
      </c>
      <c r="J169" s="227">
        <v>85</v>
      </c>
      <c r="K169" s="352" t="s">
        <v>826</v>
      </c>
      <c r="L169" s="357">
        <v>1.0716894977168949</v>
      </c>
      <c r="M169" s="207"/>
      <c r="N169" s="207"/>
      <c r="O169" s="207"/>
      <c r="P169" s="207"/>
      <c r="Q169" s="207"/>
      <c r="R169" s="207"/>
      <c r="S169" s="206"/>
      <c r="T169" s="207"/>
      <c r="U169" s="207"/>
      <c r="V169" s="217"/>
      <c r="W169" s="218"/>
      <c r="X169" s="218"/>
    </row>
    <row r="170" spans="1:24" x14ac:dyDescent="0.35">
      <c r="A170" s="214"/>
      <c r="B170" s="299">
        <v>169</v>
      </c>
      <c r="C170" s="228" t="s">
        <v>638</v>
      </c>
      <c r="D170" s="222">
        <f>$A$4*D!D170</f>
        <v>0</v>
      </c>
      <c r="E170" s="222">
        <f>$A$4*D!E170</f>
        <v>0</v>
      </c>
      <c r="F170" s="222">
        <f>$A$4*D!F170</f>
        <v>0</v>
      </c>
      <c r="G170" s="349">
        <v>0.56699999999999995</v>
      </c>
      <c r="H170" s="1617" t="s">
        <v>825</v>
      </c>
      <c r="I170" s="226">
        <v>0.28000000000000003</v>
      </c>
      <c r="J170" s="227">
        <v>14</v>
      </c>
      <c r="K170" s="353" t="s">
        <v>826</v>
      </c>
      <c r="L170" s="358">
        <v>3710.0456621004564</v>
      </c>
      <c r="M170" s="207"/>
      <c r="N170" s="207"/>
      <c r="O170" s="207"/>
      <c r="P170" s="207"/>
      <c r="Q170" s="207"/>
      <c r="R170" s="207"/>
      <c r="S170" s="206"/>
      <c r="T170" s="207"/>
      <c r="U170" s="207"/>
      <c r="V170" s="217"/>
      <c r="W170" s="218"/>
      <c r="X170" s="218"/>
    </row>
    <row r="171" spans="1:24" x14ac:dyDescent="0.35">
      <c r="A171" s="214"/>
      <c r="B171" s="299">
        <v>170</v>
      </c>
      <c r="C171" s="228" t="s">
        <v>639</v>
      </c>
      <c r="D171" s="222">
        <f>$A$4*D!D171</f>
        <v>14.68</v>
      </c>
      <c r="E171" s="222">
        <f>$A$4*D!E171</f>
        <v>3942</v>
      </c>
      <c r="F171" s="222">
        <f>$A$4*D!F171</f>
        <v>0.22688822996390176</v>
      </c>
      <c r="G171" s="349">
        <v>0.66800000000000004</v>
      </c>
      <c r="H171" s="1617" t="s">
        <v>825</v>
      </c>
      <c r="I171" s="226">
        <v>0.23</v>
      </c>
      <c r="J171" s="227">
        <v>25</v>
      </c>
      <c r="K171" s="353" t="s">
        <v>826</v>
      </c>
      <c r="L171" s="358">
        <v>11.783038432267922</v>
      </c>
      <c r="M171" s="207"/>
      <c r="N171" s="207"/>
      <c r="O171" s="207"/>
      <c r="P171" s="207"/>
      <c r="Q171" s="207"/>
      <c r="R171" s="207"/>
      <c r="S171" s="206"/>
      <c r="T171" s="207"/>
      <c r="U171" s="207"/>
      <c r="V171" s="217"/>
      <c r="W171" s="218"/>
      <c r="X171" s="218"/>
    </row>
    <row r="172" spans="1:24" x14ac:dyDescent="0.35">
      <c r="A172" s="214"/>
      <c r="B172" s="299">
        <v>171</v>
      </c>
      <c r="C172" s="228" t="s">
        <v>640</v>
      </c>
      <c r="D172" s="222">
        <f>$A$4*D!D172</f>
        <v>23.934782608695649</v>
      </c>
      <c r="E172" s="222">
        <f>$A$4*D!E172</f>
        <v>2417.7600000000002</v>
      </c>
      <c r="F172" s="222">
        <f>$A$4*D!F172</f>
        <v>0.44387687062733405</v>
      </c>
      <c r="G172" s="349">
        <v>0.52900000000000003</v>
      </c>
      <c r="H172" s="1617">
        <v>0.29299999999999998</v>
      </c>
      <c r="I172" s="226">
        <v>0.3</v>
      </c>
      <c r="J172" s="227">
        <v>38</v>
      </c>
      <c r="K172" s="352" t="s">
        <v>825</v>
      </c>
      <c r="L172" s="357">
        <v>2618.8882996633452</v>
      </c>
      <c r="M172" s="207"/>
      <c r="N172" s="207"/>
      <c r="O172" s="207"/>
      <c r="P172" s="207"/>
      <c r="Q172" s="207"/>
      <c r="R172" s="207"/>
      <c r="S172" s="206"/>
      <c r="T172" s="207"/>
      <c r="U172" s="207"/>
      <c r="V172" s="217"/>
      <c r="W172" s="218"/>
      <c r="X172" s="218"/>
    </row>
    <row r="173" spans="1:24" x14ac:dyDescent="0.35">
      <c r="A173" s="214"/>
      <c r="B173" s="299">
        <v>172</v>
      </c>
      <c r="C173" s="228" t="s">
        <v>641</v>
      </c>
      <c r="D173" s="222">
        <f>$A$4*D!D173</f>
        <v>3.7258883248730963</v>
      </c>
      <c r="E173" s="222">
        <f>$A$4*D!E173</f>
        <v>15531.48</v>
      </c>
      <c r="F173" s="222">
        <f>$A$4*D!F173</f>
        <v>1.5500278321117045</v>
      </c>
      <c r="G173" s="349">
        <v>0.77700000000000002</v>
      </c>
      <c r="H173" s="1617">
        <v>0.13</v>
      </c>
      <c r="I173" s="226">
        <v>0.2</v>
      </c>
      <c r="J173" s="227">
        <v>36</v>
      </c>
      <c r="K173" s="353" t="s">
        <v>826</v>
      </c>
      <c r="L173" s="358">
        <v>35.723371247811869</v>
      </c>
      <c r="M173" s="207"/>
      <c r="N173" s="207"/>
      <c r="O173" s="207"/>
      <c r="P173" s="207"/>
      <c r="Q173" s="207"/>
      <c r="R173" s="207"/>
      <c r="S173" s="206"/>
      <c r="T173" s="207"/>
      <c r="U173" s="207"/>
      <c r="V173" s="217"/>
      <c r="W173" s="218"/>
      <c r="X173" s="218"/>
    </row>
    <row r="174" spans="1:24" x14ac:dyDescent="0.35">
      <c r="A174" s="214"/>
      <c r="B174" s="299">
        <v>173</v>
      </c>
      <c r="C174" s="228" t="s">
        <v>642</v>
      </c>
      <c r="D174" s="222">
        <f>$A$4*D!D174</f>
        <v>14.712694877505568</v>
      </c>
      <c r="E174" s="222">
        <f>$A$4*D!E174</f>
        <v>3933.24</v>
      </c>
      <c r="F174" s="222">
        <f>$A$4*D!F174</f>
        <v>0.62493388841201725</v>
      </c>
      <c r="G174" s="349">
        <v>0.60599999999999998</v>
      </c>
      <c r="H174" s="1617">
        <v>0.12300000000000001</v>
      </c>
      <c r="I174" s="226">
        <v>0.1</v>
      </c>
      <c r="J174" s="227">
        <v>40</v>
      </c>
      <c r="K174" s="353" t="s">
        <v>826</v>
      </c>
      <c r="L174" s="358">
        <v>1.1415525114155252</v>
      </c>
      <c r="M174" s="207"/>
      <c r="N174" s="207"/>
      <c r="O174" s="207"/>
      <c r="P174" s="207"/>
      <c r="Q174" s="207"/>
      <c r="R174" s="207"/>
      <c r="S174" s="206"/>
      <c r="T174" s="207"/>
      <c r="U174" s="207"/>
      <c r="V174" s="217"/>
      <c r="W174" s="218"/>
      <c r="X174" s="218"/>
    </row>
    <row r="175" spans="1:24" x14ac:dyDescent="0.35">
      <c r="A175" s="214"/>
      <c r="B175" s="299">
        <v>174</v>
      </c>
      <c r="C175" s="228" t="s">
        <v>643</v>
      </c>
      <c r="D175" s="222">
        <f>$A$4*D!D175</f>
        <v>29.623318385650222</v>
      </c>
      <c r="E175" s="222">
        <f>$A$4*D!E175</f>
        <v>1953.48</v>
      </c>
      <c r="F175" s="222">
        <f>$A$4*D!F175</f>
        <v>0.41927231846010393</v>
      </c>
      <c r="G175" s="349">
        <v>0.51500000000000001</v>
      </c>
      <c r="H175" s="1619">
        <v>0.29600000000000004</v>
      </c>
      <c r="I175" s="226">
        <v>0.27</v>
      </c>
      <c r="J175" s="227">
        <v>29</v>
      </c>
      <c r="K175" s="353" t="s">
        <v>826</v>
      </c>
      <c r="L175" s="358">
        <v>657.06164898509712</v>
      </c>
      <c r="M175" s="207"/>
      <c r="N175" s="207"/>
      <c r="O175" s="207"/>
      <c r="P175" s="207"/>
      <c r="Q175" s="207"/>
      <c r="R175" s="207"/>
      <c r="S175" s="206"/>
      <c r="T175" s="207"/>
      <c r="U175" s="207"/>
      <c r="V175" s="217"/>
      <c r="W175" s="218"/>
      <c r="X175" s="218"/>
    </row>
    <row r="176" spans="1:24" x14ac:dyDescent="0.35">
      <c r="A176" s="214"/>
      <c r="B176" s="299">
        <v>175</v>
      </c>
      <c r="C176" s="228" t="s">
        <v>644</v>
      </c>
      <c r="D176" s="222">
        <f>$A$4*D!D176</f>
        <v>9.4641833810888247</v>
      </c>
      <c r="E176" s="222">
        <f>$A$4*D!E176</f>
        <v>6114.48</v>
      </c>
      <c r="F176" s="222">
        <f>$A$4*D!F176</f>
        <v>0.93992387754593565</v>
      </c>
      <c r="G176" s="349">
        <v>0.72499999999999998</v>
      </c>
      <c r="H176" s="1617">
        <v>0.46799999999999997</v>
      </c>
      <c r="I176" s="226">
        <v>0.25</v>
      </c>
      <c r="J176" s="227"/>
      <c r="K176" s="353" t="s">
        <v>826</v>
      </c>
      <c r="L176" s="358">
        <v>2.6250702144736184</v>
      </c>
      <c r="M176" s="207"/>
      <c r="N176" s="207"/>
      <c r="O176" s="207"/>
      <c r="P176" s="207"/>
      <c r="Q176" s="207"/>
      <c r="R176" s="207"/>
      <c r="S176" s="206"/>
      <c r="T176" s="207"/>
      <c r="U176" s="207"/>
      <c r="V176" s="217"/>
      <c r="W176" s="218"/>
      <c r="X176" s="218"/>
    </row>
    <row r="177" spans="1:24" x14ac:dyDescent="0.35">
      <c r="A177" s="214"/>
      <c r="B177" s="299">
        <v>176</v>
      </c>
      <c r="C177" s="228" t="s">
        <v>645</v>
      </c>
      <c r="D177" s="222">
        <f>$A$4*D!D177</f>
        <v>2.6637096774193547</v>
      </c>
      <c r="E177" s="222">
        <f>$A$4*D!E177</f>
        <v>21724.799999999999</v>
      </c>
      <c r="F177" s="222">
        <f>$A$4*D!F177</f>
        <v>2.8167965826787515</v>
      </c>
      <c r="G177" s="349">
        <v>0.79600000000000004</v>
      </c>
      <c r="H177" s="1617" t="s">
        <v>825</v>
      </c>
      <c r="I177" s="226">
        <v>0.3</v>
      </c>
      <c r="J177" s="227">
        <v>40</v>
      </c>
      <c r="K177" s="352" t="s">
        <v>826</v>
      </c>
      <c r="L177" s="357">
        <v>7.7066811496747141</v>
      </c>
      <c r="M177" s="207"/>
      <c r="N177" s="207"/>
      <c r="O177" s="207"/>
      <c r="P177" s="207"/>
      <c r="Q177" s="207"/>
      <c r="R177" s="207"/>
      <c r="S177" s="206"/>
      <c r="T177" s="207"/>
      <c r="U177" s="207"/>
      <c r="V177" s="217"/>
      <c r="W177" s="218"/>
      <c r="X177" s="218"/>
    </row>
    <row r="178" spans="1:24" x14ac:dyDescent="0.35">
      <c r="A178" s="214"/>
      <c r="B178" s="299">
        <v>177</v>
      </c>
      <c r="C178" s="228" t="s">
        <v>646</v>
      </c>
      <c r="D178" s="222">
        <f>$A$4*D!D178</f>
        <v>6.6126126126126126</v>
      </c>
      <c r="E178" s="222">
        <f>$A$4*D!E178</f>
        <v>8751.24</v>
      </c>
      <c r="F178" s="222">
        <f>$A$4*D!F178</f>
        <v>0.81097925009319072</v>
      </c>
      <c r="G178" s="349">
        <v>0.74</v>
      </c>
      <c r="H178" s="1617">
        <v>0.03</v>
      </c>
      <c r="I178" s="226">
        <v>0.25</v>
      </c>
      <c r="J178" s="227">
        <v>44</v>
      </c>
      <c r="K178" s="352" t="s">
        <v>825</v>
      </c>
      <c r="L178" s="357">
        <v>3.2104547184170436</v>
      </c>
      <c r="M178" s="207"/>
      <c r="N178" s="207"/>
      <c r="O178" s="207"/>
      <c r="P178" s="207"/>
      <c r="Q178" s="207"/>
      <c r="R178" s="207"/>
      <c r="S178" s="206"/>
      <c r="T178" s="207"/>
      <c r="U178" s="207"/>
      <c r="V178" s="217"/>
      <c r="W178" s="218"/>
      <c r="X178" s="218"/>
    </row>
    <row r="179" spans="1:24" x14ac:dyDescent="0.35">
      <c r="A179" s="214"/>
      <c r="B179" s="299">
        <v>178</v>
      </c>
      <c r="C179" s="228" t="s">
        <v>647</v>
      </c>
      <c r="D179" s="222">
        <f>$A$4*D!D179</f>
        <v>2.3779697624190064</v>
      </c>
      <c r="E179" s="222">
        <f>$A$4*D!E179</f>
        <v>24335.279999999999</v>
      </c>
      <c r="F179" s="222">
        <f>$A$4*D!F179</f>
        <v>2.1870987904506438</v>
      </c>
      <c r="G179" s="349">
        <v>0.82</v>
      </c>
      <c r="H179" s="1619" t="s">
        <v>825</v>
      </c>
      <c r="I179" s="226">
        <v>0.22</v>
      </c>
      <c r="J179" s="227">
        <v>40</v>
      </c>
      <c r="K179" s="353" t="s">
        <v>826</v>
      </c>
      <c r="L179" s="358">
        <v>10.377750103777501</v>
      </c>
      <c r="M179" s="207"/>
      <c r="N179" s="207"/>
      <c r="O179" s="207"/>
      <c r="P179" s="207"/>
      <c r="Q179" s="207"/>
      <c r="R179" s="207"/>
      <c r="S179" s="206"/>
      <c r="T179" s="207"/>
      <c r="U179" s="207"/>
      <c r="V179" s="217"/>
      <c r="W179" s="218"/>
      <c r="X179" s="218"/>
    </row>
    <row r="180" spans="1:24" x14ac:dyDescent="0.35">
      <c r="A180" s="214"/>
      <c r="B180" s="299">
        <v>179</v>
      </c>
      <c r="C180" s="228" t="s">
        <v>648</v>
      </c>
      <c r="D180" s="222">
        <f>$A$4*D!D180</f>
        <v>4.2346153846153847</v>
      </c>
      <c r="E180" s="222">
        <f>$A$4*D!E180</f>
        <v>13665.6</v>
      </c>
      <c r="F180" s="222">
        <f>$A$4*D!F180</f>
        <v>1.3753332308231703</v>
      </c>
      <c r="G180" s="349">
        <v>0.71499999999999997</v>
      </c>
      <c r="H180" s="1619" t="s">
        <v>825</v>
      </c>
      <c r="I180" s="226">
        <v>0.08</v>
      </c>
      <c r="J180" s="227">
        <v>19</v>
      </c>
      <c r="K180" s="353" t="s">
        <v>826</v>
      </c>
      <c r="L180" s="358">
        <v>3.9363879703983629</v>
      </c>
      <c r="M180" s="207"/>
      <c r="N180" s="207"/>
      <c r="O180" s="207"/>
      <c r="P180" s="207"/>
      <c r="Q180" s="207"/>
      <c r="R180" s="207"/>
      <c r="S180" s="206"/>
      <c r="T180" s="207"/>
      <c r="U180" s="207"/>
      <c r="V180" s="217"/>
      <c r="W180" s="218"/>
      <c r="X180" s="218"/>
    </row>
    <row r="181" spans="1:24" x14ac:dyDescent="0.35">
      <c r="A181" s="214"/>
      <c r="B181" s="299">
        <v>180</v>
      </c>
      <c r="C181" s="228" t="s">
        <v>649</v>
      </c>
      <c r="D181" s="222">
        <f>$A$4*D!D181</f>
        <v>10.27371695178849</v>
      </c>
      <c r="E181" s="222">
        <f>$A$4*D!E181</f>
        <v>5632.68</v>
      </c>
      <c r="F181" s="222">
        <f>$A$4*D!F181</f>
        <v>0</v>
      </c>
      <c r="G181" s="350" t="s">
        <v>7745</v>
      </c>
      <c r="H181" s="1617" t="s">
        <v>825</v>
      </c>
      <c r="I181" s="226">
        <v>0</v>
      </c>
      <c r="J181" s="227"/>
      <c r="K181" s="353" t="s">
        <v>826</v>
      </c>
      <c r="L181" s="358">
        <v>1.5637705635829111</v>
      </c>
      <c r="M181" s="207"/>
      <c r="N181" s="207"/>
      <c r="O181" s="207"/>
      <c r="P181" s="207"/>
      <c r="Q181" s="207"/>
      <c r="R181" s="207"/>
      <c r="S181" s="206"/>
      <c r="T181" s="207"/>
      <c r="U181" s="207"/>
      <c r="V181" s="217"/>
      <c r="W181" s="218"/>
      <c r="X181" s="218"/>
    </row>
    <row r="182" spans="1:24" x14ac:dyDescent="0.35">
      <c r="A182" s="214"/>
      <c r="B182" s="299">
        <v>181</v>
      </c>
      <c r="C182" s="228" t="s">
        <v>650</v>
      </c>
      <c r="D182" s="222">
        <f>$A$4*D!D182</f>
        <v>29.23008849557522</v>
      </c>
      <c r="E182" s="222">
        <f>$A$4*D!E182</f>
        <v>1979.76</v>
      </c>
      <c r="F182" s="222">
        <f>$A$4*D!F182</f>
        <v>0.43453092748663863</v>
      </c>
      <c r="G182" s="349">
        <v>0.54400000000000004</v>
      </c>
      <c r="H182" s="1617">
        <v>0.222</v>
      </c>
      <c r="I182" s="226">
        <v>0.3</v>
      </c>
      <c r="J182" s="227">
        <v>27</v>
      </c>
      <c r="K182" s="352" t="s">
        <v>826</v>
      </c>
      <c r="L182" s="357">
        <v>4244.5763957868039</v>
      </c>
      <c r="M182" s="207"/>
      <c r="N182" s="207"/>
      <c r="O182" s="207"/>
      <c r="P182" s="207"/>
      <c r="Q182" s="207"/>
      <c r="R182" s="207"/>
      <c r="S182" s="206"/>
      <c r="T182" s="207"/>
      <c r="U182" s="207"/>
      <c r="V182" s="217"/>
      <c r="W182" s="218"/>
      <c r="X182" s="218"/>
    </row>
    <row r="183" spans="1:24" x14ac:dyDescent="0.35">
      <c r="A183" s="214"/>
      <c r="B183" s="299">
        <v>182</v>
      </c>
      <c r="C183" s="228" t="s">
        <v>651</v>
      </c>
      <c r="D183" s="222">
        <f>$A$4*D!D183</f>
        <v>4.9819004524886878</v>
      </c>
      <c r="E183" s="222">
        <f>$A$4*D!E183</f>
        <v>11615.76</v>
      </c>
      <c r="F183" s="222">
        <f>$A$4*D!F183</f>
        <v>1.0995495218966085</v>
      </c>
      <c r="G183" s="349">
        <v>0.77900000000000003</v>
      </c>
      <c r="H183" s="1617">
        <v>9.6999999999999989E-2</v>
      </c>
      <c r="I183" s="226">
        <v>0.18</v>
      </c>
      <c r="J183" s="227">
        <v>33</v>
      </c>
      <c r="K183" s="353" t="s">
        <v>826</v>
      </c>
      <c r="L183" s="358">
        <v>30.773429661339385</v>
      </c>
      <c r="M183" s="207"/>
      <c r="N183" s="207"/>
      <c r="O183" s="207"/>
      <c r="P183" s="207"/>
      <c r="Q183" s="207"/>
      <c r="R183" s="207"/>
      <c r="S183" s="206"/>
      <c r="T183" s="207"/>
      <c r="U183" s="207"/>
      <c r="V183" s="217"/>
      <c r="W183" s="218"/>
      <c r="X183" s="218"/>
    </row>
    <row r="184" spans="1:24" ht="29" x14ac:dyDescent="0.35">
      <c r="A184" s="214"/>
      <c r="B184" s="299">
        <v>183</v>
      </c>
      <c r="C184" s="228" t="s">
        <v>652</v>
      </c>
      <c r="D184" s="222">
        <f>$A$4*D!D184</f>
        <v>0.93968705547652909</v>
      </c>
      <c r="E184" s="222">
        <f>$A$4*D!E184</f>
        <v>61582.8</v>
      </c>
      <c r="F184" s="222">
        <f>$A$4*D!F184</f>
        <v>9.6055968110433252</v>
      </c>
      <c r="G184" s="349">
        <v>0.89</v>
      </c>
      <c r="H184" s="1617">
        <v>0</v>
      </c>
      <c r="I184" s="226">
        <v>0</v>
      </c>
      <c r="J184" s="227">
        <v>71</v>
      </c>
      <c r="K184" s="353" t="s">
        <v>826</v>
      </c>
      <c r="L184" s="358">
        <v>4.1923515981735155</v>
      </c>
      <c r="M184" s="207"/>
      <c r="N184" s="207"/>
      <c r="O184" s="207"/>
      <c r="P184" s="207"/>
      <c r="Q184" s="207"/>
      <c r="R184" s="207"/>
      <c r="S184" s="206"/>
      <c r="T184" s="207"/>
      <c r="U184" s="207"/>
      <c r="V184" s="217"/>
      <c r="W184" s="218"/>
      <c r="X184" s="218"/>
    </row>
    <row r="185" spans="1:24" x14ac:dyDescent="0.35">
      <c r="A185" s="214"/>
      <c r="B185" s="299">
        <v>184</v>
      </c>
      <c r="C185" s="228" t="s">
        <v>653</v>
      </c>
      <c r="D185" s="222">
        <f>$A$4*D!D185</f>
        <v>1.3872322553548928</v>
      </c>
      <c r="E185" s="222">
        <f>$A$4*D!E185</f>
        <v>41715.120000000003</v>
      </c>
      <c r="F185" s="222">
        <f>$A$4*D!F185</f>
        <v>8.765799834087213</v>
      </c>
      <c r="G185" s="349">
        <v>0.93200000000000005</v>
      </c>
      <c r="H185" s="1617">
        <v>0</v>
      </c>
      <c r="I185" s="226">
        <v>0.19</v>
      </c>
      <c r="J185" s="227">
        <v>77</v>
      </c>
      <c r="K185" s="353" t="s">
        <v>826</v>
      </c>
      <c r="L185" s="358">
        <v>0.89041047568168152</v>
      </c>
      <c r="M185" s="207"/>
      <c r="N185" s="207"/>
      <c r="O185" s="207"/>
      <c r="P185" s="207"/>
      <c r="Q185" s="207"/>
      <c r="R185" s="207"/>
      <c r="S185" s="206"/>
      <c r="T185" s="207"/>
      <c r="U185" s="207"/>
      <c r="V185" s="217"/>
      <c r="W185" s="218"/>
      <c r="X185" s="218"/>
    </row>
    <row r="186" spans="1:24" x14ac:dyDescent="0.35">
      <c r="A186" s="214"/>
      <c r="B186" s="299">
        <v>185</v>
      </c>
      <c r="C186" s="228" t="s">
        <v>654</v>
      </c>
      <c r="D186" s="222">
        <f>$A$4*D!D186</f>
        <v>1</v>
      </c>
      <c r="E186" s="222">
        <f>$A$4*D!E186</f>
        <v>57868.56</v>
      </c>
      <c r="F186" s="222">
        <f>$A$4*D!F186</f>
        <v>12.208167493339056</v>
      </c>
      <c r="G186" s="349">
        <v>0.92600000000000005</v>
      </c>
      <c r="H186" s="1617">
        <v>0</v>
      </c>
      <c r="I186" s="226">
        <v>0.25766570999999999</v>
      </c>
      <c r="J186" s="227">
        <v>67</v>
      </c>
      <c r="K186" s="353" t="s">
        <v>826</v>
      </c>
      <c r="L186" s="358">
        <v>1.1415525114155252</v>
      </c>
      <c r="M186" s="207"/>
      <c r="N186" s="207"/>
      <c r="O186" s="207"/>
      <c r="P186" s="207"/>
      <c r="Q186" s="207"/>
      <c r="R186" s="207"/>
      <c r="S186" s="206"/>
      <c r="T186" s="207"/>
      <c r="U186" s="207"/>
      <c r="V186" s="217"/>
      <c r="W186" s="218"/>
      <c r="X186" s="218"/>
    </row>
    <row r="187" spans="1:24" x14ac:dyDescent="0.35">
      <c r="A187" s="214"/>
      <c r="B187" s="299">
        <v>186</v>
      </c>
      <c r="C187" s="228" t="s">
        <v>655</v>
      </c>
      <c r="D187" s="222">
        <f>$A$4*D!D187</f>
        <v>3.0540915395284323</v>
      </c>
      <c r="E187" s="222">
        <f>$A$4*D!E187</f>
        <v>18947.88</v>
      </c>
      <c r="F187" s="222">
        <f>$A$4*D!F187</f>
        <v>3.1392522038298893</v>
      </c>
      <c r="G187" s="349">
        <v>0.81699999999999995</v>
      </c>
      <c r="H187" s="1619">
        <v>0.08</v>
      </c>
      <c r="I187" s="226">
        <v>0.25</v>
      </c>
      <c r="J187" s="227">
        <v>71</v>
      </c>
      <c r="K187" s="353" t="s">
        <v>826</v>
      </c>
      <c r="L187" s="358">
        <v>49.632717887631529</v>
      </c>
      <c r="M187" s="207"/>
      <c r="N187" s="207"/>
      <c r="O187" s="207"/>
      <c r="P187" s="207"/>
      <c r="Q187" s="207"/>
      <c r="R187" s="207"/>
      <c r="S187" s="206"/>
      <c r="T187" s="207"/>
      <c r="U187" s="207"/>
      <c r="V187" s="217"/>
      <c r="W187" s="218"/>
      <c r="X187" s="218"/>
    </row>
    <row r="188" spans="1:24" x14ac:dyDescent="0.35">
      <c r="A188" s="214"/>
      <c r="B188" s="299">
        <v>187</v>
      </c>
      <c r="C188" s="228" t="s">
        <v>656</v>
      </c>
      <c r="D188" s="222">
        <f>$A$4*D!D188</f>
        <v>8.9877551020408148</v>
      </c>
      <c r="E188" s="222">
        <f>$A$4*D!E188</f>
        <v>6438.6</v>
      </c>
      <c r="F188" s="222">
        <f>$A$4*D!F188</f>
        <v>0.40389195113406512</v>
      </c>
      <c r="G188" s="349">
        <v>0.72</v>
      </c>
      <c r="H188" s="1617">
        <v>4.3E-3</v>
      </c>
      <c r="I188" s="226">
        <v>7.4999999999999997E-2</v>
      </c>
      <c r="J188" s="227">
        <v>26</v>
      </c>
      <c r="K188" s="353" t="s">
        <v>826</v>
      </c>
      <c r="L188" s="358">
        <v>11477.467276444406</v>
      </c>
      <c r="M188" s="207"/>
      <c r="N188" s="207"/>
      <c r="O188" s="207"/>
      <c r="P188" s="207"/>
      <c r="Q188" s="207"/>
      <c r="R188" s="207"/>
      <c r="S188" s="206"/>
      <c r="T188" s="207"/>
      <c r="U188" s="207"/>
      <c r="V188" s="217"/>
      <c r="W188" s="218"/>
      <c r="X188" s="218"/>
    </row>
    <row r="189" spans="1:24" x14ac:dyDescent="0.35">
      <c r="A189" s="214"/>
      <c r="B189" s="299">
        <v>188</v>
      </c>
      <c r="C189" s="228" t="s">
        <v>657</v>
      </c>
      <c r="D189" s="222">
        <f>$A$4*D!D189</f>
        <v>22.937499999999996</v>
      </c>
      <c r="E189" s="222">
        <f>$A$4*D!E189</f>
        <v>2522.88</v>
      </c>
      <c r="F189" s="222">
        <f>$A$4*D!F189</f>
        <v>0.97298589234709176</v>
      </c>
      <c r="G189" s="349">
        <v>0.60899999999999999</v>
      </c>
      <c r="H189" s="1617" t="s">
        <v>825</v>
      </c>
      <c r="I189" s="226">
        <v>0</v>
      </c>
      <c r="J189" s="227">
        <v>43</v>
      </c>
      <c r="K189" s="353" t="s">
        <v>826</v>
      </c>
      <c r="L189" s="358">
        <v>131.7123287671233</v>
      </c>
      <c r="M189" s="207"/>
      <c r="N189" s="207"/>
      <c r="O189" s="207"/>
      <c r="P189" s="207"/>
      <c r="Q189" s="207"/>
      <c r="R189" s="207"/>
      <c r="S189" s="206"/>
      <c r="T189" s="207"/>
      <c r="U189" s="207"/>
      <c r="V189" s="217"/>
      <c r="W189" s="218"/>
      <c r="X189" s="218"/>
    </row>
    <row r="190" spans="1:24" x14ac:dyDescent="0.35">
      <c r="A190" s="214"/>
      <c r="B190" s="299">
        <v>189</v>
      </c>
      <c r="C190" s="228" t="s">
        <v>658</v>
      </c>
      <c r="D190" s="222">
        <f>$A$4*D!D190</f>
        <v>0</v>
      </c>
      <c r="E190" s="222">
        <f>$A$4*D!E190</f>
        <v>0</v>
      </c>
      <c r="F190" s="222">
        <f>$A$4*D!F190</f>
        <v>22.00813186593766</v>
      </c>
      <c r="G190" s="349">
        <v>0.71099999999999997</v>
      </c>
      <c r="H190" s="1617" t="s">
        <v>825</v>
      </c>
      <c r="I190" s="226">
        <v>0.34</v>
      </c>
      <c r="J190" s="227">
        <v>15</v>
      </c>
      <c r="K190" s="353" t="s">
        <v>826</v>
      </c>
      <c r="L190" s="358"/>
      <c r="M190" s="207"/>
      <c r="N190" s="207"/>
      <c r="O190" s="207"/>
      <c r="P190" s="207"/>
      <c r="Q190" s="207"/>
      <c r="R190" s="207"/>
      <c r="S190" s="206"/>
      <c r="T190" s="207"/>
      <c r="U190" s="207"/>
      <c r="V190" s="217"/>
      <c r="W190" s="218"/>
      <c r="X190" s="218"/>
    </row>
    <row r="191" spans="1:24" x14ac:dyDescent="0.35">
      <c r="A191" s="214"/>
      <c r="B191" s="299">
        <v>190</v>
      </c>
      <c r="C191" s="228" t="s">
        <v>659</v>
      </c>
      <c r="D191" s="222">
        <f>$A$4*D!D191</f>
        <v>8.0560975609756103</v>
      </c>
      <c r="E191" s="222">
        <f>$A$4*D!E191</f>
        <v>7183.2</v>
      </c>
      <c r="F191" s="222">
        <f>$A$4*D!F191</f>
        <v>0.68071619705678055</v>
      </c>
      <c r="G191" s="349">
        <v>0.70399999999999996</v>
      </c>
      <c r="H191" s="1617">
        <v>5.2999999999999999E-2</v>
      </c>
      <c r="I191" s="226">
        <v>0.2</v>
      </c>
      <c r="J191" s="227">
        <v>36</v>
      </c>
      <c r="K191" s="352" t="s">
        <v>826</v>
      </c>
      <c r="L191" s="357">
        <v>26493.571156773174</v>
      </c>
      <c r="M191" s="207"/>
      <c r="N191" s="207"/>
      <c r="O191" s="207"/>
      <c r="P191" s="207"/>
      <c r="Q191" s="207"/>
      <c r="R191" s="207"/>
      <c r="S191" s="206"/>
      <c r="T191" s="207"/>
      <c r="U191" s="207"/>
      <c r="V191" s="217"/>
      <c r="W191" s="218"/>
      <c r="X191" s="218"/>
    </row>
    <row r="192" spans="1:24" x14ac:dyDescent="0.35">
      <c r="A192" s="214"/>
      <c r="B192" s="299">
        <v>191</v>
      </c>
      <c r="C192" s="228" t="s">
        <v>660</v>
      </c>
      <c r="D192" s="222">
        <f>$A$4*D!D192</f>
        <v>0</v>
      </c>
      <c r="E192" s="222">
        <f>$A$4*D!E192</f>
        <v>0</v>
      </c>
      <c r="F192" s="222">
        <f>$A$4*D!F192</f>
        <v>0.45749205305018681</v>
      </c>
      <c r="G192" s="349">
        <v>0.47</v>
      </c>
      <c r="H192" s="1617">
        <v>0.13600000000000001</v>
      </c>
      <c r="I192" s="226">
        <v>0.2</v>
      </c>
      <c r="J192" s="227">
        <v>15</v>
      </c>
      <c r="K192" s="352" t="s">
        <v>825</v>
      </c>
      <c r="L192" s="357">
        <v>285.67351598173514</v>
      </c>
      <c r="M192" s="207"/>
      <c r="N192" s="207"/>
      <c r="O192" s="207"/>
      <c r="P192" s="207"/>
      <c r="Q192" s="207"/>
      <c r="R192" s="207"/>
      <c r="S192" s="206"/>
      <c r="T192" s="207"/>
      <c r="U192" s="207"/>
      <c r="V192" s="217"/>
      <c r="W192" s="218"/>
      <c r="X192" s="218"/>
    </row>
    <row r="193" spans="1:12" x14ac:dyDescent="0.35">
      <c r="A193" s="214"/>
      <c r="B193" s="299">
        <v>192</v>
      </c>
      <c r="C193" s="228" t="s">
        <v>115</v>
      </c>
      <c r="D193" s="222">
        <f>$A$4*D!D193</f>
        <v>19.660714285714285</v>
      </c>
      <c r="E193" s="222">
        <f>$A$4*D!E193</f>
        <v>2943.36</v>
      </c>
      <c r="F193" s="222">
        <f>$A$4*D!F193</f>
        <v>0.54893343124046334</v>
      </c>
      <c r="G193" s="349">
        <v>0.58399999999999996</v>
      </c>
      <c r="H193" s="1619">
        <v>0.28100000000000003</v>
      </c>
      <c r="I193" s="226">
        <v>0.35</v>
      </c>
      <c r="J193" s="227">
        <v>33</v>
      </c>
      <c r="K193" s="353" t="s">
        <v>826</v>
      </c>
      <c r="L193" s="358">
        <v>20.940745028924542</v>
      </c>
    </row>
    <row r="194" spans="1:12" x14ac:dyDescent="0.35">
      <c r="B194" s="299">
        <v>193</v>
      </c>
      <c r="C194" s="228" t="s">
        <v>116</v>
      </c>
      <c r="D194" s="222">
        <f>$A$4*D!D194</f>
        <v>23.178947368421053</v>
      </c>
      <c r="E194" s="222">
        <f>$A$4*D!E194</f>
        <v>2496.6</v>
      </c>
      <c r="F194" s="222">
        <f>$A$4*D!F194</f>
        <v>0</v>
      </c>
      <c r="G194" s="349">
        <v>0.57099999999999995</v>
      </c>
      <c r="H194" s="1616">
        <v>0.40399999999999997</v>
      </c>
      <c r="I194" s="226">
        <v>0.24719999999999998</v>
      </c>
      <c r="J194" s="227">
        <v>24</v>
      </c>
      <c r="K194" s="353" t="s">
        <v>826</v>
      </c>
      <c r="L194" s="358">
        <v>58.59476383861724</v>
      </c>
    </row>
  </sheetData>
  <sheetProtection algorithmName="SHA-512" hashValue="y2RBSpLdBuGNt7pPgUEs8E9Lg4cM2qnRLT51qKQ/zVpm+As0ZrP7PhqxoaJYpKQn7bfQXnm6TCSt7K/3R77SnA==" saltValue="1E6596CpU4/XE22BrGY2KQ==" spinCount="100000" sheet="1" objects="1" scenarios="1"/>
  <mergeCells count="1">
    <mergeCell ref="AJ1:AL1"/>
  </mergeCells>
  <pageMargins left="0.7" right="0.7" top="0.75" bottom="0.75" header="0.3" footer="0.3"/>
  <pageSetup paperSize="9" orientation="portrait" horizontalDpi="360" verticalDpi="36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FEB9A-BEA7-462E-B398-1C4E05829E78}">
  <sheetPr>
    <tabColor theme="1" tint="0.14999847407452621"/>
  </sheetPr>
  <dimension ref="A1:BG582"/>
  <sheetViews>
    <sheetView workbookViewId="0"/>
  </sheetViews>
  <sheetFormatPr defaultColWidth="6.81640625" defaultRowHeight="29.25" customHeight="1" x14ac:dyDescent="0.35"/>
  <cols>
    <col min="1" max="1" width="23.453125" customWidth="1"/>
    <col min="2" max="2" width="6" customWidth="1"/>
    <col min="3" max="3" width="19.1796875" customWidth="1"/>
    <col min="4" max="4" width="10.36328125" customWidth="1"/>
    <col min="5" max="5" width="12.453125" customWidth="1"/>
    <col min="6" max="6" width="13" customWidth="1"/>
    <col min="8" max="8" width="10.453125" customWidth="1"/>
    <col min="9" max="9" width="8.1796875" customWidth="1"/>
    <col min="10" max="10" width="5.1796875" customWidth="1"/>
    <col min="11" max="11" width="11.453125" customWidth="1"/>
    <col min="12" max="12" width="9.81640625" style="205" customWidth="1"/>
    <col min="14" max="14" width="11.36328125" customWidth="1"/>
    <col min="15" max="15" width="12.1796875" customWidth="1"/>
    <col min="16" max="16" width="10" customWidth="1"/>
    <col min="17" max="17" width="25.36328125" customWidth="1"/>
    <col min="18" max="18" width="9.453125" customWidth="1"/>
    <col min="19" max="19" width="15.6328125" customWidth="1"/>
    <col min="20" max="20" width="20.81640625" customWidth="1"/>
    <col min="21" max="21" width="13.36328125" customWidth="1"/>
    <col min="22" max="22" width="13.453125" customWidth="1"/>
    <col min="23" max="23" width="15.453125" customWidth="1"/>
    <col min="24" max="24" width="8.81640625" customWidth="1"/>
    <col min="25" max="25" width="22.81640625" customWidth="1"/>
    <col min="26" max="26" width="8" customWidth="1"/>
    <col min="27" max="27" width="15.36328125" customWidth="1"/>
    <col min="28" max="28" width="18.453125" customWidth="1"/>
    <col min="29" max="29" width="9.36328125" customWidth="1"/>
    <col min="30" max="30" width="15.6328125" customWidth="1"/>
    <col min="31" max="31" width="10.453125" customWidth="1"/>
    <col min="33" max="33" width="17.453125" customWidth="1"/>
    <col min="34" max="34" width="14.81640625" customWidth="1"/>
    <col min="36" max="36" width="14" customWidth="1"/>
    <col min="37" max="37" width="11.453125" customWidth="1"/>
    <col min="38" max="38" width="17.453125" customWidth="1"/>
    <col min="41" max="41" width="21.453125" customWidth="1"/>
    <col min="42" max="42" width="10.36328125" customWidth="1"/>
    <col min="45" max="45" width="22.453125" customWidth="1"/>
    <col min="46" max="46" width="11" customWidth="1"/>
    <col min="49" max="49" width="34.453125" customWidth="1"/>
    <col min="51" max="51" width="16.453125" customWidth="1"/>
    <col min="52" max="52" width="11.453125" customWidth="1"/>
    <col min="55" max="55" width="16.36328125" customWidth="1"/>
    <col min="57" max="57" width="42.81640625" customWidth="1"/>
    <col min="58" max="58" width="18.81640625" customWidth="1"/>
    <col min="59" max="59" width="14.1796875" customWidth="1"/>
  </cols>
  <sheetData>
    <row r="1" spans="1:59" ht="44.25" customHeight="1" x14ac:dyDescent="0.35">
      <c r="A1" s="362" t="s">
        <v>8318</v>
      </c>
      <c r="B1" s="298" t="s">
        <v>455</v>
      </c>
      <c r="C1" s="221" t="s">
        <v>672</v>
      </c>
      <c r="D1" s="222" t="s">
        <v>8177</v>
      </c>
      <c r="E1" s="223" t="s">
        <v>8905</v>
      </c>
      <c r="F1" s="224" t="s">
        <v>8909</v>
      </c>
      <c r="G1" s="205"/>
      <c r="H1" s="205"/>
      <c r="I1" s="205"/>
      <c r="J1" s="205"/>
      <c r="K1" s="205"/>
      <c r="M1" s="205"/>
      <c r="N1" s="205"/>
      <c r="O1" s="205"/>
      <c r="P1" s="205"/>
      <c r="Q1" s="205"/>
      <c r="R1" s="205" t="s">
        <v>8320</v>
      </c>
      <c r="S1" s="205"/>
      <c r="T1" s="205"/>
      <c r="U1" s="205"/>
      <c r="V1" s="238" t="s">
        <v>25</v>
      </c>
      <c r="W1" s="239" t="s">
        <v>741</v>
      </c>
      <c r="X1" s="252"/>
      <c r="Y1" s="253" t="s">
        <v>7796</v>
      </c>
      <c r="Z1" s="254" t="s">
        <v>8250</v>
      </c>
      <c r="AA1" s="205"/>
      <c r="AB1" s="220" t="s">
        <v>782</v>
      </c>
      <c r="AC1" s="220" t="s">
        <v>8251</v>
      </c>
      <c r="AD1" s="255" t="s">
        <v>7051</v>
      </c>
      <c r="AE1" s="255" t="s">
        <v>7115</v>
      </c>
      <c r="AG1" s="205"/>
      <c r="AH1" s="205"/>
      <c r="AI1" s="205"/>
      <c r="AJ1" s="205"/>
      <c r="AK1" s="205"/>
      <c r="AL1" s="205"/>
      <c r="AM1" s="205"/>
      <c r="AN1" s="205"/>
      <c r="AO1" s="205"/>
      <c r="AP1" s="205"/>
      <c r="AQ1" s="205"/>
      <c r="AR1" s="281"/>
      <c r="AS1" s="366" t="s">
        <v>7618</v>
      </c>
      <c r="AT1" s="282" t="s">
        <v>7619</v>
      </c>
      <c r="AU1" s="205"/>
      <c r="AV1" s="205"/>
      <c r="AW1" s="205"/>
      <c r="AX1" s="205"/>
      <c r="AY1" s="205"/>
      <c r="AZ1" s="205"/>
      <c r="BA1" s="205"/>
      <c r="BB1" s="205"/>
      <c r="BC1" s="205"/>
      <c r="BD1" s="205"/>
      <c r="BE1" s="286" t="s">
        <v>8087</v>
      </c>
      <c r="BF1" s="287"/>
      <c r="BG1" s="287"/>
    </row>
    <row r="2" spans="1:59" ht="29.25" customHeight="1" x14ac:dyDescent="0.35">
      <c r="A2" s="363" t="s">
        <v>114</v>
      </c>
      <c r="B2" s="299">
        <v>1</v>
      </c>
      <c r="C2" s="228" t="s">
        <v>7458</v>
      </c>
      <c r="D2" s="228">
        <v>0</v>
      </c>
      <c r="E2" s="228">
        <v>0</v>
      </c>
      <c r="F2" s="228">
        <v>0</v>
      </c>
      <c r="G2" s="205"/>
      <c r="H2" s="205"/>
      <c r="I2" s="205"/>
      <c r="J2" s="205"/>
      <c r="K2" s="205"/>
      <c r="M2" s="205"/>
      <c r="N2" s="205"/>
      <c r="O2" s="205"/>
      <c r="P2" s="205"/>
      <c r="Q2" s="205"/>
      <c r="R2" s="205"/>
      <c r="S2" s="205"/>
      <c r="T2" s="205"/>
      <c r="U2" s="205"/>
      <c r="V2" s="240" t="s">
        <v>7458</v>
      </c>
      <c r="W2" s="241">
        <v>0</v>
      </c>
      <c r="X2" s="246">
        <v>1</v>
      </c>
      <c r="Y2" s="250" t="s">
        <v>7458</v>
      </c>
      <c r="Z2" s="247">
        <v>0</v>
      </c>
      <c r="AA2" s="205"/>
      <c r="AB2" s="249" t="s">
        <v>7458</v>
      </c>
      <c r="AC2" s="220"/>
      <c r="AD2" s="256" t="s">
        <v>8230</v>
      </c>
      <c r="AE2" s="259">
        <v>0.61</v>
      </c>
      <c r="AG2" s="205"/>
      <c r="AH2" s="205"/>
      <c r="AI2" s="205"/>
      <c r="AJ2" s="205"/>
      <c r="AK2" s="205"/>
      <c r="AL2" s="205"/>
      <c r="AM2" s="205"/>
      <c r="AN2" s="205"/>
      <c r="AO2" s="205"/>
      <c r="AP2" s="205"/>
      <c r="AQ2" s="205"/>
      <c r="AR2" s="281">
        <v>1</v>
      </c>
      <c r="AS2" s="279" t="s">
        <v>7458</v>
      </c>
      <c r="AT2" s="278"/>
      <c r="AU2" s="205"/>
      <c r="AV2" s="205"/>
      <c r="AW2" s="205"/>
      <c r="AX2" s="205"/>
      <c r="AY2" s="205"/>
      <c r="AZ2" s="205"/>
      <c r="BA2" s="205"/>
      <c r="BB2" s="205"/>
      <c r="BC2" s="205"/>
      <c r="BD2" s="205"/>
      <c r="BE2" s="288" t="s">
        <v>8088</v>
      </c>
      <c r="BF2" s="288" t="s">
        <v>8089</v>
      </c>
      <c r="BG2" s="288" t="s">
        <v>8090</v>
      </c>
    </row>
    <row r="3" spans="1:59" ht="29.25" customHeight="1" x14ac:dyDescent="0.35">
      <c r="A3" s="372" t="s">
        <v>8319</v>
      </c>
      <c r="B3" s="299">
        <v>2</v>
      </c>
      <c r="C3" s="228" t="s">
        <v>8315</v>
      </c>
      <c r="D3" s="228"/>
      <c r="E3" s="228"/>
      <c r="F3" s="228"/>
      <c r="G3" s="205"/>
      <c r="H3" s="205"/>
      <c r="I3" s="205"/>
      <c r="J3" s="205"/>
      <c r="K3" s="205"/>
      <c r="M3" s="205"/>
      <c r="N3" s="205"/>
      <c r="O3" s="205"/>
      <c r="P3" s="205"/>
      <c r="Q3" s="205"/>
      <c r="R3" s="205"/>
      <c r="S3" s="205"/>
      <c r="T3" s="205"/>
      <c r="U3" s="205"/>
      <c r="V3" s="240" t="s">
        <v>724</v>
      </c>
      <c r="W3" s="241">
        <v>3924</v>
      </c>
      <c r="X3" s="246">
        <v>2</v>
      </c>
      <c r="Y3" s="250" t="s">
        <v>7797</v>
      </c>
      <c r="Z3" s="247">
        <v>3372</v>
      </c>
      <c r="AA3" s="205"/>
      <c r="AB3" s="249" t="s">
        <v>783</v>
      </c>
      <c r="AC3" s="249">
        <v>23000</v>
      </c>
      <c r="AD3" s="258" t="s">
        <v>7052</v>
      </c>
      <c r="AE3" s="259">
        <v>0</v>
      </c>
      <c r="AG3" s="205"/>
      <c r="AH3" s="205"/>
      <c r="AI3" s="205"/>
      <c r="AJ3" s="205"/>
      <c r="AK3" s="205"/>
      <c r="AL3" s="205"/>
      <c r="AM3" s="205"/>
      <c r="AN3" s="205"/>
      <c r="AO3" s="205"/>
      <c r="AP3" s="205"/>
      <c r="AQ3" s="205"/>
      <c r="AR3" s="281">
        <v>2</v>
      </c>
      <c r="AS3" s="367" t="s">
        <v>7052</v>
      </c>
      <c r="AT3" s="280">
        <v>0</v>
      </c>
      <c r="AU3" s="205"/>
      <c r="AV3" s="205"/>
      <c r="AW3" s="205"/>
      <c r="AX3" s="205"/>
      <c r="AY3" s="205"/>
      <c r="AZ3" s="205"/>
      <c r="BA3" s="205"/>
      <c r="BB3" s="205"/>
      <c r="BC3" s="205"/>
      <c r="BD3" s="205"/>
      <c r="BE3" s="289" t="s">
        <v>8091</v>
      </c>
      <c r="BF3" s="289"/>
      <c r="BG3" s="290">
        <v>0.76</v>
      </c>
    </row>
    <row r="4" spans="1:59" ht="29.25" customHeight="1" x14ac:dyDescent="0.35">
      <c r="A4" s="364">
        <v>1</v>
      </c>
      <c r="B4" s="299">
        <v>3</v>
      </c>
      <c r="C4" s="228" t="s">
        <v>8317</v>
      </c>
      <c r="D4" s="228"/>
      <c r="E4" s="228"/>
      <c r="F4" s="228"/>
      <c r="G4" s="205"/>
      <c r="H4" s="205"/>
      <c r="I4" s="205"/>
      <c r="J4" s="205"/>
      <c r="K4" s="205"/>
      <c r="M4" s="205"/>
      <c r="N4" s="205"/>
      <c r="O4" s="205"/>
      <c r="P4" s="205"/>
      <c r="Q4" s="205"/>
      <c r="R4" s="205"/>
      <c r="S4" s="205"/>
      <c r="T4" s="205"/>
      <c r="U4" s="205"/>
      <c r="V4" s="240" t="s">
        <v>725</v>
      </c>
      <c r="W4" s="241">
        <v>2236.6799999999998</v>
      </c>
      <c r="X4" s="246">
        <v>3</v>
      </c>
      <c r="Y4" s="250" t="s">
        <v>7798</v>
      </c>
      <c r="Z4" s="247">
        <v>0</v>
      </c>
      <c r="AA4" s="205"/>
      <c r="AB4" s="249" t="s">
        <v>784</v>
      </c>
      <c r="AC4" s="249">
        <v>775</v>
      </c>
      <c r="AD4" s="258" t="s">
        <v>7053</v>
      </c>
      <c r="AE4" s="259">
        <v>0</v>
      </c>
      <c r="AG4" s="205"/>
      <c r="AH4" s="205"/>
      <c r="AI4" s="205"/>
      <c r="AJ4" s="205"/>
      <c r="AK4" s="205"/>
      <c r="AL4" s="205"/>
      <c r="AM4" s="205"/>
      <c r="AN4" s="205"/>
      <c r="AO4" s="205"/>
      <c r="AP4" s="205"/>
      <c r="AQ4" s="205"/>
      <c r="AR4" s="281">
        <v>3</v>
      </c>
      <c r="AS4" s="367" t="s">
        <v>7053</v>
      </c>
      <c r="AT4" s="280">
        <v>0</v>
      </c>
      <c r="AU4" s="205"/>
      <c r="AV4" s="205"/>
      <c r="AW4" s="205"/>
      <c r="AX4" s="205"/>
      <c r="AY4" s="205"/>
      <c r="AZ4" s="205"/>
      <c r="BA4" s="205"/>
      <c r="BB4" s="205"/>
      <c r="BC4" s="205"/>
      <c r="BD4" s="205"/>
      <c r="BE4" s="289" t="s">
        <v>8092</v>
      </c>
      <c r="BF4" s="287"/>
      <c r="BG4" s="290">
        <v>1</v>
      </c>
    </row>
    <row r="5" spans="1:59" ht="29.25" customHeight="1" x14ac:dyDescent="0.35">
      <c r="B5" s="299">
        <v>4</v>
      </c>
      <c r="C5" s="228" t="s">
        <v>476</v>
      </c>
      <c r="D5" s="229">
        <f>$E$186/E5</f>
        <v>31.308056872037916</v>
      </c>
      <c r="E5" s="229">
        <v>1848.36</v>
      </c>
      <c r="F5" s="229">
        <v>0.29888142489270386</v>
      </c>
      <c r="G5" s="205"/>
      <c r="H5" s="205"/>
      <c r="I5" s="205"/>
      <c r="J5" s="205"/>
      <c r="K5" s="205"/>
      <c r="M5" s="205"/>
      <c r="N5" s="205"/>
      <c r="O5" s="205"/>
      <c r="P5" s="205"/>
      <c r="Q5" s="205"/>
      <c r="R5" s="205"/>
      <c r="S5" s="205"/>
      <c r="T5" s="205"/>
      <c r="U5" s="205"/>
      <c r="V5" s="240" t="s">
        <v>726</v>
      </c>
      <c r="W5" s="241">
        <v>2413.2600000000002</v>
      </c>
      <c r="X5" s="246">
        <v>4</v>
      </c>
      <c r="Y5" s="250" t="s">
        <v>7799</v>
      </c>
      <c r="Z5" s="247">
        <v>3372</v>
      </c>
      <c r="AA5" s="205"/>
      <c r="AB5" s="205"/>
      <c r="AC5" s="205"/>
      <c r="AD5" s="258" t="s">
        <v>7054</v>
      </c>
      <c r="AE5" s="259">
        <v>1.7999999999999999E-2</v>
      </c>
      <c r="AG5" s="205"/>
      <c r="AH5" s="205"/>
      <c r="AI5" s="205"/>
      <c r="AJ5" s="205"/>
      <c r="AK5" s="205"/>
      <c r="AL5" s="205"/>
      <c r="AM5" s="205"/>
      <c r="AN5" s="205"/>
      <c r="AO5" s="205"/>
      <c r="AP5" s="205"/>
      <c r="AQ5" s="205"/>
      <c r="AR5" s="281">
        <v>4</v>
      </c>
      <c r="AS5" s="367" t="s">
        <v>7054</v>
      </c>
      <c r="AT5" s="280">
        <v>1.7999999999999999E-2</v>
      </c>
      <c r="AU5" s="205"/>
      <c r="AV5" s="205"/>
      <c r="AW5" s="205"/>
      <c r="AX5" s="205"/>
      <c r="AY5" s="205"/>
      <c r="AZ5" s="205"/>
      <c r="BA5" s="205"/>
      <c r="BB5" s="205"/>
      <c r="BC5" s="205"/>
      <c r="BD5" s="205"/>
      <c r="BE5" s="289" t="s">
        <v>8093</v>
      </c>
      <c r="BF5" s="290">
        <v>2.8</v>
      </c>
      <c r="BG5" s="290"/>
    </row>
    <row r="6" spans="1:59" ht="29.25" customHeight="1" x14ac:dyDescent="0.35">
      <c r="B6" s="299">
        <v>5</v>
      </c>
      <c r="C6" s="228" t="s">
        <v>477</v>
      </c>
      <c r="D6" s="229">
        <f t="shared" ref="D6:D69" si="0">$E$186/E6</f>
        <v>4.8645066273932249</v>
      </c>
      <c r="E6" s="229">
        <v>11896.08</v>
      </c>
      <c r="F6" s="229">
        <v>1.3640650274832167</v>
      </c>
      <c r="G6" s="205"/>
      <c r="H6" s="205"/>
      <c r="I6" s="205"/>
      <c r="J6" s="205"/>
      <c r="K6" s="205"/>
      <c r="M6" s="205"/>
      <c r="N6" s="205"/>
      <c r="O6" s="205"/>
      <c r="P6" s="205"/>
      <c r="Q6" s="205"/>
      <c r="R6" s="205"/>
      <c r="S6" s="205"/>
      <c r="T6" s="205"/>
      <c r="U6" s="205"/>
      <c r="V6" s="240" t="s">
        <v>727</v>
      </c>
      <c r="W6" s="241">
        <v>3924</v>
      </c>
      <c r="X6" s="246">
        <v>5</v>
      </c>
      <c r="Y6" s="250" t="s">
        <v>7800</v>
      </c>
      <c r="Z6" s="247">
        <v>0</v>
      </c>
      <c r="AA6" s="205"/>
      <c r="AB6" s="205"/>
      <c r="AC6" s="205"/>
      <c r="AD6" s="258" t="s">
        <v>7055</v>
      </c>
      <c r="AE6" s="259">
        <v>0.4</v>
      </c>
      <c r="AG6" s="205"/>
      <c r="AH6" s="205"/>
      <c r="AI6" s="205"/>
      <c r="AJ6" s="205"/>
      <c r="AK6" s="205"/>
      <c r="AL6" s="205"/>
      <c r="AM6" s="205"/>
      <c r="AN6" s="205"/>
      <c r="AO6" s="205"/>
      <c r="AP6" s="205"/>
      <c r="AQ6" s="205"/>
      <c r="AR6" s="281">
        <v>5</v>
      </c>
      <c r="AS6" s="368" t="s">
        <v>7055</v>
      </c>
      <c r="AT6" s="280">
        <v>0.4</v>
      </c>
      <c r="AU6" s="205"/>
      <c r="AV6" s="205"/>
      <c r="AW6" s="205"/>
      <c r="AX6" s="205"/>
      <c r="AY6" s="205"/>
      <c r="AZ6" s="205"/>
      <c r="BA6" s="205"/>
      <c r="BB6" s="205"/>
      <c r="BC6" s="205"/>
      <c r="BD6" s="205"/>
      <c r="BE6" s="288"/>
      <c r="BF6" s="287"/>
      <c r="BG6" s="291"/>
    </row>
    <row r="7" spans="1:59" ht="29.25" customHeight="1" x14ac:dyDescent="0.35">
      <c r="B7" s="299">
        <v>6</v>
      </c>
      <c r="C7" s="228" t="s">
        <v>478</v>
      </c>
      <c r="D7" s="229">
        <f t="shared" si="0"/>
        <v>6</v>
      </c>
      <c r="E7" s="229">
        <v>9644.76</v>
      </c>
      <c r="F7" s="229">
        <v>0.77935219081120777</v>
      </c>
      <c r="G7" s="205"/>
      <c r="H7" s="205"/>
      <c r="I7" s="205"/>
      <c r="J7" s="205"/>
      <c r="K7" s="205"/>
      <c r="M7" s="205"/>
      <c r="N7" s="205"/>
      <c r="O7" s="205"/>
      <c r="P7" s="205"/>
      <c r="Q7" s="205"/>
      <c r="R7" s="205"/>
      <c r="S7" s="205"/>
      <c r="T7" s="205"/>
      <c r="U7" s="205"/>
      <c r="V7" s="240" t="s">
        <v>728</v>
      </c>
      <c r="W7" s="241">
        <v>2403.4499999999998</v>
      </c>
      <c r="X7" s="246">
        <v>6</v>
      </c>
      <c r="Y7" s="250" t="s">
        <v>7801</v>
      </c>
      <c r="Z7" s="247">
        <v>0</v>
      </c>
      <c r="AA7" s="205"/>
      <c r="AB7" s="205"/>
      <c r="AC7" s="205"/>
      <c r="AD7" s="258" t="s">
        <v>7056</v>
      </c>
      <c r="AE7" s="259">
        <v>0.61</v>
      </c>
      <c r="AG7" s="205"/>
      <c r="AH7" s="205"/>
      <c r="AI7" s="205"/>
      <c r="AJ7" s="205"/>
      <c r="AK7" s="205"/>
      <c r="AL7" s="205"/>
      <c r="AM7" s="205"/>
      <c r="AN7" s="205"/>
      <c r="AO7" s="205"/>
      <c r="AP7" s="205"/>
      <c r="AQ7" s="205"/>
      <c r="AR7" s="281">
        <v>6</v>
      </c>
      <c r="AS7" s="368" t="s">
        <v>7056</v>
      </c>
      <c r="AT7" s="280">
        <v>0.61</v>
      </c>
      <c r="AU7" s="205"/>
      <c r="AV7" s="205"/>
      <c r="AW7" s="205"/>
      <c r="AX7" s="205"/>
      <c r="AY7" s="205"/>
      <c r="AZ7" s="205"/>
      <c r="BA7" s="205"/>
      <c r="BB7" s="205"/>
      <c r="BC7" s="205"/>
      <c r="BD7" s="205"/>
      <c r="BE7" s="288" t="s">
        <v>8094</v>
      </c>
      <c r="BF7" s="288"/>
      <c r="BG7" s="288" t="s">
        <v>8095</v>
      </c>
    </row>
    <row r="8" spans="1:59" ht="29.25" customHeight="1" x14ac:dyDescent="0.35">
      <c r="B8" s="299">
        <v>7</v>
      </c>
      <c r="C8" s="228" t="s">
        <v>479</v>
      </c>
      <c r="D8" s="229">
        <f t="shared" si="0"/>
        <v>10.973421926910298</v>
      </c>
      <c r="E8" s="229">
        <v>5273.52</v>
      </c>
      <c r="F8" s="229">
        <v>0.3548231956598098</v>
      </c>
      <c r="G8" s="205"/>
      <c r="H8" s="205"/>
      <c r="I8" s="205"/>
      <c r="J8" s="205"/>
      <c r="K8" s="205"/>
      <c r="M8" s="205"/>
      <c r="N8" s="205"/>
      <c r="O8" s="205"/>
      <c r="P8" s="205"/>
      <c r="Q8" s="205"/>
      <c r="R8" s="205"/>
      <c r="S8" s="205"/>
      <c r="T8" s="205"/>
      <c r="U8" s="205"/>
      <c r="V8" s="240" t="s">
        <v>729</v>
      </c>
      <c r="W8" s="241">
        <v>2403.4499999999998</v>
      </c>
      <c r="X8" s="246">
        <v>7</v>
      </c>
      <c r="Y8" s="250" t="s">
        <v>7802</v>
      </c>
      <c r="Z8" s="247">
        <v>0</v>
      </c>
      <c r="AA8" s="205"/>
      <c r="AB8" s="205"/>
      <c r="AC8" s="205"/>
      <c r="AD8" s="258" t="s">
        <v>7057</v>
      </c>
      <c r="AE8" s="259">
        <v>0.61</v>
      </c>
      <c r="AG8" s="205"/>
      <c r="AH8" s="205"/>
      <c r="AI8" s="205"/>
      <c r="AJ8" s="205"/>
      <c r="AK8" s="205"/>
      <c r="AL8" s="205"/>
      <c r="AM8" s="205"/>
      <c r="AN8" s="205"/>
      <c r="AO8" s="205"/>
      <c r="AP8" s="205"/>
      <c r="AQ8" s="205"/>
      <c r="AR8" s="281">
        <v>7</v>
      </c>
      <c r="AS8" s="368" t="s">
        <v>7057</v>
      </c>
      <c r="AT8" s="280">
        <v>0.61</v>
      </c>
      <c r="AU8" s="205"/>
      <c r="AV8" s="205"/>
      <c r="AW8" s="205"/>
      <c r="AX8" s="205"/>
      <c r="AY8" s="205"/>
      <c r="AZ8" s="205"/>
      <c r="BA8" s="205"/>
      <c r="BB8" s="205"/>
      <c r="BC8" s="205"/>
      <c r="BD8" s="205"/>
      <c r="BE8" s="289" t="s">
        <v>8096</v>
      </c>
      <c r="BF8" s="287"/>
      <c r="BG8" s="292">
        <v>0.54600000000000004</v>
      </c>
    </row>
    <row r="9" spans="1:59" ht="29.25" customHeight="1" x14ac:dyDescent="0.35">
      <c r="B9" s="299">
        <v>8</v>
      </c>
      <c r="C9" s="228" t="s">
        <v>480</v>
      </c>
      <c r="D9" s="229">
        <f t="shared" si="0"/>
        <v>3.5497044599677592</v>
      </c>
      <c r="E9" s="229">
        <v>16302.36</v>
      </c>
      <c r="F9" s="229">
        <v>2.623561781807966</v>
      </c>
      <c r="G9" s="205"/>
      <c r="H9" s="205"/>
      <c r="I9" s="205"/>
      <c r="J9" s="205"/>
      <c r="K9" s="205"/>
      <c r="M9" s="205"/>
      <c r="N9" s="205"/>
      <c r="O9" s="205"/>
      <c r="P9" s="205"/>
      <c r="Q9" s="205"/>
      <c r="R9" s="205"/>
      <c r="S9" s="205"/>
      <c r="T9" s="205"/>
      <c r="U9" s="205"/>
      <c r="V9" s="240" t="s">
        <v>730</v>
      </c>
      <c r="W9" s="241">
        <v>3924</v>
      </c>
      <c r="X9" s="246">
        <v>8</v>
      </c>
      <c r="Y9" s="250" t="s">
        <v>7803</v>
      </c>
      <c r="Z9" s="247">
        <v>3372</v>
      </c>
      <c r="AA9" s="205"/>
      <c r="AB9" s="205"/>
      <c r="AC9" s="205"/>
      <c r="AD9" s="258" t="s">
        <v>7058</v>
      </c>
      <c r="AE9" s="259">
        <v>0.61</v>
      </c>
      <c r="AG9" s="205"/>
      <c r="AH9" s="205"/>
      <c r="AI9" s="205"/>
      <c r="AJ9" s="205"/>
      <c r="AK9" s="205"/>
      <c r="AL9" s="205"/>
      <c r="AM9" s="205"/>
      <c r="AN9" s="205"/>
      <c r="AO9" s="205"/>
      <c r="AP9" s="205"/>
      <c r="AQ9" s="205"/>
      <c r="AR9" s="281">
        <v>8</v>
      </c>
      <c r="AS9" s="368" t="s">
        <v>7058</v>
      </c>
      <c r="AT9" s="280">
        <v>0.61</v>
      </c>
      <c r="AU9" s="205"/>
      <c r="AV9" s="205"/>
      <c r="AW9" s="205"/>
      <c r="AX9" s="205"/>
      <c r="AY9" s="205"/>
      <c r="AZ9" s="205"/>
      <c r="BA9" s="205"/>
      <c r="BB9" s="205"/>
      <c r="BC9" s="205"/>
      <c r="BD9" s="205"/>
      <c r="BE9" s="289" t="s">
        <v>8097</v>
      </c>
      <c r="BF9" s="287"/>
      <c r="BG9" s="292">
        <v>0.45500000000000002</v>
      </c>
    </row>
    <row r="10" spans="1:59" ht="29.25" customHeight="1" x14ac:dyDescent="0.35">
      <c r="B10" s="299">
        <v>9</v>
      </c>
      <c r="C10" s="228" t="s">
        <v>481</v>
      </c>
      <c r="D10" s="229">
        <f t="shared" si="0"/>
        <v>3.268678871845621</v>
      </c>
      <c r="E10" s="229">
        <v>17703.96</v>
      </c>
      <c r="F10" s="229">
        <v>2.2229002695630418</v>
      </c>
      <c r="G10" s="205"/>
      <c r="H10" s="205"/>
      <c r="I10" s="205"/>
      <c r="J10" s="205"/>
      <c r="K10" s="205"/>
      <c r="M10" s="205"/>
      <c r="N10" s="205"/>
      <c r="O10" s="205"/>
      <c r="P10" s="205"/>
      <c r="Q10" s="205"/>
      <c r="R10" s="205"/>
      <c r="S10" s="205"/>
      <c r="T10" s="205"/>
      <c r="U10" s="205"/>
      <c r="V10" s="240" t="s">
        <v>731</v>
      </c>
      <c r="W10" s="241">
        <v>2050.29</v>
      </c>
      <c r="X10" s="248"/>
      <c r="Y10" s="250"/>
      <c r="Z10" s="246"/>
      <c r="AA10" s="205"/>
      <c r="AB10" s="205"/>
      <c r="AC10" s="205"/>
      <c r="AD10" s="258" t="s">
        <v>7059</v>
      </c>
      <c r="AE10" s="259">
        <v>0.61</v>
      </c>
      <c r="AG10" s="205"/>
      <c r="AH10" s="205"/>
      <c r="AI10" s="205"/>
      <c r="AJ10" s="205"/>
      <c r="AK10" s="205"/>
      <c r="AL10" s="205"/>
      <c r="AM10" s="205"/>
      <c r="AN10" s="205"/>
      <c r="AO10" s="205"/>
      <c r="AP10" s="205"/>
      <c r="AQ10" s="205"/>
      <c r="AR10" s="281">
        <v>9</v>
      </c>
      <c r="AS10" s="367" t="s">
        <v>7059</v>
      </c>
      <c r="AT10" s="280">
        <v>0.61</v>
      </c>
      <c r="AU10" s="205"/>
      <c r="AV10" s="205"/>
      <c r="AW10" s="205"/>
      <c r="AX10" s="205"/>
      <c r="AY10" s="205"/>
      <c r="AZ10" s="205"/>
      <c r="BA10" s="205"/>
      <c r="BB10" s="205"/>
      <c r="BC10" s="205"/>
      <c r="BD10" s="205"/>
      <c r="BE10" s="287"/>
      <c r="BF10" s="287"/>
      <c r="BG10" s="287"/>
    </row>
    <row r="11" spans="1:59" ht="29.25" customHeight="1" x14ac:dyDescent="0.35">
      <c r="B11" s="299">
        <v>10</v>
      </c>
      <c r="C11" s="228" t="s">
        <v>482</v>
      </c>
      <c r="D11" s="229">
        <f t="shared" si="0"/>
        <v>5.0504587155963305</v>
      </c>
      <c r="E11" s="229">
        <v>11458.08</v>
      </c>
      <c r="F11" s="229">
        <v>0.7765228191899215</v>
      </c>
      <c r="G11" s="205"/>
      <c r="H11" s="205"/>
      <c r="I11" s="205"/>
      <c r="J11" s="205"/>
      <c r="K11" s="205"/>
      <c r="M11" s="205"/>
      <c r="N11" s="205"/>
      <c r="O11" s="205"/>
      <c r="P11" s="205"/>
      <c r="Q11" s="205"/>
      <c r="R11" s="205"/>
      <c r="S11" s="205"/>
      <c r="T11" s="205"/>
      <c r="U11" s="205"/>
      <c r="V11" s="240" t="s">
        <v>732</v>
      </c>
      <c r="W11" s="241">
        <v>3924</v>
      </c>
      <c r="X11" s="248"/>
      <c r="Y11" s="250"/>
      <c r="Z11" s="246"/>
      <c r="AA11" s="205"/>
      <c r="AB11" s="205"/>
      <c r="AC11" s="205"/>
      <c r="AD11" s="258" t="s">
        <v>7060</v>
      </c>
      <c r="AE11" s="259">
        <v>0.1</v>
      </c>
      <c r="AG11" s="205"/>
      <c r="AH11" s="205"/>
      <c r="AI11" s="205"/>
      <c r="AJ11" s="205"/>
      <c r="AK11" s="205"/>
      <c r="AL11" s="205"/>
      <c r="AM11" s="205"/>
      <c r="AN11" s="205"/>
      <c r="AO11" s="205"/>
      <c r="AP11" s="205"/>
      <c r="AQ11" s="205"/>
      <c r="AR11" s="281">
        <v>10</v>
      </c>
      <c r="AS11" s="367" t="s">
        <v>7060</v>
      </c>
      <c r="AT11" s="280">
        <v>0.1</v>
      </c>
      <c r="AU11" s="205"/>
      <c r="AV11" s="205"/>
      <c r="AW11" s="205"/>
      <c r="AX11" s="205"/>
      <c r="AY11" s="205"/>
      <c r="AZ11" s="205"/>
      <c r="BA11" s="205"/>
      <c r="BB11" s="205"/>
      <c r="BC11" s="205"/>
      <c r="BD11" s="205"/>
      <c r="BE11" s="288" t="s">
        <v>8098</v>
      </c>
      <c r="BF11" s="287"/>
      <c r="BG11" s="288" t="s">
        <v>8090</v>
      </c>
    </row>
    <row r="12" spans="1:59" ht="29.25" customHeight="1" x14ac:dyDescent="0.35">
      <c r="B12" s="299">
        <v>11</v>
      </c>
      <c r="C12" s="228" t="s">
        <v>483</v>
      </c>
      <c r="D12" s="229">
        <f t="shared" si="0"/>
        <v>1.2847141190198366</v>
      </c>
      <c r="E12" s="229">
        <v>45043.92</v>
      </c>
      <c r="F12" s="229">
        <v>8.8701987510359999</v>
      </c>
      <c r="G12" s="205"/>
      <c r="H12" s="205"/>
      <c r="I12" s="205"/>
      <c r="J12" s="205"/>
      <c r="K12" s="205"/>
      <c r="M12" s="205"/>
      <c r="N12" s="205"/>
      <c r="O12" s="205"/>
      <c r="P12" s="205"/>
      <c r="Q12" s="205"/>
      <c r="R12" s="205"/>
      <c r="S12" s="205"/>
      <c r="T12" s="205"/>
      <c r="U12" s="205"/>
      <c r="V12" s="240" t="s">
        <v>779</v>
      </c>
      <c r="W12" s="241">
        <v>3924</v>
      </c>
      <c r="X12" s="215"/>
      <c r="Y12" s="251"/>
      <c r="Z12" s="205"/>
      <c r="AA12" s="205"/>
      <c r="AB12" s="205"/>
      <c r="AC12" s="205"/>
      <c r="AD12" s="258" t="s">
        <v>7061</v>
      </c>
      <c r="AE12" s="259">
        <v>0.11799999999999999</v>
      </c>
      <c r="AG12" s="205"/>
      <c r="AH12" s="205"/>
      <c r="AI12" s="205"/>
      <c r="AJ12" s="205"/>
      <c r="AK12" s="205"/>
      <c r="AL12" s="205"/>
      <c r="AM12" s="205"/>
      <c r="AN12" s="205"/>
      <c r="AO12" s="205"/>
      <c r="AP12" s="205"/>
      <c r="AQ12" s="205"/>
      <c r="AR12" s="281">
        <v>11</v>
      </c>
      <c r="AS12" s="367" t="s">
        <v>7061</v>
      </c>
      <c r="AT12" s="280">
        <v>0.11799999999999999</v>
      </c>
      <c r="AU12" s="205"/>
      <c r="AV12" s="205"/>
      <c r="AW12" s="205"/>
      <c r="AX12" s="205"/>
      <c r="AY12" s="205"/>
      <c r="AZ12" s="205"/>
      <c r="BA12" s="205"/>
      <c r="BB12" s="205"/>
      <c r="BC12" s="205"/>
      <c r="BD12" s="205"/>
      <c r="BE12" s="289" t="s">
        <v>8134</v>
      </c>
      <c r="BF12" s="289" t="s">
        <v>8099</v>
      </c>
      <c r="BG12" s="293">
        <v>5.5199999999999999E-2</v>
      </c>
    </row>
    <row r="13" spans="1:59" ht="29.25" customHeight="1" x14ac:dyDescent="0.35">
      <c r="B13" s="299">
        <v>12</v>
      </c>
      <c r="C13" s="228" t="s">
        <v>484</v>
      </c>
      <c r="D13" s="229">
        <f t="shared" si="0"/>
        <v>1.1208008143875126</v>
      </c>
      <c r="E13" s="229">
        <v>51631.44</v>
      </c>
      <c r="F13" s="229">
        <v>9.5047168071587009</v>
      </c>
      <c r="G13" s="205"/>
      <c r="H13" s="205"/>
      <c r="I13" s="205"/>
      <c r="J13" s="205"/>
      <c r="K13" s="205"/>
      <c r="M13" s="205"/>
      <c r="N13" s="205"/>
      <c r="O13" s="205"/>
      <c r="P13" s="205"/>
      <c r="Q13" s="205"/>
      <c r="R13" s="205"/>
      <c r="S13" s="205"/>
      <c r="T13" s="205"/>
      <c r="U13" s="205"/>
      <c r="V13" s="240" t="s">
        <v>733</v>
      </c>
      <c r="W13" s="241">
        <v>2001.24</v>
      </c>
      <c r="X13" s="215"/>
      <c r="Y13" s="251"/>
      <c r="Z13" s="205"/>
      <c r="AA13" s="205"/>
      <c r="AB13" s="205"/>
      <c r="AC13" s="205"/>
      <c r="AD13" s="258" t="s">
        <v>7062</v>
      </c>
      <c r="AE13" s="259">
        <v>3.5000000000000001E-3</v>
      </c>
      <c r="AG13" s="205"/>
      <c r="AH13" s="205"/>
      <c r="AI13" s="205"/>
      <c r="AJ13" s="205"/>
      <c r="AK13" s="205"/>
      <c r="AL13" s="205"/>
      <c r="AM13" s="205"/>
      <c r="AN13" s="205"/>
      <c r="AO13" s="205"/>
      <c r="AP13" s="205"/>
      <c r="AQ13" s="205"/>
      <c r="AR13" s="281">
        <v>12</v>
      </c>
      <c r="AS13" s="367" t="s">
        <v>7062</v>
      </c>
      <c r="AT13" s="280">
        <v>3.5000000000000001E-3</v>
      </c>
      <c r="AU13" s="205"/>
      <c r="AV13" s="205"/>
      <c r="AW13" s="205"/>
      <c r="AX13" s="205"/>
      <c r="AY13" s="205"/>
      <c r="AZ13" s="205"/>
      <c r="BA13" s="205"/>
      <c r="BB13" s="205"/>
      <c r="BC13" s="205"/>
      <c r="BD13" s="205"/>
      <c r="BE13" s="289" t="s">
        <v>8133</v>
      </c>
      <c r="BF13" s="289" t="s">
        <v>8100</v>
      </c>
      <c r="BG13" s="293">
        <v>4.5999999999999999E-2</v>
      </c>
    </row>
    <row r="14" spans="1:59" ht="29.25" customHeight="1" x14ac:dyDescent="0.35">
      <c r="B14" s="299">
        <v>13</v>
      </c>
      <c r="C14" s="228" t="s">
        <v>485</v>
      </c>
      <c r="D14" s="229">
        <f t="shared" si="0"/>
        <v>4.6195804195804193</v>
      </c>
      <c r="E14" s="229">
        <v>12526.8</v>
      </c>
      <c r="F14" s="229">
        <v>0.77063210957403927</v>
      </c>
      <c r="G14" s="205"/>
      <c r="H14" s="205"/>
      <c r="I14" s="205"/>
      <c r="J14" s="205"/>
      <c r="K14" s="205"/>
      <c r="M14" s="205"/>
      <c r="N14" s="205"/>
      <c r="O14" s="205"/>
      <c r="P14" s="205"/>
      <c r="Q14" s="205"/>
      <c r="R14" s="205"/>
      <c r="S14" s="205"/>
      <c r="T14" s="205"/>
      <c r="U14" s="205"/>
      <c r="V14" s="240" t="s">
        <v>734</v>
      </c>
      <c r="W14" s="241">
        <v>1765.8</v>
      </c>
      <c r="X14" s="215"/>
      <c r="Y14" s="251"/>
      <c r="Z14" s="205"/>
      <c r="AA14" s="205"/>
      <c r="AB14" s="205"/>
      <c r="AC14" s="205"/>
      <c r="AD14" s="258" t="s">
        <v>7063</v>
      </c>
      <c r="AE14" s="259">
        <v>0.1</v>
      </c>
      <c r="AG14" s="205"/>
      <c r="AH14" s="205"/>
      <c r="AI14" s="205"/>
      <c r="AJ14" s="205"/>
      <c r="AK14" s="205"/>
      <c r="AL14" s="205"/>
      <c r="AM14" s="205"/>
      <c r="AN14" s="205"/>
      <c r="AO14" s="205"/>
      <c r="AP14" s="205"/>
      <c r="AQ14" s="205"/>
      <c r="AR14" s="281">
        <v>13</v>
      </c>
      <c r="AS14" s="367" t="s">
        <v>7063</v>
      </c>
      <c r="AT14" s="280">
        <v>0.1</v>
      </c>
      <c r="AU14" s="205"/>
      <c r="AV14" s="205"/>
      <c r="AW14" s="205"/>
      <c r="AX14" s="205"/>
      <c r="AY14" s="205"/>
      <c r="AZ14" s="205"/>
      <c r="BA14" s="205"/>
      <c r="BB14" s="205"/>
      <c r="BC14" s="205"/>
      <c r="BD14" s="205"/>
      <c r="BE14" s="289" t="s">
        <v>8101</v>
      </c>
      <c r="BF14" s="289" t="s">
        <v>8099</v>
      </c>
      <c r="BG14" s="292">
        <f>BG8*Pol.Data!C48</f>
        <v>0.11865303195443833</v>
      </c>
    </row>
    <row r="15" spans="1:59" ht="29.25" customHeight="1" x14ac:dyDescent="0.35">
      <c r="B15" s="299">
        <v>14</v>
      </c>
      <c r="C15" s="228" t="s">
        <v>486</v>
      </c>
      <c r="D15" s="229">
        <f t="shared" si="0"/>
        <v>2.1173076923076923</v>
      </c>
      <c r="E15" s="229">
        <v>27331.200000000001</v>
      </c>
      <c r="F15" s="229">
        <v>5.0826542431210857</v>
      </c>
      <c r="G15" s="205"/>
      <c r="H15" s="205"/>
      <c r="I15" s="205"/>
      <c r="J15" s="205"/>
      <c r="K15" s="205"/>
      <c r="M15" s="205"/>
      <c r="N15" s="205"/>
      <c r="O15" s="205"/>
      <c r="P15" s="205"/>
      <c r="Q15" s="205"/>
      <c r="R15" s="205"/>
      <c r="S15" s="205"/>
      <c r="T15" s="205"/>
      <c r="U15" s="205"/>
      <c r="V15" s="240" t="s">
        <v>735</v>
      </c>
      <c r="W15" s="241">
        <v>3541.41</v>
      </c>
      <c r="X15" s="215"/>
      <c r="Y15" s="251"/>
      <c r="Z15" s="205"/>
      <c r="AA15" s="205"/>
      <c r="AB15" s="205"/>
      <c r="AC15" s="205"/>
      <c r="AD15" s="258" t="s">
        <v>7064</v>
      </c>
      <c r="AE15" s="259">
        <v>0.24</v>
      </c>
      <c r="AG15" s="205"/>
      <c r="AH15" s="205"/>
      <c r="AI15" s="205"/>
      <c r="AJ15" s="205"/>
      <c r="AK15" s="205"/>
      <c r="AL15" s="205"/>
      <c r="AM15" s="205"/>
      <c r="AN15" s="205"/>
      <c r="AO15" s="205"/>
      <c r="AP15" s="205"/>
      <c r="AQ15" s="205"/>
      <c r="AR15" s="281">
        <v>14</v>
      </c>
      <c r="AS15" s="368" t="s">
        <v>7064</v>
      </c>
      <c r="AT15" s="280">
        <v>0.24</v>
      </c>
      <c r="AU15" s="205"/>
      <c r="AV15" s="205"/>
      <c r="AW15" s="205"/>
      <c r="AX15" s="205"/>
      <c r="AY15" s="205"/>
      <c r="AZ15" s="205"/>
      <c r="BA15" s="205"/>
      <c r="BB15" s="205"/>
      <c r="BC15" s="205"/>
      <c r="BD15" s="205"/>
      <c r="BE15" s="289" t="s">
        <v>8102</v>
      </c>
      <c r="BF15" s="289" t="s">
        <v>8100</v>
      </c>
      <c r="BG15" s="292">
        <f>BG9*Pol.Data!C48</f>
        <v>9.88775266286986E-2</v>
      </c>
    </row>
    <row r="16" spans="1:59" ht="29.25" customHeight="1" x14ac:dyDescent="0.35">
      <c r="B16" s="299">
        <v>15</v>
      </c>
      <c r="C16" s="228" t="s">
        <v>487</v>
      </c>
      <c r="D16" s="229">
        <f t="shared" si="0"/>
        <v>1.4901872321227159</v>
      </c>
      <c r="E16" s="229">
        <v>38833.08</v>
      </c>
      <c r="F16" s="229">
        <v>4.729968039448452</v>
      </c>
      <c r="G16" s="205"/>
      <c r="H16" s="205"/>
      <c r="I16" s="205"/>
      <c r="J16" s="205"/>
      <c r="K16" s="205"/>
      <c r="M16" s="205"/>
      <c r="N16" s="205"/>
      <c r="O16" s="205"/>
      <c r="P16" s="205"/>
      <c r="Q16" s="205"/>
      <c r="R16" s="205"/>
      <c r="S16" s="205"/>
      <c r="T16" s="205"/>
      <c r="U16" s="205"/>
      <c r="V16" s="240" t="s">
        <v>736</v>
      </c>
      <c r="W16" s="241">
        <v>3541.41</v>
      </c>
      <c r="X16" s="215"/>
      <c r="Y16" s="251"/>
      <c r="Z16" s="205"/>
      <c r="AA16" s="205"/>
      <c r="AB16" s="205"/>
      <c r="AC16" s="205"/>
      <c r="AD16" s="258" t="s">
        <v>7065</v>
      </c>
      <c r="AE16" s="259">
        <v>0.24</v>
      </c>
      <c r="AG16" s="205"/>
      <c r="AH16" s="205"/>
      <c r="AI16" s="205"/>
      <c r="AJ16" s="205"/>
      <c r="AK16" s="205"/>
      <c r="AL16" s="205"/>
      <c r="AM16" s="205"/>
      <c r="AN16" s="205"/>
      <c r="AO16" s="205"/>
      <c r="AP16" s="205"/>
      <c r="AQ16" s="205"/>
      <c r="AR16" s="281">
        <v>15</v>
      </c>
      <c r="AS16" s="368" t="s">
        <v>7065</v>
      </c>
      <c r="AT16" s="280">
        <v>0.24</v>
      </c>
      <c r="AU16" s="205"/>
      <c r="AV16" s="205"/>
      <c r="AW16" s="205"/>
      <c r="AX16" s="205"/>
      <c r="AY16" s="205"/>
      <c r="AZ16" s="205"/>
      <c r="BA16" s="205"/>
      <c r="BB16" s="205"/>
      <c r="BC16" s="205"/>
      <c r="BD16" s="205"/>
      <c r="BE16" s="288" t="s">
        <v>8103</v>
      </c>
      <c r="BF16" s="288" t="s">
        <v>8099</v>
      </c>
      <c r="BG16" s="294">
        <f>BG12+BG14</f>
        <v>0.17385303195443833</v>
      </c>
    </row>
    <row r="17" spans="2:59" ht="29.25" customHeight="1" x14ac:dyDescent="0.35">
      <c r="B17" s="299">
        <v>16</v>
      </c>
      <c r="C17" s="228" t="s">
        <v>488</v>
      </c>
      <c r="D17" s="229">
        <f t="shared" si="0"/>
        <v>12.440677966101694</v>
      </c>
      <c r="E17" s="229">
        <v>4651.5600000000004</v>
      </c>
      <c r="F17" s="229">
        <v>0.48140913526680917</v>
      </c>
      <c r="G17" s="205"/>
      <c r="H17" s="205"/>
      <c r="I17" s="205"/>
      <c r="J17" s="205"/>
      <c r="K17" s="205"/>
      <c r="M17" s="205"/>
      <c r="N17" s="205"/>
      <c r="O17" s="205"/>
      <c r="P17" s="205"/>
      <c r="Q17" s="205"/>
      <c r="R17" s="205"/>
      <c r="S17" s="205"/>
      <c r="T17" s="205"/>
      <c r="U17" s="205"/>
      <c r="V17" s="240" t="s">
        <v>737</v>
      </c>
      <c r="W17" s="241">
        <v>2982.24</v>
      </c>
      <c r="X17" s="215"/>
      <c r="Y17" s="251"/>
      <c r="Z17" s="205"/>
      <c r="AA17" s="205"/>
      <c r="AB17" s="205"/>
      <c r="AC17" s="205"/>
      <c r="AD17" s="258" t="s">
        <v>7066</v>
      </c>
      <c r="AE17" s="259">
        <v>0.31</v>
      </c>
      <c r="AG17" s="205"/>
      <c r="AH17" s="205"/>
      <c r="AI17" s="205"/>
      <c r="AJ17" s="205"/>
      <c r="AK17" s="205"/>
      <c r="AL17" s="205"/>
      <c r="AM17" s="205"/>
      <c r="AN17" s="205"/>
      <c r="AO17" s="205"/>
      <c r="AP17" s="205"/>
      <c r="AQ17" s="205"/>
      <c r="AR17" s="281">
        <v>16</v>
      </c>
      <c r="AS17" s="368" t="s">
        <v>7066</v>
      </c>
      <c r="AT17" s="280">
        <v>0.31</v>
      </c>
      <c r="AU17" s="205"/>
      <c r="AV17" s="205"/>
      <c r="AW17" s="205"/>
      <c r="AX17" s="205"/>
      <c r="AY17" s="205"/>
      <c r="AZ17" s="205"/>
      <c r="BA17" s="205"/>
      <c r="BB17" s="205"/>
      <c r="BC17" s="205"/>
      <c r="BD17" s="205"/>
      <c r="BE17" s="288" t="s">
        <v>8104</v>
      </c>
      <c r="BF17" s="288" t="s">
        <v>8100</v>
      </c>
      <c r="BG17" s="294">
        <f>BG13+BG15</f>
        <v>0.1448775266286986</v>
      </c>
    </row>
    <row r="18" spans="2:59" ht="29.25" customHeight="1" x14ac:dyDescent="0.35">
      <c r="B18" s="299">
        <v>17</v>
      </c>
      <c r="C18" s="228" t="s">
        <v>489</v>
      </c>
      <c r="D18" s="229">
        <f t="shared" si="0"/>
        <v>5.077632590315142</v>
      </c>
      <c r="E18" s="229">
        <v>11396.76</v>
      </c>
      <c r="F18" s="229">
        <v>2.690188931956345</v>
      </c>
      <c r="G18" s="205"/>
      <c r="H18" s="205"/>
      <c r="I18" s="205"/>
      <c r="J18" s="205"/>
      <c r="K18" s="205"/>
      <c r="M18" s="205"/>
      <c r="N18" s="205"/>
      <c r="O18" s="205"/>
      <c r="P18" s="205"/>
      <c r="Q18" s="205"/>
      <c r="R18" s="205"/>
      <c r="S18" s="205"/>
      <c r="T18" s="205"/>
      <c r="U18" s="205"/>
      <c r="V18" s="240" t="s">
        <v>738</v>
      </c>
      <c r="W18" s="241">
        <v>3404.07</v>
      </c>
      <c r="X18" s="215"/>
      <c r="Y18" s="251"/>
      <c r="Z18" s="205"/>
      <c r="AA18" s="205"/>
      <c r="AB18" s="205"/>
      <c r="AC18" s="205"/>
      <c r="AD18" s="258" t="s">
        <v>4486</v>
      </c>
      <c r="AE18" s="259">
        <v>0.24</v>
      </c>
      <c r="AG18" s="205"/>
      <c r="AH18" s="205"/>
      <c r="AI18" s="205"/>
      <c r="AJ18" s="205"/>
      <c r="AK18" s="205"/>
      <c r="AL18" s="205"/>
      <c r="AM18" s="205"/>
      <c r="AN18" s="205"/>
      <c r="AO18" s="205"/>
      <c r="AP18" s="205"/>
      <c r="AQ18" s="205"/>
      <c r="AR18" s="281">
        <v>17</v>
      </c>
      <c r="AS18" s="368" t="s">
        <v>4486</v>
      </c>
      <c r="AT18" s="280">
        <v>0.24</v>
      </c>
      <c r="AU18" s="205"/>
      <c r="AV18" s="205"/>
      <c r="AW18" s="205"/>
      <c r="AX18" s="205"/>
      <c r="AY18" s="205"/>
      <c r="AZ18" s="205"/>
      <c r="BA18" s="205"/>
      <c r="BB18" s="205"/>
      <c r="BC18" s="205"/>
      <c r="BD18" s="205"/>
      <c r="BE18" s="287"/>
      <c r="BF18" s="287"/>
      <c r="BG18" s="287"/>
    </row>
    <row r="19" spans="2:59" ht="29.25" customHeight="1" x14ac:dyDescent="0.35">
      <c r="B19" s="299">
        <v>18</v>
      </c>
      <c r="C19" s="228" t="s">
        <v>490</v>
      </c>
      <c r="D19" s="229">
        <f t="shared" si="0"/>
        <v>3.4192546583850931</v>
      </c>
      <c r="E19" s="229">
        <v>16924.32</v>
      </c>
      <c r="F19" s="229">
        <v>1.1332345436427875</v>
      </c>
      <c r="G19" s="205"/>
      <c r="H19" s="205"/>
      <c r="I19" s="205"/>
      <c r="J19" s="205"/>
      <c r="K19" s="205"/>
      <c r="M19" s="205"/>
      <c r="N19" s="205"/>
      <c r="O19" s="205"/>
      <c r="P19" s="205"/>
      <c r="Q19" s="205"/>
      <c r="R19" s="205"/>
      <c r="S19" s="205"/>
      <c r="T19" s="205"/>
      <c r="U19" s="205"/>
      <c r="V19" s="240" t="s">
        <v>739</v>
      </c>
      <c r="W19" s="241">
        <v>2697.75</v>
      </c>
      <c r="X19" s="215"/>
      <c r="Y19" s="251"/>
      <c r="Z19" s="205"/>
      <c r="AA19" s="205"/>
      <c r="AB19" s="205"/>
      <c r="AC19" s="205"/>
      <c r="AD19" s="258" t="s">
        <v>7067</v>
      </c>
      <c r="AE19" s="259">
        <v>0.24</v>
      </c>
      <c r="AG19" s="205"/>
      <c r="AH19" s="205"/>
      <c r="AI19" s="205"/>
      <c r="AJ19" s="205"/>
      <c r="AK19" s="205"/>
      <c r="AL19" s="205"/>
      <c r="AM19" s="205"/>
      <c r="AN19" s="205"/>
      <c r="AO19" s="205"/>
      <c r="AP19" s="205"/>
      <c r="AQ19" s="205"/>
      <c r="AR19" s="281">
        <v>18</v>
      </c>
      <c r="AS19" s="368" t="s">
        <v>7067</v>
      </c>
      <c r="AT19" s="280">
        <v>0.24</v>
      </c>
      <c r="AU19" s="205"/>
      <c r="AV19" s="205"/>
      <c r="AW19" s="205"/>
      <c r="AX19" s="205"/>
      <c r="AY19" s="205"/>
      <c r="AZ19" s="205"/>
      <c r="BA19" s="205"/>
      <c r="BB19" s="205"/>
      <c r="BC19" s="205"/>
      <c r="BD19" s="205"/>
      <c r="BE19" s="295" t="s">
        <v>8128</v>
      </c>
      <c r="BF19" s="296" t="s">
        <v>8116</v>
      </c>
      <c r="BG19" s="297">
        <v>0.76</v>
      </c>
    </row>
    <row r="20" spans="2:59" ht="29.25" customHeight="1" x14ac:dyDescent="0.35">
      <c r="B20" s="299">
        <v>19</v>
      </c>
      <c r="C20" s="228" t="s">
        <v>459</v>
      </c>
      <c r="D20" s="229">
        <f t="shared" si="0"/>
        <v>1.1930648365540906</v>
      </c>
      <c r="E20" s="229">
        <v>48504.12</v>
      </c>
      <c r="F20" s="229">
        <v>8.7098123433476395</v>
      </c>
      <c r="G20" s="205"/>
      <c r="H20" s="205"/>
      <c r="I20" s="205"/>
      <c r="J20" s="205"/>
      <c r="K20" s="205"/>
      <c r="M20" s="205"/>
      <c r="N20" s="205"/>
      <c r="O20" s="205"/>
      <c r="P20" s="205"/>
      <c r="Q20" s="205"/>
      <c r="R20" s="205"/>
      <c r="S20" s="205"/>
      <c r="T20" s="205"/>
      <c r="U20" s="205"/>
      <c r="V20" s="240" t="s">
        <v>740</v>
      </c>
      <c r="W20" s="241">
        <v>2462.31</v>
      </c>
      <c r="X20" s="215"/>
      <c r="Y20" s="251"/>
      <c r="Z20" s="205"/>
      <c r="AA20" s="205"/>
      <c r="AB20" s="205"/>
      <c r="AC20" s="205"/>
      <c r="AD20" s="258" t="s">
        <v>7068</v>
      </c>
      <c r="AE20" s="259">
        <v>0.24</v>
      </c>
      <c r="AG20" s="205"/>
      <c r="AH20" s="205"/>
      <c r="AI20" s="205"/>
      <c r="AJ20" s="263"/>
      <c r="AK20" s="205"/>
      <c r="AL20" s="205"/>
      <c r="AM20" s="205"/>
      <c r="AN20" s="205"/>
      <c r="AO20" s="205"/>
      <c r="AP20" s="205"/>
      <c r="AQ20" s="205"/>
      <c r="AR20" s="281">
        <v>19</v>
      </c>
      <c r="AS20" s="368" t="s">
        <v>7068</v>
      </c>
      <c r="AT20" s="280">
        <v>0.24</v>
      </c>
      <c r="AU20" s="205"/>
      <c r="AV20" s="205"/>
      <c r="AW20" s="205"/>
      <c r="AX20" s="205"/>
      <c r="AY20" s="205"/>
      <c r="AZ20" s="205"/>
      <c r="BA20" s="205"/>
      <c r="BB20" s="205"/>
      <c r="BC20" s="205"/>
      <c r="BD20" s="205"/>
      <c r="BE20" s="296" t="s">
        <v>8117</v>
      </c>
      <c r="BF20" s="296" t="s">
        <v>8118</v>
      </c>
      <c r="BG20" s="297">
        <v>0.45500000000000002</v>
      </c>
    </row>
    <row r="21" spans="2:59" ht="29.25" customHeight="1" x14ac:dyDescent="0.35">
      <c r="B21" s="299">
        <v>20</v>
      </c>
      <c r="C21" s="228" t="s">
        <v>491</v>
      </c>
      <c r="D21" s="229">
        <f t="shared" si="0"/>
        <v>11.23469387755102</v>
      </c>
      <c r="E21" s="229">
        <v>5150.88</v>
      </c>
      <c r="F21" s="229">
        <v>1.6024969125000004</v>
      </c>
      <c r="G21" s="205"/>
      <c r="H21" s="205"/>
      <c r="I21" s="205"/>
      <c r="J21" s="205"/>
      <c r="K21" s="205"/>
      <c r="M21" s="205"/>
      <c r="N21" s="205"/>
      <c r="O21" s="205"/>
      <c r="P21" s="205"/>
      <c r="Q21" s="205"/>
      <c r="R21" s="205"/>
      <c r="S21" s="205"/>
      <c r="T21" s="205"/>
      <c r="U21" s="205"/>
      <c r="V21" s="240" t="s">
        <v>780</v>
      </c>
      <c r="W21" s="241">
        <v>784.8</v>
      </c>
      <c r="X21" s="215"/>
      <c r="Y21" s="251"/>
      <c r="Z21" s="205"/>
      <c r="AA21" s="205"/>
      <c r="AB21" s="205"/>
      <c r="AC21" s="205"/>
      <c r="AD21" s="258" t="s">
        <v>7069</v>
      </c>
      <c r="AE21" s="259">
        <v>0.15</v>
      </c>
      <c r="AG21" s="205"/>
      <c r="AH21" s="205"/>
      <c r="AI21" s="205"/>
      <c r="AJ21" s="263"/>
      <c r="AK21" s="205"/>
      <c r="AL21" s="205"/>
      <c r="AM21" s="205"/>
      <c r="AN21" s="205"/>
      <c r="AO21" s="205"/>
      <c r="AP21" s="205"/>
      <c r="AQ21" s="205"/>
      <c r="AR21" s="281">
        <v>20</v>
      </c>
      <c r="AS21" s="368" t="s">
        <v>7069</v>
      </c>
      <c r="AT21" s="280">
        <v>0.15</v>
      </c>
      <c r="AU21" s="205"/>
      <c r="AV21" s="205"/>
      <c r="AW21" s="205"/>
      <c r="AX21" s="205"/>
      <c r="AY21" s="205"/>
      <c r="AZ21" s="205"/>
      <c r="BA21" s="205"/>
      <c r="BB21" s="205"/>
      <c r="BC21" s="205"/>
      <c r="BD21" s="205"/>
      <c r="BE21" s="296" t="s">
        <v>8119</v>
      </c>
      <c r="BF21" s="296" t="s">
        <v>8120</v>
      </c>
      <c r="BG21" s="297">
        <v>0.54600000000000004</v>
      </c>
    </row>
    <row r="22" spans="2:59" ht="29.25" customHeight="1" x14ac:dyDescent="0.35">
      <c r="B22" s="299">
        <v>21</v>
      </c>
      <c r="C22" s="228" t="s">
        <v>492</v>
      </c>
      <c r="D22" s="229">
        <f t="shared" si="0"/>
        <v>19.037463976945247</v>
      </c>
      <c r="E22" s="229">
        <v>3039.72</v>
      </c>
      <c r="F22" s="229">
        <v>0.48425659162130708</v>
      </c>
      <c r="G22" s="205"/>
      <c r="H22" s="205"/>
      <c r="I22" s="205"/>
      <c r="J22" s="205"/>
      <c r="K22" s="205"/>
      <c r="M22" s="205"/>
      <c r="N22" s="205"/>
      <c r="O22" s="205"/>
      <c r="P22" s="205"/>
      <c r="Q22" s="205"/>
      <c r="R22" s="205"/>
      <c r="S22" s="205"/>
      <c r="T22" s="205"/>
      <c r="U22" s="205"/>
      <c r="V22" s="240" t="s">
        <v>781</v>
      </c>
      <c r="W22" s="241">
        <v>1962</v>
      </c>
      <c r="X22" s="215"/>
      <c r="Y22" s="251"/>
      <c r="Z22" s="205"/>
      <c r="AA22" s="205"/>
      <c r="AB22" s="205"/>
      <c r="AC22" s="205"/>
      <c r="AD22" s="258" t="s">
        <v>7070</v>
      </c>
      <c r="AE22" s="259">
        <v>0.2</v>
      </c>
      <c r="AG22" s="205"/>
      <c r="AH22" s="205"/>
      <c r="AI22" s="205"/>
      <c r="AJ22" s="263"/>
      <c r="AK22" s="205"/>
      <c r="AL22" s="205"/>
      <c r="AM22" s="205"/>
      <c r="AN22" s="205"/>
      <c r="AO22" s="205"/>
      <c r="AP22" s="205"/>
      <c r="AQ22" s="205"/>
      <c r="AR22" s="281">
        <v>21</v>
      </c>
      <c r="AS22" s="368" t="s">
        <v>7070</v>
      </c>
      <c r="AT22" s="280">
        <v>0.2</v>
      </c>
      <c r="AU22" s="205"/>
      <c r="AV22" s="205"/>
      <c r="AW22" s="205"/>
      <c r="AX22" s="205"/>
      <c r="AY22" s="205"/>
      <c r="AZ22" s="205"/>
      <c r="BA22" s="205"/>
      <c r="BB22" s="205"/>
      <c r="BC22" s="205"/>
      <c r="BD22" s="205"/>
      <c r="BE22" s="296" t="s">
        <v>8126</v>
      </c>
      <c r="BF22" s="296" t="s">
        <v>8121</v>
      </c>
      <c r="BG22" s="297">
        <v>4.5999999999999999E-2</v>
      </c>
    </row>
    <row r="23" spans="2:59" ht="29.25" customHeight="1" x14ac:dyDescent="0.35">
      <c r="B23" s="299">
        <v>22</v>
      </c>
      <c r="C23" s="228" t="s">
        <v>493</v>
      </c>
      <c r="D23" s="229">
        <f t="shared" si="0"/>
        <v>0.76414112203585882</v>
      </c>
      <c r="E23" s="229">
        <v>75730.2</v>
      </c>
      <c r="F23" s="229">
        <v>0</v>
      </c>
      <c r="G23" s="205"/>
      <c r="H23" s="205"/>
      <c r="I23" s="205"/>
      <c r="J23" s="205"/>
      <c r="K23" s="205"/>
      <c r="M23" s="205"/>
      <c r="N23" s="205"/>
      <c r="O23" s="205"/>
      <c r="P23" s="205"/>
      <c r="Q23" s="205"/>
      <c r="R23" s="205"/>
      <c r="S23" s="205"/>
      <c r="T23" s="205"/>
      <c r="U23" s="205"/>
      <c r="V23" s="240" t="s">
        <v>7788</v>
      </c>
      <c r="W23" s="241">
        <v>0</v>
      </c>
      <c r="X23" s="215"/>
      <c r="Y23" s="251"/>
      <c r="Z23" s="205"/>
      <c r="AA23" s="205"/>
      <c r="AB23" s="205"/>
      <c r="AC23" s="205"/>
      <c r="AD23" s="258" t="s">
        <v>7071</v>
      </c>
      <c r="AE23" s="259">
        <v>8.4000000000000005E-2</v>
      </c>
      <c r="AG23" s="205"/>
      <c r="AH23" s="205"/>
      <c r="AI23" s="205"/>
      <c r="AJ23" s="263"/>
      <c r="AK23" s="205"/>
      <c r="AL23" s="205"/>
      <c r="AM23" s="205"/>
      <c r="AN23" s="205"/>
      <c r="AO23" s="205"/>
      <c r="AP23" s="205"/>
      <c r="AQ23" s="205"/>
      <c r="AR23" s="281">
        <v>22</v>
      </c>
      <c r="AS23" s="368" t="s">
        <v>7071</v>
      </c>
      <c r="AT23" s="280">
        <v>8.4000000000000005E-2</v>
      </c>
      <c r="AU23" s="205"/>
      <c r="AV23" s="205"/>
      <c r="AW23" s="205"/>
      <c r="AX23" s="205"/>
      <c r="AY23" s="205"/>
      <c r="AZ23" s="205"/>
      <c r="BA23" s="205"/>
      <c r="BB23" s="205"/>
      <c r="BC23" s="205"/>
      <c r="BD23" s="205"/>
      <c r="BE23" s="296" t="s">
        <v>8127</v>
      </c>
      <c r="BF23" s="296" t="s">
        <v>8122</v>
      </c>
      <c r="BG23" s="297">
        <v>5.5199999999999999E-2</v>
      </c>
    </row>
    <row r="24" spans="2:59" ht="29.25" customHeight="1" x14ac:dyDescent="0.35">
      <c r="B24" s="299">
        <v>23</v>
      </c>
      <c r="C24" s="228" t="s">
        <v>494</v>
      </c>
      <c r="D24" s="229">
        <f t="shared" si="0"/>
        <v>6.3034351145038165</v>
      </c>
      <c r="E24" s="229">
        <v>9180.48</v>
      </c>
      <c r="F24" s="229">
        <v>0.52551271790257104</v>
      </c>
      <c r="G24" s="205"/>
      <c r="H24" s="205"/>
      <c r="I24" s="205"/>
      <c r="J24" s="205"/>
      <c r="K24" s="205"/>
      <c r="M24" s="205"/>
      <c r="N24" s="205"/>
      <c r="O24" s="205"/>
      <c r="P24" s="205"/>
      <c r="Q24" s="205"/>
      <c r="R24" s="205"/>
      <c r="S24" s="205"/>
      <c r="T24" s="205"/>
      <c r="U24" s="205"/>
      <c r="V24" s="240" t="s">
        <v>7789</v>
      </c>
      <c r="W24" s="241">
        <v>3924</v>
      </c>
      <c r="X24" s="215"/>
      <c r="Y24" s="251"/>
      <c r="Z24" s="205"/>
      <c r="AA24" s="205"/>
      <c r="AB24" s="205"/>
      <c r="AC24" s="205"/>
      <c r="AD24" s="258" t="s">
        <v>7072</v>
      </c>
      <c r="AE24" s="259">
        <v>9.5000000000000001E-2</v>
      </c>
      <c r="AG24" s="205"/>
      <c r="AH24" s="205"/>
      <c r="AI24" s="205"/>
      <c r="AJ24" s="263"/>
      <c r="AK24" s="205"/>
      <c r="AL24" s="205"/>
      <c r="AM24" s="205"/>
      <c r="AN24" s="205"/>
      <c r="AO24" s="205"/>
      <c r="AP24" s="205"/>
      <c r="AQ24" s="205"/>
      <c r="AR24" s="281">
        <v>23</v>
      </c>
      <c r="AS24" s="368" t="s">
        <v>7072</v>
      </c>
      <c r="AT24" s="280">
        <v>9.5000000000000001E-2</v>
      </c>
      <c r="AU24" s="205"/>
      <c r="AV24" s="205"/>
      <c r="AW24" s="205"/>
      <c r="AX24" s="205"/>
      <c r="AY24" s="205"/>
      <c r="AZ24" s="205"/>
      <c r="BA24" s="205"/>
      <c r="BB24" s="205"/>
      <c r="BC24" s="205"/>
      <c r="BD24" s="205"/>
      <c r="BE24" s="295" t="s">
        <v>8123</v>
      </c>
      <c r="BF24" s="295" t="s">
        <v>8124</v>
      </c>
      <c r="BG24" s="297">
        <v>2.8</v>
      </c>
    </row>
    <row r="25" spans="2:59" ht="29.25" customHeight="1" x14ac:dyDescent="0.35">
      <c r="B25" s="299">
        <v>24</v>
      </c>
      <c r="C25" s="228" t="s">
        <v>495</v>
      </c>
      <c r="D25" s="229">
        <f t="shared" si="0"/>
        <v>8.0072727272727278</v>
      </c>
      <c r="E25" s="229">
        <v>7227</v>
      </c>
      <c r="F25" s="229">
        <v>1.9456834947296138</v>
      </c>
      <c r="G25" s="205"/>
      <c r="H25" s="205"/>
      <c r="I25" s="205"/>
      <c r="J25" s="205"/>
      <c r="K25" s="205"/>
      <c r="M25" s="205"/>
      <c r="N25" s="205"/>
      <c r="O25" s="205"/>
      <c r="P25" s="205"/>
      <c r="Q25" s="205"/>
      <c r="R25" s="205"/>
      <c r="S25" s="205"/>
      <c r="T25" s="205"/>
      <c r="U25" s="205"/>
      <c r="V25" s="240" t="s">
        <v>7790</v>
      </c>
      <c r="W25" s="241">
        <v>0</v>
      </c>
      <c r="X25" s="215"/>
      <c r="Y25" s="251"/>
      <c r="Z25" s="205"/>
      <c r="AA25" s="205"/>
      <c r="AB25" s="205"/>
      <c r="AC25" s="205"/>
      <c r="AD25" s="258" t="s">
        <v>7073</v>
      </c>
      <c r="AE25" s="259">
        <v>0.1</v>
      </c>
      <c r="AG25" s="205"/>
      <c r="AH25" s="205"/>
      <c r="AI25" s="205"/>
      <c r="AJ25" s="263"/>
      <c r="AK25" s="205"/>
      <c r="AL25" s="205"/>
      <c r="AM25" s="205"/>
      <c r="AN25" s="205"/>
      <c r="AO25" s="205"/>
      <c r="AP25" s="205"/>
      <c r="AQ25" s="205"/>
      <c r="AR25" s="281">
        <v>24</v>
      </c>
      <c r="AS25" s="368" t="s">
        <v>7073</v>
      </c>
      <c r="AT25" s="280">
        <v>0.1</v>
      </c>
      <c r="AU25" s="205"/>
      <c r="AV25" s="205"/>
      <c r="AW25" s="205"/>
      <c r="AX25" s="205"/>
      <c r="AY25" s="205"/>
      <c r="AZ25" s="205"/>
      <c r="BA25" s="205"/>
      <c r="BB25" s="205"/>
      <c r="BC25" s="205"/>
      <c r="BD25" s="205"/>
      <c r="BE25" s="287"/>
      <c r="BF25" s="287"/>
      <c r="BG25" s="287"/>
    </row>
    <row r="26" spans="2:59" ht="29.25" customHeight="1" x14ac:dyDescent="0.35">
      <c r="B26" s="299">
        <v>25</v>
      </c>
      <c r="C26" s="228" t="s">
        <v>496</v>
      </c>
      <c r="D26" s="229">
        <f t="shared" si="0"/>
        <v>4.2183908045977008</v>
      </c>
      <c r="E26" s="229">
        <v>13718.16</v>
      </c>
      <c r="F26" s="229">
        <v>1.5156499364806864</v>
      </c>
      <c r="G26" s="205"/>
      <c r="H26" s="205"/>
      <c r="I26" s="205"/>
      <c r="J26" s="205"/>
      <c r="K26" s="205"/>
      <c r="M26" s="205"/>
      <c r="N26" s="205"/>
      <c r="O26" s="205"/>
      <c r="P26" s="205"/>
      <c r="Q26" s="205"/>
      <c r="R26" s="205"/>
      <c r="S26" s="205"/>
      <c r="T26" s="205"/>
      <c r="U26" s="205"/>
      <c r="V26" s="240" t="s">
        <v>7791</v>
      </c>
      <c r="W26" s="241">
        <v>3924</v>
      </c>
      <c r="X26" s="215"/>
      <c r="Y26" s="251"/>
      <c r="Z26" s="205"/>
      <c r="AA26" s="205"/>
      <c r="AB26" s="205"/>
      <c r="AC26" s="205"/>
      <c r="AD26" s="258" t="s">
        <v>7074</v>
      </c>
      <c r="AE26" s="259">
        <v>0.1</v>
      </c>
      <c r="AG26" s="205"/>
      <c r="AH26" s="205"/>
      <c r="AI26" s="205"/>
      <c r="AJ26" s="263"/>
      <c r="AK26" s="205"/>
      <c r="AL26" s="205"/>
      <c r="AM26" s="205"/>
      <c r="AN26" s="205"/>
      <c r="AO26" s="205"/>
      <c r="AP26" s="205"/>
      <c r="AQ26" s="205"/>
      <c r="AR26" s="281">
        <v>25</v>
      </c>
      <c r="AS26" s="368" t="s">
        <v>7074</v>
      </c>
      <c r="AT26" s="280">
        <v>0.1</v>
      </c>
      <c r="AU26" s="205"/>
      <c r="AV26" s="205"/>
      <c r="AW26" s="205"/>
      <c r="AX26" s="205"/>
      <c r="AY26" s="205"/>
      <c r="AZ26" s="205"/>
      <c r="BA26" s="205"/>
      <c r="BB26" s="205"/>
      <c r="BC26" s="205"/>
      <c r="BD26" s="205"/>
      <c r="BE26" s="287"/>
      <c r="BF26" s="287"/>
      <c r="BG26" s="287"/>
    </row>
    <row r="27" spans="2:59" ht="29.25" customHeight="1" x14ac:dyDescent="0.35">
      <c r="B27" s="299">
        <v>26</v>
      </c>
      <c r="C27" s="228" t="s">
        <v>497</v>
      </c>
      <c r="D27" s="229">
        <f t="shared" si="0"/>
        <v>4.2427745664739884</v>
      </c>
      <c r="E27" s="229">
        <v>13639.32</v>
      </c>
      <c r="F27" s="229">
        <v>1.3694453853059023</v>
      </c>
      <c r="G27" s="205"/>
      <c r="H27" s="205"/>
      <c r="I27" s="205"/>
      <c r="J27" s="205"/>
      <c r="K27" s="205"/>
      <c r="M27" s="205"/>
      <c r="N27" s="205"/>
      <c r="O27" s="205"/>
      <c r="P27" s="205"/>
      <c r="Q27" s="205"/>
      <c r="R27" s="205"/>
      <c r="S27" s="205"/>
      <c r="T27" s="205"/>
      <c r="U27" s="205"/>
      <c r="V27" s="242"/>
      <c r="W27" s="243"/>
      <c r="X27" s="208"/>
      <c r="Y27" s="251"/>
      <c r="Z27" s="205"/>
      <c r="AA27" s="205"/>
      <c r="AB27" s="205"/>
      <c r="AC27" s="205"/>
      <c r="AD27" s="258" t="s">
        <v>7075</v>
      </c>
      <c r="AE27" s="259">
        <v>0.4</v>
      </c>
      <c r="AG27" s="205"/>
      <c r="AH27" s="205"/>
      <c r="AI27" s="205"/>
      <c r="AJ27" s="263"/>
      <c r="AK27" s="205"/>
      <c r="AL27" s="205"/>
      <c r="AM27" s="205"/>
      <c r="AN27" s="205"/>
      <c r="AO27" s="205"/>
      <c r="AP27" s="205"/>
      <c r="AQ27" s="205"/>
      <c r="AR27" s="281">
        <v>26</v>
      </c>
      <c r="AS27" s="368" t="s">
        <v>7075</v>
      </c>
      <c r="AT27" s="280">
        <v>0.4</v>
      </c>
      <c r="AU27" s="205"/>
      <c r="AV27" s="205"/>
      <c r="AW27" s="205"/>
      <c r="AX27" s="205"/>
      <c r="AY27" s="205"/>
      <c r="AZ27" s="205"/>
      <c r="BA27" s="205"/>
      <c r="BB27" s="205"/>
      <c r="BC27" s="205"/>
      <c r="BD27" s="205"/>
      <c r="BE27" s="205"/>
      <c r="BF27" s="205"/>
      <c r="BG27" s="205"/>
    </row>
    <row r="28" spans="2:59" ht="29.25" customHeight="1" x14ac:dyDescent="0.35">
      <c r="B28" s="299">
        <v>27</v>
      </c>
      <c r="C28" s="228" t="s">
        <v>498</v>
      </c>
      <c r="D28" s="229">
        <f t="shared" si="0"/>
        <v>4.5402061855670102</v>
      </c>
      <c r="E28" s="229">
        <v>12745.8</v>
      </c>
      <c r="F28" s="229">
        <v>1.2573765239166246</v>
      </c>
      <c r="G28" s="205"/>
      <c r="H28" s="205"/>
      <c r="I28" s="205"/>
      <c r="J28" s="205"/>
      <c r="K28" s="205"/>
      <c r="M28" s="205"/>
      <c r="N28" s="205"/>
      <c r="O28" s="205"/>
      <c r="P28" s="205"/>
      <c r="Q28" s="205"/>
      <c r="R28" s="205"/>
      <c r="S28" s="205"/>
      <c r="T28" s="205"/>
      <c r="U28" s="205"/>
      <c r="V28" s="244"/>
      <c r="W28" s="245"/>
      <c r="X28" s="218"/>
      <c r="Y28" s="251"/>
      <c r="Z28" s="205"/>
      <c r="AA28" s="205"/>
      <c r="AB28" s="205"/>
      <c r="AC28" s="205"/>
      <c r="AD28" s="258" t="s">
        <v>7076</v>
      </c>
      <c r="AE28" s="259">
        <v>0.1</v>
      </c>
      <c r="AG28" s="205"/>
      <c r="AH28" s="205"/>
      <c r="AI28" s="205"/>
      <c r="AJ28" s="263"/>
      <c r="AK28" s="205"/>
      <c r="AL28" s="205"/>
      <c r="AM28" s="205"/>
      <c r="AN28" s="205"/>
      <c r="AO28" s="205"/>
      <c r="AP28" s="205"/>
      <c r="AQ28" s="205"/>
      <c r="AR28" s="281">
        <v>27</v>
      </c>
      <c r="AS28" s="368" t="s">
        <v>7076</v>
      </c>
      <c r="AT28" s="280">
        <v>0.1</v>
      </c>
      <c r="AU28" s="205"/>
      <c r="AV28" s="205"/>
      <c r="AW28" s="205"/>
      <c r="AX28" s="205"/>
      <c r="AY28" s="205"/>
      <c r="AZ28" s="205"/>
      <c r="BA28" s="205"/>
      <c r="BB28" s="205"/>
      <c r="BC28" s="205"/>
      <c r="BD28" s="205"/>
      <c r="BE28" s="205"/>
      <c r="BF28" s="205"/>
      <c r="BG28" s="205"/>
    </row>
    <row r="29" spans="2:59" ht="29.25" customHeight="1" x14ac:dyDescent="0.35">
      <c r="B29" s="299">
        <v>28</v>
      </c>
      <c r="C29" s="228" t="s">
        <v>499</v>
      </c>
      <c r="D29" s="229"/>
      <c r="E29" s="229">
        <v>0</v>
      </c>
      <c r="F29" s="229">
        <v>0</v>
      </c>
      <c r="G29" s="205"/>
      <c r="H29" s="205"/>
      <c r="I29" s="205"/>
      <c r="J29" s="205"/>
      <c r="K29" s="205"/>
      <c r="M29" s="205"/>
      <c r="N29" s="205"/>
      <c r="O29" s="205"/>
      <c r="P29" s="205"/>
      <c r="Q29" s="205"/>
      <c r="R29" s="205"/>
      <c r="S29" s="205"/>
      <c r="T29" s="205"/>
      <c r="U29" s="205"/>
      <c r="V29" s="217"/>
      <c r="W29" s="218"/>
      <c r="X29" s="218"/>
      <c r="Y29" s="251"/>
      <c r="Z29" s="205"/>
      <c r="AA29" s="205"/>
      <c r="AB29" s="205"/>
      <c r="AC29" s="205"/>
      <c r="AD29" s="258" t="s">
        <v>7077</v>
      </c>
      <c r="AE29" s="259">
        <v>0.4</v>
      </c>
      <c r="AG29" s="205"/>
      <c r="AH29" s="205"/>
      <c r="AI29" s="205"/>
      <c r="AJ29" s="263"/>
      <c r="AK29" s="205"/>
      <c r="AL29" s="205"/>
      <c r="AM29" s="205"/>
      <c r="AN29" s="205"/>
      <c r="AO29" s="205"/>
      <c r="AP29" s="205"/>
      <c r="AQ29" s="205"/>
      <c r="AR29" s="281">
        <v>28</v>
      </c>
      <c r="AS29" s="368" t="s">
        <v>7077</v>
      </c>
      <c r="AT29" s="280">
        <v>0.4</v>
      </c>
      <c r="AU29" s="205"/>
      <c r="AV29" s="205"/>
      <c r="AW29" s="205"/>
      <c r="AX29" s="205"/>
      <c r="AY29" s="205"/>
      <c r="AZ29" s="205"/>
      <c r="BA29" s="205"/>
      <c r="BB29" s="205"/>
      <c r="BC29" s="205"/>
      <c r="BD29" s="205"/>
      <c r="BE29" s="205"/>
      <c r="BF29" s="205"/>
      <c r="BG29" s="205"/>
    </row>
    <row r="30" spans="2:59" ht="29.25" customHeight="1" x14ac:dyDescent="0.35">
      <c r="B30" s="299">
        <v>29</v>
      </c>
      <c r="C30" s="228" t="s">
        <v>500</v>
      </c>
      <c r="D30" s="229">
        <f t="shared" si="0"/>
        <v>0.99398134216069811</v>
      </c>
      <c r="E30" s="229">
        <v>58218.96</v>
      </c>
      <c r="F30" s="229">
        <v>6.1651140744633945</v>
      </c>
      <c r="G30" s="205"/>
      <c r="H30" s="205"/>
      <c r="I30" s="205"/>
      <c r="J30" s="205"/>
      <c r="K30" s="205"/>
      <c r="M30" s="205"/>
      <c r="N30" s="205"/>
      <c r="O30" s="205"/>
      <c r="P30" s="205"/>
      <c r="Q30" s="205"/>
      <c r="R30" s="205"/>
      <c r="S30" s="205"/>
      <c r="T30" s="205"/>
      <c r="U30" s="205"/>
      <c r="V30" s="217"/>
      <c r="W30" s="218"/>
      <c r="X30" s="218"/>
      <c r="Y30" s="251"/>
      <c r="Z30" s="205"/>
      <c r="AA30" s="205"/>
      <c r="AB30" s="205"/>
      <c r="AC30" s="205"/>
      <c r="AD30" s="258" t="s">
        <v>7078</v>
      </c>
      <c r="AE30" s="259">
        <v>0.4</v>
      </c>
      <c r="AG30" s="205"/>
      <c r="AH30" s="205"/>
      <c r="AI30" s="205"/>
      <c r="AJ30" s="263"/>
      <c r="AK30" s="205"/>
      <c r="AL30" s="205"/>
      <c r="AM30" s="205"/>
      <c r="AN30" s="205"/>
      <c r="AO30" s="205"/>
      <c r="AP30" s="205"/>
      <c r="AQ30" s="205"/>
      <c r="AR30" s="281">
        <v>29</v>
      </c>
      <c r="AS30" s="368" t="s">
        <v>7078</v>
      </c>
      <c r="AT30" s="280">
        <v>0.4</v>
      </c>
      <c r="AU30" s="205"/>
      <c r="AV30" s="205"/>
      <c r="AW30" s="205"/>
      <c r="AX30" s="205"/>
      <c r="AY30" s="205"/>
      <c r="AZ30" s="205"/>
      <c r="BA30" s="205"/>
      <c r="BB30" s="205"/>
      <c r="BC30" s="205"/>
      <c r="BD30" s="205"/>
      <c r="BE30" s="205"/>
      <c r="BF30" s="205"/>
      <c r="BG30" s="205"/>
    </row>
    <row r="31" spans="2:59" ht="29.25" customHeight="1" x14ac:dyDescent="0.35">
      <c r="B31" s="299">
        <v>30</v>
      </c>
      <c r="C31" s="228" t="s">
        <v>501</v>
      </c>
      <c r="D31" s="229">
        <f t="shared" si="0"/>
        <v>2.777964676198486</v>
      </c>
      <c r="E31" s="229">
        <v>20831.28</v>
      </c>
      <c r="F31" s="229">
        <v>1.8709202253531496</v>
      </c>
      <c r="G31" s="205"/>
      <c r="H31" s="205"/>
      <c r="I31" s="205"/>
      <c r="J31" s="205"/>
      <c r="K31" s="205"/>
      <c r="M31" s="205"/>
      <c r="N31" s="205"/>
      <c r="O31" s="205"/>
      <c r="P31" s="205"/>
      <c r="Q31" s="205"/>
      <c r="R31" s="205"/>
      <c r="S31" s="205"/>
      <c r="T31" s="205"/>
      <c r="U31" s="205"/>
      <c r="V31" s="217"/>
      <c r="W31" s="218"/>
      <c r="X31" s="218"/>
      <c r="Y31" s="251"/>
      <c r="Z31" s="205"/>
      <c r="AA31" s="205"/>
      <c r="AB31" s="205"/>
      <c r="AC31" s="205"/>
      <c r="AD31" s="258" t="s">
        <v>7079</v>
      </c>
      <c r="AE31" s="259">
        <v>0.4</v>
      </c>
      <c r="AG31" s="205"/>
      <c r="AH31" s="205"/>
      <c r="AI31" s="205"/>
      <c r="AJ31" s="263"/>
      <c r="AK31" s="205"/>
      <c r="AL31" s="205"/>
      <c r="AM31" s="205"/>
      <c r="AN31" s="205"/>
      <c r="AO31" s="205"/>
      <c r="AP31" s="205"/>
      <c r="AQ31" s="205"/>
      <c r="AR31" s="281">
        <v>30</v>
      </c>
      <c r="AS31" s="368" t="s">
        <v>7079</v>
      </c>
      <c r="AT31" s="280">
        <v>0.4</v>
      </c>
      <c r="AU31" s="205"/>
      <c r="AV31" s="205"/>
      <c r="AW31" s="205"/>
      <c r="AX31" s="205"/>
      <c r="AY31" s="205"/>
      <c r="AZ31" s="205"/>
      <c r="BA31" s="205"/>
      <c r="BB31" s="205"/>
      <c r="BC31" s="205"/>
      <c r="BD31" s="205"/>
      <c r="BE31" s="205"/>
      <c r="BF31" s="205"/>
      <c r="BG31" s="205"/>
    </row>
    <row r="32" spans="2:59" ht="29.25" customHeight="1" x14ac:dyDescent="0.35">
      <c r="B32" s="299">
        <v>31</v>
      </c>
      <c r="C32" s="228" t="s">
        <v>502</v>
      </c>
      <c r="D32" s="229">
        <f t="shared" si="0"/>
        <v>30.164383561643834</v>
      </c>
      <c r="E32" s="229">
        <v>1918.44</v>
      </c>
      <c r="F32" s="229">
        <v>0.37149175902884296</v>
      </c>
      <c r="G32" s="205"/>
      <c r="H32" s="205"/>
      <c r="I32" s="205"/>
      <c r="J32" s="205"/>
      <c r="K32" s="205"/>
      <c r="M32" s="205"/>
      <c r="N32" s="205"/>
      <c r="O32" s="205"/>
      <c r="P32" s="205"/>
      <c r="Q32" s="205"/>
      <c r="R32" s="205"/>
      <c r="S32" s="205"/>
      <c r="T32" s="205"/>
      <c r="U32" s="205"/>
      <c r="V32" s="217"/>
      <c r="W32" s="218"/>
      <c r="X32" s="218"/>
      <c r="Y32" s="251"/>
      <c r="Z32" s="205"/>
      <c r="AA32" s="205"/>
      <c r="AB32" s="205"/>
      <c r="AC32" s="205"/>
      <c r="AD32" s="258" t="s">
        <v>7080</v>
      </c>
      <c r="AE32" s="259">
        <v>0.4</v>
      </c>
      <c r="AG32" s="205"/>
      <c r="AH32" s="205"/>
      <c r="AI32" s="205"/>
      <c r="AJ32" s="263"/>
      <c r="AK32" s="205"/>
      <c r="AL32" s="205"/>
      <c r="AM32" s="205"/>
      <c r="AN32" s="205"/>
      <c r="AO32" s="205"/>
      <c r="AP32" s="205"/>
      <c r="AQ32" s="205"/>
      <c r="AR32" s="281">
        <v>31</v>
      </c>
      <c r="AS32" s="367" t="s">
        <v>7080</v>
      </c>
      <c r="AT32" s="280">
        <v>0.4</v>
      </c>
      <c r="AU32" s="205"/>
      <c r="AV32" s="205"/>
      <c r="AW32" s="205"/>
      <c r="AX32" s="205"/>
      <c r="AY32" s="205"/>
      <c r="AZ32" s="205"/>
      <c r="BA32" s="205"/>
      <c r="BB32" s="205"/>
      <c r="BC32" s="205"/>
      <c r="BD32" s="205"/>
      <c r="BE32" s="205"/>
      <c r="BF32" s="205"/>
      <c r="BG32" s="205"/>
    </row>
    <row r="33" spans="2:59" ht="29.25" customHeight="1" x14ac:dyDescent="0.35">
      <c r="B33" s="299">
        <v>32</v>
      </c>
      <c r="C33" s="228" t="s">
        <v>503</v>
      </c>
      <c r="D33" s="229">
        <f t="shared" si="0"/>
        <v>84.692307692307693</v>
      </c>
      <c r="E33" s="229">
        <v>683.28</v>
      </c>
      <c r="F33" s="229">
        <v>0.36203836144315016</v>
      </c>
      <c r="G33" s="205"/>
      <c r="H33" s="205"/>
      <c r="I33" s="205"/>
      <c r="J33" s="205"/>
      <c r="K33" s="205"/>
      <c r="M33" s="205"/>
      <c r="N33" s="205"/>
      <c r="O33" s="205"/>
      <c r="P33" s="205"/>
      <c r="Q33" s="205"/>
      <c r="R33" s="205"/>
      <c r="S33" s="205"/>
      <c r="T33" s="205"/>
      <c r="U33" s="205"/>
      <c r="V33" s="217"/>
      <c r="W33" s="218"/>
      <c r="X33" s="218"/>
      <c r="Y33" s="251"/>
      <c r="Z33" s="205"/>
      <c r="AA33" s="205"/>
      <c r="AB33" s="205"/>
      <c r="AC33" s="205"/>
      <c r="AD33" s="258"/>
      <c r="AE33" s="257"/>
      <c r="AG33" s="205"/>
      <c r="AH33" s="205"/>
      <c r="AI33" s="205"/>
      <c r="AJ33" s="263"/>
      <c r="AK33" s="205"/>
      <c r="AL33" s="205"/>
      <c r="AM33" s="205"/>
      <c r="AN33" s="205"/>
      <c r="AO33" s="205"/>
      <c r="AP33" s="205"/>
      <c r="AQ33" s="205"/>
      <c r="AR33" s="263"/>
      <c r="AS33" s="369"/>
      <c r="AT33" s="205"/>
      <c r="AU33" s="205"/>
      <c r="AV33" s="205"/>
      <c r="AW33" s="205"/>
      <c r="AX33" s="205"/>
      <c r="AY33" s="205"/>
      <c r="AZ33" s="205"/>
      <c r="BA33" s="205"/>
      <c r="BB33" s="205"/>
      <c r="BC33" s="205"/>
      <c r="BD33" s="205"/>
      <c r="BE33" s="205"/>
      <c r="BF33" s="205"/>
      <c r="BG33" s="205"/>
    </row>
    <row r="34" spans="2:59" ht="29.25" customHeight="1" x14ac:dyDescent="0.35">
      <c r="B34" s="299">
        <v>33</v>
      </c>
      <c r="C34" s="228" t="s">
        <v>504</v>
      </c>
      <c r="D34" s="229">
        <f t="shared" si="0"/>
        <v>10.603531300160514</v>
      </c>
      <c r="E34" s="229">
        <v>5457.48</v>
      </c>
      <c r="F34" s="229">
        <v>0.79618115119321431</v>
      </c>
      <c r="G34" s="205"/>
      <c r="H34" s="205"/>
      <c r="I34" s="205"/>
      <c r="J34" s="205"/>
      <c r="K34" s="205"/>
      <c r="M34" s="205"/>
      <c r="N34" s="205"/>
      <c r="O34" s="205"/>
      <c r="P34" s="205"/>
      <c r="Q34" s="205"/>
      <c r="R34" s="205"/>
      <c r="S34" s="205"/>
      <c r="T34" s="205"/>
      <c r="U34" s="205"/>
      <c r="V34" s="217"/>
      <c r="W34" s="218"/>
      <c r="X34" s="218"/>
      <c r="Y34" s="251"/>
      <c r="Z34" s="205"/>
      <c r="AA34" s="205"/>
      <c r="AB34" s="205"/>
      <c r="AC34" s="205"/>
      <c r="AD34" s="258"/>
      <c r="AE34" s="257"/>
      <c r="AG34" s="205"/>
      <c r="AH34" s="205"/>
      <c r="AI34" s="205"/>
      <c r="AJ34" s="263"/>
      <c r="AK34" s="205"/>
      <c r="AL34" s="205"/>
      <c r="AM34" s="205"/>
      <c r="AN34" s="205"/>
      <c r="AO34" s="205"/>
      <c r="AP34" s="205"/>
      <c r="AQ34" s="205"/>
      <c r="AR34" s="263"/>
      <c r="AS34" s="369"/>
      <c r="AT34" s="205"/>
      <c r="AU34" s="205"/>
      <c r="AV34" s="205"/>
      <c r="AW34" s="205"/>
      <c r="AX34" s="205"/>
      <c r="AY34" s="205"/>
      <c r="AZ34" s="205"/>
      <c r="BA34" s="205"/>
      <c r="BB34" s="205"/>
      <c r="BC34" s="205"/>
      <c r="BD34" s="205"/>
      <c r="BE34" s="205"/>
      <c r="BF34" s="205"/>
      <c r="BG34" s="205"/>
    </row>
    <row r="35" spans="2:59" ht="29.25" customHeight="1" x14ac:dyDescent="0.35">
      <c r="B35" s="299">
        <v>34</v>
      </c>
      <c r="C35" s="228" t="s">
        <v>505</v>
      </c>
      <c r="D35" s="229">
        <f t="shared" si="0"/>
        <v>15.543529411764705</v>
      </c>
      <c r="E35" s="229">
        <v>3723</v>
      </c>
      <c r="F35" s="229">
        <v>1.1085783759656653</v>
      </c>
      <c r="G35" s="205"/>
      <c r="H35" s="205"/>
      <c r="I35" s="205"/>
      <c r="J35" s="205"/>
      <c r="K35" s="205"/>
      <c r="M35" s="205"/>
      <c r="N35" s="205"/>
      <c r="O35" s="205"/>
      <c r="P35" s="205"/>
      <c r="Q35" s="205"/>
      <c r="R35" s="205"/>
      <c r="S35" s="205"/>
      <c r="T35" s="205"/>
      <c r="U35" s="205"/>
      <c r="V35" s="217"/>
      <c r="W35" s="218"/>
      <c r="X35" s="218"/>
      <c r="Y35" s="251"/>
      <c r="Z35" s="205"/>
      <c r="AA35" s="205"/>
      <c r="AB35" s="205"/>
      <c r="AC35" s="205"/>
      <c r="AD35" s="258"/>
      <c r="AE35" s="257"/>
      <c r="AG35" s="205"/>
      <c r="AH35" s="205"/>
      <c r="AI35" s="205"/>
      <c r="AJ35" s="263"/>
      <c r="AK35" s="205"/>
      <c r="AL35" s="205"/>
      <c r="AM35" s="205"/>
      <c r="AN35" s="205"/>
      <c r="AO35" s="205"/>
      <c r="AP35" s="205"/>
      <c r="AQ35" s="205"/>
      <c r="AR35" s="263"/>
      <c r="AS35" s="369"/>
      <c r="AT35" s="205"/>
      <c r="AU35" s="205"/>
      <c r="AV35" s="205"/>
      <c r="AW35" s="205"/>
      <c r="AX35" s="205"/>
      <c r="AY35" s="205"/>
      <c r="AZ35" s="205"/>
      <c r="BA35" s="205"/>
      <c r="BB35" s="205"/>
      <c r="BC35" s="205"/>
      <c r="BD35" s="205"/>
      <c r="BE35" s="205"/>
      <c r="BF35" s="205"/>
      <c r="BG35" s="205"/>
    </row>
    <row r="36" spans="2:59" ht="29.25" customHeight="1" x14ac:dyDescent="0.35">
      <c r="B36" s="299">
        <v>35</v>
      </c>
      <c r="C36" s="228" t="s">
        <v>506</v>
      </c>
      <c r="D36" s="229">
        <f t="shared" si="0"/>
        <v>17.758064516129032</v>
      </c>
      <c r="E36" s="229">
        <v>3258.72</v>
      </c>
      <c r="F36" s="229">
        <v>0.40496133330608197</v>
      </c>
      <c r="G36" s="205"/>
      <c r="H36" s="205"/>
      <c r="I36" s="205"/>
      <c r="J36" s="205"/>
      <c r="K36" s="205"/>
      <c r="M36" s="205"/>
      <c r="N36" s="205"/>
      <c r="O36" s="205"/>
      <c r="P36" s="205"/>
      <c r="Q36" s="205"/>
      <c r="R36" s="205"/>
      <c r="S36" s="205"/>
      <c r="T36" s="205"/>
      <c r="U36" s="205"/>
      <c r="V36" s="217"/>
      <c r="W36" s="218"/>
      <c r="X36" s="218"/>
      <c r="Y36" s="251"/>
      <c r="Z36" s="205"/>
      <c r="AA36" s="205"/>
      <c r="AB36" s="205"/>
      <c r="AC36" s="205"/>
      <c r="AD36" s="258"/>
      <c r="AE36" s="257"/>
      <c r="AG36" s="205"/>
      <c r="AH36" s="205"/>
      <c r="AI36" s="205"/>
      <c r="AJ36" s="263"/>
      <c r="AK36" s="205"/>
      <c r="AL36" s="205"/>
      <c r="AM36" s="205"/>
      <c r="AN36" s="205"/>
      <c r="AO36" s="205"/>
      <c r="AP36" s="205"/>
      <c r="AQ36" s="205"/>
      <c r="AR36" s="263"/>
      <c r="AS36" s="369"/>
      <c r="AT36" s="205"/>
      <c r="AU36" s="205"/>
      <c r="AV36" s="205"/>
      <c r="AW36" s="205"/>
      <c r="AX36" s="205"/>
      <c r="AY36" s="205"/>
      <c r="AZ36" s="205"/>
      <c r="BA36" s="205"/>
      <c r="BB36" s="205"/>
      <c r="BC36" s="205"/>
      <c r="BD36" s="205"/>
      <c r="BE36" s="205"/>
      <c r="BF36" s="205"/>
      <c r="BG36" s="205"/>
    </row>
    <row r="37" spans="2:59" ht="29.25" customHeight="1" x14ac:dyDescent="0.35">
      <c r="B37" s="299">
        <v>36</v>
      </c>
      <c r="C37" s="228" t="s">
        <v>507</v>
      </c>
      <c r="D37" s="229">
        <f t="shared" si="0"/>
        <v>1.390736842105263</v>
      </c>
      <c r="E37" s="229">
        <v>41610</v>
      </c>
      <c r="F37" s="229">
        <v>7.8960517993707899</v>
      </c>
      <c r="G37" s="205"/>
      <c r="H37" s="205"/>
      <c r="I37" s="205"/>
      <c r="J37" s="205"/>
      <c r="K37" s="205"/>
      <c r="M37" s="205"/>
      <c r="N37" s="205"/>
      <c r="O37" s="205"/>
      <c r="P37" s="205"/>
      <c r="Q37" s="205"/>
      <c r="R37" s="205"/>
      <c r="S37" s="205"/>
      <c r="T37" s="205"/>
      <c r="U37" s="205"/>
      <c r="V37" s="217"/>
      <c r="W37" s="218"/>
      <c r="X37" s="218"/>
      <c r="Y37" s="251"/>
      <c r="Z37" s="205"/>
      <c r="AA37" s="205"/>
      <c r="AB37" s="205"/>
      <c r="AC37" s="205"/>
      <c r="AD37" s="258"/>
      <c r="AE37" s="257"/>
      <c r="AG37" s="205"/>
      <c r="AH37" s="205"/>
      <c r="AI37" s="205"/>
      <c r="AJ37" s="263"/>
      <c r="AK37" s="205"/>
      <c r="AL37" s="205"/>
      <c r="AM37" s="205"/>
      <c r="AN37" s="205"/>
      <c r="AO37" s="205"/>
      <c r="AP37" s="205"/>
      <c r="AQ37" s="205"/>
      <c r="AR37" s="263"/>
      <c r="AS37" s="369"/>
      <c r="AT37" s="205"/>
      <c r="AU37" s="205"/>
      <c r="AV37" s="205"/>
      <c r="AW37" s="205"/>
      <c r="AX37" s="205"/>
      <c r="AY37" s="205"/>
      <c r="AZ37" s="205"/>
      <c r="BA37" s="205"/>
      <c r="BB37" s="205"/>
      <c r="BC37" s="205"/>
      <c r="BD37" s="205"/>
      <c r="BE37" s="205"/>
      <c r="BF37" s="205"/>
      <c r="BG37" s="205"/>
    </row>
    <row r="38" spans="2:59" ht="29.25" customHeight="1" x14ac:dyDescent="0.35">
      <c r="B38" s="299">
        <v>37</v>
      </c>
      <c r="C38" s="228" t="s">
        <v>508</v>
      </c>
      <c r="D38" s="229">
        <f t="shared" si="0"/>
        <v>1.1370051635111875</v>
      </c>
      <c r="E38" s="229">
        <v>50895.6</v>
      </c>
      <c r="F38" s="229">
        <v>0</v>
      </c>
      <c r="G38" s="205"/>
      <c r="H38" s="205"/>
      <c r="I38" s="205"/>
      <c r="J38" s="205"/>
      <c r="K38" s="205"/>
      <c r="M38" s="205"/>
      <c r="N38" s="205"/>
      <c r="O38" s="205"/>
      <c r="P38" s="205"/>
      <c r="Q38" s="205"/>
      <c r="R38" s="205"/>
      <c r="S38" s="205"/>
      <c r="T38" s="205"/>
      <c r="U38" s="205"/>
      <c r="V38" s="217"/>
      <c r="W38" s="218"/>
      <c r="X38" s="218"/>
      <c r="Y38" s="251"/>
      <c r="Z38" s="205"/>
      <c r="AA38" s="205"/>
      <c r="AB38" s="205"/>
      <c r="AC38" s="205"/>
      <c r="AD38" s="205"/>
      <c r="AE38" s="205"/>
      <c r="AG38" s="205"/>
      <c r="AH38" s="205"/>
      <c r="AI38" s="205"/>
      <c r="AJ38" s="263"/>
      <c r="AK38" s="205"/>
      <c r="AL38" s="205"/>
      <c r="AM38" s="205"/>
      <c r="AN38" s="205"/>
      <c r="AO38" s="205"/>
      <c r="AP38" s="205"/>
      <c r="AQ38" s="205"/>
      <c r="AR38" s="263"/>
      <c r="AS38" s="369"/>
      <c r="AT38" s="205"/>
      <c r="AU38" s="205"/>
      <c r="AV38" s="205"/>
      <c r="AW38" s="205"/>
      <c r="AX38" s="205"/>
      <c r="AY38" s="205"/>
      <c r="AZ38" s="205"/>
      <c r="BA38" s="205"/>
      <c r="BB38" s="205"/>
      <c r="BC38" s="205"/>
      <c r="BD38" s="205"/>
      <c r="BE38" s="205"/>
      <c r="BF38" s="205"/>
      <c r="BG38" s="205"/>
    </row>
    <row r="39" spans="2:59" ht="29.25" customHeight="1" x14ac:dyDescent="0.35">
      <c r="B39" s="299">
        <v>38</v>
      </c>
      <c r="C39" s="228" t="s">
        <v>509</v>
      </c>
      <c r="D39" s="229">
        <f t="shared" si="0"/>
        <v>63.519230769230766</v>
      </c>
      <c r="E39" s="229">
        <v>911.04</v>
      </c>
      <c r="F39" s="229">
        <v>0.49602424261223738</v>
      </c>
      <c r="G39" s="205"/>
      <c r="H39" s="205"/>
      <c r="I39" s="205"/>
      <c r="J39" s="205"/>
      <c r="K39" s="205"/>
      <c r="M39" s="205"/>
      <c r="N39" s="205"/>
      <c r="O39" s="205"/>
      <c r="P39" s="205"/>
      <c r="Q39" s="205"/>
      <c r="R39" s="205"/>
      <c r="S39" s="205"/>
      <c r="T39" s="205"/>
      <c r="U39" s="205"/>
      <c r="V39" s="217"/>
      <c r="W39" s="218"/>
      <c r="X39" s="218"/>
      <c r="Y39" s="251"/>
      <c r="Z39" s="205"/>
      <c r="AA39" s="205"/>
      <c r="AB39" s="205"/>
      <c r="AC39" s="205"/>
      <c r="AD39" s="205"/>
      <c r="AE39" s="205"/>
      <c r="AG39" s="205"/>
      <c r="AH39" s="205"/>
      <c r="AI39" s="205"/>
      <c r="AJ39" s="263"/>
      <c r="AK39" s="205"/>
      <c r="AL39" s="205"/>
      <c r="AM39" s="205"/>
      <c r="AN39" s="205"/>
      <c r="AO39" s="205"/>
      <c r="AP39" s="205"/>
      <c r="AQ39" s="205"/>
      <c r="AR39" s="263"/>
      <c r="AS39" s="369"/>
      <c r="AT39" s="205"/>
      <c r="AU39" s="205"/>
      <c r="AV39" s="205"/>
      <c r="AW39" s="205"/>
      <c r="AX39" s="205"/>
      <c r="AY39" s="205"/>
      <c r="AZ39" s="205"/>
      <c r="BA39" s="205"/>
      <c r="BB39" s="205"/>
      <c r="BC39" s="205"/>
      <c r="BD39" s="205"/>
      <c r="BE39" s="205"/>
      <c r="BF39" s="205"/>
      <c r="BG39" s="205"/>
    </row>
    <row r="40" spans="2:59" ht="29.25" customHeight="1" x14ac:dyDescent="0.35">
      <c r="B40" s="299">
        <v>39</v>
      </c>
      <c r="C40" s="228" t="s">
        <v>510</v>
      </c>
      <c r="D40" s="229">
        <f t="shared" si="0"/>
        <v>41.810126582278478</v>
      </c>
      <c r="E40" s="229">
        <v>1384.08</v>
      </c>
      <c r="F40" s="229">
        <v>0.51493022277309564</v>
      </c>
      <c r="G40" s="205"/>
      <c r="H40" s="205"/>
      <c r="I40" s="205"/>
      <c r="J40" s="205"/>
      <c r="K40" s="205"/>
      <c r="M40" s="205"/>
      <c r="N40" s="205"/>
      <c r="O40" s="205"/>
      <c r="P40" s="205"/>
      <c r="Q40" s="205"/>
      <c r="R40" s="205"/>
      <c r="S40" s="205"/>
      <c r="T40" s="205"/>
      <c r="U40" s="205"/>
      <c r="V40" s="217"/>
      <c r="W40" s="218"/>
      <c r="X40" s="218"/>
      <c r="Y40" s="251"/>
      <c r="Z40" s="205"/>
      <c r="AA40" s="205"/>
      <c r="AB40" s="205"/>
      <c r="AC40" s="205"/>
      <c r="AD40" s="205"/>
      <c r="AE40" s="205"/>
      <c r="AG40" s="205"/>
      <c r="AH40" s="205"/>
      <c r="AI40" s="205"/>
      <c r="AJ40" s="263"/>
      <c r="AK40" s="205"/>
      <c r="AL40" s="205"/>
      <c r="AM40" s="205"/>
      <c r="AN40" s="205"/>
      <c r="AO40" s="205"/>
      <c r="AP40" s="205"/>
      <c r="AQ40" s="205"/>
      <c r="AR40" s="263"/>
      <c r="AS40" s="369"/>
      <c r="AT40" s="205"/>
      <c r="AU40" s="205"/>
      <c r="AV40" s="205"/>
      <c r="AW40" s="205"/>
      <c r="AX40" s="205"/>
      <c r="AY40" s="205"/>
      <c r="AZ40" s="205"/>
      <c r="BA40" s="205"/>
      <c r="BB40" s="205"/>
      <c r="BC40" s="205"/>
      <c r="BD40" s="205"/>
      <c r="BE40" s="205"/>
      <c r="BF40" s="205"/>
      <c r="BG40" s="205"/>
    </row>
    <row r="41" spans="2:59" ht="29.25" customHeight="1" x14ac:dyDescent="0.35">
      <c r="B41" s="299">
        <v>40</v>
      </c>
      <c r="C41" s="228" t="s">
        <v>511</v>
      </c>
      <c r="D41" s="229">
        <f t="shared" si="0"/>
        <v>2.7547956630525436</v>
      </c>
      <c r="E41" s="229">
        <v>21006.48</v>
      </c>
      <c r="F41" s="229">
        <v>2.5033412605124385</v>
      </c>
      <c r="G41" s="205"/>
      <c r="H41" s="205"/>
      <c r="I41" s="205"/>
      <c r="J41" s="205"/>
      <c r="K41" s="205"/>
      <c r="M41" s="205"/>
      <c r="N41" s="205"/>
      <c r="O41" s="205"/>
      <c r="P41" s="205"/>
      <c r="Q41" s="205"/>
      <c r="R41" s="205"/>
      <c r="S41" s="205"/>
      <c r="T41" s="205"/>
      <c r="U41" s="205"/>
      <c r="V41" s="217"/>
      <c r="W41" s="218"/>
      <c r="X41" s="218"/>
      <c r="Y41" s="251"/>
      <c r="Z41" s="205"/>
      <c r="AA41" s="205"/>
      <c r="AB41" s="205"/>
      <c r="AC41" s="205"/>
      <c r="AD41" s="205"/>
      <c r="AE41" s="205"/>
      <c r="AG41" s="205"/>
      <c r="AH41" s="205"/>
      <c r="AI41" s="205"/>
      <c r="AJ41" s="263"/>
      <c r="AK41" s="205"/>
      <c r="AL41" s="205"/>
      <c r="AM41" s="205"/>
      <c r="AN41" s="205"/>
      <c r="AO41" s="205"/>
      <c r="AP41" s="205"/>
      <c r="AQ41" s="205"/>
      <c r="AR41" s="263"/>
      <c r="AS41" s="369"/>
      <c r="AT41" s="205"/>
      <c r="AU41" s="205"/>
      <c r="AV41" s="205"/>
      <c r="AW41" s="205"/>
      <c r="AX41" s="205"/>
      <c r="AY41" s="205"/>
      <c r="AZ41" s="205"/>
      <c r="BA41" s="205"/>
      <c r="BB41" s="205"/>
      <c r="BC41" s="205"/>
      <c r="BD41" s="205"/>
      <c r="BE41" s="205"/>
      <c r="BF41" s="205"/>
      <c r="BG41" s="205"/>
    </row>
    <row r="42" spans="2:59" ht="29.25" customHeight="1" x14ac:dyDescent="0.35">
      <c r="B42" s="299">
        <v>41</v>
      </c>
      <c r="C42" s="228" t="s">
        <v>512</v>
      </c>
      <c r="D42" s="229">
        <f t="shared" si="0"/>
        <v>3.8406976744186041</v>
      </c>
      <c r="E42" s="229">
        <v>15067.2</v>
      </c>
      <c r="F42" s="229">
        <v>1.9279727319744508</v>
      </c>
      <c r="G42" s="205"/>
      <c r="H42" s="205"/>
      <c r="I42" s="205"/>
      <c r="J42" s="205"/>
      <c r="K42" s="205"/>
      <c r="M42" s="205"/>
      <c r="N42" s="205"/>
      <c r="O42" s="205"/>
      <c r="P42" s="205"/>
      <c r="Q42" s="205"/>
      <c r="R42" s="205"/>
      <c r="S42" s="205"/>
      <c r="T42" s="205"/>
      <c r="U42" s="205"/>
      <c r="V42" s="217"/>
      <c r="W42" s="218"/>
      <c r="X42" s="218"/>
      <c r="Y42" s="251"/>
      <c r="Z42" s="205"/>
      <c r="AA42" s="205"/>
      <c r="AB42" s="205"/>
      <c r="AC42" s="205"/>
      <c r="AD42" s="205"/>
      <c r="AE42" s="205"/>
      <c r="AG42" s="205"/>
      <c r="AH42" s="205"/>
      <c r="AI42" s="205"/>
      <c r="AJ42" s="263"/>
      <c r="AK42" s="205"/>
      <c r="AL42" s="205"/>
      <c r="AM42" s="205"/>
      <c r="AN42" s="205"/>
      <c r="AO42" s="205"/>
      <c r="AP42" s="205"/>
      <c r="AQ42" s="205"/>
      <c r="AR42" s="263"/>
      <c r="AS42" s="369"/>
      <c r="AT42" s="205"/>
      <c r="AU42" s="205"/>
      <c r="AV42" s="205"/>
      <c r="AW42" s="205"/>
      <c r="AX42" s="205"/>
      <c r="AY42" s="205"/>
      <c r="AZ42" s="205"/>
      <c r="BA42" s="205"/>
      <c r="BB42" s="205"/>
      <c r="BC42" s="205"/>
      <c r="BD42" s="205"/>
      <c r="BE42" s="205"/>
      <c r="BF42" s="205"/>
      <c r="BG42" s="205"/>
    </row>
    <row r="43" spans="2:59" ht="29.25" customHeight="1" x14ac:dyDescent="0.35">
      <c r="B43" s="299">
        <v>42</v>
      </c>
      <c r="C43" s="228" t="s">
        <v>513</v>
      </c>
      <c r="D43" s="229">
        <f t="shared" si="0"/>
        <v>4.6260504201680668</v>
      </c>
      <c r="E43" s="229">
        <v>12509.28</v>
      </c>
      <c r="F43" s="229">
        <v>1.7641970708710499</v>
      </c>
      <c r="G43" s="205"/>
      <c r="H43" s="205"/>
      <c r="I43" s="205"/>
      <c r="J43" s="205"/>
      <c r="K43" s="205"/>
      <c r="M43" s="205"/>
      <c r="N43" s="205"/>
      <c r="O43" s="205"/>
      <c r="P43" s="205"/>
      <c r="Q43" s="205"/>
      <c r="R43" s="205"/>
      <c r="S43" s="205"/>
      <c r="T43" s="205"/>
      <c r="U43" s="205"/>
      <c r="V43" s="217"/>
      <c r="W43" s="218"/>
      <c r="X43" s="218"/>
      <c r="Y43" s="251"/>
      <c r="Z43" s="205"/>
      <c r="AA43" s="205"/>
      <c r="AB43" s="205"/>
      <c r="AC43" s="205"/>
      <c r="AD43" s="205"/>
      <c r="AE43" s="205"/>
      <c r="AG43" s="205"/>
      <c r="AH43" s="205"/>
      <c r="AI43" s="205"/>
      <c r="AJ43" s="263"/>
      <c r="AK43" s="205"/>
      <c r="AL43" s="205"/>
      <c r="AM43" s="205"/>
      <c r="AN43" s="205"/>
      <c r="AO43" s="205"/>
      <c r="AP43" s="205"/>
      <c r="AQ43" s="205"/>
      <c r="AR43" s="263"/>
      <c r="AS43" s="369"/>
      <c r="AT43" s="205"/>
      <c r="AU43" s="205"/>
      <c r="AV43" s="205"/>
      <c r="AW43" s="205"/>
      <c r="AX43" s="205"/>
      <c r="AY43" s="205"/>
      <c r="AZ43" s="205"/>
      <c r="BA43" s="205"/>
      <c r="BB43" s="205"/>
      <c r="BC43" s="205"/>
      <c r="BD43" s="205"/>
      <c r="BE43" s="205"/>
      <c r="BF43" s="205"/>
      <c r="BG43" s="205"/>
    </row>
    <row r="44" spans="2:59" ht="29.25" customHeight="1" x14ac:dyDescent="0.35">
      <c r="B44" s="299">
        <v>43</v>
      </c>
      <c r="C44" s="228" t="s">
        <v>514</v>
      </c>
      <c r="D44" s="229">
        <f t="shared" si="0"/>
        <v>19.837837837837839</v>
      </c>
      <c r="E44" s="229">
        <v>2917.08</v>
      </c>
      <c r="F44" s="229">
        <v>0.63082701245005735</v>
      </c>
      <c r="G44" s="205"/>
      <c r="H44" s="205"/>
      <c r="I44" s="205"/>
      <c r="J44" s="205"/>
      <c r="K44" s="205"/>
      <c r="M44" s="205"/>
      <c r="N44" s="205"/>
      <c r="O44" s="205"/>
      <c r="P44" s="205"/>
      <c r="Q44" s="205"/>
      <c r="R44" s="205"/>
      <c r="S44" s="205"/>
      <c r="T44" s="205"/>
      <c r="U44" s="205"/>
      <c r="V44" s="217"/>
      <c r="W44" s="218"/>
      <c r="X44" s="218"/>
      <c r="Y44" s="251"/>
      <c r="Z44" s="205"/>
      <c r="AA44" s="205"/>
      <c r="AB44" s="205"/>
      <c r="AC44" s="205"/>
      <c r="AD44" s="205"/>
      <c r="AE44" s="205"/>
      <c r="AG44" s="205"/>
      <c r="AH44" s="205"/>
      <c r="AI44" s="205"/>
      <c r="AJ44" s="263"/>
      <c r="AK44" s="205"/>
      <c r="AL44" s="205"/>
      <c r="AM44" s="205"/>
      <c r="AN44" s="205"/>
      <c r="AO44" s="205"/>
      <c r="AP44" s="205"/>
      <c r="AQ44" s="205"/>
      <c r="AR44" s="263"/>
      <c r="AS44" s="369"/>
      <c r="AT44" s="205"/>
      <c r="AU44" s="205"/>
      <c r="AV44" s="205"/>
      <c r="AW44" s="205"/>
      <c r="AX44" s="205"/>
      <c r="AY44" s="205"/>
      <c r="AZ44" s="205"/>
      <c r="BA44" s="205"/>
      <c r="BB44" s="205"/>
      <c r="BC44" s="205"/>
      <c r="BD44" s="205"/>
      <c r="BE44" s="205"/>
      <c r="BF44" s="205"/>
      <c r="BG44" s="205"/>
    </row>
    <row r="45" spans="2:59" ht="29.25" customHeight="1" x14ac:dyDescent="0.35">
      <c r="B45" s="299">
        <v>44</v>
      </c>
      <c r="C45" s="228" t="s">
        <v>515</v>
      </c>
      <c r="D45" s="229">
        <f t="shared" si="0"/>
        <v>60.054545454545448</v>
      </c>
      <c r="E45" s="229">
        <v>963.6</v>
      </c>
      <c r="F45" s="229">
        <v>0.5223133209700993</v>
      </c>
      <c r="G45" s="205"/>
      <c r="H45" s="205"/>
      <c r="I45" s="205"/>
      <c r="J45" s="205"/>
      <c r="K45" s="205"/>
      <c r="M45" s="205"/>
      <c r="N45" s="205"/>
      <c r="O45" s="205"/>
      <c r="P45" s="205"/>
      <c r="Q45" s="205"/>
      <c r="R45" s="205"/>
      <c r="S45" s="205"/>
      <c r="T45" s="205"/>
      <c r="U45" s="205"/>
      <c r="V45" s="217"/>
      <c r="W45" s="218"/>
      <c r="X45" s="218"/>
      <c r="Y45" s="251"/>
      <c r="Z45" s="205"/>
      <c r="AA45" s="205"/>
      <c r="AB45" s="205"/>
      <c r="AC45" s="205"/>
      <c r="AD45" s="205"/>
      <c r="AE45" s="205"/>
      <c r="AG45" s="205"/>
      <c r="AH45" s="205"/>
      <c r="AI45" s="205"/>
      <c r="AJ45" s="263"/>
      <c r="AK45" s="205"/>
      <c r="AL45" s="205"/>
      <c r="AM45" s="205"/>
      <c r="AN45" s="205"/>
      <c r="AO45" s="205"/>
      <c r="AP45" s="205"/>
      <c r="AQ45" s="205"/>
      <c r="AR45" s="263"/>
      <c r="AS45" s="369"/>
      <c r="AT45" s="205"/>
      <c r="AU45" s="205"/>
      <c r="AV45" s="205"/>
      <c r="AW45" s="205"/>
      <c r="AX45" s="205"/>
      <c r="AY45" s="205"/>
      <c r="AZ45" s="205"/>
      <c r="BA45" s="205"/>
      <c r="BB45" s="205"/>
      <c r="BC45" s="205"/>
      <c r="BD45" s="205"/>
      <c r="BE45" s="205"/>
      <c r="BF45" s="205"/>
      <c r="BG45" s="205"/>
    </row>
    <row r="46" spans="2:59" ht="29.25" customHeight="1" x14ac:dyDescent="0.35">
      <c r="B46" s="299">
        <v>45</v>
      </c>
      <c r="C46" s="228" t="s">
        <v>516</v>
      </c>
      <c r="D46" s="229">
        <f t="shared" si="0"/>
        <v>21.241157556270096</v>
      </c>
      <c r="E46" s="229">
        <v>2724.36</v>
      </c>
      <c r="F46" s="229">
        <v>0.77245970580179368</v>
      </c>
      <c r="G46" s="205"/>
      <c r="H46" s="205"/>
      <c r="I46" s="205"/>
      <c r="J46" s="205"/>
      <c r="K46" s="205"/>
      <c r="M46" s="205"/>
      <c r="N46" s="205"/>
      <c r="O46" s="205"/>
      <c r="P46" s="205"/>
      <c r="Q46" s="205"/>
      <c r="R46" s="205"/>
      <c r="S46" s="205"/>
      <c r="T46" s="205"/>
      <c r="U46" s="205"/>
      <c r="V46" s="217"/>
      <c r="W46" s="218"/>
      <c r="X46" s="218"/>
      <c r="Y46" s="251"/>
      <c r="Z46" s="205"/>
      <c r="AA46" s="205"/>
      <c r="AB46" s="205"/>
      <c r="AC46" s="205"/>
      <c r="AD46" s="205"/>
      <c r="AE46" s="205"/>
      <c r="AG46" s="205"/>
      <c r="AH46" s="205"/>
      <c r="AI46" s="205"/>
      <c r="AJ46" s="263"/>
      <c r="AK46" s="205"/>
      <c r="AL46" s="205"/>
      <c r="AM46" s="205"/>
      <c r="AN46" s="205"/>
      <c r="AO46" s="205"/>
      <c r="AP46" s="205"/>
      <c r="AQ46" s="205"/>
      <c r="AR46" s="263"/>
      <c r="AS46" s="369"/>
      <c r="AT46" s="205"/>
      <c r="AU46" s="205"/>
      <c r="AV46" s="205"/>
      <c r="AW46" s="205"/>
      <c r="AX46" s="205"/>
      <c r="AY46" s="205"/>
      <c r="AZ46" s="205"/>
      <c r="BA46" s="205"/>
      <c r="BB46" s="205"/>
      <c r="BC46" s="205"/>
      <c r="BD46" s="205"/>
      <c r="BE46" s="205"/>
      <c r="BF46" s="205"/>
      <c r="BG46" s="205"/>
    </row>
    <row r="47" spans="2:59" ht="29.25" customHeight="1" x14ac:dyDescent="0.35">
      <c r="B47" s="299">
        <v>46</v>
      </c>
      <c r="C47" s="228" t="s">
        <v>517</v>
      </c>
      <c r="D47" s="229">
        <f t="shared" si="0"/>
        <v>3.3296370967741935</v>
      </c>
      <c r="E47" s="229">
        <v>17379.84</v>
      </c>
      <c r="F47" s="229">
        <v>3.4907252378993747</v>
      </c>
      <c r="G47" s="205"/>
      <c r="H47" s="205"/>
      <c r="I47" s="205"/>
      <c r="J47" s="205"/>
      <c r="K47" s="205"/>
      <c r="M47" s="205"/>
      <c r="N47" s="205"/>
      <c r="O47" s="205"/>
      <c r="P47" s="205"/>
      <c r="Q47" s="205"/>
      <c r="R47" s="205"/>
      <c r="S47" s="205"/>
      <c r="T47" s="205"/>
      <c r="U47" s="205"/>
      <c r="V47" s="217"/>
      <c r="W47" s="218"/>
      <c r="X47" s="218"/>
      <c r="Y47" s="251"/>
      <c r="Z47" s="205"/>
      <c r="AA47" s="205"/>
      <c r="AB47" s="205"/>
      <c r="AC47" s="205"/>
      <c r="AD47" s="205"/>
      <c r="AE47" s="205"/>
      <c r="AG47" s="205"/>
      <c r="AH47" s="205"/>
      <c r="AI47" s="205"/>
      <c r="AJ47" s="263"/>
      <c r="AK47" s="205"/>
      <c r="AL47" s="205"/>
      <c r="AM47" s="205"/>
      <c r="AN47" s="205"/>
      <c r="AO47" s="205"/>
      <c r="AP47" s="205"/>
      <c r="AQ47" s="205"/>
      <c r="AR47" s="263"/>
      <c r="AS47" s="369"/>
      <c r="AT47" s="205"/>
      <c r="AU47" s="205"/>
      <c r="AV47" s="205"/>
      <c r="AW47" s="205"/>
      <c r="AX47" s="205"/>
      <c r="AY47" s="205"/>
      <c r="AZ47" s="205"/>
      <c r="BA47" s="205"/>
      <c r="BB47" s="205"/>
      <c r="BC47" s="205"/>
      <c r="BD47" s="205"/>
      <c r="BE47" s="205"/>
      <c r="BF47" s="205"/>
      <c r="BG47" s="205"/>
    </row>
    <row r="48" spans="2:59" ht="29.25" customHeight="1" x14ac:dyDescent="0.35">
      <c r="B48" s="299">
        <v>47</v>
      </c>
      <c r="C48" s="228" t="s">
        <v>518</v>
      </c>
      <c r="D48" s="229">
        <f t="shared" si="0"/>
        <v>12.464150943396225</v>
      </c>
      <c r="E48" s="229">
        <v>4642.8</v>
      </c>
      <c r="F48" s="229">
        <v>0.51497313720119575</v>
      </c>
      <c r="G48" s="205"/>
      <c r="H48" s="205"/>
      <c r="I48" s="205"/>
      <c r="J48" s="205"/>
      <c r="K48" s="205"/>
      <c r="M48" s="205"/>
      <c r="N48" s="205"/>
      <c r="O48" s="205"/>
      <c r="P48" s="205"/>
      <c r="Q48" s="205"/>
      <c r="R48" s="205"/>
      <c r="S48" s="205"/>
      <c r="T48" s="205"/>
      <c r="U48" s="205"/>
      <c r="V48" s="217"/>
      <c r="W48" s="218"/>
      <c r="X48" s="218"/>
      <c r="Y48" s="251"/>
      <c r="Z48" s="205"/>
      <c r="AA48" s="205"/>
      <c r="AB48" s="205"/>
      <c r="AC48" s="205"/>
      <c r="AD48" s="205"/>
      <c r="AE48" s="205"/>
      <c r="AG48" s="205"/>
      <c r="AH48" s="205"/>
      <c r="AI48" s="205"/>
      <c r="AJ48" s="263"/>
      <c r="AK48" s="205"/>
      <c r="AL48" s="205"/>
      <c r="AM48" s="205"/>
      <c r="AN48" s="205"/>
      <c r="AO48" s="205"/>
      <c r="AP48" s="205"/>
      <c r="AQ48" s="205"/>
      <c r="AR48" s="263"/>
      <c r="AS48" s="369"/>
      <c r="AT48" s="205"/>
      <c r="AU48" s="205"/>
      <c r="AV48" s="205"/>
      <c r="AW48" s="205"/>
      <c r="AX48" s="205"/>
      <c r="AY48" s="205"/>
      <c r="AZ48" s="205"/>
      <c r="BA48" s="205"/>
      <c r="BB48" s="205"/>
      <c r="BC48" s="205"/>
      <c r="BD48" s="205"/>
      <c r="BE48" s="205"/>
      <c r="BF48" s="205"/>
      <c r="BG48" s="205"/>
    </row>
    <row r="49" spans="2:59" ht="29.25" customHeight="1" x14ac:dyDescent="0.35">
      <c r="B49" s="299">
        <v>48</v>
      </c>
      <c r="C49" s="228" t="s">
        <v>519</v>
      </c>
      <c r="D49" s="229">
        <f t="shared" si="0"/>
        <v>2.3073698917219696</v>
      </c>
      <c r="E49" s="229">
        <v>25079.88</v>
      </c>
      <c r="F49" s="229">
        <v>3.1744218921518419</v>
      </c>
      <c r="G49" s="205"/>
      <c r="H49" s="205"/>
      <c r="I49" s="205"/>
      <c r="J49" s="205"/>
      <c r="K49" s="205"/>
      <c r="M49" s="205"/>
      <c r="N49" s="205"/>
      <c r="O49" s="205"/>
      <c r="P49" s="205"/>
      <c r="Q49" s="205"/>
      <c r="R49" s="205"/>
      <c r="S49" s="205"/>
      <c r="T49" s="205"/>
      <c r="U49" s="205"/>
      <c r="V49" s="217"/>
      <c r="W49" s="218"/>
      <c r="X49" s="218"/>
      <c r="Y49" s="251"/>
      <c r="Z49" s="205"/>
      <c r="AA49" s="205"/>
      <c r="AB49" s="205"/>
      <c r="AC49" s="205"/>
      <c r="AD49" s="205"/>
      <c r="AE49" s="205"/>
      <c r="AG49" s="205"/>
      <c r="AH49" s="205"/>
      <c r="AI49" s="205"/>
      <c r="AJ49" s="263"/>
      <c r="AK49" s="205"/>
      <c r="AL49" s="205"/>
      <c r="AM49" s="205"/>
      <c r="AN49" s="205"/>
      <c r="AO49" s="205"/>
      <c r="AP49" s="205"/>
      <c r="AQ49" s="205"/>
      <c r="AR49" s="263"/>
      <c r="AS49" s="369"/>
      <c r="AT49" s="205"/>
      <c r="AU49" s="205"/>
      <c r="AV49" s="205"/>
      <c r="AW49" s="205"/>
      <c r="AX49" s="205"/>
      <c r="AY49" s="205"/>
      <c r="AZ49" s="205"/>
      <c r="BA49" s="205"/>
      <c r="BB49" s="205"/>
      <c r="BC49" s="205"/>
      <c r="BD49" s="205"/>
      <c r="BE49" s="205"/>
      <c r="BF49" s="205"/>
      <c r="BG49" s="205"/>
    </row>
    <row r="50" spans="2:59" ht="29.25" customHeight="1" x14ac:dyDescent="0.35">
      <c r="B50" s="299">
        <v>49</v>
      </c>
      <c r="C50" s="228" t="s">
        <v>520</v>
      </c>
      <c r="D50" s="229">
        <f t="shared" si="0"/>
        <v>1.7931596091205211</v>
      </c>
      <c r="E50" s="229">
        <v>32271.84</v>
      </c>
      <c r="F50" s="229">
        <v>4.6628614602231764</v>
      </c>
      <c r="G50" s="205"/>
      <c r="H50" s="205"/>
      <c r="I50" s="205"/>
      <c r="J50" s="205"/>
      <c r="K50" s="205"/>
      <c r="M50" s="205"/>
      <c r="N50" s="205"/>
      <c r="O50" s="205"/>
      <c r="P50" s="205"/>
      <c r="Q50" s="205"/>
      <c r="R50" s="205"/>
      <c r="S50" s="205"/>
      <c r="T50" s="205"/>
      <c r="U50" s="205"/>
      <c r="V50" s="217"/>
      <c r="W50" s="218"/>
      <c r="X50" s="218"/>
      <c r="Y50" s="251"/>
      <c r="Z50" s="205"/>
      <c r="AA50" s="205"/>
      <c r="AB50" s="205"/>
      <c r="AC50" s="205"/>
      <c r="AD50" s="205"/>
      <c r="AE50" s="205"/>
      <c r="AG50" s="205"/>
      <c r="AH50" s="205"/>
      <c r="AI50" s="205"/>
      <c r="AJ50" s="263"/>
      <c r="AK50" s="205"/>
      <c r="AL50" s="205"/>
      <c r="AM50" s="205"/>
      <c r="AN50" s="205"/>
      <c r="AO50" s="205"/>
      <c r="AP50" s="205"/>
      <c r="AQ50" s="205"/>
      <c r="AR50" s="263"/>
      <c r="AS50" s="369"/>
      <c r="AT50" s="205"/>
      <c r="AU50" s="205"/>
      <c r="AV50" s="205"/>
      <c r="AW50" s="205"/>
      <c r="AX50" s="205"/>
      <c r="AY50" s="205"/>
      <c r="AZ50" s="205"/>
      <c r="BA50" s="205"/>
      <c r="BB50" s="205"/>
      <c r="BC50" s="205"/>
      <c r="BD50" s="205"/>
      <c r="BE50" s="205"/>
      <c r="BF50" s="205"/>
      <c r="BG50" s="205"/>
    </row>
    <row r="51" spans="2:59" ht="29.25" customHeight="1" x14ac:dyDescent="0.35">
      <c r="B51" s="299">
        <v>50</v>
      </c>
      <c r="C51" s="228" t="s">
        <v>521</v>
      </c>
      <c r="D51" s="229">
        <f t="shared" si="0"/>
        <v>1.6367690782953419</v>
      </c>
      <c r="E51" s="229">
        <v>35355.360000000001</v>
      </c>
      <c r="F51" s="229">
        <v>4.0677257844025387</v>
      </c>
      <c r="G51" s="205"/>
      <c r="H51" s="205"/>
      <c r="I51" s="205"/>
      <c r="J51" s="205"/>
      <c r="K51" s="205"/>
      <c r="M51" s="205"/>
      <c r="N51" s="205"/>
      <c r="O51" s="205"/>
      <c r="P51" s="205"/>
      <c r="Q51" s="205"/>
      <c r="R51" s="205"/>
      <c r="S51" s="205"/>
      <c r="T51" s="205"/>
      <c r="U51" s="205"/>
      <c r="V51" s="217"/>
      <c r="W51" s="218"/>
      <c r="X51" s="218"/>
      <c r="Y51" s="251"/>
      <c r="Z51" s="205"/>
      <c r="AA51" s="205"/>
      <c r="AB51" s="205"/>
      <c r="AC51" s="205"/>
      <c r="AD51" s="205"/>
      <c r="AE51" s="205"/>
      <c r="AG51" s="205"/>
      <c r="AH51" s="205"/>
      <c r="AI51" s="205"/>
      <c r="AJ51" s="263"/>
      <c r="AK51" s="205"/>
      <c r="AL51" s="205"/>
      <c r="AM51" s="205"/>
      <c r="AN51" s="205"/>
      <c r="AO51" s="205"/>
      <c r="AP51" s="205"/>
      <c r="AQ51" s="205"/>
      <c r="AR51" s="263"/>
      <c r="AS51" s="369"/>
      <c r="AT51" s="205"/>
      <c r="AU51" s="205"/>
      <c r="AV51" s="205"/>
      <c r="AW51" s="205"/>
      <c r="AX51" s="205"/>
      <c r="AY51" s="205"/>
      <c r="AZ51" s="205"/>
      <c r="BA51" s="205"/>
      <c r="BB51" s="205"/>
      <c r="BC51" s="205"/>
      <c r="BD51" s="205"/>
      <c r="BE51" s="205"/>
      <c r="BF51" s="205"/>
      <c r="BG51" s="205"/>
    </row>
    <row r="52" spans="2:59" ht="29.25" customHeight="1" x14ac:dyDescent="0.35">
      <c r="B52" s="299">
        <v>51</v>
      </c>
      <c r="C52" s="228" t="s">
        <v>522</v>
      </c>
      <c r="D52" s="229">
        <f t="shared" si="0"/>
        <v>1.0623994853650691</v>
      </c>
      <c r="E52" s="229">
        <v>54469.68</v>
      </c>
      <c r="F52" s="229">
        <v>10.863965558117426</v>
      </c>
      <c r="G52" s="205"/>
      <c r="H52" s="205"/>
      <c r="I52" s="205"/>
      <c r="J52" s="205"/>
      <c r="K52" s="205"/>
      <c r="M52" s="205"/>
      <c r="N52" s="205"/>
      <c r="O52" s="205"/>
      <c r="P52" s="205"/>
      <c r="Q52" s="205"/>
      <c r="R52" s="205"/>
      <c r="S52" s="205"/>
      <c r="T52" s="205"/>
      <c r="U52" s="205"/>
      <c r="V52" s="217"/>
      <c r="W52" s="218"/>
      <c r="X52" s="218"/>
      <c r="Y52" s="251"/>
      <c r="Z52" s="205"/>
      <c r="AA52" s="205"/>
      <c r="AB52" s="205"/>
      <c r="AC52" s="205"/>
      <c r="AD52" s="205"/>
      <c r="AE52" s="205"/>
      <c r="AG52" s="205"/>
      <c r="AH52" s="205"/>
      <c r="AI52" s="205"/>
      <c r="AJ52" s="263"/>
      <c r="AK52" s="205"/>
      <c r="AL52" s="205"/>
      <c r="AM52" s="205"/>
      <c r="AN52" s="205"/>
      <c r="AO52" s="205"/>
      <c r="AP52" s="205"/>
      <c r="AQ52" s="205"/>
      <c r="AR52" s="263"/>
      <c r="AS52" s="369"/>
      <c r="AT52" s="205"/>
      <c r="AU52" s="205"/>
      <c r="AV52" s="205"/>
      <c r="AW52" s="205"/>
      <c r="AX52" s="205"/>
      <c r="AY52" s="205"/>
      <c r="AZ52" s="205"/>
      <c r="BA52" s="205"/>
      <c r="BB52" s="205"/>
      <c r="BC52" s="205"/>
      <c r="BD52" s="205"/>
      <c r="BE52" s="205"/>
      <c r="BF52" s="205"/>
      <c r="BG52" s="205"/>
    </row>
    <row r="53" spans="2:59" ht="29.25" customHeight="1" x14ac:dyDescent="0.35">
      <c r="B53" s="299">
        <v>52</v>
      </c>
      <c r="C53" s="228" t="s">
        <v>523</v>
      </c>
      <c r="D53" s="229">
        <f t="shared" si="0"/>
        <v>11.754448398576512</v>
      </c>
      <c r="E53" s="229">
        <v>4923.12</v>
      </c>
      <c r="F53" s="229">
        <v>0.73835884904989479</v>
      </c>
      <c r="G53" s="205"/>
      <c r="H53" s="205"/>
      <c r="I53" s="205"/>
      <c r="J53" s="205"/>
      <c r="K53" s="205"/>
      <c r="M53" s="205"/>
      <c r="N53" s="205"/>
      <c r="O53" s="205"/>
      <c r="P53" s="205"/>
      <c r="Q53" s="205"/>
      <c r="R53" s="205"/>
      <c r="S53" s="205"/>
      <c r="T53" s="205"/>
      <c r="U53" s="205"/>
      <c r="V53" s="217"/>
      <c r="W53" s="218"/>
      <c r="X53" s="218"/>
      <c r="Y53" s="251"/>
      <c r="Z53" s="205"/>
      <c r="AA53" s="205"/>
      <c r="AB53" s="205"/>
      <c r="AC53" s="205"/>
      <c r="AD53" s="205"/>
      <c r="AE53" s="205"/>
      <c r="AG53" s="205"/>
      <c r="AH53" s="205"/>
      <c r="AI53" s="205"/>
      <c r="AJ53" s="263"/>
      <c r="AK53" s="205"/>
      <c r="AL53" s="205"/>
      <c r="AM53" s="205"/>
      <c r="AN53" s="205"/>
      <c r="AO53" s="205"/>
      <c r="AP53" s="205"/>
      <c r="AQ53" s="205"/>
      <c r="AR53" s="263"/>
      <c r="AS53" s="369"/>
      <c r="AT53" s="205"/>
      <c r="AU53" s="205"/>
      <c r="AV53" s="205"/>
      <c r="AW53" s="205"/>
      <c r="AX53" s="205"/>
      <c r="AY53" s="205"/>
      <c r="AZ53" s="205"/>
      <c r="BA53" s="205"/>
      <c r="BB53" s="205"/>
      <c r="BC53" s="205"/>
      <c r="BD53" s="205"/>
      <c r="BE53" s="205"/>
      <c r="BF53" s="205"/>
      <c r="BG53" s="205"/>
    </row>
    <row r="54" spans="2:59" ht="29.25" customHeight="1" x14ac:dyDescent="0.35">
      <c r="B54" s="299">
        <v>53</v>
      </c>
      <c r="C54" s="228" t="s">
        <v>524</v>
      </c>
      <c r="D54" s="229">
        <f t="shared" si="0"/>
        <v>6.1508379888268152</v>
      </c>
      <c r="E54" s="229">
        <v>9408.24</v>
      </c>
      <c r="F54" s="229">
        <v>1.241496579913475</v>
      </c>
      <c r="G54" s="205"/>
      <c r="H54" s="205"/>
      <c r="I54" s="205"/>
      <c r="J54" s="205"/>
      <c r="K54" s="205"/>
      <c r="M54" s="205"/>
      <c r="N54" s="205"/>
      <c r="O54" s="205"/>
      <c r="P54" s="205"/>
      <c r="Q54" s="205"/>
      <c r="R54" s="205"/>
      <c r="S54" s="205"/>
      <c r="T54" s="205"/>
      <c r="U54" s="205"/>
      <c r="V54" s="217"/>
      <c r="W54" s="218"/>
      <c r="X54" s="218"/>
      <c r="Y54" s="251"/>
      <c r="Z54" s="205"/>
      <c r="AA54" s="205"/>
      <c r="AB54" s="205"/>
      <c r="AC54" s="205"/>
      <c r="AD54" s="205"/>
      <c r="AE54" s="205"/>
      <c r="AG54" s="205"/>
      <c r="AH54" s="205"/>
      <c r="AI54" s="205"/>
      <c r="AJ54" s="263"/>
      <c r="AK54" s="205"/>
      <c r="AL54" s="205"/>
      <c r="AM54" s="205"/>
      <c r="AN54" s="205"/>
      <c r="AO54" s="205"/>
      <c r="AP54" s="205"/>
      <c r="AQ54" s="205"/>
      <c r="AR54" s="263"/>
      <c r="AS54" s="369"/>
      <c r="AT54" s="205"/>
      <c r="AU54" s="205"/>
      <c r="AV54" s="205"/>
      <c r="AW54" s="205"/>
      <c r="AX54" s="205"/>
      <c r="AY54" s="205"/>
      <c r="AZ54" s="205"/>
      <c r="BA54" s="205"/>
      <c r="BB54" s="205"/>
      <c r="BC54" s="205"/>
      <c r="BD54" s="205"/>
      <c r="BE54" s="205"/>
      <c r="BF54" s="205"/>
      <c r="BG54" s="205"/>
    </row>
    <row r="55" spans="2:59" ht="29.25" customHeight="1" x14ac:dyDescent="0.35">
      <c r="B55" s="299">
        <v>54</v>
      </c>
      <c r="C55" s="228" t="s">
        <v>525</v>
      </c>
      <c r="D55" s="229">
        <f t="shared" si="0"/>
        <v>3.8722157092614302</v>
      </c>
      <c r="E55" s="229">
        <v>14944.56</v>
      </c>
      <c r="F55" s="229">
        <v>1.4052922980917919</v>
      </c>
      <c r="G55" s="205"/>
      <c r="H55" s="205"/>
      <c r="I55" s="205"/>
      <c r="J55" s="205"/>
      <c r="K55" s="205"/>
      <c r="M55" s="205"/>
      <c r="N55" s="205"/>
      <c r="O55" s="205"/>
      <c r="P55" s="205"/>
      <c r="Q55" s="205"/>
      <c r="R55" s="205"/>
      <c r="S55" s="205"/>
      <c r="T55" s="205"/>
      <c r="U55" s="205"/>
      <c r="V55" s="217"/>
      <c r="W55" s="218"/>
      <c r="X55" s="218"/>
      <c r="Y55" s="251"/>
      <c r="Z55" s="205"/>
      <c r="AA55" s="205"/>
      <c r="AB55" s="205"/>
      <c r="AC55" s="205"/>
      <c r="AD55" s="205"/>
      <c r="AE55" s="205"/>
      <c r="AG55" s="205"/>
      <c r="AH55" s="205"/>
      <c r="AI55" s="205"/>
      <c r="AJ55" s="263"/>
      <c r="AK55" s="205"/>
      <c r="AL55" s="205"/>
      <c r="AM55" s="205"/>
      <c r="AN55" s="205"/>
      <c r="AO55" s="205"/>
      <c r="AP55" s="205"/>
      <c r="AQ55" s="205"/>
      <c r="AR55" s="263"/>
      <c r="AS55" s="369"/>
      <c r="AT55" s="205"/>
      <c r="AU55" s="205"/>
      <c r="AV55" s="205"/>
      <c r="AW55" s="205"/>
      <c r="AX55" s="205"/>
      <c r="AY55" s="205"/>
      <c r="AZ55" s="205"/>
      <c r="BA55" s="205"/>
      <c r="BB55" s="205"/>
      <c r="BC55" s="205"/>
      <c r="BD55" s="205"/>
      <c r="BE55" s="205"/>
      <c r="BF55" s="205"/>
      <c r="BG55" s="205"/>
    </row>
    <row r="56" spans="2:59" ht="29.25" customHeight="1" x14ac:dyDescent="0.35">
      <c r="B56" s="299">
        <v>55</v>
      </c>
      <c r="C56" s="228" t="s">
        <v>526</v>
      </c>
      <c r="D56" s="229">
        <f t="shared" si="0"/>
        <v>6.2438563327032135</v>
      </c>
      <c r="E56" s="229">
        <v>9268.08</v>
      </c>
      <c r="F56" s="229">
        <v>1.9830412027467812</v>
      </c>
      <c r="G56" s="205"/>
      <c r="H56" s="205"/>
      <c r="I56" s="205"/>
      <c r="J56" s="205"/>
      <c r="K56" s="205"/>
      <c r="M56" s="205"/>
      <c r="N56" s="205"/>
      <c r="O56" s="205"/>
      <c r="P56" s="205"/>
      <c r="Q56" s="205"/>
      <c r="R56" s="205"/>
      <c r="S56" s="205"/>
      <c r="T56" s="205"/>
      <c r="U56" s="205"/>
      <c r="V56" s="217"/>
      <c r="W56" s="218"/>
      <c r="X56" s="218"/>
      <c r="Y56" s="251"/>
      <c r="Z56" s="205"/>
      <c r="AA56" s="205"/>
      <c r="AB56" s="205"/>
      <c r="AC56" s="205"/>
      <c r="AD56" s="205"/>
      <c r="AE56" s="205"/>
      <c r="AG56" s="205"/>
      <c r="AH56" s="205"/>
      <c r="AI56" s="205"/>
      <c r="AJ56" s="263"/>
      <c r="AK56" s="205"/>
      <c r="AL56" s="205"/>
      <c r="AM56" s="205"/>
      <c r="AN56" s="205"/>
      <c r="AO56" s="205"/>
      <c r="AP56" s="205"/>
      <c r="AQ56" s="205"/>
      <c r="AR56" s="263"/>
      <c r="AS56" s="369"/>
      <c r="AT56" s="205"/>
      <c r="AU56" s="205"/>
      <c r="AV56" s="205"/>
      <c r="AW56" s="205"/>
      <c r="AX56" s="205"/>
      <c r="AY56" s="205"/>
      <c r="AZ56" s="205"/>
      <c r="BA56" s="205"/>
      <c r="BB56" s="205"/>
      <c r="BC56" s="205"/>
      <c r="BD56" s="205"/>
      <c r="BE56" s="205"/>
      <c r="BF56" s="205"/>
      <c r="BG56" s="205"/>
    </row>
    <row r="57" spans="2:59" ht="29.25" customHeight="1" x14ac:dyDescent="0.35">
      <c r="B57" s="299">
        <v>56</v>
      </c>
      <c r="C57" s="228" t="s">
        <v>527</v>
      </c>
      <c r="D57" s="229">
        <f t="shared" si="0"/>
        <v>5.4103194103194108</v>
      </c>
      <c r="E57" s="229">
        <v>10695.96</v>
      </c>
      <c r="F57" s="229">
        <v>0.77506605592743649</v>
      </c>
      <c r="G57" s="205"/>
      <c r="H57" s="205"/>
      <c r="I57" s="205"/>
      <c r="J57" s="205"/>
      <c r="K57" s="205"/>
      <c r="M57" s="205"/>
      <c r="N57" s="205"/>
      <c r="O57" s="205"/>
      <c r="P57" s="205"/>
      <c r="Q57" s="205"/>
      <c r="R57" s="205"/>
      <c r="S57" s="205"/>
      <c r="T57" s="205"/>
      <c r="U57" s="205"/>
      <c r="V57" s="217"/>
      <c r="W57" s="218"/>
      <c r="X57" s="218"/>
      <c r="Y57" s="251"/>
      <c r="Z57" s="205"/>
      <c r="AA57" s="205"/>
      <c r="AB57" s="205"/>
      <c r="AC57" s="205"/>
      <c r="AD57" s="205"/>
      <c r="AE57" s="205"/>
      <c r="AG57" s="205"/>
      <c r="AH57" s="205"/>
      <c r="AI57" s="205"/>
      <c r="AJ57" s="263"/>
      <c r="AK57" s="205"/>
      <c r="AL57" s="205"/>
      <c r="AM57" s="205"/>
      <c r="AN57" s="205"/>
      <c r="AO57" s="205"/>
      <c r="AP57" s="205"/>
      <c r="AQ57" s="205"/>
      <c r="AR57" s="263"/>
      <c r="AS57" s="369"/>
      <c r="AT57" s="205"/>
      <c r="AU57" s="205"/>
      <c r="AV57" s="205"/>
      <c r="AW57" s="205"/>
      <c r="AX57" s="205"/>
      <c r="AY57" s="205"/>
      <c r="AZ57" s="205"/>
      <c r="BA57" s="205"/>
      <c r="BB57" s="205"/>
      <c r="BC57" s="205"/>
      <c r="BD57" s="205"/>
      <c r="BE57" s="205"/>
      <c r="BF57" s="205"/>
      <c r="BG57" s="205"/>
    </row>
    <row r="58" spans="2:59" ht="29.25" customHeight="1" x14ac:dyDescent="0.35">
      <c r="B58" s="299">
        <v>57</v>
      </c>
      <c r="C58" s="228" t="s">
        <v>528</v>
      </c>
      <c r="D58" s="229">
        <f t="shared" si="0"/>
        <v>8.2062111801242228</v>
      </c>
      <c r="E58" s="229">
        <v>7051.8</v>
      </c>
      <c r="F58" s="229">
        <v>1.4332632305407724</v>
      </c>
      <c r="G58" s="205"/>
      <c r="H58" s="205"/>
      <c r="I58" s="205"/>
      <c r="J58" s="205"/>
      <c r="K58" s="205"/>
      <c r="M58" s="205"/>
      <c r="N58" s="205"/>
      <c r="O58" s="205"/>
      <c r="P58" s="205"/>
      <c r="Q58" s="205"/>
      <c r="R58" s="205"/>
      <c r="S58" s="205"/>
      <c r="T58" s="205"/>
      <c r="U58" s="205"/>
      <c r="V58" s="217"/>
      <c r="W58" s="218"/>
      <c r="X58" s="218"/>
      <c r="Y58" s="251"/>
      <c r="Z58" s="205"/>
      <c r="AA58" s="205"/>
      <c r="AB58" s="205"/>
      <c r="AC58" s="205"/>
      <c r="AD58" s="205"/>
      <c r="AE58" s="205"/>
      <c r="AG58" s="205"/>
      <c r="AH58" s="205"/>
      <c r="AI58" s="205"/>
      <c r="AJ58" s="263"/>
      <c r="AK58" s="205"/>
      <c r="AL58" s="205"/>
      <c r="AM58" s="205"/>
      <c r="AN58" s="205"/>
      <c r="AO58" s="205"/>
      <c r="AP58" s="205"/>
      <c r="AQ58" s="205"/>
      <c r="AR58" s="263"/>
      <c r="AS58" s="369"/>
      <c r="AT58" s="205"/>
      <c r="AU58" s="205"/>
      <c r="AV58" s="205"/>
      <c r="AW58" s="205"/>
      <c r="AX58" s="205"/>
      <c r="AY58" s="205"/>
      <c r="AZ58" s="205"/>
      <c r="BA58" s="205"/>
      <c r="BB58" s="205"/>
      <c r="BC58" s="205"/>
      <c r="BD58" s="205"/>
      <c r="BE58" s="205"/>
      <c r="BF58" s="205"/>
      <c r="BG58" s="205"/>
    </row>
    <row r="59" spans="2:59" ht="29.25" customHeight="1" x14ac:dyDescent="0.35">
      <c r="B59" s="299">
        <v>58</v>
      </c>
      <c r="C59" s="228" t="s">
        <v>529</v>
      </c>
      <c r="D59" s="229">
        <f t="shared" si="0"/>
        <v>4.9483146067415724</v>
      </c>
      <c r="E59" s="229">
        <v>11694.6</v>
      </c>
      <c r="F59" s="229">
        <v>1.3289911751751255</v>
      </c>
      <c r="G59" s="205"/>
      <c r="H59" s="205"/>
      <c r="I59" s="205"/>
      <c r="J59" s="205"/>
      <c r="K59" s="205"/>
      <c r="M59" s="205"/>
      <c r="N59" s="205"/>
      <c r="O59" s="205"/>
      <c r="P59" s="205"/>
      <c r="Q59" s="205"/>
      <c r="R59" s="205"/>
      <c r="S59" s="205"/>
      <c r="T59" s="205"/>
      <c r="U59" s="205"/>
      <c r="V59" s="217"/>
      <c r="W59" s="218"/>
      <c r="X59" s="218"/>
      <c r="Y59" s="251"/>
      <c r="Z59" s="205"/>
      <c r="AA59" s="205"/>
      <c r="AB59" s="205"/>
      <c r="AC59" s="205"/>
      <c r="AD59" s="205"/>
      <c r="AE59" s="205"/>
      <c r="AG59" s="205"/>
      <c r="AH59" s="205"/>
      <c r="AI59" s="205"/>
      <c r="AJ59" s="263"/>
      <c r="AK59" s="205"/>
      <c r="AL59" s="205"/>
      <c r="AM59" s="205"/>
      <c r="AN59" s="205"/>
      <c r="AO59" s="205"/>
      <c r="AP59" s="205"/>
      <c r="AQ59" s="205"/>
      <c r="AR59" s="263"/>
      <c r="AS59" s="369"/>
      <c r="AT59" s="205"/>
      <c r="AU59" s="205"/>
      <c r="AV59" s="205"/>
      <c r="AW59" s="205"/>
      <c r="AX59" s="205"/>
      <c r="AY59" s="205"/>
      <c r="AZ59" s="205"/>
      <c r="BA59" s="205"/>
      <c r="BB59" s="205"/>
      <c r="BC59" s="205"/>
      <c r="BD59" s="205"/>
      <c r="BE59" s="205"/>
      <c r="BF59" s="205"/>
      <c r="BG59" s="205"/>
    </row>
    <row r="60" spans="2:59" ht="29.25" customHeight="1" x14ac:dyDescent="0.35">
      <c r="B60" s="299">
        <v>59</v>
      </c>
      <c r="C60" s="228" t="s">
        <v>530</v>
      </c>
      <c r="D60" s="229"/>
      <c r="E60" s="229">
        <v>0</v>
      </c>
      <c r="F60" s="229">
        <v>0.41132376461097997</v>
      </c>
      <c r="G60" s="205"/>
      <c r="H60" s="205"/>
      <c r="I60" s="205"/>
      <c r="J60" s="205"/>
      <c r="K60" s="205"/>
      <c r="M60" s="205"/>
      <c r="N60" s="205"/>
      <c r="O60" s="205"/>
      <c r="P60" s="205"/>
      <c r="Q60" s="205"/>
      <c r="R60" s="205"/>
      <c r="S60" s="205"/>
      <c r="T60" s="205"/>
      <c r="U60" s="205"/>
      <c r="V60" s="217"/>
      <c r="W60" s="218"/>
      <c r="X60" s="218"/>
      <c r="Y60" s="251"/>
      <c r="Z60" s="205"/>
      <c r="AA60" s="205"/>
      <c r="AB60" s="205"/>
      <c r="AC60" s="205"/>
      <c r="AD60" s="205"/>
      <c r="AE60" s="205"/>
      <c r="AG60" s="205"/>
      <c r="AH60" s="205"/>
      <c r="AI60" s="205"/>
      <c r="AJ60" s="263"/>
      <c r="AK60" s="205"/>
      <c r="AL60" s="205"/>
      <c r="AM60" s="205"/>
      <c r="AN60" s="205"/>
      <c r="AO60" s="205"/>
      <c r="AP60" s="205"/>
      <c r="AQ60" s="205"/>
      <c r="AR60" s="263"/>
      <c r="AS60" s="369"/>
      <c r="AT60" s="205"/>
      <c r="AU60" s="205"/>
      <c r="AV60" s="205"/>
      <c r="AW60" s="205"/>
      <c r="AX60" s="205"/>
      <c r="AY60" s="205"/>
      <c r="AZ60" s="205"/>
      <c r="BA60" s="205"/>
      <c r="BB60" s="205"/>
      <c r="BC60" s="205"/>
      <c r="BD60" s="205"/>
      <c r="BE60" s="205"/>
      <c r="BF60" s="205"/>
      <c r="BG60" s="205"/>
    </row>
    <row r="61" spans="2:59" ht="29.25" customHeight="1" x14ac:dyDescent="0.35">
      <c r="B61" s="299">
        <v>60</v>
      </c>
      <c r="C61" s="228" t="s">
        <v>531</v>
      </c>
      <c r="D61" s="229">
        <f t="shared" si="0"/>
        <v>1.7411702688455455</v>
      </c>
      <c r="E61" s="229">
        <v>33235.440000000002</v>
      </c>
      <c r="F61" s="229">
        <v>4.2547632252700174</v>
      </c>
      <c r="G61" s="205"/>
      <c r="H61" s="205"/>
      <c r="I61" s="205"/>
      <c r="J61" s="205"/>
      <c r="K61" s="205"/>
      <c r="M61" s="205"/>
      <c r="N61" s="205"/>
      <c r="O61" s="205"/>
      <c r="P61" s="205"/>
      <c r="Q61" s="205"/>
      <c r="R61" s="205"/>
      <c r="S61" s="205"/>
      <c r="T61" s="205"/>
      <c r="U61" s="205"/>
      <c r="V61" s="217"/>
      <c r="W61" s="218"/>
      <c r="X61" s="218"/>
      <c r="Y61" s="251"/>
      <c r="Z61" s="205"/>
      <c r="AA61" s="205"/>
      <c r="AB61" s="205"/>
      <c r="AC61" s="205"/>
      <c r="AD61" s="205"/>
      <c r="AE61" s="205"/>
      <c r="AG61" s="205"/>
      <c r="AH61" s="205"/>
      <c r="AI61" s="205"/>
      <c r="AJ61" s="263"/>
      <c r="AK61" s="205"/>
      <c r="AL61" s="205"/>
      <c r="AM61" s="205"/>
      <c r="AN61" s="205"/>
      <c r="AO61" s="205"/>
      <c r="AP61" s="205"/>
      <c r="AQ61" s="205"/>
      <c r="AR61" s="263"/>
      <c r="AS61" s="369"/>
      <c r="AT61" s="205"/>
      <c r="AU61" s="205"/>
      <c r="AV61" s="205"/>
      <c r="AW61" s="205"/>
      <c r="AX61" s="205"/>
      <c r="AY61" s="205"/>
      <c r="AZ61" s="205"/>
      <c r="BA61" s="205"/>
      <c r="BB61" s="205"/>
      <c r="BC61" s="205"/>
      <c r="BD61" s="205"/>
      <c r="BE61" s="205"/>
      <c r="BF61" s="205"/>
      <c r="BG61" s="205"/>
    </row>
    <row r="62" spans="2:59" ht="29.25" customHeight="1" x14ac:dyDescent="0.35">
      <c r="B62" s="299">
        <v>61</v>
      </c>
      <c r="C62" s="228" t="s">
        <v>532</v>
      </c>
      <c r="D62" s="229">
        <f t="shared" si="0"/>
        <v>27.410788381742741</v>
      </c>
      <c r="E62" s="229">
        <v>2111.16</v>
      </c>
      <c r="F62" s="229">
        <v>0.34457717454765524</v>
      </c>
      <c r="G62" s="205"/>
      <c r="H62" s="205"/>
      <c r="I62" s="205"/>
      <c r="J62" s="205"/>
      <c r="K62" s="205"/>
      <c r="M62" s="205"/>
      <c r="N62" s="205"/>
      <c r="O62" s="205"/>
      <c r="P62" s="205"/>
      <c r="Q62" s="205"/>
      <c r="R62" s="205"/>
      <c r="S62" s="205"/>
      <c r="T62" s="205"/>
      <c r="U62" s="205"/>
      <c r="V62" s="217"/>
      <c r="W62" s="218"/>
      <c r="X62" s="218"/>
      <c r="Y62" s="251"/>
      <c r="Z62" s="205"/>
      <c r="AA62" s="205"/>
      <c r="AB62" s="205"/>
      <c r="AC62" s="205"/>
      <c r="AD62" s="205"/>
      <c r="AE62" s="205"/>
      <c r="AG62" s="205"/>
      <c r="AH62" s="205"/>
      <c r="AI62" s="205"/>
      <c r="AJ62" s="263"/>
      <c r="AK62" s="205"/>
      <c r="AL62" s="205"/>
      <c r="AM62" s="205"/>
      <c r="AN62" s="205"/>
      <c r="AO62" s="205"/>
      <c r="AP62" s="205"/>
      <c r="AQ62" s="205"/>
      <c r="AR62" s="263"/>
      <c r="AS62" s="369"/>
      <c r="AT62" s="205"/>
      <c r="AU62" s="205"/>
      <c r="AV62" s="205"/>
      <c r="AW62" s="205"/>
      <c r="AX62" s="205"/>
      <c r="AY62" s="205"/>
      <c r="AZ62" s="205"/>
      <c r="BA62" s="205"/>
      <c r="BB62" s="205"/>
      <c r="BC62" s="205"/>
      <c r="BD62" s="205"/>
      <c r="BE62" s="205"/>
      <c r="BF62" s="205"/>
      <c r="BG62" s="205"/>
    </row>
    <row r="63" spans="2:59" ht="29.25" customHeight="1" x14ac:dyDescent="0.35">
      <c r="B63" s="299">
        <v>62</v>
      </c>
      <c r="C63" s="228" t="s">
        <v>533</v>
      </c>
      <c r="D63" s="229">
        <f t="shared" si="0"/>
        <v>6.0549954170485796</v>
      </c>
      <c r="E63" s="229">
        <v>9557.16</v>
      </c>
      <c r="F63" s="229">
        <v>1.0180336013882223</v>
      </c>
      <c r="G63" s="205"/>
      <c r="H63" s="205"/>
      <c r="I63" s="205"/>
      <c r="J63" s="205"/>
      <c r="K63" s="205"/>
      <c r="M63" s="205"/>
      <c r="N63" s="205"/>
      <c r="O63" s="205"/>
      <c r="P63" s="205"/>
      <c r="Q63" s="205"/>
      <c r="R63" s="205"/>
      <c r="S63" s="205"/>
      <c r="T63" s="205"/>
      <c r="U63" s="205"/>
      <c r="V63" s="217"/>
      <c r="W63" s="218"/>
      <c r="X63" s="218"/>
      <c r="Y63" s="251"/>
      <c r="Z63" s="205"/>
      <c r="AA63" s="205"/>
      <c r="AB63" s="205"/>
      <c r="AC63" s="205"/>
      <c r="AD63" s="205"/>
      <c r="AE63" s="205"/>
      <c r="AG63" s="205"/>
      <c r="AH63" s="205"/>
      <c r="AI63" s="205"/>
      <c r="AJ63" s="263"/>
      <c r="AK63" s="205"/>
      <c r="AL63" s="205"/>
      <c r="AM63" s="205"/>
      <c r="AN63" s="205"/>
      <c r="AO63" s="205"/>
      <c r="AP63" s="205"/>
      <c r="AQ63" s="205"/>
      <c r="AR63" s="263"/>
      <c r="AS63" s="369"/>
      <c r="AT63" s="205"/>
      <c r="AU63" s="205"/>
      <c r="AV63" s="205"/>
      <c r="AW63" s="205"/>
      <c r="AX63" s="205"/>
      <c r="AY63" s="205"/>
      <c r="AZ63" s="205"/>
      <c r="BA63" s="205"/>
      <c r="BB63" s="205"/>
      <c r="BC63" s="205"/>
      <c r="BD63" s="205"/>
      <c r="BE63" s="205"/>
      <c r="BF63" s="205"/>
      <c r="BG63" s="205"/>
    </row>
    <row r="64" spans="2:59" ht="29.25" customHeight="1" x14ac:dyDescent="0.35">
      <c r="B64" s="299">
        <v>63</v>
      </c>
      <c r="C64" s="228" t="s">
        <v>534</v>
      </c>
      <c r="D64" s="229">
        <f t="shared" si="0"/>
        <v>1.2789932236205226</v>
      </c>
      <c r="E64" s="229">
        <v>45245.4</v>
      </c>
      <c r="F64" s="229">
        <v>9.1572637588005268</v>
      </c>
      <c r="G64" s="205"/>
      <c r="H64" s="205"/>
      <c r="I64" s="205"/>
      <c r="J64" s="205"/>
      <c r="K64" s="205"/>
      <c r="M64" s="205"/>
      <c r="N64" s="205"/>
      <c r="O64" s="205"/>
      <c r="P64" s="205"/>
      <c r="Q64" s="205"/>
      <c r="R64" s="205"/>
      <c r="S64" s="205"/>
      <c r="T64" s="205"/>
      <c r="U64" s="205"/>
      <c r="V64" s="217"/>
      <c r="W64" s="218"/>
      <c r="X64" s="218"/>
      <c r="Y64" s="251"/>
      <c r="Z64" s="205"/>
      <c r="AA64" s="205"/>
      <c r="AB64" s="205"/>
      <c r="AC64" s="205"/>
      <c r="AD64" s="205"/>
      <c r="AE64" s="205"/>
      <c r="AG64" s="205"/>
      <c r="AH64" s="205"/>
      <c r="AI64" s="205"/>
      <c r="AJ64" s="263"/>
      <c r="AK64" s="205"/>
      <c r="AL64" s="205"/>
      <c r="AM64" s="205"/>
      <c r="AN64" s="205"/>
      <c r="AO64" s="205"/>
      <c r="AP64" s="205"/>
      <c r="AQ64" s="205"/>
      <c r="AR64" s="263"/>
      <c r="AS64" s="369"/>
      <c r="AT64" s="205"/>
      <c r="AU64" s="205"/>
      <c r="AV64" s="205"/>
      <c r="AW64" s="205"/>
      <c r="AX64" s="205"/>
      <c r="AY64" s="205"/>
      <c r="AZ64" s="205"/>
      <c r="BA64" s="205"/>
      <c r="BB64" s="205"/>
      <c r="BC64" s="205"/>
      <c r="BD64" s="205"/>
      <c r="BE64" s="205"/>
      <c r="BF64" s="205"/>
      <c r="BG64" s="205"/>
    </row>
    <row r="65" spans="2:59" ht="29.25" customHeight="1" x14ac:dyDescent="0.35">
      <c r="B65" s="299">
        <v>64</v>
      </c>
      <c r="C65" s="228" t="s">
        <v>535</v>
      </c>
      <c r="D65" s="229">
        <f t="shared" si="0"/>
        <v>1.3107142857142857</v>
      </c>
      <c r="E65" s="229">
        <v>44150.400000000001</v>
      </c>
      <c r="F65" s="229">
        <v>7.8433181652360515</v>
      </c>
      <c r="G65" s="205"/>
      <c r="H65" s="205"/>
      <c r="I65" s="205"/>
      <c r="J65" s="205"/>
      <c r="K65" s="205"/>
      <c r="M65" s="205"/>
      <c r="N65" s="205"/>
      <c r="O65" s="205"/>
      <c r="P65" s="205"/>
      <c r="Q65" s="205"/>
      <c r="R65" s="205"/>
      <c r="S65" s="205"/>
      <c r="T65" s="205"/>
      <c r="U65" s="205"/>
      <c r="V65" s="217"/>
      <c r="W65" s="218"/>
      <c r="X65" s="218"/>
      <c r="Y65" s="251"/>
      <c r="Z65" s="205"/>
      <c r="AA65" s="205"/>
      <c r="AB65" s="205"/>
      <c r="AC65" s="205"/>
      <c r="AD65" s="205"/>
      <c r="AE65" s="205"/>
      <c r="AG65" s="205"/>
      <c r="AH65" s="205"/>
      <c r="AI65" s="205"/>
      <c r="AJ65" s="263"/>
      <c r="AK65" s="205"/>
      <c r="AL65" s="205"/>
      <c r="AM65" s="205"/>
      <c r="AN65" s="205"/>
      <c r="AO65" s="205"/>
      <c r="AP65" s="205"/>
      <c r="AQ65" s="205"/>
      <c r="AR65" s="263"/>
      <c r="AS65" s="369"/>
      <c r="AT65" s="205"/>
      <c r="AU65" s="205"/>
      <c r="AV65" s="205"/>
      <c r="AW65" s="205"/>
      <c r="AX65" s="205"/>
      <c r="AY65" s="205"/>
      <c r="AZ65" s="205"/>
      <c r="BA65" s="205"/>
      <c r="BB65" s="205"/>
      <c r="BC65" s="205"/>
      <c r="BD65" s="205"/>
      <c r="BE65" s="205"/>
      <c r="BF65" s="205"/>
      <c r="BG65" s="205"/>
    </row>
    <row r="66" spans="2:59" ht="29.25" customHeight="1" x14ac:dyDescent="0.35">
      <c r="B66" s="299">
        <v>65</v>
      </c>
      <c r="C66" s="228" t="s">
        <v>536</v>
      </c>
      <c r="D66" s="229">
        <f t="shared" si="0"/>
        <v>4.6751592356687901</v>
      </c>
      <c r="E66" s="229">
        <v>12377.88</v>
      </c>
      <c r="F66" s="229">
        <v>1.2874328430029893</v>
      </c>
      <c r="G66" s="205"/>
      <c r="H66" s="205"/>
      <c r="I66" s="205"/>
      <c r="J66" s="205"/>
      <c r="K66" s="205"/>
      <c r="M66" s="205"/>
      <c r="N66" s="205"/>
      <c r="O66" s="205"/>
      <c r="P66" s="205"/>
      <c r="Q66" s="205"/>
      <c r="R66" s="205"/>
      <c r="S66" s="205"/>
      <c r="T66" s="205"/>
      <c r="U66" s="205"/>
      <c r="V66" s="217"/>
      <c r="W66" s="218"/>
      <c r="X66" s="218"/>
      <c r="Y66" s="251"/>
      <c r="Z66" s="205"/>
      <c r="AA66" s="205"/>
      <c r="AB66" s="205"/>
      <c r="AC66" s="205"/>
      <c r="AD66" s="205"/>
      <c r="AE66" s="205"/>
      <c r="AG66" s="205"/>
      <c r="AH66" s="205"/>
      <c r="AI66" s="205"/>
      <c r="AJ66" s="263"/>
      <c r="AK66" s="205"/>
      <c r="AL66" s="205"/>
      <c r="AM66" s="205"/>
      <c r="AN66" s="205"/>
      <c r="AO66" s="205"/>
      <c r="AP66" s="205"/>
      <c r="AQ66" s="205"/>
      <c r="AR66" s="263"/>
      <c r="AS66" s="369"/>
      <c r="AT66" s="205"/>
      <c r="AU66" s="205"/>
      <c r="AV66" s="205"/>
      <c r="AW66" s="205"/>
      <c r="AX66" s="205"/>
      <c r="AY66" s="205"/>
      <c r="AZ66" s="205"/>
      <c r="BA66" s="205"/>
      <c r="BB66" s="205"/>
      <c r="BC66" s="205"/>
      <c r="BD66" s="205"/>
      <c r="BE66" s="205"/>
      <c r="BF66" s="205"/>
      <c r="BG66" s="205"/>
    </row>
    <row r="67" spans="2:59" ht="29.25" customHeight="1" x14ac:dyDescent="0.35">
      <c r="B67" s="299">
        <v>66</v>
      </c>
      <c r="C67" s="228" t="s">
        <v>537</v>
      </c>
      <c r="D67" s="229">
        <f t="shared" si="0"/>
        <v>29.491071428571427</v>
      </c>
      <c r="E67" s="229">
        <v>1962.24</v>
      </c>
      <c r="F67" s="229">
        <v>1.0728017622571719</v>
      </c>
      <c r="G67" s="205"/>
      <c r="H67" s="205"/>
      <c r="I67" s="205"/>
      <c r="J67" s="205"/>
      <c r="K67" s="205"/>
      <c r="M67" s="205"/>
      <c r="N67" s="205"/>
      <c r="O67" s="205"/>
      <c r="P67" s="205"/>
      <c r="Q67" s="205"/>
      <c r="R67" s="205"/>
      <c r="S67" s="205"/>
      <c r="T67" s="205"/>
      <c r="U67" s="205"/>
      <c r="V67" s="217"/>
      <c r="W67" s="218"/>
      <c r="X67" s="218"/>
      <c r="Y67" s="251"/>
      <c r="Z67" s="205"/>
      <c r="AA67" s="205"/>
      <c r="AB67" s="205"/>
      <c r="AC67" s="205"/>
      <c r="AD67" s="205"/>
      <c r="AE67" s="205"/>
      <c r="AG67" s="205"/>
      <c r="AH67" s="205"/>
      <c r="AI67" s="205"/>
      <c r="AJ67" s="263"/>
      <c r="AK67" s="205"/>
      <c r="AL67" s="205"/>
      <c r="AM67" s="205"/>
      <c r="AN67" s="205"/>
      <c r="AO67" s="205"/>
      <c r="AP67" s="205"/>
      <c r="AQ67" s="205"/>
      <c r="AR67" s="263"/>
      <c r="AS67" s="369"/>
      <c r="AT67" s="205"/>
      <c r="AU67" s="205"/>
      <c r="AV67" s="205"/>
      <c r="AW67" s="205"/>
      <c r="AX67" s="205"/>
      <c r="AY67" s="205"/>
      <c r="AZ67" s="205"/>
      <c r="BA67" s="205"/>
      <c r="BB67" s="205"/>
      <c r="BC67" s="205"/>
      <c r="BD67" s="205"/>
      <c r="BE67" s="205"/>
      <c r="BF67" s="205"/>
      <c r="BG67" s="205"/>
    </row>
    <row r="68" spans="2:59" ht="29.25" customHeight="1" x14ac:dyDescent="0.35">
      <c r="B68" s="299">
        <v>67</v>
      </c>
      <c r="C68" s="228" t="s">
        <v>538</v>
      </c>
      <c r="D68" s="229">
        <f t="shared" si="0"/>
        <v>4.6652542372881358</v>
      </c>
      <c r="E68" s="229">
        <v>12404.16</v>
      </c>
      <c r="F68" s="229">
        <v>0.75334516429277254</v>
      </c>
      <c r="G68" s="205"/>
      <c r="H68" s="205"/>
      <c r="I68" s="205"/>
      <c r="J68" s="205"/>
      <c r="K68" s="205"/>
      <c r="M68" s="205"/>
      <c r="N68" s="205"/>
      <c r="O68" s="205"/>
      <c r="P68" s="205"/>
      <c r="Q68" s="205"/>
      <c r="R68" s="205"/>
      <c r="S68" s="205"/>
      <c r="T68" s="205"/>
      <c r="U68" s="205"/>
      <c r="V68" s="217"/>
      <c r="W68" s="218"/>
      <c r="X68" s="218"/>
      <c r="Y68" s="251"/>
      <c r="Z68" s="205"/>
      <c r="AA68" s="205"/>
      <c r="AB68" s="205"/>
      <c r="AC68" s="205"/>
      <c r="AD68" s="205"/>
      <c r="AE68" s="205"/>
      <c r="AG68" s="205"/>
      <c r="AH68" s="205"/>
      <c r="AI68" s="205"/>
      <c r="AJ68" s="263"/>
      <c r="AK68" s="205"/>
      <c r="AL68" s="205"/>
      <c r="AM68" s="205"/>
      <c r="AN68" s="205"/>
      <c r="AO68" s="205"/>
      <c r="AP68" s="205"/>
      <c r="AQ68" s="205"/>
      <c r="AR68" s="263"/>
      <c r="AS68" s="369"/>
      <c r="AT68" s="205"/>
      <c r="AU68" s="205"/>
      <c r="AV68" s="205"/>
      <c r="AW68" s="205"/>
      <c r="AX68" s="205"/>
      <c r="AY68" s="205"/>
      <c r="AZ68" s="205"/>
      <c r="BA68" s="205"/>
      <c r="BB68" s="205"/>
      <c r="BC68" s="205"/>
      <c r="BD68" s="205"/>
      <c r="BE68" s="205"/>
      <c r="BF68" s="205"/>
      <c r="BG68" s="205"/>
    </row>
    <row r="69" spans="2:59" ht="29.25" customHeight="1" x14ac:dyDescent="0.35">
      <c r="B69" s="299">
        <v>68</v>
      </c>
      <c r="C69" s="228" t="s">
        <v>539</v>
      </c>
      <c r="D69" s="229">
        <f t="shared" si="0"/>
        <v>1.1963056863455268</v>
      </c>
      <c r="E69" s="229">
        <v>48372.72</v>
      </c>
      <c r="F69" s="229">
        <v>8.6851182875742108</v>
      </c>
      <c r="G69" s="205"/>
      <c r="H69" s="205"/>
      <c r="I69" s="205"/>
      <c r="J69" s="205"/>
      <c r="K69" s="205"/>
      <c r="M69" s="205"/>
      <c r="N69" s="205"/>
      <c r="O69" s="205"/>
      <c r="P69" s="205"/>
      <c r="Q69" s="205"/>
      <c r="R69" s="205"/>
      <c r="S69" s="205"/>
      <c r="T69" s="205"/>
      <c r="U69" s="205"/>
      <c r="V69" s="217"/>
      <c r="W69" s="218"/>
      <c r="X69" s="218"/>
      <c r="Y69" s="251"/>
      <c r="Z69" s="205"/>
      <c r="AA69" s="205"/>
      <c r="AB69" s="205"/>
      <c r="AC69" s="205"/>
      <c r="AD69" s="205"/>
      <c r="AE69" s="205"/>
      <c r="AN69" s="205"/>
      <c r="AO69" s="205"/>
      <c r="AP69" s="205"/>
    </row>
    <row r="70" spans="2:59" ht="29.25" customHeight="1" x14ac:dyDescent="0.35">
      <c r="B70" s="299">
        <v>69</v>
      </c>
      <c r="C70" s="228" t="s">
        <v>540</v>
      </c>
      <c r="D70" s="229">
        <f t="shared" ref="D70:D133" si="1">$E$186/E70</f>
        <v>12.076782449725776</v>
      </c>
      <c r="E70" s="229">
        <v>4791.72</v>
      </c>
      <c r="F70" s="229">
        <v>0.42397660364418754</v>
      </c>
      <c r="G70" s="205"/>
      <c r="H70" s="205"/>
      <c r="I70" s="205"/>
      <c r="J70" s="205"/>
      <c r="K70" s="205"/>
      <c r="M70" s="205"/>
      <c r="N70" s="205"/>
      <c r="O70" s="205"/>
      <c r="P70" s="205"/>
      <c r="Q70" s="205"/>
      <c r="R70" s="205"/>
      <c r="S70" s="205"/>
      <c r="T70" s="205"/>
      <c r="U70" s="205"/>
      <c r="V70" s="217"/>
      <c r="W70" s="218"/>
      <c r="X70" s="218"/>
      <c r="Y70" s="251"/>
      <c r="Z70" s="205"/>
      <c r="AA70" s="205"/>
      <c r="AB70" s="205"/>
      <c r="AC70" s="205"/>
      <c r="AD70" s="205"/>
      <c r="AE70" s="205"/>
      <c r="AN70" s="205"/>
      <c r="AO70" s="205"/>
      <c r="AP70" s="205"/>
    </row>
    <row r="71" spans="2:59" ht="29.25" customHeight="1" x14ac:dyDescent="0.35">
      <c r="B71" s="299">
        <v>70</v>
      </c>
      <c r="C71" s="228" t="s">
        <v>541</v>
      </c>
      <c r="D71" s="229">
        <f t="shared" si="1"/>
        <v>2.1574134552580011</v>
      </c>
      <c r="E71" s="229">
        <v>26823.119999999999</v>
      </c>
      <c r="F71" s="229">
        <v>4.276609442060086</v>
      </c>
      <c r="G71" s="205"/>
      <c r="H71" s="205"/>
      <c r="I71" s="205"/>
      <c r="J71" s="205"/>
      <c r="K71" s="205"/>
      <c r="M71" s="205"/>
      <c r="N71" s="205"/>
      <c r="O71" s="205"/>
      <c r="P71" s="205"/>
      <c r="Q71" s="205"/>
      <c r="R71" s="205"/>
      <c r="S71" s="205"/>
      <c r="T71" s="205"/>
      <c r="U71" s="205"/>
      <c r="V71" s="217"/>
      <c r="W71" s="218"/>
      <c r="X71" s="218"/>
      <c r="Y71" s="251"/>
      <c r="Z71" s="205"/>
      <c r="AA71" s="205"/>
      <c r="AB71" s="205"/>
      <c r="AC71" s="205"/>
      <c r="AD71" s="205"/>
      <c r="AE71" s="205"/>
      <c r="AN71" s="205"/>
      <c r="AO71" s="205"/>
      <c r="AP71" s="205"/>
    </row>
    <row r="72" spans="2:59" ht="29.25" customHeight="1" x14ac:dyDescent="0.35">
      <c r="B72" s="299">
        <v>71</v>
      </c>
      <c r="C72" s="228" t="s">
        <v>542</v>
      </c>
      <c r="D72" s="229">
        <f t="shared" si="1"/>
        <v>4.5970772442588723</v>
      </c>
      <c r="E72" s="229">
        <v>12588.12</v>
      </c>
      <c r="F72" s="229">
        <v>1.6174846008403985</v>
      </c>
      <c r="G72" s="205"/>
      <c r="H72" s="205"/>
      <c r="I72" s="205"/>
      <c r="J72" s="205"/>
      <c r="K72" s="205"/>
      <c r="M72" s="205"/>
      <c r="N72" s="205"/>
      <c r="O72" s="205"/>
      <c r="P72" s="205"/>
      <c r="Q72" s="205"/>
      <c r="R72" s="205"/>
      <c r="S72" s="205"/>
      <c r="T72" s="205"/>
      <c r="U72" s="205"/>
      <c r="V72" s="217"/>
      <c r="W72" s="218"/>
      <c r="X72" s="218"/>
      <c r="Y72" s="251"/>
      <c r="Z72" s="205"/>
      <c r="AA72" s="205"/>
      <c r="AB72" s="205"/>
      <c r="AC72" s="205"/>
      <c r="AD72" s="205"/>
      <c r="AE72" s="205"/>
      <c r="AN72" s="205"/>
      <c r="AO72" s="205"/>
      <c r="AP72" s="205"/>
    </row>
    <row r="73" spans="2:59" ht="29.25" customHeight="1" x14ac:dyDescent="0.35">
      <c r="B73" s="299">
        <v>72</v>
      </c>
      <c r="C73" s="228" t="s">
        <v>543</v>
      </c>
      <c r="D73" s="229">
        <f t="shared" si="1"/>
        <v>7.6018411967779054</v>
      </c>
      <c r="E73" s="229">
        <v>7612.44</v>
      </c>
      <c r="F73" s="229">
        <v>2.3479068985774614</v>
      </c>
      <c r="G73" s="205"/>
      <c r="H73" s="205"/>
      <c r="I73" s="205"/>
      <c r="J73" s="205"/>
      <c r="K73" s="205"/>
      <c r="M73" s="205"/>
      <c r="N73" s="205"/>
      <c r="O73" s="205"/>
      <c r="P73" s="205"/>
      <c r="Q73" s="205"/>
      <c r="R73" s="205"/>
      <c r="S73" s="205"/>
      <c r="T73" s="205"/>
      <c r="U73" s="205"/>
      <c r="V73" s="217"/>
      <c r="W73" s="218"/>
      <c r="X73" s="218"/>
      <c r="Y73" s="251"/>
      <c r="Z73" s="205"/>
      <c r="AA73" s="205"/>
      <c r="AB73" s="205"/>
      <c r="AC73" s="205"/>
      <c r="AD73" s="205"/>
      <c r="AE73" s="205"/>
      <c r="AN73" s="205"/>
      <c r="AO73" s="205"/>
      <c r="AP73" s="205"/>
    </row>
    <row r="74" spans="2:59" ht="29.25" customHeight="1" x14ac:dyDescent="0.35">
      <c r="B74" s="299">
        <v>73</v>
      </c>
      <c r="C74" s="228" t="s">
        <v>544</v>
      </c>
      <c r="D74" s="229"/>
      <c r="E74" s="229">
        <v>0</v>
      </c>
      <c r="F74" s="229">
        <v>8.7657950769230784</v>
      </c>
      <c r="G74" s="205"/>
      <c r="H74" s="205"/>
      <c r="I74" s="205"/>
      <c r="J74" s="205"/>
      <c r="K74" s="205"/>
      <c r="M74" s="205"/>
      <c r="N74" s="205"/>
      <c r="O74" s="205"/>
      <c r="P74" s="205"/>
      <c r="Q74" s="205"/>
      <c r="R74" s="205"/>
      <c r="S74" s="205"/>
      <c r="T74" s="205"/>
      <c r="U74" s="205"/>
      <c r="V74" s="217"/>
      <c r="W74" s="218"/>
      <c r="X74" s="218"/>
      <c r="Y74" s="251"/>
      <c r="Z74" s="205"/>
      <c r="AA74" s="205"/>
      <c r="AB74" s="205"/>
      <c r="AC74" s="205"/>
      <c r="AD74" s="205"/>
      <c r="AE74" s="205"/>
    </row>
    <row r="75" spans="2:59" ht="29.25" customHeight="1" x14ac:dyDescent="0.35">
      <c r="B75" s="299">
        <v>74</v>
      </c>
      <c r="C75" s="228" t="s">
        <v>545</v>
      </c>
      <c r="D75" s="229">
        <f t="shared" si="1"/>
        <v>25.604651162790699</v>
      </c>
      <c r="E75" s="229">
        <v>2260.08</v>
      </c>
      <c r="F75" s="229">
        <v>0.50806080930958109</v>
      </c>
      <c r="G75" s="205"/>
      <c r="H75" s="205"/>
      <c r="I75" s="205"/>
      <c r="J75" s="205"/>
      <c r="K75" s="205"/>
      <c r="M75" s="205"/>
      <c r="N75" s="205"/>
      <c r="O75" s="205"/>
      <c r="P75" s="205"/>
      <c r="Q75" s="205"/>
      <c r="R75" s="205"/>
      <c r="S75" s="205"/>
      <c r="T75" s="205"/>
      <c r="U75" s="205"/>
      <c r="V75" s="217"/>
      <c r="W75" s="218"/>
      <c r="X75" s="218"/>
      <c r="Y75" s="251"/>
      <c r="Z75" s="205"/>
      <c r="AA75" s="205"/>
      <c r="AB75" s="205"/>
      <c r="AC75" s="205"/>
      <c r="AD75" s="205"/>
      <c r="AE75" s="205"/>
    </row>
    <row r="76" spans="2:59" ht="29.25" customHeight="1" x14ac:dyDescent="0.35">
      <c r="B76" s="299">
        <v>75</v>
      </c>
      <c r="C76" s="228" t="s">
        <v>546</v>
      </c>
      <c r="D76" s="229">
        <f t="shared" si="1"/>
        <v>33.36363636363636</v>
      </c>
      <c r="E76" s="229">
        <v>1734.48</v>
      </c>
      <c r="F76" s="229">
        <v>0.49904759293324874</v>
      </c>
      <c r="G76" s="205"/>
      <c r="H76" s="205"/>
      <c r="I76" s="205"/>
      <c r="J76" s="205"/>
      <c r="K76" s="205"/>
      <c r="M76" s="205"/>
      <c r="N76" s="205"/>
      <c r="O76" s="205"/>
      <c r="P76" s="205"/>
      <c r="Q76" s="205"/>
      <c r="R76" s="205"/>
      <c r="S76" s="205"/>
      <c r="T76" s="205"/>
      <c r="U76" s="205"/>
      <c r="V76" s="217"/>
      <c r="W76" s="218"/>
      <c r="X76" s="218"/>
      <c r="Y76" s="251"/>
      <c r="Z76" s="205"/>
      <c r="AA76" s="205"/>
      <c r="AB76" s="205"/>
      <c r="AC76" s="205"/>
      <c r="AD76" s="205"/>
      <c r="AE76" s="205"/>
    </row>
    <row r="77" spans="2:59" ht="29.25" customHeight="1" x14ac:dyDescent="0.35">
      <c r="B77" s="299">
        <v>76</v>
      </c>
      <c r="C77" s="228" t="s">
        <v>547</v>
      </c>
      <c r="D77" s="229">
        <f t="shared" si="1"/>
        <v>4.2979830839297328</v>
      </c>
      <c r="E77" s="229">
        <v>13464.12</v>
      </c>
      <c r="F77" s="229">
        <v>1.003448165126364</v>
      </c>
      <c r="G77" s="205"/>
      <c r="H77" s="205"/>
      <c r="I77" s="205"/>
      <c r="J77" s="205"/>
      <c r="K77" s="205"/>
      <c r="M77" s="205"/>
      <c r="N77" s="205"/>
      <c r="O77" s="205"/>
      <c r="P77" s="205"/>
      <c r="Q77" s="205"/>
      <c r="R77" s="205"/>
      <c r="S77" s="205"/>
      <c r="T77" s="205"/>
      <c r="U77" s="205"/>
      <c r="V77" s="217"/>
      <c r="W77" s="218"/>
      <c r="X77" s="218"/>
      <c r="Y77" s="251"/>
      <c r="Z77" s="205"/>
      <c r="AA77" s="205"/>
      <c r="AB77" s="205"/>
      <c r="AC77" s="205"/>
      <c r="AD77" s="205"/>
      <c r="AE77" s="205"/>
    </row>
    <row r="78" spans="2:59" ht="29.25" customHeight="1" x14ac:dyDescent="0.35">
      <c r="B78" s="299">
        <v>77</v>
      </c>
      <c r="C78" s="228" t="s">
        <v>548</v>
      </c>
      <c r="D78" s="229">
        <f t="shared" si="1"/>
        <v>22.546075085324233</v>
      </c>
      <c r="E78" s="229">
        <v>2566.6799999999998</v>
      </c>
      <c r="F78" s="229">
        <v>0.56870138421431304</v>
      </c>
      <c r="G78" s="205"/>
      <c r="H78" s="205"/>
      <c r="I78" s="205"/>
      <c r="J78" s="205"/>
      <c r="K78" s="205"/>
      <c r="M78" s="205"/>
      <c r="N78" s="205"/>
      <c r="O78" s="205"/>
      <c r="P78" s="205"/>
      <c r="Q78" s="205"/>
      <c r="R78" s="205"/>
      <c r="S78" s="205"/>
      <c r="T78" s="205"/>
      <c r="U78" s="205"/>
      <c r="V78" s="217"/>
      <c r="W78" s="218"/>
      <c r="X78" s="218"/>
      <c r="Y78" s="251"/>
      <c r="Z78" s="205"/>
      <c r="AA78" s="205"/>
      <c r="AB78" s="205"/>
      <c r="AC78" s="205"/>
      <c r="AD78" s="205"/>
      <c r="AE78" s="205"/>
    </row>
    <row r="79" spans="2:59" ht="29.25" customHeight="1" x14ac:dyDescent="0.35">
      <c r="B79" s="299">
        <v>78</v>
      </c>
      <c r="C79" s="228" t="s">
        <v>549</v>
      </c>
      <c r="D79" s="229">
        <f t="shared" si="1"/>
        <v>13.08118811881188</v>
      </c>
      <c r="E79" s="229">
        <v>4423.8</v>
      </c>
      <c r="F79" s="229">
        <v>1.5891576496065425</v>
      </c>
      <c r="G79" s="205"/>
      <c r="H79" s="205"/>
      <c r="I79" s="205"/>
      <c r="J79" s="205"/>
      <c r="K79" s="205"/>
      <c r="M79" s="205"/>
      <c r="N79" s="205"/>
      <c r="O79" s="205"/>
      <c r="P79" s="205"/>
      <c r="Q79" s="205"/>
      <c r="R79" s="205"/>
      <c r="S79" s="205"/>
      <c r="T79" s="205"/>
      <c r="U79" s="205"/>
      <c r="V79" s="217"/>
      <c r="W79" s="218"/>
      <c r="X79" s="218"/>
      <c r="Y79" s="251"/>
      <c r="Z79" s="205"/>
      <c r="AA79" s="205"/>
      <c r="AB79" s="205"/>
      <c r="AC79" s="205"/>
      <c r="AD79" s="205"/>
      <c r="AE79" s="205"/>
    </row>
    <row r="80" spans="2:59" ht="29.25" customHeight="1" x14ac:dyDescent="0.35">
      <c r="B80" s="299">
        <v>79</v>
      </c>
      <c r="C80" s="228" t="s">
        <v>550</v>
      </c>
      <c r="D80" s="229">
        <f t="shared" si="1"/>
        <v>1.0567909134538473</v>
      </c>
      <c r="E80" s="229">
        <v>54758.76</v>
      </c>
      <c r="F80" s="229">
        <v>9.033694674391187</v>
      </c>
      <c r="G80" s="205"/>
      <c r="H80" s="205"/>
      <c r="I80" s="205"/>
      <c r="J80" s="205"/>
      <c r="K80" s="205"/>
      <c r="M80" s="205"/>
      <c r="N80" s="205"/>
      <c r="O80" s="205"/>
      <c r="P80" s="205"/>
      <c r="Q80" s="205"/>
      <c r="R80" s="205"/>
      <c r="S80" s="205"/>
      <c r="T80" s="205"/>
      <c r="U80" s="205"/>
      <c r="V80" s="217"/>
      <c r="W80" s="218"/>
      <c r="X80" s="218"/>
      <c r="Y80" s="251"/>
      <c r="Z80" s="205"/>
      <c r="AA80" s="205"/>
      <c r="AB80" s="205"/>
      <c r="AC80" s="205"/>
      <c r="AD80" s="205"/>
      <c r="AE80" s="205"/>
    </row>
    <row r="81" spans="2:31" ht="29.25" customHeight="1" x14ac:dyDescent="0.35">
      <c r="B81" s="299">
        <v>80</v>
      </c>
      <c r="C81" s="228" t="s">
        <v>551</v>
      </c>
      <c r="D81" s="229">
        <f t="shared" si="1"/>
        <v>1.9975808890232838</v>
      </c>
      <c r="E81" s="229">
        <v>28969.32</v>
      </c>
      <c r="F81" s="229">
        <v>2.936977969998146</v>
      </c>
      <c r="G81" s="205"/>
      <c r="H81" s="205"/>
      <c r="I81" s="205"/>
      <c r="J81" s="205"/>
      <c r="K81" s="205"/>
      <c r="M81" s="205"/>
      <c r="N81" s="205"/>
      <c r="O81" s="205"/>
      <c r="P81" s="205"/>
      <c r="Q81" s="205"/>
      <c r="R81" s="205"/>
      <c r="S81" s="205"/>
      <c r="T81" s="205"/>
      <c r="U81" s="205"/>
      <c r="V81" s="217"/>
      <c r="W81" s="218"/>
      <c r="X81" s="218"/>
      <c r="Y81" s="251"/>
      <c r="Z81" s="205"/>
      <c r="AA81" s="205"/>
      <c r="AB81" s="205"/>
      <c r="AC81" s="205"/>
      <c r="AD81" s="205"/>
      <c r="AE81" s="205"/>
    </row>
    <row r="82" spans="2:31" ht="29.25" customHeight="1" x14ac:dyDescent="0.35">
      <c r="B82" s="299">
        <v>81</v>
      </c>
      <c r="C82" s="228" t="s">
        <v>552</v>
      </c>
      <c r="D82" s="229">
        <f t="shared" si="1"/>
        <v>1.1085752643060915</v>
      </c>
      <c r="E82" s="229">
        <v>52200.84</v>
      </c>
      <c r="F82" s="229">
        <v>11.819205829893592</v>
      </c>
      <c r="G82" s="205"/>
      <c r="H82" s="205"/>
      <c r="I82" s="205"/>
      <c r="J82" s="205"/>
      <c r="K82" s="205"/>
      <c r="M82" s="205"/>
      <c r="N82" s="205"/>
      <c r="O82" s="205"/>
      <c r="P82" s="205"/>
      <c r="Q82" s="205"/>
      <c r="R82" s="205"/>
      <c r="S82" s="205"/>
      <c r="T82" s="205"/>
      <c r="U82" s="205"/>
      <c r="V82" s="217"/>
      <c r="W82" s="218"/>
      <c r="X82" s="218"/>
      <c r="Y82" s="251"/>
      <c r="Z82" s="205"/>
      <c r="AA82" s="205"/>
      <c r="AB82" s="205"/>
      <c r="AC82" s="205"/>
      <c r="AD82" s="205"/>
      <c r="AE82" s="205"/>
    </row>
    <row r="83" spans="2:31" ht="29.25" customHeight="1" x14ac:dyDescent="0.35">
      <c r="B83" s="299">
        <v>82</v>
      </c>
      <c r="C83" s="228" t="s">
        <v>553</v>
      </c>
      <c r="D83" s="229">
        <f t="shared" si="1"/>
        <v>10.338028169014084</v>
      </c>
      <c r="E83" s="229">
        <v>5597.64</v>
      </c>
      <c r="F83" s="229">
        <v>0.42632249186586635</v>
      </c>
      <c r="G83" s="205"/>
      <c r="H83" s="205"/>
      <c r="I83" s="205"/>
      <c r="J83" s="205"/>
      <c r="K83" s="205"/>
      <c r="M83" s="205"/>
      <c r="N83" s="205"/>
      <c r="O83" s="205"/>
      <c r="P83" s="205"/>
      <c r="Q83" s="205"/>
      <c r="R83" s="205"/>
      <c r="S83" s="205"/>
      <c r="T83" s="205"/>
      <c r="U83" s="205"/>
      <c r="V83" s="217"/>
      <c r="W83" s="218"/>
      <c r="X83" s="218"/>
      <c r="Y83" s="251"/>
      <c r="Z83" s="205"/>
      <c r="AA83" s="205"/>
      <c r="AB83" s="205"/>
      <c r="AC83" s="205"/>
      <c r="AD83" s="205"/>
      <c r="AE83" s="205"/>
    </row>
    <row r="84" spans="2:31" ht="29.25" customHeight="1" x14ac:dyDescent="0.35">
      <c r="B84" s="299">
        <v>83</v>
      </c>
      <c r="C84" s="228" t="s">
        <v>554</v>
      </c>
      <c r="D84" s="229">
        <f t="shared" si="1"/>
        <v>5.6221276595744678</v>
      </c>
      <c r="E84" s="229">
        <v>10293</v>
      </c>
      <c r="F84" s="229">
        <v>0.69595755050572428</v>
      </c>
      <c r="G84" s="205"/>
      <c r="H84" s="205"/>
      <c r="I84" s="205"/>
      <c r="J84" s="205"/>
      <c r="K84" s="205"/>
      <c r="M84" s="205"/>
      <c r="N84" s="205"/>
      <c r="O84" s="205"/>
      <c r="P84" s="205"/>
      <c r="Q84" s="205"/>
      <c r="R84" s="205"/>
      <c r="S84" s="205"/>
      <c r="T84" s="205"/>
      <c r="U84" s="205"/>
      <c r="V84" s="217"/>
      <c r="W84" s="218"/>
      <c r="X84" s="218"/>
      <c r="Y84" s="251"/>
      <c r="Z84" s="205"/>
      <c r="AA84" s="205"/>
      <c r="AB84" s="205"/>
      <c r="AC84" s="205"/>
      <c r="AD84" s="205"/>
      <c r="AE84" s="205"/>
    </row>
    <row r="85" spans="2:31" ht="29.25" customHeight="1" x14ac:dyDescent="0.35">
      <c r="B85" s="299">
        <v>84</v>
      </c>
      <c r="C85" s="228" t="s">
        <v>555</v>
      </c>
      <c r="D85" s="229">
        <f t="shared" si="1"/>
        <v>5.0235741444866919</v>
      </c>
      <c r="E85" s="229">
        <v>11519.4</v>
      </c>
      <c r="F85" s="229">
        <v>1.9099096773710673</v>
      </c>
      <c r="G85" s="205"/>
      <c r="H85" s="205"/>
      <c r="I85" s="205"/>
      <c r="J85" s="205"/>
      <c r="K85" s="205"/>
      <c r="M85" s="205"/>
      <c r="N85" s="205"/>
      <c r="O85" s="205"/>
      <c r="P85" s="205"/>
      <c r="Q85" s="205"/>
      <c r="R85" s="205"/>
      <c r="S85" s="205"/>
      <c r="T85" s="205"/>
      <c r="U85" s="205"/>
      <c r="V85" s="217"/>
      <c r="W85" s="218"/>
      <c r="X85" s="218"/>
      <c r="Y85" s="251"/>
      <c r="Z85" s="205"/>
      <c r="AA85" s="205"/>
      <c r="AB85" s="205"/>
      <c r="AC85" s="205"/>
      <c r="AD85" s="205"/>
      <c r="AE85" s="205"/>
    </row>
    <row r="86" spans="2:31" ht="29.25" customHeight="1" x14ac:dyDescent="0.35">
      <c r="B86" s="299">
        <v>85</v>
      </c>
      <c r="C86" s="228" t="s">
        <v>556</v>
      </c>
      <c r="D86" s="229">
        <f t="shared" si="1"/>
        <v>6.8385093167701863</v>
      </c>
      <c r="E86" s="229">
        <v>8462.16</v>
      </c>
      <c r="F86" s="229">
        <v>1.4505588040441282</v>
      </c>
      <c r="G86" s="205"/>
      <c r="H86" s="205"/>
      <c r="I86" s="205"/>
      <c r="J86" s="205"/>
      <c r="K86" s="205"/>
      <c r="M86" s="205"/>
      <c r="N86" s="205"/>
      <c r="O86" s="205"/>
      <c r="P86" s="205"/>
      <c r="Q86" s="205"/>
      <c r="R86" s="205"/>
      <c r="S86" s="205"/>
      <c r="T86" s="205"/>
      <c r="U86" s="205"/>
      <c r="V86" s="217"/>
      <c r="W86" s="218"/>
      <c r="X86" s="218"/>
      <c r="Y86" s="251"/>
      <c r="Z86" s="205"/>
      <c r="AA86" s="205"/>
      <c r="AB86" s="205"/>
      <c r="AC86" s="205"/>
      <c r="AD86" s="205"/>
      <c r="AE86" s="205"/>
    </row>
    <row r="87" spans="2:31" ht="29.25" customHeight="1" x14ac:dyDescent="0.35">
      <c r="B87" s="299">
        <v>86</v>
      </c>
      <c r="C87" s="228" t="s">
        <v>557</v>
      </c>
      <c r="D87" s="229">
        <f t="shared" si="1"/>
        <v>0.95476224887989591</v>
      </c>
      <c r="E87" s="229">
        <v>60610.44</v>
      </c>
      <c r="F87" s="229">
        <v>11.155605427875141</v>
      </c>
      <c r="G87" s="205"/>
      <c r="H87" s="205"/>
      <c r="I87" s="205"/>
      <c r="J87" s="205"/>
      <c r="K87" s="205"/>
      <c r="M87" s="205"/>
      <c r="N87" s="205"/>
      <c r="O87" s="205"/>
      <c r="P87" s="205"/>
      <c r="Q87" s="205"/>
      <c r="R87" s="205"/>
      <c r="S87" s="205"/>
      <c r="T87" s="205"/>
      <c r="U87" s="205"/>
      <c r="V87" s="217"/>
      <c r="W87" s="218"/>
      <c r="X87" s="218"/>
      <c r="Y87" s="251"/>
      <c r="Z87" s="205"/>
      <c r="AA87" s="205"/>
      <c r="AB87" s="205"/>
      <c r="AC87" s="205"/>
      <c r="AD87" s="205"/>
      <c r="AE87" s="205"/>
    </row>
    <row r="88" spans="2:31" ht="29.25" customHeight="1" x14ac:dyDescent="0.35">
      <c r="B88" s="299">
        <v>87</v>
      </c>
      <c r="C88" s="228" t="s">
        <v>558</v>
      </c>
      <c r="D88" s="229"/>
      <c r="E88" s="229">
        <v>0</v>
      </c>
      <c r="F88" s="229">
        <v>0</v>
      </c>
      <c r="G88" s="205"/>
      <c r="H88" s="205"/>
      <c r="I88" s="205"/>
      <c r="J88" s="205"/>
      <c r="K88" s="205"/>
      <c r="M88" s="205"/>
      <c r="N88" s="205"/>
      <c r="O88" s="205"/>
      <c r="P88" s="205"/>
      <c r="Q88" s="205"/>
      <c r="R88" s="205"/>
      <c r="S88" s="205"/>
      <c r="T88" s="205"/>
      <c r="U88" s="205"/>
      <c r="V88" s="217"/>
      <c r="W88" s="218"/>
      <c r="X88" s="218"/>
      <c r="Y88" s="251"/>
      <c r="Z88" s="205"/>
      <c r="AA88" s="205"/>
      <c r="AB88" s="205"/>
      <c r="AC88" s="205"/>
      <c r="AD88" s="205"/>
      <c r="AE88" s="205"/>
    </row>
    <row r="89" spans="2:31" ht="29.25" customHeight="1" x14ac:dyDescent="0.35">
      <c r="B89" s="299">
        <v>88</v>
      </c>
      <c r="C89" s="228" t="s">
        <v>559</v>
      </c>
      <c r="D89" s="229">
        <f t="shared" si="1"/>
        <v>1.5822754491017963</v>
      </c>
      <c r="E89" s="229">
        <v>36573</v>
      </c>
      <c r="F89" s="229">
        <v>8.4411631432860439</v>
      </c>
      <c r="G89" s="205"/>
      <c r="H89" s="205"/>
      <c r="I89" s="205"/>
      <c r="J89" s="205"/>
      <c r="K89" s="205"/>
      <c r="M89" s="205"/>
      <c r="N89" s="205"/>
      <c r="O89" s="205"/>
      <c r="P89" s="205"/>
      <c r="Q89" s="205"/>
      <c r="R89" s="205"/>
      <c r="S89" s="205"/>
      <c r="T89" s="205"/>
      <c r="U89" s="205"/>
      <c r="V89" s="217"/>
      <c r="W89" s="218"/>
      <c r="X89" s="218"/>
      <c r="Y89" s="251"/>
      <c r="Z89" s="205"/>
      <c r="AA89" s="205"/>
      <c r="AB89" s="205"/>
      <c r="AC89" s="205"/>
      <c r="AD89" s="205"/>
      <c r="AE89" s="205"/>
    </row>
    <row r="90" spans="2:31" ht="29.25" customHeight="1" x14ac:dyDescent="0.35">
      <c r="B90" s="299">
        <v>89</v>
      </c>
      <c r="C90" s="228" t="s">
        <v>560</v>
      </c>
      <c r="D90" s="229">
        <f t="shared" si="1"/>
        <v>1.5628105039034776</v>
      </c>
      <c r="E90" s="229">
        <v>37028.519999999997</v>
      </c>
      <c r="F90" s="229">
        <v>5.9107269531716646</v>
      </c>
      <c r="G90" s="205"/>
      <c r="H90" s="205"/>
      <c r="I90" s="205"/>
      <c r="J90" s="205"/>
      <c r="K90" s="205"/>
      <c r="M90" s="205"/>
      <c r="N90" s="205"/>
      <c r="O90" s="205"/>
      <c r="P90" s="205"/>
      <c r="Q90" s="205"/>
      <c r="R90" s="205"/>
      <c r="S90" s="205"/>
      <c r="T90" s="205"/>
      <c r="U90" s="205"/>
      <c r="V90" s="217"/>
      <c r="W90" s="218"/>
      <c r="X90" s="218"/>
      <c r="Y90" s="251"/>
      <c r="Z90" s="205"/>
      <c r="AA90" s="205"/>
      <c r="AB90" s="205"/>
      <c r="AC90" s="205"/>
      <c r="AD90" s="205"/>
      <c r="AE90" s="205"/>
    </row>
    <row r="91" spans="2:31" ht="29.25" customHeight="1" x14ac:dyDescent="0.35">
      <c r="B91" s="299">
        <v>90</v>
      </c>
      <c r="C91" s="228" t="s">
        <v>561</v>
      </c>
      <c r="D91" s="229">
        <f t="shared" si="1"/>
        <v>7.4644067796610161</v>
      </c>
      <c r="E91" s="229">
        <v>7752.6</v>
      </c>
      <c r="F91" s="229">
        <v>1.0515038281111815</v>
      </c>
      <c r="G91" s="205"/>
      <c r="H91" s="205"/>
      <c r="I91" s="205"/>
      <c r="J91" s="205"/>
      <c r="K91" s="205"/>
      <c r="M91" s="205"/>
      <c r="N91" s="205"/>
      <c r="O91" s="205"/>
      <c r="P91" s="205"/>
      <c r="Q91" s="205"/>
      <c r="R91" s="205"/>
      <c r="S91" s="205"/>
      <c r="T91" s="205"/>
      <c r="U91" s="205"/>
      <c r="V91" s="217"/>
      <c r="W91" s="218"/>
      <c r="X91" s="218"/>
      <c r="Y91" s="251"/>
      <c r="Z91" s="205"/>
      <c r="AA91" s="205"/>
      <c r="AB91" s="205"/>
      <c r="AC91" s="205"/>
      <c r="AD91" s="205"/>
      <c r="AE91" s="205"/>
    </row>
    <row r="92" spans="2:31" ht="29.25" customHeight="1" x14ac:dyDescent="0.35">
      <c r="B92" s="299">
        <v>91</v>
      </c>
      <c r="C92" s="228" t="s">
        <v>562</v>
      </c>
      <c r="D92" s="229">
        <f t="shared" si="1"/>
        <v>1.509597806215722</v>
      </c>
      <c r="E92" s="229">
        <v>38333.760000000002</v>
      </c>
      <c r="F92" s="229">
        <v>7.7886849258784041</v>
      </c>
      <c r="G92" s="205"/>
      <c r="H92" s="205"/>
      <c r="I92" s="205"/>
      <c r="J92" s="205"/>
      <c r="K92" s="205"/>
      <c r="M92" s="205"/>
      <c r="N92" s="205"/>
      <c r="O92" s="205"/>
      <c r="P92" s="205"/>
      <c r="Q92" s="205"/>
      <c r="R92" s="205"/>
      <c r="S92" s="205"/>
      <c r="T92" s="205"/>
      <c r="U92" s="205"/>
      <c r="V92" s="217"/>
      <c r="W92" s="218"/>
      <c r="X92" s="218"/>
      <c r="Y92" s="251"/>
      <c r="Z92" s="205"/>
      <c r="AA92" s="205"/>
      <c r="AB92" s="205"/>
      <c r="AC92" s="205"/>
      <c r="AD92" s="205"/>
      <c r="AE92" s="205"/>
    </row>
    <row r="93" spans="2:31" ht="29.25" customHeight="1" x14ac:dyDescent="0.35">
      <c r="B93" s="299">
        <v>92</v>
      </c>
      <c r="C93" s="228" t="s">
        <v>460</v>
      </c>
      <c r="D93" s="229"/>
      <c r="E93" s="229">
        <v>0</v>
      </c>
      <c r="F93" s="229">
        <v>8.7657950769230784</v>
      </c>
      <c r="G93" s="205"/>
      <c r="H93" s="205"/>
      <c r="I93" s="205"/>
      <c r="J93" s="205"/>
      <c r="K93" s="205"/>
      <c r="M93" s="205"/>
      <c r="N93" s="205"/>
      <c r="O93" s="205"/>
      <c r="P93" s="205"/>
      <c r="Q93" s="205"/>
      <c r="R93" s="205"/>
      <c r="S93" s="205"/>
      <c r="T93" s="205"/>
      <c r="U93" s="205"/>
      <c r="V93" s="217"/>
      <c r="W93" s="218"/>
      <c r="X93" s="218"/>
      <c r="Y93" s="251"/>
      <c r="Z93" s="205"/>
      <c r="AA93" s="205"/>
      <c r="AB93" s="205"/>
      <c r="AC93" s="205"/>
      <c r="AD93" s="205"/>
      <c r="AE93" s="205"/>
    </row>
    <row r="94" spans="2:31" ht="29.25" customHeight="1" x14ac:dyDescent="0.35">
      <c r="B94" s="299">
        <v>93</v>
      </c>
      <c r="C94" s="228" t="s">
        <v>563</v>
      </c>
      <c r="D94" s="229">
        <f t="shared" si="1"/>
        <v>6.4011627906976747</v>
      </c>
      <c r="E94" s="229">
        <v>9040.32</v>
      </c>
      <c r="F94" s="229">
        <v>2.1708998851477963</v>
      </c>
      <c r="G94" s="205"/>
      <c r="H94" s="205"/>
      <c r="I94" s="205"/>
      <c r="J94" s="205"/>
      <c r="K94" s="205"/>
      <c r="M94" s="205"/>
      <c r="N94" s="205"/>
      <c r="O94" s="205"/>
      <c r="P94" s="205"/>
      <c r="Q94" s="205"/>
      <c r="R94" s="205"/>
      <c r="S94" s="205"/>
      <c r="T94" s="205"/>
      <c r="U94" s="205"/>
      <c r="V94" s="217"/>
      <c r="W94" s="218"/>
      <c r="X94" s="218"/>
      <c r="Y94" s="251"/>
      <c r="Z94" s="205"/>
      <c r="AA94" s="205"/>
      <c r="AB94" s="205"/>
      <c r="AC94" s="205"/>
      <c r="AD94" s="205"/>
      <c r="AE94" s="205"/>
    </row>
    <row r="95" spans="2:31" ht="29.25" customHeight="1" x14ac:dyDescent="0.35">
      <c r="B95" s="299">
        <v>94</v>
      </c>
      <c r="C95" s="228" t="s">
        <v>564</v>
      </c>
      <c r="D95" s="229">
        <f t="shared" si="1"/>
        <v>2.7095980311730923</v>
      </c>
      <c r="E95" s="229">
        <v>21356.880000000001</v>
      </c>
      <c r="F95" s="229">
        <v>1.5264917470783874</v>
      </c>
      <c r="G95" s="205"/>
      <c r="H95" s="205"/>
      <c r="I95" s="205"/>
      <c r="J95" s="205"/>
      <c r="K95" s="205"/>
      <c r="M95" s="205"/>
      <c r="N95" s="205"/>
      <c r="O95" s="205"/>
      <c r="P95" s="205"/>
      <c r="Q95" s="205"/>
      <c r="R95" s="205"/>
      <c r="S95" s="205"/>
      <c r="T95" s="205"/>
      <c r="U95" s="205"/>
      <c r="V95" s="217"/>
      <c r="W95" s="218"/>
      <c r="X95" s="218"/>
      <c r="Y95" s="251"/>
      <c r="Z95" s="205"/>
      <c r="AA95" s="205"/>
      <c r="AB95" s="205"/>
      <c r="AC95" s="205"/>
      <c r="AD95" s="205"/>
      <c r="AE95" s="205"/>
    </row>
    <row r="96" spans="2:31" ht="29.25" customHeight="1" x14ac:dyDescent="0.35">
      <c r="B96" s="299">
        <v>95</v>
      </c>
      <c r="C96" s="228" t="s">
        <v>565</v>
      </c>
      <c r="D96" s="229">
        <f t="shared" si="1"/>
        <v>15.11670480549199</v>
      </c>
      <c r="E96" s="229">
        <v>3828.12</v>
      </c>
      <c r="F96" s="229">
        <v>0.54692108708315945</v>
      </c>
      <c r="G96" s="205"/>
      <c r="H96" s="205"/>
      <c r="I96" s="205"/>
      <c r="J96" s="205"/>
      <c r="K96" s="205"/>
      <c r="M96" s="205"/>
      <c r="N96" s="205"/>
      <c r="O96" s="205"/>
      <c r="P96" s="205"/>
      <c r="Q96" s="205"/>
      <c r="R96" s="205"/>
      <c r="S96" s="205"/>
      <c r="T96" s="205"/>
      <c r="U96" s="205"/>
      <c r="V96" s="217"/>
      <c r="W96" s="218"/>
      <c r="X96" s="218"/>
      <c r="Y96" s="251"/>
      <c r="Z96" s="205"/>
      <c r="AA96" s="205"/>
      <c r="AB96" s="205"/>
      <c r="AC96" s="205"/>
      <c r="AD96" s="205"/>
      <c r="AE96" s="205"/>
    </row>
    <row r="97" spans="2:31" ht="29.25" customHeight="1" x14ac:dyDescent="0.35">
      <c r="B97" s="299">
        <v>96</v>
      </c>
      <c r="C97" s="228" t="s">
        <v>566</v>
      </c>
      <c r="D97" s="229">
        <f t="shared" si="1"/>
        <v>15.543529411764705</v>
      </c>
      <c r="E97" s="229">
        <v>3723</v>
      </c>
      <c r="F97" s="229">
        <v>0.70417754817219202</v>
      </c>
      <c r="G97" s="205"/>
      <c r="H97" s="205"/>
      <c r="I97" s="205"/>
      <c r="J97" s="205"/>
      <c r="K97" s="205"/>
      <c r="M97" s="205"/>
      <c r="N97" s="205"/>
      <c r="O97" s="205"/>
      <c r="P97" s="205"/>
      <c r="Q97" s="205"/>
      <c r="R97" s="205"/>
      <c r="S97" s="205"/>
      <c r="T97" s="205"/>
      <c r="U97" s="205"/>
      <c r="V97" s="217"/>
      <c r="W97" s="218"/>
      <c r="X97" s="218"/>
      <c r="Y97" s="251"/>
      <c r="Z97" s="205"/>
      <c r="AA97" s="205"/>
      <c r="AB97" s="205"/>
      <c r="AC97" s="205"/>
      <c r="AD97" s="205"/>
      <c r="AE97" s="205"/>
    </row>
    <row r="98" spans="2:31" ht="29.25" customHeight="1" x14ac:dyDescent="0.35">
      <c r="B98" s="299">
        <v>97</v>
      </c>
      <c r="C98" s="228" t="s">
        <v>567</v>
      </c>
      <c r="D98" s="229"/>
      <c r="E98" s="229">
        <v>0</v>
      </c>
      <c r="F98" s="229">
        <v>5.8673228899323737</v>
      </c>
      <c r="G98" s="205"/>
      <c r="H98" s="205"/>
      <c r="I98" s="205"/>
      <c r="J98" s="205"/>
      <c r="K98" s="205"/>
      <c r="M98" s="205"/>
      <c r="N98" s="205"/>
      <c r="O98" s="205"/>
      <c r="P98" s="205"/>
      <c r="Q98" s="205"/>
      <c r="R98" s="205"/>
      <c r="S98" s="205"/>
      <c r="T98" s="205"/>
      <c r="U98" s="205"/>
      <c r="V98" s="217"/>
      <c r="W98" s="218"/>
      <c r="X98" s="218"/>
      <c r="Y98" s="251"/>
      <c r="Z98" s="205"/>
      <c r="AA98" s="205"/>
      <c r="AB98" s="205"/>
      <c r="AC98" s="205"/>
      <c r="AD98" s="205"/>
      <c r="AE98" s="205"/>
    </row>
    <row r="99" spans="2:31" ht="29.25" customHeight="1" x14ac:dyDescent="0.35">
      <c r="B99" s="299">
        <v>98</v>
      </c>
      <c r="C99" s="228" t="s">
        <v>568</v>
      </c>
      <c r="D99" s="229">
        <f t="shared" si="1"/>
        <v>1.5193192272309106</v>
      </c>
      <c r="E99" s="229">
        <v>38088.480000000003</v>
      </c>
      <c r="F99" s="229">
        <v>0.81241939756254211</v>
      </c>
      <c r="G99" s="205"/>
      <c r="H99" s="205"/>
      <c r="I99" s="205"/>
      <c r="J99" s="205"/>
      <c r="K99" s="205"/>
      <c r="M99" s="205"/>
      <c r="N99" s="205"/>
      <c r="O99" s="205"/>
      <c r="P99" s="205"/>
      <c r="Q99" s="205"/>
      <c r="R99" s="205"/>
      <c r="S99" s="205"/>
      <c r="T99" s="205"/>
      <c r="U99" s="205"/>
      <c r="V99" s="217"/>
      <c r="W99" s="218"/>
      <c r="X99" s="218"/>
      <c r="Y99" s="251"/>
      <c r="Z99" s="205"/>
      <c r="AA99" s="205"/>
      <c r="AB99" s="205"/>
      <c r="AC99" s="205"/>
      <c r="AD99" s="205"/>
      <c r="AE99" s="205"/>
    </row>
    <row r="100" spans="2:31" ht="29.25" customHeight="1" x14ac:dyDescent="0.35">
      <c r="B100" s="299">
        <v>99</v>
      </c>
      <c r="C100" s="228" t="s">
        <v>569</v>
      </c>
      <c r="D100" s="229">
        <f t="shared" si="1"/>
        <v>1.1209910062786357</v>
      </c>
      <c r="E100" s="229">
        <v>51622.68</v>
      </c>
      <c r="F100" s="229">
        <v>8.0719648355887941</v>
      </c>
      <c r="G100" s="205"/>
      <c r="H100" s="205"/>
      <c r="I100" s="205"/>
      <c r="J100" s="205"/>
      <c r="K100" s="205"/>
      <c r="M100" s="205"/>
      <c r="N100" s="205"/>
      <c r="O100" s="205"/>
      <c r="P100" s="205"/>
      <c r="Q100" s="205"/>
      <c r="R100" s="205"/>
      <c r="S100" s="205"/>
      <c r="T100" s="205"/>
      <c r="U100" s="205"/>
      <c r="V100" s="217"/>
      <c r="W100" s="218"/>
      <c r="X100" s="218"/>
      <c r="Y100" s="251"/>
      <c r="Z100" s="205"/>
      <c r="AA100" s="205"/>
      <c r="AB100" s="205"/>
      <c r="AC100" s="205"/>
      <c r="AD100" s="205"/>
      <c r="AE100" s="205"/>
    </row>
    <row r="101" spans="2:31" ht="29.25" customHeight="1" x14ac:dyDescent="0.35">
      <c r="B101" s="299">
        <v>100</v>
      </c>
      <c r="C101" s="228" t="s">
        <v>570</v>
      </c>
      <c r="D101" s="229">
        <f t="shared" si="1"/>
        <v>13.907368421052631</v>
      </c>
      <c r="E101" s="229">
        <v>4161</v>
      </c>
      <c r="F101" s="229">
        <v>0.24085812257194406</v>
      </c>
      <c r="G101" s="205"/>
      <c r="H101" s="205"/>
      <c r="I101" s="205"/>
      <c r="J101" s="205"/>
      <c r="K101" s="205"/>
      <c r="M101" s="205"/>
      <c r="N101" s="205"/>
      <c r="O101" s="205"/>
      <c r="P101" s="205"/>
      <c r="Q101" s="205"/>
      <c r="R101" s="205"/>
      <c r="S101" s="205"/>
      <c r="T101" s="205"/>
      <c r="U101" s="205"/>
      <c r="V101" s="217"/>
      <c r="W101" s="218"/>
      <c r="X101" s="218"/>
      <c r="Y101" s="251"/>
      <c r="Z101" s="205"/>
      <c r="AA101" s="205"/>
      <c r="AB101" s="205"/>
      <c r="AC101" s="205"/>
      <c r="AD101" s="205"/>
      <c r="AE101" s="205"/>
    </row>
    <row r="102" spans="2:31" ht="29.25" customHeight="1" x14ac:dyDescent="0.35">
      <c r="B102" s="299">
        <v>101</v>
      </c>
      <c r="C102" s="228" t="s">
        <v>571</v>
      </c>
      <c r="D102" s="229">
        <f t="shared" si="1"/>
        <v>8.480102695763799</v>
      </c>
      <c r="E102" s="229">
        <v>6824.04</v>
      </c>
      <c r="F102" s="229">
        <v>0.72089345783704939</v>
      </c>
      <c r="G102" s="205"/>
      <c r="H102" s="205"/>
      <c r="I102" s="205"/>
      <c r="J102" s="205"/>
      <c r="K102" s="205"/>
      <c r="M102" s="205"/>
      <c r="N102" s="205"/>
      <c r="O102" s="205"/>
      <c r="P102" s="205"/>
      <c r="Q102" s="205"/>
      <c r="R102" s="205"/>
      <c r="S102" s="205"/>
      <c r="T102" s="205"/>
      <c r="U102" s="205"/>
      <c r="V102" s="217"/>
      <c r="W102" s="218"/>
      <c r="X102" s="218"/>
      <c r="Y102" s="251"/>
      <c r="Z102" s="205"/>
      <c r="AA102" s="205"/>
      <c r="AB102" s="205"/>
      <c r="AC102" s="205"/>
      <c r="AD102" s="205"/>
      <c r="AE102" s="205"/>
    </row>
    <row r="103" spans="2:31" ht="29.25" customHeight="1" x14ac:dyDescent="0.35">
      <c r="B103" s="299">
        <v>102</v>
      </c>
      <c r="C103" s="228" t="s">
        <v>572</v>
      </c>
      <c r="D103" s="229">
        <f t="shared" si="1"/>
        <v>2.091168091168091</v>
      </c>
      <c r="E103" s="229">
        <v>27672.84</v>
      </c>
      <c r="F103" s="229">
        <v>3.2107811446291099</v>
      </c>
      <c r="G103" s="205"/>
      <c r="H103" s="205"/>
      <c r="I103" s="205"/>
      <c r="J103" s="205"/>
      <c r="K103" s="205"/>
      <c r="M103" s="205"/>
      <c r="N103" s="205"/>
      <c r="O103" s="205"/>
      <c r="P103" s="205"/>
      <c r="Q103" s="205"/>
      <c r="R103" s="205"/>
      <c r="S103" s="205"/>
      <c r="T103" s="205"/>
      <c r="U103" s="205"/>
      <c r="V103" s="217"/>
      <c r="W103" s="218"/>
      <c r="X103" s="218"/>
      <c r="Y103" s="251"/>
      <c r="Z103" s="205"/>
      <c r="AA103" s="205"/>
      <c r="AB103" s="205"/>
      <c r="AC103" s="205"/>
      <c r="AD103" s="205"/>
      <c r="AE103" s="205"/>
    </row>
    <row r="104" spans="2:31" ht="29.25" customHeight="1" x14ac:dyDescent="0.35">
      <c r="B104" s="299">
        <v>103</v>
      </c>
      <c r="C104" s="228" t="s">
        <v>573</v>
      </c>
      <c r="D104" s="229">
        <f t="shared" si="1"/>
        <v>5.5234113712374588</v>
      </c>
      <c r="E104" s="229">
        <v>10476.959999999999</v>
      </c>
      <c r="F104" s="229">
        <v>2.6544298251233105</v>
      </c>
      <c r="G104" s="205"/>
      <c r="H104" s="205"/>
      <c r="I104" s="205"/>
      <c r="J104" s="205"/>
      <c r="K104" s="205"/>
      <c r="M104" s="205"/>
      <c r="N104" s="205"/>
      <c r="O104" s="205"/>
      <c r="P104" s="205"/>
      <c r="Q104" s="205"/>
      <c r="R104" s="205"/>
      <c r="S104" s="205"/>
      <c r="T104" s="205"/>
      <c r="U104" s="205"/>
      <c r="V104" s="217"/>
      <c r="W104" s="218"/>
      <c r="X104" s="218"/>
      <c r="Y104" s="251"/>
      <c r="Z104" s="205"/>
      <c r="AA104" s="205"/>
      <c r="AB104" s="205"/>
      <c r="AC104" s="205"/>
      <c r="AD104" s="205"/>
      <c r="AE104" s="205"/>
    </row>
    <row r="105" spans="2:31" ht="29.25" customHeight="1" x14ac:dyDescent="0.35">
      <c r="B105" s="299">
        <v>104</v>
      </c>
      <c r="C105" s="228" t="s">
        <v>574</v>
      </c>
      <c r="D105" s="229">
        <f t="shared" si="1"/>
        <v>24.10948905109489</v>
      </c>
      <c r="E105" s="229">
        <v>2400.2399999999998</v>
      </c>
      <c r="F105" s="229">
        <v>0.54655448467662104</v>
      </c>
      <c r="G105" s="205"/>
      <c r="H105" s="205"/>
      <c r="I105" s="205"/>
      <c r="J105" s="205"/>
      <c r="K105" s="205"/>
      <c r="M105" s="205"/>
      <c r="N105" s="205"/>
      <c r="O105" s="205"/>
      <c r="P105" s="205"/>
      <c r="Q105" s="205"/>
      <c r="R105" s="205"/>
      <c r="S105" s="205"/>
      <c r="T105" s="205"/>
      <c r="U105" s="205"/>
      <c r="V105" s="217"/>
      <c r="W105" s="218"/>
      <c r="X105" s="218"/>
      <c r="Y105" s="251"/>
      <c r="Z105" s="205"/>
      <c r="AA105" s="205"/>
      <c r="AB105" s="205"/>
      <c r="AC105" s="205"/>
      <c r="AD105" s="205"/>
      <c r="AE105" s="205"/>
    </row>
    <row r="106" spans="2:31" ht="29.25" customHeight="1" x14ac:dyDescent="0.35">
      <c r="B106" s="299">
        <v>105</v>
      </c>
      <c r="C106" s="228" t="s">
        <v>575</v>
      </c>
      <c r="D106" s="229">
        <f t="shared" si="1"/>
        <v>52.847999999999999</v>
      </c>
      <c r="E106" s="229">
        <v>1095</v>
      </c>
      <c r="F106" s="229">
        <v>0.4993761168048636</v>
      </c>
      <c r="G106" s="205"/>
      <c r="H106" s="205"/>
      <c r="I106" s="205"/>
      <c r="J106" s="205"/>
      <c r="K106" s="205"/>
      <c r="M106" s="205"/>
      <c r="N106" s="205"/>
      <c r="O106" s="205"/>
      <c r="P106" s="205"/>
      <c r="Q106" s="205"/>
      <c r="R106" s="205"/>
      <c r="S106" s="205"/>
      <c r="T106" s="205"/>
      <c r="U106" s="205"/>
      <c r="V106" s="217"/>
      <c r="W106" s="218"/>
      <c r="X106" s="218"/>
      <c r="Y106" s="251"/>
      <c r="Z106" s="205"/>
      <c r="AA106" s="205"/>
      <c r="AB106" s="205"/>
      <c r="AC106" s="205"/>
      <c r="AD106" s="205"/>
      <c r="AE106" s="205"/>
    </row>
    <row r="107" spans="2:31" ht="29.25" customHeight="1" x14ac:dyDescent="0.35">
      <c r="B107" s="299">
        <v>106</v>
      </c>
      <c r="C107" s="228" t="s">
        <v>576</v>
      </c>
      <c r="D107" s="229">
        <f t="shared" si="1"/>
        <v>5.8719999999999999</v>
      </c>
      <c r="E107" s="229">
        <v>9855</v>
      </c>
      <c r="F107" s="229">
        <v>0.48907869527896991</v>
      </c>
      <c r="G107" s="205"/>
      <c r="H107" s="205"/>
      <c r="I107" s="205"/>
      <c r="J107" s="205"/>
      <c r="K107" s="205"/>
      <c r="M107" s="205"/>
      <c r="N107" s="205"/>
      <c r="O107" s="205"/>
      <c r="P107" s="205"/>
      <c r="Q107" s="205"/>
      <c r="R107" s="205"/>
      <c r="S107" s="205"/>
      <c r="T107" s="205"/>
      <c r="U107" s="205"/>
      <c r="V107" s="217"/>
      <c r="W107" s="218"/>
      <c r="X107" s="218"/>
      <c r="Y107" s="251"/>
      <c r="Z107" s="205"/>
      <c r="AA107" s="205"/>
      <c r="AB107" s="205"/>
      <c r="AC107" s="205"/>
      <c r="AD107" s="205"/>
      <c r="AE107" s="205"/>
    </row>
    <row r="108" spans="2:31" ht="29.25" customHeight="1" x14ac:dyDescent="0.35">
      <c r="B108" s="299">
        <v>107</v>
      </c>
      <c r="C108" s="228" t="s">
        <v>577</v>
      </c>
      <c r="D108" s="229"/>
      <c r="E108" s="229">
        <v>0</v>
      </c>
      <c r="F108" s="229">
        <v>42.670798275332537</v>
      </c>
      <c r="G108" s="205"/>
      <c r="H108" s="205"/>
      <c r="I108" s="205"/>
      <c r="J108" s="205"/>
      <c r="K108" s="205"/>
      <c r="M108" s="205"/>
      <c r="N108" s="205"/>
      <c r="O108" s="205"/>
      <c r="P108" s="205"/>
      <c r="Q108" s="205"/>
      <c r="R108" s="205"/>
      <c r="S108" s="205"/>
      <c r="T108" s="205"/>
      <c r="U108" s="205"/>
      <c r="V108" s="217"/>
      <c r="W108" s="218"/>
      <c r="X108" s="218"/>
      <c r="Y108" s="251"/>
      <c r="Z108" s="205"/>
      <c r="AA108" s="205"/>
      <c r="AB108" s="205"/>
      <c r="AC108" s="205"/>
      <c r="AD108" s="205"/>
      <c r="AE108" s="205"/>
    </row>
    <row r="109" spans="2:31" ht="29.25" customHeight="1" x14ac:dyDescent="0.35">
      <c r="B109" s="299">
        <v>108</v>
      </c>
      <c r="C109" s="228" t="s">
        <v>578</v>
      </c>
      <c r="D109" s="229">
        <f t="shared" si="1"/>
        <v>1.7653661143773383</v>
      </c>
      <c r="E109" s="229">
        <v>32779.919999999998</v>
      </c>
      <c r="F109" s="229">
        <v>3.6205493562231759</v>
      </c>
      <c r="G109" s="205"/>
      <c r="H109" s="205"/>
      <c r="I109" s="205"/>
      <c r="J109" s="205"/>
      <c r="K109" s="205"/>
      <c r="M109" s="205"/>
      <c r="N109" s="205"/>
      <c r="O109" s="205"/>
      <c r="P109" s="205"/>
      <c r="Q109" s="205"/>
      <c r="R109" s="205"/>
      <c r="S109" s="205"/>
      <c r="T109" s="205"/>
      <c r="U109" s="205"/>
      <c r="V109" s="217"/>
      <c r="W109" s="218"/>
      <c r="X109" s="218"/>
      <c r="Y109" s="251"/>
      <c r="Z109" s="205"/>
      <c r="AA109" s="205"/>
      <c r="AB109" s="205"/>
      <c r="AC109" s="205"/>
      <c r="AD109" s="205"/>
      <c r="AE109" s="205"/>
    </row>
    <row r="110" spans="2:31" ht="29.25" customHeight="1" x14ac:dyDescent="0.35">
      <c r="B110" s="299">
        <v>109</v>
      </c>
      <c r="C110" s="228" t="s">
        <v>579</v>
      </c>
      <c r="D110" s="229"/>
      <c r="E110" s="229">
        <v>0</v>
      </c>
      <c r="F110" s="229">
        <v>13.436794664388581</v>
      </c>
      <c r="G110" s="205"/>
      <c r="H110" s="205"/>
      <c r="I110" s="205"/>
      <c r="J110" s="205"/>
      <c r="K110" s="205"/>
      <c r="M110" s="205"/>
      <c r="N110" s="205"/>
      <c r="O110" s="205"/>
      <c r="P110" s="205"/>
      <c r="Q110" s="205"/>
      <c r="R110" s="205"/>
      <c r="S110" s="205"/>
      <c r="T110" s="205"/>
      <c r="U110" s="205"/>
      <c r="V110" s="217"/>
      <c r="W110" s="218"/>
      <c r="X110" s="218"/>
      <c r="Y110" s="251"/>
      <c r="Z110" s="205"/>
      <c r="AA110" s="205"/>
      <c r="AB110" s="205"/>
      <c r="AC110" s="205"/>
      <c r="AD110" s="205"/>
      <c r="AE110" s="205"/>
    </row>
    <row r="111" spans="2:31" ht="29.25" customHeight="1" x14ac:dyDescent="0.35">
      <c r="B111" s="299">
        <v>110</v>
      </c>
      <c r="C111" s="228" t="s">
        <v>580</v>
      </c>
      <c r="D111" s="229"/>
      <c r="E111" s="229">
        <v>0</v>
      </c>
      <c r="F111" s="229">
        <v>1.3005300806239899</v>
      </c>
      <c r="G111" s="205"/>
      <c r="H111" s="205"/>
      <c r="I111" s="205"/>
      <c r="J111" s="205"/>
      <c r="K111" s="205"/>
      <c r="M111" s="205"/>
      <c r="N111" s="205"/>
      <c r="O111" s="205"/>
      <c r="P111" s="205"/>
      <c r="Q111" s="205"/>
      <c r="R111" s="205"/>
      <c r="S111" s="205"/>
      <c r="T111" s="205"/>
      <c r="U111" s="205"/>
      <c r="V111" s="217"/>
      <c r="W111" s="218"/>
      <c r="X111" s="218"/>
      <c r="Y111" s="251"/>
      <c r="Z111" s="205"/>
      <c r="AA111" s="205"/>
      <c r="AB111" s="205"/>
      <c r="AC111" s="205"/>
      <c r="AD111" s="205"/>
      <c r="AE111" s="205"/>
    </row>
    <row r="112" spans="2:31" ht="29.25" customHeight="1" x14ac:dyDescent="0.35">
      <c r="B112" s="299">
        <v>111</v>
      </c>
      <c r="C112" s="228" t="s">
        <v>581</v>
      </c>
      <c r="D112" s="229">
        <f t="shared" si="1"/>
        <v>42.896103896103895</v>
      </c>
      <c r="E112" s="229">
        <v>1349.04</v>
      </c>
      <c r="F112" s="229">
        <v>0.3248518035850117</v>
      </c>
      <c r="G112" s="205"/>
      <c r="H112" s="205"/>
      <c r="I112" s="205"/>
      <c r="J112" s="205"/>
      <c r="K112" s="205"/>
      <c r="M112" s="205"/>
      <c r="N112" s="205"/>
      <c r="O112" s="205"/>
      <c r="P112" s="205"/>
      <c r="Q112" s="205"/>
      <c r="R112" s="205"/>
      <c r="S112" s="205"/>
      <c r="T112" s="205"/>
      <c r="U112" s="205"/>
      <c r="V112" s="217"/>
      <c r="W112" s="218"/>
      <c r="X112" s="218"/>
      <c r="Y112" s="251"/>
      <c r="Z112" s="205"/>
      <c r="AA112" s="205"/>
      <c r="AB112" s="205"/>
      <c r="AC112" s="205"/>
      <c r="AD112" s="205"/>
      <c r="AE112" s="205"/>
    </row>
    <row r="113" spans="2:31" ht="29.25" customHeight="1" x14ac:dyDescent="0.35">
      <c r="B113" s="299">
        <v>112</v>
      </c>
      <c r="C113" s="228" t="s">
        <v>582</v>
      </c>
      <c r="D113" s="229">
        <f t="shared" si="1"/>
        <v>42.896103896103895</v>
      </c>
      <c r="E113" s="229">
        <v>1349.04</v>
      </c>
      <c r="F113" s="229">
        <v>0.48748726676473031</v>
      </c>
      <c r="G113" s="205"/>
      <c r="H113" s="205"/>
      <c r="I113" s="205"/>
      <c r="J113" s="205"/>
      <c r="K113" s="205"/>
      <c r="M113" s="205"/>
      <c r="N113" s="205"/>
      <c r="O113" s="205"/>
      <c r="P113" s="205"/>
      <c r="Q113" s="205"/>
      <c r="R113" s="205"/>
      <c r="S113" s="205"/>
      <c r="T113" s="205"/>
      <c r="U113" s="205"/>
      <c r="V113" s="217"/>
      <c r="W113" s="218"/>
      <c r="X113" s="218"/>
      <c r="Y113" s="251"/>
      <c r="Z113" s="205"/>
      <c r="AA113" s="205"/>
      <c r="AB113" s="205"/>
      <c r="AC113" s="205"/>
      <c r="AD113" s="205"/>
      <c r="AE113" s="205"/>
    </row>
    <row r="114" spans="2:31" ht="29.25" customHeight="1" x14ac:dyDescent="0.35">
      <c r="B114" s="299">
        <v>113</v>
      </c>
      <c r="C114" s="228" t="s">
        <v>583</v>
      </c>
      <c r="D114" s="229">
        <f t="shared" si="1"/>
        <v>2.4135915235659482</v>
      </c>
      <c r="E114" s="229">
        <v>23976.12</v>
      </c>
      <c r="F114" s="229">
        <v>2.2640006730548543</v>
      </c>
      <c r="G114" s="205"/>
      <c r="H114" s="205"/>
      <c r="I114" s="205"/>
      <c r="J114" s="205"/>
      <c r="K114" s="205"/>
      <c r="M114" s="205"/>
      <c r="N114" s="205"/>
      <c r="O114" s="205"/>
      <c r="P114" s="205"/>
      <c r="Q114" s="205"/>
      <c r="R114" s="205"/>
      <c r="S114" s="205"/>
      <c r="T114" s="205"/>
      <c r="U114" s="205"/>
      <c r="V114" s="217"/>
      <c r="W114" s="218"/>
      <c r="X114" s="218"/>
      <c r="Y114" s="251"/>
      <c r="Z114" s="205"/>
      <c r="AA114" s="205"/>
      <c r="AB114" s="205"/>
      <c r="AC114" s="205"/>
      <c r="AD114" s="205"/>
      <c r="AE114" s="205"/>
    </row>
    <row r="115" spans="2:31" ht="29.25" customHeight="1" x14ac:dyDescent="0.35">
      <c r="B115" s="299">
        <v>114</v>
      </c>
      <c r="C115" s="228" t="s">
        <v>584</v>
      </c>
      <c r="D115" s="229">
        <f t="shared" si="1"/>
        <v>5.1448598130841114</v>
      </c>
      <c r="E115" s="229">
        <v>11247.84</v>
      </c>
      <c r="F115" s="229">
        <v>1.544811129767693</v>
      </c>
      <c r="G115" s="205"/>
      <c r="H115" s="205"/>
      <c r="I115" s="205"/>
      <c r="J115" s="205"/>
      <c r="K115" s="205"/>
      <c r="M115" s="205"/>
      <c r="N115" s="205"/>
      <c r="O115" s="205"/>
      <c r="P115" s="205"/>
      <c r="Q115" s="205"/>
      <c r="R115" s="205"/>
      <c r="S115" s="205"/>
      <c r="T115" s="205"/>
      <c r="U115" s="205"/>
      <c r="V115" s="217"/>
      <c r="W115" s="218"/>
      <c r="X115" s="218"/>
      <c r="Y115" s="251"/>
      <c r="Z115" s="205"/>
      <c r="AA115" s="205"/>
      <c r="AB115" s="205"/>
      <c r="AC115" s="205"/>
      <c r="AD115" s="205"/>
      <c r="AE115" s="205"/>
    </row>
    <row r="116" spans="2:31" ht="29.25" customHeight="1" x14ac:dyDescent="0.35">
      <c r="B116" s="299">
        <v>115</v>
      </c>
      <c r="C116" s="228" t="s">
        <v>585</v>
      </c>
      <c r="D116" s="229">
        <f t="shared" si="1"/>
        <v>29.36</v>
      </c>
      <c r="E116" s="229">
        <v>1971</v>
      </c>
      <c r="F116" s="229">
        <v>0.44911177013142506</v>
      </c>
      <c r="G116" s="205"/>
      <c r="H116" s="205"/>
      <c r="I116" s="205"/>
      <c r="J116" s="205"/>
      <c r="K116" s="205"/>
      <c r="M116" s="205"/>
      <c r="N116" s="205"/>
      <c r="O116" s="205"/>
      <c r="P116" s="205"/>
      <c r="Q116" s="205"/>
      <c r="R116" s="205"/>
      <c r="S116" s="205"/>
      <c r="T116" s="205"/>
      <c r="U116" s="205"/>
      <c r="V116" s="217"/>
      <c r="W116" s="218"/>
      <c r="X116" s="218"/>
      <c r="Y116" s="251"/>
      <c r="Z116" s="205"/>
      <c r="AA116" s="205"/>
      <c r="AB116" s="205"/>
      <c r="AC116" s="205"/>
      <c r="AD116" s="205"/>
      <c r="AE116" s="205"/>
    </row>
    <row r="117" spans="2:31" ht="29.25" customHeight="1" x14ac:dyDescent="0.35">
      <c r="B117" s="299">
        <v>116</v>
      </c>
      <c r="C117" s="228" t="s">
        <v>586</v>
      </c>
      <c r="D117" s="229">
        <f t="shared" si="1"/>
        <v>1.7025773195876286</v>
      </c>
      <c r="E117" s="229">
        <v>33988.800000000003</v>
      </c>
      <c r="F117" s="229">
        <v>4.6864327253702864</v>
      </c>
      <c r="G117" s="205"/>
      <c r="H117" s="205"/>
      <c r="I117" s="205"/>
      <c r="J117" s="205"/>
      <c r="K117" s="205"/>
      <c r="M117" s="205"/>
      <c r="N117" s="205"/>
      <c r="O117" s="205"/>
      <c r="P117" s="205"/>
      <c r="Q117" s="205"/>
      <c r="R117" s="205"/>
      <c r="S117" s="205"/>
      <c r="T117" s="205"/>
      <c r="U117" s="205"/>
      <c r="V117" s="217"/>
      <c r="W117" s="218"/>
      <c r="X117" s="218"/>
      <c r="Y117" s="251"/>
      <c r="Z117" s="205"/>
      <c r="AA117" s="205"/>
      <c r="AB117" s="205"/>
      <c r="AC117" s="205"/>
      <c r="AD117" s="205"/>
      <c r="AE117" s="205"/>
    </row>
    <row r="118" spans="2:31" ht="29.25" customHeight="1" x14ac:dyDescent="0.35">
      <c r="B118" s="299">
        <v>117</v>
      </c>
      <c r="C118" s="228" t="s">
        <v>587</v>
      </c>
      <c r="D118" s="229">
        <f t="shared" si="1"/>
        <v>12.606870229007633</v>
      </c>
      <c r="E118" s="229">
        <v>4590.24</v>
      </c>
      <c r="F118" s="229">
        <v>0.39851838188375122</v>
      </c>
      <c r="G118" s="205"/>
      <c r="H118" s="205"/>
      <c r="I118" s="205"/>
      <c r="J118" s="205"/>
      <c r="K118" s="205"/>
      <c r="M118" s="205"/>
      <c r="N118" s="205"/>
      <c r="O118" s="205"/>
      <c r="P118" s="205"/>
      <c r="Q118" s="205"/>
      <c r="R118" s="205"/>
      <c r="S118" s="205"/>
      <c r="T118" s="205"/>
      <c r="U118" s="205"/>
      <c r="V118" s="217"/>
      <c r="W118" s="218"/>
      <c r="X118" s="218"/>
      <c r="Y118" s="251"/>
      <c r="Z118" s="205"/>
      <c r="AA118" s="205"/>
      <c r="AB118" s="205"/>
      <c r="AC118" s="205"/>
      <c r="AD118" s="205"/>
      <c r="AE118" s="205"/>
    </row>
    <row r="119" spans="2:31" ht="29.25" customHeight="1" x14ac:dyDescent="0.35">
      <c r="B119" s="299">
        <v>118</v>
      </c>
      <c r="C119" s="228" t="s">
        <v>588</v>
      </c>
      <c r="D119" s="229">
        <f t="shared" si="1"/>
        <v>2.9504242965609646</v>
      </c>
      <c r="E119" s="229">
        <v>19613.64</v>
      </c>
      <c r="F119" s="229">
        <v>1.9542842194658372</v>
      </c>
      <c r="G119" s="205"/>
      <c r="H119" s="205"/>
      <c r="I119" s="205"/>
      <c r="J119" s="205"/>
      <c r="K119" s="205"/>
      <c r="M119" s="205"/>
      <c r="N119" s="205"/>
      <c r="O119" s="205"/>
      <c r="P119" s="205"/>
      <c r="Q119" s="205"/>
      <c r="R119" s="205"/>
      <c r="S119" s="205"/>
      <c r="T119" s="205"/>
      <c r="U119" s="205"/>
      <c r="V119" s="217"/>
      <c r="W119" s="218"/>
      <c r="X119" s="218"/>
      <c r="Y119" s="251"/>
      <c r="Z119" s="205"/>
      <c r="AA119" s="205"/>
      <c r="AB119" s="205"/>
      <c r="AC119" s="205"/>
      <c r="AD119" s="205"/>
      <c r="AE119" s="205"/>
    </row>
    <row r="120" spans="2:31" ht="29.25" customHeight="1" x14ac:dyDescent="0.35">
      <c r="B120" s="299">
        <v>119</v>
      </c>
      <c r="C120" s="228" t="s">
        <v>589</v>
      </c>
      <c r="D120" s="229">
        <f t="shared" si="1"/>
        <v>3.6356631810676938</v>
      </c>
      <c r="E120" s="229">
        <v>15916.92</v>
      </c>
      <c r="F120" s="229">
        <v>1.8417492264819306</v>
      </c>
      <c r="G120" s="205"/>
      <c r="H120" s="205"/>
      <c r="I120" s="205"/>
      <c r="J120" s="205"/>
      <c r="K120" s="205"/>
      <c r="M120" s="205"/>
      <c r="N120" s="205"/>
      <c r="O120" s="205"/>
      <c r="P120" s="205"/>
      <c r="Q120" s="205"/>
      <c r="R120" s="205"/>
      <c r="S120" s="205"/>
      <c r="T120" s="205"/>
      <c r="U120" s="205"/>
      <c r="V120" s="217"/>
      <c r="W120" s="218"/>
      <c r="X120" s="218"/>
      <c r="Y120" s="251"/>
      <c r="Z120" s="205"/>
      <c r="AA120" s="205"/>
      <c r="AB120" s="205"/>
      <c r="AC120" s="205"/>
      <c r="AD120" s="205"/>
      <c r="AE120" s="205"/>
    </row>
    <row r="121" spans="2:31" ht="29.25" customHeight="1" x14ac:dyDescent="0.35">
      <c r="B121" s="299">
        <v>120</v>
      </c>
      <c r="C121" s="228" t="s">
        <v>590</v>
      </c>
      <c r="D121" s="229">
        <f t="shared" si="1"/>
        <v>4.8860946745562126</v>
      </c>
      <c r="E121" s="229">
        <v>11843.52</v>
      </c>
      <c r="F121" s="229">
        <v>0.87451744942345766</v>
      </c>
      <c r="G121" s="205"/>
      <c r="H121" s="205"/>
      <c r="I121" s="205"/>
      <c r="J121" s="205"/>
      <c r="K121" s="205"/>
      <c r="M121" s="205"/>
      <c r="N121" s="205"/>
      <c r="O121" s="205"/>
      <c r="P121" s="205"/>
      <c r="Q121" s="205"/>
      <c r="R121" s="205"/>
      <c r="S121" s="205"/>
      <c r="T121" s="205"/>
      <c r="U121" s="205"/>
      <c r="V121" s="217"/>
      <c r="W121" s="218"/>
      <c r="X121" s="218"/>
      <c r="Y121" s="251"/>
      <c r="Z121" s="205"/>
      <c r="AA121" s="205"/>
      <c r="AB121" s="205"/>
      <c r="AC121" s="205"/>
      <c r="AD121" s="205"/>
      <c r="AE121" s="205"/>
    </row>
    <row r="122" spans="2:31" ht="29.25" customHeight="1" x14ac:dyDescent="0.35">
      <c r="B122" s="299">
        <v>121</v>
      </c>
      <c r="C122" s="228" t="s">
        <v>591</v>
      </c>
      <c r="D122" s="229">
        <f t="shared" si="1"/>
        <v>6.0439158279963401</v>
      </c>
      <c r="E122" s="229">
        <v>9574.68</v>
      </c>
      <c r="F122" s="229">
        <v>0.73752774678617217</v>
      </c>
      <c r="G122" s="205"/>
      <c r="H122" s="205"/>
      <c r="I122" s="205"/>
      <c r="J122" s="205"/>
      <c r="K122" s="205"/>
      <c r="M122" s="205"/>
      <c r="N122" s="205"/>
      <c r="O122" s="205"/>
      <c r="P122" s="205"/>
      <c r="Q122" s="205"/>
      <c r="R122" s="205"/>
      <c r="S122" s="205"/>
      <c r="T122" s="205"/>
      <c r="U122" s="205"/>
      <c r="V122" s="217"/>
      <c r="W122" s="218"/>
      <c r="X122" s="218"/>
      <c r="Y122" s="251"/>
      <c r="Z122" s="205"/>
      <c r="AA122" s="205"/>
      <c r="AB122" s="205"/>
      <c r="AC122" s="205"/>
      <c r="AD122" s="205"/>
      <c r="AE122" s="205"/>
    </row>
    <row r="123" spans="2:31" ht="29.25" customHeight="1" x14ac:dyDescent="0.35">
      <c r="B123" s="299">
        <v>122</v>
      </c>
      <c r="C123" s="228" t="s">
        <v>592</v>
      </c>
      <c r="D123" s="229">
        <f t="shared" si="1"/>
        <v>3.1653090560613322</v>
      </c>
      <c r="E123" s="229">
        <v>18282.12</v>
      </c>
      <c r="F123" s="229">
        <v>1.4414147073662622</v>
      </c>
      <c r="G123" s="205"/>
      <c r="H123" s="205"/>
      <c r="I123" s="205"/>
      <c r="J123" s="205"/>
      <c r="K123" s="205"/>
      <c r="M123" s="205"/>
      <c r="N123" s="205"/>
      <c r="O123" s="205"/>
      <c r="P123" s="205"/>
      <c r="Q123" s="205"/>
      <c r="R123" s="205"/>
      <c r="S123" s="205"/>
      <c r="T123" s="205"/>
      <c r="U123" s="205"/>
      <c r="V123" s="217"/>
      <c r="W123" s="218"/>
      <c r="X123" s="218"/>
      <c r="Y123" s="251"/>
      <c r="Z123" s="205"/>
      <c r="AA123" s="205"/>
      <c r="AB123" s="205"/>
      <c r="AC123" s="205"/>
      <c r="AD123" s="205"/>
      <c r="AE123" s="205"/>
    </row>
    <row r="124" spans="2:31" ht="29.25" customHeight="1" x14ac:dyDescent="0.35">
      <c r="B124" s="299">
        <v>123</v>
      </c>
      <c r="C124" s="228" t="s">
        <v>593</v>
      </c>
      <c r="D124" s="229">
        <f t="shared" si="1"/>
        <v>9.187760778859527</v>
      </c>
      <c r="E124" s="229">
        <v>6298.44</v>
      </c>
      <c r="F124" s="229">
        <v>1.0893309726739724</v>
      </c>
      <c r="G124" s="205"/>
      <c r="H124" s="205"/>
      <c r="I124" s="205"/>
      <c r="J124" s="205"/>
      <c r="K124" s="205"/>
      <c r="M124" s="205"/>
      <c r="N124" s="205"/>
      <c r="O124" s="205"/>
      <c r="P124" s="205"/>
      <c r="Q124" s="205"/>
      <c r="R124" s="205"/>
      <c r="S124" s="205"/>
      <c r="T124" s="205"/>
      <c r="U124" s="205"/>
      <c r="V124" s="217"/>
      <c r="W124" s="218"/>
      <c r="X124" s="218"/>
      <c r="Y124" s="251"/>
      <c r="Z124" s="205"/>
      <c r="AA124" s="205"/>
      <c r="AB124" s="205"/>
      <c r="AC124" s="205"/>
      <c r="AD124" s="205"/>
      <c r="AE124" s="205"/>
    </row>
    <row r="125" spans="2:31" ht="29.25" customHeight="1" x14ac:dyDescent="0.35">
      <c r="B125" s="299">
        <v>124</v>
      </c>
      <c r="C125" s="228" t="s">
        <v>594</v>
      </c>
      <c r="D125" s="229">
        <f t="shared" si="1"/>
        <v>52.847999999999999</v>
      </c>
      <c r="E125" s="229">
        <v>1095</v>
      </c>
      <c r="F125" s="229">
        <v>0.35279333344559705</v>
      </c>
      <c r="G125" s="205"/>
      <c r="H125" s="205"/>
      <c r="I125" s="205"/>
      <c r="J125" s="205"/>
      <c r="K125" s="205"/>
      <c r="M125" s="205"/>
      <c r="N125" s="205"/>
      <c r="O125" s="205"/>
      <c r="P125" s="205"/>
      <c r="Q125" s="205"/>
      <c r="R125" s="205"/>
      <c r="S125" s="205"/>
      <c r="T125" s="205"/>
      <c r="U125" s="205"/>
      <c r="V125" s="217"/>
      <c r="W125" s="218"/>
      <c r="X125" s="218"/>
      <c r="Y125" s="251"/>
      <c r="Z125" s="205"/>
      <c r="AA125" s="205"/>
      <c r="AB125" s="205"/>
      <c r="AC125" s="205"/>
      <c r="AD125" s="205"/>
      <c r="AE125" s="205"/>
    </row>
    <row r="126" spans="2:31" ht="29.25" customHeight="1" x14ac:dyDescent="0.35">
      <c r="B126" s="299">
        <v>125</v>
      </c>
      <c r="C126" s="228" t="s">
        <v>595</v>
      </c>
      <c r="D126" s="229">
        <f t="shared" si="1"/>
        <v>14.206451612903225</v>
      </c>
      <c r="E126" s="229">
        <v>4073.4</v>
      </c>
      <c r="F126" s="229">
        <v>0.40323338691378313</v>
      </c>
      <c r="G126" s="205"/>
      <c r="H126" s="205"/>
      <c r="I126" s="205"/>
      <c r="J126" s="205"/>
      <c r="K126" s="205"/>
      <c r="M126" s="205"/>
      <c r="N126" s="205"/>
      <c r="O126" s="205"/>
      <c r="P126" s="205"/>
      <c r="Q126" s="205"/>
      <c r="R126" s="205"/>
      <c r="S126" s="205"/>
      <c r="T126" s="205"/>
      <c r="U126" s="205"/>
      <c r="V126" s="217"/>
      <c r="W126" s="218"/>
      <c r="X126" s="218"/>
      <c r="Y126" s="251"/>
      <c r="Z126" s="205"/>
      <c r="AA126" s="205"/>
      <c r="AB126" s="205"/>
      <c r="AC126" s="205"/>
      <c r="AD126" s="205"/>
      <c r="AE126" s="205"/>
    </row>
    <row r="127" spans="2:31" ht="29.25" customHeight="1" x14ac:dyDescent="0.35">
      <c r="B127" s="299">
        <v>126</v>
      </c>
      <c r="C127" s="228" t="s">
        <v>596</v>
      </c>
      <c r="D127" s="229">
        <f t="shared" si="1"/>
        <v>7.1648590021691971</v>
      </c>
      <c r="E127" s="229">
        <v>8076.72</v>
      </c>
      <c r="F127" s="229">
        <v>0.8611981654021138</v>
      </c>
      <c r="G127" s="205"/>
      <c r="H127" s="205"/>
      <c r="I127" s="205"/>
      <c r="J127" s="205"/>
      <c r="K127" s="205"/>
      <c r="M127" s="205"/>
      <c r="N127" s="205"/>
      <c r="O127" s="205"/>
      <c r="P127" s="205"/>
      <c r="Q127" s="205"/>
      <c r="R127" s="205"/>
      <c r="S127" s="205"/>
      <c r="T127" s="205"/>
      <c r="U127" s="205"/>
      <c r="V127" s="217"/>
      <c r="W127" s="218"/>
      <c r="X127" s="218"/>
      <c r="Y127" s="251"/>
      <c r="Z127" s="205"/>
      <c r="AA127" s="205"/>
      <c r="AB127" s="205"/>
      <c r="AC127" s="205"/>
      <c r="AD127" s="205"/>
      <c r="AE127" s="205"/>
    </row>
    <row r="128" spans="2:31" ht="29.25" customHeight="1" x14ac:dyDescent="0.35">
      <c r="B128" s="299">
        <v>127</v>
      </c>
      <c r="C128" s="228" t="s">
        <v>597</v>
      </c>
      <c r="D128" s="229">
        <f t="shared" si="1"/>
        <v>16.270935960591132</v>
      </c>
      <c r="E128" s="229">
        <v>3556.56</v>
      </c>
      <c r="F128" s="229">
        <v>0.67374643390483746</v>
      </c>
      <c r="G128" s="205"/>
      <c r="H128" s="205"/>
      <c r="I128" s="205"/>
      <c r="J128" s="205"/>
      <c r="K128" s="205"/>
      <c r="M128" s="205"/>
      <c r="N128" s="205"/>
      <c r="O128" s="205"/>
      <c r="P128" s="205"/>
      <c r="Q128" s="205"/>
      <c r="R128" s="205"/>
      <c r="S128" s="205"/>
      <c r="T128" s="205"/>
      <c r="U128" s="205"/>
      <c r="V128" s="217"/>
      <c r="W128" s="218"/>
      <c r="X128" s="218"/>
      <c r="Y128" s="251"/>
      <c r="Z128" s="205"/>
      <c r="AA128" s="205"/>
      <c r="AB128" s="205"/>
      <c r="AC128" s="205"/>
      <c r="AD128" s="205"/>
      <c r="AE128" s="205"/>
    </row>
    <row r="129" spans="2:31" ht="29.25" customHeight="1" x14ac:dyDescent="0.35">
      <c r="B129" s="299">
        <v>128</v>
      </c>
      <c r="C129" s="228" t="s">
        <v>458</v>
      </c>
      <c r="D129" s="229">
        <f t="shared" si="1"/>
        <v>1.1065326633165828</v>
      </c>
      <c r="E129" s="229">
        <v>52297.2</v>
      </c>
      <c r="F129" s="229">
        <v>10.39216094420601</v>
      </c>
      <c r="G129" s="205"/>
      <c r="H129" s="205"/>
      <c r="I129" s="205"/>
      <c r="J129" s="205"/>
      <c r="K129" s="205"/>
      <c r="M129" s="205"/>
      <c r="N129" s="205"/>
      <c r="O129" s="205"/>
      <c r="P129" s="205"/>
      <c r="Q129" s="205"/>
      <c r="R129" s="205"/>
      <c r="S129" s="205"/>
      <c r="T129" s="205"/>
      <c r="U129" s="205"/>
      <c r="V129" s="217"/>
      <c r="W129" s="218"/>
      <c r="X129" s="218"/>
      <c r="Y129" s="251"/>
      <c r="Z129" s="205"/>
      <c r="AA129" s="205"/>
      <c r="AB129" s="205"/>
      <c r="AC129" s="205"/>
      <c r="AD129" s="205"/>
      <c r="AE129" s="205"/>
    </row>
    <row r="130" spans="2:31" ht="29.25" customHeight="1" x14ac:dyDescent="0.35">
      <c r="B130" s="299">
        <v>129</v>
      </c>
      <c r="C130" s="228" t="s">
        <v>598</v>
      </c>
      <c r="D130" s="229">
        <f t="shared" si="1"/>
        <v>1.5030716723549489</v>
      </c>
      <c r="E130" s="229">
        <v>38500.199999999997</v>
      </c>
      <c r="F130" s="229">
        <v>9.9526196047490867</v>
      </c>
      <c r="G130" s="205"/>
      <c r="H130" s="205"/>
      <c r="I130" s="205"/>
      <c r="J130" s="205"/>
      <c r="K130" s="205"/>
      <c r="M130" s="205"/>
      <c r="N130" s="205"/>
      <c r="O130" s="205"/>
      <c r="P130" s="205"/>
      <c r="Q130" s="205"/>
      <c r="R130" s="205"/>
      <c r="S130" s="205"/>
      <c r="T130" s="205"/>
      <c r="U130" s="205"/>
      <c r="V130" s="217"/>
      <c r="W130" s="218"/>
      <c r="X130" s="218"/>
      <c r="Y130" s="251"/>
      <c r="Z130" s="205"/>
      <c r="AA130" s="205"/>
      <c r="AB130" s="205"/>
      <c r="AC130" s="205"/>
      <c r="AD130" s="205"/>
      <c r="AE130" s="205"/>
    </row>
    <row r="131" spans="2:31" ht="29.25" customHeight="1" x14ac:dyDescent="0.35">
      <c r="B131" s="299">
        <v>130</v>
      </c>
      <c r="C131" s="228" t="s">
        <v>599</v>
      </c>
      <c r="D131" s="229">
        <f t="shared" si="1"/>
        <v>12.210720887245841</v>
      </c>
      <c r="E131" s="229">
        <v>4739.16</v>
      </c>
      <c r="F131" s="229">
        <v>0.82545253056217749</v>
      </c>
      <c r="G131" s="205"/>
      <c r="H131" s="205"/>
      <c r="I131" s="205"/>
      <c r="J131" s="205"/>
      <c r="K131" s="205"/>
      <c r="M131" s="205"/>
      <c r="N131" s="205"/>
      <c r="O131" s="205"/>
      <c r="P131" s="205"/>
      <c r="Q131" s="205"/>
      <c r="R131" s="205"/>
      <c r="S131" s="205"/>
      <c r="T131" s="205"/>
      <c r="U131" s="205"/>
      <c r="V131" s="217"/>
      <c r="W131" s="218"/>
      <c r="X131" s="218"/>
      <c r="Y131" s="251"/>
      <c r="Z131" s="205"/>
      <c r="AA131" s="205"/>
      <c r="AB131" s="205"/>
      <c r="AC131" s="205"/>
      <c r="AD131" s="205"/>
      <c r="AE131" s="205"/>
    </row>
    <row r="132" spans="2:31" ht="29.25" customHeight="1" x14ac:dyDescent="0.35">
      <c r="B132" s="299">
        <v>131</v>
      </c>
      <c r="C132" s="228" t="s">
        <v>600</v>
      </c>
      <c r="D132" s="229">
        <f t="shared" si="1"/>
        <v>54.595041322314046</v>
      </c>
      <c r="E132" s="229">
        <v>1059.96</v>
      </c>
      <c r="F132" s="229">
        <v>0.45602613853342888</v>
      </c>
      <c r="G132" s="205"/>
      <c r="H132" s="205"/>
      <c r="I132" s="205"/>
      <c r="J132" s="205"/>
      <c r="K132" s="205"/>
      <c r="M132" s="205"/>
      <c r="N132" s="205"/>
      <c r="O132" s="205"/>
      <c r="P132" s="205"/>
      <c r="Q132" s="205"/>
      <c r="R132" s="205"/>
      <c r="S132" s="205"/>
      <c r="T132" s="205"/>
      <c r="U132" s="205"/>
      <c r="V132" s="217"/>
      <c r="W132" s="218"/>
      <c r="X132" s="218"/>
      <c r="Y132" s="251"/>
      <c r="Z132" s="205"/>
      <c r="AA132" s="205"/>
      <c r="AB132" s="205"/>
      <c r="AC132" s="205"/>
      <c r="AD132" s="205"/>
      <c r="AE132" s="205"/>
    </row>
    <row r="133" spans="2:31" ht="29.25" customHeight="1" x14ac:dyDescent="0.35">
      <c r="B133" s="299">
        <v>132</v>
      </c>
      <c r="C133" s="228" t="s">
        <v>601</v>
      </c>
      <c r="D133" s="229">
        <f t="shared" si="1"/>
        <v>13.212</v>
      </c>
      <c r="E133" s="229">
        <v>4380</v>
      </c>
      <c r="F133" s="229">
        <v>0.41304683796726094</v>
      </c>
      <c r="G133" s="205"/>
      <c r="H133" s="205"/>
      <c r="I133" s="205"/>
      <c r="J133" s="205"/>
      <c r="K133" s="205"/>
      <c r="M133" s="205"/>
      <c r="N133" s="205"/>
      <c r="O133" s="205"/>
      <c r="P133" s="205"/>
      <c r="Q133" s="205"/>
      <c r="R133" s="205"/>
      <c r="S133" s="205"/>
      <c r="T133" s="205"/>
      <c r="U133" s="205"/>
      <c r="V133" s="217"/>
      <c r="W133" s="218"/>
      <c r="X133" s="218"/>
      <c r="Y133" s="251"/>
      <c r="Z133" s="205"/>
      <c r="AA133" s="205"/>
      <c r="AB133" s="205"/>
      <c r="AC133" s="205"/>
      <c r="AD133" s="205"/>
      <c r="AE133" s="205"/>
    </row>
    <row r="134" spans="2:31" ht="29.25" customHeight="1" x14ac:dyDescent="0.35">
      <c r="B134" s="299">
        <v>133</v>
      </c>
      <c r="C134" s="228" t="s">
        <v>602</v>
      </c>
      <c r="D134" s="229">
        <f t="shared" ref="D134:D194" si="2">$E$186/E134</f>
        <v>1.0006058770069677</v>
      </c>
      <c r="E134" s="229">
        <v>57833.52</v>
      </c>
      <c r="F134" s="229">
        <v>12.179653156998416</v>
      </c>
      <c r="G134" s="205"/>
      <c r="H134" s="205"/>
      <c r="I134" s="205"/>
      <c r="J134" s="205"/>
      <c r="K134" s="205"/>
      <c r="M134" s="205"/>
      <c r="N134" s="205"/>
      <c r="O134" s="205"/>
      <c r="P134" s="205"/>
      <c r="Q134" s="205"/>
      <c r="R134" s="205"/>
      <c r="S134" s="205"/>
      <c r="T134" s="205"/>
      <c r="U134" s="205"/>
      <c r="V134" s="217"/>
      <c r="W134" s="218"/>
      <c r="X134" s="218"/>
      <c r="Y134" s="251"/>
      <c r="Z134" s="205"/>
      <c r="AA134" s="205"/>
      <c r="AB134" s="205"/>
      <c r="AC134" s="205"/>
      <c r="AD134" s="205"/>
      <c r="AE134" s="205"/>
    </row>
    <row r="135" spans="2:31" ht="29.25" customHeight="1" x14ac:dyDescent="0.35">
      <c r="B135" s="299">
        <v>134</v>
      </c>
      <c r="C135" s="228" t="s">
        <v>603</v>
      </c>
      <c r="D135" s="229">
        <f t="shared" si="2"/>
        <v>2.5252293577981653</v>
      </c>
      <c r="E135" s="229">
        <v>22916.16</v>
      </c>
      <c r="F135" s="229">
        <v>4.6976763200634011</v>
      </c>
      <c r="G135" s="205"/>
      <c r="H135" s="205"/>
      <c r="I135" s="205"/>
      <c r="J135" s="205"/>
      <c r="K135" s="205"/>
      <c r="M135" s="205"/>
      <c r="N135" s="205"/>
      <c r="O135" s="205"/>
      <c r="P135" s="205"/>
      <c r="Q135" s="205"/>
      <c r="R135" s="205"/>
      <c r="S135" s="205"/>
      <c r="T135" s="205"/>
      <c r="U135" s="205"/>
      <c r="V135" s="217"/>
      <c r="W135" s="218"/>
      <c r="X135" s="218"/>
      <c r="Y135" s="251"/>
      <c r="Z135" s="205"/>
      <c r="AA135" s="205"/>
      <c r="AB135" s="205"/>
      <c r="AC135" s="205"/>
      <c r="AD135" s="205"/>
      <c r="AE135" s="205"/>
    </row>
    <row r="136" spans="2:31" ht="29.25" customHeight="1" x14ac:dyDescent="0.35">
      <c r="B136" s="299">
        <v>135</v>
      </c>
      <c r="C136" s="228" t="s">
        <v>604</v>
      </c>
      <c r="D136" s="229">
        <f t="shared" si="2"/>
        <v>13.849056603773583</v>
      </c>
      <c r="E136" s="229">
        <v>4178.5200000000004</v>
      </c>
      <c r="F136" s="229">
        <v>0.64103398565867986</v>
      </c>
      <c r="G136" s="205"/>
      <c r="H136" s="205"/>
      <c r="I136" s="205"/>
      <c r="J136" s="205"/>
      <c r="K136" s="205"/>
      <c r="M136" s="205"/>
      <c r="N136" s="205"/>
      <c r="O136" s="205"/>
      <c r="P136" s="205"/>
      <c r="Q136" s="205"/>
      <c r="R136" s="205"/>
      <c r="S136" s="205"/>
      <c r="T136" s="205"/>
      <c r="U136" s="205"/>
      <c r="V136" s="217"/>
      <c r="W136" s="218"/>
      <c r="X136" s="218"/>
      <c r="Y136" s="251"/>
      <c r="Z136" s="205"/>
      <c r="AA136" s="205"/>
      <c r="AB136" s="205"/>
      <c r="AC136" s="205"/>
      <c r="AD136" s="205"/>
      <c r="AE136" s="205"/>
    </row>
    <row r="137" spans="2:31" ht="29.25" customHeight="1" x14ac:dyDescent="0.35">
      <c r="B137" s="299">
        <v>136</v>
      </c>
      <c r="C137" s="228" t="s">
        <v>605</v>
      </c>
      <c r="D137" s="229">
        <f t="shared" si="2"/>
        <v>2.6413434626149539</v>
      </c>
      <c r="E137" s="229">
        <v>21908.76</v>
      </c>
      <c r="F137" s="229">
        <v>2.5414232858140924</v>
      </c>
      <c r="G137" s="205"/>
      <c r="H137" s="205"/>
      <c r="I137" s="205"/>
      <c r="J137" s="205"/>
      <c r="K137" s="205"/>
      <c r="M137" s="205"/>
      <c r="N137" s="205"/>
      <c r="O137" s="205"/>
      <c r="P137" s="205"/>
      <c r="Q137" s="205"/>
      <c r="R137" s="205"/>
      <c r="S137" s="205"/>
      <c r="T137" s="205"/>
      <c r="U137" s="205"/>
      <c r="V137" s="217"/>
      <c r="W137" s="218"/>
      <c r="X137" s="218"/>
      <c r="Y137" s="251"/>
      <c r="Z137" s="205"/>
      <c r="AA137" s="205"/>
      <c r="AB137" s="205"/>
      <c r="AC137" s="205"/>
      <c r="AD137" s="205"/>
      <c r="AE137" s="205"/>
    </row>
    <row r="138" spans="2:31" ht="29.25" customHeight="1" x14ac:dyDescent="0.35">
      <c r="B138" s="299">
        <v>137</v>
      </c>
      <c r="C138" s="228" t="s">
        <v>606</v>
      </c>
      <c r="D138" s="229">
        <f t="shared" si="2"/>
        <v>15.580188679245284</v>
      </c>
      <c r="E138" s="229">
        <v>3714.24</v>
      </c>
      <c r="F138" s="229">
        <v>0.94245283439999983</v>
      </c>
      <c r="G138" s="205"/>
      <c r="H138" s="205"/>
      <c r="I138" s="205"/>
      <c r="J138" s="205"/>
      <c r="K138" s="205"/>
      <c r="M138" s="205"/>
      <c r="N138" s="205"/>
      <c r="O138" s="205"/>
      <c r="P138" s="205"/>
      <c r="Q138" s="205"/>
      <c r="R138" s="205"/>
      <c r="S138" s="205"/>
      <c r="T138" s="205"/>
      <c r="U138" s="205"/>
      <c r="V138" s="217"/>
      <c r="W138" s="218"/>
      <c r="X138" s="218"/>
      <c r="Y138" s="251"/>
      <c r="Z138" s="205"/>
      <c r="AA138" s="205"/>
      <c r="AB138" s="205"/>
      <c r="AC138" s="205"/>
      <c r="AD138" s="205"/>
      <c r="AE138" s="205"/>
    </row>
    <row r="139" spans="2:31" ht="29.25" customHeight="1" x14ac:dyDescent="0.35">
      <c r="B139" s="299">
        <v>138</v>
      </c>
      <c r="C139" s="228" t="s">
        <v>607</v>
      </c>
      <c r="D139" s="229">
        <f t="shared" si="2"/>
        <v>5.2470214455917388</v>
      </c>
      <c r="E139" s="229">
        <v>11028.84</v>
      </c>
      <c r="F139" s="229">
        <v>2.0798623179533999</v>
      </c>
      <c r="G139" s="205"/>
      <c r="H139" s="205"/>
      <c r="I139" s="205"/>
      <c r="J139" s="205"/>
      <c r="K139" s="205"/>
      <c r="M139" s="205"/>
      <c r="N139" s="205"/>
      <c r="O139" s="205"/>
      <c r="P139" s="205"/>
      <c r="Q139" s="205"/>
      <c r="R139" s="205"/>
      <c r="S139" s="205"/>
      <c r="T139" s="205"/>
      <c r="U139" s="205"/>
      <c r="V139" s="217"/>
      <c r="W139" s="218"/>
      <c r="X139" s="218"/>
      <c r="Y139" s="251"/>
      <c r="Z139" s="205"/>
      <c r="AA139" s="205"/>
      <c r="AB139" s="205"/>
      <c r="AC139" s="205"/>
      <c r="AD139" s="205"/>
      <c r="AE139" s="205"/>
    </row>
    <row r="140" spans="2:31" ht="29.25" customHeight="1" x14ac:dyDescent="0.35">
      <c r="B140" s="299">
        <v>139</v>
      </c>
      <c r="C140" s="228" t="s">
        <v>608</v>
      </c>
      <c r="D140" s="229">
        <f t="shared" si="2"/>
        <v>5.7493472584856393</v>
      </c>
      <c r="E140" s="229">
        <v>10065.24</v>
      </c>
      <c r="F140" s="229">
        <v>1.5437102090987123</v>
      </c>
      <c r="G140" s="205"/>
      <c r="H140" s="205"/>
      <c r="I140" s="205"/>
      <c r="J140" s="205"/>
      <c r="K140" s="205"/>
      <c r="M140" s="205"/>
      <c r="N140" s="205"/>
      <c r="O140" s="205"/>
      <c r="P140" s="205"/>
      <c r="Q140" s="205"/>
      <c r="R140" s="205"/>
      <c r="S140" s="205"/>
      <c r="T140" s="205"/>
      <c r="U140" s="205"/>
      <c r="V140" s="217"/>
      <c r="W140" s="218"/>
      <c r="X140" s="218"/>
      <c r="Y140" s="251"/>
      <c r="Z140" s="205"/>
      <c r="AA140" s="205"/>
      <c r="AB140" s="205"/>
      <c r="AC140" s="205"/>
      <c r="AD140" s="205"/>
      <c r="AE140" s="205"/>
    </row>
    <row r="141" spans="2:31" ht="29.25" customHeight="1" x14ac:dyDescent="0.35">
      <c r="B141" s="299">
        <v>140</v>
      </c>
      <c r="C141" s="228" t="s">
        <v>609</v>
      </c>
      <c r="D141" s="229">
        <f t="shared" si="2"/>
        <v>7.3075221238938051</v>
      </c>
      <c r="E141" s="229">
        <v>7919.04</v>
      </c>
      <c r="F141" s="229">
        <v>0.65190245978322492</v>
      </c>
      <c r="G141" s="205"/>
      <c r="H141" s="205"/>
      <c r="I141" s="205"/>
      <c r="J141" s="205"/>
      <c r="K141" s="205"/>
      <c r="M141" s="205"/>
      <c r="N141" s="205"/>
      <c r="O141" s="205"/>
      <c r="P141" s="205"/>
      <c r="Q141" s="205"/>
      <c r="R141" s="205"/>
      <c r="S141" s="205"/>
      <c r="T141" s="205"/>
      <c r="U141" s="205"/>
      <c r="V141" s="217"/>
      <c r="W141" s="218"/>
      <c r="X141" s="218"/>
      <c r="Y141" s="251"/>
      <c r="Z141" s="205"/>
      <c r="AA141" s="205"/>
      <c r="AB141" s="205"/>
      <c r="AC141" s="205"/>
      <c r="AD141" s="205"/>
      <c r="AE141" s="205"/>
    </row>
    <row r="142" spans="2:31" ht="29.25" customHeight="1" x14ac:dyDescent="0.35">
      <c r="B142" s="299">
        <v>141</v>
      </c>
      <c r="C142" s="228" t="s">
        <v>610</v>
      </c>
      <c r="D142" s="229">
        <f t="shared" si="2"/>
        <v>1.9885611077664056</v>
      </c>
      <c r="E142" s="229">
        <v>29100.720000000001</v>
      </c>
      <c r="F142" s="229">
        <v>3.5470371982840216</v>
      </c>
      <c r="G142" s="205"/>
      <c r="H142" s="205"/>
      <c r="I142" s="205"/>
      <c r="J142" s="205"/>
      <c r="K142" s="205"/>
      <c r="M142" s="205"/>
      <c r="N142" s="205"/>
      <c r="O142" s="205"/>
      <c r="P142" s="205"/>
      <c r="Q142" s="205"/>
      <c r="R142" s="205"/>
      <c r="S142" s="205"/>
      <c r="T142" s="205"/>
      <c r="U142" s="205"/>
      <c r="V142" s="217"/>
      <c r="W142" s="218"/>
      <c r="X142" s="218"/>
      <c r="Y142" s="251"/>
      <c r="Z142" s="205"/>
      <c r="AA142" s="205"/>
      <c r="AB142" s="205"/>
      <c r="AC142" s="205"/>
      <c r="AD142" s="205"/>
      <c r="AE142" s="205"/>
    </row>
    <row r="143" spans="2:31" ht="29.25" customHeight="1" x14ac:dyDescent="0.35">
      <c r="B143" s="299">
        <v>142</v>
      </c>
      <c r="C143" s="228" t="s">
        <v>611</v>
      </c>
      <c r="D143" s="229">
        <f t="shared" si="2"/>
        <v>1.9440847557386698</v>
      </c>
      <c r="E143" s="229">
        <v>29766.48</v>
      </c>
      <c r="F143" s="229">
        <v>4.0826599478288248</v>
      </c>
      <c r="G143" s="205"/>
      <c r="H143" s="205"/>
      <c r="I143" s="205"/>
      <c r="J143" s="205"/>
      <c r="K143" s="205"/>
      <c r="M143" s="205"/>
      <c r="N143" s="205"/>
      <c r="O143" s="205"/>
      <c r="P143" s="205"/>
      <c r="Q143" s="205"/>
      <c r="R143" s="205"/>
      <c r="S143" s="205"/>
      <c r="T143" s="205"/>
      <c r="U143" s="205"/>
      <c r="V143" s="217"/>
      <c r="W143" s="218"/>
      <c r="X143" s="218"/>
      <c r="Y143" s="251"/>
      <c r="Z143" s="205"/>
      <c r="AA143" s="205"/>
      <c r="AB143" s="205"/>
      <c r="AC143" s="205"/>
      <c r="AD143" s="205"/>
      <c r="AE143" s="205"/>
    </row>
    <row r="144" spans="2:31" ht="29.25" customHeight="1" x14ac:dyDescent="0.35">
      <c r="B144" s="299">
        <v>143</v>
      </c>
      <c r="C144" s="228" t="s">
        <v>612</v>
      </c>
      <c r="D144" s="229">
        <f t="shared" si="2"/>
        <v>0.75008515953219024</v>
      </c>
      <c r="E144" s="229">
        <v>77149.320000000007</v>
      </c>
      <c r="F144" s="229">
        <v>11.031564566953271</v>
      </c>
      <c r="G144" s="205"/>
      <c r="H144" s="205"/>
      <c r="I144" s="205"/>
      <c r="J144" s="205"/>
      <c r="K144" s="205"/>
      <c r="M144" s="205"/>
      <c r="N144" s="205"/>
      <c r="O144" s="205"/>
      <c r="P144" s="205"/>
      <c r="Q144" s="205"/>
      <c r="R144" s="205"/>
      <c r="S144" s="205"/>
      <c r="T144" s="205"/>
      <c r="U144" s="205"/>
      <c r="V144" s="217"/>
      <c r="W144" s="218"/>
      <c r="X144" s="218"/>
      <c r="Y144" s="251"/>
      <c r="Z144" s="205"/>
      <c r="AA144" s="205"/>
      <c r="AB144" s="205"/>
      <c r="AC144" s="205"/>
      <c r="AD144" s="205"/>
      <c r="AE144" s="205"/>
    </row>
    <row r="145" spans="2:31" ht="29.25" customHeight="1" x14ac:dyDescent="0.35">
      <c r="B145" s="299">
        <v>144</v>
      </c>
      <c r="C145" s="228" t="s">
        <v>613</v>
      </c>
      <c r="D145" s="229">
        <f t="shared" si="2"/>
        <v>2.1031518624641832</v>
      </c>
      <c r="E145" s="229">
        <v>27515.16</v>
      </c>
      <c r="F145" s="229">
        <v>2.6772989268587017</v>
      </c>
      <c r="G145" s="205"/>
      <c r="H145" s="205"/>
      <c r="I145" s="205"/>
      <c r="J145" s="205"/>
      <c r="K145" s="205"/>
      <c r="M145" s="205"/>
      <c r="N145" s="205"/>
      <c r="O145" s="205"/>
      <c r="P145" s="205"/>
      <c r="Q145" s="205"/>
      <c r="R145" s="205"/>
      <c r="S145" s="205"/>
      <c r="T145" s="205"/>
      <c r="U145" s="205"/>
      <c r="V145" s="217"/>
      <c r="W145" s="218"/>
      <c r="X145" s="218"/>
      <c r="Y145" s="251"/>
      <c r="Z145" s="205"/>
      <c r="AA145" s="205"/>
      <c r="AB145" s="205"/>
      <c r="AC145" s="205"/>
      <c r="AD145" s="205"/>
      <c r="AE145" s="205"/>
    </row>
    <row r="146" spans="2:31" ht="29.25" customHeight="1" x14ac:dyDescent="0.35">
      <c r="B146" s="299">
        <v>145</v>
      </c>
      <c r="C146" s="228" t="s">
        <v>614</v>
      </c>
      <c r="D146" s="229">
        <f t="shared" si="2"/>
        <v>2.3978221415607983</v>
      </c>
      <c r="E146" s="229">
        <v>24133.8</v>
      </c>
      <c r="F146" s="229">
        <v>1.8274528439458249</v>
      </c>
      <c r="G146" s="205"/>
      <c r="H146" s="205"/>
      <c r="I146" s="205"/>
      <c r="J146" s="205"/>
      <c r="K146" s="205"/>
      <c r="M146" s="205"/>
      <c r="N146" s="205"/>
      <c r="O146" s="205"/>
      <c r="P146" s="205"/>
      <c r="Q146" s="205"/>
      <c r="R146" s="205"/>
      <c r="S146" s="205"/>
      <c r="T146" s="205"/>
      <c r="U146" s="205"/>
      <c r="V146" s="217"/>
      <c r="W146" s="218"/>
      <c r="X146" s="218"/>
      <c r="Y146" s="251"/>
      <c r="Z146" s="205"/>
      <c r="AA146" s="205"/>
      <c r="AB146" s="205"/>
      <c r="AC146" s="205"/>
      <c r="AD146" s="205"/>
      <c r="AE146" s="205"/>
    </row>
    <row r="147" spans="2:31" ht="29.25" customHeight="1" x14ac:dyDescent="0.35">
      <c r="B147" s="299">
        <v>146</v>
      </c>
      <c r="C147" s="228" t="s">
        <v>615</v>
      </c>
      <c r="D147" s="229">
        <f t="shared" si="2"/>
        <v>30.583333333333332</v>
      </c>
      <c r="E147" s="229">
        <v>1892.16</v>
      </c>
      <c r="F147" s="229">
        <v>0.41305093936476794</v>
      </c>
      <c r="G147" s="205"/>
      <c r="H147" s="205"/>
      <c r="I147" s="205"/>
      <c r="J147" s="205"/>
      <c r="K147" s="205"/>
      <c r="M147" s="205"/>
      <c r="N147" s="205"/>
      <c r="O147" s="205"/>
      <c r="P147" s="205"/>
      <c r="Q147" s="205"/>
      <c r="R147" s="205"/>
      <c r="S147" s="205"/>
      <c r="T147" s="205"/>
      <c r="U147" s="205"/>
      <c r="V147" s="217"/>
      <c r="W147" s="218"/>
      <c r="X147" s="218"/>
      <c r="Y147" s="251"/>
      <c r="Z147" s="205"/>
      <c r="AA147" s="205"/>
      <c r="AB147" s="205"/>
      <c r="AC147" s="205"/>
      <c r="AD147" s="205"/>
      <c r="AE147" s="205"/>
    </row>
    <row r="148" spans="2:31" ht="29.25" customHeight="1" x14ac:dyDescent="0.35">
      <c r="B148" s="299">
        <v>147</v>
      </c>
      <c r="C148" s="228" t="s">
        <v>616</v>
      </c>
      <c r="D148" s="229">
        <f t="shared" si="2"/>
        <v>10.194444444444445</v>
      </c>
      <c r="E148" s="229">
        <v>5676.48</v>
      </c>
      <c r="F148" s="229">
        <v>0.74913114947729109</v>
      </c>
      <c r="G148" s="205"/>
      <c r="H148" s="205"/>
      <c r="I148" s="205"/>
      <c r="J148" s="205"/>
      <c r="K148" s="205"/>
      <c r="M148" s="205"/>
      <c r="N148" s="205"/>
      <c r="O148" s="205"/>
      <c r="P148" s="205"/>
      <c r="Q148" s="205"/>
      <c r="R148" s="205"/>
      <c r="S148" s="205"/>
      <c r="T148" s="205"/>
      <c r="U148" s="205"/>
      <c r="V148" s="217"/>
      <c r="W148" s="218"/>
      <c r="X148" s="218"/>
      <c r="Y148" s="251"/>
      <c r="Z148" s="205"/>
      <c r="AA148" s="205"/>
      <c r="AB148" s="205"/>
      <c r="AC148" s="205"/>
      <c r="AD148" s="205"/>
      <c r="AE148" s="205"/>
    </row>
    <row r="149" spans="2:31" ht="29.25" customHeight="1" x14ac:dyDescent="0.35">
      <c r="B149" s="299">
        <v>148</v>
      </c>
      <c r="C149" s="228" t="s">
        <v>617</v>
      </c>
      <c r="D149" s="229">
        <f t="shared" si="2"/>
        <v>15.507042253521126</v>
      </c>
      <c r="E149" s="229">
        <v>3731.76</v>
      </c>
      <c r="F149" s="229">
        <v>0</v>
      </c>
      <c r="G149" s="205"/>
      <c r="H149" s="205"/>
      <c r="I149" s="205"/>
      <c r="J149" s="205"/>
      <c r="K149" s="205"/>
      <c r="M149" s="205"/>
      <c r="N149" s="205"/>
      <c r="O149" s="205"/>
      <c r="P149" s="205"/>
      <c r="Q149" s="205"/>
      <c r="R149" s="205"/>
      <c r="S149" s="205"/>
      <c r="T149" s="205"/>
      <c r="U149" s="205"/>
      <c r="V149" s="217"/>
      <c r="W149" s="218"/>
      <c r="X149" s="218"/>
      <c r="Y149" s="251"/>
      <c r="Z149" s="205"/>
      <c r="AA149" s="205"/>
      <c r="AB149" s="205"/>
      <c r="AC149" s="205"/>
      <c r="AD149" s="205"/>
      <c r="AE149" s="205"/>
    </row>
    <row r="150" spans="2:31" ht="29.25" customHeight="1" x14ac:dyDescent="0.35">
      <c r="B150" s="299">
        <v>149</v>
      </c>
      <c r="C150" s="228" t="s">
        <v>618</v>
      </c>
      <c r="D150" s="229">
        <f t="shared" si="2"/>
        <v>1.3822975517890772</v>
      </c>
      <c r="E150" s="229">
        <v>41864.04</v>
      </c>
      <c r="F150" s="229">
        <v>6.3234417167381967</v>
      </c>
      <c r="G150" s="205"/>
      <c r="H150" s="205"/>
      <c r="I150" s="205"/>
      <c r="J150" s="205"/>
      <c r="K150" s="205"/>
      <c r="M150" s="205"/>
      <c r="N150" s="205"/>
      <c r="O150" s="205"/>
      <c r="P150" s="205"/>
      <c r="Q150" s="205"/>
      <c r="R150" s="205"/>
      <c r="S150" s="205"/>
      <c r="T150" s="205"/>
      <c r="U150" s="205"/>
      <c r="V150" s="217"/>
      <c r="W150" s="218"/>
      <c r="X150" s="218"/>
      <c r="Y150" s="251"/>
      <c r="Z150" s="205"/>
      <c r="AA150" s="205"/>
      <c r="AB150" s="205"/>
      <c r="AC150" s="205"/>
      <c r="AD150" s="205"/>
      <c r="AE150" s="205"/>
    </row>
    <row r="151" spans="2:31" ht="29.25" customHeight="1" x14ac:dyDescent="0.35">
      <c r="B151" s="299">
        <v>150</v>
      </c>
      <c r="C151" s="228" t="s">
        <v>619</v>
      </c>
      <c r="D151" s="229">
        <f t="shared" si="2"/>
        <v>19.429411764705883</v>
      </c>
      <c r="E151" s="229">
        <v>2978.4</v>
      </c>
      <c r="F151" s="229">
        <v>0.4354625109028406</v>
      </c>
      <c r="G151" s="205"/>
      <c r="H151" s="205"/>
      <c r="I151" s="205"/>
      <c r="J151" s="205"/>
      <c r="K151" s="205"/>
      <c r="M151" s="205"/>
      <c r="N151" s="205"/>
      <c r="O151" s="205"/>
      <c r="P151" s="205"/>
      <c r="Q151" s="205"/>
      <c r="R151" s="205"/>
      <c r="S151" s="205"/>
      <c r="T151" s="205"/>
      <c r="U151" s="205"/>
      <c r="V151" s="217"/>
      <c r="W151" s="218"/>
      <c r="X151" s="218"/>
      <c r="Y151" s="251"/>
      <c r="Z151" s="205"/>
      <c r="AA151" s="205"/>
      <c r="AB151" s="205"/>
      <c r="AC151" s="205"/>
      <c r="AD151" s="205"/>
      <c r="AE151" s="205"/>
    </row>
    <row r="152" spans="2:31" ht="29.25" customHeight="1" x14ac:dyDescent="0.35">
      <c r="B152" s="299">
        <v>151</v>
      </c>
      <c r="C152" s="228" t="s">
        <v>620</v>
      </c>
      <c r="D152" s="229">
        <f t="shared" si="2"/>
        <v>3.5420911528150132</v>
      </c>
      <c r="E152" s="229">
        <v>16337.4</v>
      </c>
      <c r="F152" s="229">
        <v>1.9858772237182349</v>
      </c>
      <c r="G152" s="205"/>
      <c r="H152" s="205"/>
      <c r="I152" s="205"/>
      <c r="J152" s="205"/>
      <c r="K152" s="205"/>
      <c r="M152" s="205"/>
      <c r="N152" s="205"/>
      <c r="O152" s="205"/>
      <c r="P152" s="205"/>
      <c r="Q152" s="205"/>
      <c r="R152" s="205"/>
      <c r="S152" s="205"/>
      <c r="T152" s="205"/>
      <c r="U152" s="205"/>
      <c r="V152" s="217"/>
      <c r="W152" s="218"/>
      <c r="X152" s="218"/>
      <c r="Y152" s="251"/>
      <c r="Z152" s="205"/>
      <c r="AA152" s="205"/>
      <c r="AB152" s="205"/>
      <c r="AC152" s="205"/>
      <c r="AD152" s="205"/>
      <c r="AE152" s="205"/>
    </row>
    <row r="153" spans="2:31" ht="29.25" customHeight="1" x14ac:dyDescent="0.35">
      <c r="B153" s="299">
        <v>152</v>
      </c>
      <c r="C153" s="228" t="s">
        <v>621</v>
      </c>
      <c r="D153" s="229">
        <f t="shared" si="2"/>
        <v>2.7174002468120113</v>
      </c>
      <c r="E153" s="229">
        <v>21295.56</v>
      </c>
      <c r="F153" s="229">
        <v>1.9953571521022755</v>
      </c>
      <c r="G153" s="205"/>
      <c r="H153" s="205"/>
      <c r="I153" s="205"/>
      <c r="J153" s="205"/>
      <c r="K153" s="205"/>
      <c r="M153" s="205"/>
      <c r="N153" s="205"/>
      <c r="O153" s="205"/>
      <c r="P153" s="205"/>
      <c r="Q153" s="205"/>
      <c r="R153" s="205"/>
      <c r="S153" s="205"/>
      <c r="T153" s="205"/>
      <c r="U153" s="205"/>
      <c r="V153" s="217"/>
      <c r="W153" s="218"/>
      <c r="X153" s="218"/>
      <c r="Y153" s="251"/>
      <c r="Z153" s="205"/>
      <c r="AA153" s="205"/>
      <c r="AB153" s="205"/>
      <c r="AC153" s="205"/>
      <c r="AD153" s="205"/>
      <c r="AE153" s="205"/>
    </row>
    <row r="154" spans="2:31" ht="29.25" customHeight="1" x14ac:dyDescent="0.35">
      <c r="B154" s="299">
        <v>153</v>
      </c>
      <c r="C154" s="228" t="s">
        <v>622</v>
      </c>
      <c r="D154" s="229">
        <f t="shared" si="2"/>
        <v>39.556886227544908</v>
      </c>
      <c r="E154" s="229">
        <v>1462.92</v>
      </c>
      <c r="F154" s="229">
        <v>0.30153971398651475</v>
      </c>
      <c r="G154" s="205"/>
      <c r="H154" s="205"/>
      <c r="I154" s="205"/>
      <c r="J154" s="205"/>
      <c r="K154" s="205"/>
      <c r="M154" s="205"/>
      <c r="N154" s="205"/>
      <c r="O154" s="205"/>
      <c r="P154" s="205"/>
      <c r="Q154" s="205"/>
      <c r="R154" s="205"/>
      <c r="S154" s="205"/>
      <c r="T154" s="205"/>
      <c r="U154" s="205"/>
      <c r="V154" s="217"/>
      <c r="W154" s="218"/>
      <c r="X154" s="218"/>
      <c r="Y154" s="251"/>
      <c r="Z154" s="205"/>
      <c r="AA154" s="205"/>
      <c r="AB154" s="205"/>
      <c r="AC154" s="205"/>
      <c r="AD154" s="205"/>
      <c r="AE154" s="205"/>
    </row>
    <row r="155" spans="2:31" ht="29.25" customHeight="1" x14ac:dyDescent="0.35">
      <c r="B155" s="299">
        <v>154</v>
      </c>
      <c r="C155" s="228" t="s">
        <v>623</v>
      </c>
      <c r="D155" s="229">
        <f t="shared" si="2"/>
        <v>0.76387604070305271</v>
      </c>
      <c r="E155" s="229">
        <v>75756.479999999996</v>
      </c>
      <c r="F155" s="229">
        <v>10.669433702384005</v>
      </c>
      <c r="G155" s="205"/>
      <c r="H155" s="205"/>
      <c r="I155" s="205"/>
      <c r="J155" s="205"/>
      <c r="K155" s="205"/>
      <c r="M155" s="205"/>
      <c r="N155" s="205"/>
      <c r="O155" s="205"/>
      <c r="P155" s="205"/>
      <c r="Q155" s="205"/>
      <c r="R155" s="205"/>
      <c r="S155" s="205"/>
      <c r="T155" s="205"/>
      <c r="U155" s="205"/>
      <c r="V155" s="217"/>
      <c r="W155" s="218"/>
      <c r="X155" s="218"/>
      <c r="Y155" s="251"/>
      <c r="Z155" s="205"/>
      <c r="AA155" s="205"/>
      <c r="AB155" s="205"/>
      <c r="AC155" s="205"/>
      <c r="AD155" s="205"/>
      <c r="AE155" s="205"/>
    </row>
    <row r="156" spans="2:31" ht="29.25" customHeight="1" x14ac:dyDescent="0.35">
      <c r="B156" s="299">
        <v>155</v>
      </c>
      <c r="C156" s="228" t="s">
        <v>624</v>
      </c>
      <c r="D156" s="229">
        <f t="shared" si="2"/>
        <v>2.1112176414189836</v>
      </c>
      <c r="E156" s="229">
        <v>27410.04</v>
      </c>
      <c r="F156" s="229">
        <v>3.5133991416309009</v>
      </c>
      <c r="G156" s="205"/>
      <c r="H156" s="205"/>
      <c r="I156" s="205"/>
      <c r="J156" s="205"/>
      <c r="K156" s="205"/>
      <c r="M156" s="205"/>
      <c r="N156" s="205"/>
      <c r="O156" s="205"/>
      <c r="P156" s="205"/>
      <c r="Q156" s="205"/>
      <c r="R156" s="205"/>
      <c r="S156" s="205"/>
      <c r="T156" s="205"/>
      <c r="U156" s="205"/>
      <c r="V156" s="217"/>
      <c r="W156" s="218"/>
      <c r="X156" s="218"/>
      <c r="Y156" s="251"/>
      <c r="Z156" s="205"/>
      <c r="AA156" s="205"/>
      <c r="AB156" s="205"/>
      <c r="AC156" s="205"/>
      <c r="AD156" s="205"/>
      <c r="AE156" s="205"/>
    </row>
    <row r="157" spans="2:31" ht="29.25" customHeight="1" x14ac:dyDescent="0.35">
      <c r="B157" s="299">
        <v>156</v>
      </c>
      <c r="C157" s="228" t="s">
        <v>625</v>
      </c>
      <c r="D157" s="229">
        <f t="shared" si="2"/>
        <v>1.6299037749814951</v>
      </c>
      <c r="E157" s="229">
        <v>35504.28</v>
      </c>
      <c r="F157" s="229">
        <v>5.7748326180257514</v>
      </c>
      <c r="G157" s="205"/>
      <c r="H157" s="205"/>
      <c r="I157" s="205"/>
      <c r="J157" s="205"/>
      <c r="K157" s="205"/>
      <c r="M157" s="205"/>
      <c r="N157" s="205"/>
      <c r="O157" s="205"/>
      <c r="P157" s="205"/>
      <c r="Q157" s="205"/>
      <c r="R157" s="205"/>
      <c r="S157" s="205"/>
      <c r="T157" s="205"/>
      <c r="U157" s="205"/>
      <c r="V157" s="217"/>
      <c r="W157" s="218"/>
      <c r="X157" s="218"/>
      <c r="Y157" s="251"/>
      <c r="Z157" s="205"/>
      <c r="AA157" s="205"/>
      <c r="AB157" s="205"/>
      <c r="AC157" s="205"/>
      <c r="AD157" s="205"/>
      <c r="AE157" s="205"/>
    </row>
    <row r="158" spans="2:31" ht="29.25" customHeight="1" x14ac:dyDescent="0.35">
      <c r="B158" s="299">
        <v>157</v>
      </c>
      <c r="C158" s="228" t="s">
        <v>626</v>
      </c>
      <c r="D158" s="229">
        <f t="shared" si="2"/>
        <v>24.649253731343283</v>
      </c>
      <c r="E158" s="229">
        <v>2347.6799999999998</v>
      </c>
      <c r="F158" s="229">
        <v>0.97419800336646589</v>
      </c>
      <c r="G158" s="205"/>
      <c r="H158" s="205"/>
      <c r="I158" s="205"/>
      <c r="J158" s="205"/>
      <c r="K158" s="205"/>
      <c r="M158" s="205"/>
      <c r="N158" s="205"/>
      <c r="O158" s="205"/>
      <c r="P158" s="205"/>
      <c r="Q158" s="205"/>
      <c r="R158" s="205"/>
      <c r="S158" s="205"/>
      <c r="T158" s="205"/>
      <c r="U158" s="205"/>
      <c r="V158" s="217"/>
      <c r="W158" s="218"/>
      <c r="X158" s="218"/>
      <c r="Y158" s="251"/>
      <c r="Z158" s="205"/>
      <c r="AA158" s="205"/>
      <c r="AB158" s="205"/>
      <c r="AC158" s="205"/>
      <c r="AD158" s="205"/>
      <c r="AE158" s="205"/>
    </row>
    <row r="159" spans="2:31" ht="29.25" customHeight="1" x14ac:dyDescent="0.35">
      <c r="B159" s="299">
        <v>158</v>
      </c>
      <c r="C159" s="228" t="s">
        <v>627</v>
      </c>
      <c r="D159" s="229">
        <f t="shared" si="2"/>
        <v>5.5652906486941864</v>
      </c>
      <c r="E159" s="229">
        <v>10398.120000000001</v>
      </c>
      <c r="F159" s="229">
        <v>1.1376641181845437</v>
      </c>
      <c r="G159" s="205"/>
      <c r="H159" s="205"/>
      <c r="I159" s="205"/>
      <c r="J159" s="205"/>
      <c r="K159" s="205"/>
      <c r="M159" s="205"/>
      <c r="N159" s="205"/>
      <c r="O159" s="205"/>
      <c r="P159" s="205"/>
      <c r="Q159" s="205"/>
      <c r="R159" s="205"/>
      <c r="S159" s="205"/>
      <c r="T159" s="205"/>
      <c r="U159" s="205"/>
      <c r="V159" s="217"/>
      <c r="W159" s="218"/>
      <c r="X159" s="218"/>
      <c r="Y159" s="251"/>
      <c r="Z159" s="205"/>
      <c r="AA159" s="205"/>
      <c r="AB159" s="205"/>
      <c r="AC159" s="205"/>
      <c r="AD159" s="205"/>
      <c r="AE159" s="205"/>
    </row>
    <row r="160" spans="2:31" ht="29.25" customHeight="1" x14ac:dyDescent="0.35">
      <c r="B160" s="299">
        <v>159</v>
      </c>
      <c r="C160" s="228" t="s">
        <v>628</v>
      </c>
      <c r="D160" s="229">
        <f t="shared" si="2"/>
        <v>1.5635502958579881</v>
      </c>
      <c r="E160" s="229">
        <v>37011</v>
      </c>
      <c r="F160" s="229">
        <v>6.9083690987124466</v>
      </c>
      <c r="G160" s="205"/>
      <c r="H160" s="205"/>
      <c r="I160" s="205"/>
      <c r="J160" s="205"/>
      <c r="K160" s="205"/>
      <c r="M160" s="205"/>
      <c r="N160" s="205"/>
      <c r="O160" s="205"/>
      <c r="P160" s="205"/>
      <c r="Q160" s="205"/>
      <c r="R160" s="205"/>
      <c r="S160" s="205"/>
      <c r="T160" s="205"/>
      <c r="U160" s="205"/>
      <c r="V160" s="217"/>
      <c r="W160" s="218"/>
      <c r="X160" s="218"/>
      <c r="Y160" s="251"/>
      <c r="Z160" s="205"/>
      <c r="AA160" s="205"/>
      <c r="AB160" s="205"/>
      <c r="AC160" s="205"/>
      <c r="AD160" s="205"/>
      <c r="AE160" s="205"/>
    </row>
    <row r="161" spans="2:31" ht="29.25" customHeight="1" x14ac:dyDescent="0.35">
      <c r="B161" s="299">
        <v>160</v>
      </c>
      <c r="C161" s="228" t="s">
        <v>629</v>
      </c>
      <c r="D161" s="229">
        <f t="shared" si="2"/>
        <v>5.1328671328671325</v>
      </c>
      <c r="E161" s="229">
        <v>11274.12</v>
      </c>
      <c r="F161" s="229">
        <v>0.69102192312224986</v>
      </c>
      <c r="G161" s="205"/>
      <c r="H161" s="205"/>
      <c r="I161" s="205"/>
      <c r="J161" s="205"/>
      <c r="K161" s="205"/>
      <c r="M161" s="205"/>
      <c r="N161" s="205"/>
      <c r="O161" s="205"/>
      <c r="P161" s="205"/>
      <c r="Q161" s="205"/>
      <c r="R161" s="205"/>
      <c r="S161" s="205"/>
      <c r="T161" s="205"/>
      <c r="U161" s="205"/>
      <c r="V161" s="217"/>
      <c r="W161" s="218"/>
      <c r="X161" s="218"/>
      <c r="Y161" s="251"/>
      <c r="Z161" s="205"/>
      <c r="AA161" s="205"/>
      <c r="AB161" s="205"/>
      <c r="AC161" s="205"/>
      <c r="AD161" s="205"/>
      <c r="AE161" s="205"/>
    </row>
    <row r="162" spans="2:31" ht="29.25" customHeight="1" x14ac:dyDescent="0.35">
      <c r="B162" s="299">
        <v>161</v>
      </c>
      <c r="C162" s="228" t="s">
        <v>630</v>
      </c>
      <c r="D162" s="229">
        <f t="shared" si="2"/>
        <v>2.7308805291442746</v>
      </c>
      <c r="E162" s="229">
        <v>21190.44</v>
      </c>
      <c r="F162" s="229">
        <v>3.1767097082475999</v>
      </c>
      <c r="G162" s="205"/>
      <c r="H162" s="205"/>
      <c r="I162" s="205"/>
      <c r="J162" s="205"/>
      <c r="K162" s="205"/>
      <c r="M162" s="205"/>
      <c r="N162" s="205"/>
      <c r="O162" s="205"/>
      <c r="P162" s="205"/>
      <c r="Q162" s="205"/>
      <c r="R162" s="205"/>
      <c r="S162" s="205"/>
      <c r="T162" s="205"/>
      <c r="U162" s="205"/>
      <c r="V162" s="217"/>
      <c r="W162" s="218"/>
      <c r="X162" s="218"/>
      <c r="Y162" s="251"/>
      <c r="Z162" s="205"/>
      <c r="AA162" s="205"/>
      <c r="AB162" s="205"/>
      <c r="AC162" s="205"/>
      <c r="AD162" s="205"/>
      <c r="AE162" s="205"/>
    </row>
    <row r="163" spans="2:31" ht="29.25" customHeight="1" x14ac:dyDescent="0.35">
      <c r="B163" s="299">
        <v>162</v>
      </c>
      <c r="C163" s="228" t="s">
        <v>631</v>
      </c>
      <c r="D163" s="229">
        <f t="shared" si="2"/>
        <v>5.414754098360655</v>
      </c>
      <c r="E163" s="229">
        <v>10687.2</v>
      </c>
      <c r="F163" s="229">
        <v>1.6157548457034889</v>
      </c>
      <c r="G163" s="205"/>
      <c r="H163" s="205"/>
      <c r="I163" s="205"/>
      <c r="J163" s="205"/>
      <c r="K163" s="205"/>
      <c r="M163" s="205"/>
      <c r="N163" s="205"/>
      <c r="O163" s="205"/>
      <c r="P163" s="205"/>
      <c r="Q163" s="205"/>
      <c r="R163" s="205"/>
      <c r="S163" s="205"/>
      <c r="T163" s="205"/>
      <c r="U163" s="205"/>
      <c r="V163" s="217"/>
      <c r="W163" s="218"/>
      <c r="X163" s="218"/>
      <c r="Y163" s="251"/>
      <c r="Z163" s="205"/>
      <c r="AA163" s="205"/>
      <c r="AB163" s="205"/>
      <c r="AC163" s="205"/>
      <c r="AD163" s="205"/>
      <c r="AE163" s="205"/>
    </row>
    <row r="164" spans="2:31" ht="29.25" customHeight="1" x14ac:dyDescent="0.35">
      <c r="B164" s="299">
        <v>163</v>
      </c>
      <c r="C164" s="228" t="s">
        <v>632</v>
      </c>
      <c r="D164" s="229">
        <f t="shared" si="2"/>
        <v>5.1569086651053864</v>
      </c>
      <c r="E164" s="229">
        <v>11221.56</v>
      </c>
      <c r="F164" s="229">
        <v>1.3528938105577015</v>
      </c>
      <c r="G164" s="205"/>
      <c r="H164" s="205"/>
      <c r="I164" s="205"/>
      <c r="J164" s="205"/>
      <c r="K164" s="205"/>
      <c r="M164" s="205"/>
      <c r="N164" s="205"/>
      <c r="O164" s="205"/>
      <c r="P164" s="205"/>
      <c r="Q164" s="205"/>
      <c r="R164" s="205"/>
      <c r="S164" s="205"/>
      <c r="T164" s="205"/>
      <c r="U164" s="205"/>
      <c r="V164" s="217"/>
      <c r="W164" s="218"/>
      <c r="X164" s="218"/>
      <c r="Y164" s="251"/>
      <c r="Z164" s="205"/>
      <c r="AA164" s="205"/>
      <c r="AB164" s="205"/>
      <c r="AC164" s="205"/>
      <c r="AD164" s="205"/>
      <c r="AE164" s="205"/>
    </row>
    <row r="165" spans="2:31" ht="29.25" customHeight="1" x14ac:dyDescent="0.35">
      <c r="B165" s="299">
        <v>164</v>
      </c>
      <c r="C165" s="228" t="s">
        <v>633</v>
      </c>
      <c r="D165" s="229">
        <f t="shared" si="2"/>
        <v>16.639798488664987</v>
      </c>
      <c r="E165" s="229">
        <v>3477.72</v>
      </c>
      <c r="F165" s="229">
        <v>0.41233666424010346</v>
      </c>
      <c r="G165" s="205"/>
      <c r="H165" s="205"/>
      <c r="I165" s="205"/>
      <c r="J165" s="205"/>
      <c r="K165" s="205"/>
      <c r="M165" s="205"/>
      <c r="N165" s="205"/>
      <c r="O165" s="205"/>
      <c r="P165" s="205"/>
      <c r="Q165" s="205"/>
      <c r="R165" s="205"/>
      <c r="S165" s="205"/>
      <c r="T165" s="205"/>
      <c r="U165" s="205"/>
      <c r="V165" s="217"/>
      <c r="W165" s="218"/>
      <c r="X165" s="218"/>
      <c r="Y165" s="251"/>
      <c r="Z165" s="205"/>
      <c r="AA165" s="205"/>
      <c r="AB165" s="205"/>
      <c r="AC165" s="205"/>
      <c r="AD165" s="205"/>
      <c r="AE165" s="205"/>
    </row>
    <row r="166" spans="2:31" ht="29.25" customHeight="1" x14ac:dyDescent="0.35">
      <c r="B166" s="299">
        <v>165</v>
      </c>
      <c r="C166" s="228" t="s">
        <v>634</v>
      </c>
      <c r="D166" s="229">
        <f t="shared" si="2"/>
        <v>4.4039999999999999</v>
      </c>
      <c r="E166" s="229">
        <v>13140</v>
      </c>
      <c r="F166" s="229">
        <v>1.1896467463264759</v>
      </c>
      <c r="G166" s="205"/>
      <c r="H166" s="205"/>
      <c r="I166" s="205"/>
      <c r="J166" s="205"/>
      <c r="K166" s="205"/>
      <c r="M166" s="205"/>
      <c r="N166" s="205"/>
      <c r="O166" s="205"/>
      <c r="P166" s="205"/>
      <c r="Q166" s="205"/>
      <c r="R166" s="205"/>
      <c r="S166" s="205"/>
      <c r="T166" s="205"/>
      <c r="U166" s="205"/>
      <c r="V166" s="217"/>
      <c r="W166" s="218"/>
      <c r="X166" s="218"/>
      <c r="Y166" s="251"/>
      <c r="Z166" s="205"/>
      <c r="AA166" s="205"/>
      <c r="AB166" s="205"/>
      <c r="AC166" s="205"/>
      <c r="AD166" s="205"/>
      <c r="AE166" s="205"/>
    </row>
    <row r="167" spans="2:31" ht="29.25" customHeight="1" x14ac:dyDescent="0.35">
      <c r="B167" s="299">
        <v>166</v>
      </c>
      <c r="C167" s="228" t="s">
        <v>635</v>
      </c>
      <c r="D167" s="229"/>
      <c r="E167" s="229">
        <v>0</v>
      </c>
      <c r="F167" s="229">
        <v>0.72021434133512829</v>
      </c>
      <c r="G167" s="205"/>
      <c r="H167" s="205"/>
      <c r="I167" s="205"/>
      <c r="J167" s="205"/>
      <c r="K167" s="205"/>
      <c r="M167" s="205"/>
      <c r="N167" s="205"/>
      <c r="O167" s="205"/>
      <c r="P167" s="205"/>
      <c r="Q167" s="205"/>
      <c r="R167" s="205"/>
      <c r="S167" s="205"/>
      <c r="T167" s="205"/>
      <c r="U167" s="205"/>
      <c r="V167" s="217"/>
      <c r="W167" s="218"/>
      <c r="X167" s="218"/>
      <c r="Y167" s="251"/>
      <c r="Z167" s="205"/>
      <c r="AA167" s="205"/>
      <c r="AB167" s="205"/>
      <c r="AC167" s="205"/>
      <c r="AD167" s="205"/>
      <c r="AE167" s="205"/>
    </row>
    <row r="168" spans="2:31" ht="29.25" customHeight="1" x14ac:dyDescent="0.35">
      <c r="B168" s="299">
        <v>167</v>
      </c>
      <c r="C168" s="228" t="s">
        <v>636</v>
      </c>
      <c r="D168" s="229">
        <f t="shared" si="2"/>
        <v>1.1739825839701439</v>
      </c>
      <c r="E168" s="229">
        <v>49292.52</v>
      </c>
      <c r="F168" s="229">
        <v>9.8962826923160581</v>
      </c>
      <c r="G168" s="205"/>
      <c r="H168" s="205"/>
      <c r="I168" s="205"/>
      <c r="J168" s="205"/>
      <c r="K168" s="205"/>
      <c r="M168" s="205"/>
      <c r="N168" s="205"/>
      <c r="O168" s="205"/>
      <c r="P168" s="205"/>
      <c r="Q168" s="205"/>
      <c r="R168" s="205"/>
      <c r="S168" s="205"/>
      <c r="T168" s="205"/>
      <c r="U168" s="205"/>
      <c r="V168" s="217"/>
      <c r="W168" s="218"/>
      <c r="X168" s="218"/>
      <c r="Y168" s="251"/>
      <c r="Z168" s="205"/>
      <c r="AA168" s="205"/>
      <c r="AB168" s="205"/>
      <c r="AC168" s="205"/>
      <c r="AD168" s="205"/>
      <c r="AE168" s="205"/>
    </row>
    <row r="169" spans="2:31" ht="29.25" customHeight="1" x14ac:dyDescent="0.35">
      <c r="B169" s="299">
        <v>168</v>
      </c>
      <c r="C169" s="228" t="s">
        <v>637</v>
      </c>
      <c r="D169" s="229">
        <f t="shared" si="2"/>
        <v>0.89731051344743273</v>
      </c>
      <c r="E169" s="229">
        <v>64491.12</v>
      </c>
      <c r="F169" s="229">
        <v>17.215532537405924</v>
      </c>
      <c r="G169" s="205"/>
      <c r="H169" s="205"/>
      <c r="I169" s="205"/>
      <c r="J169" s="205"/>
      <c r="K169" s="205"/>
      <c r="M169" s="205"/>
      <c r="N169" s="205"/>
      <c r="O169" s="205"/>
      <c r="P169" s="205"/>
      <c r="Q169" s="205"/>
      <c r="R169" s="205"/>
      <c r="S169" s="205"/>
      <c r="T169" s="205"/>
      <c r="U169" s="205"/>
      <c r="V169" s="217"/>
      <c r="W169" s="218"/>
      <c r="X169" s="218"/>
      <c r="Y169" s="251"/>
      <c r="Z169" s="205"/>
      <c r="AA169" s="205"/>
      <c r="AB169" s="205"/>
      <c r="AC169" s="205"/>
      <c r="AD169" s="205"/>
      <c r="AE169" s="205"/>
    </row>
    <row r="170" spans="2:31" ht="29.25" customHeight="1" x14ac:dyDescent="0.35">
      <c r="B170" s="299">
        <v>169</v>
      </c>
      <c r="C170" s="228" t="s">
        <v>638</v>
      </c>
      <c r="D170" s="229"/>
      <c r="E170" s="229">
        <v>0</v>
      </c>
      <c r="F170" s="229">
        <v>0</v>
      </c>
      <c r="G170" s="205"/>
      <c r="H170" s="205"/>
      <c r="I170" s="205"/>
      <c r="J170" s="205"/>
      <c r="K170" s="205"/>
      <c r="M170" s="205"/>
      <c r="N170" s="205"/>
      <c r="O170" s="205"/>
      <c r="P170" s="205"/>
      <c r="Q170" s="205"/>
      <c r="R170" s="205"/>
      <c r="S170" s="205"/>
      <c r="T170" s="205"/>
      <c r="U170" s="205"/>
      <c r="V170" s="217"/>
      <c r="W170" s="218"/>
      <c r="X170" s="218"/>
      <c r="Y170" s="251"/>
      <c r="Z170" s="205"/>
      <c r="AA170" s="205"/>
      <c r="AB170" s="205"/>
      <c r="AC170" s="205"/>
      <c r="AD170" s="205"/>
      <c r="AE170" s="205"/>
    </row>
    <row r="171" spans="2:31" ht="29.25" customHeight="1" x14ac:dyDescent="0.35">
      <c r="B171" s="299">
        <v>170</v>
      </c>
      <c r="C171" s="228" t="s">
        <v>639</v>
      </c>
      <c r="D171" s="229">
        <f t="shared" si="2"/>
        <v>14.68</v>
      </c>
      <c r="E171" s="229">
        <v>3942</v>
      </c>
      <c r="F171" s="229">
        <v>0.22688822996390176</v>
      </c>
      <c r="G171" s="205"/>
      <c r="H171" s="205"/>
      <c r="I171" s="205"/>
      <c r="J171" s="205"/>
      <c r="K171" s="205"/>
      <c r="M171" s="205"/>
      <c r="N171" s="205"/>
      <c r="O171" s="205"/>
      <c r="P171" s="205"/>
      <c r="Q171" s="205"/>
      <c r="R171" s="205"/>
      <c r="S171" s="205"/>
      <c r="T171" s="205"/>
      <c r="U171" s="205"/>
      <c r="V171" s="217"/>
      <c r="W171" s="218"/>
      <c r="X171" s="218"/>
      <c r="Y171" s="251"/>
      <c r="Z171" s="205"/>
      <c r="AA171" s="205"/>
      <c r="AB171" s="205"/>
      <c r="AC171" s="205"/>
      <c r="AD171" s="205"/>
      <c r="AE171" s="205"/>
    </row>
    <row r="172" spans="2:31" ht="29.25" customHeight="1" x14ac:dyDescent="0.35">
      <c r="B172" s="299">
        <v>171</v>
      </c>
      <c r="C172" s="228" t="s">
        <v>640</v>
      </c>
      <c r="D172" s="229">
        <f t="shared" si="2"/>
        <v>23.934782608695649</v>
      </c>
      <c r="E172" s="229">
        <v>2417.7600000000002</v>
      </c>
      <c r="F172" s="229">
        <v>0.44387687062733405</v>
      </c>
      <c r="G172" s="205"/>
      <c r="H172" s="205"/>
      <c r="I172" s="205"/>
      <c r="J172" s="205"/>
      <c r="K172" s="205"/>
      <c r="M172" s="205"/>
      <c r="N172" s="205"/>
      <c r="O172" s="205"/>
      <c r="P172" s="205"/>
      <c r="Q172" s="205"/>
      <c r="R172" s="205"/>
      <c r="S172" s="205"/>
      <c r="T172" s="205"/>
      <c r="U172" s="205"/>
      <c r="V172" s="217"/>
      <c r="W172" s="218"/>
      <c r="X172" s="218"/>
      <c r="Y172" s="251"/>
      <c r="Z172" s="205"/>
      <c r="AA172" s="205"/>
      <c r="AB172" s="205"/>
      <c r="AC172" s="205"/>
      <c r="AD172" s="205"/>
      <c r="AE172" s="205"/>
    </row>
    <row r="173" spans="2:31" ht="29.25" customHeight="1" x14ac:dyDescent="0.35">
      <c r="B173" s="299">
        <v>172</v>
      </c>
      <c r="C173" s="228" t="s">
        <v>641</v>
      </c>
      <c r="D173" s="229">
        <f t="shared" si="2"/>
        <v>3.7258883248730963</v>
      </c>
      <c r="E173" s="229">
        <v>15531.48</v>
      </c>
      <c r="F173" s="229">
        <v>1.5500278321117045</v>
      </c>
      <c r="G173" s="205"/>
      <c r="H173" s="205"/>
      <c r="I173" s="205"/>
      <c r="J173" s="205"/>
      <c r="K173" s="205"/>
      <c r="M173" s="205"/>
      <c r="N173" s="205"/>
      <c r="O173" s="205"/>
      <c r="P173" s="205"/>
      <c r="Q173" s="205"/>
      <c r="R173" s="205"/>
      <c r="S173" s="205"/>
      <c r="T173" s="205"/>
      <c r="U173" s="205"/>
      <c r="V173" s="217"/>
      <c r="W173" s="218"/>
      <c r="X173" s="218"/>
      <c r="Y173" s="251"/>
      <c r="Z173" s="205"/>
      <c r="AA173" s="205"/>
      <c r="AB173" s="205"/>
      <c r="AC173" s="205"/>
      <c r="AD173" s="205"/>
      <c r="AE173" s="205"/>
    </row>
    <row r="174" spans="2:31" ht="29.25" customHeight="1" x14ac:dyDescent="0.35">
      <c r="B174" s="299">
        <v>173</v>
      </c>
      <c r="C174" s="228" t="s">
        <v>642</v>
      </c>
      <c r="D174" s="229">
        <f t="shared" si="2"/>
        <v>14.712694877505568</v>
      </c>
      <c r="E174" s="229">
        <v>3933.24</v>
      </c>
      <c r="F174" s="229">
        <v>0.62493388841201725</v>
      </c>
      <c r="G174" s="205"/>
      <c r="H174" s="205"/>
      <c r="I174" s="205"/>
      <c r="J174" s="205"/>
      <c r="K174" s="205"/>
      <c r="M174" s="205"/>
      <c r="N174" s="205"/>
      <c r="O174" s="205"/>
      <c r="P174" s="205"/>
      <c r="Q174" s="205"/>
      <c r="R174" s="205"/>
      <c r="S174" s="205"/>
      <c r="T174" s="205"/>
      <c r="U174" s="205"/>
      <c r="V174" s="217"/>
      <c r="W174" s="218"/>
      <c r="X174" s="218"/>
      <c r="Y174" s="251"/>
      <c r="Z174" s="205"/>
      <c r="AA174" s="205"/>
      <c r="AB174" s="205"/>
      <c r="AC174" s="205"/>
      <c r="AD174" s="205"/>
      <c r="AE174" s="205"/>
    </row>
    <row r="175" spans="2:31" ht="29.25" customHeight="1" x14ac:dyDescent="0.35">
      <c r="B175" s="299">
        <v>174</v>
      </c>
      <c r="C175" s="228" t="s">
        <v>643</v>
      </c>
      <c r="D175" s="229">
        <f t="shared" si="2"/>
        <v>29.623318385650222</v>
      </c>
      <c r="E175" s="229">
        <v>1953.48</v>
      </c>
      <c r="F175" s="229">
        <v>0.41927231846010393</v>
      </c>
      <c r="G175" s="205"/>
      <c r="H175" s="205"/>
      <c r="I175" s="205"/>
      <c r="J175" s="205"/>
      <c r="K175" s="205"/>
      <c r="M175" s="205"/>
      <c r="N175" s="205"/>
      <c r="O175" s="205"/>
      <c r="P175" s="205"/>
      <c r="Q175" s="205"/>
      <c r="R175" s="205"/>
      <c r="S175" s="205"/>
      <c r="T175" s="205"/>
      <c r="U175" s="205"/>
      <c r="V175" s="217"/>
      <c r="W175" s="218"/>
      <c r="X175" s="218"/>
      <c r="Y175" s="251"/>
      <c r="Z175" s="205"/>
      <c r="AA175" s="205"/>
      <c r="AB175" s="205"/>
      <c r="AC175" s="205"/>
      <c r="AD175" s="205"/>
      <c r="AE175" s="205"/>
    </row>
    <row r="176" spans="2:31" ht="29.25" customHeight="1" x14ac:dyDescent="0.35">
      <c r="B176" s="299">
        <v>175</v>
      </c>
      <c r="C176" s="228" t="s">
        <v>644</v>
      </c>
      <c r="D176" s="229">
        <f t="shared" si="2"/>
        <v>9.4641833810888247</v>
      </c>
      <c r="E176" s="229">
        <v>6114.48</v>
      </c>
      <c r="F176" s="229">
        <v>0.93992387754593565</v>
      </c>
      <c r="G176" s="205"/>
      <c r="H176" s="205"/>
      <c r="I176" s="205"/>
      <c r="J176" s="205"/>
      <c r="K176" s="205"/>
      <c r="M176" s="205"/>
      <c r="N176" s="205"/>
      <c r="O176" s="205"/>
      <c r="P176" s="205"/>
      <c r="Q176" s="205"/>
      <c r="R176" s="205"/>
      <c r="S176" s="205"/>
      <c r="T176" s="205"/>
      <c r="U176" s="205"/>
      <c r="V176" s="217"/>
      <c r="W176" s="218"/>
      <c r="X176" s="218"/>
      <c r="Y176" s="251"/>
      <c r="Z176" s="205"/>
      <c r="AA176" s="205"/>
      <c r="AB176" s="205"/>
      <c r="AC176" s="205"/>
      <c r="AD176" s="205"/>
      <c r="AE176" s="205"/>
    </row>
    <row r="177" spans="2:31" ht="29.25" customHeight="1" x14ac:dyDescent="0.35">
      <c r="B177" s="299">
        <v>176</v>
      </c>
      <c r="C177" s="228" t="s">
        <v>645</v>
      </c>
      <c r="D177" s="229">
        <f t="shared" si="2"/>
        <v>2.6637096774193547</v>
      </c>
      <c r="E177" s="229">
        <v>21724.799999999999</v>
      </c>
      <c r="F177" s="229">
        <v>2.8167965826787515</v>
      </c>
      <c r="G177" s="205"/>
      <c r="H177" s="205"/>
      <c r="I177" s="205"/>
      <c r="J177" s="205"/>
      <c r="K177" s="205"/>
      <c r="M177" s="205"/>
      <c r="N177" s="205"/>
      <c r="O177" s="205"/>
      <c r="P177" s="205"/>
      <c r="Q177" s="205"/>
      <c r="R177" s="205"/>
      <c r="S177" s="205"/>
      <c r="T177" s="205"/>
      <c r="U177" s="205"/>
      <c r="V177" s="217"/>
      <c r="W177" s="218"/>
      <c r="X177" s="218"/>
      <c r="Y177" s="251"/>
      <c r="Z177" s="205"/>
      <c r="AA177" s="205"/>
      <c r="AB177" s="205"/>
      <c r="AC177" s="205"/>
      <c r="AD177" s="205"/>
      <c r="AE177" s="205"/>
    </row>
    <row r="178" spans="2:31" ht="29.25" customHeight="1" x14ac:dyDescent="0.35">
      <c r="B178" s="299">
        <v>177</v>
      </c>
      <c r="C178" s="228" t="s">
        <v>646</v>
      </c>
      <c r="D178" s="229">
        <f t="shared" si="2"/>
        <v>6.6126126126126126</v>
      </c>
      <c r="E178" s="229">
        <v>8751.24</v>
      </c>
      <c r="F178" s="229">
        <v>0.81097925009319072</v>
      </c>
      <c r="G178" s="205"/>
      <c r="H178" s="205"/>
      <c r="I178" s="205"/>
      <c r="J178" s="205"/>
      <c r="K178" s="205"/>
      <c r="M178" s="205"/>
      <c r="N178" s="205"/>
      <c r="O178" s="205"/>
      <c r="P178" s="205"/>
      <c r="Q178" s="205"/>
      <c r="R178" s="205"/>
      <c r="S178" s="205"/>
      <c r="T178" s="205"/>
      <c r="U178" s="205"/>
      <c r="V178" s="217"/>
      <c r="W178" s="218"/>
      <c r="X178" s="218"/>
      <c r="Y178" s="251"/>
      <c r="Z178" s="205"/>
      <c r="AA178" s="205"/>
      <c r="AB178" s="205"/>
      <c r="AC178" s="205"/>
      <c r="AD178" s="205"/>
      <c r="AE178" s="205"/>
    </row>
    <row r="179" spans="2:31" ht="29.25" customHeight="1" x14ac:dyDescent="0.35">
      <c r="B179" s="299">
        <v>178</v>
      </c>
      <c r="C179" s="228" t="s">
        <v>647</v>
      </c>
      <c r="D179" s="229">
        <f t="shared" si="2"/>
        <v>2.3779697624190064</v>
      </c>
      <c r="E179" s="229">
        <v>24335.279999999999</v>
      </c>
      <c r="F179" s="229">
        <v>2.1870987904506438</v>
      </c>
      <c r="G179" s="205"/>
      <c r="H179" s="205"/>
      <c r="I179" s="205"/>
      <c r="J179" s="205"/>
      <c r="K179" s="205"/>
      <c r="M179" s="205"/>
      <c r="N179" s="205"/>
      <c r="O179" s="205"/>
      <c r="P179" s="205"/>
      <c r="Q179" s="205"/>
      <c r="R179" s="205"/>
      <c r="S179" s="205"/>
      <c r="T179" s="205"/>
      <c r="U179" s="205"/>
      <c r="V179" s="217"/>
      <c r="W179" s="218"/>
      <c r="X179" s="218"/>
      <c r="Y179" s="251"/>
      <c r="Z179" s="205"/>
      <c r="AA179" s="205"/>
      <c r="AB179" s="205"/>
      <c r="AC179" s="205"/>
      <c r="AD179" s="205"/>
      <c r="AE179" s="205"/>
    </row>
    <row r="180" spans="2:31" ht="29.25" customHeight="1" x14ac:dyDescent="0.35">
      <c r="B180" s="299">
        <v>179</v>
      </c>
      <c r="C180" s="228" t="s">
        <v>648</v>
      </c>
      <c r="D180" s="229">
        <f t="shared" si="2"/>
        <v>4.2346153846153847</v>
      </c>
      <c r="E180" s="229">
        <v>13665.6</v>
      </c>
      <c r="F180" s="229">
        <v>1.3753332308231703</v>
      </c>
      <c r="G180" s="205"/>
      <c r="H180" s="205"/>
      <c r="I180" s="205"/>
      <c r="J180" s="205"/>
      <c r="K180" s="205"/>
      <c r="M180" s="205"/>
      <c r="N180" s="205"/>
      <c r="O180" s="205"/>
      <c r="P180" s="205"/>
      <c r="Q180" s="205"/>
      <c r="R180" s="205"/>
      <c r="S180" s="205"/>
      <c r="T180" s="205"/>
      <c r="U180" s="205"/>
      <c r="V180" s="217"/>
      <c r="W180" s="218"/>
      <c r="X180" s="218"/>
      <c r="Y180" s="251"/>
      <c r="Z180" s="205"/>
      <c r="AA180" s="205"/>
      <c r="AB180" s="205"/>
      <c r="AC180" s="205"/>
      <c r="AD180" s="205"/>
      <c r="AE180" s="205"/>
    </row>
    <row r="181" spans="2:31" ht="29.25" customHeight="1" x14ac:dyDescent="0.35">
      <c r="B181" s="299">
        <v>180</v>
      </c>
      <c r="C181" s="228" t="s">
        <v>649</v>
      </c>
      <c r="D181" s="229">
        <f t="shared" si="2"/>
        <v>10.27371695178849</v>
      </c>
      <c r="E181" s="229">
        <v>5632.68</v>
      </c>
      <c r="F181" s="229">
        <v>0</v>
      </c>
      <c r="G181" s="205"/>
      <c r="H181" s="205"/>
      <c r="I181" s="205"/>
      <c r="J181" s="205"/>
      <c r="K181" s="205"/>
      <c r="M181" s="205"/>
      <c r="N181" s="205"/>
      <c r="O181" s="205"/>
      <c r="P181" s="205"/>
      <c r="Q181" s="205"/>
      <c r="R181" s="205"/>
      <c r="S181" s="205"/>
      <c r="T181" s="205"/>
      <c r="U181" s="205"/>
      <c r="V181" s="217"/>
      <c r="W181" s="218"/>
      <c r="X181" s="218"/>
      <c r="Y181" s="251"/>
      <c r="Z181" s="205"/>
      <c r="AA181" s="205"/>
      <c r="AB181" s="205"/>
      <c r="AC181" s="205"/>
      <c r="AD181" s="205"/>
      <c r="AE181" s="205"/>
    </row>
    <row r="182" spans="2:31" ht="29.25" customHeight="1" x14ac:dyDescent="0.35">
      <c r="B182" s="299">
        <v>181</v>
      </c>
      <c r="C182" s="228" t="s">
        <v>650</v>
      </c>
      <c r="D182" s="229">
        <f t="shared" si="2"/>
        <v>29.23008849557522</v>
      </c>
      <c r="E182" s="229">
        <v>1979.76</v>
      </c>
      <c r="F182" s="229">
        <v>0.43453092748663863</v>
      </c>
      <c r="G182" s="205"/>
      <c r="H182" s="205"/>
      <c r="I182" s="205"/>
      <c r="J182" s="205"/>
      <c r="K182" s="205"/>
      <c r="M182" s="205"/>
      <c r="N182" s="205"/>
      <c r="O182" s="205"/>
      <c r="P182" s="205"/>
      <c r="Q182" s="205"/>
      <c r="R182" s="205"/>
      <c r="S182" s="205"/>
      <c r="T182" s="205"/>
      <c r="U182" s="205"/>
      <c r="V182" s="217"/>
      <c r="W182" s="218"/>
      <c r="X182" s="218"/>
      <c r="Y182" s="251"/>
      <c r="Z182" s="205"/>
      <c r="AA182" s="205"/>
      <c r="AB182" s="205"/>
      <c r="AC182" s="205"/>
      <c r="AD182" s="205"/>
      <c r="AE182" s="205"/>
    </row>
    <row r="183" spans="2:31" ht="29.25" customHeight="1" x14ac:dyDescent="0.35">
      <c r="B183" s="299">
        <v>182</v>
      </c>
      <c r="C183" s="228" t="s">
        <v>651</v>
      </c>
      <c r="D183" s="229">
        <f t="shared" si="2"/>
        <v>4.9819004524886878</v>
      </c>
      <c r="E183" s="229">
        <v>11615.76</v>
      </c>
      <c r="F183" s="229">
        <v>1.0995495218966085</v>
      </c>
      <c r="G183" s="205"/>
      <c r="H183" s="205"/>
      <c r="I183" s="205"/>
      <c r="J183" s="205"/>
      <c r="K183" s="205"/>
      <c r="M183" s="205"/>
      <c r="N183" s="205"/>
      <c r="O183" s="205"/>
      <c r="P183" s="205"/>
      <c r="Q183" s="205"/>
      <c r="R183" s="205"/>
      <c r="S183" s="205"/>
      <c r="T183" s="205"/>
      <c r="U183" s="205"/>
      <c r="V183" s="217"/>
      <c r="W183" s="218"/>
      <c r="X183" s="218"/>
      <c r="Y183" s="251"/>
      <c r="Z183" s="205"/>
      <c r="AA183" s="205"/>
      <c r="AB183" s="205"/>
      <c r="AC183" s="205"/>
      <c r="AD183" s="205"/>
      <c r="AE183" s="205"/>
    </row>
    <row r="184" spans="2:31" ht="29.25" customHeight="1" x14ac:dyDescent="0.35">
      <c r="B184" s="299">
        <v>183</v>
      </c>
      <c r="C184" s="228" t="s">
        <v>652</v>
      </c>
      <c r="D184" s="229">
        <f t="shared" si="2"/>
        <v>0.93968705547652909</v>
      </c>
      <c r="E184" s="229">
        <v>61582.8</v>
      </c>
      <c r="F184" s="229">
        <v>9.6055968110433252</v>
      </c>
      <c r="G184" s="205"/>
      <c r="H184" s="205"/>
      <c r="I184" s="205"/>
      <c r="J184" s="205"/>
      <c r="K184" s="205"/>
      <c r="M184" s="205"/>
      <c r="N184" s="205"/>
      <c r="O184" s="205"/>
      <c r="P184" s="205"/>
      <c r="Q184" s="205"/>
      <c r="R184" s="205"/>
      <c r="S184" s="205"/>
      <c r="T184" s="205"/>
      <c r="U184" s="205"/>
      <c r="V184" s="217"/>
      <c r="W184" s="218"/>
      <c r="X184" s="218"/>
      <c r="Y184" s="251"/>
      <c r="Z184" s="205"/>
      <c r="AA184" s="205"/>
      <c r="AB184" s="205"/>
      <c r="AC184" s="205"/>
      <c r="AD184" s="205"/>
      <c r="AE184" s="205"/>
    </row>
    <row r="185" spans="2:31" ht="29.25" customHeight="1" x14ac:dyDescent="0.35">
      <c r="B185" s="299">
        <v>184</v>
      </c>
      <c r="C185" s="228" t="s">
        <v>653</v>
      </c>
      <c r="D185" s="229">
        <f t="shared" si="2"/>
        <v>1.3872322553548928</v>
      </c>
      <c r="E185" s="229">
        <v>41715.120000000003</v>
      </c>
      <c r="F185" s="229">
        <v>8.765799834087213</v>
      </c>
      <c r="G185" s="205"/>
      <c r="H185" s="205"/>
      <c r="I185" s="205"/>
      <c r="J185" s="205"/>
      <c r="K185" s="205"/>
      <c r="M185" s="205"/>
      <c r="N185" s="205"/>
      <c r="O185" s="205"/>
      <c r="P185" s="205"/>
      <c r="Q185" s="205"/>
      <c r="R185" s="205"/>
      <c r="S185" s="205"/>
      <c r="T185" s="205"/>
      <c r="U185" s="205"/>
      <c r="V185" s="217"/>
      <c r="W185" s="218"/>
      <c r="X185" s="218"/>
      <c r="Y185" s="251"/>
      <c r="Z185" s="205"/>
      <c r="AA185" s="205"/>
      <c r="AB185" s="205"/>
      <c r="AC185" s="205"/>
      <c r="AD185" s="205"/>
      <c r="AE185" s="205"/>
    </row>
    <row r="186" spans="2:31" ht="29.25" customHeight="1" x14ac:dyDescent="0.35">
      <c r="B186" s="299">
        <v>185</v>
      </c>
      <c r="C186" s="228" t="s">
        <v>654</v>
      </c>
      <c r="D186" s="229">
        <f t="shared" si="2"/>
        <v>1</v>
      </c>
      <c r="E186" s="229">
        <v>57868.56</v>
      </c>
      <c r="F186" s="229">
        <v>12.208167493339056</v>
      </c>
      <c r="G186" s="205"/>
      <c r="H186" s="205"/>
      <c r="I186" s="205"/>
      <c r="J186" s="205"/>
      <c r="K186" s="205"/>
      <c r="M186" s="205"/>
      <c r="N186" s="205"/>
      <c r="O186" s="205"/>
      <c r="P186" s="205"/>
      <c r="Q186" s="205"/>
      <c r="R186" s="205"/>
      <c r="S186" s="205"/>
      <c r="T186" s="205"/>
      <c r="U186" s="205"/>
      <c r="V186" s="217"/>
      <c r="W186" s="218"/>
      <c r="X186" s="218"/>
      <c r="Y186" s="251"/>
      <c r="Z186" s="205"/>
      <c r="AA186" s="205"/>
      <c r="AB186" s="205"/>
      <c r="AC186" s="205"/>
      <c r="AD186" s="205"/>
      <c r="AE186" s="205"/>
    </row>
    <row r="187" spans="2:31" ht="29.25" customHeight="1" x14ac:dyDescent="0.35">
      <c r="B187" s="299">
        <v>186</v>
      </c>
      <c r="C187" s="228" t="s">
        <v>655</v>
      </c>
      <c r="D187" s="229">
        <f t="shared" si="2"/>
        <v>3.0540915395284323</v>
      </c>
      <c r="E187" s="229">
        <v>18947.88</v>
      </c>
      <c r="F187" s="229">
        <v>3.1392522038298893</v>
      </c>
      <c r="G187" s="205"/>
      <c r="H187" s="205"/>
      <c r="I187" s="205"/>
      <c r="J187" s="205"/>
      <c r="K187" s="205"/>
      <c r="M187" s="205"/>
      <c r="N187" s="205"/>
      <c r="O187" s="205"/>
      <c r="P187" s="205"/>
      <c r="Q187" s="205"/>
      <c r="R187" s="205"/>
      <c r="S187" s="205"/>
      <c r="T187" s="205"/>
      <c r="U187" s="205"/>
      <c r="V187" s="217"/>
      <c r="W187" s="218"/>
      <c r="X187" s="218"/>
      <c r="Y187" s="251"/>
      <c r="Z187" s="205"/>
      <c r="AA187" s="205"/>
      <c r="AB187" s="205"/>
      <c r="AC187" s="205"/>
      <c r="AD187" s="205"/>
      <c r="AE187" s="205"/>
    </row>
    <row r="188" spans="2:31" ht="29.25" customHeight="1" x14ac:dyDescent="0.35">
      <c r="B188" s="299">
        <v>187</v>
      </c>
      <c r="C188" s="228" t="s">
        <v>656</v>
      </c>
      <c r="D188" s="229">
        <f t="shared" si="2"/>
        <v>8.9877551020408148</v>
      </c>
      <c r="E188" s="229">
        <v>6438.6</v>
      </c>
      <c r="F188" s="229">
        <v>0.40389195113406512</v>
      </c>
      <c r="G188" s="205"/>
      <c r="H188" s="205"/>
      <c r="I188" s="205"/>
      <c r="J188" s="205"/>
      <c r="K188" s="205"/>
      <c r="M188" s="205"/>
      <c r="N188" s="205"/>
      <c r="O188" s="205"/>
      <c r="P188" s="205"/>
      <c r="Q188" s="205"/>
      <c r="R188" s="205"/>
      <c r="S188" s="205"/>
      <c r="T188" s="205"/>
      <c r="U188" s="205"/>
      <c r="V188" s="217"/>
      <c r="W188" s="218"/>
      <c r="X188" s="218"/>
      <c r="Y188" s="251"/>
      <c r="Z188" s="205"/>
      <c r="AA188" s="205"/>
      <c r="AB188" s="205"/>
      <c r="AC188" s="205"/>
      <c r="AD188" s="205"/>
      <c r="AE188" s="205"/>
    </row>
    <row r="189" spans="2:31" ht="29.25" customHeight="1" x14ac:dyDescent="0.35">
      <c r="B189" s="299">
        <v>188</v>
      </c>
      <c r="C189" s="228" t="s">
        <v>657</v>
      </c>
      <c r="D189" s="229">
        <f t="shared" si="2"/>
        <v>22.937499999999996</v>
      </c>
      <c r="E189" s="229">
        <v>2522.88</v>
      </c>
      <c r="F189" s="229">
        <v>0.97298589234709176</v>
      </c>
      <c r="G189" s="205"/>
      <c r="H189" s="205"/>
      <c r="I189" s="205"/>
      <c r="J189" s="205"/>
      <c r="K189" s="205"/>
      <c r="M189" s="205"/>
      <c r="N189" s="205"/>
      <c r="O189" s="205"/>
      <c r="P189" s="205"/>
      <c r="Q189" s="205"/>
      <c r="R189" s="205"/>
      <c r="S189" s="205"/>
      <c r="T189" s="205"/>
      <c r="U189" s="205"/>
      <c r="V189" s="217"/>
      <c r="W189" s="218"/>
      <c r="X189" s="218"/>
      <c r="Y189" s="251"/>
      <c r="Z189" s="205"/>
      <c r="AA189" s="205"/>
      <c r="AB189" s="205"/>
      <c r="AC189" s="205"/>
      <c r="AD189" s="205"/>
      <c r="AE189" s="205"/>
    </row>
    <row r="190" spans="2:31" ht="29.25" customHeight="1" x14ac:dyDescent="0.35">
      <c r="B190" s="299">
        <v>189</v>
      </c>
      <c r="C190" s="228" t="s">
        <v>658</v>
      </c>
      <c r="D190" s="229"/>
      <c r="E190" s="229">
        <v>0</v>
      </c>
      <c r="F190" s="229">
        <v>22.00813186593766</v>
      </c>
      <c r="G190" s="205"/>
      <c r="H190" s="205"/>
      <c r="I190" s="205"/>
      <c r="J190" s="205"/>
      <c r="K190" s="205"/>
      <c r="M190" s="205"/>
      <c r="N190" s="205"/>
      <c r="O190" s="205"/>
      <c r="P190" s="205"/>
      <c r="Q190" s="205"/>
      <c r="R190" s="205"/>
      <c r="S190" s="205"/>
      <c r="T190" s="205"/>
      <c r="U190" s="205"/>
      <c r="V190" s="217"/>
      <c r="W190" s="218"/>
      <c r="X190" s="218"/>
      <c r="Y190" s="251"/>
      <c r="Z190" s="205"/>
      <c r="AA190" s="205"/>
      <c r="AB190" s="205"/>
      <c r="AC190" s="205"/>
      <c r="AD190" s="205"/>
      <c r="AE190" s="205"/>
    </row>
    <row r="191" spans="2:31" ht="29.25" customHeight="1" x14ac:dyDescent="0.35">
      <c r="B191" s="299">
        <v>190</v>
      </c>
      <c r="C191" s="228" t="s">
        <v>659</v>
      </c>
      <c r="D191" s="229">
        <f t="shared" si="2"/>
        <v>8.0560975609756103</v>
      </c>
      <c r="E191" s="229">
        <v>7183.2</v>
      </c>
      <c r="F191" s="229">
        <v>0.68071619705678055</v>
      </c>
      <c r="G191" s="205"/>
      <c r="H191" s="205"/>
      <c r="I191" s="205"/>
      <c r="J191" s="205"/>
      <c r="K191" s="205"/>
      <c r="M191" s="205"/>
      <c r="N191" s="205"/>
      <c r="O191" s="205"/>
      <c r="P191" s="205"/>
      <c r="Q191" s="205"/>
      <c r="R191" s="205"/>
      <c r="S191" s="205"/>
      <c r="T191" s="205"/>
      <c r="U191" s="205"/>
      <c r="V191" s="217"/>
      <c r="W191" s="218"/>
      <c r="X191" s="218"/>
      <c r="Y191" s="251"/>
      <c r="Z191" s="205"/>
      <c r="AA191" s="205"/>
      <c r="AB191" s="205"/>
      <c r="AC191" s="205"/>
      <c r="AD191" s="205"/>
      <c r="AE191" s="205"/>
    </row>
    <row r="192" spans="2:31" ht="29.25" customHeight="1" x14ac:dyDescent="0.35">
      <c r="B192" s="299">
        <v>191</v>
      </c>
      <c r="C192" s="228" t="s">
        <v>660</v>
      </c>
      <c r="D192" s="229"/>
      <c r="E192" s="229">
        <v>0</v>
      </c>
      <c r="F192" s="229">
        <v>0.45749205305018681</v>
      </c>
      <c r="G192" s="205"/>
      <c r="H192" s="205"/>
      <c r="I192" s="205"/>
      <c r="J192" s="205"/>
      <c r="K192" s="205"/>
      <c r="M192" s="205"/>
      <c r="N192" s="205"/>
      <c r="O192" s="205"/>
      <c r="P192" s="205"/>
      <c r="Q192" s="205"/>
      <c r="R192" s="205"/>
      <c r="S192" s="205"/>
      <c r="T192" s="205"/>
      <c r="U192" s="205"/>
      <c r="V192" s="217"/>
      <c r="W192" s="218"/>
      <c r="X192" s="218"/>
      <c r="Y192" s="251"/>
      <c r="Z192" s="205"/>
      <c r="AA192" s="205"/>
      <c r="AB192" s="205"/>
      <c r="AC192" s="205"/>
      <c r="AD192" s="205"/>
      <c r="AE192" s="205"/>
    </row>
    <row r="193" spans="2:31" ht="29.25" customHeight="1" x14ac:dyDescent="0.35">
      <c r="B193" s="299">
        <v>192</v>
      </c>
      <c r="C193" s="228" t="s">
        <v>115</v>
      </c>
      <c r="D193" s="229">
        <f t="shared" si="2"/>
        <v>19.660714285714285</v>
      </c>
      <c r="E193" s="229">
        <v>2943.36</v>
      </c>
      <c r="F193" s="229">
        <v>0.54893343124046334</v>
      </c>
      <c r="G193" s="205"/>
      <c r="H193" s="205"/>
      <c r="I193" s="205"/>
      <c r="J193" s="205"/>
      <c r="K193" s="205"/>
      <c r="M193" s="205"/>
      <c r="N193" s="205"/>
      <c r="O193" s="205"/>
      <c r="P193" s="205"/>
      <c r="Q193" s="205"/>
      <c r="R193" s="205"/>
      <c r="S193" s="205"/>
      <c r="T193" s="205"/>
      <c r="U193" s="205"/>
      <c r="V193" s="205"/>
      <c r="W193" s="208"/>
      <c r="X193" s="208"/>
      <c r="Y193" s="251"/>
      <c r="Z193" s="205"/>
      <c r="AA193" s="205"/>
      <c r="AB193" s="205"/>
      <c r="AC193" s="205"/>
      <c r="AD193" s="205"/>
      <c r="AE193" s="205"/>
    </row>
    <row r="194" spans="2:31" ht="29.25" customHeight="1" x14ac:dyDescent="0.35">
      <c r="B194" s="299">
        <v>193</v>
      </c>
      <c r="C194" s="228" t="s">
        <v>116</v>
      </c>
      <c r="D194" s="229">
        <f t="shared" si="2"/>
        <v>23.178947368421053</v>
      </c>
      <c r="E194" s="229">
        <v>2496.6</v>
      </c>
      <c r="F194" s="229">
        <v>0</v>
      </c>
      <c r="G194" s="205"/>
      <c r="H194" s="205"/>
      <c r="I194" s="205"/>
      <c r="J194" s="205"/>
      <c r="K194" s="205"/>
      <c r="M194" s="205"/>
      <c r="N194" s="205"/>
      <c r="O194" s="205"/>
      <c r="P194" s="205"/>
      <c r="Q194" s="205"/>
      <c r="R194" s="205"/>
      <c r="S194" s="205"/>
      <c r="T194" s="205"/>
      <c r="U194" s="205"/>
      <c r="V194" s="205"/>
      <c r="W194" s="208"/>
      <c r="X194" s="208"/>
      <c r="Y194" s="251"/>
      <c r="Z194" s="205"/>
      <c r="AA194" s="205"/>
      <c r="AB194" s="205"/>
      <c r="AC194" s="205"/>
      <c r="AD194" s="205"/>
      <c r="AE194" s="205"/>
    </row>
    <row r="195" spans="2:31" ht="29.25" customHeight="1" x14ac:dyDescent="0.35">
      <c r="G195" s="205"/>
      <c r="H195" s="205"/>
      <c r="I195" s="205"/>
      <c r="J195" s="205"/>
      <c r="K195" s="205"/>
      <c r="M195" s="205"/>
      <c r="N195" s="205"/>
      <c r="O195" s="205"/>
      <c r="P195" s="205"/>
      <c r="Q195" s="205"/>
      <c r="R195" s="205"/>
      <c r="S195" s="205"/>
      <c r="T195" s="205"/>
      <c r="U195" s="205"/>
    </row>
    <row r="196" spans="2:31" ht="29.25" customHeight="1" x14ac:dyDescent="0.35">
      <c r="G196" s="205"/>
      <c r="H196" s="205"/>
      <c r="I196" s="205"/>
      <c r="J196" s="205"/>
      <c r="K196" s="205"/>
      <c r="M196" s="205"/>
      <c r="N196" s="205"/>
      <c r="O196" s="205"/>
      <c r="P196" s="205"/>
      <c r="Q196" s="205"/>
      <c r="R196" s="205"/>
      <c r="S196" s="205"/>
      <c r="T196" s="205"/>
      <c r="U196" s="205"/>
    </row>
    <row r="197" spans="2:31" ht="29.25" customHeight="1" x14ac:dyDescent="0.35">
      <c r="G197" s="205"/>
      <c r="H197" s="205"/>
      <c r="I197" s="205"/>
      <c r="J197" s="205"/>
      <c r="K197" s="205"/>
      <c r="M197" s="205"/>
      <c r="N197" s="205"/>
      <c r="O197" s="205"/>
      <c r="P197" s="205"/>
      <c r="Q197" s="205"/>
      <c r="R197" s="205"/>
      <c r="S197" s="205"/>
      <c r="T197" s="205"/>
      <c r="U197" s="205"/>
    </row>
    <row r="198" spans="2:31" ht="29.25" customHeight="1" x14ac:dyDescent="0.35">
      <c r="G198" s="205"/>
      <c r="H198" s="205"/>
      <c r="I198" s="205"/>
      <c r="J198" s="205"/>
      <c r="K198" s="205"/>
      <c r="M198" s="205"/>
      <c r="N198" s="205"/>
      <c r="O198" s="205"/>
      <c r="P198" s="205"/>
      <c r="Q198" s="205"/>
      <c r="R198" s="205"/>
      <c r="S198" s="205"/>
      <c r="T198" s="205"/>
      <c r="U198" s="205"/>
    </row>
    <row r="199" spans="2:31" ht="29.25" customHeight="1" x14ac:dyDescent="0.35">
      <c r="G199" s="205"/>
      <c r="H199" s="205"/>
      <c r="I199" s="205"/>
      <c r="J199" s="205"/>
      <c r="K199" s="205"/>
      <c r="M199" s="205"/>
      <c r="N199" s="205"/>
      <c r="O199" s="205"/>
      <c r="P199" s="205"/>
      <c r="Q199" s="205"/>
      <c r="R199" s="205"/>
      <c r="S199" s="205"/>
      <c r="T199" s="205"/>
      <c r="U199" s="205"/>
    </row>
    <row r="200" spans="2:31" ht="29.25" customHeight="1" x14ac:dyDescent="0.35">
      <c r="G200" s="205"/>
      <c r="H200" s="205"/>
      <c r="I200" s="205"/>
      <c r="J200" s="205"/>
      <c r="K200" s="205"/>
      <c r="M200" s="205"/>
      <c r="N200" s="205"/>
      <c r="O200" s="205"/>
      <c r="P200" s="205"/>
      <c r="Q200" s="205"/>
      <c r="R200" s="205"/>
      <c r="S200" s="205"/>
      <c r="T200" s="205"/>
      <c r="U200" s="205"/>
    </row>
    <row r="201" spans="2:31" ht="29.25" customHeight="1" x14ac:dyDescent="0.35">
      <c r="G201" s="205"/>
      <c r="H201" s="205"/>
      <c r="I201" s="205"/>
      <c r="J201" s="205"/>
      <c r="K201" s="205"/>
      <c r="M201" s="205"/>
      <c r="N201" s="205"/>
      <c r="O201" s="205"/>
      <c r="P201" s="205"/>
      <c r="Q201" s="205"/>
      <c r="R201" s="205"/>
      <c r="S201" s="205"/>
      <c r="T201" s="205"/>
      <c r="U201" s="205"/>
    </row>
    <row r="202" spans="2:31" ht="29.25" customHeight="1" x14ac:dyDescent="0.35">
      <c r="G202" s="205"/>
      <c r="H202" s="205"/>
      <c r="I202" s="205"/>
      <c r="J202" s="205"/>
      <c r="K202" s="205"/>
      <c r="M202" s="205"/>
      <c r="N202" s="205"/>
      <c r="O202" s="205"/>
      <c r="P202" s="205"/>
      <c r="Q202" s="205"/>
      <c r="R202" s="205"/>
      <c r="S202" s="205"/>
      <c r="T202" s="205"/>
      <c r="U202" s="205"/>
    </row>
    <row r="203" spans="2:31" ht="29.25" customHeight="1" x14ac:dyDescent="0.35">
      <c r="G203" s="205"/>
      <c r="H203" s="205"/>
      <c r="I203" s="205"/>
      <c r="J203" s="205"/>
      <c r="K203" s="205"/>
      <c r="M203" s="205"/>
      <c r="N203" s="205"/>
      <c r="O203" s="205"/>
      <c r="P203" s="205"/>
      <c r="Q203" s="205"/>
      <c r="R203" s="205"/>
      <c r="S203" s="205"/>
      <c r="T203" s="205"/>
      <c r="U203" s="205"/>
    </row>
    <row r="204" spans="2:31" ht="29.25" customHeight="1" x14ac:dyDescent="0.35">
      <c r="G204" s="205"/>
      <c r="H204" s="205"/>
      <c r="I204" s="205"/>
      <c r="J204" s="205"/>
      <c r="K204" s="205"/>
      <c r="M204" s="205"/>
      <c r="N204" s="205"/>
      <c r="O204" s="205"/>
      <c r="P204" s="205"/>
      <c r="Q204" s="205"/>
      <c r="R204" s="205"/>
      <c r="S204" s="205"/>
      <c r="T204" s="205"/>
      <c r="U204" s="205"/>
    </row>
    <row r="205" spans="2:31" ht="29.25" customHeight="1" x14ac:dyDescent="0.35">
      <c r="G205" s="205"/>
      <c r="H205" s="205"/>
      <c r="I205" s="205"/>
      <c r="J205" s="205"/>
      <c r="K205" s="205"/>
      <c r="M205" s="205"/>
      <c r="N205" s="205"/>
      <c r="O205" s="205"/>
      <c r="P205" s="205"/>
      <c r="Q205" s="205"/>
      <c r="R205" s="205"/>
      <c r="S205" s="205"/>
      <c r="T205" s="205"/>
      <c r="U205" s="205"/>
    </row>
    <row r="206" spans="2:31" ht="29.25" customHeight="1" x14ac:dyDescent="0.35">
      <c r="G206" s="205"/>
      <c r="H206" s="205"/>
      <c r="I206" s="205"/>
      <c r="J206" s="205"/>
      <c r="K206" s="205"/>
      <c r="M206" s="205"/>
      <c r="N206" s="205"/>
      <c r="O206" s="205"/>
      <c r="P206" s="205"/>
      <c r="Q206" s="205"/>
      <c r="R206" s="205"/>
      <c r="S206" s="205"/>
      <c r="T206" s="205"/>
      <c r="U206" s="205"/>
    </row>
    <row r="207" spans="2:31" ht="29.25" customHeight="1" x14ac:dyDescent="0.35">
      <c r="G207" s="205"/>
      <c r="H207" s="205"/>
      <c r="I207" s="205"/>
      <c r="J207" s="205"/>
      <c r="K207" s="205"/>
      <c r="M207" s="205"/>
      <c r="N207" s="205"/>
      <c r="O207" s="205"/>
      <c r="P207" s="205"/>
      <c r="Q207" s="205"/>
      <c r="R207" s="205"/>
      <c r="S207" s="205"/>
      <c r="T207" s="205"/>
      <c r="U207" s="205"/>
    </row>
    <row r="208" spans="2:31" ht="29.25" customHeight="1" x14ac:dyDescent="0.35">
      <c r="G208" s="205"/>
      <c r="H208" s="205"/>
      <c r="I208" s="205"/>
      <c r="J208" s="205"/>
      <c r="K208" s="205"/>
      <c r="M208" s="205"/>
      <c r="N208" s="205"/>
      <c r="O208" s="205"/>
      <c r="P208" s="205"/>
      <c r="Q208" s="205"/>
      <c r="R208" s="205"/>
      <c r="S208" s="205"/>
      <c r="T208" s="205"/>
      <c r="U208" s="205"/>
    </row>
    <row r="209" spans="7:21" ht="29.25" customHeight="1" x14ac:dyDescent="0.35">
      <c r="G209" s="205"/>
      <c r="H209" s="205"/>
      <c r="I209" s="205"/>
      <c r="J209" s="205"/>
      <c r="K209" s="205"/>
      <c r="M209" s="205"/>
      <c r="N209" s="205"/>
      <c r="O209" s="205"/>
      <c r="P209" s="205"/>
      <c r="Q209" s="205"/>
      <c r="R209" s="205"/>
      <c r="S209" s="205"/>
      <c r="T209" s="205"/>
      <c r="U209" s="205"/>
    </row>
    <row r="210" spans="7:21" ht="29.25" customHeight="1" x14ac:dyDescent="0.35">
      <c r="G210" s="205"/>
      <c r="H210" s="205"/>
      <c r="I210" s="205"/>
      <c r="J210" s="205"/>
      <c r="K210" s="205"/>
      <c r="M210" s="205"/>
      <c r="N210" s="205"/>
      <c r="O210" s="205"/>
      <c r="P210" s="205"/>
      <c r="Q210" s="205"/>
      <c r="R210" s="205"/>
      <c r="S210" s="205"/>
      <c r="T210" s="205"/>
      <c r="U210" s="205"/>
    </row>
    <row r="211" spans="7:21" ht="29.25" customHeight="1" x14ac:dyDescent="0.35">
      <c r="G211" s="205"/>
      <c r="H211" s="205"/>
      <c r="I211" s="205"/>
      <c r="J211" s="205"/>
      <c r="K211" s="205"/>
      <c r="M211" s="205"/>
      <c r="N211" s="205"/>
      <c r="O211" s="205"/>
      <c r="P211" s="205"/>
      <c r="Q211" s="205"/>
      <c r="R211" s="205"/>
      <c r="S211" s="205"/>
      <c r="T211" s="205"/>
      <c r="U211" s="205"/>
    </row>
    <row r="212" spans="7:21" ht="29.25" customHeight="1" x14ac:dyDescent="0.35">
      <c r="G212" s="205"/>
      <c r="H212" s="205"/>
      <c r="I212" s="205"/>
      <c r="J212" s="205"/>
      <c r="K212" s="205"/>
      <c r="M212" s="205"/>
      <c r="N212" s="205"/>
      <c r="O212" s="205"/>
      <c r="P212" s="205"/>
      <c r="Q212" s="205"/>
      <c r="R212" s="205"/>
      <c r="S212" s="205"/>
      <c r="T212" s="205"/>
      <c r="U212" s="205"/>
    </row>
    <row r="213" spans="7:21" ht="29.25" customHeight="1" x14ac:dyDescent="0.35">
      <c r="G213" s="205"/>
      <c r="H213" s="205"/>
      <c r="I213" s="205"/>
      <c r="J213" s="205"/>
      <c r="K213" s="205"/>
      <c r="M213" s="205"/>
      <c r="N213" s="205"/>
      <c r="O213" s="205"/>
      <c r="P213" s="205"/>
      <c r="Q213" s="205"/>
      <c r="R213" s="205"/>
      <c r="S213" s="205"/>
      <c r="T213" s="205"/>
      <c r="U213" s="205"/>
    </row>
    <row r="214" spans="7:21" ht="29.25" customHeight="1" x14ac:dyDescent="0.35">
      <c r="G214" s="205"/>
      <c r="H214" s="205"/>
      <c r="I214" s="205"/>
      <c r="J214" s="205"/>
      <c r="K214" s="205"/>
      <c r="M214" s="205"/>
      <c r="N214" s="205"/>
      <c r="O214" s="205"/>
      <c r="P214" s="205"/>
      <c r="Q214" s="205"/>
      <c r="R214" s="205"/>
      <c r="S214" s="205"/>
      <c r="T214" s="205"/>
      <c r="U214" s="205"/>
    </row>
    <row r="215" spans="7:21" ht="29.25" customHeight="1" x14ac:dyDescent="0.35">
      <c r="G215" s="205"/>
      <c r="H215" s="205"/>
      <c r="I215" s="205"/>
      <c r="J215" s="205"/>
      <c r="K215" s="205"/>
      <c r="M215" s="205"/>
      <c r="N215" s="205"/>
      <c r="O215" s="205"/>
      <c r="P215" s="205"/>
      <c r="Q215" s="205"/>
      <c r="R215" s="205"/>
      <c r="S215" s="205"/>
      <c r="T215" s="205"/>
      <c r="U215" s="205"/>
    </row>
    <row r="216" spans="7:21" ht="29.25" customHeight="1" x14ac:dyDescent="0.35">
      <c r="G216" s="205"/>
      <c r="H216" s="205"/>
      <c r="I216" s="205"/>
      <c r="J216" s="205"/>
      <c r="K216" s="205"/>
      <c r="M216" s="205"/>
      <c r="N216" s="205"/>
      <c r="O216" s="205"/>
      <c r="P216" s="205"/>
      <c r="Q216" s="205"/>
      <c r="R216" s="205"/>
      <c r="S216" s="205"/>
      <c r="T216" s="205"/>
      <c r="U216" s="205"/>
    </row>
    <row r="217" spans="7:21" ht="29.25" customHeight="1" x14ac:dyDescent="0.35">
      <c r="G217" s="205"/>
      <c r="H217" s="205"/>
      <c r="I217" s="205"/>
      <c r="J217" s="205"/>
      <c r="K217" s="205"/>
      <c r="M217" s="205"/>
      <c r="N217" s="205"/>
      <c r="O217" s="205"/>
      <c r="P217" s="205"/>
      <c r="Q217" s="205"/>
      <c r="R217" s="205"/>
      <c r="S217" s="205"/>
      <c r="T217" s="205"/>
      <c r="U217" s="205"/>
    </row>
    <row r="218" spans="7:21" ht="29.25" customHeight="1" x14ac:dyDescent="0.35">
      <c r="G218" s="205"/>
      <c r="H218" s="205"/>
      <c r="I218" s="205"/>
      <c r="J218" s="205"/>
      <c r="K218" s="205"/>
      <c r="M218" s="205"/>
      <c r="N218" s="205"/>
      <c r="O218" s="205"/>
      <c r="P218" s="205"/>
      <c r="Q218" s="205"/>
      <c r="R218" s="205"/>
      <c r="S218" s="205"/>
      <c r="T218" s="205"/>
      <c r="U218" s="205"/>
    </row>
    <row r="219" spans="7:21" ht="29.25" customHeight="1" x14ac:dyDescent="0.35">
      <c r="G219" s="205"/>
      <c r="H219" s="205"/>
      <c r="I219" s="205"/>
      <c r="J219" s="205"/>
      <c r="K219" s="205"/>
      <c r="M219" s="205"/>
      <c r="N219" s="205"/>
      <c r="O219" s="205"/>
      <c r="P219" s="205"/>
      <c r="Q219" s="205"/>
      <c r="R219" s="205"/>
      <c r="S219" s="205"/>
      <c r="T219" s="205"/>
      <c r="U219" s="205"/>
    </row>
    <row r="220" spans="7:21" ht="29.25" customHeight="1" x14ac:dyDescent="0.35">
      <c r="G220" s="205"/>
      <c r="H220" s="205"/>
      <c r="I220" s="205"/>
      <c r="J220" s="205"/>
      <c r="K220" s="205"/>
      <c r="M220" s="205"/>
      <c r="N220" s="205"/>
      <c r="O220" s="205"/>
      <c r="P220" s="205"/>
      <c r="Q220" s="205"/>
      <c r="R220" s="205"/>
      <c r="S220" s="205"/>
      <c r="T220" s="205"/>
      <c r="U220" s="205"/>
    </row>
    <row r="221" spans="7:21" ht="29.25" customHeight="1" x14ac:dyDescent="0.35">
      <c r="G221" s="205"/>
      <c r="H221" s="205"/>
      <c r="I221" s="205"/>
      <c r="J221" s="205"/>
      <c r="K221" s="205"/>
      <c r="M221" s="205"/>
      <c r="N221" s="205"/>
      <c r="O221" s="205"/>
      <c r="P221" s="205"/>
      <c r="Q221" s="205"/>
      <c r="R221" s="205"/>
      <c r="S221" s="205"/>
      <c r="T221" s="205"/>
      <c r="U221" s="205"/>
    </row>
    <row r="222" spans="7:21" ht="29.25" customHeight="1" x14ac:dyDescent="0.35">
      <c r="G222" s="205"/>
      <c r="H222" s="205"/>
      <c r="I222" s="205"/>
      <c r="J222" s="205"/>
      <c r="K222" s="205"/>
      <c r="M222" s="205"/>
      <c r="N222" s="205"/>
      <c r="O222" s="205"/>
      <c r="P222" s="205"/>
      <c r="Q222" s="205"/>
      <c r="R222" s="205"/>
      <c r="S222" s="205"/>
      <c r="T222" s="205"/>
      <c r="U222" s="205"/>
    </row>
    <row r="223" spans="7:21" ht="29.25" customHeight="1" x14ac:dyDescent="0.35">
      <c r="G223" s="205"/>
      <c r="H223" s="205"/>
      <c r="I223" s="205"/>
      <c r="J223" s="205"/>
      <c r="K223" s="205"/>
      <c r="M223" s="205"/>
      <c r="N223" s="205"/>
      <c r="O223" s="205"/>
      <c r="P223" s="205"/>
      <c r="Q223" s="205"/>
      <c r="R223" s="205"/>
      <c r="S223" s="205"/>
      <c r="T223" s="205"/>
      <c r="U223" s="205"/>
    </row>
    <row r="224" spans="7:21" ht="29.25" customHeight="1" x14ac:dyDescent="0.35">
      <c r="G224" s="205"/>
      <c r="H224" s="205"/>
      <c r="I224" s="205"/>
      <c r="J224" s="205"/>
      <c r="K224" s="205"/>
      <c r="M224" s="205"/>
      <c r="N224" s="205"/>
      <c r="O224" s="205"/>
      <c r="P224" s="205"/>
      <c r="Q224" s="205"/>
      <c r="R224" s="205"/>
      <c r="S224" s="205"/>
      <c r="T224" s="205"/>
      <c r="U224" s="205"/>
    </row>
    <row r="225" spans="7:21" ht="29.25" customHeight="1" x14ac:dyDescent="0.35">
      <c r="G225" s="205"/>
      <c r="H225" s="205"/>
      <c r="I225" s="205"/>
      <c r="J225" s="205"/>
      <c r="K225" s="205"/>
      <c r="M225" s="205"/>
      <c r="N225" s="205"/>
      <c r="O225" s="205"/>
      <c r="P225" s="205"/>
      <c r="Q225" s="205"/>
      <c r="R225" s="205"/>
      <c r="S225" s="205"/>
      <c r="T225" s="205"/>
      <c r="U225" s="205"/>
    </row>
    <row r="226" spans="7:21" ht="29.25" customHeight="1" x14ac:dyDescent="0.35">
      <c r="G226" s="205"/>
      <c r="H226" s="205"/>
      <c r="I226" s="205"/>
      <c r="J226" s="205"/>
      <c r="K226" s="205"/>
      <c r="M226" s="205"/>
      <c r="N226" s="205"/>
      <c r="O226" s="205"/>
      <c r="P226" s="205"/>
      <c r="Q226" s="205"/>
      <c r="R226" s="205"/>
      <c r="S226" s="205"/>
      <c r="T226" s="205"/>
      <c r="U226" s="205"/>
    </row>
    <row r="227" spans="7:21" ht="29.25" customHeight="1" x14ac:dyDescent="0.35">
      <c r="G227" s="205"/>
      <c r="H227" s="205"/>
      <c r="I227" s="205"/>
      <c r="J227" s="205"/>
      <c r="K227" s="205"/>
      <c r="M227" s="205"/>
      <c r="N227" s="205"/>
      <c r="O227" s="205"/>
      <c r="P227" s="205"/>
      <c r="Q227" s="205"/>
      <c r="R227" s="205"/>
      <c r="S227" s="205"/>
      <c r="T227" s="205"/>
      <c r="U227" s="205"/>
    </row>
    <row r="228" spans="7:21" ht="29.25" customHeight="1" x14ac:dyDescent="0.35">
      <c r="G228" s="205"/>
      <c r="H228" s="205"/>
      <c r="I228" s="205"/>
      <c r="J228" s="205"/>
      <c r="K228" s="205"/>
      <c r="M228" s="205"/>
      <c r="N228" s="205"/>
      <c r="O228" s="205"/>
      <c r="P228" s="205"/>
      <c r="Q228" s="205"/>
      <c r="R228" s="205"/>
      <c r="S228" s="205"/>
      <c r="T228" s="205"/>
      <c r="U228" s="205"/>
    </row>
    <row r="229" spans="7:21" ht="29.25" customHeight="1" x14ac:dyDescent="0.35">
      <c r="G229" s="205"/>
      <c r="H229" s="205"/>
      <c r="I229" s="205"/>
      <c r="J229" s="205"/>
      <c r="K229" s="205"/>
      <c r="M229" s="205"/>
      <c r="N229" s="205"/>
      <c r="O229" s="205"/>
      <c r="P229" s="205"/>
      <c r="Q229" s="205"/>
      <c r="R229" s="205"/>
      <c r="S229" s="205"/>
      <c r="T229" s="205"/>
      <c r="U229" s="205"/>
    </row>
    <row r="230" spans="7:21" ht="29.25" customHeight="1" x14ac:dyDescent="0.35">
      <c r="G230" s="205"/>
      <c r="H230" s="205"/>
      <c r="I230" s="205"/>
      <c r="J230" s="205"/>
      <c r="K230" s="205"/>
      <c r="M230" s="205"/>
      <c r="N230" s="205"/>
      <c r="O230" s="205"/>
      <c r="P230" s="205"/>
      <c r="Q230" s="205"/>
      <c r="R230" s="205"/>
      <c r="S230" s="205"/>
      <c r="T230" s="205"/>
      <c r="U230" s="205"/>
    </row>
    <row r="231" spans="7:21" ht="29.25" customHeight="1" x14ac:dyDescent="0.35">
      <c r="G231" s="205"/>
      <c r="H231" s="205"/>
      <c r="I231" s="205"/>
      <c r="J231" s="205"/>
      <c r="K231" s="205"/>
      <c r="M231" s="205"/>
      <c r="N231" s="205"/>
      <c r="O231" s="205"/>
      <c r="P231" s="205"/>
      <c r="Q231" s="205"/>
      <c r="R231" s="205"/>
      <c r="S231" s="205"/>
      <c r="T231" s="205"/>
      <c r="U231" s="205"/>
    </row>
    <row r="232" spans="7:21" ht="29.25" customHeight="1" x14ac:dyDescent="0.35">
      <c r="G232" s="205"/>
      <c r="H232" s="205"/>
      <c r="I232" s="205"/>
      <c r="J232" s="205"/>
      <c r="K232" s="205"/>
      <c r="M232" s="205"/>
      <c r="N232" s="205"/>
      <c r="O232" s="205"/>
      <c r="P232" s="205"/>
      <c r="Q232" s="205"/>
      <c r="R232" s="205"/>
      <c r="S232" s="205"/>
      <c r="T232" s="205"/>
      <c r="U232" s="205"/>
    </row>
    <row r="233" spans="7:21" ht="29.25" customHeight="1" x14ac:dyDescent="0.35">
      <c r="G233" s="205"/>
      <c r="H233" s="205"/>
      <c r="I233" s="205"/>
      <c r="J233" s="205"/>
      <c r="K233" s="205"/>
      <c r="M233" s="205"/>
      <c r="N233" s="205"/>
      <c r="O233" s="205"/>
      <c r="P233" s="205"/>
      <c r="Q233" s="205"/>
      <c r="R233" s="205"/>
      <c r="S233" s="205"/>
      <c r="T233" s="205"/>
      <c r="U233" s="205"/>
    </row>
    <row r="234" spans="7:21" ht="29.25" customHeight="1" x14ac:dyDescent="0.35">
      <c r="G234" s="205"/>
      <c r="H234" s="205"/>
      <c r="I234" s="205"/>
      <c r="J234" s="205"/>
      <c r="K234" s="205"/>
      <c r="M234" s="205"/>
      <c r="N234" s="205"/>
      <c r="O234" s="205"/>
      <c r="P234" s="205"/>
      <c r="Q234" s="205"/>
      <c r="R234" s="205"/>
      <c r="S234" s="205"/>
      <c r="T234" s="205"/>
      <c r="U234" s="205"/>
    </row>
    <row r="235" spans="7:21" ht="29.25" customHeight="1" x14ac:dyDescent="0.35">
      <c r="G235" s="205"/>
      <c r="H235" s="205"/>
      <c r="I235" s="205"/>
      <c r="J235" s="205"/>
      <c r="K235" s="205"/>
      <c r="M235" s="205"/>
      <c r="N235" s="205"/>
      <c r="O235" s="205"/>
      <c r="P235" s="205"/>
      <c r="Q235" s="205"/>
      <c r="R235" s="205"/>
      <c r="S235" s="205"/>
      <c r="T235" s="205"/>
      <c r="U235" s="205"/>
    </row>
    <row r="236" spans="7:21" ht="29.25" customHeight="1" x14ac:dyDescent="0.35">
      <c r="G236" s="205"/>
      <c r="H236" s="205"/>
      <c r="I236" s="205"/>
      <c r="J236" s="205"/>
      <c r="K236" s="205"/>
      <c r="M236" s="205"/>
      <c r="N236" s="205"/>
      <c r="O236" s="205"/>
      <c r="P236" s="205"/>
      <c r="Q236" s="205"/>
      <c r="R236" s="205"/>
      <c r="S236" s="205"/>
      <c r="T236" s="205"/>
      <c r="U236" s="205"/>
    </row>
    <row r="237" spans="7:21" ht="29.25" customHeight="1" x14ac:dyDescent="0.35">
      <c r="G237" s="205"/>
      <c r="H237" s="205"/>
      <c r="I237" s="205"/>
      <c r="J237" s="205"/>
      <c r="K237" s="205"/>
      <c r="M237" s="205"/>
      <c r="N237" s="205"/>
      <c r="O237" s="205"/>
      <c r="P237" s="205"/>
      <c r="Q237" s="205"/>
      <c r="R237" s="205"/>
      <c r="S237" s="205"/>
      <c r="T237" s="205"/>
      <c r="U237" s="205"/>
    </row>
    <row r="238" spans="7:21" ht="29.25" customHeight="1" x14ac:dyDescent="0.35">
      <c r="G238" s="205"/>
      <c r="H238" s="205"/>
      <c r="I238" s="205"/>
      <c r="J238" s="205"/>
      <c r="K238" s="205"/>
      <c r="M238" s="205"/>
      <c r="N238" s="205"/>
      <c r="O238" s="205"/>
      <c r="P238" s="205"/>
      <c r="Q238" s="205"/>
      <c r="R238" s="205"/>
      <c r="S238" s="205"/>
      <c r="T238" s="205"/>
      <c r="U238" s="205"/>
    </row>
    <row r="239" spans="7:21" ht="29.25" customHeight="1" x14ac:dyDescent="0.35">
      <c r="G239" s="205"/>
      <c r="H239" s="205"/>
      <c r="I239" s="205"/>
      <c r="J239" s="205"/>
      <c r="K239" s="205"/>
      <c r="M239" s="205"/>
      <c r="N239" s="205"/>
      <c r="O239" s="205"/>
      <c r="P239" s="205"/>
      <c r="Q239" s="205"/>
      <c r="R239" s="205"/>
      <c r="S239" s="205"/>
      <c r="T239" s="205"/>
      <c r="U239" s="205"/>
    </row>
    <row r="240" spans="7:21" ht="29.25" customHeight="1" x14ac:dyDescent="0.35">
      <c r="G240" s="205"/>
      <c r="H240" s="205"/>
      <c r="I240" s="205"/>
      <c r="J240" s="205"/>
      <c r="K240" s="205"/>
      <c r="M240" s="205"/>
      <c r="N240" s="205"/>
      <c r="O240" s="205"/>
      <c r="P240" s="205"/>
      <c r="Q240" s="205"/>
      <c r="R240" s="205"/>
      <c r="S240" s="205"/>
      <c r="T240" s="205"/>
      <c r="U240" s="205"/>
    </row>
    <row r="241" spans="7:21" ht="29.25" customHeight="1" x14ac:dyDescent="0.35">
      <c r="G241" s="205"/>
      <c r="H241" s="205"/>
      <c r="I241" s="205"/>
      <c r="J241" s="205"/>
      <c r="K241" s="205"/>
      <c r="M241" s="205"/>
      <c r="N241" s="205"/>
      <c r="O241" s="205"/>
      <c r="P241" s="205"/>
      <c r="Q241" s="205"/>
      <c r="R241" s="205"/>
      <c r="S241" s="205"/>
      <c r="T241" s="205"/>
      <c r="U241" s="205"/>
    </row>
    <row r="242" spans="7:21" ht="29.25" customHeight="1" x14ac:dyDescent="0.35">
      <c r="G242" s="205"/>
      <c r="H242" s="205"/>
      <c r="I242" s="205"/>
      <c r="J242" s="205"/>
      <c r="K242" s="205"/>
      <c r="M242" s="205"/>
      <c r="N242" s="205"/>
      <c r="O242" s="205"/>
      <c r="P242" s="205"/>
      <c r="Q242" s="205"/>
      <c r="R242" s="205"/>
      <c r="S242" s="205"/>
      <c r="T242" s="205"/>
      <c r="U242" s="205"/>
    </row>
    <row r="243" spans="7:21" ht="29.25" customHeight="1" x14ac:dyDescent="0.35">
      <c r="G243" s="205"/>
      <c r="H243" s="205"/>
      <c r="I243" s="205"/>
      <c r="J243" s="205"/>
      <c r="K243" s="205"/>
      <c r="M243" s="205"/>
      <c r="N243" s="205"/>
      <c r="O243" s="205"/>
      <c r="P243" s="205"/>
      <c r="Q243" s="205"/>
      <c r="R243" s="205"/>
      <c r="S243" s="205"/>
      <c r="T243" s="205"/>
      <c r="U243" s="205"/>
    </row>
    <row r="244" spans="7:21" ht="29.25" customHeight="1" x14ac:dyDescent="0.35">
      <c r="G244" s="205"/>
      <c r="H244" s="205"/>
      <c r="I244" s="205"/>
      <c r="J244" s="205"/>
      <c r="K244" s="205"/>
      <c r="M244" s="205"/>
      <c r="N244" s="205"/>
      <c r="O244" s="205"/>
      <c r="P244" s="205"/>
      <c r="Q244" s="205"/>
      <c r="R244" s="205"/>
      <c r="S244" s="205"/>
      <c r="T244" s="205"/>
      <c r="U244" s="205"/>
    </row>
    <row r="245" spans="7:21" ht="29.25" customHeight="1" x14ac:dyDescent="0.35">
      <c r="G245" s="205"/>
      <c r="H245" s="205"/>
      <c r="I245" s="205"/>
      <c r="J245" s="205"/>
      <c r="K245" s="205"/>
      <c r="M245" s="205"/>
      <c r="N245" s="205"/>
      <c r="O245" s="205"/>
      <c r="P245" s="205"/>
      <c r="Q245" s="205"/>
      <c r="R245" s="205"/>
      <c r="S245" s="205"/>
      <c r="T245" s="205"/>
      <c r="U245" s="205"/>
    </row>
    <row r="246" spans="7:21" ht="29.25" customHeight="1" x14ac:dyDescent="0.35">
      <c r="G246" s="205"/>
      <c r="H246" s="205"/>
      <c r="I246" s="205"/>
      <c r="J246" s="205"/>
      <c r="K246" s="205"/>
      <c r="M246" s="205"/>
      <c r="N246" s="205"/>
      <c r="O246" s="205"/>
      <c r="P246" s="205"/>
      <c r="Q246" s="205"/>
      <c r="R246" s="205"/>
      <c r="S246" s="205"/>
      <c r="T246" s="205"/>
      <c r="U246" s="205"/>
    </row>
    <row r="247" spans="7:21" ht="29.25" customHeight="1" x14ac:dyDescent="0.35">
      <c r="G247" s="205"/>
      <c r="H247" s="205"/>
      <c r="I247" s="205"/>
      <c r="J247" s="205"/>
      <c r="K247" s="205"/>
      <c r="M247" s="205"/>
      <c r="N247" s="205"/>
      <c r="O247" s="205"/>
      <c r="P247" s="205"/>
      <c r="Q247" s="205"/>
      <c r="R247" s="205"/>
      <c r="S247" s="205"/>
      <c r="T247" s="205"/>
      <c r="U247" s="205"/>
    </row>
    <row r="248" spans="7:21" ht="29.25" customHeight="1" x14ac:dyDescent="0.35">
      <c r="G248" s="205"/>
      <c r="H248" s="205"/>
      <c r="I248" s="205"/>
      <c r="J248" s="205"/>
      <c r="K248" s="205"/>
      <c r="M248" s="205"/>
      <c r="N248" s="205"/>
      <c r="O248" s="205"/>
      <c r="P248" s="205"/>
      <c r="Q248" s="205"/>
      <c r="R248" s="205"/>
      <c r="S248" s="205"/>
      <c r="T248" s="205"/>
      <c r="U248" s="205"/>
    </row>
    <row r="249" spans="7:21" ht="29.25" customHeight="1" x14ac:dyDescent="0.35">
      <c r="G249" s="205"/>
      <c r="H249" s="205"/>
      <c r="I249" s="205"/>
      <c r="J249" s="205"/>
      <c r="K249" s="205"/>
      <c r="M249" s="205"/>
      <c r="N249" s="205"/>
      <c r="O249" s="205"/>
      <c r="P249" s="205"/>
      <c r="Q249" s="205"/>
      <c r="R249" s="205"/>
      <c r="S249" s="205"/>
      <c r="T249" s="205"/>
      <c r="U249" s="205"/>
    </row>
    <row r="250" spans="7:21" ht="29.25" customHeight="1" x14ac:dyDescent="0.35">
      <c r="G250" s="205"/>
      <c r="H250" s="205"/>
      <c r="I250" s="205"/>
      <c r="J250" s="205"/>
      <c r="K250" s="205"/>
      <c r="M250" s="205"/>
      <c r="N250" s="205"/>
      <c r="O250" s="205"/>
      <c r="P250" s="205"/>
      <c r="Q250" s="205"/>
      <c r="R250" s="205"/>
      <c r="S250" s="205"/>
      <c r="T250" s="205"/>
      <c r="U250" s="205"/>
    </row>
    <row r="251" spans="7:21" ht="29.25" customHeight="1" x14ac:dyDescent="0.35">
      <c r="G251" s="205"/>
      <c r="H251" s="205"/>
      <c r="I251" s="205"/>
      <c r="J251" s="205"/>
      <c r="K251" s="205"/>
      <c r="M251" s="205"/>
      <c r="N251" s="205"/>
      <c r="O251" s="205"/>
      <c r="P251" s="205"/>
      <c r="Q251" s="205"/>
      <c r="R251" s="205"/>
      <c r="S251" s="205"/>
      <c r="T251" s="205"/>
      <c r="U251" s="205"/>
    </row>
    <row r="252" spans="7:21" ht="29.25" customHeight="1" x14ac:dyDescent="0.35">
      <c r="G252" s="205"/>
      <c r="H252" s="205"/>
      <c r="I252" s="205"/>
      <c r="J252" s="205"/>
      <c r="K252" s="205"/>
      <c r="M252" s="205"/>
      <c r="N252" s="205"/>
      <c r="O252" s="205"/>
      <c r="P252" s="205"/>
      <c r="Q252" s="205"/>
      <c r="R252" s="205"/>
      <c r="S252" s="205"/>
      <c r="T252" s="205"/>
      <c r="U252" s="205"/>
    </row>
    <row r="253" spans="7:21" ht="29.25" customHeight="1" x14ac:dyDescent="0.35">
      <c r="G253" s="205"/>
      <c r="H253" s="205"/>
      <c r="I253" s="205"/>
      <c r="J253" s="205"/>
      <c r="K253" s="205"/>
      <c r="M253" s="205"/>
      <c r="N253" s="205"/>
      <c r="O253" s="205"/>
      <c r="P253" s="205"/>
      <c r="Q253" s="205"/>
      <c r="R253" s="205"/>
      <c r="S253" s="205"/>
      <c r="T253" s="205"/>
      <c r="U253" s="205"/>
    </row>
    <row r="254" spans="7:21" ht="29.25" customHeight="1" x14ac:dyDescent="0.35">
      <c r="G254" s="205"/>
      <c r="H254" s="205"/>
      <c r="I254" s="205"/>
      <c r="J254" s="205"/>
      <c r="K254" s="205"/>
      <c r="M254" s="205"/>
      <c r="N254" s="205"/>
      <c r="O254" s="205"/>
      <c r="P254" s="205"/>
      <c r="Q254" s="205"/>
      <c r="R254" s="205"/>
      <c r="S254" s="205"/>
      <c r="T254" s="205"/>
      <c r="U254" s="205"/>
    </row>
    <row r="255" spans="7:21" ht="29.25" customHeight="1" x14ac:dyDescent="0.35">
      <c r="G255" s="205"/>
      <c r="H255" s="205"/>
      <c r="I255" s="205"/>
      <c r="J255" s="205"/>
      <c r="K255" s="205"/>
      <c r="M255" s="205"/>
      <c r="N255" s="205"/>
      <c r="O255" s="205"/>
      <c r="P255" s="205"/>
      <c r="Q255" s="205"/>
      <c r="R255" s="205"/>
      <c r="S255" s="205"/>
      <c r="T255" s="205"/>
      <c r="U255" s="205"/>
    </row>
    <row r="256" spans="7:21" ht="29.25" customHeight="1" x14ac:dyDescent="0.35">
      <c r="G256" s="205"/>
      <c r="H256" s="205"/>
      <c r="I256" s="205"/>
      <c r="J256" s="205"/>
      <c r="K256" s="205"/>
      <c r="M256" s="205"/>
      <c r="N256" s="205"/>
      <c r="O256" s="205"/>
      <c r="P256" s="205"/>
      <c r="Q256" s="205"/>
      <c r="R256" s="205"/>
      <c r="S256" s="205"/>
      <c r="T256" s="205"/>
      <c r="U256" s="205"/>
    </row>
    <row r="257" spans="7:21" ht="29.25" customHeight="1" x14ac:dyDescent="0.35">
      <c r="G257" s="205"/>
      <c r="H257" s="205"/>
      <c r="I257" s="205"/>
      <c r="J257" s="205"/>
      <c r="K257" s="205"/>
      <c r="M257" s="205"/>
      <c r="N257" s="205"/>
      <c r="O257" s="205"/>
      <c r="P257" s="205"/>
      <c r="Q257" s="205"/>
      <c r="R257" s="205"/>
      <c r="S257" s="205"/>
      <c r="T257" s="205"/>
      <c r="U257" s="205"/>
    </row>
    <row r="258" spans="7:21" ht="29.25" customHeight="1" x14ac:dyDescent="0.35">
      <c r="G258" s="205"/>
      <c r="H258" s="205"/>
      <c r="I258" s="205"/>
      <c r="J258" s="205"/>
      <c r="K258" s="205"/>
      <c r="M258" s="205"/>
      <c r="N258" s="205"/>
      <c r="O258" s="205"/>
      <c r="P258" s="205"/>
      <c r="Q258" s="205"/>
      <c r="R258" s="205"/>
      <c r="S258" s="205"/>
      <c r="T258" s="205"/>
      <c r="U258" s="205"/>
    </row>
    <row r="259" spans="7:21" ht="29.25" customHeight="1" x14ac:dyDescent="0.35">
      <c r="G259" s="205"/>
      <c r="H259" s="205"/>
      <c r="I259" s="205"/>
      <c r="J259" s="205"/>
      <c r="K259" s="205"/>
      <c r="M259" s="205"/>
      <c r="N259" s="205"/>
      <c r="O259" s="205"/>
      <c r="P259" s="205"/>
      <c r="Q259" s="205"/>
      <c r="R259" s="205"/>
      <c r="S259" s="205"/>
      <c r="T259" s="205"/>
      <c r="U259" s="205"/>
    </row>
    <row r="260" spans="7:21" ht="29.25" customHeight="1" x14ac:dyDescent="0.35">
      <c r="G260" s="205"/>
      <c r="H260" s="205"/>
      <c r="I260" s="205"/>
      <c r="J260" s="205"/>
      <c r="K260" s="205"/>
      <c r="M260" s="205"/>
      <c r="N260" s="205"/>
      <c r="O260" s="205"/>
      <c r="P260" s="205"/>
      <c r="Q260" s="205"/>
      <c r="R260" s="205"/>
      <c r="S260" s="205"/>
      <c r="T260" s="205"/>
      <c r="U260" s="205"/>
    </row>
    <row r="261" spans="7:21" ht="29.25" customHeight="1" x14ac:dyDescent="0.35">
      <c r="G261" s="205"/>
      <c r="H261" s="205"/>
      <c r="I261" s="205"/>
      <c r="J261" s="205"/>
      <c r="K261" s="205"/>
      <c r="M261" s="205"/>
      <c r="N261" s="205"/>
      <c r="O261" s="205"/>
      <c r="P261" s="205"/>
      <c r="Q261" s="205"/>
      <c r="R261" s="205"/>
      <c r="S261" s="205"/>
      <c r="T261" s="205"/>
      <c r="U261" s="205"/>
    </row>
    <row r="262" spans="7:21" ht="29.25" customHeight="1" x14ac:dyDescent="0.35">
      <c r="G262" s="205"/>
      <c r="H262" s="205"/>
      <c r="I262" s="205"/>
      <c r="J262" s="205"/>
      <c r="K262" s="205"/>
      <c r="M262" s="205"/>
      <c r="N262" s="205"/>
      <c r="O262" s="205"/>
      <c r="P262" s="205"/>
      <c r="Q262" s="205"/>
      <c r="R262" s="205"/>
      <c r="S262" s="205"/>
      <c r="T262" s="205"/>
      <c r="U262" s="205"/>
    </row>
    <row r="263" spans="7:21" ht="29.25" customHeight="1" x14ac:dyDescent="0.35">
      <c r="G263" s="205"/>
      <c r="H263" s="205"/>
      <c r="I263" s="205"/>
      <c r="J263" s="205"/>
      <c r="K263" s="205"/>
      <c r="M263" s="205"/>
      <c r="N263" s="205"/>
      <c r="O263" s="205"/>
      <c r="P263" s="205"/>
      <c r="Q263" s="205"/>
      <c r="R263" s="205"/>
      <c r="S263" s="205"/>
      <c r="T263" s="205"/>
      <c r="U263" s="205"/>
    </row>
    <row r="264" spans="7:21" ht="29.25" customHeight="1" x14ac:dyDescent="0.35">
      <c r="G264" s="205"/>
      <c r="H264" s="205"/>
      <c r="I264" s="205"/>
      <c r="J264" s="205"/>
      <c r="K264" s="205"/>
      <c r="M264" s="205"/>
      <c r="N264" s="205"/>
      <c r="O264" s="205"/>
      <c r="P264" s="205"/>
      <c r="Q264" s="205"/>
      <c r="R264" s="205"/>
      <c r="S264" s="205"/>
      <c r="T264" s="205"/>
      <c r="U264" s="205"/>
    </row>
    <row r="265" spans="7:21" ht="29.25" customHeight="1" x14ac:dyDescent="0.35">
      <c r="G265" s="205"/>
      <c r="H265" s="205"/>
      <c r="I265" s="205"/>
      <c r="J265" s="205"/>
      <c r="K265" s="205"/>
      <c r="M265" s="205"/>
      <c r="N265" s="205"/>
      <c r="O265" s="205"/>
      <c r="P265" s="205"/>
      <c r="Q265" s="205"/>
      <c r="R265" s="205"/>
      <c r="S265" s="205"/>
      <c r="T265" s="205"/>
      <c r="U265" s="205"/>
    </row>
    <row r="266" spans="7:21" ht="29.25" customHeight="1" x14ac:dyDescent="0.35">
      <c r="G266" s="205"/>
      <c r="H266" s="205"/>
      <c r="I266" s="205"/>
      <c r="J266" s="205"/>
      <c r="K266" s="205"/>
      <c r="M266" s="205"/>
      <c r="N266" s="205"/>
      <c r="O266" s="205"/>
      <c r="P266" s="205"/>
      <c r="Q266" s="205"/>
      <c r="R266" s="205"/>
      <c r="S266" s="205"/>
      <c r="T266" s="205"/>
      <c r="U266" s="205"/>
    </row>
    <row r="267" spans="7:21" ht="29.25" customHeight="1" x14ac:dyDescent="0.35">
      <c r="G267" s="205"/>
      <c r="H267" s="205"/>
      <c r="I267" s="205"/>
      <c r="J267" s="205"/>
      <c r="K267" s="205"/>
      <c r="M267" s="205"/>
      <c r="N267" s="205"/>
      <c r="O267" s="205"/>
      <c r="P267" s="205"/>
      <c r="Q267" s="205"/>
      <c r="R267" s="205"/>
      <c r="S267" s="205"/>
      <c r="T267" s="205"/>
      <c r="U267" s="205"/>
    </row>
    <row r="268" spans="7:21" ht="29.25" customHeight="1" x14ac:dyDescent="0.35">
      <c r="G268" s="205"/>
      <c r="H268" s="205"/>
      <c r="I268" s="205"/>
      <c r="J268" s="205"/>
      <c r="K268" s="205"/>
      <c r="M268" s="205"/>
      <c r="N268" s="205"/>
      <c r="O268" s="205"/>
      <c r="P268" s="205"/>
      <c r="Q268" s="205"/>
      <c r="R268" s="205"/>
      <c r="S268" s="205"/>
      <c r="T268" s="205"/>
      <c r="U268" s="205"/>
    </row>
    <row r="269" spans="7:21" ht="29.25" customHeight="1" x14ac:dyDescent="0.35">
      <c r="G269" s="205"/>
      <c r="H269" s="205"/>
      <c r="I269" s="205"/>
      <c r="J269" s="205"/>
      <c r="K269" s="205"/>
      <c r="M269" s="205"/>
      <c r="N269" s="205"/>
      <c r="O269" s="205"/>
      <c r="P269" s="205"/>
      <c r="Q269" s="205"/>
      <c r="R269" s="205"/>
      <c r="S269" s="205"/>
      <c r="T269" s="205"/>
      <c r="U269" s="205"/>
    </row>
    <row r="270" spans="7:21" ht="29.25" customHeight="1" x14ac:dyDescent="0.35">
      <c r="G270" s="205"/>
      <c r="H270" s="205"/>
      <c r="I270" s="205"/>
      <c r="J270" s="205"/>
      <c r="K270" s="205"/>
      <c r="M270" s="205"/>
      <c r="N270" s="205"/>
      <c r="O270" s="205"/>
      <c r="P270" s="205"/>
      <c r="Q270" s="205"/>
      <c r="R270" s="205"/>
      <c r="S270" s="205"/>
      <c r="T270" s="205"/>
      <c r="U270" s="205"/>
    </row>
    <row r="271" spans="7:21" ht="29.25" customHeight="1" x14ac:dyDescent="0.35">
      <c r="G271" s="205"/>
      <c r="H271" s="205"/>
      <c r="I271" s="205"/>
      <c r="J271" s="205"/>
      <c r="K271" s="205"/>
      <c r="M271" s="205"/>
      <c r="N271" s="205"/>
      <c r="O271" s="205"/>
      <c r="P271" s="205"/>
      <c r="Q271" s="205"/>
      <c r="R271" s="205"/>
      <c r="S271" s="205"/>
      <c r="T271" s="205"/>
      <c r="U271" s="205"/>
    </row>
    <row r="272" spans="7:21" ht="29.25" customHeight="1" x14ac:dyDescent="0.35">
      <c r="G272" s="205"/>
      <c r="H272" s="205"/>
      <c r="I272" s="205"/>
      <c r="J272" s="205"/>
      <c r="K272" s="205"/>
      <c r="M272" s="205"/>
      <c r="N272" s="205"/>
      <c r="O272" s="205"/>
      <c r="P272" s="205"/>
      <c r="Q272" s="205"/>
      <c r="R272" s="205"/>
      <c r="S272" s="205"/>
      <c r="T272" s="205"/>
      <c r="U272" s="205"/>
    </row>
    <row r="273" spans="7:21" ht="29.25" customHeight="1" x14ac:dyDescent="0.35">
      <c r="G273" s="205"/>
      <c r="H273" s="205"/>
      <c r="I273" s="205"/>
      <c r="J273" s="205"/>
      <c r="K273" s="205"/>
      <c r="M273" s="205"/>
      <c r="N273" s="205"/>
      <c r="O273" s="205"/>
      <c r="P273" s="205"/>
      <c r="Q273" s="205"/>
      <c r="R273" s="205"/>
      <c r="S273" s="205"/>
      <c r="T273" s="205"/>
      <c r="U273" s="205"/>
    </row>
    <row r="274" spans="7:21" ht="29.25" customHeight="1" x14ac:dyDescent="0.35">
      <c r="G274" s="205"/>
      <c r="H274" s="205"/>
      <c r="I274" s="205"/>
      <c r="J274" s="205"/>
      <c r="K274" s="205"/>
      <c r="M274" s="205"/>
      <c r="N274" s="205"/>
      <c r="O274" s="205"/>
      <c r="P274" s="205"/>
      <c r="Q274" s="205"/>
      <c r="R274" s="205"/>
      <c r="S274" s="205"/>
      <c r="T274" s="205"/>
      <c r="U274" s="205"/>
    </row>
    <row r="275" spans="7:21" ht="29.25" customHeight="1" x14ac:dyDescent="0.35">
      <c r="G275" s="205"/>
      <c r="H275" s="205"/>
      <c r="I275" s="205"/>
      <c r="J275" s="205"/>
      <c r="K275" s="205"/>
      <c r="M275" s="205"/>
      <c r="N275" s="205"/>
      <c r="O275" s="205"/>
      <c r="P275" s="205"/>
      <c r="Q275" s="205"/>
      <c r="R275" s="205"/>
      <c r="S275" s="205"/>
      <c r="T275" s="205"/>
      <c r="U275" s="205"/>
    </row>
    <row r="276" spans="7:21" ht="29.25" customHeight="1" x14ac:dyDescent="0.35">
      <c r="G276" s="205"/>
      <c r="H276" s="205"/>
      <c r="I276" s="205"/>
      <c r="J276" s="205"/>
      <c r="K276" s="205"/>
      <c r="M276" s="205"/>
      <c r="N276" s="205"/>
      <c r="O276" s="205"/>
      <c r="P276" s="205"/>
      <c r="Q276" s="205"/>
      <c r="R276" s="205"/>
      <c r="S276" s="205"/>
      <c r="T276" s="205"/>
      <c r="U276" s="205"/>
    </row>
    <row r="277" spans="7:21" ht="29.25" customHeight="1" x14ac:dyDescent="0.35">
      <c r="G277" s="205"/>
      <c r="H277" s="205"/>
      <c r="I277" s="205"/>
      <c r="J277" s="205"/>
      <c r="K277" s="205"/>
      <c r="M277" s="205"/>
      <c r="N277" s="205"/>
      <c r="O277" s="205"/>
      <c r="P277" s="205"/>
      <c r="Q277" s="205"/>
      <c r="R277" s="205"/>
      <c r="S277" s="205"/>
      <c r="T277" s="205"/>
      <c r="U277" s="205"/>
    </row>
    <row r="278" spans="7:21" ht="29.25" customHeight="1" x14ac:dyDescent="0.35">
      <c r="G278" s="205"/>
      <c r="H278" s="205"/>
      <c r="I278" s="205"/>
      <c r="J278" s="205"/>
      <c r="K278" s="205"/>
      <c r="M278" s="205"/>
      <c r="N278" s="205"/>
      <c r="O278" s="205"/>
      <c r="P278" s="205"/>
      <c r="Q278" s="205"/>
      <c r="R278" s="205"/>
      <c r="S278" s="205"/>
      <c r="T278" s="205"/>
      <c r="U278" s="205"/>
    </row>
    <row r="279" spans="7:21" ht="29.25" customHeight="1" x14ac:dyDescent="0.35">
      <c r="G279" s="205"/>
      <c r="H279" s="205"/>
      <c r="I279" s="205"/>
      <c r="J279" s="205"/>
      <c r="K279" s="205"/>
      <c r="M279" s="205"/>
      <c r="N279" s="205"/>
      <c r="O279" s="205"/>
      <c r="P279" s="205"/>
      <c r="Q279" s="205"/>
      <c r="R279" s="205"/>
      <c r="S279" s="205"/>
      <c r="T279" s="205"/>
      <c r="U279" s="205"/>
    </row>
    <row r="280" spans="7:21" ht="29.25" customHeight="1" x14ac:dyDescent="0.35">
      <c r="G280" s="205"/>
      <c r="H280" s="205"/>
      <c r="I280" s="205"/>
      <c r="J280" s="205"/>
      <c r="K280" s="205"/>
      <c r="M280" s="205"/>
      <c r="N280" s="205"/>
      <c r="O280" s="205"/>
      <c r="P280" s="205"/>
      <c r="Q280" s="205"/>
      <c r="R280" s="205"/>
      <c r="S280" s="205"/>
      <c r="T280" s="205"/>
      <c r="U280" s="205"/>
    </row>
    <row r="281" spans="7:21" ht="29.25" customHeight="1" x14ac:dyDescent="0.35">
      <c r="G281" s="205"/>
      <c r="H281" s="205"/>
      <c r="I281" s="205"/>
      <c r="J281" s="205"/>
      <c r="K281" s="205"/>
      <c r="M281" s="205"/>
      <c r="N281" s="205"/>
      <c r="O281" s="205"/>
      <c r="P281" s="205"/>
      <c r="Q281" s="205"/>
      <c r="R281" s="205"/>
      <c r="S281" s="205"/>
      <c r="T281" s="205"/>
      <c r="U281" s="205"/>
    </row>
    <row r="282" spans="7:21" ht="29.25" customHeight="1" x14ac:dyDescent="0.35">
      <c r="G282" s="205"/>
      <c r="H282" s="205"/>
      <c r="I282" s="205"/>
      <c r="J282" s="205"/>
      <c r="K282" s="205"/>
      <c r="M282" s="205"/>
      <c r="N282" s="205"/>
      <c r="O282" s="205"/>
      <c r="P282" s="205"/>
      <c r="Q282" s="205"/>
      <c r="R282" s="205"/>
      <c r="S282" s="205"/>
      <c r="T282" s="205"/>
      <c r="U282" s="205"/>
    </row>
    <row r="283" spans="7:21" ht="29.25" customHeight="1" x14ac:dyDescent="0.35">
      <c r="G283" s="205"/>
      <c r="H283" s="205"/>
      <c r="I283" s="205"/>
      <c r="J283" s="205"/>
      <c r="K283" s="205"/>
      <c r="M283" s="205"/>
      <c r="N283" s="205"/>
      <c r="O283" s="205"/>
      <c r="P283" s="205"/>
      <c r="Q283" s="205"/>
      <c r="R283" s="205"/>
      <c r="S283" s="205"/>
      <c r="T283" s="205"/>
      <c r="U283" s="205"/>
    </row>
    <row r="284" spans="7:21" ht="29.25" customHeight="1" x14ac:dyDescent="0.35">
      <c r="G284" s="205"/>
      <c r="H284" s="205"/>
      <c r="I284" s="205"/>
      <c r="J284" s="205"/>
      <c r="K284" s="205"/>
      <c r="M284" s="205"/>
      <c r="N284" s="205"/>
      <c r="O284" s="205"/>
      <c r="P284" s="205"/>
      <c r="Q284" s="205"/>
      <c r="R284" s="205"/>
      <c r="S284" s="205"/>
      <c r="T284" s="205"/>
      <c r="U284" s="205"/>
    </row>
    <row r="285" spans="7:21" ht="29.25" customHeight="1" x14ac:dyDescent="0.35">
      <c r="G285" s="205"/>
      <c r="H285" s="205"/>
      <c r="I285" s="205"/>
      <c r="J285" s="205"/>
      <c r="K285" s="205"/>
      <c r="M285" s="205"/>
      <c r="N285" s="205"/>
      <c r="O285" s="205"/>
      <c r="P285" s="205"/>
      <c r="Q285" s="205"/>
      <c r="R285" s="205"/>
      <c r="S285" s="205"/>
      <c r="T285" s="205"/>
      <c r="U285" s="205"/>
    </row>
    <row r="286" spans="7:21" ht="29.25" customHeight="1" x14ac:dyDescent="0.35">
      <c r="G286" s="205"/>
      <c r="H286" s="205"/>
      <c r="I286" s="205"/>
      <c r="J286" s="205"/>
      <c r="K286" s="205"/>
      <c r="M286" s="205"/>
      <c r="N286" s="205"/>
      <c r="O286" s="205"/>
      <c r="P286" s="205"/>
      <c r="Q286" s="205"/>
      <c r="R286" s="205"/>
      <c r="S286" s="205"/>
      <c r="T286" s="205"/>
      <c r="U286" s="205"/>
    </row>
    <row r="287" spans="7:21" ht="29.25" customHeight="1" x14ac:dyDescent="0.35">
      <c r="G287" s="205"/>
      <c r="H287" s="205"/>
      <c r="I287" s="205"/>
      <c r="J287" s="205"/>
      <c r="K287" s="205"/>
      <c r="M287" s="205"/>
      <c r="N287" s="205"/>
      <c r="O287" s="205"/>
      <c r="P287" s="205"/>
      <c r="Q287" s="205"/>
      <c r="R287" s="205"/>
      <c r="S287" s="205"/>
      <c r="T287" s="205"/>
      <c r="U287" s="205"/>
    </row>
    <row r="288" spans="7:21" ht="29.25" customHeight="1" x14ac:dyDescent="0.35">
      <c r="G288" s="205"/>
      <c r="H288" s="205"/>
      <c r="I288" s="205"/>
      <c r="J288" s="205"/>
      <c r="K288" s="205"/>
      <c r="M288" s="205"/>
      <c r="N288" s="205"/>
      <c r="O288" s="205"/>
      <c r="P288" s="205"/>
      <c r="Q288" s="205"/>
      <c r="R288" s="205"/>
      <c r="S288" s="205"/>
      <c r="T288" s="205"/>
      <c r="U288" s="205"/>
    </row>
    <row r="289" spans="7:21" ht="29.25" customHeight="1" x14ac:dyDescent="0.35">
      <c r="G289" s="205"/>
      <c r="H289" s="205"/>
      <c r="I289" s="205"/>
      <c r="J289" s="205"/>
      <c r="K289" s="205"/>
      <c r="M289" s="205"/>
      <c r="N289" s="205"/>
      <c r="O289" s="205"/>
      <c r="P289" s="205"/>
      <c r="Q289" s="205"/>
      <c r="R289" s="205"/>
      <c r="S289" s="205"/>
      <c r="T289" s="205"/>
      <c r="U289" s="205"/>
    </row>
    <row r="290" spans="7:21" ht="29.25" customHeight="1" x14ac:dyDescent="0.35">
      <c r="G290" s="205"/>
      <c r="H290" s="205"/>
      <c r="I290" s="205"/>
      <c r="J290" s="205"/>
      <c r="K290" s="205"/>
      <c r="M290" s="205"/>
      <c r="N290" s="205"/>
      <c r="O290" s="205"/>
      <c r="P290" s="205"/>
      <c r="Q290" s="205"/>
      <c r="R290" s="205"/>
      <c r="S290" s="205"/>
      <c r="T290" s="205"/>
      <c r="U290" s="205"/>
    </row>
    <row r="291" spans="7:21" ht="29.25" customHeight="1" x14ac:dyDescent="0.35">
      <c r="G291" s="205"/>
      <c r="H291" s="205"/>
      <c r="I291" s="205"/>
      <c r="J291" s="205"/>
      <c r="K291" s="205"/>
      <c r="M291" s="205"/>
      <c r="N291" s="205"/>
      <c r="O291" s="205"/>
      <c r="P291" s="205"/>
      <c r="Q291" s="205"/>
      <c r="R291" s="205"/>
      <c r="S291" s="205"/>
      <c r="T291" s="205"/>
      <c r="U291" s="205"/>
    </row>
    <row r="292" spans="7:21" ht="29.25" customHeight="1" x14ac:dyDescent="0.35">
      <c r="G292" s="205"/>
      <c r="H292" s="205"/>
      <c r="I292" s="205"/>
      <c r="J292" s="205"/>
      <c r="K292" s="205"/>
      <c r="M292" s="205"/>
      <c r="N292" s="205"/>
      <c r="O292" s="205"/>
      <c r="P292" s="205"/>
      <c r="Q292" s="205"/>
      <c r="R292" s="205"/>
      <c r="S292" s="205"/>
      <c r="T292" s="205"/>
      <c r="U292" s="205"/>
    </row>
    <row r="293" spans="7:21" ht="29.25" customHeight="1" x14ac:dyDescent="0.35">
      <c r="G293" s="205"/>
      <c r="H293" s="205"/>
      <c r="I293" s="205"/>
      <c r="J293" s="205"/>
      <c r="K293" s="205"/>
      <c r="M293" s="205"/>
      <c r="N293" s="205"/>
      <c r="O293" s="205"/>
      <c r="P293" s="205"/>
      <c r="Q293" s="205"/>
      <c r="R293" s="205"/>
      <c r="S293" s="205"/>
      <c r="T293" s="205"/>
      <c r="U293" s="205"/>
    </row>
    <row r="294" spans="7:21" ht="29.25" customHeight="1" x14ac:dyDescent="0.35">
      <c r="G294" s="205"/>
      <c r="H294" s="205"/>
      <c r="I294" s="205"/>
      <c r="J294" s="205"/>
      <c r="K294" s="205"/>
      <c r="M294" s="205"/>
      <c r="N294" s="205"/>
      <c r="O294" s="205"/>
      <c r="P294" s="205"/>
      <c r="Q294" s="205"/>
      <c r="R294" s="205"/>
      <c r="S294" s="205"/>
      <c r="T294" s="205"/>
      <c r="U294" s="205"/>
    </row>
    <row r="295" spans="7:21" ht="29.25" customHeight="1" x14ac:dyDescent="0.35">
      <c r="G295" s="205"/>
      <c r="H295" s="205"/>
      <c r="I295" s="205"/>
      <c r="J295" s="205"/>
      <c r="K295" s="205"/>
      <c r="M295" s="205"/>
      <c r="N295" s="205"/>
      <c r="O295" s="205"/>
      <c r="P295" s="205"/>
      <c r="Q295" s="205"/>
      <c r="R295" s="205"/>
      <c r="S295" s="205"/>
      <c r="T295" s="205"/>
      <c r="U295" s="205"/>
    </row>
    <row r="296" spans="7:21" ht="29.25" customHeight="1" x14ac:dyDescent="0.35">
      <c r="G296" s="205"/>
      <c r="H296" s="205"/>
      <c r="I296" s="205"/>
      <c r="J296" s="205"/>
      <c r="K296" s="205"/>
      <c r="M296" s="205"/>
      <c r="N296" s="205"/>
      <c r="O296" s="205"/>
      <c r="P296" s="205"/>
      <c r="Q296" s="205"/>
      <c r="R296" s="205"/>
      <c r="S296" s="205"/>
      <c r="T296" s="205"/>
      <c r="U296" s="205"/>
    </row>
    <row r="297" spans="7:21" ht="29.25" customHeight="1" x14ac:dyDescent="0.35">
      <c r="G297" s="205"/>
      <c r="H297" s="205"/>
      <c r="I297" s="205"/>
      <c r="J297" s="205"/>
      <c r="K297" s="205"/>
      <c r="M297" s="205"/>
      <c r="N297" s="205"/>
      <c r="O297" s="205"/>
      <c r="P297" s="205"/>
      <c r="Q297" s="205"/>
      <c r="R297" s="205"/>
      <c r="S297" s="205"/>
      <c r="T297" s="205"/>
      <c r="U297" s="205"/>
    </row>
    <row r="298" spans="7:21" ht="29.25" customHeight="1" x14ac:dyDescent="0.35">
      <c r="G298" s="205"/>
      <c r="H298" s="205"/>
      <c r="I298" s="205"/>
      <c r="J298" s="205"/>
      <c r="K298" s="205"/>
      <c r="M298" s="205"/>
      <c r="N298" s="205"/>
      <c r="O298" s="205"/>
      <c r="P298" s="205"/>
      <c r="Q298" s="205"/>
      <c r="R298" s="205"/>
      <c r="S298" s="205"/>
      <c r="T298" s="205"/>
      <c r="U298" s="205"/>
    </row>
    <row r="299" spans="7:21" ht="29.25" customHeight="1" x14ac:dyDescent="0.35">
      <c r="G299" s="205"/>
      <c r="H299" s="205"/>
      <c r="I299" s="205"/>
      <c r="J299" s="205"/>
      <c r="K299" s="205"/>
      <c r="M299" s="205"/>
      <c r="N299" s="205"/>
      <c r="O299" s="205"/>
      <c r="P299" s="205"/>
      <c r="Q299" s="205"/>
      <c r="R299" s="205"/>
      <c r="S299" s="205"/>
      <c r="T299" s="205"/>
      <c r="U299" s="205"/>
    </row>
    <row r="300" spans="7:21" ht="29.25" customHeight="1" x14ac:dyDescent="0.35">
      <c r="G300" s="205"/>
      <c r="H300" s="205"/>
      <c r="I300" s="205"/>
      <c r="J300" s="205"/>
      <c r="K300" s="205"/>
      <c r="M300" s="205"/>
      <c r="N300" s="205"/>
      <c r="O300" s="205"/>
      <c r="P300" s="205"/>
      <c r="Q300" s="205"/>
      <c r="R300" s="205"/>
      <c r="S300" s="205"/>
      <c r="T300" s="205"/>
      <c r="U300" s="205"/>
    </row>
    <row r="301" spans="7:21" ht="29.25" customHeight="1" x14ac:dyDescent="0.35">
      <c r="G301" s="205"/>
      <c r="H301" s="205"/>
      <c r="I301" s="205"/>
      <c r="J301" s="205"/>
      <c r="K301" s="205"/>
      <c r="M301" s="205"/>
      <c r="N301" s="205"/>
      <c r="O301" s="205"/>
      <c r="P301" s="205"/>
      <c r="Q301" s="205"/>
      <c r="R301" s="205"/>
      <c r="S301" s="205"/>
      <c r="T301" s="205"/>
      <c r="U301" s="205"/>
    </row>
    <row r="302" spans="7:21" ht="29.25" customHeight="1" x14ac:dyDescent="0.35">
      <c r="G302" s="205"/>
      <c r="H302" s="205"/>
      <c r="I302" s="205"/>
      <c r="J302" s="205"/>
      <c r="K302" s="205"/>
      <c r="M302" s="205"/>
      <c r="N302" s="205"/>
      <c r="O302" s="205"/>
      <c r="P302" s="205"/>
      <c r="Q302" s="205"/>
      <c r="R302" s="205"/>
      <c r="S302" s="205"/>
      <c r="T302" s="205"/>
      <c r="U302" s="205"/>
    </row>
    <row r="303" spans="7:21" ht="29.25" customHeight="1" x14ac:dyDescent="0.35">
      <c r="G303" s="205"/>
      <c r="H303" s="205"/>
      <c r="I303" s="205"/>
      <c r="J303" s="205"/>
      <c r="K303" s="205"/>
      <c r="M303" s="205"/>
      <c r="N303" s="205"/>
      <c r="O303" s="205"/>
      <c r="P303" s="205"/>
      <c r="Q303" s="205"/>
      <c r="R303" s="205"/>
      <c r="S303" s="205"/>
      <c r="T303" s="205"/>
      <c r="U303" s="205"/>
    </row>
    <row r="304" spans="7:21" ht="29.25" customHeight="1" x14ac:dyDescent="0.35">
      <c r="G304" s="205"/>
      <c r="H304" s="205"/>
      <c r="I304" s="205"/>
      <c r="J304" s="205"/>
      <c r="K304" s="205"/>
      <c r="M304" s="205"/>
      <c r="N304" s="205"/>
      <c r="O304" s="205"/>
      <c r="P304" s="205"/>
      <c r="Q304" s="205"/>
      <c r="R304" s="205"/>
      <c r="S304" s="205"/>
      <c r="T304" s="205"/>
      <c r="U304" s="205"/>
    </row>
    <row r="305" spans="7:21" ht="29.25" customHeight="1" x14ac:dyDescent="0.35">
      <c r="G305" s="205"/>
      <c r="H305" s="205"/>
      <c r="I305" s="205"/>
      <c r="J305" s="205"/>
      <c r="K305" s="205"/>
      <c r="M305" s="205"/>
      <c r="N305" s="205"/>
      <c r="O305" s="205"/>
      <c r="P305" s="205"/>
      <c r="Q305" s="205"/>
      <c r="R305" s="205"/>
      <c r="S305" s="205"/>
      <c r="T305" s="205"/>
      <c r="U305" s="205"/>
    </row>
    <row r="306" spans="7:21" ht="29.25" customHeight="1" x14ac:dyDescent="0.35">
      <c r="G306" s="205"/>
      <c r="H306" s="205"/>
      <c r="I306" s="205"/>
      <c r="J306" s="205"/>
      <c r="K306" s="205"/>
      <c r="M306" s="205"/>
      <c r="N306" s="205"/>
      <c r="O306" s="205"/>
      <c r="P306" s="205"/>
      <c r="Q306" s="205"/>
      <c r="R306" s="205"/>
      <c r="S306" s="205"/>
      <c r="T306" s="205"/>
      <c r="U306" s="205"/>
    </row>
    <row r="307" spans="7:21" ht="29.25" customHeight="1" x14ac:dyDescent="0.35">
      <c r="G307" s="205"/>
      <c r="H307" s="205"/>
      <c r="I307" s="205"/>
      <c r="J307" s="205"/>
      <c r="K307" s="205"/>
      <c r="M307" s="205"/>
      <c r="N307" s="205"/>
      <c r="O307" s="205"/>
      <c r="P307" s="205"/>
      <c r="Q307" s="205"/>
      <c r="R307" s="205"/>
      <c r="S307" s="205"/>
      <c r="T307" s="205"/>
      <c r="U307" s="205"/>
    </row>
    <row r="308" spans="7:21" ht="29.25" customHeight="1" x14ac:dyDescent="0.35">
      <c r="G308" s="205"/>
      <c r="H308" s="205"/>
      <c r="I308" s="205"/>
      <c r="J308" s="205"/>
      <c r="K308" s="205"/>
      <c r="M308" s="205"/>
      <c r="N308" s="205"/>
      <c r="O308" s="205"/>
      <c r="P308" s="205"/>
      <c r="Q308" s="205"/>
      <c r="R308" s="205"/>
      <c r="S308" s="205"/>
      <c r="T308" s="205"/>
      <c r="U308" s="205"/>
    </row>
    <row r="309" spans="7:21" ht="29.25" customHeight="1" x14ac:dyDescent="0.35">
      <c r="G309" s="205"/>
      <c r="H309" s="205"/>
      <c r="I309" s="205"/>
      <c r="J309" s="205"/>
      <c r="K309" s="205"/>
      <c r="M309" s="205"/>
      <c r="N309" s="205"/>
      <c r="O309" s="205"/>
      <c r="P309" s="205"/>
      <c r="Q309" s="205"/>
      <c r="R309" s="205"/>
      <c r="S309" s="205"/>
      <c r="T309" s="205"/>
      <c r="U309" s="205"/>
    </row>
    <row r="310" spans="7:21" ht="29.25" customHeight="1" x14ac:dyDescent="0.35">
      <c r="G310" s="205"/>
      <c r="H310" s="205"/>
      <c r="I310" s="205"/>
      <c r="J310" s="205"/>
      <c r="K310" s="205"/>
      <c r="M310" s="205"/>
      <c r="N310" s="205"/>
      <c r="O310" s="205"/>
      <c r="P310" s="205"/>
      <c r="Q310" s="205"/>
      <c r="R310" s="205"/>
      <c r="S310" s="205"/>
      <c r="T310" s="205"/>
      <c r="U310" s="205"/>
    </row>
    <row r="311" spans="7:21" ht="29.25" customHeight="1" x14ac:dyDescent="0.35">
      <c r="G311" s="205"/>
      <c r="H311" s="205"/>
      <c r="I311" s="205"/>
      <c r="J311" s="205"/>
      <c r="K311" s="205"/>
      <c r="M311" s="205"/>
      <c r="N311" s="205"/>
      <c r="O311" s="205"/>
      <c r="P311" s="205"/>
      <c r="Q311" s="205"/>
      <c r="R311" s="205"/>
      <c r="S311" s="205"/>
      <c r="T311" s="205"/>
      <c r="U311" s="205"/>
    </row>
    <row r="312" spans="7:21" ht="29.25" customHeight="1" x14ac:dyDescent="0.35">
      <c r="G312" s="205"/>
      <c r="H312" s="205"/>
      <c r="I312" s="205"/>
      <c r="J312" s="205"/>
      <c r="K312" s="205"/>
      <c r="M312" s="205"/>
      <c r="N312" s="205"/>
      <c r="O312" s="205"/>
      <c r="P312" s="205"/>
      <c r="Q312" s="205"/>
      <c r="R312" s="205"/>
      <c r="S312" s="205"/>
      <c r="T312" s="205"/>
      <c r="U312" s="205"/>
    </row>
    <row r="313" spans="7:21" ht="29.25" customHeight="1" x14ac:dyDescent="0.35">
      <c r="G313" s="205"/>
      <c r="H313" s="205"/>
      <c r="I313" s="205"/>
      <c r="J313" s="205"/>
      <c r="K313" s="205"/>
      <c r="M313" s="205"/>
      <c r="N313" s="205"/>
      <c r="O313" s="205"/>
      <c r="P313" s="205"/>
      <c r="Q313" s="205"/>
      <c r="R313" s="205"/>
      <c r="S313" s="205"/>
      <c r="T313" s="205"/>
      <c r="U313" s="205"/>
    </row>
    <row r="314" spans="7:21" ht="29.25" customHeight="1" x14ac:dyDescent="0.35">
      <c r="G314" s="205"/>
      <c r="H314" s="205"/>
      <c r="I314" s="205"/>
      <c r="J314" s="205"/>
      <c r="K314" s="205"/>
      <c r="M314" s="205"/>
      <c r="N314" s="205"/>
      <c r="O314" s="205"/>
      <c r="P314" s="205"/>
      <c r="Q314" s="205"/>
      <c r="R314" s="205"/>
      <c r="S314" s="205"/>
      <c r="T314" s="205"/>
      <c r="U314" s="205"/>
    </row>
    <row r="315" spans="7:21" ht="29.25" customHeight="1" x14ac:dyDescent="0.35">
      <c r="G315" s="205"/>
      <c r="H315" s="205"/>
      <c r="I315" s="205"/>
      <c r="J315" s="205"/>
      <c r="K315" s="205"/>
      <c r="M315" s="205"/>
      <c r="N315" s="205"/>
      <c r="O315" s="205"/>
      <c r="P315" s="205"/>
      <c r="Q315" s="205"/>
      <c r="R315" s="205"/>
      <c r="S315" s="205"/>
      <c r="T315" s="205"/>
      <c r="U315" s="205"/>
    </row>
    <row r="316" spans="7:21" ht="29.25" customHeight="1" x14ac:dyDescent="0.35">
      <c r="G316" s="205"/>
      <c r="H316" s="205"/>
      <c r="I316" s="205"/>
      <c r="J316" s="205"/>
      <c r="K316" s="205"/>
      <c r="M316" s="205"/>
      <c r="N316" s="205"/>
      <c r="O316" s="205"/>
      <c r="P316" s="205"/>
      <c r="Q316" s="205"/>
      <c r="R316" s="205"/>
      <c r="S316" s="205"/>
      <c r="T316" s="205"/>
      <c r="U316" s="205"/>
    </row>
    <row r="317" spans="7:21" ht="29.25" customHeight="1" x14ac:dyDescent="0.35">
      <c r="G317" s="205"/>
      <c r="H317" s="205"/>
      <c r="I317" s="205"/>
      <c r="J317" s="205"/>
      <c r="K317" s="205"/>
      <c r="M317" s="205"/>
      <c r="N317" s="205"/>
      <c r="O317" s="205"/>
      <c r="P317" s="205"/>
      <c r="Q317" s="205"/>
      <c r="R317" s="205"/>
      <c r="S317" s="205"/>
      <c r="T317" s="205"/>
      <c r="U317" s="205"/>
    </row>
    <row r="318" spans="7:21" ht="29.25" customHeight="1" x14ac:dyDescent="0.35">
      <c r="G318" s="205"/>
      <c r="H318" s="205"/>
      <c r="I318" s="205"/>
      <c r="J318" s="205"/>
      <c r="K318" s="205"/>
      <c r="M318" s="205"/>
      <c r="N318" s="205"/>
      <c r="O318" s="205"/>
      <c r="P318" s="205"/>
      <c r="Q318" s="205"/>
      <c r="R318" s="205"/>
      <c r="S318" s="205"/>
      <c r="T318" s="205"/>
      <c r="U318" s="205"/>
    </row>
    <row r="319" spans="7:21" ht="29.25" customHeight="1" x14ac:dyDescent="0.35">
      <c r="G319" s="205"/>
      <c r="H319" s="205"/>
      <c r="I319" s="205"/>
      <c r="J319" s="205"/>
      <c r="K319" s="205"/>
      <c r="M319" s="205"/>
      <c r="N319" s="205"/>
      <c r="O319" s="205"/>
      <c r="P319" s="205"/>
      <c r="Q319" s="205"/>
      <c r="R319" s="205"/>
      <c r="S319" s="205"/>
      <c r="T319" s="205"/>
      <c r="U319" s="205"/>
    </row>
    <row r="320" spans="7:21" ht="29.25" customHeight="1" x14ac:dyDescent="0.35">
      <c r="G320" s="205"/>
      <c r="H320" s="205"/>
      <c r="I320" s="205"/>
      <c r="J320" s="205"/>
      <c r="K320" s="205"/>
      <c r="M320" s="205"/>
      <c r="N320" s="205"/>
      <c r="O320" s="205"/>
      <c r="P320" s="205"/>
      <c r="Q320" s="205"/>
      <c r="R320" s="205"/>
      <c r="S320" s="205"/>
      <c r="T320" s="205"/>
      <c r="U320" s="205"/>
    </row>
    <row r="321" spans="7:21" ht="29.25" customHeight="1" x14ac:dyDescent="0.35">
      <c r="G321" s="205"/>
      <c r="H321" s="205"/>
      <c r="I321" s="205"/>
      <c r="J321" s="205"/>
      <c r="K321" s="205"/>
      <c r="M321" s="205"/>
      <c r="N321" s="205"/>
      <c r="O321" s="205"/>
      <c r="P321" s="205"/>
      <c r="Q321" s="205"/>
      <c r="R321" s="205"/>
      <c r="S321" s="205"/>
      <c r="T321" s="205"/>
      <c r="U321" s="205"/>
    </row>
    <row r="322" spans="7:21" ht="29.25" customHeight="1" x14ac:dyDescent="0.35">
      <c r="G322" s="205"/>
      <c r="H322" s="205"/>
      <c r="I322" s="205"/>
      <c r="J322" s="205"/>
      <c r="K322" s="205"/>
      <c r="M322" s="205"/>
      <c r="N322" s="205"/>
      <c r="O322" s="205"/>
      <c r="P322" s="205"/>
      <c r="Q322" s="205"/>
      <c r="R322" s="205"/>
      <c r="S322" s="205"/>
      <c r="T322" s="205"/>
      <c r="U322" s="205"/>
    </row>
    <row r="323" spans="7:21" ht="29.25" customHeight="1" x14ac:dyDescent="0.35">
      <c r="G323" s="205"/>
      <c r="H323" s="205"/>
      <c r="I323" s="205"/>
      <c r="J323" s="205"/>
      <c r="K323" s="205"/>
      <c r="M323" s="205"/>
      <c r="N323" s="205"/>
      <c r="O323" s="205"/>
      <c r="P323" s="205"/>
      <c r="Q323" s="205"/>
      <c r="R323" s="205"/>
      <c r="S323" s="205"/>
      <c r="T323" s="205"/>
      <c r="U323" s="205"/>
    </row>
    <row r="324" spans="7:21" ht="29.25" customHeight="1" x14ac:dyDescent="0.35">
      <c r="G324" s="205"/>
      <c r="H324" s="205"/>
      <c r="I324" s="205"/>
      <c r="J324" s="205"/>
      <c r="K324" s="205"/>
      <c r="M324" s="205"/>
      <c r="N324" s="205"/>
      <c r="O324" s="205"/>
      <c r="P324" s="205"/>
      <c r="Q324" s="205"/>
      <c r="R324" s="205"/>
      <c r="S324" s="205"/>
      <c r="T324" s="205"/>
      <c r="U324" s="205"/>
    </row>
    <row r="325" spans="7:21" ht="29.25" customHeight="1" x14ac:dyDescent="0.35">
      <c r="G325" s="205"/>
      <c r="H325" s="205"/>
      <c r="I325" s="205"/>
      <c r="J325" s="205"/>
      <c r="K325" s="205"/>
      <c r="M325" s="205"/>
      <c r="N325" s="205"/>
      <c r="O325" s="205"/>
      <c r="P325" s="205"/>
      <c r="Q325" s="205"/>
      <c r="R325" s="205"/>
      <c r="S325" s="205"/>
      <c r="T325" s="205"/>
      <c r="U325" s="205"/>
    </row>
    <row r="326" spans="7:21" ht="29.25" customHeight="1" x14ac:dyDescent="0.35">
      <c r="G326" s="205"/>
      <c r="H326" s="205"/>
      <c r="I326" s="205"/>
      <c r="J326" s="205"/>
      <c r="K326" s="205"/>
      <c r="M326" s="205"/>
      <c r="N326" s="205"/>
      <c r="O326" s="205"/>
      <c r="P326" s="205"/>
      <c r="Q326" s="205"/>
      <c r="R326" s="205"/>
      <c r="S326" s="205"/>
      <c r="T326" s="205"/>
      <c r="U326" s="205"/>
    </row>
    <row r="327" spans="7:21" ht="29.25" customHeight="1" x14ac:dyDescent="0.35">
      <c r="G327" s="205"/>
      <c r="H327" s="205"/>
      <c r="I327" s="205"/>
      <c r="J327" s="205"/>
      <c r="K327" s="205"/>
      <c r="M327" s="205"/>
      <c r="N327" s="205"/>
      <c r="O327" s="205"/>
      <c r="P327" s="205"/>
      <c r="Q327" s="205"/>
      <c r="R327" s="205"/>
      <c r="S327" s="205"/>
      <c r="T327" s="205"/>
      <c r="U327" s="205"/>
    </row>
    <row r="328" spans="7:21" ht="29.25" customHeight="1" x14ac:dyDescent="0.35">
      <c r="G328" s="205"/>
      <c r="H328" s="205"/>
      <c r="I328" s="205"/>
      <c r="J328" s="205"/>
      <c r="K328" s="205"/>
      <c r="M328" s="205"/>
      <c r="N328" s="205"/>
      <c r="O328" s="205"/>
      <c r="P328" s="205"/>
      <c r="Q328" s="205"/>
      <c r="R328" s="205"/>
      <c r="S328" s="205"/>
      <c r="T328" s="205"/>
      <c r="U328" s="205"/>
    </row>
    <row r="329" spans="7:21" ht="29.25" customHeight="1" x14ac:dyDescent="0.35">
      <c r="G329" s="205"/>
      <c r="H329" s="205"/>
      <c r="I329" s="205"/>
      <c r="J329" s="205"/>
      <c r="K329" s="205"/>
      <c r="M329" s="205"/>
      <c r="N329" s="205"/>
      <c r="O329" s="205"/>
      <c r="P329" s="205"/>
      <c r="Q329" s="205"/>
      <c r="R329" s="205"/>
      <c r="S329" s="205"/>
      <c r="T329" s="205"/>
      <c r="U329" s="205"/>
    </row>
    <row r="330" spans="7:21" ht="29.25" customHeight="1" x14ac:dyDescent="0.35">
      <c r="G330" s="205"/>
      <c r="H330" s="205"/>
      <c r="I330" s="205"/>
      <c r="J330" s="205"/>
      <c r="K330" s="205"/>
      <c r="M330" s="205"/>
      <c r="N330" s="205"/>
      <c r="O330" s="205"/>
      <c r="P330" s="205"/>
      <c r="Q330" s="205"/>
      <c r="R330" s="205"/>
      <c r="S330" s="205"/>
      <c r="T330" s="205"/>
      <c r="U330" s="205"/>
    </row>
    <row r="331" spans="7:21" ht="29.25" customHeight="1" x14ac:dyDescent="0.35">
      <c r="G331" s="205"/>
      <c r="H331" s="205"/>
      <c r="I331" s="205"/>
      <c r="J331" s="205"/>
      <c r="K331" s="205"/>
      <c r="M331" s="205"/>
      <c r="N331" s="205"/>
      <c r="O331" s="205"/>
      <c r="P331" s="205"/>
      <c r="Q331" s="205"/>
      <c r="R331" s="205"/>
      <c r="S331" s="205"/>
      <c r="T331" s="205"/>
      <c r="U331" s="205"/>
    </row>
    <row r="332" spans="7:21" ht="29.25" customHeight="1" x14ac:dyDescent="0.35">
      <c r="G332" s="205"/>
      <c r="H332" s="205"/>
      <c r="I332" s="205"/>
      <c r="J332" s="205"/>
      <c r="K332" s="205"/>
      <c r="M332" s="205"/>
      <c r="N332" s="205"/>
      <c r="O332" s="205"/>
      <c r="P332" s="205"/>
      <c r="Q332" s="205"/>
      <c r="R332" s="205"/>
      <c r="S332" s="205"/>
      <c r="T332" s="205"/>
      <c r="U332" s="205"/>
    </row>
    <row r="333" spans="7:21" ht="29.25" customHeight="1" x14ac:dyDescent="0.35">
      <c r="G333" s="205"/>
      <c r="H333" s="205"/>
      <c r="I333" s="205"/>
      <c r="J333" s="205"/>
      <c r="K333" s="205"/>
      <c r="M333" s="205"/>
      <c r="N333" s="205"/>
      <c r="O333" s="205"/>
      <c r="P333" s="205"/>
      <c r="Q333" s="205"/>
      <c r="R333" s="205"/>
      <c r="S333" s="205"/>
      <c r="T333" s="205"/>
      <c r="U333" s="205"/>
    </row>
    <row r="334" spans="7:21" ht="29.25" customHeight="1" x14ac:dyDescent="0.35">
      <c r="G334" s="205"/>
      <c r="H334" s="205"/>
      <c r="I334" s="205"/>
      <c r="J334" s="205"/>
      <c r="K334" s="205"/>
      <c r="M334" s="205"/>
      <c r="N334" s="205"/>
      <c r="O334" s="205"/>
      <c r="P334" s="205"/>
      <c r="Q334" s="205"/>
      <c r="R334" s="205"/>
      <c r="S334" s="205"/>
      <c r="T334" s="205"/>
      <c r="U334" s="205"/>
    </row>
    <row r="335" spans="7:21" ht="29.25" customHeight="1" x14ac:dyDescent="0.35">
      <c r="G335" s="205"/>
      <c r="H335" s="205"/>
      <c r="I335" s="205"/>
      <c r="J335" s="205"/>
      <c r="K335" s="205"/>
      <c r="M335" s="205"/>
      <c r="N335" s="205"/>
      <c r="O335" s="205"/>
      <c r="P335" s="205"/>
      <c r="Q335" s="205"/>
      <c r="R335" s="205"/>
      <c r="S335" s="205"/>
      <c r="T335" s="205"/>
      <c r="U335" s="205"/>
    </row>
    <row r="336" spans="7:21" ht="29.25" customHeight="1" x14ac:dyDescent="0.35">
      <c r="G336" s="205"/>
      <c r="H336" s="205"/>
      <c r="I336" s="205"/>
      <c r="J336" s="205"/>
      <c r="K336" s="205"/>
      <c r="M336" s="205"/>
      <c r="N336" s="205"/>
      <c r="O336" s="205"/>
      <c r="P336" s="205"/>
      <c r="Q336" s="205"/>
      <c r="R336" s="205"/>
      <c r="S336" s="205"/>
      <c r="T336" s="205"/>
      <c r="U336" s="205"/>
    </row>
    <row r="337" spans="7:21" ht="29.25" customHeight="1" x14ac:dyDescent="0.35">
      <c r="G337" s="205"/>
      <c r="H337" s="205"/>
      <c r="I337" s="205"/>
      <c r="J337" s="205"/>
      <c r="K337" s="205"/>
      <c r="M337" s="205"/>
      <c r="N337" s="205"/>
      <c r="O337" s="205"/>
      <c r="P337" s="205"/>
      <c r="Q337" s="205"/>
      <c r="R337" s="205"/>
      <c r="S337" s="205"/>
      <c r="T337" s="205"/>
      <c r="U337" s="205"/>
    </row>
    <row r="338" spans="7:21" ht="29.25" customHeight="1" x14ac:dyDescent="0.35">
      <c r="G338" s="205"/>
      <c r="H338" s="205"/>
      <c r="I338" s="205"/>
      <c r="J338" s="205"/>
      <c r="K338" s="205"/>
      <c r="M338" s="205"/>
      <c r="N338" s="205"/>
      <c r="O338" s="205"/>
      <c r="P338" s="205"/>
      <c r="Q338" s="205"/>
      <c r="R338" s="205"/>
      <c r="S338" s="205"/>
      <c r="T338" s="205"/>
      <c r="U338" s="205"/>
    </row>
    <row r="339" spans="7:21" ht="29.25" customHeight="1" x14ac:dyDescent="0.35">
      <c r="G339" s="205"/>
      <c r="H339" s="205"/>
      <c r="I339" s="205"/>
      <c r="J339" s="205"/>
      <c r="K339" s="205"/>
      <c r="M339" s="205"/>
      <c r="N339" s="205"/>
      <c r="O339" s="205"/>
      <c r="P339" s="205"/>
      <c r="Q339" s="205"/>
      <c r="R339" s="205"/>
      <c r="S339" s="205"/>
      <c r="T339" s="205"/>
      <c r="U339" s="205"/>
    </row>
    <row r="340" spans="7:21" ht="29.25" customHeight="1" x14ac:dyDescent="0.35">
      <c r="G340" s="205"/>
      <c r="H340" s="205"/>
      <c r="I340" s="205"/>
      <c r="J340" s="205"/>
      <c r="K340" s="205"/>
      <c r="M340" s="205"/>
      <c r="N340" s="205"/>
      <c r="O340" s="205"/>
      <c r="P340" s="205"/>
      <c r="Q340" s="205"/>
      <c r="R340" s="205"/>
      <c r="S340" s="205"/>
      <c r="T340" s="205"/>
      <c r="U340" s="205"/>
    </row>
    <row r="341" spans="7:21" ht="29.25" customHeight="1" x14ac:dyDescent="0.35">
      <c r="G341" s="205"/>
      <c r="H341" s="205"/>
      <c r="I341" s="205"/>
      <c r="J341" s="205"/>
      <c r="K341" s="205"/>
      <c r="M341" s="205"/>
      <c r="N341" s="205"/>
      <c r="O341" s="205"/>
      <c r="P341" s="205"/>
      <c r="Q341" s="205"/>
      <c r="R341" s="205"/>
      <c r="S341" s="205"/>
      <c r="T341" s="205"/>
      <c r="U341" s="205"/>
    </row>
    <row r="342" spans="7:21" ht="29.25" customHeight="1" x14ac:dyDescent="0.35">
      <c r="G342" s="205"/>
      <c r="H342" s="205"/>
      <c r="I342" s="205"/>
      <c r="J342" s="205"/>
      <c r="K342" s="205"/>
      <c r="M342" s="205"/>
      <c r="N342" s="205"/>
      <c r="O342" s="205"/>
      <c r="P342" s="205"/>
      <c r="Q342" s="205"/>
      <c r="R342" s="205"/>
      <c r="S342" s="205"/>
      <c r="T342" s="205"/>
      <c r="U342" s="205"/>
    </row>
    <row r="343" spans="7:21" ht="29.25" customHeight="1" x14ac:dyDescent="0.35">
      <c r="G343" s="205"/>
      <c r="H343" s="205"/>
      <c r="I343" s="205"/>
      <c r="J343" s="205"/>
      <c r="K343" s="205"/>
      <c r="M343" s="205"/>
      <c r="N343" s="205"/>
      <c r="O343" s="205"/>
      <c r="P343" s="205"/>
      <c r="Q343" s="205"/>
      <c r="R343" s="205"/>
      <c r="S343" s="205"/>
      <c r="T343" s="205"/>
      <c r="U343" s="205"/>
    </row>
    <row r="344" spans="7:21" ht="29.25" customHeight="1" x14ac:dyDescent="0.35">
      <c r="G344" s="205"/>
      <c r="H344" s="205"/>
      <c r="I344" s="205"/>
      <c r="J344" s="205"/>
      <c r="K344" s="205"/>
      <c r="M344" s="205"/>
      <c r="N344" s="205"/>
      <c r="O344" s="205"/>
      <c r="P344" s="205"/>
      <c r="Q344" s="205"/>
      <c r="R344" s="205"/>
      <c r="S344" s="205"/>
      <c r="T344" s="205"/>
      <c r="U344" s="205"/>
    </row>
    <row r="345" spans="7:21" ht="29.25" customHeight="1" x14ac:dyDescent="0.35">
      <c r="G345" s="205"/>
      <c r="H345" s="205"/>
      <c r="I345" s="205"/>
      <c r="J345" s="205"/>
      <c r="K345" s="205"/>
      <c r="M345" s="205"/>
      <c r="N345" s="205"/>
      <c r="O345" s="205"/>
      <c r="P345" s="205"/>
      <c r="Q345" s="205"/>
      <c r="R345" s="205"/>
      <c r="S345" s="205"/>
      <c r="T345" s="205"/>
      <c r="U345" s="205"/>
    </row>
    <row r="346" spans="7:21" ht="29.25" customHeight="1" x14ac:dyDescent="0.35">
      <c r="G346" s="205"/>
      <c r="H346" s="205"/>
      <c r="I346" s="205"/>
      <c r="J346" s="205"/>
      <c r="K346" s="205"/>
      <c r="M346" s="205"/>
      <c r="N346" s="205"/>
      <c r="O346" s="205"/>
      <c r="P346" s="205"/>
      <c r="Q346" s="205"/>
      <c r="R346" s="205"/>
      <c r="S346" s="205"/>
      <c r="T346" s="205"/>
      <c r="U346" s="205"/>
    </row>
    <row r="347" spans="7:21" ht="29.25" customHeight="1" x14ac:dyDescent="0.35">
      <c r="G347" s="205"/>
      <c r="H347" s="205"/>
      <c r="I347" s="205"/>
      <c r="J347" s="205"/>
      <c r="K347" s="205"/>
      <c r="M347" s="205"/>
      <c r="N347" s="205"/>
      <c r="O347" s="205"/>
      <c r="P347" s="205"/>
      <c r="Q347" s="205"/>
      <c r="R347" s="205"/>
      <c r="S347" s="205"/>
      <c r="T347" s="205"/>
      <c r="U347" s="205"/>
    </row>
    <row r="348" spans="7:21" ht="29.25" customHeight="1" x14ac:dyDescent="0.35">
      <c r="G348" s="205"/>
      <c r="H348" s="205"/>
      <c r="I348" s="205"/>
      <c r="J348" s="205"/>
      <c r="K348" s="205"/>
      <c r="M348" s="205"/>
      <c r="N348" s="205"/>
      <c r="O348" s="205"/>
      <c r="P348" s="205"/>
      <c r="Q348" s="205"/>
      <c r="R348" s="205"/>
      <c r="S348" s="205"/>
      <c r="T348" s="205"/>
      <c r="U348" s="205"/>
    </row>
    <row r="349" spans="7:21" ht="29.25" customHeight="1" x14ac:dyDescent="0.35">
      <c r="G349" s="205"/>
      <c r="H349" s="205"/>
      <c r="I349" s="205"/>
      <c r="J349" s="205"/>
      <c r="K349" s="205"/>
      <c r="M349" s="205"/>
      <c r="N349" s="205"/>
      <c r="O349" s="205"/>
      <c r="P349" s="205"/>
      <c r="Q349" s="205"/>
      <c r="R349" s="205"/>
      <c r="S349" s="205"/>
      <c r="T349" s="205"/>
      <c r="U349" s="205"/>
    </row>
    <row r="350" spans="7:21" ht="29.25" customHeight="1" x14ac:dyDescent="0.35">
      <c r="G350" s="205"/>
      <c r="H350" s="205"/>
      <c r="I350" s="205"/>
      <c r="J350" s="205"/>
      <c r="K350" s="205"/>
      <c r="M350" s="205"/>
      <c r="N350" s="205"/>
      <c r="O350" s="205"/>
      <c r="P350" s="205"/>
      <c r="Q350" s="205"/>
      <c r="R350" s="205"/>
      <c r="S350" s="205"/>
      <c r="T350" s="205"/>
      <c r="U350" s="205"/>
    </row>
    <row r="351" spans="7:21" ht="29.25" customHeight="1" x14ac:dyDescent="0.35">
      <c r="G351" s="205"/>
      <c r="H351" s="205"/>
      <c r="I351" s="205"/>
      <c r="J351" s="205"/>
      <c r="K351" s="205"/>
      <c r="M351" s="205"/>
      <c r="N351" s="205"/>
      <c r="O351" s="205"/>
      <c r="P351" s="205"/>
      <c r="Q351" s="205"/>
      <c r="R351" s="205"/>
      <c r="S351" s="205"/>
      <c r="T351" s="205"/>
      <c r="U351" s="205"/>
    </row>
    <row r="352" spans="7:21" ht="29.25" customHeight="1" x14ac:dyDescent="0.35">
      <c r="G352" s="205"/>
      <c r="H352" s="205"/>
      <c r="I352" s="205"/>
      <c r="J352" s="205"/>
      <c r="K352" s="205"/>
      <c r="M352" s="205"/>
      <c r="N352" s="205"/>
      <c r="O352" s="205"/>
      <c r="P352" s="205"/>
      <c r="Q352" s="205"/>
      <c r="R352" s="205"/>
      <c r="S352" s="205"/>
      <c r="T352" s="205"/>
      <c r="U352" s="205"/>
    </row>
    <row r="353" spans="7:21" ht="29.25" customHeight="1" x14ac:dyDescent="0.35">
      <c r="G353" s="205"/>
      <c r="H353" s="205"/>
      <c r="I353" s="205"/>
      <c r="J353" s="205"/>
      <c r="K353" s="205"/>
      <c r="M353" s="205"/>
      <c r="N353" s="205"/>
      <c r="O353" s="205"/>
      <c r="P353" s="205"/>
      <c r="Q353" s="205"/>
      <c r="R353" s="205"/>
      <c r="S353" s="205"/>
      <c r="T353" s="205"/>
      <c r="U353" s="205"/>
    </row>
    <row r="354" spans="7:21" ht="29.25" customHeight="1" x14ac:dyDescent="0.35">
      <c r="G354" s="205"/>
      <c r="H354" s="205"/>
      <c r="I354" s="205"/>
      <c r="J354" s="205"/>
      <c r="K354" s="205"/>
      <c r="M354" s="205"/>
      <c r="N354" s="205"/>
      <c r="O354" s="205"/>
      <c r="P354" s="205"/>
      <c r="Q354" s="205"/>
      <c r="R354" s="205"/>
      <c r="S354" s="205"/>
      <c r="T354" s="205"/>
      <c r="U354" s="205"/>
    </row>
    <row r="355" spans="7:21" ht="29.25" customHeight="1" x14ac:dyDescent="0.35">
      <c r="G355" s="205"/>
      <c r="H355" s="205"/>
      <c r="I355" s="205"/>
      <c r="J355" s="205"/>
      <c r="K355" s="205"/>
      <c r="M355" s="205"/>
      <c r="N355" s="205"/>
      <c r="O355" s="205"/>
      <c r="P355" s="205"/>
      <c r="Q355" s="205"/>
      <c r="R355" s="205"/>
      <c r="S355" s="205"/>
      <c r="T355" s="205"/>
      <c r="U355" s="205"/>
    </row>
    <row r="356" spans="7:21" ht="29.25" customHeight="1" x14ac:dyDescent="0.35">
      <c r="G356" s="205"/>
      <c r="H356" s="205"/>
      <c r="I356" s="205"/>
      <c r="J356" s="205"/>
      <c r="K356" s="205"/>
      <c r="M356" s="205"/>
      <c r="N356" s="205"/>
      <c r="O356" s="205"/>
      <c r="P356" s="205"/>
      <c r="Q356" s="205"/>
      <c r="R356" s="205"/>
      <c r="S356" s="205"/>
      <c r="T356" s="205"/>
      <c r="U356" s="205"/>
    </row>
    <row r="357" spans="7:21" ht="29.25" customHeight="1" x14ac:dyDescent="0.35">
      <c r="G357" s="205"/>
      <c r="H357" s="205"/>
      <c r="I357" s="205"/>
      <c r="J357" s="205"/>
      <c r="K357" s="205"/>
      <c r="M357" s="205"/>
      <c r="N357" s="205"/>
      <c r="O357" s="205"/>
      <c r="P357" s="205"/>
      <c r="Q357" s="205"/>
      <c r="R357" s="205"/>
      <c r="S357" s="205"/>
      <c r="T357" s="205"/>
      <c r="U357" s="205"/>
    </row>
    <row r="358" spans="7:21" ht="29.25" customHeight="1" x14ac:dyDescent="0.35">
      <c r="G358" s="205"/>
      <c r="H358" s="205"/>
      <c r="I358" s="205"/>
      <c r="J358" s="205"/>
      <c r="K358" s="205"/>
      <c r="M358" s="205"/>
      <c r="N358" s="205"/>
      <c r="O358" s="205"/>
      <c r="P358" s="205"/>
      <c r="Q358" s="205"/>
      <c r="R358" s="205"/>
      <c r="S358" s="205"/>
      <c r="T358" s="205"/>
      <c r="U358" s="205"/>
    </row>
    <row r="359" spans="7:21" ht="29.25" customHeight="1" x14ac:dyDescent="0.35">
      <c r="G359" s="205"/>
      <c r="H359" s="205"/>
      <c r="I359" s="205"/>
      <c r="J359" s="205"/>
      <c r="K359" s="205"/>
      <c r="M359" s="205"/>
      <c r="N359" s="205"/>
      <c r="O359" s="205"/>
      <c r="P359" s="205"/>
      <c r="Q359" s="205"/>
      <c r="R359" s="205"/>
      <c r="S359" s="205"/>
      <c r="T359" s="205"/>
      <c r="U359" s="205"/>
    </row>
    <row r="360" spans="7:21" ht="29.25" customHeight="1" x14ac:dyDescent="0.35">
      <c r="G360" s="205"/>
      <c r="H360" s="205"/>
      <c r="I360" s="205"/>
      <c r="J360" s="205"/>
      <c r="K360" s="205"/>
      <c r="M360" s="205"/>
      <c r="N360" s="205"/>
      <c r="O360" s="205"/>
      <c r="P360" s="205"/>
      <c r="Q360" s="205"/>
      <c r="R360" s="205"/>
      <c r="S360" s="205"/>
      <c r="T360" s="205"/>
      <c r="U360" s="205"/>
    </row>
    <row r="361" spans="7:21" ht="29.25" customHeight="1" x14ac:dyDescent="0.35">
      <c r="G361" s="205"/>
      <c r="H361" s="205"/>
      <c r="I361" s="205"/>
      <c r="J361" s="205"/>
      <c r="K361" s="205"/>
      <c r="M361" s="205"/>
      <c r="N361" s="205"/>
      <c r="O361" s="205"/>
      <c r="P361" s="205"/>
      <c r="Q361" s="205"/>
      <c r="R361" s="205"/>
      <c r="S361" s="205"/>
      <c r="T361" s="205"/>
      <c r="U361" s="205"/>
    </row>
    <row r="362" spans="7:21" ht="29.25" customHeight="1" x14ac:dyDescent="0.35">
      <c r="G362" s="205"/>
      <c r="H362" s="205"/>
      <c r="I362" s="205"/>
      <c r="J362" s="205"/>
      <c r="K362" s="205"/>
      <c r="M362" s="205"/>
      <c r="N362" s="205"/>
      <c r="O362" s="205"/>
      <c r="P362" s="205"/>
      <c r="Q362" s="205"/>
      <c r="R362" s="205"/>
      <c r="S362" s="205"/>
      <c r="T362" s="205"/>
      <c r="U362" s="205"/>
    </row>
    <row r="363" spans="7:21" ht="29.25" customHeight="1" x14ac:dyDescent="0.35">
      <c r="G363" s="205"/>
      <c r="H363" s="205"/>
      <c r="I363" s="205"/>
      <c r="J363" s="205"/>
      <c r="K363" s="205"/>
      <c r="M363" s="205"/>
      <c r="N363" s="205"/>
      <c r="O363" s="205"/>
      <c r="P363" s="205"/>
      <c r="Q363" s="205"/>
      <c r="R363" s="205"/>
      <c r="S363" s="205"/>
      <c r="T363" s="205"/>
      <c r="U363" s="205"/>
    </row>
    <row r="364" spans="7:21" ht="29.25" customHeight="1" x14ac:dyDescent="0.35">
      <c r="G364" s="205"/>
      <c r="H364" s="205"/>
      <c r="I364" s="205"/>
      <c r="J364" s="205"/>
      <c r="K364" s="205"/>
      <c r="M364" s="205"/>
      <c r="N364" s="205"/>
      <c r="O364" s="205"/>
      <c r="P364" s="205"/>
      <c r="Q364" s="205"/>
      <c r="R364" s="205"/>
      <c r="S364" s="205"/>
      <c r="T364" s="205"/>
      <c r="U364" s="205"/>
    </row>
    <row r="365" spans="7:21" ht="29.25" customHeight="1" x14ac:dyDescent="0.35">
      <c r="G365" s="205"/>
      <c r="H365" s="205"/>
      <c r="I365" s="205"/>
      <c r="J365" s="205"/>
      <c r="K365" s="205"/>
      <c r="M365" s="205"/>
      <c r="N365" s="205"/>
      <c r="O365" s="205"/>
      <c r="P365" s="205"/>
      <c r="Q365" s="205"/>
      <c r="R365" s="205"/>
      <c r="S365" s="205"/>
      <c r="T365" s="205"/>
      <c r="U365" s="205"/>
    </row>
    <row r="366" spans="7:21" ht="29.25" customHeight="1" x14ac:dyDescent="0.35">
      <c r="G366" s="205"/>
      <c r="H366" s="205"/>
      <c r="I366" s="205"/>
      <c r="J366" s="205"/>
      <c r="K366" s="205"/>
      <c r="M366" s="205"/>
      <c r="N366" s="205"/>
      <c r="O366" s="205"/>
      <c r="P366" s="205"/>
      <c r="Q366" s="205"/>
      <c r="R366" s="205"/>
      <c r="S366" s="205"/>
      <c r="T366" s="205"/>
      <c r="U366" s="205"/>
    </row>
    <row r="367" spans="7:21" ht="29.25" customHeight="1" x14ac:dyDescent="0.35">
      <c r="G367" s="205"/>
      <c r="H367" s="205"/>
      <c r="I367" s="205"/>
      <c r="J367" s="205"/>
      <c r="K367" s="205"/>
      <c r="M367" s="205"/>
      <c r="N367" s="205"/>
      <c r="O367" s="205"/>
      <c r="P367" s="205"/>
      <c r="Q367" s="205"/>
      <c r="R367" s="205"/>
      <c r="S367" s="205"/>
      <c r="T367" s="205"/>
      <c r="U367" s="205"/>
    </row>
    <row r="368" spans="7:21" ht="29.25" customHeight="1" x14ac:dyDescent="0.35">
      <c r="G368" s="205"/>
      <c r="H368" s="205"/>
      <c r="I368" s="205"/>
      <c r="J368" s="205"/>
      <c r="K368" s="205"/>
      <c r="M368" s="205"/>
      <c r="N368" s="205"/>
      <c r="O368" s="205"/>
      <c r="P368" s="205"/>
      <c r="Q368" s="205"/>
      <c r="R368" s="205"/>
      <c r="S368" s="205"/>
      <c r="T368" s="205"/>
      <c r="U368" s="205"/>
    </row>
    <row r="369" spans="7:21" ht="29.25" customHeight="1" x14ac:dyDescent="0.35">
      <c r="G369" s="205"/>
      <c r="H369" s="205"/>
      <c r="I369" s="205"/>
      <c r="J369" s="205"/>
      <c r="K369" s="205"/>
      <c r="M369" s="205"/>
      <c r="N369" s="205"/>
      <c r="O369" s="205"/>
      <c r="P369" s="205"/>
      <c r="Q369" s="205"/>
      <c r="R369" s="205"/>
      <c r="S369" s="205"/>
      <c r="T369" s="205"/>
      <c r="U369" s="205"/>
    </row>
    <row r="370" spans="7:21" ht="29.25" customHeight="1" x14ac:dyDescent="0.35">
      <c r="G370" s="205"/>
      <c r="H370" s="205"/>
      <c r="I370" s="205"/>
      <c r="J370" s="205"/>
      <c r="K370" s="205"/>
      <c r="M370" s="205"/>
      <c r="N370" s="205"/>
      <c r="O370" s="205"/>
      <c r="P370" s="205"/>
      <c r="Q370" s="205"/>
      <c r="R370" s="205"/>
      <c r="S370" s="205"/>
      <c r="T370" s="205"/>
      <c r="U370" s="205"/>
    </row>
    <row r="371" spans="7:21" ht="29.25" customHeight="1" x14ac:dyDescent="0.35">
      <c r="G371" s="205"/>
      <c r="H371" s="205"/>
      <c r="I371" s="205"/>
      <c r="J371" s="205"/>
      <c r="K371" s="205"/>
      <c r="M371" s="205"/>
      <c r="N371" s="205"/>
      <c r="O371" s="205"/>
      <c r="P371" s="205"/>
      <c r="Q371" s="205"/>
      <c r="R371" s="205"/>
      <c r="S371" s="205"/>
      <c r="T371" s="205"/>
      <c r="U371" s="205"/>
    </row>
    <row r="372" spans="7:21" ht="29.25" customHeight="1" x14ac:dyDescent="0.35">
      <c r="G372" s="205"/>
      <c r="H372" s="205"/>
      <c r="I372" s="205"/>
      <c r="J372" s="205"/>
      <c r="K372" s="205"/>
      <c r="M372" s="205"/>
      <c r="N372" s="205"/>
      <c r="O372" s="205"/>
      <c r="P372" s="205"/>
      <c r="Q372" s="205"/>
      <c r="R372" s="205"/>
      <c r="S372" s="205"/>
      <c r="T372" s="205"/>
      <c r="U372" s="205"/>
    </row>
    <row r="373" spans="7:21" ht="29.25" customHeight="1" x14ac:dyDescent="0.35">
      <c r="G373" s="205"/>
      <c r="H373" s="205"/>
      <c r="I373" s="205"/>
      <c r="J373" s="205"/>
      <c r="K373" s="205"/>
      <c r="M373" s="205"/>
      <c r="N373" s="205"/>
      <c r="O373" s="205"/>
      <c r="P373" s="205"/>
      <c r="Q373" s="205"/>
      <c r="R373" s="205"/>
      <c r="S373" s="205"/>
      <c r="T373" s="205"/>
      <c r="U373" s="205"/>
    </row>
    <row r="374" spans="7:21" ht="29.25" customHeight="1" x14ac:dyDescent="0.35">
      <c r="G374" s="205"/>
      <c r="H374" s="205"/>
      <c r="I374" s="205"/>
      <c r="J374" s="205"/>
      <c r="K374" s="205"/>
      <c r="M374" s="205"/>
      <c r="N374" s="205"/>
      <c r="O374" s="205"/>
      <c r="P374" s="205"/>
      <c r="Q374" s="205"/>
      <c r="R374" s="205"/>
      <c r="S374" s="205"/>
      <c r="T374" s="205"/>
      <c r="U374" s="205"/>
    </row>
    <row r="375" spans="7:21" ht="29.25" customHeight="1" x14ac:dyDescent="0.35">
      <c r="G375" s="205"/>
      <c r="H375" s="205"/>
      <c r="I375" s="205"/>
      <c r="J375" s="205"/>
      <c r="K375" s="205"/>
      <c r="M375" s="205"/>
      <c r="N375" s="205"/>
      <c r="O375" s="205"/>
      <c r="P375" s="205"/>
      <c r="Q375" s="205"/>
      <c r="R375" s="205"/>
      <c r="S375" s="205"/>
      <c r="T375" s="205"/>
      <c r="U375" s="205"/>
    </row>
    <row r="376" spans="7:21" ht="29.25" customHeight="1" x14ac:dyDescent="0.35">
      <c r="G376" s="205"/>
      <c r="H376" s="205"/>
      <c r="I376" s="205"/>
      <c r="J376" s="205"/>
      <c r="K376" s="205"/>
      <c r="M376" s="205"/>
      <c r="N376" s="205"/>
      <c r="O376" s="205"/>
      <c r="P376" s="205"/>
      <c r="Q376" s="205"/>
      <c r="R376" s="205"/>
      <c r="S376" s="205"/>
      <c r="T376" s="205"/>
      <c r="U376" s="205"/>
    </row>
    <row r="377" spans="7:21" ht="29.25" customHeight="1" x14ac:dyDescent="0.35">
      <c r="G377" s="205"/>
      <c r="H377" s="205"/>
      <c r="I377" s="205"/>
      <c r="J377" s="205"/>
      <c r="K377" s="205"/>
      <c r="M377" s="205"/>
      <c r="N377" s="205"/>
      <c r="O377" s="205"/>
      <c r="P377" s="205"/>
      <c r="Q377" s="205"/>
      <c r="R377" s="205"/>
      <c r="S377" s="205"/>
      <c r="T377" s="205"/>
      <c r="U377" s="205"/>
    </row>
    <row r="378" spans="7:21" ht="29.25" customHeight="1" x14ac:dyDescent="0.35">
      <c r="G378" s="205"/>
      <c r="H378" s="205"/>
      <c r="I378" s="205"/>
      <c r="J378" s="205"/>
      <c r="K378" s="205"/>
      <c r="M378" s="205"/>
      <c r="N378" s="205"/>
      <c r="O378" s="205"/>
      <c r="P378" s="205"/>
      <c r="Q378" s="205"/>
      <c r="R378" s="205"/>
      <c r="S378" s="205"/>
      <c r="T378" s="205"/>
      <c r="U378" s="205"/>
    </row>
    <row r="379" spans="7:21" ht="29.25" customHeight="1" x14ac:dyDescent="0.35">
      <c r="G379" s="205"/>
      <c r="H379" s="205"/>
      <c r="I379" s="205"/>
      <c r="J379" s="205"/>
      <c r="K379" s="205"/>
      <c r="M379" s="205"/>
      <c r="N379" s="205"/>
      <c r="O379" s="205"/>
      <c r="P379" s="205"/>
      <c r="Q379" s="205"/>
      <c r="R379" s="205"/>
      <c r="S379" s="205"/>
      <c r="T379" s="205"/>
      <c r="U379" s="205"/>
    </row>
    <row r="380" spans="7:21" ht="29.25" customHeight="1" x14ac:dyDescent="0.35">
      <c r="G380" s="205"/>
      <c r="H380" s="205"/>
      <c r="I380" s="205"/>
      <c r="J380" s="205"/>
      <c r="K380" s="205"/>
      <c r="M380" s="205"/>
      <c r="N380" s="205"/>
      <c r="O380" s="205"/>
      <c r="P380" s="205"/>
      <c r="Q380" s="205"/>
      <c r="R380" s="205"/>
      <c r="S380" s="205"/>
      <c r="T380" s="205"/>
      <c r="U380" s="205"/>
    </row>
    <row r="381" spans="7:21" ht="29.25" customHeight="1" x14ac:dyDescent="0.35">
      <c r="G381" s="205"/>
      <c r="H381" s="205"/>
      <c r="I381" s="205"/>
      <c r="J381" s="205"/>
      <c r="K381" s="205"/>
      <c r="M381" s="205"/>
      <c r="N381" s="205"/>
      <c r="O381" s="205"/>
      <c r="P381" s="205"/>
      <c r="Q381" s="205"/>
      <c r="R381" s="205"/>
      <c r="S381" s="205"/>
      <c r="T381" s="205"/>
      <c r="U381" s="205"/>
    </row>
    <row r="382" spans="7:21" ht="29.25" customHeight="1" x14ac:dyDescent="0.35">
      <c r="G382" s="205"/>
      <c r="H382" s="205"/>
      <c r="I382" s="205"/>
      <c r="J382" s="205"/>
      <c r="K382" s="205"/>
      <c r="M382" s="205"/>
      <c r="N382" s="205"/>
      <c r="O382" s="205"/>
      <c r="P382" s="205"/>
      <c r="Q382" s="205"/>
      <c r="R382" s="205"/>
      <c r="S382" s="205"/>
      <c r="T382" s="205"/>
      <c r="U382" s="205"/>
    </row>
    <row r="383" spans="7:21" ht="29.25" customHeight="1" x14ac:dyDescent="0.35">
      <c r="G383" s="205"/>
      <c r="H383" s="205"/>
      <c r="I383" s="205"/>
      <c r="J383" s="205"/>
      <c r="K383" s="205"/>
      <c r="M383" s="205"/>
      <c r="N383" s="205"/>
      <c r="O383" s="205"/>
      <c r="P383" s="205"/>
      <c r="Q383" s="205"/>
      <c r="R383" s="205"/>
      <c r="S383" s="205"/>
      <c r="T383" s="205"/>
      <c r="U383" s="205"/>
    </row>
    <row r="384" spans="7:21" ht="29.25" customHeight="1" x14ac:dyDescent="0.35">
      <c r="G384" s="205"/>
      <c r="H384" s="205"/>
      <c r="I384" s="205"/>
      <c r="J384" s="205"/>
      <c r="K384" s="205"/>
      <c r="M384" s="205"/>
      <c r="N384" s="205"/>
      <c r="O384" s="205"/>
      <c r="P384" s="205"/>
      <c r="Q384" s="205"/>
      <c r="R384" s="205"/>
      <c r="S384" s="205"/>
      <c r="T384" s="205"/>
      <c r="U384" s="205"/>
    </row>
    <row r="385" spans="7:21" ht="29.25" customHeight="1" x14ac:dyDescent="0.35">
      <c r="G385" s="205"/>
      <c r="H385" s="205"/>
      <c r="I385" s="205"/>
      <c r="J385" s="205"/>
      <c r="K385" s="205"/>
      <c r="M385" s="205"/>
      <c r="N385" s="205"/>
      <c r="O385" s="205"/>
      <c r="P385" s="205"/>
      <c r="Q385" s="205"/>
      <c r="R385" s="205"/>
      <c r="S385" s="205"/>
      <c r="T385" s="205"/>
      <c r="U385" s="205"/>
    </row>
    <row r="386" spans="7:21" ht="29.25" customHeight="1" x14ac:dyDescent="0.35">
      <c r="G386" s="205"/>
      <c r="H386" s="205"/>
      <c r="I386" s="205"/>
      <c r="J386" s="205"/>
      <c r="K386" s="205"/>
      <c r="M386" s="205"/>
      <c r="N386" s="205"/>
      <c r="O386" s="205"/>
      <c r="P386" s="205"/>
      <c r="Q386" s="205"/>
      <c r="R386" s="205"/>
      <c r="S386" s="205"/>
      <c r="T386" s="205"/>
      <c r="U386" s="205"/>
    </row>
    <row r="387" spans="7:21" ht="29.25" customHeight="1" x14ac:dyDescent="0.35">
      <c r="G387" s="205"/>
      <c r="H387" s="205"/>
      <c r="I387" s="205"/>
      <c r="J387" s="205"/>
      <c r="K387" s="205"/>
      <c r="M387" s="205"/>
      <c r="N387" s="205"/>
      <c r="O387" s="205"/>
      <c r="P387" s="205"/>
      <c r="Q387" s="205"/>
      <c r="R387" s="205"/>
      <c r="S387" s="205"/>
      <c r="T387" s="205"/>
      <c r="U387" s="205"/>
    </row>
    <row r="388" spans="7:21" ht="29.25" customHeight="1" x14ac:dyDescent="0.35">
      <c r="G388" s="205"/>
      <c r="H388" s="205"/>
      <c r="I388" s="205"/>
      <c r="J388" s="205"/>
      <c r="K388" s="205"/>
      <c r="M388" s="205"/>
      <c r="N388" s="205"/>
      <c r="O388" s="205"/>
      <c r="P388" s="205"/>
      <c r="Q388" s="205"/>
      <c r="R388" s="205"/>
      <c r="S388" s="205"/>
      <c r="T388" s="205"/>
      <c r="U388" s="205"/>
    </row>
    <row r="389" spans="7:21" ht="29.25" customHeight="1" x14ac:dyDescent="0.35">
      <c r="G389" s="205"/>
      <c r="H389" s="205"/>
      <c r="I389" s="205"/>
      <c r="J389" s="205"/>
      <c r="K389" s="205"/>
      <c r="M389" s="205"/>
      <c r="N389" s="205"/>
      <c r="O389" s="205"/>
      <c r="P389" s="205"/>
      <c r="Q389" s="205"/>
      <c r="R389" s="205"/>
      <c r="S389" s="205"/>
      <c r="T389" s="205"/>
      <c r="U389" s="205"/>
    </row>
    <row r="390" spans="7:21" ht="29.25" customHeight="1" x14ac:dyDescent="0.35">
      <c r="G390" s="205"/>
      <c r="H390" s="205"/>
      <c r="I390" s="205"/>
      <c r="J390" s="205"/>
      <c r="K390" s="205"/>
      <c r="M390" s="205"/>
      <c r="N390" s="205"/>
      <c r="O390" s="205"/>
      <c r="P390" s="205"/>
      <c r="Q390" s="205"/>
      <c r="R390" s="205"/>
      <c r="S390" s="205"/>
      <c r="T390" s="205"/>
      <c r="U390" s="205"/>
    </row>
    <row r="391" spans="7:21" ht="29.25" customHeight="1" x14ac:dyDescent="0.35">
      <c r="G391" s="205"/>
      <c r="H391" s="205"/>
      <c r="I391" s="205"/>
      <c r="J391" s="205"/>
      <c r="K391" s="205"/>
      <c r="M391" s="205"/>
      <c r="N391" s="205"/>
      <c r="O391" s="205"/>
      <c r="P391" s="205"/>
      <c r="Q391" s="205"/>
      <c r="R391" s="205"/>
      <c r="S391" s="205"/>
      <c r="T391" s="205"/>
      <c r="U391" s="205"/>
    </row>
    <row r="392" spans="7:21" ht="29.25" customHeight="1" x14ac:dyDescent="0.35">
      <c r="G392" s="205"/>
      <c r="H392" s="205"/>
      <c r="I392" s="205"/>
      <c r="J392" s="205"/>
      <c r="K392" s="205"/>
      <c r="M392" s="205"/>
      <c r="N392" s="205"/>
      <c r="O392" s="205"/>
      <c r="P392" s="205"/>
      <c r="Q392" s="205"/>
      <c r="R392" s="205"/>
      <c r="S392" s="205"/>
      <c r="T392" s="205"/>
      <c r="U392" s="205"/>
    </row>
    <row r="393" spans="7:21" ht="29.25" customHeight="1" x14ac:dyDescent="0.35">
      <c r="G393" s="205"/>
      <c r="H393" s="205"/>
      <c r="I393" s="205"/>
      <c r="J393" s="205"/>
      <c r="K393" s="205"/>
      <c r="M393" s="205"/>
      <c r="N393" s="205"/>
      <c r="O393" s="205"/>
      <c r="P393" s="205"/>
      <c r="Q393" s="205"/>
      <c r="R393" s="205"/>
      <c r="S393" s="205"/>
      <c r="T393" s="205"/>
      <c r="U393" s="205"/>
    </row>
    <row r="394" spans="7:21" ht="29.25" customHeight="1" x14ac:dyDescent="0.35">
      <c r="G394" s="205"/>
      <c r="H394" s="205"/>
      <c r="I394" s="205"/>
      <c r="J394" s="205"/>
      <c r="K394" s="205"/>
      <c r="M394" s="205"/>
      <c r="N394" s="205"/>
      <c r="O394" s="205"/>
      <c r="P394" s="205"/>
      <c r="Q394" s="205"/>
      <c r="R394" s="205"/>
      <c r="S394" s="205"/>
      <c r="T394" s="205"/>
      <c r="U394" s="205"/>
    </row>
    <row r="395" spans="7:21" ht="29.25" customHeight="1" x14ac:dyDescent="0.35">
      <c r="G395" s="205"/>
      <c r="H395" s="205"/>
      <c r="I395" s="205"/>
      <c r="J395" s="205"/>
      <c r="K395" s="205"/>
      <c r="M395" s="205"/>
      <c r="N395" s="205"/>
      <c r="O395" s="205"/>
      <c r="P395" s="205"/>
      <c r="Q395" s="205"/>
      <c r="R395" s="205"/>
      <c r="S395" s="205"/>
      <c r="T395" s="205"/>
      <c r="U395" s="205"/>
    </row>
    <row r="396" spans="7:21" ht="29.25" customHeight="1" x14ac:dyDescent="0.35">
      <c r="G396" s="205"/>
      <c r="H396" s="205"/>
      <c r="I396" s="205"/>
      <c r="J396" s="205"/>
      <c r="K396" s="205"/>
      <c r="M396" s="205"/>
      <c r="N396" s="205"/>
      <c r="O396" s="205"/>
      <c r="P396" s="205"/>
      <c r="Q396" s="205"/>
      <c r="R396" s="205"/>
      <c r="S396" s="205"/>
      <c r="T396" s="205"/>
      <c r="U396" s="205"/>
    </row>
    <row r="397" spans="7:21" ht="29.25" customHeight="1" x14ac:dyDescent="0.35">
      <c r="G397" s="205"/>
      <c r="H397" s="205"/>
      <c r="I397" s="205"/>
      <c r="J397" s="205"/>
      <c r="K397" s="205"/>
      <c r="M397" s="205"/>
      <c r="N397" s="205"/>
      <c r="O397" s="205"/>
      <c r="P397" s="205"/>
      <c r="Q397" s="205"/>
      <c r="R397" s="205"/>
      <c r="S397" s="205"/>
      <c r="T397" s="205"/>
      <c r="U397" s="205"/>
    </row>
    <row r="398" spans="7:21" ht="29.25" customHeight="1" x14ac:dyDescent="0.35">
      <c r="G398" s="205"/>
      <c r="H398" s="205"/>
      <c r="I398" s="205"/>
      <c r="J398" s="205"/>
      <c r="K398" s="205"/>
      <c r="M398" s="205"/>
      <c r="N398" s="205"/>
      <c r="O398" s="205"/>
      <c r="P398" s="205"/>
      <c r="Q398" s="205"/>
      <c r="R398" s="205"/>
      <c r="S398" s="205"/>
      <c r="T398" s="205"/>
      <c r="U398" s="205"/>
    </row>
    <row r="399" spans="7:21" ht="29.25" customHeight="1" x14ac:dyDescent="0.35">
      <c r="G399" s="205"/>
      <c r="H399" s="205"/>
      <c r="I399" s="205"/>
      <c r="J399" s="205"/>
      <c r="K399" s="205"/>
      <c r="M399" s="205"/>
      <c r="N399" s="205"/>
      <c r="O399" s="205"/>
      <c r="P399" s="205"/>
      <c r="Q399" s="205"/>
      <c r="R399" s="205"/>
      <c r="S399" s="205"/>
      <c r="T399" s="205"/>
      <c r="U399" s="205"/>
    </row>
    <row r="400" spans="7:21" ht="29.25" customHeight="1" x14ac:dyDescent="0.35">
      <c r="G400" s="205"/>
      <c r="H400" s="205"/>
      <c r="I400" s="205"/>
      <c r="J400" s="205"/>
      <c r="K400" s="205"/>
      <c r="M400" s="205"/>
      <c r="N400" s="205"/>
      <c r="O400" s="205"/>
      <c r="P400" s="205"/>
      <c r="Q400" s="205"/>
      <c r="R400" s="205"/>
      <c r="S400" s="205"/>
      <c r="T400" s="205"/>
      <c r="U400" s="205"/>
    </row>
    <row r="401" spans="7:21" ht="29.25" customHeight="1" x14ac:dyDescent="0.35">
      <c r="G401" s="205"/>
      <c r="H401" s="205"/>
      <c r="I401" s="205"/>
      <c r="J401" s="205"/>
      <c r="K401" s="205"/>
      <c r="M401" s="205"/>
      <c r="N401" s="205"/>
      <c r="O401" s="205"/>
      <c r="P401" s="205"/>
      <c r="Q401" s="205"/>
      <c r="R401" s="205"/>
      <c r="S401" s="205"/>
      <c r="T401" s="205"/>
      <c r="U401" s="205"/>
    </row>
    <row r="402" spans="7:21" ht="29.25" customHeight="1" x14ac:dyDescent="0.35">
      <c r="G402" s="205"/>
      <c r="H402" s="205"/>
      <c r="I402" s="205"/>
      <c r="J402" s="205"/>
      <c r="K402" s="205"/>
      <c r="M402" s="205"/>
      <c r="N402" s="205"/>
      <c r="O402" s="205"/>
      <c r="P402" s="205"/>
      <c r="Q402" s="205"/>
      <c r="R402" s="205"/>
      <c r="S402" s="205"/>
      <c r="T402" s="205"/>
      <c r="U402" s="205"/>
    </row>
    <row r="403" spans="7:21" ht="29.25" customHeight="1" x14ac:dyDescent="0.35">
      <c r="G403" s="205"/>
      <c r="H403" s="205"/>
      <c r="I403" s="205"/>
      <c r="J403" s="205"/>
      <c r="K403" s="205"/>
      <c r="M403" s="205"/>
      <c r="N403" s="205"/>
      <c r="O403" s="205"/>
      <c r="P403" s="205"/>
      <c r="Q403" s="205"/>
      <c r="R403" s="205"/>
      <c r="S403" s="205"/>
      <c r="T403" s="205"/>
      <c r="U403" s="205"/>
    </row>
    <row r="404" spans="7:21" ht="29.25" customHeight="1" x14ac:dyDescent="0.35">
      <c r="G404" s="205"/>
      <c r="H404" s="205"/>
      <c r="I404" s="205"/>
      <c r="J404" s="205"/>
      <c r="K404" s="205"/>
      <c r="M404" s="205"/>
      <c r="N404" s="205"/>
      <c r="O404" s="205"/>
      <c r="P404" s="205"/>
      <c r="Q404" s="205"/>
      <c r="R404" s="205"/>
      <c r="S404" s="205"/>
      <c r="T404" s="205"/>
      <c r="U404" s="205"/>
    </row>
    <row r="405" spans="7:21" ht="29.25" customHeight="1" x14ac:dyDescent="0.35">
      <c r="G405" s="205"/>
      <c r="H405" s="205"/>
      <c r="I405" s="205"/>
      <c r="J405" s="205"/>
      <c r="K405" s="205"/>
      <c r="M405" s="205"/>
      <c r="N405" s="205"/>
      <c r="O405" s="205"/>
      <c r="P405" s="205"/>
      <c r="Q405" s="205"/>
      <c r="R405" s="205"/>
      <c r="S405" s="205"/>
      <c r="T405" s="205"/>
      <c r="U405" s="205"/>
    </row>
    <row r="406" spans="7:21" ht="29.25" customHeight="1" x14ac:dyDescent="0.35">
      <c r="G406" s="205"/>
      <c r="H406" s="205"/>
      <c r="I406" s="205"/>
      <c r="J406" s="205"/>
      <c r="K406" s="205"/>
      <c r="M406" s="205"/>
      <c r="N406" s="205"/>
      <c r="O406" s="205"/>
      <c r="P406" s="205"/>
      <c r="Q406" s="205"/>
      <c r="R406" s="205"/>
      <c r="S406" s="205"/>
      <c r="T406" s="205"/>
      <c r="U406" s="205"/>
    </row>
    <row r="407" spans="7:21" ht="29.25" customHeight="1" x14ac:dyDescent="0.35">
      <c r="G407" s="205"/>
      <c r="H407" s="205"/>
      <c r="I407" s="205"/>
      <c r="J407" s="205"/>
      <c r="K407" s="205"/>
      <c r="M407" s="205"/>
      <c r="N407" s="205"/>
      <c r="O407" s="205"/>
      <c r="P407" s="205"/>
      <c r="Q407" s="205"/>
      <c r="R407" s="205"/>
      <c r="S407" s="205"/>
      <c r="T407" s="205"/>
      <c r="U407" s="205"/>
    </row>
    <row r="408" spans="7:21" ht="29.25" customHeight="1" x14ac:dyDescent="0.35">
      <c r="G408" s="205"/>
      <c r="H408" s="205"/>
      <c r="I408" s="205"/>
      <c r="J408" s="205"/>
      <c r="K408" s="205"/>
      <c r="M408" s="205"/>
      <c r="N408" s="205"/>
      <c r="O408" s="205"/>
      <c r="P408" s="205"/>
      <c r="Q408" s="205"/>
      <c r="R408" s="205"/>
      <c r="S408" s="205"/>
      <c r="T408" s="205"/>
      <c r="U408" s="205"/>
    </row>
    <row r="409" spans="7:21" ht="29.25" customHeight="1" x14ac:dyDescent="0.35">
      <c r="G409" s="205"/>
      <c r="H409" s="205"/>
      <c r="I409" s="205"/>
      <c r="J409" s="205"/>
      <c r="K409" s="205"/>
      <c r="M409" s="205"/>
      <c r="N409" s="205"/>
      <c r="O409" s="205"/>
      <c r="P409" s="205"/>
      <c r="Q409" s="205"/>
      <c r="R409" s="205"/>
      <c r="S409" s="205"/>
      <c r="T409" s="205"/>
      <c r="U409" s="205"/>
    </row>
    <row r="410" spans="7:21" ht="29.25" customHeight="1" x14ac:dyDescent="0.35">
      <c r="G410" s="205"/>
      <c r="H410" s="205"/>
      <c r="I410" s="205"/>
      <c r="J410" s="205"/>
      <c r="K410" s="205"/>
      <c r="M410" s="205"/>
      <c r="N410" s="205"/>
      <c r="O410" s="205"/>
      <c r="P410" s="205"/>
      <c r="Q410" s="205"/>
      <c r="R410" s="205"/>
      <c r="S410" s="205"/>
      <c r="T410" s="205"/>
      <c r="U410" s="205"/>
    </row>
    <row r="411" spans="7:21" ht="29.25" customHeight="1" x14ac:dyDescent="0.35">
      <c r="G411" s="205"/>
      <c r="H411" s="205"/>
      <c r="I411" s="205"/>
      <c r="J411" s="205"/>
      <c r="K411" s="205"/>
      <c r="M411" s="205"/>
      <c r="N411" s="205"/>
      <c r="O411" s="205"/>
      <c r="P411" s="205"/>
      <c r="Q411" s="205"/>
      <c r="R411" s="205"/>
      <c r="S411" s="205"/>
      <c r="T411" s="205"/>
      <c r="U411" s="205"/>
    </row>
    <row r="412" spans="7:21" ht="29.25" customHeight="1" x14ac:dyDescent="0.35">
      <c r="G412" s="205"/>
      <c r="H412" s="205"/>
      <c r="I412" s="205"/>
      <c r="J412" s="205"/>
      <c r="K412" s="205"/>
      <c r="M412" s="205"/>
      <c r="N412" s="205"/>
      <c r="O412" s="205"/>
      <c r="P412" s="205"/>
      <c r="Q412" s="205"/>
      <c r="R412" s="205"/>
      <c r="S412" s="205"/>
      <c r="T412" s="205"/>
      <c r="U412" s="205"/>
    </row>
    <row r="413" spans="7:21" ht="29.25" customHeight="1" x14ac:dyDescent="0.35">
      <c r="G413" s="205"/>
      <c r="H413" s="205"/>
      <c r="I413" s="205"/>
      <c r="J413" s="205"/>
      <c r="K413" s="205"/>
      <c r="M413" s="205"/>
      <c r="N413" s="205"/>
      <c r="O413" s="205"/>
      <c r="P413" s="205"/>
      <c r="Q413" s="205"/>
      <c r="R413" s="205"/>
      <c r="S413" s="205"/>
      <c r="T413" s="205"/>
      <c r="U413" s="205"/>
    </row>
    <row r="414" spans="7:21" ht="29.25" customHeight="1" x14ac:dyDescent="0.35">
      <c r="G414" s="205"/>
      <c r="H414" s="205"/>
      <c r="I414" s="205"/>
      <c r="J414" s="205"/>
      <c r="K414" s="205"/>
      <c r="M414" s="205"/>
      <c r="N414" s="205"/>
      <c r="O414" s="205"/>
      <c r="P414" s="205"/>
      <c r="Q414" s="205"/>
      <c r="R414" s="205"/>
      <c r="S414" s="205"/>
      <c r="T414" s="205"/>
      <c r="U414" s="205"/>
    </row>
    <row r="415" spans="7:21" ht="29.25" customHeight="1" x14ac:dyDescent="0.35">
      <c r="G415" s="205"/>
      <c r="H415" s="205"/>
      <c r="I415" s="205"/>
      <c r="J415" s="205"/>
      <c r="K415" s="205"/>
      <c r="M415" s="205"/>
      <c r="N415" s="205"/>
      <c r="O415" s="205"/>
      <c r="P415" s="205"/>
      <c r="Q415" s="205"/>
      <c r="R415" s="205"/>
      <c r="S415" s="205"/>
      <c r="T415" s="205"/>
      <c r="U415" s="205"/>
    </row>
    <row r="416" spans="7:21" ht="29.25" customHeight="1" x14ac:dyDescent="0.35">
      <c r="G416" s="205"/>
      <c r="H416" s="205"/>
      <c r="I416" s="205"/>
      <c r="J416" s="205"/>
      <c r="K416" s="205"/>
      <c r="M416" s="205"/>
      <c r="N416" s="205"/>
      <c r="O416" s="205"/>
      <c r="P416" s="205"/>
      <c r="Q416" s="205"/>
      <c r="R416" s="205"/>
      <c r="S416" s="205"/>
      <c r="T416" s="205"/>
      <c r="U416" s="205"/>
    </row>
    <row r="417" spans="7:21" ht="29.25" customHeight="1" x14ac:dyDescent="0.35">
      <c r="G417" s="205"/>
      <c r="H417" s="205"/>
      <c r="I417" s="205"/>
      <c r="J417" s="205"/>
      <c r="K417" s="205"/>
      <c r="M417" s="205"/>
      <c r="N417" s="205"/>
      <c r="O417" s="205"/>
      <c r="P417" s="205"/>
      <c r="Q417" s="205"/>
      <c r="R417" s="205"/>
      <c r="S417" s="205"/>
      <c r="T417" s="205"/>
      <c r="U417" s="205"/>
    </row>
    <row r="418" spans="7:21" ht="29.25" customHeight="1" x14ac:dyDescent="0.35">
      <c r="G418" s="205"/>
      <c r="H418" s="205"/>
      <c r="I418" s="205"/>
      <c r="J418" s="205"/>
      <c r="K418" s="205"/>
      <c r="M418" s="205"/>
      <c r="N418" s="205"/>
      <c r="O418" s="205"/>
      <c r="P418" s="205"/>
      <c r="Q418" s="205"/>
      <c r="R418" s="205"/>
      <c r="S418" s="205"/>
      <c r="T418" s="205"/>
      <c r="U418" s="205"/>
    </row>
    <row r="419" spans="7:21" ht="29.25" customHeight="1" x14ac:dyDescent="0.35">
      <c r="G419" s="205"/>
      <c r="H419" s="205"/>
      <c r="I419" s="205"/>
      <c r="J419" s="205"/>
      <c r="K419" s="205"/>
      <c r="M419" s="205"/>
      <c r="N419" s="205"/>
      <c r="O419" s="205"/>
      <c r="P419" s="205"/>
      <c r="Q419" s="205"/>
      <c r="R419" s="205"/>
      <c r="S419" s="205"/>
      <c r="T419" s="205"/>
      <c r="U419" s="205"/>
    </row>
    <row r="420" spans="7:21" ht="29.25" customHeight="1" x14ac:dyDescent="0.35">
      <c r="G420" s="205"/>
      <c r="H420" s="205"/>
      <c r="I420" s="205"/>
      <c r="J420" s="205"/>
      <c r="K420" s="205"/>
      <c r="M420" s="205"/>
      <c r="N420" s="205"/>
      <c r="O420" s="205"/>
      <c r="P420" s="205"/>
      <c r="Q420" s="205"/>
      <c r="R420" s="205"/>
      <c r="S420" s="205"/>
      <c r="T420" s="205"/>
      <c r="U420" s="205"/>
    </row>
    <row r="421" spans="7:21" ht="29.25" customHeight="1" x14ac:dyDescent="0.35">
      <c r="G421" s="205"/>
      <c r="H421" s="205"/>
      <c r="I421" s="205"/>
      <c r="J421" s="205"/>
      <c r="K421" s="205"/>
      <c r="M421" s="205"/>
      <c r="N421" s="205"/>
      <c r="O421" s="205"/>
      <c r="P421" s="205"/>
      <c r="Q421" s="205"/>
      <c r="R421" s="205"/>
      <c r="S421" s="205"/>
      <c r="T421" s="205"/>
      <c r="U421" s="205"/>
    </row>
    <row r="422" spans="7:21" ht="29.25" customHeight="1" x14ac:dyDescent="0.35">
      <c r="G422" s="205"/>
      <c r="H422" s="205"/>
      <c r="I422" s="205"/>
      <c r="J422" s="205"/>
      <c r="K422" s="205"/>
      <c r="M422" s="205"/>
      <c r="N422" s="205"/>
      <c r="O422" s="205"/>
      <c r="P422" s="205"/>
      <c r="Q422" s="205"/>
      <c r="R422" s="205"/>
      <c r="S422" s="205"/>
      <c r="T422" s="205"/>
      <c r="U422" s="205"/>
    </row>
    <row r="423" spans="7:21" ht="29.25" customHeight="1" x14ac:dyDescent="0.35">
      <c r="G423" s="205"/>
      <c r="H423" s="205"/>
      <c r="I423" s="205"/>
      <c r="J423" s="205"/>
      <c r="K423" s="205"/>
      <c r="M423" s="205"/>
      <c r="N423" s="205"/>
      <c r="O423" s="205"/>
      <c r="P423" s="205"/>
      <c r="Q423" s="205"/>
      <c r="R423" s="205"/>
      <c r="S423" s="205"/>
      <c r="T423" s="205"/>
      <c r="U423" s="205"/>
    </row>
    <row r="424" spans="7:21" ht="29.25" customHeight="1" x14ac:dyDescent="0.35">
      <c r="G424" s="205"/>
      <c r="H424" s="205"/>
      <c r="I424" s="205"/>
      <c r="J424" s="205"/>
      <c r="K424" s="205"/>
      <c r="M424" s="205"/>
      <c r="N424" s="205"/>
      <c r="O424" s="205"/>
      <c r="P424" s="205"/>
      <c r="Q424" s="205"/>
      <c r="R424" s="205"/>
      <c r="S424" s="205"/>
      <c r="T424" s="205"/>
      <c r="U424" s="205"/>
    </row>
    <row r="425" spans="7:21" ht="29.25" customHeight="1" x14ac:dyDescent="0.35">
      <c r="G425" s="205"/>
      <c r="H425" s="205"/>
      <c r="I425" s="205"/>
      <c r="J425" s="205"/>
      <c r="K425" s="205"/>
      <c r="M425" s="205"/>
      <c r="N425" s="205"/>
      <c r="O425" s="205"/>
      <c r="P425" s="205"/>
      <c r="Q425" s="205"/>
      <c r="R425" s="205"/>
      <c r="S425" s="205"/>
      <c r="T425" s="205"/>
      <c r="U425" s="205"/>
    </row>
    <row r="426" spans="7:21" ht="29.25" customHeight="1" x14ac:dyDescent="0.35">
      <c r="G426" s="205"/>
      <c r="H426" s="205"/>
      <c r="I426" s="205"/>
      <c r="J426" s="205"/>
      <c r="K426" s="205"/>
      <c r="M426" s="205"/>
      <c r="N426" s="205"/>
      <c r="O426" s="205"/>
      <c r="P426" s="205"/>
      <c r="Q426" s="205"/>
      <c r="R426" s="205"/>
      <c r="S426" s="205"/>
      <c r="T426" s="205"/>
      <c r="U426" s="205"/>
    </row>
    <row r="427" spans="7:21" ht="29.25" customHeight="1" x14ac:dyDescent="0.35">
      <c r="G427" s="205"/>
      <c r="H427" s="205"/>
      <c r="I427" s="205"/>
      <c r="J427" s="205"/>
      <c r="K427" s="205"/>
      <c r="M427" s="205"/>
      <c r="N427" s="205"/>
      <c r="O427" s="205"/>
      <c r="P427" s="205"/>
      <c r="Q427" s="205"/>
      <c r="R427" s="205"/>
      <c r="S427" s="205"/>
      <c r="T427" s="205"/>
      <c r="U427" s="205"/>
    </row>
    <row r="428" spans="7:21" ht="29.25" customHeight="1" x14ac:dyDescent="0.35">
      <c r="G428" s="205"/>
      <c r="H428" s="205"/>
      <c r="I428" s="205"/>
      <c r="J428" s="205"/>
      <c r="K428" s="205"/>
      <c r="M428" s="205"/>
      <c r="N428" s="205"/>
      <c r="O428" s="205"/>
      <c r="P428" s="205"/>
      <c r="Q428" s="205"/>
      <c r="R428" s="205"/>
      <c r="S428" s="205"/>
      <c r="T428" s="205"/>
      <c r="U428" s="205"/>
    </row>
    <row r="429" spans="7:21" ht="29.25" customHeight="1" x14ac:dyDescent="0.35">
      <c r="G429" s="205"/>
      <c r="H429" s="205"/>
      <c r="I429" s="205"/>
      <c r="J429" s="205"/>
      <c r="K429" s="205"/>
      <c r="M429" s="205"/>
      <c r="N429" s="205"/>
      <c r="O429" s="205"/>
      <c r="P429" s="205"/>
      <c r="Q429" s="205"/>
      <c r="R429" s="205"/>
      <c r="S429" s="205"/>
      <c r="T429" s="205"/>
      <c r="U429" s="205"/>
    </row>
    <row r="430" spans="7:21" ht="29.25" customHeight="1" x14ac:dyDescent="0.35">
      <c r="G430" s="205"/>
      <c r="H430" s="205"/>
      <c r="I430" s="205"/>
      <c r="J430" s="205"/>
      <c r="K430" s="205"/>
      <c r="M430" s="205"/>
      <c r="N430" s="205"/>
      <c r="O430" s="205"/>
      <c r="P430" s="205"/>
      <c r="Q430" s="205"/>
      <c r="R430" s="205"/>
      <c r="S430" s="205"/>
      <c r="T430" s="205"/>
      <c r="U430" s="205"/>
    </row>
    <row r="431" spans="7:21" ht="29.25" customHeight="1" x14ac:dyDescent="0.35">
      <c r="G431" s="205"/>
      <c r="H431" s="205"/>
      <c r="I431" s="205"/>
      <c r="J431" s="205"/>
      <c r="K431" s="205"/>
      <c r="M431" s="205"/>
      <c r="N431" s="205"/>
      <c r="O431" s="205"/>
      <c r="P431" s="205"/>
      <c r="Q431" s="205"/>
      <c r="R431" s="205"/>
      <c r="S431" s="205"/>
      <c r="T431" s="205"/>
      <c r="U431" s="205"/>
    </row>
    <row r="432" spans="7:21" ht="29.25" customHeight="1" x14ac:dyDescent="0.35">
      <c r="G432" s="205"/>
      <c r="H432" s="205"/>
      <c r="I432" s="205"/>
      <c r="J432" s="205"/>
      <c r="K432" s="205"/>
      <c r="M432" s="205"/>
      <c r="N432" s="205"/>
      <c r="O432" s="205"/>
      <c r="P432" s="205"/>
      <c r="Q432" s="205"/>
      <c r="R432" s="205"/>
      <c r="S432" s="205"/>
      <c r="T432" s="205"/>
      <c r="U432" s="205"/>
    </row>
    <row r="433" spans="7:21" ht="29.25" customHeight="1" x14ac:dyDescent="0.35">
      <c r="G433" s="205"/>
      <c r="H433" s="205"/>
      <c r="I433" s="205"/>
      <c r="J433" s="205"/>
      <c r="K433" s="205"/>
      <c r="M433" s="205"/>
      <c r="N433" s="205"/>
      <c r="O433" s="205"/>
      <c r="P433" s="205"/>
      <c r="Q433" s="205"/>
      <c r="R433" s="205"/>
      <c r="S433" s="205"/>
      <c r="T433" s="205"/>
      <c r="U433" s="205"/>
    </row>
    <row r="434" spans="7:21" ht="29.25" customHeight="1" x14ac:dyDescent="0.35">
      <c r="G434" s="205"/>
      <c r="H434" s="205"/>
      <c r="I434" s="205"/>
      <c r="J434" s="205"/>
      <c r="K434" s="205"/>
      <c r="M434" s="205"/>
      <c r="N434" s="205"/>
      <c r="O434" s="205"/>
      <c r="P434" s="205"/>
      <c r="Q434" s="205"/>
      <c r="R434" s="205"/>
      <c r="S434" s="205"/>
      <c r="T434" s="205"/>
      <c r="U434" s="205"/>
    </row>
    <row r="435" spans="7:21" ht="29.25" customHeight="1" x14ac:dyDescent="0.35">
      <c r="G435" s="205"/>
      <c r="H435" s="205"/>
      <c r="I435" s="205"/>
      <c r="J435" s="205"/>
      <c r="K435" s="205"/>
      <c r="M435" s="205"/>
      <c r="N435" s="205"/>
      <c r="O435" s="205"/>
      <c r="P435" s="205"/>
      <c r="Q435" s="205"/>
      <c r="R435" s="205"/>
      <c r="S435" s="205"/>
      <c r="T435" s="205"/>
      <c r="U435" s="205"/>
    </row>
    <row r="436" spans="7:21" ht="29.25" customHeight="1" x14ac:dyDescent="0.35">
      <c r="G436" s="205"/>
      <c r="H436" s="205"/>
      <c r="I436" s="205"/>
      <c r="J436" s="205"/>
      <c r="K436" s="205"/>
      <c r="M436" s="205"/>
      <c r="N436" s="205"/>
      <c r="O436" s="205"/>
      <c r="P436" s="205"/>
      <c r="Q436" s="205"/>
      <c r="R436" s="205"/>
      <c r="S436" s="205"/>
      <c r="T436" s="205"/>
      <c r="U436" s="205"/>
    </row>
    <row r="437" spans="7:21" ht="29.25" customHeight="1" x14ac:dyDescent="0.35">
      <c r="G437" s="205"/>
      <c r="H437" s="205"/>
      <c r="I437" s="205"/>
      <c r="J437" s="205"/>
      <c r="K437" s="205"/>
      <c r="M437" s="205"/>
      <c r="N437" s="205"/>
      <c r="O437" s="205"/>
      <c r="P437" s="205"/>
      <c r="Q437" s="205"/>
      <c r="R437" s="205"/>
      <c r="S437" s="205"/>
      <c r="T437" s="205"/>
      <c r="U437" s="205"/>
    </row>
    <row r="438" spans="7:21" ht="29.25" customHeight="1" x14ac:dyDescent="0.35">
      <c r="G438" s="205"/>
      <c r="H438" s="205"/>
      <c r="I438" s="205"/>
      <c r="J438" s="205"/>
      <c r="K438" s="205"/>
      <c r="M438" s="205"/>
      <c r="N438" s="205"/>
      <c r="O438" s="205"/>
      <c r="P438" s="205"/>
      <c r="Q438" s="205"/>
      <c r="R438" s="205"/>
      <c r="S438" s="205"/>
      <c r="T438" s="205"/>
      <c r="U438" s="205"/>
    </row>
    <row r="439" spans="7:21" ht="29.25" customHeight="1" x14ac:dyDescent="0.35">
      <c r="G439" s="205"/>
      <c r="H439" s="205"/>
      <c r="I439" s="205"/>
      <c r="J439" s="205"/>
      <c r="K439" s="205"/>
      <c r="M439" s="205"/>
      <c r="N439" s="205"/>
      <c r="O439" s="205"/>
      <c r="P439" s="205"/>
      <c r="Q439" s="205"/>
      <c r="R439" s="205"/>
      <c r="S439" s="205"/>
      <c r="T439" s="205"/>
      <c r="U439" s="205"/>
    </row>
    <row r="440" spans="7:21" ht="29.25" customHeight="1" x14ac:dyDescent="0.35">
      <c r="G440" s="205"/>
      <c r="H440" s="205"/>
      <c r="I440" s="205"/>
      <c r="J440" s="205"/>
      <c r="K440" s="205"/>
      <c r="M440" s="205"/>
      <c r="N440" s="205"/>
      <c r="O440" s="205"/>
      <c r="P440" s="205"/>
      <c r="Q440" s="205"/>
      <c r="R440" s="205"/>
      <c r="S440" s="205"/>
      <c r="T440" s="205"/>
      <c r="U440" s="205"/>
    </row>
    <row r="441" spans="7:21" ht="29.25" customHeight="1" x14ac:dyDescent="0.35">
      <c r="G441" s="205"/>
      <c r="H441" s="205"/>
      <c r="I441" s="205"/>
      <c r="J441" s="205"/>
      <c r="K441" s="205"/>
      <c r="M441" s="205"/>
      <c r="N441" s="205"/>
      <c r="O441" s="205"/>
      <c r="P441" s="205"/>
      <c r="Q441" s="205"/>
      <c r="R441" s="205"/>
      <c r="S441" s="205"/>
      <c r="T441" s="205"/>
      <c r="U441" s="205"/>
    </row>
    <row r="442" spans="7:21" ht="29.25" customHeight="1" x14ac:dyDescent="0.35">
      <c r="G442" s="205"/>
      <c r="H442" s="205"/>
      <c r="I442" s="205"/>
      <c r="J442" s="205"/>
      <c r="K442" s="205"/>
      <c r="M442" s="205"/>
      <c r="N442" s="205"/>
      <c r="O442" s="205"/>
      <c r="P442" s="205"/>
      <c r="Q442" s="205"/>
      <c r="R442" s="205"/>
      <c r="S442" s="205"/>
      <c r="T442" s="205"/>
      <c r="U442" s="205"/>
    </row>
    <row r="443" spans="7:21" ht="29.25" customHeight="1" x14ac:dyDescent="0.35">
      <c r="G443" s="205"/>
      <c r="H443" s="205"/>
      <c r="I443" s="205"/>
      <c r="J443" s="205"/>
      <c r="K443" s="205"/>
      <c r="M443" s="205"/>
      <c r="N443" s="205"/>
      <c r="O443" s="205"/>
      <c r="P443" s="205"/>
      <c r="Q443" s="205"/>
      <c r="R443" s="205"/>
      <c r="S443" s="205"/>
      <c r="T443" s="205"/>
      <c r="U443" s="205"/>
    </row>
    <row r="444" spans="7:21" ht="29.25" customHeight="1" x14ac:dyDescent="0.35">
      <c r="G444" s="205"/>
      <c r="H444" s="205"/>
      <c r="I444" s="205"/>
      <c r="J444" s="205"/>
      <c r="K444" s="205"/>
      <c r="M444" s="205"/>
      <c r="N444" s="205"/>
      <c r="O444" s="205"/>
      <c r="P444" s="205"/>
      <c r="Q444" s="205"/>
      <c r="R444" s="205"/>
      <c r="S444" s="205"/>
      <c r="T444" s="205"/>
      <c r="U444" s="205"/>
    </row>
    <row r="445" spans="7:21" ht="29.25" customHeight="1" x14ac:dyDescent="0.35">
      <c r="G445" s="205"/>
      <c r="H445" s="205"/>
      <c r="I445" s="205"/>
      <c r="J445" s="205"/>
      <c r="K445" s="205"/>
      <c r="M445" s="205"/>
      <c r="N445" s="205"/>
      <c r="O445" s="205"/>
      <c r="P445" s="205"/>
      <c r="Q445" s="205"/>
      <c r="R445" s="205"/>
      <c r="S445" s="205"/>
      <c r="T445" s="205"/>
      <c r="U445" s="205"/>
    </row>
    <row r="446" spans="7:21" ht="29.25" customHeight="1" x14ac:dyDescent="0.35">
      <c r="G446" s="205"/>
      <c r="H446" s="205"/>
      <c r="I446" s="205"/>
      <c r="J446" s="205"/>
      <c r="K446" s="205"/>
      <c r="M446" s="205"/>
      <c r="N446" s="205"/>
      <c r="O446" s="205"/>
      <c r="P446" s="205"/>
      <c r="Q446" s="205"/>
      <c r="R446" s="205"/>
      <c r="S446" s="205"/>
      <c r="T446" s="205"/>
      <c r="U446" s="205"/>
    </row>
    <row r="447" spans="7:21" ht="29.25" customHeight="1" x14ac:dyDescent="0.35">
      <c r="G447" s="205"/>
      <c r="H447" s="205"/>
      <c r="I447" s="205"/>
      <c r="J447" s="205"/>
      <c r="K447" s="205"/>
      <c r="M447" s="205"/>
      <c r="N447" s="205"/>
      <c r="O447" s="205"/>
      <c r="P447" s="205"/>
      <c r="Q447" s="205"/>
      <c r="R447" s="205"/>
      <c r="S447" s="205"/>
      <c r="T447" s="205"/>
      <c r="U447" s="205"/>
    </row>
    <row r="448" spans="7:21" ht="29.25" customHeight="1" x14ac:dyDescent="0.35">
      <c r="G448" s="205"/>
      <c r="H448" s="205"/>
      <c r="I448" s="205"/>
      <c r="J448" s="205"/>
      <c r="K448" s="205"/>
      <c r="M448" s="205"/>
      <c r="N448" s="205"/>
      <c r="O448" s="205"/>
      <c r="P448" s="205"/>
      <c r="Q448" s="205"/>
      <c r="R448" s="205"/>
      <c r="S448" s="205"/>
      <c r="T448" s="205"/>
      <c r="U448" s="205"/>
    </row>
    <row r="449" spans="7:21" ht="29.25" customHeight="1" x14ac:dyDescent="0.35">
      <c r="G449" s="205"/>
      <c r="H449" s="205"/>
      <c r="I449" s="205"/>
      <c r="J449" s="205"/>
      <c r="K449" s="205"/>
      <c r="M449" s="205"/>
      <c r="N449" s="205"/>
      <c r="O449" s="205"/>
      <c r="P449" s="205"/>
      <c r="Q449" s="205"/>
      <c r="R449" s="205"/>
      <c r="S449" s="205"/>
      <c r="T449" s="205"/>
      <c r="U449" s="205"/>
    </row>
    <row r="450" spans="7:21" ht="29.25" customHeight="1" x14ac:dyDescent="0.35">
      <c r="G450" s="205"/>
      <c r="H450" s="205"/>
      <c r="I450" s="205"/>
      <c r="J450" s="205"/>
      <c r="K450" s="205"/>
      <c r="M450" s="205"/>
      <c r="N450" s="205"/>
      <c r="O450" s="205"/>
      <c r="P450" s="205"/>
      <c r="Q450" s="205"/>
      <c r="R450" s="205"/>
      <c r="S450" s="205"/>
      <c r="T450" s="205"/>
      <c r="U450" s="205"/>
    </row>
    <row r="451" spans="7:21" ht="29.25" customHeight="1" x14ac:dyDescent="0.35">
      <c r="G451" s="205"/>
      <c r="H451" s="205"/>
      <c r="I451" s="205"/>
      <c r="J451" s="205"/>
      <c r="K451" s="205"/>
      <c r="M451" s="205"/>
      <c r="N451" s="205"/>
      <c r="O451" s="205"/>
      <c r="P451" s="205"/>
      <c r="Q451" s="205"/>
      <c r="R451" s="205"/>
      <c r="S451" s="205"/>
      <c r="T451" s="205"/>
      <c r="U451" s="205"/>
    </row>
    <row r="452" spans="7:21" ht="29.25" customHeight="1" x14ac:dyDescent="0.35">
      <c r="G452" s="205"/>
      <c r="H452" s="205"/>
      <c r="I452" s="205"/>
      <c r="J452" s="205"/>
      <c r="K452" s="205"/>
      <c r="M452" s="205"/>
      <c r="N452" s="205"/>
      <c r="O452" s="205"/>
      <c r="P452" s="205"/>
      <c r="Q452" s="205"/>
      <c r="R452" s="205"/>
      <c r="S452" s="205"/>
      <c r="T452" s="205"/>
      <c r="U452" s="205"/>
    </row>
    <row r="453" spans="7:21" ht="29.25" customHeight="1" x14ac:dyDescent="0.35">
      <c r="G453" s="205"/>
      <c r="H453" s="205"/>
      <c r="I453" s="205"/>
      <c r="J453" s="205"/>
      <c r="K453" s="205"/>
      <c r="M453" s="205"/>
      <c r="N453" s="205"/>
      <c r="O453" s="205"/>
      <c r="P453" s="205"/>
      <c r="Q453" s="205"/>
      <c r="R453" s="205"/>
      <c r="S453" s="205"/>
      <c r="T453" s="205"/>
      <c r="U453" s="205"/>
    </row>
    <row r="454" spans="7:21" ht="29.25" customHeight="1" x14ac:dyDescent="0.35">
      <c r="G454" s="205"/>
      <c r="H454" s="205"/>
      <c r="I454" s="205"/>
      <c r="J454" s="205"/>
      <c r="K454" s="205"/>
      <c r="M454" s="205"/>
      <c r="N454" s="205"/>
      <c r="O454" s="205"/>
      <c r="P454" s="205"/>
      <c r="Q454" s="205"/>
      <c r="R454" s="205"/>
      <c r="S454" s="205"/>
      <c r="T454" s="205"/>
      <c r="U454" s="205"/>
    </row>
    <row r="455" spans="7:21" ht="29.25" customHeight="1" x14ac:dyDescent="0.35">
      <c r="G455" s="205"/>
      <c r="H455" s="205"/>
      <c r="I455" s="205"/>
      <c r="J455" s="205"/>
      <c r="K455" s="205"/>
      <c r="M455" s="205"/>
      <c r="N455" s="205"/>
      <c r="O455" s="205"/>
      <c r="P455" s="205"/>
      <c r="Q455" s="205"/>
      <c r="R455" s="205"/>
      <c r="S455" s="205"/>
      <c r="T455" s="205"/>
      <c r="U455" s="205"/>
    </row>
    <row r="456" spans="7:21" ht="29.25" customHeight="1" x14ac:dyDescent="0.35">
      <c r="G456" s="205"/>
      <c r="H456" s="205"/>
      <c r="I456" s="205"/>
      <c r="J456" s="205"/>
      <c r="K456" s="205"/>
      <c r="M456" s="205"/>
      <c r="N456" s="205"/>
      <c r="O456" s="205"/>
      <c r="P456" s="205"/>
      <c r="Q456" s="205"/>
      <c r="R456" s="205"/>
      <c r="S456" s="205"/>
      <c r="T456" s="205"/>
      <c r="U456" s="205"/>
    </row>
    <row r="457" spans="7:21" ht="29.25" customHeight="1" x14ac:dyDescent="0.35">
      <c r="G457" s="205"/>
      <c r="H457" s="205"/>
      <c r="I457" s="205"/>
      <c r="J457" s="205"/>
      <c r="K457" s="205"/>
      <c r="M457" s="205"/>
      <c r="N457" s="205"/>
      <c r="O457" s="205"/>
      <c r="P457" s="205"/>
      <c r="Q457" s="205"/>
      <c r="R457" s="205"/>
      <c r="S457" s="205"/>
      <c r="T457" s="205"/>
      <c r="U457" s="205"/>
    </row>
    <row r="458" spans="7:21" ht="29.25" customHeight="1" x14ac:dyDescent="0.35">
      <c r="G458" s="205"/>
      <c r="H458" s="205"/>
      <c r="I458" s="205"/>
      <c r="J458" s="205"/>
      <c r="K458" s="205"/>
      <c r="M458" s="205"/>
      <c r="N458" s="205"/>
      <c r="O458" s="205"/>
      <c r="P458" s="205"/>
      <c r="Q458" s="205"/>
      <c r="R458" s="205"/>
      <c r="S458" s="205"/>
      <c r="T458" s="205"/>
      <c r="U458" s="205"/>
    </row>
    <row r="459" spans="7:21" ht="29.25" customHeight="1" x14ac:dyDescent="0.35">
      <c r="G459" s="205"/>
      <c r="H459" s="205"/>
      <c r="I459" s="205"/>
      <c r="J459" s="205"/>
      <c r="K459" s="205"/>
      <c r="M459" s="205"/>
      <c r="N459" s="205"/>
      <c r="O459" s="205"/>
      <c r="P459" s="205"/>
      <c r="Q459" s="205"/>
      <c r="R459" s="205"/>
      <c r="S459" s="205"/>
      <c r="T459" s="205"/>
      <c r="U459" s="205"/>
    </row>
    <row r="460" spans="7:21" ht="29.25" customHeight="1" x14ac:dyDescent="0.35">
      <c r="G460" s="205"/>
      <c r="H460" s="205"/>
      <c r="I460" s="205"/>
      <c r="J460" s="205"/>
      <c r="K460" s="205"/>
      <c r="M460" s="205"/>
      <c r="N460" s="205"/>
      <c r="O460" s="205"/>
      <c r="P460" s="205"/>
      <c r="Q460" s="205"/>
      <c r="R460" s="205"/>
      <c r="S460" s="205"/>
      <c r="T460" s="205"/>
      <c r="U460" s="205"/>
    </row>
    <row r="461" spans="7:21" ht="29.25" customHeight="1" x14ac:dyDescent="0.35">
      <c r="G461" s="205"/>
      <c r="H461" s="205"/>
      <c r="I461" s="205"/>
      <c r="J461" s="205"/>
      <c r="K461" s="205"/>
      <c r="M461" s="205"/>
      <c r="N461" s="205"/>
      <c r="O461" s="205"/>
      <c r="P461" s="205"/>
      <c r="Q461" s="205"/>
      <c r="R461" s="205"/>
      <c r="S461" s="205"/>
      <c r="T461" s="205"/>
      <c r="U461" s="205"/>
    </row>
    <row r="462" spans="7:21" ht="29.25" customHeight="1" x14ac:dyDescent="0.35">
      <c r="G462" s="205"/>
      <c r="H462" s="205"/>
      <c r="I462" s="205"/>
      <c r="J462" s="205"/>
      <c r="K462" s="205"/>
      <c r="M462" s="205"/>
      <c r="N462" s="205"/>
      <c r="O462" s="205"/>
      <c r="P462" s="205"/>
      <c r="Q462" s="205"/>
      <c r="R462" s="205"/>
      <c r="S462" s="205"/>
      <c r="T462" s="205"/>
      <c r="U462" s="205"/>
    </row>
    <row r="463" spans="7:21" ht="29.25" customHeight="1" x14ac:dyDescent="0.35">
      <c r="G463" s="205"/>
      <c r="H463" s="205"/>
      <c r="I463" s="205"/>
      <c r="J463" s="205"/>
      <c r="K463" s="205"/>
      <c r="M463" s="205"/>
      <c r="N463" s="205"/>
      <c r="O463" s="205"/>
      <c r="P463" s="205"/>
      <c r="Q463" s="205"/>
      <c r="R463" s="205"/>
      <c r="S463" s="205"/>
      <c r="T463" s="205"/>
      <c r="U463" s="205"/>
    </row>
    <row r="464" spans="7:21" ht="29.25" customHeight="1" x14ac:dyDescent="0.35">
      <c r="G464" s="205"/>
      <c r="H464" s="205"/>
      <c r="I464" s="205"/>
      <c r="J464" s="205"/>
      <c r="K464" s="205"/>
      <c r="M464" s="205"/>
      <c r="N464" s="205"/>
      <c r="O464" s="205"/>
      <c r="P464" s="205"/>
      <c r="Q464" s="205"/>
      <c r="R464" s="205"/>
      <c r="S464" s="205"/>
      <c r="T464" s="205"/>
      <c r="U464" s="205"/>
    </row>
    <row r="465" spans="7:21" ht="29.25" customHeight="1" x14ac:dyDescent="0.35">
      <c r="G465" s="205"/>
      <c r="H465" s="205"/>
      <c r="I465" s="205"/>
      <c r="J465" s="205"/>
      <c r="K465" s="205"/>
      <c r="M465" s="205"/>
      <c r="N465" s="205"/>
      <c r="O465" s="205"/>
      <c r="P465" s="205"/>
      <c r="Q465" s="205"/>
      <c r="R465" s="205"/>
      <c r="S465" s="205"/>
      <c r="T465" s="205"/>
      <c r="U465" s="205"/>
    </row>
    <row r="466" spans="7:21" ht="29.25" customHeight="1" x14ac:dyDescent="0.35">
      <c r="G466" s="205"/>
      <c r="H466" s="205"/>
      <c r="I466" s="205"/>
      <c r="J466" s="205"/>
      <c r="K466" s="205"/>
      <c r="M466" s="205"/>
      <c r="N466" s="205"/>
      <c r="O466" s="205"/>
      <c r="P466" s="205"/>
      <c r="Q466" s="205"/>
      <c r="R466" s="205"/>
      <c r="S466" s="205"/>
      <c r="T466" s="205"/>
      <c r="U466" s="205"/>
    </row>
    <row r="467" spans="7:21" ht="29.25" customHeight="1" x14ac:dyDescent="0.35">
      <c r="G467" s="205"/>
      <c r="H467" s="205"/>
      <c r="I467" s="205"/>
      <c r="J467" s="205"/>
      <c r="K467" s="205"/>
      <c r="M467" s="205"/>
      <c r="N467" s="205"/>
      <c r="O467" s="205"/>
      <c r="P467" s="205"/>
      <c r="Q467" s="205"/>
      <c r="R467" s="205"/>
      <c r="S467" s="205"/>
      <c r="T467" s="205"/>
      <c r="U467" s="205"/>
    </row>
    <row r="468" spans="7:21" ht="29.25" customHeight="1" x14ac:dyDescent="0.35">
      <c r="G468" s="205"/>
      <c r="H468" s="205"/>
      <c r="I468" s="205"/>
      <c r="J468" s="205"/>
      <c r="K468" s="205"/>
      <c r="M468" s="205"/>
      <c r="N468" s="205"/>
      <c r="O468" s="205"/>
      <c r="P468" s="205"/>
      <c r="Q468" s="205"/>
      <c r="R468" s="205"/>
      <c r="S468" s="205"/>
      <c r="T468" s="205"/>
      <c r="U468" s="205"/>
    </row>
    <row r="469" spans="7:21" ht="29.25" customHeight="1" x14ac:dyDescent="0.35">
      <c r="G469" s="205"/>
      <c r="H469" s="205"/>
      <c r="I469" s="205"/>
      <c r="J469" s="205"/>
      <c r="K469" s="205"/>
      <c r="M469" s="205"/>
      <c r="N469" s="205"/>
      <c r="O469" s="205"/>
      <c r="P469" s="205"/>
      <c r="Q469" s="205"/>
      <c r="R469" s="205"/>
      <c r="S469" s="205"/>
      <c r="T469" s="205"/>
      <c r="U469" s="205"/>
    </row>
    <row r="470" spans="7:21" ht="29.25" customHeight="1" x14ac:dyDescent="0.35">
      <c r="G470" s="205"/>
      <c r="H470" s="205"/>
      <c r="I470" s="205"/>
      <c r="J470" s="205"/>
      <c r="K470" s="205"/>
      <c r="M470" s="205"/>
      <c r="N470" s="205"/>
      <c r="O470" s="205"/>
      <c r="P470" s="205"/>
      <c r="Q470" s="205"/>
      <c r="R470" s="205"/>
      <c r="S470" s="205"/>
      <c r="T470" s="205"/>
      <c r="U470" s="205"/>
    </row>
    <row r="471" spans="7:21" ht="29.25" customHeight="1" x14ac:dyDescent="0.35">
      <c r="G471" s="205"/>
      <c r="H471" s="205"/>
      <c r="I471" s="205"/>
      <c r="J471" s="205"/>
      <c r="K471" s="205"/>
      <c r="M471" s="205"/>
      <c r="N471" s="205"/>
      <c r="O471" s="205"/>
      <c r="P471" s="205"/>
      <c r="Q471" s="205"/>
      <c r="R471" s="205"/>
      <c r="S471" s="205"/>
      <c r="T471" s="205"/>
      <c r="U471" s="205"/>
    </row>
    <row r="472" spans="7:21" ht="29.25" customHeight="1" x14ac:dyDescent="0.35">
      <c r="G472" s="205"/>
      <c r="H472" s="205"/>
      <c r="I472" s="205"/>
      <c r="J472" s="205"/>
      <c r="K472" s="205"/>
      <c r="M472" s="205"/>
      <c r="N472" s="205"/>
      <c r="O472" s="205"/>
      <c r="P472" s="205"/>
      <c r="Q472" s="205"/>
      <c r="R472" s="205"/>
      <c r="S472" s="205"/>
      <c r="T472" s="205"/>
      <c r="U472" s="205"/>
    </row>
    <row r="473" spans="7:21" ht="29.25" customHeight="1" x14ac:dyDescent="0.35">
      <c r="G473" s="205"/>
      <c r="H473" s="205"/>
      <c r="I473" s="205"/>
      <c r="J473" s="205"/>
      <c r="K473" s="205"/>
      <c r="M473" s="205"/>
      <c r="N473" s="205"/>
      <c r="O473" s="205"/>
      <c r="P473" s="205"/>
      <c r="Q473" s="205"/>
      <c r="R473" s="205"/>
      <c r="S473" s="205"/>
      <c r="T473" s="205"/>
      <c r="U473" s="205"/>
    </row>
    <row r="474" spans="7:21" ht="29.25" customHeight="1" x14ac:dyDescent="0.35">
      <c r="G474" s="205"/>
      <c r="H474" s="205"/>
      <c r="I474" s="205"/>
      <c r="J474" s="205"/>
      <c r="K474" s="205"/>
      <c r="M474" s="205"/>
      <c r="N474" s="205"/>
      <c r="O474" s="205"/>
      <c r="P474" s="205"/>
      <c r="Q474" s="205"/>
      <c r="R474" s="205"/>
      <c r="S474" s="205"/>
      <c r="T474" s="205"/>
      <c r="U474" s="205"/>
    </row>
    <row r="475" spans="7:21" ht="29.25" customHeight="1" x14ac:dyDescent="0.35">
      <c r="G475" s="205"/>
      <c r="H475" s="205"/>
      <c r="I475" s="205"/>
      <c r="J475" s="205"/>
      <c r="K475" s="205"/>
      <c r="M475" s="205"/>
      <c r="N475" s="205"/>
      <c r="O475" s="205"/>
      <c r="P475" s="205"/>
      <c r="Q475" s="205"/>
      <c r="R475" s="205"/>
      <c r="S475" s="205"/>
      <c r="T475" s="205"/>
      <c r="U475" s="205"/>
    </row>
    <row r="476" spans="7:21" ht="29.25" customHeight="1" x14ac:dyDescent="0.35">
      <c r="G476" s="205"/>
      <c r="H476" s="205"/>
      <c r="I476" s="205"/>
      <c r="J476" s="205"/>
      <c r="K476" s="205"/>
      <c r="M476" s="205"/>
      <c r="N476" s="205"/>
      <c r="O476" s="205"/>
      <c r="P476" s="205"/>
      <c r="Q476" s="205"/>
      <c r="R476" s="205"/>
      <c r="S476" s="205"/>
      <c r="T476" s="205"/>
      <c r="U476" s="205"/>
    </row>
    <row r="477" spans="7:21" ht="29.25" customHeight="1" x14ac:dyDescent="0.35">
      <c r="G477" s="205"/>
      <c r="H477" s="205"/>
      <c r="I477" s="205"/>
      <c r="J477" s="205"/>
      <c r="K477" s="205"/>
      <c r="M477" s="205"/>
      <c r="N477" s="205"/>
      <c r="O477" s="205"/>
      <c r="P477" s="205"/>
      <c r="Q477" s="205"/>
      <c r="R477" s="205"/>
      <c r="S477" s="205"/>
      <c r="T477" s="205"/>
      <c r="U477" s="205"/>
    </row>
    <row r="478" spans="7:21" ht="29.25" customHeight="1" x14ac:dyDescent="0.35">
      <c r="G478" s="205"/>
      <c r="H478" s="205"/>
      <c r="I478" s="205"/>
      <c r="J478" s="205"/>
      <c r="K478" s="205"/>
      <c r="M478" s="205"/>
      <c r="N478" s="205"/>
      <c r="O478" s="205"/>
      <c r="P478" s="205"/>
      <c r="Q478" s="205"/>
      <c r="R478" s="205"/>
      <c r="S478" s="205"/>
      <c r="T478" s="205"/>
      <c r="U478" s="205"/>
    </row>
    <row r="479" spans="7:21" ht="29.25" customHeight="1" x14ac:dyDescent="0.35">
      <c r="G479" s="205"/>
      <c r="H479" s="205"/>
      <c r="I479" s="205"/>
      <c r="J479" s="205"/>
      <c r="K479" s="205"/>
      <c r="M479" s="205"/>
      <c r="N479" s="205"/>
      <c r="O479" s="205"/>
      <c r="P479" s="205"/>
      <c r="Q479" s="205"/>
      <c r="R479" s="205"/>
      <c r="S479" s="205"/>
      <c r="T479" s="205"/>
      <c r="U479" s="205"/>
    </row>
    <row r="480" spans="7:21" ht="29.25" customHeight="1" x14ac:dyDescent="0.35">
      <c r="G480" s="205"/>
      <c r="H480" s="205"/>
      <c r="I480" s="205"/>
      <c r="J480" s="205"/>
      <c r="K480" s="205"/>
      <c r="M480" s="205"/>
      <c r="N480" s="205"/>
      <c r="O480" s="205"/>
      <c r="P480" s="205"/>
      <c r="Q480" s="205"/>
      <c r="R480" s="205"/>
      <c r="S480" s="205"/>
      <c r="T480" s="205"/>
      <c r="U480" s="205"/>
    </row>
    <row r="481" spans="7:21" ht="29.25" customHeight="1" x14ac:dyDescent="0.35">
      <c r="G481" s="205"/>
      <c r="H481" s="205"/>
      <c r="I481" s="205"/>
      <c r="J481" s="205"/>
      <c r="K481" s="205"/>
      <c r="M481" s="205"/>
      <c r="N481" s="205"/>
      <c r="O481" s="205"/>
      <c r="P481" s="205"/>
      <c r="Q481" s="205"/>
      <c r="R481" s="205"/>
      <c r="S481" s="205"/>
      <c r="T481" s="205"/>
      <c r="U481" s="205"/>
    </row>
    <row r="482" spans="7:21" ht="29.25" customHeight="1" x14ac:dyDescent="0.35">
      <c r="G482" s="205"/>
      <c r="H482" s="205"/>
      <c r="I482" s="205"/>
      <c r="J482" s="205"/>
      <c r="K482" s="205"/>
      <c r="M482" s="205"/>
      <c r="N482" s="205"/>
      <c r="O482" s="205"/>
      <c r="P482" s="205"/>
      <c r="Q482" s="205"/>
      <c r="R482" s="205"/>
      <c r="S482" s="205"/>
      <c r="T482" s="205"/>
      <c r="U482" s="205"/>
    </row>
    <row r="483" spans="7:21" ht="29.25" customHeight="1" x14ac:dyDescent="0.35">
      <c r="G483" s="205"/>
      <c r="H483" s="205"/>
      <c r="I483" s="205"/>
      <c r="J483" s="205"/>
      <c r="K483" s="205"/>
      <c r="M483" s="205"/>
      <c r="N483" s="205"/>
      <c r="O483" s="205"/>
      <c r="P483" s="205"/>
      <c r="Q483" s="205"/>
      <c r="R483" s="205"/>
      <c r="S483" s="205"/>
      <c r="T483" s="205"/>
      <c r="U483" s="205"/>
    </row>
    <row r="484" spans="7:21" ht="29.25" customHeight="1" x14ac:dyDescent="0.35">
      <c r="G484" s="205"/>
      <c r="H484" s="205"/>
      <c r="I484" s="205"/>
      <c r="J484" s="205"/>
      <c r="K484" s="205"/>
      <c r="M484" s="205"/>
      <c r="N484" s="205"/>
      <c r="O484" s="205"/>
      <c r="P484" s="205"/>
      <c r="Q484" s="205"/>
      <c r="R484" s="205"/>
      <c r="S484" s="205"/>
      <c r="T484" s="205"/>
      <c r="U484" s="205"/>
    </row>
    <row r="485" spans="7:21" ht="29.25" customHeight="1" x14ac:dyDescent="0.35">
      <c r="G485" s="205"/>
      <c r="H485" s="205"/>
      <c r="I485" s="205"/>
      <c r="J485" s="205"/>
      <c r="K485" s="205"/>
      <c r="M485" s="205"/>
      <c r="N485" s="205"/>
      <c r="O485" s="205"/>
      <c r="P485" s="205"/>
      <c r="Q485" s="205"/>
      <c r="R485" s="205"/>
      <c r="S485" s="205"/>
      <c r="T485" s="205"/>
      <c r="U485" s="205"/>
    </row>
    <row r="486" spans="7:21" ht="29.25" customHeight="1" x14ac:dyDescent="0.35">
      <c r="G486" s="205"/>
      <c r="H486" s="205"/>
      <c r="I486" s="205"/>
      <c r="J486" s="205"/>
      <c r="K486" s="205"/>
      <c r="M486" s="205"/>
      <c r="N486" s="205"/>
      <c r="O486" s="205"/>
      <c r="P486" s="205"/>
      <c r="Q486" s="205"/>
      <c r="R486" s="205"/>
      <c r="S486" s="205"/>
      <c r="T486" s="205"/>
      <c r="U486" s="205"/>
    </row>
    <row r="487" spans="7:21" ht="29.25" customHeight="1" x14ac:dyDescent="0.35">
      <c r="G487" s="205"/>
      <c r="H487" s="205"/>
      <c r="I487" s="205"/>
      <c r="J487" s="205"/>
      <c r="K487" s="205"/>
      <c r="M487" s="205"/>
      <c r="N487" s="205"/>
      <c r="O487" s="205"/>
      <c r="P487" s="205"/>
      <c r="Q487" s="205"/>
      <c r="R487" s="205"/>
      <c r="S487" s="205"/>
      <c r="T487" s="205"/>
      <c r="U487" s="205"/>
    </row>
    <row r="488" spans="7:21" ht="29.25" customHeight="1" x14ac:dyDescent="0.35">
      <c r="G488" s="205"/>
      <c r="H488" s="205"/>
      <c r="I488" s="205"/>
      <c r="J488" s="205"/>
      <c r="K488" s="205"/>
      <c r="M488" s="205"/>
      <c r="N488" s="205"/>
      <c r="O488" s="205"/>
      <c r="P488" s="205"/>
      <c r="Q488" s="205"/>
      <c r="R488" s="205"/>
      <c r="S488" s="205"/>
      <c r="T488" s="205"/>
      <c r="U488" s="205"/>
    </row>
    <row r="489" spans="7:21" ht="29.25" customHeight="1" x14ac:dyDescent="0.35">
      <c r="G489" s="205"/>
      <c r="H489" s="205"/>
      <c r="I489" s="205"/>
      <c r="J489" s="205"/>
      <c r="K489" s="205"/>
      <c r="M489" s="205"/>
      <c r="N489" s="205"/>
      <c r="O489" s="205"/>
      <c r="P489" s="205"/>
      <c r="Q489" s="205"/>
      <c r="R489" s="205"/>
      <c r="S489" s="205"/>
      <c r="T489" s="205"/>
      <c r="U489" s="205"/>
    </row>
    <row r="490" spans="7:21" ht="29.25" customHeight="1" x14ac:dyDescent="0.35">
      <c r="G490" s="205"/>
      <c r="H490" s="205"/>
      <c r="I490" s="205"/>
      <c r="J490" s="205"/>
      <c r="K490" s="205"/>
      <c r="M490" s="205"/>
      <c r="N490" s="205"/>
      <c r="O490" s="205"/>
      <c r="P490" s="205"/>
      <c r="Q490" s="205"/>
      <c r="R490" s="205"/>
      <c r="S490" s="205"/>
      <c r="T490" s="205"/>
      <c r="U490" s="205"/>
    </row>
    <row r="491" spans="7:21" ht="29.25" customHeight="1" x14ac:dyDescent="0.35">
      <c r="G491" s="205"/>
      <c r="H491" s="205"/>
      <c r="I491" s="205"/>
      <c r="J491" s="205"/>
      <c r="K491" s="205"/>
      <c r="M491" s="205"/>
      <c r="N491" s="205"/>
      <c r="O491" s="205"/>
      <c r="P491" s="205"/>
      <c r="Q491" s="205"/>
      <c r="R491" s="205"/>
      <c r="S491" s="205"/>
      <c r="T491" s="205"/>
      <c r="U491" s="205"/>
    </row>
    <row r="492" spans="7:21" ht="29.25" customHeight="1" x14ac:dyDescent="0.35">
      <c r="G492" s="205"/>
      <c r="H492" s="205"/>
      <c r="I492" s="205"/>
      <c r="J492" s="205"/>
      <c r="K492" s="205"/>
      <c r="M492" s="205"/>
      <c r="N492" s="205"/>
      <c r="O492" s="205"/>
      <c r="P492" s="205"/>
      <c r="Q492" s="205"/>
      <c r="R492" s="205"/>
      <c r="S492" s="205"/>
      <c r="T492" s="205"/>
      <c r="U492" s="205"/>
    </row>
    <row r="493" spans="7:21" ht="29.25" customHeight="1" x14ac:dyDescent="0.35">
      <c r="G493" s="205"/>
      <c r="H493" s="205"/>
      <c r="I493" s="205"/>
      <c r="J493" s="205"/>
      <c r="K493" s="205"/>
      <c r="M493" s="205"/>
      <c r="N493" s="205"/>
      <c r="O493" s="205"/>
      <c r="P493" s="205"/>
      <c r="Q493" s="205"/>
      <c r="R493" s="205"/>
      <c r="S493" s="205"/>
      <c r="T493" s="205"/>
      <c r="U493" s="205"/>
    </row>
    <row r="494" spans="7:21" ht="29.25" customHeight="1" x14ac:dyDescent="0.35">
      <c r="G494" s="205"/>
      <c r="H494" s="205"/>
      <c r="I494" s="205"/>
      <c r="J494" s="205"/>
      <c r="K494" s="205"/>
      <c r="M494" s="205"/>
      <c r="N494" s="205"/>
      <c r="O494" s="205"/>
      <c r="P494" s="205"/>
      <c r="Q494" s="205"/>
      <c r="R494" s="205"/>
      <c r="S494" s="205"/>
      <c r="T494" s="205"/>
      <c r="U494" s="205"/>
    </row>
    <row r="495" spans="7:21" ht="29.25" customHeight="1" x14ac:dyDescent="0.35">
      <c r="G495" s="205"/>
      <c r="H495" s="205"/>
      <c r="I495" s="205"/>
      <c r="J495" s="205"/>
      <c r="K495" s="205"/>
      <c r="M495" s="205"/>
      <c r="N495" s="205"/>
      <c r="O495" s="205"/>
      <c r="P495" s="205"/>
      <c r="Q495" s="205"/>
      <c r="R495" s="205"/>
      <c r="S495" s="205"/>
      <c r="T495" s="205"/>
      <c r="U495" s="205"/>
    </row>
    <row r="496" spans="7:21" ht="29.25" customHeight="1" x14ac:dyDescent="0.35">
      <c r="G496" s="205"/>
      <c r="H496" s="205"/>
      <c r="I496" s="205"/>
      <c r="J496" s="205"/>
      <c r="K496" s="205"/>
      <c r="M496" s="205"/>
      <c r="N496" s="205"/>
      <c r="O496" s="205"/>
      <c r="P496" s="205"/>
      <c r="Q496" s="205"/>
      <c r="R496" s="205"/>
      <c r="S496" s="205"/>
      <c r="T496" s="205"/>
      <c r="U496" s="205"/>
    </row>
    <row r="497" spans="7:21" ht="29.25" customHeight="1" x14ac:dyDescent="0.35">
      <c r="G497" s="205"/>
      <c r="H497" s="205"/>
      <c r="I497" s="205"/>
      <c r="J497" s="205"/>
      <c r="K497" s="205"/>
      <c r="M497" s="205"/>
      <c r="N497" s="205"/>
      <c r="O497" s="205"/>
      <c r="P497" s="205"/>
      <c r="Q497" s="205"/>
      <c r="R497" s="205"/>
      <c r="S497" s="205"/>
      <c r="T497" s="205"/>
      <c r="U497" s="205"/>
    </row>
    <row r="498" spans="7:21" ht="29.25" customHeight="1" x14ac:dyDescent="0.35">
      <c r="G498" s="205"/>
      <c r="H498" s="205"/>
      <c r="I498" s="205"/>
      <c r="J498" s="205"/>
      <c r="K498" s="205"/>
      <c r="M498" s="205"/>
      <c r="N498" s="205"/>
      <c r="O498" s="205"/>
      <c r="P498" s="205"/>
      <c r="Q498" s="205"/>
      <c r="R498" s="205"/>
      <c r="S498" s="205"/>
      <c r="T498" s="205"/>
      <c r="U498" s="205"/>
    </row>
    <row r="499" spans="7:21" ht="29.25" customHeight="1" x14ac:dyDescent="0.35">
      <c r="G499" s="205"/>
      <c r="H499" s="205"/>
      <c r="I499" s="205"/>
      <c r="J499" s="205"/>
      <c r="K499" s="205"/>
      <c r="M499" s="205"/>
      <c r="N499" s="205"/>
      <c r="O499" s="205"/>
      <c r="P499" s="205"/>
      <c r="Q499" s="205"/>
      <c r="R499" s="205"/>
      <c r="S499" s="205"/>
      <c r="T499" s="205"/>
      <c r="U499" s="205"/>
    </row>
    <row r="500" spans="7:21" ht="29.25" customHeight="1" x14ac:dyDescent="0.35">
      <c r="G500" s="205"/>
      <c r="H500" s="205"/>
      <c r="I500" s="205"/>
      <c r="J500" s="205"/>
      <c r="K500" s="205"/>
      <c r="M500" s="205"/>
      <c r="N500" s="205"/>
      <c r="O500" s="205"/>
      <c r="P500" s="205"/>
      <c r="Q500" s="205"/>
      <c r="R500" s="205"/>
      <c r="S500" s="205"/>
      <c r="T500" s="205"/>
      <c r="U500" s="205"/>
    </row>
    <row r="501" spans="7:21" ht="29.25" customHeight="1" x14ac:dyDescent="0.35">
      <c r="G501" s="205"/>
      <c r="H501" s="205"/>
      <c r="I501" s="205"/>
      <c r="J501" s="205"/>
      <c r="K501" s="205"/>
      <c r="M501" s="205"/>
      <c r="N501" s="205"/>
      <c r="O501" s="205"/>
      <c r="P501" s="205"/>
      <c r="Q501" s="205"/>
      <c r="R501" s="205"/>
      <c r="S501" s="205"/>
      <c r="T501" s="205"/>
      <c r="U501" s="205"/>
    </row>
    <row r="502" spans="7:21" ht="29.25" customHeight="1" x14ac:dyDescent="0.35">
      <c r="G502" s="205"/>
      <c r="H502" s="205"/>
      <c r="I502" s="205"/>
      <c r="J502" s="205"/>
      <c r="K502" s="205"/>
      <c r="M502" s="205"/>
      <c r="N502" s="205"/>
      <c r="O502" s="205"/>
      <c r="P502" s="205"/>
      <c r="Q502" s="205"/>
      <c r="R502" s="205"/>
      <c r="S502" s="205"/>
      <c r="T502" s="205"/>
      <c r="U502" s="205"/>
    </row>
    <row r="503" spans="7:21" ht="29.25" customHeight="1" x14ac:dyDescent="0.35">
      <c r="G503" s="205"/>
      <c r="H503" s="205"/>
      <c r="I503" s="205"/>
      <c r="J503" s="205"/>
      <c r="K503" s="205"/>
      <c r="M503" s="205"/>
      <c r="N503" s="205"/>
      <c r="O503" s="205"/>
      <c r="P503" s="205"/>
      <c r="Q503" s="205"/>
      <c r="R503" s="205"/>
      <c r="S503" s="205"/>
      <c r="T503" s="205"/>
      <c r="U503" s="205"/>
    </row>
    <row r="504" spans="7:21" ht="29.25" customHeight="1" x14ac:dyDescent="0.35">
      <c r="G504" s="205"/>
      <c r="H504" s="205"/>
      <c r="I504" s="205"/>
      <c r="J504" s="205"/>
      <c r="K504" s="205"/>
      <c r="M504" s="205"/>
      <c r="N504" s="205"/>
      <c r="O504" s="205"/>
      <c r="P504" s="205"/>
      <c r="Q504" s="205"/>
      <c r="R504" s="205"/>
      <c r="S504" s="205"/>
      <c r="T504" s="205"/>
      <c r="U504" s="205"/>
    </row>
    <row r="505" spans="7:21" ht="29.25" customHeight="1" x14ac:dyDescent="0.35">
      <c r="G505" s="205"/>
      <c r="H505" s="205"/>
      <c r="I505" s="205"/>
      <c r="J505" s="205"/>
      <c r="K505" s="205"/>
      <c r="M505" s="205"/>
      <c r="N505" s="205"/>
      <c r="O505" s="205"/>
      <c r="P505" s="205"/>
      <c r="Q505" s="205"/>
      <c r="R505" s="205"/>
      <c r="S505" s="205"/>
      <c r="T505" s="205"/>
      <c r="U505" s="205"/>
    </row>
    <row r="506" spans="7:21" ht="29.25" customHeight="1" x14ac:dyDescent="0.35">
      <c r="G506" s="205"/>
      <c r="H506" s="205"/>
      <c r="I506" s="205"/>
      <c r="J506" s="205"/>
      <c r="K506" s="205"/>
      <c r="M506" s="205"/>
      <c r="N506" s="205"/>
      <c r="O506" s="205"/>
      <c r="P506" s="205"/>
      <c r="Q506" s="205"/>
      <c r="R506" s="205"/>
      <c r="S506" s="205"/>
      <c r="T506" s="205"/>
      <c r="U506" s="205"/>
    </row>
    <row r="507" spans="7:21" ht="29.25" customHeight="1" x14ac:dyDescent="0.35">
      <c r="G507" s="205"/>
      <c r="H507" s="205"/>
      <c r="I507" s="205"/>
      <c r="J507" s="205"/>
      <c r="K507" s="205"/>
      <c r="M507" s="205"/>
      <c r="N507" s="205"/>
      <c r="O507" s="205"/>
      <c r="P507" s="205"/>
      <c r="Q507" s="205"/>
      <c r="R507" s="205"/>
      <c r="S507" s="205"/>
      <c r="T507" s="205"/>
      <c r="U507" s="205"/>
    </row>
    <row r="508" spans="7:21" ht="29.25" customHeight="1" x14ac:dyDescent="0.35">
      <c r="G508" s="205"/>
      <c r="H508" s="205"/>
      <c r="I508" s="205"/>
      <c r="J508" s="205"/>
      <c r="K508" s="205"/>
      <c r="M508" s="205"/>
      <c r="N508" s="205"/>
      <c r="O508" s="205"/>
      <c r="P508" s="205"/>
      <c r="Q508" s="205"/>
      <c r="R508" s="205"/>
      <c r="S508" s="205"/>
      <c r="T508" s="205"/>
      <c r="U508" s="205"/>
    </row>
    <row r="509" spans="7:21" ht="29.25" customHeight="1" x14ac:dyDescent="0.35">
      <c r="G509" s="205"/>
      <c r="H509" s="205"/>
      <c r="I509" s="205"/>
      <c r="J509" s="205"/>
      <c r="K509" s="205"/>
      <c r="M509" s="205"/>
      <c r="N509" s="205"/>
      <c r="O509" s="205"/>
      <c r="P509" s="205"/>
      <c r="Q509" s="205"/>
      <c r="R509" s="205"/>
      <c r="S509" s="205"/>
      <c r="T509" s="205"/>
      <c r="U509" s="205"/>
    </row>
    <row r="510" spans="7:21" ht="29.25" customHeight="1" x14ac:dyDescent="0.35">
      <c r="G510" s="205"/>
      <c r="H510" s="205"/>
      <c r="I510" s="205"/>
      <c r="J510" s="205"/>
      <c r="K510" s="205"/>
      <c r="M510" s="205"/>
      <c r="N510" s="205"/>
      <c r="O510" s="205"/>
      <c r="P510" s="205"/>
      <c r="Q510" s="205"/>
      <c r="R510" s="205"/>
      <c r="S510" s="205"/>
      <c r="T510" s="205"/>
      <c r="U510" s="205"/>
    </row>
    <row r="511" spans="7:21" ht="29.25" customHeight="1" x14ac:dyDescent="0.35">
      <c r="G511" s="205"/>
      <c r="H511" s="205"/>
      <c r="I511" s="205"/>
      <c r="J511" s="205"/>
      <c r="K511" s="205"/>
      <c r="M511" s="205"/>
      <c r="N511" s="205"/>
      <c r="O511" s="205"/>
      <c r="P511" s="205"/>
      <c r="Q511" s="205"/>
      <c r="R511" s="205"/>
      <c r="S511" s="205"/>
      <c r="T511" s="205"/>
      <c r="U511" s="205"/>
    </row>
    <row r="512" spans="7:21" ht="29.25" customHeight="1" x14ac:dyDescent="0.35">
      <c r="G512" s="205"/>
      <c r="H512" s="205"/>
      <c r="I512" s="205"/>
      <c r="J512" s="205"/>
      <c r="K512" s="205"/>
      <c r="M512" s="205"/>
      <c r="N512" s="205"/>
      <c r="O512" s="205"/>
      <c r="P512" s="205"/>
      <c r="Q512" s="205"/>
      <c r="R512" s="205"/>
      <c r="S512" s="205"/>
      <c r="T512" s="205"/>
      <c r="U512" s="205"/>
    </row>
    <row r="513" spans="7:21" ht="29.25" customHeight="1" x14ac:dyDescent="0.35">
      <c r="G513" s="205"/>
      <c r="H513" s="205"/>
      <c r="I513" s="205"/>
      <c r="J513" s="205"/>
      <c r="K513" s="205"/>
      <c r="M513" s="205"/>
      <c r="N513" s="205"/>
      <c r="O513" s="205"/>
      <c r="P513" s="205"/>
      <c r="Q513" s="205"/>
      <c r="R513" s="205"/>
      <c r="S513" s="205"/>
      <c r="T513" s="205"/>
      <c r="U513" s="205"/>
    </row>
    <row r="514" spans="7:21" ht="29.25" customHeight="1" x14ac:dyDescent="0.35">
      <c r="G514" s="205"/>
      <c r="H514" s="205"/>
      <c r="I514" s="205"/>
      <c r="J514" s="205"/>
      <c r="K514" s="205"/>
      <c r="M514" s="205"/>
      <c r="N514" s="205"/>
      <c r="O514" s="205"/>
      <c r="P514" s="205"/>
      <c r="Q514" s="205"/>
      <c r="R514" s="205"/>
      <c r="S514" s="205"/>
      <c r="T514" s="205"/>
      <c r="U514" s="205"/>
    </row>
    <row r="515" spans="7:21" ht="29.25" customHeight="1" x14ac:dyDescent="0.35">
      <c r="G515" s="205"/>
      <c r="H515" s="205"/>
      <c r="I515" s="205"/>
      <c r="J515" s="205"/>
      <c r="K515" s="205"/>
      <c r="M515" s="205"/>
      <c r="N515" s="205"/>
      <c r="O515" s="205"/>
      <c r="P515" s="205"/>
      <c r="Q515" s="205"/>
      <c r="R515" s="205"/>
      <c r="S515" s="205"/>
      <c r="T515" s="205"/>
      <c r="U515" s="205"/>
    </row>
    <row r="516" spans="7:21" ht="29.25" customHeight="1" x14ac:dyDescent="0.35">
      <c r="G516" s="205"/>
      <c r="H516" s="205"/>
      <c r="I516" s="205"/>
      <c r="J516" s="205"/>
      <c r="K516" s="205"/>
      <c r="M516" s="205"/>
      <c r="N516" s="205"/>
      <c r="O516" s="205"/>
      <c r="P516" s="205"/>
      <c r="Q516" s="205"/>
      <c r="R516" s="205"/>
      <c r="S516" s="205"/>
      <c r="T516" s="205"/>
      <c r="U516" s="205"/>
    </row>
    <row r="517" spans="7:21" ht="29.25" customHeight="1" x14ac:dyDescent="0.35">
      <c r="G517" s="205"/>
      <c r="H517" s="205"/>
      <c r="I517" s="205"/>
      <c r="J517" s="205"/>
      <c r="K517" s="205"/>
      <c r="M517" s="205"/>
      <c r="N517" s="205"/>
      <c r="O517" s="205"/>
      <c r="P517" s="205"/>
      <c r="Q517" s="205"/>
      <c r="R517" s="205"/>
      <c r="S517" s="205"/>
      <c r="T517" s="205"/>
      <c r="U517" s="205"/>
    </row>
    <row r="518" spans="7:21" ht="29.25" customHeight="1" x14ac:dyDescent="0.35">
      <c r="G518" s="205"/>
      <c r="H518" s="205"/>
      <c r="I518" s="205"/>
      <c r="J518" s="205"/>
      <c r="K518" s="205"/>
      <c r="M518" s="205"/>
      <c r="N518" s="205"/>
      <c r="O518" s="205"/>
      <c r="P518" s="205"/>
      <c r="Q518" s="205"/>
      <c r="R518" s="205"/>
      <c r="S518" s="205"/>
      <c r="T518" s="205"/>
      <c r="U518" s="205"/>
    </row>
    <row r="519" spans="7:21" ht="29.25" customHeight="1" x14ac:dyDescent="0.35">
      <c r="G519" s="205"/>
      <c r="H519" s="205"/>
      <c r="I519" s="205"/>
      <c r="J519" s="205"/>
      <c r="K519" s="205"/>
      <c r="M519" s="205"/>
      <c r="N519" s="205"/>
      <c r="O519" s="205"/>
      <c r="P519" s="205"/>
      <c r="Q519" s="205"/>
      <c r="R519" s="205"/>
      <c r="S519" s="205"/>
      <c r="T519" s="205"/>
      <c r="U519" s="205"/>
    </row>
    <row r="520" spans="7:21" ht="29.25" customHeight="1" x14ac:dyDescent="0.35">
      <c r="G520" s="205"/>
      <c r="H520" s="205"/>
      <c r="I520" s="205"/>
      <c r="J520" s="205"/>
      <c r="K520" s="205"/>
      <c r="M520" s="205"/>
      <c r="N520" s="205"/>
      <c r="O520" s="205"/>
      <c r="P520" s="205"/>
      <c r="Q520" s="205"/>
      <c r="R520" s="205"/>
      <c r="S520" s="205"/>
      <c r="T520" s="205"/>
      <c r="U520" s="205"/>
    </row>
    <row r="521" spans="7:21" ht="29.25" customHeight="1" x14ac:dyDescent="0.35">
      <c r="G521" s="205"/>
      <c r="H521" s="205"/>
      <c r="I521" s="205"/>
      <c r="J521" s="205"/>
      <c r="K521" s="205"/>
      <c r="M521" s="205"/>
      <c r="N521" s="205"/>
      <c r="O521" s="205"/>
      <c r="P521" s="205"/>
      <c r="Q521" s="205"/>
      <c r="R521" s="205"/>
      <c r="S521" s="205"/>
      <c r="T521" s="205"/>
      <c r="U521" s="205"/>
    </row>
    <row r="522" spans="7:21" ht="29.25" customHeight="1" x14ac:dyDescent="0.35">
      <c r="G522" s="205"/>
      <c r="H522" s="205"/>
      <c r="I522" s="205"/>
      <c r="J522" s="205"/>
      <c r="K522" s="205"/>
      <c r="M522" s="205"/>
      <c r="N522" s="205"/>
      <c r="O522" s="205"/>
      <c r="P522" s="205"/>
      <c r="Q522" s="205"/>
      <c r="R522" s="205"/>
      <c r="S522" s="205"/>
      <c r="T522" s="205"/>
      <c r="U522" s="205"/>
    </row>
    <row r="523" spans="7:21" ht="29.25" customHeight="1" x14ac:dyDescent="0.35">
      <c r="G523" s="205"/>
      <c r="H523" s="205"/>
      <c r="I523" s="205"/>
      <c r="J523" s="205"/>
      <c r="K523" s="205"/>
      <c r="M523" s="205"/>
      <c r="N523" s="205"/>
      <c r="O523" s="205"/>
      <c r="P523" s="205"/>
      <c r="Q523" s="205"/>
      <c r="R523" s="205"/>
      <c r="S523" s="205"/>
      <c r="T523" s="205"/>
      <c r="U523" s="205"/>
    </row>
    <row r="524" spans="7:21" ht="29.25" customHeight="1" x14ac:dyDescent="0.35">
      <c r="G524" s="205"/>
      <c r="H524" s="205"/>
      <c r="I524" s="205"/>
      <c r="J524" s="205"/>
      <c r="K524" s="205"/>
      <c r="M524" s="205"/>
      <c r="N524" s="205"/>
      <c r="O524" s="205"/>
      <c r="P524" s="205"/>
      <c r="Q524" s="205"/>
      <c r="R524" s="205"/>
      <c r="S524" s="205"/>
      <c r="T524" s="205"/>
      <c r="U524" s="205"/>
    </row>
    <row r="525" spans="7:21" ht="29.25" customHeight="1" x14ac:dyDescent="0.35">
      <c r="G525" s="205"/>
      <c r="H525" s="205"/>
      <c r="I525" s="205"/>
      <c r="J525" s="205"/>
      <c r="K525" s="205"/>
      <c r="M525" s="205"/>
      <c r="N525" s="205"/>
      <c r="O525" s="205"/>
      <c r="P525" s="205"/>
      <c r="Q525" s="205"/>
      <c r="R525" s="205"/>
      <c r="S525" s="205"/>
      <c r="T525" s="205"/>
      <c r="U525" s="205"/>
    </row>
    <row r="526" spans="7:21" ht="29.25" customHeight="1" x14ac:dyDescent="0.35">
      <c r="G526" s="205"/>
      <c r="H526" s="205"/>
      <c r="I526" s="205"/>
      <c r="J526" s="205"/>
      <c r="K526" s="205"/>
      <c r="M526" s="205"/>
      <c r="N526" s="205"/>
      <c r="O526" s="205"/>
      <c r="P526" s="205"/>
      <c r="Q526" s="205"/>
      <c r="R526" s="205"/>
      <c r="S526" s="205"/>
      <c r="T526" s="205"/>
      <c r="U526" s="205"/>
    </row>
    <row r="527" spans="7:21" ht="29.25" customHeight="1" x14ac:dyDescent="0.35">
      <c r="G527" s="205"/>
      <c r="H527" s="205"/>
      <c r="I527" s="205"/>
      <c r="J527" s="205"/>
      <c r="K527" s="205"/>
      <c r="M527" s="205"/>
      <c r="N527" s="205"/>
      <c r="O527" s="205"/>
      <c r="P527" s="205"/>
      <c r="Q527" s="205"/>
      <c r="R527" s="205"/>
      <c r="S527" s="205"/>
      <c r="T527" s="205"/>
      <c r="U527" s="205"/>
    </row>
    <row r="528" spans="7:21" ht="29.25" customHeight="1" x14ac:dyDescent="0.35">
      <c r="G528" s="205"/>
      <c r="H528" s="205"/>
      <c r="I528" s="205"/>
      <c r="J528" s="205"/>
      <c r="K528" s="205"/>
      <c r="M528" s="205"/>
      <c r="N528" s="205"/>
      <c r="O528" s="205"/>
      <c r="P528" s="205"/>
      <c r="Q528" s="205"/>
      <c r="R528" s="205"/>
      <c r="S528" s="205"/>
      <c r="T528" s="205"/>
      <c r="U528" s="205"/>
    </row>
    <row r="529" spans="7:21" ht="29.25" customHeight="1" x14ac:dyDescent="0.35">
      <c r="G529" s="205"/>
      <c r="H529" s="205"/>
      <c r="I529" s="205"/>
      <c r="J529" s="205"/>
      <c r="K529" s="205"/>
      <c r="M529" s="205"/>
      <c r="N529" s="205"/>
      <c r="O529" s="205"/>
      <c r="P529" s="205"/>
      <c r="Q529" s="205"/>
      <c r="R529" s="205"/>
      <c r="S529" s="205"/>
      <c r="T529" s="205"/>
      <c r="U529" s="205"/>
    </row>
    <row r="530" spans="7:21" ht="29.25" customHeight="1" x14ac:dyDescent="0.35">
      <c r="G530" s="205"/>
      <c r="H530" s="205"/>
      <c r="I530" s="205"/>
      <c r="J530" s="205"/>
      <c r="K530" s="205"/>
      <c r="M530" s="205"/>
      <c r="N530" s="205"/>
      <c r="O530" s="205"/>
      <c r="P530" s="205"/>
      <c r="Q530" s="205"/>
      <c r="R530" s="205"/>
      <c r="S530" s="205"/>
      <c r="T530" s="205"/>
      <c r="U530" s="205"/>
    </row>
    <row r="531" spans="7:21" ht="29.25" customHeight="1" x14ac:dyDescent="0.35">
      <c r="G531" s="205"/>
      <c r="H531" s="205"/>
      <c r="I531" s="205"/>
      <c r="J531" s="205"/>
      <c r="K531" s="205"/>
      <c r="M531" s="205"/>
      <c r="N531" s="205"/>
      <c r="O531" s="205"/>
      <c r="P531" s="205"/>
      <c r="Q531" s="205"/>
      <c r="R531" s="205"/>
      <c r="S531" s="205"/>
      <c r="T531" s="205"/>
      <c r="U531" s="205"/>
    </row>
    <row r="532" spans="7:21" ht="29.25" customHeight="1" x14ac:dyDescent="0.35">
      <c r="G532" s="205"/>
      <c r="H532" s="205"/>
      <c r="I532" s="205"/>
      <c r="J532" s="205"/>
      <c r="K532" s="205"/>
      <c r="M532" s="205"/>
      <c r="N532" s="205"/>
      <c r="O532" s="205"/>
      <c r="P532" s="205"/>
      <c r="Q532" s="205"/>
      <c r="R532" s="205"/>
      <c r="S532" s="205"/>
      <c r="T532" s="205"/>
      <c r="U532" s="205"/>
    </row>
    <row r="533" spans="7:21" ht="29.25" customHeight="1" x14ac:dyDescent="0.35">
      <c r="G533" s="205"/>
      <c r="H533" s="205"/>
      <c r="I533" s="205"/>
      <c r="J533" s="205"/>
      <c r="K533" s="205"/>
      <c r="M533" s="205"/>
      <c r="N533" s="205"/>
      <c r="O533" s="205"/>
      <c r="P533" s="205"/>
      <c r="Q533" s="205"/>
      <c r="R533" s="205"/>
      <c r="S533" s="205"/>
      <c r="T533" s="205"/>
      <c r="U533" s="205"/>
    </row>
    <row r="534" spans="7:21" ht="29.25" customHeight="1" x14ac:dyDescent="0.35">
      <c r="G534" s="205"/>
      <c r="H534" s="205"/>
      <c r="I534" s="205"/>
      <c r="J534" s="205"/>
      <c r="K534" s="205"/>
      <c r="M534" s="205"/>
      <c r="N534" s="205"/>
      <c r="O534" s="205"/>
      <c r="P534" s="205"/>
      <c r="Q534" s="205"/>
      <c r="R534" s="205"/>
      <c r="S534" s="205"/>
      <c r="T534" s="205"/>
      <c r="U534" s="205"/>
    </row>
    <row r="535" spans="7:21" ht="29.25" customHeight="1" x14ac:dyDescent="0.35">
      <c r="G535" s="205"/>
      <c r="H535" s="205"/>
      <c r="I535" s="205"/>
      <c r="J535" s="205"/>
      <c r="K535" s="205"/>
      <c r="M535" s="205"/>
      <c r="N535" s="205"/>
      <c r="O535" s="205"/>
      <c r="P535" s="205"/>
      <c r="Q535" s="205"/>
      <c r="R535" s="205"/>
      <c r="S535" s="205"/>
      <c r="T535" s="205"/>
      <c r="U535" s="205"/>
    </row>
    <row r="536" spans="7:21" ht="29.25" customHeight="1" x14ac:dyDescent="0.35">
      <c r="G536" s="205"/>
      <c r="H536" s="205"/>
      <c r="I536" s="205"/>
      <c r="J536" s="205"/>
      <c r="K536" s="205"/>
      <c r="M536" s="205"/>
      <c r="N536" s="205"/>
      <c r="O536" s="205"/>
      <c r="P536" s="205"/>
      <c r="Q536" s="205"/>
      <c r="R536" s="205"/>
      <c r="S536" s="205"/>
      <c r="T536" s="205"/>
      <c r="U536" s="205"/>
    </row>
    <row r="537" spans="7:21" ht="29.25" customHeight="1" x14ac:dyDescent="0.35">
      <c r="G537" s="205"/>
      <c r="H537" s="205"/>
      <c r="I537" s="205"/>
      <c r="J537" s="205"/>
      <c r="K537" s="205"/>
      <c r="M537" s="205"/>
      <c r="N537" s="205"/>
      <c r="O537" s="205"/>
      <c r="P537" s="205"/>
      <c r="Q537" s="205"/>
      <c r="R537" s="205"/>
      <c r="S537" s="205"/>
      <c r="T537" s="205"/>
      <c r="U537" s="205"/>
    </row>
    <row r="538" spans="7:21" ht="29.25" customHeight="1" x14ac:dyDescent="0.35">
      <c r="G538" s="205"/>
      <c r="H538" s="205"/>
      <c r="I538" s="205"/>
      <c r="J538" s="205"/>
      <c r="K538" s="205"/>
      <c r="M538" s="205"/>
      <c r="N538" s="205"/>
      <c r="O538" s="205"/>
      <c r="P538" s="205"/>
      <c r="Q538" s="205"/>
      <c r="R538" s="205"/>
      <c r="S538" s="205"/>
      <c r="T538" s="205"/>
      <c r="U538" s="205"/>
    </row>
    <row r="539" spans="7:21" ht="29.25" customHeight="1" x14ac:dyDescent="0.35">
      <c r="G539" s="205"/>
      <c r="H539" s="205"/>
      <c r="I539" s="205"/>
      <c r="J539" s="205"/>
      <c r="K539" s="205"/>
      <c r="M539" s="205"/>
      <c r="N539" s="205"/>
      <c r="O539" s="205"/>
      <c r="P539" s="205"/>
      <c r="Q539" s="205"/>
      <c r="R539" s="205"/>
      <c r="S539" s="205"/>
      <c r="T539" s="205"/>
      <c r="U539" s="205"/>
    </row>
    <row r="540" spans="7:21" ht="29.25" customHeight="1" x14ac:dyDescent="0.35">
      <c r="G540" s="205"/>
      <c r="H540" s="205"/>
      <c r="I540" s="205"/>
      <c r="J540" s="205"/>
      <c r="K540" s="205"/>
      <c r="M540" s="205"/>
      <c r="N540" s="205"/>
      <c r="O540" s="205"/>
      <c r="P540" s="205"/>
      <c r="Q540" s="205"/>
      <c r="R540" s="205"/>
      <c r="S540" s="205"/>
      <c r="T540" s="205"/>
      <c r="U540" s="205"/>
    </row>
    <row r="541" spans="7:21" ht="29.25" customHeight="1" x14ac:dyDescent="0.35">
      <c r="G541" s="205"/>
      <c r="H541" s="205"/>
      <c r="I541" s="205"/>
      <c r="J541" s="205"/>
      <c r="K541" s="205"/>
      <c r="M541" s="205"/>
      <c r="N541" s="205"/>
      <c r="O541" s="205"/>
      <c r="P541" s="205"/>
      <c r="Q541" s="205"/>
      <c r="R541" s="205"/>
      <c r="S541" s="205"/>
      <c r="T541" s="205"/>
      <c r="U541" s="205"/>
    </row>
    <row r="542" spans="7:21" ht="29.25" customHeight="1" x14ac:dyDescent="0.35">
      <c r="G542" s="205"/>
      <c r="H542" s="205"/>
      <c r="I542" s="205"/>
      <c r="J542" s="205"/>
      <c r="K542" s="205"/>
      <c r="M542" s="205"/>
      <c r="N542" s="205"/>
      <c r="O542" s="205"/>
      <c r="P542" s="205"/>
      <c r="Q542" s="205"/>
      <c r="R542" s="205"/>
      <c r="S542" s="205"/>
      <c r="T542" s="205"/>
      <c r="U542" s="205"/>
    </row>
    <row r="543" spans="7:21" ht="29.25" customHeight="1" x14ac:dyDescent="0.35">
      <c r="G543" s="205"/>
      <c r="H543" s="205"/>
      <c r="I543" s="205"/>
      <c r="J543" s="205"/>
      <c r="K543" s="205"/>
      <c r="M543" s="205"/>
      <c r="N543" s="205"/>
      <c r="O543" s="205"/>
      <c r="P543" s="205"/>
      <c r="Q543" s="205"/>
      <c r="R543" s="205"/>
      <c r="S543" s="205"/>
      <c r="T543" s="205"/>
      <c r="U543" s="205"/>
    </row>
    <row r="544" spans="7:21" ht="29.25" customHeight="1" x14ac:dyDescent="0.35">
      <c r="G544" s="205"/>
      <c r="H544" s="205"/>
      <c r="I544" s="205"/>
      <c r="J544" s="205"/>
      <c r="K544" s="205"/>
      <c r="M544" s="205"/>
      <c r="N544" s="205"/>
      <c r="O544" s="205"/>
      <c r="P544" s="205"/>
      <c r="Q544" s="205"/>
      <c r="R544" s="205"/>
      <c r="S544" s="205"/>
      <c r="T544" s="205"/>
      <c r="U544" s="205"/>
    </row>
    <row r="545" spans="7:21" ht="29.25" customHeight="1" x14ac:dyDescent="0.35">
      <c r="G545" s="205"/>
      <c r="H545" s="205"/>
      <c r="I545" s="205"/>
      <c r="J545" s="205"/>
      <c r="K545" s="205"/>
      <c r="M545" s="205"/>
      <c r="N545" s="205"/>
      <c r="O545" s="205"/>
      <c r="P545" s="205"/>
      <c r="Q545" s="205"/>
      <c r="R545" s="205"/>
      <c r="S545" s="205"/>
      <c r="T545" s="205"/>
      <c r="U545" s="205"/>
    </row>
    <row r="546" spans="7:21" ht="29.25" customHeight="1" x14ac:dyDescent="0.35">
      <c r="G546" s="205"/>
      <c r="H546" s="205"/>
      <c r="I546" s="205"/>
      <c r="J546" s="205"/>
      <c r="K546" s="205"/>
      <c r="M546" s="205"/>
      <c r="N546" s="205"/>
      <c r="O546" s="205"/>
      <c r="P546" s="205"/>
      <c r="Q546" s="205"/>
      <c r="R546" s="205"/>
      <c r="S546" s="205"/>
      <c r="T546" s="205"/>
      <c r="U546" s="205"/>
    </row>
    <row r="547" spans="7:21" ht="29.25" customHeight="1" x14ac:dyDescent="0.35">
      <c r="G547" s="205"/>
      <c r="H547" s="205"/>
      <c r="I547" s="205"/>
      <c r="J547" s="205"/>
      <c r="K547" s="205"/>
      <c r="M547" s="205"/>
      <c r="N547" s="205"/>
      <c r="O547" s="205"/>
      <c r="P547" s="205"/>
      <c r="Q547" s="205"/>
      <c r="R547" s="205"/>
      <c r="S547" s="205"/>
      <c r="T547" s="205"/>
      <c r="U547" s="205"/>
    </row>
    <row r="548" spans="7:21" ht="29.25" customHeight="1" x14ac:dyDescent="0.35">
      <c r="G548" s="205"/>
      <c r="H548" s="205"/>
      <c r="I548" s="205"/>
      <c r="J548" s="205"/>
      <c r="K548" s="205"/>
      <c r="M548" s="205"/>
      <c r="N548" s="205"/>
      <c r="O548" s="205"/>
      <c r="P548" s="205"/>
      <c r="Q548" s="205"/>
      <c r="R548" s="205"/>
      <c r="S548" s="205"/>
      <c r="T548" s="205"/>
      <c r="U548" s="205"/>
    </row>
    <row r="549" spans="7:21" ht="29.25" customHeight="1" x14ac:dyDescent="0.35">
      <c r="G549" s="205"/>
      <c r="H549" s="205"/>
      <c r="I549" s="205"/>
      <c r="J549" s="205"/>
      <c r="K549" s="205"/>
      <c r="M549" s="205"/>
      <c r="N549" s="205"/>
      <c r="O549" s="205"/>
      <c r="P549" s="205"/>
      <c r="Q549" s="205"/>
      <c r="R549" s="205"/>
      <c r="S549" s="205"/>
      <c r="T549" s="205"/>
      <c r="U549" s="205"/>
    </row>
    <row r="550" spans="7:21" ht="29.25" customHeight="1" x14ac:dyDescent="0.35">
      <c r="G550" s="205"/>
      <c r="H550" s="205"/>
      <c r="I550" s="205"/>
      <c r="J550" s="205"/>
      <c r="K550" s="205"/>
      <c r="M550" s="205"/>
      <c r="N550" s="205"/>
      <c r="O550" s="205"/>
      <c r="P550" s="205"/>
      <c r="Q550" s="205"/>
      <c r="R550" s="205"/>
      <c r="S550" s="205"/>
      <c r="T550" s="205"/>
      <c r="U550" s="205"/>
    </row>
    <row r="551" spans="7:21" ht="29.25" customHeight="1" x14ac:dyDescent="0.35">
      <c r="G551" s="205"/>
      <c r="H551" s="205"/>
      <c r="I551" s="205"/>
      <c r="J551" s="205"/>
      <c r="K551" s="205"/>
      <c r="M551" s="205"/>
      <c r="N551" s="205"/>
      <c r="O551" s="205"/>
      <c r="P551" s="205"/>
      <c r="Q551" s="205"/>
      <c r="R551" s="205"/>
      <c r="S551" s="205"/>
      <c r="T551" s="205"/>
      <c r="U551" s="205"/>
    </row>
    <row r="552" spans="7:21" ht="29.25" customHeight="1" x14ac:dyDescent="0.35">
      <c r="G552" s="205"/>
      <c r="H552" s="205"/>
      <c r="I552" s="205"/>
      <c r="J552" s="205"/>
      <c r="K552" s="205"/>
      <c r="M552" s="205"/>
      <c r="N552" s="205"/>
      <c r="O552" s="205"/>
      <c r="P552" s="205"/>
      <c r="Q552" s="205"/>
      <c r="R552" s="205"/>
      <c r="S552" s="205"/>
      <c r="T552" s="205"/>
      <c r="U552" s="205"/>
    </row>
    <row r="553" spans="7:21" ht="29.25" customHeight="1" x14ac:dyDescent="0.35">
      <c r="G553" s="205"/>
      <c r="H553" s="205"/>
      <c r="I553" s="205"/>
      <c r="J553" s="205"/>
      <c r="K553" s="205"/>
      <c r="M553" s="205"/>
      <c r="N553" s="205"/>
      <c r="O553" s="205"/>
      <c r="P553" s="205"/>
      <c r="Q553" s="205"/>
      <c r="R553" s="205"/>
      <c r="S553" s="205"/>
      <c r="T553" s="205"/>
      <c r="U553" s="205"/>
    </row>
    <row r="554" spans="7:21" ht="29.25" customHeight="1" x14ac:dyDescent="0.35">
      <c r="G554" s="205"/>
      <c r="H554" s="205"/>
      <c r="I554" s="205"/>
      <c r="J554" s="205"/>
      <c r="K554" s="205"/>
      <c r="M554" s="205"/>
      <c r="N554" s="205"/>
      <c r="O554" s="205"/>
      <c r="P554" s="205"/>
      <c r="Q554" s="205"/>
      <c r="R554" s="205"/>
      <c r="S554" s="205"/>
      <c r="T554" s="205"/>
      <c r="U554" s="205"/>
    </row>
    <row r="555" spans="7:21" ht="29.25" customHeight="1" x14ac:dyDescent="0.35">
      <c r="G555" s="205"/>
      <c r="H555" s="205"/>
      <c r="I555" s="205"/>
      <c r="J555" s="205"/>
      <c r="K555" s="205"/>
      <c r="M555" s="205"/>
      <c r="N555" s="205"/>
      <c r="O555" s="205"/>
      <c r="P555" s="205"/>
      <c r="Q555" s="205"/>
      <c r="R555" s="205"/>
      <c r="S555" s="205"/>
      <c r="T555" s="205"/>
      <c r="U555" s="205"/>
    </row>
    <row r="556" spans="7:21" ht="29.25" customHeight="1" x14ac:dyDescent="0.35">
      <c r="G556" s="205"/>
      <c r="H556" s="205"/>
      <c r="I556" s="205"/>
      <c r="J556" s="205"/>
      <c r="K556" s="205"/>
      <c r="M556" s="205"/>
      <c r="N556" s="205"/>
      <c r="O556" s="205"/>
      <c r="P556" s="205"/>
      <c r="Q556" s="205"/>
      <c r="R556" s="205"/>
      <c r="S556" s="205"/>
      <c r="T556" s="205"/>
      <c r="U556" s="205"/>
    </row>
    <row r="557" spans="7:21" ht="29.25" customHeight="1" x14ac:dyDescent="0.35">
      <c r="G557" s="205"/>
      <c r="H557" s="205"/>
      <c r="I557" s="205"/>
      <c r="J557" s="205"/>
      <c r="K557" s="205"/>
      <c r="M557" s="205"/>
      <c r="N557" s="205"/>
      <c r="O557" s="205"/>
      <c r="P557" s="205"/>
      <c r="Q557" s="205"/>
      <c r="R557" s="205"/>
      <c r="S557" s="205"/>
      <c r="T557" s="205"/>
      <c r="U557" s="205"/>
    </row>
    <row r="558" spans="7:21" ht="29.25" customHeight="1" x14ac:dyDescent="0.35">
      <c r="G558" s="205"/>
      <c r="H558" s="205"/>
      <c r="I558" s="205"/>
      <c r="J558" s="205"/>
      <c r="K558" s="205"/>
      <c r="M558" s="205"/>
      <c r="N558" s="205"/>
      <c r="O558" s="205"/>
      <c r="P558" s="205"/>
      <c r="Q558" s="205"/>
      <c r="R558" s="205"/>
      <c r="S558" s="205"/>
      <c r="T558" s="205"/>
      <c r="U558" s="205"/>
    </row>
    <row r="559" spans="7:21" ht="29.25" customHeight="1" x14ac:dyDescent="0.35">
      <c r="G559" s="205"/>
      <c r="H559" s="205"/>
      <c r="I559" s="205"/>
      <c r="J559" s="205"/>
      <c r="K559" s="205"/>
      <c r="M559" s="205"/>
      <c r="N559" s="205"/>
      <c r="O559" s="205"/>
      <c r="P559" s="205"/>
      <c r="Q559" s="205"/>
      <c r="R559" s="205"/>
      <c r="S559" s="205"/>
      <c r="T559" s="205"/>
      <c r="U559" s="205"/>
    </row>
    <row r="560" spans="7:21" ht="29.25" customHeight="1" x14ac:dyDescent="0.35">
      <c r="G560" s="205"/>
      <c r="H560" s="205"/>
      <c r="I560" s="205"/>
      <c r="J560" s="205"/>
      <c r="K560" s="205"/>
      <c r="M560" s="205"/>
      <c r="N560" s="205"/>
      <c r="O560" s="205"/>
      <c r="P560" s="205"/>
      <c r="Q560" s="205"/>
      <c r="R560" s="205"/>
      <c r="S560" s="205"/>
      <c r="T560" s="205"/>
      <c r="U560" s="205"/>
    </row>
    <row r="561" spans="7:21" ht="29.25" customHeight="1" x14ac:dyDescent="0.35">
      <c r="G561" s="205"/>
      <c r="H561" s="205"/>
      <c r="I561" s="205"/>
      <c r="J561" s="205"/>
      <c r="K561" s="205"/>
      <c r="M561" s="205"/>
      <c r="N561" s="205"/>
      <c r="O561" s="205"/>
      <c r="P561" s="205"/>
      <c r="Q561" s="205"/>
      <c r="R561" s="205"/>
      <c r="S561" s="205"/>
      <c r="T561" s="205"/>
      <c r="U561" s="205"/>
    </row>
    <row r="562" spans="7:21" ht="29.25" customHeight="1" x14ac:dyDescent="0.35">
      <c r="G562" s="205"/>
      <c r="H562" s="205"/>
      <c r="I562" s="205"/>
      <c r="J562" s="205"/>
      <c r="K562" s="205"/>
      <c r="M562" s="205"/>
      <c r="N562" s="205"/>
      <c r="O562" s="205"/>
      <c r="P562" s="205"/>
      <c r="Q562" s="205"/>
      <c r="R562" s="205"/>
      <c r="S562" s="205"/>
      <c r="T562" s="205"/>
      <c r="U562" s="205"/>
    </row>
    <row r="563" spans="7:21" ht="29.25" customHeight="1" x14ac:dyDescent="0.35">
      <c r="G563" s="205"/>
      <c r="H563" s="205"/>
      <c r="I563" s="205"/>
      <c r="J563" s="205"/>
      <c r="K563" s="205"/>
      <c r="M563" s="205"/>
      <c r="N563" s="205"/>
      <c r="O563" s="205"/>
      <c r="P563" s="205"/>
      <c r="Q563" s="205"/>
      <c r="R563" s="205"/>
      <c r="S563" s="205"/>
      <c r="T563" s="205"/>
      <c r="U563" s="205"/>
    </row>
    <row r="564" spans="7:21" ht="29.25" customHeight="1" x14ac:dyDescent="0.35">
      <c r="G564" s="205"/>
      <c r="H564" s="205"/>
      <c r="I564" s="205"/>
      <c r="J564" s="205"/>
      <c r="K564" s="205"/>
      <c r="M564" s="205"/>
      <c r="N564" s="205"/>
      <c r="O564" s="205"/>
      <c r="P564" s="205"/>
      <c r="Q564" s="205"/>
      <c r="R564" s="205"/>
      <c r="S564" s="205"/>
      <c r="T564" s="205"/>
      <c r="U564" s="205"/>
    </row>
    <row r="565" spans="7:21" ht="29.25" customHeight="1" x14ac:dyDescent="0.35">
      <c r="G565" s="205"/>
      <c r="H565" s="205"/>
      <c r="I565" s="205"/>
      <c r="J565" s="205"/>
      <c r="K565" s="205"/>
      <c r="M565" s="205"/>
      <c r="N565" s="205"/>
      <c r="O565" s="205"/>
      <c r="P565" s="205"/>
      <c r="Q565" s="205"/>
      <c r="R565" s="205"/>
      <c r="S565" s="205"/>
      <c r="T565" s="205"/>
      <c r="U565" s="205"/>
    </row>
    <row r="566" spans="7:21" ht="29.25" customHeight="1" x14ac:dyDescent="0.35">
      <c r="G566" s="205"/>
      <c r="H566" s="205"/>
      <c r="I566" s="205"/>
      <c r="J566" s="205"/>
      <c r="K566" s="205"/>
      <c r="M566" s="205"/>
      <c r="N566" s="205"/>
      <c r="O566" s="205"/>
      <c r="P566" s="205"/>
      <c r="Q566" s="205"/>
      <c r="R566" s="205"/>
      <c r="S566" s="205"/>
      <c r="T566" s="205"/>
      <c r="U566" s="205"/>
    </row>
    <row r="567" spans="7:21" ht="29.25" customHeight="1" x14ac:dyDescent="0.35">
      <c r="G567" s="205"/>
      <c r="H567" s="205"/>
      <c r="I567" s="205"/>
      <c r="J567" s="205"/>
      <c r="K567" s="205"/>
      <c r="M567" s="205"/>
      <c r="N567" s="205"/>
      <c r="O567" s="205"/>
      <c r="P567" s="205"/>
      <c r="Q567" s="205"/>
      <c r="R567" s="205"/>
      <c r="S567" s="205"/>
      <c r="T567" s="205"/>
      <c r="U567" s="205"/>
    </row>
    <row r="568" spans="7:21" ht="29.25" customHeight="1" x14ac:dyDescent="0.35">
      <c r="G568" s="205"/>
      <c r="H568" s="205"/>
      <c r="I568" s="205"/>
      <c r="J568" s="205"/>
      <c r="K568" s="205"/>
      <c r="M568" s="205"/>
      <c r="N568" s="205"/>
      <c r="O568" s="205"/>
      <c r="P568" s="205"/>
      <c r="Q568" s="205"/>
      <c r="R568" s="205"/>
      <c r="S568" s="205"/>
      <c r="T568" s="205"/>
      <c r="U568" s="205"/>
    </row>
    <row r="569" spans="7:21" ht="29.25" customHeight="1" x14ac:dyDescent="0.35">
      <c r="G569" s="205"/>
      <c r="H569" s="205"/>
      <c r="I569" s="205"/>
      <c r="J569" s="205"/>
      <c r="K569" s="205"/>
      <c r="M569" s="205"/>
      <c r="N569" s="205"/>
      <c r="O569" s="205"/>
      <c r="P569" s="205"/>
      <c r="Q569" s="205"/>
      <c r="R569" s="205"/>
      <c r="S569" s="205"/>
      <c r="T569" s="205"/>
      <c r="U569" s="205"/>
    </row>
    <row r="570" spans="7:21" ht="29.25" customHeight="1" x14ac:dyDescent="0.35">
      <c r="G570" s="205"/>
      <c r="H570" s="205"/>
      <c r="I570" s="205"/>
      <c r="J570" s="205"/>
      <c r="K570" s="205"/>
      <c r="M570" s="205"/>
      <c r="N570" s="205"/>
      <c r="O570" s="205"/>
      <c r="P570" s="205"/>
      <c r="Q570" s="205"/>
      <c r="R570" s="205"/>
      <c r="S570" s="205"/>
      <c r="T570" s="205"/>
      <c r="U570" s="205"/>
    </row>
    <row r="571" spans="7:21" ht="29.25" customHeight="1" x14ac:dyDescent="0.35">
      <c r="G571" s="205"/>
      <c r="H571" s="205"/>
      <c r="I571" s="205"/>
      <c r="J571" s="205"/>
      <c r="K571" s="205"/>
      <c r="M571" s="205"/>
      <c r="N571" s="205"/>
      <c r="O571" s="205"/>
      <c r="P571" s="205"/>
      <c r="Q571" s="205"/>
      <c r="R571" s="205"/>
      <c r="S571" s="205"/>
      <c r="T571" s="205"/>
      <c r="U571" s="205"/>
    </row>
    <row r="572" spans="7:21" ht="29.25" customHeight="1" x14ac:dyDescent="0.35">
      <c r="G572" s="205"/>
      <c r="H572" s="205"/>
      <c r="I572" s="205"/>
      <c r="J572" s="205"/>
      <c r="K572" s="205"/>
      <c r="M572" s="205"/>
      <c r="N572" s="205"/>
      <c r="O572" s="205"/>
      <c r="P572" s="205"/>
      <c r="Q572" s="205"/>
      <c r="R572" s="205"/>
      <c r="S572" s="205"/>
      <c r="T572" s="205"/>
      <c r="U572" s="205"/>
    </row>
    <row r="573" spans="7:21" ht="29.25" customHeight="1" x14ac:dyDescent="0.35">
      <c r="G573" s="205"/>
      <c r="H573" s="205"/>
      <c r="I573" s="205"/>
      <c r="J573" s="205"/>
      <c r="K573" s="205"/>
      <c r="M573" s="205"/>
      <c r="N573" s="205"/>
      <c r="O573" s="205"/>
      <c r="P573" s="205"/>
      <c r="Q573" s="205"/>
      <c r="R573" s="205"/>
      <c r="S573" s="205"/>
      <c r="T573" s="205"/>
      <c r="U573" s="205"/>
    </row>
    <row r="574" spans="7:21" ht="29.25" customHeight="1" x14ac:dyDescent="0.35">
      <c r="G574" s="205"/>
      <c r="H574" s="205"/>
      <c r="I574" s="205"/>
      <c r="J574" s="205"/>
      <c r="K574" s="205"/>
      <c r="M574" s="205"/>
      <c r="N574" s="205"/>
      <c r="O574" s="205"/>
      <c r="P574" s="205"/>
      <c r="Q574" s="205"/>
      <c r="R574" s="205"/>
      <c r="S574" s="205"/>
      <c r="T574" s="205"/>
      <c r="U574" s="205"/>
    </row>
    <row r="575" spans="7:21" ht="29.25" customHeight="1" x14ac:dyDescent="0.35">
      <c r="G575" s="205"/>
      <c r="H575" s="205"/>
      <c r="I575" s="205"/>
      <c r="J575" s="205"/>
      <c r="K575" s="205"/>
      <c r="M575" s="205"/>
      <c r="N575" s="205"/>
      <c r="O575" s="205"/>
      <c r="P575" s="205"/>
      <c r="Q575" s="205"/>
      <c r="R575" s="205"/>
      <c r="S575" s="205"/>
      <c r="T575" s="205"/>
      <c r="U575" s="205"/>
    </row>
    <row r="576" spans="7:21" ht="29.25" customHeight="1" x14ac:dyDescent="0.35">
      <c r="G576" s="205"/>
      <c r="H576" s="205"/>
      <c r="I576" s="205"/>
      <c r="J576" s="205"/>
      <c r="K576" s="205"/>
      <c r="M576" s="205"/>
      <c r="N576" s="205"/>
      <c r="O576" s="205"/>
      <c r="P576" s="205"/>
      <c r="Q576" s="205"/>
      <c r="R576" s="205"/>
      <c r="S576" s="205"/>
      <c r="T576" s="205"/>
      <c r="U576" s="205"/>
    </row>
    <row r="577" spans="7:21" ht="29.25" customHeight="1" x14ac:dyDescent="0.35">
      <c r="G577" s="205"/>
      <c r="H577" s="205"/>
      <c r="I577" s="205"/>
      <c r="J577" s="205"/>
      <c r="K577" s="205"/>
      <c r="M577" s="205"/>
      <c r="N577" s="205"/>
      <c r="O577" s="205"/>
      <c r="P577" s="205"/>
      <c r="Q577" s="205"/>
      <c r="R577" s="205"/>
      <c r="S577" s="205"/>
      <c r="T577" s="205"/>
      <c r="U577" s="205"/>
    </row>
    <row r="578" spans="7:21" ht="29.25" customHeight="1" x14ac:dyDescent="0.35">
      <c r="G578" s="205"/>
      <c r="H578" s="205"/>
      <c r="I578" s="205"/>
      <c r="J578" s="205"/>
      <c r="K578" s="205"/>
      <c r="M578" s="205"/>
      <c r="N578" s="205"/>
      <c r="O578" s="205"/>
      <c r="P578" s="205"/>
      <c r="Q578" s="205"/>
      <c r="R578" s="205"/>
      <c r="S578" s="205"/>
      <c r="T578" s="205"/>
      <c r="U578" s="205"/>
    </row>
    <row r="579" spans="7:21" ht="29.25" customHeight="1" x14ac:dyDescent="0.35">
      <c r="G579" s="205"/>
      <c r="H579" s="205"/>
      <c r="I579" s="205"/>
      <c r="J579" s="205"/>
      <c r="K579" s="205"/>
      <c r="M579" s="205"/>
      <c r="N579" s="205"/>
      <c r="O579" s="205"/>
      <c r="P579" s="205"/>
      <c r="Q579" s="205"/>
      <c r="R579" s="205"/>
      <c r="S579" s="205"/>
      <c r="T579" s="205"/>
      <c r="U579" s="205"/>
    </row>
    <row r="580" spans="7:21" ht="29.25" customHeight="1" x14ac:dyDescent="0.35">
      <c r="G580" s="205"/>
      <c r="H580" s="205"/>
      <c r="I580" s="205"/>
      <c r="J580" s="205"/>
      <c r="K580" s="205"/>
      <c r="M580" s="205"/>
      <c r="N580" s="205"/>
      <c r="O580" s="205"/>
      <c r="P580" s="205"/>
      <c r="Q580" s="205"/>
      <c r="R580" s="205"/>
      <c r="S580" s="205"/>
      <c r="T580" s="205"/>
      <c r="U580" s="205"/>
    </row>
    <row r="581" spans="7:21" ht="29.25" customHeight="1" x14ac:dyDescent="0.35">
      <c r="G581" s="205"/>
      <c r="H581" s="205"/>
      <c r="I581" s="205"/>
      <c r="J581" s="205"/>
      <c r="K581" s="205"/>
      <c r="M581" s="205"/>
      <c r="N581" s="205"/>
      <c r="O581" s="205"/>
      <c r="P581" s="205"/>
      <c r="Q581" s="205"/>
      <c r="R581" s="205"/>
      <c r="S581" s="205"/>
      <c r="T581" s="205"/>
      <c r="U581" s="205"/>
    </row>
    <row r="582" spans="7:21" ht="29.25" customHeight="1" x14ac:dyDescent="0.35">
      <c r="G582" s="205"/>
      <c r="H582" s="205"/>
      <c r="I582" s="205"/>
      <c r="J582" s="205"/>
      <c r="K582" s="205"/>
      <c r="M582" s="205"/>
      <c r="N582" s="205"/>
      <c r="O582" s="205"/>
      <c r="P582" s="205"/>
      <c r="Q582" s="205"/>
      <c r="R582" s="205"/>
      <c r="S582" s="205"/>
      <c r="T582" s="205"/>
      <c r="U582" s="205"/>
    </row>
  </sheetData>
  <sheetProtection algorithmName="SHA-512" hashValue="mBV3eHTbYDkeLQnnXgRGH358cPCGXFy0wTeqyOv7XQbs6H5rb//tthQVKhddEPSEnRdmnCEGiPEaxY/9iainqg==" saltValue="ww7pWy4t46FZty1rkGs2iA==" spinCount="100000" sheet="1" objects="1" scenarios="1"/>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35789-AFEA-4498-98F5-0D0DD0187153}">
  <sheetPr>
    <tabColor theme="1"/>
  </sheetPr>
  <dimension ref="A1:AQ7154"/>
  <sheetViews>
    <sheetView zoomScale="90" zoomScaleNormal="90" workbookViewId="0"/>
  </sheetViews>
  <sheetFormatPr defaultColWidth="8.81640625" defaultRowHeight="14.5" x14ac:dyDescent="0.35"/>
  <cols>
    <col min="2" max="2" width="18.36328125" customWidth="1"/>
    <col min="3" max="3" width="20.6328125" customWidth="1"/>
    <col min="4" max="4" width="22.36328125" customWidth="1"/>
    <col min="10" max="10" width="14.1796875" customWidth="1"/>
    <col min="11" max="11" width="13.6328125" customWidth="1"/>
    <col min="37" max="37" width="30.453125" customWidth="1"/>
    <col min="41" max="41" width="20" customWidth="1"/>
    <col min="43" max="43" width="10.453125" customWidth="1"/>
  </cols>
  <sheetData>
    <row r="1" spans="19:43" ht="15" thickBot="1" x14ac:dyDescent="0.4"/>
    <row r="2" spans="19:43" ht="16" thickBot="1" x14ac:dyDescent="0.4">
      <c r="S2" s="148" t="s">
        <v>7594</v>
      </c>
      <c r="T2" s="149"/>
      <c r="U2" s="149"/>
      <c r="V2" s="149"/>
      <c r="W2" s="149"/>
      <c r="X2" s="150" t="s">
        <v>7595</v>
      </c>
      <c r="Y2" s="149"/>
      <c r="Z2" s="149"/>
      <c r="AA2" s="149"/>
      <c r="AB2" s="149"/>
      <c r="AC2" s="150" t="s">
        <v>7596</v>
      </c>
      <c r="AD2" s="149"/>
      <c r="AE2" s="149"/>
      <c r="AF2" s="149"/>
      <c r="AJ2" s="90" t="s">
        <v>7597</v>
      </c>
      <c r="AK2" s="497"/>
      <c r="AN2" s="90" t="s">
        <v>7945</v>
      </c>
      <c r="AO2" s="175"/>
      <c r="AP2" s="189"/>
      <c r="AQ2" s="190"/>
    </row>
    <row r="3" spans="19:43" ht="26.5" customHeight="1" thickBot="1" x14ac:dyDescent="0.4">
      <c r="S3" s="93" t="s">
        <v>82</v>
      </c>
      <c r="T3" s="26" t="s">
        <v>5818</v>
      </c>
      <c r="U3" s="26" t="s">
        <v>5832</v>
      </c>
      <c r="V3" s="27" t="s">
        <v>7942</v>
      </c>
      <c r="W3" s="91"/>
      <c r="X3" s="92" t="s">
        <v>82</v>
      </c>
      <c r="Y3" s="26" t="s">
        <v>5818</v>
      </c>
      <c r="Z3" s="26" t="s">
        <v>5831</v>
      </c>
      <c r="AA3" s="27" t="s">
        <v>7942</v>
      </c>
      <c r="AB3" s="91"/>
      <c r="AC3" s="92" t="s">
        <v>82</v>
      </c>
      <c r="AD3" s="26" t="s">
        <v>5818</v>
      </c>
      <c r="AE3" s="26" t="s">
        <v>5830</v>
      </c>
      <c r="AF3" s="27" t="s">
        <v>7942</v>
      </c>
      <c r="AJ3" s="204" t="s">
        <v>673</v>
      </c>
      <c r="AK3" s="204" t="s">
        <v>6927</v>
      </c>
      <c r="AL3" s="204" t="s">
        <v>7943</v>
      </c>
      <c r="AM3" s="96"/>
      <c r="AN3" s="204" t="s">
        <v>82</v>
      </c>
      <c r="AO3" s="204" t="s">
        <v>7889</v>
      </c>
      <c r="AP3" s="204" t="s">
        <v>7895</v>
      </c>
      <c r="AQ3" s="204" t="s">
        <v>7944</v>
      </c>
    </row>
    <row r="4" spans="19:43" ht="15.5" thickTop="1" thickBot="1" x14ac:dyDescent="0.4">
      <c r="S4" s="28">
        <v>1</v>
      </c>
      <c r="T4" s="26"/>
      <c r="U4" s="26" t="s">
        <v>7458</v>
      </c>
      <c r="V4" s="27">
        <v>0</v>
      </c>
      <c r="W4" s="15"/>
      <c r="X4" s="78">
        <v>1</v>
      </c>
      <c r="Y4" s="26"/>
      <c r="Z4" s="26" t="s">
        <v>7458</v>
      </c>
      <c r="AA4" s="27">
        <v>0</v>
      </c>
      <c r="AB4" s="14"/>
      <c r="AC4" s="78">
        <v>1</v>
      </c>
      <c r="AD4" s="26"/>
      <c r="AE4" s="26" t="s">
        <v>7458</v>
      </c>
      <c r="AF4" s="27">
        <v>0</v>
      </c>
      <c r="AK4" s="497" t="s">
        <v>7458</v>
      </c>
      <c r="AN4">
        <v>1</v>
      </c>
      <c r="AO4" s="188" t="s">
        <v>7458</v>
      </c>
      <c r="AP4" s="177"/>
      <c r="AQ4" s="191"/>
    </row>
    <row r="5" spans="19:43" ht="30" customHeight="1" thickBot="1" x14ac:dyDescent="0.4">
      <c r="S5" s="28">
        <v>2</v>
      </c>
      <c r="T5" s="28" t="s">
        <v>4284</v>
      </c>
      <c r="U5" s="28" t="s">
        <v>5817</v>
      </c>
      <c r="V5" s="29">
        <v>0.11600000000000001</v>
      </c>
      <c r="W5" s="13"/>
      <c r="X5" s="78">
        <v>2</v>
      </c>
      <c r="Y5" s="78" t="s">
        <v>2248</v>
      </c>
      <c r="Z5" s="78" t="s">
        <v>5805</v>
      </c>
      <c r="AA5" s="79">
        <v>1.2818548387096775E-3</v>
      </c>
      <c r="AB5" s="14"/>
      <c r="AC5" s="34">
        <v>2</v>
      </c>
      <c r="AD5" s="34" t="s">
        <v>4573</v>
      </c>
      <c r="AE5" s="34" t="s">
        <v>5805</v>
      </c>
      <c r="AF5" s="35">
        <v>0.13983870967741938</v>
      </c>
      <c r="AJ5" s="95" t="s">
        <v>1059</v>
      </c>
      <c r="AK5" s="203" t="s">
        <v>1205</v>
      </c>
      <c r="AL5" s="105">
        <v>0.80556328656402298</v>
      </c>
      <c r="AN5">
        <v>2</v>
      </c>
      <c r="AO5" s="178" t="s">
        <v>7742</v>
      </c>
      <c r="AP5" s="176">
        <v>1.39</v>
      </c>
      <c r="AQ5" s="192">
        <v>2.2092489999999999E-2</v>
      </c>
    </row>
    <row r="6" spans="19:43" ht="31" customHeight="1" thickBot="1" x14ac:dyDescent="0.4">
      <c r="S6" s="30">
        <v>3</v>
      </c>
      <c r="T6" s="30" t="s">
        <v>4284</v>
      </c>
      <c r="U6" s="30" t="s">
        <v>5816</v>
      </c>
      <c r="V6" s="31">
        <v>1.5776000000000002E-2</v>
      </c>
      <c r="W6" s="13"/>
      <c r="X6" s="34">
        <v>3</v>
      </c>
      <c r="Y6" s="34" t="s">
        <v>2248</v>
      </c>
      <c r="Z6" s="34" t="s">
        <v>5803</v>
      </c>
      <c r="AA6" s="35">
        <v>2.4848790322580649E-2</v>
      </c>
      <c r="AB6" s="13"/>
      <c r="AC6" s="34">
        <v>3</v>
      </c>
      <c r="AD6" s="34" t="s">
        <v>4573</v>
      </c>
      <c r="AE6" s="34" t="s">
        <v>5803</v>
      </c>
      <c r="AF6" s="35">
        <v>5.175403225806452E-2</v>
      </c>
      <c r="AJ6" s="95" t="s">
        <v>1059</v>
      </c>
      <c r="AK6" s="203" t="s">
        <v>1206</v>
      </c>
      <c r="AL6" s="105">
        <v>0.48133851228532987</v>
      </c>
      <c r="AN6">
        <v>3</v>
      </c>
      <c r="AO6" s="178" t="s">
        <v>7853</v>
      </c>
      <c r="AP6" s="176">
        <v>1.39</v>
      </c>
      <c r="AQ6" s="192">
        <v>2.2219219999999998E-2</v>
      </c>
    </row>
    <row r="7" spans="19:43" ht="29.5" customHeight="1" thickBot="1" x14ac:dyDescent="0.4">
      <c r="S7" s="30">
        <v>4</v>
      </c>
      <c r="T7" s="30" t="s">
        <v>4284</v>
      </c>
      <c r="U7" s="30" t="s">
        <v>5815</v>
      </c>
      <c r="V7" s="31">
        <v>1.07764E-2</v>
      </c>
      <c r="W7" s="13"/>
      <c r="X7" s="34">
        <v>4</v>
      </c>
      <c r="Y7" s="34" t="s">
        <v>2248</v>
      </c>
      <c r="Z7" s="34" t="s">
        <v>3851</v>
      </c>
      <c r="AA7" s="35">
        <v>8.3535999999999999E-2</v>
      </c>
      <c r="AB7" s="13"/>
      <c r="AC7" s="34">
        <v>4</v>
      </c>
      <c r="AD7" s="34" t="s">
        <v>4573</v>
      </c>
      <c r="AE7" s="34" t="s">
        <v>3851</v>
      </c>
      <c r="AF7" s="35">
        <v>23.276</v>
      </c>
      <c r="AJ7" s="95" t="s">
        <v>1059</v>
      </c>
      <c r="AK7" s="203" t="s">
        <v>1207</v>
      </c>
      <c r="AL7" s="105">
        <v>0.18007927662229828</v>
      </c>
      <c r="AN7">
        <v>4</v>
      </c>
      <c r="AO7" s="178" t="s">
        <v>7854</v>
      </c>
      <c r="AP7" s="176">
        <v>1.39</v>
      </c>
      <c r="AQ7" s="192">
        <v>2.1703159999999999E-2</v>
      </c>
    </row>
    <row r="8" spans="19:43" ht="27.75" customHeight="1" thickBot="1" x14ac:dyDescent="0.4">
      <c r="S8" s="30">
        <v>5</v>
      </c>
      <c r="T8" s="30" t="s">
        <v>4284</v>
      </c>
      <c r="U8" s="32" t="s">
        <v>5814</v>
      </c>
      <c r="V8" s="33">
        <v>1.2528000000000001E-2</v>
      </c>
      <c r="W8" s="12"/>
      <c r="X8" s="34">
        <v>5</v>
      </c>
      <c r="Y8" s="34" t="s">
        <v>2248</v>
      </c>
      <c r="Z8" s="34" t="s">
        <v>5800</v>
      </c>
      <c r="AA8" s="35">
        <v>2.1215725806451616E-4</v>
      </c>
      <c r="AB8" s="13"/>
      <c r="AC8" s="34">
        <v>5</v>
      </c>
      <c r="AD8" s="34" t="s">
        <v>4573</v>
      </c>
      <c r="AE8" s="34" t="s">
        <v>5800</v>
      </c>
      <c r="AF8" s="35">
        <v>1.5697580645161291E-3</v>
      </c>
      <c r="AJ8" s="95" t="s">
        <v>1059</v>
      </c>
      <c r="AK8" s="203" t="s">
        <v>1208</v>
      </c>
      <c r="AL8" s="105">
        <v>0.19035990887282983</v>
      </c>
      <c r="AN8">
        <v>5</v>
      </c>
      <c r="AO8" s="178" t="s">
        <v>7855</v>
      </c>
      <c r="AP8" s="176">
        <v>1.39</v>
      </c>
      <c r="AQ8" s="192">
        <v>1.9451340000000001E-2</v>
      </c>
    </row>
    <row r="9" spans="19:43" ht="28" customHeight="1" thickBot="1" x14ac:dyDescent="0.4">
      <c r="S9" s="30">
        <v>6</v>
      </c>
      <c r="T9" s="30" t="s">
        <v>4284</v>
      </c>
      <c r="U9" s="30" t="s">
        <v>5813</v>
      </c>
      <c r="V9" s="31">
        <v>0.23200000000000001</v>
      </c>
      <c r="W9" s="13"/>
      <c r="X9" s="34">
        <v>6</v>
      </c>
      <c r="Y9" s="34" t="s">
        <v>2248</v>
      </c>
      <c r="Z9" s="34" t="s">
        <v>5799</v>
      </c>
      <c r="AA9" s="35">
        <v>1.994758064516129E-5</v>
      </c>
      <c r="AB9" s="13"/>
      <c r="AC9" s="34">
        <v>6</v>
      </c>
      <c r="AD9" s="34" t="s">
        <v>4573</v>
      </c>
      <c r="AE9" s="34" t="s">
        <v>5799</v>
      </c>
      <c r="AF9" s="35">
        <v>5.9294354838709683E-5</v>
      </c>
      <c r="AJ9" s="95" t="s">
        <v>1059</v>
      </c>
      <c r="AK9" s="203" t="s">
        <v>1209</v>
      </c>
      <c r="AL9" s="105">
        <v>0.25162748441890009</v>
      </c>
      <c r="AN9">
        <v>6</v>
      </c>
      <c r="AO9" s="178"/>
      <c r="AP9" s="176">
        <v>1.39</v>
      </c>
      <c r="AQ9" s="192"/>
    </row>
    <row r="10" spans="19:43" ht="26.25" customHeight="1" thickBot="1" x14ac:dyDescent="0.4">
      <c r="S10" s="30">
        <v>7</v>
      </c>
      <c r="T10" s="30" t="s">
        <v>4284</v>
      </c>
      <c r="U10" s="30" t="s">
        <v>5812</v>
      </c>
      <c r="V10" s="31">
        <v>2.7028000000000003E-2</v>
      </c>
      <c r="W10" s="13"/>
      <c r="X10" s="34">
        <v>7</v>
      </c>
      <c r="Y10" s="34" t="s">
        <v>2248</v>
      </c>
      <c r="Z10" s="34" t="s">
        <v>5797</v>
      </c>
      <c r="AA10" s="35">
        <v>2.4197580645161291E-4</v>
      </c>
      <c r="AB10" s="13"/>
      <c r="AC10" s="34">
        <v>7</v>
      </c>
      <c r="AD10" s="34" t="s">
        <v>4573</v>
      </c>
      <c r="AE10" s="34" t="s">
        <v>5797</v>
      </c>
      <c r="AF10" s="35">
        <v>0.30092741935483874</v>
      </c>
      <c r="AJ10" s="95" t="s">
        <v>1059</v>
      </c>
      <c r="AK10" s="203" t="s">
        <v>1211</v>
      </c>
      <c r="AL10" s="105">
        <v>6.0919887324989999E-2</v>
      </c>
      <c r="AN10">
        <v>7</v>
      </c>
      <c r="AO10" s="121" t="s">
        <v>7857</v>
      </c>
      <c r="AP10" s="176">
        <v>1.39</v>
      </c>
      <c r="AQ10" s="193">
        <v>1.8554046000000001E-2</v>
      </c>
    </row>
    <row r="11" spans="19:43" ht="25.5" customHeight="1" thickBot="1" x14ac:dyDescent="0.4">
      <c r="S11" s="30">
        <v>8</v>
      </c>
      <c r="T11" s="30" t="s">
        <v>4284</v>
      </c>
      <c r="U11" s="30" t="s">
        <v>5811</v>
      </c>
      <c r="V11" s="31">
        <v>3.3059999999999999E-2</v>
      </c>
      <c r="W11" s="13"/>
      <c r="X11" s="34">
        <v>8</v>
      </c>
      <c r="Y11" s="34" t="s">
        <v>2248</v>
      </c>
      <c r="Z11" s="34" t="s">
        <v>5796</v>
      </c>
      <c r="AA11" s="35">
        <v>5.449596774193549E-4</v>
      </c>
      <c r="AB11" s="13"/>
      <c r="AC11" s="34">
        <v>8</v>
      </c>
      <c r="AD11" s="34" t="s">
        <v>4573</v>
      </c>
      <c r="AE11" s="34" t="s">
        <v>5796</v>
      </c>
      <c r="AF11" s="35">
        <v>0.23683467741935485</v>
      </c>
      <c r="AJ11" s="95" t="s">
        <v>1059</v>
      </c>
      <c r="AK11" s="203" t="s">
        <v>1213</v>
      </c>
      <c r="AL11" s="105">
        <v>2.6792674056349997E-2</v>
      </c>
      <c r="AN11">
        <v>8</v>
      </c>
      <c r="AO11" s="179" t="s">
        <v>7858</v>
      </c>
      <c r="AP11" s="176">
        <v>1.39</v>
      </c>
      <c r="AQ11" s="193">
        <v>1.4872560000000002E-2</v>
      </c>
    </row>
    <row r="12" spans="19:43" ht="29.5" customHeight="1" thickBot="1" x14ac:dyDescent="0.4">
      <c r="S12" s="34">
        <v>9</v>
      </c>
      <c r="T12" s="34" t="s">
        <v>4284</v>
      </c>
      <c r="U12" s="34" t="s">
        <v>5805</v>
      </c>
      <c r="V12" s="35">
        <v>1.9502016129032259E-3</v>
      </c>
      <c r="W12" s="25"/>
      <c r="X12" s="34">
        <v>9</v>
      </c>
      <c r="Y12" s="34" t="s">
        <v>2248</v>
      </c>
      <c r="Z12" s="34" t="s">
        <v>5795</v>
      </c>
      <c r="AA12" s="35">
        <v>1.4909274193548388E-2</v>
      </c>
      <c r="AB12" s="13"/>
      <c r="AC12" s="34">
        <v>9</v>
      </c>
      <c r="AD12" s="34" t="s">
        <v>4573</v>
      </c>
      <c r="AE12" s="34" t="s">
        <v>5795</v>
      </c>
      <c r="AF12" s="35">
        <v>6.5120967741935489</v>
      </c>
      <c r="AJ12" s="95" t="s">
        <v>1059</v>
      </c>
      <c r="AK12" s="203" t="s">
        <v>1215</v>
      </c>
      <c r="AL12" s="105">
        <v>0.51709646204000004</v>
      </c>
      <c r="AN12">
        <v>9</v>
      </c>
      <c r="AO12" s="179" t="s">
        <v>7859</v>
      </c>
      <c r="AP12" s="176">
        <v>1.39</v>
      </c>
      <c r="AQ12" s="193">
        <v>1.2884940000000001E-2</v>
      </c>
    </row>
    <row r="13" spans="19:43" ht="29.25" customHeight="1" thickBot="1" x14ac:dyDescent="0.4">
      <c r="S13" s="34">
        <v>10</v>
      </c>
      <c r="T13" s="34" t="s">
        <v>4284</v>
      </c>
      <c r="U13" s="34" t="s">
        <v>5803</v>
      </c>
      <c r="V13" s="35">
        <v>1.5046370967741936E-3</v>
      </c>
      <c r="W13" s="13"/>
      <c r="X13" s="34">
        <v>10</v>
      </c>
      <c r="Y13" s="34" t="s">
        <v>2248</v>
      </c>
      <c r="Z13" s="34" t="s">
        <v>5793</v>
      </c>
      <c r="AA13" s="35">
        <v>4.8669354838709681E-4</v>
      </c>
      <c r="AB13" s="13"/>
      <c r="AC13" s="34">
        <v>10</v>
      </c>
      <c r="AD13" s="34" t="s">
        <v>4573</v>
      </c>
      <c r="AE13" s="34" t="s">
        <v>5793</v>
      </c>
      <c r="AF13" s="35">
        <v>0.3495967741935484</v>
      </c>
      <c r="AJ13" s="95" t="s">
        <v>1059</v>
      </c>
      <c r="AK13" s="203" t="s">
        <v>1216</v>
      </c>
      <c r="AL13" s="105">
        <v>0.86509646204000001</v>
      </c>
      <c r="AN13">
        <v>10</v>
      </c>
      <c r="AO13" s="179" t="s">
        <v>7860</v>
      </c>
      <c r="AP13" s="176">
        <v>1.39</v>
      </c>
      <c r="AQ13" s="193">
        <v>1.2303740000000001E-2</v>
      </c>
    </row>
    <row r="14" spans="19:43" ht="35.25" customHeight="1" thickBot="1" x14ac:dyDescent="0.4">
      <c r="S14" s="34">
        <v>11</v>
      </c>
      <c r="T14" s="34" t="s">
        <v>4284</v>
      </c>
      <c r="U14" s="34" t="s">
        <v>3851</v>
      </c>
      <c r="V14" s="35">
        <v>9.5679999999999996</v>
      </c>
      <c r="W14" s="13"/>
      <c r="X14" s="34">
        <v>11</v>
      </c>
      <c r="Y14" s="34" t="s">
        <v>2248</v>
      </c>
      <c r="Z14" s="34" t="s">
        <v>5792</v>
      </c>
      <c r="AA14" s="35">
        <v>2.3649193548387097E-3</v>
      </c>
      <c r="AB14" s="13"/>
      <c r="AC14" s="34">
        <v>11</v>
      </c>
      <c r="AD14" s="34" t="s">
        <v>4573</v>
      </c>
      <c r="AE14" s="34" t="s">
        <v>5792</v>
      </c>
      <c r="AF14" s="35">
        <v>1.5149193548387099</v>
      </c>
      <c r="AJ14" s="95" t="s">
        <v>1059</v>
      </c>
      <c r="AK14" s="203" t="s">
        <v>1218</v>
      </c>
      <c r="AL14" s="105">
        <v>0.46939290745700002</v>
      </c>
      <c r="AN14">
        <v>11</v>
      </c>
      <c r="AO14" s="179" t="s">
        <v>7861</v>
      </c>
      <c r="AP14" s="176">
        <v>1.39</v>
      </c>
      <c r="AQ14" s="193">
        <v>1.9356999999999999E-2</v>
      </c>
    </row>
    <row r="15" spans="19:43" ht="34" customHeight="1" thickBot="1" x14ac:dyDescent="0.4">
      <c r="S15" s="30">
        <v>12</v>
      </c>
      <c r="T15" s="30" t="s">
        <v>4284</v>
      </c>
      <c r="U15" s="30" t="s">
        <v>5800</v>
      </c>
      <c r="V15" s="31">
        <v>21.112000000000002</v>
      </c>
      <c r="W15" s="13"/>
      <c r="X15" s="34">
        <v>12</v>
      </c>
      <c r="Y15" s="34" t="s">
        <v>2248</v>
      </c>
      <c r="Z15" s="34" t="s">
        <v>5791</v>
      </c>
      <c r="AA15" s="35">
        <v>7.8145161290322585E-4</v>
      </c>
      <c r="AB15" s="13"/>
      <c r="AC15" s="34">
        <v>12</v>
      </c>
      <c r="AD15" s="34" t="s">
        <v>4573</v>
      </c>
      <c r="AE15" s="34" t="s">
        <v>5791</v>
      </c>
      <c r="AF15" s="35">
        <v>0.14052419354838711</v>
      </c>
      <c r="AJ15" s="95" t="s">
        <v>1059</v>
      </c>
      <c r="AK15" s="203" t="s">
        <v>1219</v>
      </c>
      <c r="AL15" s="105">
        <v>0.78828846345699999</v>
      </c>
      <c r="AN15">
        <v>12</v>
      </c>
      <c r="AO15" s="179" t="s">
        <v>7862</v>
      </c>
      <c r="AP15" s="176">
        <v>1.39</v>
      </c>
      <c r="AQ15" s="193">
        <v>1.83076E-2</v>
      </c>
    </row>
    <row r="16" spans="19:43" ht="23.5" customHeight="1" thickBot="1" x14ac:dyDescent="0.4">
      <c r="S16" s="34">
        <v>13</v>
      </c>
      <c r="T16" s="34" t="s">
        <v>4284</v>
      </c>
      <c r="U16" s="34" t="s">
        <v>5800</v>
      </c>
      <c r="V16" s="35">
        <v>5.5866935483870967E-5</v>
      </c>
      <c r="W16" s="13"/>
      <c r="X16" s="34">
        <v>13</v>
      </c>
      <c r="Y16" s="34" t="s">
        <v>2248</v>
      </c>
      <c r="Z16" s="34" t="s">
        <v>5790</v>
      </c>
      <c r="AA16" s="35">
        <v>8.054435483870968E-3</v>
      </c>
      <c r="AB16" s="13"/>
      <c r="AC16" s="34">
        <v>13</v>
      </c>
      <c r="AD16" s="34" t="s">
        <v>4573</v>
      </c>
      <c r="AE16" s="34" t="s">
        <v>5790</v>
      </c>
      <c r="AF16" s="35">
        <v>0.82943548387096777</v>
      </c>
      <c r="AJ16" s="95" t="s">
        <v>1059</v>
      </c>
      <c r="AK16" s="203" t="s">
        <v>1220</v>
      </c>
      <c r="AL16" s="105">
        <v>7.7536576714218E-2</v>
      </c>
      <c r="AN16">
        <v>13</v>
      </c>
      <c r="AO16" s="179" t="s">
        <v>7863</v>
      </c>
      <c r="AP16" s="176">
        <v>1.39</v>
      </c>
      <c r="AQ16" s="193">
        <v>1.6038940000000002E-2</v>
      </c>
    </row>
    <row r="17" spans="9:43" ht="28" customHeight="1" thickBot="1" x14ac:dyDescent="0.4">
      <c r="S17" s="34">
        <v>14</v>
      </c>
      <c r="T17" s="34" t="s">
        <v>4284</v>
      </c>
      <c r="U17" s="34" t="s">
        <v>5799</v>
      </c>
      <c r="V17" s="35">
        <v>7.3004032258064522E-6</v>
      </c>
      <c r="W17" s="13"/>
      <c r="X17" s="34">
        <v>14</v>
      </c>
      <c r="Y17" s="34" t="s">
        <v>2248</v>
      </c>
      <c r="Z17" s="34" t="s">
        <v>5789</v>
      </c>
      <c r="AA17" s="35">
        <v>3.0743951612903232E-4</v>
      </c>
      <c r="AB17" s="13"/>
      <c r="AC17" s="34">
        <v>14</v>
      </c>
      <c r="AD17" s="34" t="s">
        <v>4573</v>
      </c>
      <c r="AE17" s="34" t="s">
        <v>5789</v>
      </c>
      <c r="AF17" s="35">
        <v>0.10659274193548388</v>
      </c>
      <c r="AJ17" s="95" t="s">
        <v>1059</v>
      </c>
      <c r="AK17" s="203" t="s">
        <v>1221</v>
      </c>
      <c r="AL17" s="105">
        <v>0.39643213371421798</v>
      </c>
      <c r="AN17">
        <v>14</v>
      </c>
      <c r="AO17" s="179" t="s">
        <v>7864</v>
      </c>
      <c r="AP17" s="176">
        <v>1.39</v>
      </c>
      <c r="AQ17" s="193">
        <v>2.129638E-2</v>
      </c>
    </row>
    <row r="18" spans="9:43" ht="27" customHeight="1" thickBot="1" x14ac:dyDescent="0.4">
      <c r="S18" s="34">
        <v>15</v>
      </c>
      <c r="T18" s="34" t="s">
        <v>4284</v>
      </c>
      <c r="U18" s="34" t="s">
        <v>5797</v>
      </c>
      <c r="V18" s="35">
        <v>9.8024193548387111E-4</v>
      </c>
      <c r="W18" s="13"/>
      <c r="X18" s="34">
        <v>15</v>
      </c>
      <c r="Y18" s="34" t="s">
        <v>2248</v>
      </c>
      <c r="Z18" s="34" t="s">
        <v>5787</v>
      </c>
      <c r="AA18" s="35">
        <v>3.0606854838709681E-3</v>
      </c>
      <c r="AB18" s="13"/>
      <c r="AC18" s="34">
        <v>15</v>
      </c>
      <c r="AD18" s="34" t="s">
        <v>4573</v>
      </c>
      <c r="AE18" s="34" t="s">
        <v>5787</v>
      </c>
      <c r="AF18" s="35">
        <v>1.8782258064516131</v>
      </c>
      <c r="AJ18" s="95" t="s">
        <v>1059</v>
      </c>
      <c r="AK18" s="203" t="s">
        <v>1223</v>
      </c>
      <c r="AL18" s="105">
        <v>3.4208184814214102E-2</v>
      </c>
      <c r="AN18">
        <v>15</v>
      </c>
      <c r="AO18" s="179" t="s">
        <v>7865</v>
      </c>
      <c r="AP18" s="176">
        <v>1.39</v>
      </c>
      <c r="AQ18" s="193">
        <v>9.7691200000000009E-3</v>
      </c>
    </row>
    <row r="19" spans="9:43" ht="27.75" customHeight="1" thickBot="1" x14ac:dyDescent="0.4">
      <c r="S19" s="34">
        <v>16</v>
      </c>
      <c r="T19" s="34" t="s">
        <v>4284</v>
      </c>
      <c r="U19" s="34" t="s">
        <v>5796</v>
      </c>
      <c r="V19" s="35">
        <v>2.800201612903226E-3</v>
      </c>
      <c r="W19" s="13"/>
      <c r="X19" s="34">
        <v>16</v>
      </c>
      <c r="Y19" s="34" t="s">
        <v>2248</v>
      </c>
      <c r="Z19" s="34" t="s">
        <v>5786</v>
      </c>
      <c r="AA19" s="35">
        <v>6.7177419354838715E-4</v>
      </c>
      <c r="AB19" s="13"/>
      <c r="AC19" s="34">
        <v>16</v>
      </c>
      <c r="AD19" s="34" t="s">
        <v>4573</v>
      </c>
      <c r="AE19" s="34" t="s">
        <v>5786</v>
      </c>
      <c r="AF19" s="35">
        <v>0.23409274193548388</v>
      </c>
      <c r="AJ19" s="95" t="s">
        <v>1059</v>
      </c>
      <c r="AK19" s="203" t="s">
        <v>1224</v>
      </c>
      <c r="AL19" s="105">
        <v>4.8004380097999996E-2</v>
      </c>
      <c r="AN19">
        <v>16</v>
      </c>
      <c r="AO19" s="179" t="s">
        <v>7866</v>
      </c>
      <c r="AP19" s="176">
        <v>1.39</v>
      </c>
      <c r="AQ19" s="193">
        <v>1.6538180000000003E-2</v>
      </c>
    </row>
    <row r="20" spans="9:43" ht="28" customHeight="1" thickBot="1" x14ac:dyDescent="0.4">
      <c r="S20" s="34">
        <v>17</v>
      </c>
      <c r="T20" s="34" t="s">
        <v>4284</v>
      </c>
      <c r="U20" s="34" t="s">
        <v>5795</v>
      </c>
      <c r="V20" s="35">
        <v>5.963709677419355E-2</v>
      </c>
      <c r="W20" s="13"/>
      <c r="X20" s="34">
        <v>17</v>
      </c>
      <c r="Y20" s="34" t="s">
        <v>2248</v>
      </c>
      <c r="Z20" s="34" t="s">
        <v>3848</v>
      </c>
      <c r="AA20" s="35">
        <v>0.34592000000000001</v>
      </c>
      <c r="AB20" s="13"/>
      <c r="AC20" s="34">
        <v>17</v>
      </c>
      <c r="AD20" s="34" t="s">
        <v>4573</v>
      </c>
      <c r="AE20" s="34" t="s">
        <v>3848</v>
      </c>
      <c r="AF20" s="35">
        <v>2.1896</v>
      </c>
      <c r="AJ20" s="95" t="s">
        <v>1059</v>
      </c>
      <c r="AK20" s="203" t="s">
        <v>1225</v>
      </c>
      <c r="AL20" s="105">
        <v>0.55779549019829833</v>
      </c>
      <c r="AN20">
        <v>17</v>
      </c>
      <c r="AO20" s="179" t="s">
        <v>7867</v>
      </c>
      <c r="AP20" s="176">
        <v>1.39</v>
      </c>
      <c r="AQ20" s="193">
        <v>7.0102200000000002E-3</v>
      </c>
    </row>
    <row r="21" spans="9:43" ht="29.5" customHeight="1" thickBot="1" x14ac:dyDescent="0.4">
      <c r="S21" s="34">
        <v>18</v>
      </c>
      <c r="T21" s="34" t="s">
        <v>4284</v>
      </c>
      <c r="U21" s="34" t="s">
        <v>5793</v>
      </c>
      <c r="V21" s="35">
        <v>3.413709677419355E-3</v>
      </c>
      <c r="W21" s="13"/>
      <c r="X21" s="34">
        <v>18</v>
      </c>
      <c r="Y21" s="34" t="s">
        <v>2248</v>
      </c>
      <c r="Z21" s="34" t="s">
        <v>5785</v>
      </c>
      <c r="AA21" s="35">
        <v>0.13401209677419357</v>
      </c>
      <c r="AB21" s="13"/>
      <c r="AC21" s="34">
        <v>18</v>
      </c>
      <c r="AD21" s="34" t="s">
        <v>4573</v>
      </c>
      <c r="AE21" s="34" t="s">
        <v>5785</v>
      </c>
      <c r="AF21" s="35">
        <v>34.616935483870968</v>
      </c>
      <c r="AJ21" s="95" t="s">
        <v>1059</v>
      </c>
      <c r="AK21" s="203" t="s">
        <v>1226</v>
      </c>
      <c r="AL21" s="105">
        <v>0.92236029119829821</v>
      </c>
      <c r="AN21">
        <v>18</v>
      </c>
      <c r="AO21" s="179" t="s">
        <v>7868</v>
      </c>
      <c r="AP21" s="176">
        <v>1.39</v>
      </c>
      <c r="AQ21" s="193">
        <v>1.1517200000000002E-2</v>
      </c>
    </row>
    <row r="22" spans="9:43" ht="33" customHeight="1" x14ac:dyDescent="0.35">
      <c r="S22" s="34">
        <v>19</v>
      </c>
      <c r="T22" s="34" t="s">
        <v>4284</v>
      </c>
      <c r="U22" s="34" t="s">
        <v>5792</v>
      </c>
      <c r="V22" s="35">
        <v>8.3286290322580649E-3</v>
      </c>
      <c r="W22" s="13"/>
      <c r="X22" s="34">
        <v>19</v>
      </c>
      <c r="Y22" s="34" t="s">
        <v>2248</v>
      </c>
      <c r="Z22" s="34" t="s">
        <v>3845</v>
      </c>
      <c r="AA22" s="35">
        <v>0</v>
      </c>
      <c r="AB22" s="13"/>
      <c r="AC22" s="34">
        <v>19</v>
      </c>
      <c r="AD22" s="34" t="s">
        <v>4573</v>
      </c>
      <c r="AE22" s="34" t="s">
        <v>3845</v>
      </c>
      <c r="AF22" s="35">
        <v>3.153225806451613</v>
      </c>
      <c r="AJ22" s="95" t="s">
        <v>1059</v>
      </c>
      <c r="AK22" s="203" t="s">
        <v>1229</v>
      </c>
      <c r="AL22" s="105">
        <v>0.53355859317229826</v>
      </c>
      <c r="AN22">
        <v>19</v>
      </c>
      <c r="AO22" s="179"/>
      <c r="AP22" s="180"/>
      <c r="AQ22" s="180"/>
    </row>
    <row r="23" spans="9:43" ht="34" customHeight="1" thickBot="1" x14ac:dyDescent="0.4">
      <c r="S23" s="34">
        <v>20</v>
      </c>
      <c r="T23" s="34" t="s">
        <v>4284</v>
      </c>
      <c r="U23" s="34" t="s">
        <v>5791</v>
      </c>
      <c r="V23" s="35">
        <v>3.3417338709677423E-4</v>
      </c>
      <c r="W23" s="13"/>
      <c r="X23" s="34">
        <v>20</v>
      </c>
      <c r="Y23" s="34" t="s">
        <v>2248</v>
      </c>
      <c r="Z23" s="34" t="s">
        <v>3845</v>
      </c>
      <c r="AA23" s="35">
        <v>9.7338709677419362E-4</v>
      </c>
      <c r="AB23" s="13"/>
      <c r="AC23" s="34">
        <v>20</v>
      </c>
      <c r="AD23" s="34" t="s">
        <v>4573</v>
      </c>
      <c r="AE23" s="34" t="s">
        <v>3845</v>
      </c>
      <c r="AF23" s="35">
        <v>0</v>
      </c>
      <c r="AJ23" s="95" t="s">
        <v>1059</v>
      </c>
      <c r="AK23" s="203" t="s">
        <v>1230</v>
      </c>
      <c r="AL23" s="105">
        <v>0.51878016978499997</v>
      </c>
      <c r="AN23">
        <v>20</v>
      </c>
      <c r="AO23" s="179" t="s">
        <v>7856</v>
      </c>
      <c r="AP23" s="180">
        <v>1.1000000000000001</v>
      </c>
      <c r="AQ23" s="193">
        <v>7.7720400000000009E-4</v>
      </c>
    </row>
    <row r="24" spans="9:43" ht="25.5" customHeight="1" thickBot="1" x14ac:dyDescent="0.4">
      <c r="S24" s="34">
        <v>21</v>
      </c>
      <c r="T24" s="34" t="s">
        <v>4284</v>
      </c>
      <c r="U24" s="34" t="s">
        <v>5790</v>
      </c>
      <c r="V24" s="35">
        <v>2.8207661290322584E-2</v>
      </c>
      <c r="W24" s="13"/>
      <c r="X24" s="34">
        <v>21</v>
      </c>
      <c r="Y24" s="34" t="s">
        <v>2248</v>
      </c>
      <c r="Z24" s="34" t="s">
        <v>5784</v>
      </c>
      <c r="AA24" s="35">
        <v>8.2943548387096782E-5</v>
      </c>
      <c r="AB24" s="13"/>
      <c r="AC24" s="34">
        <v>21</v>
      </c>
      <c r="AD24" s="34" t="s">
        <v>4573</v>
      </c>
      <c r="AE24" s="34" t="s">
        <v>5784</v>
      </c>
      <c r="AF24" s="35">
        <v>2.5122983870967744E-3</v>
      </c>
      <c r="AJ24" s="95" t="s">
        <v>1059</v>
      </c>
      <c r="AK24" s="203" t="s">
        <v>1231</v>
      </c>
      <c r="AL24" s="105">
        <v>0.88334496778500005</v>
      </c>
      <c r="AN24">
        <v>21</v>
      </c>
      <c r="AO24" s="179" t="s">
        <v>7869</v>
      </c>
      <c r="AP24" s="180">
        <v>1.1000000000000001</v>
      </c>
      <c r="AQ24" s="193">
        <v>8.0058600000000018E-3</v>
      </c>
    </row>
    <row r="25" spans="9:43" ht="22.5" customHeight="1" thickBot="1" x14ac:dyDescent="0.4">
      <c r="S25" s="34">
        <v>22</v>
      </c>
      <c r="T25" s="34" t="s">
        <v>4284</v>
      </c>
      <c r="U25" s="34" t="s">
        <v>5789</v>
      </c>
      <c r="V25" s="35">
        <v>1.9536290322580646E-4</v>
      </c>
      <c r="W25" s="13"/>
      <c r="X25" s="34">
        <v>22</v>
      </c>
      <c r="Y25" s="34" t="s">
        <v>2248</v>
      </c>
      <c r="Z25" s="34" t="s">
        <v>5783</v>
      </c>
      <c r="AA25" s="35">
        <v>1.9502016129032257E-5</v>
      </c>
      <c r="AB25" s="13"/>
      <c r="AC25" s="34">
        <v>22</v>
      </c>
      <c r="AD25" s="34" t="s">
        <v>4573</v>
      </c>
      <c r="AE25" s="34" t="s">
        <v>5783</v>
      </c>
      <c r="AF25" s="35">
        <v>2.4231854838709679E-2</v>
      </c>
      <c r="AJ25" s="95" t="s">
        <v>1059</v>
      </c>
      <c r="AK25" s="203" t="s">
        <v>1232</v>
      </c>
      <c r="AL25" s="105">
        <v>0.56180449497999996</v>
      </c>
      <c r="AN25">
        <v>22</v>
      </c>
      <c r="AO25" s="179" t="s">
        <v>7870</v>
      </c>
      <c r="AP25" s="180">
        <v>1.1000000000000001</v>
      </c>
      <c r="AQ25" s="193">
        <v>2.1221399999999998E-3</v>
      </c>
    </row>
    <row r="26" spans="9:43" ht="29.5" thickBot="1" x14ac:dyDescent="0.4">
      <c r="S26" s="34">
        <v>23</v>
      </c>
      <c r="T26" s="34" t="s">
        <v>4284</v>
      </c>
      <c r="U26" s="34" t="s">
        <v>5787</v>
      </c>
      <c r="V26" s="35">
        <v>1.5286290322580647E-2</v>
      </c>
      <c r="W26" s="13"/>
      <c r="X26" s="34">
        <v>23</v>
      </c>
      <c r="Y26" s="34" t="s">
        <v>2248</v>
      </c>
      <c r="Z26" s="34" t="s">
        <v>5782</v>
      </c>
      <c r="AA26" s="35">
        <v>8.911290322580645E-3</v>
      </c>
      <c r="AB26" s="13"/>
      <c r="AC26" s="34">
        <v>23</v>
      </c>
      <c r="AD26" s="34" t="s">
        <v>4573</v>
      </c>
      <c r="AE26" s="34" t="s">
        <v>5782</v>
      </c>
      <c r="AF26" s="35">
        <v>2.6973790322580647E-2</v>
      </c>
      <c r="AJ26" s="95" t="s">
        <v>1059</v>
      </c>
      <c r="AK26" s="203" t="s">
        <v>1233</v>
      </c>
      <c r="AL26" s="105">
        <v>0.5988103937512983</v>
      </c>
      <c r="AN26">
        <v>23</v>
      </c>
      <c r="AO26" s="179" t="s">
        <v>7871</v>
      </c>
      <c r="AP26" s="180">
        <v>1.1499999999999999</v>
      </c>
      <c r="AQ26" s="193">
        <v>1.7554660000000003E-2</v>
      </c>
    </row>
    <row r="27" spans="9:43" ht="29.5" thickBot="1" x14ac:dyDescent="0.4">
      <c r="I27" s="1838" t="s">
        <v>6974</v>
      </c>
      <c r="J27" s="1839"/>
      <c r="K27" s="1840"/>
      <c r="S27" s="34">
        <v>24</v>
      </c>
      <c r="T27" s="34" t="s">
        <v>4284</v>
      </c>
      <c r="U27" s="34" t="s">
        <v>5786</v>
      </c>
      <c r="V27" s="35">
        <v>5.6552419354838714E-4</v>
      </c>
      <c r="W27" s="13"/>
      <c r="X27" s="34">
        <v>24</v>
      </c>
      <c r="Y27" s="34" t="s">
        <v>2248</v>
      </c>
      <c r="Z27" s="34" t="s">
        <v>5781</v>
      </c>
      <c r="AA27" s="35">
        <v>4.5584677419354845E-3</v>
      </c>
      <c r="AB27" s="13"/>
      <c r="AC27" s="34">
        <v>24</v>
      </c>
      <c r="AD27" s="34" t="s">
        <v>4573</v>
      </c>
      <c r="AE27" s="34" t="s">
        <v>5781</v>
      </c>
      <c r="AF27" s="35">
        <v>1.3743951612903227</v>
      </c>
      <c r="AJ27" s="95" t="s">
        <v>1059</v>
      </c>
      <c r="AK27" s="203" t="s">
        <v>1234</v>
      </c>
      <c r="AL27" s="105">
        <v>0.96337519275129835</v>
      </c>
      <c r="AN27">
        <v>24</v>
      </c>
      <c r="AO27" s="175"/>
      <c r="AP27" s="181"/>
      <c r="AQ27" s="182"/>
    </row>
    <row r="28" spans="9:43" ht="36.75" customHeight="1" thickBot="1" x14ac:dyDescent="0.4">
      <c r="I28" s="162"/>
      <c r="J28" s="104" t="s">
        <v>5848</v>
      </c>
      <c r="K28" s="109" t="s">
        <v>7941</v>
      </c>
      <c r="S28" s="34">
        <v>25</v>
      </c>
      <c r="T28" s="34" t="s">
        <v>4284</v>
      </c>
      <c r="U28" s="34" t="s">
        <v>3848</v>
      </c>
      <c r="V28" s="35">
        <v>254.84</v>
      </c>
      <c r="W28" s="13"/>
      <c r="X28" s="34">
        <v>25</v>
      </c>
      <c r="Y28" s="34" t="s">
        <v>2248</v>
      </c>
      <c r="Z28" s="34" t="s">
        <v>3843</v>
      </c>
      <c r="AA28" s="35">
        <v>0</v>
      </c>
      <c r="AB28" s="13"/>
      <c r="AC28" s="34">
        <v>25</v>
      </c>
      <c r="AD28" s="34" t="s">
        <v>4573</v>
      </c>
      <c r="AE28" s="34" t="s">
        <v>3843</v>
      </c>
      <c r="AF28" s="35">
        <v>0</v>
      </c>
      <c r="AK28" s="497"/>
      <c r="AN28">
        <v>25</v>
      </c>
      <c r="AO28" s="183" t="s">
        <v>7872</v>
      </c>
      <c r="AP28" s="180">
        <v>5</v>
      </c>
      <c r="AQ28" s="193">
        <v>8.8150199999999998E-3</v>
      </c>
    </row>
    <row r="29" spans="9:43" x14ac:dyDescent="0.35">
      <c r="I29" s="107">
        <v>1</v>
      </c>
      <c r="J29" s="101" t="s">
        <v>7458</v>
      </c>
      <c r="K29" s="110">
        <v>0</v>
      </c>
      <c r="S29" s="34">
        <v>26</v>
      </c>
      <c r="T29" s="34" t="s">
        <v>4284</v>
      </c>
      <c r="U29" s="34" t="s">
        <v>5785</v>
      </c>
      <c r="V29" s="35">
        <v>0.30709677419354842</v>
      </c>
      <c r="W29" s="13"/>
      <c r="X29" s="34">
        <v>26</v>
      </c>
      <c r="Y29" s="34" t="s">
        <v>2248</v>
      </c>
      <c r="Z29" s="34" t="s">
        <v>5780</v>
      </c>
      <c r="AA29" s="35">
        <v>2.8653225806451617</v>
      </c>
      <c r="AB29" s="13"/>
      <c r="AC29" s="34">
        <v>26</v>
      </c>
      <c r="AD29" s="34" t="s">
        <v>4573</v>
      </c>
      <c r="AE29" s="34" t="s">
        <v>5780</v>
      </c>
      <c r="AF29" s="35">
        <v>104.19354838709678</v>
      </c>
      <c r="AK29" s="497"/>
      <c r="AN29">
        <v>26</v>
      </c>
      <c r="AO29" s="183"/>
      <c r="AP29" s="180"/>
      <c r="AQ29" s="182"/>
    </row>
    <row r="30" spans="9:43" ht="25.5" thickBot="1" x14ac:dyDescent="0.4">
      <c r="I30" s="107">
        <v>2</v>
      </c>
      <c r="J30" s="102" t="s">
        <v>5849</v>
      </c>
      <c r="K30" s="110">
        <v>0.11600000000000001</v>
      </c>
      <c r="S30" s="34">
        <v>27</v>
      </c>
      <c r="T30" s="34" t="s">
        <v>4284</v>
      </c>
      <c r="U30" s="34" t="s">
        <v>3845</v>
      </c>
      <c r="V30" s="35">
        <v>1.8370967741935484E-2</v>
      </c>
      <c r="W30" s="13"/>
      <c r="X30" s="34">
        <v>27</v>
      </c>
      <c r="Y30" s="34" t="s">
        <v>2248</v>
      </c>
      <c r="Z30" s="34" t="s">
        <v>5779</v>
      </c>
      <c r="AA30" s="35">
        <v>2998.9919354838712</v>
      </c>
      <c r="AB30" s="13"/>
      <c r="AC30" s="34">
        <v>27</v>
      </c>
      <c r="AD30" s="34" t="s">
        <v>4573</v>
      </c>
      <c r="AE30" s="34" t="s">
        <v>5779</v>
      </c>
      <c r="AF30" s="35">
        <v>39072.580645161295</v>
      </c>
      <c r="AK30" s="497"/>
      <c r="AN30">
        <v>27</v>
      </c>
      <c r="AO30" s="183" t="s">
        <v>7873</v>
      </c>
      <c r="AP30" s="180">
        <v>31.6</v>
      </c>
      <c r="AQ30" s="193">
        <v>5.9820239999999998E-3</v>
      </c>
    </row>
    <row r="31" spans="9:43" ht="15" thickBot="1" x14ac:dyDescent="0.4">
      <c r="I31" s="107">
        <v>3</v>
      </c>
      <c r="J31" s="102" t="s">
        <v>5850</v>
      </c>
      <c r="K31" s="110">
        <v>17.18</v>
      </c>
      <c r="S31" s="34">
        <v>28</v>
      </c>
      <c r="T31" s="34" t="s">
        <v>4284</v>
      </c>
      <c r="U31" s="34" t="s">
        <v>3845</v>
      </c>
      <c r="V31" s="35">
        <v>0</v>
      </c>
      <c r="W31" s="13"/>
      <c r="X31" s="34">
        <v>28</v>
      </c>
      <c r="Y31" s="34" t="s">
        <v>2248</v>
      </c>
      <c r="Z31" s="34" t="s">
        <v>5778</v>
      </c>
      <c r="AA31" s="35">
        <v>7.4717741935483879E-3</v>
      </c>
      <c r="AB31" s="13"/>
      <c r="AC31" s="34">
        <v>28</v>
      </c>
      <c r="AD31" s="34" t="s">
        <v>4573</v>
      </c>
      <c r="AE31" s="34" t="s">
        <v>5778</v>
      </c>
      <c r="AF31" s="35">
        <v>0.43185483870967745</v>
      </c>
      <c r="AK31" s="497"/>
      <c r="AN31">
        <v>28</v>
      </c>
      <c r="AO31" s="183" t="s">
        <v>7874</v>
      </c>
      <c r="AP31" s="180">
        <v>9</v>
      </c>
      <c r="AQ31" s="193">
        <v>2.2216470000000002E-2</v>
      </c>
    </row>
    <row r="32" spans="9:43" ht="38" thickBot="1" x14ac:dyDescent="0.4">
      <c r="I32" s="107">
        <v>4</v>
      </c>
      <c r="J32" s="102" t="s">
        <v>5851</v>
      </c>
      <c r="K32" s="110">
        <v>6.36</v>
      </c>
      <c r="S32" s="34">
        <v>29</v>
      </c>
      <c r="T32" s="34" t="s">
        <v>4284</v>
      </c>
      <c r="U32" s="34" t="s">
        <v>5784</v>
      </c>
      <c r="V32" s="35">
        <v>3.4274193548387101E-6</v>
      </c>
      <c r="W32" s="13"/>
      <c r="X32" s="34">
        <v>29</v>
      </c>
      <c r="Y32" s="34" t="s">
        <v>2248</v>
      </c>
      <c r="Z32" s="34" t="s">
        <v>5777</v>
      </c>
      <c r="AA32" s="35">
        <v>1.1790322580645162E-4</v>
      </c>
      <c r="AB32" s="13"/>
      <c r="AC32" s="34">
        <v>29</v>
      </c>
      <c r="AD32" s="34" t="s">
        <v>4573</v>
      </c>
      <c r="AE32" s="34" t="s">
        <v>5777</v>
      </c>
      <c r="AF32" s="35">
        <v>3.564516129032258E-2</v>
      </c>
      <c r="AK32" s="497"/>
      <c r="AN32">
        <v>29</v>
      </c>
      <c r="AO32" s="183" t="s">
        <v>7875</v>
      </c>
      <c r="AP32" s="180">
        <v>9</v>
      </c>
      <c r="AQ32" s="193">
        <v>1.8855E-2</v>
      </c>
    </row>
    <row r="33" spans="1:43" ht="25.5" thickBot="1" x14ac:dyDescent="0.4">
      <c r="I33" s="107">
        <v>5</v>
      </c>
      <c r="J33" s="102" t="s">
        <v>5852</v>
      </c>
      <c r="K33" s="110">
        <v>9.75</v>
      </c>
      <c r="S33" s="34">
        <v>30</v>
      </c>
      <c r="T33" s="34" t="s">
        <v>4284</v>
      </c>
      <c r="U33" s="34" t="s">
        <v>5783</v>
      </c>
      <c r="V33" s="35">
        <v>1.5800403225806455E-7</v>
      </c>
      <c r="W33" s="12"/>
      <c r="X33" s="34">
        <v>30</v>
      </c>
      <c r="Y33" s="34" t="s">
        <v>2248</v>
      </c>
      <c r="Z33" s="34" t="s">
        <v>5776</v>
      </c>
      <c r="AA33" s="35">
        <v>8.0201612903225809E-12</v>
      </c>
      <c r="AB33" s="13"/>
      <c r="AC33" s="34">
        <v>30</v>
      </c>
      <c r="AD33" s="34" t="s">
        <v>4573</v>
      </c>
      <c r="AE33" s="34" t="s">
        <v>5776</v>
      </c>
      <c r="AF33" s="35">
        <v>2.2518145161290325E-7</v>
      </c>
      <c r="AK33" s="497"/>
      <c r="AN33">
        <v>30</v>
      </c>
      <c r="AO33" s="183"/>
      <c r="AP33" s="180"/>
      <c r="AQ33" s="193"/>
    </row>
    <row r="34" spans="1:43" ht="25.5" thickBot="1" x14ac:dyDescent="0.4">
      <c r="I34" s="107">
        <v>6</v>
      </c>
      <c r="J34" s="102" t="s">
        <v>5853</v>
      </c>
      <c r="K34" s="110">
        <v>8.75</v>
      </c>
      <c r="S34" s="34">
        <v>31</v>
      </c>
      <c r="T34" s="34" t="s">
        <v>4284</v>
      </c>
      <c r="U34" s="34" t="s">
        <v>5782</v>
      </c>
      <c r="V34" s="35">
        <v>2.5157258064516133E-3</v>
      </c>
      <c r="W34" s="13"/>
      <c r="X34" s="34">
        <v>31</v>
      </c>
      <c r="Y34" s="34" t="s">
        <v>2248</v>
      </c>
      <c r="Z34" s="34" t="s">
        <v>5775</v>
      </c>
      <c r="AA34" s="35">
        <v>1.0659274193548387E-4</v>
      </c>
      <c r="AB34" s="13"/>
      <c r="AC34" s="34">
        <v>31</v>
      </c>
      <c r="AD34" s="34" t="s">
        <v>4573</v>
      </c>
      <c r="AE34" s="34" t="s">
        <v>5775</v>
      </c>
      <c r="AF34" s="35">
        <v>9.5625000000000007E-4</v>
      </c>
      <c r="AK34" s="497"/>
      <c r="AN34">
        <v>31</v>
      </c>
      <c r="AO34" s="183" t="s">
        <v>7876</v>
      </c>
      <c r="AP34" s="180">
        <v>9</v>
      </c>
      <c r="AQ34" s="193">
        <v>2.6296140000000003E-2</v>
      </c>
    </row>
    <row r="35" spans="1:43" ht="25.5" thickBot="1" x14ac:dyDescent="0.4">
      <c r="I35" s="107">
        <v>7</v>
      </c>
      <c r="J35" s="102" t="s">
        <v>5854</v>
      </c>
      <c r="K35" s="110">
        <v>0.24</v>
      </c>
      <c r="S35" s="30">
        <v>32</v>
      </c>
      <c r="T35" s="30" t="s">
        <v>4284</v>
      </c>
      <c r="U35" s="30" t="s">
        <v>5810</v>
      </c>
      <c r="V35" s="31">
        <v>6.8440000000000003</v>
      </c>
      <c r="W35" s="21"/>
      <c r="X35" s="34">
        <v>32</v>
      </c>
      <c r="Y35" s="34" t="s">
        <v>2248</v>
      </c>
      <c r="Z35" s="34" t="s">
        <v>5774</v>
      </c>
      <c r="AA35" s="35">
        <v>1.2441532258064517E-4</v>
      </c>
      <c r="AB35" s="13"/>
      <c r="AC35" s="34">
        <v>32</v>
      </c>
      <c r="AD35" s="34" t="s">
        <v>4573</v>
      </c>
      <c r="AE35" s="34" t="s">
        <v>5774</v>
      </c>
      <c r="AF35" s="35">
        <v>1.4052419354838711E-3</v>
      </c>
      <c r="AK35" s="497"/>
      <c r="AN35">
        <v>32</v>
      </c>
      <c r="AO35" s="183" t="s">
        <v>7877</v>
      </c>
      <c r="AP35" s="180">
        <v>9</v>
      </c>
      <c r="AQ35" s="193">
        <v>2.0381880000000002E-2</v>
      </c>
    </row>
    <row r="36" spans="1:43" ht="15" thickBot="1" x14ac:dyDescent="0.4">
      <c r="I36" s="107">
        <v>8</v>
      </c>
      <c r="J36" s="102" t="s">
        <v>2869</v>
      </c>
      <c r="K36" s="110">
        <v>41.49</v>
      </c>
      <c r="S36" s="34">
        <v>33</v>
      </c>
      <c r="T36" s="34" t="s">
        <v>4284</v>
      </c>
      <c r="U36" s="34" t="s">
        <v>5781</v>
      </c>
      <c r="V36" s="35">
        <v>7.6088709677419363E-5</v>
      </c>
      <c r="W36" s="13"/>
      <c r="X36" s="34">
        <v>33</v>
      </c>
      <c r="Y36" s="34" t="s">
        <v>2248</v>
      </c>
      <c r="Z36" s="34" t="s">
        <v>5773</v>
      </c>
      <c r="AA36" s="35">
        <v>7.7116935483870975E-6</v>
      </c>
      <c r="AB36" s="13"/>
      <c r="AC36" s="34">
        <v>33</v>
      </c>
      <c r="AD36" s="34" t="s">
        <v>4573</v>
      </c>
      <c r="AE36" s="34" t="s">
        <v>5773</v>
      </c>
      <c r="AF36" s="35">
        <v>2.8756048387096776E-5</v>
      </c>
      <c r="AK36" s="497"/>
      <c r="AN36">
        <v>33</v>
      </c>
      <c r="AO36" s="183" t="s">
        <v>7878</v>
      </c>
      <c r="AP36" s="180">
        <v>9</v>
      </c>
      <c r="AQ36" s="193">
        <v>2.01906E-2</v>
      </c>
    </row>
    <row r="37" spans="1:43" ht="15" thickBot="1" x14ac:dyDescent="0.4">
      <c r="I37" s="107">
        <v>9</v>
      </c>
      <c r="J37" s="102" t="s">
        <v>2842</v>
      </c>
      <c r="K37" s="110">
        <v>9844</v>
      </c>
      <c r="S37" s="34">
        <v>34</v>
      </c>
      <c r="T37" s="34" t="s">
        <v>4284</v>
      </c>
      <c r="U37" s="34" t="s">
        <v>3843</v>
      </c>
      <c r="V37" s="35">
        <v>0</v>
      </c>
      <c r="W37" s="13"/>
      <c r="X37" s="34">
        <v>34</v>
      </c>
      <c r="Y37" s="34" t="s">
        <v>2248</v>
      </c>
      <c r="Z37" s="34" t="s">
        <v>3840</v>
      </c>
      <c r="AA37" s="35">
        <v>0</v>
      </c>
      <c r="AB37" s="13"/>
      <c r="AC37" s="34">
        <v>34</v>
      </c>
      <c r="AD37" s="34" t="s">
        <v>4573</v>
      </c>
      <c r="AE37" s="34" t="s">
        <v>3840</v>
      </c>
      <c r="AF37" s="35">
        <v>0</v>
      </c>
      <c r="AK37" s="497"/>
      <c r="AN37">
        <v>34</v>
      </c>
      <c r="AO37" s="183" t="s">
        <v>7879</v>
      </c>
      <c r="AP37" s="180">
        <v>9</v>
      </c>
      <c r="AQ37" s="193">
        <v>1.8839040000000001E-2</v>
      </c>
    </row>
    <row r="38" spans="1:43" ht="15" thickBot="1" x14ac:dyDescent="0.4">
      <c r="I38" s="107">
        <v>10</v>
      </c>
      <c r="J38" s="101" t="s">
        <v>4963</v>
      </c>
      <c r="K38" s="110">
        <v>3.5379999999999998</v>
      </c>
      <c r="S38" s="34">
        <v>35</v>
      </c>
      <c r="T38" s="34" t="s">
        <v>4284</v>
      </c>
      <c r="U38" s="34" t="s">
        <v>5780</v>
      </c>
      <c r="V38" s="35">
        <v>4.627016129032258</v>
      </c>
      <c r="W38" s="13"/>
      <c r="X38" s="34">
        <v>35</v>
      </c>
      <c r="Y38" s="34" t="s">
        <v>2248</v>
      </c>
      <c r="Z38" s="34" t="s">
        <v>5771</v>
      </c>
      <c r="AA38" s="35">
        <v>1.9227822580645165E-9</v>
      </c>
      <c r="AB38" s="13"/>
      <c r="AC38" s="34">
        <v>35</v>
      </c>
      <c r="AD38" s="34" t="s">
        <v>4573</v>
      </c>
      <c r="AE38" s="34" t="s">
        <v>5771</v>
      </c>
      <c r="AF38" s="35">
        <v>1.3401209677419356E-5</v>
      </c>
      <c r="AK38" s="497"/>
      <c r="AN38">
        <v>35</v>
      </c>
      <c r="AO38" s="183" t="s">
        <v>7880</v>
      </c>
      <c r="AP38" s="180">
        <v>9</v>
      </c>
      <c r="AQ38" s="193">
        <v>8.7882399999999992E-3</v>
      </c>
    </row>
    <row r="39" spans="1:43" ht="53.25" customHeight="1" thickBot="1" x14ac:dyDescent="0.4">
      <c r="I39" s="107">
        <v>11</v>
      </c>
      <c r="J39" s="102" t="s">
        <v>5855</v>
      </c>
      <c r="K39" s="110">
        <v>30.74</v>
      </c>
      <c r="S39" s="34">
        <v>36</v>
      </c>
      <c r="T39" s="34" t="s">
        <v>4284</v>
      </c>
      <c r="U39" s="34" t="s">
        <v>5779</v>
      </c>
      <c r="V39" s="35">
        <v>2964.7177419354839</v>
      </c>
      <c r="W39" s="13"/>
      <c r="X39" s="34">
        <v>36</v>
      </c>
      <c r="Y39" s="34" t="s">
        <v>2248</v>
      </c>
      <c r="Z39" s="34" t="s">
        <v>5770</v>
      </c>
      <c r="AA39" s="35">
        <v>2.5157258064516135E-6</v>
      </c>
      <c r="AB39" s="13"/>
      <c r="AC39" s="34">
        <v>36</v>
      </c>
      <c r="AD39" s="34" t="s">
        <v>4573</v>
      </c>
      <c r="AE39" s="34" t="s">
        <v>5770</v>
      </c>
      <c r="AF39" s="35">
        <v>1.7754032258064517E-2</v>
      </c>
      <c r="AK39" s="497"/>
      <c r="AN39">
        <v>36</v>
      </c>
      <c r="AO39" s="183" t="s">
        <v>7881</v>
      </c>
      <c r="AP39" s="180">
        <v>9</v>
      </c>
      <c r="AQ39" s="193">
        <v>1.7690999999999998E-2</v>
      </c>
    </row>
    <row r="40" spans="1:43" ht="38" thickBot="1" x14ac:dyDescent="0.4">
      <c r="I40" s="107">
        <v>12</v>
      </c>
      <c r="J40" s="102" t="s">
        <v>8686</v>
      </c>
      <c r="K40" s="110">
        <v>7.98</v>
      </c>
      <c r="S40" s="34">
        <v>37</v>
      </c>
      <c r="T40" s="34" t="s">
        <v>4284</v>
      </c>
      <c r="U40" s="34" t="s">
        <v>5778</v>
      </c>
      <c r="V40" s="35">
        <v>2.3237903225806454E-3</v>
      </c>
      <c r="W40" s="13"/>
      <c r="X40" s="34">
        <v>37</v>
      </c>
      <c r="Y40" s="34" t="s">
        <v>2248</v>
      </c>
      <c r="Z40" s="34" t="s">
        <v>5769</v>
      </c>
      <c r="AA40" s="35">
        <v>6.375E-9</v>
      </c>
      <c r="AB40" s="13"/>
      <c r="AC40" s="34">
        <v>37</v>
      </c>
      <c r="AD40" s="34" t="s">
        <v>4573</v>
      </c>
      <c r="AE40" s="34" t="s">
        <v>5769</v>
      </c>
      <c r="AF40" s="35">
        <v>1.7582661290322581E-4</v>
      </c>
      <c r="AK40" s="497"/>
      <c r="AN40">
        <v>37</v>
      </c>
      <c r="AO40" s="183" t="s">
        <v>7882</v>
      </c>
      <c r="AP40" s="180">
        <v>9</v>
      </c>
      <c r="AQ40" s="193">
        <v>1.512022E-2</v>
      </c>
    </row>
    <row r="41" spans="1:43" ht="38" thickBot="1" x14ac:dyDescent="0.4">
      <c r="I41" s="108">
        <v>13</v>
      </c>
      <c r="J41" s="102" t="s">
        <v>8687</v>
      </c>
      <c r="K41" s="110">
        <v>7.98</v>
      </c>
      <c r="S41" s="34">
        <v>38</v>
      </c>
      <c r="T41" s="34" t="s">
        <v>4284</v>
      </c>
      <c r="U41" s="34" t="s">
        <v>5777</v>
      </c>
      <c r="V41" s="35">
        <v>7.9516129032258064E-7</v>
      </c>
      <c r="W41" s="13"/>
      <c r="X41" s="34">
        <v>38</v>
      </c>
      <c r="Y41" s="34" t="s">
        <v>2248</v>
      </c>
      <c r="Z41" s="34" t="s">
        <v>3839</v>
      </c>
      <c r="AA41" s="35">
        <v>4.5631999999999999E-3</v>
      </c>
      <c r="AB41" s="13"/>
      <c r="AC41" s="34">
        <v>38</v>
      </c>
      <c r="AD41" s="34" t="s">
        <v>4573</v>
      </c>
      <c r="AE41" s="34" t="s">
        <v>3839</v>
      </c>
      <c r="AF41" s="35">
        <v>2.2758064516129038E-3</v>
      </c>
      <c r="AK41" s="497"/>
      <c r="AN41">
        <v>38</v>
      </c>
      <c r="AO41" s="183"/>
      <c r="AP41" s="180"/>
      <c r="AQ41" s="181"/>
    </row>
    <row r="42" spans="1:43" ht="25.5" thickBot="1" x14ac:dyDescent="0.4">
      <c r="I42" s="108">
        <v>14</v>
      </c>
      <c r="J42" s="103" t="s">
        <v>4707</v>
      </c>
      <c r="K42" s="111">
        <v>35</v>
      </c>
      <c r="S42" s="34"/>
      <c r="T42" s="34"/>
      <c r="U42" s="34"/>
      <c r="V42" s="35"/>
      <c r="W42" s="13"/>
      <c r="X42" s="34"/>
      <c r="Y42" s="34"/>
      <c r="Z42" s="34"/>
      <c r="AA42" s="35"/>
      <c r="AB42" s="13"/>
      <c r="AC42" s="34"/>
      <c r="AD42" s="34"/>
      <c r="AE42" s="34"/>
      <c r="AF42" s="35"/>
      <c r="AK42" s="497"/>
      <c r="AN42">
        <v>39</v>
      </c>
      <c r="AO42" s="183" t="s">
        <v>7883</v>
      </c>
      <c r="AP42" s="186">
        <v>0.14000000000000001</v>
      </c>
      <c r="AQ42" s="193">
        <v>1.008242E-2</v>
      </c>
    </row>
    <row r="43" spans="1:43" ht="25.5" thickBot="1" x14ac:dyDescent="0.4">
      <c r="I43" s="108">
        <v>15</v>
      </c>
      <c r="J43" s="103" t="s">
        <v>5857</v>
      </c>
      <c r="K43" s="431">
        <v>32660000</v>
      </c>
      <c r="S43" s="34">
        <v>39</v>
      </c>
      <c r="T43" s="34" t="s">
        <v>4284</v>
      </c>
      <c r="U43" s="34" t="s">
        <v>5776</v>
      </c>
      <c r="V43" s="35">
        <v>5.9294354838709686E-9</v>
      </c>
      <c r="W43" s="13"/>
      <c r="X43" s="34">
        <v>39</v>
      </c>
      <c r="Y43" s="34" t="s">
        <v>2248</v>
      </c>
      <c r="Z43" s="34" t="s">
        <v>3839</v>
      </c>
      <c r="AA43" s="35">
        <v>7.8830645161290329E-8</v>
      </c>
      <c r="AB43" s="13"/>
      <c r="AC43" s="34">
        <v>39</v>
      </c>
      <c r="AD43" s="34" t="s">
        <v>4573</v>
      </c>
      <c r="AE43" s="34" t="s">
        <v>3839</v>
      </c>
      <c r="AF43" s="35">
        <v>3.4592000000000004E-3</v>
      </c>
      <c r="AK43" s="497"/>
      <c r="AN43">
        <v>40</v>
      </c>
      <c r="AO43" s="183" t="s">
        <v>7884</v>
      </c>
      <c r="AP43" s="186">
        <v>0.14000000000000001</v>
      </c>
      <c r="AQ43" s="193">
        <v>1.099792E-2</v>
      </c>
    </row>
    <row r="44" spans="1:43" ht="15" thickBot="1" x14ac:dyDescent="0.4">
      <c r="I44" s="108"/>
      <c r="J44" s="103"/>
      <c r="K44" s="111"/>
      <c r="S44" s="34">
        <v>40</v>
      </c>
      <c r="T44" s="34" t="s">
        <v>4284</v>
      </c>
      <c r="U44" s="34" t="s">
        <v>5775</v>
      </c>
      <c r="V44" s="35">
        <v>8.5685483870967752E-5</v>
      </c>
      <c r="W44" s="13"/>
      <c r="X44" s="34">
        <v>40</v>
      </c>
      <c r="Y44" s="34" t="s">
        <v>2248</v>
      </c>
      <c r="Z44" s="34" t="s">
        <v>5767</v>
      </c>
      <c r="AA44" s="35">
        <v>7.848790322580645E-8</v>
      </c>
      <c r="AB44" s="13"/>
      <c r="AC44" s="34">
        <v>40</v>
      </c>
      <c r="AD44" s="34" t="s">
        <v>4573</v>
      </c>
      <c r="AE44" s="34" t="s">
        <v>5767</v>
      </c>
      <c r="AF44" s="35">
        <v>5.4838709677419359E-4</v>
      </c>
      <c r="AK44" s="497"/>
      <c r="AN44">
        <v>41</v>
      </c>
      <c r="AO44" s="183" t="s">
        <v>7885</v>
      </c>
      <c r="AP44" s="186">
        <v>0.28999999999999998</v>
      </c>
      <c r="AQ44" s="193">
        <v>5.4794400000000004E-3</v>
      </c>
    </row>
    <row r="45" spans="1:43" ht="19" thickBot="1" x14ac:dyDescent="0.4">
      <c r="A45" s="164"/>
      <c r="B45" s="1671" t="s">
        <v>6991</v>
      </c>
      <c r="C45" s="1841"/>
      <c r="D45" s="1672"/>
      <c r="I45" s="108"/>
      <c r="J45" s="103"/>
      <c r="K45" s="111"/>
      <c r="S45" s="34">
        <v>41</v>
      </c>
      <c r="T45" s="34" t="s">
        <v>4284</v>
      </c>
      <c r="U45" s="34" t="s">
        <v>5774</v>
      </c>
      <c r="V45" s="35">
        <v>6.2379032258064526E-5</v>
      </c>
      <c r="W45" s="13"/>
      <c r="X45" s="34">
        <v>41</v>
      </c>
      <c r="Y45" s="34" t="s">
        <v>2248</v>
      </c>
      <c r="Z45" s="34" t="s">
        <v>5766</v>
      </c>
      <c r="AA45" s="35">
        <v>8.1229838709677425E-10</v>
      </c>
      <c r="AB45" s="13"/>
      <c r="AC45" s="34">
        <v>41</v>
      </c>
      <c r="AD45" s="34" t="s">
        <v>4573</v>
      </c>
      <c r="AE45" s="34" t="s">
        <v>5766</v>
      </c>
      <c r="AF45" s="35">
        <v>9.0826612903225826E-6</v>
      </c>
      <c r="AK45" s="497"/>
      <c r="AN45">
        <v>42</v>
      </c>
      <c r="AO45" s="183"/>
      <c r="AP45" s="180"/>
      <c r="AQ45" s="184"/>
    </row>
    <row r="46" spans="1:43" ht="79" customHeight="1" thickBot="1" x14ac:dyDescent="0.4">
      <c r="A46" s="163"/>
      <c r="B46" s="106" t="s">
        <v>112</v>
      </c>
      <c r="C46" s="165" t="s">
        <v>7939</v>
      </c>
      <c r="D46" s="112" t="s">
        <v>7940</v>
      </c>
      <c r="S46" s="34">
        <v>42</v>
      </c>
      <c r="T46" s="34" t="s">
        <v>4284</v>
      </c>
      <c r="U46" s="34" t="s">
        <v>5773</v>
      </c>
      <c r="V46" s="35">
        <v>2.1901209677419356E-6</v>
      </c>
      <c r="W46" s="13"/>
      <c r="X46" s="34">
        <v>42</v>
      </c>
      <c r="Y46" s="34" t="s">
        <v>2248</v>
      </c>
      <c r="Z46" s="34" t="s">
        <v>5765</v>
      </c>
      <c r="AA46" s="35">
        <v>4.25E-6</v>
      </c>
      <c r="AB46" s="13"/>
      <c r="AC46" s="34">
        <v>42</v>
      </c>
      <c r="AD46" s="34" t="s">
        <v>4573</v>
      </c>
      <c r="AE46" s="34" t="s">
        <v>5765</v>
      </c>
      <c r="AF46" s="35">
        <v>4.7641129032258069E-2</v>
      </c>
      <c r="AK46" s="497"/>
      <c r="AN46">
        <v>43</v>
      </c>
      <c r="AO46" s="185" t="s">
        <v>7886</v>
      </c>
      <c r="AP46" s="187">
        <v>67</v>
      </c>
      <c r="AQ46" s="193">
        <v>3.9363180000000005E-2</v>
      </c>
    </row>
    <row r="47" spans="1:43" ht="25.5" thickBot="1" x14ac:dyDescent="0.4">
      <c r="A47" s="166">
        <v>1</v>
      </c>
      <c r="B47" s="167" t="s">
        <v>7458</v>
      </c>
      <c r="C47" s="168">
        <v>0</v>
      </c>
      <c r="D47" s="168" t="s">
        <v>6926</v>
      </c>
      <c r="S47" s="34">
        <v>43</v>
      </c>
      <c r="T47" s="34" t="s">
        <v>4284</v>
      </c>
      <c r="U47" s="34" t="s">
        <v>3840</v>
      </c>
      <c r="V47" s="35">
        <v>0</v>
      </c>
      <c r="W47" s="13"/>
      <c r="X47" s="34">
        <v>43</v>
      </c>
      <c r="Y47" s="34" t="s">
        <v>2248</v>
      </c>
      <c r="Z47" s="34" t="s">
        <v>5764</v>
      </c>
      <c r="AA47" s="35">
        <v>2.5294354838709683E-9</v>
      </c>
      <c r="AB47" s="13"/>
      <c r="AC47" s="34">
        <v>43</v>
      </c>
      <c r="AD47" s="34" t="s">
        <v>4573</v>
      </c>
      <c r="AE47" s="34" t="s">
        <v>5764</v>
      </c>
      <c r="AF47" s="35">
        <v>7.3004032258064514E-5</v>
      </c>
      <c r="AK47" s="497"/>
      <c r="AN47">
        <v>44</v>
      </c>
      <c r="AO47" s="185" t="s">
        <v>7887</v>
      </c>
      <c r="AP47" s="180">
        <v>124</v>
      </c>
      <c r="AQ47" s="193">
        <v>2.7238760000000001E-2</v>
      </c>
    </row>
    <row r="48" spans="1:43" ht="38" thickBot="1" x14ac:dyDescent="0.4">
      <c r="A48" s="169">
        <v>2</v>
      </c>
      <c r="B48" s="376" t="s">
        <v>8322</v>
      </c>
      <c r="C48" s="373">
        <v>0.21731324533779911</v>
      </c>
      <c r="D48" s="373">
        <v>0.26077589440535892</v>
      </c>
      <c r="S48" s="34">
        <v>44</v>
      </c>
      <c r="T48" s="34" t="s">
        <v>4284</v>
      </c>
      <c r="U48" s="34" t="s">
        <v>5771</v>
      </c>
      <c r="V48" s="35">
        <v>1.3915322580645162E-7</v>
      </c>
      <c r="W48" s="13"/>
      <c r="X48" s="34">
        <v>44</v>
      </c>
      <c r="Y48" s="34" t="s">
        <v>2248</v>
      </c>
      <c r="Z48" s="34" t="s">
        <v>3838</v>
      </c>
      <c r="AA48" s="35">
        <v>0.11039999999999998</v>
      </c>
      <c r="AB48" s="13"/>
      <c r="AC48" s="34">
        <v>44</v>
      </c>
      <c r="AD48" s="34" t="s">
        <v>4573</v>
      </c>
      <c r="AE48" s="34" t="s">
        <v>3838</v>
      </c>
      <c r="AF48" s="35">
        <v>0.84639999999999993</v>
      </c>
      <c r="AK48" s="497"/>
      <c r="AN48">
        <v>45</v>
      </c>
      <c r="AO48" s="185" t="s">
        <v>7888</v>
      </c>
      <c r="AP48" s="180">
        <v>327</v>
      </c>
      <c r="AQ48" s="193">
        <v>2.106562E-2</v>
      </c>
    </row>
    <row r="49" spans="1:32" x14ac:dyDescent="0.35">
      <c r="A49" s="170">
        <v>3</v>
      </c>
      <c r="B49" s="377" t="s">
        <v>476</v>
      </c>
      <c r="C49" s="189" t="s">
        <v>6926</v>
      </c>
      <c r="D49" s="374" t="s">
        <v>6926</v>
      </c>
      <c r="S49" s="34">
        <v>45</v>
      </c>
      <c r="T49" s="34" t="s">
        <v>4284</v>
      </c>
      <c r="U49" s="34" t="s">
        <v>5770</v>
      </c>
      <c r="V49" s="35">
        <v>1.2955645161290323E-4</v>
      </c>
      <c r="W49" s="13"/>
      <c r="X49" s="34">
        <v>45</v>
      </c>
      <c r="Y49" s="34" t="s">
        <v>2248</v>
      </c>
      <c r="Z49" s="34" t="s">
        <v>3836</v>
      </c>
      <c r="AA49" s="35">
        <v>1.426E-2</v>
      </c>
      <c r="AB49" s="13"/>
      <c r="AC49" s="34">
        <v>45</v>
      </c>
      <c r="AD49" s="34" t="s">
        <v>4573</v>
      </c>
      <c r="AE49" s="34" t="s">
        <v>3836</v>
      </c>
      <c r="AF49" s="35">
        <v>2.3237903225806454E-2</v>
      </c>
    </row>
    <row r="50" spans="1:32" x14ac:dyDescent="0.35">
      <c r="A50" s="171">
        <v>4</v>
      </c>
      <c r="B50" s="378" t="s">
        <v>477</v>
      </c>
      <c r="C50" s="189">
        <v>1.1759004871550001E-3</v>
      </c>
      <c r="D50" s="375">
        <v>1.4110805845859999E-3</v>
      </c>
      <c r="S50" s="34">
        <v>46</v>
      </c>
      <c r="T50" s="34" t="s">
        <v>4284</v>
      </c>
      <c r="U50" s="34" t="s">
        <v>5769</v>
      </c>
      <c r="V50" s="35">
        <v>5.8951612903225807E-7</v>
      </c>
      <c r="W50" s="13"/>
      <c r="X50" s="34">
        <v>46</v>
      </c>
      <c r="Y50" s="34" t="s">
        <v>2248</v>
      </c>
      <c r="Z50" s="34" t="s">
        <v>3836</v>
      </c>
      <c r="AA50" s="35">
        <v>1.9570564516129033E-3</v>
      </c>
      <c r="AB50" s="13"/>
      <c r="AC50" s="34">
        <v>46</v>
      </c>
      <c r="AD50" s="34" t="s">
        <v>4573</v>
      </c>
      <c r="AE50" s="34" t="s">
        <v>3836</v>
      </c>
      <c r="AF50" s="35">
        <v>0.16652</v>
      </c>
    </row>
    <row r="51" spans="1:32" x14ac:dyDescent="0.35">
      <c r="A51" s="171">
        <v>5</v>
      </c>
      <c r="B51" s="378" t="s">
        <v>478</v>
      </c>
      <c r="C51" s="189">
        <v>8.5323832187944995E-2</v>
      </c>
      <c r="D51" s="375">
        <v>0.102388598625534</v>
      </c>
      <c r="S51" s="34">
        <v>47</v>
      </c>
      <c r="T51" s="34" t="s">
        <v>4284</v>
      </c>
      <c r="U51" s="34" t="s">
        <v>3839</v>
      </c>
      <c r="V51" s="35">
        <v>3.3383064516129034E-6</v>
      </c>
      <c r="W51" s="13"/>
      <c r="X51" s="34">
        <v>47</v>
      </c>
      <c r="Y51" s="34" t="s">
        <v>2248</v>
      </c>
      <c r="Z51" s="34" t="s">
        <v>3835</v>
      </c>
      <c r="AA51" s="35">
        <v>0</v>
      </c>
      <c r="AB51" s="13"/>
      <c r="AC51" s="34">
        <v>47</v>
      </c>
      <c r="AD51" s="34" t="s">
        <v>4573</v>
      </c>
      <c r="AE51" s="34" t="s">
        <v>3835</v>
      </c>
      <c r="AF51" s="35">
        <v>0</v>
      </c>
    </row>
    <row r="52" spans="1:32" x14ac:dyDescent="0.35">
      <c r="A52" s="171">
        <v>6</v>
      </c>
      <c r="B52" s="378" t="s">
        <v>479</v>
      </c>
      <c r="C52" s="189">
        <v>4.8873408943349997E-3</v>
      </c>
      <c r="D52" s="375">
        <v>5.8648090732019995E-3</v>
      </c>
      <c r="S52" s="34">
        <v>48</v>
      </c>
      <c r="T52" s="34" t="s">
        <v>4284</v>
      </c>
      <c r="U52" s="34" t="s">
        <v>3839</v>
      </c>
      <c r="V52" s="35">
        <v>0.14351999999999998</v>
      </c>
      <c r="W52" s="13"/>
      <c r="X52" s="34">
        <v>48</v>
      </c>
      <c r="Y52" s="34" t="s">
        <v>2248</v>
      </c>
      <c r="Z52" s="34" t="s">
        <v>5763</v>
      </c>
      <c r="AA52" s="35">
        <v>4.1471774193548389E-2</v>
      </c>
      <c r="AB52" s="13"/>
      <c r="AC52" s="34">
        <v>48</v>
      </c>
      <c r="AD52" s="34" t="s">
        <v>4573</v>
      </c>
      <c r="AE52" s="34" t="s">
        <v>5763</v>
      </c>
      <c r="AF52" s="35">
        <v>0.27076612903225811</v>
      </c>
    </row>
    <row r="53" spans="1:32" x14ac:dyDescent="0.35">
      <c r="A53" s="171">
        <v>7</v>
      </c>
      <c r="B53" s="378" t="s">
        <v>480</v>
      </c>
      <c r="C53" s="189" t="s">
        <v>6926</v>
      </c>
      <c r="D53" s="374" t="s">
        <v>6926</v>
      </c>
      <c r="S53" s="34">
        <v>49</v>
      </c>
      <c r="T53" s="34" t="s">
        <v>4284</v>
      </c>
      <c r="U53" s="34" t="s">
        <v>5767</v>
      </c>
      <c r="V53" s="35">
        <v>2.0324596774193548E-6</v>
      </c>
      <c r="W53" s="13"/>
      <c r="X53" s="34">
        <v>49</v>
      </c>
      <c r="Y53" s="34" t="s">
        <v>2248</v>
      </c>
      <c r="Z53" s="34" t="s">
        <v>5762</v>
      </c>
      <c r="AA53" s="35">
        <v>1.1721774193548387E-4</v>
      </c>
      <c r="AB53" s="13"/>
      <c r="AC53" s="34">
        <v>49</v>
      </c>
      <c r="AD53" s="34" t="s">
        <v>4573</v>
      </c>
      <c r="AE53" s="34" t="s">
        <v>5762</v>
      </c>
      <c r="AF53" s="35">
        <v>3.8044354838709681E-2</v>
      </c>
    </row>
    <row r="54" spans="1:32" x14ac:dyDescent="0.35">
      <c r="A54" s="171">
        <v>8</v>
      </c>
      <c r="B54" s="378" t="s">
        <v>481</v>
      </c>
      <c r="C54" s="189">
        <v>5.3360000091045849E-2</v>
      </c>
      <c r="D54" s="375">
        <v>6.4032000109255013E-2</v>
      </c>
      <c r="S54" s="34">
        <v>50</v>
      </c>
      <c r="T54" s="34" t="s">
        <v>4284</v>
      </c>
      <c r="U54" s="34" t="s">
        <v>5766</v>
      </c>
      <c r="V54" s="35">
        <v>3.6673387096774197E-8</v>
      </c>
      <c r="W54" s="13"/>
      <c r="X54" s="34">
        <v>50</v>
      </c>
      <c r="Y54" s="34" t="s">
        <v>2248</v>
      </c>
      <c r="Z54" s="34" t="s">
        <v>5761</v>
      </c>
      <c r="AA54" s="35">
        <v>3.941532258064517E-6</v>
      </c>
      <c r="AB54" s="13"/>
      <c r="AC54" s="34">
        <v>50</v>
      </c>
      <c r="AD54" s="34" t="s">
        <v>4573</v>
      </c>
      <c r="AE54" s="34" t="s">
        <v>5761</v>
      </c>
      <c r="AF54" s="35">
        <v>5.5866935483870977E-4</v>
      </c>
    </row>
    <row r="55" spans="1:32" x14ac:dyDescent="0.35">
      <c r="A55" s="171">
        <v>9</v>
      </c>
      <c r="B55" s="378" t="s">
        <v>482</v>
      </c>
      <c r="C55" s="189">
        <v>2.3992155441793825E-2</v>
      </c>
      <c r="D55" s="375">
        <v>2.8790586530152588E-2</v>
      </c>
      <c r="S55" s="34">
        <v>51</v>
      </c>
      <c r="T55" s="34" t="s">
        <v>4284</v>
      </c>
      <c r="U55" s="34" t="s">
        <v>5765</v>
      </c>
      <c r="V55" s="35">
        <v>7.1975806451612915E-5</v>
      </c>
      <c r="W55" s="13"/>
      <c r="X55" s="34">
        <v>51</v>
      </c>
      <c r="Y55" s="34" t="s">
        <v>2248</v>
      </c>
      <c r="Z55" s="34" t="s">
        <v>5760</v>
      </c>
      <c r="AA55" s="35">
        <v>1.5389112903225808E-2</v>
      </c>
      <c r="AB55" s="13"/>
      <c r="AC55" s="34">
        <v>51</v>
      </c>
      <c r="AD55" s="34" t="s">
        <v>4573</v>
      </c>
      <c r="AE55" s="34" t="s">
        <v>5760</v>
      </c>
      <c r="AF55" s="35">
        <v>0.18816532258064517</v>
      </c>
    </row>
    <row r="56" spans="1:32" x14ac:dyDescent="0.35">
      <c r="A56" s="171">
        <v>10</v>
      </c>
      <c r="B56" s="378" t="s">
        <v>483</v>
      </c>
      <c r="C56" s="189">
        <v>0.12539189559588498</v>
      </c>
      <c r="D56" s="375">
        <v>0.15047027471506197</v>
      </c>
      <c r="S56" s="34">
        <v>52</v>
      </c>
      <c r="T56" s="34" t="s">
        <v>4284</v>
      </c>
      <c r="U56" s="34" t="s">
        <v>5764</v>
      </c>
      <c r="V56" s="35">
        <v>1.0727822580645162E-7</v>
      </c>
      <c r="W56" s="13"/>
      <c r="X56" s="34">
        <v>52</v>
      </c>
      <c r="Y56" s="34" t="s">
        <v>2248</v>
      </c>
      <c r="Z56" s="34" t="s">
        <v>5759</v>
      </c>
      <c r="AA56" s="35">
        <v>2.4780241935483876E-4</v>
      </c>
      <c r="AB56" s="13"/>
      <c r="AC56" s="34">
        <v>52</v>
      </c>
      <c r="AD56" s="34" t="s">
        <v>4573</v>
      </c>
      <c r="AE56" s="34" t="s">
        <v>5759</v>
      </c>
      <c r="AF56" s="35">
        <v>1.0419354838709679E-2</v>
      </c>
    </row>
    <row r="57" spans="1:32" x14ac:dyDescent="0.35">
      <c r="A57" s="171">
        <v>11</v>
      </c>
      <c r="B57" s="377" t="s">
        <v>484</v>
      </c>
      <c r="C57" s="189">
        <v>2.1892689504035001E-2</v>
      </c>
      <c r="D57" s="375">
        <v>2.6271227404842001E-2</v>
      </c>
      <c r="S57" s="34">
        <v>53</v>
      </c>
      <c r="T57" s="34" t="s">
        <v>4284</v>
      </c>
      <c r="U57" s="34" t="s">
        <v>3838</v>
      </c>
      <c r="V57" s="35">
        <v>0.27232000000000001</v>
      </c>
      <c r="W57" s="13"/>
      <c r="X57" s="34">
        <v>53</v>
      </c>
      <c r="Y57" s="34" t="s">
        <v>2248</v>
      </c>
      <c r="Z57" s="34" t="s">
        <v>5758</v>
      </c>
      <c r="AA57" s="35">
        <v>2.6836693548387097E-3</v>
      </c>
      <c r="AB57" s="13"/>
      <c r="AC57" s="34">
        <v>53</v>
      </c>
      <c r="AD57" s="34" t="s">
        <v>4573</v>
      </c>
      <c r="AE57" s="34" t="s">
        <v>5758</v>
      </c>
      <c r="AF57" s="35">
        <v>5.4838709677419356E-2</v>
      </c>
    </row>
    <row r="58" spans="1:32" x14ac:dyDescent="0.35">
      <c r="A58" s="171">
        <v>12</v>
      </c>
      <c r="B58" s="377" t="s">
        <v>485</v>
      </c>
      <c r="C58" s="189">
        <v>5.0343170597960001E-2</v>
      </c>
      <c r="D58" s="375">
        <v>6.0411804717551996E-2</v>
      </c>
      <c r="S58" s="34">
        <v>54</v>
      </c>
      <c r="T58" s="34" t="s">
        <v>4284</v>
      </c>
      <c r="U58" s="34" t="s">
        <v>3836</v>
      </c>
      <c r="V58" s="35">
        <v>3.4959677419354839E-4</v>
      </c>
      <c r="W58" s="13"/>
      <c r="X58" s="34">
        <v>54</v>
      </c>
      <c r="Y58" s="34" t="s">
        <v>2248</v>
      </c>
      <c r="Z58" s="34" t="s">
        <v>5757</v>
      </c>
      <c r="AA58" s="35">
        <v>9.1512096774193558E-4</v>
      </c>
      <c r="AB58" s="13"/>
      <c r="AC58" s="34">
        <v>54</v>
      </c>
      <c r="AD58" s="34" t="s">
        <v>4573</v>
      </c>
      <c r="AE58" s="34" t="s">
        <v>5757</v>
      </c>
      <c r="AF58" s="35">
        <v>3.838709677419355E-3</v>
      </c>
    </row>
    <row r="59" spans="1:32" x14ac:dyDescent="0.35">
      <c r="A59" s="171">
        <v>13</v>
      </c>
      <c r="B59" s="377" t="s">
        <v>486</v>
      </c>
      <c r="C59" s="189" t="s">
        <v>6926</v>
      </c>
      <c r="D59" s="374" t="s">
        <v>6926</v>
      </c>
      <c r="S59" s="34">
        <v>55</v>
      </c>
      <c r="T59" s="34" t="s">
        <v>4284</v>
      </c>
      <c r="U59" s="34" t="s">
        <v>3836</v>
      </c>
      <c r="V59" s="35">
        <v>6.7895999999999998E-2</v>
      </c>
      <c r="W59" s="13"/>
      <c r="X59" s="34">
        <v>55</v>
      </c>
      <c r="Y59" s="34" t="s">
        <v>2248</v>
      </c>
      <c r="Z59" s="34" t="s">
        <v>5756</v>
      </c>
      <c r="AA59" s="35">
        <v>1.5149193548387097E-4</v>
      </c>
      <c r="AB59" s="13"/>
      <c r="AC59" s="34">
        <v>55</v>
      </c>
      <c r="AD59" s="34" t="s">
        <v>4573</v>
      </c>
      <c r="AE59" s="34" t="s">
        <v>5756</v>
      </c>
      <c r="AF59" s="35">
        <v>3.5302419354838716E-2</v>
      </c>
    </row>
    <row r="60" spans="1:32" x14ac:dyDescent="0.35">
      <c r="A60" s="171">
        <v>14</v>
      </c>
      <c r="B60" s="378" t="s">
        <v>487</v>
      </c>
      <c r="C60" s="189">
        <v>9.3361942748835011E-2</v>
      </c>
      <c r="D60" s="375">
        <v>0.11203433129860201</v>
      </c>
      <c r="S60" s="34">
        <v>56</v>
      </c>
      <c r="T60" s="34" t="s">
        <v>4284</v>
      </c>
      <c r="U60" s="34" t="s">
        <v>3835</v>
      </c>
      <c r="V60" s="35">
        <v>0</v>
      </c>
      <c r="W60" s="13"/>
      <c r="X60" s="34">
        <v>56</v>
      </c>
      <c r="Y60" s="34" t="s">
        <v>2248</v>
      </c>
      <c r="Z60" s="34" t="s">
        <v>5755</v>
      </c>
      <c r="AA60" s="35">
        <v>2.0804435483870971E-2</v>
      </c>
      <c r="AB60" s="13"/>
      <c r="AC60" s="34">
        <v>56</v>
      </c>
      <c r="AD60" s="34" t="s">
        <v>4573</v>
      </c>
      <c r="AE60" s="34" t="s">
        <v>5755</v>
      </c>
      <c r="AF60" s="35">
        <v>5.4495967741935492E-2</v>
      </c>
    </row>
    <row r="61" spans="1:32" x14ac:dyDescent="0.35">
      <c r="A61" s="171">
        <v>15</v>
      </c>
      <c r="B61" s="378" t="s">
        <v>488</v>
      </c>
      <c r="C61" s="189">
        <v>8.1876348020835002E-2</v>
      </c>
      <c r="D61" s="375">
        <v>9.8251617625001994E-2</v>
      </c>
      <c r="S61" s="34">
        <v>57</v>
      </c>
      <c r="T61" s="34" t="s">
        <v>4284</v>
      </c>
      <c r="U61" s="34" t="s">
        <v>5763</v>
      </c>
      <c r="V61" s="35">
        <v>1.6314516129032258E-2</v>
      </c>
      <c r="W61" s="13"/>
      <c r="X61" s="34">
        <v>57</v>
      </c>
      <c r="Y61" s="34" t="s">
        <v>2248</v>
      </c>
      <c r="Z61" s="34" t="s">
        <v>5754</v>
      </c>
      <c r="AA61" s="35">
        <v>1.2133064516129033E-3</v>
      </c>
      <c r="AB61" s="13"/>
      <c r="AC61" s="34">
        <v>57</v>
      </c>
      <c r="AD61" s="34" t="s">
        <v>4573</v>
      </c>
      <c r="AE61" s="34" t="s">
        <v>5754</v>
      </c>
      <c r="AF61" s="35">
        <v>3.3897177419354843E-2</v>
      </c>
    </row>
    <row r="62" spans="1:32" x14ac:dyDescent="0.35">
      <c r="A62" s="171">
        <v>16</v>
      </c>
      <c r="B62" s="378" t="s">
        <v>489</v>
      </c>
      <c r="C62" s="189" t="s">
        <v>6926</v>
      </c>
      <c r="D62" s="374" t="s">
        <v>6926</v>
      </c>
      <c r="S62" s="34">
        <v>58</v>
      </c>
      <c r="T62" s="34" t="s">
        <v>4284</v>
      </c>
      <c r="U62" s="34" t="s">
        <v>5762</v>
      </c>
      <c r="V62" s="35">
        <v>3.7016129032258068E-4</v>
      </c>
      <c r="W62" s="13"/>
      <c r="X62" s="34">
        <v>58</v>
      </c>
      <c r="Y62" s="34" t="s">
        <v>2248</v>
      </c>
      <c r="Z62" s="34" t="s">
        <v>5753</v>
      </c>
      <c r="AA62" s="35">
        <v>2.7247983870967744E-3</v>
      </c>
      <c r="AB62" s="13"/>
      <c r="AC62" s="34">
        <v>58</v>
      </c>
      <c r="AD62" s="34" t="s">
        <v>4573</v>
      </c>
      <c r="AE62" s="34" t="s">
        <v>5753</v>
      </c>
      <c r="AF62" s="35">
        <v>4.8669354838709683E-2</v>
      </c>
    </row>
    <row r="63" spans="1:32" x14ac:dyDescent="0.35">
      <c r="A63" s="171">
        <v>17</v>
      </c>
      <c r="B63" s="378" t="s">
        <v>490</v>
      </c>
      <c r="C63" s="189">
        <v>7.8473983381805001E-2</v>
      </c>
      <c r="D63" s="375">
        <v>9.4168780058165993E-2</v>
      </c>
      <c r="S63" s="34">
        <v>59</v>
      </c>
      <c r="T63" s="34" t="s">
        <v>4284</v>
      </c>
      <c r="U63" s="34" t="s">
        <v>5761</v>
      </c>
      <c r="V63" s="35">
        <v>7.1290322580645166E-6</v>
      </c>
      <c r="W63" s="13"/>
      <c r="X63" s="34">
        <v>59</v>
      </c>
      <c r="Y63" s="34" t="s">
        <v>2248</v>
      </c>
      <c r="Z63" s="34" t="s">
        <v>5752</v>
      </c>
      <c r="AA63" s="35">
        <v>3.0058467741935488E-5</v>
      </c>
      <c r="AB63" s="13"/>
      <c r="AC63" s="34">
        <v>59</v>
      </c>
      <c r="AD63" s="34" t="s">
        <v>4573</v>
      </c>
      <c r="AE63" s="34" t="s">
        <v>5752</v>
      </c>
      <c r="AF63" s="35">
        <v>6.3750000000000001E-2</v>
      </c>
    </row>
    <row r="64" spans="1:32" x14ac:dyDescent="0.35">
      <c r="A64" s="171">
        <v>18</v>
      </c>
      <c r="B64" s="378" t="s">
        <v>459</v>
      </c>
      <c r="C64" s="189">
        <v>5.6793427656135438E-2</v>
      </c>
      <c r="D64" s="375">
        <v>6.8152113187362529E-2</v>
      </c>
      <c r="S64" s="34">
        <v>60</v>
      </c>
      <c r="T64" s="34" t="s">
        <v>4284</v>
      </c>
      <c r="U64" s="34" t="s">
        <v>5760</v>
      </c>
      <c r="V64" s="35">
        <v>7.3346774193548394E-3</v>
      </c>
      <c r="W64" s="13"/>
      <c r="X64" s="34">
        <v>60</v>
      </c>
      <c r="Y64" s="34" t="s">
        <v>2248</v>
      </c>
      <c r="Z64" s="34" t="s">
        <v>5751</v>
      </c>
      <c r="AA64" s="35">
        <v>1.3778225806451615E-5</v>
      </c>
      <c r="AB64" s="13"/>
      <c r="AC64" s="34">
        <v>60</v>
      </c>
      <c r="AD64" s="34" t="s">
        <v>4573</v>
      </c>
      <c r="AE64" s="34" t="s">
        <v>5751</v>
      </c>
      <c r="AF64" s="35">
        <v>2.9167338709677422E-2</v>
      </c>
    </row>
    <row r="65" spans="1:32" x14ac:dyDescent="0.35">
      <c r="A65" s="171">
        <v>19</v>
      </c>
      <c r="B65" s="377" t="s">
        <v>491</v>
      </c>
      <c r="C65" s="189" t="s">
        <v>6926</v>
      </c>
      <c r="D65" s="374" t="s">
        <v>6926</v>
      </c>
      <c r="S65" s="34">
        <v>61</v>
      </c>
      <c r="T65" s="34" t="s">
        <v>4284</v>
      </c>
      <c r="U65" s="34" t="s">
        <v>5759</v>
      </c>
      <c r="V65" s="35">
        <v>3.5645161290322585E-5</v>
      </c>
      <c r="W65" s="13"/>
      <c r="X65" s="34">
        <v>61</v>
      </c>
      <c r="Y65" s="34" t="s">
        <v>2248</v>
      </c>
      <c r="Z65" s="34" t="s">
        <v>5750</v>
      </c>
      <c r="AA65" s="35">
        <v>1.3469758064516131E-5</v>
      </c>
      <c r="AB65" s="13"/>
      <c r="AC65" s="34">
        <v>61</v>
      </c>
      <c r="AD65" s="34" t="s">
        <v>4573</v>
      </c>
      <c r="AE65" s="34" t="s">
        <v>5750</v>
      </c>
      <c r="AF65" s="35">
        <v>2.8516129032258065E-2</v>
      </c>
    </row>
    <row r="66" spans="1:32" x14ac:dyDescent="0.35">
      <c r="A66" s="171">
        <v>20</v>
      </c>
      <c r="B66" s="377" t="s">
        <v>492</v>
      </c>
      <c r="C66" s="189">
        <v>9.0240827517184999E-2</v>
      </c>
      <c r="D66" s="375">
        <v>0.10828899302062199</v>
      </c>
      <c r="S66" s="34">
        <v>62</v>
      </c>
      <c r="T66" s="34" t="s">
        <v>4284</v>
      </c>
      <c r="U66" s="34" t="s">
        <v>5758</v>
      </c>
      <c r="V66" s="35">
        <v>1.5560483870967744E-4</v>
      </c>
      <c r="W66" s="13"/>
      <c r="X66" s="34">
        <v>62</v>
      </c>
      <c r="Y66" s="34" t="s">
        <v>2248</v>
      </c>
      <c r="Z66" s="34" t="s">
        <v>5749</v>
      </c>
      <c r="AA66" s="35">
        <v>4.8326612903225807E-4</v>
      </c>
      <c r="AB66" s="13"/>
      <c r="AC66" s="34">
        <v>62</v>
      </c>
      <c r="AD66" s="34" t="s">
        <v>4573</v>
      </c>
      <c r="AE66" s="34" t="s">
        <v>5749</v>
      </c>
      <c r="AF66" s="35">
        <v>1.8302419354838712E-3</v>
      </c>
    </row>
    <row r="67" spans="1:32" x14ac:dyDescent="0.35">
      <c r="A67" s="171">
        <v>21</v>
      </c>
      <c r="B67" s="377"/>
      <c r="C67" s="189"/>
      <c r="D67" s="375"/>
      <c r="S67" s="34">
        <v>63</v>
      </c>
      <c r="T67" s="34" t="s">
        <v>4284</v>
      </c>
      <c r="U67" s="34" t="s">
        <v>5757</v>
      </c>
      <c r="V67" s="35">
        <v>5.9979838709677425E-4</v>
      </c>
      <c r="W67" s="13"/>
      <c r="X67" s="34">
        <v>63</v>
      </c>
      <c r="Y67" s="34" t="s">
        <v>2248</v>
      </c>
      <c r="Z67" s="34" t="s">
        <v>3833</v>
      </c>
      <c r="AA67" s="35">
        <v>0</v>
      </c>
      <c r="AB67" s="13"/>
      <c r="AC67" s="34">
        <v>63</v>
      </c>
      <c r="AD67" s="34" t="s">
        <v>4573</v>
      </c>
      <c r="AE67" s="34" t="s">
        <v>3833</v>
      </c>
      <c r="AF67" s="35">
        <v>0</v>
      </c>
    </row>
    <row r="68" spans="1:32" x14ac:dyDescent="0.35">
      <c r="A68" s="171">
        <v>22</v>
      </c>
      <c r="B68" s="377"/>
      <c r="C68" s="189"/>
      <c r="D68" s="375"/>
      <c r="S68" s="34">
        <v>64</v>
      </c>
      <c r="T68" s="34" t="s">
        <v>4284</v>
      </c>
      <c r="U68" s="34" t="s">
        <v>5756</v>
      </c>
      <c r="V68" s="35">
        <v>7.883064516129034E-6</v>
      </c>
      <c r="W68" s="13"/>
      <c r="X68" s="34">
        <v>64</v>
      </c>
      <c r="Y68" s="34" t="s">
        <v>2248</v>
      </c>
      <c r="Z68" s="34" t="s">
        <v>5748</v>
      </c>
      <c r="AA68" s="35">
        <v>5.79233870967742E-2</v>
      </c>
      <c r="AB68" s="13"/>
      <c r="AC68" s="34">
        <v>64</v>
      </c>
      <c r="AD68" s="34" t="s">
        <v>4573</v>
      </c>
      <c r="AE68" s="34" t="s">
        <v>5748</v>
      </c>
      <c r="AF68" s="35">
        <v>0.64092741935483877</v>
      </c>
    </row>
    <row r="69" spans="1:32" x14ac:dyDescent="0.35">
      <c r="A69" s="171">
        <v>23</v>
      </c>
      <c r="B69" s="377" t="s">
        <v>495</v>
      </c>
      <c r="C69" s="189">
        <v>6.8781971462555005E-2</v>
      </c>
      <c r="D69" s="375">
        <v>8.2538365755065998E-2</v>
      </c>
      <c r="S69" s="34">
        <v>65</v>
      </c>
      <c r="T69" s="34" t="s">
        <v>4284</v>
      </c>
      <c r="U69" s="34" t="s">
        <v>5755</v>
      </c>
      <c r="V69" s="35">
        <v>2.1764112903225807E-3</v>
      </c>
      <c r="W69" s="13"/>
      <c r="X69" s="34">
        <v>65</v>
      </c>
      <c r="Y69" s="34" t="s">
        <v>2248</v>
      </c>
      <c r="Z69" s="34" t="s">
        <v>3832</v>
      </c>
      <c r="AA69" s="35">
        <v>1.0764</v>
      </c>
      <c r="AB69" s="13"/>
      <c r="AC69" s="34">
        <v>65</v>
      </c>
      <c r="AD69" s="34" t="s">
        <v>4573</v>
      </c>
      <c r="AE69" s="34" t="s">
        <v>3832</v>
      </c>
      <c r="AF69" s="35">
        <v>0.17719758064516131</v>
      </c>
    </row>
    <row r="70" spans="1:32" x14ac:dyDescent="0.35">
      <c r="A70" s="171">
        <v>24</v>
      </c>
      <c r="B70" s="377" t="s">
        <v>496</v>
      </c>
      <c r="C70" s="189">
        <v>0.17104078748110998</v>
      </c>
      <c r="D70" s="375">
        <v>0.20524894497733198</v>
      </c>
      <c r="S70" s="34">
        <v>66</v>
      </c>
      <c r="T70" s="34" t="s">
        <v>4284</v>
      </c>
      <c r="U70" s="34" t="s">
        <v>5754</v>
      </c>
      <c r="V70" s="35">
        <v>1.8576612903225807E-4</v>
      </c>
      <c r="W70" s="13"/>
      <c r="X70" s="34">
        <v>66</v>
      </c>
      <c r="Y70" s="34" t="s">
        <v>2248</v>
      </c>
      <c r="Z70" s="34" t="s">
        <v>3832</v>
      </c>
      <c r="AA70" s="35">
        <v>6.5463709677419366E-2</v>
      </c>
      <c r="AB70" s="13"/>
      <c r="AC70" s="34">
        <v>66</v>
      </c>
      <c r="AD70" s="34" t="s">
        <v>4573</v>
      </c>
      <c r="AE70" s="34" t="s">
        <v>3832</v>
      </c>
      <c r="AF70" s="35">
        <v>2.9164000000000003</v>
      </c>
    </row>
    <row r="71" spans="1:32" x14ac:dyDescent="0.35">
      <c r="A71" s="171">
        <v>25</v>
      </c>
      <c r="B71" s="377" t="s">
        <v>497</v>
      </c>
      <c r="C71" s="189">
        <v>0.23549522310426502</v>
      </c>
      <c r="D71" s="375">
        <v>0.28259426772511803</v>
      </c>
      <c r="S71" s="34">
        <v>67</v>
      </c>
      <c r="T71" s="34" t="s">
        <v>4284</v>
      </c>
      <c r="U71" s="34" t="s">
        <v>5753</v>
      </c>
      <c r="V71" s="35">
        <v>1.7411290322580646E-3</v>
      </c>
      <c r="W71" s="13"/>
      <c r="X71" s="34">
        <v>67</v>
      </c>
      <c r="Y71" s="34" t="s">
        <v>2248</v>
      </c>
      <c r="Z71" s="34" t="s">
        <v>5747</v>
      </c>
      <c r="AA71" s="35">
        <v>7.4032258064516137E-6</v>
      </c>
      <c r="AB71" s="13"/>
      <c r="AC71" s="34">
        <v>67</v>
      </c>
      <c r="AD71" s="34" t="s">
        <v>4573</v>
      </c>
      <c r="AE71" s="34" t="s">
        <v>5747</v>
      </c>
      <c r="AF71" s="35">
        <v>3.2046370967741942E-5</v>
      </c>
    </row>
    <row r="72" spans="1:32" x14ac:dyDescent="0.35">
      <c r="A72" s="171">
        <v>26</v>
      </c>
      <c r="B72" s="377" t="s">
        <v>498</v>
      </c>
      <c r="C72" s="189">
        <v>1.3160960990219024E-2</v>
      </c>
      <c r="D72" s="375">
        <v>1.579315318826283E-2</v>
      </c>
      <c r="S72" s="34">
        <v>68</v>
      </c>
      <c r="T72" s="34" t="s">
        <v>4284</v>
      </c>
      <c r="U72" s="34" t="s">
        <v>5752</v>
      </c>
      <c r="V72" s="35">
        <v>4.0786290322580654E-7</v>
      </c>
      <c r="W72" s="13"/>
      <c r="X72" s="34">
        <v>68</v>
      </c>
      <c r="Y72" s="34" t="s">
        <v>2248</v>
      </c>
      <c r="Z72" s="34" t="s">
        <v>5746</v>
      </c>
      <c r="AA72" s="35">
        <v>1.7993951612903228E-4</v>
      </c>
      <c r="AB72" s="13"/>
      <c r="AC72" s="34">
        <v>68</v>
      </c>
      <c r="AD72" s="34" t="s">
        <v>4573</v>
      </c>
      <c r="AE72" s="34" t="s">
        <v>5746</v>
      </c>
      <c r="AF72" s="35">
        <v>8.3971774193548389E-4</v>
      </c>
    </row>
    <row r="73" spans="1:32" x14ac:dyDescent="0.35">
      <c r="A73" s="171">
        <v>27</v>
      </c>
      <c r="B73" s="378" t="s">
        <v>500</v>
      </c>
      <c r="C73" s="189">
        <v>0.10526711021278501</v>
      </c>
      <c r="D73" s="375">
        <v>0.12632053225534201</v>
      </c>
      <c r="S73" s="34">
        <v>69</v>
      </c>
      <c r="T73" s="34" t="s">
        <v>4284</v>
      </c>
      <c r="U73" s="34" t="s">
        <v>5751</v>
      </c>
      <c r="V73" s="35">
        <v>1.8645161290322583E-7</v>
      </c>
      <c r="W73" s="13"/>
      <c r="X73" s="34">
        <v>69</v>
      </c>
      <c r="Y73" s="34" t="s">
        <v>2248</v>
      </c>
      <c r="Z73" s="34" t="s">
        <v>5745</v>
      </c>
      <c r="AA73" s="35">
        <v>4.8326612903225813E-3</v>
      </c>
      <c r="AB73" s="13"/>
      <c r="AC73" s="34">
        <v>69</v>
      </c>
      <c r="AD73" s="34" t="s">
        <v>4573</v>
      </c>
      <c r="AE73" s="34" t="s">
        <v>5745</v>
      </c>
      <c r="AF73" s="35">
        <v>6.7177419354838716E-2</v>
      </c>
    </row>
    <row r="74" spans="1:32" x14ac:dyDescent="0.35">
      <c r="A74" s="171">
        <v>28</v>
      </c>
      <c r="B74" s="378" t="s">
        <v>500</v>
      </c>
      <c r="C74" s="189">
        <v>0.10526711021278501</v>
      </c>
      <c r="D74" s="375">
        <v>0.12632053225534201</v>
      </c>
      <c r="S74" s="34">
        <v>70</v>
      </c>
      <c r="T74" s="34" t="s">
        <v>4284</v>
      </c>
      <c r="U74" s="34" t="s">
        <v>5750</v>
      </c>
      <c r="V74" s="35">
        <v>1.8199596774193548E-7</v>
      </c>
      <c r="W74" s="13"/>
      <c r="X74" s="34">
        <v>70</v>
      </c>
      <c r="Y74" s="34" t="s">
        <v>2248</v>
      </c>
      <c r="Z74" s="34" t="s">
        <v>5744</v>
      </c>
      <c r="AA74" s="35">
        <v>6.3407258064516137E-2</v>
      </c>
      <c r="AB74" s="13"/>
      <c r="AC74" s="34">
        <v>70</v>
      </c>
      <c r="AD74" s="34" t="s">
        <v>4573</v>
      </c>
      <c r="AE74" s="34" t="s">
        <v>5744</v>
      </c>
      <c r="AF74" s="35">
        <v>0.47983870967741937</v>
      </c>
    </row>
    <row r="75" spans="1:32" x14ac:dyDescent="0.35">
      <c r="A75" s="171">
        <v>29</v>
      </c>
      <c r="B75" s="377" t="s">
        <v>501</v>
      </c>
      <c r="C75" s="189">
        <v>0.24503250194111115</v>
      </c>
      <c r="D75" s="375">
        <v>0.29403900232933339</v>
      </c>
      <c r="S75" s="34">
        <v>71</v>
      </c>
      <c r="T75" s="34" t="s">
        <v>4284</v>
      </c>
      <c r="U75" s="34" t="s">
        <v>5749</v>
      </c>
      <c r="V75" s="35">
        <v>2.6219758064516133E-4</v>
      </c>
      <c r="W75" s="13"/>
      <c r="X75" s="34">
        <v>71</v>
      </c>
      <c r="Y75" s="34" t="s">
        <v>2248</v>
      </c>
      <c r="Z75" s="34" t="s">
        <v>5741</v>
      </c>
      <c r="AA75" s="35">
        <v>2.8858870967741939E-3</v>
      </c>
      <c r="AB75" s="13"/>
      <c r="AC75" s="34">
        <v>71</v>
      </c>
      <c r="AD75" s="34" t="s">
        <v>4573</v>
      </c>
      <c r="AE75" s="34" t="s">
        <v>5741</v>
      </c>
      <c r="AF75" s="35">
        <v>9.1854838709677422E-2</v>
      </c>
    </row>
    <row r="76" spans="1:32" x14ac:dyDescent="0.35">
      <c r="A76" s="171">
        <v>30</v>
      </c>
      <c r="B76" s="377" t="s">
        <v>502</v>
      </c>
      <c r="C76" s="189" t="s">
        <v>6926</v>
      </c>
      <c r="D76" s="374" t="s">
        <v>6926</v>
      </c>
      <c r="S76" s="34">
        <v>72</v>
      </c>
      <c r="T76" s="34" t="s">
        <v>4284</v>
      </c>
      <c r="U76" s="34" t="s">
        <v>3833</v>
      </c>
      <c r="V76" s="35">
        <v>0</v>
      </c>
      <c r="W76" s="13"/>
      <c r="X76" s="34">
        <v>72</v>
      </c>
      <c r="Y76" s="34" t="s">
        <v>2248</v>
      </c>
      <c r="Z76" s="34" t="s">
        <v>5739</v>
      </c>
      <c r="AA76" s="35">
        <v>4.1129032258064517E-4</v>
      </c>
      <c r="AB76" s="13"/>
      <c r="AC76" s="34">
        <v>72</v>
      </c>
      <c r="AD76" s="34" t="s">
        <v>4573</v>
      </c>
      <c r="AE76" s="34" t="s">
        <v>5739</v>
      </c>
      <c r="AF76" s="35">
        <v>1.9776209677419359E-3</v>
      </c>
    </row>
    <row r="77" spans="1:32" x14ac:dyDescent="0.35">
      <c r="A77" s="171">
        <v>31</v>
      </c>
      <c r="B77" s="377" t="s">
        <v>503</v>
      </c>
      <c r="C77" s="189" t="s">
        <v>6926</v>
      </c>
      <c r="D77" s="374" t="s">
        <v>6926</v>
      </c>
      <c r="S77" s="34">
        <v>73</v>
      </c>
      <c r="T77" s="34" t="s">
        <v>4284</v>
      </c>
      <c r="U77" s="34" t="s">
        <v>5748</v>
      </c>
      <c r="V77" s="35">
        <v>3.1395161290322583E-2</v>
      </c>
      <c r="W77" s="13"/>
      <c r="X77" s="34">
        <v>73</v>
      </c>
      <c r="Y77" s="34" t="s">
        <v>2248</v>
      </c>
      <c r="Z77" s="34" t="s">
        <v>5738</v>
      </c>
      <c r="AA77" s="35">
        <v>1.0008064516129032E-4</v>
      </c>
      <c r="AB77" s="13"/>
      <c r="AC77" s="34">
        <v>73</v>
      </c>
      <c r="AD77" s="34" t="s">
        <v>4573</v>
      </c>
      <c r="AE77" s="34" t="s">
        <v>5738</v>
      </c>
      <c r="AF77" s="35">
        <v>1.477217741935484E-3</v>
      </c>
    </row>
    <row r="78" spans="1:32" x14ac:dyDescent="0.35">
      <c r="A78" s="171">
        <v>32</v>
      </c>
      <c r="B78" s="377" t="s">
        <v>504</v>
      </c>
      <c r="C78" s="189" t="s">
        <v>6926</v>
      </c>
      <c r="D78" s="374" t="s">
        <v>6926</v>
      </c>
      <c r="S78" s="34">
        <v>74</v>
      </c>
      <c r="T78" s="34" t="s">
        <v>4284</v>
      </c>
      <c r="U78" s="34" t="s">
        <v>3832</v>
      </c>
      <c r="V78" s="35">
        <v>5.3467741935483877E-3</v>
      </c>
      <c r="W78" s="13"/>
      <c r="X78" s="34">
        <v>74</v>
      </c>
      <c r="Y78" s="34" t="s">
        <v>2248</v>
      </c>
      <c r="Z78" s="34" t="s">
        <v>5737</v>
      </c>
      <c r="AA78" s="35">
        <v>5.8951612903225814E-3</v>
      </c>
      <c r="AB78" s="13"/>
      <c r="AC78" s="34">
        <v>74</v>
      </c>
      <c r="AD78" s="34" t="s">
        <v>4573</v>
      </c>
      <c r="AE78" s="34" t="s">
        <v>5737</v>
      </c>
      <c r="AF78" s="35">
        <v>2.1661290322580646E-2</v>
      </c>
    </row>
    <row r="79" spans="1:32" x14ac:dyDescent="0.35">
      <c r="A79" s="171">
        <v>33</v>
      </c>
      <c r="B79" s="377" t="s">
        <v>505</v>
      </c>
      <c r="C79" s="189">
        <v>0.15078488592434502</v>
      </c>
      <c r="D79" s="375">
        <v>0.18094186310921404</v>
      </c>
      <c r="S79" s="34">
        <v>75</v>
      </c>
      <c r="T79" s="34" t="s">
        <v>4284</v>
      </c>
      <c r="U79" s="34" t="s">
        <v>3832</v>
      </c>
      <c r="V79" s="35">
        <v>0.60627999999999993</v>
      </c>
      <c r="W79" s="13"/>
      <c r="X79" s="34">
        <v>75</v>
      </c>
      <c r="Y79" s="34" t="s">
        <v>2248</v>
      </c>
      <c r="Z79" s="34" t="s">
        <v>5736</v>
      </c>
      <c r="AA79" s="35">
        <v>5.3125000000000004E-4</v>
      </c>
      <c r="AB79" s="13"/>
      <c r="AC79" s="34">
        <v>75</v>
      </c>
      <c r="AD79" s="34" t="s">
        <v>4573</v>
      </c>
      <c r="AE79" s="34" t="s">
        <v>5736</v>
      </c>
      <c r="AF79" s="35">
        <v>1.2098790322580646E-2</v>
      </c>
    </row>
    <row r="80" spans="1:32" x14ac:dyDescent="0.35">
      <c r="A80" s="171">
        <v>34</v>
      </c>
      <c r="B80" s="377" t="s">
        <v>506</v>
      </c>
      <c r="C80" s="189">
        <v>3.2994175460648978E-2</v>
      </c>
      <c r="D80" s="375">
        <v>3.9593010552778772E-2</v>
      </c>
      <c r="S80" s="34">
        <v>76</v>
      </c>
      <c r="T80" s="34" t="s">
        <v>4284</v>
      </c>
      <c r="U80" s="34" t="s">
        <v>5747</v>
      </c>
      <c r="V80" s="35">
        <v>6.3750000000000004E-7</v>
      </c>
      <c r="W80" s="13"/>
      <c r="X80" s="34">
        <v>76</v>
      </c>
      <c r="Y80" s="34" t="s">
        <v>2248</v>
      </c>
      <c r="Z80" s="34" t="s">
        <v>5735</v>
      </c>
      <c r="AA80" s="35">
        <v>4.6612903225806451E-4</v>
      </c>
      <c r="AB80" s="13"/>
      <c r="AC80" s="34">
        <v>76</v>
      </c>
      <c r="AD80" s="34" t="s">
        <v>4573</v>
      </c>
      <c r="AE80" s="34" t="s">
        <v>5735</v>
      </c>
      <c r="AF80" s="35">
        <v>0.13949596774193548</v>
      </c>
    </row>
    <row r="81" spans="1:32" x14ac:dyDescent="0.35">
      <c r="A81" s="171">
        <v>35</v>
      </c>
      <c r="B81" s="377" t="s">
        <v>507</v>
      </c>
      <c r="C81" s="189">
        <v>2.289284527165E-2</v>
      </c>
      <c r="D81" s="375">
        <v>2.7471414325979999E-2</v>
      </c>
      <c r="S81" s="34">
        <v>77</v>
      </c>
      <c r="T81" s="34" t="s">
        <v>4284</v>
      </c>
      <c r="U81" s="34" t="s">
        <v>5746</v>
      </c>
      <c r="V81" s="35">
        <v>1.4875000000000001E-4</v>
      </c>
      <c r="W81" s="13"/>
      <c r="X81" s="34">
        <v>77</v>
      </c>
      <c r="Y81" s="34" t="s">
        <v>2248</v>
      </c>
      <c r="Z81" s="34" t="s">
        <v>5734</v>
      </c>
      <c r="AA81" s="35">
        <v>6.8891129032258077E-6</v>
      </c>
      <c r="AB81" s="13"/>
      <c r="AC81" s="34">
        <v>77</v>
      </c>
      <c r="AD81" s="34" t="s">
        <v>4573</v>
      </c>
      <c r="AE81" s="34" t="s">
        <v>5734</v>
      </c>
      <c r="AF81" s="35">
        <v>3.2183467741935482E-5</v>
      </c>
    </row>
    <row r="82" spans="1:32" x14ac:dyDescent="0.35">
      <c r="A82" s="171">
        <v>36</v>
      </c>
      <c r="B82" s="377" t="s">
        <v>509</v>
      </c>
      <c r="C82" s="189" t="s">
        <v>6926</v>
      </c>
      <c r="D82" s="374" t="s">
        <v>6926</v>
      </c>
      <c r="S82" s="34">
        <v>78</v>
      </c>
      <c r="T82" s="34" t="s">
        <v>4284</v>
      </c>
      <c r="U82" s="34" t="s">
        <v>5745</v>
      </c>
      <c r="V82" s="35">
        <v>1.3401209677419356E-3</v>
      </c>
      <c r="W82" s="13"/>
      <c r="X82" s="34">
        <v>78</v>
      </c>
      <c r="Y82" s="34" t="s">
        <v>2248</v>
      </c>
      <c r="Z82" s="34" t="s">
        <v>5733</v>
      </c>
      <c r="AA82" s="35">
        <v>1.4052419354838709E-4</v>
      </c>
      <c r="AB82" s="13"/>
      <c r="AC82" s="34">
        <v>78</v>
      </c>
      <c r="AD82" s="34" t="s">
        <v>4573</v>
      </c>
      <c r="AE82" s="34" t="s">
        <v>5733</v>
      </c>
      <c r="AF82" s="35">
        <v>8.2258064516129033E-4</v>
      </c>
    </row>
    <row r="83" spans="1:32" x14ac:dyDescent="0.35">
      <c r="A83" s="171">
        <v>37</v>
      </c>
      <c r="B83" s="377" t="s">
        <v>509</v>
      </c>
      <c r="C83" s="189" t="s">
        <v>6926</v>
      </c>
      <c r="D83" s="374" t="s">
        <v>6926</v>
      </c>
      <c r="S83" s="34">
        <v>79</v>
      </c>
      <c r="T83" s="34" t="s">
        <v>4284</v>
      </c>
      <c r="U83" s="34" t="s">
        <v>5744</v>
      </c>
      <c r="V83" s="35">
        <v>1.6588709677419357E-2</v>
      </c>
      <c r="W83" s="13"/>
      <c r="X83" s="34">
        <v>79</v>
      </c>
      <c r="Y83" s="34" t="s">
        <v>2248</v>
      </c>
      <c r="Z83" s="34" t="s">
        <v>5732</v>
      </c>
      <c r="AA83" s="35">
        <v>3.4239919354838713E-4</v>
      </c>
      <c r="AB83" s="13"/>
      <c r="AC83" s="34">
        <v>79</v>
      </c>
      <c r="AD83" s="34" t="s">
        <v>4573</v>
      </c>
      <c r="AE83" s="34" t="s">
        <v>5732</v>
      </c>
      <c r="AF83" s="35">
        <v>3.8044354838709681E-3</v>
      </c>
    </row>
    <row r="84" spans="1:32" x14ac:dyDescent="0.35">
      <c r="A84" s="171">
        <v>38</v>
      </c>
      <c r="B84" s="377" t="s">
        <v>510</v>
      </c>
      <c r="C84" s="189" t="s">
        <v>6926</v>
      </c>
      <c r="D84" s="374" t="s">
        <v>6926</v>
      </c>
      <c r="S84" s="34">
        <v>80</v>
      </c>
      <c r="T84" s="34" t="s">
        <v>4284</v>
      </c>
      <c r="U84" s="34" t="s">
        <v>5741</v>
      </c>
      <c r="V84" s="35">
        <v>3.9758064516129036E-4</v>
      </c>
      <c r="W84" s="13"/>
      <c r="X84" s="34">
        <v>80</v>
      </c>
      <c r="Y84" s="34" t="s">
        <v>2248</v>
      </c>
      <c r="Z84" s="34" t="s">
        <v>5731</v>
      </c>
      <c r="AA84" s="35">
        <v>1.5320564516129034E-4</v>
      </c>
      <c r="AB84" s="13"/>
      <c r="AC84" s="34">
        <v>80</v>
      </c>
      <c r="AD84" s="34" t="s">
        <v>4573</v>
      </c>
      <c r="AE84" s="34" t="s">
        <v>5731</v>
      </c>
      <c r="AF84" s="35">
        <v>2.1558467741935486E-3</v>
      </c>
    </row>
    <row r="85" spans="1:32" x14ac:dyDescent="0.35">
      <c r="A85" s="171">
        <v>39</v>
      </c>
      <c r="B85" s="377" t="s">
        <v>511</v>
      </c>
      <c r="C85" s="189">
        <v>5.2667648154399997E-2</v>
      </c>
      <c r="D85" s="375">
        <v>6.3201177785279991E-2</v>
      </c>
      <c r="S85" s="34">
        <v>81</v>
      </c>
      <c r="T85" s="34" t="s">
        <v>4284</v>
      </c>
      <c r="U85" s="34" t="s">
        <v>5739</v>
      </c>
      <c r="V85" s="35">
        <v>1.3572580645161291E-4</v>
      </c>
      <c r="W85" s="13"/>
      <c r="X85" s="34">
        <v>81</v>
      </c>
      <c r="Y85" s="34" t="s">
        <v>2248</v>
      </c>
      <c r="Z85" s="34" t="s">
        <v>5730</v>
      </c>
      <c r="AA85" s="35">
        <v>5.4153225806451619E-6</v>
      </c>
      <c r="AB85" s="13"/>
      <c r="AC85" s="34">
        <v>81</v>
      </c>
      <c r="AD85" s="34" t="s">
        <v>4573</v>
      </c>
      <c r="AE85" s="34" t="s">
        <v>5730</v>
      </c>
      <c r="AF85" s="35">
        <v>5.3467741935483873E-4</v>
      </c>
    </row>
    <row r="86" spans="1:32" x14ac:dyDescent="0.35">
      <c r="A86" s="171">
        <v>40</v>
      </c>
      <c r="B86" s="378" t="s">
        <v>512</v>
      </c>
      <c r="C86" s="189">
        <v>0.12547428007295425</v>
      </c>
      <c r="D86" s="375">
        <v>0.1505691360875451</v>
      </c>
      <c r="S86" s="34">
        <v>82</v>
      </c>
      <c r="T86" s="34" t="s">
        <v>4284</v>
      </c>
      <c r="U86" s="34" t="s">
        <v>5738</v>
      </c>
      <c r="V86" s="35">
        <v>7.0947580645161291E-6</v>
      </c>
      <c r="W86" s="13"/>
      <c r="X86" s="34">
        <v>82</v>
      </c>
      <c r="Y86" s="34" t="s">
        <v>2248</v>
      </c>
      <c r="Z86" s="34" t="s">
        <v>5729</v>
      </c>
      <c r="AA86" s="35">
        <v>2.2758064516129036E-5</v>
      </c>
      <c r="AB86" s="13"/>
      <c r="AC86" s="34">
        <v>82</v>
      </c>
      <c r="AD86" s="34" t="s">
        <v>4573</v>
      </c>
      <c r="AE86" s="34" t="s">
        <v>5729</v>
      </c>
      <c r="AF86" s="35">
        <v>1.4463709677419357E-2</v>
      </c>
    </row>
    <row r="87" spans="1:32" x14ac:dyDescent="0.35">
      <c r="A87" s="171">
        <v>41</v>
      </c>
      <c r="B87" s="377" t="s">
        <v>513</v>
      </c>
      <c r="C87" s="189">
        <v>1.4339723201359999E-2</v>
      </c>
      <c r="D87" s="375">
        <v>1.7207667841631996E-2</v>
      </c>
      <c r="S87" s="34">
        <v>83</v>
      </c>
      <c r="T87" s="34" t="s">
        <v>4284</v>
      </c>
      <c r="U87" s="34" t="s">
        <v>5737</v>
      </c>
      <c r="V87" s="35">
        <v>4.7298387096774194E-3</v>
      </c>
      <c r="W87" s="13"/>
      <c r="X87" s="34">
        <v>83</v>
      </c>
      <c r="Y87" s="34" t="s">
        <v>2248</v>
      </c>
      <c r="Z87" s="34" t="s">
        <v>5728</v>
      </c>
      <c r="AA87" s="35">
        <v>5.6552419354838713E-5</v>
      </c>
      <c r="AB87" s="13"/>
      <c r="AC87" s="34">
        <v>83</v>
      </c>
      <c r="AD87" s="34" t="s">
        <v>4573</v>
      </c>
      <c r="AE87" s="34" t="s">
        <v>5728</v>
      </c>
      <c r="AF87" s="35">
        <v>1.5217741935483873E-2</v>
      </c>
    </row>
    <row r="88" spans="1:32" x14ac:dyDescent="0.35">
      <c r="A88" s="171">
        <v>42</v>
      </c>
      <c r="B88" s="377" t="s">
        <v>514</v>
      </c>
      <c r="C88" s="189" t="s">
        <v>6926</v>
      </c>
      <c r="D88" s="374" t="s">
        <v>6926</v>
      </c>
      <c r="S88" s="34">
        <v>84</v>
      </c>
      <c r="T88" s="34" t="s">
        <v>4284</v>
      </c>
      <c r="U88" s="34" t="s">
        <v>5736</v>
      </c>
      <c r="V88" s="35">
        <v>3.3383064516129034E-6</v>
      </c>
      <c r="W88" s="13"/>
      <c r="X88" s="34">
        <v>84</v>
      </c>
      <c r="Y88" s="34" t="s">
        <v>2248</v>
      </c>
      <c r="Z88" s="34" t="s">
        <v>5727</v>
      </c>
      <c r="AA88" s="35">
        <v>5.895161290322581E-5</v>
      </c>
      <c r="AB88" s="13"/>
      <c r="AC88" s="34">
        <v>84</v>
      </c>
      <c r="AD88" s="34" t="s">
        <v>4573</v>
      </c>
      <c r="AE88" s="34" t="s">
        <v>5727</v>
      </c>
      <c r="AF88" s="35">
        <v>0.28756048387096778</v>
      </c>
    </row>
    <row r="89" spans="1:32" x14ac:dyDescent="0.35">
      <c r="A89" s="171">
        <v>43</v>
      </c>
      <c r="B89" s="377" t="s">
        <v>515</v>
      </c>
      <c r="C89" s="189">
        <v>5.3475487931000005E-4</v>
      </c>
      <c r="D89" s="375">
        <v>6.4170585517200006E-4</v>
      </c>
      <c r="S89" s="34">
        <v>85</v>
      </c>
      <c r="T89" s="34" t="s">
        <v>4284</v>
      </c>
      <c r="U89" s="34" t="s">
        <v>5735</v>
      </c>
      <c r="V89" s="35">
        <v>3.5987903225806457E-5</v>
      </c>
      <c r="W89" s="13"/>
      <c r="X89" s="34">
        <v>85</v>
      </c>
      <c r="Y89" s="34" t="s">
        <v>2248</v>
      </c>
      <c r="Z89" s="34" t="s">
        <v>5724</v>
      </c>
      <c r="AA89" s="35">
        <v>1.3504032258064517E-5</v>
      </c>
      <c r="AB89" s="13"/>
      <c r="AC89" s="34">
        <v>85</v>
      </c>
      <c r="AD89" s="34" t="s">
        <v>4573</v>
      </c>
      <c r="AE89" s="34" t="s">
        <v>5724</v>
      </c>
      <c r="AF89" s="35">
        <v>5.0383064516129034E-5</v>
      </c>
    </row>
    <row r="90" spans="1:32" x14ac:dyDescent="0.35">
      <c r="A90" s="171">
        <v>44</v>
      </c>
      <c r="B90" s="377" t="s">
        <v>516</v>
      </c>
      <c r="C90" s="189">
        <v>1.542811595681E-2</v>
      </c>
      <c r="D90" s="375">
        <v>1.8513739148172E-2</v>
      </c>
      <c r="S90" s="34">
        <v>86</v>
      </c>
      <c r="T90" s="34" t="s">
        <v>4284</v>
      </c>
      <c r="U90" s="34" t="s">
        <v>5734</v>
      </c>
      <c r="V90" s="35">
        <v>3.4616935483870971E-7</v>
      </c>
      <c r="W90" s="13"/>
      <c r="X90" s="34">
        <v>86</v>
      </c>
      <c r="Y90" s="34" t="s">
        <v>2248</v>
      </c>
      <c r="Z90" s="34" t="s">
        <v>3829</v>
      </c>
      <c r="AA90" s="35">
        <v>6.1456000000000004E-2</v>
      </c>
      <c r="AB90" s="13"/>
      <c r="AC90" s="34">
        <v>86</v>
      </c>
      <c r="AD90" s="34" t="s">
        <v>4573</v>
      </c>
      <c r="AE90" s="34" t="s">
        <v>3829</v>
      </c>
      <c r="AF90" s="35">
        <v>0.55199999999999994</v>
      </c>
    </row>
    <row r="91" spans="1:32" x14ac:dyDescent="0.35">
      <c r="A91" s="171">
        <v>45</v>
      </c>
      <c r="B91" s="377" t="s">
        <v>517</v>
      </c>
      <c r="C91" s="189">
        <v>8.2112863843750005E-3</v>
      </c>
      <c r="D91" s="375">
        <v>9.8535436612500003E-3</v>
      </c>
      <c r="S91" s="34">
        <v>87</v>
      </c>
      <c r="T91" s="34" t="s">
        <v>4284</v>
      </c>
      <c r="U91" s="34" t="s">
        <v>5733</v>
      </c>
      <c r="V91" s="35">
        <v>2.6973790322580651E-6</v>
      </c>
      <c r="W91" s="13"/>
      <c r="X91" s="34">
        <v>87</v>
      </c>
      <c r="Y91" s="34" t="s">
        <v>2248</v>
      </c>
      <c r="Z91" s="34" t="s">
        <v>5723</v>
      </c>
      <c r="AA91" s="35">
        <v>2.4883064516129035E-4</v>
      </c>
      <c r="AB91" s="13"/>
      <c r="AC91" s="34">
        <v>87</v>
      </c>
      <c r="AD91" s="34" t="s">
        <v>4573</v>
      </c>
      <c r="AE91" s="34" t="s">
        <v>5723</v>
      </c>
      <c r="AF91" s="35">
        <v>7.9173387096774202E-4</v>
      </c>
    </row>
    <row r="92" spans="1:32" x14ac:dyDescent="0.35">
      <c r="A92" s="171">
        <v>46</v>
      </c>
      <c r="B92" s="377" t="s">
        <v>518</v>
      </c>
      <c r="C92" s="189">
        <v>6.4376992998624996E-2</v>
      </c>
      <c r="D92" s="375">
        <v>7.7252391598349998E-2</v>
      </c>
      <c r="S92" s="34">
        <v>88</v>
      </c>
      <c r="T92" s="34" t="s">
        <v>4284</v>
      </c>
      <c r="U92" s="34" t="s">
        <v>5732</v>
      </c>
      <c r="V92" s="35">
        <v>1.1002016129032259E-5</v>
      </c>
      <c r="W92" s="13"/>
      <c r="X92" s="34">
        <v>88</v>
      </c>
      <c r="Y92" s="34" t="s">
        <v>2248</v>
      </c>
      <c r="Z92" s="34" t="s">
        <v>5722</v>
      </c>
      <c r="AA92" s="35">
        <v>2.3135080645161291E-2</v>
      </c>
      <c r="AB92" s="13"/>
      <c r="AC92" s="34">
        <v>88</v>
      </c>
      <c r="AD92" s="34" t="s">
        <v>4573</v>
      </c>
      <c r="AE92" s="34" t="s">
        <v>5722</v>
      </c>
      <c r="AF92" s="35">
        <v>8.5342741935483885E-2</v>
      </c>
    </row>
    <row r="93" spans="1:32" x14ac:dyDescent="0.35">
      <c r="A93" s="171">
        <v>47</v>
      </c>
      <c r="B93" s="377" t="s">
        <v>519</v>
      </c>
      <c r="C93" s="189">
        <v>5.1224909715695002E-2</v>
      </c>
      <c r="D93" s="375">
        <v>6.1469891658834E-2</v>
      </c>
      <c r="S93" s="34">
        <v>89</v>
      </c>
      <c r="T93" s="34" t="s">
        <v>4284</v>
      </c>
      <c r="U93" s="34" t="s">
        <v>5731</v>
      </c>
      <c r="V93" s="35">
        <v>3.2286290322580648E-5</v>
      </c>
      <c r="W93" s="13"/>
      <c r="X93" s="34">
        <v>89</v>
      </c>
      <c r="Y93" s="34" t="s">
        <v>2248</v>
      </c>
      <c r="Z93" s="34" t="s">
        <v>5721</v>
      </c>
      <c r="AA93" s="35">
        <v>1.4909274193548388E-3</v>
      </c>
      <c r="AB93" s="13"/>
      <c r="AC93" s="34">
        <v>89</v>
      </c>
      <c r="AD93" s="34" t="s">
        <v>4573</v>
      </c>
      <c r="AE93" s="34" t="s">
        <v>5721</v>
      </c>
      <c r="AF93" s="35">
        <v>4.7298387096774194E-3</v>
      </c>
    </row>
    <row r="94" spans="1:32" x14ac:dyDescent="0.35">
      <c r="A94" s="171">
        <v>48</v>
      </c>
      <c r="B94" s="377" t="s">
        <v>520</v>
      </c>
      <c r="C94" s="189">
        <v>9.4021340690209995E-2</v>
      </c>
      <c r="D94" s="375">
        <v>0.11282560882825199</v>
      </c>
      <c r="S94" s="34">
        <v>90</v>
      </c>
      <c r="T94" s="34" t="s">
        <v>4284</v>
      </c>
      <c r="U94" s="34" t="s">
        <v>5730</v>
      </c>
      <c r="V94" s="35">
        <v>7.2661290322580647E-6</v>
      </c>
      <c r="W94" s="13"/>
      <c r="X94" s="34">
        <v>90</v>
      </c>
      <c r="Y94" s="34" t="s">
        <v>2248</v>
      </c>
      <c r="Z94" s="34" t="s">
        <v>5720</v>
      </c>
      <c r="AA94" s="35">
        <v>3.7016129032258068E-4</v>
      </c>
      <c r="AB94" s="13"/>
      <c r="AC94" s="34">
        <v>90</v>
      </c>
      <c r="AD94" s="34" t="s">
        <v>4573</v>
      </c>
      <c r="AE94" s="34" t="s">
        <v>5720</v>
      </c>
      <c r="AF94" s="35">
        <v>8.431451612903226E-3</v>
      </c>
    </row>
    <row r="95" spans="1:32" x14ac:dyDescent="0.35">
      <c r="A95" s="171">
        <v>49</v>
      </c>
      <c r="B95" s="377" t="s">
        <v>521</v>
      </c>
      <c r="C95" s="189">
        <v>0.17342148765078405</v>
      </c>
      <c r="D95" s="375">
        <v>0.20810578518094086</v>
      </c>
      <c r="S95" s="34">
        <v>91</v>
      </c>
      <c r="T95" s="34" t="s">
        <v>4284</v>
      </c>
      <c r="U95" s="34" t="s">
        <v>5729</v>
      </c>
      <c r="V95" s="35">
        <v>1.5183467741935485E-4</v>
      </c>
      <c r="W95" s="13"/>
      <c r="X95" s="34">
        <v>91</v>
      </c>
      <c r="Y95" s="34" t="s">
        <v>2248</v>
      </c>
      <c r="Z95" s="34" t="s">
        <v>5719</v>
      </c>
      <c r="AA95" s="35">
        <v>2.6733870967741939E-2</v>
      </c>
      <c r="AB95" s="13"/>
      <c r="AC95" s="34">
        <v>91</v>
      </c>
      <c r="AD95" s="34" t="s">
        <v>4573</v>
      </c>
      <c r="AE95" s="34" t="s">
        <v>5719</v>
      </c>
      <c r="AF95" s="35">
        <v>2.3340725806451617</v>
      </c>
    </row>
    <row r="96" spans="1:32" x14ac:dyDescent="0.35">
      <c r="A96" s="171">
        <v>50</v>
      </c>
      <c r="B96" s="378" t="s">
        <v>522</v>
      </c>
      <c r="C96" s="189">
        <v>4.9543383980790001E-2</v>
      </c>
      <c r="D96" s="375">
        <v>5.9452060776948E-2</v>
      </c>
      <c r="S96" s="34">
        <v>92</v>
      </c>
      <c r="T96" s="34" t="s">
        <v>4284</v>
      </c>
      <c r="U96" s="34" t="s">
        <v>5728</v>
      </c>
      <c r="V96" s="35">
        <v>1.7068548387096777E-4</v>
      </c>
      <c r="W96" s="13"/>
      <c r="X96" s="34">
        <v>92</v>
      </c>
      <c r="Y96" s="34" t="s">
        <v>2248</v>
      </c>
      <c r="Z96" s="34" t="s">
        <v>3828</v>
      </c>
      <c r="AA96" s="35">
        <v>0</v>
      </c>
      <c r="AB96" s="13"/>
      <c r="AC96" s="34">
        <v>92</v>
      </c>
      <c r="AD96" s="34" t="s">
        <v>4573</v>
      </c>
      <c r="AE96" s="34" t="s">
        <v>3828</v>
      </c>
      <c r="AF96" s="35">
        <v>0</v>
      </c>
    </row>
    <row r="97" spans="1:32" x14ac:dyDescent="0.35">
      <c r="A97" s="171">
        <v>51</v>
      </c>
      <c r="B97" s="377" t="s">
        <v>523</v>
      </c>
      <c r="C97" s="189" t="s">
        <v>6926</v>
      </c>
      <c r="D97" s="374" t="s">
        <v>6926</v>
      </c>
      <c r="S97" s="34">
        <v>93</v>
      </c>
      <c r="T97" s="34" t="s">
        <v>4284</v>
      </c>
      <c r="U97" s="34" t="s">
        <v>5727</v>
      </c>
      <c r="V97" s="35">
        <v>2.906451612903226E-3</v>
      </c>
      <c r="W97" s="13"/>
      <c r="X97" s="34">
        <v>93</v>
      </c>
      <c r="Y97" s="34" t="s">
        <v>2248</v>
      </c>
      <c r="Z97" s="34" t="s">
        <v>5717</v>
      </c>
      <c r="AA97" s="35">
        <v>4.524193548387097E-4</v>
      </c>
      <c r="AB97" s="13"/>
      <c r="AC97" s="34">
        <v>93</v>
      </c>
      <c r="AD97" s="34" t="s">
        <v>4573</v>
      </c>
      <c r="AE97" s="34" t="s">
        <v>5717</v>
      </c>
      <c r="AF97" s="35">
        <v>1.7719758064516132E-3</v>
      </c>
    </row>
    <row r="98" spans="1:32" x14ac:dyDescent="0.35">
      <c r="A98" s="171">
        <v>52</v>
      </c>
      <c r="B98" s="377" t="s">
        <v>524</v>
      </c>
      <c r="C98" s="189" t="s">
        <v>6926</v>
      </c>
      <c r="D98" s="374" t="s">
        <v>6926</v>
      </c>
      <c r="S98" s="34">
        <v>94</v>
      </c>
      <c r="T98" s="34" t="s">
        <v>4284</v>
      </c>
      <c r="U98" s="34" t="s">
        <v>5724</v>
      </c>
      <c r="V98" s="35">
        <v>6.1350806451612902E-6</v>
      </c>
      <c r="W98" s="13"/>
      <c r="X98" s="34">
        <v>94</v>
      </c>
      <c r="Y98" s="34" t="s">
        <v>2248</v>
      </c>
      <c r="Z98" s="34" t="s">
        <v>3826</v>
      </c>
      <c r="AA98" s="35">
        <v>0</v>
      </c>
      <c r="AB98" s="13"/>
      <c r="AC98" s="34">
        <v>94</v>
      </c>
      <c r="AD98" s="34" t="s">
        <v>4573</v>
      </c>
      <c r="AE98" s="34" t="s">
        <v>3826</v>
      </c>
      <c r="AF98" s="35">
        <v>1.9227822580645162</v>
      </c>
    </row>
    <row r="99" spans="1:32" x14ac:dyDescent="0.35">
      <c r="A99" s="171">
        <v>53</v>
      </c>
      <c r="B99" s="377" t="s">
        <v>525</v>
      </c>
      <c r="C99" s="189">
        <v>8.2645779121354998E-2</v>
      </c>
      <c r="D99" s="375">
        <v>9.9174934945626E-2</v>
      </c>
      <c r="S99" s="34">
        <v>95</v>
      </c>
      <c r="T99" s="34" t="s">
        <v>4284</v>
      </c>
      <c r="U99" s="34" t="s">
        <v>3829</v>
      </c>
      <c r="V99" s="35">
        <v>1.5548</v>
      </c>
      <c r="W99" s="13"/>
      <c r="X99" s="34">
        <v>95</v>
      </c>
      <c r="Y99" s="34" t="s">
        <v>2248</v>
      </c>
      <c r="Z99" s="34" t="s">
        <v>3826</v>
      </c>
      <c r="AA99" s="35">
        <v>7.0262096774193553E-2</v>
      </c>
      <c r="AB99" s="13"/>
      <c r="AC99" s="34">
        <v>95</v>
      </c>
      <c r="AD99" s="34" t="s">
        <v>4573</v>
      </c>
      <c r="AE99" s="34" t="s">
        <v>3826</v>
      </c>
      <c r="AF99" s="35">
        <v>0</v>
      </c>
    </row>
    <row r="100" spans="1:32" x14ac:dyDescent="0.35">
      <c r="A100" s="171">
        <v>54</v>
      </c>
      <c r="B100" s="377" t="s">
        <v>526</v>
      </c>
      <c r="C100" s="189">
        <v>3.4705104847665008E-2</v>
      </c>
      <c r="D100" s="375">
        <v>4.164612581719801E-2</v>
      </c>
      <c r="S100" s="34">
        <v>96</v>
      </c>
      <c r="T100" s="34" t="s">
        <v>4284</v>
      </c>
      <c r="U100" s="34" t="s">
        <v>5723</v>
      </c>
      <c r="V100" s="35">
        <v>1.1516129032258065E-4</v>
      </c>
      <c r="W100" s="13"/>
      <c r="X100" s="34">
        <v>96</v>
      </c>
      <c r="Y100" s="34" t="s">
        <v>2248</v>
      </c>
      <c r="Z100" s="34" t="s">
        <v>5716</v>
      </c>
      <c r="AA100" s="35">
        <v>1.5252016129032259E-2</v>
      </c>
      <c r="AB100" s="13"/>
      <c r="AC100" s="34">
        <v>96</v>
      </c>
      <c r="AD100" s="34" t="s">
        <v>4573</v>
      </c>
      <c r="AE100" s="34" t="s">
        <v>5716</v>
      </c>
      <c r="AF100" s="35">
        <v>0.24677419354838712</v>
      </c>
    </row>
    <row r="101" spans="1:32" x14ac:dyDescent="0.35">
      <c r="A101" s="171">
        <v>55</v>
      </c>
      <c r="B101" s="377" t="s">
        <v>527</v>
      </c>
      <c r="C101" s="189">
        <v>6.6633265056844998E-2</v>
      </c>
      <c r="D101" s="375">
        <v>7.9959918068213995E-2</v>
      </c>
      <c r="S101" s="34">
        <v>97</v>
      </c>
      <c r="T101" s="34" t="s">
        <v>4284</v>
      </c>
      <c r="U101" s="34" t="s">
        <v>5722</v>
      </c>
      <c r="V101" s="35">
        <v>1.7034274193548388E-2</v>
      </c>
      <c r="W101" s="13"/>
      <c r="X101" s="34">
        <v>97</v>
      </c>
      <c r="Y101" s="34" t="s">
        <v>2248</v>
      </c>
      <c r="Z101" s="34" t="s">
        <v>3825</v>
      </c>
      <c r="AA101" s="35">
        <v>0</v>
      </c>
      <c r="AB101" s="13"/>
      <c r="AC101" s="34">
        <v>97</v>
      </c>
      <c r="AD101" s="34" t="s">
        <v>4573</v>
      </c>
      <c r="AE101" s="34" t="s">
        <v>3825</v>
      </c>
      <c r="AF101" s="35">
        <v>0</v>
      </c>
    </row>
    <row r="102" spans="1:32" x14ac:dyDescent="0.35">
      <c r="A102" s="171">
        <v>56</v>
      </c>
      <c r="B102" s="377" t="s">
        <v>528</v>
      </c>
      <c r="C102" s="189">
        <v>3.2975378054750003E-2</v>
      </c>
      <c r="D102" s="375">
        <v>3.9570453665700001E-2</v>
      </c>
      <c r="S102" s="34">
        <v>98</v>
      </c>
      <c r="T102" s="34" t="s">
        <v>4284</v>
      </c>
      <c r="U102" s="34" t="s">
        <v>5721</v>
      </c>
      <c r="V102" s="35">
        <v>1.028225806451613E-3</v>
      </c>
      <c r="W102" s="13"/>
      <c r="X102" s="34">
        <v>98</v>
      </c>
      <c r="Y102" s="34" t="s">
        <v>2248</v>
      </c>
      <c r="Z102" s="34" t="s">
        <v>5715</v>
      </c>
      <c r="AA102" s="35">
        <v>9.425403225806452E-4</v>
      </c>
      <c r="AB102" s="13"/>
      <c r="AC102" s="34">
        <v>98</v>
      </c>
      <c r="AD102" s="34" t="s">
        <v>4573</v>
      </c>
      <c r="AE102" s="34" t="s">
        <v>5715</v>
      </c>
      <c r="AF102" s="35">
        <v>1.1721774193548388E-2</v>
      </c>
    </row>
    <row r="103" spans="1:32" x14ac:dyDescent="0.35">
      <c r="A103" s="171">
        <v>57</v>
      </c>
      <c r="B103" s="377" t="s">
        <v>529</v>
      </c>
      <c r="C103" s="189" t="s">
        <v>6926</v>
      </c>
      <c r="D103" s="374" t="s">
        <v>6926</v>
      </c>
      <c r="S103" s="34">
        <v>99</v>
      </c>
      <c r="T103" s="34" t="s">
        <v>4284</v>
      </c>
      <c r="U103" s="34" t="s">
        <v>5720</v>
      </c>
      <c r="V103" s="35">
        <v>1.4018145161290323E-4</v>
      </c>
      <c r="W103" s="13"/>
      <c r="X103" s="34">
        <v>99</v>
      </c>
      <c r="Y103" s="34" t="s">
        <v>2248</v>
      </c>
      <c r="Z103" s="34" t="s">
        <v>5714</v>
      </c>
      <c r="AA103" s="35">
        <v>6.7177419354838707E-5</v>
      </c>
      <c r="AB103" s="13"/>
      <c r="AC103" s="34">
        <v>99</v>
      </c>
      <c r="AD103" s="34" t="s">
        <v>4573</v>
      </c>
      <c r="AE103" s="34" t="s">
        <v>5714</v>
      </c>
      <c r="AF103" s="35">
        <v>2.5054435483870969E-4</v>
      </c>
    </row>
    <row r="104" spans="1:32" x14ac:dyDescent="0.35">
      <c r="A104" s="171">
        <v>58</v>
      </c>
      <c r="B104" s="377" t="s">
        <v>530</v>
      </c>
      <c r="C104" s="189">
        <v>8.7309968336720015E-2</v>
      </c>
      <c r="D104" s="375">
        <v>0.10477196200406401</v>
      </c>
      <c r="S104" s="34">
        <v>100</v>
      </c>
      <c r="T104" s="34" t="s">
        <v>4284</v>
      </c>
      <c r="U104" s="34" t="s">
        <v>5719</v>
      </c>
      <c r="V104" s="35">
        <v>8.5000000000000006E-3</v>
      </c>
      <c r="W104" s="13"/>
      <c r="X104" s="34">
        <v>100</v>
      </c>
      <c r="Y104" s="34" t="s">
        <v>2248</v>
      </c>
      <c r="Z104" s="34" t="s">
        <v>5713</v>
      </c>
      <c r="AA104" s="35">
        <v>4.9697580645161291E-6</v>
      </c>
      <c r="AB104" s="13"/>
      <c r="AC104" s="34">
        <v>100</v>
      </c>
      <c r="AD104" s="34" t="s">
        <v>4573</v>
      </c>
      <c r="AE104" s="34" t="s">
        <v>5713</v>
      </c>
      <c r="AF104" s="35">
        <v>7.3346774193548388E-4</v>
      </c>
    </row>
    <row r="105" spans="1:32" x14ac:dyDescent="0.35">
      <c r="A105" s="171">
        <v>59</v>
      </c>
      <c r="B105" s="377" t="s">
        <v>531</v>
      </c>
      <c r="C105" s="189">
        <v>0.26202638341851003</v>
      </c>
      <c r="D105" s="375">
        <v>0.31443166010221202</v>
      </c>
      <c r="S105" s="34">
        <v>101</v>
      </c>
      <c r="T105" s="34" t="s">
        <v>4284</v>
      </c>
      <c r="U105" s="34" t="s">
        <v>3828</v>
      </c>
      <c r="V105" s="35">
        <v>0</v>
      </c>
      <c r="W105" s="13"/>
      <c r="X105" s="34">
        <v>101</v>
      </c>
      <c r="Y105" s="34" t="s">
        <v>2248</v>
      </c>
      <c r="Z105" s="34" t="s">
        <v>5712</v>
      </c>
      <c r="AA105" s="35">
        <v>1.2715725806451613E-4</v>
      </c>
      <c r="AB105" s="13"/>
      <c r="AC105" s="34">
        <v>101</v>
      </c>
      <c r="AD105" s="34" t="s">
        <v>4573</v>
      </c>
      <c r="AE105" s="34" t="s">
        <v>5712</v>
      </c>
      <c r="AF105" s="35">
        <v>3.3862903225806455E-3</v>
      </c>
    </row>
    <row r="106" spans="1:32" x14ac:dyDescent="0.35">
      <c r="A106" s="171">
        <v>60</v>
      </c>
      <c r="B106" s="377" t="s">
        <v>532</v>
      </c>
      <c r="C106" s="189">
        <v>1.5319846901670001E-2</v>
      </c>
      <c r="D106" s="375">
        <v>1.8383816282004001E-2</v>
      </c>
      <c r="S106" s="34">
        <v>102</v>
      </c>
      <c r="T106" s="34" t="s">
        <v>4284</v>
      </c>
      <c r="U106" s="34" t="s">
        <v>5717</v>
      </c>
      <c r="V106" s="35">
        <v>3.1395161290322582E-4</v>
      </c>
      <c r="W106" s="13"/>
      <c r="X106" s="34">
        <v>102</v>
      </c>
      <c r="Y106" s="34" t="s">
        <v>2248</v>
      </c>
      <c r="Z106" s="34" t="s">
        <v>5711</v>
      </c>
      <c r="AA106" s="35">
        <v>2.3512096774193549E-3</v>
      </c>
      <c r="AB106" s="13"/>
      <c r="AC106" s="34">
        <v>102</v>
      </c>
      <c r="AD106" s="34" t="s">
        <v>4573</v>
      </c>
      <c r="AE106" s="34" t="s">
        <v>5711</v>
      </c>
      <c r="AF106" s="35">
        <v>0.20701612903225808</v>
      </c>
    </row>
    <row r="107" spans="1:32" x14ac:dyDescent="0.35">
      <c r="A107" s="171">
        <v>61</v>
      </c>
      <c r="B107" s="377" t="s">
        <v>533</v>
      </c>
      <c r="C107" s="189" t="s">
        <v>6926</v>
      </c>
      <c r="D107" s="374" t="s">
        <v>6926</v>
      </c>
      <c r="S107" s="34">
        <v>103</v>
      </c>
      <c r="T107" s="34" t="s">
        <v>4284</v>
      </c>
      <c r="U107" s="34" t="s">
        <v>3826</v>
      </c>
      <c r="V107" s="35">
        <v>3.1360887096774197E-2</v>
      </c>
      <c r="W107" s="13"/>
      <c r="X107" s="34">
        <v>103</v>
      </c>
      <c r="Y107" s="34" t="s">
        <v>2248</v>
      </c>
      <c r="Z107" s="34" t="s">
        <v>5710</v>
      </c>
      <c r="AA107" s="35">
        <v>1.1721774193548389E-5</v>
      </c>
      <c r="AB107" s="13"/>
      <c r="AC107" s="34">
        <v>103</v>
      </c>
      <c r="AD107" s="34" t="s">
        <v>4573</v>
      </c>
      <c r="AE107" s="34" t="s">
        <v>5710</v>
      </c>
      <c r="AF107" s="35">
        <v>3.7701612903225809E-2</v>
      </c>
    </row>
    <row r="108" spans="1:32" x14ac:dyDescent="0.35">
      <c r="A108" s="171">
        <v>62</v>
      </c>
      <c r="B108" s="377" t="s">
        <v>534</v>
      </c>
      <c r="C108" s="189">
        <v>4.1375910425380587E-2</v>
      </c>
      <c r="D108" s="375">
        <v>4.9651092510456706E-2</v>
      </c>
      <c r="S108" s="34">
        <v>104</v>
      </c>
      <c r="T108" s="34" t="s">
        <v>4284</v>
      </c>
      <c r="U108" s="34" t="s">
        <v>3826</v>
      </c>
      <c r="V108" s="35">
        <v>0</v>
      </c>
      <c r="W108" s="13"/>
      <c r="X108" s="34">
        <v>104</v>
      </c>
      <c r="Y108" s="34" t="s">
        <v>2248</v>
      </c>
      <c r="Z108" s="34" t="s">
        <v>3823</v>
      </c>
      <c r="AA108" s="35">
        <v>7.2496000000000005E-2</v>
      </c>
      <c r="AB108" s="13"/>
      <c r="AC108" s="34">
        <v>104</v>
      </c>
      <c r="AD108" s="34" t="s">
        <v>4573</v>
      </c>
      <c r="AE108" s="34" t="s">
        <v>3823</v>
      </c>
      <c r="AF108" s="35">
        <v>1.0659274193548387E-4</v>
      </c>
    </row>
    <row r="109" spans="1:32" x14ac:dyDescent="0.35">
      <c r="A109" s="171">
        <v>63</v>
      </c>
      <c r="B109" s="378" t="s">
        <v>535</v>
      </c>
      <c r="C109" s="189">
        <v>3.1727383448667129E-2</v>
      </c>
      <c r="D109" s="375">
        <v>3.8072860138400555E-2</v>
      </c>
      <c r="S109" s="34">
        <v>105</v>
      </c>
      <c r="T109" s="34" t="s">
        <v>4284</v>
      </c>
      <c r="U109" s="34" t="s">
        <v>5716</v>
      </c>
      <c r="V109" s="35">
        <v>3.3725806451612907E-3</v>
      </c>
      <c r="W109" s="13"/>
      <c r="X109" s="34">
        <v>105</v>
      </c>
      <c r="Y109" s="34" t="s">
        <v>2248</v>
      </c>
      <c r="Z109" s="34" t="s">
        <v>3823</v>
      </c>
      <c r="AA109" s="35">
        <v>2.5431451612903227E-5</v>
      </c>
      <c r="AB109" s="13"/>
      <c r="AC109" s="34">
        <v>105</v>
      </c>
      <c r="AD109" s="34" t="s">
        <v>4573</v>
      </c>
      <c r="AE109" s="34" t="s">
        <v>3823</v>
      </c>
      <c r="AF109" s="35">
        <v>0.28060000000000002</v>
      </c>
    </row>
    <row r="110" spans="1:32" x14ac:dyDescent="0.35">
      <c r="A110" s="171">
        <v>64</v>
      </c>
      <c r="B110" s="377" t="s">
        <v>536</v>
      </c>
      <c r="C110" s="189">
        <v>5.4685825147665006E-2</v>
      </c>
      <c r="D110" s="375">
        <v>6.5622990177197998E-2</v>
      </c>
      <c r="S110" s="34">
        <v>106</v>
      </c>
      <c r="T110" s="34" t="s">
        <v>4284</v>
      </c>
      <c r="U110" s="34" t="s">
        <v>3825</v>
      </c>
      <c r="V110" s="35">
        <v>0</v>
      </c>
      <c r="W110" s="13"/>
      <c r="X110" s="34">
        <v>106</v>
      </c>
      <c r="Y110" s="34" t="s">
        <v>2248</v>
      </c>
      <c r="Z110" s="34" t="s">
        <v>5707</v>
      </c>
      <c r="AA110" s="35">
        <v>1.9262096774193551E-3</v>
      </c>
      <c r="AB110" s="13"/>
      <c r="AC110" s="34">
        <v>106</v>
      </c>
      <c r="AD110" s="34" t="s">
        <v>4573</v>
      </c>
      <c r="AE110" s="34" t="s">
        <v>5707</v>
      </c>
      <c r="AF110" s="35">
        <v>1.1036290322580645E-2</v>
      </c>
    </row>
    <row r="111" spans="1:32" x14ac:dyDescent="0.35">
      <c r="A111" s="171">
        <v>65</v>
      </c>
      <c r="B111" s="377" t="s">
        <v>537</v>
      </c>
      <c r="C111" s="189" t="s">
        <v>6926</v>
      </c>
      <c r="D111" s="374" t="s">
        <v>6926</v>
      </c>
      <c r="S111" s="34">
        <v>107</v>
      </c>
      <c r="T111" s="34" t="s">
        <v>4284</v>
      </c>
      <c r="U111" s="34" t="s">
        <v>5715</v>
      </c>
      <c r="V111" s="35">
        <v>5.4495967741935489E-5</v>
      </c>
      <c r="W111" s="13"/>
      <c r="X111" s="34">
        <v>107</v>
      </c>
      <c r="Y111" s="34" t="s">
        <v>2248</v>
      </c>
      <c r="Z111" s="34" t="s">
        <v>5706</v>
      </c>
      <c r="AA111" s="35">
        <v>6.1693548387096783E-3</v>
      </c>
      <c r="AB111" s="13"/>
      <c r="AC111" s="34">
        <v>107</v>
      </c>
      <c r="AD111" s="34" t="s">
        <v>4573</v>
      </c>
      <c r="AE111" s="34" t="s">
        <v>5706</v>
      </c>
      <c r="AF111" s="35">
        <v>2.3820564516129034E-2</v>
      </c>
    </row>
    <row r="112" spans="1:32" x14ac:dyDescent="0.35">
      <c r="A112" s="171">
        <v>66</v>
      </c>
      <c r="B112" s="377" t="s">
        <v>538</v>
      </c>
      <c r="C112" s="189">
        <v>1.1490735436669999E-2</v>
      </c>
      <c r="D112" s="375">
        <v>1.3788882524003999E-2</v>
      </c>
      <c r="S112" s="34">
        <v>108</v>
      </c>
      <c r="T112" s="34" t="s">
        <v>4284</v>
      </c>
      <c r="U112" s="34" t="s">
        <v>5714</v>
      </c>
      <c r="V112" s="35">
        <v>2.8653225806451613E-5</v>
      </c>
      <c r="W112" s="13"/>
      <c r="X112" s="34">
        <v>108</v>
      </c>
      <c r="Y112" s="34" t="s">
        <v>2248</v>
      </c>
      <c r="Z112" s="34" t="s">
        <v>5705</v>
      </c>
      <c r="AA112" s="35">
        <v>1.2372983870967743E-3</v>
      </c>
      <c r="AB112" s="13"/>
      <c r="AC112" s="34">
        <v>108</v>
      </c>
      <c r="AD112" s="34" t="s">
        <v>4573</v>
      </c>
      <c r="AE112" s="34" t="s">
        <v>5705</v>
      </c>
      <c r="AF112" s="35">
        <v>4.8326612903225812E-2</v>
      </c>
    </row>
    <row r="113" spans="1:32" x14ac:dyDescent="0.35">
      <c r="A113" s="171">
        <v>67</v>
      </c>
      <c r="B113" s="378" t="s">
        <v>539</v>
      </c>
      <c r="C113" s="189">
        <v>9.5775565303119953E-2</v>
      </c>
      <c r="D113" s="375">
        <v>0.11493067836374393</v>
      </c>
      <c r="S113" s="34">
        <v>109</v>
      </c>
      <c r="T113" s="34" t="s">
        <v>4284</v>
      </c>
      <c r="U113" s="34" t="s">
        <v>5713</v>
      </c>
      <c r="V113" s="35">
        <v>1.429233870967742E-5</v>
      </c>
      <c r="W113" s="13"/>
      <c r="X113" s="34">
        <v>109</v>
      </c>
      <c r="Y113" s="34" t="s">
        <v>2248</v>
      </c>
      <c r="Z113" s="34" t="s">
        <v>5704</v>
      </c>
      <c r="AA113" s="35">
        <v>0.49354838709677423</v>
      </c>
      <c r="AB113" s="13"/>
      <c r="AC113" s="34">
        <v>109</v>
      </c>
      <c r="AD113" s="34" t="s">
        <v>4573</v>
      </c>
      <c r="AE113" s="34" t="s">
        <v>5704</v>
      </c>
      <c r="AF113" s="35">
        <v>3.369153225806452</v>
      </c>
    </row>
    <row r="114" spans="1:32" x14ac:dyDescent="0.35">
      <c r="A114" s="171">
        <v>68</v>
      </c>
      <c r="B114" s="377" t="s">
        <v>540</v>
      </c>
      <c r="C114" s="189">
        <v>2.7661905754520003E-2</v>
      </c>
      <c r="D114" s="375">
        <v>3.3194286905424003E-2</v>
      </c>
      <c r="S114" s="34">
        <v>110</v>
      </c>
      <c r="T114" s="34" t="s">
        <v>4284</v>
      </c>
      <c r="U114" s="34" t="s">
        <v>5712</v>
      </c>
      <c r="V114" s="35">
        <v>1.7514112903225809E-5</v>
      </c>
      <c r="W114" s="13"/>
      <c r="X114" s="34">
        <v>110</v>
      </c>
      <c r="Y114" s="34" t="s">
        <v>2248</v>
      </c>
      <c r="Z114" s="34" t="s">
        <v>5703</v>
      </c>
      <c r="AA114" s="35">
        <v>1.2064516129032259E-4</v>
      </c>
      <c r="AB114" s="13"/>
      <c r="AC114" s="34">
        <v>110</v>
      </c>
      <c r="AD114" s="34" t="s">
        <v>4573</v>
      </c>
      <c r="AE114" s="34" t="s">
        <v>5703</v>
      </c>
      <c r="AF114" s="35">
        <v>0.17411290322580647</v>
      </c>
    </row>
    <row r="115" spans="1:32" x14ac:dyDescent="0.35">
      <c r="A115" s="171">
        <v>69</v>
      </c>
      <c r="B115" s="377" t="s">
        <v>541</v>
      </c>
      <c r="C115" s="189">
        <v>0.24559238779868006</v>
      </c>
      <c r="D115" s="375">
        <v>0.29471086535841606</v>
      </c>
      <c r="S115" s="34">
        <v>111</v>
      </c>
      <c r="T115" s="34" t="s">
        <v>4284</v>
      </c>
      <c r="U115" s="34" t="s">
        <v>5711</v>
      </c>
      <c r="V115" s="35">
        <v>5.4153225806451615E-3</v>
      </c>
      <c r="W115" s="13"/>
      <c r="X115" s="34">
        <v>111</v>
      </c>
      <c r="Y115" s="34" t="s">
        <v>2248</v>
      </c>
      <c r="Z115" s="34" t="s">
        <v>5702</v>
      </c>
      <c r="AA115" s="35">
        <v>1.5012096774193549E-5</v>
      </c>
      <c r="AB115" s="13"/>
      <c r="AC115" s="34">
        <v>111</v>
      </c>
      <c r="AD115" s="34" t="s">
        <v>4573</v>
      </c>
      <c r="AE115" s="34" t="s">
        <v>5702</v>
      </c>
      <c r="AF115" s="35">
        <v>4.2842741935483872E-4</v>
      </c>
    </row>
    <row r="116" spans="1:32" x14ac:dyDescent="0.35">
      <c r="A116" s="171">
        <v>70</v>
      </c>
      <c r="B116" s="377" t="s">
        <v>542</v>
      </c>
      <c r="C116" s="189" t="s">
        <v>6926</v>
      </c>
      <c r="D116" s="374" t="s">
        <v>6926</v>
      </c>
      <c r="S116" s="34">
        <v>112</v>
      </c>
      <c r="T116" s="34" t="s">
        <v>4284</v>
      </c>
      <c r="U116" s="34" t="s">
        <v>5710</v>
      </c>
      <c r="V116" s="35">
        <v>1.3846774193548389E-7</v>
      </c>
      <c r="W116" s="13"/>
      <c r="X116" s="34">
        <v>112</v>
      </c>
      <c r="Y116" s="34" t="s">
        <v>2248</v>
      </c>
      <c r="Z116" s="34" t="s">
        <v>5701</v>
      </c>
      <c r="AA116" s="35">
        <v>3.2834677419354841E-6</v>
      </c>
      <c r="AB116" s="13"/>
      <c r="AC116" s="34">
        <v>112</v>
      </c>
      <c r="AD116" s="34" t="s">
        <v>4573</v>
      </c>
      <c r="AE116" s="34" t="s">
        <v>5701</v>
      </c>
      <c r="AF116" s="35">
        <v>1.9056451612903227E-2</v>
      </c>
    </row>
    <row r="117" spans="1:32" x14ac:dyDescent="0.35">
      <c r="A117" s="171">
        <v>71</v>
      </c>
      <c r="B117" s="377" t="s">
        <v>543</v>
      </c>
      <c r="C117" s="189">
        <v>4.4008067650025011E-2</v>
      </c>
      <c r="D117" s="375">
        <v>5.2809681180030009E-2</v>
      </c>
      <c r="S117" s="34">
        <v>113</v>
      </c>
      <c r="T117" s="34" t="s">
        <v>4284</v>
      </c>
      <c r="U117" s="34" t="s">
        <v>3823</v>
      </c>
      <c r="V117" s="35">
        <v>1.9467741935483874E-6</v>
      </c>
      <c r="W117" s="13"/>
      <c r="X117" s="34">
        <v>113</v>
      </c>
      <c r="Y117" s="34" t="s">
        <v>2248</v>
      </c>
      <c r="Z117" s="34" t="s">
        <v>5700</v>
      </c>
      <c r="AA117" s="35">
        <v>1.3504032258064517E-4</v>
      </c>
      <c r="AB117" s="13"/>
      <c r="AC117" s="34">
        <v>113</v>
      </c>
      <c r="AD117" s="34" t="s">
        <v>4573</v>
      </c>
      <c r="AE117" s="34" t="s">
        <v>5700</v>
      </c>
      <c r="AF117" s="35">
        <v>6.9576612903225815E-3</v>
      </c>
    </row>
    <row r="118" spans="1:32" x14ac:dyDescent="0.35">
      <c r="A118" s="171">
        <v>72</v>
      </c>
      <c r="B118" s="377" t="s">
        <v>545</v>
      </c>
      <c r="C118" s="189" t="s">
        <v>6926</v>
      </c>
      <c r="D118" s="374" t="s">
        <v>6926</v>
      </c>
      <c r="S118" s="34">
        <v>114</v>
      </c>
      <c r="T118" s="34" t="s">
        <v>4284</v>
      </c>
      <c r="U118" s="34" t="s">
        <v>3823</v>
      </c>
      <c r="V118" s="35">
        <v>0.13156000000000001</v>
      </c>
      <c r="W118" s="13"/>
      <c r="X118" s="34">
        <v>114</v>
      </c>
      <c r="Y118" s="34" t="s">
        <v>2248</v>
      </c>
      <c r="Z118" s="34" t="s">
        <v>5699</v>
      </c>
      <c r="AA118" s="35">
        <v>1.4292338709677419E-4</v>
      </c>
      <c r="AB118" s="13"/>
      <c r="AC118" s="34">
        <v>114</v>
      </c>
      <c r="AD118" s="34" t="s">
        <v>4573</v>
      </c>
      <c r="AE118" s="34" t="s">
        <v>5699</v>
      </c>
      <c r="AF118" s="35">
        <v>3.8044354838709681E-2</v>
      </c>
    </row>
    <row r="119" spans="1:32" x14ac:dyDescent="0.35">
      <c r="A119" s="171">
        <v>73</v>
      </c>
      <c r="B119" s="377" t="s">
        <v>545</v>
      </c>
      <c r="C119" s="189" t="s">
        <v>6926</v>
      </c>
      <c r="D119" s="374" t="s">
        <v>6926</v>
      </c>
      <c r="S119" s="34">
        <v>115</v>
      </c>
      <c r="T119" s="34" t="s">
        <v>4284</v>
      </c>
      <c r="U119" s="34" t="s">
        <v>5707</v>
      </c>
      <c r="V119" s="35">
        <v>2.7282258064516131E-5</v>
      </c>
      <c r="W119" s="13"/>
      <c r="X119" s="34">
        <v>115</v>
      </c>
      <c r="Y119" s="34" t="s">
        <v>2248</v>
      </c>
      <c r="Z119" s="34" t="s">
        <v>5698</v>
      </c>
      <c r="AA119" s="35">
        <v>1.0830645161290324E-3</v>
      </c>
      <c r="AB119" s="13"/>
      <c r="AC119" s="34">
        <v>115</v>
      </c>
      <c r="AD119" s="34" t="s">
        <v>4573</v>
      </c>
      <c r="AE119" s="34" t="s">
        <v>5698</v>
      </c>
      <c r="AF119" s="35">
        <v>8.3629032258064531E-3</v>
      </c>
    </row>
    <row r="120" spans="1:32" x14ac:dyDescent="0.35">
      <c r="A120" s="171">
        <v>74</v>
      </c>
      <c r="B120" s="377" t="s">
        <v>546</v>
      </c>
      <c r="C120" s="189" t="s">
        <v>6926</v>
      </c>
      <c r="D120" s="374" t="s">
        <v>6926</v>
      </c>
      <c r="S120" s="34">
        <v>116</v>
      </c>
      <c r="T120" s="34" t="s">
        <v>4284</v>
      </c>
      <c r="U120" s="34" t="s">
        <v>5706</v>
      </c>
      <c r="V120" s="35">
        <v>7.7802419354838716E-4</v>
      </c>
      <c r="W120" s="13"/>
      <c r="X120" s="34">
        <v>116</v>
      </c>
      <c r="Y120" s="34" t="s">
        <v>2248</v>
      </c>
      <c r="Z120" s="34" t="s">
        <v>5697</v>
      </c>
      <c r="AA120" s="35">
        <v>8.6370967741935498E-5</v>
      </c>
      <c r="AB120" s="13"/>
      <c r="AC120" s="34">
        <v>116</v>
      </c>
      <c r="AD120" s="34" t="s">
        <v>4573</v>
      </c>
      <c r="AE120" s="34" t="s">
        <v>5697</v>
      </c>
      <c r="AF120" s="35">
        <v>3.5645161290322587E-4</v>
      </c>
    </row>
    <row r="121" spans="1:32" x14ac:dyDescent="0.35">
      <c r="A121" s="171">
        <v>75</v>
      </c>
      <c r="B121" s="377" t="s">
        <v>547</v>
      </c>
      <c r="C121" s="189" t="s">
        <v>6926</v>
      </c>
      <c r="D121" s="374" t="s">
        <v>6926</v>
      </c>
      <c r="S121" s="34">
        <v>117</v>
      </c>
      <c r="T121" s="34" t="s">
        <v>4284</v>
      </c>
      <c r="U121" s="34" t="s">
        <v>5705</v>
      </c>
      <c r="V121" s="35">
        <v>1.0625000000000001E-3</v>
      </c>
      <c r="W121" s="13"/>
      <c r="X121" s="34">
        <v>117</v>
      </c>
      <c r="Y121" s="34" t="s">
        <v>2248</v>
      </c>
      <c r="Z121" s="34" t="s">
        <v>5696</v>
      </c>
      <c r="AA121" s="35">
        <v>1.6931451612903226E-6</v>
      </c>
      <c r="AB121" s="13"/>
      <c r="AC121" s="34">
        <v>117</v>
      </c>
      <c r="AD121" s="34" t="s">
        <v>4573</v>
      </c>
      <c r="AE121" s="34" t="s">
        <v>5696</v>
      </c>
      <c r="AF121" s="35">
        <v>7.7459677419354847E-3</v>
      </c>
    </row>
    <row r="122" spans="1:32" x14ac:dyDescent="0.35">
      <c r="A122" s="171">
        <v>76</v>
      </c>
      <c r="B122" s="377" t="s">
        <v>548</v>
      </c>
      <c r="C122" s="189">
        <v>6.224740034094E-2</v>
      </c>
      <c r="D122" s="375">
        <v>7.4696880409128003E-2</v>
      </c>
      <c r="S122" s="34">
        <v>118</v>
      </c>
      <c r="T122" s="34" t="s">
        <v>4284</v>
      </c>
      <c r="U122" s="34" t="s">
        <v>5704</v>
      </c>
      <c r="V122" s="35">
        <v>0.37016129032258066</v>
      </c>
      <c r="W122" s="13"/>
      <c r="X122" s="34">
        <v>118</v>
      </c>
      <c r="Y122" s="34" t="s">
        <v>2248</v>
      </c>
      <c r="Z122" s="34" t="s">
        <v>5695</v>
      </c>
      <c r="AA122" s="35">
        <v>7.7802419354838721E-5</v>
      </c>
      <c r="AB122" s="13"/>
      <c r="AC122" s="34">
        <v>118</v>
      </c>
      <c r="AD122" s="34" t="s">
        <v>4573</v>
      </c>
      <c r="AE122" s="34" t="s">
        <v>5695</v>
      </c>
      <c r="AF122" s="35">
        <v>9.1169354838709679E-2</v>
      </c>
    </row>
    <row r="123" spans="1:32" x14ac:dyDescent="0.35">
      <c r="A123" s="171">
        <v>77</v>
      </c>
      <c r="B123" s="377" t="s">
        <v>549</v>
      </c>
      <c r="C123" s="189">
        <v>5.3503983023365002E-2</v>
      </c>
      <c r="D123" s="375">
        <v>6.4204779628038E-2</v>
      </c>
      <c r="S123" s="34">
        <v>119</v>
      </c>
      <c r="T123" s="34" t="s">
        <v>4284</v>
      </c>
      <c r="U123" s="34" t="s">
        <v>5703</v>
      </c>
      <c r="V123" s="35">
        <v>3.190927419354839E-4</v>
      </c>
      <c r="W123" s="13"/>
      <c r="X123" s="34">
        <v>119</v>
      </c>
      <c r="Y123" s="34" t="s">
        <v>2248</v>
      </c>
      <c r="Z123" s="34" t="s">
        <v>5694</v>
      </c>
      <c r="AA123" s="35">
        <v>6.9576612903225811E-5</v>
      </c>
      <c r="AB123" s="13"/>
      <c r="AC123" s="34">
        <v>119</v>
      </c>
      <c r="AD123" s="34" t="s">
        <v>4573</v>
      </c>
      <c r="AE123" s="34" t="s">
        <v>5694</v>
      </c>
      <c r="AF123" s="35">
        <v>3.3348790322580647E-4</v>
      </c>
    </row>
    <row r="124" spans="1:32" x14ac:dyDescent="0.35">
      <c r="A124" s="171">
        <v>78</v>
      </c>
      <c r="B124" s="378" t="s">
        <v>550</v>
      </c>
      <c r="C124" s="189">
        <v>0.10260383394967999</v>
      </c>
      <c r="D124" s="375">
        <v>0.12312460073961598</v>
      </c>
      <c r="S124" s="34">
        <v>120</v>
      </c>
      <c r="T124" s="34" t="s">
        <v>4284</v>
      </c>
      <c r="U124" s="34" t="s">
        <v>5702</v>
      </c>
      <c r="V124" s="35">
        <v>5.1068548387096773E-6</v>
      </c>
      <c r="W124" s="13"/>
      <c r="X124" s="34">
        <v>120</v>
      </c>
      <c r="Y124" s="34" t="s">
        <v>2248</v>
      </c>
      <c r="Z124" s="34" t="s">
        <v>3820</v>
      </c>
      <c r="AA124" s="35">
        <v>0</v>
      </c>
      <c r="AB124" s="13"/>
      <c r="AC124" s="34">
        <v>120</v>
      </c>
      <c r="AD124" s="34" t="s">
        <v>4573</v>
      </c>
      <c r="AE124" s="34" t="s">
        <v>3820</v>
      </c>
      <c r="AF124" s="35">
        <v>2.3717741935483875E-3</v>
      </c>
    </row>
    <row r="125" spans="1:32" x14ac:dyDescent="0.35">
      <c r="A125" s="171">
        <v>79</v>
      </c>
      <c r="B125" s="377" t="s">
        <v>551</v>
      </c>
      <c r="C125" s="189">
        <v>0.15205474735172733</v>
      </c>
      <c r="D125" s="375">
        <v>0.18246569682207278</v>
      </c>
      <c r="S125" s="34">
        <v>121</v>
      </c>
      <c r="T125" s="34" t="s">
        <v>4284</v>
      </c>
      <c r="U125" s="34" t="s">
        <v>5701</v>
      </c>
      <c r="V125" s="35">
        <v>5.9979838709677429E-7</v>
      </c>
      <c r="W125" s="13"/>
      <c r="X125" s="34">
        <v>121</v>
      </c>
      <c r="Y125" s="34" t="s">
        <v>2248</v>
      </c>
      <c r="Z125" s="34" t="s">
        <v>3820</v>
      </c>
      <c r="AA125" s="35">
        <v>1.2578629032258066E-4</v>
      </c>
      <c r="AB125" s="13"/>
      <c r="AC125" s="34">
        <v>121</v>
      </c>
      <c r="AD125" s="34" t="s">
        <v>4573</v>
      </c>
      <c r="AE125" s="34" t="s">
        <v>3820</v>
      </c>
      <c r="AF125" s="35">
        <v>0</v>
      </c>
    </row>
    <row r="126" spans="1:32" x14ac:dyDescent="0.35">
      <c r="A126" s="171">
        <v>80</v>
      </c>
      <c r="B126" s="377" t="s">
        <v>552</v>
      </c>
      <c r="C126" s="189">
        <v>2.3992142645000002E-5</v>
      </c>
      <c r="D126" s="375">
        <v>2.8790571174000001E-5</v>
      </c>
      <c r="S126" s="34">
        <v>122</v>
      </c>
      <c r="T126" s="34" t="s">
        <v>4284</v>
      </c>
      <c r="U126" s="34" t="s">
        <v>5700</v>
      </c>
      <c r="V126" s="35">
        <v>2.1112903225806452E-5</v>
      </c>
      <c r="W126" s="13"/>
      <c r="X126" s="34">
        <v>122</v>
      </c>
      <c r="Y126" s="34" t="s">
        <v>2248</v>
      </c>
      <c r="Z126" s="34" t="s">
        <v>5693</v>
      </c>
      <c r="AA126" s="35">
        <v>3.7701612903225808E-3</v>
      </c>
      <c r="AB126" s="13"/>
      <c r="AC126" s="34">
        <v>122</v>
      </c>
      <c r="AD126" s="34" t="s">
        <v>4573</v>
      </c>
      <c r="AE126" s="34" t="s">
        <v>5693</v>
      </c>
      <c r="AF126" s="35">
        <v>5.8266129032258071E-2</v>
      </c>
    </row>
    <row r="127" spans="1:32" x14ac:dyDescent="0.35">
      <c r="A127" s="171">
        <v>81</v>
      </c>
      <c r="B127" s="378" t="s">
        <v>553</v>
      </c>
      <c r="C127" s="189">
        <v>0.21731324533779911</v>
      </c>
      <c r="D127" s="375">
        <v>0.26077589440535892</v>
      </c>
      <c r="S127" s="34">
        <v>123</v>
      </c>
      <c r="T127" s="34" t="s">
        <v>4284</v>
      </c>
      <c r="U127" s="34" t="s">
        <v>5699</v>
      </c>
      <c r="V127" s="35">
        <v>1.4875000000000001E-5</v>
      </c>
      <c r="W127" s="13"/>
      <c r="X127" s="34">
        <v>123</v>
      </c>
      <c r="Y127" s="34" t="s">
        <v>2248</v>
      </c>
      <c r="Z127" s="34" t="s">
        <v>5692</v>
      </c>
      <c r="AA127" s="35">
        <v>8.8770161290322588E-5</v>
      </c>
      <c r="AB127" s="13"/>
      <c r="AC127" s="34">
        <v>123</v>
      </c>
      <c r="AD127" s="34" t="s">
        <v>4573</v>
      </c>
      <c r="AE127" s="34" t="s">
        <v>5692</v>
      </c>
      <c r="AF127" s="35">
        <v>0.48326612903225813</v>
      </c>
    </row>
    <row r="128" spans="1:32" x14ac:dyDescent="0.35">
      <c r="A128" s="171">
        <v>82</v>
      </c>
      <c r="B128" s="377" t="s">
        <v>554</v>
      </c>
      <c r="C128" s="189">
        <v>9.0206148430355015E-2</v>
      </c>
      <c r="D128" s="375">
        <v>0.10824737811642601</v>
      </c>
      <c r="S128" s="34">
        <v>124</v>
      </c>
      <c r="T128" s="34" t="s">
        <v>4284</v>
      </c>
      <c r="U128" s="34" t="s">
        <v>5698</v>
      </c>
      <c r="V128" s="35">
        <v>1.8610887096774195E-5</v>
      </c>
      <c r="W128" s="13"/>
      <c r="X128" s="34">
        <v>124</v>
      </c>
      <c r="Y128" s="34" t="s">
        <v>2248</v>
      </c>
      <c r="Z128" s="34" t="s">
        <v>3819</v>
      </c>
      <c r="AA128" s="35">
        <v>0</v>
      </c>
      <c r="AB128" s="13"/>
      <c r="AC128" s="34">
        <v>124</v>
      </c>
      <c r="AD128" s="34" t="s">
        <v>4573</v>
      </c>
      <c r="AE128" s="34" t="s">
        <v>3819</v>
      </c>
      <c r="AF128" s="35">
        <v>0</v>
      </c>
    </row>
    <row r="129" spans="1:32" x14ac:dyDescent="0.35">
      <c r="A129" s="171">
        <v>83</v>
      </c>
      <c r="B129" s="378" t="s">
        <v>555</v>
      </c>
      <c r="C129" s="189">
        <v>8.2861419856888968E-2</v>
      </c>
      <c r="D129" s="375">
        <v>9.9433703828266759E-2</v>
      </c>
      <c r="S129" s="34">
        <v>125</v>
      </c>
      <c r="T129" s="34" t="s">
        <v>4284</v>
      </c>
      <c r="U129" s="34" t="s">
        <v>5697</v>
      </c>
      <c r="V129" s="35">
        <v>3.5302419354838712E-5</v>
      </c>
      <c r="W129" s="13"/>
      <c r="X129" s="34">
        <v>125</v>
      </c>
      <c r="Y129" s="34" t="s">
        <v>2248</v>
      </c>
      <c r="Z129" s="34" t="s">
        <v>3817</v>
      </c>
      <c r="AA129" s="35">
        <v>7.8751999999999994E-5</v>
      </c>
      <c r="AB129" s="13"/>
      <c r="AC129" s="34">
        <v>125</v>
      </c>
      <c r="AD129" s="34" t="s">
        <v>4573</v>
      </c>
      <c r="AE129" s="34" t="s">
        <v>3817</v>
      </c>
      <c r="AF129" s="35">
        <v>3.7443999999999998E-2</v>
      </c>
    </row>
    <row r="130" spans="1:32" x14ac:dyDescent="0.35">
      <c r="A130" s="171">
        <v>84</v>
      </c>
      <c r="B130" s="377" t="s">
        <v>556</v>
      </c>
      <c r="C130" s="189">
        <v>0.105678964075615</v>
      </c>
      <c r="D130" s="375">
        <v>0.12681475689073798</v>
      </c>
      <c r="S130" s="34">
        <v>126</v>
      </c>
      <c r="T130" s="34" t="s">
        <v>4284</v>
      </c>
      <c r="U130" s="34" t="s">
        <v>5696</v>
      </c>
      <c r="V130" s="35">
        <v>8.7741935483870976E-5</v>
      </c>
      <c r="W130" s="13"/>
      <c r="X130" s="34">
        <v>126</v>
      </c>
      <c r="Y130" s="34" t="s">
        <v>2248</v>
      </c>
      <c r="Z130" s="34" t="s">
        <v>3816</v>
      </c>
      <c r="AA130" s="35">
        <v>0.22908000000000001</v>
      </c>
      <c r="AB130" s="13"/>
      <c r="AC130" s="34">
        <v>126</v>
      </c>
      <c r="AD130" s="34" t="s">
        <v>4573</v>
      </c>
      <c r="AE130" s="34" t="s">
        <v>3816</v>
      </c>
      <c r="AF130" s="35">
        <v>3.7076000000000002</v>
      </c>
    </row>
    <row r="131" spans="1:32" x14ac:dyDescent="0.35">
      <c r="A131" s="171">
        <v>85</v>
      </c>
      <c r="B131" s="377" t="s">
        <v>557</v>
      </c>
      <c r="C131" s="189">
        <v>6.5871078068649988E-2</v>
      </c>
      <c r="D131" s="375">
        <v>7.9045293682379988E-2</v>
      </c>
      <c r="S131" s="34">
        <v>127</v>
      </c>
      <c r="T131" s="34" t="s">
        <v>4284</v>
      </c>
      <c r="U131" s="34" t="s">
        <v>5695</v>
      </c>
      <c r="V131" s="35">
        <v>9.425403225806452E-4</v>
      </c>
      <c r="W131" s="13"/>
      <c r="X131" s="34">
        <v>127</v>
      </c>
      <c r="Y131" s="34" t="s">
        <v>2248</v>
      </c>
      <c r="Z131" s="34" t="s">
        <v>3814</v>
      </c>
      <c r="AA131" s="35">
        <v>5.8604E-3</v>
      </c>
      <c r="AB131" s="13"/>
      <c r="AC131" s="34">
        <v>127</v>
      </c>
      <c r="AD131" s="34" t="s">
        <v>4573</v>
      </c>
      <c r="AE131" s="34" t="s">
        <v>3814</v>
      </c>
      <c r="AF131" s="35">
        <v>3.1004</v>
      </c>
    </row>
    <row r="132" spans="1:32" x14ac:dyDescent="0.35">
      <c r="A132" s="171">
        <v>86</v>
      </c>
      <c r="S132" s="34">
        <v>128</v>
      </c>
      <c r="T132" s="34" t="s">
        <v>4284</v>
      </c>
      <c r="U132" s="34" t="s">
        <v>5694</v>
      </c>
      <c r="V132" s="35">
        <v>2.7830645161290327E-5</v>
      </c>
      <c r="W132" s="13"/>
      <c r="X132" s="34">
        <v>128</v>
      </c>
      <c r="Y132" s="34" t="s">
        <v>2248</v>
      </c>
      <c r="Z132" s="34" t="s">
        <v>5691</v>
      </c>
      <c r="AA132" s="35">
        <v>1.0762096774193549E-5</v>
      </c>
      <c r="AB132" s="13"/>
      <c r="AC132" s="34">
        <v>128</v>
      </c>
      <c r="AD132" s="34" t="s">
        <v>4573</v>
      </c>
      <c r="AE132" s="34" t="s">
        <v>5691</v>
      </c>
      <c r="AF132" s="35">
        <v>2.1147177419354843E-3</v>
      </c>
    </row>
    <row r="133" spans="1:32" x14ac:dyDescent="0.35">
      <c r="A133" s="171">
        <v>87</v>
      </c>
      <c r="B133" s="377" t="s">
        <v>559</v>
      </c>
      <c r="C133" s="189">
        <v>8.8906026838630026E-2</v>
      </c>
      <c r="D133" s="375">
        <v>0.10668723220635602</v>
      </c>
      <c r="S133" s="34">
        <v>129</v>
      </c>
      <c r="T133" s="34" t="s">
        <v>4284</v>
      </c>
      <c r="U133" s="34" t="s">
        <v>3820</v>
      </c>
      <c r="V133" s="35">
        <v>9.6310483870967753E-6</v>
      </c>
      <c r="W133" s="13"/>
      <c r="X133" s="34">
        <v>129</v>
      </c>
      <c r="Y133" s="34" t="s">
        <v>2248</v>
      </c>
      <c r="Z133" s="34" t="s">
        <v>3812</v>
      </c>
      <c r="AA133" s="35">
        <v>0</v>
      </c>
      <c r="AB133" s="13"/>
      <c r="AC133" s="34">
        <v>129</v>
      </c>
      <c r="AD133" s="34" t="s">
        <v>4573</v>
      </c>
      <c r="AE133" s="34" t="s">
        <v>3812</v>
      </c>
      <c r="AF133" s="35">
        <v>0</v>
      </c>
    </row>
    <row r="134" spans="1:32" x14ac:dyDescent="0.35">
      <c r="A134" s="171">
        <v>88</v>
      </c>
      <c r="B134" s="378" t="s">
        <v>560</v>
      </c>
      <c r="C134" s="189">
        <v>5.062607901472E-2</v>
      </c>
      <c r="D134" s="375">
        <v>6.0751294817663996E-2</v>
      </c>
      <c r="S134" s="34">
        <v>130</v>
      </c>
      <c r="T134" s="34" t="s">
        <v>4284</v>
      </c>
      <c r="U134" s="34" t="s">
        <v>3820</v>
      </c>
      <c r="V134" s="35">
        <v>0</v>
      </c>
      <c r="W134" s="13"/>
      <c r="X134" s="34">
        <v>130</v>
      </c>
      <c r="Y134" s="34" t="s">
        <v>2248</v>
      </c>
      <c r="Z134" s="34" t="s">
        <v>5690</v>
      </c>
      <c r="AA134" s="35">
        <v>1.7993951612903226E-2</v>
      </c>
      <c r="AB134" s="13"/>
      <c r="AC134" s="34">
        <v>130</v>
      </c>
      <c r="AD134" s="34" t="s">
        <v>4573</v>
      </c>
      <c r="AE134" s="34" t="s">
        <v>5690</v>
      </c>
      <c r="AF134" s="35">
        <v>4.3185483870967746E-2</v>
      </c>
    </row>
    <row r="135" spans="1:32" x14ac:dyDescent="0.35">
      <c r="A135" s="171">
        <v>89</v>
      </c>
      <c r="B135" s="377" t="s">
        <v>561</v>
      </c>
      <c r="C135" s="189">
        <v>0.10251855252622001</v>
      </c>
      <c r="D135" s="375">
        <v>0.123022263031464</v>
      </c>
      <c r="S135" s="34">
        <v>131</v>
      </c>
      <c r="T135" s="34" t="s">
        <v>4284</v>
      </c>
      <c r="U135" s="34" t="s">
        <v>5693</v>
      </c>
      <c r="V135" s="35">
        <v>8.2943548387096782E-4</v>
      </c>
      <c r="W135" s="13"/>
      <c r="X135" s="34">
        <v>131</v>
      </c>
      <c r="Y135" s="34" t="s">
        <v>2248</v>
      </c>
      <c r="Z135" s="34" t="s">
        <v>5689</v>
      </c>
      <c r="AA135" s="35">
        <v>3.4959677419354845E-5</v>
      </c>
      <c r="AB135" s="13"/>
      <c r="AC135" s="34">
        <v>131</v>
      </c>
      <c r="AD135" s="34" t="s">
        <v>4573</v>
      </c>
      <c r="AE135" s="34" t="s">
        <v>5689</v>
      </c>
      <c r="AF135" s="35">
        <v>3.9758064516129035E-3</v>
      </c>
    </row>
    <row r="136" spans="1:32" x14ac:dyDescent="0.35">
      <c r="A136" s="171">
        <v>90</v>
      </c>
      <c r="B136" s="378" t="s">
        <v>562</v>
      </c>
      <c r="C136" s="189">
        <v>5.5444975452543226E-2</v>
      </c>
      <c r="D136" s="375">
        <v>6.6533970543051865E-2</v>
      </c>
      <c r="S136" s="34">
        <v>132</v>
      </c>
      <c r="T136" s="34" t="s">
        <v>4284</v>
      </c>
      <c r="U136" s="34" t="s">
        <v>5692</v>
      </c>
      <c r="V136" s="35">
        <v>4.6955645161290328E-6</v>
      </c>
      <c r="W136" s="13"/>
      <c r="X136" s="34">
        <v>132</v>
      </c>
      <c r="Y136" s="34" t="s">
        <v>2248</v>
      </c>
      <c r="Z136" s="34" t="s">
        <v>5688</v>
      </c>
      <c r="AA136" s="35">
        <v>1.6554435483870967E-5</v>
      </c>
      <c r="AB136" s="13"/>
      <c r="AC136" s="34">
        <v>132</v>
      </c>
      <c r="AD136" s="34" t="s">
        <v>4573</v>
      </c>
      <c r="AE136" s="34" t="s">
        <v>5688</v>
      </c>
      <c r="AF136" s="35">
        <v>9.425403225806453E-2</v>
      </c>
    </row>
    <row r="137" spans="1:32" x14ac:dyDescent="0.35">
      <c r="A137" s="171">
        <v>91</v>
      </c>
      <c r="S137" s="34">
        <v>133</v>
      </c>
      <c r="T137" s="34" t="s">
        <v>4284</v>
      </c>
      <c r="U137" s="34" t="s">
        <v>3819</v>
      </c>
      <c r="V137" s="35">
        <v>0</v>
      </c>
      <c r="W137" s="13"/>
      <c r="X137" s="34">
        <v>133</v>
      </c>
      <c r="Y137" s="34" t="s">
        <v>2248</v>
      </c>
      <c r="Z137" s="34" t="s">
        <v>5687</v>
      </c>
      <c r="AA137" s="35">
        <v>7.91733870967742E-5</v>
      </c>
      <c r="AB137" s="13"/>
      <c r="AC137" s="34">
        <v>133</v>
      </c>
      <c r="AD137" s="34" t="s">
        <v>4573</v>
      </c>
      <c r="AE137" s="34" t="s">
        <v>5687</v>
      </c>
      <c r="AF137" s="35">
        <v>0.1028225806451613</v>
      </c>
    </row>
    <row r="138" spans="1:32" x14ac:dyDescent="0.35">
      <c r="A138" s="171">
        <v>92</v>
      </c>
      <c r="B138" s="377" t="s">
        <v>563</v>
      </c>
      <c r="C138" s="189">
        <v>8.2754133783125003E-2</v>
      </c>
      <c r="D138" s="375">
        <v>9.9304960539750006E-2</v>
      </c>
      <c r="S138" s="34">
        <v>134</v>
      </c>
      <c r="T138" s="34" t="s">
        <v>4284</v>
      </c>
      <c r="U138" s="34" t="s">
        <v>3817</v>
      </c>
      <c r="V138" s="35">
        <v>4.5080000000000002E-2</v>
      </c>
      <c r="W138" s="13"/>
      <c r="X138" s="34">
        <v>134</v>
      </c>
      <c r="Y138" s="34" t="s">
        <v>2248</v>
      </c>
      <c r="Z138" s="34" t="s">
        <v>5686</v>
      </c>
      <c r="AA138" s="35">
        <v>7.2661290322580661E-5</v>
      </c>
      <c r="AB138" s="13"/>
      <c r="AC138" s="34">
        <v>134</v>
      </c>
      <c r="AD138" s="34" t="s">
        <v>4573</v>
      </c>
      <c r="AE138" s="34" t="s">
        <v>5686</v>
      </c>
      <c r="AF138" s="35">
        <v>4.3528225806451618E-2</v>
      </c>
    </row>
    <row r="139" spans="1:32" x14ac:dyDescent="0.35">
      <c r="A139" s="171">
        <v>93</v>
      </c>
      <c r="B139" s="377" t="s">
        <v>564</v>
      </c>
      <c r="C139" s="189">
        <v>0.119052671995435</v>
      </c>
      <c r="D139" s="375">
        <v>0.14286320639452199</v>
      </c>
      <c r="S139" s="34">
        <v>135</v>
      </c>
      <c r="T139" s="34" t="s">
        <v>4284</v>
      </c>
      <c r="U139" s="34" t="s">
        <v>3816</v>
      </c>
      <c r="V139" s="35">
        <v>0.71484000000000003</v>
      </c>
      <c r="W139" s="13"/>
      <c r="X139" s="34">
        <v>135</v>
      </c>
      <c r="Y139" s="34" t="s">
        <v>2248</v>
      </c>
      <c r="Z139" s="34" t="s">
        <v>5685</v>
      </c>
      <c r="AA139" s="35">
        <v>9.8366935483870977E-5</v>
      </c>
      <c r="AB139" s="13"/>
      <c r="AC139" s="34">
        <v>135</v>
      </c>
      <c r="AD139" s="34" t="s">
        <v>4573</v>
      </c>
      <c r="AE139" s="34" t="s">
        <v>5685</v>
      </c>
      <c r="AF139" s="35">
        <v>0.27556451612903227</v>
      </c>
    </row>
    <row r="140" spans="1:32" x14ac:dyDescent="0.35">
      <c r="A140" s="171">
        <v>94</v>
      </c>
      <c r="B140" s="377" t="s">
        <v>565</v>
      </c>
      <c r="C140" s="189">
        <v>4.2793405770835007E-2</v>
      </c>
      <c r="D140" s="375">
        <v>5.1352086925002004E-2</v>
      </c>
      <c r="S140" s="34">
        <v>136</v>
      </c>
      <c r="T140" s="34" t="s">
        <v>4284</v>
      </c>
      <c r="U140" s="34" t="s">
        <v>3814</v>
      </c>
      <c r="V140" s="35">
        <v>4.1031999999999993</v>
      </c>
      <c r="W140" s="13"/>
      <c r="X140" s="34">
        <v>136</v>
      </c>
      <c r="Y140" s="34" t="s">
        <v>2248</v>
      </c>
      <c r="Z140" s="34" t="s">
        <v>5684</v>
      </c>
      <c r="AA140" s="35">
        <v>6.5806451612903229E-5</v>
      </c>
      <c r="AB140" s="13"/>
      <c r="AC140" s="34">
        <v>136</v>
      </c>
      <c r="AD140" s="34" t="s">
        <v>4573</v>
      </c>
      <c r="AE140" s="34" t="s">
        <v>5684</v>
      </c>
      <c r="AF140" s="35">
        <v>0.17856854838709679</v>
      </c>
    </row>
    <row r="141" spans="1:32" x14ac:dyDescent="0.35">
      <c r="A141" s="171">
        <v>95</v>
      </c>
      <c r="B141" s="377" t="s">
        <v>566</v>
      </c>
      <c r="C141" s="189" t="s">
        <v>6926</v>
      </c>
      <c r="D141" s="374" t="s">
        <v>6926</v>
      </c>
      <c r="S141" s="34">
        <v>137</v>
      </c>
      <c r="T141" s="34" t="s">
        <v>4284</v>
      </c>
      <c r="U141" s="34" t="s">
        <v>5691</v>
      </c>
      <c r="V141" s="35">
        <v>3.2423387096774195E-5</v>
      </c>
      <c r="W141" s="13"/>
      <c r="X141" s="34">
        <v>137</v>
      </c>
      <c r="Y141" s="34" t="s">
        <v>2248</v>
      </c>
      <c r="Z141" s="34" t="s">
        <v>5683</v>
      </c>
      <c r="AA141" s="35">
        <v>3.7701612903225815E-5</v>
      </c>
      <c r="AB141" s="13"/>
      <c r="AC141" s="34">
        <v>137</v>
      </c>
      <c r="AD141" s="34" t="s">
        <v>4573</v>
      </c>
      <c r="AE141" s="34" t="s">
        <v>5683</v>
      </c>
      <c r="AF141" s="35">
        <v>2.1284274193548391E-3</v>
      </c>
    </row>
    <row r="142" spans="1:32" x14ac:dyDescent="0.35">
      <c r="A142" s="171">
        <v>96</v>
      </c>
      <c r="B142" s="378" t="s">
        <v>567</v>
      </c>
      <c r="C142" s="189">
        <v>8.7277009359967433E-2</v>
      </c>
      <c r="D142" s="375">
        <v>0.10473241123196092</v>
      </c>
      <c r="S142" s="34">
        <v>138</v>
      </c>
      <c r="T142" s="34" t="s">
        <v>4284</v>
      </c>
      <c r="U142" s="34" t="s">
        <v>3812</v>
      </c>
      <c r="V142" s="35">
        <v>0</v>
      </c>
      <c r="W142" s="13"/>
      <c r="X142" s="34">
        <v>138</v>
      </c>
      <c r="Y142" s="34" t="s">
        <v>2248</v>
      </c>
      <c r="Z142" s="34" t="s">
        <v>5682</v>
      </c>
      <c r="AA142" s="35">
        <v>3.2354838709677422E-5</v>
      </c>
      <c r="AB142" s="13"/>
      <c r="AC142" s="34">
        <v>138</v>
      </c>
      <c r="AD142" s="34" t="s">
        <v>4573</v>
      </c>
      <c r="AE142" s="34" t="s">
        <v>5682</v>
      </c>
      <c r="AF142" s="35">
        <v>1.8987903225806452E-4</v>
      </c>
    </row>
    <row r="143" spans="1:32" x14ac:dyDescent="0.35">
      <c r="A143" s="171">
        <v>97</v>
      </c>
      <c r="B143" s="377" t="s">
        <v>568</v>
      </c>
      <c r="C143" s="189" t="s">
        <v>6926</v>
      </c>
      <c r="D143" s="374" t="s">
        <v>6926</v>
      </c>
      <c r="S143" s="34">
        <v>139</v>
      </c>
      <c r="T143" s="34" t="s">
        <v>4284</v>
      </c>
      <c r="U143" s="34" t="s">
        <v>5690</v>
      </c>
      <c r="V143" s="35">
        <v>1.1070564516129033E-2</v>
      </c>
      <c r="W143" s="13"/>
      <c r="X143" s="34">
        <v>139</v>
      </c>
      <c r="Y143" s="34" t="s">
        <v>2248</v>
      </c>
      <c r="Z143" s="34" t="s">
        <v>3810</v>
      </c>
      <c r="AA143" s="35">
        <v>22.632000000000001</v>
      </c>
      <c r="AB143" s="13"/>
      <c r="AC143" s="34">
        <v>139</v>
      </c>
      <c r="AD143" s="34" t="s">
        <v>4573</v>
      </c>
      <c r="AE143" s="34" t="s">
        <v>3810</v>
      </c>
      <c r="AF143" s="35">
        <v>79.855999999999995</v>
      </c>
    </row>
    <row r="144" spans="1:32" x14ac:dyDescent="0.35">
      <c r="A144" s="171">
        <v>98</v>
      </c>
      <c r="B144" s="377" t="s">
        <v>569</v>
      </c>
      <c r="C144" s="189">
        <v>8.2017698475674999E-2</v>
      </c>
      <c r="D144" s="375">
        <v>9.8421238170809999E-2</v>
      </c>
      <c r="S144" s="34">
        <v>140</v>
      </c>
      <c r="T144" s="34" t="s">
        <v>4284</v>
      </c>
      <c r="U144" s="34" t="s">
        <v>5689</v>
      </c>
      <c r="V144" s="35">
        <v>1.0659274193548387E-6</v>
      </c>
      <c r="W144" s="13"/>
      <c r="X144" s="34">
        <v>140</v>
      </c>
      <c r="Y144" s="34" t="s">
        <v>2248</v>
      </c>
      <c r="Z144" s="34" t="s">
        <v>5681</v>
      </c>
      <c r="AA144" s="35">
        <v>0.12544354838709679</v>
      </c>
      <c r="AB144" s="13"/>
      <c r="AC144" s="34">
        <v>140</v>
      </c>
      <c r="AD144" s="34" t="s">
        <v>4573</v>
      </c>
      <c r="AE144" s="34" t="s">
        <v>5681</v>
      </c>
      <c r="AF144" s="35">
        <v>1.370967741935484</v>
      </c>
    </row>
    <row r="145" spans="1:32" x14ac:dyDescent="0.35">
      <c r="A145" s="171">
        <v>99</v>
      </c>
      <c r="B145" s="377" t="s">
        <v>570</v>
      </c>
      <c r="C145" s="189">
        <v>1.1764130973170001E-2</v>
      </c>
      <c r="D145" s="375">
        <v>1.4116957167803999E-2</v>
      </c>
      <c r="S145" s="34">
        <v>141</v>
      </c>
      <c r="T145" s="34" t="s">
        <v>4284</v>
      </c>
      <c r="U145" s="34" t="s">
        <v>5688</v>
      </c>
      <c r="V145" s="35">
        <v>9.2540322580645174E-6</v>
      </c>
      <c r="W145" s="13"/>
      <c r="X145" s="34">
        <v>141</v>
      </c>
      <c r="Y145" s="34" t="s">
        <v>2248</v>
      </c>
      <c r="Z145" s="34" t="s">
        <v>3808</v>
      </c>
      <c r="AA145" s="35">
        <v>0</v>
      </c>
      <c r="AB145" s="13"/>
      <c r="AC145" s="34">
        <v>141</v>
      </c>
      <c r="AD145" s="34" t="s">
        <v>4573</v>
      </c>
      <c r="AE145" s="34" t="s">
        <v>3808</v>
      </c>
      <c r="AF145" s="35">
        <v>1.5183467741935483E-3</v>
      </c>
    </row>
    <row r="146" spans="1:32" x14ac:dyDescent="0.35">
      <c r="A146" s="171">
        <v>100</v>
      </c>
      <c r="B146" s="377" t="s">
        <v>571</v>
      </c>
      <c r="C146" s="189" t="s">
        <v>6926</v>
      </c>
      <c r="D146" s="374" t="s">
        <v>6926</v>
      </c>
      <c r="S146" s="34">
        <v>142</v>
      </c>
      <c r="T146" s="34" t="s">
        <v>4284</v>
      </c>
      <c r="U146" s="34" t="s">
        <v>5687</v>
      </c>
      <c r="V146" s="35">
        <v>3.941532258064517E-6</v>
      </c>
      <c r="W146" s="13"/>
      <c r="X146" s="34">
        <v>142</v>
      </c>
      <c r="Y146" s="34" t="s">
        <v>2248</v>
      </c>
      <c r="Z146" s="34" t="s">
        <v>3808</v>
      </c>
      <c r="AA146" s="35">
        <v>3.4205645161290325E-4</v>
      </c>
      <c r="AB146" s="13"/>
      <c r="AC146" s="34">
        <v>142</v>
      </c>
      <c r="AD146" s="34" t="s">
        <v>4573</v>
      </c>
      <c r="AE146" s="34" t="s">
        <v>3808</v>
      </c>
      <c r="AF146" s="35">
        <v>0</v>
      </c>
    </row>
    <row r="147" spans="1:32" x14ac:dyDescent="0.35">
      <c r="A147" s="171">
        <v>101</v>
      </c>
      <c r="B147" s="377" t="s">
        <v>572</v>
      </c>
      <c r="C147" s="189">
        <v>2.5997083662149999E-2</v>
      </c>
      <c r="D147" s="375">
        <v>3.1196500394579996E-2</v>
      </c>
      <c r="S147" s="34">
        <v>143</v>
      </c>
      <c r="T147" s="34" t="s">
        <v>4284</v>
      </c>
      <c r="U147" s="34" t="s">
        <v>5686</v>
      </c>
      <c r="V147" s="35">
        <v>1.9879032258064518E-6</v>
      </c>
      <c r="W147" s="13"/>
      <c r="X147" s="34">
        <v>143</v>
      </c>
      <c r="Y147" s="34" t="s">
        <v>2248</v>
      </c>
      <c r="Z147" s="34" t="s">
        <v>5679</v>
      </c>
      <c r="AA147" s="35">
        <v>2.3546370967741939E-4</v>
      </c>
      <c r="AB147" s="13"/>
      <c r="AC147" s="34">
        <v>143</v>
      </c>
      <c r="AD147" s="34" t="s">
        <v>4573</v>
      </c>
      <c r="AE147" s="34" t="s">
        <v>5679</v>
      </c>
      <c r="AF147" s="35">
        <v>3.3348790322580645E-3</v>
      </c>
    </row>
    <row r="148" spans="1:32" x14ac:dyDescent="0.35">
      <c r="A148" s="171">
        <v>102</v>
      </c>
      <c r="B148" s="377" t="s">
        <v>573</v>
      </c>
      <c r="C148" s="189">
        <v>8.9473797395030003E-2</v>
      </c>
      <c r="D148" s="375">
        <v>0.107368556874036</v>
      </c>
      <c r="S148" s="34">
        <v>144</v>
      </c>
      <c r="T148" s="34" t="s">
        <v>4284</v>
      </c>
      <c r="U148" s="34" t="s">
        <v>5685</v>
      </c>
      <c r="V148" s="35">
        <v>2.3306451612903229E-5</v>
      </c>
      <c r="W148" s="13"/>
      <c r="X148" s="34">
        <v>144</v>
      </c>
      <c r="Y148" s="34" t="s">
        <v>2248</v>
      </c>
      <c r="Z148" s="34" t="s">
        <v>5678</v>
      </c>
      <c r="AA148" s="35">
        <v>4.3185483870967746E-4</v>
      </c>
      <c r="AB148" s="13"/>
      <c r="AC148" s="34">
        <v>144</v>
      </c>
      <c r="AD148" s="34" t="s">
        <v>4573</v>
      </c>
      <c r="AE148" s="34" t="s">
        <v>5678</v>
      </c>
      <c r="AF148" s="35">
        <v>6.4778225806451619</v>
      </c>
    </row>
    <row r="149" spans="1:32" x14ac:dyDescent="0.35">
      <c r="A149" s="171">
        <v>103</v>
      </c>
      <c r="B149" s="377" t="s">
        <v>574</v>
      </c>
      <c r="C149" s="189" t="s">
        <v>6926</v>
      </c>
      <c r="D149" s="374" t="s">
        <v>6926</v>
      </c>
      <c r="S149" s="34">
        <v>145</v>
      </c>
      <c r="T149" s="34" t="s">
        <v>4284</v>
      </c>
      <c r="U149" s="34" t="s">
        <v>5684</v>
      </c>
      <c r="V149" s="35">
        <v>6.512096774193549E-6</v>
      </c>
      <c r="W149" s="13"/>
      <c r="X149" s="34">
        <v>145</v>
      </c>
      <c r="Y149" s="34" t="s">
        <v>2248</v>
      </c>
      <c r="Z149" s="34" t="s">
        <v>5677</v>
      </c>
      <c r="AA149" s="35">
        <v>1.0350806451612903E-3</v>
      </c>
      <c r="AB149" s="13"/>
      <c r="AC149" s="34">
        <v>145</v>
      </c>
      <c r="AD149" s="34" t="s">
        <v>4573</v>
      </c>
      <c r="AE149" s="34" t="s">
        <v>5677</v>
      </c>
      <c r="AF149" s="35">
        <v>0.1442943548387097</v>
      </c>
    </row>
    <row r="150" spans="1:32" x14ac:dyDescent="0.35">
      <c r="A150" s="171">
        <v>104</v>
      </c>
      <c r="B150" s="377" t="s">
        <v>575</v>
      </c>
      <c r="C150" s="189" t="s">
        <v>6926</v>
      </c>
      <c r="D150" s="374" t="s">
        <v>6926</v>
      </c>
      <c r="S150" s="34">
        <v>146</v>
      </c>
      <c r="T150" s="34" t="s">
        <v>4284</v>
      </c>
      <c r="U150" s="34" t="s">
        <v>5683</v>
      </c>
      <c r="V150" s="35">
        <v>1.1790322580645161E-6</v>
      </c>
      <c r="W150" s="13"/>
      <c r="X150" s="34">
        <v>146</v>
      </c>
      <c r="Y150" s="34" t="s">
        <v>2248</v>
      </c>
      <c r="Z150" s="34" t="s">
        <v>5676</v>
      </c>
      <c r="AA150" s="35">
        <v>5.3125000000000004E-4</v>
      </c>
      <c r="AB150" s="13"/>
      <c r="AC150" s="34">
        <v>146</v>
      </c>
      <c r="AD150" s="34" t="s">
        <v>4573</v>
      </c>
      <c r="AE150" s="34" t="s">
        <v>5676</v>
      </c>
      <c r="AF150" s="35">
        <v>4.9012096774193555E-2</v>
      </c>
    </row>
    <row r="151" spans="1:32" x14ac:dyDescent="0.35">
      <c r="A151" s="171">
        <v>105</v>
      </c>
      <c r="B151" s="377" t="s">
        <v>576</v>
      </c>
      <c r="C151" s="189">
        <v>0.11834296637422502</v>
      </c>
      <c r="D151" s="375">
        <v>0.14201155964907003</v>
      </c>
      <c r="S151" s="36">
        <v>147</v>
      </c>
      <c r="T151" s="36" t="s">
        <v>4284</v>
      </c>
      <c r="U151" s="36" t="s">
        <v>5682</v>
      </c>
      <c r="V151" s="37">
        <v>5.6174999999999997</v>
      </c>
      <c r="W151" s="13"/>
      <c r="X151" s="34">
        <v>147</v>
      </c>
      <c r="Y151" s="34" t="s">
        <v>2248</v>
      </c>
      <c r="Z151" s="34" t="s">
        <v>5675</v>
      </c>
      <c r="AA151" s="35">
        <v>6.4435483870967753E-4</v>
      </c>
      <c r="AB151" s="13"/>
      <c r="AC151" s="34">
        <v>147</v>
      </c>
      <c r="AD151" s="34" t="s">
        <v>4573</v>
      </c>
      <c r="AE151" s="34" t="s">
        <v>5675</v>
      </c>
      <c r="AF151" s="35">
        <v>0.11893145161290324</v>
      </c>
    </row>
    <row r="152" spans="1:32" x14ac:dyDescent="0.35">
      <c r="A152" s="171">
        <v>106</v>
      </c>
      <c r="S152" s="34">
        <v>148</v>
      </c>
      <c r="T152" s="34" t="s">
        <v>4284</v>
      </c>
      <c r="U152" s="34" t="s">
        <v>5682</v>
      </c>
      <c r="V152" s="35">
        <v>3.3280241935483875E-6</v>
      </c>
      <c r="W152" s="13"/>
      <c r="X152" s="34">
        <v>148</v>
      </c>
      <c r="Y152" s="34" t="s">
        <v>2248</v>
      </c>
      <c r="Z152" s="34" t="s">
        <v>5674</v>
      </c>
      <c r="AA152" s="35">
        <v>3.149798387096774E-4</v>
      </c>
      <c r="AB152" s="13"/>
      <c r="AC152" s="34">
        <v>148</v>
      </c>
      <c r="AD152" s="34" t="s">
        <v>4573</v>
      </c>
      <c r="AE152" s="34" t="s">
        <v>5674</v>
      </c>
      <c r="AF152" s="35">
        <v>1.6451612903225807E-3</v>
      </c>
    </row>
    <row r="153" spans="1:32" x14ac:dyDescent="0.35">
      <c r="A153" s="171">
        <v>107</v>
      </c>
      <c r="B153" s="377" t="s">
        <v>578</v>
      </c>
      <c r="C153" s="189">
        <v>1.5673823326345E-2</v>
      </c>
      <c r="D153" s="375">
        <v>1.8808587991613997E-2</v>
      </c>
      <c r="S153" s="36">
        <v>149</v>
      </c>
      <c r="T153" s="36" t="s">
        <v>4284</v>
      </c>
      <c r="U153" s="36" t="s">
        <v>5809</v>
      </c>
      <c r="V153" s="37">
        <v>9.7370000000000001</v>
      </c>
      <c r="W153" s="13"/>
      <c r="X153" s="34">
        <v>149</v>
      </c>
      <c r="Y153" s="34" t="s">
        <v>2248</v>
      </c>
      <c r="Z153" s="34" t="s">
        <v>3807</v>
      </c>
      <c r="AA153" s="35">
        <v>853.76</v>
      </c>
      <c r="AB153" s="13"/>
      <c r="AC153" s="34">
        <v>149</v>
      </c>
      <c r="AD153" s="34" t="s">
        <v>4573</v>
      </c>
      <c r="AE153" s="34" t="s">
        <v>3807</v>
      </c>
      <c r="AF153" s="35">
        <v>1922.8</v>
      </c>
    </row>
    <row r="154" spans="1:32" x14ac:dyDescent="0.35">
      <c r="A154" s="171">
        <v>108</v>
      </c>
      <c r="B154" s="377" t="s">
        <v>579</v>
      </c>
      <c r="C154" s="189">
        <v>3.2542208042484998E-2</v>
      </c>
      <c r="D154" s="375">
        <v>3.9050649650981997E-2</v>
      </c>
      <c r="S154" s="36">
        <v>150</v>
      </c>
      <c r="T154" s="36" t="s">
        <v>4284</v>
      </c>
      <c r="U154" s="36" t="s">
        <v>5808</v>
      </c>
      <c r="V154" s="37">
        <v>6.9550000000000001</v>
      </c>
      <c r="W154" s="13"/>
      <c r="X154" s="34">
        <v>150</v>
      </c>
      <c r="Y154" s="34" t="s">
        <v>2248</v>
      </c>
      <c r="Z154" s="34" t="s">
        <v>3806</v>
      </c>
      <c r="AA154" s="35">
        <v>0</v>
      </c>
      <c r="AB154" s="13"/>
      <c r="AC154" s="34">
        <v>150</v>
      </c>
      <c r="AD154" s="34" t="s">
        <v>4573</v>
      </c>
      <c r="AE154" s="34" t="s">
        <v>3806</v>
      </c>
      <c r="AF154" s="35">
        <v>1.0213709677419356E-2</v>
      </c>
    </row>
    <row r="155" spans="1:32" x14ac:dyDescent="0.35">
      <c r="A155" s="171">
        <v>109</v>
      </c>
      <c r="B155" s="377" t="s">
        <v>6924</v>
      </c>
      <c r="C155" s="189">
        <v>0.25025764604057504</v>
      </c>
      <c r="D155" s="375">
        <v>0.30030917524869005</v>
      </c>
      <c r="S155" s="36">
        <v>151</v>
      </c>
      <c r="T155" s="36" t="s">
        <v>4284</v>
      </c>
      <c r="U155" s="36" t="s">
        <v>5807</v>
      </c>
      <c r="V155" s="37">
        <v>6.0454999999999988</v>
      </c>
      <c r="W155" s="13"/>
      <c r="X155" s="34">
        <v>151</v>
      </c>
      <c r="Y155" s="34" t="s">
        <v>2248</v>
      </c>
      <c r="Z155" s="34" t="s">
        <v>3806</v>
      </c>
      <c r="AA155" s="35">
        <v>1.1241935483870967E-3</v>
      </c>
      <c r="AB155" s="13"/>
      <c r="AC155" s="34">
        <v>151</v>
      </c>
      <c r="AD155" s="34" t="s">
        <v>4573</v>
      </c>
      <c r="AE155" s="34" t="s">
        <v>3806</v>
      </c>
      <c r="AF155" s="35">
        <v>0</v>
      </c>
    </row>
    <row r="156" spans="1:32" x14ac:dyDescent="0.35">
      <c r="A156" s="171">
        <v>110</v>
      </c>
      <c r="B156" s="377" t="s">
        <v>581</v>
      </c>
      <c r="C156" s="189" t="s">
        <v>6926</v>
      </c>
      <c r="D156" s="374" t="s">
        <v>6926</v>
      </c>
      <c r="S156" s="34">
        <v>152</v>
      </c>
      <c r="T156" s="34" t="s">
        <v>4284</v>
      </c>
      <c r="U156" s="34" t="s">
        <v>3810</v>
      </c>
      <c r="V156" s="35">
        <v>86.204000000000008</v>
      </c>
      <c r="W156" s="13"/>
      <c r="X156" s="34">
        <v>152</v>
      </c>
      <c r="Y156" s="34" t="s">
        <v>2248</v>
      </c>
      <c r="Z156" s="34" t="s">
        <v>5673</v>
      </c>
      <c r="AA156" s="35">
        <v>2.1764112903225808E-4</v>
      </c>
      <c r="AB156" s="13"/>
      <c r="AC156" s="34">
        <v>152</v>
      </c>
      <c r="AD156" s="34" t="s">
        <v>4573</v>
      </c>
      <c r="AE156" s="34" t="s">
        <v>5673</v>
      </c>
      <c r="AF156" s="35">
        <v>0.89112903225806461</v>
      </c>
    </row>
    <row r="157" spans="1:32" x14ac:dyDescent="0.35">
      <c r="A157" s="171">
        <v>111</v>
      </c>
      <c r="B157" s="377" t="s">
        <v>582</v>
      </c>
      <c r="C157" s="189" t="s">
        <v>6926</v>
      </c>
      <c r="D157" s="374" t="s">
        <v>6926</v>
      </c>
      <c r="S157" s="34">
        <v>153</v>
      </c>
      <c r="T157" s="34" t="s">
        <v>4284</v>
      </c>
      <c r="U157" s="34" t="s">
        <v>5681</v>
      </c>
      <c r="V157" s="35">
        <v>5.7580645161290328E-2</v>
      </c>
      <c r="W157" s="13"/>
      <c r="X157" s="34">
        <v>153</v>
      </c>
      <c r="Y157" s="34" t="s">
        <v>2248</v>
      </c>
      <c r="Z157" s="34" t="s">
        <v>5672</v>
      </c>
      <c r="AA157" s="35">
        <v>4.5927419354838714E-4</v>
      </c>
      <c r="AB157" s="13"/>
      <c r="AC157" s="34">
        <v>153</v>
      </c>
      <c r="AD157" s="34" t="s">
        <v>4573</v>
      </c>
      <c r="AE157" s="34" t="s">
        <v>5672</v>
      </c>
      <c r="AF157" s="35">
        <v>4.0786290322580646E-3</v>
      </c>
    </row>
    <row r="158" spans="1:32" x14ac:dyDescent="0.35">
      <c r="A158" s="171">
        <v>112</v>
      </c>
      <c r="B158" s="377" t="s">
        <v>583</v>
      </c>
      <c r="C158" s="189">
        <v>8.9695522023010024E-2</v>
      </c>
      <c r="D158" s="375">
        <v>0.10763462642761203</v>
      </c>
      <c r="S158" s="34">
        <v>154</v>
      </c>
      <c r="T158" s="34" t="s">
        <v>4284</v>
      </c>
      <c r="U158" s="34" t="s">
        <v>3808</v>
      </c>
      <c r="V158" s="35">
        <v>5.7580645161290325E-5</v>
      </c>
      <c r="W158" s="13"/>
      <c r="X158" s="34">
        <v>154</v>
      </c>
      <c r="Y158" s="34" t="s">
        <v>2248</v>
      </c>
      <c r="Z158" s="34" t="s">
        <v>5671</v>
      </c>
      <c r="AA158" s="35">
        <v>1.3675403225806455E-4</v>
      </c>
      <c r="AB158" s="13"/>
      <c r="AC158" s="34">
        <v>154</v>
      </c>
      <c r="AD158" s="34" t="s">
        <v>4573</v>
      </c>
      <c r="AE158" s="34" t="s">
        <v>5671</v>
      </c>
      <c r="AF158" s="35">
        <v>5.0040322580645162E-3</v>
      </c>
    </row>
    <row r="159" spans="1:32" x14ac:dyDescent="0.35">
      <c r="A159" s="171">
        <v>113</v>
      </c>
      <c r="B159" s="377" t="s">
        <v>584</v>
      </c>
      <c r="C159" s="189" t="s">
        <v>6926</v>
      </c>
      <c r="D159" s="374" t="s">
        <v>6926</v>
      </c>
      <c r="S159" s="34">
        <v>155</v>
      </c>
      <c r="T159" s="34" t="s">
        <v>4284</v>
      </c>
      <c r="U159" s="34" t="s">
        <v>3808</v>
      </c>
      <c r="V159" s="35">
        <v>0</v>
      </c>
      <c r="W159" s="13"/>
      <c r="X159" s="34">
        <v>155</v>
      </c>
      <c r="Y159" s="34" t="s">
        <v>2248</v>
      </c>
      <c r="Z159" s="34" t="s">
        <v>5670</v>
      </c>
      <c r="AA159" s="35">
        <v>1.3195564516129035E-7</v>
      </c>
      <c r="AB159" s="13"/>
      <c r="AC159" s="34">
        <v>155</v>
      </c>
      <c r="AD159" s="34" t="s">
        <v>4573</v>
      </c>
      <c r="AE159" s="34" t="s">
        <v>5670</v>
      </c>
      <c r="AF159" s="35">
        <v>4.1471774193548391E-4</v>
      </c>
    </row>
    <row r="160" spans="1:32" x14ac:dyDescent="0.35">
      <c r="A160" s="171">
        <v>114</v>
      </c>
      <c r="B160" s="377" t="s">
        <v>585</v>
      </c>
      <c r="C160" s="189" t="s">
        <v>6926</v>
      </c>
      <c r="D160" s="374" t="s">
        <v>6926</v>
      </c>
      <c r="S160" s="34">
        <v>156</v>
      </c>
      <c r="T160" s="34" t="s">
        <v>4284</v>
      </c>
      <c r="U160" s="34" t="s">
        <v>5679</v>
      </c>
      <c r="V160" s="35">
        <v>2.0221774193548386E-5</v>
      </c>
      <c r="W160" s="13"/>
      <c r="X160" s="34">
        <v>156</v>
      </c>
      <c r="Y160" s="34" t="s">
        <v>2248</v>
      </c>
      <c r="Z160" s="34" t="s">
        <v>5669</v>
      </c>
      <c r="AA160" s="35">
        <v>1.8885080645161291E-4</v>
      </c>
      <c r="AB160" s="13"/>
      <c r="AC160" s="34">
        <v>156</v>
      </c>
      <c r="AD160" s="34" t="s">
        <v>4573</v>
      </c>
      <c r="AE160" s="34" t="s">
        <v>5669</v>
      </c>
      <c r="AF160" s="35">
        <v>4.181451612903226E-2</v>
      </c>
    </row>
    <row r="161" spans="1:32" x14ac:dyDescent="0.35">
      <c r="A161" s="171">
        <v>115</v>
      </c>
      <c r="B161" s="377" t="s">
        <v>586</v>
      </c>
      <c r="C161" s="189">
        <v>0.11677401227218</v>
      </c>
      <c r="D161" s="375">
        <v>0.14012881472661598</v>
      </c>
      <c r="S161" s="34">
        <v>157</v>
      </c>
      <c r="T161" s="34" t="s">
        <v>4284</v>
      </c>
      <c r="U161" s="34" t="s">
        <v>5678</v>
      </c>
      <c r="V161" s="35">
        <v>1.5389112903225807E-3</v>
      </c>
      <c r="W161" s="13"/>
      <c r="X161" s="34">
        <v>157</v>
      </c>
      <c r="Y161" s="34" t="s">
        <v>2248</v>
      </c>
      <c r="Z161" s="34" t="s">
        <v>5668</v>
      </c>
      <c r="AA161" s="35">
        <v>6.5120967741935489E-3</v>
      </c>
      <c r="AB161" s="13"/>
      <c r="AC161" s="34">
        <v>157</v>
      </c>
      <c r="AD161" s="34" t="s">
        <v>4573</v>
      </c>
      <c r="AE161" s="34" t="s">
        <v>5668</v>
      </c>
      <c r="AF161" s="35">
        <v>0.95967741935483875</v>
      </c>
    </row>
    <row r="162" spans="1:32" x14ac:dyDescent="0.35">
      <c r="A162" s="171">
        <v>116</v>
      </c>
      <c r="B162" s="377" t="s">
        <v>587</v>
      </c>
      <c r="C162" s="189" t="s">
        <v>6926</v>
      </c>
      <c r="D162" s="374" t="s">
        <v>6926</v>
      </c>
      <c r="S162" s="34">
        <v>158</v>
      </c>
      <c r="T162" s="34" t="s">
        <v>4284</v>
      </c>
      <c r="U162" s="34" t="s">
        <v>5677</v>
      </c>
      <c r="V162" s="35">
        <v>1.8747983870967742E-4</v>
      </c>
      <c r="W162" s="13"/>
      <c r="X162" s="34">
        <v>158</v>
      </c>
      <c r="Y162" s="34" t="s">
        <v>2248</v>
      </c>
      <c r="Z162" s="34" t="s">
        <v>5667</v>
      </c>
      <c r="AA162" s="35">
        <v>2.0324596774193549E-5</v>
      </c>
      <c r="AB162" s="13"/>
      <c r="AC162" s="34">
        <v>158</v>
      </c>
      <c r="AD162" s="34" t="s">
        <v>4573</v>
      </c>
      <c r="AE162" s="34" t="s">
        <v>5667</v>
      </c>
      <c r="AF162" s="35">
        <v>0.17993951612903228</v>
      </c>
    </row>
    <row r="163" spans="1:32" x14ac:dyDescent="0.35">
      <c r="A163" s="171">
        <v>117</v>
      </c>
      <c r="B163" s="377" t="s">
        <v>588</v>
      </c>
      <c r="C163" s="189" t="s">
        <v>6926</v>
      </c>
      <c r="D163" s="374" t="s">
        <v>6926</v>
      </c>
      <c r="S163" s="34">
        <v>159</v>
      </c>
      <c r="T163" s="34" t="s">
        <v>4284</v>
      </c>
      <c r="U163" s="34" t="s">
        <v>5676</v>
      </c>
      <c r="V163" s="35">
        <v>2.8310483870967745E-4</v>
      </c>
      <c r="W163" s="13"/>
      <c r="X163" s="34">
        <v>159</v>
      </c>
      <c r="Y163" s="34" t="s">
        <v>2248</v>
      </c>
      <c r="Z163" s="34" t="s">
        <v>5666</v>
      </c>
      <c r="AA163" s="35">
        <v>1.6417338709677422E-4</v>
      </c>
      <c r="AB163" s="13"/>
      <c r="AC163" s="34">
        <v>159</v>
      </c>
      <c r="AD163" s="34" t="s">
        <v>4573</v>
      </c>
      <c r="AE163" s="34" t="s">
        <v>5666</v>
      </c>
      <c r="AF163" s="35">
        <v>1.3058467741935485E-3</v>
      </c>
    </row>
    <row r="164" spans="1:32" x14ac:dyDescent="0.35">
      <c r="A164" s="171">
        <v>118</v>
      </c>
      <c r="B164" s="377" t="s">
        <v>589</v>
      </c>
      <c r="C164" s="189">
        <v>6.7996378552549697E-2</v>
      </c>
      <c r="D164" s="375">
        <v>8.1595654263059633E-2</v>
      </c>
      <c r="S164" s="34">
        <v>160</v>
      </c>
      <c r="T164" s="34" t="s">
        <v>4284</v>
      </c>
      <c r="U164" s="34" t="s">
        <v>5675</v>
      </c>
      <c r="V164" s="35">
        <v>7.8487903225806454E-5</v>
      </c>
      <c r="W164" s="13"/>
      <c r="X164" s="34">
        <v>160</v>
      </c>
      <c r="Y164" s="34" t="s">
        <v>2248</v>
      </c>
      <c r="Z164" s="34" t="s">
        <v>5665</v>
      </c>
      <c r="AA164" s="35">
        <v>2.15241935483871E-4</v>
      </c>
      <c r="AB164" s="13"/>
      <c r="AC164" s="34">
        <v>160</v>
      </c>
      <c r="AD164" s="34" t="s">
        <v>4573</v>
      </c>
      <c r="AE164" s="34" t="s">
        <v>5665</v>
      </c>
      <c r="AF164" s="35">
        <v>1.3881048387096775E-2</v>
      </c>
    </row>
    <row r="165" spans="1:32" x14ac:dyDescent="0.35">
      <c r="A165" s="171">
        <v>119</v>
      </c>
      <c r="B165" s="377" t="s">
        <v>590</v>
      </c>
      <c r="C165" s="189">
        <v>8.1853410838239993E-2</v>
      </c>
      <c r="D165" s="375">
        <v>9.8224093005887983E-2</v>
      </c>
      <c r="S165" s="34">
        <v>161</v>
      </c>
      <c r="T165" s="34" t="s">
        <v>4284</v>
      </c>
      <c r="U165" s="34" t="s">
        <v>5674</v>
      </c>
      <c r="V165" s="35">
        <v>1.7411290322580646E-5</v>
      </c>
      <c r="W165" s="13"/>
      <c r="X165" s="34">
        <v>161</v>
      </c>
      <c r="Y165" s="34" t="s">
        <v>2248</v>
      </c>
      <c r="Z165" s="34" t="s">
        <v>5664</v>
      </c>
      <c r="AA165" s="35">
        <v>1.3435483870967743E-3</v>
      </c>
      <c r="AB165" s="13"/>
      <c r="AC165" s="34">
        <v>161</v>
      </c>
      <c r="AD165" s="34" t="s">
        <v>4573</v>
      </c>
      <c r="AE165" s="34" t="s">
        <v>5664</v>
      </c>
      <c r="AF165" s="35">
        <v>1.1276209677419356E-2</v>
      </c>
    </row>
    <row r="166" spans="1:32" x14ac:dyDescent="0.35">
      <c r="A166" s="171">
        <v>120</v>
      </c>
      <c r="B166" s="377" t="s">
        <v>591</v>
      </c>
      <c r="C166" s="189">
        <v>0.29800010068691501</v>
      </c>
      <c r="D166" s="375">
        <v>0.35760012082429798</v>
      </c>
      <c r="S166" s="34">
        <v>162</v>
      </c>
      <c r="T166" s="34" t="s">
        <v>4284</v>
      </c>
      <c r="U166" s="34" t="s">
        <v>3807</v>
      </c>
      <c r="V166" s="35">
        <v>975.19999999999993</v>
      </c>
      <c r="W166" s="13"/>
      <c r="X166" s="34">
        <v>162</v>
      </c>
      <c r="Y166" s="34" t="s">
        <v>2248</v>
      </c>
      <c r="Z166" s="34" t="s">
        <v>5663</v>
      </c>
      <c r="AA166" s="35">
        <v>5.6209677419354844E-7</v>
      </c>
      <c r="AB166" s="13"/>
      <c r="AC166" s="34">
        <v>162</v>
      </c>
      <c r="AD166" s="34" t="s">
        <v>4573</v>
      </c>
      <c r="AE166" s="34" t="s">
        <v>5663</v>
      </c>
      <c r="AF166" s="35">
        <v>1.0179435483870969E-3</v>
      </c>
    </row>
    <row r="167" spans="1:32" x14ac:dyDescent="0.35">
      <c r="A167" s="171">
        <v>121</v>
      </c>
      <c r="B167" s="377" t="s">
        <v>592</v>
      </c>
      <c r="C167" s="189" t="s">
        <v>6926</v>
      </c>
      <c r="D167" s="374" t="s">
        <v>6926</v>
      </c>
      <c r="S167" s="34">
        <v>163</v>
      </c>
      <c r="T167" s="34" t="s">
        <v>4284</v>
      </c>
      <c r="U167" s="34" t="s">
        <v>3806</v>
      </c>
      <c r="V167" s="35">
        <v>1.0625000000000001E-3</v>
      </c>
      <c r="W167" s="13"/>
      <c r="X167" s="34">
        <v>163</v>
      </c>
      <c r="Y167" s="34" t="s">
        <v>2248</v>
      </c>
      <c r="Z167" s="34" t="s">
        <v>5662</v>
      </c>
      <c r="AA167" s="35">
        <v>2.4026209677419355E-5</v>
      </c>
      <c r="AB167" s="13"/>
      <c r="AC167" s="34">
        <v>163</v>
      </c>
      <c r="AD167" s="34" t="s">
        <v>4573</v>
      </c>
      <c r="AE167" s="34" t="s">
        <v>5662</v>
      </c>
      <c r="AF167" s="35">
        <v>4.3528225806451614E-3</v>
      </c>
    </row>
    <row r="168" spans="1:32" x14ac:dyDescent="0.35">
      <c r="A168" s="171">
        <v>122</v>
      </c>
      <c r="B168" s="377" t="s">
        <v>593</v>
      </c>
      <c r="C168" s="189">
        <v>9.4253567853229983E-2</v>
      </c>
      <c r="D168" s="375">
        <v>0.11310428142387598</v>
      </c>
      <c r="S168" s="34">
        <v>164</v>
      </c>
      <c r="T168" s="34" t="s">
        <v>4284</v>
      </c>
      <c r="U168" s="34" t="s">
        <v>3806</v>
      </c>
      <c r="V168" s="35">
        <v>0</v>
      </c>
      <c r="W168" s="13"/>
      <c r="X168" s="34">
        <v>164</v>
      </c>
      <c r="Y168" s="34" t="s">
        <v>2248</v>
      </c>
      <c r="Z168" s="34" t="s">
        <v>3805</v>
      </c>
      <c r="AA168" s="35">
        <v>1.8767999999999999E-4</v>
      </c>
      <c r="AB168" s="13"/>
      <c r="AC168" s="34">
        <v>164</v>
      </c>
      <c r="AD168" s="34" t="s">
        <v>4573</v>
      </c>
      <c r="AE168" s="34" t="s">
        <v>3805</v>
      </c>
      <c r="AF168" s="35">
        <v>2.1558467741935486E-3</v>
      </c>
    </row>
    <row r="169" spans="1:32" x14ac:dyDescent="0.35">
      <c r="A169" s="171">
        <v>123</v>
      </c>
      <c r="B169" s="377" t="s">
        <v>594</v>
      </c>
      <c r="C169" s="189">
        <v>5.716443966E-5</v>
      </c>
      <c r="D169" s="375">
        <v>6.8597327592000002E-5</v>
      </c>
      <c r="S169" s="34">
        <v>165</v>
      </c>
      <c r="T169" s="34" t="s">
        <v>4284</v>
      </c>
      <c r="U169" s="34" t="s">
        <v>5673</v>
      </c>
      <c r="V169" s="35">
        <v>1.0899193548387098E-2</v>
      </c>
      <c r="W169" s="13"/>
      <c r="X169" s="34">
        <v>165</v>
      </c>
      <c r="Y169" s="34" t="s">
        <v>2248</v>
      </c>
      <c r="Z169" s="34" t="s">
        <v>3805</v>
      </c>
      <c r="AA169" s="35">
        <v>4.4899193548387105E-6</v>
      </c>
      <c r="AB169" s="13"/>
      <c r="AC169" s="34">
        <v>165</v>
      </c>
      <c r="AD169" s="34" t="s">
        <v>4573</v>
      </c>
      <c r="AE169" s="34" t="s">
        <v>3805</v>
      </c>
      <c r="AF169" s="35">
        <v>9.0067999999999995E-2</v>
      </c>
    </row>
    <row r="170" spans="1:32" x14ac:dyDescent="0.35">
      <c r="A170" s="171">
        <v>124</v>
      </c>
      <c r="S170" s="34">
        <v>166</v>
      </c>
      <c r="T170" s="34" t="s">
        <v>4284</v>
      </c>
      <c r="U170" s="34" t="s">
        <v>5672</v>
      </c>
      <c r="V170" s="35">
        <v>3.4616935483870972E-5</v>
      </c>
      <c r="W170" s="13"/>
      <c r="X170" s="34">
        <v>166</v>
      </c>
      <c r="Y170" s="34" t="s">
        <v>2248</v>
      </c>
      <c r="Z170" s="34" t="s">
        <v>5661</v>
      </c>
      <c r="AA170" s="35">
        <v>1.0830645161290325E-4</v>
      </c>
      <c r="AB170" s="13"/>
      <c r="AC170" s="34">
        <v>166</v>
      </c>
      <c r="AD170" s="34" t="s">
        <v>4573</v>
      </c>
      <c r="AE170" s="34" t="s">
        <v>5661</v>
      </c>
      <c r="AF170" s="35">
        <v>2.4334677419354842E-2</v>
      </c>
    </row>
    <row r="171" spans="1:32" x14ac:dyDescent="0.35">
      <c r="A171" s="171">
        <v>125</v>
      </c>
      <c r="B171" s="377" t="s">
        <v>596</v>
      </c>
      <c r="C171" s="189">
        <v>6.3178377560955012E-2</v>
      </c>
      <c r="D171" s="375">
        <v>7.5814053073146009E-2</v>
      </c>
      <c r="S171" s="34">
        <v>167</v>
      </c>
      <c r="T171" s="34" t="s">
        <v>4284</v>
      </c>
      <c r="U171" s="34" t="s">
        <v>5671</v>
      </c>
      <c r="V171" s="35">
        <v>2.1455645161290325E-5</v>
      </c>
      <c r="W171" s="13"/>
      <c r="X171" s="34">
        <v>167</v>
      </c>
      <c r="Y171" s="34" t="s">
        <v>2248</v>
      </c>
      <c r="Z171" s="34" t="s">
        <v>5660</v>
      </c>
      <c r="AA171" s="35">
        <v>6.7862903225806457E-3</v>
      </c>
      <c r="AB171" s="13"/>
      <c r="AC171" s="34">
        <v>167</v>
      </c>
      <c r="AD171" s="34" t="s">
        <v>4573</v>
      </c>
      <c r="AE171" s="34" t="s">
        <v>5660</v>
      </c>
      <c r="AF171" s="35">
        <v>0.58608870967741944</v>
      </c>
    </row>
    <row r="172" spans="1:32" x14ac:dyDescent="0.35">
      <c r="A172" s="171">
        <v>126</v>
      </c>
      <c r="B172" s="377" t="s">
        <v>597</v>
      </c>
      <c r="C172" s="189">
        <v>3.9170124697999998E-4</v>
      </c>
      <c r="D172" s="375">
        <v>4.7004149637599996E-4</v>
      </c>
      <c r="S172" s="34">
        <v>168</v>
      </c>
      <c r="T172" s="34" t="s">
        <v>4284</v>
      </c>
      <c r="U172" s="34" t="s">
        <v>5670</v>
      </c>
      <c r="V172" s="35">
        <v>2.2826612903225812E-9</v>
      </c>
      <c r="W172" s="13"/>
      <c r="X172" s="34">
        <v>168</v>
      </c>
      <c r="Y172" s="34" t="s">
        <v>2248</v>
      </c>
      <c r="Z172" s="34" t="s">
        <v>5659</v>
      </c>
      <c r="AA172" s="35">
        <v>1.2201612903225808E-4</v>
      </c>
      <c r="AB172" s="13"/>
      <c r="AC172" s="34">
        <v>168</v>
      </c>
      <c r="AD172" s="34" t="s">
        <v>4573</v>
      </c>
      <c r="AE172" s="34" t="s">
        <v>5659</v>
      </c>
      <c r="AF172" s="35">
        <v>3.8729838709677424E-3</v>
      </c>
    </row>
    <row r="173" spans="1:32" x14ac:dyDescent="0.35">
      <c r="A173" s="171">
        <v>127</v>
      </c>
      <c r="B173" s="378" t="s">
        <v>458</v>
      </c>
      <c r="C173" s="189">
        <v>5.3505173570388476E-2</v>
      </c>
      <c r="D173" s="375">
        <v>6.4206208284466174E-2</v>
      </c>
      <c r="S173" s="34">
        <v>169</v>
      </c>
      <c r="T173" s="34" t="s">
        <v>4284</v>
      </c>
      <c r="U173" s="34" t="s">
        <v>5669</v>
      </c>
      <c r="V173" s="35">
        <v>8.2600806451612916E-5</v>
      </c>
      <c r="W173" s="13"/>
      <c r="X173" s="34">
        <v>169</v>
      </c>
      <c r="Y173" s="34" t="s">
        <v>2248</v>
      </c>
      <c r="Z173" s="34" t="s">
        <v>5658</v>
      </c>
      <c r="AA173" s="35">
        <v>2.7967741935483871E-3</v>
      </c>
      <c r="AB173" s="13"/>
      <c r="AC173" s="34">
        <v>169</v>
      </c>
      <c r="AD173" s="34" t="s">
        <v>4573</v>
      </c>
      <c r="AE173" s="34" t="s">
        <v>5658</v>
      </c>
      <c r="AF173" s="35">
        <v>2.9201612903225808E-2</v>
      </c>
    </row>
    <row r="174" spans="1:32" x14ac:dyDescent="0.35">
      <c r="A174" s="171">
        <v>128</v>
      </c>
      <c r="B174" s="377" t="s">
        <v>598</v>
      </c>
      <c r="C174" s="189">
        <v>2.489325765636E-2</v>
      </c>
      <c r="D174" s="375">
        <v>2.9871909187631999E-2</v>
      </c>
      <c r="S174" s="34">
        <v>170</v>
      </c>
      <c r="T174" s="34" t="s">
        <v>4284</v>
      </c>
      <c r="U174" s="34" t="s">
        <v>5668</v>
      </c>
      <c r="V174" s="35">
        <v>2.9750000000000002E-2</v>
      </c>
      <c r="W174" s="13"/>
      <c r="X174" s="34">
        <v>170</v>
      </c>
      <c r="Y174" s="34" t="s">
        <v>2248</v>
      </c>
      <c r="Z174" s="34" t="s">
        <v>5657</v>
      </c>
      <c r="AA174" s="35">
        <v>4.3870967741935487E-3</v>
      </c>
      <c r="AB174" s="13"/>
      <c r="AC174" s="34">
        <v>170</v>
      </c>
      <c r="AD174" s="34" t="s">
        <v>4573</v>
      </c>
      <c r="AE174" s="34" t="s">
        <v>5657</v>
      </c>
      <c r="AF174" s="35">
        <v>4.7641129032258069E-2</v>
      </c>
    </row>
    <row r="175" spans="1:32" x14ac:dyDescent="0.35">
      <c r="A175" s="171">
        <v>129</v>
      </c>
      <c r="B175" s="377" t="s">
        <v>599</v>
      </c>
      <c r="C175" s="189">
        <v>6.0796819522875009E-2</v>
      </c>
      <c r="D175" s="375">
        <v>7.2956183427450014E-2</v>
      </c>
      <c r="S175" s="34">
        <v>171</v>
      </c>
      <c r="T175" s="34" t="s">
        <v>4284</v>
      </c>
      <c r="U175" s="34" t="s">
        <v>5667</v>
      </c>
      <c r="V175" s="35">
        <v>1.974193548387097E-3</v>
      </c>
      <c r="W175" s="13"/>
      <c r="X175" s="34">
        <v>171</v>
      </c>
      <c r="Y175" s="34" t="s">
        <v>2248</v>
      </c>
      <c r="Z175" s="34" t="s">
        <v>5656</v>
      </c>
      <c r="AA175" s="35">
        <v>1.2441532258064518E-2</v>
      </c>
      <c r="AB175" s="13"/>
      <c r="AC175" s="34">
        <v>171</v>
      </c>
      <c r="AD175" s="34" t="s">
        <v>4573</v>
      </c>
      <c r="AE175" s="34" t="s">
        <v>5656</v>
      </c>
      <c r="AF175" s="35">
        <v>0.89455645161290331</v>
      </c>
    </row>
    <row r="176" spans="1:32" x14ac:dyDescent="0.35">
      <c r="A176" s="171">
        <v>130</v>
      </c>
      <c r="B176" s="377" t="s">
        <v>600</v>
      </c>
      <c r="C176" s="189" t="s">
        <v>6926</v>
      </c>
      <c r="D176" s="374" t="s">
        <v>6926</v>
      </c>
      <c r="S176" s="34">
        <v>172</v>
      </c>
      <c r="T176" s="34" t="s">
        <v>4284</v>
      </c>
      <c r="U176" s="34" t="s">
        <v>5666</v>
      </c>
      <c r="V176" s="35">
        <v>1.2852822580645161E-5</v>
      </c>
      <c r="W176" s="13"/>
      <c r="X176" s="34">
        <v>172</v>
      </c>
      <c r="Y176" s="34" t="s">
        <v>2248</v>
      </c>
      <c r="Z176" s="34" t="s">
        <v>5655</v>
      </c>
      <c r="AA176" s="35">
        <v>4.0786290322580654E-7</v>
      </c>
      <c r="AB176" s="13"/>
      <c r="AC176" s="34">
        <v>172</v>
      </c>
      <c r="AD176" s="34" t="s">
        <v>4573</v>
      </c>
      <c r="AE176" s="34" t="s">
        <v>5655</v>
      </c>
      <c r="AF176" s="35">
        <v>3.4274193548387101E-2</v>
      </c>
    </row>
    <row r="177" spans="1:32" x14ac:dyDescent="0.35">
      <c r="A177" s="171">
        <v>131</v>
      </c>
      <c r="B177" s="377" t="s">
        <v>601</v>
      </c>
      <c r="C177" s="189">
        <v>5.6505110671965009E-2</v>
      </c>
      <c r="D177" s="375">
        <v>6.7806132806358013E-2</v>
      </c>
      <c r="S177" s="34">
        <v>173</v>
      </c>
      <c r="T177" s="34" t="s">
        <v>4284</v>
      </c>
      <c r="U177" s="34" t="s">
        <v>5665</v>
      </c>
      <c r="V177" s="35">
        <v>6.3064516129032272E-5</v>
      </c>
      <c r="W177" s="13"/>
      <c r="X177" s="34">
        <v>173</v>
      </c>
      <c r="Y177" s="34" t="s">
        <v>2248</v>
      </c>
      <c r="Z177" s="34" t="s">
        <v>3803</v>
      </c>
      <c r="AA177" s="35">
        <v>0</v>
      </c>
      <c r="AB177" s="13"/>
      <c r="AC177" s="34">
        <v>173</v>
      </c>
      <c r="AD177" s="34" t="s">
        <v>4573</v>
      </c>
      <c r="AE177" s="34" t="s">
        <v>3803</v>
      </c>
      <c r="AF177" s="35">
        <v>0</v>
      </c>
    </row>
    <row r="178" spans="1:32" x14ac:dyDescent="0.35">
      <c r="A178" s="171">
        <v>132</v>
      </c>
      <c r="B178" s="377" t="s">
        <v>602</v>
      </c>
      <c r="C178" s="189">
        <v>2.85175518975E-4</v>
      </c>
      <c r="D178" s="375">
        <v>3.4221062276999998E-4</v>
      </c>
      <c r="S178" s="34">
        <v>174</v>
      </c>
      <c r="T178" s="34" t="s">
        <v>4284</v>
      </c>
      <c r="U178" s="34" t="s">
        <v>5664</v>
      </c>
      <c r="V178" s="35">
        <v>4.2842741935483876E-5</v>
      </c>
      <c r="W178" s="13"/>
      <c r="X178" s="34">
        <v>174</v>
      </c>
      <c r="Y178" s="34" t="s">
        <v>2248</v>
      </c>
      <c r="Z178" s="34" t="s">
        <v>5654</v>
      </c>
      <c r="AA178" s="35">
        <v>5.6895161290322583E-3</v>
      </c>
      <c r="AB178" s="13"/>
      <c r="AC178" s="34">
        <v>174</v>
      </c>
      <c r="AD178" s="34" t="s">
        <v>4573</v>
      </c>
      <c r="AE178" s="34" t="s">
        <v>5654</v>
      </c>
      <c r="AF178" s="35">
        <v>1.4737903225806454E-2</v>
      </c>
    </row>
    <row r="179" spans="1:32" x14ac:dyDescent="0.35">
      <c r="A179" s="171">
        <v>133</v>
      </c>
      <c r="B179" s="377" t="s">
        <v>603</v>
      </c>
      <c r="C179" s="189">
        <v>0.12035794149548</v>
      </c>
      <c r="D179" s="375">
        <v>0.14442952979457599</v>
      </c>
      <c r="S179" s="36">
        <v>175</v>
      </c>
      <c r="T179" s="36" t="s">
        <v>4284</v>
      </c>
      <c r="U179" s="36" t="s">
        <v>5663</v>
      </c>
      <c r="V179" s="37">
        <v>7.9179999999999993</v>
      </c>
      <c r="W179" s="13"/>
      <c r="X179" s="34">
        <v>175</v>
      </c>
      <c r="Y179" s="34" t="s">
        <v>2248</v>
      </c>
      <c r="Z179" s="34" t="s">
        <v>5653</v>
      </c>
      <c r="AA179" s="35">
        <v>2.6082661290322582</v>
      </c>
      <c r="AB179" s="13"/>
      <c r="AC179" s="34">
        <v>175</v>
      </c>
      <c r="AD179" s="34" t="s">
        <v>4573</v>
      </c>
      <c r="AE179" s="34" t="s">
        <v>5653</v>
      </c>
      <c r="AF179" s="35">
        <v>7.7459677419354849</v>
      </c>
    </row>
    <row r="180" spans="1:32" x14ac:dyDescent="0.35">
      <c r="A180" s="171">
        <v>134</v>
      </c>
      <c r="B180" s="377" t="s">
        <v>604</v>
      </c>
      <c r="C180" s="189">
        <v>7.4848130382858757E-2</v>
      </c>
      <c r="D180" s="375">
        <v>8.9817756459430506E-2</v>
      </c>
      <c r="S180" s="34">
        <v>176</v>
      </c>
      <c r="T180" s="34" t="s">
        <v>4284</v>
      </c>
      <c r="U180" s="34" t="s">
        <v>5663</v>
      </c>
      <c r="V180" s="35">
        <v>3.7701612903225809E-9</v>
      </c>
      <c r="W180" s="13"/>
      <c r="X180" s="34">
        <v>176</v>
      </c>
      <c r="Y180" s="34" t="s">
        <v>2248</v>
      </c>
      <c r="Z180" s="34" t="s">
        <v>3802</v>
      </c>
      <c r="AA180" s="35">
        <v>0.16284000000000001</v>
      </c>
      <c r="AB180" s="13"/>
      <c r="AC180" s="34">
        <v>176</v>
      </c>
      <c r="AD180" s="34" t="s">
        <v>4573</v>
      </c>
      <c r="AE180" s="34" t="s">
        <v>3802</v>
      </c>
      <c r="AF180" s="35">
        <v>1.3431999999999999</v>
      </c>
    </row>
    <row r="181" spans="1:32" x14ac:dyDescent="0.35">
      <c r="A181" s="171">
        <v>135</v>
      </c>
      <c r="B181" s="377" t="s">
        <v>605</v>
      </c>
      <c r="C181" s="189">
        <v>3.5645353067125005E-2</v>
      </c>
      <c r="D181" s="375">
        <v>4.2774423680550004E-2</v>
      </c>
      <c r="S181" s="34">
        <v>177</v>
      </c>
      <c r="T181" s="34" t="s">
        <v>4284</v>
      </c>
      <c r="U181" s="34" t="s">
        <v>5662</v>
      </c>
      <c r="V181" s="35">
        <v>6.7862903225806453E-5</v>
      </c>
      <c r="W181" s="13"/>
      <c r="X181" s="34">
        <v>177</v>
      </c>
      <c r="Y181" s="34" t="s">
        <v>2248</v>
      </c>
      <c r="Z181" s="34" t="s">
        <v>3799</v>
      </c>
      <c r="AA181" s="35">
        <v>0.27876000000000001</v>
      </c>
      <c r="AB181" s="13"/>
      <c r="AC181" s="34">
        <v>177</v>
      </c>
      <c r="AD181" s="34" t="s">
        <v>4573</v>
      </c>
      <c r="AE181" s="34" t="s">
        <v>3799</v>
      </c>
      <c r="AF181" s="35">
        <v>2.3643999999999998</v>
      </c>
    </row>
    <row r="182" spans="1:32" x14ac:dyDescent="0.35">
      <c r="A182" s="171">
        <v>136</v>
      </c>
      <c r="B182" s="377" t="s">
        <v>606</v>
      </c>
      <c r="C182" s="189" t="s">
        <v>6926</v>
      </c>
      <c r="D182" s="374" t="s">
        <v>6926</v>
      </c>
      <c r="S182" s="34">
        <v>178</v>
      </c>
      <c r="T182" s="34" t="s">
        <v>4284</v>
      </c>
      <c r="U182" s="34" t="s">
        <v>3805</v>
      </c>
      <c r="V182" s="35">
        <v>2.4951612903225807E-5</v>
      </c>
      <c r="W182" s="13"/>
      <c r="X182" s="34">
        <v>178</v>
      </c>
      <c r="Y182" s="34" t="s">
        <v>2248</v>
      </c>
      <c r="Z182" s="34" t="s">
        <v>5652</v>
      </c>
      <c r="AA182" s="35">
        <v>1.2030241935483871E-6</v>
      </c>
      <c r="AB182" s="13"/>
      <c r="AC182" s="34">
        <v>178</v>
      </c>
      <c r="AD182" s="34" t="s">
        <v>4573</v>
      </c>
      <c r="AE182" s="34" t="s">
        <v>5652</v>
      </c>
      <c r="AF182" s="35">
        <v>1.418951612903226E-2</v>
      </c>
    </row>
    <row r="183" spans="1:32" x14ac:dyDescent="0.35">
      <c r="A183" s="171">
        <v>137</v>
      </c>
      <c r="B183" s="377" t="s">
        <v>607</v>
      </c>
      <c r="C183" s="189">
        <v>0</v>
      </c>
      <c r="D183" s="375" t="s">
        <v>6926</v>
      </c>
      <c r="S183" s="34">
        <v>179</v>
      </c>
      <c r="T183" s="34" t="s">
        <v>4284</v>
      </c>
      <c r="U183" s="34" t="s">
        <v>3805</v>
      </c>
      <c r="V183" s="35">
        <v>6.3479999999999995E-2</v>
      </c>
      <c r="W183" s="13"/>
      <c r="X183" s="34">
        <v>179</v>
      </c>
      <c r="Y183" s="34" t="s">
        <v>2248</v>
      </c>
      <c r="Z183" s="34" t="s">
        <v>3798</v>
      </c>
      <c r="AA183" s="35">
        <v>6.0720000000000001E-3</v>
      </c>
      <c r="AB183" s="13"/>
      <c r="AC183" s="34">
        <v>179</v>
      </c>
      <c r="AD183" s="34" t="s">
        <v>4573</v>
      </c>
      <c r="AE183" s="34" t="s">
        <v>3798</v>
      </c>
      <c r="AF183" s="35">
        <v>4.0443548387096779E-4</v>
      </c>
    </row>
    <row r="184" spans="1:32" x14ac:dyDescent="0.35">
      <c r="A184" s="171">
        <v>138</v>
      </c>
      <c r="B184" s="377" t="s">
        <v>608</v>
      </c>
      <c r="C184" s="189">
        <v>3.0570729460200004E-2</v>
      </c>
      <c r="D184" s="375">
        <v>3.6684875352240007E-2</v>
      </c>
      <c r="S184" s="34">
        <v>180</v>
      </c>
      <c r="T184" s="34" t="s">
        <v>4284</v>
      </c>
      <c r="U184" s="34" t="s">
        <v>5661</v>
      </c>
      <c r="V184" s="35">
        <v>2.9270161290322581E-4</v>
      </c>
      <c r="W184" s="13"/>
      <c r="X184" s="34">
        <v>180</v>
      </c>
      <c r="Y184" s="34" t="s">
        <v>2248</v>
      </c>
      <c r="Z184" s="34" t="s">
        <v>3798</v>
      </c>
      <c r="AA184" s="35">
        <v>6.8548387096774199E-5</v>
      </c>
      <c r="AB184" s="13"/>
      <c r="AC184" s="34">
        <v>180</v>
      </c>
      <c r="AD184" s="34" t="s">
        <v>4573</v>
      </c>
      <c r="AE184" s="34" t="s">
        <v>3798</v>
      </c>
      <c r="AF184" s="35">
        <v>3.5788E-2</v>
      </c>
    </row>
    <row r="185" spans="1:32" x14ac:dyDescent="0.35">
      <c r="A185" s="171">
        <v>139</v>
      </c>
      <c r="B185" s="377" t="s">
        <v>609</v>
      </c>
      <c r="C185" s="189">
        <v>7.0926259773640005E-2</v>
      </c>
      <c r="D185" s="375">
        <v>8.5111511728368006E-2</v>
      </c>
      <c r="S185" s="34">
        <v>181</v>
      </c>
      <c r="T185" s="34" t="s">
        <v>4284</v>
      </c>
      <c r="U185" s="34" t="s">
        <v>5660</v>
      </c>
      <c r="V185" s="35">
        <v>1.1481854838709678E-2</v>
      </c>
      <c r="W185" s="13"/>
      <c r="X185" s="34">
        <v>181</v>
      </c>
      <c r="Y185" s="34" t="s">
        <v>2248</v>
      </c>
      <c r="Z185" s="34" t="s">
        <v>3796</v>
      </c>
      <c r="AA185" s="35">
        <v>0</v>
      </c>
      <c r="AB185" s="13"/>
      <c r="AC185" s="34">
        <v>181</v>
      </c>
      <c r="AD185" s="34" t="s">
        <v>4573</v>
      </c>
      <c r="AE185" s="34" t="s">
        <v>3796</v>
      </c>
      <c r="AF185" s="35">
        <v>3.7358870967741938E-2</v>
      </c>
    </row>
    <row r="186" spans="1:32" x14ac:dyDescent="0.35">
      <c r="A186" s="171">
        <v>140</v>
      </c>
      <c r="B186" s="377" t="s">
        <v>610</v>
      </c>
      <c r="C186" s="189">
        <v>0.14920470545848002</v>
      </c>
      <c r="D186" s="375">
        <v>0.17904564655017602</v>
      </c>
      <c r="S186" s="34">
        <v>182</v>
      </c>
      <c r="T186" s="34" t="s">
        <v>4284</v>
      </c>
      <c r="U186" s="34" t="s">
        <v>5659</v>
      </c>
      <c r="V186" s="35">
        <v>5.1411290322580646E-5</v>
      </c>
      <c r="W186" s="13"/>
      <c r="X186" s="34">
        <v>182</v>
      </c>
      <c r="Y186" s="34" t="s">
        <v>2248</v>
      </c>
      <c r="Z186" s="34" t="s">
        <v>3796</v>
      </c>
      <c r="AA186" s="35">
        <v>1.076209677419355E-4</v>
      </c>
      <c r="AB186" s="13"/>
      <c r="AC186" s="34">
        <v>182</v>
      </c>
      <c r="AD186" s="34" t="s">
        <v>4573</v>
      </c>
      <c r="AE186" s="34" t="s">
        <v>3796</v>
      </c>
      <c r="AF186" s="35">
        <v>0</v>
      </c>
    </row>
    <row r="187" spans="1:32" x14ac:dyDescent="0.35">
      <c r="A187" s="171">
        <v>141</v>
      </c>
      <c r="B187" s="377" t="s">
        <v>611</v>
      </c>
      <c r="C187" s="189">
        <v>5.0146428652050011E-2</v>
      </c>
      <c r="D187" s="375">
        <v>6.0175714382460013E-2</v>
      </c>
      <c r="S187" s="34">
        <v>183</v>
      </c>
      <c r="T187" s="34" t="s">
        <v>4284</v>
      </c>
      <c r="U187" s="34" t="s">
        <v>5658</v>
      </c>
      <c r="V187" s="35">
        <v>2.2243951612903228E-3</v>
      </c>
      <c r="W187" s="13"/>
      <c r="X187" s="34">
        <v>183</v>
      </c>
      <c r="Y187" s="34" t="s">
        <v>2248</v>
      </c>
      <c r="Z187" s="34" t="s">
        <v>5651</v>
      </c>
      <c r="AA187" s="35">
        <v>1.5697580645161291E-5</v>
      </c>
      <c r="AB187" s="13"/>
      <c r="AC187" s="34">
        <v>183</v>
      </c>
      <c r="AD187" s="34" t="s">
        <v>4573</v>
      </c>
      <c r="AE187" s="34" t="s">
        <v>5651</v>
      </c>
      <c r="AF187" s="35">
        <v>4.6955645161290326E-2</v>
      </c>
    </row>
    <row r="188" spans="1:32" x14ac:dyDescent="0.35">
      <c r="A188" s="171">
        <v>142</v>
      </c>
      <c r="B188" s="377" t="s">
        <v>612</v>
      </c>
      <c r="C188" s="189">
        <v>7.6600511081165015E-2</v>
      </c>
      <c r="D188" s="375">
        <v>9.1920613297398021E-2</v>
      </c>
      <c r="S188" s="34">
        <v>184</v>
      </c>
      <c r="T188" s="34" t="s">
        <v>4284</v>
      </c>
      <c r="U188" s="34" t="s">
        <v>5657</v>
      </c>
      <c r="V188" s="35">
        <v>7.4375000000000005E-4</v>
      </c>
      <c r="W188" s="13"/>
      <c r="X188" s="34">
        <v>184</v>
      </c>
      <c r="Y188" s="34" t="s">
        <v>2248</v>
      </c>
      <c r="Z188" s="34" t="s">
        <v>5650</v>
      </c>
      <c r="AA188" s="35">
        <v>3.4959677419354844E-2</v>
      </c>
      <c r="AB188" s="13"/>
      <c r="AC188" s="34">
        <v>184</v>
      </c>
      <c r="AD188" s="34" t="s">
        <v>4573</v>
      </c>
      <c r="AE188" s="34" t="s">
        <v>5650</v>
      </c>
      <c r="AF188" s="35">
        <v>1.6554435483870968</v>
      </c>
    </row>
    <row r="189" spans="1:32" x14ac:dyDescent="0.35">
      <c r="A189" s="171">
        <v>143</v>
      </c>
      <c r="B189" s="377" t="s">
        <v>613</v>
      </c>
      <c r="C189" s="189">
        <v>0.18062775877619316</v>
      </c>
      <c r="D189" s="375">
        <v>0.21675331053143179</v>
      </c>
      <c r="S189" s="34">
        <v>185</v>
      </c>
      <c r="T189" s="34" t="s">
        <v>4284</v>
      </c>
      <c r="U189" s="34" t="s">
        <v>5656</v>
      </c>
      <c r="V189" s="35">
        <v>1.59375E-2</v>
      </c>
      <c r="W189" s="13"/>
      <c r="X189" s="34">
        <v>185</v>
      </c>
      <c r="Y189" s="34" t="s">
        <v>2248</v>
      </c>
      <c r="Z189" s="34" t="s">
        <v>3793</v>
      </c>
      <c r="AA189" s="35">
        <v>0</v>
      </c>
      <c r="AB189" s="13"/>
      <c r="AC189" s="34">
        <v>185</v>
      </c>
      <c r="AD189" s="34" t="s">
        <v>4573</v>
      </c>
      <c r="AE189" s="34" t="s">
        <v>3793</v>
      </c>
      <c r="AF189" s="35">
        <v>0</v>
      </c>
    </row>
    <row r="190" spans="1:32" x14ac:dyDescent="0.35">
      <c r="A190" s="171">
        <v>144</v>
      </c>
      <c r="B190" s="378" t="s">
        <v>614</v>
      </c>
      <c r="C190" s="189">
        <v>7.8922113242670247E-2</v>
      </c>
      <c r="D190" s="375">
        <v>9.4706535891204299E-2</v>
      </c>
      <c r="S190" s="34">
        <v>186</v>
      </c>
      <c r="T190" s="34" t="s">
        <v>4284</v>
      </c>
      <c r="U190" s="34" t="s">
        <v>5655</v>
      </c>
      <c r="V190" s="35">
        <v>8.5685483870967744E-4</v>
      </c>
      <c r="W190" s="13"/>
      <c r="X190" s="34">
        <v>186</v>
      </c>
      <c r="Y190" s="34" t="s">
        <v>2248</v>
      </c>
      <c r="Z190" s="34" t="s">
        <v>3792</v>
      </c>
      <c r="AA190" s="35">
        <v>0</v>
      </c>
      <c r="AB190" s="13"/>
      <c r="AC190" s="34">
        <v>186</v>
      </c>
      <c r="AD190" s="34" t="s">
        <v>4573</v>
      </c>
      <c r="AE190" s="34" t="s">
        <v>3792</v>
      </c>
      <c r="AF190" s="35">
        <v>4.4213709677419361E-3</v>
      </c>
    </row>
    <row r="191" spans="1:32" x14ac:dyDescent="0.35">
      <c r="A191" s="171">
        <v>145</v>
      </c>
      <c r="B191" s="377" t="s">
        <v>615</v>
      </c>
      <c r="C191" s="189" t="s">
        <v>6926</v>
      </c>
      <c r="D191" s="374" t="s">
        <v>6926</v>
      </c>
      <c r="S191" s="34">
        <v>187</v>
      </c>
      <c r="T191" s="34" t="s">
        <v>4284</v>
      </c>
      <c r="U191" s="34" t="s">
        <v>3803</v>
      </c>
      <c r="V191" s="35">
        <v>0</v>
      </c>
      <c r="W191" s="13"/>
      <c r="X191" s="34">
        <v>187</v>
      </c>
      <c r="Y191" s="34" t="s">
        <v>2248</v>
      </c>
      <c r="Z191" s="34" t="s">
        <v>3792</v>
      </c>
      <c r="AA191" s="35">
        <v>5.0040322580645162E-4</v>
      </c>
      <c r="AB191" s="13"/>
      <c r="AC191" s="34">
        <v>187</v>
      </c>
      <c r="AD191" s="34" t="s">
        <v>4573</v>
      </c>
      <c r="AE191" s="34" t="s">
        <v>3792</v>
      </c>
      <c r="AF191" s="35">
        <v>0</v>
      </c>
    </row>
    <row r="192" spans="1:32" x14ac:dyDescent="0.35">
      <c r="A192" s="171">
        <v>146</v>
      </c>
      <c r="B192" s="377" t="s">
        <v>616</v>
      </c>
      <c r="C192" s="189" t="s">
        <v>6926</v>
      </c>
      <c r="D192" s="374" t="s">
        <v>6926</v>
      </c>
      <c r="S192" s="34">
        <v>188</v>
      </c>
      <c r="T192" s="34" t="s">
        <v>4284</v>
      </c>
      <c r="U192" s="34" t="s">
        <v>5654</v>
      </c>
      <c r="V192" s="35">
        <v>4.1129032258064519E-3</v>
      </c>
      <c r="W192" s="13"/>
      <c r="X192" s="34">
        <v>188</v>
      </c>
      <c r="Y192" s="34" t="s">
        <v>2248</v>
      </c>
      <c r="Z192" s="34" t="s">
        <v>5649</v>
      </c>
      <c r="AA192" s="35">
        <v>2.8104838709677423E-3</v>
      </c>
      <c r="AB192" s="13"/>
      <c r="AC192" s="34">
        <v>188</v>
      </c>
      <c r="AD192" s="34" t="s">
        <v>4573</v>
      </c>
      <c r="AE192" s="34" t="s">
        <v>5649</v>
      </c>
      <c r="AF192" s="35">
        <v>8.0544354838709684E-2</v>
      </c>
    </row>
    <row r="193" spans="1:32" x14ac:dyDescent="0.35">
      <c r="A193" s="171">
        <v>147</v>
      </c>
      <c r="B193" s="377" t="s">
        <v>617</v>
      </c>
      <c r="C193" s="189" t="s">
        <v>6926</v>
      </c>
      <c r="D193" s="374" t="s">
        <v>6926</v>
      </c>
      <c r="S193" s="34">
        <v>189</v>
      </c>
      <c r="T193" s="34" t="s">
        <v>4284</v>
      </c>
      <c r="U193" s="34" t="s">
        <v>5653</v>
      </c>
      <c r="V193" s="35">
        <v>0.33794354838709678</v>
      </c>
      <c r="W193" s="13"/>
      <c r="X193" s="34">
        <v>189</v>
      </c>
      <c r="Y193" s="34" t="s">
        <v>2248</v>
      </c>
      <c r="Z193" s="34" t="s">
        <v>5648</v>
      </c>
      <c r="AA193" s="35">
        <v>5.6895161290322594E-4</v>
      </c>
      <c r="AB193" s="13"/>
      <c r="AC193" s="34">
        <v>189</v>
      </c>
      <c r="AD193" s="34" t="s">
        <v>4573</v>
      </c>
      <c r="AE193" s="34" t="s">
        <v>5648</v>
      </c>
      <c r="AF193" s="35">
        <v>1.2201612903225807E-2</v>
      </c>
    </row>
    <row r="194" spans="1:32" x14ac:dyDescent="0.35">
      <c r="A194" s="171">
        <v>148</v>
      </c>
      <c r="B194" s="377" t="s">
        <v>618</v>
      </c>
      <c r="C194" s="189">
        <v>0.10203238025240501</v>
      </c>
      <c r="D194" s="375">
        <v>0.12243885630288601</v>
      </c>
      <c r="S194" s="34">
        <v>190</v>
      </c>
      <c r="T194" s="34" t="s">
        <v>4284</v>
      </c>
      <c r="U194" s="34" t="s">
        <v>3802</v>
      </c>
      <c r="V194" s="35">
        <v>0.85007999999999995</v>
      </c>
      <c r="W194" s="13"/>
      <c r="X194" s="34">
        <v>190</v>
      </c>
      <c r="Y194" s="34" t="s">
        <v>2248</v>
      </c>
      <c r="Z194" s="34" t="s">
        <v>5647</v>
      </c>
      <c r="AA194" s="35">
        <v>1.4669354838709678E-5</v>
      </c>
      <c r="AB194" s="13"/>
      <c r="AC194" s="34">
        <v>190</v>
      </c>
      <c r="AD194" s="34" t="s">
        <v>4573</v>
      </c>
      <c r="AE194" s="34" t="s">
        <v>5647</v>
      </c>
      <c r="AF194" s="35">
        <v>0.13092741935483873</v>
      </c>
    </row>
    <row r="195" spans="1:32" x14ac:dyDescent="0.35">
      <c r="A195" s="171">
        <v>149</v>
      </c>
      <c r="B195" s="377" t="s">
        <v>619</v>
      </c>
      <c r="C195" s="189">
        <v>7.7039004104545006E-2</v>
      </c>
      <c r="D195" s="375">
        <v>9.2446804925453999E-2</v>
      </c>
      <c r="S195" s="34">
        <v>191</v>
      </c>
      <c r="T195" s="34" t="s">
        <v>4284</v>
      </c>
      <c r="U195" s="34" t="s">
        <v>3799</v>
      </c>
      <c r="V195" s="35">
        <v>1.8216000000000001</v>
      </c>
      <c r="W195" s="13"/>
      <c r="X195" s="34">
        <v>191</v>
      </c>
      <c r="Y195" s="34" t="s">
        <v>2248</v>
      </c>
      <c r="Z195" s="34" t="s">
        <v>5646</v>
      </c>
      <c r="AA195" s="35">
        <v>1.2852822580645162E-2</v>
      </c>
      <c r="AB195" s="13"/>
      <c r="AC195" s="34">
        <v>191</v>
      </c>
      <c r="AD195" s="34" t="s">
        <v>4573</v>
      </c>
      <c r="AE195" s="34" t="s">
        <v>5646</v>
      </c>
      <c r="AF195" s="35">
        <v>3.8387096774193552E-2</v>
      </c>
    </row>
    <row r="196" spans="1:32" x14ac:dyDescent="0.35">
      <c r="A196" s="171">
        <v>150</v>
      </c>
      <c r="B196" s="377" t="s">
        <v>620</v>
      </c>
      <c r="C196" s="189">
        <v>0.19969791466806</v>
      </c>
      <c r="D196" s="375">
        <v>0.23963749760167199</v>
      </c>
      <c r="S196" s="34">
        <v>192</v>
      </c>
      <c r="T196" s="34" t="s">
        <v>4284</v>
      </c>
      <c r="U196" s="34" t="s">
        <v>5652</v>
      </c>
      <c r="V196" s="35">
        <v>1.5903225806451615E-5</v>
      </c>
      <c r="W196" s="13"/>
      <c r="X196" s="34">
        <v>192</v>
      </c>
      <c r="Y196" s="34" t="s">
        <v>2248</v>
      </c>
      <c r="Z196" s="34" t="s">
        <v>3789</v>
      </c>
      <c r="AA196" s="35">
        <v>0</v>
      </c>
      <c r="AB196" s="13"/>
      <c r="AC196" s="34">
        <v>192</v>
      </c>
      <c r="AD196" s="34" t="s">
        <v>4573</v>
      </c>
      <c r="AE196" s="34" t="s">
        <v>3789</v>
      </c>
      <c r="AF196" s="35">
        <v>0</v>
      </c>
    </row>
    <row r="197" spans="1:32" x14ac:dyDescent="0.35">
      <c r="A197" s="171">
        <v>151</v>
      </c>
      <c r="B197" s="377" t="s">
        <v>621</v>
      </c>
      <c r="C197" s="189" t="s">
        <v>6926</v>
      </c>
      <c r="D197" s="374" t="s">
        <v>6926</v>
      </c>
      <c r="S197" s="34">
        <v>193</v>
      </c>
      <c r="T197" s="34" t="s">
        <v>4284</v>
      </c>
      <c r="U197" s="34" t="s">
        <v>3798</v>
      </c>
      <c r="V197" s="35">
        <v>2.2723790322580646E-5</v>
      </c>
      <c r="W197" s="13"/>
      <c r="X197" s="34">
        <v>193</v>
      </c>
      <c r="Y197" s="34" t="s">
        <v>2248</v>
      </c>
      <c r="Z197" s="34" t="s">
        <v>3788</v>
      </c>
      <c r="AA197" s="35">
        <v>0</v>
      </c>
      <c r="AB197" s="13"/>
      <c r="AC197" s="34">
        <v>193</v>
      </c>
      <c r="AD197" s="34" t="s">
        <v>4573</v>
      </c>
      <c r="AE197" s="34" t="s">
        <v>3788</v>
      </c>
      <c r="AF197" s="35">
        <v>0</v>
      </c>
    </row>
    <row r="198" spans="1:32" x14ac:dyDescent="0.35">
      <c r="A198" s="171">
        <v>152</v>
      </c>
      <c r="B198" s="377" t="s">
        <v>622</v>
      </c>
      <c r="C198" s="189" t="s">
        <v>6926</v>
      </c>
      <c r="D198" s="374" t="s">
        <v>6926</v>
      </c>
      <c r="S198" s="34">
        <v>194</v>
      </c>
      <c r="T198" s="34" t="s">
        <v>4284</v>
      </c>
      <c r="U198" s="34" t="s">
        <v>3798</v>
      </c>
      <c r="V198" s="35">
        <v>9.1356000000000007E-3</v>
      </c>
      <c r="W198" s="13"/>
      <c r="X198" s="34">
        <v>194</v>
      </c>
      <c r="Y198" s="34" t="s">
        <v>2248</v>
      </c>
      <c r="Z198" s="34" t="s">
        <v>3786</v>
      </c>
      <c r="AA198" s="35">
        <v>0</v>
      </c>
      <c r="AB198" s="13"/>
      <c r="AC198" s="34">
        <v>194</v>
      </c>
      <c r="AD198" s="34" t="s">
        <v>4573</v>
      </c>
      <c r="AE198" s="34" t="s">
        <v>3786</v>
      </c>
      <c r="AF198" s="35">
        <v>0.11824596774193549</v>
      </c>
    </row>
    <row r="199" spans="1:32" x14ac:dyDescent="0.35">
      <c r="A199" s="171">
        <v>153</v>
      </c>
      <c r="B199" s="377" t="s">
        <v>623</v>
      </c>
      <c r="C199" s="189">
        <v>7.1409768154615E-2</v>
      </c>
      <c r="D199" s="375">
        <v>8.5691721785537994E-2</v>
      </c>
      <c r="S199" s="34">
        <v>195</v>
      </c>
      <c r="T199" s="34" t="s">
        <v>4284</v>
      </c>
      <c r="U199" s="34" t="s">
        <v>3796</v>
      </c>
      <c r="V199" s="35">
        <v>1.3915322580645164E-5</v>
      </c>
      <c r="W199" s="13"/>
      <c r="X199" s="34">
        <v>195</v>
      </c>
      <c r="Y199" s="34" t="s">
        <v>2248</v>
      </c>
      <c r="Z199" s="34" t="s">
        <v>3786</v>
      </c>
      <c r="AA199" s="35">
        <v>4.2842741935483876E-3</v>
      </c>
      <c r="AB199" s="13"/>
      <c r="AC199" s="34">
        <v>195</v>
      </c>
      <c r="AD199" s="34" t="s">
        <v>4573</v>
      </c>
      <c r="AE199" s="34" t="s">
        <v>3786</v>
      </c>
      <c r="AF199" s="35">
        <v>0</v>
      </c>
    </row>
    <row r="200" spans="1:32" x14ac:dyDescent="0.35">
      <c r="A200" s="171">
        <v>154</v>
      </c>
      <c r="B200" s="378" t="s">
        <v>624</v>
      </c>
      <c r="C200" s="189">
        <v>7.7952568821513538E-2</v>
      </c>
      <c r="D200" s="375">
        <v>9.3543082585816242E-2</v>
      </c>
      <c r="S200" s="34">
        <v>196</v>
      </c>
      <c r="T200" s="34" t="s">
        <v>4284</v>
      </c>
      <c r="U200" s="34" t="s">
        <v>3796</v>
      </c>
      <c r="V200" s="35">
        <v>0</v>
      </c>
      <c r="W200" s="13"/>
      <c r="X200" s="34">
        <v>196</v>
      </c>
      <c r="Y200" s="34" t="s">
        <v>2248</v>
      </c>
      <c r="Z200" s="34" t="s">
        <v>3785</v>
      </c>
      <c r="AA200" s="35">
        <v>0</v>
      </c>
      <c r="AB200" s="13"/>
      <c r="AC200" s="34">
        <v>196</v>
      </c>
      <c r="AD200" s="34" t="s">
        <v>4573</v>
      </c>
      <c r="AE200" s="34" t="s">
        <v>3785</v>
      </c>
      <c r="AF200" s="35">
        <v>1.0762096774193548E-3</v>
      </c>
    </row>
    <row r="201" spans="1:32" x14ac:dyDescent="0.35">
      <c r="A201" s="171">
        <v>155</v>
      </c>
      <c r="B201" s="377" t="s">
        <v>625</v>
      </c>
      <c r="C201" s="189">
        <v>0.11244376832445871</v>
      </c>
      <c r="D201" s="375">
        <v>0.13493252198935043</v>
      </c>
      <c r="S201" s="34">
        <v>197</v>
      </c>
      <c r="T201" s="34" t="s">
        <v>4284</v>
      </c>
      <c r="U201" s="34" t="s">
        <v>5651</v>
      </c>
      <c r="V201" s="35">
        <v>5.4838709677419359E-4</v>
      </c>
      <c r="W201" s="13"/>
      <c r="X201" s="34">
        <v>197</v>
      </c>
      <c r="Y201" s="34" t="s">
        <v>2248</v>
      </c>
      <c r="Z201" s="34" t="s">
        <v>3785</v>
      </c>
      <c r="AA201" s="35">
        <v>9.5625000000000007E-5</v>
      </c>
      <c r="AB201" s="13"/>
      <c r="AC201" s="34">
        <v>197</v>
      </c>
      <c r="AD201" s="34" t="s">
        <v>4573</v>
      </c>
      <c r="AE201" s="34" t="s">
        <v>3785</v>
      </c>
      <c r="AF201" s="35">
        <v>0</v>
      </c>
    </row>
    <row r="202" spans="1:32" x14ac:dyDescent="0.35">
      <c r="A202" s="171">
        <v>156</v>
      </c>
      <c r="B202" s="377" t="s">
        <v>626</v>
      </c>
      <c r="C202" s="189" t="s">
        <v>6926</v>
      </c>
      <c r="D202" s="374" t="s">
        <v>6926</v>
      </c>
      <c r="S202" s="34">
        <v>198</v>
      </c>
      <c r="T202" s="34" t="s">
        <v>4284</v>
      </c>
      <c r="U202" s="34" t="s">
        <v>5650</v>
      </c>
      <c r="V202" s="35">
        <v>5.8608870967741941E-3</v>
      </c>
      <c r="W202" s="13"/>
      <c r="X202" s="34">
        <v>198</v>
      </c>
      <c r="Y202" s="34" t="s">
        <v>2248</v>
      </c>
      <c r="Z202" s="34" t="s">
        <v>5645</v>
      </c>
      <c r="AA202" s="35">
        <v>0.11139112903225808</v>
      </c>
      <c r="AB202" s="13"/>
      <c r="AC202" s="34">
        <v>198</v>
      </c>
      <c r="AD202" s="34" t="s">
        <v>4573</v>
      </c>
      <c r="AE202" s="34" t="s">
        <v>5645</v>
      </c>
      <c r="AF202" s="35">
        <v>1.3092741935483871</v>
      </c>
    </row>
    <row r="203" spans="1:32" x14ac:dyDescent="0.35">
      <c r="A203" s="171">
        <v>157</v>
      </c>
      <c r="B203" s="377" t="s">
        <v>627</v>
      </c>
      <c r="C203" s="189">
        <v>0.14764719330008713</v>
      </c>
      <c r="D203" s="375">
        <v>0.17717663196010455</v>
      </c>
      <c r="S203" s="34">
        <v>199</v>
      </c>
      <c r="T203" s="34" t="s">
        <v>4284</v>
      </c>
      <c r="U203" s="34" t="s">
        <v>3793</v>
      </c>
      <c r="V203" s="35">
        <v>0</v>
      </c>
      <c r="W203" s="13"/>
      <c r="X203" s="34">
        <v>199</v>
      </c>
      <c r="Y203" s="34" t="s">
        <v>2248</v>
      </c>
      <c r="Z203" s="34" t="s">
        <v>3783</v>
      </c>
      <c r="AA203" s="35">
        <v>82.432000000000002</v>
      </c>
      <c r="AB203" s="13"/>
      <c r="AC203" s="34">
        <v>199</v>
      </c>
      <c r="AD203" s="34" t="s">
        <v>4573</v>
      </c>
      <c r="AE203" s="34" t="s">
        <v>3783</v>
      </c>
      <c r="AF203" s="35">
        <v>419.52000000000004</v>
      </c>
    </row>
    <row r="204" spans="1:32" x14ac:dyDescent="0.35">
      <c r="A204" s="171">
        <v>158</v>
      </c>
      <c r="B204" s="377" t="s">
        <v>628</v>
      </c>
      <c r="C204" s="189">
        <v>5.4635730730112755E-2</v>
      </c>
      <c r="D204" s="375">
        <v>6.5562876876135309E-2</v>
      </c>
      <c r="S204" s="34">
        <v>200</v>
      </c>
      <c r="T204" s="34" t="s">
        <v>4284</v>
      </c>
      <c r="U204" s="34" t="s">
        <v>3792</v>
      </c>
      <c r="V204" s="35">
        <v>1.4223790322580649E-4</v>
      </c>
      <c r="W204" s="13"/>
      <c r="X204" s="34">
        <v>200</v>
      </c>
      <c r="Y204" s="34" t="s">
        <v>2248</v>
      </c>
      <c r="Z204" s="34" t="s">
        <v>5644</v>
      </c>
      <c r="AA204" s="35">
        <v>1.0419354838709677E-3</v>
      </c>
      <c r="AB204" s="13"/>
      <c r="AC204" s="34">
        <v>200</v>
      </c>
      <c r="AD204" s="34" t="s">
        <v>4573</v>
      </c>
      <c r="AE204" s="34" t="s">
        <v>5644</v>
      </c>
      <c r="AF204" s="35">
        <v>2.5602822580645165E-2</v>
      </c>
    </row>
    <row r="205" spans="1:32" x14ac:dyDescent="0.35">
      <c r="A205" s="171">
        <v>159</v>
      </c>
      <c r="B205" s="377" t="s">
        <v>629</v>
      </c>
      <c r="C205" s="189">
        <v>5.3733565441545006E-2</v>
      </c>
      <c r="D205" s="375">
        <v>6.448027852985401E-2</v>
      </c>
      <c r="S205" s="34">
        <v>201</v>
      </c>
      <c r="T205" s="34" t="s">
        <v>4284</v>
      </c>
      <c r="U205" s="34" t="s">
        <v>3792</v>
      </c>
      <c r="V205" s="35">
        <v>0</v>
      </c>
      <c r="W205" s="13"/>
      <c r="X205" s="34">
        <v>201</v>
      </c>
      <c r="Y205" s="34" t="s">
        <v>2248</v>
      </c>
      <c r="Z205" s="34" t="s">
        <v>5643</v>
      </c>
      <c r="AA205" s="35">
        <v>4.0786290322580645E-10</v>
      </c>
      <c r="AB205" s="13"/>
      <c r="AC205" s="34">
        <v>201</v>
      </c>
      <c r="AD205" s="34" t="s">
        <v>4573</v>
      </c>
      <c r="AE205" s="34" t="s">
        <v>5643</v>
      </c>
      <c r="AF205" s="35">
        <v>9.8024193548387101E-6</v>
      </c>
    </row>
    <row r="206" spans="1:32" x14ac:dyDescent="0.35">
      <c r="A206" s="171">
        <v>160</v>
      </c>
      <c r="B206" s="377" t="s">
        <v>630</v>
      </c>
      <c r="C206" s="189" t="s">
        <v>6926</v>
      </c>
      <c r="D206" s="374" t="s">
        <v>6926</v>
      </c>
      <c r="S206" s="34">
        <v>202</v>
      </c>
      <c r="T206" s="34" t="s">
        <v>4284</v>
      </c>
      <c r="U206" s="34" t="s">
        <v>5649</v>
      </c>
      <c r="V206" s="35">
        <v>2.2483870967741934E-3</v>
      </c>
      <c r="W206" s="13"/>
      <c r="X206" s="34">
        <v>202</v>
      </c>
      <c r="Y206" s="34" t="s">
        <v>2248</v>
      </c>
      <c r="Z206" s="34" t="s">
        <v>5642</v>
      </c>
      <c r="AA206" s="35">
        <v>1.2030241935483871E-5</v>
      </c>
      <c r="AB206" s="13"/>
      <c r="AC206" s="34">
        <v>202</v>
      </c>
      <c r="AD206" s="34" t="s">
        <v>4573</v>
      </c>
      <c r="AE206" s="34" t="s">
        <v>5642</v>
      </c>
      <c r="AF206" s="35">
        <v>4.0443548387096774E-2</v>
      </c>
    </row>
    <row r="207" spans="1:32" x14ac:dyDescent="0.35">
      <c r="A207" s="171">
        <v>161</v>
      </c>
      <c r="B207" s="377" t="s">
        <v>631</v>
      </c>
      <c r="C207" s="189" t="s">
        <v>6926</v>
      </c>
      <c r="D207" s="374" t="s">
        <v>6926</v>
      </c>
      <c r="S207" s="34">
        <v>203</v>
      </c>
      <c r="T207" s="34" t="s">
        <v>4284</v>
      </c>
      <c r="U207" s="34" t="s">
        <v>5648</v>
      </c>
      <c r="V207" s="35">
        <v>2.1798387096774196E-4</v>
      </c>
      <c r="W207" s="13"/>
      <c r="X207" s="34">
        <v>203</v>
      </c>
      <c r="Y207" s="34" t="s">
        <v>2248</v>
      </c>
      <c r="Z207" s="34" t="s">
        <v>5641</v>
      </c>
      <c r="AA207" s="35">
        <v>1.0316532258064517E-3</v>
      </c>
      <c r="AB207" s="13"/>
      <c r="AC207" s="34">
        <v>203</v>
      </c>
      <c r="AD207" s="34" t="s">
        <v>4573</v>
      </c>
      <c r="AE207" s="34" t="s">
        <v>5641</v>
      </c>
      <c r="AF207" s="35">
        <v>2.3375000000000004</v>
      </c>
    </row>
    <row r="208" spans="1:32" x14ac:dyDescent="0.35">
      <c r="A208" s="171">
        <v>162</v>
      </c>
      <c r="B208" s="377" t="s">
        <v>632</v>
      </c>
      <c r="C208" s="189" t="s">
        <v>6926</v>
      </c>
      <c r="D208" s="374" t="s">
        <v>6926</v>
      </c>
      <c r="S208" s="34">
        <v>204</v>
      </c>
      <c r="T208" s="34" t="s">
        <v>4284</v>
      </c>
      <c r="U208" s="34" t="s">
        <v>5647</v>
      </c>
      <c r="V208" s="35">
        <v>8.705645161290323E-4</v>
      </c>
      <c r="W208" s="13"/>
      <c r="X208" s="34">
        <v>204</v>
      </c>
      <c r="Y208" s="34" t="s">
        <v>2248</v>
      </c>
      <c r="Z208" s="34" t="s">
        <v>5640</v>
      </c>
      <c r="AA208" s="35">
        <v>5.106854838709678E-4</v>
      </c>
      <c r="AB208" s="13"/>
      <c r="AC208" s="34">
        <v>204</v>
      </c>
      <c r="AD208" s="34" t="s">
        <v>4573</v>
      </c>
      <c r="AE208" s="34" t="s">
        <v>5640</v>
      </c>
      <c r="AF208" s="35">
        <v>7.4375000000000005E-3</v>
      </c>
    </row>
    <row r="209" spans="1:32" x14ac:dyDescent="0.35">
      <c r="A209" s="171">
        <v>163</v>
      </c>
      <c r="B209" s="377" t="s">
        <v>633</v>
      </c>
      <c r="C209" s="189">
        <v>7.9189810487689999E-2</v>
      </c>
      <c r="D209" s="375">
        <v>9.5027772585228001E-2</v>
      </c>
      <c r="S209" s="34">
        <v>205</v>
      </c>
      <c r="T209" s="34" t="s">
        <v>4284</v>
      </c>
      <c r="U209" s="34" t="s">
        <v>5646</v>
      </c>
      <c r="V209" s="35">
        <v>9.8709677419354849E-3</v>
      </c>
      <c r="W209" s="13"/>
      <c r="X209" s="34">
        <v>205</v>
      </c>
      <c r="Y209" s="34" t="s">
        <v>2248</v>
      </c>
      <c r="Z209" s="34" t="s">
        <v>5639</v>
      </c>
      <c r="AA209" s="35">
        <v>1.1893145161290325E-4</v>
      </c>
      <c r="AB209" s="13"/>
      <c r="AC209" s="34">
        <v>205</v>
      </c>
      <c r="AD209" s="34" t="s">
        <v>4573</v>
      </c>
      <c r="AE209" s="34" t="s">
        <v>5639</v>
      </c>
      <c r="AF209" s="35">
        <v>6.4435483870967751E-3</v>
      </c>
    </row>
    <row r="210" spans="1:32" x14ac:dyDescent="0.35">
      <c r="A210" s="171">
        <v>164</v>
      </c>
      <c r="B210" s="377" t="s">
        <v>634</v>
      </c>
      <c r="C210" s="189" t="s">
        <v>6926</v>
      </c>
      <c r="D210" s="374" t="s">
        <v>6926</v>
      </c>
      <c r="S210" s="34">
        <v>206</v>
      </c>
      <c r="T210" s="34" t="s">
        <v>4284</v>
      </c>
      <c r="U210" s="34" t="s">
        <v>3789</v>
      </c>
      <c r="V210" s="35">
        <v>0</v>
      </c>
      <c r="W210" s="13"/>
      <c r="X210" s="34">
        <v>206</v>
      </c>
      <c r="Y210" s="34" t="s">
        <v>2248</v>
      </c>
      <c r="Z210" s="34" t="s">
        <v>5638</v>
      </c>
      <c r="AA210" s="35">
        <v>1.7616935483870969E-5</v>
      </c>
      <c r="AB210" s="13"/>
      <c r="AC210" s="34">
        <v>206</v>
      </c>
      <c r="AD210" s="34" t="s">
        <v>4573</v>
      </c>
      <c r="AE210" s="34" t="s">
        <v>5638</v>
      </c>
      <c r="AF210" s="35">
        <v>0.11310483870967743</v>
      </c>
    </row>
    <row r="211" spans="1:32" x14ac:dyDescent="0.35">
      <c r="A211" s="171">
        <v>165</v>
      </c>
      <c r="B211" s="377" t="s">
        <v>635</v>
      </c>
      <c r="C211" s="189" t="s">
        <v>6926</v>
      </c>
      <c r="D211" s="374" t="s">
        <v>6926</v>
      </c>
      <c r="S211" s="34">
        <v>207</v>
      </c>
      <c r="T211" s="34" t="s">
        <v>4284</v>
      </c>
      <c r="U211" s="34" t="s">
        <v>3788</v>
      </c>
      <c r="V211" s="35">
        <v>0</v>
      </c>
      <c r="W211" s="13"/>
      <c r="X211" s="34">
        <v>207</v>
      </c>
      <c r="Y211" s="34" t="s">
        <v>2248</v>
      </c>
      <c r="Z211" s="34" t="s">
        <v>5637</v>
      </c>
      <c r="AA211" s="35">
        <v>8.2600806451612916E-5</v>
      </c>
      <c r="AB211" s="13"/>
      <c r="AC211" s="34">
        <v>207</v>
      </c>
      <c r="AD211" s="34" t="s">
        <v>4573</v>
      </c>
      <c r="AE211" s="34" t="s">
        <v>5637</v>
      </c>
      <c r="AF211" s="35">
        <v>5.3467741935483873E-4</v>
      </c>
    </row>
    <row r="212" spans="1:32" x14ac:dyDescent="0.35">
      <c r="A212" s="171">
        <v>166</v>
      </c>
      <c r="B212" s="377" t="s">
        <v>636</v>
      </c>
      <c r="C212" s="189">
        <v>4.7781556544166668E-3</v>
      </c>
      <c r="D212" s="375">
        <v>5.7337867852999998E-3</v>
      </c>
      <c r="S212" s="34">
        <v>208</v>
      </c>
      <c r="T212" s="34" t="s">
        <v>4284</v>
      </c>
      <c r="U212" s="34" t="s">
        <v>3786</v>
      </c>
      <c r="V212" s="35">
        <v>2.7556451612903228E-3</v>
      </c>
      <c r="W212" s="13"/>
      <c r="X212" s="34">
        <v>208</v>
      </c>
      <c r="Y212" s="34" t="s">
        <v>2248</v>
      </c>
      <c r="Z212" s="34" t="s">
        <v>3780</v>
      </c>
      <c r="AA212" s="35">
        <v>0.44068000000000002</v>
      </c>
      <c r="AB212" s="13"/>
      <c r="AC212" s="34">
        <v>208</v>
      </c>
      <c r="AD212" s="34" t="s">
        <v>4573</v>
      </c>
      <c r="AE212" s="34" t="s">
        <v>3780</v>
      </c>
      <c r="AF212" s="35">
        <v>9.9359999999999999</v>
      </c>
    </row>
    <row r="213" spans="1:32" x14ac:dyDescent="0.35">
      <c r="A213" s="171">
        <v>167</v>
      </c>
      <c r="B213" s="377" t="s">
        <v>637</v>
      </c>
      <c r="C213" s="189">
        <v>6.0461848583536588E-4</v>
      </c>
      <c r="D213" s="375">
        <v>7.2554218300243908E-4</v>
      </c>
      <c r="S213" s="34">
        <v>209</v>
      </c>
      <c r="T213" s="34" t="s">
        <v>4284</v>
      </c>
      <c r="U213" s="34" t="s">
        <v>3786</v>
      </c>
      <c r="V213" s="35">
        <v>0</v>
      </c>
      <c r="W213" s="13"/>
      <c r="X213" s="34">
        <v>209</v>
      </c>
      <c r="Y213" s="34" t="s">
        <v>2248</v>
      </c>
      <c r="Z213" s="34" t="s">
        <v>5636</v>
      </c>
      <c r="AA213" s="35">
        <v>3.3280241935483877E-4</v>
      </c>
      <c r="AB213" s="13"/>
      <c r="AC213" s="34">
        <v>209</v>
      </c>
      <c r="AD213" s="34" t="s">
        <v>4573</v>
      </c>
      <c r="AE213" s="34" t="s">
        <v>5636</v>
      </c>
      <c r="AF213" s="35">
        <v>7.9858870967741934E-3</v>
      </c>
    </row>
    <row r="214" spans="1:32" x14ac:dyDescent="0.35">
      <c r="A214" s="171">
        <v>168</v>
      </c>
      <c r="B214" s="378" t="s">
        <v>638</v>
      </c>
      <c r="C214" s="189">
        <v>8.2239372059284999E-2</v>
      </c>
      <c r="D214" s="375">
        <v>9.8687246471141993E-2</v>
      </c>
      <c r="S214" s="34">
        <v>210</v>
      </c>
      <c r="T214" s="34" t="s">
        <v>4284</v>
      </c>
      <c r="U214" s="34" t="s">
        <v>3785</v>
      </c>
      <c r="V214" s="35">
        <v>2.7762096774193554E-5</v>
      </c>
      <c r="W214" s="13"/>
      <c r="X214" s="34">
        <v>210</v>
      </c>
      <c r="Y214" s="34" t="s">
        <v>2248</v>
      </c>
      <c r="Z214" s="34" t="s">
        <v>5635</v>
      </c>
      <c r="AA214" s="35">
        <v>1.0830645161290325E-4</v>
      </c>
      <c r="AB214" s="13"/>
      <c r="AC214" s="34">
        <v>210</v>
      </c>
      <c r="AD214" s="34" t="s">
        <v>4573</v>
      </c>
      <c r="AE214" s="34" t="s">
        <v>5635</v>
      </c>
      <c r="AF214" s="35">
        <v>2.7693548387096776E-3</v>
      </c>
    </row>
    <row r="215" spans="1:32" x14ac:dyDescent="0.35">
      <c r="A215" s="171">
        <v>169</v>
      </c>
      <c r="B215" s="377" t="s">
        <v>639</v>
      </c>
      <c r="C215" s="189">
        <v>2.9858451126850002E-3</v>
      </c>
      <c r="D215" s="375">
        <v>3.5830141352220001E-3</v>
      </c>
      <c r="S215" s="34">
        <v>211</v>
      </c>
      <c r="T215" s="34" t="s">
        <v>4284</v>
      </c>
      <c r="U215" s="34" t="s">
        <v>3785</v>
      </c>
      <c r="V215" s="35">
        <v>0</v>
      </c>
      <c r="W215" s="13"/>
      <c r="X215" s="34">
        <v>211</v>
      </c>
      <c r="Y215" s="34" t="s">
        <v>2248</v>
      </c>
      <c r="Z215" s="34" t="s">
        <v>5634</v>
      </c>
      <c r="AA215" s="35">
        <v>1.8336693548387097E-6</v>
      </c>
      <c r="AB215" s="13"/>
      <c r="AC215" s="34">
        <v>211</v>
      </c>
      <c r="AD215" s="34" t="s">
        <v>4573</v>
      </c>
      <c r="AE215" s="34" t="s">
        <v>5634</v>
      </c>
      <c r="AF215" s="35">
        <v>9.9395161290322589E-5</v>
      </c>
    </row>
    <row r="216" spans="1:32" x14ac:dyDescent="0.35">
      <c r="A216" s="171">
        <v>170</v>
      </c>
      <c r="B216" s="377" t="s">
        <v>640</v>
      </c>
      <c r="C216" s="189">
        <v>3.4284116217309993E-2</v>
      </c>
      <c r="D216" s="375">
        <v>4.1140939460771991E-2</v>
      </c>
      <c r="S216" s="34">
        <v>212</v>
      </c>
      <c r="T216" s="34" t="s">
        <v>4284</v>
      </c>
      <c r="U216" s="34" t="s">
        <v>5645</v>
      </c>
      <c r="V216" s="35">
        <v>2.1729838709677422E-2</v>
      </c>
      <c r="W216" s="13"/>
      <c r="X216" s="34">
        <v>212</v>
      </c>
      <c r="Y216" s="34" t="s">
        <v>2248</v>
      </c>
      <c r="Z216" s="34" t="s">
        <v>5633</v>
      </c>
      <c r="AA216" s="35">
        <v>2.2758064516129036E-5</v>
      </c>
      <c r="AB216" s="13"/>
      <c r="AC216" s="34">
        <v>212</v>
      </c>
      <c r="AD216" s="34" t="s">
        <v>4573</v>
      </c>
      <c r="AE216" s="34" t="s">
        <v>5633</v>
      </c>
      <c r="AF216" s="35">
        <v>1.1413306451612905E-2</v>
      </c>
    </row>
    <row r="217" spans="1:32" x14ac:dyDescent="0.35">
      <c r="A217" s="171">
        <v>171</v>
      </c>
      <c r="B217" s="377" t="s">
        <v>641</v>
      </c>
      <c r="C217" s="189">
        <v>7.871413176830501E-2</v>
      </c>
      <c r="D217" s="375">
        <v>9.4456958121966014E-2</v>
      </c>
      <c r="S217" s="34">
        <v>213</v>
      </c>
      <c r="T217" s="34" t="s">
        <v>4284</v>
      </c>
      <c r="U217" s="34" t="s">
        <v>3783</v>
      </c>
      <c r="V217" s="35">
        <v>965.99999999999989</v>
      </c>
      <c r="W217" s="17"/>
      <c r="X217" s="34">
        <v>213</v>
      </c>
      <c r="Y217" s="34" t="s">
        <v>2248</v>
      </c>
      <c r="Z217" s="34" t="s">
        <v>5632</v>
      </c>
      <c r="AA217" s="35">
        <v>1.8233870967741936</v>
      </c>
      <c r="AB217" s="13"/>
      <c r="AC217" s="34">
        <v>213</v>
      </c>
      <c r="AD217" s="34" t="s">
        <v>4573</v>
      </c>
      <c r="AE217" s="34" t="s">
        <v>5632</v>
      </c>
      <c r="AF217" s="35">
        <v>10.350806451612904</v>
      </c>
    </row>
    <row r="218" spans="1:32" x14ac:dyDescent="0.35">
      <c r="A218" s="171">
        <v>172</v>
      </c>
      <c r="B218" s="377" t="s">
        <v>642</v>
      </c>
      <c r="C218" s="189" t="s">
        <v>6926</v>
      </c>
      <c r="D218" s="374" t="s">
        <v>6926</v>
      </c>
      <c r="S218" s="34">
        <v>214</v>
      </c>
      <c r="T218" s="34" t="s">
        <v>4284</v>
      </c>
      <c r="U218" s="34" t="s">
        <v>5644</v>
      </c>
      <c r="V218" s="35">
        <v>1.6622983870967742E-4</v>
      </c>
      <c r="W218" s="17"/>
      <c r="X218" s="34">
        <v>214</v>
      </c>
      <c r="Y218" s="34" t="s">
        <v>2248</v>
      </c>
      <c r="Z218" s="34" t="s">
        <v>5631</v>
      </c>
      <c r="AA218" s="35">
        <v>9.7338709677419362E-4</v>
      </c>
      <c r="AB218" s="13"/>
      <c r="AC218" s="34">
        <v>214</v>
      </c>
      <c r="AD218" s="34" t="s">
        <v>4573</v>
      </c>
      <c r="AE218" s="34" t="s">
        <v>5631</v>
      </c>
      <c r="AF218" s="35">
        <v>5.8951612903225814E-2</v>
      </c>
    </row>
    <row r="219" spans="1:32" x14ac:dyDescent="0.35">
      <c r="A219" s="171">
        <v>173</v>
      </c>
      <c r="B219" s="377" t="s">
        <v>643</v>
      </c>
      <c r="C219" s="189">
        <v>2.6691143094990002E-2</v>
      </c>
      <c r="D219" s="375">
        <v>3.2029371713988002E-2</v>
      </c>
      <c r="S219" s="34">
        <v>215</v>
      </c>
      <c r="T219" s="34" t="s">
        <v>4284</v>
      </c>
      <c r="U219" s="34" t="s">
        <v>5643</v>
      </c>
      <c r="V219" s="35">
        <v>2.8173387096774197E-8</v>
      </c>
      <c r="W219" s="17"/>
      <c r="X219" s="34">
        <v>215</v>
      </c>
      <c r="Y219" s="34" t="s">
        <v>2248</v>
      </c>
      <c r="Z219" s="34" t="s">
        <v>5630</v>
      </c>
      <c r="AA219" s="35">
        <v>3.0743951612903227E-2</v>
      </c>
      <c r="AB219" s="13"/>
      <c r="AC219" s="34">
        <v>215</v>
      </c>
      <c r="AD219" s="34" t="s">
        <v>4573</v>
      </c>
      <c r="AE219" s="34" t="s">
        <v>5630</v>
      </c>
      <c r="AF219" s="35">
        <v>2.1798387096774197</v>
      </c>
    </row>
    <row r="220" spans="1:32" x14ac:dyDescent="0.35">
      <c r="A220" s="171">
        <v>174</v>
      </c>
      <c r="B220" s="377" t="s">
        <v>644</v>
      </c>
      <c r="C220" s="189" t="s">
        <v>6926</v>
      </c>
      <c r="D220" s="374" t="s">
        <v>6926</v>
      </c>
      <c r="S220" s="34">
        <v>216</v>
      </c>
      <c r="T220" s="34" t="s">
        <v>4284</v>
      </c>
      <c r="U220" s="34" t="s">
        <v>5642</v>
      </c>
      <c r="V220" s="35">
        <v>4.4899193548387102E-4</v>
      </c>
      <c r="W220" s="17"/>
      <c r="X220" s="34">
        <v>216</v>
      </c>
      <c r="Y220" s="34" t="s">
        <v>2248</v>
      </c>
      <c r="Z220" s="34" t="s">
        <v>5629</v>
      </c>
      <c r="AA220" s="35">
        <v>2.220967741935484E-5</v>
      </c>
      <c r="AB220" s="13"/>
      <c r="AC220" s="34">
        <v>216</v>
      </c>
      <c r="AD220" s="34" t="s">
        <v>4573</v>
      </c>
      <c r="AE220" s="34" t="s">
        <v>5629</v>
      </c>
      <c r="AF220" s="35">
        <v>1.0247983870967744E-4</v>
      </c>
    </row>
    <row r="221" spans="1:32" x14ac:dyDescent="0.35">
      <c r="A221" s="171">
        <v>175</v>
      </c>
      <c r="B221" s="377" t="s">
        <v>645</v>
      </c>
      <c r="C221" s="189">
        <v>9.8480908590994995E-2</v>
      </c>
      <c r="D221" s="375">
        <v>0.11817709030919399</v>
      </c>
      <c r="S221" s="34">
        <v>217</v>
      </c>
      <c r="T221" s="34" t="s">
        <v>4284</v>
      </c>
      <c r="U221" s="34" t="s">
        <v>5641</v>
      </c>
      <c r="V221" s="35">
        <v>1.6862903225806452E-2</v>
      </c>
      <c r="W221" s="17"/>
      <c r="X221" s="34">
        <v>217</v>
      </c>
      <c r="Y221" s="34" t="s">
        <v>2248</v>
      </c>
      <c r="Z221" s="34" t="s">
        <v>5628</v>
      </c>
      <c r="AA221" s="35">
        <v>8.6028225806451624E-4</v>
      </c>
      <c r="AB221" s="13"/>
      <c r="AC221" s="34">
        <v>217</v>
      </c>
      <c r="AD221" s="34" t="s">
        <v>4573</v>
      </c>
      <c r="AE221" s="34" t="s">
        <v>5628</v>
      </c>
      <c r="AF221" s="35">
        <v>8.8770161290322586E-3</v>
      </c>
    </row>
    <row r="222" spans="1:32" x14ac:dyDescent="0.35">
      <c r="A222" s="171">
        <v>176</v>
      </c>
      <c r="B222" s="377" t="s">
        <v>6925</v>
      </c>
      <c r="C222" s="189">
        <v>7.3524365826369995E-2</v>
      </c>
      <c r="D222" s="375">
        <v>8.8229238991643991E-2</v>
      </c>
      <c r="S222" s="34">
        <v>218</v>
      </c>
      <c r="T222" s="34" t="s">
        <v>4284</v>
      </c>
      <c r="U222" s="34" t="s">
        <v>5640</v>
      </c>
      <c r="V222" s="35">
        <v>5.3125000000000004E-5</v>
      </c>
      <c r="W222" s="17"/>
      <c r="X222" s="34">
        <v>218</v>
      </c>
      <c r="Y222" s="34" t="s">
        <v>2248</v>
      </c>
      <c r="Z222" s="34" t="s">
        <v>3779</v>
      </c>
      <c r="AA222" s="35">
        <v>0</v>
      </c>
      <c r="AB222" s="13"/>
      <c r="AC222" s="34">
        <v>218</v>
      </c>
      <c r="AD222" s="34" t="s">
        <v>4573</v>
      </c>
      <c r="AE222" s="34" t="s">
        <v>3779</v>
      </c>
      <c r="AF222" s="35">
        <v>0</v>
      </c>
    </row>
    <row r="223" spans="1:32" x14ac:dyDescent="0.35">
      <c r="A223" s="171">
        <v>177</v>
      </c>
      <c r="B223" s="377" t="s">
        <v>647</v>
      </c>
      <c r="C223" s="189">
        <v>0.11759943293759501</v>
      </c>
      <c r="D223" s="375">
        <v>0.141119319525114</v>
      </c>
      <c r="S223" s="34">
        <v>219</v>
      </c>
      <c r="T223" s="34" t="s">
        <v>4284</v>
      </c>
      <c r="U223" s="34" t="s">
        <v>5639</v>
      </c>
      <c r="V223" s="35">
        <v>9.6310483870967753E-6</v>
      </c>
      <c r="W223" s="17"/>
      <c r="X223" s="34">
        <v>219</v>
      </c>
      <c r="Y223" s="34" t="s">
        <v>2248</v>
      </c>
      <c r="Z223" s="34" t="s">
        <v>5627</v>
      </c>
      <c r="AA223" s="35">
        <v>5.4838709677419361E-3</v>
      </c>
      <c r="AB223" s="13"/>
      <c r="AC223" s="34">
        <v>219</v>
      </c>
      <c r="AD223" s="34" t="s">
        <v>4573</v>
      </c>
      <c r="AE223" s="34" t="s">
        <v>5627</v>
      </c>
      <c r="AF223" s="35">
        <v>22.415322580645164</v>
      </c>
    </row>
    <row r="224" spans="1:32" x14ac:dyDescent="0.35">
      <c r="A224" s="171">
        <v>178</v>
      </c>
      <c r="B224" s="377" t="s">
        <v>648</v>
      </c>
      <c r="C224" s="189">
        <v>8.2808131237540009E-2</v>
      </c>
      <c r="D224" s="375">
        <v>9.9369757485048005E-2</v>
      </c>
      <c r="S224" s="34">
        <v>220</v>
      </c>
      <c r="T224" s="34" t="s">
        <v>4284</v>
      </c>
      <c r="U224" s="34" t="s">
        <v>5638</v>
      </c>
      <c r="V224" s="35">
        <v>1.172177419354839E-3</v>
      </c>
      <c r="W224" s="17"/>
      <c r="X224" s="34">
        <v>220</v>
      </c>
      <c r="Y224" s="34" t="s">
        <v>2248</v>
      </c>
      <c r="Z224" s="34" t="s">
        <v>5626</v>
      </c>
      <c r="AA224" s="35">
        <v>1.1653225806451614E-2</v>
      </c>
      <c r="AB224" s="13"/>
      <c r="AC224" s="34">
        <v>220</v>
      </c>
      <c r="AD224" s="34" t="s">
        <v>4573</v>
      </c>
      <c r="AE224" s="34" t="s">
        <v>5626</v>
      </c>
      <c r="AF224" s="35">
        <v>0.30195564516129036</v>
      </c>
    </row>
    <row r="225" spans="1:32" x14ac:dyDescent="0.35">
      <c r="A225" s="171">
        <v>179</v>
      </c>
      <c r="B225" s="377" t="s">
        <v>649</v>
      </c>
      <c r="C225" s="189" t="s">
        <v>6926</v>
      </c>
      <c r="D225" s="374" t="s">
        <v>6926</v>
      </c>
      <c r="S225" s="34">
        <v>221</v>
      </c>
      <c r="T225" s="34" t="s">
        <v>4284</v>
      </c>
      <c r="U225" s="34" t="s">
        <v>5637</v>
      </c>
      <c r="V225" s="35">
        <v>6.6149193548387105E-6</v>
      </c>
      <c r="W225" s="17"/>
      <c r="X225" s="34">
        <v>221</v>
      </c>
      <c r="Y225" s="34" t="s">
        <v>2248</v>
      </c>
      <c r="Z225" s="34" t="s">
        <v>5625</v>
      </c>
      <c r="AA225" s="35">
        <v>2.7727822580645165E-3</v>
      </c>
      <c r="AB225" s="13"/>
      <c r="AC225" s="34">
        <v>221</v>
      </c>
      <c r="AD225" s="34" t="s">
        <v>4573</v>
      </c>
      <c r="AE225" s="34" t="s">
        <v>5625</v>
      </c>
      <c r="AF225" s="35">
        <v>11.34475806451613</v>
      </c>
    </row>
    <row r="226" spans="1:32" x14ac:dyDescent="0.35">
      <c r="A226" s="171">
        <v>180</v>
      </c>
      <c r="B226" s="377" t="s">
        <v>650</v>
      </c>
      <c r="C226" s="189" t="s">
        <v>6926</v>
      </c>
      <c r="D226" s="374" t="s">
        <v>6926</v>
      </c>
      <c r="S226" s="36">
        <v>222</v>
      </c>
      <c r="T226" s="36" t="s">
        <v>4284</v>
      </c>
      <c r="U226" s="36" t="s">
        <v>5806</v>
      </c>
      <c r="V226" s="37">
        <v>8.8274999999999988</v>
      </c>
      <c r="W226" s="17"/>
      <c r="X226" s="34">
        <v>222</v>
      </c>
      <c r="Y226" s="34" t="s">
        <v>2248</v>
      </c>
      <c r="Z226" s="34" t="s">
        <v>5624</v>
      </c>
      <c r="AA226" s="35">
        <v>1.2784274193548389E-4</v>
      </c>
      <c r="AB226" s="13"/>
      <c r="AC226" s="34">
        <v>222</v>
      </c>
      <c r="AD226" s="34" t="s">
        <v>4573</v>
      </c>
      <c r="AE226" s="34" t="s">
        <v>5624</v>
      </c>
      <c r="AF226" s="35">
        <v>0.27179435483870967</v>
      </c>
    </row>
    <row r="227" spans="1:32" x14ac:dyDescent="0.35">
      <c r="A227" s="171">
        <v>181</v>
      </c>
      <c r="B227" s="377" t="s">
        <v>651</v>
      </c>
      <c r="C227" s="189">
        <v>0.17249780232771891</v>
      </c>
      <c r="D227" s="375">
        <v>0.2069973627932627</v>
      </c>
      <c r="S227" s="34">
        <v>223</v>
      </c>
      <c r="T227" s="34" t="s">
        <v>4284</v>
      </c>
      <c r="U227" s="34" t="s">
        <v>3780</v>
      </c>
      <c r="V227" s="35">
        <v>7.4611999999999998</v>
      </c>
      <c r="W227" s="17"/>
      <c r="X227" s="34">
        <v>223</v>
      </c>
      <c r="Y227" s="34" t="s">
        <v>2248</v>
      </c>
      <c r="Z227" s="34" t="s">
        <v>5623</v>
      </c>
      <c r="AA227" s="35">
        <v>1.9707661290322583E-4</v>
      </c>
      <c r="AB227" s="13"/>
      <c r="AC227" s="34">
        <v>223</v>
      </c>
      <c r="AD227" s="34" t="s">
        <v>4573</v>
      </c>
      <c r="AE227" s="34" t="s">
        <v>5623</v>
      </c>
      <c r="AF227" s="35">
        <v>0.13949596774193548</v>
      </c>
    </row>
    <row r="228" spans="1:32" x14ac:dyDescent="0.35">
      <c r="A228" s="171">
        <v>182</v>
      </c>
      <c r="B228" s="377" t="s">
        <v>652</v>
      </c>
      <c r="C228" s="189">
        <v>0.12053122792747001</v>
      </c>
      <c r="D228" s="375">
        <v>0.14463747351296399</v>
      </c>
      <c r="S228" s="34">
        <v>224</v>
      </c>
      <c r="T228" s="34" t="s">
        <v>4284</v>
      </c>
      <c r="U228" s="34" t="s">
        <v>5636</v>
      </c>
      <c r="V228" s="35">
        <v>1.1002016129032259E-4</v>
      </c>
      <c r="W228" s="17"/>
      <c r="X228" s="34">
        <v>224</v>
      </c>
      <c r="Y228" s="34" t="s">
        <v>2248</v>
      </c>
      <c r="Z228" s="34" t="s">
        <v>4286</v>
      </c>
      <c r="AA228" s="35">
        <v>1.0693548387096775E-4</v>
      </c>
      <c r="AB228" s="13"/>
      <c r="AC228" s="34">
        <v>224</v>
      </c>
      <c r="AD228" s="34" t="s">
        <v>4573</v>
      </c>
      <c r="AE228" s="34" t="s">
        <v>5622</v>
      </c>
      <c r="AF228" s="35">
        <v>7.1290322580645164E-3</v>
      </c>
    </row>
    <row r="229" spans="1:32" x14ac:dyDescent="0.35">
      <c r="A229" s="171">
        <v>183</v>
      </c>
      <c r="B229" s="377" t="s">
        <v>653</v>
      </c>
      <c r="C229" s="189">
        <v>8.0145673058387545E-2</v>
      </c>
      <c r="D229" s="375">
        <v>9.6174807670065046E-2</v>
      </c>
      <c r="S229" s="34">
        <v>225</v>
      </c>
      <c r="T229" s="34" t="s">
        <v>4284</v>
      </c>
      <c r="U229" s="34" t="s">
        <v>5635</v>
      </c>
      <c r="V229" s="35">
        <v>3.4616935483870972E-5</v>
      </c>
      <c r="W229" s="17"/>
      <c r="X229" s="34">
        <v>225</v>
      </c>
      <c r="Y229" s="34" t="s">
        <v>2248</v>
      </c>
      <c r="Z229" s="34" t="s">
        <v>5622</v>
      </c>
      <c r="AA229" s="35">
        <v>1.052217741935484E-4</v>
      </c>
      <c r="AB229" s="13"/>
      <c r="AC229" s="34">
        <v>225</v>
      </c>
      <c r="AD229" s="34" t="s">
        <v>4573</v>
      </c>
      <c r="AE229" s="34" t="s">
        <v>5621</v>
      </c>
      <c r="AF229" s="35">
        <v>1.830241935483871</v>
      </c>
    </row>
    <row r="230" spans="1:32" x14ac:dyDescent="0.35">
      <c r="A230" s="171">
        <v>184</v>
      </c>
      <c r="B230" s="377" t="s">
        <v>654</v>
      </c>
      <c r="C230" s="189">
        <v>8.505764838210321E-2</v>
      </c>
      <c r="D230" s="375">
        <v>0.10206917805852385</v>
      </c>
      <c r="S230" s="34">
        <v>226</v>
      </c>
      <c r="T230" s="34" t="s">
        <v>4284</v>
      </c>
      <c r="U230" s="34" t="s">
        <v>5634</v>
      </c>
      <c r="V230" s="35">
        <v>1.134475806451613E-6</v>
      </c>
      <c r="W230" s="17"/>
      <c r="X230" s="34">
        <v>226</v>
      </c>
      <c r="Y230" s="34" t="s">
        <v>2248</v>
      </c>
      <c r="Z230" s="34" t="s">
        <v>5621</v>
      </c>
      <c r="AA230" s="35">
        <v>0.14018145161290324</v>
      </c>
      <c r="AB230" s="13"/>
      <c r="AC230" s="34">
        <v>226</v>
      </c>
      <c r="AD230" s="34" t="s">
        <v>4573</v>
      </c>
      <c r="AE230" s="34" t="s">
        <v>3776</v>
      </c>
      <c r="AF230" s="35">
        <v>215.28</v>
      </c>
    </row>
    <row r="231" spans="1:32" x14ac:dyDescent="0.35">
      <c r="A231" s="171">
        <v>185</v>
      </c>
      <c r="B231" s="377" t="s">
        <v>655</v>
      </c>
      <c r="C231" s="189">
        <v>3.9113898100765002E-2</v>
      </c>
      <c r="D231" s="375">
        <v>4.6936677720918002E-2</v>
      </c>
      <c r="S231" s="34">
        <v>227</v>
      </c>
      <c r="T231" s="34" t="s">
        <v>4284</v>
      </c>
      <c r="U231" s="34" t="s">
        <v>5633</v>
      </c>
      <c r="V231" s="35">
        <v>1.2750000000000001E-4</v>
      </c>
      <c r="W231" s="17"/>
      <c r="X231" s="34">
        <v>227</v>
      </c>
      <c r="Y231" s="34" t="s">
        <v>2248</v>
      </c>
      <c r="Z231" s="34" t="s">
        <v>4285</v>
      </c>
      <c r="AA231" s="35">
        <v>1.2578629032258066E-4</v>
      </c>
      <c r="AB231" s="13"/>
      <c r="AC231" s="34">
        <v>227</v>
      </c>
      <c r="AD231" s="34" t="s">
        <v>4573</v>
      </c>
      <c r="AE231" s="34" t="s">
        <v>5620</v>
      </c>
      <c r="AF231" s="35">
        <v>2.4677419354838712E-3</v>
      </c>
    </row>
    <row r="232" spans="1:32" x14ac:dyDescent="0.35">
      <c r="A232" s="172">
        <v>186</v>
      </c>
      <c r="B232" s="377" t="s">
        <v>656</v>
      </c>
      <c r="C232" s="189">
        <v>7.293944265187001E-2</v>
      </c>
      <c r="D232" s="375">
        <v>8.7527331182244011E-2</v>
      </c>
      <c r="S232" s="34">
        <v>228</v>
      </c>
      <c r="T232" s="34" t="s">
        <v>4284</v>
      </c>
      <c r="U232" s="34" t="s">
        <v>5632</v>
      </c>
      <c r="V232" s="35">
        <v>0.32800403225806452</v>
      </c>
      <c r="W232" s="17"/>
      <c r="X232" s="34">
        <v>228</v>
      </c>
      <c r="Y232" s="34" t="s">
        <v>2248</v>
      </c>
      <c r="Z232" s="34" t="s">
        <v>3776</v>
      </c>
      <c r="AA232" s="35">
        <v>15.731999999999999</v>
      </c>
      <c r="AB232" s="13"/>
      <c r="AC232" s="34">
        <v>228</v>
      </c>
      <c r="AD232" s="34" t="s">
        <v>4573</v>
      </c>
      <c r="AE232" s="34" t="s">
        <v>5618</v>
      </c>
      <c r="AF232" s="35">
        <v>0.11995967741935484</v>
      </c>
    </row>
    <row r="233" spans="1:32" x14ac:dyDescent="0.35">
      <c r="A233" s="172">
        <v>187</v>
      </c>
      <c r="B233" s="377" t="s">
        <v>657</v>
      </c>
      <c r="C233" s="189" t="s">
        <v>6926</v>
      </c>
      <c r="D233" s="374" t="s">
        <v>6926</v>
      </c>
      <c r="S233" s="34">
        <v>229</v>
      </c>
      <c r="T233" s="34" t="s">
        <v>4284</v>
      </c>
      <c r="U233" s="34" t="s">
        <v>5631</v>
      </c>
      <c r="V233" s="35">
        <v>6.7177419354838715E-4</v>
      </c>
      <c r="W233" s="17"/>
      <c r="X233" s="34">
        <v>229</v>
      </c>
      <c r="Y233" s="34" t="s">
        <v>2248</v>
      </c>
      <c r="Z233" s="34" t="s">
        <v>5620</v>
      </c>
      <c r="AA233" s="35">
        <v>9.6310483870967753E-5</v>
      </c>
      <c r="AB233" s="13"/>
      <c r="AC233" s="34">
        <v>229</v>
      </c>
      <c r="AD233" s="34" t="s">
        <v>4573</v>
      </c>
      <c r="AE233" s="34" t="s">
        <v>5614</v>
      </c>
      <c r="AF233" s="35">
        <v>0.36673387096774196</v>
      </c>
    </row>
    <row r="234" spans="1:32" x14ac:dyDescent="0.35">
      <c r="A234" s="172">
        <v>188</v>
      </c>
      <c r="B234" s="377" t="s">
        <v>658</v>
      </c>
      <c r="C234" s="189">
        <v>2.6761962654335E-2</v>
      </c>
      <c r="D234" s="375">
        <v>3.2114355185201997E-2</v>
      </c>
      <c r="S234" s="34">
        <v>230</v>
      </c>
      <c r="T234" s="34" t="s">
        <v>4284</v>
      </c>
      <c r="U234" s="34" t="s">
        <v>5630</v>
      </c>
      <c r="V234" s="35">
        <v>1.2921370967741935E-4</v>
      </c>
      <c r="W234" s="17"/>
      <c r="X234" s="34">
        <v>230</v>
      </c>
      <c r="Y234" s="34" t="s">
        <v>2248</v>
      </c>
      <c r="Z234" s="34" t="s">
        <v>5805</v>
      </c>
      <c r="AA234" s="35">
        <v>1.2818548387096775E-3</v>
      </c>
      <c r="AB234" s="13"/>
      <c r="AC234" s="34">
        <v>230</v>
      </c>
      <c r="AD234" s="34" t="s">
        <v>4573</v>
      </c>
      <c r="AE234" s="34" t="s">
        <v>5610</v>
      </c>
      <c r="AF234" s="35">
        <v>2.954435483870968E-2</v>
      </c>
    </row>
    <row r="235" spans="1:32" x14ac:dyDescent="0.35">
      <c r="A235" s="172">
        <v>189</v>
      </c>
      <c r="B235" s="377" t="s">
        <v>659</v>
      </c>
      <c r="C235" s="189">
        <v>6.0097963020140012E-2</v>
      </c>
      <c r="D235" s="375">
        <v>7.2117555624168009E-2</v>
      </c>
      <c r="S235" s="36">
        <v>231</v>
      </c>
      <c r="T235" s="36" t="s">
        <v>4284</v>
      </c>
      <c r="U235" s="36" t="s">
        <v>5629</v>
      </c>
      <c r="V235" s="37">
        <v>5.0717999999999996</v>
      </c>
      <c r="W235" s="17"/>
      <c r="X235" s="34">
        <v>231</v>
      </c>
      <c r="Y235" s="34" t="s">
        <v>2248</v>
      </c>
      <c r="Z235" s="34" t="s">
        <v>5618</v>
      </c>
      <c r="AA235" s="35">
        <v>1.7479838709677422E-2</v>
      </c>
      <c r="AB235" s="13"/>
      <c r="AC235" s="34">
        <v>231</v>
      </c>
      <c r="AD235" s="34" t="s">
        <v>4573</v>
      </c>
      <c r="AE235" s="34" t="s">
        <v>5607</v>
      </c>
      <c r="AF235" s="35">
        <v>2.6699596774193554E-3</v>
      </c>
    </row>
    <row r="236" spans="1:32" x14ac:dyDescent="0.35">
      <c r="A236" s="172">
        <v>190</v>
      </c>
      <c r="B236" s="377" t="s">
        <v>660</v>
      </c>
      <c r="C236" s="189">
        <v>8.2947045285945001E-2</v>
      </c>
      <c r="D236" s="375">
        <v>9.9536454343134004E-2</v>
      </c>
      <c r="S236" s="34">
        <v>232</v>
      </c>
      <c r="T236" s="34" t="s">
        <v>4284</v>
      </c>
      <c r="U236" s="34" t="s">
        <v>5629</v>
      </c>
      <c r="V236" s="35">
        <v>2.704233870967742E-6</v>
      </c>
      <c r="W236" s="17"/>
      <c r="X236" s="34">
        <v>232</v>
      </c>
      <c r="Y236" s="34" t="s">
        <v>2248</v>
      </c>
      <c r="Z236" s="34" t="s">
        <v>5614</v>
      </c>
      <c r="AA236" s="35">
        <v>0.12098790322580646</v>
      </c>
      <c r="AB236" s="13"/>
      <c r="AC236" s="34">
        <v>232</v>
      </c>
      <c r="AD236" s="34" t="s">
        <v>4573</v>
      </c>
      <c r="AE236" s="34" t="s">
        <v>5606</v>
      </c>
      <c r="AF236" s="35">
        <v>0.8705645161290323</v>
      </c>
    </row>
    <row r="237" spans="1:32" x14ac:dyDescent="0.35">
      <c r="A237" s="172">
        <v>191</v>
      </c>
      <c r="B237" s="377" t="s">
        <v>115</v>
      </c>
      <c r="C237" s="189">
        <v>4.1185382536500003E-4</v>
      </c>
      <c r="D237" s="375">
        <v>4.9422459043800006E-4</v>
      </c>
      <c r="S237" s="38">
        <v>233</v>
      </c>
      <c r="T237" s="38" t="s">
        <v>4284</v>
      </c>
      <c r="U237" s="39" t="s">
        <v>5804</v>
      </c>
      <c r="V237" s="40">
        <v>48.836000000000006</v>
      </c>
      <c r="W237" s="17"/>
      <c r="X237" s="34">
        <v>233</v>
      </c>
      <c r="Y237" s="34" t="s">
        <v>2248</v>
      </c>
      <c r="Z237" s="34" t="s">
        <v>5803</v>
      </c>
      <c r="AA237" s="35">
        <v>2.4848790322580649E-2</v>
      </c>
      <c r="AB237" s="13"/>
      <c r="AC237" s="34">
        <v>233</v>
      </c>
      <c r="AD237" s="34" t="s">
        <v>4573</v>
      </c>
      <c r="AE237" s="34" t="s">
        <v>5605</v>
      </c>
      <c r="AF237" s="35">
        <v>7.7459677419354847E-3</v>
      </c>
    </row>
    <row r="238" spans="1:32" x14ac:dyDescent="0.35">
      <c r="A238" s="172">
        <v>192</v>
      </c>
      <c r="B238" s="377" t="s">
        <v>116</v>
      </c>
      <c r="C238" s="189">
        <v>7.7442583485419991E-2</v>
      </c>
      <c r="D238" s="375">
        <v>9.2931100182503987E-2</v>
      </c>
      <c r="S238" s="30">
        <v>234</v>
      </c>
      <c r="T238" s="30" t="s">
        <v>4284</v>
      </c>
      <c r="U238" s="30" t="s">
        <v>5802</v>
      </c>
      <c r="V238" s="31">
        <v>47.212000000000003</v>
      </c>
      <c r="W238" s="17"/>
      <c r="X238" s="34">
        <v>234</v>
      </c>
      <c r="Y238" s="34" t="s">
        <v>2248</v>
      </c>
      <c r="Z238" s="34" t="s">
        <v>5610</v>
      </c>
      <c r="AA238" s="35">
        <v>7.1975806451612912E-4</v>
      </c>
      <c r="AB238" s="13"/>
      <c r="AC238" s="34">
        <v>234</v>
      </c>
      <c r="AD238" s="34" t="s">
        <v>4573</v>
      </c>
      <c r="AE238" s="34" t="s">
        <v>5604</v>
      </c>
      <c r="AF238" s="35">
        <v>1.2441532258064518E-2</v>
      </c>
    </row>
    <row r="239" spans="1:32" x14ac:dyDescent="0.35">
      <c r="S239" s="30">
        <v>235</v>
      </c>
      <c r="T239" s="30" t="s">
        <v>4284</v>
      </c>
      <c r="U239" s="30" t="s">
        <v>5801</v>
      </c>
      <c r="V239" s="31">
        <v>56.376000000000005</v>
      </c>
      <c r="W239" s="17"/>
      <c r="X239" s="34">
        <v>235</v>
      </c>
      <c r="Y239" s="34" t="s">
        <v>2248</v>
      </c>
      <c r="Z239" s="34" t="s">
        <v>5607</v>
      </c>
      <c r="AA239" s="35">
        <v>1.2372983870967743E-6</v>
      </c>
      <c r="AB239" s="13"/>
      <c r="AC239" s="34">
        <v>235</v>
      </c>
      <c r="AD239" s="34" t="s">
        <v>4573</v>
      </c>
      <c r="AE239" s="34" t="s">
        <v>3773</v>
      </c>
      <c r="AF239" s="35">
        <v>0</v>
      </c>
    </row>
    <row r="240" spans="1:32" x14ac:dyDescent="0.35">
      <c r="S240" s="34">
        <v>236</v>
      </c>
      <c r="T240" s="34" t="s">
        <v>4284</v>
      </c>
      <c r="U240" s="34" t="s">
        <v>5628</v>
      </c>
      <c r="V240" s="35">
        <v>8.705645161290323E-5</v>
      </c>
      <c r="W240" s="17"/>
      <c r="X240" s="34">
        <v>236</v>
      </c>
      <c r="Y240" s="34" t="s">
        <v>2248</v>
      </c>
      <c r="Z240" s="34" t="s">
        <v>5606</v>
      </c>
      <c r="AA240" s="35">
        <v>2.0358870967741936E-2</v>
      </c>
      <c r="AB240" s="13"/>
      <c r="AC240" s="34">
        <v>236</v>
      </c>
      <c r="AD240" s="34" t="s">
        <v>4573</v>
      </c>
      <c r="AE240" s="34" t="s">
        <v>5603</v>
      </c>
      <c r="AF240" s="35">
        <v>3.7358870967741939E-3</v>
      </c>
    </row>
    <row r="241" spans="19:32" x14ac:dyDescent="0.35">
      <c r="S241" s="34">
        <v>237</v>
      </c>
      <c r="T241" s="34" t="s">
        <v>4284</v>
      </c>
      <c r="U241" s="34" t="s">
        <v>3779</v>
      </c>
      <c r="V241" s="35">
        <v>0</v>
      </c>
      <c r="W241" s="17"/>
      <c r="X241" s="34">
        <v>237</v>
      </c>
      <c r="Y241" s="34" t="s">
        <v>2248</v>
      </c>
      <c r="Z241" s="34" t="s">
        <v>5800</v>
      </c>
      <c r="AA241" s="35">
        <v>2.1215725806451616E-4</v>
      </c>
      <c r="AB241" s="13"/>
      <c r="AC241" s="34">
        <v>237</v>
      </c>
      <c r="AD241" s="34" t="s">
        <v>4573</v>
      </c>
      <c r="AE241" s="34" t="s">
        <v>3771</v>
      </c>
      <c r="AF241" s="35">
        <v>22.815999999999999</v>
      </c>
    </row>
    <row r="242" spans="19:32" x14ac:dyDescent="0.35">
      <c r="S242" s="34">
        <v>238</v>
      </c>
      <c r="T242" s="34" t="s">
        <v>4284</v>
      </c>
      <c r="U242" s="34" t="s">
        <v>5627</v>
      </c>
      <c r="V242" s="35">
        <v>0.28687500000000005</v>
      </c>
      <c r="W242" s="17"/>
      <c r="X242" s="34">
        <v>238</v>
      </c>
      <c r="Y242" s="34" t="s">
        <v>2248</v>
      </c>
      <c r="Z242" s="34" t="s">
        <v>5605</v>
      </c>
      <c r="AA242" s="35">
        <v>1.8405241935483875E-5</v>
      </c>
      <c r="AB242" s="13"/>
      <c r="AC242" s="34">
        <v>238</v>
      </c>
      <c r="AD242" s="34" t="s">
        <v>4573</v>
      </c>
      <c r="AE242" s="34" t="s">
        <v>5602</v>
      </c>
      <c r="AF242" s="35">
        <v>2.8858870967741939E-3</v>
      </c>
    </row>
    <row r="243" spans="19:32" x14ac:dyDescent="0.35">
      <c r="S243" s="34">
        <v>239</v>
      </c>
      <c r="T243" s="34" t="s">
        <v>4284</v>
      </c>
      <c r="U243" s="34" t="s">
        <v>5626</v>
      </c>
      <c r="V243" s="35">
        <v>1.5560483870967742E-2</v>
      </c>
      <c r="W243" s="17"/>
      <c r="X243" s="34">
        <v>239</v>
      </c>
      <c r="Y243" s="34" t="s">
        <v>2248</v>
      </c>
      <c r="Z243" s="34" t="s">
        <v>5604</v>
      </c>
      <c r="AA243" s="35">
        <v>4.9697580645161295E-5</v>
      </c>
      <c r="AB243" s="13"/>
      <c r="AC243" s="34">
        <v>239</v>
      </c>
      <c r="AD243" s="34" t="s">
        <v>4573</v>
      </c>
      <c r="AE243" s="34" t="s">
        <v>5601</v>
      </c>
      <c r="AF243" s="35">
        <v>9.836693548387098E-4</v>
      </c>
    </row>
    <row r="244" spans="19:32" x14ac:dyDescent="0.35">
      <c r="S244" s="34">
        <v>240</v>
      </c>
      <c r="T244" s="34" t="s">
        <v>4284</v>
      </c>
      <c r="U244" s="34" t="s">
        <v>5625</v>
      </c>
      <c r="V244" s="35">
        <v>0.14703629032258064</v>
      </c>
      <c r="W244" s="17"/>
      <c r="X244" s="34">
        <v>240</v>
      </c>
      <c r="Y244" s="34" t="s">
        <v>2248</v>
      </c>
      <c r="Z244" s="34" t="s">
        <v>5799</v>
      </c>
      <c r="AA244" s="35">
        <v>1.994758064516129E-5</v>
      </c>
      <c r="AB244" s="13"/>
      <c r="AC244" s="34">
        <v>240</v>
      </c>
      <c r="AD244" s="34" t="s">
        <v>4573</v>
      </c>
      <c r="AE244" s="34" t="s">
        <v>5600</v>
      </c>
      <c r="AF244" s="35">
        <v>2.1147177419354839</v>
      </c>
    </row>
    <row r="245" spans="19:32" x14ac:dyDescent="0.35">
      <c r="S245" s="34">
        <v>241</v>
      </c>
      <c r="T245" s="34" t="s">
        <v>4284</v>
      </c>
      <c r="U245" s="34" t="s">
        <v>5624</v>
      </c>
      <c r="V245" s="35">
        <v>1.7308467741935485E-3</v>
      </c>
      <c r="W245" s="17"/>
      <c r="X245" s="34">
        <v>241</v>
      </c>
      <c r="Y245" s="34" t="s">
        <v>2248</v>
      </c>
      <c r="Z245" s="34" t="s">
        <v>3773</v>
      </c>
      <c r="AA245" s="35">
        <v>0</v>
      </c>
      <c r="AB245" s="13"/>
      <c r="AC245" s="34">
        <v>241</v>
      </c>
      <c r="AD245" s="34" t="s">
        <v>4573</v>
      </c>
      <c r="AE245" s="34" t="s">
        <v>5599</v>
      </c>
      <c r="AF245" s="35">
        <v>0.89798387096774201</v>
      </c>
    </row>
    <row r="246" spans="19:32" x14ac:dyDescent="0.35">
      <c r="S246" s="34">
        <v>242</v>
      </c>
      <c r="T246" s="34" t="s">
        <v>4284</v>
      </c>
      <c r="U246" s="34" t="s">
        <v>5623</v>
      </c>
      <c r="V246" s="35">
        <v>1.0179435483870969E-3</v>
      </c>
      <c r="W246" s="17"/>
      <c r="X246" s="34">
        <v>242</v>
      </c>
      <c r="Y246" s="34" t="s">
        <v>2248</v>
      </c>
      <c r="Z246" s="34" t="s">
        <v>5603</v>
      </c>
      <c r="AA246" s="35">
        <v>5.3467741935483873E-4</v>
      </c>
      <c r="AB246" s="13"/>
      <c r="AC246" s="34">
        <v>242</v>
      </c>
      <c r="AD246" s="34" t="s">
        <v>4573</v>
      </c>
      <c r="AE246" s="34" t="s">
        <v>5598</v>
      </c>
      <c r="AF246" s="35">
        <v>2.772782258064516E-4</v>
      </c>
    </row>
    <row r="247" spans="19:32" x14ac:dyDescent="0.35">
      <c r="S247" s="30">
        <v>243</v>
      </c>
      <c r="T247" s="30" t="s">
        <v>4284</v>
      </c>
      <c r="U247" s="30" t="s">
        <v>5798</v>
      </c>
      <c r="V247" s="31">
        <v>8.004E-2</v>
      </c>
      <c r="W247" s="17"/>
      <c r="X247" s="34">
        <v>243</v>
      </c>
      <c r="Y247" s="34" t="s">
        <v>2248</v>
      </c>
      <c r="Z247" s="34" t="s">
        <v>3771</v>
      </c>
      <c r="AA247" s="35">
        <v>0.53267999999999993</v>
      </c>
      <c r="AB247" s="13"/>
      <c r="AC247" s="34">
        <v>243</v>
      </c>
      <c r="AD247" s="34" t="s">
        <v>4573</v>
      </c>
      <c r="AE247" s="34" t="s">
        <v>5597</v>
      </c>
      <c r="AF247" s="35">
        <v>1.1139112903225806E-3</v>
      </c>
    </row>
    <row r="248" spans="19:32" x14ac:dyDescent="0.35">
      <c r="S248" s="34">
        <v>244</v>
      </c>
      <c r="T248" s="34" t="s">
        <v>4284</v>
      </c>
      <c r="U248" s="34" t="s">
        <v>5622</v>
      </c>
      <c r="V248" s="35">
        <v>2.5739919354838712E-4</v>
      </c>
      <c r="W248" s="17"/>
      <c r="X248" s="34">
        <v>244</v>
      </c>
      <c r="Y248" s="34" t="s">
        <v>2248</v>
      </c>
      <c r="Z248" s="34" t="s">
        <v>5797</v>
      </c>
      <c r="AA248" s="35">
        <v>2.4197580645161291E-4</v>
      </c>
      <c r="AB248" s="13"/>
      <c r="AC248" s="34">
        <v>244</v>
      </c>
      <c r="AD248" s="34" t="s">
        <v>4573</v>
      </c>
      <c r="AE248" s="34" t="s">
        <v>5596</v>
      </c>
      <c r="AF248" s="35">
        <v>9.9052419354838717E-4</v>
      </c>
    </row>
    <row r="249" spans="19:32" x14ac:dyDescent="0.35">
      <c r="S249" s="34">
        <v>245</v>
      </c>
      <c r="T249" s="34" t="s">
        <v>4284</v>
      </c>
      <c r="U249" s="34" t="s">
        <v>5621</v>
      </c>
      <c r="V249" s="35">
        <v>0.1370967741935484</v>
      </c>
      <c r="W249" s="17"/>
      <c r="X249" s="34">
        <v>245</v>
      </c>
      <c r="Y249" s="34" t="s">
        <v>2248</v>
      </c>
      <c r="Z249" s="34" t="s">
        <v>5602</v>
      </c>
      <c r="AA249" s="35">
        <v>1.9090725806451616E-4</v>
      </c>
      <c r="AB249" s="13"/>
      <c r="AC249" s="34">
        <v>245</v>
      </c>
      <c r="AD249" s="34" t="s">
        <v>4573</v>
      </c>
      <c r="AE249" s="34" t="s">
        <v>3770</v>
      </c>
      <c r="AF249" s="35">
        <v>0</v>
      </c>
    </row>
    <row r="250" spans="19:32" x14ac:dyDescent="0.35">
      <c r="S250" s="34">
        <v>246</v>
      </c>
      <c r="T250" s="34" t="s">
        <v>4284</v>
      </c>
      <c r="U250" s="34" t="s">
        <v>3776</v>
      </c>
      <c r="V250" s="35">
        <v>245.64</v>
      </c>
      <c r="W250" s="17"/>
      <c r="X250" s="34">
        <v>246</v>
      </c>
      <c r="Y250" s="34" t="s">
        <v>2248</v>
      </c>
      <c r="Z250" s="34" t="s">
        <v>5601</v>
      </c>
      <c r="AA250" s="35">
        <v>4.3185483870967749E-5</v>
      </c>
      <c r="AB250" s="13"/>
      <c r="AC250" s="34">
        <v>246</v>
      </c>
      <c r="AD250" s="34" t="s">
        <v>4573</v>
      </c>
      <c r="AE250" s="34" t="s">
        <v>3767</v>
      </c>
      <c r="AF250" s="35">
        <v>0</v>
      </c>
    </row>
    <row r="251" spans="19:32" x14ac:dyDescent="0.35">
      <c r="S251" s="34">
        <v>247</v>
      </c>
      <c r="T251" s="34" t="s">
        <v>4284</v>
      </c>
      <c r="U251" s="34" t="s">
        <v>5620</v>
      </c>
      <c r="V251" s="35">
        <v>3.4137096774193553E-5</v>
      </c>
      <c r="W251" s="17"/>
      <c r="X251" s="34">
        <v>247</v>
      </c>
      <c r="Y251" s="34" t="s">
        <v>2248</v>
      </c>
      <c r="Z251" s="34" t="s">
        <v>5796</v>
      </c>
      <c r="AA251" s="35">
        <v>5.449596774193549E-4</v>
      </c>
      <c r="AB251" s="13"/>
      <c r="AC251" s="34">
        <v>247</v>
      </c>
      <c r="AD251" s="34" t="s">
        <v>4573</v>
      </c>
      <c r="AE251" s="34" t="s">
        <v>5595</v>
      </c>
      <c r="AF251" s="35">
        <v>4.4899193548387102E-4</v>
      </c>
    </row>
    <row r="252" spans="19:32" x14ac:dyDescent="0.35">
      <c r="S252" s="34">
        <v>248</v>
      </c>
      <c r="T252" s="34" t="s">
        <v>4284</v>
      </c>
      <c r="U252" s="34" t="s">
        <v>5618</v>
      </c>
      <c r="V252" s="35">
        <v>2.6733870967741939E-3</v>
      </c>
      <c r="W252" s="17"/>
      <c r="X252" s="34">
        <v>248</v>
      </c>
      <c r="Y252" s="34" t="s">
        <v>2248</v>
      </c>
      <c r="Z252" s="34" t="s">
        <v>5600</v>
      </c>
      <c r="AA252" s="35">
        <v>3.094959677419355E-3</v>
      </c>
      <c r="AB252" s="13"/>
      <c r="AC252" s="34">
        <v>248</v>
      </c>
      <c r="AD252" s="34" t="s">
        <v>4573</v>
      </c>
      <c r="AE252" s="34" t="s">
        <v>5594</v>
      </c>
      <c r="AF252" s="35">
        <v>18.953629032258068</v>
      </c>
    </row>
    <row r="253" spans="19:32" x14ac:dyDescent="0.35">
      <c r="S253" s="34">
        <v>249</v>
      </c>
      <c r="T253" s="34" t="s">
        <v>4284</v>
      </c>
      <c r="U253" s="34" t="s">
        <v>5614</v>
      </c>
      <c r="V253" s="35">
        <v>8.9455645161290329E-2</v>
      </c>
      <c r="W253" s="17"/>
      <c r="X253" s="34">
        <v>249</v>
      </c>
      <c r="Y253" s="34" t="s">
        <v>2248</v>
      </c>
      <c r="Z253" s="34" t="s">
        <v>5599</v>
      </c>
      <c r="AA253" s="35">
        <v>0.21387096774193551</v>
      </c>
      <c r="AB253" s="13"/>
      <c r="AC253" s="34">
        <v>249</v>
      </c>
      <c r="AD253" s="34" t="s">
        <v>4573</v>
      </c>
      <c r="AE253" s="34" t="s">
        <v>5593</v>
      </c>
      <c r="AF253" s="35">
        <v>0.2954435483870968</v>
      </c>
    </row>
    <row r="254" spans="19:32" x14ac:dyDescent="0.35">
      <c r="S254" s="34">
        <v>250</v>
      </c>
      <c r="T254" s="34" t="s">
        <v>4284</v>
      </c>
      <c r="U254" s="34" t="s">
        <v>5610</v>
      </c>
      <c r="V254" s="35">
        <v>7.4375000000000005E-4</v>
      </c>
      <c r="W254" s="17"/>
      <c r="X254" s="34">
        <v>250</v>
      </c>
      <c r="Y254" s="34" t="s">
        <v>2248</v>
      </c>
      <c r="Z254" s="34" t="s">
        <v>5795</v>
      </c>
      <c r="AA254" s="35">
        <v>1.4909274193548388E-2</v>
      </c>
      <c r="AB254" s="13"/>
      <c r="AC254" s="34">
        <v>250</v>
      </c>
      <c r="AD254" s="34" t="s">
        <v>4573</v>
      </c>
      <c r="AE254" s="34" t="s">
        <v>5592</v>
      </c>
      <c r="AF254" s="35">
        <v>0.28790322580645161</v>
      </c>
    </row>
    <row r="255" spans="19:32" x14ac:dyDescent="0.35">
      <c r="S255" s="34">
        <v>251</v>
      </c>
      <c r="T255" s="34" t="s">
        <v>4284</v>
      </c>
      <c r="U255" s="34" t="s">
        <v>5607</v>
      </c>
      <c r="V255" s="35">
        <v>2.8721774193548389E-5</v>
      </c>
      <c r="W255" s="17"/>
      <c r="X255" s="34">
        <v>251</v>
      </c>
      <c r="Y255" s="34" t="s">
        <v>2248</v>
      </c>
      <c r="Z255" s="34" t="s">
        <v>5598</v>
      </c>
      <c r="AA255" s="35">
        <v>2.4471774193548388E-5</v>
      </c>
      <c r="AB255" s="13"/>
      <c r="AC255" s="34">
        <v>251</v>
      </c>
      <c r="AD255" s="34" t="s">
        <v>4573</v>
      </c>
      <c r="AE255" s="34" t="s">
        <v>5591</v>
      </c>
      <c r="AF255" s="35">
        <v>5.5181451612903226E-3</v>
      </c>
    </row>
    <row r="256" spans="19:32" x14ac:dyDescent="0.35">
      <c r="S256" s="34">
        <v>252</v>
      </c>
      <c r="T256" s="34" t="s">
        <v>4284</v>
      </c>
      <c r="U256" s="34" t="s">
        <v>5794</v>
      </c>
      <c r="V256" s="35">
        <v>9.4254032258064529E-5</v>
      </c>
      <c r="W256" s="17"/>
      <c r="X256" s="34">
        <v>252</v>
      </c>
      <c r="Y256" s="34" t="s">
        <v>2248</v>
      </c>
      <c r="Z256" s="34" t="s">
        <v>5597</v>
      </c>
      <c r="AA256" s="35">
        <v>1.1276209677419356E-4</v>
      </c>
      <c r="AB256" s="13"/>
      <c r="AC256" s="34">
        <v>252</v>
      </c>
      <c r="AD256" s="34" t="s">
        <v>4573</v>
      </c>
      <c r="AE256" s="34" t="s">
        <v>5590</v>
      </c>
      <c r="AF256" s="35">
        <v>1.4463709677419356</v>
      </c>
    </row>
    <row r="257" spans="19:32" x14ac:dyDescent="0.35">
      <c r="S257" s="34">
        <v>253</v>
      </c>
      <c r="T257" s="34" t="s">
        <v>4284</v>
      </c>
      <c r="U257" s="34" t="s">
        <v>5605</v>
      </c>
      <c r="V257" s="35">
        <v>8.6028225806451618E-5</v>
      </c>
      <c r="W257" s="17"/>
      <c r="X257" s="34">
        <v>253</v>
      </c>
      <c r="Y257" s="34" t="s">
        <v>2248</v>
      </c>
      <c r="Z257" s="34" t="s">
        <v>5596</v>
      </c>
      <c r="AA257" s="35">
        <v>2.6151209677419356E-7</v>
      </c>
      <c r="AB257" s="13"/>
      <c r="AC257" s="34">
        <v>253</v>
      </c>
      <c r="AD257" s="34" t="s">
        <v>4573</v>
      </c>
      <c r="AE257" s="34" t="s">
        <v>5589</v>
      </c>
      <c r="AF257" s="35">
        <v>1.6691532258064516</v>
      </c>
    </row>
    <row r="258" spans="19:32" x14ac:dyDescent="0.35">
      <c r="S258" s="34">
        <v>254</v>
      </c>
      <c r="T258" s="34" t="s">
        <v>4284</v>
      </c>
      <c r="U258" s="34" t="s">
        <v>5604</v>
      </c>
      <c r="V258" s="35">
        <v>1.5252016129032261E-4</v>
      </c>
      <c r="W258" s="17"/>
      <c r="X258" s="34">
        <v>254</v>
      </c>
      <c r="Y258" s="34" t="s">
        <v>2248</v>
      </c>
      <c r="Z258" s="34" t="s">
        <v>5793</v>
      </c>
      <c r="AA258" s="35">
        <v>4.8669354838709681E-4</v>
      </c>
      <c r="AB258" s="13"/>
      <c r="AC258" s="34">
        <v>254</v>
      </c>
      <c r="AD258" s="34" t="s">
        <v>4573</v>
      </c>
      <c r="AE258" s="34" t="s">
        <v>5588</v>
      </c>
      <c r="AF258" s="35">
        <v>0.82258064516129037</v>
      </c>
    </row>
    <row r="259" spans="19:32" x14ac:dyDescent="0.35">
      <c r="S259" s="34">
        <v>255</v>
      </c>
      <c r="T259" s="34" t="s">
        <v>4284</v>
      </c>
      <c r="U259" s="34" t="s">
        <v>3773</v>
      </c>
      <c r="V259" s="35">
        <v>0</v>
      </c>
      <c r="W259" s="17"/>
      <c r="X259" s="34">
        <v>255</v>
      </c>
      <c r="Y259" s="34" t="s">
        <v>2248</v>
      </c>
      <c r="Z259" s="34" t="s">
        <v>3770</v>
      </c>
      <c r="AA259" s="35">
        <v>0</v>
      </c>
      <c r="AB259" s="13"/>
      <c r="AC259" s="34">
        <v>255</v>
      </c>
      <c r="AD259" s="34" t="s">
        <v>4573</v>
      </c>
      <c r="AE259" s="34" t="s">
        <v>5587</v>
      </c>
      <c r="AF259" s="35">
        <v>3.1018145161290325</v>
      </c>
    </row>
    <row r="260" spans="19:32" x14ac:dyDescent="0.35">
      <c r="S260" s="34">
        <v>256</v>
      </c>
      <c r="T260" s="34" t="s">
        <v>4284</v>
      </c>
      <c r="U260" s="34" t="s">
        <v>5603</v>
      </c>
      <c r="V260" s="35">
        <v>2.2346774193548387E-4</v>
      </c>
      <c r="W260" s="17"/>
      <c r="X260" s="34">
        <v>256</v>
      </c>
      <c r="Y260" s="34" t="s">
        <v>2248</v>
      </c>
      <c r="Z260" s="34" t="s">
        <v>3767</v>
      </c>
      <c r="AA260" s="35">
        <v>0</v>
      </c>
      <c r="AB260" s="13"/>
      <c r="AC260" s="34">
        <v>256</v>
      </c>
      <c r="AD260" s="34" t="s">
        <v>4573</v>
      </c>
      <c r="AE260" s="34" t="s">
        <v>5586</v>
      </c>
      <c r="AF260" s="35">
        <v>0.50383064516129039</v>
      </c>
    </row>
    <row r="261" spans="19:32" x14ac:dyDescent="0.35">
      <c r="S261" s="34">
        <v>257</v>
      </c>
      <c r="T261" s="34" t="s">
        <v>4284</v>
      </c>
      <c r="U261" s="34" t="s">
        <v>3771</v>
      </c>
      <c r="V261" s="35">
        <v>21.896000000000001</v>
      </c>
      <c r="W261" s="17"/>
      <c r="X261" s="34">
        <v>257</v>
      </c>
      <c r="Y261" s="34" t="s">
        <v>2248</v>
      </c>
      <c r="Z261" s="34" t="s">
        <v>5792</v>
      </c>
      <c r="AA261" s="35">
        <v>2.3649193548387097E-3</v>
      </c>
      <c r="AB261" s="13"/>
      <c r="AC261" s="34">
        <v>257</v>
      </c>
      <c r="AD261" s="34" t="s">
        <v>4573</v>
      </c>
      <c r="AE261" s="34" t="s">
        <v>5585</v>
      </c>
      <c r="AF261" s="35">
        <v>7.0604838709677426E-3</v>
      </c>
    </row>
    <row r="262" spans="19:32" x14ac:dyDescent="0.35">
      <c r="S262" s="34">
        <v>258</v>
      </c>
      <c r="T262" s="34" t="s">
        <v>4284</v>
      </c>
      <c r="U262" s="34" t="s">
        <v>5602</v>
      </c>
      <c r="V262" s="35">
        <v>1.5800403225806455E-4</v>
      </c>
      <c r="W262" s="17"/>
      <c r="X262" s="34">
        <v>258</v>
      </c>
      <c r="Y262" s="34" t="s">
        <v>2248</v>
      </c>
      <c r="Z262" s="34" t="s">
        <v>5595</v>
      </c>
      <c r="AA262" s="35">
        <v>1.4943548387096777E-4</v>
      </c>
      <c r="AB262" s="13"/>
      <c r="AC262" s="34">
        <v>258</v>
      </c>
      <c r="AD262" s="34" t="s">
        <v>4573</v>
      </c>
      <c r="AE262" s="34" t="s">
        <v>3765</v>
      </c>
      <c r="AF262" s="35">
        <v>0</v>
      </c>
    </row>
    <row r="263" spans="19:32" x14ac:dyDescent="0.35">
      <c r="S263" s="34">
        <v>259</v>
      </c>
      <c r="T263" s="34" t="s">
        <v>4284</v>
      </c>
      <c r="U263" s="34" t="s">
        <v>5601</v>
      </c>
      <c r="V263" s="35">
        <v>3.770161290322581E-7</v>
      </c>
      <c r="W263" s="17"/>
      <c r="X263" s="34">
        <v>259</v>
      </c>
      <c r="Y263" s="34" t="s">
        <v>2248</v>
      </c>
      <c r="Z263" s="34" t="s">
        <v>5594</v>
      </c>
      <c r="AA263" s="35">
        <v>3.4959677419354844E-2</v>
      </c>
      <c r="AB263" s="13"/>
      <c r="AC263" s="34">
        <v>259</v>
      </c>
      <c r="AD263" s="34" t="s">
        <v>4573</v>
      </c>
      <c r="AE263" s="34" t="s">
        <v>5584</v>
      </c>
      <c r="AF263" s="35">
        <v>5.4153225806451619</v>
      </c>
    </row>
    <row r="264" spans="19:32" x14ac:dyDescent="0.35">
      <c r="S264" s="34">
        <v>260</v>
      </c>
      <c r="T264" s="34" t="s">
        <v>4284</v>
      </c>
      <c r="U264" s="34" t="s">
        <v>5600</v>
      </c>
      <c r="V264" s="35">
        <v>6.1008064516129036E-2</v>
      </c>
      <c r="W264" s="17"/>
      <c r="X264" s="34">
        <v>260</v>
      </c>
      <c r="Y264" s="34" t="s">
        <v>2248</v>
      </c>
      <c r="Z264" s="34" t="s">
        <v>5791</v>
      </c>
      <c r="AA264" s="35">
        <v>7.8145161290322585E-4</v>
      </c>
      <c r="AB264" s="13"/>
      <c r="AC264" s="34">
        <v>260</v>
      </c>
      <c r="AD264" s="34" t="s">
        <v>4573</v>
      </c>
      <c r="AE264" s="34" t="s">
        <v>5583</v>
      </c>
      <c r="AF264" s="35">
        <v>0.44213709677419361</v>
      </c>
    </row>
    <row r="265" spans="19:32" x14ac:dyDescent="0.35">
      <c r="S265" s="34">
        <v>261</v>
      </c>
      <c r="T265" s="34" t="s">
        <v>4284</v>
      </c>
      <c r="U265" s="34" t="s">
        <v>5599</v>
      </c>
      <c r="V265" s="35">
        <v>0.15252016129032259</v>
      </c>
      <c r="W265" s="17"/>
      <c r="X265" s="34">
        <v>261</v>
      </c>
      <c r="Y265" s="34" t="s">
        <v>2248</v>
      </c>
      <c r="Z265" s="34" t="s">
        <v>5593</v>
      </c>
      <c r="AA265" s="35">
        <v>5.1411290322580649E-4</v>
      </c>
      <c r="AB265" s="13"/>
      <c r="AC265" s="34">
        <v>261</v>
      </c>
      <c r="AD265" s="34" t="s">
        <v>4573</v>
      </c>
      <c r="AE265" s="34" t="s">
        <v>5581</v>
      </c>
      <c r="AF265" s="35">
        <v>0.92197580645161292</v>
      </c>
    </row>
    <row r="266" spans="19:32" x14ac:dyDescent="0.35">
      <c r="S266" s="34">
        <v>262</v>
      </c>
      <c r="T266" s="34" t="s">
        <v>4284</v>
      </c>
      <c r="U266" s="34" t="s">
        <v>5598</v>
      </c>
      <c r="V266" s="35">
        <v>1.8028225806451615E-5</v>
      </c>
      <c r="W266" s="17"/>
      <c r="X266" s="34">
        <v>262</v>
      </c>
      <c r="Y266" s="34" t="s">
        <v>2248</v>
      </c>
      <c r="Z266" s="34" t="s">
        <v>5592</v>
      </c>
      <c r="AA266" s="35">
        <v>1.7925403225806453E-2</v>
      </c>
      <c r="AB266" s="13"/>
      <c r="AC266" s="34">
        <v>262</v>
      </c>
      <c r="AD266" s="34" t="s">
        <v>4573</v>
      </c>
      <c r="AE266" s="34" t="s">
        <v>5579</v>
      </c>
      <c r="AF266" s="35">
        <v>0.14875000000000002</v>
      </c>
    </row>
    <row r="267" spans="19:32" x14ac:dyDescent="0.35">
      <c r="S267" s="34">
        <v>263</v>
      </c>
      <c r="T267" s="34" t="s">
        <v>4284</v>
      </c>
      <c r="U267" s="34" t="s">
        <v>5597</v>
      </c>
      <c r="V267" s="35">
        <v>9.3225806451612916E-5</v>
      </c>
      <c r="W267" s="17"/>
      <c r="X267" s="34">
        <v>263</v>
      </c>
      <c r="Y267" s="34" t="s">
        <v>2248</v>
      </c>
      <c r="Z267" s="34" t="s">
        <v>5790</v>
      </c>
      <c r="AA267" s="35">
        <v>8.054435483870968E-3</v>
      </c>
      <c r="AB267" s="13"/>
      <c r="AC267" s="34">
        <v>263</v>
      </c>
      <c r="AD267" s="34" t="s">
        <v>4573</v>
      </c>
      <c r="AE267" s="34" t="s">
        <v>5578</v>
      </c>
      <c r="AF267" s="35">
        <v>0.1676008064516129</v>
      </c>
    </row>
    <row r="268" spans="19:32" x14ac:dyDescent="0.35">
      <c r="S268" s="34">
        <v>264</v>
      </c>
      <c r="T268" s="34" t="s">
        <v>4284</v>
      </c>
      <c r="U268" s="34" t="s">
        <v>5596</v>
      </c>
      <c r="V268" s="35">
        <v>1.5560483870967745E-5</v>
      </c>
      <c r="W268" s="17"/>
      <c r="X268" s="34">
        <v>264</v>
      </c>
      <c r="Y268" s="34" t="s">
        <v>2248</v>
      </c>
      <c r="Z268" s="34" t="s">
        <v>5591</v>
      </c>
      <c r="AA268" s="35">
        <v>8.0201612903225809E-4</v>
      </c>
      <c r="AB268" s="13"/>
      <c r="AC268" s="34">
        <v>264</v>
      </c>
      <c r="AD268" s="34" t="s">
        <v>4573</v>
      </c>
      <c r="AE268" s="34" t="s">
        <v>5577</v>
      </c>
      <c r="AF268" s="35">
        <v>0.16897177419354839</v>
      </c>
    </row>
    <row r="269" spans="19:32" x14ac:dyDescent="0.35">
      <c r="S269" s="34">
        <v>265</v>
      </c>
      <c r="T269" s="34" t="s">
        <v>4284</v>
      </c>
      <c r="U269" s="34" t="s">
        <v>3770</v>
      </c>
      <c r="V269" s="35">
        <v>0</v>
      </c>
      <c r="W269" s="17"/>
      <c r="X269" s="34">
        <v>265</v>
      </c>
      <c r="Y269" s="34" t="s">
        <v>2248</v>
      </c>
      <c r="Z269" s="34" t="s">
        <v>5590</v>
      </c>
      <c r="AA269" s="35">
        <v>8.8427419354838721E-2</v>
      </c>
      <c r="AB269" s="13"/>
      <c r="AC269" s="34">
        <v>265</v>
      </c>
      <c r="AD269" s="34" t="s">
        <v>4573</v>
      </c>
      <c r="AE269" s="34" t="s">
        <v>5576</v>
      </c>
      <c r="AF269" s="35">
        <v>7.5403225806451616E-3</v>
      </c>
    </row>
    <row r="270" spans="19:32" x14ac:dyDescent="0.35">
      <c r="S270" s="34">
        <v>266</v>
      </c>
      <c r="T270" s="34" t="s">
        <v>4284</v>
      </c>
      <c r="U270" s="34" t="s">
        <v>3767</v>
      </c>
      <c r="V270" s="35">
        <v>0</v>
      </c>
      <c r="W270" s="17"/>
      <c r="X270" s="34">
        <v>266</v>
      </c>
      <c r="Y270" s="34" t="s">
        <v>2248</v>
      </c>
      <c r="Z270" s="34" t="s">
        <v>5589</v>
      </c>
      <c r="AA270" s="35">
        <v>6.3750000000000005E-3</v>
      </c>
      <c r="AB270" s="13"/>
      <c r="AC270" s="34">
        <v>266</v>
      </c>
      <c r="AD270" s="34" t="s">
        <v>4573</v>
      </c>
      <c r="AE270" s="34" t="s">
        <v>5573</v>
      </c>
      <c r="AF270" s="35">
        <v>0.32800403225806452</v>
      </c>
    </row>
    <row r="271" spans="19:32" x14ac:dyDescent="0.35">
      <c r="S271" s="34">
        <v>267</v>
      </c>
      <c r="T271" s="34" t="s">
        <v>4284</v>
      </c>
      <c r="U271" s="34" t="s">
        <v>5595</v>
      </c>
      <c r="V271" s="35">
        <v>3.5987903225806457E-5</v>
      </c>
      <c r="W271" s="17"/>
      <c r="X271" s="34">
        <v>267</v>
      </c>
      <c r="Y271" s="34" t="s">
        <v>2248</v>
      </c>
      <c r="Z271" s="34" t="s">
        <v>5789</v>
      </c>
      <c r="AA271" s="35">
        <v>3.0743951612903232E-4</v>
      </c>
      <c r="AB271" s="13"/>
      <c r="AC271" s="34">
        <v>267</v>
      </c>
      <c r="AD271" s="34" t="s">
        <v>4573</v>
      </c>
      <c r="AE271" s="34" t="s">
        <v>5570</v>
      </c>
      <c r="AF271" s="35">
        <v>1.3709677419354839E-2</v>
      </c>
    </row>
    <row r="272" spans="19:32" x14ac:dyDescent="0.35">
      <c r="S272" s="30">
        <v>268</v>
      </c>
      <c r="T272" s="30" t="s">
        <v>4284</v>
      </c>
      <c r="U272" s="30" t="s">
        <v>5788</v>
      </c>
      <c r="V272" s="31">
        <v>4.0832E-2</v>
      </c>
      <c r="W272" s="17"/>
      <c r="X272" s="34">
        <v>268</v>
      </c>
      <c r="Y272" s="34" t="s">
        <v>2248</v>
      </c>
      <c r="Z272" s="34" t="s">
        <v>5588</v>
      </c>
      <c r="AA272" s="35">
        <v>5.0040322580645162E-2</v>
      </c>
      <c r="AB272" s="13"/>
      <c r="AC272" s="34">
        <v>268</v>
      </c>
      <c r="AD272" s="34" t="s">
        <v>4573</v>
      </c>
      <c r="AE272" s="34" t="s">
        <v>5568</v>
      </c>
      <c r="AF272" s="35">
        <v>0.25602822580645163</v>
      </c>
    </row>
    <row r="273" spans="19:32" x14ac:dyDescent="0.35">
      <c r="S273" s="34">
        <v>269</v>
      </c>
      <c r="T273" s="34" t="s">
        <v>4284</v>
      </c>
      <c r="U273" s="34" t="s">
        <v>5594</v>
      </c>
      <c r="V273" s="35">
        <v>0.40100806451612908</v>
      </c>
      <c r="W273" s="17"/>
      <c r="X273" s="34">
        <v>269</v>
      </c>
      <c r="Y273" s="34" t="s">
        <v>2248</v>
      </c>
      <c r="Z273" s="34" t="s">
        <v>5587</v>
      </c>
      <c r="AA273" s="35">
        <v>7.0947580645161299E-3</v>
      </c>
      <c r="AB273" s="13"/>
      <c r="AC273" s="34">
        <v>269</v>
      </c>
      <c r="AD273" s="34" t="s">
        <v>4573</v>
      </c>
      <c r="AE273" s="34" t="s">
        <v>5565</v>
      </c>
      <c r="AF273" s="35">
        <v>9.6995967741935488E-2</v>
      </c>
    </row>
    <row r="274" spans="19:32" x14ac:dyDescent="0.35">
      <c r="S274" s="34">
        <v>270</v>
      </c>
      <c r="T274" s="34" t="s">
        <v>4284</v>
      </c>
      <c r="U274" s="34" t="s">
        <v>5593</v>
      </c>
      <c r="V274" s="35">
        <v>5.9637096774193552E-3</v>
      </c>
      <c r="W274" s="17"/>
      <c r="X274" s="34">
        <v>270</v>
      </c>
      <c r="Y274" s="34" t="s">
        <v>2248</v>
      </c>
      <c r="Z274" s="34" t="s">
        <v>5787</v>
      </c>
      <c r="AA274" s="35">
        <v>3.0606854838709681E-3</v>
      </c>
      <c r="AB274" s="13"/>
      <c r="AC274" s="34">
        <v>270</v>
      </c>
      <c r="AD274" s="34" t="s">
        <v>4573</v>
      </c>
      <c r="AE274" s="34" t="s">
        <v>5562</v>
      </c>
      <c r="AF274" s="35">
        <v>7.2318548387096782E-2</v>
      </c>
    </row>
    <row r="275" spans="19:32" x14ac:dyDescent="0.35">
      <c r="S275" s="34">
        <v>271</v>
      </c>
      <c r="T275" s="34" t="s">
        <v>4284</v>
      </c>
      <c r="U275" s="34" t="s">
        <v>5592</v>
      </c>
      <c r="V275" s="35">
        <v>7.2318548387096783E-3</v>
      </c>
      <c r="W275" s="17"/>
      <c r="X275" s="34">
        <v>271</v>
      </c>
      <c r="Y275" s="34" t="s">
        <v>2248</v>
      </c>
      <c r="Z275" s="34" t="s">
        <v>5586</v>
      </c>
      <c r="AA275" s="35">
        <v>1.1379032258064517E-2</v>
      </c>
      <c r="AB275" s="13"/>
      <c r="AC275" s="34">
        <v>271</v>
      </c>
      <c r="AD275" s="34" t="s">
        <v>4573</v>
      </c>
      <c r="AE275" s="34" t="s">
        <v>5560</v>
      </c>
      <c r="AF275" s="35">
        <v>2.5534274193548391E-3</v>
      </c>
    </row>
    <row r="276" spans="19:32" x14ac:dyDescent="0.35">
      <c r="S276" s="34">
        <v>272</v>
      </c>
      <c r="T276" s="34" t="s">
        <v>4284</v>
      </c>
      <c r="U276" s="34" t="s">
        <v>5591</v>
      </c>
      <c r="V276" s="35">
        <v>7.5745967741935494E-6</v>
      </c>
      <c r="W276" s="17"/>
      <c r="X276" s="34">
        <v>272</v>
      </c>
      <c r="Y276" s="34" t="s">
        <v>2248</v>
      </c>
      <c r="Z276" s="34" t="s">
        <v>5585</v>
      </c>
      <c r="AA276" s="35">
        <v>1.6108870967741938E-3</v>
      </c>
      <c r="AB276" s="13"/>
      <c r="AC276" s="34">
        <v>272</v>
      </c>
      <c r="AD276" s="34" t="s">
        <v>4573</v>
      </c>
      <c r="AE276" s="34" t="s">
        <v>5557</v>
      </c>
      <c r="AF276" s="35">
        <v>0.10179435483870969</v>
      </c>
    </row>
    <row r="277" spans="19:32" x14ac:dyDescent="0.35">
      <c r="S277" s="34">
        <v>273</v>
      </c>
      <c r="T277" s="34" t="s">
        <v>4284</v>
      </c>
      <c r="U277" s="34" t="s">
        <v>5590</v>
      </c>
      <c r="V277" s="35">
        <v>2.0461693548387099E-2</v>
      </c>
      <c r="W277" s="17"/>
      <c r="X277" s="34">
        <v>273</v>
      </c>
      <c r="Y277" s="34" t="s">
        <v>2248</v>
      </c>
      <c r="Z277" s="34" t="s">
        <v>3765</v>
      </c>
      <c r="AA277" s="35">
        <v>0</v>
      </c>
      <c r="AB277" s="13"/>
      <c r="AC277" s="34">
        <v>273</v>
      </c>
      <c r="AD277" s="34" t="s">
        <v>4573</v>
      </c>
      <c r="AE277" s="34" t="s">
        <v>5554</v>
      </c>
      <c r="AF277" s="35">
        <v>0.30709677419354842</v>
      </c>
    </row>
    <row r="278" spans="19:32" x14ac:dyDescent="0.35">
      <c r="S278" s="34">
        <v>274</v>
      </c>
      <c r="T278" s="34" t="s">
        <v>4284</v>
      </c>
      <c r="U278" s="34" t="s">
        <v>5589</v>
      </c>
      <c r="V278" s="35">
        <v>4.9012096774193555E-2</v>
      </c>
      <c r="W278" s="17"/>
      <c r="X278" s="34">
        <v>274</v>
      </c>
      <c r="Y278" s="34" t="s">
        <v>2248</v>
      </c>
      <c r="Z278" s="34" t="s">
        <v>5786</v>
      </c>
      <c r="AA278" s="35">
        <v>6.7177419354838715E-4</v>
      </c>
      <c r="AB278" s="13"/>
      <c r="AC278" s="34">
        <v>274</v>
      </c>
      <c r="AD278" s="34" t="s">
        <v>4573</v>
      </c>
      <c r="AE278" s="34" t="s">
        <v>5552</v>
      </c>
      <c r="AF278" s="35">
        <v>2.6802419354838712E-3</v>
      </c>
    </row>
    <row r="279" spans="19:32" x14ac:dyDescent="0.35">
      <c r="S279" s="34">
        <v>275</v>
      </c>
      <c r="T279" s="34" t="s">
        <v>4284</v>
      </c>
      <c r="U279" s="34" t="s">
        <v>5588</v>
      </c>
      <c r="V279" s="35">
        <v>1.477217741935484E-2</v>
      </c>
      <c r="W279" s="17"/>
      <c r="X279" s="34">
        <v>275</v>
      </c>
      <c r="Y279" s="34" t="s">
        <v>2248</v>
      </c>
      <c r="Z279" s="34" t="s">
        <v>5584</v>
      </c>
      <c r="AA279" s="35">
        <v>6.3750000000000001E-2</v>
      </c>
      <c r="AB279" s="13"/>
      <c r="AC279" s="34">
        <v>275</v>
      </c>
      <c r="AD279" s="34" t="s">
        <v>4573</v>
      </c>
      <c r="AE279" s="34" t="s">
        <v>5549</v>
      </c>
      <c r="AF279" s="35">
        <v>1.8987903225806454E-2</v>
      </c>
    </row>
    <row r="280" spans="19:32" x14ac:dyDescent="0.35">
      <c r="S280" s="34">
        <v>276</v>
      </c>
      <c r="T280" s="34" t="s">
        <v>4284</v>
      </c>
      <c r="U280" s="34" t="s">
        <v>5587</v>
      </c>
      <c r="V280" s="35">
        <v>4.010080645161291E-2</v>
      </c>
      <c r="W280" s="17"/>
      <c r="X280" s="34">
        <v>276</v>
      </c>
      <c r="Y280" s="34" t="s">
        <v>2248</v>
      </c>
      <c r="Z280" s="34" t="s">
        <v>5583</v>
      </c>
      <c r="AA280" s="35">
        <v>5.1411290322580649E-4</v>
      </c>
      <c r="AB280" s="13"/>
      <c r="AC280" s="34">
        <v>276</v>
      </c>
      <c r="AD280" s="34" t="s">
        <v>4573</v>
      </c>
      <c r="AE280" s="34" t="s">
        <v>5546</v>
      </c>
      <c r="AF280" s="35">
        <v>2.9270161290322581E-2</v>
      </c>
    </row>
    <row r="281" spans="19:32" x14ac:dyDescent="0.35">
      <c r="S281" s="34">
        <v>277</v>
      </c>
      <c r="T281" s="34" t="s">
        <v>4284</v>
      </c>
      <c r="U281" s="34" t="s">
        <v>5586</v>
      </c>
      <c r="V281" s="35">
        <v>1.4120967741935485E-2</v>
      </c>
      <c r="W281" s="17"/>
      <c r="X281" s="34">
        <v>277</v>
      </c>
      <c r="Y281" s="34" t="s">
        <v>2248</v>
      </c>
      <c r="Z281" s="34" t="s">
        <v>5785</v>
      </c>
      <c r="AA281" s="35">
        <v>0.13401209677419357</v>
      </c>
      <c r="AB281" s="13"/>
      <c r="AC281" s="34">
        <v>277</v>
      </c>
      <c r="AD281" s="34" t="s">
        <v>4573</v>
      </c>
      <c r="AE281" s="34" t="s">
        <v>5544</v>
      </c>
      <c r="AF281" s="35">
        <v>1.4703629032258065E-2</v>
      </c>
    </row>
    <row r="282" spans="19:32" x14ac:dyDescent="0.35">
      <c r="S282" s="34">
        <v>278</v>
      </c>
      <c r="T282" s="34" t="s">
        <v>4284</v>
      </c>
      <c r="U282" s="34" t="s">
        <v>5585</v>
      </c>
      <c r="V282" s="35">
        <v>4.7641129032258064E-5</v>
      </c>
      <c r="W282" s="17"/>
      <c r="X282" s="34">
        <v>278</v>
      </c>
      <c r="Y282" s="34" t="s">
        <v>2248</v>
      </c>
      <c r="Z282" s="34" t="s">
        <v>5581</v>
      </c>
      <c r="AA282" s="35">
        <v>5.6552419354838714E-2</v>
      </c>
      <c r="AB282" s="13"/>
      <c r="AC282" s="34">
        <v>278</v>
      </c>
      <c r="AD282" s="34" t="s">
        <v>4573</v>
      </c>
      <c r="AE282" s="34" t="s">
        <v>5541</v>
      </c>
      <c r="AF282" s="35">
        <v>5.0725806451612905E-2</v>
      </c>
    </row>
    <row r="283" spans="19:32" x14ac:dyDescent="0.35">
      <c r="S283" s="34">
        <v>279</v>
      </c>
      <c r="T283" s="34" t="s">
        <v>4284</v>
      </c>
      <c r="U283" s="34" t="s">
        <v>3765</v>
      </c>
      <c r="V283" s="35">
        <v>0</v>
      </c>
      <c r="W283" s="17"/>
      <c r="X283" s="34">
        <v>279</v>
      </c>
      <c r="Y283" s="34" t="s">
        <v>2248</v>
      </c>
      <c r="Z283" s="34" t="s">
        <v>5579</v>
      </c>
      <c r="AA283" s="35">
        <v>1.4155241935483872E-2</v>
      </c>
      <c r="AB283" s="13"/>
      <c r="AC283" s="34">
        <v>279</v>
      </c>
      <c r="AD283" s="34" t="s">
        <v>4573</v>
      </c>
      <c r="AE283" s="34" t="s">
        <v>5538</v>
      </c>
      <c r="AF283" s="35">
        <v>0.60665322580645165</v>
      </c>
    </row>
    <row r="284" spans="19:32" x14ac:dyDescent="0.35">
      <c r="S284" s="34">
        <v>280</v>
      </c>
      <c r="T284" s="34" t="s">
        <v>4284</v>
      </c>
      <c r="U284" s="34" t="s">
        <v>5584</v>
      </c>
      <c r="V284" s="35">
        <v>9.0483870967741936E-2</v>
      </c>
      <c r="W284" s="17"/>
      <c r="X284" s="34">
        <v>280</v>
      </c>
      <c r="Y284" s="34" t="s">
        <v>2248</v>
      </c>
      <c r="Z284" s="34" t="s">
        <v>3845</v>
      </c>
      <c r="AA284" s="35">
        <v>9.7338709677419362E-4</v>
      </c>
      <c r="AB284" s="13"/>
      <c r="AC284" s="34">
        <v>280</v>
      </c>
      <c r="AD284" s="34" t="s">
        <v>4573</v>
      </c>
      <c r="AE284" s="34" t="s">
        <v>5536</v>
      </c>
      <c r="AF284" s="35">
        <v>2.4334677419354842E-2</v>
      </c>
    </row>
    <row r="285" spans="19:32" x14ac:dyDescent="0.35">
      <c r="S285" s="34">
        <v>281</v>
      </c>
      <c r="T285" s="34" t="s">
        <v>4284</v>
      </c>
      <c r="U285" s="34" t="s">
        <v>5583</v>
      </c>
      <c r="V285" s="35">
        <v>8.9798387096774197E-3</v>
      </c>
      <c r="W285" s="17"/>
      <c r="X285" s="34">
        <v>281</v>
      </c>
      <c r="Y285" s="34" t="s">
        <v>2248</v>
      </c>
      <c r="Z285" s="34" t="s">
        <v>5578</v>
      </c>
      <c r="AA285" s="35">
        <v>1.4566532258064517E-3</v>
      </c>
      <c r="AB285" s="13"/>
      <c r="AC285" s="34">
        <v>281</v>
      </c>
      <c r="AD285" s="34" t="s">
        <v>4573</v>
      </c>
      <c r="AE285" s="34" t="s">
        <v>5533</v>
      </c>
      <c r="AF285" s="35">
        <v>0.93911290322580654</v>
      </c>
    </row>
    <row r="286" spans="19:32" x14ac:dyDescent="0.35">
      <c r="S286" s="34">
        <v>282</v>
      </c>
      <c r="T286" s="34" t="s">
        <v>4284</v>
      </c>
      <c r="U286" s="34" t="s">
        <v>5581</v>
      </c>
      <c r="V286" s="35">
        <v>5.79233870967742E-2</v>
      </c>
      <c r="W286" s="17"/>
      <c r="X286" s="34">
        <v>282</v>
      </c>
      <c r="Y286" s="34" t="s">
        <v>2248</v>
      </c>
      <c r="Z286" s="34" t="s">
        <v>5577</v>
      </c>
      <c r="AA286" s="35">
        <v>3.2560483870967745E-4</v>
      </c>
      <c r="AB286" s="13"/>
      <c r="AC286" s="34">
        <v>282</v>
      </c>
      <c r="AD286" s="34" t="s">
        <v>4573</v>
      </c>
      <c r="AE286" s="34" t="s">
        <v>3763</v>
      </c>
      <c r="AF286" s="35">
        <v>7.6774193548387104E-2</v>
      </c>
    </row>
    <row r="287" spans="19:32" x14ac:dyDescent="0.35">
      <c r="S287" s="34">
        <v>283</v>
      </c>
      <c r="T287" s="34" t="s">
        <v>4284</v>
      </c>
      <c r="U287" s="34" t="s">
        <v>5579</v>
      </c>
      <c r="V287" s="35">
        <v>5.5524193548387099E-3</v>
      </c>
      <c r="W287" s="17"/>
      <c r="X287" s="34">
        <v>283</v>
      </c>
      <c r="Y287" s="34" t="s">
        <v>2248</v>
      </c>
      <c r="Z287" s="34" t="s">
        <v>5576</v>
      </c>
      <c r="AA287" s="35">
        <v>3.6673387096774197E-5</v>
      </c>
      <c r="AB287" s="13"/>
      <c r="AC287" s="34">
        <v>283</v>
      </c>
      <c r="AD287" s="34" t="s">
        <v>4573</v>
      </c>
      <c r="AE287" s="34" t="s">
        <v>3763</v>
      </c>
      <c r="AF287" s="35">
        <v>0</v>
      </c>
    </row>
    <row r="288" spans="19:32" x14ac:dyDescent="0.35">
      <c r="S288" s="34">
        <v>284</v>
      </c>
      <c r="T288" s="34" t="s">
        <v>4284</v>
      </c>
      <c r="U288" s="34" t="s">
        <v>5578</v>
      </c>
      <c r="V288" s="35">
        <v>1.6554435483870967E-3</v>
      </c>
      <c r="W288" s="17"/>
      <c r="X288" s="34">
        <v>284</v>
      </c>
      <c r="Y288" s="34" t="s">
        <v>2248</v>
      </c>
      <c r="Z288" s="34" t="s">
        <v>5784</v>
      </c>
      <c r="AA288" s="35">
        <v>8.2943548387096782E-5</v>
      </c>
      <c r="AB288" s="13"/>
      <c r="AC288" s="34">
        <v>284</v>
      </c>
      <c r="AD288" s="34" t="s">
        <v>4573</v>
      </c>
      <c r="AE288" s="34" t="s">
        <v>5528</v>
      </c>
      <c r="AF288" s="35">
        <v>1.1036290322580646</v>
      </c>
    </row>
    <row r="289" spans="19:32" x14ac:dyDescent="0.35">
      <c r="S289" s="34">
        <v>285</v>
      </c>
      <c r="T289" s="34" t="s">
        <v>4284</v>
      </c>
      <c r="U289" s="34" t="s">
        <v>5577</v>
      </c>
      <c r="V289" s="35">
        <v>1.182459677419355E-4</v>
      </c>
      <c r="W289" s="17"/>
      <c r="X289" s="34">
        <v>285</v>
      </c>
      <c r="Y289" s="34" t="s">
        <v>2248</v>
      </c>
      <c r="Z289" s="34" t="s">
        <v>5573</v>
      </c>
      <c r="AA289" s="35">
        <v>6.7177419354838711E-3</v>
      </c>
      <c r="AB289" s="13"/>
      <c r="AC289" s="34">
        <v>285</v>
      </c>
      <c r="AD289" s="34" t="s">
        <v>4573</v>
      </c>
      <c r="AE289" s="34" t="s">
        <v>5526</v>
      </c>
      <c r="AF289" s="35">
        <v>2.3683467741935486E-3</v>
      </c>
    </row>
    <row r="290" spans="19:32" x14ac:dyDescent="0.35">
      <c r="S290" s="34">
        <v>286</v>
      </c>
      <c r="T290" s="34" t="s">
        <v>4284</v>
      </c>
      <c r="U290" s="34" t="s">
        <v>5576</v>
      </c>
      <c r="V290" s="35">
        <v>2.820766129032258E-5</v>
      </c>
      <c r="W290" s="17"/>
      <c r="X290" s="34">
        <v>286</v>
      </c>
      <c r="Y290" s="34" t="s">
        <v>2248</v>
      </c>
      <c r="Z290" s="34" t="s">
        <v>5570</v>
      </c>
      <c r="AA290" s="35">
        <v>3.118951612903226E-3</v>
      </c>
      <c r="AB290" s="13"/>
      <c r="AC290" s="34">
        <v>286</v>
      </c>
      <c r="AD290" s="34" t="s">
        <v>4573</v>
      </c>
      <c r="AE290" s="34" t="s">
        <v>5523</v>
      </c>
      <c r="AF290" s="35">
        <v>0.22620967741935485</v>
      </c>
    </row>
    <row r="291" spans="19:32" x14ac:dyDescent="0.35">
      <c r="S291" s="34">
        <v>287</v>
      </c>
      <c r="T291" s="34" t="s">
        <v>4284</v>
      </c>
      <c r="U291" s="34" t="s">
        <v>5573</v>
      </c>
      <c r="V291" s="35">
        <v>1.9844758064516128E-3</v>
      </c>
      <c r="W291" s="17"/>
      <c r="X291" s="34">
        <v>287</v>
      </c>
      <c r="Y291" s="34" t="s">
        <v>2248</v>
      </c>
      <c r="Z291" s="34" t="s">
        <v>5783</v>
      </c>
      <c r="AA291" s="35">
        <v>1.9502016129032257E-5</v>
      </c>
      <c r="AB291" s="13"/>
      <c r="AC291" s="34">
        <v>287</v>
      </c>
      <c r="AD291" s="34" t="s">
        <v>4573</v>
      </c>
      <c r="AE291" s="34" t="s">
        <v>5521</v>
      </c>
      <c r="AF291" s="35">
        <v>6.6491935483870973E-2</v>
      </c>
    </row>
    <row r="292" spans="19:32" x14ac:dyDescent="0.35">
      <c r="S292" s="34">
        <v>288</v>
      </c>
      <c r="T292" s="34" t="s">
        <v>4284</v>
      </c>
      <c r="U292" s="34" t="s">
        <v>5570</v>
      </c>
      <c r="V292" s="35">
        <v>2.4848790322580649E-3</v>
      </c>
      <c r="W292" s="17"/>
      <c r="X292" s="34">
        <v>288</v>
      </c>
      <c r="Y292" s="34" t="s">
        <v>2248</v>
      </c>
      <c r="Z292" s="34" t="s">
        <v>5568</v>
      </c>
      <c r="AA292" s="35">
        <v>7.8145161290322594E-3</v>
      </c>
      <c r="AB292" s="13"/>
      <c r="AC292" s="34">
        <v>288</v>
      </c>
      <c r="AD292" s="34" t="s">
        <v>4573</v>
      </c>
      <c r="AE292" s="34" t="s">
        <v>5518</v>
      </c>
      <c r="AF292" s="35">
        <v>0.30024193548387101</v>
      </c>
    </row>
    <row r="293" spans="19:32" x14ac:dyDescent="0.35">
      <c r="S293" s="34">
        <v>289</v>
      </c>
      <c r="T293" s="34" t="s">
        <v>4284</v>
      </c>
      <c r="U293" s="34" t="s">
        <v>5568</v>
      </c>
      <c r="V293" s="35">
        <v>8.911290322580645E-3</v>
      </c>
      <c r="W293" s="17"/>
      <c r="X293" s="34">
        <v>289</v>
      </c>
      <c r="Y293" s="34" t="s">
        <v>2248</v>
      </c>
      <c r="Z293" s="34" t="s">
        <v>5565</v>
      </c>
      <c r="AA293" s="35">
        <v>1.7479838709677422E-2</v>
      </c>
      <c r="AB293" s="13"/>
      <c r="AC293" s="34">
        <v>289</v>
      </c>
      <c r="AD293" s="34" t="s">
        <v>4573</v>
      </c>
      <c r="AE293" s="34" t="s">
        <v>5516</v>
      </c>
      <c r="AF293" s="35">
        <v>0.25397177419354838</v>
      </c>
    </row>
    <row r="294" spans="19:32" x14ac:dyDescent="0.35">
      <c r="S294" s="34">
        <v>290</v>
      </c>
      <c r="T294" s="34" t="s">
        <v>4284</v>
      </c>
      <c r="U294" s="34" t="s">
        <v>5565</v>
      </c>
      <c r="V294" s="35">
        <v>1.5149193548387098E-2</v>
      </c>
      <c r="W294" s="17"/>
      <c r="X294" s="34">
        <v>290</v>
      </c>
      <c r="Y294" s="34" t="s">
        <v>2248</v>
      </c>
      <c r="Z294" s="34" t="s">
        <v>5782</v>
      </c>
      <c r="AA294" s="35">
        <v>8.911290322580645E-3</v>
      </c>
      <c r="AB294" s="13"/>
      <c r="AC294" s="34">
        <v>290</v>
      </c>
      <c r="AD294" s="34" t="s">
        <v>4573</v>
      </c>
      <c r="AE294" s="34" t="s">
        <v>3760</v>
      </c>
      <c r="AF294" s="35">
        <v>0</v>
      </c>
    </row>
    <row r="295" spans="19:32" x14ac:dyDescent="0.35">
      <c r="S295" s="34">
        <v>291</v>
      </c>
      <c r="T295" s="34" t="s">
        <v>4284</v>
      </c>
      <c r="U295" s="34" t="s">
        <v>5562</v>
      </c>
      <c r="V295" s="35">
        <v>1.4292338709677419E-4</v>
      </c>
      <c r="W295" s="17"/>
      <c r="X295" s="34">
        <v>291</v>
      </c>
      <c r="Y295" s="34" t="s">
        <v>2248</v>
      </c>
      <c r="Z295" s="34" t="s">
        <v>5562</v>
      </c>
      <c r="AA295" s="35">
        <v>3.1635080645161292E-3</v>
      </c>
      <c r="AB295" s="13"/>
      <c r="AC295" s="34">
        <v>291</v>
      </c>
      <c r="AD295" s="34" t="s">
        <v>4573</v>
      </c>
      <c r="AE295" s="34" t="s">
        <v>3757</v>
      </c>
      <c r="AF295" s="35">
        <v>10.86491935483871</v>
      </c>
    </row>
    <row r="296" spans="19:32" x14ac:dyDescent="0.35">
      <c r="S296" s="34">
        <v>292</v>
      </c>
      <c r="T296" s="34" t="s">
        <v>4284</v>
      </c>
      <c r="U296" s="34" t="s">
        <v>5560</v>
      </c>
      <c r="V296" s="35">
        <v>1.72741935483871E-4</v>
      </c>
      <c r="W296" s="17"/>
      <c r="X296" s="34">
        <v>292</v>
      </c>
      <c r="Y296" s="34" t="s">
        <v>2248</v>
      </c>
      <c r="Z296" s="34" t="s">
        <v>5560</v>
      </c>
      <c r="AA296" s="35">
        <v>2.9407258064516133E-4</v>
      </c>
      <c r="AB296" s="13"/>
      <c r="AC296" s="34">
        <v>292</v>
      </c>
      <c r="AD296" s="34" t="s">
        <v>4573</v>
      </c>
      <c r="AE296" s="34" t="s">
        <v>3757</v>
      </c>
      <c r="AF296" s="35">
        <v>0</v>
      </c>
    </row>
    <row r="297" spans="19:32" x14ac:dyDescent="0.35">
      <c r="S297" s="34">
        <v>293</v>
      </c>
      <c r="T297" s="34" t="s">
        <v>4284</v>
      </c>
      <c r="U297" s="34" t="s">
        <v>5557</v>
      </c>
      <c r="V297" s="35">
        <v>3.5645161290322582E-3</v>
      </c>
      <c r="W297" s="17"/>
      <c r="X297" s="34">
        <v>293</v>
      </c>
      <c r="Y297" s="34" t="s">
        <v>2248</v>
      </c>
      <c r="Z297" s="34" t="s">
        <v>5557</v>
      </c>
      <c r="AA297" s="35">
        <v>6.4435483870967751E-3</v>
      </c>
      <c r="AB297" s="13"/>
      <c r="AC297" s="34">
        <v>293</v>
      </c>
      <c r="AD297" s="34" t="s">
        <v>4573</v>
      </c>
      <c r="AE297" s="34" t="s">
        <v>5515</v>
      </c>
      <c r="AF297" s="35">
        <v>1.9056451612903227</v>
      </c>
    </row>
    <row r="298" spans="19:32" x14ac:dyDescent="0.35">
      <c r="S298" s="34">
        <v>294</v>
      </c>
      <c r="T298" s="34" t="s">
        <v>4284</v>
      </c>
      <c r="U298" s="34" t="s">
        <v>5554</v>
      </c>
      <c r="V298" s="35">
        <v>1.0316532258064517E-2</v>
      </c>
      <c r="W298" s="17"/>
      <c r="X298" s="34">
        <v>294</v>
      </c>
      <c r="Y298" s="34" t="s">
        <v>2248</v>
      </c>
      <c r="Z298" s="34" t="s">
        <v>5781</v>
      </c>
      <c r="AA298" s="35">
        <v>4.5584677419354845E-3</v>
      </c>
      <c r="AB298" s="13"/>
      <c r="AC298" s="34">
        <v>294</v>
      </c>
      <c r="AD298" s="34" t="s">
        <v>4573</v>
      </c>
      <c r="AE298" s="34" t="s">
        <v>5514</v>
      </c>
      <c r="AF298" s="35">
        <v>0.16040322580645164</v>
      </c>
    </row>
    <row r="299" spans="19:32" x14ac:dyDescent="0.35">
      <c r="S299" s="34">
        <v>295</v>
      </c>
      <c r="T299" s="34" t="s">
        <v>4284</v>
      </c>
      <c r="U299" s="34" t="s">
        <v>5552</v>
      </c>
      <c r="V299" s="35">
        <v>5.4153225806451619E-6</v>
      </c>
      <c r="W299" s="17"/>
      <c r="X299" s="34">
        <v>295</v>
      </c>
      <c r="Y299" s="34" t="s">
        <v>2248</v>
      </c>
      <c r="Z299" s="34" t="s">
        <v>5554</v>
      </c>
      <c r="AA299" s="35">
        <v>1.2030241935483871E-2</v>
      </c>
      <c r="AB299" s="13"/>
      <c r="AC299" s="34">
        <v>295</v>
      </c>
      <c r="AD299" s="34" t="s">
        <v>4573</v>
      </c>
      <c r="AE299" s="34" t="s">
        <v>5513</v>
      </c>
      <c r="AF299" s="35">
        <v>1.4943548387096774</v>
      </c>
    </row>
    <row r="300" spans="19:32" x14ac:dyDescent="0.35">
      <c r="S300" s="34">
        <v>296</v>
      </c>
      <c r="T300" s="34" t="s">
        <v>4284</v>
      </c>
      <c r="U300" s="34" t="s">
        <v>5549</v>
      </c>
      <c r="V300" s="35">
        <v>1.0625E-7</v>
      </c>
      <c r="W300" s="17"/>
      <c r="X300" s="34">
        <v>296</v>
      </c>
      <c r="Y300" s="34" t="s">
        <v>2248</v>
      </c>
      <c r="Z300" s="34" t="s">
        <v>5552</v>
      </c>
      <c r="AA300" s="35">
        <v>1.62116935483871E-4</v>
      </c>
      <c r="AB300" s="13"/>
      <c r="AC300" s="34">
        <v>296</v>
      </c>
      <c r="AD300" s="34" t="s">
        <v>4573</v>
      </c>
      <c r="AE300" s="34" t="s">
        <v>5512</v>
      </c>
      <c r="AF300" s="35">
        <v>1.3812500000000001</v>
      </c>
    </row>
    <row r="301" spans="19:32" x14ac:dyDescent="0.35">
      <c r="S301" s="34">
        <v>297</v>
      </c>
      <c r="T301" s="34" t="s">
        <v>4284</v>
      </c>
      <c r="U301" s="34" t="s">
        <v>5546</v>
      </c>
      <c r="V301" s="35">
        <v>3.3828629032258067E-5</v>
      </c>
      <c r="W301" s="17"/>
      <c r="X301" s="34">
        <v>297</v>
      </c>
      <c r="Y301" s="34" t="s">
        <v>2248</v>
      </c>
      <c r="Z301" s="34" t="s">
        <v>5780</v>
      </c>
      <c r="AA301" s="35">
        <v>2.8653225806451617</v>
      </c>
      <c r="AB301" s="13"/>
      <c r="AC301" s="34">
        <v>297</v>
      </c>
      <c r="AD301" s="34" t="s">
        <v>4573</v>
      </c>
      <c r="AE301" s="34" t="s">
        <v>5511</v>
      </c>
      <c r="AF301" s="35">
        <v>3.9072580645161295E-2</v>
      </c>
    </row>
    <row r="302" spans="19:32" x14ac:dyDescent="0.35">
      <c r="S302" s="34">
        <v>298</v>
      </c>
      <c r="T302" s="34" t="s">
        <v>4284</v>
      </c>
      <c r="U302" s="34" t="s">
        <v>5544</v>
      </c>
      <c r="V302" s="35">
        <v>2.4745967741935487E-6</v>
      </c>
      <c r="W302" s="17"/>
      <c r="X302" s="34">
        <v>298</v>
      </c>
      <c r="Y302" s="34" t="s">
        <v>2248</v>
      </c>
      <c r="Z302" s="34" t="s">
        <v>5549</v>
      </c>
      <c r="AA302" s="35">
        <v>4.8669354838709676E-5</v>
      </c>
      <c r="AB302" s="13"/>
      <c r="AC302" s="34">
        <v>298</v>
      </c>
      <c r="AD302" s="34" t="s">
        <v>4573</v>
      </c>
      <c r="AE302" s="34" t="s">
        <v>5510</v>
      </c>
      <c r="AF302" s="35">
        <v>1.3195564516129033E-3</v>
      </c>
    </row>
    <row r="303" spans="19:32" x14ac:dyDescent="0.35">
      <c r="S303" s="34">
        <v>299</v>
      </c>
      <c r="T303" s="34" t="s">
        <v>4284</v>
      </c>
      <c r="U303" s="34" t="s">
        <v>5541</v>
      </c>
      <c r="V303" s="35">
        <v>3.0572580645161292E-4</v>
      </c>
      <c r="W303" s="17"/>
      <c r="X303" s="34">
        <v>299</v>
      </c>
      <c r="Y303" s="34" t="s">
        <v>2248</v>
      </c>
      <c r="Z303" s="34" t="s">
        <v>5546</v>
      </c>
      <c r="AA303" s="35">
        <v>1.1207661290322582E-3</v>
      </c>
      <c r="AB303" s="13"/>
      <c r="AC303" s="34">
        <v>299</v>
      </c>
      <c r="AD303" s="34" t="s">
        <v>4573</v>
      </c>
      <c r="AE303" s="34" t="s">
        <v>3754</v>
      </c>
      <c r="AF303" s="35">
        <v>2.5391999999999997</v>
      </c>
    </row>
    <row r="304" spans="19:32" x14ac:dyDescent="0.35">
      <c r="S304" s="34">
        <v>300</v>
      </c>
      <c r="T304" s="34" t="s">
        <v>4284</v>
      </c>
      <c r="U304" s="34" t="s">
        <v>5538</v>
      </c>
      <c r="V304" s="35">
        <v>4.0786290322580646E-2</v>
      </c>
      <c r="W304" s="17"/>
      <c r="X304" s="34">
        <v>300</v>
      </c>
      <c r="Y304" s="34" t="s">
        <v>2248</v>
      </c>
      <c r="Z304" s="34" t="s">
        <v>5779</v>
      </c>
      <c r="AA304" s="35">
        <v>2998.9919354838712</v>
      </c>
      <c r="AB304" s="13"/>
      <c r="AC304" s="34">
        <v>300</v>
      </c>
      <c r="AD304" s="34" t="s">
        <v>4573</v>
      </c>
      <c r="AE304" s="34" t="s">
        <v>3752</v>
      </c>
      <c r="AF304" s="35">
        <v>2.9510080645161293E-2</v>
      </c>
    </row>
    <row r="305" spans="19:32" x14ac:dyDescent="0.35">
      <c r="S305" s="34">
        <v>301</v>
      </c>
      <c r="T305" s="34" t="s">
        <v>4284</v>
      </c>
      <c r="U305" s="34" t="s">
        <v>5536</v>
      </c>
      <c r="V305" s="35">
        <v>3.7016129032258068E-4</v>
      </c>
      <c r="W305" s="17"/>
      <c r="X305" s="34">
        <v>301</v>
      </c>
      <c r="Y305" s="34" t="s">
        <v>2248</v>
      </c>
      <c r="Z305" s="34" t="s">
        <v>5544</v>
      </c>
      <c r="AA305" s="35">
        <v>4.8326612903225809E-5</v>
      </c>
      <c r="AB305" s="13"/>
      <c r="AC305" s="34">
        <v>301</v>
      </c>
      <c r="AD305" s="34" t="s">
        <v>4573</v>
      </c>
      <c r="AE305" s="34" t="s">
        <v>3752</v>
      </c>
      <c r="AF305" s="35">
        <v>0</v>
      </c>
    </row>
    <row r="306" spans="19:32" x14ac:dyDescent="0.35">
      <c r="S306" s="34">
        <v>302</v>
      </c>
      <c r="T306" s="34" t="s">
        <v>4284</v>
      </c>
      <c r="U306" s="34" t="s">
        <v>5533</v>
      </c>
      <c r="V306" s="35">
        <v>3.259475806451613E-2</v>
      </c>
      <c r="W306" s="17"/>
      <c r="X306" s="34">
        <v>302</v>
      </c>
      <c r="Y306" s="34" t="s">
        <v>2248</v>
      </c>
      <c r="Z306" s="34" t="s">
        <v>5541</v>
      </c>
      <c r="AA306" s="35">
        <v>1.2784274193548388E-3</v>
      </c>
      <c r="AB306" s="13"/>
      <c r="AC306" s="34">
        <v>302</v>
      </c>
      <c r="AD306" s="34" t="s">
        <v>4573</v>
      </c>
      <c r="AE306" s="34" t="s">
        <v>5772</v>
      </c>
      <c r="AF306" s="35">
        <v>0.21284274193548389</v>
      </c>
    </row>
    <row r="307" spans="19:32" x14ac:dyDescent="0.35">
      <c r="S307" s="34">
        <v>303</v>
      </c>
      <c r="T307" s="34" t="s">
        <v>4284</v>
      </c>
      <c r="U307" s="34" t="s">
        <v>3763</v>
      </c>
      <c r="V307" s="35">
        <v>1.3743951612903227E-2</v>
      </c>
      <c r="W307" s="17"/>
      <c r="X307" s="34">
        <v>303</v>
      </c>
      <c r="Y307" s="34" t="s">
        <v>2248</v>
      </c>
      <c r="Z307" s="34" t="s">
        <v>5538</v>
      </c>
      <c r="AA307" s="35">
        <v>8.9455645161290329E-2</v>
      </c>
      <c r="AB307" s="13"/>
      <c r="AC307" s="34">
        <v>303</v>
      </c>
      <c r="AD307" s="34" t="s">
        <v>4573</v>
      </c>
      <c r="AE307" s="34" t="s">
        <v>5508</v>
      </c>
      <c r="AF307" s="35">
        <v>0.5209677419354839</v>
      </c>
    </row>
    <row r="308" spans="19:32" x14ac:dyDescent="0.35">
      <c r="S308" s="34">
        <v>304</v>
      </c>
      <c r="T308" s="34" t="s">
        <v>4284</v>
      </c>
      <c r="U308" s="34" t="s">
        <v>3763</v>
      </c>
      <c r="V308" s="35">
        <v>0</v>
      </c>
      <c r="W308" s="17"/>
      <c r="X308" s="34">
        <v>304</v>
      </c>
      <c r="Y308" s="34" t="s">
        <v>2248</v>
      </c>
      <c r="Z308" s="34" t="s">
        <v>5778</v>
      </c>
      <c r="AA308" s="35">
        <v>7.4717741935483879E-3</v>
      </c>
      <c r="AB308" s="13"/>
      <c r="AC308" s="34">
        <v>304</v>
      </c>
      <c r="AD308" s="34" t="s">
        <v>4573</v>
      </c>
      <c r="AE308" s="34" t="s">
        <v>3750</v>
      </c>
      <c r="AF308" s="35">
        <v>0.5278225806451613</v>
      </c>
    </row>
    <row r="309" spans="19:32" x14ac:dyDescent="0.35">
      <c r="S309" s="34">
        <v>305</v>
      </c>
      <c r="T309" s="34" t="s">
        <v>4284</v>
      </c>
      <c r="U309" s="34" t="s">
        <v>5528</v>
      </c>
      <c r="V309" s="35">
        <v>9.6995967741935491E-3</v>
      </c>
      <c r="W309" s="17"/>
      <c r="X309" s="34">
        <v>305</v>
      </c>
      <c r="Y309" s="34" t="s">
        <v>2248</v>
      </c>
      <c r="Z309" s="34" t="s">
        <v>5536</v>
      </c>
      <c r="AA309" s="35">
        <v>2.0667338709677418E-3</v>
      </c>
      <c r="AB309" s="13"/>
      <c r="AC309" s="34">
        <v>305</v>
      </c>
      <c r="AD309" s="34" t="s">
        <v>4573</v>
      </c>
      <c r="AE309" s="34" t="s">
        <v>3750</v>
      </c>
      <c r="AF309" s="35">
        <v>0</v>
      </c>
    </row>
    <row r="310" spans="19:32" x14ac:dyDescent="0.35">
      <c r="S310" s="34">
        <v>306</v>
      </c>
      <c r="T310" s="34" t="s">
        <v>4284</v>
      </c>
      <c r="U310" s="34" t="s">
        <v>5526</v>
      </c>
      <c r="V310" s="35">
        <v>1.2235887096774194E-5</v>
      </c>
      <c r="W310" s="17"/>
      <c r="X310" s="34">
        <v>306</v>
      </c>
      <c r="Y310" s="34" t="s">
        <v>2248</v>
      </c>
      <c r="Z310" s="34" t="s">
        <v>5533</v>
      </c>
      <c r="AA310" s="35">
        <v>1.7137096774193551E-2</v>
      </c>
      <c r="AB310" s="13"/>
      <c r="AC310" s="34">
        <v>306</v>
      </c>
      <c r="AD310" s="34" t="s">
        <v>4573</v>
      </c>
      <c r="AE310" s="34" t="s">
        <v>5507</v>
      </c>
      <c r="AF310" s="35">
        <v>0.5175403225806452</v>
      </c>
    </row>
    <row r="311" spans="19:32" x14ac:dyDescent="0.35">
      <c r="S311" s="34">
        <v>307</v>
      </c>
      <c r="T311" s="34" t="s">
        <v>4284</v>
      </c>
      <c r="U311" s="34" t="s">
        <v>5523</v>
      </c>
      <c r="V311" s="35">
        <v>1.8405241935483872E-3</v>
      </c>
      <c r="W311" s="17"/>
      <c r="X311" s="34">
        <v>307</v>
      </c>
      <c r="Y311" s="34" t="s">
        <v>2248</v>
      </c>
      <c r="Z311" s="34" t="s">
        <v>5777</v>
      </c>
      <c r="AA311" s="35">
        <v>1.1790322580645162E-4</v>
      </c>
      <c r="AB311" s="13"/>
      <c r="AC311" s="34">
        <v>307</v>
      </c>
      <c r="AD311" s="34" t="s">
        <v>4573</v>
      </c>
      <c r="AE311" s="34" t="s">
        <v>3749</v>
      </c>
      <c r="AF311" s="35">
        <v>9.1512096774193558E-2</v>
      </c>
    </row>
    <row r="312" spans="19:32" x14ac:dyDescent="0.35">
      <c r="S312" s="34">
        <v>308</v>
      </c>
      <c r="T312" s="34" t="s">
        <v>4284</v>
      </c>
      <c r="U312" s="34" t="s">
        <v>5521</v>
      </c>
      <c r="V312" s="35">
        <v>8.2600806451612913E-4</v>
      </c>
      <c r="W312" s="17"/>
      <c r="X312" s="34">
        <v>308</v>
      </c>
      <c r="Y312" s="34" t="s">
        <v>2248</v>
      </c>
      <c r="Z312" s="34" t="s">
        <v>3763</v>
      </c>
      <c r="AA312" s="35">
        <v>0</v>
      </c>
      <c r="AB312" s="13"/>
      <c r="AC312" s="34">
        <v>308</v>
      </c>
      <c r="AD312" s="34" t="s">
        <v>4573</v>
      </c>
      <c r="AE312" s="34" t="s">
        <v>3749</v>
      </c>
      <c r="AF312" s="35">
        <v>0</v>
      </c>
    </row>
    <row r="313" spans="19:32" x14ac:dyDescent="0.35">
      <c r="S313" s="34">
        <v>309</v>
      </c>
      <c r="T313" s="34" t="s">
        <v>4284</v>
      </c>
      <c r="U313" s="34" t="s">
        <v>5518</v>
      </c>
      <c r="V313" s="35">
        <v>1.1276209677419356E-2</v>
      </c>
      <c r="W313" s="17"/>
      <c r="X313" s="34">
        <v>309</v>
      </c>
      <c r="Y313" s="34" t="s">
        <v>2248</v>
      </c>
      <c r="Z313" s="34" t="s">
        <v>3763</v>
      </c>
      <c r="AA313" s="35">
        <v>2.6082661290322582E-2</v>
      </c>
      <c r="AB313" s="13"/>
      <c r="AC313" s="34">
        <v>309</v>
      </c>
      <c r="AD313" s="34" t="s">
        <v>4573</v>
      </c>
      <c r="AE313" s="34" t="s">
        <v>3746</v>
      </c>
      <c r="AF313" s="35">
        <v>2.1010080645161291</v>
      </c>
    </row>
    <row r="314" spans="19:32" x14ac:dyDescent="0.35">
      <c r="S314" s="34">
        <v>310</v>
      </c>
      <c r="T314" s="34" t="s">
        <v>4284</v>
      </c>
      <c r="U314" s="34" t="s">
        <v>5516</v>
      </c>
      <c r="V314" s="35">
        <v>3.6673387096774197E-3</v>
      </c>
      <c r="W314" s="17"/>
      <c r="X314" s="34">
        <v>310</v>
      </c>
      <c r="Y314" s="34" t="s">
        <v>2248</v>
      </c>
      <c r="Z314" s="34" t="s">
        <v>5776</v>
      </c>
      <c r="AA314" s="35">
        <v>8.0201612903225809E-12</v>
      </c>
      <c r="AB314" s="13"/>
      <c r="AC314" s="34">
        <v>310</v>
      </c>
      <c r="AD314" s="34" t="s">
        <v>4573</v>
      </c>
      <c r="AE314" s="34" t="s">
        <v>3746</v>
      </c>
      <c r="AF314" s="35">
        <v>0</v>
      </c>
    </row>
    <row r="315" spans="19:32" x14ac:dyDescent="0.35">
      <c r="S315" s="34">
        <v>311</v>
      </c>
      <c r="T315" s="34" t="s">
        <v>4284</v>
      </c>
      <c r="U315" s="34" t="s">
        <v>3760</v>
      </c>
      <c r="V315" s="35">
        <v>0</v>
      </c>
      <c r="W315" s="17"/>
      <c r="X315" s="34">
        <v>311</v>
      </c>
      <c r="Y315" s="34" t="s">
        <v>2248</v>
      </c>
      <c r="Z315" s="34" t="s">
        <v>5528</v>
      </c>
      <c r="AA315" s="35">
        <v>4.1129032258064519E-3</v>
      </c>
      <c r="AB315" s="13"/>
      <c r="AC315" s="34">
        <v>311</v>
      </c>
      <c r="AD315" s="34" t="s">
        <v>4573</v>
      </c>
      <c r="AE315" s="34" t="s">
        <v>5506</v>
      </c>
      <c r="AF315" s="35">
        <v>0.82943548387096777</v>
      </c>
    </row>
    <row r="316" spans="19:32" x14ac:dyDescent="0.35">
      <c r="S316" s="34">
        <v>312</v>
      </c>
      <c r="T316" s="34" t="s">
        <v>4284</v>
      </c>
      <c r="U316" s="34" t="s">
        <v>3757</v>
      </c>
      <c r="V316" s="35">
        <v>9.6995967741935488E-2</v>
      </c>
      <c r="W316" s="17"/>
      <c r="X316" s="34">
        <v>312</v>
      </c>
      <c r="Y316" s="34" t="s">
        <v>2248</v>
      </c>
      <c r="Z316" s="34" t="s">
        <v>5526</v>
      </c>
      <c r="AA316" s="35">
        <v>4.7641129032258068E-7</v>
      </c>
      <c r="AB316" s="13"/>
      <c r="AC316" s="34">
        <v>312</v>
      </c>
      <c r="AD316" s="34" t="s">
        <v>4573</v>
      </c>
      <c r="AE316" s="34" t="s">
        <v>5505</v>
      </c>
      <c r="AF316" s="35">
        <v>1.1858870967741936E-2</v>
      </c>
    </row>
    <row r="317" spans="19:32" x14ac:dyDescent="0.35">
      <c r="S317" s="34">
        <v>313</v>
      </c>
      <c r="T317" s="34" t="s">
        <v>4284</v>
      </c>
      <c r="U317" s="34" t="s">
        <v>3757</v>
      </c>
      <c r="V317" s="35">
        <v>0</v>
      </c>
      <c r="W317" s="17"/>
      <c r="X317" s="34">
        <v>313</v>
      </c>
      <c r="Y317" s="34" t="s">
        <v>2248</v>
      </c>
      <c r="Z317" s="34" t="s">
        <v>5523</v>
      </c>
      <c r="AA317" s="35">
        <v>1.453225806451613E-3</v>
      </c>
      <c r="AB317" s="13"/>
      <c r="AC317" s="34">
        <v>313</v>
      </c>
      <c r="AD317" s="34" t="s">
        <v>4573</v>
      </c>
      <c r="AE317" s="34" t="s">
        <v>5768</v>
      </c>
      <c r="AF317" s="35">
        <v>0.22895161290322583</v>
      </c>
    </row>
    <row r="318" spans="19:32" x14ac:dyDescent="0.35">
      <c r="S318" s="34">
        <v>314</v>
      </c>
      <c r="T318" s="34" t="s">
        <v>4284</v>
      </c>
      <c r="U318" s="34" t="s">
        <v>5515</v>
      </c>
      <c r="V318" s="35">
        <v>6.9919354838709688E-2</v>
      </c>
      <c r="W318" s="17"/>
      <c r="X318" s="34">
        <v>314</v>
      </c>
      <c r="Y318" s="34" t="s">
        <v>2248</v>
      </c>
      <c r="Z318" s="34" t="s">
        <v>5775</v>
      </c>
      <c r="AA318" s="35">
        <v>1.0659274193548387E-4</v>
      </c>
      <c r="AB318" s="13"/>
      <c r="AC318" s="34">
        <v>314</v>
      </c>
      <c r="AD318" s="34" t="s">
        <v>4573</v>
      </c>
      <c r="AE318" s="34" t="s">
        <v>5503</v>
      </c>
      <c r="AF318" s="35">
        <v>2.8036290322580648E-2</v>
      </c>
    </row>
    <row r="319" spans="19:32" x14ac:dyDescent="0.35">
      <c r="S319" s="34">
        <v>315</v>
      </c>
      <c r="T319" s="34" t="s">
        <v>4284</v>
      </c>
      <c r="U319" s="34" t="s">
        <v>5514</v>
      </c>
      <c r="V319" s="35">
        <v>5.3125000000000004E-3</v>
      </c>
      <c r="W319" s="17"/>
      <c r="X319" s="34">
        <v>315</v>
      </c>
      <c r="Y319" s="34" t="s">
        <v>2248</v>
      </c>
      <c r="Z319" s="34" t="s">
        <v>5521</v>
      </c>
      <c r="AA319" s="35">
        <v>1.5868951612903228E-4</v>
      </c>
      <c r="AB319" s="13"/>
      <c r="AC319" s="34">
        <v>315</v>
      </c>
      <c r="AD319" s="34" t="s">
        <v>4573</v>
      </c>
      <c r="AE319" s="34" t="s">
        <v>5502</v>
      </c>
      <c r="AF319" s="35">
        <v>4.3870967741935489E-2</v>
      </c>
    </row>
    <row r="320" spans="19:32" x14ac:dyDescent="0.35">
      <c r="S320" s="34">
        <v>316</v>
      </c>
      <c r="T320" s="34" t="s">
        <v>4284</v>
      </c>
      <c r="U320" s="34" t="s">
        <v>5513</v>
      </c>
      <c r="V320" s="35">
        <v>7.0262096774193553E-3</v>
      </c>
      <c r="W320" s="17"/>
      <c r="X320" s="34">
        <v>316</v>
      </c>
      <c r="Y320" s="34" t="s">
        <v>2248</v>
      </c>
      <c r="Z320" s="34" t="s">
        <v>5518</v>
      </c>
      <c r="AA320" s="35">
        <v>4.3870967741935489E-2</v>
      </c>
      <c r="AB320" s="13"/>
      <c r="AC320" s="34">
        <v>316</v>
      </c>
      <c r="AD320" s="34" t="s">
        <v>4573</v>
      </c>
      <c r="AE320" s="34" t="s">
        <v>5501</v>
      </c>
      <c r="AF320" s="35">
        <v>2.875604838709678E-3</v>
      </c>
    </row>
    <row r="321" spans="19:32" x14ac:dyDescent="0.35">
      <c r="S321" s="34">
        <v>317</v>
      </c>
      <c r="T321" s="34" t="s">
        <v>4284</v>
      </c>
      <c r="U321" s="34" t="s">
        <v>5512</v>
      </c>
      <c r="V321" s="35">
        <v>5.1411290322580648E-2</v>
      </c>
      <c r="W321" s="17"/>
      <c r="X321" s="34">
        <v>317</v>
      </c>
      <c r="Y321" s="34" t="s">
        <v>2248</v>
      </c>
      <c r="Z321" s="34" t="s">
        <v>5774</v>
      </c>
      <c r="AA321" s="35">
        <v>2.8447580645161297E-4</v>
      </c>
      <c r="AB321" s="13"/>
      <c r="AC321" s="34">
        <v>317</v>
      </c>
      <c r="AD321" s="34" t="s">
        <v>4573</v>
      </c>
      <c r="AE321" s="34" t="s">
        <v>3742</v>
      </c>
      <c r="AF321" s="35">
        <v>0.47104000000000001</v>
      </c>
    </row>
    <row r="322" spans="19:32" x14ac:dyDescent="0.35">
      <c r="S322" s="34">
        <v>318</v>
      </c>
      <c r="T322" s="34" t="s">
        <v>4284</v>
      </c>
      <c r="U322" s="34" t="s">
        <v>5511</v>
      </c>
      <c r="V322" s="35">
        <v>3.2903225806451614E-4</v>
      </c>
      <c r="W322" s="17"/>
      <c r="X322" s="34">
        <v>318</v>
      </c>
      <c r="Y322" s="34" t="s">
        <v>2248</v>
      </c>
      <c r="Z322" s="34" t="s">
        <v>5516</v>
      </c>
      <c r="AA322" s="35">
        <v>7.4032258064516132E-3</v>
      </c>
      <c r="AB322" s="13"/>
      <c r="AC322" s="34">
        <v>318</v>
      </c>
      <c r="AD322" s="34" t="s">
        <v>4573</v>
      </c>
      <c r="AE322" s="34" t="s">
        <v>5500</v>
      </c>
      <c r="AF322" s="35">
        <v>4.7298387096774199</v>
      </c>
    </row>
    <row r="323" spans="19:32" x14ac:dyDescent="0.35">
      <c r="S323" s="34">
        <v>319</v>
      </c>
      <c r="T323" s="34" t="s">
        <v>4284</v>
      </c>
      <c r="U323" s="34" t="s">
        <v>5510</v>
      </c>
      <c r="V323" s="35">
        <v>2.3477822580645163E-4</v>
      </c>
      <c r="W323" s="17"/>
      <c r="X323" s="34">
        <v>319</v>
      </c>
      <c r="Y323" s="34" t="s">
        <v>2248</v>
      </c>
      <c r="Z323" s="34" t="s">
        <v>3760</v>
      </c>
      <c r="AA323" s="35">
        <v>0</v>
      </c>
      <c r="AB323" s="13"/>
      <c r="AC323" s="34">
        <v>319</v>
      </c>
      <c r="AD323" s="34" t="s">
        <v>4573</v>
      </c>
      <c r="AE323" s="34" t="s">
        <v>5499</v>
      </c>
      <c r="AF323" s="35">
        <v>3.5987903225806455</v>
      </c>
    </row>
    <row r="324" spans="19:32" x14ac:dyDescent="0.35">
      <c r="S324" s="34">
        <v>320</v>
      </c>
      <c r="T324" s="34" t="s">
        <v>4284</v>
      </c>
      <c r="U324" s="34" t="s">
        <v>3754</v>
      </c>
      <c r="V324" s="35">
        <v>5.1059999999999999</v>
      </c>
      <c r="W324" s="17"/>
      <c r="X324" s="34">
        <v>320</v>
      </c>
      <c r="Y324" s="34" t="s">
        <v>2248</v>
      </c>
      <c r="Z324" s="34" t="s">
        <v>5773</v>
      </c>
      <c r="AA324" s="35">
        <v>7.7116935483870975E-6</v>
      </c>
      <c r="AB324" s="13"/>
      <c r="AC324" s="34">
        <v>320</v>
      </c>
      <c r="AD324" s="34" t="s">
        <v>4573</v>
      </c>
      <c r="AE324" s="34" t="s">
        <v>5498</v>
      </c>
      <c r="AF324" s="35">
        <v>9.973790322580646E-2</v>
      </c>
    </row>
    <row r="325" spans="19:32" x14ac:dyDescent="0.35">
      <c r="S325" s="34">
        <v>321</v>
      </c>
      <c r="T325" s="34" t="s">
        <v>4284</v>
      </c>
      <c r="U325" s="34" t="s">
        <v>3752</v>
      </c>
      <c r="V325" s="35">
        <v>1.1790322580645162E-3</v>
      </c>
      <c r="W325" s="17"/>
      <c r="X325" s="34">
        <v>321</v>
      </c>
      <c r="Y325" s="34" t="s">
        <v>2248</v>
      </c>
      <c r="Z325" s="34" t="s">
        <v>3757</v>
      </c>
      <c r="AA325" s="35">
        <v>0</v>
      </c>
      <c r="AB325" s="13"/>
      <c r="AC325" s="34">
        <v>321</v>
      </c>
      <c r="AD325" s="34" t="s">
        <v>4573</v>
      </c>
      <c r="AE325" s="34" t="s">
        <v>5497</v>
      </c>
      <c r="AF325" s="35">
        <v>0.15149193548387099</v>
      </c>
    </row>
    <row r="326" spans="19:32" x14ac:dyDescent="0.35">
      <c r="S326" s="34">
        <v>322</v>
      </c>
      <c r="T326" s="34" t="s">
        <v>4284</v>
      </c>
      <c r="U326" s="34" t="s">
        <v>3752</v>
      </c>
      <c r="V326" s="35">
        <v>0</v>
      </c>
      <c r="W326" s="17"/>
      <c r="X326" s="34">
        <v>322</v>
      </c>
      <c r="Y326" s="34" t="s">
        <v>2248</v>
      </c>
      <c r="Z326" s="34" t="s">
        <v>3757</v>
      </c>
      <c r="AA326" s="35">
        <v>1.723991935483871E-2</v>
      </c>
      <c r="AB326" s="13"/>
      <c r="AC326" s="34">
        <v>322</v>
      </c>
      <c r="AD326" s="34" t="s">
        <v>4573</v>
      </c>
      <c r="AE326" s="34" t="s">
        <v>5496</v>
      </c>
      <c r="AF326" s="35">
        <v>0.16554435483870969</v>
      </c>
    </row>
    <row r="327" spans="19:32" x14ac:dyDescent="0.35">
      <c r="S327" s="34">
        <v>323</v>
      </c>
      <c r="T327" s="34" t="s">
        <v>4284</v>
      </c>
      <c r="U327" s="34" t="s">
        <v>5772</v>
      </c>
      <c r="V327" s="35">
        <v>1.254435483870968E-3</v>
      </c>
      <c r="W327" s="17"/>
      <c r="X327" s="34">
        <v>323</v>
      </c>
      <c r="Y327" s="34" t="s">
        <v>2248</v>
      </c>
      <c r="Z327" s="34" t="s">
        <v>5515</v>
      </c>
      <c r="AA327" s="35">
        <v>3.4959677419354844E-2</v>
      </c>
      <c r="AB327" s="13"/>
      <c r="AC327" s="34">
        <v>323</v>
      </c>
      <c r="AD327" s="34" t="s">
        <v>4573</v>
      </c>
      <c r="AE327" s="34" t="s">
        <v>5495</v>
      </c>
      <c r="AF327" s="35">
        <v>1.7308467741935485</v>
      </c>
    </row>
    <row r="328" spans="19:32" x14ac:dyDescent="0.35">
      <c r="S328" s="34">
        <v>324</v>
      </c>
      <c r="T328" s="34" t="s">
        <v>4284</v>
      </c>
      <c r="U328" s="34" t="s">
        <v>5508</v>
      </c>
      <c r="V328" s="35">
        <v>7.7459677419354847E-3</v>
      </c>
      <c r="W328" s="17"/>
      <c r="X328" s="34">
        <v>324</v>
      </c>
      <c r="Y328" s="34" t="s">
        <v>2248</v>
      </c>
      <c r="Z328" s="34" t="s">
        <v>5771</v>
      </c>
      <c r="AA328" s="35">
        <v>1.9227822580645165E-9</v>
      </c>
      <c r="AB328" s="13"/>
      <c r="AC328" s="34">
        <v>324</v>
      </c>
      <c r="AD328" s="34" t="s">
        <v>4573</v>
      </c>
      <c r="AE328" s="34" t="s">
        <v>5494</v>
      </c>
      <c r="AF328" s="35">
        <v>0.41471774193548389</v>
      </c>
    </row>
    <row r="329" spans="19:32" x14ac:dyDescent="0.35">
      <c r="S329" s="34">
        <v>325</v>
      </c>
      <c r="T329" s="34" t="s">
        <v>4284</v>
      </c>
      <c r="U329" s="34" t="s">
        <v>3750</v>
      </c>
      <c r="V329" s="35">
        <v>1.0453629032258065E-2</v>
      </c>
      <c r="W329" s="17"/>
      <c r="X329" s="34">
        <v>325</v>
      </c>
      <c r="Y329" s="34" t="s">
        <v>2248</v>
      </c>
      <c r="Z329" s="34" t="s">
        <v>5514</v>
      </c>
      <c r="AA329" s="35">
        <v>3.3588709677419355E-3</v>
      </c>
      <c r="AB329" s="13"/>
      <c r="AC329" s="34">
        <v>325</v>
      </c>
      <c r="AD329" s="34" t="s">
        <v>4573</v>
      </c>
      <c r="AE329" s="34" t="s">
        <v>5493</v>
      </c>
      <c r="AF329" s="35">
        <v>4.6270161290322583E-2</v>
      </c>
    </row>
    <row r="330" spans="19:32" x14ac:dyDescent="0.35">
      <c r="S330" s="34">
        <v>326</v>
      </c>
      <c r="T330" s="34" t="s">
        <v>4284</v>
      </c>
      <c r="U330" s="34" t="s">
        <v>3750</v>
      </c>
      <c r="V330" s="35">
        <v>0</v>
      </c>
      <c r="W330" s="17"/>
      <c r="X330" s="34">
        <v>326</v>
      </c>
      <c r="Y330" s="34" t="s">
        <v>2248</v>
      </c>
      <c r="Z330" s="34" t="s">
        <v>5513</v>
      </c>
      <c r="AA330" s="35">
        <v>1.4463709677419357E-2</v>
      </c>
      <c r="AB330" s="13"/>
      <c r="AC330" s="34">
        <v>326</v>
      </c>
      <c r="AD330" s="34" t="s">
        <v>4573</v>
      </c>
      <c r="AE330" s="34" t="s">
        <v>5492</v>
      </c>
      <c r="AF330" s="35">
        <v>0.20872983870967743</v>
      </c>
    </row>
    <row r="331" spans="19:32" x14ac:dyDescent="0.35">
      <c r="S331" s="34">
        <v>327</v>
      </c>
      <c r="T331" s="34" t="s">
        <v>4284</v>
      </c>
      <c r="U331" s="34" t="s">
        <v>5507</v>
      </c>
      <c r="V331" s="35">
        <v>9.6653225806451627E-3</v>
      </c>
      <c r="W331" s="17"/>
      <c r="X331" s="34">
        <v>327</v>
      </c>
      <c r="Y331" s="34" t="s">
        <v>2248</v>
      </c>
      <c r="Z331" s="34" t="s">
        <v>5770</v>
      </c>
      <c r="AA331" s="35">
        <v>2.5157258064516135E-6</v>
      </c>
      <c r="AB331" s="13"/>
      <c r="AC331" s="34">
        <v>327</v>
      </c>
      <c r="AD331" s="34" t="s">
        <v>4573</v>
      </c>
      <c r="AE331" s="34" t="s">
        <v>5491</v>
      </c>
      <c r="AF331" s="35">
        <v>4.6955645161290326E-2</v>
      </c>
    </row>
    <row r="332" spans="19:32" x14ac:dyDescent="0.35">
      <c r="S332" s="34">
        <v>328</v>
      </c>
      <c r="T332" s="34" t="s">
        <v>4284</v>
      </c>
      <c r="U332" s="34" t="s">
        <v>3749</v>
      </c>
      <c r="V332" s="35">
        <v>5.2782258064516135E-4</v>
      </c>
      <c r="W332" s="17"/>
      <c r="X332" s="34">
        <v>328</v>
      </c>
      <c r="Y332" s="34" t="s">
        <v>2248</v>
      </c>
      <c r="Z332" s="34" t="s">
        <v>5512</v>
      </c>
      <c r="AA332" s="35">
        <v>1.655443548387097E-2</v>
      </c>
      <c r="AB332" s="13"/>
      <c r="AC332" s="34">
        <v>328</v>
      </c>
      <c r="AD332" s="34" t="s">
        <v>4573</v>
      </c>
      <c r="AE332" s="34" t="s">
        <v>5490</v>
      </c>
      <c r="AF332" s="35">
        <v>1.3504032258064517E-3</v>
      </c>
    </row>
    <row r="333" spans="19:32" x14ac:dyDescent="0.35">
      <c r="S333" s="34">
        <v>329</v>
      </c>
      <c r="T333" s="34" t="s">
        <v>4284</v>
      </c>
      <c r="U333" s="34" t="s">
        <v>3749</v>
      </c>
      <c r="V333" s="35">
        <v>0</v>
      </c>
      <c r="W333" s="17"/>
      <c r="X333" s="34">
        <v>329</v>
      </c>
      <c r="Y333" s="34" t="s">
        <v>2248</v>
      </c>
      <c r="Z333" s="34" t="s">
        <v>5511</v>
      </c>
      <c r="AA333" s="35">
        <v>1.6520161290322583E-3</v>
      </c>
      <c r="AB333" s="13"/>
      <c r="AC333" s="34">
        <v>329</v>
      </c>
      <c r="AD333" s="34" t="s">
        <v>4573</v>
      </c>
      <c r="AE333" s="34" t="s">
        <v>5489</v>
      </c>
      <c r="AF333" s="35">
        <v>1.4018145161290324E-2</v>
      </c>
    </row>
    <row r="334" spans="19:32" x14ac:dyDescent="0.35">
      <c r="S334" s="34">
        <v>330</v>
      </c>
      <c r="T334" s="34" t="s">
        <v>4284</v>
      </c>
      <c r="U334" s="34" t="s">
        <v>3746</v>
      </c>
      <c r="V334" s="35">
        <v>3.4616935483870973E-2</v>
      </c>
      <c r="W334" s="17"/>
      <c r="X334" s="34">
        <v>330</v>
      </c>
      <c r="Y334" s="34" t="s">
        <v>2248</v>
      </c>
      <c r="Z334" s="34" t="s">
        <v>5510</v>
      </c>
      <c r="AA334" s="35">
        <v>2.8379032258064516E-4</v>
      </c>
      <c r="AB334" s="13"/>
      <c r="AC334" s="34">
        <v>330</v>
      </c>
      <c r="AD334" s="34" t="s">
        <v>4573</v>
      </c>
      <c r="AE334" s="34" t="s">
        <v>5488</v>
      </c>
      <c r="AF334" s="35">
        <v>0.40100806451612908</v>
      </c>
    </row>
    <row r="335" spans="19:32" x14ac:dyDescent="0.35">
      <c r="S335" s="34">
        <v>331</v>
      </c>
      <c r="T335" s="34" t="s">
        <v>4284</v>
      </c>
      <c r="U335" s="34" t="s">
        <v>3746</v>
      </c>
      <c r="V335" s="35">
        <v>0</v>
      </c>
      <c r="W335" s="17"/>
      <c r="X335" s="34">
        <v>331</v>
      </c>
      <c r="Y335" s="34" t="s">
        <v>2248</v>
      </c>
      <c r="Z335" s="34" t="s">
        <v>5769</v>
      </c>
      <c r="AA335" s="35">
        <v>6.375E-9</v>
      </c>
      <c r="AB335" s="13"/>
      <c r="AC335" s="34">
        <v>331</v>
      </c>
      <c r="AD335" s="34" t="s">
        <v>4573</v>
      </c>
      <c r="AE335" s="34" t="s">
        <v>5487</v>
      </c>
      <c r="AF335" s="35">
        <v>0.41814516129032259</v>
      </c>
    </row>
    <row r="336" spans="19:32" x14ac:dyDescent="0.35">
      <c r="S336" s="34">
        <v>332</v>
      </c>
      <c r="T336" s="34" t="s">
        <v>4284</v>
      </c>
      <c r="U336" s="34" t="s">
        <v>5506</v>
      </c>
      <c r="V336" s="35">
        <v>7.9516129032258069E-3</v>
      </c>
      <c r="W336" s="17"/>
      <c r="X336" s="34">
        <v>332</v>
      </c>
      <c r="Y336" s="34" t="s">
        <v>2248</v>
      </c>
      <c r="Z336" s="34" t="s">
        <v>3754</v>
      </c>
      <c r="AA336" s="35">
        <v>3.9283999999999999E-2</v>
      </c>
      <c r="AB336" s="13"/>
      <c r="AC336" s="34">
        <v>332</v>
      </c>
      <c r="AD336" s="34" t="s">
        <v>4573</v>
      </c>
      <c r="AE336" s="34" t="s">
        <v>3740</v>
      </c>
      <c r="AF336" s="35">
        <v>1.902217741935484</v>
      </c>
    </row>
    <row r="337" spans="19:32" x14ac:dyDescent="0.35">
      <c r="S337" s="34">
        <v>333</v>
      </c>
      <c r="T337" s="34" t="s">
        <v>4284</v>
      </c>
      <c r="U337" s="34" t="s">
        <v>5505</v>
      </c>
      <c r="V337" s="35">
        <v>3.8044354838709681E-3</v>
      </c>
      <c r="W337" s="17"/>
      <c r="X337" s="34">
        <v>333</v>
      </c>
      <c r="Y337" s="34" t="s">
        <v>2248</v>
      </c>
      <c r="Z337" s="34" t="s">
        <v>3752</v>
      </c>
      <c r="AA337" s="35">
        <v>0</v>
      </c>
      <c r="AB337" s="13"/>
      <c r="AC337" s="34">
        <v>333</v>
      </c>
      <c r="AD337" s="34" t="s">
        <v>4573</v>
      </c>
      <c r="AE337" s="34" t="s">
        <v>3740</v>
      </c>
      <c r="AF337" s="35">
        <v>0</v>
      </c>
    </row>
    <row r="338" spans="19:32" x14ac:dyDescent="0.35">
      <c r="S338" s="34">
        <v>334</v>
      </c>
      <c r="T338" s="34" t="s">
        <v>4284</v>
      </c>
      <c r="U338" s="34" t="s">
        <v>5768</v>
      </c>
      <c r="V338" s="35">
        <v>1.9536290322580648E-3</v>
      </c>
      <c r="W338" s="17"/>
      <c r="X338" s="34">
        <v>334</v>
      </c>
      <c r="Y338" s="34" t="s">
        <v>2248</v>
      </c>
      <c r="Z338" s="34" t="s">
        <v>3752</v>
      </c>
      <c r="AA338" s="35">
        <v>9.425403225806452E-4</v>
      </c>
      <c r="AB338" s="13"/>
      <c r="AC338" s="34">
        <v>334</v>
      </c>
      <c r="AD338" s="34" t="s">
        <v>4573</v>
      </c>
      <c r="AE338" s="34" t="s">
        <v>5486</v>
      </c>
      <c r="AF338" s="35">
        <v>6.2721774193548394E-2</v>
      </c>
    </row>
    <row r="339" spans="19:32" x14ac:dyDescent="0.35">
      <c r="S339" s="34">
        <v>335</v>
      </c>
      <c r="T339" s="34" t="s">
        <v>4284</v>
      </c>
      <c r="U339" s="34" t="s">
        <v>5503</v>
      </c>
      <c r="V339" s="35">
        <v>3.225201612903226E-3</v>
      </c>
      <c r="W339" s="17"/>
      <c r="X339" s="34">
        <v>335</v>
      </c>
      <c r="Y339" s="34" t="s">
        <v>2248</v>
      </c>
      <c r="Z339" s="34" t="s">
        <v>3839</v>
      </c>
      <c r="AA339" s="35">
        <v>7.8830645161290329E-8</v>
      </c>
      <c r="AB339" s="13"/>
      <c r="AC339" s="34">
        <v>335</v>
      </c>
      <c r="AD339" s="34" t="s">
        <v>4573</v>
      </c>
      <c r="AE339" s="34" t="s">
        <v>3738</v>
      </c>
      <c r="AF339" s="35">
        <v>0.30912000000000001</v>
      </c>
    </row>
    <row r="340" spans="19:32" x14ac:dyDescent="0.35">
      <c r="S340" s="34">
        <v>336</v>
      </c>
      <c r="T340" s="34" t="s">
        <v>4284</v>
      </c>
      <c r="U340" s="34" t="s">
        <v>5502</v>
      </c>
      <c r="V340" s="35">
        <v>1.3812500000000002E-2</v>
      </c>
      <c r="W340" s="17"/>
      <c r="X340" s="34">
        <v>336</v>
      </c>
      <c r="Y340" s="34" t="s">
        <v>2248</v>
      </c>
      <c r="Z340" s="34" t="s">
        <v>5509</v>
      </c>
      <c r="AA340" s="35">
        <v>6.2721774193548392E-5</v>
      </c>
      <c r="AB340" s="13"/>
      <c r="AC340" s="34">
        <v>336</v>
      </c>
      <c r="AD340" s="34" t="s">
        <v>4573</v>
      </c>
      <c r="AE340" s="34" t="s">
        <v>5485</v>
      </c>
      <c r="AF340" s="35">
        <v>5.8266129032258068E-3</v>
      </c>
    </row>
    <row r="341" spans="19:32" x14ac:dyDescent="0.35">
      <c r="S341" s="34">
        <v>337</v>
      </c>
      <c r="T341" s="34" t="s">
        <v>4284</v>
      </c>
      <c r="U341" s="34" t="s">
        <v>5501</v>
      </c>
      <c r="V341" s="35">
        <v>2.8618951612903226E-4</v>
      </c>
      <c r="W341" s="17"/>
      <c r="X341" s="34">
        <v>337</v>
      </c>
      <c r="Y341" s="34" t="s">
        <v>2248</v>
      </c>
      <c r="Z341" s="34" t="s">
        <v>5767</v>
      </c>
      <c r="AA341" s="35">
        <v>7.848790322580645E-8</v>
      </c>
      <c r="AB341" s="13"/>
      <c r="AC341" s="34">
        <v>337</v>
      </c>
      <c r="AD341" s="34" t="s">
        <v>4573</v>
      </c>
      <c r="AE341" s="34" t="s">
        <v>5484</v>
      </c>
      <c r="AF341" s="35">
        <v>8.1229838709677424E-5</v>
      </c>
    </row>
    <row r="342" spans="19:32" x14ac:dyDescent="0.35">
      <c r="S342" s="34">
        <v>338</v>
      </c>
      <c r="T342" s="34" t="s">
        <v>4284</v>
      </c>
      <c r="U342" s="34" t="s">
        <v>3742</v>
      </c>
      <c r="V342" s="35">
        <v>1.0211999999999999</v>
      </c>
      <c r="W342" s="17"/>
      <c r="X342" s="34">
        <v>338</v>
      </c>
      <c r="Y342" s="34" t="s">
        <v>2248</v>
      </c>
      <c r="Z342" s="34" t="s">
        <v>5508</v>
      </c>
      <c r="AA342" s="35">
        <v>3.9072580645161297E-3</v>
      </c>
      <c r="AB342" s="13"/>
      <c r="AC342" s="34">
        <v>338</v>
      </c>
      <c r="AD342" s="34" t="s">
        <v>4573</v>
      </c>
      <c r="AE342" s="34" t="s">
        <v>3736</v>
      </c>
      <c r="AF342" s="35">
        <v>0</v>
      </c>
    </row>
    <row r="343" spans="19:32" x14ac:dyDescent="0.35">
      <c r="S343" s="34">
        <v>339</v>
      </c>
      <c r="T343" s="34" t="s">
        <v>4284</v>
      </c>
      <c r="U343" s="34" t="s">
        <v>5500</v>
      </c>
      <c r="V343" s="35">
        <v>0.38387096774193552</v>
      </c>
      <c r="W343" s="17"/>
      <c r="X343" s="34">
        <v>339</v>
      </c>
      <c r="Y343" s="34" t="s">
        <v>2248</v>
      </c>
      <c r="Z343" s="34" t="s">
        <v>3750</v>
      </c>
      <c r="AA343" s="35">
        <v>0</v>
      </c>
      <c r="AB343" s="13"/>
      <c r="AC343" s="34">
        <v>339</v>
      </c>
      <c r="AD343" s="34" t="s">
        <v>4573</v>
      </c>
      <c r="AE343" s="34" t="s">
        <v>5483</v>
      </c>
      <c r="AF343" s="35">
        <v>3.0881048387096776E-3</v>
      </c>
    </row>
    <row r="344" spans="19:32" x14ac:dyDescent="0.35">
      <c r="S344" s="34">
        <v>340</v>
      </c>
      <c r="T344" s="34" t="s">
        <v>4284</v>
      </c>
      <c r="U344" s="34" t="s">
        <v>5499</v>
      </c>
      <c r="V344" s="35">
        <v>0.40100806451612908</v>
      </c>
      <c r="W344" s="17"/>
      <c r="X344" s="34">
        <v>340</v>
      </c>
      <c r="Y344" s="34" t="s">
        <v>2248</v>
      </c>
      <c r="Z344" s="34" t="s">
        <v>3750</v>
      </c>
      <c r="AA344" s="35">
        <v>2.4266129032258065E-3</v>
      </c>
      <c r="AB344" s="13"/>
      <c r="AC344" s="34">
        <v>340</v>
      </c>
      <c r="AD344" s="34" t="s">
        <v>4573</v>
      </c>
      <c r="AE344" s="34" t="s">
        <v>5482</v>
      </c>
      <c r="AF344" s="35">
        <v>2.7590725806451613E-3</v>
      </c>
    </row>
    <row r="345" spans="19:32" x14ac:dyDescent="0.35">
      <c r="S345" s="34">
        <v>341</v>
      </c>
      <c r="T345" s="34" t="s">
        <v>4284</v>
      </c>
      <c r="U345" s="34" t="s">
        <v>5498</v>
      </c>
      <c r="V345" s="35">
        <v>4.9012096774193551E-3</v>
      </c>
      <c r="W345" s="17"/>
      <c r="X345" s="34">
        <v>341</v>
      </c>
      <c r="Y345" s="34" t="s">
        <v>2248</v>
      </c>
      <c r="Z345" s="34" t="s">
        <v>5766</v>
      </c>
      <c r="AA345" s="35">
        <v>8.1229838709677425E-10</v>
      </c>
      <c r="AB345" s="13"/>
      <c r="AC345" s="34">
        <v>341</v>
      </c>
      <c r="AD345" s="34" t="s">
        <v>4573</v>
      </c>
      <c r="AE345" s="34" t="s">
        <v>3735</v>
      </c>
      <c r="AF345" s="35">
        <v>7.5255999999999998</v>
      </c>
    </row>
    <row r="346" spans="19:32" x14ac:dyDescent="0.35">
      <c r="S346" s="34">
        <v>342</v>
      </c>
      <c r="T346" s="34" t="s">
        <v>4284</v>
      </c>
      <c r="U346" s="34" t="s">
        <v>5497</v>
      </c>
      <c r="V346" s="35">
        <v>2.080443548387097E-3</v>
      </c>
      <c r="W346" s="17"/>
      <c r="X346" s="34">
        <v>342</v>
      </c>
      <c r="Y346" s="34" t="s">
        <v>2248</v>
      </c>
      <c r="Z346" s="34" t="s">
        <v>5507</v>
      </c>
      <c r="AA346" s="35">
        <v>1.3435483870967742E-2</v>
      </c>
      <c r="AB346" s="13"/>
      <c r="AC346" s="34">
        <v>342</v>
      </c>
      <c r="AD346" s="34" t="s">
        <v>4573</v>
      </c>
      <c r="AE346" s="34" t="s">
        <v>5481</v>
      </c>
      <c r="AF346" s="35">
        <v>0.31258064516129036</v>
      </c>
    </row>
    <row r="347" spans="19:32" x14ac:dyDescent="0.35">
      <c r="S347" s="34">
        <v>343</v>
      </c>
      <c r="T347" s="34" t="s">
        <v>4284</v>
      </c>
      <c r="U347" s="34" t="s">
        <v>5496</v>
      </c>
      <c r="V347" s="35">
        <v>8.362903225806452E-4</v>
      </c>
      <c r="W347" s="17"/>
      <c r="X347" s="34">
        <v>343</v>
      </c>
      <c r="Y347" s="34" t="s">
        <v>2248</v>
      </c>
      <c r="Z347" s="34" t="s">
        <v>3749</v>
      </c>
      <c r="AA347" s="35">
        <v>0</v>
      </c>
      <c r="AB347" s="13"/>
      <c r="AC347" s="34">
        <v>343</v>
      </c>
      <c r="AD347" s="34" t="s">
        <v>4573</v>
      </c>
      <c r="AE347" s="34" t="s">
        <v>5480</v>
      </c>
      <c r="AF347" s="35">
        <v>9.6653225806451623E-2</v>
      </c>
    </row>
    <row r="348" spans="19:32" x14ac:dyDescent="0.35">
      <c r="S348" s="34">
        <v>344</v>
      </c>
      <c r="T348" s="34" t="s">
        <v>4284</v>
      </c>
      <c r="U348" s="34" t="s">
        <v>5495</v>
      </c>
      <c r="V348" s="35">
        <v>1.3778225806451614E-2</v>
      </c>
      <c r="W348" s="17"/>
      <c r="X348" s="34">
        <v>344</v>
      </c>
      <c r="Y348" s="34" t="s">
        <v>2248</v>
      </c>
      <c r="Z348" s="34" t="s">
        <v>3749</v>
      </c>
      <c r="AA348" s="35">
        <v>2.834475806451613E-5</v>
      </c>
      <c r="AB348" s="13"/>
      <c r="AC348" s="34">
        <v>344</v>
      </c>
      <c r="AD348" s="34" t="s">
        <v>4573</v>
      </c>
      <c r="AE348" s="34" t="s">
        <v>5479</v>
      </c>
      <c r="AF348" s="35">
        <v>0.12133064516129033</v>
      </c>
    </row>
    <row r="349" spans="19:32" x14ac:dyDescent="0.35">
      <c r="S349" s="34">
        <v>345</v>
      </c>
      <c r="T349" s="34" t="s">
        <v>4284</v>
      </c>
      <c r="U349" s="34" t="s">
        <v>5494</v>
      </c>
      <c r="V349" s="35">
        <v>4.9012096774193551E-3</v>
      </c>
      <c r="W349" s="17"/>
      <c r="X349" s="34">
        <v>345</v>
      </c>
      <c r="Y349" s="34" t="s">
        <v>2248</v>
      </c>
      <c r="Z349" s="34" t="s">
        <v>5765</v>
      </c>
      <c r="AA349" s="35">
        <v>4.25E-6</v>
      </c>
      <c r="AB349" s="13"/>
      <c r="AC349" s="34">
        <v>345</v>
      </c>
      <c r="AD349" s="34" t="s">
        <v>4573</v>
      </c>
      <c r="AE349" s="34" t="s">
        <v>5478</v>
      </c>
      <c r="AF349" s="35">
        <v>0.10933467741935485</v>
      </c>
    </row>
    <row r="350" spans="19:32" x14ac:dyDescent="0.35">
      <c r="S350" s="34">
        <v>346</v>
      </c>
      <c r="T350" s="34" t="s">
        <v>4284</v>
      </c>
      <c r="U350" s="34" t="s">
        <v>5493</v>
      </c>
      <c r="V350" s="35">
        <v>1.2784274193548388E-3</v>
      </c>
      <c r="W350" s="17"/>
      <c r="X350" s="34">
        <v>346</v>
      </c>
      <c r="Y350" s="34" t="s">
        <v>2248</v>
      </c>
      <c r="Z350" s="34" t="s">
        <v>3746</v>
      </c>
      <c r="AA350" s="35">
        <v>0</v>
      </c>
      <c r="AB350" s="13"/>
      <c r="AC350" s="34">
        <v>346</v>
      </c>
      <c r="AD350" s="34" t="s">
        <v>4573</v>
      </c>
      <c r="AE350" s="34" t="s">
        <v>5476</v>
      </c>
      <c r="AF350" s="35">
        <v>0.25671370967741935</v>
      </c>
    </row>
    <row r="351" spans="19:32" x14ac:dyDescent="0.35">
      <c r="S351" s="34">
        <v>347</v>
      </c>
      <c r="T351" s="34" t="s">
        <v>4284</v>
      </c>
      <c r="U351" s="34" t="s">
        <v>5492</v>
      </c>
      <c r="V351" s="35">
        <v>2.3614919354838712E-3</v>
      </c>
      <c r="W351" s="17"/>
      <c r="X351" s="34">
        <v>347</v>
      </c>
      <c r="Y351" s="34" t="s">
        <v>2248</v>
      </c>
      <c r="Z351" s="34" t="s">
        <v>3746</v>
      </c>
      <c r="AA351" s="35">
        <v>2.6802419354838711E-2</v>
      </c>
      <c r="AB351" s="13"/>
      <c r="AC351" s="34">
        <v>347</v>
      </c>
      <c r="AD351" s="34" t="s">
        <v>4573</v>
      </c>
      <c r="AE351" s="34" t="s">
        <v>3733</v>
      </c>
      <c r="AF351" s="35">
        <v>0</v>
      </c>
    </row>
    <row r="352" spans="19:32" x14ac:dyDescent="0.35">
      <c r="S352" s="34">
        <v>348</v>
      </c>
      <c r="T352" s="34" t="s">
        <v>4284</v>
      </c>
      <c r="U352" s="34" t="s">
        <v>5491</v>
      </c>
      <c r="V352" s="35">
        <v>7.985887096774194E-4</v>
      </c>
      <c r="W352" s="17"/>
      <c r="X352" s="34">
        <v>348</v>
      </c>
      <c r="Y352" s="34" t="s">
        <v>2248</v>
      </c>
      <c r="Z352" s="34" t="s">
        <v>5764</v>
      </c>
      <c r="AA352" s="35">
        <v>2.5294354838709683E-9</v>
      </c>
      <c r="AB352" s="13"/>
      <c r="AC352" s="34">
        <v>348</v>
      </c>
      <c r="AD352" s="34" t="s">
        <v>4573</v>
      </c>
      <c r="AE352" s="34" t="s">
        <v>5475</v>
      </c>
      <c r="AF352" s="35">
        <v>3.6673387096774195E-2</v>
      </c>
    </row>
    <row r="353" spans="19:32" x14ac:dyDescent="0.35">
      <c r="S353" s="34">
        <v>349</v>
      </c>
      <c r="T353" s="34" t="s">
        <v>4284</v>
      </c>
      <c r="U353" s="34" t="s">
        <v>5490</v>
      </c>
      <c r="V353" s="35">
        <v>5.9637096774193546E-6</v>
      </c>
      <c r="W353" s="17"/>
      <c r="X353" s="34">
        <v>349</v>
      </c>
      <c r="Y353" s="34" t="s">
        <v>2248</v>
      </c>
      <c r="Z353" s="34" t="s">
        <v>5506</v>
      </c>
      <c r="AA353" s="35">
        <v>6.4435483870967751E-3</v>
      </c>
      <c r="AB353" s="13"/>
      <c r="AC353" s="34">
        <v>349</v>
      </c>
      <c r="AD353" s="34" t="s">
        <v>4573</v>
      </c>
      <c r="AE353" s="34" t="s">
        <v>5474</v>
      </c>
      <c r="AF353" s="35">
        <v>0.39758064516129038</v>
      </c>
    </row>
    <row r="354" spans="19:32" x14ac:dyDescent="0.35">
      <c r="S354" s="34">
        <v>350</v>
      </c>
      <c r="T354" s="34" t="s">
        <v>4284</v>
      </c>
      <c r="U354" s="34" t="s">
        <v>5489</v>
      </c>
      <c r="V354" s="35">
        <v>2.553427419354839E-5</v>
      </c>
      <c r="W354" s="17"/>
      <c r="X354" s="34">
        <v>350</v>
      </c>
      <c r="Y354" s="34" t="s">
        <v>2248</v>
      </c>
      <c r="Z354" s="34" t="s">
        <v>5505</v>
      </c>
      <c r="AA354" s="35">
        <v>4.9697580645161298E-3</v>
      </c>
      <c r="AB354" s="13"/>
      <c r="AC354" s="34">
        <v>350</v>
      </c>
      <c r="AD354" s="34" t="s">
        <v>4573</v>
      </c>
      <c r="AE354" s="34" t="s">
        <v>5473</v>
      </c>
      <c r="AF354" s="35">
        <v>0.5278225806451613</v>
      </c>
    </row>
    <row r="355" spans="19:32" x14ac:dyDescent="0.35">
      <c r="S355" s="34">
        <v>351</v>
      </c>
      <c r="T355" s="34" t="s">
        <v>4284</v>
      </c>
      <c r="U355" s="34" t="s">
        <v>5488</v>
      </c>
      <c r="V355" s="35">
        <v>5.3467741935483877E-2</v>
      </c>
      <c r="W355" s="17"/>
      <c r="X355" s="34">
        <v>351</v>
      </c>
      <c r="Y355" s="34" t="s">
        <v>2248</v>
      </c>
      <c r="Z355" s="34" t="s">
        <v>3836</v>
      </c>
      <c r="AA355" s="35">
        <v>1.9570564516129033E-3</v>
      </c>
      <c r="AB355" s="13"/>
      <c r="AC355" s="34">
        <v>351</v>
      </c>
      <c r="AD355" s="34" t="s">
        <v>4573</v>
      </c>
      <c r="AE355" s="34" t="s">
        <v>5472</v>
      </c>
      <c r="AF355" s="35">
        <v>76.774193548387103</v>
      </c>
    </row>
    <row r="356" spans="19:32" x14ac:dyDescent="0.35">
      <c r="S356" s="34">
        <v>352</v>
      </c>
      <c r="T356" s="34" t="s">
        <v>4284</v>
      </c>
      <c r="U356" s="34" t="s">
        <v>5487</v>
      </c>
      <c r="V356" s="35">
        <v>7.129032258064516E-2</v>
      </c>
      <c r="W356" s="17"/>
      <c r="X356" s="34">
        <v>352</v>
      </c>
      <c r="Y356" s="34" t="s">
        <v>2248</v>
      </c>
      <c r="Z356" s="34" t="s">
        <v>5504</v>
      </c>
      <c r="AA356" s="35">
        <v>7.1290322580645174E-4</v>
      </c>
      <c r="AB356" s="13"/>
      <c r="AC356" s="34">
        <v>352</v>
      </c>
      <c r="AD356" s="34" t="s">
        <v>4573</v>
      </c>
      <c r="AE356" s="34" t="s">
        <v>3730</v>
      </c>
      <c r="AF356" s="35">
        <v>0.38179999999999997</v>
      </c>
    </row>
    <row r="357" spans="19:32" x14ac:dyDescent="0.35">
      <c r="S357" s="34">
        <v>353</v>
      </c>
      <c r="T357" s="34" t="s">
        <v>4284</v>
      </c>
      <c r="U357" s="34" t="s">
        <v>3740</v>
      </c>
      <c r="V357" s="35">
        <v>0.12852822580645162</v>
      </c>
      <c r="W357" s="17"/>
      <c r="X357" s="34">
        <v>353</v>
      </c>
      <c r="Y357" s="34" t="s">
        <v>2248</v>
      </c>
      <c r="Z357" s="34" t="s">
        <v>5503</v>
      </c>
      <c r="AA357" s="35">
        <v>5.9294354838709679E-3</v>
      </c>
      <c r="AB357" s="13"/>
      <c r="AC357" s="34">
        <v>353</v>
      </c>
      <c r="AD357" s="34" t="s">
        <v>4573</v>
      </c>
      <c r="AE357" s="34" t="s">
        <v>3729</v>
      </c>
      <c r="AF357" s="35">
        <v>0.56552419354838712</v>
      </c>
    </row>
    <row r="358" spans="19:32" x14ac:dyDescent="0.35">
      <c r="S358" s="34">
        <v>354</v>
      </c>
      <c r="T358" s="34" t="s">
        <v>4284</v>
      </c>
      <c r="U358" s="34" t="s">
        <v>3740</v>
      </c>
      <c r="V358" s="35">
        <v>0</v>
      </c>
      <c r="W358" s="17"/>
      <c r="X358" s="34">
        <v>354</v>
      </c>
      <c r="Y358" s="34" t="s">
        <v>2248</v>
      </c>
      <c r="Z358" s="34" t="s">
        <v>5763</v>
      </c>
      <c r="AA358" s="35">
        <v>4.1471774193548389E-2</v>
      </c>
      <c r="AB358" s="13"/>
      <c r="AC358" s="34">
        <v>354</v>
      </c>
      <c r="AD358" s="34" t="s">
        <v>4573</v>
      </c>
      <c r="AE358" s="34" t="s">
        <v>3729</v>
      </c>
      <c r="AF358" s="35">
        <v>0</v>
      </c>
    </row>
    <row r="359" spans="19:32" x14ac:dyDescent="0.35">
      <c r="S359" s="34">
        <v>355</v>
      </c>
      <c r="T359" s="34" t="s">
        <v>4284</v>
      </c>
      <c r="U359" s="34" t="s">
        <v>5486</v>
      </c>
      <c r="V359" s="35">
        <v>2.7453629032258068E-4</v>
      </c>
      <c r="W359" s="17"/>
      <c r="X359" s="34">
        <v>355</v>
      </c>
      <c r="Y359" s="34" t="s">
        <v>2248</v>
      </c>
      <c r="Z359" s="34" t="s">
        <v>5502</v>
      </c>
      <c r="AA359" s="35">
        <v>1.8542338709677419E-2</v>
      </c>
      <c r="AB359" s="13"/>
      <c r="AC359" s="34">
        <v>355</v>
      </c>
      <c r="AD359" s="34" t="s">
        <v>4573</v>
      </c>
      <c r="AE359" s="34" t="s">
        <v>5471</v>
      </c>
      <c r="AF359" s="35">
        <v>0.21010080645161291</v>
      </c>
    </row>
    <row r="360" spans="19:32" x14ac:dyDescent="0.35">
      <c r="S360" s="34">
        <v>356</v>
      </c>
      <c r="T360" s="34" t="s">
        <v>4284</v>
      </c>
      <c r="U360" s="34" t="s">
        <v>3738</v>
      </c>
      <c r="V360" s="35">
        <v>0.17388000000000001</v>
      </c>
      <c r="W360" s="17"/>
      <c r="X360" s="34">
        <v>356</v>
      </c>
      <c r="Y360" s="34" t="s">
        <v>2248</v>
      </c>
      <c r="Z360" s="34" t="s">
        <v>5501</v>
      </c>
      <c r="AA360" s="35">
        <v>4.8669354838709681E-4</v>
      </c>
      <c r="AB360" s="13"/>
      <c r="AC360" s="34">
        <v>356</v>
      </c>
      <c r="AD360" s="34" t="s">
        <v>4573</v>
      </c>
      <c r="AE360" s="34" t="s">
        <v>5470</v>
      </c>
      <c r="AF360" s="35">
        <v>4.8326612903225813E-3</v>
      </c>
    </row>
    <row r="361" spans="19:32" x14ac:dyDescent="0.35">
      <c r="S361" s="34">
        <v>357</v>
      </c>
      <c r="T361" s="34" t="s">
        <v>4284</v>
      </c>
      <c r="U361" s="34" t="s">
        <v>5485</v>
      </c>
      <c r="V361" s="35">
        <v>2.4368951612903229E-8</v>
      </c>
      <c r="W361" s="17"/>
      <c r="X361" s="34">
        <v>357</v>
      </c>
      <c r="Y361" s="34" t="s">
        <v>2248</v>
      </c>
      <c r="Z361" s="34" t="s">
        <v>3742</v>
      </c>
      <c r="AA361" s="35">
        <v>0.1978</v>
      </c>
      <c r="AB361" s="13"/>
      <c r="AC361" s="34">
        <v>357</v>
      </c>
      <c r="AD361" s="34" t="s">
        <v>4573</v>
      </c>
      <c r="AE361" s="34" t="s">
        <v>5469</v>
      </c>
      <c r="AF361" s="35">
        <v>1.0247983870967743E-2</v>
      </c>
    </row>
    <row r="362" spans="19:32" x14ac:dyDescent="0.35">
      <c r="S362" s="34">
        <v>358</v>
      </c>
      <c r="T362" s="34" t="s">
        <v>4284</v>
      </c>
      <c r="U362" s="34" t="s">
        <v>5484</v>
      </c>
      <c r="V362" s="35">
        <v>1.8542338709677421E-5</v>
      </c>
      <c r="W362" s="17"/>
      <c r="X362" s="34">
        <v>358</v>
      </c>
      <c r="Y362" s="34" t="s">
        <v>2248</v>
      </c>
      <c r="Z362" s="34" t="s">
        <v>5762</v>
      </c>
      <c r="AA362" s="35">
        <v>1.1721774193548387E-4</v>
      </c>
      <c r="AB362" s="13"/>
      <c r="AC362" s="34">
        <v>358</v>
      </c>
      <c r="AD362" s="34" t="s">
        <v>4573</v>
      </c>
      <c r="AE362" s="34" t="s">
        <v>5468</v>
      </c>
      <c r="AF362" s="35">
        <v>0.11516129032258066</v>
      </c>
    </row>
    <row r="363" spans="19:32" x14ac:dyDescent="0.35">
      <c r="S363" s="34">
        <v>359</v>
      </c>
      <c r="T363" s="34" t="s">
        <v>4284</v>
      </c>
      <c r="U363" s="34" t="s">
        <v>3736</v>
      </c>
      <c r="V363" s="35">
        <v>0</v>
      </c>
      <c r="W363" s="17"/>
      <c r="X363" s="34">
        <v>359</v>
      </c>
      <c r="Y363" s="34" t="s">
        <v>2248</v>
      </c>
      <c r="Z363" s="34" t="s">
        <v>5500</v>
      </c>
      <c r="AA363" s="35">
        <v>0.40100806451612908</v>
      </c>
      <c r="AB363" s="13"/>
      <c r="AC363" s="34">
        <v>359</v>
      </c>
      <c r="AD363" s="34" t="s">
        <v>4573</v>
      </c>
      <c r="AE363" s="34" t="s">
        <v>3727</v>
      </c>
      <c r="AF363" s="35">
        <v>16.559999999999999</v>
      </c>
    </row>
    <row r="364" spans="19:32" x14ac:dyDescent="0.35">
      <c r="S364" s="34">
        <v>360</v>
      </c>
      <c r="T364" s="34" t="s">
        <v>4284</v>
      </c>
      <c r="U364" s="34" t="s">
        <v>5483</v>
      </c>
      <c r="V364" s="35">
        <v>1.6588709677419357E-5</v>
      </c>
      <c r="W364" s="17"/>
      <c r="X364" s="34">
        <v>360</v>
      </c>
      <c r="Y364" s="34" t="s">
        <v>2248</v>
      </c>
      <c r="Z364" s="34" t="s">
        <v>5499</v>
      </c>
      <c r="AA364" s="35">
        <v>0.43185483870967745</v>
      </c>
      <c r="AB364" s="13"/>
      <c r="AC364" s="34">
        <v>360</v>
      </c>
      <c r="AD364" s="34" t="s">
        <v>4573</v>
      </c>
      <c r="AE364" s="34" t="s">
        <v>5467</v>
      </c>
      <c r="AF364" s="35">
        <v>0.56209677419354842</v>
      </c>
    </row>
    <row r="365" spans="19:32" x14ac:dyDescent="0.35">
      <c r="S365" s="34">
        <v>361</v>
      </c>
      <c r="T365" s="34" t="s">
        <v>4284</v>
      </c>
      <c r="U365" s="34" t="s">
        <v>5482</v>
      </c>
      <c r="V365" s="35">
        <v>1.5560483870967744E-4</v>
      </c>
      <c r="W365" s="17"/>
      <c r="X365" s="34">
        <v>361</v>
      </c>
      <c r="Y365" s="34" t="s">
        <v>2248</v>
      </c>
      <c r="Z365" s="34" t="s">
        <v>5761</v>
      </c>
      <c r="AA365" s="35">
        <v>3.941532258064517E-6</v>
      </c>
      <c r="AB365" s="13"/>
      <c r="AC365" s="34">
        <v>361</v>
      </c>
      <c r="AD365" s="34" t="s">
        <v>4573</v>
      </c>
      <c r="AE365" s="34" t="s">
        <v>3724</v>
      </c>
      <c r="AF365" s="35">
        <v>18.675999999999998</v>
      </c>
    </row>
    <row r="366" spans="19:32" x14ac:dyDescent="0.35">
      <c r="S366" s="34">
        <v>362</v>
      </c>
      <c r="T366" s="34" t="s">
        <v>4284</v>
      </c>
      <c r="U366" s="34" t="s">
        <v>3735</v>
      </c>
      <c r="V366" s="35">
        <v>1.2144000000000001</v>
      </c>
      <c r="W366" s="17"/>
      <c r="X366" s="34">
        <v>362</v>
      </c>
      <c r="Y366" s="34" t="s">
        <v>2248</v>
      </c>
      <c r="Z366" s="34" t="s">
        <v>5498</v>
      </c>
      <c r="AA366" s="35">
        <v>9.2883064516129047E-3</v>
      </c>
      <c r="AB366" s="13"/>
      <c r="AC366" s="34">
        <v>362</v>
      </c>
      <c r="AD366" s="34" t="s">
        <v>4573</v>
      </c>
      <c r="AE366" s="34" t="s">
        <v>5466</v>
      </c>
      <c r="AF366" s="35">
        <v>0.11995967741935484</v>
      </c>
    </row>
    <row r="367" spans="19:32" x14ac:dyDescent="0.35">
      <c r="S367" s="34">
        <v>363</v>
      </c>
      <c r="T367" s="34" t="s">
        <v>4284</v>
      </c>
      <c r="U367" s="34" t="s">
        <v>5481</v>
      </c>
      <c r="V367" s="35">
        <v>5.175403225806452E-3</v>
      </c>
      <c r="W367" s="17"/>
      <c r="X367" s="34">
        <v>363</v>
      </c>
      <c r="Y367" s="34" t="s">
        <v>2248</v>
      </c>
      <c r="Z367" s="34" t="s">
        <v>5497</v>
      </c>
      <c r="AA367" s="35">
        <v>6.0665322580645163E-3</v>
      </c>
      <c r="AB367" s="13"/>
      <c r="AC367" s="34">
        <v>363</v>
      </c>
      <c r="AD367" s="34" t="s">
        <v>4573</v>
      </c>
      <c r="AE367" s="34" t="s">
        <v>5465</v>
      </c>
      <c r="AF367" s="35">
        <v>0.10659274193548388</v>
      </c>
    </row>
    <row r="368" spans="19:32" x14ac:dyDescent="0.35">
      <c r="S368" s="34">
        <v>364</v>
      </c>
      <c r="T368" s="34" t="s">
        <v>4284</v>
      </c>
      <c r="U368" s="34" t="s">
        <v>5480</v>
      </c>
      <c r="V368" s="35">
        <v>1.4086693548387098E-3</v>
      </c>
      <c r="W368" s="17"/>
      <c r="X368" s="34">
        <v>364</v>
      </c>
      <c r="Y368" s="34" t="s">
        <v>2248</v>
      </c>
      <c r="Z368" s="34" t="s">
        <v>5496</v>
      </c>
      <c r="AA368" s="35">
        <v>6.9919354838709679E-3</v>
      </c>
      <c r="AB368" s="13"/>
      <c r="AC368" s="34">
        <v>364</v>
      </c>
      <c r="AD368" s="34" t="s">
        <v>4573</v>
      </c>
      <c r="AE368" s="34" t="s">
        <v>5464</v>
      </c>
      <c r="AF368" s="35">
        <v>3.376008064516129E-2</v>
      </c>
    </row>
    <row r="369" spans="19:32" x14ac:dyDescent="0.35">
      <c r="S369" s="34">
        <v>365</v>
      </c>
      <c r="T369" s="34" t="s">
        <v>4284</v>
      </c>
      <c r="U369" s="34" t="s">
        <v>5479</v>
      </c>
      <c r="V369" s="35">
        <v>7.1975806451612912E-4</v>
      </c>
      <c r="W369" s="17"/>
      <c r="X369" s="34">
        <v>365</v>
      </c>
      <c r="Y369" s="34" t="s">
        <v>2248</v>
      </c>
      <c r="Z369" s="34" t="s">
        <v>5760</v>
      </c>
      <c r="AA369" s="35">
        <v>1.5389112903225808E-2</v>
      </c>
      <c r="AB369" s="13"/>
      <c r="AC369" s="34">
        <v>365</v>
      </c>
      <c r="AD369" s="34" t="s">
        <v>4573</v>
      </c>
      <c r="AE369" s="34" t="s">
        <v>5463</v>
      </c>
      <c r="AF369" s="35">
        <v>5.620967741935484</v>
      </c>
    </row>
    <row r="370" spans="19:32" x14ac:dyDescent="0.35">
      <c r="S370" s="34">
        <v>366</v>
      </c>
      <c r="T370" s="34" t="s">
        <v>4284</v>
      </c>
      <c r="U370" s="34" t="s">
        <v>5478</v>
      </c>
      <c r="V370" s="35">
        <v>4.5584677419354845E-3</v>
      </c>
      <c r="W370" s="17"/>
      <c r="X370" s="34">
        <v>366</v>
      </c>
      <c r="Y370" s="34" t="s">
        <v>2248</v>
      </c>
      <c r="Z370" s="34" t="s">
        <v>5495</v>
      </c>
      <c r="AA370" s="35">
        <v>2.8207661290322581E-3</v>
      </c>
      <c r="AB370" s="13"/>
      <c r="AC370" s="34">
        <v>366</v>
      </c>
      <c r="AD370" s="34" t="s">
        <v>4573</v>
      </c>
      <c r="AE370" s="34" t="s">
        <v>5462</v>
      </c>
      <c r="AF370" s="35">
        <v>1.785685483870968E-2</v>
      </c>
    </row>
    <row r="371" spans="19:32" x14ac:dyDescent="0.35">
      <c r="S371" s="34">
        <v>367</v>
      </c>
      <c r="T371" s="34" t="s">
        <v>4284</v>
      </c>
      <c r="U371" s="34" t="s">
        <v>5476</v>
      </c>
      <c r="V371" s="35">
        <v>4.0443548387096781E-3</v>
      </c>
      <c r="W371" s="17"/>
      <c r="X371" s="34">
        <v>367</v>
      </c>
      <c r="Y371" s="34" t="s">
        <v>2248</v>
      </c>
      <c r="Z371" s="34" t="s">
        <v>5494</v>
      </c>
      <c r="AA371" s="35">
        <v>1.4703629032258064E-3</v>
      </c>
      <c r="AB371" s="13"/>
      <c r="AC371" s="34">
        <v>367</v>
      </c>
      <c r="AD371" s="34" t="s">
        <v>4573</v>
      </c>
      <c r="AE371" s="34" t="s">
        <v>3723</v>
      </c>
      <c r="AF371" s="35">
        <v>1.0419354838709679E-2</v>
      </c>
    </row>
    <row r="372" spans="19:32" x14ac:dyDescent="0.35">
      <c r="S372" s="34">
        <v>368</v>
      </c>
      <c r="T372" s="34" t="s">
        <v>4284</v>
      </c>
      <c r="U372" s="34" t="s">
        <v>3733</v>
      </c>
      <c r="V372" s="35">
        <v>0</v>
      </c>
      <c r="W372" s="17"/>
      <c r="X372" s="34">
        <v>368</v>
      </c>
      <c r="Y372" s="34" t="s">
        <v>2248</v>
      </c>
      <c r="Z372" s="34" t="s">
        <v>5759</v>
      </c>
      <c r="AA372" s="35">
        <v>2.4780241935483876E-4</v>
      </c>
      <c r="AB372" s="13"/>
      <c r="AC372" s="34">
        <v>368</v>
      </c>
      <c r="AD372" s="34" t="s">
        <v>4573</v>
      </c>
      <c r="AE372" s="34" t="s">
        <v>3723</v>
      </c>
      <c r="AF372" s="35">
        <v>0</v>
      </c>
    </row>
    <row r="373" spans="19:32" x14ac:dyDescent="0.35">
      <c r="S373" s="34">
        <v>369</v>
      </c>
      <c r="T373" s="34" t="s">
        <v>4284</v>
      </c>
      <c r="U373" s="34" t="s">
        <v>5475</v>
      </c>
      <c r="V373" s="35">
        <v>1.9947580645161292E-7</v>
      </c>
      <c r="W373" s="17"/>
      <c r="X373" s="34">
        <v>369</v>
      </c>
      <c r="Y373" s="34" t="s">
        <v>2248</v>
      </c>
      <c r="Z373" s="34" t="s">
        <v>5493</v>
      </c>
      <c r="AA373" s="35">
        <v>2.6699596774193554E-3</v>
      </c>
      <c r="AB373" s="13"/>
      <c r="AC373" s="34">
        <v>369</v>
      </c>
      <c r="AD373" s="34" t="s">
        <v>4573</v>
      </c>
      <c r="AE373" s="34" t="s">
        <v>3721</v>
      </c>
      <c r="AF373" s="35">
        <v>0</v>
      </c>
    </row>
    <row r="374" spans="19:32" x14ac:dyDescent="0.35">
      <c r="S374" s="34">
        <v>370</v>
      </c>
      <c r="T374" s="34" t="s">
        <v>4284</v>
      </c>
      <c r="U374" s="34" t="s">
        <v>5474</v>
      </c>
      <c r="V374" s="35">
        <v>5.6209677419354842E-2</v>
      </c>
      <c r="W374" s="17"/>
      <c r="X374" s="34">
        <v>370</v>
      </c>
      <c r="Y374" s="34" t="s">
        <v>2248</v>
      </c>
      <c r="Z374" s="34" t="s">
        <v>5492</v>
      </c>
      <c r="AA374" s="35">
        <v>7.7802419354838712E-3</v>
      </c>
      <c r="AB374" s="13"/>
      <c r="AC374" s="34">
        <v>370</v>
      </c>
      <c r="AD374" s="34" t="s">
        <v>4573</v>
      </c>
      <c r="AE374" s="34" t="s">
        <v>5461</v>
      </c>
      <c r="AF374" s="35">
        <v>3.6330645161290323E-2</v>
      </c>
    </row>
    <row r="375" spans="19:32" x14ac:dyDescent="0.35">
      <c r="S375" s="34">
        <v>371</v>
      </c>
      <c r="T375" s="34" t="s">
        <v>4284</v>
      </c>
      <c r="U375" s="34" t="s">
        <v>5473</v>
      </c>
      <c r="V375" s="35">
        <v>3.4959677419354844E-2</v>
      </c>
      <c r="W375" s="17"/>
      <c r="X375" s="34">
        <v>371</v>
      </c>
      <c r="Y375" s="34" t="s">
        <v>2248</v>
      </c>
      <c r="Z375" s="34" t="s">
        <v>5758</v>
      </c>
      <c r="AA375" s="35">
        <v>2.6836693548387097E-3</v>
      </c>
      <c r="AB375" s="13"/>
      <c r="AC375" s="82">
        <v>371</v>
      </c>
      <c r="AD375" s="82" t="s">
        <v>4573</v>
      </c>
      <c r="AE375" s="82" t="s">
        <v>3719</v>
      </c>
      <c r="AF375" s="83">
        <v>5.2782258064516134E-2</v>
      </c>
    </row>
    <row r="376" spans="19:32" x14ac:dyDescent="0.35">
      <c r="S376" s="34">
        <v>372</v>
      </c>
      <c r="T376" s="34" t="s">
        <v>4284</v>
      </c>
      <c r="U376" s="34" t="s">
        <v>5472</v>
      </c>
      <c r="V376" s="35">
        <v>0.5278225806451613</v>
      </c>
      <c r="W376" s="17"/>
      <c r="X376" s="34">
        <v>372</v>
      </c>
      <c r="Y376" s="34" t="s">
        <v>2248</v>
      </c>
      <c r="Z376" s="34" t="s">
        <v>5491</v>
      </c>
      <c r="AA376" s="35">
        <v>9.6653225806451627E-3</v>
      </c>
      <c r="AB376" s="13"/>
      <c r="AC376" s="34">
        <v>372</v>
      </c>
      <c r="AD376" s="34" t="s">
        <v>4573</v>
      </c>
      <c r="AE376" s="34" t="s">
        <v>3719</v>
      </c>
      <c r="AF376" s="35">
        <v>79.028000000000006</v>
      </c>
    </row>
    <row r="377" spans="19:32" x14ac:dyDescent="0.35">
      <c r="S377" s="34">
        <v>373</v>
      </c>
      <c r="T377" s="34" t="s">
        <v>4284</v>
      </c>
      <c r="U377" s="34" t="s">
        <v>3730</v>
      </c>
      <c r="V377" s="35">
        <v>5.1336E-2</v>
      </c>
      <c r="W377" s="17"/>
      <c r="X377" s="34">
        <v>373</v>
      </c>
      <c r="Y377" s="34" t="s">
        <v>2248</v>
      </c>
      <c r="Z377" s="34" t="s">
        <v>5490</v>
      </c>
      <c r="AA377" s="35">
        <v>8.7741935483870976E-5</v>
      </c>
      <c r="AB377" s="13"/>
      <c r="AC377" s="34">
        <v>373</v>
      </c>
      <c r="AD377" s="34" t="s">
        <v>4573</v>
      </c>
      <c r="AE377" s="34" t="s">
        <v>5459</v>
      </c>
      <c r="AF377" s="35">
        <v>2.5054435483870972</v>
      </c>
    </row>
    <row r="378" spans="19:32" x14ac:dyDescent="0.35">
      <c r="S378" s="34">
        <v>374</v>
      </c>
      <c r="T378" s="34" t="s">
        <v>4284</v>
      </c>
      <c r="U378" s="34" t="s">
        <v>3729</v>
      </c>
      <c r="V378" s="35">
        <v>2.2243951612903226E-2</v>
      </c>
      <c r="W378" s="17"/>
      <c r="X378" s="34">
        <v>374</v>
      </c>
      <c r="Y378" s="34" t="s">
        <v>2248</v>
      </c>
      <c r="Z378" s="34" t="s">
        <v>5489</v>
      </c>
      <c r="AA378" s="35">
        <v>5.0040322580645162E-4</v>
      </c>
      <c r="AB378" s="13"/>
      <c r="AC378" s="34">
        <v>374</v>
      </c>
      <c r="AD378" s="34" t="s">
        <v>4573</v>
      </c>
      <c r="AE378" s="34" t="s">
        <v>5458</v>
      </c>
      <c r="AF378" s="35">
        <v>2.0941532258064517E-3</v>
      </c>
    </row>
    <row r="379" spans="19:32" x14ac:dyDescent="0.35">
      <c r="S379" s="34">
        <v>375</v>
      </c>
      <c r="T379" s="34" t="s">
        <v>4284</v>
      </c>
      <c r="U379" s="34" t="s">
        <v>3729</v>
      </c>
      <c r="V379" s="35">
        <v>0</v>
      </c>
      <c r="W379" s="17"/>
      <c r="X379" s="34">
        <v>375</v>
      </c>
      <c r="Y379" s="34" t="s">
        <v>2248</v>
      </c>
      <c r="Z379" s="34" t="s">
        <v>5757</v>
      </c>
      <c r="AA379" s="35">
        <v>9.1512096774193558E-4</v>
      </c>
      <c r="AB379" s="13"/>
      <c r="AC379" s="34">
        <v>375</v>
      </c>
      <c r="AD379" s="34" t="s">
        <v>4573</v>
      </c>
      <c r="AE379" s="34" t="s">
        <v>3716</v>
      </c>
      <c r="AF379" s="35">
        <v>0</v>
      </c>
    </row>
    <row r="380" spans="19:32" x14ac:dyDescent="0.35">
      <c r="S380" s="34">
        <v>376</v>
      </c>
      <c r="T380" s="34" t="s">
        <v>4284</v>
      </c>
      <c r="U380" s="34" t="s">
        <v>5471</v>
      </c>
      <c r="V380" s="35">
        <v>2.1661290322580649E-3</v>
      </c>
      <c r="W380" s="17"/>
      <c r="X380" s="34">
        <v>376</v>
      </c>
      <c r="Y380" s="34" t="s">
        <v>2248</v>
      </c>
      <c r="Z380" s="34" t="s">
        <v>5488</v>
      </c>
      <c r="AA380" s="35">
        <v>6.7177419354838716E-2</v>
      </c>
      <c r="AB380" s="13"/>
      <c r="AC380" s="34">
        <v>376</v>
      </c>
      <c r="AD380" s="34" t="s">
        <v>4573</v>
      </c>
      <c r="AE380" s="34" t="s">
        <v>5457</v>
      </c>
      <c r="AF380" s="35">
        <v>2.6631048387096776E-3</v>
      </c>
    </row>
    <row r="381" spans="19:32" x14ac:dyDescent="0.35">
      <c r="S381" s="34">
        <v>377</v>
      </c>
      <c r="T381" s="34" t="s">
        <v>4284</v>
      </c>
      <c r="U381" s="34" t="s">
        <v>5470</v>
      </c>
      <c r="V381" s="35">
        <v>1.2715725806451614E-3</v>
      </c>
      <c r="W381" s="17"/>
      <c r="X381" s="34">
        <v>377</v>
      </c>
      <c r="Y381" s="34" t="s">
        <v>2248</v>
      </c>
      <c r="Z381" s="34" t="s">
        <v>5487</v>
      </c>
      <c r="AA381" s="35">
        <v>9.6653225806451623E-2</v>
      </c>
      <c r="AB381" s="13"/>
      <c r="AC381" s="34">
        <v>377</v>
      </c>
      <c r="AD381" s="34" t="s">
        <v>4573</v>
      </c>
      <c r="AE381" s="34" t="s">
        <v>5456</v>
      </c>
      <c r="AF381" s="35">
        <v>1.4155241935483871</v>
      </c>
    </row>
    <row r="382" spans="19:32" x14ac:dyDescent="0.35">
      <c r="S382" s="34">
        <v>378</v>
      </c>
      <c r="T382" s="34" t="s">
        <v>4284</v>
      </c>
      <c r="U382" s="34" t="s">
        <v>5469</v>
      </c>
      <c r="V382" s="35">
        <v>3.0572580645161292E-3</v>
      </c>
      <c r="W382" s="17"/>
      <c r="X382" s="34">
        <v>378</v>
      </c>
      <c r="Y382" s="34" t="s">
        <v>2248</v>
      </c>
      <c r="Z382" s="34" t="s">
        <v>5756</v>
      </c>
      <c r="AA382" s="35">
        <v>1.5149193548387097E-4</v>
      </c>
      <c r="AB382" s="13"/>
      <c r="AC382" s="34">
        <v>378</v>
      </c>
      <c r="AD382" s="34" t="s">
        <v>4573</v>
      </c>
      <c r="AE382" s="34" t="s">
        <v>5455</v>
      </c>
      <c r="AF382" s="35">
        <v>2.6733870967741939E-2</v>
      </c>
    </row>
    <row r="383" spans="19:32" x14ac:dyDescent="0.35">
      <c r="S383" s="34">
        <v>379</v>
      </c>
      <c r="T383" s="34" t="s">
        <v>4284</v>
      </c>
      <c r="U383" s="34" t="s">
        <v>5468</v>
      </c>
      <c r="V383" s="35">
        <v>3.3965725806451613E-3</v>
      </c>
      <c r="W383" s="17"/>
      <c r="X383" s="34">
        <v>379</v>
      </c>
      <c r="Y383" s="34" t="s">
        <v>2248</v>
      </c>
      <c r="Z383" s="34" t="s">
        <v>3740</v>
      </c>
      <c r="AA383" s="35">
        <v>0</v>
      </c>
      <c r="AB383" s="13"/>
      <c r="AC383" s="34">
        <v>379</v>
      </c>
      <c r="AD383" s="34" t="s">
        <v>4573</v>
      </c>
      <c r="AE383" s="34" t="s">
        <v>5454</v>
      </c>
      <c r="AF383" s="35">
        <v>0.45241935483870971</v>
      </c>
    </row>
    <row r="384" spans="19:32" x14ac:dyDescent="0.35">
      <c r="S384" s="34">
        <v>380</v>
      </c>
      <c r="T384" s="34" t="s">
        <v>4284</v>
      </c>
      <c r="U384" s="34" t="s">
        <v>3727</v>
      </c>
      <c r="V384" s="35">
        <v>6.4767999999999999</v>
      </c>
      <c r="W384" s="17"/>
      <c r="X384" s="34">
        <v>380</v>
      </c>
      <c r="Y384" s="34" t="s">
        <v>2248</v>
      </c>
      <c r="Z384" s="34" t="s">
        <v>3740</v>
      </c>
      <c r="AA384" s="35">
        <v>0.35645161290322586</v>
      </c>
      <c r="AB384" s="13"/>
      <c r="AC384" s="34">
        <v>380</v>
      </c>
      <c r="AD384" s="34" t="s">
        <v>4573</v>
      </c>
      <c r="AE384" s="34" t="s">
        <v>3714</v>
      </c>
      <c r="AF384" s="35">
        <v>2.9098790322580649E-2</v>
      </c>
    </row>
    <row r="385" spans="19:32" x14ac:dyDescent="0.35">
      <c r="S385" s="34">
        <v>381</v>
      </c>
      <c r="T385" s="34" t="s">
        <v>4284</v>
      </c>
      <c r="U385" s="34" t="s">
        <v>5467</v>
      </c>
      <c r="V385" s="35">
        <v>1.4292338709677419E-4</v>
      </c>
      <c r="W385" s="17"/>
      <c r="X385" s="34">
        <v>381</v>
      </c>
      <c r="Y385" s="34" t="s">
        <v>2248</v>
      </c>
      <c r="Z385" s="34" t="s">
        <v>5755</v>
      </c>
      <c r="AA385" s="35">
        <v>2.0804435483870971E-2</v>
      </c>
      <c r="AB385" s="13"/>
      <c r="AC385" s="34">
        <v>381</v>
      </c>
      <c r="AD385" s="34" t="s">
        <v>4573</v>
      </c>
      <c r="AE385" s="34" t="s">
        <v>3714</v>
      </c>
      <c r="AF385" s="35">
        <v>0</v>
      </c>
    </row>
    <row r="386" spans="19:32" x14ac:dyDescent="0.35">
      <c r="S386" s="34">
        <v>382</v>
      </c>
      <c r="T386" s="34" t="s">
        <v>4284</v>
      </c>
      <c r="U386" s="34" t="s">
        <v>3724</v>
      </c>
      <c r="V386" s="35">
        <v>6.1916000000000002</v>
      </c>
      <c r="W386" s="17"/>
      <c r="X386" s="34">
        <v>382</v>
      </c>
      <c r="Y386" s="34" t="s">
        <v>2248</v>
      </c>
      <c r="Z386" s="34" t="s">
        <v>5486</v>
      </c>
      <c r="AA386" s="35">
        <v>1.8782258064516131E-5</v>
      </c>
      <c r="AB386" s="13"/>
      <c r="AC386" s="34">
        <v>382</v>
      </c>
      <c r="AD386" s="34" t="s">
        <v>4573</v>
      </c>
      <c r="AE386" s="34" t="s">
        <v>3710</v>
      </c>
      <c r="AF386" s="35">
        <v>0</v>
      </c>
    </row>
    <row r="387" spans="19:32" x14ac:dyDescent="0.35">
      <c r="S387" s="34">
        <v>383</v>
      </c>
      <c r="T387" s="34" t="s">
        <v>4284</v>
      </c>
      <c r="U387" s="34" t="s">
        <v>5466</v>
      </c>
      <c r="V387" s="35">
        <v>1.761693548387097E-3</v>
      </c>
      <c r="W387" s="17"/>
      <c r="X387" s="34">
        <v>383</v>
      </c>
      <c r="Y387" s="34" t="s">
        <v>2248</v>
      </c>
      <c r="Z387" s="34" t="s">
        <v>3738</v>
      </c>
      <c r="AA387" s="35">
        <v>3.4868000000000003E-2</v>
      </c>
      <c r="AB387" s="13"/>
      <c r="AC387" s="34">
        <v>383</v>
      </c>
      <c r="AD387" s="34" t="s">
        <v>4573</v>
      </c>
      <c r="AE387" s="34" t="s">
        <v>5453</v>
      </c>
      <c r="AF387" s="35">
        <v>3.331451612903226E-3</v>
      </c>
    </row>
    <row r="388" spans="19:32" x14ac:dyDescent="0.35">
      <c r="S388" s="34">
        <v>384</v>
      </c>
      <c r="T388" s="34" t="s">
        <v>4284</v>
      </c>
      <c r="U388" s="34" t="s">
        <v>5465</v>
      </c>
      <c r="V388" s="35">
        <v>1.8713709677419355E-2</v>
      </c>
      <c r="W388" s="17"/>
      <c r="X388" s="34">
        <v>384</v>
      </c>
      <c r="Y388" s="34" t="s">
        <v>2248</v>
      </c>
      <c r="Z388" s="34" t="s">
        <v>5485</v>
      </c>
      <c r="AA388" s="35">
        <v>9.288306451612904E-6</v>
      </c>
      <c r="AB388" s="13"/>
      <c r="AC388" s="34">
        <v>384</v>
      </c>
      <c r="AD388" s="34" t="s">
        <v>4573</v>
      </c>
      <c r="AE388" s="34" t="s">
        <v>3708</v>
      </c>
      <c r="AF388" s="35">
        <v>1.0488000000000002</v>
      </c>
    </row>
    <row r="389" spans="19:32" x14ac:dyDescent="0.35">
      <c r="S389" s="34">
        <v>385</v>
      </c>
      <c r="T389" s="34" t="s">
        <v>4284</v>
      </c>
      <c r="U389" s="34" t="s">
        <v>5464</v>
      </c>
      <c r="V389" s="35">
        <v>5.6209677419354846E-3</v>
      </c>
      <c r="W389" s="17"/>
      <c r="X389" s="34">
        <v>385</v>
      </c>
      <c r="Y389" s="34" t="s">
        <v>2248</v>
      </c>
      <c r="Z389" s="34" t="s">
        <v>5754</v>
      </c>
      <c r="AA389" s="35">
        <v>1.2133064516129033E-3</v>
      </c>
      <c r="AB389" s="13"/>
      <c r="AC389" s="34">
        <v>385</v>
      </c>
      <c r="AD389" s="34" t="s">
        <v>4573</v>
      </c>
      <c r="AE389" s="34" t="s">
        <v>5452</v>
      </c>
      <c r="AF389" s="35">
        <v>5.0383064516129035E-3</v>
      </c>
    </row>
    <row r="390" spans="19:32" x14ac:dyDescent="0.35">
      <c r="S390" s="34">
        <v>386</v>
      </c>
      <c r="T390" s="34" t="s">
        <v>4284</v>
      </c>
      <c r="U390" s="34" t="s">
        <v>5463</v>
      </c>
      <c r="V390" s="35">
        <v>0.12852822580645162</v>
      </c>
      <c r="W390" s="17"/>
      <c r="X390" s="34">
        <v>386</v>
      </c>
      <c r="Y390" s="34" t="s">
        <v>2248</v>
      </c>
      <c r="Z390" s="34" t="s">
        <v>5484</v>
      </c>
      <c r="AA390" s="35">
        <v>2.9681451612903228E-5</v>
      </c>
      <c r="AB390" s="13"/>
      <c r="AC390" s="34">
        <v>386</v>
      </c>
      <c r="AD390" s="34" t="s">
        <v>4573</v>
      </c>
      <c r="AE390" s="34" t="s">
        <v>3706</v>
      </c>
      <c r="AF390" s="35">
        <v>40.847999999999999</v>
      </c>
    </row>
    <row r="391" spans="19:32" x14ac:dyDescent="0.35">
      <c r="S391" s="34">
        <v>387</v>
      </c>
      <c r="T391" s="34" t="s">
        <v>4284</v>
      </c>
      <c r="U391" s="34" t="s">
        <v>5462</v>
      </c>
      <c r="V391" s="35">
        <v>2.3477822580645163E-4</v>
      </c>
      <c r="W391" s="17"/>
      <c r="X391" s="34">
        <v>387</v>
      </c>
      <c r="Y391" s="34" t="s">
        <v>2248</v>
      </c>
      <c r="Z391" s="34" t="s">
        <v>3736</v>
      </c>
      <c r="AA391" s="35">
        <v>0</v>
      </c>
      <c r="AB391" s="13"/>
      <c r="AC391" s="34">
        <v>387</v>
      </c>
      <c r="AD391" s="34" t="s">
        <v>4573</v>
      </c>
      <c r="AE391" s="34" t="s">
        <v>5451</v>
      </c>
      <c r="AF391" s="35">
        <v>2.3100806451612905E-2</v>
      </c>
    </row>
    <row r="392" spans="19:32" x14ac:dyDescent="0.35">
      <c r="S392" s="34">
        <v>388</v>
      </c>
      <c r="T392" s="34" t="s">
        <v>4284</v>
      </c>
      <c r="U392" s="34" t="s">
        <v>3723</v>
      </c>
      <c r="V392" s="35">
        <v>2.292943548387097E-5</v>
      </c>
      <c r="W392" s="17"/>
      <c r="X392" s="34">
        <v>388</v>
      </c>
      <c r="Y392" s="34" t="s">
        <v>2248</v>
      </c>
      <c r="Z392" s="34" t="s">
        <v>5753</v>
      </c>
      <c r="AA392" s="35">
        <v>2.7247983870967744E-3</v>
      </c>
      <c r="AB392" s="13"/>
      <c r="AC392" s="34">
        <v>388</v>
      </c>
      <c r="AD392" s="34" t="s">
        <v>4573</v>
      </c>
      <c r="AE392" s="34" t="s">
        <v>3702</v>
      </c>
      <c r="AF392" s="35">
        <v>1.3892</v>
      </c>
    </row>
    <row r="393" spans="19:32" x14ac:dyDescent="0.35">
      <c r="S393" s="34">
        <v>389</v>
      </c>
      <c r="T393" s="34" t="s">
        <v>4284</v>
      </c>
      <c r="U393" s="34" t="s">
        <v>3723</v>
      </c>
      <c r="V393" s="35">
        <v>0</v>
      </c>
      <c r="W393" s="17"/>
      <c r="X393" s="34">
        <v>389</v>
      </c>
      <c r="Y393" s="34" t="s">
        <v>2248</v>
      </c>
      <c r="Z393" s="34" t="s">
        <v>5483</v>
      </c>
      <c r="AA393" s="35">
        <v>4.7641129032258069E-4</v>
      </c>
      <c r="AB393" s="13"/>
      <c r="AC393" s="34">
        <v>389</v>
      </c>
      <c r="AD393" s="34" t="s">
        <v>4573</v>
      </c>
      <c r="AE393" s="34" t="s">
        <v>3701</v>
      </c>
      <c r="AF393" s="35">
        <v>0.26082661290322584</v>
      </c>
    </row>
    <row r="394" spans="19:32" x14ac:dyDescent="0.35">
      <c r="S394" s="34">
        <v>390</v>
      </c>
      <c r="T394" s="34" t="s">
        <v>4284</v>
      </c>
      <c r="U394" s="34" t="s">
        <v>3721</v>
      </c>
      <c r="V394" s="35">
        <v>0</v>
      </c>
      <c r="W394" s="17"/>
      <c r="X394" s="34">
        <v>390</v>
      </c>
      <c r="Y394" s="34" t="s">
        <v>2248</v>
      </c>
      <c r="Z394" s="34" t="s">
        <v>5482</v>
      </c>
      <c r="AA394" s="35">
        <v>4.2500000000000003E-4</v>
      </c>
      <c r="AB394" s="13"/>
      <c r="AC394" s="34">
        <v>390</v>
      </c>
      <c r="AD394" s="34" t="s">
        <v>4573</v>
      </c>
      <c r="AE394" s="34" t="s">
        <v>3701</v>
      </c>
      <c r="AF394" s="35">
        <v>0.12512000000000001</v>
      </c>
    </row>
    <row r="395" spans="19:32" x14ac:dyDescent="0.35">
      <c r="S395" s="34">
        <v>391</v>
      </c>
      <c r="T395" s="34" t="s">
        <v>4284</v>
      </c>
      <c r="U395" s="34" t="s">
        <v>5461</v>
      </c>
      <c r="V395" s="35">
        <v>4.7641129032258069E-4</v>
      </c>
      <c r="W395" s="17"/>
      <c r="X395" s="34">
        <v>391</v>
      </c>
      <c r="Y395" s="34" t="s">
        <v>2248</v>
      </c>
      <c r="Z395" s="34" t="s">
        <v>5752</v>
      </c>
      <c r="AA395" s="35">
        <v>3.0058467741935488E-5</v>
      </c>
      <c r="AB395" s="13"/>
      <c r="AC395" s="34">
        <v>391</v>
      </c>
      <c r="AD395" s="34" t="s">
        <v>4573</v>
      </c>
      <c r="AE395" s="34" t="s">
        <v>5450</v>
      </c>
      <c r="AF395" s="35">
        <v>1.8987903225806454E-2</v>
      </c>
    </row>
    <row r="396" spans="19:32" x14ac:dyDescent="0.35">
      <c r="S396" s="34">
        <v>392</v>
      </c>
      <c r="T396" s="34" t="s">
        <v>4284</v>
      </c>
      <c r="U396" s="34" t="s">
        <v>3719</v>
      </c>
      <c r="V396" s="35">
        <v>4.4556451612903227E-4</v>
      </c>
      <c r="W396" s="17"/>
      <c r="X396" s="34">
        <v>392</v>
      </c>
      <c r="Y396" s="34" t="s">
        <v>2248</v>
      </c>
      <c r="Z396" s="34" t="s">
        <v>3735</v>
      </c>
      <c r="AA396" s="35">
        <v>1.4536</v>
      </c>
      <c r="AB396" s="13"/>
      <c r="AC396" s="34">
        <v>392</v>
      </c>
      <c r="AD396" s="34" t="s">
        <v>4573</v>
      </c>
      <c r="AE396" s="34" t="s">
        <v>3699</v>
      </c>
      <c r="AF396" s="35">
        <v>0.14536000000000002</v>
      </c>
    </row>
    <row r="397" spans="19:32" x14ac:dyDescent="0.35">
      <c r="S397" s="34">
        <v>393</v>
      </c>
      <c r="T397" s="34" t="s">
        <v>4284</v>
      </c>
      <c r="U397" s="34" t="s">
        <v>3719</v>
      </c>
      <c r="V397" s="35">
        <v>27.14</v>
      </c>
      <c r="W397" s="17"/>
      <c r="X397" s="34">
        <v>393</v>
      </c>
      <c r="Y397" s="34" t="s">
        <v>2248</v>
      </c>
      <c r="Z397" s="34" t="s">
        <v>5481</v>
      </c>
      <c r="AA397" s="35">
        <v>3.6330645161290323E-2</v>
      </c>
      <c r="AB397" s="13"/>
      <c r="AC397" s="34">
        <v>393</v>
      </c>
      <c r="AD397" s="34" t="s">
        <v>4573</v>
      </c>
      <c r="AE397" s="34" t="s">
        <v>5449</v>
      </c>
      <c r="AF397" s="35">
        <v>2.4506048387096778E-4</v>
      </c>
    </row>
    <row r="398" spans="19:32" x14ac:dyDescent="0.35">
      <c r="S398" s="34">
        <v>394</v>
      </c>
      <c r="T398" s="34" t="s">
        <v>4284</v>
      </c>
      <c r="U398" s="34" t="s">
        <v>5459</v>
      </c>
      <c r="V398" s="35">
        <v>1.1858870967741936E-2</v>
      </c>
      <c r="W398" s="17"/>
      <c r="X398" s="34">
        <v>394</v>
      </c>
      <c r="Y398" s="34" t="s">
        <v>2248</v>
      </c>
      <c r="Z398" s="34" t="s">
        <v>5480</v>
      </c>
      <c r="AA398" s="35">
        <v>2.4643145161290327E-3</v>
      </c>
      <c r="AB398" s="13"/>
      <c r="AC398" s="34">
        <v>394</v>
      </c>
      <c r="AD398" s="34" t="s">
        <v>4573</v>
      </c>
      <c r="AE398" s="34" t="s">
        <v>3696</v>
      </c>
      <c r="AF398" s="35">
        <v>1.4292338709677422E-3</v>
      </c>
    </row>
    <row r="399" spans="19:32" x14ac:dyDescent="0.35">
      <c r="S399" s="34">
        <v>395</v>
      </c>
      <c r="T399" s="34" t="s">
        <v>4284</v>
      </c>
      <c r="U399" s="34" t="s">
        <v>5458</v>
      </c>
      <c r="V399" s="35">
        <v>7.7802419354838721E-5</v>
      </c>
      <c r="W399" s="17"/>
      <c r="X399" s="34">
        <v>395</v>
      </c>
      <c r="Y399" s="34" t="s">
        <v>2248</v>
      </c>
      <c r="Z399" s="34" t="s">
        <v>5751</v>
      </c>
      <c r="AA399" s="35">
        <v>1.3778225806451615E-5</v>
      </c>
      <c r="AB399" s="13"/>
      <c r="AC399" s="34">
        <v>395</v>
      </c>
      <c r="AD399" s="34" t="s">
        <v>4573</v>
      </c>
      <c r="AE399" s="34" t="s">
        <v>3696</v>
      </c>
      <c r="AF399" s="35">
        <v>0.53635999999999995</v>
      </c>
    </row>
    <row r="400" spans="19:32" x14ac:dyDescent="0.35">
      <c r="S400" s="34">
        <v>396</v>
      </c>
      <c r="T400" s="34" t="s">
        <v>4284</v>
      </c>
      <c r="U400" s="34" t="s">
        <v>3716</v>
      </c>
      <c r="V400" s="35">
        <v>0</v>
      </c>
      <c r="W400" s="17"/>
      <c r="X400" s="34">
        <v>396</v>
      </c>
      <c r="Y400" s="34" t="s">
        <v>2248</v>
      </c>
      <c r="Z400" s="34" t="s">
        <v>5479</v>
      </c>
      <c r="AA400" s="35">
        <v>3.8044354838709681E-3</v>
      </c>
      <c r="AB400" s="13"/>
      <c r="AC400" s="34">
        <v>396</v>
      </c>
      <c r="AD400" s="34" t="s">
        <v>4573</v>
      </c>
      <c r="AE400" s="34" t="s">
        <v>5448</v>
      </c>
      <c r="AF400" s="35">
        <v>1.6931451612903228E-4</v>
      </c>
    </row>
    <row r="401" spans="19:32" x14ac:dyDescent="0.35">
      <c r="S401" s="34">
        <v>397</v>
      </c>
      <c r="T401" s="34" t="s">
        <v>4284</v>
      </c>
      <c r="U401" s="34" t="s">
        <v>5457</v>
      </c>
      <c r="V401" s="35">
        <v>4.5584677419354846E-5</v>
      </c>
      <c r="W401" s="17"/>
      <c r="X401" s="34">
        <v>397</v>
      </c>
      <c r="Y401" s="34" t="s">
        <v>2248</v>
      </c>
      <c r="Z401" s="34" t="s">
        <v>5478</v>
      </c>
      <c r="AA401" s="35">
        <v>6.8891129032258068E-3</v>
      </c>
      <c r="AB401" s="13"/>
      <c r="AC401" s="34">
        <v>397</v>
      </c>
      <c r="AD401" s="34" t="s">
        <v>4573</v>
      </c>
      <c r="AE401" s="34" t="s">
        <v>5447</v>
      </c>
      <c r="AF401" s="35">
        <v>2.6973790322580649E-3</v>
      </c>
    </row>
    <row r="402" spans="19:32" x14ac:dyDescent="0.35">
      <c r="S402" s="34">
        <v>398</v>
      </c>
      <c r="T402" s="34" t="s">
        <v>4284</v>
      </c>
      <c r="U402" s="34" t="s">
        <v>5456</v>
      </c>
      <c r="V402" s="35">
        <v>3.3451612903225812E-2</v>
      </c>
      <c r="W402" s="17"/>
      <c r="X402" s="34">
        <v>398</v>
      </c>
      <c r="Y402" s="34" t="s">
        <v>2248</v>
      </c>
      <c r="Z402" s="34" t="s">
        <v>5750</v>
      </c>
      <c r="AA402" s="35">
        <v>1.3469758064516131E-5</v>
      </c>
      <c r="AB402" s="13"/>
      <c r="AC402" s="34">
        <v>398</v>
      </c>
      <c r="AD402" s="34" t="s">
        <v>4573</v>
      </c>
      <c r="AE402" s="34" t="s">
        <v>5446</v>
      </c>
      <c r="AF402" s="35">
        <v>9.6310483870967745E-2</v>
      </c>
    </row>
    <row r="403" spans="19:32" x14ac:dyDescent="0.35">
      <c r="S403" s="34">
        <v>399</v>
      </c>
      <c r="T403" s="34" t="s">
        <v>4284</v>
      </c>
      <c r="U403" s="34" t="s">
        <v>5455</v>
      </c>
      <c r="V403" s="35">
        <v>4.6955645161290329E-3</v>
      </c>
      <c r="W403" s="17"/>
      <c r="X403" s="34">
        <v>399</v>
      </c>
      <c r="Y403" s="34" t="s">
        <v>2248</v>
      </c>
      <c r="Z403" s="34" t="s">
        <v>5476</v>
      </c>
      <c r="AA403" s="35">
        <v>7.7802419354838712E-3</v>
      </c>
      <c r="AB403" s="13"/>
      <c r="AC403" s="34">
        <v>399</v>
      </c>
      <c r="AD403" s="34" t="s">
        <v>4573</v>
      </c>
      <c r="AE403" s="34" t="s">
        <v>5445</v>
      </c>
      <c r="AF403" s="35">
        <v>1.1687500000000002E-2</v>
      </c>
    </row>
    <row r="404" spans="19:32" x14ac:dyDescent="0.35">
      <c r="S404" s="34">
        <v>400</v>
      </c>
      <c r="T404" s="34" t="s">
        <v>4284</v>
      </c>
      <c r="U404" s="34" t="s">
        <v>5454</v>
      </c>
      <c r="V404" s="35">
        <v>2.1078629032258066E-2</v>
      </c>
      <c r="W404" s="17"/>
      <c r="X404" s="34">
        <v>400</v>
      </c>
      <c r="Y404" s="34" t="s">
        <v>2248</v>
      </c>
      <c r="Z404" s="34" t="s">
        <v>3733</v>
      </c>
      <c r="AA404" s="35">
        <v>0</v>
      </c>
      <c r="AB404" s="13"/>
      <c r="AC404" s="34">
        <v>400</v>
      </c>
      <c r="AD404" s="34" t="s">
        <v>4573</v>
      </c>
      <c r="AE404" s="34" t="s">
        <v>3694</v>
      </c>
      <c r="AF404" s="35">
        <v>50.231999999999999</v>
      </c>
    </row>
    <row r="405" spans="19:32" x14ac:dyDescent="0.35">
      <c r="S405" s="34">
        <v>401</v>
      </c>
      <c r="T405" s="34" t="s">
        <v>4284</v>
      </c>
      <c r="U405" s="34" t="s">
        <v>3714</v>
      </c>
      <c r="V405" s="35">
        <v>1.3641129032258064E-3</v>
      </c>
      <c r="W405" s="17"/>
      <c r="X405" s="34">
        <v>401</v>
      </c>
      <c r="Y405" s="34" t="s">
        <v>2248</v>
      </c>
      <c r="Z405" s="34" t="s">
        <v>5749</v>
      </c>
      <c r="AA405" s="35">
        <v>4.8326612903225807E-4</v>
      </c>
      <c r="AB405" s="13"/>
      <c r="AC405" s="34">
        <v>401</v>
      </c>
      <c r="AD405" s="34" t="s">
        <v>4573</v>
      </c>
      <c r="AE405" s="34" t="s">
        <v>5444</v>
      </c>
      <c r="AF405" s="35">
        <v>0.54838709677419362</v>
      </c>
    </row>
    <row r="406" spans="19:32" x14ac:dyDescent="0.35">
      <c r="S406" s="34">
        <v>402</v>
      </c>
      <c r="T406" s="34" t="s">
        <v>4284</v>
      </c>
      <c r="U406" s="34" t="s">
        <v>3714</v>
      </c>
      <c r="V406" s="35">
        <v>0</v>
      </c>
      <c r="W406" s="17"/>
      <c r="X406" s="34">
        <v>402</v>
      </c>
      <c r="Y406" s="34" t="s">
        <v>2248</v>
      </c>
      <c r="Z406" s="34" t="s">
        <v>5475</v>
      </c>
      <c r="AA406" s="35">
        <v>7.0262096774193543E-5</v>
      </c>
      <c r="AB406" s="13"/>
      <c r="AC406" s="34">
        <v>402</v>
      </c>
      <c r="AD406" s="34" t="s">
        <v>4573</v>
      </c>
      <c r="AE406" s="34" t="s">
        <v>5443</v>
      </c>
      <c r="AF406" s="35">
        <v>0.11344758064516131</v>
      </c>
    </row>
    <row r="407" spans="19:32" x14ac:dyDescent="0.35">
      <c r="S407" s="34">
        <v>403</v>
      </c>
      <c r="T407" s="34" t="s">
        <v>4284</v>
      </c>
      <c r="U407" s="34" t="s">
        <v>3710</v>
      </c>
      <c r="V407" s="35">
        <v>0</v>
      </c>
      <c r="W407" s="17"/>
      <c r="X407" s="34">
        <v>403</v>
      </c>
      <c r="Y407" s="34" t="s">
        <v>2248</v>
      </c>
      <c r="Z407" s="34" t="s">
        <v>5474</v>
      </c>
      <c r="AA407" s="35">
        <v>6.5463709677419366E-2</v>
      </c>
      <c r="AB407" s="13"/>
      <c r="AC407" s="34">
        <v>403</v>
      </c>
      <c r="AD407" s="34" t="s">
        <v>4573</v>
      </c>
      <c r="AE407" s="34" t="s">
        <v>5442</v>
      </c>
      <c r="AF407" s="35">
        <v>2.1901209677419355E-3</v>
      </c>
    </row>
    <row r="408" spans="19:32" x14ac:dyDescent="0.35">
      <c r="S408" s="34">
        <v>404</v>
      </c>
      <c r="T408" s="34" t="s">
        <v>4284</v>
      </c>
      <c r="U408" s="34" t="s">
        <v>5453</v>
      </c>
      <c r="V408" s="35">
        <v>1.8165322580645163E-4</v>
      </c>
      <c r="W408" s="17"/>
      <c r="X408" s="34">
        <v>404</v>
      </c>
      <c r="Y408" s="34" t="s">
        <v>2248</v>
      </c>
      <c r="Z408" s="34" t="s">
        <v>5473</v>
      </c>
      <c r="AA408" s="35">
        <v>7.7459677419354847E-2</v>
      </c>
      <c r="AB408" s="13"/>
      <c r="AC408" s="34">
        <v>404</v>
      </c>
      <c r="AD408" s="34" t="s">
        <v>4573</v>
      </c>
      <c r="AE408" s="34" t="s">
        <v>5441</v>
      </c>
      <c r="AF408" s="35">
        <v>6.1693548387096779E-2</v>
      </c>
    </row>
    <row r="409" spans="19:32" x14ac:dyDescent="0.35">
      <c r="S409" s="34">
        <v>405</v>
      </c>
      <c r="T409" s="34" t="s">
        <v>4284</v>
      </c>
      <c r="U409" s="34" t="s">
        <v>3708</v>
      </c>
      <c r="V409" s="35">
        <v>0.62008000000000008</v>
      </c>
      <c r="W409" s="17"/>
      <c r="X409" s="34">
        <v>405</v>
      </c>
      <c r="Y409" s="34" t="s">
        <v>2248</v>
      </c>
      <c r="Z409" s="34" t="s">
        <v>5748</v>
      </c>
      <c r="AA409" s="35">
        <v>5.79233870967742E-2</v>
      </c>
      <c r="AB409" s="13"/>
      <c r="AC409" s="34">
        <v>405</v>
      </c>
      <c r="AD409" s="34" t="s">
        <v>4573</v>
      </c>
      <c r="AE409" s="34" t="s">
        <v>5440</v>
      </c>
      <c r="AF409" s="35">
        <v>3.2594758064516129E-3</v>
      </c>
    </row>
    <row r="410" spans="19:32" x14ac:dyDescent="0.35">
      <c r="S410" s="34">
        <v>406</v>
      </c>
      <c r="T410" s="34" t="s">
        <v>4284</v>
      </c>
      <c r="U410" s="34" t="s">
        <v>5452</v>
      </c>
      <c r="V410" s="35">
        <v>5.106854838709678E-5</v>
      </c>
      <c r="W410" s="17"/>
      <c r="X410" s="34">
        <v>406</v>
      </c>
      <c r="Y410" s="34" t="s">
        <v>2248</v>
      </c>
      <c r="Z410" s="34" t="s">
        <v>5472</v>
      </c>
      <c r="AA410" s="35">
        <v>4.4899193548387104E-2</v>
      </c>
      <c r="AB410" s="13"/>
      <c r="AC410" s="34">
        <v>406</v>
      </c>
      <c r="AD410" s="34" t="s">
        <v>4573</v>
      </c>
      <c r="AE410" s="34" t="s">
        <v>5439</v>
      </c>
      <c r="AF410" s="35">
        <v>0.10830645161290324</v>
      </c>
    </row>
    <row r="411" spans="19:32" x14ac:dyDescent="0.35">
      <c r="S411" s="34">
        <v>407</v>
      </c>
      <c r="T411" s="34" t="s">
        <v>4284</v>
      </c>
      <c r="U411" s="34" t="s">
        <v>3706</v>
      </c>
      <c r="V411" s="35">
        <v>5.3727999999999998</v>
      </c>
      <c r="W411" s="17"/>
      <c r="X411" s="34">
        <v>407</v>
      </c>
      <c r="Y411" s="34" t="s">
        <v>2248</v>
      </c>
      <c r="Z411" s="34" t="s">
        <v>3730</v>
      </c>
      <c r="AA411" s="35">
        <v>6.7711999999999994E-2</v>
      </c>
      <c r="AB411" s="13"/>
      <c r="AC411" s="34">
        <v>407</v>
      </c>
      <c r="AD411" s="34" t="s">
        <v>4573</v>
      </c>
      <c r="AE411" s="34" t="s">
        <v>5438</v>
      </c>
      <c r="AF411" s="35">
        <v>0.17239919354838712</v>
      </c>
    </row>
    <row r="412" spans="19:32" x14ac:dyDescent="0.35">
      <c r="S412" s="34">
        <v>408</v>
      </c>
      <c r="T412" s="34" t="s">
        <v>4284</v>
      </c>
      <c r="U412" s="34" t="s">
        <v>5451</v>
      </c>
      <c r="V412" s="35">
        <v>5.3810483870967742E-4</v>
      </c>
      <c r="W412" s="17"/>
      <c r="X412" s="34">
        <v>408</v>
      </c>
      <c r="Y412" s="34" t="s">
        <v>2248</v>
      </c>
      <c r="Z412" s="34" t="s">
        <v>3832</v>
      </c>
      <c r="AA412" s="35">
        <v>6.5463709677419366E-2</v>
      </c>
      <c r="AB412" s="13"/>
      <c r="AC412" s="34">
        <v>408</v>
      </c>
      <c r="AD412" s="34" t="s">
        <v>4573</v>
      </c>
      <c r="AE412" s="34" t="s">
        <v>5437</v>
      </c>
      <c r="AF412" s="35">
        <v>7.2318548387096782E-2</v>
      </c>
    </row>
    <row r="413" spans="19:32" x14ac:dyDescent="0.35">
      <c r="S413" s="34">
        <v>409</v>
      </c>
      <c r="T413" s="34" t="s">
        <v>4284</v>
      </c>
      <c r="U413" s="34" t="s">
        <v>3702</v>
      </c>
      <c r="V413" s="35">
        <v>4.7931999999999997</v>
      </c>
      <c r="W413" s="17"/>
      <c r="X413" s="34">
        <v>409</v>
      </c>
      <c r="Y413" s="34" t="s">
        <v>2248</v>
      </c>
      <c r="Z413" s="34" t="s">
        <v>3729</v>
      </c>
      <c r="AA413" s="35">
        <v>0</v>
      </c>
      <c r="AB413" s="13"/>
      <c r="AC413" s="34">
        <v>409</v>
      </c>
      <c r="AD413" s="34" t="s">
        <v>4573</v>
      </c>
      <c r="AE413" s="34" t="s">
        <v>3692</v>
      </c>
      <c r="AF413" s="35">
        <v>46.368000000000002</v>
      </c>
    </row>
    <row r="414" spans="19:32" x14ac:dyDescent="0.35">
      <c r="S414" s="34">
        <v>410</v>
      </c>
      <c r="T414" s="34" t="s">
        <v>4284</v>
      </c>
      <c r="U414" s="34" t="s">
        <v>3701</v>
      </c>
      <c r="V414" s="35">
        <v>3.9072580645161297E-3</v>
      </c>
      <c r="W414" s="17"/>
      <c r="X414" s="34">
        <v>410</v>
      </c>
      <c r="Y414" s="34" t="s">
        <v>2248</v>
      </c>
      <c r="Z414" s="34" t="s">
        <v>3729</v>
      </c>
      <c r="AA414" s="35">
        <v>2.7899193548387101E-3</v>
      </c>
      <c r="AB414" s="13"/>
      <c r="AC414" s="34">
        <v>410</v>
      </c>
      <c r="AD414" s="34" t="s">
        <v>4573</v>
      </c>
      <c r="AE414" s="34" t="s">
        <v>3689</v>
      </c>
      <c r="AF414" s="35">
        <v>1.0899193548387098</v>
      </c>
    </row>
    <row r="415" spans="19:32" x14ac:dyDescent="0.35">
      <c r="S415" s="34">
        <v>411</v>
      </c>
      <c r="T415" s="34" t="s">
        <v>4284</v>
      </c>
      <c r="U415" s="34" t="s">
        <v>3701</v>
      </c>
      <c r="V415" s="35">
        <v>0.11408</v>
      </c>
      <c r="W415" s="17"/>
      <c r="X415" s="34">
        <v>411</v>
      </c>
      <c r="Y415" s="34" t="s">
        <v>2248</v>
      </c>
      <c r="Z415" s="34" t="s">
        <v>5747</v>
      </c>
      <c r="AA415" s="35">
        <v>7.4032258064516137E-6</v>
      </c>
      <c r="AB415" s="13"/>
      <c r="AC415" s="34">
        <v>411</v>
      </c>
      <c r="AD415" s="34" t="s">
        <v>4573</v>
      </c>
      <c r="AE415" s="34" t="s">
        <v>3689</v>
      </c>
      <c r="AF415" s="35">
        <v>0</v>
      </c>
    </row>
    <row r="416" spans="19:32" x14ac:dyDescent="0.35">
      <c r="S416" s="34">
        <v>412</v>
      </c>
      <c r="T416" s="34" t="s">
        <v>4284</v>
      </c>
      <c r="U416" s="34" t="s">
        <v>5450</v>
      </c>
      <c r="V416" s="35">
        <v>5.792338709677419E-4</v>
      </c>
      <c r="W416" s="17"/>
      <c r="X416" s="34">
        <v>412</v>
      </c>
      <c r="Y416" s="34" t="s">
        <v>2248</v>
      </c>
      <c r="Z416" s="34" t="s">
        <v>5471</v>
      </c>
      <c r="AA416" s="35">
        <v>2.2895161290322581E-3</v>
      </c>
      <c r="AB416" s="13"/>
      <c r="AC416" s="34">
        <v>412</v>
      </c>
      <c r="AD416" s="34" t="s">
        <v>4573</v>
      </c>
      <c r="AE416" s="34" t="s">
        <v>5436</v>
      </c>
      <c r="AF416" s="35">
        <v>7.0947580645161296E-2</v>
      </c>
    </row>
    <row r="417" spans="19:32" x14ac:dyDescent="0.35">
      <c r="S417" s="34">
        <v>413</v>
      </c>
      <c r="T417" s="34" t="s">
        <v>4284</v>
      </c>
      <c r="U417" s="34" t="s">
        <v>3699</v>
      </c>
      <c r="V417" s="35">
        <v>2.5759999999999998E-2</v>
      </c>
      <c r="W417" s="17"/>
      <c r="X417" s="34">
        <v>413</v>
      </c>
      <c r="Y417" s="34" t="s">
        <v>2248</v>
      </c>
      <c r="Z417" s="34" t="s">
        <v>5470</v>
      </c>
      <c r="AA417" s="35">
        <v>2.0495967741935486E-3</v>
      </c>
      <c r="AB417" s="13"/>
      <c r="AC417" s="34">
        <v>413</v>
      </c>
      <c r="AD417" s="34" t="s">
        <v>4573</v>
      </c>
      <c r="AE417" s="34" t="s">
        <v>5435</v>
      </c>
      <c r="AF417" s="35">
        <v>6.1693548387096779E-2</v>
      </c>
    </row>
    <row r="418" spans="19:32" x14ac:dyDescent="0.35">
      <c r="S418" s="36">
        <v>414</v>
      </c>
      <c r="T418" s="36" t="s">
        <v>4284</v>
      </c>
      <c r="U418" s="36" t="s">
        <v>5449</v>
      </c>
      <c r="V418" s="37">
        <v>3.6166</v>
      </c>
      <c r="W418" s="17"/>
      <c r="X418" s="34">
        <v>414</v>
      </c>
      <c r="Y418" s="34" t="s">
        <v>2248</v>
      </c>
      <c r="Z418" s="34" t="s">
        <v>5469</v>
      </c>
      <c r="AA418" s="35">
        <v>4.2842741935483876E-3</v>
      </c>
      <c r="AB418" s="13"/>
      <c r="AC418" s="34">
        <v>414</v>
      </c>
      <c r="AD418" s="34" t="s">
        <v>4573</v>
      </c>
      <c r="AE418" s="34" t="s">
        <v>5434</v>
      </c>
      <c r="AF418" s="35">
        <v>2.0187500000000001E-2</v>
      </c>
    </row>
    <row r="419" spans="19:32" x14ac:dyDescent="0.35">
      <c r="S419" s="34">
        <v>415</v>
      </c>
      <c r="T419" s="34" t="s">
        <v>4284</v>
      </c>
      <c r="U419" s="34" t="s">
        <v>5449</v>
      </c>
      <c r="V419" s="35">
        <v>4.0443548387096777E-6</v>
      </c>
      <c r="W419" s="17"/>
      <c r="X419" s="34">
        <v>415</v>
      </c>
      <c r="Y419" s="34" t="s">
        <v>2248</v>
      </c>
      <c r="Z419" s="34" t="s">
        <v>5746</v>
      </c>
      <c r="AA419" s="35">
        <v>1.7993951612903228E-4</v>
      </c>
      <c r="AB419" s="13"/>
      <c r="AC419" s="34">
        <v>415</v>
      </c>
      <c r="AD419" s="34" t="s">
        <v>4573</v>
      </c>
      <c r="AE419" s="34" t="s">
        <v>5433</v>
      </c>
      <c r="AF419" s="35">
        <v>3.4959677419354839E-4</v>
      </c>
    </row>
    <row r="420" spans="19:32" x14ac:dyDescent="0.35">
      <c r="S420" s="34">
        <v>416</v>
      </c>
      <c r="T420" s="34" t="s">
        <v>4284</v>
      </c>
      <c r="U420" s="34" t="s">
        <v>3696</v>
      </c>
      <c r="V420" s="35">
        <v>9.2197580645161291E-5</v>
      </c>
      <c r="W420" s="17"/>
      <c r="X420" s="34">
        <v>416</v>
      </c>
      <c r="Y420" s="34" t="s">
        <v>2248</v>
      </c>
      <c r="Z420" s="34" t="s">
        <v>5468</v>
      </c>
      <c r="AA420" s="35">
        <v>5.2439516129032266E-3</v>
      </c>
      <c r="AB420" s="13"/>
      <c r="AC420" s="34">
        <v>416</v>
      </c>
      <c r="AD420" s="34" t="s">
        <v>4573</v>
      </c>
      <c r="AE420" s="34" t="s">
        <v>5432</v>
      </c>
      <c r="AF420" s="35">
        <v>0.41471774193548389</v>
      </c>
    </row>
    <row r="421" spans="19:32" x14ac:dyDescent="0.35">
      <c r="S421" s="34">
        <v>417</v>
      </c>
      <c r="T421" s="34" t="s">
        <v>4284</v>
      </c>
      <c r="U421" s="34" t="s">
        <v>3696</v>
      </c>
      <c r="V421" s="35">
        <v>0.32200000000000001</v>
      </c>
      <c r="W421" s="17"/>
      <c r="X421" s="34">
        <v>417</v>
      </c>
      <c r="Y421" s="34" t="s">
        <v>2248</v>
      </c>
      <c r="Z421" s="34" t="s">
        <v>3727</v>
      </c>
      <c r="AA421" s="35">
        <v>7.2496000000000009</v>
      </c>
      <c r="AB421" s="13"/>
      <c r="AC421" s="34">
        <v>417</v>
      </c>
      <c r="AD421" s="34" t="s">
        <v>4573</v>
      </c>
      <c r="AE421" s="34" t="s">
        <v>5431</v>
      </c>
      <c r="AF421" s="35">
        <v>7.7802419354838716E-4</v>
      </c>
    </row>
    <row r="422" spans="19:32" x14ac:dyDescent="0.35">
      <c r="S422" s="36">
        <v>418</v>
      </c>
      <c r="T422" s="36" t="s">
        <v>4284</v>
      </c>
      <c r="U422" s="36" t="s">
        <v>5448</v>
      </c>
      <c r="V422" s="37">
        <v>3.2902499999999999</v>
      </c>
      <c r="W422" s="17"/>
      <c r="X422" s="34">
        <v>418</v>
      </c>
      <c r="Y422" s="34" t="s">
        <v>2248</v>
      </c>
      <c r="Z422" s="34" t="s">
        <v>5745</v>
      </c>
      <c r="AA422" s="35">
        <v>4.8326612903225813E-3</v>
      </c>
      <c r="AB422" s="13"/>
      <c r="AC422" s="34">
        <v>418</v>
      </c>
      <c r="AD422" s="34" t="s">
        <v>4573</v>
      </c>
      <c r="AE422" s="34" t="s">
        <v>5430</v>
      </c>
      <c r="AF422" s="35">
        <v>1.8610887096774194E-3</v>
      </c>
    </row>
    <row r="423" spans="19:32" x14ac:dyDescent="0.35">
      <c r="S423" s="34">
        <v>419</v>
      </c>
      <c r="T423" s="34" t="s">
        <v>4284</v>
      </c>
      <c r="U423" s="34" t="s">
        <v>5448</v>
      </c>
      <c r="V423" s="35">
        <v>2.2415322580645163E-6</v>
      </c>
      <c r="W423" s="17"/>
      <c r="X423" s="34">
        <v>419</v>
      </c>
      <c r="Y423" s="34" t="s">
        <v>2248</v>
      </c>
      <c r="Z423" s="34" t="s">
        <v>5467</v>
      </c>
      <c r="AA423" s="35">
        <v>2.2449596774193549E-3</v>
      </c>
      <c r="AB423" s="13"/>
      <c r="AC423" s="34">
        <v>419</v>
      </c>
      <c r="AD423" s="34" t="s">
        <v>4573</v>
      </c>
      <c r="AE423" s="34" t="s">
        <v>5429</v>
      </c>
      <c r="AF423" s="35">
        <v>2.5739919354838708E-3</v>
      </c>
    </row>
    <row r="424" spans="19:32" x14ac:dyDescent="0.35">
      <c r="S424" s="34">
        <v>420</v>
      </c>
      <c r="T424" s="34" t="s">
        <v>4284</v>
      </c>
      <c r="U424" s="34" t="s">
        <v>5447</v>
      </c>
      <c r="V424" s="35">
        <v>6.7177419354838721E-6</v>
      </c>
      <c r="W424" s="17"/>
      <c r="X424" s="34">
        <v>420</v>
      </c>
      <c r="Y424" s="34" t="s">
        <v>2248</v>
      </c>
      <c r="Z424" s="34" t="s">
        <v>3724</v>
      </c>
      <c r="AA424" s="35">
        <v>7.3048000000000002</v>
      </c>
      <c r="AB424" s="13"/>
      <c r="AC424" s="34">
        <v>420</v>
      </c>
      <c r="AD424" s="34" t="s">
        <v>4573</v>
      </c>
      <c r="AE424" s="34" t="s">
        <v>3687</v>
      </c>
      <c r="AF424" s="35">
        <v>0</v>
      </c>
    </row>
    <row r="425" spans="19:32" x14ac:dyDescent="0.35">
      <c r="S425" s="34">
        <v>421</v>
      </c>
      <c r="T425" s="34" t="s">
        <v>4284</v>
      </c>
      <c r="U425" s="34" t="s">
        <v>5446</v>
      </c>
      <c r="V425" s="35">
        <v>4.1129032258064517E-4</v>
      </c>
      <c r="W425" s="17"/>
      <c r="X425" s="34">
        <v>421</v>
      </c>
      <c r="Y425" s="34" t="s">
        <v>2248</v>
      </c>
      <c r="Z425" s="34" t="s">
        <v>5466</v>
      </c>
      <c r="AA425" s="35">
        <v>1.3298387096774193E-3</v>
      </c>
      <c r="AB425" s="13"/>
      <c r="AC425" s="34">
        <v>421</v>
      </c>
      <c r="AD425" s="34" t="s">
        <v>4573</v>
      </c>
      <c r="AE425" s="34" t="s">
        <v>5428</v>
      </c>
      <c r="AF425" s="35">
        <v>3.564516129032258E-2</v>
      </c>
    </row>
    <row r="426" spans="19:32" x14ac:dyDescent="0.35">
      <c r="S426" s="34">
        <v>422</v>
      </c>
      <c r="T426" s="34" t="s">
        <v>4284</v>
      </c>
      <c r="U426" s="34" t="s">
        <v>5445</v>
      </c>
      <c r="V426" s="35">
        <v>2.0530241935483872E-5</v>
      </c>
      <c r="W426" s="17"/>
      <c r="X426" s="34">
        <v>422</v>
      </c>
      <c r="Y426" s="34" t="s">
        <v>2248</v>
      </c>
      <c r="Z426" s="34" t="s">
        <v>5744</v>
      </c>
      <c r="AA426" s="35">
        <v>6.3407258064516137E-2</v>
      </c>
      <c r="AB426" s="13"/>
      <c r="AC426" s="34">
        <v>422</v>
      </c>
      <c r="AD426" s="34" t="s">
        <v>4573</v>
      </c>
      <c r="AE426" s="34" t="s">
        <v>5427</v>
      </c>
      <c r="AF426" s="35">
        <v>2.8721774193548387E-3</v>
      </c>
    </row>
    <row r="427" spans="19:32" x14ac:dyDescent="0.35">
      <c r="S427" s="36">
        <v>423</v>
      </c>
      <c r="T427" s="36" t="s">
        <v>4284</v>
      </c>
      <c r="U427" s="36" t="s">
        <v>5743</v>
      </c>
      <c r="V427" s="37">
        <v>10.379</v>
      </c>
      <c r="W427" s="17"/>
      <c r="X427" s="34">
        <v>423</v>
      </c>
      <c r="Y427" s="34" t="s">
        <v>2248</v>
      </c>
      <c r="Z427" s="34" t="s">
        <v>5465</v>
      </c>
      <c r="AA427" s="35">
        <v>2.5568548387096775E-2</v>
      </c>
      <c r="AB427" s="13"/>
      <c r="AC427" s="34">
        <v>423</v>
      </c>
      <c r="AD427" s="34" t="s">
        <v>4573</v>
      </c>
      <c r="AE427" s="34" t="s">
        <v>3686</v>
      </c>
      <c r="AF427" s="35">
        <v>9.4939516129032269E-3</v>
      </c>
    </row>
    <row r="428" spans="19:32" x14ac:dyDescent="0.35">
      <c r="S428" s="36">
        <v>424</v>
      </c>
      <c r="T428" s="36" t="s">
        <v>4284</v>
      </c>
      <c r="U428" s="36" t="s">
        <v>5742</v>
      </c>
      <c r="V428" s="37">
        <v>10.218499999999999</v>
      </c>
      <c r="W428" s="17"/>
      <c r="X428" s="34">
        <v>424</v>
      </c>
      <c r="Y428" s="34" t="s">
        <v>2248</v>
      </c>
      <c r="Z428" s="34" t="s">
        <v>5464</v>
      </c>
      <c r="AA428" s="35">
        <v>6.9576612903225815E-3</v>
      </c>
      <c r="AB428" s="13"/>
      <c r="AC428" s="34">
        <v>424</v>
      </c>
      <c r="AD428" s="34" t="s">
        <v>4573</v>
      </c>
      <c r="AE428" s="34" t="s">
        <v>3686</v>
      </c>
      <c r="AF428" s="35">
        <v>0</v>
      </c>
    </row>
    <row r="429" spans="19:32" x14ac:dyDescent="0.35">
      <c r="S429" s="34">
        <v>425</v>
      </c>
      <c r="T429" s="34" t="s">
        <v>4284</v>
      </c>
      <c r="U429" s="34" t="s">
        <v>3694</v>
      </c>
      <c r="V429" s="35">
        <v>40.572000000000003</v>
      </c>
      <c r="W429" s="17"/>
      <c r="X429" s="34">
        <v>425</v>
      </c>
      <c r="Y429" s="34" t="s">
        <v>2248</v>
      </c>
      <c r="Z429" s="34" t="s">
        <v>5741</v>
      </c>
      <c r="AA429" s="35">
        <v>2.8858870967741939E-3</v>
      </c>
      <c r="AB429" s="13"/>
      <c r="AC429" s="34">
        <v>425</v>
      </c>
      <c r="AD429" s="34" t="s">
        <v>4573</v>
      </c>
      <c r="AE429" s="34" t="s">
        <v>5426</v>
      </c>
      <c r="AF429" s="35">
        <v>1.0008064516129032E-2</v>
      </c>
    </row>
    <row r="430" spans="19:32" x14ac:dyDescent="0.35">
      <c r="S430" s="36">
        <v>426</v>
      </c>
      <c r="T430" s="36" t="s">
        <v>4284</v>
      </c>
      <c r="U430" s="36" t="s">
        <v>5740</v>
      </c>
      <c r="V430" s="37">
        <v>7.5969999999999995</v>
      </c>
      <c r="W430" s="17"/>
      <c r="X430" s="34">
        <v>426</v>
      </c>
      <c r="Y430" s="34" t="s">
        <v>2248</v>
      </c>
      <c r="Z430" s="34" t="s">
        <v>5463</v>
      </c>
      <c r="AA430" s="35">
        <v>4.8326612903225812E-2</v>
      </c>
      <c r="AB430" s="13"/>
      <c r="AC430" s="34">
        <v>426</v>
      </c>
      <c r="AD430" s="34" t="s">
        <v>4573</v>
      </c>
      <c r="AE430" s="34" t="s">
        <v>5425</v>
      </c>
      <c r="AF430" s="35">
        <v>3.8729838709677424E-3</v>
      </c>
    </row>
    <row r="431" spans="19:32" x14ac:dyDescent="0.35">
      <c r="S431" s="34">
        <v>427</v>
      </c>
      <c r="T431" s="34" t="s">
        <v>4284</v>
      </c>
      <c r="U431" s="34" t="s">
        <v>5444</v>
      </c>
      <c r="V431" s="35">
        <v>8.431451612903226E-3</v>
      </c>
      <c r="W431" s="17"/>
      <c r="X431" s="34">
        <v>427</v>
      </c>
      <c r="Y431" s="34" t="s">
        <v>2248</v>
      </c>
      <c r="Z431" s="34" t="s">
        <v>5462</v>
      </c>
      <c r="AA431" s="35">
        <v>8.8770161290322586E-4</v>
      </c>
      <c r="AB431" s="13"/>
      <c r="AC431" s="34">
        <v>427</v>
      </c>
      <c r="AD431" s="34" t="s">
        <v>4573</v>
      </c>
      <c r="AE431" s="34" t="s">
        <v>5424</v>
      </c>
      <c r="AF431" s="35">
        <v>9.596774193548388E-3</v>
      </c>
    </row>
    <row r="432" spans="19:32" x14ac:dyDescent="0.35">
      <c r="S432" s="34">
        <v>428</v>
      </c>
      <c r="T432" s="34" t="s">
        <v>4284</v>
      </c>
      <c r="U432" s="34" t="s">
        <v>5443</v>
      </c>
      <c r="V432" s="35">
        <v>2.0770161290322581E-3</v>
      </c>
      <c r="W432" s="17"/>
      <c r="X432" s="34">
        <v>428</v>
      </c>
      <c r="Y432" s="34" t="s">
        <v>2248</v>
      </c>
      <c r="Z432" s="34" t="s">
        <v>5739</v>
      </c>
      <c r="AA432" s="35">
        <v>4.1129032258064517E-4</v>
      </c>
      <c r="AB432" s="13"/>
      <c r="AC432" s="34">
        <v>428</v>
      </c>
      <c r="AD432" s="34" t="s">
        <v>4573</v>
      </c>
      <c r="AE432" s="34" t="s">
        <v>5423</v>
      </c>
      <c r="AF432" s="35">
        <v>1.0008064516129032E-3</v>
      </c>
    </row>
    <row r="433" spans="19:32" x14ac:dyDescent="0.35">
      <c r="S433" s="34">
        <v>429</v>
      </c>
      <c r="T433" s="34" t="s">
        <v>4284</v>
      </c>
      <c r="U433" s="34" t="s">
        <v>5442</v>
      </c>
      <c r="V433" s="35">
        <v>1.689717741935484E-5</v>
      </c>
      <c r="W433" s="17"/>
      <c r="X433" s="34">
        <v>429</v>
      </c>
      <c r="Y433" s="34" t="s">
        <v>2248</v>
      </c>
      <c r="Z433" s="34" t="s">
        <v>3723</v>
      </c>
      <c r="AA433" s="35">
        <v>0</v>
      </c>
      <c r="AB433" s="13"/>
      <c r="AC433" s="34">
        <v>429</v>
      </c>
      <c r="AD433" s="34" t="s">
        <v>4573</v>
      </c>
      <c r="AE433" s="34" t="s">
        <v>5422</v>
      </c>
      <c r="AF433" s="35">
        <v>1.0590725806451614E-2</v>
      </c>
    </row>
    <row r="434" spans="19:32" x14ac:dyDescent="0.35">
      <c r="S434" s="34">
        <v>430</v>
      </c>
      <c r="T434" s="34" t="s">
        <v>4284</v>
      </c>
      <c r="U434" s="34" t="s">
        <v>5441</v>
      </c>
      <c r="V434" s="35">
        <v>1.9193548387096775E-3</v>
      </c>
      <c r="W434" s="17"/>
      <c r="X434" s="34">
        <v>430</v>
      </c>
      <c r="Y434" s="34" t="s">
        <v>2248</v>
      </c>
      <c r="Z434" s="34" t="s">
        <v>3723</v>
      </c>
      <c r="AA434" s="35">
        <v>6.1008064516129043E-4</v>
      </c>
      <c r="AB434" s="13"/>
      <c r="AC434" s="34">
        <v>430</v>
      </c>
      <c r="AD434" s="34" t="s">
        <v>4573</v>
      </c>
      <c r="AE434" s="34" t="s">
        <v>5421</v>
      </c>
      <c r="AF434" s="35">
        <v>1.0145161290322581E-4</v>
      </c>
    </row>
    <row r="435" spans="19:32" x14ac:dyDescent="0.35">
      <c r="S435" s="34">
        <v>431</v>
      </c>
      <c r="T435" s="34" t="s">
        <v>4284</v>
      </c>
      <c r="U435" s="34" t="s">
        <v>5440</v>
      </c>
      <c r="V435" s="35">
        <v>1.984475806451613E-4</v>
      </c>
      <c r="W435" s="17"/>
      <c r="X435" s="34">
        <v>431</v>
      </c>
      <c r="Y435" s="34" t="s">
        <v>2248</v>
      </c>
      <c r="Z435" s="34" t="s">
        <v>3721</v>
      </c>
      <c r="AA435" s="35">
        <v>0</v>
      </c>
      <c r="AB435" s="13"/>
      <c r="AC435" s="34">
        <v>431</v>
      </c>
      <c r="AD435" s="34" t="s">
        <v>4573</v>
      </c>
      <c r="AE435" s="34" t="s">
        <v>5420</v>
      </c>
      <c r="AF435" s="35">
        <v>1.0419354838709679E-2</v>
      </c>
    </row>
    <row r="436" spans="19:32" x14ac:dyDescent="0.35">
      <c r="S436" s="34">
        <v>432</v>
      </c>
      <c r="T436" s="34" t="s">
        <v>4284</v>
      </c>
      <c r="U436" s="34" t="s">
        <v>5439</v>
      </c>
      <c r="V436" s="35">
        <v>1.9981854838709678E-2</v>
      </c>
      <c r="W436" s="17"/>
      <c r="X436" s="34">
        <v>432</v>
      </c>
      <c r="Y436" s="34" t="s">
        <v>2248</v>
      </c>
      <c r="Z436" s="34" t="s">
        <v>5738</v>
      </c>
      <c r="AA436" s="35">
        <v>1.0008064516129032E-4</v>
      </c>
      <c r="AB436" s="13"/>
      <c r="AC436" s="34">
        <v>432</v>
      </c>
      <c r="AD436" s="34" t="s">
        <v>4573</v>
      </c>
      <c r="AE436" s="34" t="s">
        <v>5419</v>
      </c>
      <c r="AF436" s="35">
        <v>2.9098790322580649E-3</v>
      </c>
    </row>
    <row r="437" spans="19:32" x14ac:dyDescent="0.35">
      <c r="S437" s="34">
        <v>433</v>
      </c>
      <c r="T437" s="34" t="s">
        <v>4284</v>
      </c>
      <c r="U437" s="34" t="s">
        <v>5438</v>
      </c>
      <c r="V437" s="35">
        <v>2.0187500000000001E-2</v>
      </c>
      <c r="W437" s="17"/>
      <c r="X437" s="34">
        <v>433</v>
      </c>
      <c r="Y437" s="34" t="s">
        <v>2248</v>
      </c>
      <c r="Z437" s="34" t="s">
        <v>5461</v>
      </c>
      <c r="AA437" s="35">
        <v>1.8028225806451614E-3</v>
      </c>
      <c r="AB437" s="13"/>
      <c r="AC437" s="34">
        <v>433</v>
      </c>
      <c r="AD437" s="34" t="s">
        <v>4573</v>
      </c>
      <c r="AE437" s="34" t="s">
        <v>5418</v>
      </c>
      <c r="AF437" s="35">
        <v>0.55181451612903232</v>
      </c>
    </row>
    <row r="438" spans="19:32" x14ac:dyDescent="0.35">
      <c r="S438" s="34">
        <v>434</v>
      </c>
      <c r="T438" s="34" t="s">
        <v>4284</v>
      </c>
      <c r="U438" s="34" t="s">
        <v>5437</v>
      </c>
      <c r="V438" s="35">
        <v>2.5260080645161291E-3</v>
      </c>
      <c r="W438" s="17"/>
      <c r="X438" s="34">
        <v>434</v>
      </c>
      <c r="Y438" s="34" t="s">
        <v>2248</v>
      </c>
      <c r="Z438" s="34" t="s">
        <v>3719</v>
      </c>
      <c r="AA438" s="35">
        <v>3.4775999999999998</v>
      </c>
      <c r="AB438" s="13"/>
      <c r="AC438" s="34">
        <v>434</v>
      </c>
      <c r="AD438" s="34" t="s">
        <v>4573</v>
      </c>
      <c r="AE438" s="34" t="s">
        <v>5417</v>
      </c>
      <c r="AF438" s="35">
        <v>5.175403225806452E-2</v>
      </c>
    </row>
    <row r="439" spans="19:32" x14ac:dyDescent="0.35">
      <c r="S439" s="34">
        <v>435</v>
      </c>
      <c r="T439" s="34" t="s">
        <v>4284</v>
      </c>
      <c r="U439" s="34" t="s">
        <v>3692</v>
      </c>
      <c r="V439" s="35">
        <v>19.872</v>
      </c>
      <c r="W439" s="17"/>
      <c r="X439" s="34">
        <v>435</v>
      </c>
      <c r="Y439" s="34" t="s">
        <v>2248</v>
      </c>
      <c r="Z439" s="34" t="s">
        <v>3719</v>
      </c>
      <c r="AA439" s="35">
        <v>1.4875000000000001E-3</v>
      </c>
      <c r="AB439" s="13"/>
      <c r="AC439" s="34">
        <v>435</v>
      </c>
      <c r="AD439" s="34" t="s">
        <v>4573</v>
      </c>
      <c r="AE439" s="34" t="s">
        <v>5416</v>
      </c>
      <c r="AF439" s="35">
        <v>1.227016129032258E-3</v>
      </c>
    </row>
    <row r="440" spans="19:32" x14ac:dyDescent="0.35">
      <c r="S440" s="34">
        <v>436</v>
      </c>
      <c r="T440" s="34" t="s">
        <v>4284</v>
      </c>
      <c r="U440" s="34" t="s">
        <v>3689</v>
      </c>
      <c r="V440" s="35">
        <v>7.814516129032259E-2</v>
      </c>
      <c r="W440" s="17"/>
      <c r="X440" s="34">
        <v>436</v>
      </c>
      <c r="Y440" s="34" t="s">
        <v>2248</v>
      </c>
      <c r="Z440" s="34" t="s">
        <v>5737</v>
      </c>
      <c r="AA440" s="35">
        <v>5.8951612903225814E-3</v>
      </c>
      <c r="AB440" s="13"/>
      <c r="AC440" s="34">
        <v>436</v>
      </c>
      <c r="AD440" s="34" t="s">
        <v>4573</v>
      </c>
      <c r="AE440" s="34" t="s">
        <v>5415</v>
      </c>
      <c r="AF440" s="35">
        <v>1.4018145161290324E-2</v>
      </c>
    </row>
    <row r="441" spans="19:32" x14ac:dyDescent="0.35">
      <c r="S441" s="34">
        <v>437</v>
      </c>
      <c r="T441" s="34" t="s">
        <v>4284</v>
      </c>
      <c r="U441" s="34" t="s">
        <v>3689</v>
      </c>
      <c r="V441" s="35">
        <v>0</v>
      </c>
      <c r="W441" s="17"/>
      <c r="X441" s="34">
        <v>437</v>
      </c>
      <c r="Y441" s="34" t="s">
        <v>2248</v>
      </c>
      <c r="Z441" s="34" t="s">
        <v>5459</v>
      </c>
      <c r="AA441" s="35">
        <v>4.2157258064516132E-2</v>
      </c>
      <c r="AB441" s="13"/>
      <c r="AC441" s="34">
        <v>437</v>
      </c>
      <c r="AD441" s="34" t="s">
        <v>4573</v>
      </c>
      <c r="AE441" s="34" t="s">
        <v>5414</v>
      </c>
      <c r="AF441" s="35">
        <v>1.453225806451613E-2</v>
      </c>
    </row>
    <row r="442" spans="19:32" x14ac:dyDescent="0.35">
      <c r="S442" s="34">
        <v>438</v>
      </c>
      <c r="T442" s="34" t="s">
        <v>4284</v>
      </c>
      <c r="U442" s="34" t="s">
        <v>5436</v>
      </c>
      <c r="V442" s="35">
        <v>4.0443548387096779E-4</v>
      </c>
      <c r="W442" s="13"/>
      <c r="X442" s="34">
        <v>438</v>
      </c>
      <c r="Y442" s="34" t="s">
        <v>2248</v>
      </c>
      <c r="Z442" s="34" t="s">
        <v>5458</v>
      </c>
      <c r="AA442" s="35">
        <v>3.067540322580645E-4</v>
      </c>
      <c r="AB442" s="13"/>
      <c r="AC442" s="34">
        <v>438</v>
      </c>
      <c r="AD442" s="34" t="s">
        <v>4573</v>
      </c>
      <c r="AE442" s="34" t="s">
        <v>5413</v>
      </c>
      <c r="AF442" s="35">
        <v>0.3461693548387097</v>
      </c>
    </row>
    <row r="443" spans="19:32" x14ac:dyDescent="0.35">
      <c r="S443" s="34">
        <v>439</v>
      </c>
      <c r="T443" s="34" t="s">
        <v>4284</v>
      </c>
      <c r="U443" s="34" t="s">
        <v>5435</v>
      </c>
      <c r="V443" s="35">
        <v>2.7864919354838712E-4</v>
      </c>
      <c r="W443" s="13"/>
      <c r="X443" s="34">
        <v>439</v>
      </c>
      <c r="Y443" s="34" t="s">
        <v>2248</v>
      </c>
      <c r="Z443" s="34" t="s">
        <v>5736</v>
      </c>
      <c r="AA443" s="35">
        <v>5.3125000000000004E-4</v>
      </c>
      <c r="AB443" s="13"/>
      <c r="AC443" s="34">
        <v>439</v>
      </c>
      <c r="AD443" s="34" t="s">
        <v>4573</v>
      </c>
      <c r="AE443" s="34" t="s">
        <v>5409</v>
      </c>
      <c r="AF443" s="35">
        <v>1.3298387096774193E-3</v>
      </c>
    </row>
    <row r="444" spans="19:32" x14ac:dyDescent="0.35">
      <c r="S444" s="34">
        <v>440</v>
      </c>
      <c r="T444" s="34" t="s">
        <v>4284</v>
      </c>
      <c r="U444" s="34" t="s">
        <v>5434</v>
      </c>
      <c r="V444" s="35">
        <v>2.2209677419354839E-3</v>
      </c>
      <c r="W444" s="13"/>
      <c r="X444" s="34">
        <v>440</v>
      </c>
      <c r="Y444" s="34" t="s">
        <v>2248</v>
      </c>
      <c r="Z444" s="34" t="s">
        <v>3716</v>
      </c>
      <c r="AA444" s="35">
        <v>0</v>
      </c>
      <c r="AB444" s="13"/>
      <c r="AC444" s="34">
        <v>440</v>
      </c>
      <c r="AD444" s="34" t="s">
        <v>4573</v>
      </c>
      <c r="AE444" s="34" t="s">
        <v>5408</v>
      </c>
      <c r="AF444" s="35">
        <v>2.0907258064516133E-3</v>
      </c>
    </row>
    <row r="445" spans="19:32" x14ac:dyDescent="0.35">
      <c r="S445" s="34">
        <v>441</v>
      </c>
      <c r="T445" s="34" t="s">
        <v>4284</v>
      </c>
      <c r="U445" s="34" t="s">
        <v>5433</v>
      </c>
      <c r="V445" s="35">
        <v>1.0590725806451612E-8</v>
      </c>
      <c r="W445" s="13"/>
      <c r="X445" s="34">
        <v>441</v>
      </c>
      <c r="Y445" s="34" t="s">
        <v>2248</v>
      </c>
      <c r="Z445" s="34" t="s">
        <v>5457</v>
      </c>
      <c r="AA445" s="35">
        <v>8.705645161290323E-6</v>
      </c>
      <c r="AB445" s="13"/>
      <c r="AC445" s="34">
        <v>441</v>
      </c>
      <c r="AD445" s="34" t="s">
        <v>4573</v>
      </c>
      <c r="AE445" s="34" t="s">
        <v>5407</v>
      </c>
      <c r="AF445" s="35">
        <v>4.7641129032258069E-4</v>
      </c>
    </row>
    <row r="446" spans="19:32" x14ac:dyDescent="0.35">
      <c r="S446" s="34">
        <v>442</v>
      </c>
      <c r="T446" s="34" t="s">
        <v>4284</v>
      </c>
      <c r="U446" s="34" t="s">
        <v>5432</v>
      </c>
      <c r="V446" s="35">
        <v>5.4153225806451615E-3</v>
      </c>
      <c r="W446" s="13"/>
      <c r="X446" s="34">
        <v>442</v>
      </c>
      <c r="Y446" s="34" t="s">
        <v>2248</v>
      </c>
      <c r="Z446" s="34" t="s">
        <v>5735</v>
      </c>
      <c r="AA446" s="35">
        <v>4.6612903225806451E-4</v>
      </c>
      <c r="AB446" s="13"/>
      <c r="AC446" s="34">
        <v>442</v>
      </c>
      <c r="AD446" s="34" t="s">
        <v>4573</v>
      </c>
      <c r="AE446" s="34" t="s">
        <v>5403</v>
      </c>
      <c r="AF446" s="35">
        <v>3.804435483870968E-4</v>
      </c>
    </row>
    <row r="447" spans="19:32" x14ac:dyDescent="0.35">
      <c r="S447" s="34">
        <v>443</v>
      </c>
      <c r="T447" s="34" t="s">
        <v>4284</v>
      </c>
      <c r="U447" s="34" t="s">
        <v>5431</v>
      </c>
      <c r="V447" s="35">
        <v>3.2457661290322582E-5</v>
      </c>
      <c r="W447" s="13"/>
      <c r="X447" s="34">
        <v>443</v>
      </c>
      <c r="Y447" s="34" t="s">
        <v>2248</v>
      </c>
      <c r="Z447" s="34" t="s">
        <v>5456</v>
      </c>
      <c r="AA447" s="35">
        <v>4.1471774193548389E-2</v>
      </c>
      <c r="AB447" s="13"/>
      <c r="AC447" s="34">
        <v>443</v>
      </c>
      <c r="AD447" s="34" t="s">
        <v>4573</v>
      </c>
      <c r="AE447" s="34" t="s">
        <v>5401</v>
      </c>
      <c r="AF447" s="35">
        <v>1.0419354838709679E-2</v>
      </c>
    </row>
    <row r="448" spans="19:32" x14ac:dyDescent="0.35">
      <c r="S448" s="34">
        <v>444</v>
      </c>
      <c r="T448" s="34" t="s">
        <v>4284</v>
      </c>
      <c r="U448" s="34" t="s">
        <v>5430</v>
      </c>
      <c r="V448" s="35">
        <v>3.4959677419354839E-4</v>
      </c>
      <c r="W448" s="13"/>
      <c r="X448" s="34">
        <v>444</v>
      </c>
      <c r="Y448" s="34" t="s">
        <v>2248</v>
      </c>
      <c r="Z448" s="34" t="s">
        <v>5455</v>
      </c>
      <c r="AA448" s="35">
        <v>5.9294354838709679E-3</v>
      </c>
      <c r="AB448" s="13"/>
      <c r="AC448" s="34">
        <v>444</v>
      </c>
      <c r="AD448" s="34" t="s">
        <v>4573</v>
      </c>
      <c r="AE448" s="34" t="s">
        <v>5400</v>
      </c>
      <c r="AF448" s="35">
        <v>22.723790322580648</v>
      </c>
    </row>
    <row r="449" spans="19:32" x14ac:dyDescent="0.35">
      <c r="S449" s="34">
        <v>445</v>
      </c>
      <c r="T449" s="34" t="s">
        <v>4284</v>
      </c>
      <c r="U449" s="34" t="s">
        <v>5429</v>
      </c>
      <c r="V449" s="35">
        <v>1.3743951612903225E-6</v>
      </c>
      <c r="W449" s="13"/>
      <c r="X449" s="34">
        <v>445</v>
      </c>
      <c r="Y449" s="34" t="s">
        <v>2248</v>
      </c>
      <c r="Z449" s="34" t="s">
        <v>5734</v>
      </c>
      <c r="AA449" s="35">
        <v>6.8891129032258077E-6</v>
      </c>
      <c r="AB449" s="13"/>
      <c r="AC449" s="34">
        <v>445</v>
      </c>
      <c r="AD449" s="34" t="s">
        <v>4573</v>
      </c>
      <c r="AE449" s="34" t="s">
        <v>5399</v>
      </c>
      <c r="AF449" s="35">
        <v>7.7116935483870974E-3</v>
      </c>
    </row>
    <row r="450" spans="19:32" x14ac:dyDescent="0.35">
      <c r="S450" s="34">
        <v>446</v>
      </c>
      <c r="T450" s="34" t="s">
        <v>4284</v>
      </c>
      <c r="U450" s="34" t="s">
        <v>3687</v>
      </c>
      <c r="V450" s="35">
        <v>0</v>
      </c>
      <c r="W450" s="13"/>
      <c r="X450" s="34">
        <v>446</v>
      </c>
      <c r="Y450" s="34" t="s">
        <v>2248</v>
      </c>
      <c r="Z450" s="34" t="s">
        <v>5454</v>
      </c>
      <c r="AA450" s="35">
        <v>0.18645161290322582</v>
      </c>
      <c r="AB450" s="13"/>
      <c r="AC450" s="34">
        <v>446</v>
      </c>
      <c r="AD450" s="34" t="s">
        <v>4573</v>
      </c>
      <c r="AE450" s="34" t="s">
        <v>3683</v>
      </c>
      <c r="AF450" s="35">
        <v>1.0350806451612903E-3</v>
      </c>
    </row>
    <row r="451" spans="19:32" x14ac:dyDescent="0.35">
      <c r="S451" s="34">
        <v>447</v>
      </c>
      <c r="T451" s="34" t="s">
        <v>4284</v>
      </c>
      <c r="U451" s="34" t="s">
        <v>5428</v>
      </c>
      <c r="V451" s="35">
        <v>2.8858870967741936E-5</v>
      </c>
      <c r="W451" s="13"/>
      <c r="X451" s="34">
        <v>447</v>
      </c>
      <c r="Y451" s="34" t="s">
        <v>2248</v>
      </c>
      <c r="Z451" s="34" t="s">
        <v>3714</v>
      </c>
      <c r="AA451" s="35">
        <v>0</v>
      </c>
      <c r="AB451" s="13"/>
      <c r="AC451" s="34">
        <v>447</v>
      </c>
      <c r="AD451" s="34" t="s">
        <v>4573</v>
      </c>
      <c r="AE451" s="34" t="s">
        <v>3683</v>
      </c>
      <c r="AF451" s="35">
        <v>4.2780000000000005</v>
      </c>
    </row>
    <row r="452" spans="19:32" x14ac:dyDescent="0.35">
      <c r="S452" s="34">
        <v>448</v>
      </c>
      <c r="T452" s="34" t="s">
        <v>4284</v>
      </c>
      <c r="U452" s="34" t="s">
        <v>5427</v>
      </c>
      <c r="V452" s="35">
        <v>3.105241935483871E-5</v>
      </c>
      <c r="W452" s="13"/>
      <c r="X452" s="34">
        <v>448</v>
      </c>
      <c r="Y452" s="34" t="s">
        <v>2248</v>
      </c>
      <c r="Z452" s="34" t="s">
        <v>3714</v>
      </c>
      <c r="AA452" s="35">
        <v>3.7701612903225808E-3</v>
      </c>
      <c r="AB452" s="13"/>
      <c r="AC452" s="34">
        <v>448</v>
      </c>
      <c r="AD452" s="34" t="s">
        <v>4573</v>
      </c>
      <c r="AE452" s="34" t="s">
        <v>5393</v>
      </c>
      <c r="AF452" s="35">
        <v>0.64778225806451617</v>
      </c>
    </row>
    <row r="453" spans="19:32" x14ac:dyDescent="0.35">
      <c r="S453" s="34">
        <v>449</v>
      </c>
      <c r="T453" s="34" t="s">
        <v>4284</v>
      </c>
      <c r="U453" s="34" t="s">
        <v>3686</v>
      </c>
      <c r="V453" s="35">
        <v>1.1344758064516131E-4</v>
      </c>
      <c r="W453" s="13"/>
      <c r="X453" s="34">
        <v>449</v>
      </c>
      <c r="Y453" s="34" t="s">
        <v>2248</v>
      </c>
      <c r="Z453" s="34" t="s">
        <v>5733</v>
      </c>
      <c r="AA453" s="35">
        <v>1.4052419354838709E-4</v>
      </c>
      <c r="AB453" s="13"/>
      <c r="AC453" s="34">
        <v>449</v>
      </c>
      <c r="AD453" s="34" t="s">
        <v>4573</v>
      </c>
      <c r="AE453" s="34" t="s">
        <v>5392</v>
      </c>
      <c r="AF453" s="35">
        <v>5.8951612903225808E-4</v>
      </c>
    </row>
    <row r="454" spans="19:32" x14ac:dyDescent="0.35">
      <c r="S454" s="34">
        <v>450</v>
      </c>
      <c r="T454" s="34" t="s">
        <v>4284</v>
      </c>
      <c r="U454" s="34" t="s">
        <v>3686</v>
      </c>
      <c r="V454" s="35">
        <v>0</v>
      </c>
      <c r="W454" s="13"/>
      <c r="X454" s="34">
        <v>450</v>
      </c>
      <c r="Y454" s="34" t="s">
        <v>2248</v>
      </c>
      <c r="Z454" s="34" t="s">
        <v>3710</v>
      </c>
      <c r="AA454" s="35">
        <v>0</v>
      </c>
      <c r="AB454" s="13"/>
      <c r="AC454" s="34">
        <v>450</v>
      </c>
      <c r="AD454" s="34" t="s">
        <v>4573</v>
      </c>
      <c r="AE454" s="34" t="s">
        <v>5391</v>
      </c>
      <c r="AF454" s="35">
        <v>0.19193548387096776</v>
      </c>
    </row>
    <row r="455" spans="19:32" x14ac:dyDescent="0.35">
      <c r="S455" s="34">
        <v>451</v>
      </c>
      <c r="T455" s="34" t="s">
        <v>4284</v>
      </c>
      <c r="U455" s="34" t="s">
        <v>5426</v>
      </c>
      <c r="V455" s="35">
        <v>1.2407258064516129E-4</v>
      </c>
      <c r="W455" s="13"/>
      <c r="X455" s="34">
        <v>451</v>
      </c>
      <c r="Y455" s="34" t="s">
        <v>2248</v>
      </c>
      <c r="Z455" s="34" t="s">
        <v>5453</v>
      </c>
      <c r="AA455" s="35">
        <v>4.6270161290322583E-4</v>
      </c>
      <c r="AB455" s="13"/>
      <c r="AC455" s="34">
        <v>451</v>
      </c>
      <c r="AD455" s="34" t="s">
        <v>4573</v>
      </c>
      <c r="AE455" s="34" t="s">
        <v>5390</v>
      </c>
      <c r="AF455" s="35">
        <v>1.6588709677419356E-4</v>
      </c>
    </row>
    <row r="456" spans="19:32" x14ac:dyDescent="0.35">
      <c r="S456" s="34">
        <v>452</v>
      </c>
      <c r="T456" s="34" t="s">
        <v>4284</v>
      </c>
      <c r="U456" s="34" t="s">
        <v>5425</v>
      </c>
      <c r="V456" s="35">
        <v>6.6491935483870975E-5</v>
      </c>
      <c r="W456" s="13"/>
      <c r="X456" s="34">
        <v>452</v>
      </c>
      <c r="Y456" s="34" t="s">
        <v>2248</v>
      </c>
      <c r="Z456" s="34" t="s">
        <v>5732</v>
      </c>
      <c r="AA456" s="35">
        <v>3.4239919354838713E-4</v>
      </c>
      <c r="AB456" s="13"/>
      <c r="AC456" s="34">
        <v>452</v>
      </c>
      <c r="AD456" s="34" t="s">
        <v>4573</v>
      </c>
      <c r="AE456" s="34" t="s">
        <v>3681</v>
      </c>
      <c r="AF456" s="35">
        <v>3.7358870967741937E-4</v>
      </c>
    </row>
    <row r="457" spans="19:32" x14ac:dyDescent="0.35">
      <c r="S457" s="34">
        <v>453</v>
      </c>
      <c r="T457" s="34" t="s">
        <v>4284</v>
      </c>
      <c r="U457" s="34" t="s">
        <v>5424</v>
      </c>
      <c r="V457" s="35">
        <v>2.9304435483870969E-5</v>
      </c>
      <c r="W457" s="13"/>
      <c r="X457" s="34">
        <v>453</v>
      </c>
      <c r="Y457" s="34" t="s">
        <v>2248</v>
      </c>
      <c r="Z457" s="34" t="s">
        <v>3708</v>
      </c>
      <c r="AA457" s="35">
        <v>2.3643999999999998E-2</v>
      </c>
      <c r="AB457" s="13"/>
      <c r="AC457" s="34">
        <v>453</v>
      </c>
      <c r="AD457" s="34" t="s">
        <v>4573</v>
      </c>
      <c r="AE457" s="34" t="s">
        <v>3681</v>
      </c>
      <c r="AF457" s="35">
        <v>0</v>
      </c>
    </row>
    <row r="458" spans="19:32" x14ac:dyDescent="0.35">
      <c r="S458" s="34">
        <v>454</v>
      </c>
      <c r="T458" s="34" t="s">
        <v>4284</v>
      </c>
      <c r="U458" s="34" t="s">
        <v>5423</v>
      </c>
      <c r="V458" s="35">
        <v>5.3125000000000004E-5</v>
      </c>
      <c r="W458" s="13"/>
      <c r="X458" s="34">
        <v>454</v>
      </c>
      <c r="Y458" s="34" t="s">
        <v>2248</v>
      </c>
      <c r="Z458" s="34" t="s">
        <v>5452</v>
      </c>
      <c r="AA458" s="35">
        <v>7.0604838709677425E-6</v>
      </c>
      <c r="AB458" s="13"/>
      <c r="AC458" s="34">
        <v>454</v>
      </c>
      <c r="AD458" s="34" t="s">
        <v>4573</v>
      </c>
      <c r="AE458" s="34" t="s">
        <v>5389</v>
      </c>
      <c r="AF458" s="35">
        <v>1.1379032258064519E-3</v>
      </c>
    </row>
    <row r="459" spans="19:32" x14ac:dyDescent="0.35">
      <c r="S459" s="34">
        <v>455</v>
      </c>
      <c r="T459" s="34" t="s">
        <v>4284</v>
      </c>
      <c r="U459" s="34" t="s">
        <v>5422</v>
      </c>
      <c r="V459" s="35">
        <v>4.7641129032258069E-6</v>
      </c>
      <c r="W459" s="13"/>
      <c r="X459" s="34">
        <v>455</v>
      </c>
      <c r="Y459" s="34" t="s">
        <v>2248</v>
      </c>
      <c r="Z459" s="34" t="s">
        <v>3706</v>
      </c>
      <c r="AA459" s="35">
        <v>1.1867999999999999</v>
      </c>
      <c r="AB459" s="13"/>
      <c r="AC459" s="34">
        <v>455</v>
      </c>
      <c r="AD459" s="34" t="s">
        <v>4573</v>
      </c>
      <c r="AE459" s="34" t="s">
        <v>5388</v>
      </c>
      <c r="AF459" s="35">
        <v>1.4086693548387099E-2</v>
      </c>
    </row>
    <row r="460" spans="19:32" x14ac:dyDescent="0.35">
      <c r="S460" s="34">
        <v>456</v>
      </c>
      <c r="T460" s="34" t="s">
        <v>4284</v>
      </c>
      <c r="U460" s="34" t="s">
        <v>5421</v>
      </c>
      <c r="V460" s="35">
        <v>5.0725806451612907E-6</v>
      </c>
      <c r="W460" s="13"/>
      <c r="X460" s="34">
        <v>456</v>
      </c>
      <c r="Y460" s="34" t="s">
        <v>2248</v>
      </c>
      <c r="Z460" s="34" t="s">
        <v>5731</v>
      </c>
      <c r="AA460" s="35">
        <v>1.5320564516129034E-4</v>
      </c>
      <c r="AB460" s="13"/>
      <c r="AC460" s="34">
        <v>456</v>
      </c>
      <c r="AD460" s="34" t="s">
        <v>4573</v>
      </c>
      <c r="AE460" s="34" t="s">
        <v>3679</v>
      </c>
      <c r="AF460" s="35">
        <v>3.3763999999999998</v>
      </c>
    </row>
    <row r="461" spans="19:32" x14ac:dyDescent="0.35">
      <c r="S461" s="34">
        <v>457</v>
      </c>
      <c r="T461" s="34" t="s">
        <v>4284</v>
      </c>
      <c r="U461" s="34" t="s">
        <v>5420</v>
      </c>
      <c r="V461" s="35">
        <v>3.5302419354838712E-6</v>
      </c>
      <c r="W461" s="13"/>
      <c r="X461" s="34">
        <v>457</v>
      </c>
      <c r="Y461" s="34" t="s">
        <v>2248</v>
      </c>
      <c r="Z461" s="34" t="s">
        <v>5451</v>
      </c>
      <c r="AA461" s="35">
        <v>2.3512096774193551E-4</v>
      </c>
      <c r="AB461" s="13"/>
      <c r="AC461" s="34">
        <v>457</v>
      </c>
      <c r="AD461" s="34" t="s">
        <v>4573</v>
      </c>
      <c r="AE461" s="34" t="s">
        <v>5387</v>
      </c>
      <c r="AF461" s="35">
        <v>3.3245967741935487E-3</v>
      </c>
    </row>
    <row r="462" spans="19:32" x14ac:dyDescent="0.35">
      <c r="S462" s="34">
        <v>458</v>
      </c>
      <c r="T462" s="34" t="s">
        <v>4284</v>
      </c>
      <c r="U462" s="34" t="s">
        <v>5419</v>
      </c>
      <c r="V462" s="35">
        <v>2.5842741935483872E-6</v>
      </c>
      <c r="W462" s="13"/>
      <c r="X462" s="34">
        <v>458</v>
      </c>
      <c r="Y462" s="34" t="s">
        <v>2248</v>
      </c>
      <c r="Z462" s="34" t="s">
        <v>3702</v>
      </c>
      <c r="AA462" s="35">
        <v>0.46643999999999997</v>
      </c>
      <c r="AB462" s="13"/>
      <c r="AC462" s="34">
        <v>458</v>
      </c>
      <c r="AD462" s="34" t="s">
        <v>4573</v>
      </c>
      <c r="AE462" s="34" t="s">
        <v>5386</v>
      </c>
      <c r="AF462" s="35">
        <v>2.0324596774193551</v>
      </c>
    </row>
    <row r="463" spans="19:32" x14ac:dyDescent="0.35">
      <c r="S463" s="34">
        <v>459</v>
      </c>
      <c r="T463" s="34" t="s">
        <v>4284</v>
      </c>
      <c r="U463" s="34" t="s">
        <v>5418</v>
      </c>
      <c r="V463" s="35">
        <v>1.878225806451613E-3</v>
      </c>
      <c r="W463" s="13"/>
      <c r="X463" s="34">
        <v>459</v>
      </c>
      <c r="Y463" s="34" t="s">
        <v>2248</v>
      </c>
      <c r="Z463" s="34" t="s">
        <v>5730</v>
      </c>
      <c r="AA463" s="35">
        <v>5.4153225806451619E-6</v>
      </c>
      <c r="AB463" s="13"/>
      <c r="AC463" s="34">
        <v>459</v>
      </c>
      <c r="AD463" s="34" t="s">
        <v>4573</v>
      </c>
      <c r="AE463" s="34" t="s">
        <v>5385</v>
      </c>
      <c r="AF463" s="35">
        <v>2.9407258064516133E-4</v>
      </c>
    </row>
    <row r="464" spans="19:32" x14ac:dyDescent="0.35">
      <c r="S464" s="34">
        <v>460</v>
      </c>
      <c r="T464" s="34" t="s">
        <v>4284</v>
      </c>
      <c r="U464" s="34" t="s">
        <v>5417</v>
      </c>
      <c r="V464" s="35">
        <v>7.2318548387096781E-4</v>
      </c>
      <c r="W464" s="13"/>
      <c r="X464" s="34">
        <v>460</v>
      </c>
      <c r="Y464" s="34" t="s">
        <v>2248</v>
      </c>
      <c r="Z464" s="34" t="s">
        <v>3701</v>
      </c>
      <c r="AA464" s="35">
        <v>2.0699999999999998E-3</v>
      </c>
      <c r="AB464" s="13"/>
      <c r="AC464" s="34">
        <v>460</v>
      </c>
      <c r="AD464" s="34" t="s">
        <v>4573</v>
      </c>
      <c r="AE464" s="34" t="s">
        <v>5384</v>
      </c>
      <c r="AF464" s="35">
        <v>7.643145161290323E-5</v>
      </c>
    </row>
    <row r="465" spans="19:32" x14ac:dyDescent="0.35">
      <c r="S465" s="34">
        <v>461</v>
      </c>
      <c r="T465" s="34" t="s">
        <v>4284</v>
      </c>
      <c r="U465" s="34" t="s">
        <v>5416</v>
      </c>
      <c r="V465" s="35">
        <v>3.5645161290322585E-5</v>
      </c>
      <c r="W465" s="13"/>
      <c r="X465" s="34">
        <v>461</v>
      </c>
      <c r="Y465" s="34" t="s">
        <v>2248</v>
      </c>
      <c r="Z465" s="34" t="s">
        <v>3701</v>
      </c>
      <c r="AA465" s="35">
        <v>3.8729838709677424E-3</v>
      </c>
      <c r="AB465" s="13"/>
      <c r="AC465" s="34">
        <v>461</v>
      </c>
      <c r="AD465" s="34" t="s">
        <v>4573</v>
      </c>
      <c r="AE465" s="34" t="s">
        <v>5383</v>
      </c>
      <c r="AF465" s="35">
        <v>8.6028225806451618E-5</v>
      </c>
    </row>
    <row r="466" spans="19:32" x14ac:dyDescent="0.35">
      <c r="S466" s="34">
        <v>462</v>
      </c>
      <c r="T466" s="34" t="s">
        <v>4284</v>
      </c>
      <c r="U466" s="34" t="s">
        <v>5415</v>
      </c>
      <c r="V466" s="35">
        <v>7.4032258064516136E-4</v>
      </c>
      <c r="W466" s="13"/>
      <c r="X466" s="34">
        <v>462</v>
      </c>
      <c r="Y466" s="34" t="s">
        <v>2248</v>
      </c>
      <c r="Z466" s="34" t="s">
        <v>5729</v>
      </c>
      <c r="AA466" s="35">
        <v>2.2792338709677423E-5</v>
      </c>
      <c r="AB466" s="13"/>
      <c r="AC466" s="34">
        <v>462</v>
      </c>
      <c r="AD466" s="34" t="s">
        <v>4573</v>
      </c>
      <c r="AE466" s="34" t="s">
        <v>5382</v>
      </c>
      <c r="AF466" s="35">
        <v>2.7762096774193548E-4</v>
      </c>
    </row>
    <row r="467" spans="19:32" x14ac:dyDescent="0.35">
      <c r="S467" s="34">
        <v>463</v>
      </c>
      <c r="T467" s="34" t="s">
        <v>4284</v>
      </c>
      <c r="U467" s="34" t="s">
        <v>5414</v>
      </c>
      <c r="V467" s="35">
        <v>1.6040322580645162E-4</v>
      </c>
      <c r="W467" s="13"/>
      <c r="X467" s="34">
        <v>463</v>
      </c>
      <c r="Y467" s="34" t="s">
        <v>2248</v>
      </c>
      <c r="Z467" s="34" t="s">
        <v>5450</v>
      </c>
      <c r="AA467" s="35">
        <v>4.4213709677419358E-4</v>
      </c>
      <c r="AB467" s="13"/>
      <c r="AC467" s="34">
        <v>463</v>
      </c>
      <c r="AD467" s="34" t="s">
        <v>4573</v>
      </c>
      <c r="AE467" s="34" t="s">
        <v>5381</v>
      </c>
      <c r="AF467" s="35">
        <v>0.24985887096774195</v>
      </c>
    </row>
    <row r="468" spans="19:32" x14ac:dyDescent="0.35">
      <c r="S468" s="34">
        <v>464</v>
      </c>
      <c r="T468" s="34" t="s">
        <v>4284</v>
      </c>
      <c r="U468" s="34" t="s">
        <v>5413</v>
      </c>
      <c r="V468" s="35">
        <v>4.0443548387096781E-3</v>
      </c>
      <c r="W468" s="13"/>
      <c r="X468" s="34">
        <v>464</v>
      </c>
      <c r="Y468" s="34" t="s">
        <v>2248</v>
      </c>
      <c r="Z468" s="34" t="s">
        <v>3699</v>
      </c>
      <c r="AA468" s="35">
        <v>9.8440000000000003E-3</v>
      </c>
      <c r="AB468" s="13"/>
      <c r="AC468" s="34">
        <v>464</v>
      </c>
      <c r="AD468" s="34" t="s">
        <v>4573</v>
      </c>
      <c r="AE468" s="34" t="s">
        <v>3677</v>
      </c>
      <c r="AF468" s="35">
        <v>6.4435483870967744E-2</v>
      </c>
    </row>
    <row r="469" spans="19:32" x14ac:dyDescent="0.35">
      <c r="S469" s="34">
        <v>465</v>
      </c>
      <c r="T469" s="34" t="s">
        <v>4284</v>
      </c>
      <c r="U469" s="34" t="s">
        <v>5409</v>
      </c>
      <c r="V469" s="35">
        <v>4.1814516129032259E-6</v>
      </c>
      <c r="W469" s="13"/>
      <c r="X469" s="34">
        <v>465</v>
      </c>
      <c r="Y469" s="34" t="s">
        <v>2248</v>
      </c>
      <c r="Z469" s="34" t="s">
        <v>5728</v>
      </c>
      <c r="AA469" s="35">
        <v>5.6552419354838713E-5</v>
      </c>
      <c r="AB469" s="13"/>
      <c r="AC469" s="34">
        <v>465</v>
      </c>
      <c r="AD469" s="34" t="s">
        <v>4573</v>
      </c>
      <c r="AE469" s="34" t="s">
        <v>3677</v>
      </c>
      <c r="AF469" s="35">
        <v>0</v>
      </c>
    </row>
    <row r="470" spans="19:32" x14ac:dyDescent="0.35">
      <c r="S470" s="34">
        <v>466</v>
      </c>
      <c r="T470" s="34" t="s">
        <v>4284</v>
      </c>
      <c r="U470" s="34" t="s">
        <v>5408</v>
      </c>
      <c r="V470" s="35">
        <v>4.7983870967741943E-6</v>
      </c>
      <c r="W470" s="13"/>
      <c r="X470" s="34">
        <v>466</v>
      </c>
      <c r="Y470" s="34" t="s">
        <v>2248</v>
      </c>
      <c r="Z470" s="34" t="s">
        <v>5449</v>
      </c>
      <c r="AA470" s="35">
        <v>5.0725806451612907E-5</v>
      </c>
      <c r="AB470" s="13"/>
      <c r="AC470" s="34">
        <v>466</v>
      </c>
      <c r="AD470" s="34" t="s">
        <v>4573</v>
      </c>
      <c r="AE470" s="34" t="s">
        <v>5380</v>
      </c>
      <c r="AF470" s="35">
        <v>1.8096774193548388E-3</v>
      </c>
    </row>
    <row r="471" spans="19:32" x14ac:dyDescent="0.35">
      <c r="S471" s="34">
        <v>467</v>
      </c>
      <c r="T471" s="34" t="s">
        <v>4284</v>
      </c>
      <c r="U471" s="34" t="s">
        <v>5407</v>
      </c>
      <c r="V471" s="35">
        <v>4.1814516129032259E-6</v>
      </c>
      <c r="W471" s="13"/>
      <c r="X471" s="34">
        <v>467</v>
      </c>
      <c r="Y471" s="34" t="s">
        <v>2248</v>
      </c>
      <c r="Z471" s="34" t="s">
        <v>3696</v>
      </c>
      <c r="AA471" s="35">
        <v>0.10396000000000001</v>
      </c>
      <c r="AB471" s="13"/>
      <c r="AC471" s="34">
        <v>467</v>
      </c>
      <c r="AD471" s="34" t="s">
        <v>4573</v>
      </c>
      <c r="AE471" s="34" t="s">
        <v>5379</v>
      </c>
      <c r="AF471" s="35">
        <v>5.3125000000000006E-2</v>
      </c>
    </row>
    <row r="472" spans="19:32" x14ac:dyDescent="0.35">
      <c r="S472" s="36">
        <v>468</v>
      </c>
      <c r="T472" s="36" t="s">
        <v>4284</v>
      </c>
      <c r="U472" s="36" t="s">
        <v>5403</v>
      </c>
      <c r="V472" s="37">
        <v>5.1680999999999999</v>
      </c>
      <c r="W472" s="13"/>
      <c r="X472" s="34">
        <v>468</v>
      </c>
      <c r="Y472" s="34" t="s">
        <v>2248</v>
      </c>
      <c r="Z472" s="34" t="s">
        <v>3696</v>
      </c>
      <c r="AA472" s="35">
        <v>2.2038306451612903E-4</v>
      </c>
      <c r="AB472" s="13"/>
      <c r="AC472" s="34">
        <v>468</v>
      </c>
      <c r="AD472" s="34" t="s">
        <v>4573</v>
      </c>
      <c r="AE472" s="34" t="s">
        <v>5378</v>
      </c>
      <c r="AF472" s="35">
        <v>1.9159274193548388</v>
      </c>
    </row>
    <row r="473" spans="19:32" x14ac:dyDescent="0.35">
      <c r="S473" s="34">
        <v>469</v>
      </c>
      <c r="T473" s="34" t="s">
        <v>4284</v>
      </c>
      <c r="U473" s="34" t="s">
        <v>5403</v>
      </c>
      <c r="V473" s="35">
        <v>2.2655241935483875E-6</v>
      </c>
      <c r="W473" s="13"/>
      <c r="X473" s="34">
        <v>469</v>
      </c>
      <c r="Y473" s="34" t="s">
        <v>2248</v>
      </c>
      <c r="Z473" s="34" t="s">
        <v>5727</v>
      </c>
      <c r="AA473" s="35">
        <v>5.895161290322581E-5</v>
      </c>
      <c r="AB473" s="13"/>
      <c r="AC473" s="34">
        <v>469</v>
      </c>
      <c r="AD473" s="34" t="s">
        <v>4573</v>
      </c>
      <c r="AE473" s="34" t="s">
        <v>5377</v>
      </c>
      <c r="AF473" s="35">
        <v>1.8268145161290324E-2</v>
      </c>
    </row>
    <row r="474" spans="19:32" x14ac:dyDescent="0.35">
      <c r="S474" s="36">
        <v>470</v>
      </c>
      <c r="T474" s="36" t="s">
        <v>4284</v>
      </c>
      <c r="U474" s="36" t="s">
        <v>5726</v>
      </c>
      <c r="V474" s="37">
        <v>9.6835000000000004</v>
      </c>
      <c r="W474" s="13"/>
      <c r="X474" s="34">
        <v>470</v>
      </c>
      <c r="Y474" s="34" t="s">
        <v>2248</v>
      </c>
      <c r="Z474" s="34" t="s">
        <v>5448</v>
      </c>
      <c r="AA474" s="35">
        <v>2.5705645161290323E-5</v>
      </c>
      <c r="AB474" s="13"/>
      <c r="AC474" s="34">
        <v>470</v>
      </c>
      <c r="AD474" s="34" t="s">
        <v>4573</v>
      </c>
      <c r="AE474" s="34" t="s">
        <v>5376</v>
      </c>
      <c r="AF474" s="35">
        <v>4.9697580645161293E-4</v>
      </c>
    </row>
    <row r="475" spans="19:32" x14ac:dyDescent="0.35">
      <c r="S475" s="36">
        <v>471</v>
      </c>
      <c r="T475" s="36" t="s">
        <v>4284</v>
      </c>
      <c r="U475" s="36" t="s">
        <v>5725</v>
      </c>
      <c r="V475" s="37">
        <v>9.6835000000000004</v>
      </c>
      <c r="W475" s="13"/>
      <c r="X475" s="34">
        <v>471</v>
      </c>
      <c r="Y475" s="34" t="s">
        <v>2248</v>
      </c>
      <c r="Z475" s="34" t="s">
        <v>5724</v>
      </c>
      <c r="AA475" s="35">
        <v>1.3504032258064517E-5</v>
      </c>
      <c r="AB475" s="13"/>
      <c r="AC475" s="34">
        <v>471</v>
      </c>
      <c r="AD475" s="34" t="s">
        <v>4573</v>
      </c>
      <c r="AE475" s="34" t="s">
        <v>5375</v>
      </c>
      <c r="AF475" s="35">
        <v>2.2483870967741936E-4</v>
      </c>
    </row>
    <row r="476" spans="19:32" x14ac:dyDescent="0.35">
      <c r="S476" s="34">
        <v>472</v>
      </c>
      <c r="T476" s="34" t="s">
        <v>4284</v>
      </c>
      <c r="U476" s="34" t="s">
        <v>5401</v>
      </c>
      <c r="V476" s="35">
        <v>1.0796370967741937E-4</v>
      </c>
      <c r="W476" s="13"/>
      <c r="X476" s="34">
        <v>472</v>
      </c>
      <c r="Y476" s="34" t="s">
        <v>2248</v>
      </c>
      <c r="Z476" s="34" t="s">
        <v>5447</v>
      </c>
      <c r="AA476" s="35">
        <v>4.5927419354838714E-4</v>
      </c>
      <c r="AB476" s="13"/>
      <c r="AC476" s="34">
        <v>472</v>
      </c>
      <c r="AD476" s="34" t="s">
        <v>4573</v>
      </c>
      <c r="AE476" s="34" t="s">
        <v>5374</v>
      </c>
      <c r="AF476" s="35">
        <v>1.9604838709677421</v>
      </c>
    </row>
    <row r="477" spans="19:32" x14ac:dyDescent="0.35">
      <c r="S477" s="34">
        <v>473</v>
      </c>
      <c r="T477" s="34" t="s">
        <v>4284</v>
      </c>
      <c r="U477" s="34" t="s">
        <v>5400</v>
      </c>
      <c r="V477" s="35">
        <v>0.82600806451612907</v>
      </c>
      <c r="W477" s="13"/>
      <c r="X477" s="34">
        <v>473</v>
      </c>
      <c r="Y477" s="34" t="s">
        <v>2248</v>
      </c>
      <c r="Z477" s="34" t="s">
        <v>5446</v>
      </c>
      <c r="AA477" s="35">
        <v>1.8576612903225809E-2</v>
      </c>
      <c r="AB477" s="13"/>
      <c r="AC477" s="34">
        <v>473</v>
      </c>
      <c r="AD477" s="34" t="s">
        <v>4573</v>
      </c>
      <c r="AE477" s="34" t="s">
        <v>5373</v>
      </c>
      <c r="AF477" s="35">
        <v>7.8145161290322594E-3</v>
      </c>
    </row>
    <row r="478" spans="19:32" x14ac:dyDescent="0.35">
      <c r="S478" s="34">
        <v>474</v>
      </c>
      <c r="T478" s="34" t="s">
        <v>4284</v>
      </c>
      <c r="U478" s="34" t="s">
        <v>5399</v>
      </c>
      <c r="V478" s="35">
        <v>3.7701612903225811E-4</v>
      </c>
      <c r="W478" s="13"/>
      <c r="X478" s="34">
        <v>474</v>
      </c>
      <c r="Y478" s="34" t="s">
        <v>2248</v>
      </c>
      <c r="Z478" s="34" t="s">
        <v>5445</v>
      </c>
      <c r="AA478" s="35">
        <v>1.5868951612903225E-3</v>
      </c>
      <c r="AB478" s="13"/>
      <c r="AC478" s="34">
        <v>474</v>
      </c>
      <c r="AD478" s="34" t="s">
        <v>4573</v>
      </c>
      <c r="AE478" s="34" t="s">
        <v>5372</v>
      </c>
      <c r="AF478" s="35">
        <v>3.2971774193548388E-2</v>
      </c>
    </row>
    <row r="479" spans="19:32" x14ac:dyDescent="0.35">
      <c r="S479" s="34">
        <v>475</v>
      </c>
      <c r="T479" s="34" t="s">
        <v>4284</v>
      </c>
      <c r="U479" s="34" t="s">
        <v>3683</v>
      </c>
      <c r="V479" s="35">
        <v>2.6493951612903229E-5</v>
      </c>
      <c r="W479" s="13"/>
      <c r="X479" s="34">
        <v>475</v>
      </c>
      <c r="Y479" s="34" t="s">
        <v>2248</v>
      </c>
      <c r="Z479" s="34" t="s">
        <v>5723</v>
      </c>
      <c r="AA479" s="35">
        <v>2.4883064516129035E-4</v>
      </c>
      <c r="AB479" s="13"/>
      <c r="AC479" s="34">
        <v>475</v>
      </c>
      <c r="AD479" s="34" t="s">
        <v>4573</v>
      </c>
      <c r="AE479" s="34" t="s">
        <v>5371</v>
      </c>
      <c r="AF479" s="35">
        <v>2.3203629032258068</v>
      </c>
    </row>
    <row r="480" spans="19:32" x14ac:dyDescent="0.35">
      <c r="S480" s="34">
        <v>476</v>
      </c>
      <c r="T480" s="34" t="s">
        <v>4284</v>
      </c>
      <c r="U480" s="34" t="s">
        <v>3683</v>
      </c>
      <c r="V480" s="35">
        <v>1.288</v>
      </c>
      <c r="W480" s="13"/>
      <c r="X480" s="34">
        <v>476</v>
      </c>
      <c r="Y480" s="34" t="s">
        <v>2248</v>
      </c>
      <c r="Z480" s="34" t="s">
        <v>3694</v>
      </c>
      <c r="AA480" s="35">
        <v>3.2292000000000001</v>
      </c>
      <c r="AB480" s="13"/>
      <c r="AC480" s="34">
        <v>476</v>
      </c>
      <c r="AD480" s="34" t="s">
        <v>4573</v>
      </c>
      <c r="AE480" s="34" t="s">
        <v>5370</v>
      </c>
      <c r="AF480" s="35">
        <v>4.7641129032258067E-3</v>
      </c>
    </row>
    <row r="481" spans="19:32" x14ac:dyDescent="0.35">
      <c r="S481" s="34">
        <v>477</v>
      </c>
      <c r="T481" s="34" t="s">
        <v>4284</v>
      </c>
      <c r="U481" s="34" t="s">
        <v>5393</v>
      </c>
      <c r="V481" s="35">
        <v>0.13058467741935484</v>
      </c>
      <c r="W481" s="13"/>
      <c r="X481" s="34">
        <v>477</v>
      </c>
      <c r="Y481" s="34" t="s">
        <v>2248</v>
      </c>
      <c r="Z481" s="34" t="s">
        <v>5722</v>
      </c>
      <c r="AA481" s="35">
        <v>2.3135080645161291E-2</v>
      </c>
      <c r="AB481" s="13"/>
      <c r="AC481" s="34">
        <v>477</v>
      </c>
      <c r="AD481" s="34" t="s">
        <v>4573</v>
      </c>
      <c r="AE481" s="34" t="s">
        <v>5369</v>
      </c>
      <c r="AF481" s="35">
        <v>0.16451612903225807</v>
      </c>
    </row>
    <row r="482" spans="19:32" x14ac:dyDescent="0.35">
      <c r="S482" s="34">
        <v>478</v>
      </c>
      <c r="T482" s="34" t="s">
        <v>4284</v>
      </c>
      <c r="U482" s="34" t="s">
        <v>5392</v>
      </c>
      <c r="V482" s="35">
        <v>4.9012096774193549E-5</v>
      </c>
      <c r="W482" s="13"/>
      <c r="X482" s="34">
        <v>478</v>
      </c>
      <c r="Y482" s="34" t="s">
        <v>2248</v>
      </c>
      <c r="Z482" s="34" t="s">
        <v>5444</v>
      </c>
      <c r="AA482" s="35">
        <v>8.7399193548387099E-4</v>
      </c>
      <c r="AB482" s="13"/>
      <c r="AC482" s="34">
        <v>478</v>
      </c>
      <c r="AD482" s="34" t="s">
        <v>4573</v>
      </c>
      <c r="AE482" s="34" t="s">
        <v>3674</v>
      </c>
      <c r="AF482" s="35">
        <v>5.5200000000000005</v>
      </c>
    </row>
    <row r="483" spans="19:32" x14ac:dyDescent="0.35">
      <c r="S483" s="34">
        <v>479</v>
      </c>
      <c r="T483" s="34" t="s">
        <v>4284</v>
      </c>
      <c r="U483" s="34" t="s">
        <v>5391</v>
      </c>
      <c r="V483" s="35">
        <v>1.6725806451612906E-2</v>
      </c>
      <c r="W483" s="13"/>
      <c r="X483" s="34">
        <v>479</v>
      </c>
      <c r="Y483" s="34" t="s">
        <v>2248</v>
      </c>
      <c r="Z483" s="34" t="s">
        <v>5443</v>
      </c>
      <c r="AA483" s="35">
        <v>8.2600806451612902E-3</v>
      </c>
      <c r="AB483" s="13"/>
      <c r="AC483" s="34">
        <v>479</v>
      </c>
      <c r="AD483" s="34" t="s">
        <v>4573</v>
      </c>
      <c r="AE483" s="34" t="s">
        <v>5367</v>
      </c>
      <c r="AF483" s="35">
        <v>3.1840725806451614E-2</v>
      </c>
    </row>
    <row r="484" spans="19:32" x14ac:dyDescent="0.35">
      <c r="S484" s="34">
        <v>480</v>
      </c>
      <c r="T484" s="34" t="s">
        <v>4284</v>
      </c>
      <c r="U484" s="34" t="s">
        <v>5390</v>
      </c>
      <c r="V484" s="35">
        <v>1.4018145161290323E-5</v>
      </c>
      <c r="W484" s="13"/>
      <c r="X484" s="34">
        <v>480</v>
      </c>
      <c r="Y484" s="34" t="s">
        <v>2248</v>
      </c>
      <c r="Z484" s="34" t="s">
        <v>5442</v>
      </c>
      <c r="AA484" s="35">
        <v>2.090725806451613E-4</v>
      </c>
      <c r="AB484" s="13"/>
      <c r="AC484" s="34">
        <v>480</v>
      </c>
      <c r="AD484" s="34" t="s">
        <v>4573</v>
      </c>
      <c r="AE484" s="34" t="s">
        <v>5366</v>
      </c>
      <c r="AF484" s="35">
        <v>7.4717741935483879</v>
      </c>
    </row>
    <row r="485" spans="19:32" x14ac:dyDescent="0.35">
      <c r="S485" s="34">
        <v>481</v>
      </c>
      <c r="T485" s="34" t="s">
        <v>4284</v>
      </c>
      <c r="U485" s="34" t="s">
        <v>3681</v>
      </c>
      <c r="V485" s="35">
        <v>2.3991935483870968E-5</v>
      </c>
      <c r="W485" s="13"/>
      <c r="X485" s="34">
        <v>481</v>
      </c>
      <c r="Y485" s="34" t="s">
        <v>2248</v>
      </c>
      <c r="Z485" s="34" t="s">
        <v>5721</v>
      </c>
      <c r="AA485" s="35">
        <v>1.4909274193548388E-3</v>
      </c>
      <c r="AB485" s="13"/>
      <c r="AC485" s="34">
        <v>481</v>
      </c>
      <c r="AD485" s="34" t="s">
        <v>4573</v>
      </c>
      <c r="AE485" s="34" t="s">
        <v>5365</v>
      </c>
      <c r="AF485" s="35">
        <v>1.0727822580645162E-2</v>
      </c>
    </row>
    <row r="486" spans="19:32" x14ac:dyDescent="0.35">
      <c r="S486" s="34">
        <v>482</v>
      </c>
      <c r="T486" s="34" t="s">
        <v>4284</v>
      </c>
      <c r="U486" s="34" t="s">
        <v>3681</v>
      </c>
      <c r="V486" s="35">
        <v>0</v>
      </c>
      <c r="W486" s="13"/>
      <c r="X486" s="34">
        <v>482</v>
      </c>
      <c r="Y486" s="34" t="s">
        <v>2248</v>
      </c>
      <c r="Z486" s="34" t="s">
        <v>5441</v>
      </c>
      <c r="AA486" s="35">
        <v>1.6383064516129035E-2</v>
      </c>
      <c r="AB486" s="13"/>
      <c r="AC486" s="34">
        <v>482</v>
      </c>
      <c r="AD486" s="34" t="s">
        <v>4573</v>
      </c>
      <c r="AE486" s="34" t="s">
        <v>5364</v>
      </c>
      <c r="AF486" s="35">
        <v>1.0008064516129032E-2</v>
      </c>
    </row>
    <row r="487" spans="19:32" x14ac:dyDescent="0.35">
      <c r="S487" s="34">
        <v>483</v>
      </c>
      <c r="T487" s="34" t="s">
        <v>4284</v>
      </c>
      <c r="U487" s="34" t="s">
        <v>5389</v>
      </c>
      <c r="V487" s="35">
        <v>4.5241935483870973E-5</v>
      </c>
      <c r="W487" s="13"/>
      <c r="X487" s="34">
        <v>483</v>
      </c>
      <c r="Y487" s="34" t="s">
        <v>2248</v>
      </c>
      <c r="Z487" s="34" t="s">
        <v>5440</v>
      </c>
      <c r="AA487" s="35">
        <v>8.7741935483870979E-4</v>
      </c>
      <c r="AB487" s="13"/>
      <c r="AC487" s="34">
        <v>483</v>
      </c>
      <c r="AD487" s="34" t="s">
        <v>4573</v>
      </c>
      <c r="AE487" s="34" t="s">
        <v>5363</v>
      </c>
      <c r="AF487" s="35">
        <v>2.1387096774193549E-3</v>
      </c>
    </row>
    <row r="488" spans="19:32" x14ac:dyDescent="0.35">
      <c r="S488" s="34">
        <v>484</v>
      </c>
      <c r="T488" s="34" t="s">
        <v>4284</v>
      </c>
      <c r="U488" s="34" t="s">
        <v>5388</v>
      </c>
      <c r="V488" s="35">
        <v>1.8782258064516131E-6</v>
      </c>
      <c r="W488" s="13"/>
      <c r="X488" s="34">
        <v>484</v>
      </c>
      <c r="Y488" s="34" t="s">
        <v>2248</v>
      </c>
      <c r="Z488" s="34" t="s">
        <v>5720</v>
      </c>
      <c r="AA488" s="35">
        <v>1.4600806451612904E-3</v>
      </c>
      <c r="AB488" s="13"/>
      <c r="AC488" s="34">
        <v>484</v>
      </c>
      <c r="AD488" s="34" t="s">
        <v>4573</v>
      </c>
      <c r="AE488" s="34" t="s">
        <v>5362</v>
      </c>
      <c r="AF488" s="35">
        <v>3.9415322580645161E-3</v>
      </c>
    </row>
    <row r="489" spans="19:32" x14ac:dyDescent="0.35">
      <c r="S489" s="34">
        <v>485</v>
      </c>
      <c r="T489" s="34" t="s">
        <v>4284</v>
      </c>
      <c r="U489" s="34" t="s">
        <v>3679</v>
      </c>
      <c r="V489" s="35">
        <v>0.59523999999999999</v>
      </c>
      <c r="W489" s="13"/>
      <c r="X489" s="34">
        <v>485</v>
      </c>
      <c r="Y489" s="34" t="s">
        <v>2248</v>
      </c>
      <c r="Z489" s="34" t="s">
        <v>5439</v>
      </c>
      <c r="AA489" s="35">
        <v>2.4917338709677422E-2</v>
      </c>
      <c r="AB489" s="13"/>
      <c r="AC489" s="34">
        <v>485</v>
      </c>
      <c r="AD489" s="34" t="s">
        <v>4573</v>
      </c>
      <c r="AE489" s="34" t="s">
        <v>5360</v>
      </c>
      <c r="AF489" s="35">
        <v>1.4120967741935485E-3</v>
      </c>
    </row>
    <row r="490" spans="19:32" x14ac:dyDescent="0.35">
      <c r="S490" s="34">
        <v>486</v>
      </c>
      <c r="T490" s="34" t="s">
        <v>4284</v>
      </c>
      <c r="U490" s="34" t="s">
        <v>5387</v>
      </c>
      <c r="V490" s="35">
        <v>2.6768145161290324E-4</v>
      </c>
      <c r="W490" s="13"/>
      <c r="X490" s="34">
        <v>486</v>
      </c>
      <c r="Y490" s="34" t="s">
        <v>2248</v>
      </c>
      <c r="Z490" s="34" t="s">
        <v>5438</v>
      </c>
      <c r="AA490" s="35">
        <v>2.9647177419354839E-2</v>
      </c>
      <c r="AB490" s="13"/>
      <c r="AC490" s="34">
        <v>486</v>
      </c>
      <c r="AD490" s="34" t="s">
        <v>4573</v>
      </c>
      <c r="AE490" s="34" t="s">
        <v>5356</v>
      </c>
      <c r="AF490" s="35">
        <v>3.3177419354838714E-2</v>
      </c>
    </row>
    <row r="491" spans="19:32" x14ac:dyDescent="0.35">
      <c r="S491" s="34">
        <v>487</v>
      </c>
      <c r="T491" s="34" t="s">
        <v>4284</v>
      </c>
      <c r="U491" s="34" t="s">
        <v>5386</v>
      </c>
      <c r="V491" s="35">
        <v>7.7802419354838712E-2</v>
      </c>
      <c r="W491" s="13"/>
      <c r="X491" s="34">
        <v>487</v>
      </c>
      <c r="Y491" s="34" t="s">
        <v>2248</v>
      </c>
      <c r="Z491" s="34" t="s">
        <v>5719</v>
      </c>
      <c r="AA491" s="35">
        <v>1.6965725806451615E-2</v>
      </c>
      <c r="AB491" s="13"/>
      <c r="AC491" s="34">
        <v>487</v>
      </c>
      <c r="AD491" s="34" t="s">
        <v>4573</v>
      </c>
      <c r="AE491" s="34" t="s">
        <v>5354</v>
      </c>
      <c r="AF491" s="35">
        <v>1.5697580645161291E-4</v>
      </c>
    </row>
    <row r="492" spans="19:32" x14ac:dyDescent="0.35">
      <c r="S492" s="36">
        <v>488</v>
      </c>
      <c r="T492" s="36" t="s">
        <v>4284</v>
      </c>
      <c r="U492" s="36" t="s">
        <v>5385</v>
      </c>
      <c r="V492" s="37">
        <v>3.2527999999999997</v>
      </c>
      <c r="W492" s="13"/>
      <c r="X492" s="34">
        <v>488</v>
      </c>
      <c r="Y492" s="34" t="s">
        <v>2248</v>
      </c>
      <c r="Z492" s="34" t="s">
        <v>5437</v>
      </c>
      <c r="AA492" s="35">
        <v>3.5302419354838713E-3</v>
      </c>
      <c r="AB492" s="13"/>
      <c r="AC492" s="34">
        <v>488</v>
      </c>
      <c r="AD492" s="34" t="s">
        <v>4573</v>
      </c>
      <c r="AE492" s="34" t="s">
        <v>5353</v>
      </c>
      <c r="AF492" s="35">
        <v>1.9022177419354841E-3</v>
      </c>
    </row>
    <row r="493" spans="19:32" x14ac:dyDescent="0.35">
      <c r="S493" s="34">
        <v>489</v>
      </c>
      <c r="T493" s="34" t="s">
        <v>4284</v>
      </c>
      <c r="U493" s="34" t="s">
        <v>5385</v>
      </c>
      <c r="V493" s="35">
        <v>5.929435483870968E-6</v>
      </c>
      <c r="W493" s="13"/>
      <c r="X493" s="34">
        <v>489</v>
      </c>
      <c r="Y493" s="34" t="s">
        <v>2248</v>
      </c>
      <c r="Z493" s="34" t="s">
        <v>3692</v>
      </c>
      <c r="AA493" s="35">
        <v>7.0840000000000005</v>
      </c>
      <c r="AB493" s="13"/>
      <c r="AC493" s="34">
        <v>489</v>
      </c>
      <c r="AD493" s="34" t="s">
        <v>4573</v>
      </c>
      <c r="AE493" s="34" t="s">
        <v>5352</v>
      </c>
      <c r="AF493" s="35">
        <v>1.8713709677419357E-3</v>
      </c>
    </row>
    <row r="494" spans="19:32" x14ac:dyDescent="0.35">
      <c r="S494" s="34">
        <v>490</v>
      </c>
      <c r="T494" s="34" t="s">
        <v>4284</v>
      </c>
      <c r="U494" s="34" t="s">
        <v>5718</v>
      </c>
      <c r="V494" s="35">
        <v>8.191532258064517E-6</v>
      </c>
      <c r="W494" s="13"/>
      <c r="X494" s="34">
        <v>490</v>
      </c>
      <c r="Y494" s="34" t="s">
        <v>2248</v>
      </c>
      <c r="Z494" s="34" t="s">
        <v>5717</v>
      </c>
      <c r="AA494" s="35">
        <v>4.524193548387097E-4</v>
      </c>
      <c r="AB494" s="13"/>
      <c r="AC494" s="34">
        <v>490</v>
      </c>
      <c r="AD494" s="34" t="s">
        <v>4573</v>
      </c>
      <c r="AE494" s="34" t="s">
        <v>3671</v>
      </c>
      <c r="AF494" s="35">
        <v>0.31189516129032263</v>
      </c>
    </row>
    <row r="495" spans="19:32" x14ac:dyDescent="0.35">
      <c r="S495" s="36">
        <v>491</v>
      </c>
      <c r="T495" s="36" t="s">
        <v>4284</v>
      </c>
      <c r="U495" s="36" t="s">
        <v>5383</v>
      </c>
      <c r="V495" s="37">
        <v>2.0597499999999997</v>
      </c>
      <c r="W495" s="13"/>
      <c r="X495" s="34">
        <v>491</v>
      </c>
      <c r="Y495" s="34" t="s">
        <v>2248</v>
      </c>
      <c r="Z495" s="34" t="s">
        <v>3689</v>
      </c>
      <c r="AA495" s="35">
        <v>0</v>
      </c>
      <c r="AB495" s="13"/>
      <c r="AC495" s="34">
        <v>491</v>
      </c>
      <c r="AD495" s="34" t="s">
        <v>4573</v>
      </c>
      <c r="AE495" s="34" t="s">
        <v>3671</v>
      </c>
      <c r="AF495" s="35">
        <v>0.28336</v>
      </c>
    </row>
    <row r="496" spans="19:32" x14ac:dyDescent="0.35">
      <c r="S496" s="34">
        <v>492</v>
      </c>
      <c r="T496" s="34" t="s">
        <v>4284</v>
      </c>
      <c r="U496" s="34" t="s">
        <v>5383</v>
      </c>
      <c r="V496" s="35">
        <v>1.8610887096774195E-6</v>
      </c>
      <c r="W496" s="13"/>
      <c r="X496" s="34">
        <v>492</v>
      </c>
      <c r="Y496" s="34" t="s">
        <v>2248</v>
      </c>
      <c r="Z496" s="34" t="s">
        <v>3689</v>
      </c>
      <c r="AA496" s="35">
        <v>0.20427419354838711</v>
      </c>
      <c r="AB496" s="13"/>
      <c r="AC496" s="34">
        <v>492</v>
      </c>
      <c r="AD496" s="34" t="s">
        <v>4573</v>
      </c>
      <c r="AE496" s="34" t="s">
        <v>5351</v>
      </c>
      <c r="AF496" s="35">
        <v>1.3949596774193549E-2</v>
      </c>
    </row>
    <row r="497" spans="19:32" x14ac:dyDescent="0.35">
      <c r="S497" s="34">
        <v>493</v>
      </c>
      <c r="T497" s="34" t="s">
        <v>4284</v>
      </c>
      <c r="U497" s="34" t="s">
        <v>5382</v>
      </c>
      <c r="V497" s="35">
        <v>6.6834677419354846E-6</v>
      </c>
      <c r="W497" s="13"/>
      <c r="X497" s="34">
        <v>493</v>
      </c>
      <c r="Y497" s="34" t="s">
        <v>2248</v>
      </c>
      <c r="Z497" s="34" t="s">
        <v>5436</v>
      </c>
      <c r="AA497" s="35">
        <v>4.0786290322580646E-3</v>
      </c>
      <c r="AB497" s="13"/>
      <c r="AC497" s="34">
        <v>493</v>
      </c>
      <c r="AD497" s="34" t="s">
        <v>4573</v>
      </c>
      <c r="AE497" s="34" t="s">
        <v>3668</v>
      </c>
      <c r="AF497" s="35">
        <v>8.465725806451614E-5</v>
      </c>
    </row>
    <row r="498" spans="19:32" x14ac:dyDescent="0.35">
      <c r="S498" s="34">
        <v>494</v>
      </c>
      <c r="T498" s="34" t="s">
        <v>4284</v>
      </c>
      <c r="U498" s="34" t="s">
        <v>5381</v>
      </c>
      <c r="V498" s="35">
        <v>4.3870967741935487E-3</v>
      </c>
      <c r="W498" s="13"/>
      <c r="X498" s="34">
        <v>494</v>
      </c>
      <c r="Y498" s="34" t="s">
        <v>2248</v>
      </c>
      <c r="Z498" s="34" t="s">
        <v>3826</v>
      </c>
      <c r="AA498" s="35">
        <v>7.0262096774193553E-2</v>
      </c>
      <c r="AB498" s="13"/>
      <c r="AC498" s="34">
        <v>494</v>
      </c>
      <c r="AD498" s="34" t="s">
        <v>4573</v>
      </c>
      <c r="AE498" s="34" t="s">
        <v>3668</v>
      </c>
      <c r="AF498" s="35">
        <v>0</v>
      </c>
    </row>
    <row r="499" spans="19:32" x14ac:dyDescent="0.35">
      <c r="S499" s="34">
        <v>495</v>
      </c>
      <c r="T499" s="34" t="s">
        <v>4284</v>
      </c>
      <c r="U499" s="34" t="s">
        <v>3677</v>
      </c>
      <c r="V499" s="35">
        <v>2.7487903225806454E-3</v>
      </c>
      <c r="W499" s="13"/>
      <c r="X499" s="34">
        <v>495</v>
      </c>
      <c r="Y499" s="34" t="s">
        <v>2248</v>
      </c>
      <c r="Z499" s="34" t="s">
        <v>5435</v>
      </c>
      <c r="AA499" s="35">
        <v>5.8266129032258068E-3</v>
      </c>
      <c r="AB499" s="13"/>
      <c r="AC499" s="34">
        <v>495</v>
      </c>
      <c r="AD499" s="34" t="s">
        <v>4573</v>
      </c>
      <c r="AE499" s="34" t="s">
        <v>5350</v>
      </c>
      <c r="AF499" s="35">
        <v>4.5584677419354846E-5</v>
      </c>
    </row>
    <row r="500" spans="19:32" x14ac:dyDescent="0.35">
      <c r="S500" s="34">
        <v>496</v>
      </c>
      <c r="T500" s="34" t="s">
        <v>4284</v>
      </c>
      <c r="U500" s="34" t="s">
        <v>3677</v>
      </c>
      <c r="V500" s="35">
        <v>0</v>
      </c>
      <c r="W500" s="13"/>
      <c r="X500" s="34">
        <v>496</v>
      </c>
      <c r="Y500" s="34" t="s">
        <v>2248</v>
      </c>
      <c r="Z500" s="34" t="s">
        <v>5434</v>
      </c>
      <c r="AA500" s="35">
        <v>5.5181451612903226E-3</v>
      </c>
      <c r="AB500" s="13"/>
      <c r="AC500" s="34">
        <v>496</v>
      </c>
      <c r="AD500" s="34" t="s">
        <v>4573</v>
      </c>
      <c r="AE500" s="34" t="s">
        <v>5349</v>
      </c>
      <c r="AF500" s="35">
        <v>2.8516129032258065E-2</v>
      </c>
    </row>
    <row r="501" spans="19:32" x14ac:dyDescent="0.35">
      <c r="S501" s="34">
        <v>497</v>
      </c>
      <c r="T501" s="34" t="s">
        <v>4284</v>
      </c>
      <c r="U501" s="34" t="s">
        <v>5380</v>
      </c>
      <c r="V501" s="35">
        <v>2.6905241935483875E-5</v>
      </c>
      <c r="W501" s="13"/>
      <c r="X501" s="34">
        <v>497</v>
      </c>
      <c r="Y501" s="34" t="s">
        <v>2248</v>
      </c>
      <c r="Z501" s="34" t="s">
        <v>5433</v>
      </c>
      <c r="AA501" s="35">
        <v>1.0659274193548387E-5</v>
      </c>
      <c r="AB501" s="13"/>
      <c r="AC501" s="34">
        <v>497</v>
      </c>
      <c r="AD501" s="34" t="s">
        <v>4573</v>
      </c>
      <c r="AE501" s="34" t="s">
        <v>3665</v>
      </c>
      <c r="AF501" s="35">
        <v>1.0727822580645161E-3</v>
      </c>
    </row>
    <row r="502" spans="19:32" x14ac:dyDescent="0.35">
      <c r="S502" s="34">
        <v>498</v>
      </c>
      <c r="T502" s="34" t="s">
        <v>4284</v>
      </c>
      <c r="U502" s="34" t="s">
        <v>5379</v>
      </c>
      <c r="V502" s="35">
        <v>1.583467741935484E-3</v>
      </c>
      <c r="W502" s="13"/>
      <c r="X502" s="34">
        <v>498</v>
      </c>
      <c r="Y502" s="34" t="s">
        <v>2248</v>
      </c>
      <c r="Z502" s="34" t="s">
        <v>5716</v>
      </c>
      <c r="AA502" s="35">
        <v>1.5252016129032259E-2</v>
      </c>
      <c r="AB502" s="13"/>
      <c r="AC502" s="34">
        <v>498</v>
      </c>
      <c r="AD502" s="34" t="s">
        <v>4573</v>
      </c>
      <c r="AE502" s="34" t="s">
        <v>3665</v>
      </c>
      <c r="AF502" s="35">
        <v>3.2476000000000003</v>
      </c>
    </row>
    <row r="503" spans="19:32" x14ac:dyDescent="0.35">
      <c r="S503" s="34">
        <v>499</v>
      </c>
      <c r="T503" s="34" t="s">
        <v>4284</v>
      </c>
      <c r="U503" s="34" t="s">
        <v>5378</v>
      </c>
      <c r="V503" s="35">
        <v>4.3870967741935489E-4</v>
      </c>
      <c r="W503" s="13"/>
      <c r="X503" s="34">
        <v>499</v>
      </c>
      <c r="Y503" s="34" t="s">
        <v>2248</v>
      </c>
      <c r="Z503" s="34" t="s">
        <v>5432</v>
      </c>
      <c r="AA503" s="35">
        <v>2.2415322580645162E-2</v>
      </c>
      <c r="AB503" s="13"/>
      <c r="AC503" s="34">
        <v>499</v>
      </c>
      <c r="AD503" s="34" t="s">
        <v>4573</v>
      </c>
      <c r="AE503" s="34" t="s">
        <v>5348</v>
      </c>
      <c r="AF503" s="35">
        <v>5.826612903225807E-4</v>
      </c>
    </row>
    <row r="504" spans="19:32" x14ac:dyDescent="0.35">
      <c r="S504" s="34">
        <v>500</v>
      </c>
      <c r="T504" s="34" t="s">
        <v>4284</v>
      </c>
      <c r="U504" s="34" t="s">
        <v>5377</v>
      </c>
      <c r="V504" s="35">
        <v>4.1471774193548391E-5</v>
      </c>
      <c r="W504" s="13"/>
      <c r="X504" s="34">
        <v>500</v>
      </c>
      <c r="Y504" s="34" t="s">
        <v>2248</v>
      </c>
      <c r="Z504" s="34" t="s">
        <v>5431</v>
      </c>
      <c r="AA504" s="35">
        <v>7.0604838709677423E-5</v>
      </c>
      <c r="AB504" s="13"/>
      <c r="AC504" s="34">
        <v>500</v>
      </c>
      <c r="AD504" s="34" t="s">
        <v>4573</v>
      </c>
      <c r="AE504" s="34" t="s">
        <v>3663</v>
      </c>
      <c r="AF504" s="35">
        <v>0</v>
      </c>
    </row>
    <row r="505" spans="19:32" x14ac:dyDescent="0.35">
      <c r="S505" s="34">
        <v>501</v>
      </c>
      <c r="T505" s="34" t="s">
        <v>4284</v>
      </c>
      <c r="U505" s="34" t="s">
        <v>5376</v>
      </c>
      <c r="V505" s="35">
        <v>2.5739919354838713E-6</v>
      </c>
      <c r="W505" s="13"/>
      <c r="X505" s="34">
        <v>501</v>
      </c>
      <c r="Y505" s="34" t="s">
        <v>2248</v>
      </c>
      <c r="Z505" s="34" t="s">
        <v>5715</v>
      </c>
      <c r="AA505" s="35">
        <v>9.425403225806452E-4</v>
      </c>
      <c r="AB505" s="13"/>
      <c r="AC505" s="34">
        <v>501</v>
      </c>
      <c r="AD505" s="34" t="s">
        <v>4573</v>
      </c>
      <c r="AE505" s="34" t="s">
        <v>5347</v>
      </c>
      <c r="AF505" s="35">
        <v>1.6211693548387096E-3</v>
      </c>
    </row>
    <row r="506" spans="19:32" x14ac:dyDescent="0.35">
      <c r="S506" s="34">
        <v>502</v>
      </c>
      <c r="T506" s="34" t="s">
        <v>4284</v>
      </c>
      <c r="U506" s="34" t="s">
        <v>5375</v>
      </c>
      <c r="V506" s="35">
        <v>7.2661290322580654E-9</v>
      </c>
      <c r="W506" s="13"/>
      <c r="X506" s="34">
        <v>502</v>
      </c>
      <c r="Y506" s="34" t="s">
        <v>2248</v>
      </c>
      <c r="Z506" s="34" t="s">
        <v>5430</v>
      </c>
      <c r="AA506" s="35">
        <v>6.5120967741935491E-4</v>
      </c>
      <c r="AB506" s="13"/>
      <c r="AC506" s="34">
        <v>502</v>
      </c>
      <c r="AD506" s="34" t="s">
        <v>4573</v>
      </c>
      <c r="AE506" s="34" t="s">
        <v>5346</v>
      </c>
      <c r="AF506" s="35">
        <v>8.4657258064516142E-2</v>
      </c>
    </row>
    <row r="507" spans="19:32" x14ac:dyDescent="0.35">
      <c r="S507" s="34">
        <v>503</v>
      </c>
      <c r="T507" s="34" t="s">
        <v>4284</v>
      </c>
      <c r="U507" s="34" t="s">
        <v>5374</v>
      </c>
      <c r="V507" s="35">
        <v>0.54153225806451621</v>
      </c>
      <c r="W507" s="13"/>
      <c r="X507" s="34">
        <v>503</v>
      </c>
      <c r="Y507" s="34" t="s">
        <v>2248</v>
      </c>
      <c r="Z507" s="34" t="s">
        <v>5429</v>
      </c>
      <c r="AA507" s="35">
        <v>8.0887096774193544E-5</v>
      </c>
      <c r="AB507" s="13"/>
      <c r="AC507" s="34">
        <v>503</v>
      </c>
      <c r="AD507" s="34" t="s">
        <v>4573</v>
      </c>
      <c r="AE507" s="34" t="s">
        <v>5345</v>
      </c>
      <c r="AF507" s="35">
        <v>0.12098790322580646</v>
      </c>
    </row>
    <row r="508" spans="19:32" x14ac:dyDescent="0.35">
      <c r="S508" s="34">
        <v>504</v>
      </c>
      <c r="T508" s="34" t="s">
        <v>4284</v>
      </c>
      <c r="U508" s="34" t="s">
        <v>5373</v>
      </c>
      <c r="V508" s="35">
        <v>4.1471774193548393E-6</v>
      </c>
      <c r="W508" s="13"/>
      <c r="X508" s="34">
        <v>504</v>
      </c>
      <c r="Y508" s="34" t="s">
        <v>2248</v>
      </c>
      <c r="Z508" s="34" t="s">
        <v>5714</v>
      </c>
      <c r="AA508" s="35">
        <v>6.7177419354838707E-5</v>
      </c>
      <c r="AB508" s="13"/>
      <c r="AC508" s="34">
        <v>504</v>
      </c>
      <c r="AD508" s="34" t="s">
        <v>4573</v>
      </c>
      <c r="AE508" s="34" t="s">
        <v>5344</v>
      </c>
      <c r="AF508" s="35">
        <v>1.004233870967742E-4</v>
      </c>
    </row>
    <row r="509" spans="19:32" x14ac:dyDescent="0.35">
      <c r="S509" s="34">
        <v>505</v>
      </c>
      <c r="T509" s="34" t="s">
        <v>4284</v>
      </c>
      <c r="U509" s="34" t="s">
        <v>5372</v>
      </c>
      <c r="V509" s="35">
        <v>2.848185483870968E-4</v>
      </c>
      <c r="W509" s="13"/>
      <c r="X509" s="34">
        <v>505</v>
      </c>
      <c r="Y509" s="34" t="s">
        <v>2248</v>
      </c>
      <c r="Z509" s="34" t="s">
        <v>3687</v>
      </c>
      <c r="AA509" s="35">
        <v>0</v>
      </c>
      <c r="AB509" s="13"/>
      <c r="AC509" s="34">
        <v>505</v>
      </c>
      <c r="AD509" s="34" t="s">
        <v>4573</v>
      </c>
      <c r="AE509" s="34" t="s">
        <v>3661</v>
      </c>
      <c r="AF509" s="35">
        <v>0</v>
      </c>
    </row>
    <row r="510" spans="19:32" x14ac:dyDescent="0.35">
      <c r="S510" s="34">
        <v>506</v>
      </c>
      <c r="T510" s="34" t="s">
        <v>4284</v>
      </c>
      <c r="U510" s="34" t="s">
        <v>5371</v>
      </c>
      <c r="V510" s="35">
        <v>1.785685483870968E-2</v>
      </c>
      <c r="W510" s="13"/>
      <c r="X510" s="34">
        <v>506</v>
      </c>
      <c r="Y510" s="34" t="s">
        <v>2248</v>
      </c>
      <c r="Z510" s="34" t="s">
        <v>5428</v>
      </c>
      <c r="AA510" s="35">
        <v>1.6451612903225807E-4</v>
      </c>
      <c r="AB510" s="13"/>
      <c r="AC510" s="34">
        <v>506</v>
      </c>
      <c r="AD510" s="34" t="s">
        <v>4573</v>
      </c>
      <c r="AE510" s="34" t="s">
        <v>5343</v>
      </c>
      <c r="AF510" s="35">
        <v>1.6108870967741936E-2</v>
      </c>
    </row>
    <row r="511" spans="19:32" x14ac:dyDescent="0.35">
      <c r="S511" s="34">
        <v>507</v>
      </c>
      <c r="T511" s="34" t="s">
        <v>4284</v>
      </c>
      <c r="U511" s="34" t="s">
        <v>5370</v>
      </c>
      <c r="V511" s="35">
        <v>1.1653225806451614E-3</v>
      </c>
      <c r="W511" s="13"/>
      <c r="X511" s="34">
        <v>507</v>
      </c>
      <c r="Y511" s="34" t="s">
        <v>2248</v>
      </c>
      <c r="Z511" s="34" t="s">
        <v>5427</v>
      </c>
      <c r="AA511" s="35">
        <v>6.5463709677419356E-7</v>
      </c>
      <c r="AB511" s="13"/>
      <c r="AC511" s="34">
        <v>507</v>
      </c>
      <c r="AD511" s="34" t="s">
        <v>4573</v>
      </c>
      <c r="AE511" s="34" t="s">
        <v>5342</v>
      </c>
      <c r="AF511" s="35">
        <v>4.1471774193548392E-3</v>
      </c>
    </row>
    <row r="512" spans="19:32" x14ac:dyDescent="0.35">
      <c r="S512" s="34">
        <v>508</v>
      </c>
      <c r="T512" s="34" t="s">
        <v>4284</v>
      </c>
      <c r="U512" s="34" t="s">
        <v>5369</v>
      </c>
      <c r="V512" s="35">
        <v>1.7205645161290325E-3</v>
      </c>
      <c r="W512" s="13"/>
      <c r="X512" s="34">
        <v>508</v>
      </c>
      <c r="Y512" s="34" t="s">
        <v>2248</v>
      </c>
      <c r="Z512" s="34" t="s">
        <v>5713</v>
      </c>
      <c r="AA512" s="35">
        <v>5.0040322580645166E-6</v>
      </c>
      <c r="AB512" s="13"/>
      <c r="AC512" s="34">
        <v>508</v>
      </c>
      <c r="AD512" s="34" t="s">
        <v>4573</v>
      </c>
      <c r="AE512" s="34" t="s">
        <v>5341</v>
      </c>
      <c r="AF512" s="35">
        <v>4.6612903225806454E-2</v>
      </c>
    </row>
    <row r="513" spans="19:32" x14ac:dyDescent="0.35">
      <c r="S513" s="34">
        <v>509</v>
      </c>
      <c r="T513" s="34" t="s">
        <v>4284</v>
      </c>
      <c r="U513" s="34" t="s">
        <v>3674</v>
      </c>
      <c r="V513" s="35">
        <v>6.9551999999999996</v>
      </c>
      <c r="W513" s="13"/>
      <c r="X513" s="34">
        <v>509</v>
      </c>
      <c r="Y513" s="34" t="s">
        <v>2248</v>
      </c>
      <c r="Z513" s="34" t="s">
        <v>3686</v>
      </c>
      <c r="AA513" s="35">
        <v>0</v>
      </c>
      <c r="AB513" s="13"/>
      <c r="AC513" s="34">
        <v>509</v>
      </c>
      <c r="AD513" s="34" t="s">
        <v>4573</v>
      </c>
      <c r="AE513" s="34" t="s">
        <v>5340</v>
      </c>
      <c r="AF513" s="35">
        <v>2.0701612903225808E-4</v>
      </c>
    </row>
    <row r="514" spans="19:32" x14ac:dyDescent="0.35">
      <c r="S514" s="34">
        <v>510</v>
      </c>
      <c r="T514" s="34" t="s">
        <v>4284</v>
      </c>
      <c r="U514" s="34" t="s">
        <v>5368</v>
      </c>
      <c r="V514" s="35">
        <v>7.2318548387096781E-4</v>
      </c>
      <c r="W514" s="13"/>
      <c r="X514" s="34">
        <v>510</v>
      </c>
      <c r="Y514" s="34" t="s">
        <v>2248</v>
      </c>
      <c r="Z514" s="34" t="s">
        <v>3686</v>
      </c>
      <c r="AA514" s="35">
        <v>5.5524193548387108E-5</v>
      </c>
      <c r="AB514" s="13"/>
      <c r="AC514" s="34">
        <v>510</v>
      </c>
      <c r="AD514" s="34" t="s">
        <v>4573</v>
      </c>
      <c r="AE514" s="34" t="s">
        <v>5339</v>
      </c>
      <c r="AF514" s="35">
        <v>0.35645161290322586</v>
      </c>
    </row>
    <row r="515" spans="19:32" x14ac:dyDescent="0.35">
      <c r="S515" s="34">
        <v>511</v>
      </c>
      <c r="T515" s="34" t="s">
        <v>4284</v>
      </c>
      <c r="U515" s="34" t="s">
        <v>5367</v>
      </c>
      <c r="V515" s="35">
        <v>7.9173387096774202E-4</v>
      </c>
      <c r="W515" s="13"/>
      <c r="X515" s="34">
        <v>511</v>
      </c>
      <c r="Y515" s="34" t="s">
        <v>2248</v>
      </c>
      <c r="Z515" s="34" t="s">
        <v>5712</v>
      </c>
      <c r="AA515" s="35">
        <v>1.2715725806451613E-4</v>
      </c>
      <c r="AB515" s="13"/>
      <c r="AC515" s="34">
        <v>511</v>
      </c>
      <c r="AD515" s="34" t="s">
        <v>4573</v>
      </c>
      <c r="AE515" s="34" t="s">
        <v>5338</v>
      </c>
      <c r="AF515" s="35">
        <v>0.45241935483870971</v>
      </c>
    </row>
    <row r="516" spans="19:32" x14ac:dyDescent="0.35">
      <c r="S516" s="34">
        <v>512</v>
      </c>
      <c r="T516" s="34" t="s">
        <v>4284</v>
      </c>
      <c r="U516" s="34" t="s">
        <v>5366</v>
      </c>
      <c r="V516" s="35">
        <v>0.17616935483870969</v>
      </c>
      <c r="W516" s="13"/>
      <c r="X516" s="34">
        <v>512</v>
      </c>
      <c r="Y516" s="34" t="s">
        <v>2248</v>
      </c>
      <c r="Z516" s="34" t="s">
        <v>5426</v>
      </c>
      <c r="AA516" s="35">
        <v>7.2318548387096781E-5</v>
      </c>
      <c r="AB516" s="13"/>
      <c r="AC516" s="34">
        <v>512</v>
      </c>
      <c r="AD516" s="34" t="s">
        <v>4573</v>
      </c>
      <c r="AE516" s="34" t="s">
        <v>5337</v>
      </c>
      <c r="AF516" s="35">
        <v>6.340725806451613</v>
      </c>
    </row>
    <row r="517" spans="19:32" x14ac:dyDescent="0.35">
      <c r="S517" s="34">
        <v>513</v>
      </c>
      <c r="T517" s="34" t="s">
        <v>4284</v>
      </c>
      <c r="U517" s="34" t="s">
        <v>5365</v>
      </c>
      <c r="V517" s="35">
        <v>1.6622983870967744E-5</v>
      </c>
      <c r="W517" s="13"/>
      <c r="X517" s="34">
        <v>513</v>
      </c>
      <c r="Y517" s="34" t="s">
        <v>2248</v>
      </c>
      <c r="Z517" s="34" t="s">
        <v>5425</v>
      </c>
      <c r="AA517" s="35">
        <v>8.5685483870967744E-4</v>
      </c>
      <c r="AB517" s="13"/>
      <c r="AC517" s="34">
        <v>513</v>
      </c>
      <c r="AD517" s="34" t="s">
        <v>4573</v>
      </c>
      <c r="AE517" s="34" t="s">
        <v>5336</v>
      </c>
      <c r="AF517" s="35">
        <v>1.3572580645161292</v>
      </c>
    </row>
    <row r="518" spans="19:32" x14ac:dyDescent="0.35">
      <c r="S518" s="34">
        <v>514</v>
      </c>
      <c r="T518" s="34" t="s">
        <v>4284</v>
      </c>
      <c r="U518" s="34" t="s">
        <v>5364</v>
      </c>
      <c r="V518" s="35">
        <v>2.5911290322580647E-4</v>
      </c>
      <c r="W518" s="13"/>
      <c r="X518" s="34">
        <v>514</v>
      </c>
      <c r="Y518" s="34" t="s">
        <v>2248</v>
      </c>
      <c r="Z518" s="34" t="s">
        <v>5424</v>
      </c>
      <c r="AA518" s="35">
        <v>1.1756048387096775E-3</v>
      </c>
      <c r="AB518" s="13"/>
      <c r="AC518" s="34">
        <v>514</v>
      </c>
      <c r="AD518" s="34" t="s">
        <v>4573</v>
      </c>
      <c r="AE518" s="34" t="s">
        <v>5335</v>
      </c>
      <c r="AF518" s="35">
        <v>1.559475806451613E-3</v>
      </c>
    </row>
    <row r="519" spans="19:32" x14ac:dyDescent="0.35">
      <c r="S519" s="34">
        <v>515</v>
      </c>
      <c r="T519" s="34" t="s">
        <v>4284</v>
      </c>
      <c r="U519" s="34" t="s">
        <v>5363</v>
      </c>
      <c r="V519" s="35">
        <v>6.3407258064516133E-6</v>
      </c>
      <c r="W519" s="13"/>
      <c r="X519" s="34">
        <v>515</v>
      </c>
      <c r="Y519" s="34" t="s">
        <v>2248</v>
      </c>
      <c r="Z519" s="34" t="s">
        <v>5711</v>
      </c>
      <c r="AA519" s="35">
        <v>2.3512096774193549E-3</v>
      </c>
      <c r="AB519" s="13"/>
      <c r="AC519" s="34">
        <v>515</v>
      </c>
      <c r="AD519" s="34" t="s">
        <v>4573</v>
      </c>
      <c r="AE519" s="34" t="s">
        <v>3660</v>
      </c>
      <c r="AF519" s="35">
        <v>8.8770161290322586E-2</v>
      </c>
    </row>
    <row r="520" spans="19:32" x14ac:dyDescent="0.35">
      <c r="S520" s="34">
        <v>516</v>
      </c>
      <c r="T520" s="34" t="s">
        <v>4284</v>
      </c>
      <c r="U520" s="34" t="s">
        <v>5362</v>
      </c>
      <c r="V520" s="35">
        <v>1.1618951612903228E-5</v>
      </c>
      <c r="W520" s="13"/>
      <c r="X520" s="34">
        <v>516</v>
      </c>
      <c r="Y520" s="34" t="s">
        <v>2248</v>
      </c>
      <c r="Z520" s="34" t="s">
        <v>5423</v>
      </c>
      <c r="AA520" s="35">
        <v>1.6383064516129034E-4</v>
      </c>
      <c r="AB520" s="13"/>
      <c r="AC520" s="34">
        <v>516</v>
      </c>
      <c r="AD520" s="34" t="s">
        <v>4573</v>
      </c>
      <c r="AE520" s="34" t="s">
        <v>3660</v>
      </c>
      <c r="AF520" s="35">
        <v>0</v>
      </c>
    </row>
    <row r="521" spans="19:32" x14ac:dyDescent="0.35">
      <c r="S521" s="34">
        <v>517</v>
      </c>
      <c r="T521" s="34" t="s">
        <v>4284</v>
      </c>
      <c r="U521" s="34" t="s">
        <v>5360</v>
      </c>
      <c r="V521" s="35">
        <v>1.9879032258064516E-7</v>
      </c>
      <c r="W521" s="13"/>
      <c r="X521" s="34">
        <v>517</v>
      </c>
      <c r="Y521" s="34" t="s">
        <v>2248</v>
      </c>
      <c r="Z521" s="34" t="s">
        <v>5422</v>
      </c>
      <c r="AA521" s="35">
        <v>2.6528225806451614E-4</v>
      </c>
      <c r="AB521" s="13"/>
      <c r="AC521" s="34">
        <v>517</v>
      </c>
      <c r="AD521" s="34" t="s">
        <v>4573</v>
      </c>
      <c r="AE521" s="34" t="s">
        <v>5334</v>
      </c>
      <c r="AF521" s="35">
        <v>1.264717741935484</v>
      </c>
    </row>
    <row r="522" spans="19:32" x14ac:dyDescent="0.35">
      <c r="S522" s="34">
        <v>518</v>
      </c>
      <c r="T522" s="34" t="s">
        <v>4284</v>
      </c>
      <c r="U522" s="34" t="s">
        <v>5356</v>
      </c>
      <c r="V522" s="35">
        <v>5.792338709677419E-4</v>
      </c>
      <c r="W522" s="13"/>
      <c r="X522" s="34">
        <v>518</v>
      </c>
      <c r="Y522" s="34" t="s">
        <v>2248</v>
      </c>
      <c r="Z522" s="34" t="s">
        <v>5710</v>
      </c>
      <c r="AA522" s="35">
        <v>1.1721774193548389E-5</v>
      </c>
      <c r="AB522" s="13"/>
      <c r="AC522" s="34">
        <v>518</v>
      </c>
      <c r="AD522" s="34" t="s">
        <v>4573</v>
      </c>
      <c r="AE522" s="34" t="s">
        <v>3657</v>
      </c>
      <c r="AF522" s="35">
        <v>0.58328000000000002</v>
      </c>
    </row>
    <row r="523" spans="19:32" x14ac:dyDescent="0.35">
      <c r="S523" s="36">
        <v>519</v>
      </c>
      <c r="T523" s="36" t="s">
        <v>4284</v>
      </c>
      <c r="U523" s="36" t="s">
        <v>5354</v>
      </c>
      <c r="V523" s="37">
        <v>4.9540999999999995</v>
      </c>
      <c r="W523" s="13"/>
      <c r="X523" s="34">
        <v>519</v>
      </c>
      <c r="Y523" s="34" t="s">
        <v>2248</v>
      </c>
      <c r="Z523" s="34" t="s">
        <v>5421</v>
      </c>
      <c r="AA523" s="35">
        <v>6.1350806451612902E-6</v>
      </c>
      <c r="AB523" s="13"/>
      <c r="AC523" s="34">
        <v>519</v>
      </c>
      <c r="AD523" s="34" t="s">
        <v>4573</v>
      </c>
      <c r="AE523" s="34" t="s">
        <v>5333</v>
      </c>
      <c r="AF523" s="35">
        <v>6.6491935483870967E-4</v>
      </c>
    </row>
    <row r="524" spans="19:32" x14ac:dyDescent="0.35">
      <c r="S524" s="34">
        <v>520</v>
      </c>
      <c r="T524" s="34" t="s">
        <v>4284</v>
      </c>
      <c r="U524" s="34" t="s">
        <v>5354</v>
      </c>
      <c r="V524" s="35">
        <v>1.6965725806451615E-6</v>
      </c>
      <c r="W524" s="13"/>
      <c r="X524" s="34">
        <v>520</v>
      </c>
      <c r="Y524" s="34" t="s">
        <v>2248</v>
      </c>
      <c r="Z524" s="34" t="s">
        <v>5420</v>
      </c>
      <c r="AA524" s="35">
        <v>1.984475806451613E-4</v>
      </c>
      <c r="AB524" s="13"/>
      <c r="AC524" s="34">
        <v>520</v>
      </c>
      <c r="AD524" s="34" t="s">
        <v>4573</v>
      </c>
      <c r="AE524" s="34" t="s">
        <v>5332</v>
      </c>
      <c r="AF524" s="35">
        <v>2.1764112903225807E-3</v>
      </c>
    </row>
    <row r="525" spans="19:32" x14ac:dyDescent="0.35">
      <c r="S525" s="36">
        <v>521</v>
      </c>
      <c r="T525" s="36" t="s">
        <v>4284</v>
      </c>
      <c r="U525" s="36" t="s">
        <v>5709</v>
      </c>
      <c r="V525" s="37">
        <v>10.111499999999999</v>
      </c>
      <c r="W525" s="13"/>
      <c r="X525" s="34">
        <v>521</v>
      </c>
      <c r="Y525" s="34" t="s">
        <v>2248</v>
      </c>
      <c r="Z525" s="34" t="s">
        <v>3823</v>
      </c>
      <c r="AA525" s="35">
        <v>2.5431451612903227E-5</v>
      </c>
      <c r="AB525" s="13"/>
      <c r="AC525" s="34">
        <v>521</v>
      </c>
      <c r="AD525" s="34" t="s">
        <v>4573</v>
      </c>
      <c r="AE525" s="34" t="s">
        <v>5331</v>
      </c>
      <c r="AF525" s="35">
        <v>2.3752016129032261</v>
      </c>
    </row>
    <row r="526" spans="19:32" x14ac:dyDescent="0.35">
      <c r="S526" s="36">
        <v>522</v>
      </c>
      <c r="T526" s="36" t="s">
        <v>4284</v>
      </c>
      <c r="U526" s="36" t="s">
        <v>5708</v>
      </c>
      <c r="V526" s="37">
        <v>10.111499999999999</v>
      </c>
      <c r="W526" s="13"/>
      <c r="X526" s="34">
        <v>522</v>
      </c>
      <c r="Y526" s="34" t="s">
        <v>2248</v>
      </c>
      <c r="Z526" s="34" t="s">
        <v>5419</v>
      </c>
      <c r="AA526" s="35">
        <v>7.9173387096774206E-6</v>
      </c>
      <c r="AB526" s="13"/>
      <c r="AC526" s="34">
        <v>522</v>
      </c>
      <c r="AD526" s="34" t="s">
        <v>4573</v>
      </c>
      <c r="AE526" s="34" t="s">
        <v>5330</v>
      </c>
      <c r="AF526" s="35">
        <v>0.5278225806451613</v>
      </c>
    </row>
    <row r="527" spans="19:32" x14ac:dyDescent="0.35">
      <c r="S527" s="34">
        <v>523</v>
      </c>
      <c r="T527" s="34" t="s">
        <v>4284</v>
      </c>
      <c r="U527" s="34" t="s">
        <v>5353</v>
      </c>
      <c r="V527" s="35">
        <v>9.3225806451612916E-5</v>
      </c>
      <c r="W527" s="13"/>
      <c r="X527" s="34">
        <v>523</v>
      </c>
      <c r="Y527" s="34" t="s">
        <v>2248</v>
      </c>
      <c r="Z527" s="34" t="s">
        <v>5418</v>
      </c>
      <c r="AA527" s="35">
        <v>1.1344758064516131E-4</v>
      </c>
      <c r="AB527" s="13"/>
      <c r="AC527" s="34">
        <v>523</v>
      </c>
      <c r="AD527" s="34" t="s">
        <v>4573</v>
      </c>
      <c r="AE527" s="34" t="s">
        <v>5329</v>
      </c>
      <c r="AF527" s="35">
        <v>2.9338709677419357</v>
      </c>
    </row>
    <row r="528" spans="19:32" x14ac:dyDescent="0.35">
      <c r="S528" s="34">
        <v>524</v>
      </c>
      <c r="T528" s="34" t="s">
        <v>4284</v>
      </c>
      <c r="U528" s="34" t="s">
        <v>5352</v>
      </c>
      <c r="V528" s="35">
        <v>9.8709677419354843E-5</v>
      </c>
      <c r="W528" s="13"/>
      <c r="X528" s="34">
        <v>524</v>
      </c>
      <c r="Y528" s="34" t="s">
        <v>2248</v>
      </c>
      <c r="Z528" s="34" t="s">
        <v>5417</v>
      </c>
      <c r="AA528" s="35">
        <v>1.264717741935484E-5</v>
      </c>
      <c r="AB528" s="13"/>
      <c r="AC528" s="34">
        <v>524</v>
      </c>
      <c r="AD528" s="34" t="s">
        <v>4573</v>
      </c>
      <c r="AE528" s="34" t="s">
        <v>5328</v>
      </c>
      <c r="AF528" s="35">
        <v>0.49354838709677423</v>
      </c>
    </row>
    <row r="529" spans="19:32" x14ac:dyDescent="0.35">
      <c r="S529" s="34">
        <v>525</v>
      </c>
      <c r="T529" s="34" t="s">
        <v>4284</v>
      </c>
      <c r="U529" s="34" t="s">
        <v>3671</v>
      </c>
      <c r="V529" s="35">
        <v>2.9338709677419355E-3</v>
      </c>
      <c r="W529" s="13"/>
      <c r="X529" s="34">
        <v>525</v>
      </c>
      <c r="Y529" s="34" t="s">
        <v>2248</v>
      </c>
      <c r="Z529" s="34" t="s">
        <v>5707</v>
      </c>
      <c r="AA529" s="35">
        <v>1.9262096774193551E-3</v>
      </c>
      <c r="AB529" s="13"/>
      <c r="AC529" s="34">
        <v>525</v>
      </c>
      <c r="AD529" s="34" t="s">
        <v>4573</v>
      </c>
      <c r="AE529" s="34" t="s">
        <v>3655</v>
      </c>
      <c r="AF529" s="35">
        <v>0</v>
      </c>
    </row>
    <row r="530" spans="19:32" x14ac:dyDescent="0.35">
      <c r="S530" s="34">
        <v>526</v>
      </c>
      <c r="T530" s="34" t="s">
        <v>4284</v>
      </c>
      <c r="U530" s="34" t="s">
        <v>3671</v>
      </c>
      <c r="V530" s="35">
        <v>0.15456</v>
      </c>
      <c r="W530" s="13"/>
      <c r="X530" s="34">
        <v>526</v>
      </c>
      <c r="Y530" s="34" t="s">
        <v>2248</v>
      </c>
      <c r="Z530" s="34" t="s">
        <v>5416</v>
      </c>
      <c r="AA530" s="35">
        <v>2.4163306451612905E-5</v>
      </c>
      <c r="AB530" s="13"/>
      <c r="AC530" s="34">
        <v>526</v>
      </c>
      <c r="AD530" s="34" t="s">
        <v>4573</v>
      </c>
      <c r="AE530" s="34" t="s">
        <v>5326</v>
      </c>
      <c r="AF530" s="35">
        <v>1.9844758064516129E-2</v>
      </c>
    </row>
    <row r="531" spans="19:32" x14ac:dyDescent="0.35">
      <c r="S531" s="34">
        <v>527</v>
      </c>
      <c r="T531" s="34" t="s">
        <v>4284</v>
      </c>
      <c r="U531" s="34" t="s">
        <v>5351</v>
      </c>
      <c r="V531" s="35">
        <v>3.7358870967741937E-4</v>
      </c>
      <c r="W531" s="13"/>
      <c r="X531" s="34">
        <v>527</v>
      </c>
      <c r="Y531" s="34" t="s">
        <v>2248</v>
      </c>
      <c r="Z531" s="34" t="s">
        <v>5415</v>
      </c>
      <c r="AA531" s="35">
        <v>4.5241935483870972E-3</v>
      </c>
      <c r="AB531" s="13"/>
      <c r="AC531" s="34">
        <v>527</v>
      </c>
      <c r="AD531" s="34" t="s">
        <v>4573</v>
      </c>
      <c r="AE531" s="34" t="s">
        <v>5325</v>
      </c>
      <c r="AF531" s="35">
        <v>0.23477822580645163</v>
      </c>
    </row>
    <row r="532" spans="19:32" x14ac:dyDescent="0.35">
      <c r="S532" s="36">
        <v>528</v>
      </c>
      <c r="T532" s="36" t="s">
        <v>4284</v>
      </c>
      <c r="U532" s="36" t="s">
        <v>3668</v>
      </c>
      <c r="V532" s="37">
        <v>1.7012999999999998</v>
      </c>
      <c r="W532" s="13"/>
      <c r="X532" s="34">
        <v>528</v>
      </c>
      <c r="Y532" s="34" t="s">
        <v>2248</v>
      </c>
      <c r="Z532" s="34" t="s">
        <v>5706</v>
      </c>
      <c r="AA532" s="35">
        <v>6.1693548387096783E-3</v>
      </c>
      <c r="AB532" s="13"/>
      <c r="AC532" s="34">
        <v>528</v>
      </c>
      <c r="AD532" s="34" t="s">
        <v>4573</v>
      </c>
      <c r="AE532" s="34" t="s">
        <v>5324</v>
      </c>
      <c r="AF532" s="35">
        <v>0.33862903225806457</v>
      </c>
    </row>
    <row r="533" spans="19:32" x14ac:dyDescent="0.35">
      <c r="S533" s="34">
        <v>529</v>
      </c>
      <c r="T533" s="34" t="s">
        <v>4284</v>
      </c>
      <c r="U533" s="34" t="s">
        <v>3668</v>
      </c>
      <c r="V533" s="35">
        <v>2.3169354838709678E-6</v>
      </c>
      <c r="W533" s="13"/>
      <c r="X533" s="34">
        <v>529</v>
      </c>
      <c r="Y533" s="34" t="s">
        <v>2248</v>
      </c>
      <c r="Z533" s="34" t="s">
        <v>5414</v>
      </c>
      <c r="AA533" s="35">
        <v>3.3006048387096778E-4</v>
      </c>
      <c r="AB533" s="13"/>
      <c r="AC533" s="34">
        <v>529</v>
      </c>
      <c r="AD533" s="34" t="s">
        <v>4573</v>
      </c>
      <c r="AE533" s="34" t="s">
        <v>5323</v>
      </c>
      <c r="AF533" s="35">
        <v>0.61693548387096775</v>
      </c>
    </row>
    <row r="534" spans="19:32" x14ac:dyDescent="0.35">
      <c r="S534" s="34">
        <v>530</v>
      </c>
      <c r="T534" s="34" t="s">
        <v>4284</v>
      </c>
      <c r="U534" s="34" t="s">
        <v>3668</v>
      </c>
      <c r="V534" s="35">
        <v>0</v>
      </c>
      <c r="W534" s="13"/>
      <c r="X534" s="34">
        <v>530</v>
      </c>
      <c r="Y534" s="34" t="s">
        <v>2248</v>
      </c>
      <c r="Z534" s="34" t="s">
        <v>5413</v>
      </c>
      <c r="AA534" s="35">
        <v>3.633064516129033E-5</v>
      </c>
      <c r="AB534" s="13"/>
      <c r="AC534" s="34">
        <v>530</v>
      </c>
      <c r="AD534" s="34" t="s">
        <v>4573</v>
      </c>
      <c r="AE534" s="34" t="s">
        <v>5322</v>
      </c>
      <c r="AF534" s="35">
        <v>5.0040322580645162E-2</v>
      </c>
    </row>
    <row r="535" spans="19:32" x14ac:dyDescent="0.35">
      <c r="S535" s="34">
        <v>531</v>
      </c>
      <c r="T535" s="34" t="s">
        <v>4284</v>
      </c>
      <c r="U535" s="34" t="s">
        <v>5350</v>
      </c>
      <c r="V535" s="35">
        <v>2.6151209677419357E-10</v>
      </c>
      <c r="W535" s="13"/>
      <c r="X535" s="34">
        <v>531</v>
      </c>
      <c r="Y535" s="34" t="s">
        <v>2248</v>
      </c>
      <c r="Z535" s="34" t="s">
        <v>5705</v>
      </c>
      <c r="AA535" s="35">
        <v>1.2372983870967743E-3</v>
      </c>
      <c r="AB535" s="13"/>
      <c r="AC535" s="34">
        <v>531</v>
      </c>
      <c r="AD535" s="34" t="s">
        <v>4573</v>
      </c>
      <c r="AE535" s="34" t="s">
        <v>3651</v>
      </c>
      <c r="AF535" s="35">
        <v>0.10027999999999999</v>
      </c>
    </row>
    <row r="536" spans="19:32" x14ac:dyDescent="0.35">
      <c r="S536" s="34">
        <v>532</v>
      </c>
      <c r="T536" s="34" t="s">
        <v>4284</v>
      </c>
      <c r="U536" s="34" t="s">
        <v>5349</v>
      </c>
      <c r="V536" s="35">
        <v>8.7741935483870979E-4</v>
      </c>
      <c r="W536" s="13"/>
      <c r="X536" s="34">
        <v>532</v>
      </c>
      <c r="Y536" s="34" t="s">
        <v>2248</v>
      </c>
      <c r="Z536" s="34" t="s">
        <v>5409</v>
      </c>
      <c r="AA536" s="35">
        <v>8.3629032258064514E-5</v>
      </c>
      <c r="AB536" s="13"/>
      <c r="AC536" s="34">
        <v>532</v>
      </c>
      <c r="AD536" s="34" t="s">
        <v>4573</v>
      </c>
      <c r="AE536" s="34" t="s">
        <v>3649</v>
      </c>
      <c r="AF536" s="35">
        <v>0</v>
      </c>
    </row>
    <row r="537" spans="19:32" x14ac:dyDescent="0.35">
      <c r="S537" s="34">
        <v>533</v>
      </c>
      <c r="T537" s="34" t="s">
        <v>4284</v>
      </c>
      <c r="U537" s="34" t="s">
        <v>3665</v>
      </c>
      <c r="V537" s="35">
        <v>1.0008064516129032E-4</v>
      </c>
      <c r="W537" s="13"/>
      <c r="X537" s="34">
        <v>533</v>
      </c>
      <c r="Y537" s="34" t="s">
        <v>2248</v>
      </c>
      <c r="Z537" s="34" t="s">
        <v>5408</v>
      </c>
      <c r="AA537" s="35">
        <v>9.8366935483870977E-5</v>
      </c>
      <c r="AB537" s="13"/>
      <c r="AC537" s="34">
        <v>533</v>
      </c>
      <c r="AD537" s="34" t="s">
        <v>4573</v>
      </c>
      <c r="AE537" s="34" t="s">
        <v>5321</v>
      </c>
      <c r="AF537" s="35">
        <v>0.27487903225806454</v>
      </c>
    </row>
    <row r="538" spans="19:32" x14ac:dyDescent="0.35">
      <c r="S538" s="34">
        <v>534</v>
      </c>
      <c r="T538" s="34" t="s">
        <v>4284</v>
      </c>
      <c r="U538" s="34" t="s">
        <v>3665</v>
      </c>
      <c r="V538" s="35">
        <v>2.2724000000000002</v>
      </c>
      <c r="W538" s="13"/>
      <c r="X538" s="34">
        <v>534</v>
      </c>
      <c r="Y538" s="34" t="s">
        <v>2248</v>
      </c>
      <c r="Z538" s="34" t="s">
        <v>5407</v>
      </c>
      <c r="AA538" s="35">
        <v>3.3931451612903226E-5</v>
      </c>
      <c r="AB538" s="13"/>
      <c r="AC538" s="34">
        <v>534</v>
      </c>
      <c r="AD538" s="34" t="s">
        <v>4573</v>
      </c>
      <c r="AE538" s="34" t="s">
        <v>5320</v>
      </c>
      <c r="AF538" s="35">
        <v>0.40443548387096778</v>
      </c>
    </row>
    <row r="539" spans="19:32" x14ac:dyDescent="0.35">
      <c r="S539" s="34">
        <v>535</v>
      </c>
      <c r="T539" s="34" t="s">
        <v>4284</v>
      </c>
      <c r="U539" s="34" t="s">
        <v>5348</v>
      </c>
      <c r="V539" s="35">
        <v>4.8326612903225809E-5</v>
      </c>
      <c r="W539" s="13"/>
      <c r="X539" s="34">
        <v>535</v>
      </c>
      <c r="Y539" s="34" t="s">
        <v>2248</v>
      </c>
      <c r="Z539" s="34" t="s">
        <v>5704</v>
      </c>
      <c r="AA539" s="35">
        <v>0.49354838709677423</v>
      </c>
      <c r="AB539" s="13"/>
      <c r="AC539" s="34">
        <v>535</v>
      </c>
      <c r="AD539" s="34" t="s">
        <v>4573</v>
      </c>
      <c r="AE539" s="34" t="s">
        <v>5319</v>
      </c>
      <c r="AF539" s="35">
        <v>3.5987903225806452E-2</v>
      </c>
    </row>
    <row r="540" spans="19:32" x14ac:dyDescent="0.35">
      <c r="S540" s="34">
        <v>536</v>
      </c>
      <c r="T540" s="34" t="s">
        <v>4284</v>
      </c>
      <c r="U540" s="34" t="s">
        <v>3663</v>
      </c>
      <c r="V540" s="35">
        <v>0</v>
      </c>
      <c r="W540" s="13"/>
      <c r="X540" s="34">
        <v>536</v>
      </c>
      <c r="Y540" s="34" t="s">
        <v>2248</v>
      </c>
      <c r="Z540" s="34" t="s">
        <v>5403</v>
      </c>
      <c r="AA540" s="35">
        <v>3.2560483870967741E-5</v>
      </c>
      <c r="AB540" s="13"/>
      <c r="AC540" s="34">
        <v>536</v>
      </c>
      <c r="AD540" s="34" t="s">
        <v>4573</v>
      </c>
      <c r="AE540" s="34" t="s">
        <v>5318</v>
      </c>
      <c r="AF540" s="35">
        <v>0.5278225806451613</v>
      </c>
    </row>
    <row r="541" spans="19:32" x14ac:dyDescent="0.35">
      <c r="S541" s="34">
        <v>537</v>
      </c>
      <c r="T541" s="34" t="s">
        <v>4284</v>
      </c>
      <c r="U541" s="34" t="s">
        <v>5347</v>
      </c>
      <c r="V541" s="35">
        <v>8.9455645161290338E-7</v>
      </c>
      <c r="W541" s="13"/>
      <c r="X541" s="34">
        <v>537</v>
      </c>
      <c r="Y541" s="34" t="s">
        <v>2248</v>
      </c>
      <c r="Z541" s="34" t="s">
        <v>5703</v>
      </c>
      <c r="AA541" s="35">
        <v>1.2064516129032259E-4</v>
      </c>
      <c r="AB541" s="13"/>
      <c r="AC541" s="34">
        <v>537</v>
      </c>
      <c r="AD541" s="34" t="s">
        <v>4573</v>
      </c>
      <c r="AE541" s="34" t="s">
        <v>5317</v>
      </c>
      <c r="AF541" s="35">
        <v>2.6288306451612904</v>
      </c>
    </row>
    <row r="542" spans="19:32" x14ac:dyDescent="0.35">
      <c r="S542" s="34">
        <v>538</v>
      </c>
      <c r="T542" s="34" t="s">
        <v>4284</v>
      </c>
      <c r="U542" s="34" t="s">
        <v>5346</v>
      </c>
      <c r="V542" s="35">
        <v>9.5282258064516138E-4</v>
      </c>
      <c r="W542" s="13"/>
      <c r="X542" s="34">
        <v>538</v>
      </c>
      <c r="Y542" s="34" t="s">
        <v>2248</v>
      </c>
      <c r="Z542" s="34" t="s">
        <v>5401</v>
      </c>
      <c r="AA542" s="35">
        <v>4.72983870967742E-4</v>
      </c>
      <c r="AB542" s="13"/>
      <c r="AC542" s="34">
        <v>538</v>
      </c>
      <c r="AD542" s="34" t="s">
        <v>4573</v>
      </c>
      <c r="AE542" s="34" t="s">
        <v>5316</v>
      </c>
      <c r="AF542" s="35">
        <v>1.4909274193548387</v>
      </c>
    </row>
    <row r="543" spans="19:32" x14ac:dyDescent="0.35">
      <c r="S543" s="34">
        <v>539</v>
      </c>
      <c r="T543" s="34" t="s">
        <v>4284</v>
      </c>
      <c r="U543" s="34" t="s">
        <v>5345</v>
      </c>
      <c r="V543" s="35">
        <v>6.3750000000000005E-5</v>
      </c>
      <c r="W543" s="13"/>
      <c r="X543" s="34">
        <v>539</v>
      </c>
      <c r="Y543" s="34" t="s">
        <v>2248</v>
      </c>
      <c r="Z543" s="34" t="s">
        <v>5400</v>
      </c>
      <c r="AA543" s="35">
        <v>0.91854838709677422</v>
      </c>
      <c r="AB543" s="13"/>
      <c r="AC543" s="34">
        <v>539</v>
      </c>
      <c r="AD543" s="34" t="s">
        <v>4573</v>
      </c>
      <c r="AE543" s="34" t="s">
        <v>5315</v>
      </c>
      <c r="AF543" s="35">
        <v>0.41471774193548389</v>
      </c>
    </row>
    <row r="544" spans="19:32" x14ac:dyDescent="0.35">
      <c r="S544" s="34">
        <v>540</v>
      </c>
      <c r="T544" s="34" t="s">
        <v>4284</v>
      </c>
      <c r="U544" s="34" t="s">
        <v>5344</v>
      </c>
      <c r="V544" s="35">
        <v>8.3629032258064518E-6</v>
      </c>
      <c r="W544" s="13"/>
      <c r="X544" s="34">
        <v>540</v>
      </c>
      <c r="Y544" s="34" t="s">
        <v>2248</v>
      </c>
      <c r="Z544" s="34" t="s">
        <v>5702</v>
      </c>
      <c r="AA544" s="35">
        <v>1.5046370967741937E-5</v>
      </c>
      <c r="AB544" s="13"/>
      <c r="AC544" s="34">
        <v>540</v>
      </c>
      <c r="AD544" s="34" t="s">
        <v>4573</v>
      </c>
      <c r="AE544" s="34" t="s">
        <v>5314</v>
      </c>
      <c r="AF544" s="35">
        <v>3.3040322580645161E-2</v>
      </c>
    </row>
    <row r="545" spans="19:32" x14ac:dyDescent="0.35">
      <c r="S545" s="34">
        <v>541</v>
      </c>
      <c r="T545" s="34" t="s">
        <v>4284</v>
      </c>
      <c r="U545" s="34" t="s">
        <v>3661</v>
      </c>
      <c r="V545" s="35">
        <v>0</v>
      </c>
      <c r="W545" s="13"/>
      <c r="X545" s="34">
        <v>541</v>
      </c>
      <c r="Y545" s="34" t="s">
        <v>2248</v>
      </c>
      <c r="Z545" s="34" t="s">
        <v>5399</v>
      </c>
      <c r="AA545" s="35">
        <v>2.053024193548387E-3</v>
      </c>
      <c r="AB545" s="13"/>
      <c r="AC545" s="34">
        <v>541</v>
      </c>
      <c r="AD545" s="34" t="s">
        <v>4573</v>
      </c>
      <c r="AE545" s="34" t="s">
        <v>5313</v>
      </c>
      <c r="AF545" s="35">
        <v>0.5209677419354839</v>
      </c>
    </row>
    <row r="546" spans="19:32" x14ac:dyDescent="0.35">
      <c r="S546" s="34">
        <v>542</v>
      </c>
      <c r="T546" s="34" t="s">
        <v>4284</v>
      </c>
      <c r="U546" s="34" t="s">
        <v>5343</v>
      </c>
      <c r="V546" s="35">
        <v>1.8508064516129033E-3</v>
      </c>
      <c r="W546" s="13"/>
      <c r="X546" s="34">
        <v>542</v>
      </c>
      <c r="Y546" s="34" t="s">
        <v>2248</v>
      </c>
      <c r="Z546" s="34" t="s">
        <v>3683</v>
      </c>
      <c r="AA546" s="35">
        <v>1.2604</v>
      </c>
      <c r="AB546" s="13"/>
      <c r="AC546" s="34">
        <v>542</v>
      </c>
      <c r="AD546" s="34" t="s">
        <v>4573</v>
      </c>
      <c r="AE546" s="34" t="s">
        <v>5312</v>
      </c>
      <c r="AF546" s="35">
        <v>9.4939516129032269E-3</v>
      </c>
    </row>
    <row r="547" spans="19:32" x14ac:dyDescent="0.35">
      <c r="S547" s="34">
        <v>543</v>
      </c>
      <c r="T547" s="34" t="s">
        <v>4284</v>
      </c>
      <c r="U547" s="34" t="s">
        <v>5342</v>
      </c>
      <c r="V547" s="35">
        <v>4.8669354838709676E-5</v>
      </c>
      <c r="W547" s="13"/>
      <c r="X547" s="34">
        <v>543</v>
      </c>
      <c r="Y547" s="34" t="s">
        <v>2248</v>
      </c>
      <c r="Z547" s="34" t="s">
        <v>3683</v>
      </c>
      <c r="AA547" s="35">
        <v>3.0024193548387101E-4</v>
      </c>
      <c r="AB547" s="13"/>
      <c r="AC547" s="34">
        <v>543</v>
      </c>
      <c r="AD547" s="34" t="s">
        <v>4573</v>
      </c>
      <c r="AE547" s="34" t="s">
        <v>5311</v>
      </c>
      <c r="AF547" s="35">
        <v>2.0153225806451614E-2</v>
      </c>
    </row>
    <row r="548" spans="19:32" x14ac:dyDescent="0.35">
      <c r="S548" s="34">
        <v>544</v>
      </c>
      <c r="T548" s="34" t="s">
        <v>4284</v>
      </c>
      <c r="U548" s="34" t="s">
        <v>5341</v>
      </c>
      <c r="V548" s="35">
        <v>2.6459677419354843E-3</v>
      </c>
      <c r="W548" s="13"/>
      <c r="X548" s="34">
        <v>544</v>
      </c>
      <c r="Y548" s="34" t="s">
        <v>2248</v>
      </c>
      <c r="Z548" s="34" t="s">
        <v>5701</v>
      </c>
      <c r="AA548" s="35">
        <v>3.2834677419354841E-6</v>
      </c>
      <c r="AB548" s="13"/>
      <c r="AC548" s="34">
        <v>544</v>
      </c>
      <c r="AD548" s="34" t="s">
        <v>4573</v>
      </c>
      <c r="AE548" s="34" t="s">
        <v>5310</v>
      </c>
      <c r="AF548" s="35">
        <v>1.8850806451612905E-2</v>
      </c>
    </row>
    <row r="549" spans="19:32" x14ac:dyDescent="0.35">
      <c r="S549" s="34">
        <v>545</v>
      </c>
      <c r="T549" s="34" t="s">
        <v>4284</v>
      </c>
      <c r="U549" s="34" t="s">
        <v>5340</v>
      </c>
      <c r="V549" s="35">
        <v>1.240725806451613E-5</v>
      </c>
      <c r="W549" s="13"/>
      <c r="X549" s="34">
        <v>545</v>
      </c>
      <c r="Y549" s="34" t="s">
        <v>2248</v>
      </c>
      <c r="Z549" s="34" t="s">
        <v>5393</v>
      </c>
      <c r="AA549" s="35">
        <v>0.18508064516129033</v>
      </c>
      <c r="AB549" s="13"/>
      <c r="AC549" s="34">
        <v>545</v>
      </c>
      <c r="AD549" s="34" t="s">
        <v>4573</v>
      </c>
      <c r="AE549" s="34" t="s">
        <v>5309</v>
      </c>
      <c r="AF549" s="35">
        <v>1.9639112903225807E-2</v>
      </c>
    </row>
    <row r="550" spans="19:32" x14ac:dyDescent="0.35">
      <c r="S550" s="34">
        <v>546</v>
      </c>
      <c r="T550" s="34" t="s">
        <v>4284</v>
      </c>
      <c r="U550" s="34" t="s">
        <v>5339</v>
      </c>
      <c r="V550" s="35">
        <v>8.0887096774193562E-3</v>
      </c>
      <c r="W550" s="13"/>
      <c r="X550" s="34">
        <v>546</v>
      </c>
      <c r="Y550" s="34" t="s">
        <v>2248</v>
      </c>
      <c r="Z550" s="34" t="s">
        <v>5392</v>
      </c>
      <c r="AA550" s="35">
        <v>1.5868951612903228E-4</v>
      </c>
      <c r="AB550" s="13"/>
      <c r="AC550" s="34">
        <v>546</v>
      </c>
      <c r="AD550" s="34" t="s">
        <v>4573</v>
      </c>
      <c r="AE550" s="34" t="s">
        <v>5308</v>
      </c>
      <c r="AF550" s="35">
        <v>0.14806451612903226</v>
      </c>
    </row>
    <row r="551" spans="19:32" x14ac:dyDescent="0.35">
      <c r="S551" s="34">
        <v>547</v>
      </c>
      <c r="T551" s="34" t="s">
        <v>4284</v>
      </c>
      <c r="U551" s="34" t="s">
        <v>5338</v>
      </c>
      <c r="V551" s="35">
        <v>3.804435483870968E-4</v>
      </c>
      <c r="W551" s="13"/>
      <c r="X551" s="34">
        <v>547</v>
      </c>
      <c r="Y551" s="34" t="s">
        <v>2248</v>
      </c>
      <c r="Z551" s="34" t="s">
        <v>5700</v>
      </c>
      <c r="AA551" s="35">
        <v>1.3504032258064517E-4</v>
      </c>
      <c r="AB551" s="13"/>
      <c r="AC551" s="34">
        <v>547</v>
      </c>
      <c r="AD551" s="34" t="s">
        <v>4573</v>
      </c>
      <c r="AE551" s="34" t="s">
        <v>5307</v>
      </c>
      <c r="AF551" s="35">
        <v>4.0786290322580646E-2</v>
      </c>
    </row>
    <row r="552" spans="19:32" x14ac:dyDescent="0.35">
      <c r="S552" s="34">
        <v>548</v>
      </c>
      <c r="T552" s="34" t="s">
        <v>4284</v>
      </c>
      <c r="U552" s="34" t="s">
        <v>5337</v>
      </c>
      <c r="V552" s="35">
        <v>0.51068548387096779</v>
      </c>
      <c r="W552" s="13"/>
      <c r="X552" s="34">
        <v>548</v>
      </c>
      <c r="Y552" s="34" t="s">
        <v>2248</v>
      </c>
      <c r="Z552" s="34" t="s">
        <v>5391</v>
      </c>
      <c r="AA552" s="35">
        <v>5.7580645161290328E-2</v>
      </c>
      <c r="AB552" s="13"/>
      <c r="AC552" s="34">
        <v>548</v>
      </c>
      <c r="AD552" s="34" t="s">
        <v>4573</v>
      </c>
      <c r="AE552" s="34" t="s">
        <v>5306</v>
      </c>
      <c r="AF552" s="35">
        <v>0.10967741935483871</v>
      </c>
    </row>
    <row r="553" spans="19:32" x14ac:dyDescent="0.35">
      <c r="S553" s="34">
        <v>549</v>
      </c>
      <c r="T553" s="34" t="s">
        <v>4284</v>
      </c>
      <c r="U553" s="34" t="s">
        <v>5336</v>
      </c>
      <c r="V553" s="35">
        <v>5.6895161290322585E-2</v>
      </c>
      <c r="W553" s="13"/>
      <c r="X553" s="34">
        <v>549</v>
      </c>
      <c r="Y553" s="34" t="s">
        <v>2248</v>
      </c>
      <c r="Z553" s="34" t="s">
        <v>5390</v>
      </c>
      <c r="AA553" s="35">
        <v>2.1558467741935484E-5</v>
      </c>
      <c r="AB553" s="13"/>
      <c r="AC553" s="34">
        <v>549</v>
      </c>
      <c r="AD553" s="34" t="s">
        <v>4573</v>
      </c>
      <c r="AE553" s="34" t="s">
        <v>5305</v>
      </c>
      <c r="AF553" s="35">
        <v>1.4292338709677421E-2</v>
      </c>
    </row>
    <row r="554" spans="19:32" x14ac:dyDescent="0.35">
      <c r="S554" s="34">
        <v>550</v>
      </c>
      <c r="T554" s="34" t="s">
        <v>4284</v>
      </c>
      <c r="U554" s="34" t="s">
        <v>5335</v>
      </c>
      <c r="V554" s="35">
        <v>4.6612903225806451E-4</v>
      </c>
      <c r="W554" s="13"/>
      <c r="X554" s="34">
        <v>550</v>
      </c>
      <c r="Y554" s="34" t="s">
        <v>2248</v>
      </c>
      <c r="Z554" s="34" t="s">
        <v>5699</v>
      </c>
      <c r="AA554" s="35">
        <v>1.4292338709677419E-4</v>
      </c>
      <c r="AB554" s="13"/>
      <c r="AC554" s="34">
        <v>550</v>
      </c>
      <c r="AD554" s="34" t="s">
        <v>4573</v>
      </c>
      <c r="AE554" s="34" t="s">
        <v>3648</v>
      </c>
      <c r="AF554" s="35">
        <v>7.4244000000000004E-2</v>
      </c>
    </row>
    <row r="555" spans="19:32" x14ac:dyDescent="0.35">
      <c r="S555" s="34">
        <v>551</v>
      </c>
      <c r="T555" s="34" t="s">
        <v>4284</v>
      </c>
      <c r="U555" s="34" t="s">
        <v>3660</v>
      </c>
      <c r="V555" s="35">
        <v>2.5602822580645165E-3</v>
      </c>
      <c r="W555" s="13"/>
      <c r="X555" s="34">
        <v>551</v>
      </c>
      <c r="Y555" s="34" t="s">
        <v>2248</v>
      </c>
      <c r="Z555" s="34" t="s">
        <v>3681</v>
      </c>
      <c r="AA555" s="35">
        <v>0</v>
      </c>
      <c r="AB555" s="13"/>
      <c r="AC555" s="34">
        <v>551</v>
      </c>
      <c r="AD555" s="34" t="s">
        <v>4573</v>
      </c>
      <c r="AE555" s="34" t="s">
        <v>3645</v>
      </c>
      <c r="AF555" s="35">
        <v>4.4527999999999999</v>
      </c>
    </row>
    <row r="556" spans="19:32" x14ac:dyDescent="0.35">
      <c r="S556" s="34">
        <v>552</v>
      </c>
      <c r="T556" s="34" t="s">
        <v>4284</v>
      </c>
      <c r="U556" s="34" t="s">
        <v>3660</v>
      </c>
      <c r="V556" s="35">
        <v>0</v>
      </c>
      <c r="W556" s="13"/>
      <c r="X556" s="34">
        <v>552</v>
      </c>
      <c r="Y556" s="34" t="s">
        <v>2248</v>
      </c>
      <c r="Z556" s="34" t="s">
        <v>3681</v>
      </c>
      <c r="AA556" s="35">
        <v>3.7701612903225815E-5</v>
      </c>
      <c r="AB556" s="13"/>
      <c r="AC556" s="34">
        <v>552</v>
      </c>
      <c r="AD556" s="34" t="s">
        <v>4573</v>
      </c>
      <c r="AE556" s="34" t="s">
        <v>5304</v>
      </c>
      <c r="AF556" s="35">
        <v>0.17034274193548388</v>
      </c>
    </row>
    <row r="557" spans="19:32" x14ac:dyDescent="0.35">
      <c r="S557" s="34">
        <v>553</v>
      </c>
      <c r="T557" s="34" t="s">
        <v>4284</v>
      </c>
      <c r="U557" s="34" t="s">
        <v>5334</v>
      </c>
      <c r="V557" s="35">
        <v>1.8508064516129033E-2</v>
      </c>
      <c r="W557" s="13"/>
      <c r="X557" s="34">
        <v>553</v>
      </c>
      <c r="Y557" s="34" t="s">
        <v>2248</v>
      </c>
      <c r="Z557" s="34" t="s">
        <v>5389</v>
      </c>
      <c r="AA557" s="35">
        <v>3.0983870967741937E-4</v>
      </c>
      <c r="AB557" s="13"/>
      <c r="AC557" s="34">
        <v>553</v>
      </c>
      <c r="AD557" s="34" t="s">
        <v>4573</v>
      </c>
      <c r="AE557" s="34" t="s">
        <v>5303</v>
      </c>
      <c r="AF557" s="35">
        <v>4.7298387096774194E-3</v>
      </c>
    </row>
    <row r="558" spans="19:32" x14ac:dyDescent="0.35">
      <c r="S558" s="34">
        <v>554</v>
      </c>
      <c r="T558" s="34" t="s">
        <v>4284</v>
      </c>
      <c r="U558" s="34" t="s">
        <v>3657</v>
      </c>
      <c r="V558" s="35">
        <v>2.4011999999999999E-2</v>
      </c>
      <c r="W558" s="13"/>
      <c r="X558" s="34">
        <v>554</v>
      </c>
      <c r="Y558" s="34" t="s">
        <v>2248</v>
      </c>
      <c r="Z558" s="34" t="s">
        <v>5698</v>
      </c>
      <c r="AA558" s="35">
        <v>1.0830645161290324E-3</v>
      </c>
      <c r="AB558" s="13"/>
      <c r="AC558" s="34">
        <v>554</v>
      </c>
      <c r="AD558" s="34" t="s">
        <v>4573</v>
      </c>
      <c r="AE558" s="34" t="s">
        <v>5302</v>
      </c>
      <c r="AF558" s="35">
        <v>7.8830645161290323E-3</v>
      </c>
    </row>
    <row r="559" spans="19:32" x14ac:dyDescent="0.35">
      <c r="S559" s="34">
        <v>555</v>
      </c>
      <c r="T559" s="34" t="s">
        <v>4284</v>
      </c>
      <c r="U559" s="34" t="s">
        <v>5333</v>
      </c>
      <c r="V559" s="35">
        <v>6.2721774193548392E-6</v>
      </c>
      <c r="W559" s="13"/>
      <c r="X559" s="34">
        <v>555</v>
      </c>
      <c r="Y559" s="34" t="s">
        <v>2248</v>
      </c>
      <c r="Z559" s="34" t="s">
        <v>5388</v>
      </c>
      <c r="AA559" s="35">
        <v>7.3689516129032259E-5</v>
      </c>
      <c r="AB559" s="13"/>
      <c r="AC559" s="34">
        <v>555</v>
      </c>
      <c r="AD559" s="34" t="s">
        <v>4573</v>
      </c>
      <c r="AE559" s="34" t="s">
        <v>5301</v>
      </c>
      <c r="AF559" s="35">
        <v>3.8044354838709681E-2</v>
      </c>
    </row>
    <row r="560" spans="19:32" x14ac:dyDescent="0.35">
      <c r="S560" s="41">
        <v>556</v>
      </c>
      <c r="T560" s="41" t="s">
        <v>4284</v>
      </c>
      <c r="U560" s="41" t="s">
        <v>5332</v>
      </c>
      <c r="V560" s="42">
        <v>2.9211</v>
      </c>
      <c r="W560" s="13"/>
      <c r="X560" s="34">
        <v>556</v>
      </c>
      <c r="Y560" s="34" t="s">
        <v>2248</v>
      </c>
      <c r="Z560" s="34" t="s">
        <v>3679</v>
      </c>
      <c r="AA560" s="35">
        <v>8.9332000000000009E-2</v>
      </c>
      <c r="AB560" s="13"/>
      <c r="AC560" s="34">
        <v>556</v>
      </c>
      <c r="AD560" s="34" t="s">
        <v>4573</v>
      </c>
      <c r="AE560" s="34" t="s">
        <v>5300</v>
      </c>
      <c r="AF560" s="35">
        <v>0.21661290322580648</v>
      </c>
    </row>
    <row r="561" spans="19:32" x14ac:dyDescent="0.35">
      <c r="S561" s="34">
        <v>557</v>
      </c>
      <c r="T561" s="34" t="s">
        <v>4284</v>
      </c>
      <c r="U561" s="34" t="s">
        <v>5332</v>
      </c>
      <c r="V561" s="35">
        <v>2.6185483870967746E-5</v>
      </c>
      <c r="W561" s="13"/>
      <c r="X561" s="34">
        <v>557</v>
      </c>
      <c r="Y561" s="34" t="s">
        <v>2248</v>
      </c>
      <c r="Z561" s="34" t="s">
        <v>5697</v>
      </c>
      <c r="AA561" s="35">
        <v>8.6370967741935498E-5</v>
      </c>
      <c r="AB561" s="13"/>
      <c r="AC561" s="34">
        <v>557</v>
      </c>
      <c r="AD561" s="34" t="s">
        <v>4573</v>
      </c>
      <c r="AE561" s="34" t="s">
        <v>5299</v>
      </c>
      <c r="AF561" s="35">
        <v>6.3407258064516131E-3</v>
      </c>
    </row>
    <row r="562" spans="19:32" x14ac:dyDescent="0.35">
      <c r="S562" s="34">
        <v>558</v>
      </c>
      <c r="T562" s="34" t="s">
        <v>4284</v>
      </c>
      <c r="U562" s="34" t="s">
        <v>5331</v>
      </c>
      <c r="V562" s="35">
        <v>6.8548387096774202E-2</v>
      </c>
      <c r="W562" s="13"/>
      <c r="X562" s="34">
        <v>558</v>
      </c>
      <c r="Y562" s="34" t="s">
        <v>2248</v>
      </c>
      <c r="Z562" s="34" t="s">
        <v>5387</v>
      </c>
      <c r="AA562" s="35">
        <v>9.2883064516129045E-4</v>
      </c>
      <c r="AB562" s="13"/>
      <c r="AC562" s="34">
        <v>558</v>
      </c>
      <c r="AD562" s="34" t="s">
        <v>4573</v>
      </c>
      <c r="AE562" s="34" t="s">
        <v>5298</v>
      </c>
      <c r="AF562" s="35">
        <v>2.776209677419355E-2</v>
      </c>
    </row>
    <row r="563" spans="19:32" x14ac:dyDescent="0.35">
      <c r="S563" s="34">
        <v>559</v>
      </c>
      <c r="T563" s="34" t="s">
        <v>4284</v>
      </c>
      <c r="U563" s="34" t="s">
        <v>5330</v>
      </c>
      <c r="V563" s="35">
        <v>2.3169354838709678E-2</v>
      </c>
      <c r="W563" s="13"/>
      <c r="X563" s="34">
        <v>559</v>
      </c>
      <c r="Y563" s="34" t="s">
        <v>2248</v>
      </c>
      <c r="Z563" s="34" t="s">
        <v>5386</v>
      </c>
      <c r="AA563" s="35">
        <v>0.1583467741935484</v>
      </c>
      <c r="AB563" s="13"/>
      <c r="AC563" s="34">
        <v>559</v>
      </c>
      <c r="AD563" s="34" t="s">
        <v>4573</v>
      </c>
      <c r="AE563" s="34" t="s">
        <v>5297</v>
      </c>
      <c r="AF563" s="35">
        <v>3.6330645161290325E-4</v>
      </c>
    </row>
    <row r="564" spans="19:32" x14ac:dyDescent="0.35">
      <c r="S564" s="34">
        <v>560</v>
      </c>
      <c r="T564" s="34" t="s">
        <v>4284</v>
      </c>
      <c r="U564" s="34" t="s">
        <v>5329</v>
      </c>
      <c r="V564" s="35">
        <v>6.1008064516129036E-2</v>
      </c>
      <c r="W564" s="13"/>
      <c r="X564" s="34">
        <v>560</v>
      </c>
      <c r="Y564" s="34" t="s">
        <v>2248</v>
      </c>
      <c r="Z564" s="34" t="s">
        <v>5696</v>
      </c>
      <c r="AA564" s="35">
        <v>1.6931451612903226E-6</v>
      </c>
      <c r="AB564" s="13"/>
      <c r="AC564" s="34">
        <v>560</v>
      </c>
      <c r="AD564" s="34" t="s">
        <v>4573</v>
      </c>
      <c r="AE564" s="34" t="s">
        <v>5296</v>
      </c>
      <c r="AF564" s="35">
        <v>4.7641129032258069E-2</v>
      </c>
    </row>
    <row r="565" spans="19:32" x14ac:dyDescent="0.35">
      <c r="S565" s="34">
        <v>561</v>
      </c>
      <c r="T565" s="34" t="s">
        <v>4284</v>
      </c>
      <c r="U565" s="34" t="s">
        <v>5328</v>
      </c>
      <c r="V565" s="35">
        <v>9.5625000000000016E-3</v>
      </c>
      <c r="W565" s="13"/>
      <c r="X565" s="34">
        <v>561</v>
      </c>
      <c r="Y565" s="34" t="s">
        <v>2248</v>
      </c>
      <c r="Z565" s="34" t="s">
        <v>5385</v>
      </c>
      <c r="AA565" s="35">
        <v>5.8608870967741937E-5</v>
      </c>
      <c r="AB565" s="13"/>
      <c r="AC565" s="34">
        <v>561</v>
      </c>
      <c r="AD565" s="34" t="s">
        <v>4573</v>
      </c>
      <c r="AE565" s="34" t="s">
        <v>5295</v>
      </c>
      <c r="AF565" s="35">
        <v>1.2030241935483872E-3</v>
      </c>
    </row>
    <row r="566" spans="19:32" x14ac:dyDescent="0.35">
      <c r="S566" s="34">
        <v>562</v>
      </c>
      <c r="T566" s="34" t="s">
        <v>4284</v>
      </c>
      <c r="U566" s="34" t="s">
        <v>3655</v>
      </c>
      <c r="V566" s="35">
        <v>0</v>
      </c>
      <c r="W566" s="13"/>
      <c r="X566" s="34">
        <v>562</v>
      </c>
      <c r="Y566" s="34" t="s">
        <v>2248</v>
      </c>
      <c r="Z566" s="34" t="s">
        <v>5384</v>
      </c>
      <c r="AA566" s="35">
        <v>2.220967741935484E-5</v>
      </c>
      <c r="AB566" s="13"/>
      <c r="AC566" s="34">
        <v>562</v>
      </c>
      <c r="AD566" s="34" t="s">
        <v>4573</v>
      </c>
      <c r="AE566" s="34" t="s">
        <v>5294</v>
      </c>
      <c r="AF566" s="35">
        <v>1.6588709677419357E-2</v>
      </c>
    </row>
    <row r="567" spans="19:32" x14ac:dyDescent="0.35">
      <c r="S567" s="34">
        <v>563</v>
      </c>
      <c r="T567" s="34" t="s">
        <v>4284</v>
      </c>
      <c r="U567" s="34" t="s">
        <v>5326</v>
      </c>
      <c r="V567" s="35">
        <v>1.0590725806451613E-6</v>
      </c>
      <c r="W567" s="13"/>
      <c r="X567" s="34">
        <v>563</v>
      </c>
      <c r="Y567" s="34" t="s">
        <v>2248</v>
      </c>
      <c r="Z567" s="34" t="s">
        <v>5695</v>
      </c>
      <c r="AA567" s="35">
        <v>7.8145161290322574E-5</v>
      </c>
      <c r="AB567" s="13"/>
      <c r="AC567" s="34">
        <v>563</v>
      </c>
      <c r="AD567" s="34" t="s">
        <v>4573</v>
      </c>
      <c r="AE567" s="34" t="s">
        <v>5293</v>
      </c>
      <c r="AF567" s="35">
        <v>4.558467741935484E-2</v>
      </c>
    </row>
    <row r="568" spans="19:32" x14ac:dyDescent="0.35">
      <c r="S568" s="34">
        <v>564</v>
      </c>
      <c r="T568" s="34" t="s">
        <v>4284</v>
      </c>
      <c r="U568" s="34" t="s">
        <v>5325</v>
      </c>
      <c r="V568" s="35">
        <v>5.175403225806452E-3</v>
      </c>
      <c r="W568" s="13"/>
      <c r="X568" s="34">
        <v>564</v>
      </c>
      <c r="Y568" s="34" t="s">
        <v>2248</v>
      </c>
      <c r="Z568" s="34" t="s">
        <v>5383</v>
      </c>
      <c r="AA568" s="35">
        <v>1.6280241935483871E-5</v>
      </c>
      <c r="AB568" s="13"/>
      <c r="AC568" s="34">
        <v>564</v>
      </c>
      <c r="AD568" s="34" t="s">
        <v>4573</v>
      </c>
      <c r="AE568" s="34" t="s">
        <v>5292</v>
      </c>
      <c r="AF568" s="35">
        <v>1.2475806451612904E-2</v>
      </c>
    </row>
    <row r="569" spans="19:32" x14ac:dyDescent="0.35">
      <c r="S569" s="34">
        <v>565</v>
      </c>
      <c r="T569" s="34" t="s">
        <v>4284</v>
      </c>
      <c r="U569" s="34" t="s">
        <v>5324</v>
      </c>
      <c r="V569" s="35">
        <v>1.4977822580645162E-2</v>
      </c>
      <c r="W569" s="13"/>
      <c r="X569" s="34">
        <v>565</v>
      </c>
      <c r="Y569" s="34" t="s">
        <v>2248</v>
      </c>
      <c r="Z569" s="34" t="s">
        <v>5382</v>
      </c>
      <c r="AA569" s="35">
        <v>6.4092741935483884E-5</v>
      </c>
      <c r="AB569" s="13"/>
      <c r="AC569" s="34">
        <v>565</v>
      </c>
      <c r="AD569" s="34" t="s">
        <v>4573</v>
      </c>
      <c r="AE569" s="34" t="s">
        <v>3643</v>
      </c>
      <c r="AF569" s="35">
        <v>2.6562500000000002E-4</v>
      </c>
    </row>
    <row r="570" spans="19:32" x14ac:dyDescent="0.35">
      <c r="S570" s="34">
        <v>566</v>
      </c>
      <c r="T570" s="34" t="s">
        <v>4284</v>
      </c>
      <c r="U570" s="34" t="s">
        <v>5323</v>
      </c>
      <c r="V570" s="35">
        <v>1.9639112903225807E-2</v>
      </c>
      <c r="W570" s="13"/>
      <c r="X570" s="34">
        <v>566</v>
      </c>
      <c r="Y570" s="34" t="s">
        <v>2248</v>
      </c>
      <c r="Z570" s="34" t="s">
        <v>5381</v>
      </c>
      <c r="AA570" s="35">
        <v>1.038508064516129E-2</v>
      </c>
      <c r="AB570" s="13"/>
      <c r="AC570" s="34">
        <v>566</v>
      </c>
      <c r="AD570" s="34" t="s">
        <v>4573</v>
      </c>
      <c r="AE570" s="34" t="s">
        <v>3643</v>
      </c>
      <c r="AF570" s="35">
        <v>0</v>
      </c>
    </row>
    <row r="571" spans="19:32" x14ac:dyDescent="0.35">
      <c r="S571" s="34">
        <v>567</v>
      </c>
      <c r="T571" s="34" t="s">
        <v>4284</v>
      </c>
      <c r="U571" s="34" t="s">
        <v>5322</v>
      </c>
      <c r="V571" s="35">
        <v>7.0947580645161289E-5</v>
      </c>
      <c r="W571" s="13"/>
      <c r="X571" s="34">
        <v>567</v>
      </c>
      <c r="Y571" s="34" t="s">
        <v>2248</v>
      </c>
      <c r="Z571" s="34" t="s">
        <v>5694</v>
      </c>
      <c r="AA571" s="35">
        <v>6.9576612903225811E-5</v>
      </c>
      <c r="AB571" s="13"/>
      <c r="AC571" s="34">
        <v>567</v>
      </c>
      <c r="AD571" s="34" t="s">
        <v>4573</v>
      </c>
      <c r="AE571" s="34" t="s">
        <v>5291</v>
      </c>
      <c r="AF571" s="35">
        <v>1.6383064516129033E-3</v>
      </c>
    </row>
    <row r="572" spans="19:32" x14ac:dyDescent="0.35">
      <c r="S572" s="34">
        <v>568</v>
      </c>
      <c r="T572" s="34" t="s">
        <v>4284</v>
      </c>
      <c r="U572" s="34" t="s">
        <v>3651</v>
      </c>
      <c r="V572" s="35">
        <v>6.8264000000000005E-2</v>
      </c>
      <c r="W572" s="13"/>
      <c r="X572" s="34">
        <v>568</v>
      </c>
      <c r="Y572" s="34" t="s">
        <v>2248</v>
      </c>
      <c r="Z572" s="34" t="s">
        <v>3677</v>
      </c>
      <c r="AA572" s="35">
        <v>0</v>
      </c>
      <c r="AB572" s="13"/>
      <c r="AC572" s="34">
        <v>568</v>
      </c>
      <c r="AD572" s="34" t="s">
        <v>4573</v>
      </c>
      <c r="AE572" s="34" t="s">
        <v>5290</v>
      </c>
      <c r="AF572" s="35">
        <v>2.6391129032258067E-2</v>
      </c>
    </row>
    <row r="573" spans="19:32" x14ac:dyDescent="0.35">
      <c r="S573" s="34">
        <v>569</v>
      </c>
      <c r="T573" s="34" t="s">
        <v>4284</v>
      </c>
      <c r="U573" s="34" t="s">
        <v>3649</v>
      </c>
      <c r="V573" s="35">
        <v>0</v>
      </c>
      <c r="W573" s="13"/>
      <c r="X573" s="34">
        <v>569</v>
      </c>
      <c r="Y573" s="34" t="s">
        <v>2248</v>
      </c>
      <c r="Z573" s="34" t="s">
        <v>3677</v>
      </c>
      <c r="AA573" s="35">
        <v>4.318548387096775E-3</v>
      </c>
      <c r="AB573" s="13"/>
      <c r="AC573" s="34">
        <v>569</v>
      </c>
      <c r="AD573" s="34" t="s">
        <v>4573</v>
      </c>
      <c r="AE573" s="34" t="s">
        <v>5287</v>
      </c>
      <c r="AF573" s="35">
        <v>1.6348790322580646</v>
      </c>
    </row>
    <row r="574" spans="19:32" x14ac:dyDescent="0.35">
      <c r="S574" s="34">
        <v>570</v>
      </c>
      <c r="T574" s="34" t="s">
        <v>4284</v>
      </c>
      <c r="U574" s="34" t="s">
        <v>5321</v>
      </c>
      <c r="V574" s="35">
        <v>1.3572580645161291E-2</v>
      </c>
      <c r="W574" s="13"/>
      <c r="X574" s="34">
        <v>570</v>
      </c>
      <c r="Y574" s="34" t="s">
        <v>2248</v>
      </c>
      <c r="Z574" s="34" t="s">
        <v>3820</v>
      </c>
      <c r="AA574" s="35">
        <v>1.2578629032258066E-4</v>
      </c>
      <c r="AB574" s="13"/>
      <c r="AC574" s="34">
        <v>570</v>
      </c>
      <c r="AD574" s="34" t="s">
        <v>4573</v>
      </c>
      <c r="AE574" s="34" t="s">
        <v>5283</v>
      </c>
      <c r="AF574" s="35">
        <v>9.2197580645161301E-2</v>
      </c>
    </row>
    <row r="575" spans="19:32" x14ac:dyDescent="0.35">
      <c r="S575" s="34">
        <v>571</v>
      </c>
      <c r="T575" s="34" t="s">
        <v>4284</v>
      </c>
      <c r="U575" s="34" t="s">
        <v>5320</v>
      </c>
      <c r="V575" s="35">
        <v>2.1010080645161293E-2</v>
      </c>
      <c r="W575" s="13"/>
      <c r="X575" s="34">
        <v>571</v>
      </c>
      <c r="Y575" s="34" t="s">
        <v>2248</v>
      </c>
      <c r="Z575" s="34" t="s">
        <v>5380</v>
      </c>
      <c r="AA575" s="35">
        <v>7.2661290322580661E-5</v>
      </c>
      <c r="AB575" s="13"/>
      <c r="AC575" s="34">
        <v>571</v>
      </c>
      <c r="AD575" s="34" t="s">
        <v>4573</v>
      </c>
      <c r="AE575" s="34" t="s">
        <v>5282</v>
      </c>
      <c r="AF575" s="35">
        <v>6.2379032258064522E-2</v>
      </c>
    </row>
    <row r="576" spans="19:32" x14ac:dyDescent="0.35">
      <c r="S576" s="34">
        <v>572</v>
      </c>
      <c r="T576" s="34" t="s">
        <v>4284</v>
      </c>
      <c r="U576" s="34" t="s">
        <v>5319</v>
      </c>
      <c r="V576" s="35">
        <v>1.1721774193548387E-4</v>
      </c>
      <c r="W576" s="13"/>
      <c r="X576" s="34">
        <v>572</v>
      </c>
      <c r="Y576" s="34" t="s">
        <v>2248</v>
      </c>
      <c r="Z576" s="34" t="s">
        <v>5379</v>
      </c>
      <c r="AA576" s="35">
        <v>5.0383064516129035E-3</v>
      </c>
      <c r="AB576" s="13"/>
      <c r="AC576" s="34">
        <v>572</v>
      </c>
      <c r="AD576" s="34" t="s">
        <v>4573</v>
      </c>
      <c r="AE576" s="34" t="s">
        <v>5281</v>
      </c>
      <c r="AF576" s="35">
        <v>1.6588709677419356E-3</v>
      </c>
    </row>
    <row r="577" spans="19:32" x14ac:dyDescent="0.35">
      <c r="S577" s="34">
        <v>573</v>
      </c>
      <c r="T577" s="34" t="s">
        <v>4284</v>
      </c>
      <c r="U577" s="34" t="s">
        <v>5318</v>
      </c>
      <c r="V577" s="35">
        <v>4.1129032258064517E-2</v>
      </c>
      <c r="W577" s="13"/>
      <c r="X577" s="34">
        <v>573</v>
      </c>
      <c r="Y577" s="34" t="s">
        <v>2248</v>
      </c>
      <c r="Z577" s="34" t="s">
        <v>5378</v>
      </c>
      <c r="AA577" s="35">
        <v>2.4711693548387097E-3</v>
      </c>
      <c r="AB577" s="13"/>
      <c r="AC577" s="34">
        <v>573</v>
      </c>
      <c r="AD577" s="34" t="s">
        <v>4573</v>
      </c>
      <c r="AE577" s="34" t="s">
        <v>3640</v>
      </c>
      <c r="AF577" s="35">
        <v>0.11002016129032259</v>
      </c>
    </row>
    <row r="578" spans="19:32" x14ac:dyDescent="0.35">
      <c r="S578" s="34">
        <v>574</v>
      </c>
      <c r="T578" s="34" t="s">
        <v>4284</v>
      </c>
      <c r="U578" s="34" t="s">
        <v>5317</v>
      </c>
      <c r="V578" s="35">
        <v>5.4838709677419356E-2</v>
      </c>
      <c r="W578" s="13"/>
      <c r="X578" s="34">
        <v>574</v>
      </c>
      <c r="Y578" s="34" t="s">
        <v>2248</v>
      </c>
      <c r="Z578" s="34" t="s">
        <v>5693</v>
      </c>
      <c r="AA578" s="35">
        <v>4.215725806451613E-3</v>
      </c>
      <c r="AB578" s="13"/>
      <c r="AC578" s="34">
        <v>574</v>
      </c>
      <c r="AD578" s="34" t="s">
        <v>4573</v>
      </c>
      <c r="AE578" s="34" t="s">
        <v>3640</v>
      </c>
      <c r="AF578" s="35">
        <v>0</v>
      </c>
    </row>
    <row r="579" spans="19:32" x14ac:dyDescent="0.35">
      <c r="S579" s="34">
        <v>575</v>
      </c>
      <c r="T579" s="34" t="s">
        <v>4284</v>
      </c>
      <c r="U579" s="34" t="s">
        <v>5316</v>
      </c>
      <c r="V579" s="35">
        <v>2.4745967741935486E-2</v>
      </c>
      <c r="W579" s="13"/>
      <c r="X579" s="34">
        <v>575</v>
      </c>
      <c r="Y579" s="34" t="s">
        <v>2248</v>
      </c>
      <c r="Z579" s="34" t="s">
        <v>5377</v>
      </c>
      <c r="AA579" s="35">
        <v>2.2175403225806454E-3</v>
      </c>
      <c r="AB579" s="13"/>
      <c r="AC579" s="34">
        <v>575</v>
      </c>
      <c r="AD579" s="34" t="s">
        <v>4573</v>
      </c>
      <c r="AE579" s="34" t="s">
        <v>5280</v>
      </c>
      <c r="AF579" s="35">
        <v>4.0100806451612905E-4</v>
      </c>
    </row>
    <row r="580" spans="19:32" x14ac:dyDescent="0.35">
      <c r="S580" s="34">
        <v>576</v>
      </c>
      <c r="T580" s="34" t="s">
        <v>4284</v>
      </c>
      <c r="U580" s="34" t="s">
        <v>5315</v>
      </c>
      <c r="V580" s="35">
        <v>1.9776209677419359E-3</v>
      </c>
      <c r="W580" s="13"/>
      <c r="X580" s="34">
        <v>576</v>
      </c>
      <c r="Y580" s="34" t="s">
        <v>2248</v>
      </c>
      <c r="Z580" s="34" t="s">
        <v>5376</v>
      </c>
      <c r="AA580" s="35">
        <v>5.4838709677419362E-5</v>
      </c>
      <c r="AB580" s="13"/>
      <c r="AC580" s="34">
        <v>576</v>
      </c>
      <c r="AD580" s="34" t="s">
        <v>4573</v>
      </c>
      <c r="AE580" s="34" t="s">
        <v>5279</v>
      </c>
      <c r="AF580" s="35">
        <v>2.4745967741935486E-2</v>
      </c>
    </row>
    <row r="581" spans="19:32" x14ac:dyDescent="0.35">
      <c r="S581" s="34">
        <v>577</v>
      </c>
      <c r="T581" s="34" t="s">
        <v>4284</v>
      </c>
      <c r="U581" s="34" t="s">
        <v>5314</v>
      </c>
      <c r="V581" s="35">
        <v>2.5842741935483873E-5</v>
      </c>
      <c r="W581" s="13"/>
      <c r="X581" s="34">
        <v>577</v>
      </c>
      <c r="Y581" s="34" t="s">
        <v>2248</v>
      </c>
      <c r="Z581" s="34" t="s">
        <v>5692</v>
      </c>
      <c r="AA581" s="35">
        <v>8.8770161290322588E-5</v>
      </c>
      <c r="AB581" s="13"/>
      <c r="AC581" s="34">
        <v>577</v>
      </c>
      <c r="AD581" s="34" t="s">
        <v>4573</v>
      </c>
      <c r="AE581" s="34" t="s">
        <v>5278</v>
      </c>
      <c r="AF581" s="35">
        <v>2.2346774193548391E-3</v>
      </c>
    </row>
    <row r="582" spans="19:32" x14ac:dyDescent="0.35">
      <c r="S582" s="34">
        <v>578</v>
      </c>
      <c r="T582" s="34" t="s">
        <v>4284</v>
      </c>
      <c r="U582" s="34" t="s">
        <v>5313</v>
      </c>
      <c r="V582" s="35">
        <v>1.1070564516129033E-2</v>
      </c>
      <c r="W582" s="13"/>
      <c r="X582" s="34">
        <v>578</v>
      </c>
      <c r="Y582" s="34" t="s">
        <v>2248</v>
      </c>
      <c r="Z582" s="34" t="s">
        <v>5375</v>
      </c>
      <c r="AA582" s="35">
        <v>4.9697580645161291E-6</v>
      </c>
      <c r="AB582" s="13"/>
      <c r="AC582" s="34">
        <v>578</v>
      </c>
      <c r="AD582" s="34" t="s">
        <v>4573</v>
      </c>
      <c r="AE582" s="34" t="s">
        <v>3638</v>
      </c>
      <c r="AF582" s="35">
        <v>39.192</v>
      </c>
    </row>
    <row r="583" spans="19:32" x14ac:dyDescent="0.35">
      <c r="S583" s="34">
        <v>579</v>
      </c>
      <c r="T583" s="34" t="s">
        <v>4284</v>
      </c>
      <c r="U583" s="34" t="s">
        <v>5312</v>
      </c>
      <c r="V583" s="35">
        <v>2.3203629032258065E-4</v>
      </c>
      <c r="W583" s="13"/>
      <c r="X583" s="34">
        <v>579</v>
      </c>
      <c r="Y583" s="34" t="s">
        <v>2248</v>
      </c>
      <c r="Z583" s="34" t="s">
        <v>5374</v>
      </c>
      <c r="AA583" s="35">
        <v>0.78830645161290325</v>
      </c>
      <c r="AB583" s="13"/>
      <c r="AC583" s="34">
        <v>579</v>
      </c>
      <c r="AD583" s="34" t="s">
        <v>4573</v>
      </c>
      <c r="AE583" s="34" t="s">
        <v>5277</v>
      </c>
      <c r="AF583" s="35">
        <v>4.6955645161290329E-3</v>
      </c>
    </row>
    <row r="584" spans="19:32" x14ac:dyDescent="0.35">
      <c r="S584" s="34">
        <v>580</v>
      </c>
      <c r="T584" s="34" t="s">
        <v>4284</v>
      </c>
      <c r="U584" s="34" t="s">
        <v>5311</v>
      </c>
      <c r="V584" s="35">
        <v>1.5389112903225807E-4</v>
      </c>
      <c r="W584" s="13"/>
      <c r="X584" s="34">
        <v>580</v>
      </c>
      <c r="Y584" s="34" t="s">
        <v>2248</v>
      </c>
      <c r="Z584" s="34" t="s">
        <v>5691</v>
      </c>
      <c r="AA584" s="35">
        <v>1.0762096774193549E-5</v>
      </c>
      <c r="AB584" s="13"/>
      <c r="AC584" s="34">
        <v>580</v>
      </c>
      <c r="AD584" s="34" t="s">
        <v>4573</v>
      </c>
      <c r="AE584" s="34" t="s">
        <v>5276</v>
      </c>
      <c r="AF584" s="35">
        <v>1.3538306451612905E-2</v>
      </c>
    </row>
    <row r="585" spans="19:32" x14ac:dyDescent="0.35">
      <c r="S585" s="34">
        <v>581</v>
      </c>
      <c r="T585" s="34" t="s">
        <v>4284</v>
      </c>
      <c r="U585" s="34" t="s">
        <v>5310</v>
      </c>
      <c r="V585" s="35">
        <v>1.723991935483871E-5</v>
      </c>
      <c r="W585" s="13"/>
      <c r="X585" s="34">
        <v>581</v>
      </c>
      <c r="Y585" s="34" t="s">
        <v>2248</v>
      </c>
      <c r="Z585" s="34" t="s">
        <v>5373</v>
      </c>
      <c r="AA585" s="35">
        <v>4.4899193548387102E-4</v>
      </c>
      <c r="AB585" s="13"/>
      <c r="AC585" s="34">
        <v>581</v>
      </c>
      <c r="AD585" s="34" t="s">
        <v>4573</v>
      </c>
      <c r="AE585" s="34" t="s">
        <v>5275</v>
      </c>
      <c r="AF585" s="35">
        <v>3.9415322580645167E-4</v>
      </c>
    </row>
    <row r="586" spans="19:32" x14ac:dyDescent="0.35">
      <c r="S586" s="34">
        <v>582</v>
      </c>
      <c r="T586" s="34" t="s">
        <v>4284</v>
      </c>
      <c r="U586" s="34" t="s">
        <v>5309</v>
      </c>
      <c r="V586" s="35">
        <v>1.076209677419355E-4</v>
      </c>
      <c r="W586" s="13"/>
      <c r="X586" s="34">
        <v>582</v>
      </c>
      <c r="Y586" s="34" t="s">
        <v>2248</v>
      </c>
      <c r="Z586" s="34" t="s">
        <v>5372</v>
      </c>
      <c r="AA586" s="35">
        <v>2.340927419354839E-4</v>
      </c>
      <c r="AB586" s="13"/>
      <c r="AC586" s="34">
        <v>582</v>
      </c>
      <c r="AD586" s="34" t="s">
        <v>4573</v>
      </c>
      <c r="AE586" s="34" t="s">
        <v>5274</v>
      </c>
      <c r="AF586" s="35">
        <v>8.0887096774193558E-4</v>
      </c>
    </row>
    <row r="587" spans="19:32" x14ac:dyDescent="0.35">
      <c r="S587" s="34">
        <v>583</v>
      </c>
      <c r="T587" s="34" t="s">
        <v>4284</v>
      </c>
      <c r="U587" s="34" t="s">
        <v>5308</v>
      </c>
      <c r="V587" s="35">
        <v>9.8366935483870984E-3</v>
      </c>
      <c r="W587" s="13"/>
      <c r="X587" s="34">
        <v>583</v>
      </c>
      <c r="Y587" s="34" t="s">
        <v>2248</v>
      </c>
      <c r="Z587" s="34" t="s">
        <v>5371</v>
      </c>
      <c r="AA587" s="35">
        <v>2.4711693548387099E-2</v>
      </c>
      <c r="AB587" s="13"/>
      <c r="AC587" s="34">
        <v>583</v>
      </c>
      <c r="AD587" s="34" t="s">
        <v>4573</v>
      </c>
      <c r="AE587" s="34" t="s">
        <v>5273</v>
      </c>
      <c r="AF587" s="35">
        <v>6.2379032258064522E-2</v>
      </c>
    </row>
    <row r="588" spans="19:32" x14ac:dyDescent="0.35">
      <c r="S588" s="34">
        <v>584</v>
      </c>
      <c r="T588" s="34" t="s">
        <v>4284</v>
      </c>
      <c r="U588" s="34" t="s">
        <v>5307</v>
      </c>
      <c r="V588" s="35">
        <v>4.8326612903225813E-3</v>
      </c>
      <c r="W588" s="13"/>
      <c r="X588" s="34">
        <v>584</v>
      </c>
      <c r="Y588" s="34" t="s">
        <v>2248</v>
      </c>
      <c r="Z588" s="34" t="s">
        <v>5690</v>
      </c>
      <c r="AA588" s="35">
        <v>1.7993951612903226E-2</v>
      </c>
      <c r="AB588" s="13"/>
      <c r="AC588" s="34">
        <v>584</v>
      </c>
      <c r="AD588" s="34" t="s">
        <v>4573</v>
      </c>
      <c r="AE588" s="34" t="s">
        <v>5272</v>
      </c>
      <c r="AF588" s="35">
        <v>8.6370967741935493E-4</v>
      </c>
    </row>
    <row r="589" spans="19:32" x14ac:dyDescent="0.35">
      <c r="S589" s="34">
        <v>585</v>
      </c>
      <c r="T589" s="34" t="s">
        <v>4284</v>
      </c>
      <c r="U589" s="34" t="s">
        <v>5306</v>
      </c>
      <c r="V589" s="35">
        <v>3.8044354838709681E-3</v>
      </c>
      <c r="W589" s="13"/>
      <c r="X589" s="34">
        <v>585</v>
      </c>
      <c r="Y589" s="34" t="s">
        <v>2248</v>
      </c>
      <c r="Z589" s="34" t="s">
        <v>5370</v>
      </c>
      <c r="AA589" s="35">
        <v>1.6040322580645162E-3</v>
      </c>
      <c r="AB589" s="13"/>
      <c r="AC589" s="34">
        <v>585</v>
      </c>
      <c r="AD589" s="34" t="s">
        <v>4573</v>
      </c>
      <c r="AE589" s="34" t="s">
        <v>3636</v>
      </c>
      <c r="AF589" s="35">
        <v>1.3340000000000001E-2</v>
      </c>
    </row>
    <row r="590" spans="19:32" x14ac:dyDescent="0.35">
      <c r="S590" s="34">
        <v>586</v>
      </c>
      <c r="T590" s="34" t="s">
        <v>4284</v>
      </c>
      <c r="U590" s="34" t="s">
        <v>5305</v>
      </c>
      <c r="V590" s="35">
        <v>1.1858870967741937E-4</v>
      </c>
      <c r="W590" s="13"/>
      <c r="X590" s="34">
        <v>586</v>
      </c>
      <c r="Y590" s="34" t="s">
        <v>2248</v>
      </c>
      <c r="Z590" s="34" t="s">
        <v>5369</v>
      </c>
      <c r="AA590" s="35">
        <v>3.3417338709677423E-3</v>
      </c>
      <c r="AB590" s="13"/>
      <c r="AC590" s="34">
        <v>586</v>
      </c>
      <c r="AD590" s="34" t="s">
        <v>4573</v>
      </c>
      <c r="AE590" s="34" t="s">
        <v>5271</v>
      </c>
      <c r="AF590" s="35">
        <v>1.4703629032258064E-3</v>
      </c>
    </row>
    <row r="591" spans="19:32" x14ac:dyDescent="0.35">
      <c r="S591" s="34">
        <v>587</v>
      </c>
      <c r="T591" s="34" t="s">
        <v>4284</v>
      </c>
      <c r="U591" s="34" t="s">
        <v>3648</v>
      </c>
      <c r="V591" s="35">
        <v>1.6468E-2</v>
      </c>
      <c r="W591" s="13"/>
      <c r="X591" s="34">
        <v>587</v>
      </c>
      <c r="Y591" s="34" t="s">
        <v>2248</v>
      </c>
      <c r="Z591" s="34" t="s">
        <v>5689</v>
      </c>
      <c r="AA591" s="35">
        <v>3.4959677419354845E-5</v>
      </c>
      <c r="AB591" s="13"/>
      <c r="AC591" s="34">
        <v>587</v>
      </c>
      <c r="AD591" s="34" t="s">
        <v>4573</v>
      </c>
      <c r="AE591" s="34" t="s">
        <v>5270</v>
      </c>
      <c r="AF591" s="35">
        <v>6.2036290322580647E-3</v>
      </c>
    </row>
    <row r="592" spans="19:32" x14ac:dyDescent="0.35">
      <c r="S592" s="34">
        <v>588</v>
      </c>
      <c r="T592" s="34" t="s">
        <v>4284</v>
      </c>
      <c r="U592" s="34" t="s">
        <v>3645</v>
      </c>
      <c r="V592" s="35">
        <v>0.60904000000000003</v>
      </c>
      <c r="W592" s="13"/>
      <c r="X592" s="34">
        <v>588</v>
      </c>
      <c r="Y592" s="34" t="s">
        <v>2248</v>
      </c>
      <c r="Z592" s="34" t="s">
        <v>3674</v>
      </c>
      <c r="AA592" s="35">
        <v>1.4536</v>
      </c>
      <c r="AB592" s="13"/>
      <c r="AC592" s="34">
        <v>588</v>
      </c>
      <c r="AD592" s="34" t="s">
        <v>4573</v>
      </c>
      <c r="AE592" s="34" t="s">
        <v>5269</v>
      </c>
      <c r="AF592" s="35">
        <v>4.7298387096774197E-2</v>
      </c>
    </row>
    <row r="593" spans="19:32" x14ac:dyDescent="0.35">
      <c r="S593" s="34">
        <v>589</v>
      </c>
      <c r="T593" s="34" t="s">
        <v>4284</v>
      </c>
      <c r="U593" s="34" t="s">
        <v>5304</v>
      </c>
      <c r="V593" s="35">
        <v>1.038508064516129E-2</v>
      </c>
      <c r="W593" s="13"/>
      <c r="X593" s="34">
        <v>589</v>
      </c>
      <c r="Y593" s="34" t="s">
        <v>2248</v>
      </c>
      <c r="Z593" s="34" t="s">
        <v>5368</v>
      </c>
      <c r="AA593" s="35">
        <v>1.1104838709677419E-3</v>
      </c>
      <c r="AB593" s="13"/>
      <c r="AC593" s="34">
        <v>589</v>
      </c>
      <c r="AD593" s="34" t="s">
        <v>4573</v>
      </c>
      <c r="AE593" s="34" t="s">
        <v>3633</v>
      </c>
      <c r="AF593" s="35">
        <v>1.9707661290322582</v>
      </c>
    </row>
    <row r="594" spans="19:32" x14ac:dyDescent="0.35">
      <c r="S594" s="34">
        <v>590</v>
      </c>
      <c r="T594" s="34" t="s">
        <v>4284</v>
      </c>
      <c r="U594" s="34" t="s">
        <v>5303</v>
      </c>
      <c r="V594" s="35">
        <v>1.9296370967741936E-4</v>
      </c>
      <c r="W594" s="13"/>
      <c r="X594" s="34">
        <v>590</v>
      </c>
      <c r="Y594" s="34" t="s">
        <v>2248</v>
      </c>
      <c r="Z594" s="34" t="s">
        <v>5688</v>
      </c>
      <c r="AA594" s="35">
        <v>1.6554435483870967E-5</v>
      </c>
      <c r="AB594" s="13"/>
      <c r="AC594" s="34">
        <v>590</v>
      </c>
      <c r="AD594" s="34" t="s">
        <v>4573</v>
      </c>
      <c r="AE594" s="34" t="s">
        <v>3633</v>
      </c>
      <c r="AF594" s="35">
        <v>0.12143999999999999</v>
      </c>
    </row>
    <row r="595" spans="19:32" x14ac:dyDescent="0.35">
      <c r="S595" s="34">
        <v>591</v>
      </c>
      <c r="T595" s="34" t="s">
        <v>4284</v>
      </c>
      <c r="U595" s="34" t="s">
        <v>5302</v>
      </c>
      <c r="V595" s="35">
        <v>1.1104838709677422E-4</v>
      </c>
      <c r="W595" s="13"/>
      <c r="X595" s="34">
        <v>591</v>
      </c>
      <c r="Y595" s="34" t="s">
        <v>2248</v>
      </c>
      <c r="Z595" s="34" t="s">
        <v>5367</v>
      </c>
      <c r="AA595" s="35">
        <v>1.2715725806451614E-3</v>
      </c>
      <c r="AB595" s="13"/>
      <c r="AC595" s="34">
        <v>591</v>
      </c>
      <c r="AD595" s="34" t="s">
        <v>4573</v>
      </c>
      <c r="AE595" s="34" t="s">
        <v>5268</v>
      </c>
      <c r="AF595" s="35">
        <v>0.11447580645161291</v>
      </c>
    </row>
    <row r="596" spans="19:32" x14ac:dyDescent="0.35">
      <c r="S596" s="34">
        <v>592</v>
      </c>
      <c r="T596" s="34" t="s">
        <v>4284</v>
      </c>
      <c r="U596" s="34" t="s">
        <v>5301</v>
      </c>
      <c r="V596" s="35">
        <v>1.2852822580645162E-3</v>
      </c>
      <c r="W596" s="13"/>
      <c r="X596" s="34">
        <v>592</v>
      </c>
      <c r="Y596" s="34" t="s">
        <v>2248</v>
      </c>
      <c r="Z596" s="34" t="s">
        <v>5366</v>
      </c>
      <c r="AA596" s="35">
        <v>0.5278225806451613</v>
      </c>
      <c r="AB596" s="13"/>
      <c r="AC596" s="34">
        <v>592</v>
      </c>
      <c r="AD596" s="34" t="s">
        <v>4573</v>
      </c>
      <c r="AE596" s="34" t="s">
        <v>5267</v>
      </c>
      <c r="AF596" s="35">
        <v>7.4032258064516136E-4</v>
      </c>
    </row>
    <row r="597" spans="19:32" x14ac:dyDescent="0.35">
      <c r="S597" s="34">
        <v>593</v>
      </c>
      <c r="T597" s="34" t="s">
        <v>4284</v>
      </c>
      <c r="U597" s="34" t="s">
        <v>5300</v>
      </c>
      <c r="V597" s="35">
        <v>1.6451612903225807E-5</v>
      </c>
      <c r="W597" s="13"/>
      <c r="X597" s="34">
        <v>593</v>
      </c>
      <c r="Y597" s="34" t="s">
        <v>2248</v>
      </c>
      <c r="Z597" s="34" t="s">
        <v>5365</v>
      </c>
      <c r="AA597" s="35">
        <v>1.3366935483870968E-4</v>
      </c>
      <c r="AB597" s="13"/>
      <c r="AC597" s="34">
        <v>593</v>
      </c>
      <c r="AD597" s="34" t="s">
        <v>4573</v>
      </c>
      <c r="AE597" s="34" t="s">
        <v>5266</v>
      </c>
      <c r="AF597" s="35">
        <v>1.6760080645161291E-3</v>
      </c>
    </row>
    <row r="598" spans="19:32" x14ac:dyDescent="0.35">
      <c r="S598" s="34">
        <v>594</v>
      </c>
      <c r="T598" s="34" t="s">
        <v>4284</v>
      </c>
      <c r="U598" s="34" t="s">
        <v>5299</v>
      </c>
      <c r="V598" s="35">
        <v>5.2782258064516138E-5</v>
      </c>
      <c r="W598" s="13"/>
      <c r="X598" s="34">
        <v>594</v>
      </c>
      <c r="Y598" s="34" t="s">
        <v>2248</v>
      </c>
      <c r="Z598" s="34" t="s">
        <v>5687</v>
      </c>
      <c r="AA598" s="35">
        <v>7.91733870967742E-5</v>
      </c>
      <c r="AB598" s="13"/>
      <c r="AC598" s="34">
        <v>594</v>
      </c>
      <c r="AD598" s="34" t="s">
        <v>4573</v>
      </c>
      <c r="AE598" s="34" t="s">
        <v>5265</v>
      </c>
      <c r="AF598" s="35">
        <v>3.3794354838709677E-2</v>
      </c>
    </row>
    <row r="599" spans="19:32" x14ac:dyDescent="0.35">
      <c r="S599" s="34">
        <v>595</v>
      </c>
      <c r="T599" s="34" t="s">
        <v>4284</v>
      </c>
      <c r="U599" s="34" t="s">
        <v>5298</v>
      </c>
      <c r="V599" s="35">
        <v>3.4959677419354838E-6</v>
      </c>
      <c r="W599" s="13"/>
      <c r="X599" s="34">
        <v>595</v>
      </c>
      <c r="Y599" s="34" t="s">
        <v>2248</v>
      </c>
      <c r="Z599" s="34" t="s">
        <v>5364</v>
      </c>
      <c r="AA599" s="35">
        <v>4.0100806451612905E-4</v>
      </c>
      <c r="AB599" s="13"/>
      <c r="AC599" s="34">
        <v>595</v>
      </c>
      <c r="AD599" s="34" t="s">
        <v>4573</v>
      </c>
      <c r="AE599" s="34" t="s">
        <v>5264</v>
      </c>
      <c r="AF599" s="35">
        <v>1.0453629032258066E-3</v>
      </c>
    </row>
    <row r="600" spans="19:32" x14ac:dyDescent="0.35">
      <c r="S600" s="34">
        <v>596</v>
      </c>
      <c r="T600" s="34" t="s">
        <v>4284</v>
      </c>
      <c r="U600" s="34" t="s">
        <v>5297</v>
      </c>
      <c r="V600" s="35">
        <v>8.0887096774193556E-7</v>
      </c>
      <c r="W600" s="13"/>
      <c r="X600" s="34">
        <v>596</v>
      </c>
      <c r="Y600" s="34" t="s">
        <v>2248</v>
      </c>
      <c r="Z600" s="34" t="s">
        <v>5363</v>
      </c>
      <c r="AA600" s="35">
        <v>2.7727822580645164E-5</v>
      </c>
      <c r="AB600" s="13"/>
      <c r="AC600" s="34">
        <v>596</v>
      </c>
      <c r="AD600" s="34" t="s">
        <v>4573</v>
      </c>
      <c r="AE600" s="34" t="s">
        <v>5263</v>
      </c>
      <c r="AF600" s="35">
        <v>5.106854838709678E-4</v>
      </c>
    </row>
    <row r="601" spans="19:32" x14ac:dyDescent="0.35">
      <c r="S601" s="34">
        <v>597</v>
      </c>
      <c r="T601" s="34" t="s">
        <v>4284</v>
      </c>
      <c r="U601" s="34" t="s">
        <v>5296</v>
      </c>
      <c r="V601" s="35">
        <v>1.4635080645161291E-5</v>
      </c>
      <c r="W601" s="13"/>
      <c r="X601" s="34">
        <v>597</v>
      </c>
      <c r="Y601" s="34" t="s">
        <v>2248</v>
      </c>
      <c r="Z601" s="34" t="s">
        <v>5686</v>
      </c>
      <c r="AA601" s="35">
        <v>7.2661290322580661E-5</v>
      </c>
      <c r="AB601" s="13"/>
      <c r="AC601" s="34">
        <v>597</v>
      </c>
      <c r="AD601" s="34" t="s">
        <v>4573</v>
      </c>
      <c r="AE601" s="34" t="s">
        <v>5262</v>
      </c>
      <c r="AF601" s="35">
        <v>0.12235887096774195</v>
      </c>
    </row>
    <row r="602" spans="19:32" x14ac:dyDescent="0.35">
      <c r="S602" s="34">
        <v>598</v>
      </c>
      <c r="T602" s="34" t="s">
        <v>4284</v>
      </c>
      <c r="U602" s="34" t="s">
        <v>5295</v>
      </c>
      <c r="V602" s="35">
        <v>8.5342741935483882E-6</v>
      </c>
      <c r="W602" s="13"/>
      <c r="X602" s="34">
        <v>598</v>
      </c>
      <c r="Y602" s="34" t="s">
        <v>2248</v>
      </c>
      <c r="Z602" s="34" t="s">
        <v>5362</v>
      </c>
      <c r="AA602" s="35">
        <v>1.5766129032258064E-4</v>
      </c>
      <c r="AB602" s="13"/>
      <c r="AC602" s="34">
        <v>598</v>
      </c>
      <c r="AD602" s="34" t="s">
        <v>4573</v>
      </c>
      <c r="AE602" s="34" t="s">
        <v>5261</v>
      </c>
      <c r="AF602" s="35">
        <v>22.483870967741936</v>
      </c>
    </row>
    <row r="603" spans="19:32" x14ac:dyDescent="0.35">
      <c r="S603" s="34">
        <v>599</v>
      </c>
      <c r="T603" s="34" t="s">
        <v>4284</v>
      </c>
      <c r="U603" s="34" t="s">
        <v>5294</v>
      </c>
      <c r="V603" s="35">
        <v>5.9294354838709687E-4</v>
      </c>
      <c r="W603" s="13"/>
      <c r="X603" s="34">
        <v>599</v>
      </c>
      <c r="Y603" s="34" t="s">
        <v>2248</v>
      </c>
      <c r="Z603" s="34" t="s">
        <v>5360</v>
      </c>
      <c r="AA603" s="35">
        <v>1.569758064516129E-7</v>
      </c>
      <c r="AB603" s="13"/>
      <c r="AC603" s="34">
        <v>599</v>
      </c>
      <c r="AD603" s="34" t="s">
        <v>4573</v>
      </c>
      <c r="AE603" s="34" t="s">
        <v>3630</v>
      </c>
      <c r="AF603" s="35">
        <v>760.88709677419365</v>
      </c>
    </row>
    <row r="604" spans="19:32" x14ac:dyDescent="0.35">
      <c r="S604" s="34">
        <v>600</v>
      </c>
      <c r="T604" s="34" t="s">
        <v>4284</v>
      </c>
      <c r="U604" s="34" t="s">
        <v>5293</v>
      </c>
      <c r="V604" s="35">
        <v>8.6028225806451624E-4</v>
      </c>
      <c r="W604" s="13"/>
      <c r="X604" s="34">
        <v>600</v>
      </c>
      <c r="Y604" s="34" t="s">
        <v>2248</v>
      </c>
      <c r="Z604" s="34" t="s">
        <v>5356</v>
      </c>
      <c r="AA604" s="35">
        <v>2.0941532258064519E-5</v>
      </c>
      <c r="AB604" s="13"/>
      <c r="AC604" s="34">
        <v>600</v>
      </c>
      <c r="AD604" s="34" t="s">
        <v>4573</v>
      </c>
      <c r="AE604" s="34" t="s">
        <v>3630</v>
      </c>
      <c r="AF604" s="35">
        <v>37.536000000000001</v>
      </c>
    </row>
    <row r="605" spans="19:32" x14ac:dyDescent="0.35">
      <c r="S605" s="34">
        <v>601</v>
      </c>
      <c r="T605" s="34" t="s">
        <v>4284</v>
      </c>
      <c r="U605" s="34" t="s">
        <v>5292</v>
      </c>
      <c r="V605" s="35">
        <v>2.2072580645161294E-4</v>
      </c>
      <c r="W605" s="13"/>
      <c r="X605" s="34">
        <v>601</v>
      </c>
      <c r="Y605" s="34" t="s">
        <v>2248</v>
      </c>
      <c r="Z605" s="34" t="s">
        <v>5685</v>
      </c>
      <c r="AA605" s="35">
        <v>9.8366935483870977E-5</v>
      </c>
      <c r="AB605" s="13"/>
      <c r="AC605" s="34">
        <v>601</v>
      </c>
      <c r="AD605" s="34" t="s">
        <v>4573</v>
      </c>
      <c r="AE605" s="34" t="s">
        <v>5260</v>
      </c>
      <c r="AF605" s="35">
        <v>5.8266129032258069</v>
      </c>
    </row>
    <row r="606" spans="19:32" x14ac:dyDescent="0.35">
      <c r="S606" s="34">
        <v>602</v>
      </c>
      <c r="T606" s="34" t="s">
        <v>4284</v>
      </c>
      <c r="U606" s="34" t="s">
        <v>3643</v>
      </c>
      <c r="V606" s="35">
        <v>3.4034274193548386E-5</v>
      </c>
      <c r="W606" s="13"/>
      <c r="X606" s="34">
        <v>602</v>
      </c>
      <c r="Y606" s="34" t="s">
        <v>2248</v>
      </c>
      <c r="Z606" s="34" t="s">
        <v>5354</v>
      </c>
      <c r="AA606" s="35">
        <v>2.3683467741935485E-5</v>
      </c>
      <c r="AB606" s="13"/>
      <c r="AC606" s="34">
        <v>602</v>
      </c>
      <c r="AD606" s="34" t="s">
        <v>4573</v>
      </c>
      <c r="AE606" s="34" t="s">
        <v>5259</v>
      </c>
      <c r="AF606" s="35">
        <v>6.5120967741935487E-2</v>
      </c>
    </row>
    <row r="607" spans="19:32" x14ac:dyDescent="0.35">
      <c r="S607" s="34">
        <v>603</v>
      </c>
      <c r="T607" s="34" t="s">
        <v>4284</v>
      </c>
      <c r="U607" s="34" t="s">
        <v>3643</v>
      </c>
      <c r="V607" s="35">
        <v>0</v>
      </c>
      <c r="W607" s="13"/>
      <c r="X607" s="34">
        <v>603</v>
      </c>
      <c r="Y607" s="34" t="s">
        <v>2248</v>
      </c>
      <c r="Z607" s="34" t="s">
        <v>5684</v>
      </c>
      <c r="AA607" s="35">
        <v>6.5806451612903229E-5</v>
      </c>
      <c r="AB607" s="13"/>
      <c r="AC607" s="34">
        <v>603</v>
      </c>
      <c r="AD607" s="34" t="s">
        <v>4573</v>
      </c>
      <c r="AE607" s="34" t="s">
        <v>5258</v>
      </c>
      <c r="AF607" s="35">
        <v>1.9879032258064517E-3</v>
      </c>
    </row>
    <row r="608" spans="19:32" x14ac:dyDescent="0.35">
      <c r="S608" s="34">
        <v>604</v>
      </c>
      <c r="T608" s="34" t="s">
        <v>4284</v>
      </c>
      <c r="U608" s="34" t="s">
        <v>5291</v>
      </c>
      <c r="V608" s="35">
        <v>1.8336693548387097E-4</v>
      </c>
      <c r="W608" s="13"/>
      <c r="X608" s="34">
        <v>604</v>
      </c>
      <c r="Y608" s="34" t="s">
        <v>2248</v>
      </c>
      <c r="Z608" s="34" t="s">
        <v>5353</v>
      </c>
      <c r="AA608" s="35">
        <v>4.2500000000000003E-4</v>
      </c>
      <c r="AB608" s="13"/>
      <c r="AC608" s="34">
        <v>604</v>
      </c>
      <c r="AD608" s="34" t="s">
        <v>4573</v>
      </c>
      <c r="AE608" s="34" t="s">
        <v>3627</v>
      </c>
      <c r="AF608" s="35">
        <v>63.756</v>
      </c>
    </row>
    <row r="609" spans="19:32" x14ac:dyDescent="0.35">
      <c r="S609" s="34">
        <v>605</v>
      </c>
      <c r="T609" s="34" t="s">
        <v>4284</v>
      </c>
      <c r="U609" s="34" t="s">
        <v>5290</v>
      </c>
      <c r="V609" s="35">
        <v>1.0145161290322582E-3</v>
      </c>
      <c r="W609" s="24"/>
      <c r="X609" s="34">
        <v>605</v>
      </c>
      <c r="Y609" s="34" t="s">
        <v>2248</v>
      </c>
      <c r="Z609" s="34" t="s">
        <v>5352</v>
      </c>
      <c r="AA609" s="35">
        <v>2.5568548387096778E-4</v>
      </c>
      <c r="AB609" s="13"/>
      <c r="AC609" s="34">
        <v>605</v>
      </c>
      <c r="AD609" s="34" t="s">
        <v>4573</v>
      </c>
      <c r="AE609" s="34" t="s">
        <v>5257</v>
      </c>
      <c r="AF609" s="35">
        <v>6.6834677419354838E-2</v>
      </c>
    </row>
    <row r="610" spans="19:32" x14ac:dyDescent="0.35">
      <c r="S610" s="34">
        <v>606</v>
      </c>
      <c r="T610" s="34" t="s">
        <v>4284</v>
      </c>
      <c r="U610" s="34" t="s">
        <v>5287</v>
      </c>
      <c r="V610" s="35">
        <v>2.2346774193548389E-2</v>
      </c>
      <c r="W610" s="13"/>
      <c r="X610" s="34">
        <v>606</v>
      </c>
      <c r="Y610" s="34" t="s">
        <v>2248</v>
      </c>
      <c r="Z610" s="34" t="s">
        <v>5683</v>
      </c>
      <c r="AA610" s="35">
        <v>3.7701612903225815E-5</v>
      </c>
      <c r="AB610" s="13"/>
      <c r="AC610" s="34">
        <v>606</v>
      </c>
      <c r="AD610" s="34" t="s">
        <v>4573</v>
      </c>
      <c r="AE610" s="34" t="s">
        <v>5256</v>
      </c>
      <c r="AF610" s="35">
        <v>2.57741935483871E-2</v>
      </c>
    </row>
    <row r="611" spans="19:32" x14ac:dyDescent="0.35">
      <c r="S611" s="34">
        <v>607</v>
      </c>
      <c r="T611" s="34" t="s">
        <v>4284</v>
      </c>
      <c r="U611" s="34" t="s">
        <v>5283</v>
      </c>
      <c r="V611" s="35">
        <v>3.9415322580645161E-3</v>
      </c>
      <c r="W611" s="13"/>
      <c r="X611" s="34">
        <v>607</v>
      </c>
      <c r="Y611" s="34" t="s">
        <v>2248</v>
      </c>
      <c r="Z611" s="34" t="s">
        <v>3671</v>
      </c>
      <c r="AA611" s="35">
        <v>1.1132E-3</v>
      </c>
      <c r="AB611" s="13"/>
      <c r="AC611" s="34">
        <v>607</v>
      </c>
      <c r="AD611" s="34" t="s">
        <v>4573</v>
      </c>
      <c r="AE611" s="34" t="s">
        <v>5255</v>
      </c>
      <c r="AF611" s="35">
        <v>1.1550403225806453E-3</v>
      </c>
    </row>
    <row r="612" spans="19:32" x14ac:dyDescent="0.35">
      <c r="S612" s="34">
        <v>608</v>
      </c>
      <c r="T612" s="34" t="s">
        <v>4284</v>
      </c>
      <c r="U612" s="34" t="s">
        <v>5282</v>
      </c>
      <c r="V612" s="35">
        <v>9.6995967741935493E-4</v>
      </c>
      <c r="W612" s="13"/>
      <c r="X612" s="34">
        <v>608</v>
      </c>
      <c r="Y612" s="34" t="s">
        <v>2248</v>
      </c>
      <c r="Z612" s="34" t="s">
        <v>3671</v>
      </c>
      <c r="AA612" s="35">
        <v>5.5181451612903239E-4</v>
      </c>
      <c r="AB612" s="13"/>
      <c r="AC612" s="34">
        <v>608</v>
      </c>
      <c r="AD612" s="34" t="s">
        <v>4573</v>
      </c>
      <c r="AE612" s="34" t="s">
        <v>5254</v>
      </c>
      <c r="AF612" s="35">
        <v>5.175403225806452E-2</v>
      </c>
    </row>
    <row r="613" spans="19:32" x14ac:dyDescent="0.35">
      <c r="S613" s="34">
        <v>609</v>
      </c>
      <c r="T613" s="34" t="s">
        <v>4284</v>
      </c>
      <c r="U613" s="34" t="s">
        <v>5281</v>
      </c>
      <c r="V613" s="35">
        <v>1.8610887096774195E-4</v>
      </c>
      <c r="W613" s="13"/>
      <c r="X613" s="34">
        <v>609</v>
      </c>
      <c r="Y613" s="34" t="s">
        <v>2248</v>
      </c>
      <c r="Z613" s="34" t="s">
        <v>5351</v>
      </c>
      <c r="AA613" s="35">
        <v>4.9697580645161293E-4</v>
      </c>
      <c r="AB613" s="13"/>
      <c r="AC613" s="34">
        <v>609</v>
      </c>
      <c r="AD613" s="34" t="s">
        <v>4573</v>
      </c>
      <c r="AE613" s="34" t="s">
        <v>5253</v>
      </c>
      <c r="AF613" s="35">
        <v>0.12955645161290325</v>
      </c>
    </row>
    <row r="614" spans="19:32" x14ac:dyDescent="0.35">
      <c r="S614" s="34">
        <v>610</v>
      </c>
      <c r="T614" s="34" t="s">
        <v>4284</v>
      </c>
      <c r="U614" s="34" t="s">
        <v>3640</v>
      </c>
      <c r="V614" s="35">
        <v>1.4052419354838711E-3</v>
      </c>
      <c r="W614" s="13"/>
      <c r="X614" s="34">
        <v>610</v>
      </c>
      <c r="Y614" s="34" t="s">
        <v>2248</v>
      </c>
      <c r="Z614" s="34" t="s">
        <v>5682</v>
      </c>
      <c r="AA614" s="35">
        <v>3.2354838709677422E-5</v>
      </c>
      <c r="AB614" s="13"/>
      <c r="AC614" s="34">
        <v>610</v>
      </c>
      <c r="AD614" s="34" t="s">
        <v>4573</v>
      </c>
      <c r="AE614" s="34" t="s">
        <v>5252</v>
      </c>
      <c r="AF614" s="35">
        <v>9.5282258064516138E-4</v>
      </c>
    </row>
    <row r="615" spans="19:32" x14ac:dyDescent="0.35">
      <c r="S615" s="34">
        <v>611</v>
      </c>
      <c r="T615" s="34" t="s">
        <v>4284</v>
      </c>
      <c r="U615" s="34" t="s">
        <v>3640</v>
      </c>
      <c r="V615" s="35">
        <v>0</v>
      </c>
      <c r="W615" s="13"/>
      <c r="X615" s="34">
        <v>611</v>
      </c>
      <c r="Y615" s="34" t="s">
        <v>2248</v>
      </c>
      <c r="Z615" s="34" t="s">
        <v>3668</v>
      </c>
      <c r="AA615" s="35">
        <v>0</v>
      </c>
      <c r="AB615" s="13"/>
      <c r="AC615" s="34">
        <v>611</v>
      </c>
      <c r="AD615" s="34" t="s">
        <v>4573</v>
      </c>
      <c r="AE615" s="34" t="s">
        <v>5251</v>
      </c>
      <c r="AF615" s="35">
        <v>3.5302419354838713E-4</v>
      </c>
    </row>
    <row r="616" spans="19:32" x14ac:dyDescent="0.35">
      <c r="S616" s="34">
        <v>612</v>
      </c>
      <c r="T616" s="34" t="s">
        <v>4284</v>
      </c>
      <c r="U616" s="34" t="s">
        <v>5280</v>
      </c>
      <c r="V616" s="35">
        <v>1.086491935483871E-5</v>
      </c>
      <c r="W616" s="13"/>
      <c r="X616" s="34">
        <v>612</v>
      </c>
      <c r="Y616" s="34" t="s">
        <v>2248</v>
      </c>
      <c r="Z616" s="34" t="s">
        <v>3668</v>
      </c>
      <c r="AA616" s="35">
        <v>1.936491935483871E-5</v>
      </c>
      <c r="AB616" s="13"/>
      <c r="AC616" s="34">
        <v>612</v>
      </c>
      <c r="AD616" s="34" t="s">
        <v>4573</v>
      </c>
      <c r="AE616" s="34" t="s">
        <v>5249</v>
      </c>
      <c r="AF616" s="35">
        <v>2.1489919354838709E-4</v>
      </c>
    </row>
    <row r="617" spans="19:32" x14ac:dyDescent="0.35">
      <c r="S617" s="34">
        <v>613</v>
      </c>
      <c r="T617" s="34" t="s">
        <v>4284</v>
      </c>
      <c r="U617" s="34" t="s">
        <v>5279</v>
      </c>
      <c r="V617" s="35">
        <v>6.2036290322580647E-3</v>
      </c>
      <c r="W617" s="13"/>
      <c r="X617" s="34">
        <v>613</v>
      </c>
      <c r="Y617" s="34" t="s">
        <v>2248</v>
      </c>
      <c r="Z617" s="34" t="s">
        <v>5681</v>
      </c>
      <c r="AA617" s="35">
        <v>0.12544354838709679</v>
      </c>
      <c r="AB617" s="13"/>
      <c r="AC617" s="34">
        <v>613</v>
      </c>
      <c r="AD617" s="34" t="s">
        <v>4573</v>
      </c>
      <c r="AE617" s="34" t="s">
        <v>5248</v>
      </c>
      <c r="AF617" s="35">
        <v>0.10933467741935485</v>
      </c>
    </row>
    <row r="618" spans="19:32" x14ac:dyDescent="0.35">
      <c r="S618" s="34">
        <v>614</v>
      </c>
      <c r="T618" s="34" t="s">
        <v>4284</v>
      </c>
      <c r="U618" s="34" t="s">
        <v>5278</v>
      </c>
      <c r="V618" s="35">
        <v>3.5645161290322587E-4</v>
      </c>
      <c r="W618" s="13"/>
      <c r="X618" s="34">
        <v>614</v>
      </c>
      <c r="Y618" s="34" t="s">
        <v>2248</v>
      </c>
      <c r="Z618" s="34" t="s">
        <v>5350</v>
      </c>
      <c r="AA618" s="35">
        <v>6.9576612903225811E-7</v>
      </c>
      <c r="AB618" s="13"/>
      <c r="AC618" s="34">
        <v>614</v>
      </c>
      <c r="AD618" s="34" t="s">
        <v>4573</v>
      </c>
      <c r="AE618" s="34" t="s">
        <v>5247</v>
      </c>
      <c r="AF618" s="35">
        <v>1.2304435483870969E-3</v>
      </c>
    </row>
    <row r="619" spans="19:32" x14ac:dyDescent="0.35">
      <c r="S619" s="34">
        <v>615</v>
      </c>
      <c r="T619" s="34" t="s">
        <v>4284</v>
      </c>
      <c r="U619" s="34" t="s">
        <v>3638</v>
      </c>
      <c r="V619" s="35">
        <v>5.0324</v>
      </c>
      <c r="W619" s="13"/>
      <c r="X619" s="34">
        <v>615</v>
      </c>
      <c r="Y619" s="34" t="s">
        <v>2248</v>
      </c>
      <c r="Z619" s="34" t="s">
        <v>5349</v>
      </c>
      <c r="AA619" s="35">
        <v>3.9415322580645161E-3</v>
      </c>
      <c r="AB619" s="13"/>
      <c r="AC619" s="34">
        <v>615</v>
      </c>
      <c r="AD619" s="34" t="s">
        <v>4573</v>
      </c>
      <c r="AE619" s="34" t="s">
        <v>5245</v>
      </c>
      <c r="AF619" s="35">
        <v>2.6939516129032261E-2</v>
      </c>
    </row>
    <row r="620" spans="19:32" x14ac:dyDescent="0.35">
      <c r="S620" s="34">
        <v>616</v>
      </c>
      <c r="T620" s="34" t="s">
        <v>4284</v>
      </c>
      <c r="U620" s="34" t="s">
        <v>5277</v>
      </c>
      <c r="V620" s="35">
        <v>1.8233870967741938E-5</v>
      </c>
      <c r="W620" s="13"/>
      <c r="X620" s="34">
        <v>616</v>
      </c>
      <c r="Y620" s="34" t="s">
        <v>2248</v>
      </c>
      <c r="Z620" s="34" t="s">
        <v>3808</v>
      </c>
      <c r="AA620" s="35">
        <v>3.4205645161290325E-4</v>
      </c>
      <c r="AB620" s="13"/>
      <c r="AC620" s="34">
        <v>616</v>
      </c>
      <c r="AD620" s="34" t="s">
        <v>4573</v>
      </c>
      <c r="AE620" s="34" t="s">
        <v>5243</v>
      </c>
      <c r="AF620" s="35">
        <v>25.7741935483871</v>
      </c>
    </row>
    <row r="621" spans="19:32" x14ac:dyDescent="0.35">
      <c r="S621" s="34">
        <v>617</v>
      </c>
      <c r="T621" s="34" t="s">
        <v>4284</v>
      </c>
      <c r="U621" s="34" t="s">
        <v>5276</v>
      </c>
      <c r="V621" s="35">
        <v>4.7983870967741938E-4</v>
      </c>
      <c r="W621" s="22"/>
      <c r="X621" s="34">
        <v>617</v>
      </c>
      <c r="Y621" s="34" t="s">
        <v>2248</v>
      </c>
      <c r="Z621" s="34" t="s">
        <v>3665</v>
      </c>
      <c r="AA621" s="35">
        <v>0.82340000000000002</v>
      </c>
      <c r="AB621" s="13"/>
      <c r="AC621" s="34">
        <v>617</v>
      </c>
      <c r="AD621" s="34" t="s">
        <v>4573</v>
      </c>
      <c r="AE621" s="34" t="s">
        <v>5242</v>
      </c>
      <c r="AF621" s="35">
        <v>2.0290322580645163E-4</v>
      </c>
    </row>
    <row r="622" spans="19:32" x14ac:dyDescent="0.35">
      <c r="S622" s="34">
        <v>618</v>
      </c>
      <c r="T622" s="34" t="s">
        <v>4284</v>
      </c>
      <c r="U622" s="34" t="s">
        <v>5275</v>
      </c>
      <c r="V622" s="35">
        <v>2.4985887096774198E-6</v>
      </c>
      <c r="W622" s="13"/>
      <c r="X622" s="34">
        <v>618</v>
      </c>
      <c r="Y622" s="34" t="s">
        <v>2248</v>
      </c>
      <c r="Z622" s="34" t="s">
        <v>3665</v>
      </c>
      <c r="AA622" s="35">
        <v>2.114717741935484E-4</v>
      </c>
      <c r="AB622" s="13"/>
      <c r="AC622" s="34">
        <v>618</v>
      </c>
      <c r="AD622" s="34" t="s">
        <v>4573</v>
      </c>
      <c r="AE622" s="34" t="s">
        <v>5241</v>
      </c>
      <c r="AF622" s="35">
        <v>2.6973790322580649E-3</v>
      </c>
    </row>
    <row r="623" spans="19:32" x14ac:dyDescent="0.35">
      <c r="S623" s="36">
        <v>619</v>
      </c>
      <c r="T623" s="36" t="s">
        <v>4284</v>
      </c>
      <c r="U623" s="36" t="s">
        <v>5680</v>
      </c>
      <c r="V623" s="37">
        <v>5.4034999999999993</v>
      </c>
      <c r="W623" s="13"/>
      <c r="X623" s="34">
        <v>619</v>
      </c>
      <c r="Y623" s="34" t="s">
        <v>2248</v>
      </c>
      <c r="Z623" s="34" t="s">
        <v>5679</v>
      </c>
      <c r="AA623" s="35">
        <v>2.3546370967741939E-4</v>
      </c>
      <c r="AB623" s="13"/>
      <c r="AC623" s="34">
        <v>619</v>
      </c>
      <c r="AD623" s="34" t="s">
        <v>4573</v>
      </c>
      <c r="AE623" s="34" t="s">
        <v>5240</v>
      </c>
      <c r="AF623" s="35">
        <v>2.7590725806451614E-2</v>
      </c>
    </row>
    <row r="624" spans="19:32" x14ac:dyDescent="0.35">
      <c r="S624" s="34">
        <v>620</v>
      </c>
      <c r="T624" s="34" t="s">
        <v>4284</v>
      </c>
      <c r="U624" s="34" t="s">
        <v>5274</v>
      </c>
      <c r="V624" s="35">
        <v>1.4669354838709677E-6</v>
      </c>
      <c r="W624" s="13"/>
      <c r="X624" s="34">
        <v>620</v>
      </c>
      <c r="Y624" s="34" t="s">
        <v>2248</v>
      </c>
      <c r="Z624" s="34" t="s">
        <v>5348</v>
      </c>
      <c r="AA624" s="35">
        <v>1.9673387096774195E-4</v>
      </c>
      <c r="AB624" s="13"/>
      <c r="AC624" s="34">
        <v>620</v>
      </c>
      <c r="AD624" s="34" t="s">
        <v>4573</v>
      </c>
      <c r="AE624" s="34" t="s">
        <v>5239</v>
      </c>
      <c r="AF624" s="35">
        <v>4.181451612903226E-4</v>
      </c>
    </row>
    <row r="625" spans="19:32" x14ac:dyDescent="0.35">
      <c r="S625" s="34">
        <v>621</v>
      </c>
      <c r="T625" s="34" t="s">
        <v>4284</v>
      </c>
      <c r="U625" s="34" t="s">
        <v>5273</v>
      </c>
      <c r="V625" s="35">
        <v>1.0762096774193548E-3</v>
      </c>
      <c r="W625" s="21"/>
      <c r="X625" s="34">
        <v>621</v>
      </c>
      <c r="Y625" s="34" t="s">
        <v>2248</v>
      </c>
      <c r="Z625" s="34" t="s">
        <v>3663</v>
      </c>
      <c r="AA625" s="35">
        <v>0</v>
      </c>
      <c r="AB625" s="13"/>
      <c r="AC625" s="34">
        <v>621</v>
      </c>
      <c r="AD625" s="34" t="s">
        <v>4573</v>
      </c>
      <c r="AE625" s="34" t="s">
        <v>5238</v>
      </c>
      <c r="AF625" s="35">
        <v>0.70947580645161301</v>
      </c>
    </row>
    <row r="626" spans="19:32" x14ac:dyDescent="0.35">
      <c r="S626" s="34">
        <v>622</v>
      </c>
      <c r="T626" s="34" t="s">
        <v>4284</v>
      </c>
      <c r="U626" s="34" t="s">
        <v>5272</v>
      </c>
      <c r="V626" s="35">
        <v>1.3024193548387098E-5</v>
      </c>
      <c r="W626" s="12"/>
      <c r="X626" s="34">
        <v>622</v>
      </c>
      <c r="Y626" s="34" t="s">
        <v>2248</v>
      </c>
      <c r="Z626" s="34" t="s">
        <v>5347</v>
      </c>
      <c r="AA626" s="35">
        <v>5.2439516129032265E-5</v>
      </c>
      <c r="AB626" s="13"/>
      <c r="AC626" s="34">
        <v>622</v>
      </c>
      <c r="AD626" s="34" t="s">
        <v>4573</v>
      </c>
      <c r="AE626" s="34" t="s">
        <v>3626</v>
      </c>
      <c r="AF626" s="35">
        <v>1186.8</v>
      </c>
    </row>
    <row r="627" spans="19:32" x14ac:dyDescent="0.35">
      <c r="S627" s="34">
        <v>623</v>
      </c>
      <c r="T627" s="34" t="s">
        <v>4284</v>
      </c>
      <c r="U627" s="34" t="s">
        <v>3636</v>
      </c>
      <c r="V627" s="35">
        <v>1.8031999999999999E-2</v>
      </c>
      <c r="W627" s="13"/>
      <c r="X627" s="34">
        <v>623</v>
      </c>
      <c r="Y627" s="34" t="s">
        <v>2248</v>
      </c>
      <c r="Z627" s="34" t="s">
        <v>5678</v>
      </c>
      <c r="AA627" s="35">
        <v>4.3185483870967746E-4</v>
      </c>
      <c r="AB627" s="13"/>
      <c r="AC627" s="34">
        <v>623</v>
      </c>
      <c r="AD627" s="34" t="s">
        <v>4573</v>
      </c>
      <c r="AE627" s="34" t="s">
        <v>5237</v>
      </c>
      <c r="AF627" s="35">
        <v>2.2792338709677422E-3</v>
      </c>
    </row>
    <row r="628" spans="19:32" x14ac:dyDescent="0.35">
      <c r="S628" s="34">
        <v>624</v>
      </c>
      <c r="T628" s="34" t="s">
        <v>4284</v>
      </c>
      <c r="U628" s="34" t="s">
        <v>5271</v>
      </c>
      <c r="V628" s="35">
        <v>1.2715725806451613E-4</v>
      </c>
      <c r="W628" s="13"/>
      <c r="X628" s="34">
        <v>624</v>
      </c>
      <c r="Y628" s="34" t="s">
        <v>2248</v>
      </c>
      <c r="Z628" s="34" t="s">
        <v>5346</v>
      </c>
      <c r="AA628" s="35">
        <v>1.0590725806451613E-4</v>
      </c>
      <c r="AB628" s="13"/>
      <c r="AC628" s="34">
        <v>624</v>
      </c>
      <c r="AD628" s="34" t="s">
        <v>4573</v>
      </c>
      <c r="AE628" s="34" t="s">
        <v>5235</v>
      </c>
      <c r="AF628" s="35">
        <v>5.8951612903225814E-2</v>
      </c>
    </row>
    <row r="629" spans="19:32" x14ac:dyDescent="0.35">
      <c r="S629" s="34">
        <v>625</v>
      </c>
      <c r="T629" s="34" t="s">
        <v>4284</v>
      </c>
      <c r="U629" s="34" t="s">
        <v>5270</v>
      </c>
      <c r="V629" s="35">
        <v>8.9112903225806468E-5</v>
      </c>
      <c r="W629" s="13"/>
      <c r="X629" s="34">
        <v>625</v>
      </c>
      <c r="Y629" s="34" t="s">
        <v>2248</v>
      </c>
      <c r="Z629" s="34" t="s">
        <v>5345</v>
      </c>
      <c r="AA629" s="35">
        <v>7.8145161290322585E-4</v>
      </c>
      <c r="AB629" s="13"/>
      <c r="AC629" s="34">
        <v>625</v>
      </c>
      <c r="AD629" s="34" t="s">
        <v>4573</v>
      </c>
      <c r="AE629" s="34" t="s">
        <v>3623</v>
      </c>
      <c r="AF629" s="35">
        <v>0</v>
      </c>
    </row>
    <row r="630" spans="19:32" x14ac:dyDescent="0.35">
      <c r="S630" s="34">
        <v>626</v>
      </c>
      <c r="T630" s="34" t="s">
        <v>4284</v>
      </c>
      <c r="U630" s="34" t="s">
        <v>5269</v>
      </c>
      <c r="V630" s="35">
        <v>1.0453629032258066E-3</v>
      </c>
      <c r="W630" s="13"/>
      <c r="X630" s="34">
        <v>626</v>
      </c>
      <c r="Y630" s="34" t="s">
        <v>2248</v>
      </c>
      <c r="Z630" s="34" t="s">
        <v>5677</v>
      </c>
      <c r="AA630" s="35">
        <v>1.0350806451612903E-3</v>
      </c>
      <c r="AB630" s="13"/>
      <c r="AC630" s="34">
        <v>626</v>
      </c>
      <c r="AD630" s="34" t="s">
        <v>4573</v>
      </c>
      <c r="AE630" s="34" t="s">
        <v>5234</v>
      </c>
      <c r="AF630" s="35">
        <v>9.7338709677419356E-3</v>
      </c>
    </row>
    <row r="631" spans="19:32" x14ac:dyDescent="0.35">
      <c r="S631" s="34">
        <v>627</v>
      </c>
      <c r="T631" s="34" t="s">
        <v>4284</v>
      </c>
      <c r="U631" s="34" t="s">
        <v>3633</v>
      </c>
      <c r="V631" s="35">
        <v>2.2997983870967744E-3</v>
      </c>
      <c r="W631" s="13"/>
      <c r="X631" s="34">
        <v>627</v>
      </c>
      <c r="Y631" s="34" t="s">
        <v>2248</v>
      </c>
      <c r="Z631" s="34" t="s">
        <v>5344</v>
      </c>
      <c r="AA631" s="35">
        <v>9.3911290322580656E-6</v>
      </c>
      <c r="AB631" s="13"/>
      <c r="AC631" s="34">
        <v>627</v>
      </c>
      <c r="AD631" s="34" t="s">
        <v>4573</v>
      </c>
      <c r="AE631" s="34" t="s">
        <v>3621</v>
      </c>
      <c r="AF631" s="35">
        <v>20.700000000000003</v>
      </c>
    </row>
    <row r="632" spans="19:32" x14ac:dyDescent="0.35">
      <c r="S632" s="34">
        <v>628</v>
      </c>
      <c r="T632" s="34" t="s">
        <v>4284</v>
      </c>
      <c r="U632" s="34" t="s">
        <v>3633</v>
      </c>
      <c r="V632" s="35">
        <v>0.1288</v>
      </c>
      <c r="W632" s="13"/>
      <c r="X632" s="34">
        <v>628</v>
      </c>
      <c r="Y632" s="34" t="s">
        <v>2248</v>
      </c>
      <c r="Z632" s="34" t="s">
        <v>3661</v>
      </c>
      <c r="AA632" s="35">
        <v>0</v>
      </c>
      <c r="AB632" s="13"/>
      <c r="AC632" s="34">
        <v>628</v>
      </c>
      <c r="AD632" s="34" t="s">
        <v>4573</v>
      </c>
      <c r="AE632" s="34" t="s">
        <v>3618</v>
      </c>
      <c r="AF632" s="35">
        <v>7.2680000000000007</v>
      </c>
    </row>
    <row r="633" spans="19:32" x14ac:dyDescent="0.35">
      <c r="S633" s="34">
        <v>629</v>
      </c>
      <c r="T633" s="34" t="s">
        <v>4284</v>
      </c>
      <c r="U633" s="34" t="s">
        <v>5268</v>
      </c>
      <c r="V633" s="35">
        <v>1.8165322580645162E-3</v>
      </c>
      <c r="W633" s="13"/>
      <c r="X633" s="34">
        <v>629</v>
      </c>
      <c r="Y633" s="34" t="s">
        <v>2248</v>
      </c>
      <c r="Z633" s="34" t="s">
        <v>5343</v>
      </c>
      <c r="AA633" s="35">
        <v>2.3854838709677418E-3</v>
      </c>
      <c r="AB633" s="13"/>
      <c r="AC633" s="34">
        <v>629</v>
      </c>
      <c r="AD633" s="34" t="s">
        <v>4573</v>
      </c>
      <c r="AE633" s="34" t="s">
        <v>3616</v>
      </c>
      <c r="AF633" s="35">
        <v>46.92</v>
      </c>
    </row>
    <row r="634" spans="19:32" x14ac:dyDescent="0.35">
      <c r="S634" s="36">
        <v>630</v>
      </c>
      <c r="T634" s="36" t="s">
        <v>4284</v>
      </c>
      <c r="U634" s="36" t="s">
        <v>5267</v>
      </c>
      <c r="V634" s="37">
        <v>3.9108499999999995</v>
      </c>
      <c r="W634" s="13"/>
      <c r="X634" s="34">
        <v>630</v>
      </c>
      <c r="Y634" s="34" t="s">
        <v>2248</v>
      </c>
      <c r="Z634" s="34" t="s">
        <v>5676</v>
      </c>
      <c r="AA634" s="35">
        <v>5.3125000000000004E-4</v>
      </c>
      <c r="AB634" s="13"/>
      <c r="AC634" s="34">
        <v>630</v>
      </c>
      <c r="AD634" s="34" t="s">
        <v>4573</v>
      </c>
      <c r="AE634" s="34" t="s">
        <v>3615</v>
      </c>
      <c r="AF634" s="35">
        <v>24.471999999999998</v>
      </c>
    </row>
    <row r="635" spans="19:32" x14ac:dyDescent="0.35">
      <c r="S635" s="34">
        <v>631</v>
      </c>
      <c r="T635" s="34" t="s">
        <v>4284</v>
      </c>
      <c r="U635" s="34" t="s">
        <v>5267</v>
      </c>
      <c r="V635" s="35">
        <v>7.883064516129034E-6</v>
      </c>
      <c r="W635" s="13"/>
      <c r="X635" s="34">
        <v>631</v>
      </c>
      <c r="Y635" s="34" t="s">
        <v>2248</v>
      </c>
      <c r="Z635" s="34" t="s">
        <v>5342</v>
      </c>
      <c r="AA635" s="35">
        <v>2.8653225806451614E-4</v>
      </c>
      <c r="AB635" s="13"/>
      <c r="AC635" s="34">
        <v>631</v>
      </c>
      <c r="AD635" s="34" t="s">
        <v>4573</v>
      </c>
      <c r="AE635" s="34" t="s">
        <v>5233</v>
      </c>
      <c r="AF635" s="35">
        <v>5.4495967741935492E-2</v>
      </c>
    </row>
    <row r="636" spans="19:32" x14ac:dyDescent="0.35">
      <c r="S636" s="34">
        <v>632</v>
      </c>
      <c r="T636" s="34" t="s">
        <v>4284</v>
      </c>
      <c r="U636" s="34" t="s">
        <v>5266</v>
      </c>
      <c r="V636" s="35">
        <v>2.3066532258064519E-5</v>
      </c>
      <c r="W636" s="13"/>
      <c r="X636" s="34">
        <v>632</v>
      </c>
      <c r="Y636" s="34" t="s">
        <v>2248</v>
      </c>
      <c r="Z636" s="34" t="s">
        <v>5341</v>
      </c>
      <c r="AA636" s="35">
        <v>7.5403225806451623E-4</v>
      </c>
      <c r="AB636" s="13"/>
      <c r="AC636" s="34">
        <v>632</v>
      </c>
      <c r="AD636" s="34" t="s">
        <v>4573</v>
      </c>
      <c r="AE636" s="34" t="s">
        <v>3613</v>
      </c>
      <c r="AF636" s="35">
        <v>5.2716000000000003</v>
      </c>
    </row>
    <row r="637" spans="19:32" x14ac:dyDescent="0.35">
      <c r="S637" s="34">
        <v>633</v>
      </c>
      <c r="T637" s="34" t="s">
        <v>4284</v>
      </c>
      <c r="U637" s="34" t="s">
        <v>5265</v>
      </c>
      <c r="V637" s="35">
        <v>4.9012096774193555E-4</v>
      </c>
      <c r="W637" s="13"/>
      <c r="X637" s="34">
        <v>633</v>
      </c>
      <c r="Y637" s="34" t="s">
        <v>2248</v>
      </c>
      <c r="Z637" s="34" t="s">
        <v>5675</v>
      </c>
      <c r="AA637" s="35">
        <v>6.4435483870967753E-4</v>
      </c>
      <c r="AB637" s="13"/>
      <c r="AC637" s="34">
        <v>633</v>
      </c>
      <c r="AD637" s="34" t="s">
        <v>4573</v>
      </c>
      <c r="AE637" s="34" t="s">
        <v>3612</v>
      </c>
      <c r="AF637" s="35">
        <v>9.1539999999999999</v>
      </c>
    </row>
    <row r="638" spans="19:32" x14ac:dyDescent="0.35">
      <c r="S638" s="34">
        <v>634</v>
      </c>
      <c r="T638" s="34" t="s">
        <v>4284</v>
      </c>
      <c r="U638" s="34" t="s">
        <v>5264</v>
      </c>
      <c r="V638" s="35">
        <v>3.2697580645161293E-6</v>
      </c>
      <c r="W638" s="13"/>
      <c r="X638" s="34">
        <v>634</v>
      </c>
      <c r="Y638" s="34" t="s">
        <v>2248</v>
      </c>
      <c r="Z638" s="34" t="s">
        <v>5340</v>
      </c>
      <c r="AA638" s="35">
        <v>4.8326612903225809E-6</v>
      </c>
      <c r="AB638" s="13"/>
      <c r="AC638" s="34">
        <v>634</v>
      </c>
      <c r="AD638" s="34" t="s">
        <v>4573</v>
      </c>
      <c r="AE638" s="34" t="s">
        <v>3611</v>
      </c>
      <c r="AF638" s="35">
        <v>1.5548</v>
      </c>
    </row>
    <row r="639" spans="19:32" x14ac:dyDescent="0.35">
      <c r="S639" s="34">
        <v>635</v>
      </c>
      <c r="T639" s="34" t="s">
        <v>4284</v>
      </c>
      <c r="U639" s="34" t="s">
        <v>5263</v>
      </c>
      <c r="V639" s="35">
        <v>6.8548387096774202E-6</v>
      </c>
      <c r="W639" s="13"/>
      <c r="X639" s="34">
        <v>635</v>
      </c>
      <c r="Y639" s="34" t="s">
        <v>2248</v>
      </c>
      <c r="Z639" s="34" t="s">
        <v>5339</v>
      </c>
      <c r="AA639" s="35">
        <v>3.3417338709677419E-2</v>
      </c>
      <c r="AB639" s="13"/>
      <c r="AC639" s="34">
        <v>635</v>
      </c>
      <c r="AD639" s="34" t="s">
        <v>4573</v>
      </c>
      <c r="AE639" s="34" t="s">
        <v>3609</v>
      </c>
      <c r="AF639" s="35">
        <v>25.3</v>
      </c>
    </row>
    <row r="640" spans="19:32" x14ac:dyDescent="0.35">
      <c r="S640" s="34">
        <v>636</v>
      </c>
      <c r="T640" s="34" t="s">
        <v>4284</v>
      </c>
      <c r="U640" s="34" t="s">
        <v>5262</v>
      </c>
      <c r="V640" s="35">
        <v>2.9030241935483875E-3</v>
      </c>
      <c r="W640" s="13"/>
      <c r="X640" s="34">
        <v>636</v>
      </c>
      <c r="Y640" s="34" t="s">
        <v>2248</v>
      </c>
      <c r="Z640" s="34" t="s">
        <v>5674</v>
      </c>
      <c r="AA640" s="35">
        <v>3.149798387096774E-4</v>
      </c>
      <c r="AB640" s="13"/>
      <c r="AC640" s="34">
        <v>636</v>
      </c>
      <c r="AD640" s="34" t="s">
        <v>4573</v>
      </c>
      <c r="AE640" s="34" t="s">
        <v>5232</v>
      </c>
      <c r="AF640" s="35">
        <v>0.56552419354838712</v>
      </c>
    </row>
    <row r="641" spans="19:32" x14ac:dyDescent="0.35">
      <c r="S641" s="34">
        <v>637</v>
      </c>
      <c r="T641" s="34" t="s">
        <v>4284</v>
      </c>
      <c r="U641" s="34" t="s">
        <v>5261</v>
      </c>
      <c r="V641" s="35">
        <v>1.5868951612903227E-2</v>
      </c>
      <c r="W641" s="13"/>
      <c r="X641" s="34">
        <v>637</v>
      </c>
      <c r="Y641" s="34" t="s">
        <v>2248</v>
      </c>
      <c r="Z641" s="34" t="s">
        <v>5338</v>
      </c>
      <c r="AA641" s="35">
        <v>4.5927419354838714E-4</v>
      </c>
      <c r="AB641" s="13"/>
      <c r="AC641" s="34">
        <v>637</v>
      </c>
      <c r="AD641" s="34" t="s">
        <v>4573</v>
      </c>
      <c r="AE641" s="34" t="s">
        <v>5231</v>
      </c>
      <c r="AF641" s="35">
        <v>0.42157258064516134</v>
      </c>
    </row>
    <row r="642" spans="19:32" x14ac:dyDescent="0.35">
      <c r="S642" s="34">
        <v>638</v>
      </c>
      <c r="T642" s="34" t="s">
        <v>4284</v>
      </c>
      <c r="U642" s="34" t="s">
        <v>3630</v>
      </c>
      <c r="V642" s="35">
        <v>2.0735887096774195</v>
      </c>
      <c r="W642" s="13"/>
      <c r="X642" s="34">
        <v>638</v>
      </c>
      <c r="Y642" s="34" t="s">
        <v>2248</v>
      </c>
      <c r="Z642" s="34" t="s">
        <v>5337</v>
      </c>
      <c r="AA642" s="35">
        <v>2.0941532258064517</v>
      </c>
      <c r="AB642" s="13"/>
      <c r="AC642" s="34">
        <v>638</v>
      </c>
      <c r="AD642" s="34" t="s">
        <v>4573</v>
      </c>
      <c r="AE642" s="34" t="s">
        <v>5230</v>
      </c>
      <c r="AF642" s="35">
        <v>42.5</v>
      </c>
    </row>
    <row r="643" spans="19:32" x14ac:dyDescent="0.35">
      <c r="S643" s="34">
        <v>639</v>
      </c>
      <c r="T643" s="34" t="s">
        <v>4284</v>
      </c>
      <c r="U643" s="34" t="s">
        <v>3630</v>
      </c>
      <c r="V643" s="35">
        <v>41.584000000000003</v>
      </c>
      <c r="W643" s="13"/>
      <c r="X643" s="34">
        <v>639</v>
      </c>
      <c r="Y643" s="34" t="s">
        <v>2248</v>
      </c>
      <c r="Z643" s="34" t="s">
        <v>5336</v>
      </c>
      <c r="AA643" s="35">
        <v>0.22723790322580648</v>
      </c>
      <c r="AB643" s="13"/>
      <c r="AC643" s="34">
        <v>639</v>
      </c>
      <c r="AD643" s="34" t="s">
        <v>4573</v>
      </c>
      <c r="AE643" s="34" t="s">
        <v>5229</v>
      </c>
      <c r="AF643" s="35">
        <v>5.7237903225806457E-2</v>
      </c>
    </row>
    <row r="644" spans="19:32" x14ac:dyDescent="0.35">
      <c r="S644" s="34">
        <v>640</v>
      </c>
      <c r="T644" s="34" t="s">
        <v>4284</v>
      </c>
      <c r="U644" s="34" t="s">
        <v>5260</v>
      </c>
      <c r="V644" s="35">
        <v>0.77802419354838714</v>
      </c>
      <c r="W644" s="13"/>
      <c r="X644" s="34">
        <v>640</v>
      </c>
      <c r="Y644" s="34" t="s">
        <v>2248</v>
      </c>
      <c r="Z644" s="34" t="s">
        <v>3806</v>
      </c>
      <c r="AA644" s="35">
        <v>1.1241935483870967E-3</v>
      </c>
      <c r="AB644" s="13"/>
      <c r="AC644" s="34">
        <v>640</v>
      </c>
      <c r="AD644" s="34" t="s">
        <v>4573</v>
      </c>
      <c r="AE644" s="34" t="s">
        <v>5228</v>
      </c>
      <c r="AF644" s="35">
        <v>0.79173387096774195</v>
      </c>
    </row>
    <row r="645" spans="19:32" x14ac:dyDescent="0.35">
      <c r="S645" s="34">
        <v>641</v>
      </c>
      <c r="T645" s="34" t="s">
        <v>4284</v>
      </c>
      <c r="U645" s="34" t="s">
        <v>5259</v>
      </c>
      <c r="V645" s="35">
        <v>1.3504032258064517E-4</v>
      </c>
      <c r="W645" s="13"/>
      <c r="X645" s="34">
        <v>641</v>
      </c>
      <c r="Y645" s="34" t="s">
        <v>2248</v>
      </c>
      <c r="Z645" s="34" t="s">
        <v>5335</v>
      </c>
      <c r="AA645" s="35">
        <v>6.5120967741935491E-4</v>
      </c>
      <c r="AB645" s="13"/>
      <c r="AC645" s="34">
        <v>641</v>
      </c>
      <c r="AD645" s="34" t="s">
        <v>4573</v>
      </c>
      <c r="AE645" s="34" t="s">
        <v>3607</v>
      </c>
      <c r="AF645" s="35">
        <v>104.88000000000001</v>
      </c>
    </row>
    <row r="646" spans="19:32" x14ac:dyDescent="0.35">
      <c r="S646" s="34">
        <v>642</v>
      </c>
      <c r="T646" s="34" t="s">
        <v>4284</v>
      </c>
      <c r="U646" s="34" t="s">
        <v>5258</v>
      </c>
      <c r="V646" s="35">
        <v>8.0201612903225812E-5</v>
      </c>
      <c r="W646" s="13"/>
      <c r="X646" s="34">
        <v>642</v>
      </c>
      <c r="Y646" s="34" t="s">
        <v>2248</v>
      </c>
      <c r="Z646" s="34" t="s">
        <v>3660</v>
      </c>
      <c r="AA646" s="35">
        <v>0</v>
      </c>
      <c r="AB646" s="13"/>
      <c r="AC646" s="34">
        <v>642</v>
      </c>
      <c r="AD646" s="34" t="s">
        <v>4573</v>
      </c>
      <c r="AE646" s="34" t="s">
        <v>5227</v>
      </c>
      <c r="AF646" s="35">
        <v>3.5645161290322582E-3</v>
      </c>
    </row>
    <row r="647" spans="19:32" x14ac:dyDescent="0.35">
      <c r="S647" s="34">
        <v>643</v>
      </c>
      <c r="T647" s="34" t="s">
        <v>4284</v>
      </c>
      <c r="U647" s="34" t="s">
        <v>3627</v>
      </c>
      <c r="V647" s="35">
        <v>66.424000000000007</v>
      </c>
      <c r="W647" s="13"/>
      <c r="X647" s="34">
        <v>643</v>
      </c>
      <c r="Y647" s="34" t="s">
        <v>2248</v>
      </c>
      <c r="Z647" s="34" t="s">
        <v>3660</v>
      </c>
      <c r="AA647" s="35">
        <v>4.4556451612903225E-3</v>
      </c>
      <c r="AB647" s="13"/>
      <c r="AC647" s="34">
        <v>643</v>
      </c>
      <c r="AD647" s="34" t="s">
        <v>4573</v>
      </c>
      <c r="AE647" s="34" t="s">
        <v>5226</v>
      </c>
      <c r="AF647" s="35">
        <v>0.26699596774193551</v>
      </c>
    </row>
    <row r="648" spans="19:32" x14ac:dyDescent="0.35">
      <c r="S648" s="34">
        <v>644</v>
      </c>
      <c r="T648" s="34" t="s">
        <v>4284</v>
      </c>
      <c r="U648" s="34" t="s">
        <v>5257</v>
      </c>
      <c r="V648" s="35">
        <v>1.9810483870967743E-3</v>
      </c>
      <c r="W648" s="22"/>
      <c r="X648" s="34">
        <v>644</v>
      </c>
      <c r="Y648" s="34" t="s">
        <v>2248</v>
      </c>
      <c r="Z648" s="34" t="s">
        <v>5673</v>
      </c>
      <c r="AA648" s="35">
        <v>2.1832661290322584E-4</v>
      </c>
      <c r="AB648" s="13"/>
      <c r="AC648" s="34">
        <v>644</v>
      </c>
      <c r="AD648" s="34" t="s">
        <v>4573</v>
      </c>
      <c r="AE648" s="34" t="s">
        <v>5225</v>
      </c>
      <c r="AF648" s="35">
        <v>1.2030241935483872</v>
      </c>
    </row>
    <row r="649" spans="19:32" x14ac:dyDescent="0.35">
      <c r="S649" s="34">
        <v>645</v>
      </c>
      <c r="T649" s="34" t="s">
        <v>4284</v>
      </c>
      <c r="U649" s="34" t="s">
        <v>5256</v>
      </c>
      <c r="V649" s="35">
        <v>2.4848790322580649E-3</v>
      </c>
      <c r="W649" s="13"/>
      <c r="X649" s="34">
        <v>645</v>
      </c>
      <c r="Y649" s="34" t="s">
        <v>2248</v>
      </c>
      <c r="Z649" s="34" t="s">
        <v>5334</v>
      </c>
      <c r="AA649" s="35">
        <v>2.6768145161290323E-3</v>
      </c>
      <c r="AB649" s="13"/>
      <c r="AC649" s="34">
        <v>645</v>
      </c>
      <c r="AD649" s="34" t="s">
        <v>4573</v>
      </c>
      <c r="AE649" s="34" t="s">
        <v>5224</v>
      </c>
      <c r="AF649" s="35">
        <v>0.73346774193548392</v>
      </c>
    </row>
    <row r="650" spans="19:32" x14ac:dyDescent="0.35">
      <c r="S650" s="34">
        <v>646</v>
      </c>
      <c r="T650" s="34" t="s">
        <v>4284</v>
      </c>
      <c r="U650" s="34" t="s">
        <v>5255</v>
      </c>
      <c r="V650" s="35">
        <v>3.461693548387097E-4</v>
      </c>
      <c r="W650" s="22"/>
      <c r="X650" s="34">
        <v>646</v>
      </c>
      <c r="Y650" s="34" t="s">
        <v>2248</v>
      </c>
      <c r="Z650" s="34" t="s">
        <v>3657</v>
      </c>
      <c r="AA650" s="35">
        <v>8.1972000000000002E-4</v>
      </c>
      <c r="AB650" s="13"/>
      <c r="AC650" s="34">
        <v>646</v>
      </c>
      <c r="AD650" s="34" t="s">
        <v>4573</v>
      </c>
      <c r="AE650" s="34" t="s">
        <v>5223</v>
      </c>
      <c r="AF650" s="35">
        <v>7.8487903225806455E-2</v>
      </c>
    </row>
    <row r="651" spans="19:32" x14ac:dyDescent="0.35">
      <c r="S651" s="34">
        <v>647</v>
      </c>
      <c r="T651" s="34" t="s">
        <v>4284</v>
      </c>
      <c r="U651" s="34" t="s">
        <v>5254</v>
      </c>
      <c r="V651" s="35">
        <v>2.1250000000000002E-3</v>
      </c>
      <c r="W651" s="13"/>
      <c r="X651" s="34">
        <v>647</v>
      </c>
      <c r="Y651" s="34" t="s">
        <v>2248</v>
      </c>
      <c r="Z651" s="34" t="s">
        <v>5672</v>
      </c>
      <c r="AA651" s="35">
        <v>4.5927419354838714E-4</v>
      </c>
      <c r="AB651" s="13"/>
      <c r="AC651" s="34">
        <v>647</v>
      </c>
      <c r="AD651" s="34" t="s">
        <v>4573</v>
      </c>
      <c r="AE651" s="34" t="s">
        <v>5222</v>
      </c>
      <c r="AF651" s="35">
        <v>0.53810483870967751</v>
      </c>
    </row>
    <row r="652" spans="19:32" x14ac:dyDescent="0.35">
      <c r="S652" s="34">
        <v>648</v>
      </c>
      <c r="T652" s="34" t="s">
        <v>4284</v>
      </c>
      <c r="U652" s="34" t="s">
        <v>5253</v>
      </c>
      <c r="V652" s="35">
        <v>7.2661290322580648E-3</v>
      </c>
      <c r="W652" s="22"/>
      <c r="X652" s="34">
        <v>648</v>
      </c>
      <c r="Y652" s="34" t="s">
        <v>2248</v>
      </c>
      <c r="Z652" s="34" t="s">
        <v>5333</v>
      </c>
      <c r="AA652" s="35">
        <v>8.2600806451612916E-5</v>
      </c>
      <c r="AB652" s="13"/>
      <c r="AC652" s="34">
        <v>648</v>
      </c>
      <c r="AD652" s="34" t="s">
        <v>4573</v>
      </c>
      <c r="AE652" s="34" t="s">
        <v>5221</v>
      </c>
      <c r="AF652" s="35">
        <v>8.6713709677419364E-3</v>
      </c>
    </row>
    <row r="653" spans="19:32" x14ac:dyDescent="0.35">
      <c r="S653" s="34">
        <v>649</v>
      </c>
      <c r="T653" s="34" t="s">
        <v>4284</v>
      </c>
      <c r="U653" s="34" t="s">
        <v>5252</v>
      </c>
      <c r="V653" s="35">
        <v>4.1814516129032259E-6</v>
      </c>
      <c r="W653" s="22"/>
      <c r="X653" s="34">
        <v>649</v>
      </c>
      <c r="Y653" s="34" t="s">
        <v>2248</v>
      </c>
      <c r="Z653" s="34" t="s">
        <v>5671</v>
      </c>
      <c r="AA653" s="35">
        <v>1.3675403225806455E-4</v>
      </c>
      <c r="AB653" s="13"/>
      <c r="AC653" s="34">
        <v>649</v>
      </c>
      <c r="AD653" s="34" t="s">
        <v>4573</v>
      </c>
      <c r="AE653" s="34" t="s">
        <v>5220</v>
      </c>
      <c r="AF653" s="35">
        <v>3.6673387096774195E-2</v>
      </c>
    </row>
    <row r="654" spans="19:32" x14ac:dyDescent="0.35">
      <c r="S654" s="36">
        <v>650</v>
      </c>
      <c r="T654" s="36" t="s">
        <v>4284</v>
      </c>
      <c r="U654" s="36" t="s">
        <v>5251</v>
      </c>
      <c r="V654" s="37">
        <v>5.4034999999999993</v>
      </c>
      <c r="W654" s="13"/>
      <c r="X654" s="34">
        <v>650</v>
      </c>
      <c r="Y654" s="34" t="s">
        <v>2248</v>
      </c>
      <c r="Z654" s="34" t="s">
        <v>5332</v>
      </c>
      <c r="AA654" s="35">
        <v>3.5987903225806456E-4</v>
      </c>
      <c r="AB654" s="13"/>
      <c r="AC654" s="34">
        <v>650</v>
      </c>
      <c r="AD654" s="34" t="s">
        <v>4573</v>
      </c>
      <c r="AE654" s="34" t="s">
        <v>5219</v>
      </c>
      <c r="AF654" s="35">
        <v>1.0796370967741937E-2</v>
      </c>
    </row>
    <row r="655" spans="19:32" x14ac:dyDescent="0.35">
      <c r="S655" s="34">
        <v>651</v>
      </c>
      <c r="T655" s="34" t="s">
        <v>4284</v>
      </c>
      <c r="U655" s="34" t="s">
        <v>5251</v>
      </c>
      <c r="V655" s="35">
        <v>3.5645161290322583E-6</v>
      </c>
      <c r="W655" s="13"/>
      <c r="X655" s="34">
        <v>651</v>
      </c>
      <c r="Y655" s="34" t="s">
        <v>2248</v>
      </c>
      <c r="Z655" s="34" t="s">
        <v>5331</v>
      </c>
      <c r="AA655" s="35">
        <v>0.10556451612903227</v>
      </c>
      <c r="AB655" s="13"/>
      <c r="AC655" s="34">
        <v>651</v>
      </c>
      <c r="AD655" s="34" t="s">
        <v>4573</v>
      </c>
      <c r="AE655" s="34" t="s">
        <v>5217</v>
      </c>
      <c r="AF655" s="35">
        <v>8.054435483870968E-3</v>
      </c>
    </row>
    <row r="656" spans="19:32" x14ac:dyDescent="0.35">
      <c r="S656" s="41">
        <v>652</v>
      </c>
      <c r="T656" s="41" t="s">
        <v>4284</v>
      </c>
      <c r="U656" s="41" t="s">
        <v>5249</v>
      </c>
      <c r="V656" s="42">
        <v>3.7396499999999997</v>
      </c>
      <c r="W656" s="13"/>
      <c r="X656" s="34">
        <v>652</v>
      </c>
      <c r="Y656" s="34" t="s">
        <v>2248</v>
      </c>
      <c r="Z656" s="34" t="s">
        <v>5330</v>
      </c>
      <c r="AA656" s="35">
        <v>1.4635080645161291E-2</v>
      </c>
      <c r="AB656" s="13"/>
      <c r="AC656" s="34">
        <v>652</v>
      </c>
      <c r="AD656" s="34" t="s">
        <v>4573</v>
      </c>
      <c r="AE656" s="34" t="s">
        <v>5216</v>
      </c>
      <c r="AF656" s="35">
        <v>7.7802419354838712E-2</v>
      </c>
    </row>
    <row r="657" spans="19:32" x14ac:dyDescent="0.35">
      <c r="S657" s="34">
        <v>653</v>
      </c>
      <c r="T657" s="34" t="s">
        <v>4284</v>
      </c>
      <c r="U657" s="34" t="s">
        <v>5249</v>
      </c>
      <c r="V657" s="35">
        <v>4.6955645161290328E-6</v>
      </c>
      <c r="W657" s="13"/>
      <c r="X657" s="34">
        <v>653</v>
      </c>
      <c r="Y657" s="34" t="s">
        <v>2248</v>
      </c>
      <c r="Z657" s="34" t="s">
        <v>5670</v>
      </c>
      <c r="AA657" s="35">
        <v>1.3195564516129035E-7</v>
      </c>
      <c r="AB657" s="13"/>
      <c r="AC657" s="34">
        <v>653</v>
      </c>
      <c r="AD657" s="34" t="s">
        <v>4573</v>
      </c>
      <c r="AE657" s="34" t="s">
        <v>5215</v>
      </c>
      <c r="AF657" s="35">
        <v>0.40443548387096778</v>
      </c>
    </row>
    <row r="658" spans="19:32" x14ac:dyDescent="0.35">
      <c r="S658" s="34">
        <v>654</v>
      </c>
      <c r="T658" s="34" t="s">
        <v>4284</v>
      </c>
      <c r="U658" s="34" t="s">
        <v>5248</v>
      </c>
      <c r="V658" s="35">
        <v>1.2955645161290322E-3</v>
      </c>
      <c r="W658" s="17"/>
      <c r="X658" s="34">
        <v>654</v>
      </c>
      <c r="Y658" s="34" t="s">
        <v>2248</v>
      </c>
      <c r="Z658" s="34" t="s">
        <v>5329</v>
      </c>
      <c r="AA658" s="35">
        <v>2.7110887096774196E-2</v>
      </c>
      <c r="AB658" s="13"/>
      <c r="AC658" s="34">
        <v>654</v>
      </c>
      <c r="AD658" s="34" t="s">
        <v>4573</v>
      </c>
      <c r="AE658" s="34" t="s">
        <v>5214</v>
      </c>
      <c r="AF658" s="35">
        <v>1.2304435483870968E-2</v>
      </c>
    </row>
    <row r="659" spans="19:32" x14ac:dyDescent="0.35">
      <c r="S659" s="34">
        <v>655</v>
      </c>
      <c r="T659" s="34" t="s">
        <v>4284</v>
      </c>
      <c r="U659" s="34" t="s">
        <v>5247</v>
      </c>
      <c r="V659" s="35">
        <v>7.0604838709677423E-5</v>
      </c>
      <c r="W659" s="13"/>
      <c r="X659" s="34">
        <v>655</v>
      </c>
      <c r="Y659" s="34" t="s">
        <v>2248</v>
      </c>
      <c r="Z659" s="34" t="s">
        <v>5328</v>
      </c>
      <c r="AA659" s="35">
        <v>1.1516129032258066E-2</v>
      </c>
      <c r="AB659" s="13"/>
      <c r="AC659" s="34">
        <v>655</v>
      </c>
      <c r="AD659" s="34" t="s">
        <v>4573</v>
      </c>
      <c r="AE659" s="34" t="s">
        <v>5213</v>
      </c>
      <c r="AF659" s="35">
        <v>0.38387096774193552</v>
      </c>
    </row>
    <row r="660" spans="19:32" x14ac:dyDescent="0.35">
      <c r="S660" s="34">
        <v>656</v>
      </c>
      <c r="T660" s="34" t="s">
        <v>4284</v>
      </c>
      <c r="U660" s="34" t="s">
        <v>5245</v>
      </c>
      <c r="V660" s="35">
        <v>1.2578629032258066E-3</v>
      </c>
      <c r="W660" s="22"/>
      <c r="X660" s="34">
        <v>656</v>
      </c>
      <c r="Y660" s="34" t="s">
        <v>2248</v>
      </c>
      <c r="Z660" s="34" t="s">
        <v>5669</v>
      </c>
      <c r="AA660" s="35">
        <v>4.9697580645161295E-5</v>
      </c>
      <c r="AB660" s="13"/>
      <c r="AC660" s="34">
        <v>656</v>
      </c>
      <c r="AD660" s="34" t="s">
        <v>4573</v>
      </c>
      <c r="AE660" s="34" t="s">
        <v>5212</v>
      </c>
      <c r="AF660" s="35">
        <v>0.68548387096774199</v>
      </c>
    </row>
    <row r="661" spans="19:32" x14ac:dyDescent="0.35">
      <c r="S661" s="34">
        <v>657</v>
      </c>
      <c r="T661" s="34" t="s">
        <v>4284</v>
      </c>
      <c r="U661" s="34" t="s">
        <v>5243</v>
      </c>
      <c r="V661" s="35">
        <v>1.1516129032258065</v>
      </c>
      <c r="W661" s="23"/>
      <c r="X661" s="34">
        <v>657</v>
      </c>
      <c r="Y661" s="34" t="s">
        <v>2248</v>
      </c>
      <c r="Z661" s="34" t="s">
        <v>3655</v>
      </c>
      <c r="AA661" s="35">
        <v>0</v>
      </c>
      <c r="AB661" s="13"/>
      <c r="AC661" s="34">
        <v>657</v>
      </c>
      <c r="AD661" s="34" t="s">
        <v>4573</v>
      </c>
      <c r="AE661" s="34" t="s">
        <v>3606</v>
      </c>
      <c r="AF661" s="35">
        <v>8.7216000000000005</v>
      </c>
    </row>
    <row r="662" spans="19:32" x14ac:dyDescent="0.35">
      <c r="S662" s="34">
        <v>658</v>
      </c>
      <c r="T662" s="34" t="s">
        <v>4284</v>
      </c>
      <c r="U662" s="34" t="s">
        <v>5242</v>
      </c>
      <c r="V662" s="35">
        <v>1.3058467741935485E-5</v>
      </c>
      <c r="W662" s="13"/>
      <c r="X662" s="34">
        <v>658</v>
      </c>
      <c r="Y662" s="34" t="s">
        <v>2248</v>
      </c>
      <c r="Z662" s="34" t="s">
        <v>5326</v>
      </c>
      <c r="AA662" s="35">
        <v>3.3520161290322582E-4</v>
      </c>
      <c r="AB662" s="13"/>
      <c r="AC662" s="34">
        <v>658</v>
      </c>
      <c r="AD662" s="34" t="s">
        <v>4573</v>
      </c>
      <c r="AE662" s="34" t="s">
        <v>5211</v>
      </c>
      <c r="AF662" s="35">
        <v>3.7358870967741938E-2</v>
      </c>
    </row>
    <row r="663" spans="19:32" x14ac:dyDescent="0.35">
      <c r="S663" s="34">
        <v>659</v>
      </c>
      <c r="T663" s="34" t="s">
        <v>4284</v>
      </c>
      <c r="U663" s="34" t="s">
        <v>5241</v>
      </c>
      <c r="V663" s="35">
        <v>1.1413306451612904E-4</v>
      </c>
      <c r="W663" s="13"/>
      <c r="X663" s="34">
        <v>659</v>
      </c>
      <c r="Y663" s="34" t="s">
        <v>2248</v>
      </c>
      <c r="Z663" s="34" t="s">
        <v>5325</v>
      </c>
      <c r="AA663" s="35">
        <v>1.2338709677419357E-2</v>
      </c>
      <c r="AB663" s="13"/>
      <c r="AC663" s="34">
        <v>659</v>
      </c>
      <c r="AD663" s="34" t="s">
        <v>4573</v>
      </c>
      <c r="AE663" s="34" t="s">
        <v>5210</v>
      </c>
      <c r="AF663" s="35">
        <v>5.0725806451612905E-2</v>
      </c>
    </row>
    <row r="664" spans="19:32" x14ac:dyDescent="0.35">
      <c r="S664" s="34">
        <v>660</v>
      </c>
      <c r="T664" s="34" t="s">
        <v>4284</v>
      </c>
      <c r="U664" s="34" t="s">
        <v>5240</v>
      </c>
      <c r="V664" s="35">
        <v>1.6383064516129034E-4</v>
      </c>
      <c r="W664" s="13"/>
      <c r="X664" s="34">
        <v>660</v>
      </c>
      <c r="Y664" s="34" t="s">
        <v>2248</v>
      </c>
      <c r="Z664" s="34" t="s">
        <v>5668</v>
      </c>
      <c r="AA664" s="35">
        <v>6.5120967741935489E-3</v>
      </c>
      <c r="AB664" s="13"/>
      <c r="AC664" s="34">
        <v>660</v>
      </c>
      <c r="AD664" s="34" t="s">
        <v>4573</v>
      </c>
      <c r="AE664" s="34" t="s">
        <v>3603</v>
      </c>
      <c r="AF664" s="35">
        <v>0.37259999999999999</v>
      </c>
    </row>
    <row r="665" spans="19:32" x14ac:dyDescent="0.35">
      <c r="S665" s="34">
        <v>661</v>
      </c>
      <c r="T665" s="34" t="s">
        <v>4284</v>
      </c>
      <c r="U665" s="34" t="s">
        <v>5239</v>
      </c>
      <c r="V665" s="35">
        <v>6.7520161290322587E-6</v>
      </c>
      <c r="W665" s="13"/>
      <c r="X665" s="34">
        <v>661</v>
      </c>
      <c r="Y665" s="34" t="s">
        <v>2248</v>
      </c>
      <c r="Z665" s="34" t="s">
        <v>5324</v>
      </c>
      <c r="AA665" s="35">
        <v>2.4403225806451614E-2</v>
      </c>
      <c r="AB665" s="13"/>
      <c r="AC665" s="34">
        <v>661</v>
      </c>
      <c r="AD665" s="34" t="s">
        <v>4573</v>
      </c>
      <c r="AE665" s="34" t="s">
        <v>5209</v>
      </c>
      <c r="AF665" s="35">
        <v>0.19125</v>
      </c>
    </row>
    <row r="666" spans="19:32" x14ac:dyDescent="0.35">
      <c r="S666" s="34">
        <v>662</v>
      </c>
      <c r="T666" s="34" t="s">
        <v>4284</v>
      </c>
      <c r="U666" s="34" t="s">
        <v>5238</v>
      </c>
      <c r="V666" s="35">
        <v>3.4616935483870971E-3</v>
      </c>
      <c r="W666" s="13"/>
      <c r="X666" s="34">
        <v>662</v>
      </c>
      <c r="Y666" s="34" t="s">
        <v>2248</v>
      </c>
      <c r="Z666" s="34" t="s">
        <v>5323</v>
      </c>
      <c r="AA666" s="35">
        <v>9.6995967741935491E-3</v>
      </c>
      <c r="AB666" s="13"/>
      <c r="AC666" s="34">
        <v>662</v>
      </c>
      <c r="AD666" s="34" t="s">
        <v>4573</v>
      </c>
      <c r="AE666" s="34" t="s">
        <v>5208</v>
      </c>
      <c r="AF666" s="35">
        <v>0.22278225806451615</v>
      </c>
    </row>
    <row r="667" spans="19:32" x14ac:dyDescent="0.35">
      <c r="S667" s="34">
        <v>663</v>
      </c>
      <c r="T667" s="34" t="s">
        <v>4284</v>
      </c>
      <c r="U667" s="34" t="s">
        <v>3626</v>
      </c>
      <c r="V667" s="35">
        <v>975.19999999999993</v>
      </c>
      <c r="W667" s="13"/>
      <c r="X667" s="34">
        <v>663</v>
      </c>
      <c r="Y667" s="34" t="s">
        <v>2248</v>
      </c>
      <c r="Z667" s="34" t="s">
        <v>5667</v>
      </c>
      <c r="AA667" s="35">
        <v>2.0324596774193549E-5</v>
      </c>
      <c r="AB667" s="13"/>
      <c r="AC667" s="34">
        <v>663</v>
      </c>
      <c r="AD667" s="34" t="s">
        <v>4573</v>
      </c>
      <c r="AE667" s="34" t="s">
        <v>5207</v>
      </c>
      <c r="AF667" s="35">
        <v>1.7205645161290323E-2</v>
      </c>
    </row>
    <row r="668" spans="19:32" x14ac:dyDescent="0.35">
      <c r="S668" s="34">
        <v>664</v>
      </c>
      <c r="T668" s="34" t="s">
        <v>4284</v>
      </c>
      <c r="U668" s="34" t="s">
        <v>5237</v>
      </c>
      <c r="V668" s="35">
        <v>2.8653225806451613E-5</v>
      </c>
      <c r="W668" s="13"/>
      <c r="X668" s="34">
        <v>664</v>
      </c>
      <c r="Y668" s="34" t="s">
        <v>2248</v>
      </c>
      <c r="Z668" s="34" t="s">
        <v>5322</v>
      </c>
      <c r="AA668" s="35">
        <v>3.0024193548387101E-4</v>
      </c>
      <c r="AB668" s="13"/>
      <c r="AC668" s="34">
        <v>664</v>
      </c>
      <c r="AD668" s="34" t="s">
        <v>4573</v>
      </c>
      <c r="AE668" s="34" t="s">
        <v>5206</v>
      </c>
      <c r="AF668" s="35">
        <v>1.7514112903225809E-3</v>
      </c>
    </row>
    <row r="669" spans="19:32" x14ac:dyDescent="0.35">
      <c r="S669" s="34">
        <v>665</v>
      </c>
      <c r="T669" s="34" t="s">
        <v>4284</v>
      </c>
      <c r="U669" s="34" t="s">
        <v>5235</v>
      </c>
      <c r="V669" s="35">
        <v>1.2989919354838709E-3</v>
      </c>
      <c r="W669" s="13"/>
      <c r="X669" s="34">
        <v>665</v>
      </c>
      <c r="Y669" s="34" t="s">
        <v>2248</v>
      </c>
      <c r="Z669" s="34" t="s">
        <v>3651</v>
      </c>
      <c r="AA669" s="35">
        <v>2.7691999999999998E-2</v>
      </c>
      <c r="AB669" s="13"/>
      <c r="AC669" s="34">
        <v>665</v>
      </c>
      <c r="AD669" s="34" t="s">
        <v>4573</v>
      </c>
      <c r="AE669" s="34" t="s">
        <v>5204</v>
      </c>
      <c r="AF669" s="35">
        <v>6.4435483870967749</v>
      </c>
    </row>
    <row r="670" spans="19:32" x14ac:dyDescent="0.35">
      <c r="S670" s="34">
        <v>666</v>
      </c>
      <c r="T670" s="34" t="s">
        <v>4284</v>
      </c>
      <c r="U670" s="34" t="s">
        <v>3623</v>
      </c>
      <c r="V670" s="35">
        <v>0</v>
      </c>
      <c r="W670" s="13"/>
      <c r="X670" s="34">
        <v>666</v>
      </c>
      <c r="Y670" s="34" t="s">
        <v>2248</v>
      </c>
      <c r="Z670" s="34" t="s">
        <v>5666</v>
      </c>
      <c r="AA670" s="35">
        <v>1.6417338709677422E-4</v>
      </c>
      <c r="AB670" s="13"/>
      <c r="AC670" s="34">
        <v>666</v>
      </c>
      <c r="AD670" s="34" t="s">
        <v>4573</v>
      </c>
      <c r="AE670" s="34" t="s">
        <v>3601</v>
      </c>
      <c r="AF670" s="35">
        <v>122.36000000000001</v>
      </c>
    </row>
    <row r="671" spans="19:32" x14ac:dyDescent="0.35">
      <c r="S671" s="34">
        <v>667</v>
      </c>
      <c r="T671" s="34" t="s">
        <v>4284</v>
      </c>
      <c r="U671" s="34" t="s">
        <v>5234</v>
      </c>
      <c r="V671" s="35">
        <v>1.0933467741935484E-4</v>
      </c>
      <c r="W671" s="13"/>
      <c r="X671" s="34">
        <v>667</v>
      </c>
      <c r="Y671" s="34" t="s">
        <v>2248</v>
      </c>
      <c r="Z671" s="34" t="s">
        <v>3649</v>
      </c>
      <c r="AA671" s="35">
        <v>0</v>
      </c>
      <c r="AB671" s="13"/>
      <c r="AC671" s="34">
        <v>667</v>
      </c>
      <c r="AD671" s="34" t="s">
        <v>4573</v>
      </c>
      <c r="AE671" s="34" t="s">
        <v>5203</v>
      </c>
      <c r="AF671" s="35">
        <v>1.9502016129032259E-3</v>
      </c>
    </row>
    <row r="672" spans="19:32" x14ac:dyDescent="0.35">
      <c r="S672" s="34">
        <v>668</v>
      </c>
      <c r="T672" s="34" t="s">
        <v>4284</v>
      </c>
      <c r="U672" s="34" t="s">
        <v>3621</v>
      </c>
      <c r="V672" s="35">
        <v>2.5852000000000004</v>
      </c>
      <c r="W672" s="13"/>
      <c r="X672" s="34">
        <v>668</v>
      </c>
      <c r="Y672" s="34" t="s">
        <v>2248</v>
      </c>
      <c r="Z672" s="34" t="s">
        <v>5321</v>
      </c>
      <c r="AA672" s="35">
        <v>2.4471774193548387E-2</v>
      </c>
      <c r="AB672" s="13"/>
      <c r="AC672" s="34">
        <v>668</v>
      </c>
      <c r="AD672" s="34" t="s">
        <v>4573</v>
      </c>
      <c r="AE672" s="34" t="s">
        <v>5202</v>
      </c>
      <c r="AF672" s="35">
        <v>5.5524193548387099E-3</v>
      </c>
    </row>
    <row r="673" spans="19:32" x14ac:dyDescent="0.35">
      <c r="S673" s="34">
        <v>669</v>
      </c>
      <c r="T673" s="34" t="s">
        <v>4284</v>
      </c>
      <c r="U673" s="34" t="s">
        <v>3618</v>
      </c>
      <c r="V673" s="35">
        <v>1.0488000000000002</v>
      </c>
      <c r="W673" s="13"/>
      <c r="X673" s="34">
        <v>669</v>
      </c>
      <c r="Y673" s="34" t="s">
        <v>2248</v>
      </c>
      <c r="Z673" s="34" t="s">
        <v>5320</v>
      </c>
      <c r="AA673" s="35">
        <v>6.2721774193548394E-2</v>
      </c>
      <c r="AB673" s="13"/>
      <c r="AC673" s="34">
        <v>669</v>
      </c>
      <c r="AD673" s="34" t="s">
        <v>4573</v>
      </c>
      <c r="AE673" s="34" t="s">
        <v>5201</v>
      </c>
      <c r="AF673" s="35">
        <v>5.2096774193548393E-3</v>
      </c>
    </row>
    <row r="674" spans="19:32" x14ac:dyDescent="0.35">
      <c r="S674" s="34">
        <v>670</v>
      </c>
      <c r="T674" s="34" t="s">
        <v>4284</v>
      </c>
      <c r="U674" s="34" t="s">
        <v>3616</v>
      </c>
      <c r="V674" s="35">
        <v>6.7804000000000002</v>
      </c>
      <c r="W674" s="13"/>
      <c r="X674" s="34">
        <v>670</v>
      </c>
      <c r="Y674" s="34" t="s">
        <v>2248</v>
      </c>
      <c r="Z674" s="34" t="s">
        <v>5665</v>
      </c>
      <c r="AA674" s="35">
        <v>2.15241935483871E-4</v>
      </c>
      <c r="AB674" s="13"/>
      <c r="AC674" s="34">
        <v>670</v>
      </c>
      <c r="AD674" s="34" t="s">
        <v>4573</v>
      </c>
      <c r="AE674" s="34" t="s">
        <v>5198</v>
      </c>
      <c r="AF674" s="35">
        <v>3.2491935483870971E-3</v>
      </c>
    </row>
    <row r="675" spans="19:32" x14ac:dyDescent="0.35">
      <c r="S675" s="34">
        <v>671</v>
      </c>
      <c r="T675" s="34" t="s">
        <v>4284</v>
      </c>
      <c r="U675" s="34" t="s">
        <v>3615</v>
      </c>
      <c r="V675" s="35">
        <v>1.2972000000000001</v>
      </c>
      <c r="W675" s="13"/>
      <c r="X675" s="34">
        <v>671</v>
      </c>
      <c r="Y675" s="34" t="s">
        <v>2248</v>
      </c>
      <c r="Z675" s="34" t="s">
        <v>5319</v>
      </c>
      <c r="AA675" s="35">
        <v>9.4939516129032258E-4</v>
      </c>
      <c r="AB675" s="13"/>
      <c r="AC675" s="34">
        <v>671</v>
      </c>
      <c r="AD675" s="34" t="s">
        <v>4573</v>
      </c>
      <c r="AE675" s="34" t="s">
        <v>3600</v>
      </c>
      <c r="AF675" s="35">
        <v>7.3507999999999996</v>
      </c>
    </row>
    <row r="676" spans="19:32" x14ac:dyDescent="0.35">
      <c r="S676" s="34">
        <v>672</v>
      </c>
      <c r="T676" s="34" t="s">
        <v>4284</v>
      </c>
      <c r="U676" s="34" t="s">
        <v>5233</v>
      </c>
      <c r="V676" s="35">
        <v>7.3004032258064519E-4</v>
      </c>
      <c r="W676" s="13"/>
      <c r="X676" s="34">
        <v>672</v>
      </c>
      <c r="Y676" s="34" t="s">
        <v>2248</v>
      </c>
      <c r="Z676" s="34" t="s">
        <v>5318</v>
      </c>
      <c r="AA676" s="35">
        <v>4.2157258064516132E-2</v>
      </c>
      <c r="AB676" s="13"/>
      <c r="AC676" s="34">
        <v>672</v>
      </c>
      <c r="AD676" s="34" t="s">
        <v>4573</v>
      </c>
      <c r="AE676" s="34" t="s">
        <v>3597</v>
      </c>
      <c r="AF676" s="35">
        <v>328.44</v>
      </c>
    </row>
    <row r="677" spans="19:32" x14ac:dyDescent="0.35">
      <c r="S677" s="34">
        <v>673</v>
      </c>
      <c r="T677" s="34" t="s">
        <v>4284</v>
      </c>
      <c r="U677" s="34" t="s">
        <v>3613</v>
      </c>
      <c r="V677" s="35">
        <v>1.1316000000000002</v>
      </c>
      <c r="W677" s="13"/>
      <c r="X677" s="34">
        <v>673</v>
      </c>
      <c r="Y677" s="34" t="s">
        <v>2248</v>
      </c>
      <c r="Z677" s="34" t="s">
        <v>5664</v>
      </c>
      <c r="AA677" s="35">
        <v>1.3435483870967743E-3</v>
      </c>
      <c r="AB677" s="13"/>
      <c r="AC677" s="34">
        <v>673</v>
      </c>
      <c r="AD677" s="34" t="s">
        <v>4573</v>
      </c>
      <c r="AE677" s="34" t="s">
        <v>5197</v>
      </c>
      <c r="AF677" s="35">
        <v>3.1463709677419356E-2</v>
      </c>
    </row>
    <row r="678" spans="19:32" x14ac:dyDescent="0.35">
      <c r="S678" s="34">
        <v>674</v>
      </c>
      <c r="T678" s="34" t="s">
        <v>4284</v>
      </c>
      <c r="U678" s="34" t="s">
        <v>3612</v>
      </c>
      <c r="V678" s="35">
        <v>1.8676000000000001</v>
      </c>
      <c r="W678" s="13"/>
      <c r="X678" s="34">
        <v>674</v>
      </c>
      <c r="Y678" s="34" t="s">
        <v>2248</v>
      </c>
      <c r="Z678" s="34" t="s">
        <v>5317</v>
      </c>
      <c r="AA678" s="35">
        <v>1.3401209677419356E-2</v>
      </c>
      <c r="AB678" s="13"/>
      <c r="AC678" s="34">
        <v>674</v>
      </c>
      <c r="AD678" s="34" t="s">
        <v>4573</v>
      </c>
      <c r="AE678" s="34" t="s">
        <v>5195</v>
      </c>
      <c r="AF678" s="35">
        <v>4.3528225806451614E-3</v>
      </c>
    </row>
    <row r="679" spans="19:32" x14ac:dyDescent="0.35">
      <c r="S679" s="34">
        <v>675</v>
      </c>
      <c r="T679" s="34" t="s">
        <v>4284</v>
      </c>
      <c r="U679" s="34" t="s">
        <v>3611</v>
      </c>
      <c r="V679" s="35">
        <v>3.7811999999999997</v>
      </c>
      <c r="W679" s="13"/>
      <c r="X679" s="34">
        <v>675</v>
      </c>
      <c r="Y679" s="34" t="s">
        <v>2248</v>
      </c>
      <c r="Z679" s="34" t="s">
        <v>5316</v>
      </c>
      <c r="AA679" s="35">
        <v>2.6288306451612904E-2</v>
      </c>
      <c r="AB679" s="13"/>
      <c r="AC679" s="34">
        <v>675</v>
      </c>
      <c r="AD679" s="34" t="s">
        <v>4573</v>
      </c>
      <c r="AE679" s="34" t="s">
        <v>5193</v>
      </c>
      <c r="AF679" s="35">
        <v>4.0443548387096781E-3</v>
      </c>
    </row>
    <row r="680" spans="19:32" x14ac:dyDescent="0.35">
      <c r="S680" s="34">
        <v>676</v>
      </c>
      <c r="T680" s="34" t="s">
        <v>4284</v>
      </c>
      <c r="U680" s="34" t="s">
        <v>3609</v>
      </c>
      <c r="V680" s="35">
        <v>6.1916000000000002</v>
      </c>
      <c r="W680" s="22"/>
      <c r="X680" s="34">
        <v>676</v>
      </c>
      <c r="Y680" s="34" t="s">
        <v>2248</v>
      </c>
      <c r="Z680" s="34" t="s">
        <v>5315</v>
      </c>
      <c r="AA680" s="35">
        <v>2.0872983870967744E-2</v>
      </c>
      <c r="AB680" s="13"/>
      <c r="AC680" s="34">
        <v>676</v>
      </c>
      <c r="AD680" s="34" t="s">
        <v>4573</v>
      </c>
      <c r="AE680" s="34" t="s">
        <v>3596</v>
      </c>
      <c r="AF680" s="35">
        <v>0</v>
      </c>
    </row>
    <row r="681" spans="19:32" x14ac:dyDescent="0.35">
      <c r="S681" s="34">
        <v>677</v>
      </c>
      <c r="T681" s="34" t="s">
        <v>4284</v>
      </c>
      <c r="U681" s="34" t="s">
        <v>5232</v>
      </c>
      <c r="V681" s="35">
        <v>9.6653225806451627E-3</v>
      </c>
      <c r="W681" s="22"/>
      <c r="X681" s="34">
        <v>677</v>
      </c>
      <c r="Y681" s="34" t="s">
        <v>2248</v>
      </c>
      <c r="Z681" s="34" t="s">
        <v>5663</v>
      </c>
      <c r="AA681" s="35">
        <v>5.6209677419354844E-7</v>
      </c>
      <c r="AB681" s="13"/>
      <c r="AC681" s="34">
        <v>677</v>
      </c>
      <c r="AD681" s="34" t="s">
        <v>4573</v>
      </c>
      <c r="AE681" s="34" t="s">
        <v>3594</v>
      </c>
      <c r="AF681" s="35">
        <v>0.11132000000000002</v>
      </c>
    </row>
    <row r="682" spans="19:32" x14ac:dyDescent="0.35">
      <c r="S682" s="34">
        <v>678</v>
      </c>
      <c r="T682" s="34" t="s">
        <v>4284</v>
      </c>
      <c r="U682" s="34" t="s">
        <v>5231</v>
      </c>
      <c r="V682" s="35">
        <v>5.3467741935483877E-3</v>
      </c>
      <c r="W682" s="13"/>
      <c r="X682" s="34">
        <v>678</v>
      </c>
      <c r="Y682" s="34" t="s">
        <v>2248</v>
      </c>
      <c r="Z682" s="34" t="s">
        <v>5314</v>
      </c>
      <c r="AA682" s="35">
        <v>2.8756048387096778E-4</v>
      </c>
      <c r="AB682" s="13"/>
      <c r="AC682" s="34">
        <v>678</v>
      </c>
      <c r="AD682" s="34" t="s">
        <v>4573</v>
      </c>
      <c r="AE682" s="34" t="s">
        <v>5191</v>
      </c>
      <c r="AF682" s="35">
        <v>1.3195564516129034E-2</v>
      </c>
    </row>
    <row r="683" spans="19:32" x14ac:dyDescent="0.35">
      <c r="S683" s="34">
        <v>679</v>
      </c>
      <c r="T683" s="34" t="s">
        <v>4284</v>
      </c>
      <c r="U683" s="34" t="s">
        <v>5230</v>
      </c>
      <c r="V683" s="35">
        <v>0.72318548387096782</v>
      </c>
      <c r="W683" s="13"/>
      <c r="X683" s="34">
        <v>679</v>
      </c>
      <c r="Y683" s="34" t="s">
        <v>2248</v>
      </c>
      <c r="Z683" s="34" t="s">
        <v>5313</v>
      </c>
      <c r="AA683" s="35">
        <v>1.4326612903225807E-2</v>
      </c>
      <c r="AB683" s="13"/>
      <c r="AC683" s="34">
        <v>679</v>
      </c>
      <c r="AD683" s="34" t="s">
        <v>4573</v>
      </c>
      <c r="AE683" s="34" t="s">
        <v>5187</v>
      </c>
      <c r="AF683" s="35">
        <v>6.4778225806451611E-4</v>
      </c>
    </row>
    <row r="684" spans="19:32" x14ac:dyDescent="0.35">
      <c r="S684" s="34">
        <v>680</v>
      </c>
      <c r="T684" s="34" t="s">
        <v>4284</v>
      </c>
      <c r="U684" s="34" t="s">
        <v>5229</v>
      </c>
      <c r="V684" s="35">
        <v>1.9673387096774196E-6</v>
      </c>
      <c r="W684" s="13"/>
      <c r="X684" s="34">
        <v>680</v>
      </c>
      <c r="Y684" s="34" t="s">
        <v>2248</v>
      </c>
      <c r="Z684" s="34" t="s">
        <v>5662</v>
      </c>
      <c r="AA684" s="35">
        <v>1.0145161290322581E-4</v>
      </c>
      <c r="AB684" s="13"/>
      <c r="AC684" s="34">
        <v>680</v>
      </c>
      <c r="AD684" s="34" t="s">
        <v>4573</v>
      </c>
      <c r="AE684" s="34" t="s">
        <v>5185</v>
      </c>
      <c r="AF684" s="35">
        <v>1.751411290322581E-4</v>
      </c>
    </row>
    <row r="685" spans="19:32" x14ac:dyDescent="0.35">
      <c r="S685" s="34">
        <v>681</v>
      </c>
      <c r="T685" s="34" t="s">
        <v>4284</v>
      </c>
      <c r="U685" s="34" t="s">
        <v>5228</v>
      </c>
      <c r="V685" s="35">
        <v>2.8550403225806455E-2</v>
      </c>
      <c r="W685" s="13"/>
      <c r="X685" s="34">
        <v>681</v>
      </c>
      <c r="Y685" s="34" t="s">
        <v>2248</v>
      </c>
      <c r="Z685" s="34" t="s">
        <v>5312</v>
      </c>
      <c r="AA685" s="35">
        <v>4.72983870967742E-4</v>
      </c>
      <c r="AB685" s="13"/>
      <c r="AC685" s="34">
        <v>681</v>
      </c>
      <c r="AD685" s="34" t="s">
        <v>4573</v>
      </c>
      <c r="AE685" s="34" t="s">
        <v>5182</v>
      </c>
      <c r="AF685" s="35">
        <v>3.7358870967741938E-2</v>
      </c>
    </row>
    <row r="686" spans="19:32" x14ac:dyDescent="0.35">
      <c r="S686" s="34">
        <v>682</v>
      </c>
      <c r="T686" s="34" t="s">
        <v>4284</v>
      </c>
      <c r="U686" s="34" t="s">
        <v>3607</v>
      </c>
      <c r="V686" s="35">
        <v>95.679999999999993</v>
      </c>
      <c r="W686" s="13"/>
      <c r="X686" s="34">
        <v>682</v>
      </c>
      <c r="Y686" s="34" t="s">
        <v>2248</v>
      </c>
      <c r="Z686" s="34" t="s">
        <v>5311</v>
      </c>
      <c r="AA686" s="35">
        <v>1.2715725806451614E-3</v>
      </c>
      <c r="AB686" s="13"/>
      <c r="AC686" s="34">
        <v>682</v>
      </c>
      <c r="AD686" s="34" t="s">
        <v>4573</v>
      </c>
      <c r="AE686" s="34" t="s">
        <v>5180</v>
      </c>
      <c r="AF686" s="35">
        <v>1.8645161290322583</v>
      </c>
    </row>
    <row r="687" spans="19:32" x14ac:dyDescent="0.35">
      <c r="S687" s="34">
        <v>683</v>
      </c>
      <c r="T687" s="34" t="s">
        <v>4284</v>
      </c>
      <c r="U687" s="34" t="s">
        <v>5227</v>
      </c>
      <c r="V687" s="35">
        <v>4.3185483870967746E-4</v>
      </c>
      <c r="W687" s="13"/>
      <c r="X687" s="34">
        <v>683</v>
      </c>
      <c r="Y687" s="34" t="s">
        <v>2248</v>
      </c>
      <c r="Z687" s="34" t="s">
        <v>3805</v>
      </c>
      <c r="AA687" s="35">
        <v>5.0725806451612907E-6</v>
      </c>
      <c r="AB687" s="13"/>
      <c r="AC687" s="34">
        <v>683</v>
      </c>
      <c r="AD687" s="34" t="s">
        <v>4573</v>
      </c>
      <c r="AE687" s="34" t="s">
        <v>3591</v>
      </c>
      <c r="AF687" s="35">
        <v>16.099999999999998</v>
      </c>
    </row>
    <row r="688" spans="19:32" x14ac:dyDescent="0.35">
      <c r="S688" s="34">
        <v>684</v>
      </c>
      <c r="T688" s="34" t="s">
        <v>4284</v>
      </c>
      <c r="U688" s="34" t="s">
        <v>5226</v>
      </c>
      <c r="V688" s="35">
        <v>5.4838709677419361E-3</v>
      </c>
      <c r="W688" s="13"/>
      <c r="X688" s="34">
        <v>684</v>
      </c>
      <c r="Y688" s="34" t="s">
        <v>2248</v>
      </c>
      <c r="Z688" s="34" t="s">
        <v>5310</v>
      </c>
      <c r="AA688" s="35">
        <v>5.3810483870967742E-4</v>
      </c>
      <c r="AB688" s="13"/>
      <c r="AC688" s="34">
        <v>684</v>
      </c>
      <c r="AD688" s="34" t="s">
        <v>4573</v>
      </c>
      <c r="AE688" s="34" t="s">
        <v>5177</v>
      </c>
      <c r="AF688" s="35">
        <v>1.8370967741935484E-2</v>
      </c>
    </row>
    <row r="689" spans="19:32" x14ac:dyDescent="0.35">
      <c r="S689" s="34">
        <v>685</v>
      </c>
      <c r="T689" s="34" t="s">
        <v>4284</v>
      </c>
      <c r="U689" s="34" t="s">
        <v>5225</v>
      </c>
      <c r="V689" s="35">
        <v>1.9296370967741935E-2</v>
      </c>
      <c r="W689" s="13"/>
      <c r="X689" s="34">
        <v>685</v>
      </c>
      <c r="Y689" s="34" t="s">
        <v>2248</v>
      </c>
      <c r="Z689" s="34" t="s">
        <v>5309</v>
      </c>
      <c r="AA689" s="35">
        <v>2.2141129032258067E-4</v>
      </c>
      <c r="AB689" s="13"/>
      <c r="AC689" s="34">
        <v>685</v>
      </c>
      <c r="AD689" s="34" t="s">
        <v>4573</v>
      </c>
      <c r="AE689" s="34" t="s">
        <v>5175</v>
      </c>
      <c r="AF689" s="35">
        <v>3.9758064516129035E-3</v>
      </c>
    </row>
    <row r="690" spans="19:32" x14ac:dyDescent="0.35">
      <c r="S690" s="34">
        <v>686</v>
      </c>
      <c r="T690" s="34" t="s">
        <v>4284</v>
      </c>
      <c r="U690" s="34" t="s">
        <v>5224</v>
      </c>
      <c r="V690" s="35">
        <v>1.038508064516129E-2</v>
      </c>
      <c r="W690" s="13"/>
      <c r="X690" s="34">
        <v>686</v>
      </c>
      <c r="Y690" s="34" t="s">
        <v>2248</v>
      </c>
      <c r="Z690" s="34" t="s">
        <v>5308</v>
      </c>
      <c r="AA690" s="35">
        <v>7.3346774193548394E-3</v>
      </c>
      <c r="AB690" s="13"/>
      <c r="AC690" s="34">
        <v>686</v>
      </c>
      <c r="AD690" s="34" t="s">
        <v>4573</v>
      </c>
      <c r="AE690" s="34" t="s">
        <v>5172</v>
      </c>
      <c r="AF690" s="35">
        <v>1.6897177419354838E-2</v>
      </c>
    </row>
    <row r="691" spans="19:32" x14ac:dyDescent="0.35">
      <c r="S691" s="34">
        <v>687</v>
      </c>
      <c r="T691" s="34" t="s">
        <v>4284</v>
      </c>
      <c r="U691" s="34" t="s">
        <v>5223</v>
      </c>
      <c r="V691" s="35">
        <v>1.8439516129032259E-3</v>
      </c>
      <c r="W691" s="13"/>
      <c r="X691" s="34">
        <v>687</v>
      </c>
      <c r="Y691" s="34" t="s">
        <v>2248</v>
      </c>
      <c r="Z691" s="34" t="s">
        <v>5661</v>
      </c>
      <c r="AA691" s="35">
        <v>2.6562500000000002E-4</v>
      </c>
      <c r="AB691" s="13"/>
      <c r="AC691" s="34">
        <v>687</v>
      </c>
      <c r="AD691" s="34" t="s">
        <v>4573</v>
      </c>
      <c r="AE691" s="34" t="s">
        <v>5169</v>
      </c>
      <c r="AF691" s="35">
        <v>5.0383064516129031E-4</v>
      </c>
    </row>
    <row r="692" spans="19:32" x14ac:dyDescent="0.35">
      <c r="S692" s="34">
        <v>688</v>
      </c>
      <c r="T692" s="34" t="s">
        <v>4284</v>
      </c>
      <c r="U692" s="34" t="s">
        <v>5222</v>
      </c>
      <c r="V692" s="35">
        <v>1.8508064516129033E-2</v>
      </c>
      <c r="W692" s="13"/>
      <c r="X692" s="34">
        <v>688</v>
      </c>
      <c r="Y692" s="34" t="s">
        <v>2248</v>
      </c>
      <c r="Z692" s="34" t="s">
        <v>5307</v>
      </c>
      <c r="AA692" s="35">
        <v>6.5463709677419362E-3</v>
      </c>
      <c r="AB692" s="13"/>
      <c r="AC692" s="34">
        <v>688</v>
      </c>
      <c r="AD692" s="34" t="s">
        <v>4573</v>
      </c>
      <c r="AE692" s="34" t="s">
        <v>5167</v>
      </c>
      <c r="AF692" s="35">
        <v>2.0735887096774195E-4</v>
      </c>
    </row>
    <row r="693" spans="19:32" x14ac:dyDescent="0.35">
      <c r="S693" s="34">
        <v>689</v>
      </c>
      <c r="T693" s="34" t="s">
        <v>4284</v>
      </c>
      <c r="U693" s="34" t="s">
        <v>5221</v>
      </c>
      <c r="V693" s="35">
        <v>5.7580645161290332E-4</v>
      </c>
      <c r="W693" s="13"/>
      <c r="X693" s="34">
        <v>689</v>
      </c>
      <c r="Y693" s="34" t="s">
        <v>2248</v>
      </c>
      <c r="Z693" s="34" t="s">
        <v>5306</v>
      </c>
      <c r="AA693" s="35">
        <v>4.5927419354838711E-2</v>
      </c>
      <c r="AB693" s="13"/>
      <c r="AC693" s="34">
        <v>689</v>
      </c>
      <c r="AD693" s="34" t="s">
        <v>4573</v>
      </c>
      <c r="AE693" s="34" t="s">
        <v>5166</v>
      </c>
      <c r="AF693" s="35">
        <v>6.8548387096774202E-4</v>
      </c>
    </row>
    <row r="694" spans="19:32" x14ac:dyDescent="0.35">
      <c r="S694" s="34">
        <v>690</v>
      </c>
      <c r="T694" s="34" t="s">
        <v>4284</v>
      </c>
      <c r="U694" s="34" t="s">
        <v>5220</v>
      </c>
      <c r="V694" s="35">
        <v>1.4463709677419356E-3</v>
      </c>
      <c r="W694" s="13"/>
      <c r="X694" s="34">
        <v>690</v>
      </c>
      <c r="Y694" s="34" t="s">
        <v>2248</v>
      </c>
      <c r="Z694" s="34" t="s">
        <v>5660</v>
      </c>
      <c r="AA694" s="35">
        <v>6.7177419354838711E-3</v>
      </c>
      <c r="AB694" s="13"/>
      <c r="AC694" s="34">
        <v>690</v>
      </c>
      <c r="AD694" s="34" t="s">
        <v>4573</v>
      </c>
      <c r="AE694" s="34" t="s">
        <v>5164</v>
      </c>
      <c r="AF694" s="35">
        <v>1.6074596774193549E-3</v>
      </c>
    </row>
    <row r="695" spans="19:32" x14ac:dyDescent="0.35">
      <c r="S695" s="34">
        <v>691</v>
      </c>
      <c r="T695" s="34" t="s">
        <v>4284</v>
      </c>
      <c r="U695" s="34" t="s">
        <v>5219</v>
      </c>
      <c r="V695" s="35">
        <v>4.9012096774193555E-4</v>
      </c>
      <c r="W695" s="21"/>
      <c r="X695" s="34">
        <v>691</v>
      </c>
      <c r="Y695" s="34" t="s">
        <v>2248</v>
      </c>
      <c r="Z695" s="34" t="s">
        <v>5305</v>
      </c>
      <c r="AA695" s="35">
        <v>6.9576612903225819E-4</v>
      </c>
      <c r="AB695" s="13"/>
      <c r="AC695" s="34">
        <v>691</v>
      </c>
      <c r="AD695" s="34" t="s">
        <v>4573</v>
      </c>
      <c r="AE695" s="34" t="s">
        <v>5162</v>
      </c>
      <c r="AF695" s="35">
        <v>1.1139112903225807E-4</v>
      </c>
    </row>
    <row r="696" spans="19:32" x14ac:dyDescent="0.35">
      <c r="S696" s="34">
        <v>692</v>
      </c>
      <c r="T696" s="34" t="s">
        <v>4284</v>
      </c>
      <c r="U696" s="34" t="s">
        <v>5217</v>
      </c>
      <c r="V696" s="35">
        <v>3.6673387096774194E-4</v>
      </c>
      <c r="W696" s="21"/>
      <c r="X696" s="34">
        <v>692</v>
      </c>
      <c r="Y696" s="34" t="s">
        <v>2248</v>
      </c>
      <c r="Z696" s="34" t="s">
        <v>3648</v>
      </c>
      <c r="AA696" s="35">
        <v>1.8952E-2</v>
      </c>
      <c r="AB696" s="13"/>
      <c r="AC696" s="34">
        <v>692</v>
      </c>
      <c r="AD696" s="34" t="s">
        <v>4573</v>
      </c>
      <c r="AE696" s="34" t="s">
        <v>5159</v>
      </c>
      <c r="AF696" s="35">
        <v>5.0040322580645162E-4</v>
      </c>
    </row>
    <row r="697" spans="19:32" x14ac:dyDescent="0.35">
      <c r="S697" s="34">
        <v>693</v>
      </c>
      <c r="T697" s="34" t="s">
        <v>4284</v>
      </c>
      <c r="U697" s="34" t="s">
        <v>5216</v>
      </c>
      <c r="V697" s="35">
        <v>2.2860887096774196E-4</v>
      </c>
      <c r="W697" s="21"/>
      <c r="X697" s="34">
        <v>693</v>
      </c>
      <c r="Y697" s="34" t="s">
        <v>2248</v>
      </c>
      <c r="Z697" s="34" t="s">
        <v>3645</v>
      </c>
      <c r="AA697" s="35">
        <v>0.1242</v>
      </c>
      <c r="AB697" s="13"/>
      <c r="AC697" s="34">
        <v>693</v>
      </c>
      <c r="AD697" s="34" t="s">
        <v>4573</v>
      </c>
      <c r="AE697" s="34" t="s">
        <v>5157</v>
      </c>
      <c r="AF697" s="35">
        <v>1.4360887096774193E-3</v>
      </c>
    </row>
    <row r="698" spans="19:32" x14ac:dyDescent="0.35">
      <c r="S698" s="34">
        <v>694</v>
      </c>
      <c r="T698" s="34" t="s">
        <v>4284</v>
      </c>
      <c r="U698" s="34" t="s">
        <v>5215</v>
      </c>
      <c r="V698" s="35">
        <v>1.477217741935484E-2</v>
      </c>
      <c r="W698" s="21"/>
      <c r="X698" s="34">
        <v>694</v>
      </c>
      <c r="Y698" s="34" t="s">
        <v>2248</v>
      </c>
      <c r="Z698" s="34" t="s">
        <v>5659</v>
      </c>
      <c r="AA698" s="35">
        <v>2.7350806451612909E-4</v>
      </c>
      <c r="AB698" s="13"/>
      <c r="AC698" s="34">
        <v>694</v>
      </c>
      <c r="AD698" s="34" t="s">
        <v>4573</v>
      </c>
      <c r="AE698" s="34" t="s">
        <v>5156</v>
      </c>
      <c r="AF698" s="35">
        <v>2.3683467741935485E-4</v>
      </c>
    </row>
    <row r="699" spans="19:32" x14ac:dyDescent="0.35">
      <c r="S699" s="34">
        <v>695</v>
      </c>
      <c r="T699" s="34" t="s">
        <v>4284</v>
      </c>
      <c r="U699" s="34" t="s">
        <v>5214</v>
      </c>
      <c r="V699" s="35">
        <v>2.8995967741935488E-4</v>
      </c>
      <c r="W699" s="21"/>
      <c r="X699" s="34">
        <v>695</v>
      </c>
      <c r="Y699" s="34" t="s">
        <v>2248</v>
      </c>
      <c r="Z699" s="34" t="s">
        <v>5304</v>
      </c>
      <c r="AA699" s="35">
        <v>5.9979838709677422E-2</v>
      </c>
      <c r="AB699" s="13"/>
      <c r="AC699" s="34">
        <v>695</v>
      </c>
      <c r="AD699" s="34" t="s">
        <v>4573</v>
      </c>
      <c r="AE699" s="34" t="s">
        <v>5155</v>
      </c>
      <c r="AF699" s="35">
        <v>0.23135080645161293</v>
      </c>
    </row>
    <row r="700" spans="19:32" x14ac:dyDescent="0.35">
      <c r="S700" s="34">
        <v>696</v>
      </c>
      <c r="T700" s="34" t="s">
        <v>4284</v>
      </c>
      <c r="U700" s="34" t="s">
        <v>5213</v>
      </c>
      <c r="V700" s="35">
        <v>2.5054435483870971E-2</v>
      </c>
      <c r="W700" s="21"/>
      <c r="X700" s="34">
        <v>696</v>
      </c>
      <c r="Y700" s="34" t="s">
        <v>2248</v>
      </c>
      <c r="Z700" s="34" t="s">
        <v>5303</v>
      </c>
      <c r="AA700" s="35">
        <v>1.5286290322580646E-4</v>
      </c>
      <c r="AB700" s="13"/>
      <c r="AC700" s="34">
        <v>696</v>
      </c>
      <c r="AD700" s="34" t="s">
        <v>4573</v>
      </c>
      <c r="AE700" s="34" t="s">
        <v>5154</v>
      </c>
      <c r="AF700" s="35">
        <v>1.5320564516129034E-2</v>
      </c>
    </row>
    <row r="701" spans="19:32" x14ac:dyDescent="0.35">
      <c r="S701" s="34">
        <v>697</v>
      </c>
      <c r="T701" s="34" t="s">
        <v>4284</v>
      </c>
      <c r="U701" s="34" t="s">
        <v>5212</v>
      </c>
      <c r="V701" s="35">
        <v>3.4239919354838713E-3</v>
      </c>
      <c r="W701" s="21"/>
      <c r="X701" s="34">
        <v>697</v>
      </c>
      <c r="Y701" s="34" t="s">
        <v>2248</v>
      </c>
      <c r="Z701" s="34" t="s">
        <v>5658</v>
      </c>
      <c r="AA701" s="35">
        <v>2.7967741935483871E-3</v>
      </c>
      <c r="AB701" s="13"/>
      <c r="AC701" s="34">
        <v>697</v>
      </c>
      <c r="AD701" s="34" t="s">
        <v>4573</v>
      </c>
      <c r="AE701" s="34" t="s">
        <v>5153</v>
      </c>
      <c r="AF701" s="35">
        <v>0.13092741935483873</v>
      </c>
    </row>
    <row r="702" spans="19:32" x14ac:dyDescent="0.35">
      <c r="S702" s="34">
        <v>698</v>
      </c>
      <c r="T702" s="34" t="s">
        <v>4284</v>
      </c>
      <c r="U702" s="34" t="s">
        <v>3606</v>
      </c>
      <c r="V702" s="35">
        <v>0.89332000000000011</v>
      </c>
      <c r="W702" s="21"/>
      <c r="X702" s="34">
        <v>698</v>
      </c>
      <c r="Y702" s="34" t="s">
        <v>2248</v>
      </c>
      <c r="Z702" s="34" t="s">
        <v>5302</v>
      </c>
      <c r="AA702" s="35">
        <v>4.3528225806451615E-4</v>
      </c>
      <c r="AB702" s="13"/>
      <c r="AC702" s="34">
        <v>698</v>
      </c>
      <c r="AD702" s="34" t="s">
        <v>4573</v>
      </c>
      <c r="AE702" s="34" t="s">
        <v>5151</v>
      </c>
      <c r="AF702" s="35">
        <v>1.0076612903225807E-2</v>
      </c>
    </row>
    <row r="703" spans="19:32" x14ac:dyDescent="0.35">
      <c r="S703" s="34">
        <v>699</v>
      </c>
      <c r="T703" s="34" t="s">
        <v>4284</v>
      </c>
      <c r="U703" s="34" t="s">
        <v>5211</v>
      </c>
      <c r="V703" s="35">
        <v>9.8024193548387097E-5</v>
      </c>
      <c r="W703" s="21"/>
      <c r="X703" s="34">
        <v>699</v>
      </c>
      <c r="Y703" s="34" t="s">
        <v>2248</v>
      </c>
      <c r="Z703" s="34" t="s">
        <v>5301</v>
      </c>
      <c r="AA703" s="35">
        <v>1.1276209677419356E-3</v>
      </c>
      <c r="AB703" s="13"/>
      <c r="AC703" s="34">
        <v>699</v>
      </c>
      <c r="AD703" s="34" t="s">
        <v>4573</v>
      </c>
      <c r="AE703" s="34" t="s">
        <v>3588</v>
      </c>
      <c r="AF703" s="35">
        <v>0.31556000000000001</v>
      </c>
    </row>
    <row r="704" spans="19:32" x14ac:dyDescent="0.35">
      <c r="S704" s="34">
        <v>700</v>
      </c>
      <c r="T704" s="34" t="s">
        <v>4284</v>
      </c>
      <c r="U704" s="34" t="s">
        <v>5210</v>
      </c>
      <c r="V704" s="35">
        <v>3.7016129032258068E-4</v>
      </c>
      <c r="W704" s="21"/>
      <c r="X704" s="34">
        <v>700</v>
      </c>
      <c r="Y704" s="34" t="s">
        <v>2248</v>
      </c>
      <c r="Z704" s="34" t="s">
        <v>5657</v>
      </c>
      <c r="AA704" s="35">
        <v>4.3870967741935487E-3</v>
      </c>
      <c r="AB704" s="13"/>
      <c r="AC704" s="34">
        <v>700</v>
      </c>
      <c r="AD704" s="34" t="s">
        <v>4573</v>
      </c>
      <c r="AE704" s="34" t="s">
        <v>5150</v>
      </c>
      <c r="AF704" s="35">
        <v>0.32697580645161295</v>
      </c>
    </row>
    <row r="705" spans="19:32" x14ac:dyDescent="0.35">
      <c r="S705" s="34">
        <v>701</v>
      </c>
      <c r="T705" s="34" t="s">
        <v>4284</v>
      </c>
      <c r="U705" s="34" t="s">
        <v>3603</v>
      </c>
      <c r="V705" s="35">
        <v>4.6643999999999998E-2</v>
      </c>
      <c r="W705" s="13"/>
      <c r="X705" s="34">
        <v>701</v>
      </c>
      <c r="Y705" s="34" t="s">
        <v>2248</v>
      </c>
      <c r="Z705" s="34" t="s">
        <v>5300</v>
      </c>
      <c r="AA705" s="35">
        <v>5.3467741935483877E-3</v>
      </c>
      <c r="AB705" s="13"/>
      <c r="AC705" s="34">
        <v>701</v>
      </c>
      <c r="AD705" s="34" t="s">
        <v>4573</v>
      </c>
      <c r="AE705" s="34" t="s">
        <v>5148</v>
      </c>
      <c r="AF705" s="35">
        <v>2.5328629032258066E-2</v>
      </c>
    </row>
    <row r="706" spans="19:32" x14ac:dyDescent="0.35">
      <c r="S706" s="34">
        <v>702</v>
      </c>
      <c r="T706" s="34" t="s">
        <v>4284</v>
      </c>
      <c r="U706" s="34" t="s">
        <v>5209</v>
      </c>
      <c r="V706" s="35">
        <v>6.4435483870967751E-3</v>
      </c>
      <c r="W706" s="13"/>
      <c r="X706" s="34">
        <v>702</v>
      </c>
      <c r="Y706" s="34" t="s">
        <v>2248</v>
      </c>
      <c r="Z706" s="34" t="s">
        <v>5299</v>
      </c>
      <c r="AA706" s="35">
        <v>1.7205645161290324E-4</v>
      </c>
      <c r="AB706" s="13"/>
      <c r="AC706" s="34">
        <v>702</v>
      </c>
      <c r="AD706" s="34" t="s">
        <v>4573</v>
      </c>
      <c r="AE706" s="34" t="s">
        <v>3586</v>
      </c>
      <c r="AF706" s="35">
        <v>3.3691532258064517E-2</v>
      </c>
    </row>
    <row r="707" spans="19:32" x14ac:dyDescent="0.35">
      <c r="S707" s="34">
        <v>703</v>
      </c>
      <c r="T707" s="34" t="s">
        <v>4284</v>
      </c>
      <c r="U707" s="34" t="s">
        <v>5208</v>
      </c>
      <c r="V707" s="35">
        <v>9.45967741935484E-4</v>
      </c>
      <c r="W707" s="13"/>
      <c r="X707" s="34">
        <v>703</v>
      </c>
      <c r="Y707" s="34" t="s">
        <v>2248</v>
      </c>
      <c r="Z707" s="34" t="s">
        <v>5298</v>
      </c>
      <c r="AA707" s="35">
        <v>4.6955645161290326E-4</v>
      </c>
      <c r="AB707" s="13"/>
      <c r="AC707" s="34">
        <v>703</v>
      </c>
      <c r="AD707" s="34" t="s">
        <v>4573</v>
      </c>
      <c r="AE707" s="34" t="s">
        <v>3586</v>
      </c>
      <c r="AF707" s="35">
        <v>0.24196000000000001</v>
      </c>
    </row>
    <row r="708" spans="19:32" x14ac:dyDescent="0.35">
      <c r="S708" s="34">
        <v>704</v>
      </c>
      <c r="T708" s="34" t="s">
        <v>4284</v>
      </c>
      <c r="U708" s="34" t="s">
        <v>5207</v>
      </c>
      <c r="V708" s="35">
        <v>2.2792338709677422E-4</v>
      </c>
      <c r="W708" s="13"/>
      <c r="X708" s="34">
        <v>704</v>
      </c>
      <c r="Y708" s="34" t="s">
        <v>2248</v>
      </c>
      <c r="Z708" s="34" t="s">
        <v>5656</v>
      </c>
      <c r="AA708" s="35">
        <v>1.2441532258064518E-2</v>
      </c>
      <c r="AB708" s="13"/>
      <c r="AC708" s="34">
        <v>704</v>
      </c>
      <c r="AD708" s="34" t="s">
        <v>4573</v>
      </c>
      <c r="AE708" s="34" t="s">
        <v>5145</v>
      </c>
      <c r="AF708" s="35">
        <v>3.1600806451612904</v>
      </c>
    </row>
    <row r="709" spans="19:32" x14ac:dyDescent="0.35">
      <c r="S709" s="34">
        <v>705</v>
      </c>
      <c r="T709" s="34" t="s">
        <v>4284</v>
      </c>
      <c r="U709" s="34" t="s">
        <v>5206</v>
      </c>
      <c r="V709" s="35">
        <v>1.5629032258064515E-4</v>
      </c>
      <c r="W709" s="13"/>
      <c r="X709" s="34">
        <v>705</v>
      </c>
      <c r="Y709" s="34" t="s">
        <v>2248</v>
      </c>
      <c r="Z709" s="34" t="s">
        <v>5297</v>
      </c>
      <c r="AA709" s="35">
        <v>5.9294354838709683E-5</v>
      </c>
      <c r="AB709" s="13"/>
      <c r="AC709" s="34">
        <v>705</v>
      </c>
      <c r="AD709" s="34" t="s">
        <v>4573</v>
      </c>
      <c r="AE709" s="34" t="s">
        <v>5144</v>
      </c>
      <c r="AF709" s="35">
        <v>3.6673387096774194E-4</v>
      </c>
    </row>
    <row r="710" spans="19:32" x14ac:dyDescent="0.35">
      <c r="S710" s="34">
        <v>706</v>
      </c>
      <c r="T710" s="34" t="s">
        <v>4284</v>
      </c>
      <c r="U710" s="34" t="s">
        <v>5204</v>
      </c>
      <c r="V710" s="35">
        <v>2.930443548387097E-3</v>
      </c>
      <c r="W710" s="21"/>
      <c r="X710" s="34">
        <v>706</v>
      </c>
      <c r="Y710" s="34" t="s">
        <v>2248</v>
      </c>
      <c r="Z710" s="34" t="s">
        <v>5296</v>
      </c>
      <c r="AA710" s="35">
        <v>4.8326612903225807E-4</v>
      </c>
      <c r="AB710" s="13"/>
      <c r="AC710" s="34">
        <v>706</v>
      </c>
      <c r="AD710" s="34" t="s">
        <v>4573</v>
      </c>
      <c r="AE710" s="34" t="s">
        <v>5143</v>
      </c>
      <c r="AF710" s="35">
        <v>0.11516129032258066</v>
      </c>
    </row>
    <row r="711" spans="19:32" x14ac:dyDescent="0.35">
      <c r="S711" s="34">
        <v>707</v>
      </c>
      <c r="T711" s="34" t="s">
        <v>4284</v>
      </c>
      <c r="U711" s="34" t="s">
        <v>3601</v>
      </c>
      <c r="V711" s="35">
        <v>8.3076000000000008</v>
      </c>
      <c r="W711" s="13"/>
      <c r="X711" s="34">
        <v>707</v>
      </c>
      <c r="Y711" s="34" t="s">
        <v>2248</v>
      </c>
      <c r="Z711" s="34" t="s">
        <v>5655</v>
      </c>
      <c r="AA711" s="35">
        <v>4.0786290322580654E-7</v>
      </c>
      <c r="AB711" s="13"/>
      <c r="AC711" s="34">
        <v>707</v>
      </c>
      <c r="AD711" s="34" t="s">
        <v>4573</v>
      </c>
      <c r="AE711" s="34" t="s">
        <v>5141</v>
      </c>
      <c r="AF711" s="35">
        <v>1.5046370967741936E-4</v>
      </c>
    </row>
    <row r="712" spans="19:32" x14ac:dyDescent="0.35">
      <c r="S712" s="34">
        <v>708</v>
      </c>
      <c r="T712" s="34" t="s">
        <v>4284</v>
      </c>
      <c r="U712" s="34" t="s">
        <v>5203</v>
      </c>
      <c r="V712" s="35">
        <v>2.3272177419354843E-5</v>
      </c>
      <c r="W712" s="13"/>
      <c r="X712" s="34">
        <v>708</v>
      </c>
      <c r="Y712" s="34" t="s">
        <v>2248</v>
      </c>
      <c r="Z712" s="34" t="s">
        <v>5295</v>
      </c>
      <c r="AA712" s="35">
        <v>2.1901209677419357E-4</v>
      </c>
      <c r="AB712" s="13"/>
      <c r="AC712" s="34">
        <v>708</v>
      </c>
      <c r="AD712" s="34" t="s">
        <v>4573</v>
      </c>
      <c r="AE712" s="34" t="s">
        <v>5140</v>
      </c>
      <c r="AF712" s="35">
        <v>4.1129032258064519E-3</v>
      </c>
    </row>
    <row r="713" spans="19:32" x14ac:dyDescent="0.35">
      <c r="S713" s="34">
        <v>709</v>
      </c>
      <c r="T713" s="34" t="s">
        <v>4284</v>
      </c>
      <c r="U713" s="34" t="s">
        <v>5202</v>
      </c>
      <c r="V713" s="35">
        <v>1.9879032258064518E-4</v>
      </c>
      <c r="W713" s="21"/>
      <c r="X713" s="34">
        <v>709</v>
      </c>
      <c r="Y713" s="34" t="s">
        <v>2248</v>
      </c>
      <c r="Z713" s="34" t="s">
        <v>5294</v>
      </c>
      <c r="AA713" s="35">
        <v>4.1814516129032265E-3</v>
      </c>
      <c r="AB713" s="13"/>
      <c r="AC713" s="34">
        <v>709</v>
      </c>
      <c r="AD713" s="34" t="s">
        <v>4573</v>
      </c>
      <c r="AE713" s="34" t="s">
        <v>5139</v>
      </c>
      <c r="AF713" s="35">
        <v>5.2439516129032263E-2</v>
      </c>
    </row>
    <row r="714" spans="19:32" x14ac:dyDescent="0.35">
      <c r="S714" s="34">
        <v>710</v>
      </c>
      <c r="T714" s="34" t="s">
        <v>4284</v>
      </c>
      <c r="U714" s="34" t="s">
        <v>5201</v>
      </c>
      <c r="V714" s="35">
        <v>8.0887096774193544E-5</v>
      </c>
      <c r="W714" s="20"/>
      <c r="X714" s="34">
        <v>710</v>
      </c>
      <c r="Y714" s="34" t="s">
        <v>2248</v>
      </c>
      <c r="Z714" s="34" t="s">
        <v>5654</v>
      </c>
      <c r="AA714" s="35">
        <v>4.798387096774194E-3</v>
      </c>
      <c r="AB714" s="13"/>
      <c r="AC714" s="34">
        <v>710</v>
      </c>
      <c r="AD714" s="34" t="s">
        <v>4573</v>
      </c>
      <c r="AE714" s="34" t="s">
        <v>5137</v>
      </c>
      <c r="AF714" s="35">
        <v>1.9399193548387099E-3</v>
      </c>
    </row>
    <row r="715" spans="19:32" x14ac:dyDescent="0.35">
      <c r="S715" s="34">
        <v>711</v>
      </c>
      <c r="T715" s="34" t="s">
        <v>4284</v>
      </c>
      <c r="U715" s="34" t="s">
        <v>5198</v>
      </c>
      <c r="V715" s="35">
        <v>1.0659274193548387E-4</v>
      </c>
      <c r="W715" s="20"/>
      <c r="X715" s="34">
        <v>711</v>
      </c>
      <c r="Y715" s="34" t="s">
        <v>2248</v>
      </c>
      <c r="Z715" s="34" t="s">
        <v>5293</v>
      </c>
      <c r="AA715" s="35">
        <v>1.0830645161290323E-2</v>
      </c>
      <c r="AB715" s="13"/>
      <c r="AC715" s="34">
        <v>711</v>
      </c>
      <c r="AD715" s="34" t="s">
        <v>4573</v>
      </c>
      <c r="AE715" s="34" t="s">
        <v>5132</v>
      </c>
      <c r="AF715" s="35">
        <v>1.264717741935484E-2</v>
      </c>
    </row>
    <row r="716" spans="19:32" x14ac:dyDescent="0.35">
      <c r="S716" s="34">
        <v>712</v>
      </c>
      <c r="T716" s="34" t="s">
        <v>4284</v>
      </c>
      <c r="U716" s="34" t="s">
        <v>3600</v>
      </c>
      <c r="V716" s="35">
        <v>11.132</v>
      </c>
      <c r="W716" s="13"/>
      <c r="X716" s="34">
        <v>712</v>
      </c>
      <c r="Y716" s="34" t="s">
        <v>2248</v>
      </c>
      <c r="Z716" s="34" t="s">
        <v>5292</v>
      </c>
      <c r="AA716" s="35">
        <v>2.7556451612903228E-3</v>
      </c>
      <c r="AB716" s="13"/>
      <c r="AC716" s="34">
        <v>712</v>
      </c>
      <c r="AD716" s="34" t="s">
        <v>4573</v>
      </c>
      <c r="AE716" s="34" t="s">
        <v>5127</v>
      </c>
      <c r="AF716" s="35">
        <v>5.415322580645162E-2</v>
      </c>
    </row>
    <row r="717" spans="19:32" x14ac:dyDescent="0.35">
      <c r="S717" s="34">
        <v>713</v>
      </c>
      <c r="T717" s="34" t="s">
        <v>4284</v>
      </c>
      <c r="U717" s="34" t="s">
        <v>3597</v>
      </c>
      <c r="V717" s="35">
        <v>50.508000000000003</v>
      </c>
      <c r="W717" s="13"/>
      <c r="X717" s="34">
        <v>713</v>
      </c>
      <c r="Y717" s="34" t="s">
        <v>2248</v>
      </c>
      <c r="Z717" s="34" t="s">
        <v>5653</v>
      </c>
      <c r="AA717" s="35">
        <v>2.6082661290322582</v>
      </c>
      <c r="AB717" s="13"/>
      <c r="AC717" s="34">
        <v>713</v>
      </c>
      <c r="AD717" s="34" t="s">
        <v>4573</v>
      </c>
      <c r="AE717" s="34" t="s">
        <v>5124</v>
      </c>
      <c r="AF717" s="35">
        <v>2.8858870967741939E-3</v>
      </c>
    </row>
    <row r="718" spans="19:32" x14ac:dyDescent="0.35">
      <c r="S718" s="34">
        <v>714</v>
      </c>
      <c r="T718" s="34" t="s">
        <v>4284</v>
      </c>
      <c r="U718" s="34" t="s">
        <v>5197</v>
      </c>
      <c r="V718" s="35">
        <v>1.3538306451612905E-4</v>
      </c>
      <c r="W718" s="13"/>
      <c r="X718" s="34">
        <v>714</v>
      </c>
      <c r="Y718" s="34" t="s">
        <v>2248</v>
      </c>
      <c r="Z718" s="34" t="s">
        <v>3643</v>
      </c>
      <c r="AA718" s="35">
        <v>0</v>
      </c>
      <c r="AB718" s="13"/>
      <c r="AC718" s="34">
        <v>714</v>
      </c>
      <c r="AD718" s="34" t="s">
        <v>4573</v>
      </c>
      <c r="AE718" s="34" t="s">
        <v>5121</v>
      </c>
      <c r="AF718" s="35">
        <v>2.7590725806451619E-4</v>
      </c>
    </row>
    <row r="719" spans="19:32" x14ac:dyDescent="0.35">
      <c r="S719" s="34">
        <v>715</v>
      </c>
      <c r="T719" s="34" t="s">
        <v>4284</v>
      </c>
      <c r="U719" s="34" t="s">
        <v>5195</v>
      </c>
      <c r="V719" s="35">
        <v>1.3401209677419356E-4</v>
      </c>
      <c r="W719" s="13"/>
      <c r="X719" s="34">
        <v>715</v>
      </c>
      <c r="Y719" s="34" t="s">
        <v>2248</v>
      </c>
      <c r="Z719" s="34" t="s">
        <v>3643</v>
      </c>
      <c r="AA719" s="35">
        <v>6.8891129032258065E-5</v>
      </c>
      <c r="AB719" s="13"/>
      <c r="AC719" s="34">
        <v>715</v>
      </c>
      <c r="AD719" s="34" t="s">
        <v>4573</v>
      </c>
      <c r="AE719" s="34" t="s">
        <v>5117</v>
      </c>
      <c r="AF719" s="35">
        <v>4.1471774193548389E-2</v>
      </c>
    </row>
    <row r="720" spans="19:32" x14ac:dyDescent="0.35">
      <c r="S720" s="34">
        <v>716</v>
      </c>
      <c r="T720" s="34" t="s">
        <v>4284</v>
      </c>
      <c r="U720" s="34" t="s">
        <v>5193</v>
      </c>
      <c r="V720" s="35">
        <v>1.264717741935484E-4</v>
      </c>
      <c r="W720" s="13"/>
      <c r="X720" s="34">
        <v>716</v>
      </c>
      <c r="Y720" s="34" t="s">
        <v>2248</v>
      </c>
      <c r="Z720" s="34" t="s">
        <v>5291</v>
      </c>
      <c r="AA720" s="35">
        <v>4.4213709677419358E-4</v>
      </c>
      <c r="AB720" s="13"/>
      <c r="AC720" s="34">
        <v>716</v>
      </c>
      <c r="AD720" s="34" t="s">
        <v>4573</v>
      </c>
      <c r="AE720" s="34" t="s">
        <v>5112</v>
      </c>
      <c r="AF720" s="35">
        <v>1.0693548387096775E-2</v>
      </c>
    </row>
    <row r="721" spans="19:32" x14ac:dyDescent="0.35">
      <c r="S721" s="34">
        <v>717</v>
      </c>
      <c r="T721" s="34" t="s">
        <v>4284</v>
      </c>
      <c r="U721" s="34" t="s">
        <v>3596</v>
      </c>
      <c r="V721" s="35">
        <v>0</v>
      </c>
      <c r="W721" s="13"/>
      <c r="X721" s="34">
        <v>717</v>
      </c>
      <c r="Y721" s="34" t="s">
        <v>2248</v>
      </c>
      <c r="Z721" s="34" t="s">
        <v>5652</v>
      </c>
      <c r="AA721" s="35">
        <v>1.2030241935483871E-6</v>
      </c>
      <c r="AB721" s="13"/>
      <c r="AC721" s="34">
        <v>717</v>
      </c>
      <c r="AD721" s="34" t="s">
        <v>4573</v>
      </c>
      <c r="AE721" s="34" t="s">
        <v>5108</v>
      </c>
      <c r="AF721" s="35">
        <v>4.9012096774193555E-2</v>
      </c>
    </row>
    <row r="722" spans="19:32" x14ac:dyDescent="0.35">
      <c r="S722" s="34">
        <v>718</v>
      </c>
      <c r="T722" s="34" t="s">
        <v>4284</v>
      </c>
      <c r="U722" s="34" t="s">
        <v>3594</v>
      </c>
      <c r="V722" s="35">
        <v>0.10947999999999999</v>
      </c>
      <c r="W722" s="13"/>
      <c r="X722" s="34">
        <v>718</v>
      </c>
      <c r="Y722" s="34" t="s">
        <v>2248</v>
      </c>
      <c r="Z722" s="34" t="s">
        <v>5290</v>
      </c>
      <c r="AA722" s="35">
        <v>1.2750000000000001E-3</v>
      </c>
      <c r="AB722" s="13"/>
      <c r="AC722" s="34">
        <v>718</v>
      </c>
      <c r="AD722" s="34" t="s">
        <v>4573</v>
      </c>
      <c r="AE722" s="34" t="s">
        <v>5107</v>
      </c>
      <c r="AF722" s="35">
        <v>1.1653225806451613E-4</v>
      </c>
    </row>
    <row r="723" spans="19:32" x14ac:dyDescent="0.35">
      <c r="S723" s="34">
        <v>719</v>
      </c>
      <c r="T723" s="34" t="s">
        <v>4284</v>
      </c>
      <c r="U723" s="34" t="s">
        <v>5191</v>
      </c>
      <c r="V723" s="35">
        <v>7.5060483870967743E-4</v>
      </c>
      <c r="W723" s="13"/>
      <c r="X723" s="34">
        <v>719</v>
      </c>
      <c r="Y723" s="34" t="s">
        <v>2248</v>
      </c>
      <c r="Z723" s="34" t="s">
        <v>5287</v>
      </c>
      <c r="AA723" s="35">
        <v>3.9072580645161295E-2</v>
      </c>
      <c r="AB723" s="13"/>
      <c r="AC723" s="34">
        <v>719</v>
      </c>
      <c r="AD723" s="34" t="s">
        <v>4573</v>
      </c>
      <c r="AE723" s="34" t="s">
        <v>5106</v>
      </c>
      <c r="AF723" s="35">
        <v>4.1814516129032265E-3</v>
      </c>
    </row>
    <row r="724" spans="19:32" x14ac:dyDescent="0.35">
      <c r="S724" s="41">
        <v>720</v>
      </c>
      <c r="T724" s="41" t="s">
        <v>4284</v>
      </c>
      <c r="U724" s="41" t="s">
        <v>5187</v>
      </c>
      <c r="V724" s="42">
        <v>2.7766500000000001</v>
      </c>
      <c r="W724" s="13"/>
      <c r="X724" s="34">
        <v>720</v>
      </c>
      <c r="Y724" s="34" t="s">
        <v>2248</v>
      </c>
      <c r="Z724" s="34" t="s">
        <v>3798</v>
      </c>
      <c r="AA724" s="35">
        <v>6.8548387096774199E-5</v>
      </c>
      <c r="AB724" s="13"/>
      <c r="AC724" s="34">
        <v>720</v>
      </c>
      <c r="AD724" s="34" t="s">
        <v>4573</v>
      </c>
      <c r="AE724" s="34" t="s">
        <v>5105</v>
      </c>
      <c r="AF724" s="35">
        <v>5.655241935483871E-3</v>
      </c>
    </row>
    <row r="725" spans="19:32" x14ac:dyDescent="0.35">
      <c r="S725" s="34">
        <v>721</v>
      </c>
      <c r="T725" s="34" t="s">
        <v>4284</v>
      </c>
      <c r="U725" s="34" t="s">
        <v>5187</v>
      </c>
      <c r="V725" s="35">
        <v>1.038508064516129E-4</v>
      </c>
      <c r="W725" s="13"/>
      <c r="X725" s="34">
        <v>721</v>
      </c>
      <c r="Y725" s="34" t="s">
        <v>2248</v>
      </c>
      <c r="Z725" s="34" t="s">
        <v>5283</v>
      </c>
      <c r="AA725" s="35">
        <v>9.2197580645161301E-3</v>
      </c>
      <c r="AB725" s="13"/>
      <c r="AC725" s="34">
        <v>721</v>
      </c>
      <c r="AD725" s="34" t="s">
        <v>4573</v>
      </c>
      <c r="AE725" s="34" t="s">
        <v>5104</v>
      </c>
      <c r="AF725" s="35">
        <v>4.524193548387097</v>
      </c>
    </row>
    <row r="726" spans="19:32" x14ac:dyDescent="0.35">
      <c r="S726" s="34">
        <v>722</v>
      </c>
      <c r="T726" s="34" t="s">
        <v>4284</v>
      </c>
      <c r="U726" s="34" t="s">
        <v>5185</v>
      </c>
      <c r="V726" s="35">
        <v>7.3004032258064522E-6</v>
      </c>
      <c r="W726" s="13"/>
      <c r="X726" s="34">
        <v>722</v>
      </c>
      <c r="Y726" s="34" t="s">
        <v>2248</v>
      </c>
      <c r="Z726" s="34" t="s">
        <v>5282</v>
      </c>
      <c r="AA726" s="35">
        <v>1.333266129032258E-3</v>
      </c>
      <c r="AB726" s="13"/>
      <c r="AC726" s="34">
        <v>722</v>
      </c>
      <c r="AD726" s="34" t="s">
        <v>4573</v>
      </c>
      <c r="AE726" s="34" t="s">
        <v>5103</v>
      </c>
      <c r="AF726" s="35">
        <v>5.0383064516129034E-2</v>
      </c>
    </row>
    <row r="727" spans="19:32" x14ac:dyDescent="0.35">
      <c r="S727" s="34">
        <v>723</v>
      </c>
      <c r="T727" s="34" t="s">
        <v>4284</v>
      </c>
      <c r="U727" s="34" t="s">
        <v>5182</v>
      </c>
      <c r="V727" s="35">
        <v>5.7580645161290332E-4</v>
      </c>
      <c r="W727" s="13"/>
      <c r="X727" s="34">
        <v>723</v>
      </c>
      <c r="Y727" s="34" t="s">
        <v>2248</v>
      </c>
      <c r="Z727" s="34" t="s">
        <v>5281</v>
      </c>
      <c r="AA727" s="35">
        <v>2.1387096774193551E-4</v>
      </c>
      <c r="AB727" s="13"/>
      <c r="AC727" s="34">
        <v>723</v>
      </c>
      <c r="AD727" s="34" t="s">
        <v>4573</v>
      </c>
      <c r="AE727" s="34" t="s">
        <v>5102</v>
      </c>
      <c r="AF727" s="35">
        <v>6.2721774193548394E-3</v>
      </c>
    </row>
    <row r="728" spans="19:32" x14ac:dyDescent="0.35">
      <c r="S728" s="34">
        <v>724</v>
      </c>
      <c r="T728" s="34" t="s">
        <v>4284</v>
      </c>
      <c r="U728" s="34" t="s">
        <v>5180</v>
      </c>
      <c r="V728" s="35">
        <v>0.20324596774193551</v>
      </c>
      <c r="W728" s="13"/>
      <c r="X728" s="34">
        <v>724</v>
      </c>
      <c r="Y728" s="34" t="s">
        <v>2248</v>
      </c>
      <c r="Z728" s="34" t="s">
        <v>3796</v>
      </c>
      <c r="AA728" s="35">
        <v>1.076209677419355E-4</v>
      </c>
      <c r="AB728" s="13"/>
      <c r="AC728" s="34">
        <v>724</v>
      </c>
      <c r="AD728" s="34" t="s">
        <v>4573</v>
      </c>
      <c r="AE728" s="34" t="s">
        <v>3582</v>
      </c>
      <c r="AF728" s="35">
        <v>0.88770161290322591</v>
      </c>
    </row>
    <row r="729" spans="19:32" x14ac:dyDescent="0.35">
      <c r="S729" s="34">
        <v>725</v>
      </c>
      <c r="T729" s="34" t="s">
        <v>4284</v>
      </c>
      <c r="U729" s="34" t="s">
        <v>3591</v>
      </c>
      <c r="V729" s="35">
        <v>14.904</v>
      </c>
      <c r="W729" s="13"/>
      <c r="X729" s="34">
        <v>725</v>
      </c>
      <c r="Y729" s="34" t="s">
        <v>2248</v>
      </c>
      <c r="Z729" s="34" t="s">
        <v>3640</v>
      </c>
      <c r="AA729" s="35">
        <v>0</v>
      </c>
      <c r="AB729" s="13"/>
      <c r="AC729" s="34">
        <v>725</v>
      </c>
      <c r="AD729" s="34" t="s">
        <v>4573</v>
      </c>
      <c r="AE729" s="34" t="s">
        <v>3582</v>
      </c>
      <c r="AF729" s="35">
        <v>0</v>
      </c>
    </row>
    <row r="730" spans="19:32" x14ac:dyDescent="0.35">
      <c r="S730" s="34">
        <v>726</v>
      </c>
      <c r="T730" s="34" t="s">
        <v>4284</v>
      </c>
      <c r="U730" s="34" t="s">
        <v>5177</v>
      </c>
      <c r="V730" s="35">
        <v>6.6491935483870967E-4</v>
      </c>
      <c r="W730" s="18"/>
      <c r="X730" s="34">
        <v>726</v>
      </c>
      <c r="Y730" s="34" t="s">
        <v>2248</v>
      </c>
      <c r="Z730" s="34" t="s">
        <v>3640</v>
      </c>
      <c r="AA730" s="35">
        <v>5.5866935483870972E-3</v>
      </c>
      <c r="AB730" s="13"/>
      <c r="AC730" s="34">
        <v>726</v>
      </c>
      <c r="AD730" s="34" t="s">
        <v>4573</v>
      </c>
      <c r="AE730" s="34" t="s">
        <v>5101</v>
      </c>
      <c r="AF730" s="35">
        <v>1.6897177419354838E-3</v>
      </c>
    </row>
    <row r="731" spans="19:32" x14ac:dyDescent="0.35">
      <c r="S731" s="34">
        <v>727</v>
      </c>
      <c r="T731" s="34" t="s">
        <v>4284</v>
      </c>
      <c r="U731" s="34" t="s">
        <v>5175</v>
      </c>
      <c r="V731" s="35">
        <v>2.9681451612903228E-5</v>
      </c>
      <c r="W731" s="13"/>
      <c r="X731" s="34">
        <v>727</v>
      </c>
      <c r="Y731" s="34" t="s">
        <v>2248</v>
      </c>
      <c r="Z731" s="34" t="s">
        <v>5651</v>
      </c>
      <c r="AA731" s="35">
        <v>1.5731854838709678E-5</v>
      </c>
      <c r="AB731" s="13"/>
      <c r="AC731" s="34">
        <v>727</v>
      </c>
      <c r="AD731" s="34" t="s">
        <v>4573</v>
      </c>
      <c r="AE731" s="34" t="s">
        <v>5100</v>
      </c>
      <c r="AF731" s="35">
        <v>3.153225806451613</v>
      </c>
    </row>
    <row r="732" spans="19:32" x14ac:dyDescent="0.35">
      <c r="S732" s="34">
        <v>728</v>
      </c>
      <c r="T732" s="34" t="s">
        <v>4284</v>
      </c>
      <c r="U732" s="34" t="s">
        <v>5172</v>
      </c>
      <c r="V732" s="35">
        <v>2.7247983870967745E-4</v>
      </c>
      <c r="W732" s="13"/>
      <c r="X732" s="34">
        <v>728</v>
      </c>
      <c r="Y732" s="34" t="s">
        <v>2248</v>
      </c>
      <c r="Z732" s="34" t="s">
        <v>5280</v>
      </c>
      <c r="AA732" s="35">
        <v>2.9441532258064519E-5</v>
      </c>
      <c r="AB732" s="13"/>
      <c r="AC732" s="34">
        <v>728</v>
      </c>
      <c r="AD732" s="34" t="s">
        <v>4573</v>
      </c>
      <c r="AE732" s="34" t="s">
        <v>5099</v>
      </c>
      <c r="AF732" s="35">
        <v>4.181451612903226E-4</v>
      </c>
    </row>
    <row r="733" spans="19:32" x14ac:dyDescent="0.35">
      <c r="S733" s="34">
        <v>729</v>
      </c>
      <c r="T733" s="34" t="s">
        <v>4284</v>
      </c>
      <c r="U733" s="34" t="s">
        <v>5169</v>
      </c>
      <c r="V733" s="35">
        <v>3.3794354838709678E-6</v>
      </c>
      <c r="W733" s="13"/>
      <c r="X733" s="34">
        <v>729</v>
      </c>
      <c r="Y733" s="34" t="s">
        <v>2248</v>
      </c>
      <c r="Z733" s="34" t="s">
        <v>5279</v>
      </c>
      <c r="AA733" s="35">
        <v>8.2258064516129038E-3</v>
      </c>
      <c r="AB733" s="13"/>
      <c r="AC733" s="34">
        <v>729</v>
      </c>
      <c r="AD733" s="34" t="s">
        <v>4573</v>
      </c>
      <c r="AE733" s="34" t="s">
        <v>5098</v>
      </c>
      <c r="AF733" s="35">
        <v>3.3520161290322585E-2</v>
      </c>
    </row>
    <row r="734" spans="19:32" x14ac:dyDescent="0.35">
      <c r="S734" s="41">
        <v>730</v>
      </c>
      <c r="T734" s="41" t="s">
        <v>4284</v>
      </c>
      <c r="U734" s="43" t="s">
        <v>5167</v>
      </c>
      <c r="V734" s="42">
        <v>4.4297999999999993</v>
      </c>
      <c r="W734" s="13"/>
      <c r="X734" s="34">
        <v>730</v>
      </c>
      <c r="Y734" s="34" t="s">
        <v>2248</v>
      </c>
      <c r="Z734" s="34" t="s">
        <v>5650</v>
      </c>
      <c r="AA734" s="35">
        <v>3.1806451612903228E-2</v>
      </c>
      <c r="AB734" s="13"/>
      <c r="AC734" s="34">
        <v>730</v>
      </c>
      <c r="AD734" s="34" t="s">
        <v>4573</v>
      </c>
      <c r="AE734" s="34" t="s">
        <v>3579</v>
      </c>
      <c r="AF734" s="35">
        <v>0</v>
      </c>
    </row>
    <row r="735" spans="19:32" x14ac:dyDescent="0.35">
      <c r="S735" s="34">
        <v>731</v>
      </c>
      <c r="T735" s="34" t="s">
        <v>4284</v>
      </c>
      <c r="U735" s="34" t="s">
        <v>5167</v>
      </c>
      <c r="V735" s="35">
        <v>6.6834677419354848E-7</v>
      </c>
      <c r="W735" s="13"/>
      <c r="X735" s="34">
        <v>731</v>
      </c>
      <c r="Y735" s="34" t="s">
        <v>2248</v>
      </c>
      <c r="Z735" s="34" t="s">
        <v>5278</v>
      </c>
      <c r="AA735" s="35">
        <v>5.106854838709678E-4</v>
      </c>
      <c r="AB735" s="13"/>
      <c r="AC735" s="34">
        <v>731</v>
      </c>
      <c r="AD735" s="34" t="s">
        <v>4573</v>
      </c>
      <c r="AE735" s="34" t="s">
        <v>5097</v>
      </c>
      <c r="AF735" s="35">
        <v>4.558467741935484E-2</v>
      </c>
    </row>
    <row r="736" spans="19:32" x14ac:dyDescent="0.35">
      <c r="S736" s="34">
        <v>732</v>
      </c>
      <c r="T736" s="34" t="s">
        <v>4284</v>
      </c>
      <c r="U736" s="34" t="s">
        <v>5166</v>
      </c>
      <c r="V736" s="35">
        <v>9.7338709677419368E-7</v>
      </c>
      <c r="W736" s="13"/>
      <c r="X736" s="34">
        <v>732</v>
      </c>
      <c r="Y736" s="34" t="s">
        <v>2248</v>
      </c>
      <c r="Z736" s="34" t="s">
        <v>3638</v>
      </c>
      <c r="AA736" s="35">
        <v>1.1224000000000001</v>
      </c>
      <c r="AB736" s="13"/>
      <c r="AC736" s="34">
        <v>732</v>
      </c>
      <c r="AD736" s="34" t="s">
        <v>4573</v>
      </c>
      <c r="AE736" s="34" t="s">
        <v>5096</v>
      </c>
      <c r="AF736" s="35">
        <v>1.8679435483870969E-2</v>
      </c>
    </row>
    <row r="737" spans="19:32" x14ac:dyDescent="0.35">
      <c r="S737" s="34">
        <v>733</v>
      </c>
      <c r="T737" s="34" t="s">
        <v>4284</v>
      </c>
      <c r="U737" s="34" t="s">
        <v>5164</v>
      </c>
      <c r="V737" s="35">
        <v>3.941532258064516E-5</v>
      </c>
      <c r="W737" s="13"/>
      <c r="X737" s="34">
        <v>733</v>
      </c>
      <c r="Y737" s="34" t="s">
        <v>2248</v>
      </c>
      <c r="Z737" s="34" t="s">
        <v>5277</v>
      </c>
      <c r="AA737" s="35">
        <v>5.8266129032258064E-5</v>
      </c>
      <c r="AB737" s="13"/>
      <c r="AC737" s="34">
        <v>733</v>
      </c>
      <c r="AD737" s="34" t="s">
        <v>4573</v>
      </c>
      <c r="AE737" s="34" t="s">
        <v>5095</v>
      </c>
      <c r="AF737" s="35">
        <v>4.6612903225806456E-3</v>
      </c>
    </row>
    <row r="738" spans="19:32" x14ac:dyDescent="0.35">
      <c r="S738" s="34">
        <v>734</v>
      </c>
      <c r="T738" s="34" t="s">
        <v>4284</v>
      </c>
      <c r="U738" s="34" t="s">
        <v>5162</v>
      </c>
      <c r="V738" s="35">
        <v>1.5560483870967741E-7</v>
      </c>
      <c r="W738" s="13"/>
      <c r="X738" s="34">
        <v>734</v>
      </c>
      <c r="Y738" s="34" t="s">
        <v>2248</v>
      </c>
      <c r="Z738" s="34" t="s">
        <v>3792</v>
      </c>
      <c r="AA738" s="35">
        <v>5.0040322580645162E-4</v>
      </c>
      <c r="AB738" s="13"/>
      <c r="AC738" s="34">
        <v>734</v>
      </c>
      <c r="AD738" s="34" t="s">
        <v>4573</v>
      </c>
      <c r="AE738" s="34" t="s">
        <v>5094</v>
      </c>
      <c r="AF738" s="35">
        <v>5.5181451612903226E-3</v>
      </c>
    </row>
    <row r="739" spans="19:32" x14ac:dyDescent="0.35">
      <c r="S739" s="34">
        <v>735</v>
      </c>
      <c r="T739" s="34" t="s">
        <v>4284</v>
      </c>
      <c r="U739" s="34" t="s">
        <v>5159</v>
      </c>
      <c r="V739" s="35">
        <v>1.4429435483870968E-5</v>
      </c>
      <c r="W739" s="13"/>
      <c r="X739" s="34">
        <v>735</v>
      </c>
      <c r="Y739" s="34" t="s">
        <v>2248</v>
      </c>
      <c r="Z739" s="34" t="s">
        <v>5276</v>
      </c>
      <c r="AA739" s="35">
        <v>1.1310483870967743E-3</v>
      </c>
      <c r="AB739" s="13"/>
      <c r="AC739" s="34">
        <v>735</v>
      </c>
      <c r="AD739" s="34" t="s">
        <v>4573</v>
      </c>
      <c r="AE739" s="34" t="s">
        <v>5092</v>
      </c>
      <c r="AF739" s="35">
        <v>0.62036290322580645</v>
      </c>
    </row>
    <row r="740" spans="19:32" x14ac:dyDescent="0.35">
      <c r="S740" s="34">
        <v>736</v>
      </c>
      <c r="T740" s="34" t="s">
        <v>4284</v>
      </c>
      <c r="U740" s="34" t="s">
        <v>5157</v>
      </c>
      <c r="V740" s="35">
        <v>6.0322580645161295E-5</v>
      </c>
      <c r="W740" s="13"/>
      <c r="X740" s="34">
        <v>736</v>
      </c>
      <c r="Y740" s="34" t="s">
        <v>2248</v>
      </c>
      <c r="Z740" s="34" t="s">
        <v>5275</v>
      </c>
      <c r="AA740" s="35">
        <v>4.1814516129032257E-5</v>
      </c>
      <c r="AB740" s="13"/>
      <c r="AC740" s="34">
        <v>736</v>
      </c>
      <c r="AD740" s="34" t="s">
        <v>4573</v>
      </c>
      <c r="AE740" s="34" t="s">
        <v>5091</v>
      </c>
      <c r="AF740" s="35">
        <v>5.9294354838709679E-2</v>
      </c>
    </row>
    <row r="741" spans="19:32" x14ac:dyDescent="0.35">
      <c r="S741" s="34">
        <v>737</v>
      </c>
      <c r="T741" s="34" t="s">
        <v>4284</v>
      </c>
      <c r="U741" s="34" t="s">
        <v>5156</v>
      </c>
      <c r="V741" s="35">
        <v>3.3108870967741942E-6</v>
      </c>
      <c r="W741" s="13"/>
      <c r="X741" s="34">
        <v>737</v>
      </c>
      <c r="Y741" s="34" t="s">
        <v>2248</v>
      </c>
      <c r="Z741" s="34" t="s">
        <v>5649</v>
      </c>
      <c r="AA741" s="35">
        <v>2.8104838709677423E-3</v>
      </c>
      <c r="AB741" s="13"/>
      <c r="AC741" s="34">
        <v>737</v>
      </c>
      <c r="AD741" s="34" t="s">
        <v>4573</v>
      </c>
      <c r="AE741" s="34" t="s">
        <v>5090</v>
      </c>
      <c r="AF741" s="35">
        <v>0.28310483870967745</v>
      </c>
    </row>
    <row r="742" spans="19:32" x14ac:dyDescent="0.35">
      <c r="S742" s="34">
        <v>738</v>
      </c>
      <c r="T742" s="34" t="s">
        <v>4284</v>
      </c>
      <c r="U742" s="34" t="s">
        <v>5155</v>
      </c>
      <c r="V742" s="35">
        <v>3.8044354838709681E-3</v>
      </c>
      <c r="W742" s="13"/>
      <c r="X742" s="34">
        <v>738</v>
      </c>
      <c r="Y742" s="34" t="s">
        <v>2248</v>
      </c>
      <c r="Z742" s="34" t="s">
        <v>5274</v>
      </c>
      <c r="AA742" s="35">
        <v>7.1290322580645169E-5</v>
      </c>
      <c r="AB742" s="13"/>
      <c r="AC742" s="34">
        <v>738</v>
      </c>
      <c r="AD742" s="34" t="s">
        <v>4573</v>
      </c>
      <c r="AE742" s="34" t="s">
        <v>3577</v>
      </c>
      <c r="AF742" s="35">
        <v>0</v>
      </c>
    </row>
    <row r="743" spans="19:32" x14ac:dyDescent="0.35">
      <c r="S743" s="34">
        <v>739</v>
      </c>
      <c r="T743" s="34" t="s">
        <v>4284</v>
      </c>
      <c r="U743" s="34" t="s">
        <v>5154</v>
      </c>
      <c r="V743" s="35">
        <v>5.2782258064516135E-4</v>
      </c>
      <c r="W743" s="13"/>
      <c r="X743" s="34">
        <v>739</v>
      </c>
      <c r="Y743" s="34" t="s">
        <v>2248</v>
      </c>
      <c r="Z743" s="34" t="s">
        <v>5273</v>
      </c>
      <c r="AA743" s="35">
        <v>1.3881048387096775E-3</v>
      </c>
      <c r="AB743" s="13"/>
      <c r="AC743" s="34">
        <v>739</v>
      </c>
      <c r="AD743" s="34" t="s">
        <v>4573</v>
      </c>
      <c r="AE743" s="34" t="s">
        <v>5089</v>
      </c>
      <c r="AF743" s="35">
        <v>1.0933467741935485</v>
      </c>
    </row>
    <row r="744" spans="19:32" x14ac:dyDescent="0.35">
      <c r="S744" s="34">
        <v>740</v>
      </c>
      <c r="T744" s="34" t="s">
        <v>4284</v>
      </c>
      <c r="U744" s="34" t="s">
        <v>5153</v>
      </c>
      <c r="V744" s="35">
        <v>9.6995967741935491E-3</v>
      </c>
      <c r="W744" s="13"/>
      <c r="X744" s="34">
        <v>740</v>
      </c>
      <c r="Y744" s="34" t="s">
        <v>2248</v>
      </c>
      <c r="Z744" s="34" t="s">
        <v>5648</v>
      </c>
      <c r="AA744" s="35">
        <v>5.6895161290322594E-4</v>
      </c>
      <c r="AB744" s="13"/>
      <c r="AC744" s="34">
        <v>740</v>
      </c>
      <c r="AD744" s="34" t="s">
        <v>4573</v>
      </c>
      <c r="AE744" s="34" t="s">
        <v>5088</v>
      </c>
      <c r="AF744" s="35">
        <v>1.1481854838709677E-3</v>
      </c>
    </row>
    <row r="745" spans="19:32" x14ac:dyDescent="0.35">
      <c r="S745" s="34">
        <v>741</v>
      </c>
      <c r="T745" s="34" t="s">
        <v>4284</v>
      </c>
      <c r="U745" s="34" t="s">
        <v>5151</v>
      </c>
      <c r="V745" s="35">
        <v>1.1995967741935485E-3</v>
      </c>
      <c r="W745" s="13"/>
      <c r="X745" s="34">
        <v>741</v>
      </c>
      <c r="Y745" s="34" t="s">
        <v>2248</v>
      </c>
      <c r="Z745" s="34" t="s">
        <v>5272</v>
      </c>
      <c r="AA745" s="35">
        <v>2.2963709677419357E-4</v>
      </c>
      <c r="AB745" s="13"/>
      <c r="AC745" s="34">
        <v>741</v>
      </c>
      <c r="AD745" s="34" t="s">
        <v>4573</v>
      </c>
      <c r="AE745" s="34" t="s">
        <v>5087</v>
      </c>
      <c r="AF745" s="35">
        <v>0.14532258064516129</v>
      </c>
    </row>
    <row r="746" spans="19:32" x14ac:dyDescent="0.35">
      <c r="S746" s="34">
        <v>742</v>
      </c>
      <c r="T746" s="34" t="s">
        <v>4284</v>
      </c>
      <c r="U746" s="34" t="s">
        <v>3588</v>
      </c>
      <c r="V746" s="35">
        <v>0.67712000000000006</v>
      </c>
      <c r="W746" s="13"/>
      <c r="X746" s="34">
        <v>742</v>
      </c>
      <c r="Y746" s="34" t="s">
        <v>2248</v>
      </c>
      <c r="Z746" s="34" t="s">
        <v>3636</v>
      </c>
      <c r="AA746" s="35">
        <v>1.4076000000000002E-3</v>
      </c>
      <c r="AB746" s="13"/>
      <c r="AC746" s="34">
        <v>742</v>
      </c>
      <c r="AD746" s="34" t="s">
        <v>4573</v>
      </c>
      <c r="AE746" s="34" t="s">
        <v>3574</v>
      </c>
      <c r="AF746" s="35">
        <v>0</v>
      </c>
    </row>
    <row r="747" spans="19:32" x14ac:dyDescent="0.35">
      <c r="S747" s="34">
        <v>743</v>
      </c>
      <c r="T747" s="34" t="s">
        <v>4284</v>
      </c>
      <c r="U747" s="34" t="s">
        <v>5150</v>
      </c>
      <c r="V747" s="35">
        <v>2.5157258064516133E-3</v>
      </c>
      <c r="W747" s="13"/>
      <c r="X747" s="34">
        <v>743</v>
      </c>
      <c r="Y747" s="34" t="s">
        <v>2248</v>
      </c>
      <c r="Z747" s="34" t="s">
        <v>5271</v>
      </c>
      <c r="AA747" s="35">
        <v>2.3203629032258065E-4</v>
      </c>
      <c r="AB747" s="13"/>
      <c r="AC747" s="34">
        <v>743</v>
      </c>
      <c r="AD747" s="34" t="s">
        <v>4573</v>
      </c>
      <c r="AE747" s="34" t="s">
        <v>3573</v>
      </c>
      <c r="AF747" s="35">
        <v>2.2518145161290325E-2</v>
      </c>
    </row>
    <row r="748" spans="19:32" x14ac:dyDescent="0.35">
      <c r="S748" s="34">
        <v>744</v>
      </c>
      <c r="T748" s="34" t="s">
        <v>4284</v>
      </c>
      <c r="U748" s="34" t="s">
        <v>5148</v>
      </c>
      <c r="V748" s="35">
        <v>2.3340725806451613E-3</v>
      </c>
      <c r="W748" s="13"/>
      <c r="X748" s="34">
        <v>744</v>
      </c>
      <c r="Y748" s="34" t="s">
        <v>2248</v>
      </c>
      <c r="Z748" s="34" t="s">
        <v>5647</v>
      </c>
      <c r="AA748" s="35">
        <v>1.4669354838709678E-5</v>
      </c>
      <c r="AB748" s="13"/>
      <c r="AC748" s="34">
        <v>744</v>
      </c>
      <c r="AD748" s="34" t="s">
        <v>4573</v>
      </c>
      <c r="AE748" s="34" t="s">
        <v>3573</v>
      </c>
      <c r="AF748" s="35">
        <v>0</v>
      </c>
    </row>
    <row r="749" spans="19:32" x14ac:dyDescent="0.35">
      <c r="S749" s="34">
        <v>745</v>
      </c>
      <c r="T749" s="34" t="s">
        <v>4284</v>
      </c>
      <c r="U749" s="34" t="s">
        <v>3586</v>
      </c>
      <c r="V749" s="35">
        <v>1.477217741935484E-3</v>
      </c>
      <c r="W749" s="13"/>
      <c r="X749" s="34">
        <v>745</v>
      </c>
      <c r="Y749" s="34" t="s">
        <v>2248</v>
      </c>
      <c r="Z749" s="34" t="s">
        <v>5270</v>
      </c>
      <c r="AA749" s="35">
        <v>4.4556451612903227E-4</v>
      </c>
      <c r="AB749" s="13"/>
      <c r="AC749" s="34">
        <v>745</v>
      </c>
      <c r="AD749" s="34" t="s">
        <v>4573</v>
      </c>
      <c r="AE749" s="34" t="s">
        <v>5086</v>
      </c>
      <c r="AF749" s="35">
        <v>4.3870967741935487E-3</v>
      </c>
    </row>
    <row r="750" spans="19:32" x14ac:dyDescent="0.35">
      <c r="S750" s="34">
        <v>746</v>
      </c>
      <c r="T750" s="34" t="s">
        <v>4284</v>
      </c>
      <c r="U750" s="34" t="s">
        <v>3586</v>
      </c>
      <c r="V750" s="35">
        <v>0.11776</v>
      </c>
      <c r="W750" s="13"/>
      <c r="X750" s="34">
        <v>746</v>
      </c>
      <c r="Y750" s="34" t="s">
        <v>2248</v>
      </c>
      <c r="Z750" s="34" t="s">
        <v>5269</v>
      </c>
      <c r="AA750" s="35">
        <v>1.0796370967741937E-3</v>
      </c>
      <c r="AB750" s="13"/>
      <c r="AC750" s="34">
        <v>746</v>
      </c>
      <c r="AD750" s="34" t="s">
        <v>4573</v>
      </c>
      <c r="AE750" s="34" t="s">
        <v>5085</v>
      </c>
      <c r="AF750" s="35">
        <v>1.1824596774193549E-2</v>
      </c>
    </row>
    <row r="751" spans="19:32" x14ac:dyDescent="0.35">
      <c r="S751" s="34">
        <v>747</v>
      </c>
      <c r="T751" s="34" t="s">
        <v>4284</v>
      </c>
      <c r="U751" s="34" t="s">
        <v>5145</v>
      </c>
      <c r="V751" s="35">
        <v>1.6520161290322583E-3</v>
      </c>
      <c r="W751" s="13"/>
      <c r="X751" s="34">
        <v>747</v>
      </c>
      <c r="Y751" s="34" t="s">
        <v>2248</v>
      </c>
      <c r="Z751" s="34" t="s">
        <v>5646</v>
      </c>
      <c r="AA751" s="35">
        <v>1.2852822580645162E-2</v>
      </c>
      <c r="AB751" s="13"/>
      <c r="AC751" s="34">
        <v>747</v>
      </c>
      <c r="AD751" s="34" t="s">
        <v>4573</v>
      </c>
      <c r="AE751" s="34" t="s">
        <v>3570</v>
      </c>
      <c r="AF751" s="35">
        <v>1.1790322580645163E-2</v>
      </c>
    </row>
    <row r="752" spans="19:32" x14ac:dyDescent="0.35">
      <c r="S752" s="34">
        <v>748</v>
      </c>
      <c r="T752" s="34" t="s">
        <v>4284</v>
      </c>
      <c r="U752" s="34" t="s">
        <v>5144</v>
      </c>
      <c r="V752" s="35">
        <v>5.8951612903225805E-6</v>
      </c>
      <c r="W752" s="13"/>
      <c r="X752" s="34">
        <v>748</v>
      </c>
      <c r="Y752" s="34" t="s">
        <v>2248</v>
      </c>
      <c r="Z752" s="34" t="s">
        <v>3633</v>
      </c>
      <c r="AA752" s="35">
        <v>9.1631999999999998E-3</v>
      </c>
      <c r="AB752" s="13"/>
      <c r="AC752" s="34">
        <v>748</v>
      </c>
      <c r="AD752" s="34" t="s">
        <v>4573</v>
      </c>
      <c r="AE752" s="34" t="s">
        <v>3570</v>
      </c>
      <c r="AF752" s="35">
        <v>0</v>
      </c>
    </row>
    <row r="753" spans="19:32" x14ac:dyDescent="0.35">
      <c r="S753" s="34">
        <v>749</v>
      </c>
      <c r="T753" s="34" t="s">
        <v>4284</v>
      </c>
      <c r="U753" s="34" t="s">
        <v>5143</v>
      </c>
      <c r="V753" s="35">
        <v>2.954435483870968E-4</v>
      </c>
      <c r="W753" s="13"/>
      <c r="X753" s="34">
        <v>749</v>
      </c>
      <c r="Y753" s="34" t="s">
        <v>2248</v>
      </c>
      <c r="Z753" s="34" t="s">
        <v>3633</v>
      </c>
      <c r="AA753" s="35">
        <v>9.3225806451612908E-2</v>
      </c>
      <c r="AB753" s="13"/>
      <c r="AC753" s="34">
        <v>749</v>
      </c>
      <c r="AD753" s="34" t="s">
        <v>4573</v>
      </c>
      <c r="AE753" s="34" t="s">
        <v>3569</v>
      </c>
      <c r="AF753" s="35">
        <v>2714</v>
      </c>
    </row>
    <row r="754" spans="19:32" x14ac:dyDescent="0.35">
      <c r="S754" s="34">
        <v>750</v>
      </c>
      <c r="T754" s="34" t="s">
        <v>4284</v>
      </c>
      <c r="U754" s="34" t="s">
        <v>5141</v>
      </c>
      <c r="V754" s="35">
        <v>7.883064516129034E-6</v>
      </c>
      <c r="W754" s="13"/>
      <c r="X754" s="34">
        <v>750</v>
      </c>
      <c r="Y754" s="34" t="s">
        <v>2248</v>
      </c>
      <c r="Z754" s="34" t="s">
        <v>3786</v>
      </c>
      <c r="AA754" s="35">
        <v>4.2842741935483876E-3</v>
      </c>
      <c r="AB754" s="13"/>
      <c r="AC754" s="34">
        <v>750</v>
      </c>
      <c r="AD754" s="34" t="s">
        <v>4573</v>
      </c>
      <c r="AE754" s="34" t="s">
        <v>5084</v>
      </c>
      <c r="AF754" s="35">
        <v>9.6653225806451623E-2</v>
      </c>
    </row>
    <row r="755" spans="19:32" x14ac:dyDescent="0.35">
      <c r="S755" s="34">
        <v>751</v>
      </c>
      <c r="T755" s="34" t="s">
        <v>4284</v>
      </c>
      <c r="U755" s="34" t="s">
        <v>5140</v>
      </c>
      <c r="V755" s="35">
        <v>2.1558467741935485E-4</v>
      </c>
      <c r="W755" s="13"/>
      <c r="X755" s="34">
        <v>751</v>
      </c>
      <c r="Y755" s="34" t="s">
        <v>2248</v>
      </c>
      <c r="Z755" s="34" t="s">
        <v>5268</v>
      </c>
      <c r="AA755" s="35">
        <v>5.106854838709678E-4</v>
      </c>
      <c r="AB755" s="13"/>
      <c r="AC755" s="34">
        <v>751</v>
      </c>
      <c r="AD755" s="34" t="s">
        <v>4573</v>
      </c>
      <c r="AE755" s="34" t="s">
        <v>3567</v>
      </c>
      <c r="AF755" s="35">
        <v>0</v>
      </c>
    </row>
    <row r="756" spans="19:32" x14ac:dyDescent="0.35">
      <c r="S756" s="34">
        <v>752</v>
      </c>
      <c r="T756" s="34" t="s">
        <v>4284</v>
      </c>
      <c r="U756" s="34" t="s">
        <v>5139</v>
      </c>
      <c r="V756" s="35">
        <v>1.8165322580645162E-3</v>
      </c>
      <c r="W756" s="13"/>
      <c r="X756" s="34">
        <v>752</v>
      </c>
      <c r="Y756" s="34" t="s">
        <v>2248</v>
      </c>
      <c r="Z756" s="34" t="s">
        <v>5267</v>
      </c>
      <c r="AA756" s="35">
        <v>1.2201612903225808E-4</v>
      </c>
      <c r="AB756" s="13"/>
      <c r="AC756" s="34">
        <v>752</v>
      </c>
      <c r="AD756" s="34" t="s">
        <v>4573</v>
      </c>
      <c r="AE756" s="34" t="s">
        <v>3566</v>
      </c>
      <c r="AF756" s="35">
        <v>1.3248</v>
      </c>
    </row>
    <row r="757" spans="19:32" x14ac:dyDescent="0.35">
      <c r="S757" s="34">
        <v>753</v>
      </c>
      <c r="T757" s="34" t="s">
        <v>4284</v>
      </c>
      <c r="U757" s="34" t="s">
        <v>5137</v>
      </c>
      <c r="V757" s="35">
        <v>2.2518145161290327E-5</v>
      </c>
      <c r="W757" s="13"/>
      <c r="X757" s="34">
        <v>753</v>
      </c>
      <c r="Y757" s="34" t="s">
        <v>2248</v>
      </c>
      <c r="Z757" s="34" t="s">
        <v>5266</v>
      </c>
      <c r="AA757" s="35">
        <v>4.5927419354838715E-7</v>
      </c>
      <c r="AB757" s="13"/>
      <c r="AC757" s="34">
        <v>753</v>
      </c>
      <c r="AD757" s="34" t="s">
        <v>4573</v>
      </c>
      <c r="AE757" s="34" t="s">
        <v>3563</v>
      </c>
      <c r="AF757" s="35">
        <v>0</v>
      </c>
    </row>
    <row r="758" spans="19:32" x14ac:dyDescent="0.35">
      <c r="S758" s="34">
        <v>754</v>
      </c>
      <c r="T758" s="34" t="s">
        <v>4284</v>
      </c>
      <c r="U758" s="34" t="s">
        <v>5132</v>
      </c>
      <c r="V758" s="35">
        <v>1.545766129032258E-4</v>
      </c>
      <c r="W758" s="13"/>
      <c r="X758" s="34">
        <v>754</v>
      </c>
      <c r="Y758" s="34" t="s">
        <v>2248</v>
      </c>
      <c r="Z758" s="34" t="s">
        <v>3785</v>
      </c>
      <c r="AA758" s="35">
        <v>9.5625000000000007E-5</v>
      </c>
      <c r="AB758" s="13"/>
      <c r="AC758" s="34">
        <v>754</v>
      </c>
      <c r="AD758" s="34" t="s">
        <v>4573</v>
      </c>
      <c r="AE758" s="34" t="s">
        <v>3561</v>
      </c>
      <c r="AF758" s="35">
        <v>4.3185483870967746E-2</v>
      </c>
    </row>
    <row r="759" spans="19:32" x14ac:dyDescent="0.35">
      <c r="S759" s="34">
        <v>755</v>
      </c>
      <c r="T759" s="34" t="s">
        <v>4284</v>
      </c>
      <c r="U759" s="34" t="s">
        <v>5127</v>
      </c>
      <c r="V759" s="35">
        <v>3.9415322580645167E-4</v>
      </c>
      <c r="W759" s="13"/>
      <c r="X759" s="34">
        <v>755</v>
      </c>
      <c r="Y759" s="34" t="s">
        <v>2248</v>
      </c>
      <c r="Z759" s="34" t="s">
        <v>5265</v>
      </c>
      <c r="AA759" s="35">
        <v>2.2449596774193549E-3</v>
      </c>
      <c r="AB759" s="13"/>
      <c r="AC759" s="34">
        <v>755</v>
      </c>
      <c r="AD759" s="34" t="s">
        <v>4573</v>
      </c>
      <c r="AE759" s="34" t="s">
        <v>3561</v>
      </c>
      <c r="AF759" s="35">
        <v>0</v>
      </c>
    </row>
    <row r="760" spans="19:32" x14ac:dyDescent="0.35">
      <c r="S760" s="34">
        <v>756</v>
      </c>
      <c r="T760" s="34" t="s">
        <v>4284</v>
      </c>
      <c r="U760" s="34" t="s">
        <v>5124</v>
      </c>
      <c r="V760" s="35">
        <v>1.0076612903225807E-4</v>
      </c>
      <c r="W760" s="13"/>
      <c r="X760" s="34">
        <v>756</v>
      </c>
      <c r="Y760" s="34" t="s">
        <v>2248</v>
      </c>
      <c r="Z760" s="34" t="s">
        <v>5264</v>
      </c>
      <c r="AA760" s="35">
        <v>1.6451612903225807E-4</v>
      </c>
      <c r="AB760" s="13"/>
      <c r="AC760" s="34">
        <v>756</v>
      </c>
      <c r="AD760" s="34" t="s">
        <v>4573</v>
      </c>
      <c r="AE760" s="34" t="s">
        <v>5083</v>
      </c>
      <c r="AF760" s="35">
        <v>5.0040322580645162E-3</v>
      </c>
    </row>
    <row r="761" spans="19:32" x14ac:dyDescent="0.35">
      <c r="S761" s="34">
        <v>757</v>
      </c>
      <c r="T761" s="34" t="s">
        <v>4284</v>
      </c>
      <c r="U761" s="34" t="s">
        <v>5121</v>
      </c>
      <c r="V761" s="35">
        <v>1.652016129032258E-5</v>
      </c>
      <c r="W761" s="13"/>
      <c r="X761" s="34">
        <v>757</v>
      </c>
      <c r="Y761" s="34" t="s">
        <v>2248</v>
      </c>
      <c r="Z761" s="34" t="s">
        <v>5645</v>
      </c>
      <c r="AA761" s="35">
        <v>0.11139112903225808</v>
      </c>
      <c r="AB761" s="13"/>
      <c r="AC761" s="34">
        <v>757</v>
      </c>
      <c r="AD761" s="34" t="s">
        <v>4573</v>
      </c>
      <c r="AE761" s="34" t="s">
        <v>5082</v>
      </c>
      <c r="AF761" s="35">
        <v>0.57580645161290323</v>
      </c>
    </row>
    <row r="762" spans="19:32" x14ac:dyDescent="0.35">
      <c r="S762" s="34">
        <v>758</v>
      </c>
      <c r="T762" s="34" t="s">
        <v>4284</v>
      </c>
      <c r="U762" s="34" t="s">
        <v>5117</v>
      </c>
      <c r="V762" s="35">
        <v>1.8645161290322581E-3</v>
      </c>
      <c r="W762" s="13"/>
      <c r="X762" s="34">
        <v>758</v>
      </c>
      <c r="Y762" s="34" t="s">
        <v>2248</v>
      </c>
      <c r="Z762" s="34" t="s">
        <v>5263</v>
      </c>
      <c r="AA762" s="35">
        <v>5.6895161290322579E-5</v>
      </c>
      <c r="AB762" s="13"/>
      <c r="AC762" s="34">
        <v>758</v>
      </c>
      <c r="AD762" s="34" t="s">
        <v>4573</v>
      </c>
      <c r="AE762" s="34" t="s">
        <v>5081</v>
      </c>
      <c r="AF762" s="35">
        <v>0.94254032258064524</v>
      </c>
    </row>
    <row r="763" spans="19:32" x14ac:dyDescent="0.35">
      <c r="S763" s="34">
        <v>759</v>
      </c>
      <c r="T763" s="34" t="s">
        <v>4284</v>
      </c>
      <c r="U763" s="34" t="s">
        <v>5112</v>
      </c>
      <c r="V763" s="35">
        <v>2.4814516129032259E-4</v>
      </c>
      <c r="W763" s="13"/>
      <c r="X763" s="34">
        <v>759</v>
      </c>
      <c r="Y763" s="34" t="s">
        <v>2248</v>
      </c>
      <c r="Z763" s="34" t="s">
        <v>5262</v>
      </c>
      <c r="AA763" s="35">
        <v>3.804435483870968E-4</v>
      </c>
      <c r="AB763" s="13"/>
      <c r="AC763" s="34">
        <v>759</v>
      </c>
      <c r="AD763" s="34" t="s">
        <v>4573</v>
      </c>
      <c r="AE763" s="34" t="s">
        <v>5079</v>
      </c>
      <c r="AF763" s="35">
        <v>2.5397177419354842</v>
      </c>
    </row>
    <row r="764" spans="19:32" x14ac:dyDescent="0.35">
      <c r="S764" s="34">
        <v>760</v>
      </c>
      <c r="T764" s="34" t="s">
        <v>4284</v>
      </c>
      <c r="U764" s="34" t="s">
        <v>5108</v>
      </c>
      <c r="V764" s="35">
        <v>3.3760080645161292E-4</v>
      </c>
      <c r="W764" s="13"/>
      <c r="X764" s="34">
        <v>760</v>
      </c>
      <c r="Y764" s="34" t="s">
        <v>2248</v>
      </c>
      <c r="Z764" s="34" t="s">
        <v>5644</v>
      </c>
      <c r="AA764" s="35">
        <v>1.0419354838709677E-3</v>
      </c>
      <c r="AB764" s="13"/>
      <c r="AC764" s="34">
        <v>760</v>
      </c>
      <c r="AD764" s="34" t="s">
        <v>4573</v>
      </c>
      <c r="AE764" s="34" t="s">
        <v>5078</v>
      </c>
      <c r="AF764" s="35">
        <v>9.7338709677419366E-2</v>
      </c>
    </row>
    <row r="765" spans="19:32" x14ac:dyDescent="0.35">
      <c r="S765" s="34">
        <v>761</v>
      </c>
      <c r="T765" s="34" t="s">
        <v>4284</v>
      </c>
      <c r="U765" s="34" t="s">
        <v>5107</v>
      </c>
      <c r="V765" s="35">
        <v>1.6965725806451613E-5</v>
      </c>
      <c r="W765" s="13"/>
      <c r="X765" s="34">
        <v>761</v>
      </c>
      <c r="Y765" s="34" t="s">
        <v>2248</v>
      </c>
      <c r="Z765" s="34" t="s">
        <v>5261</v>
      </c>
      <c r="AA765" s="35">
        <v>0.21592741935483872</v>
      </c>
      <c r="AB765" s="13"/>
      <c r="AC765" s="34">
        <v>761</v>
      </c>
      <c r="AD765" s="34" t="s">
        <v>4573</v>
      </c>
      <c r="AE765" s="34" t="s">
        <v>5077</v>
      </c>
      <c r="AF765" s="35">
        <v>0.17411290322580647</v>
      </c>
    </row>
    <row r="766" spans="19:32" x14ac:dyDescent="0.35">
      <c r="S766" s="34">
        <v>762</v>
      </c>
      <c r="T766" s="34" t="s">
        <v>4284</v>
      </c>
      <c r="U766" s="34" t="s">
        <v>5106</v>
      </c>
      <c r="V766" s="35">
        <v>5.1411290322580646E-5</v>
      </c>
      <c r="W766" s="13"/>
      <c r="X766" s="34">
        <v>762</v>
      </c>
      <c r="Y766" s="34" t="s">
        <v>2248</v>
      </c>
      <c r="Z766" s="34" t="s">
        <v>3630</v>
      </c>
      <c r="AA766" s="35">
        <v>6.9643999999999998E-2</v>
      </c>
      <c r="AB766" s="13"/>
      <c r="AC766" s="34">
        <v>762</v>
      </c>
      <c r="AD766" s="34" t="s">
        <v>4573</v>
      </c>
      <c r="AE766" s="34" t="s">
        <v>5076</v>
      </c>
      <c r="AF766" s="35">
        <v>1.3538306451612905</v>
      </c>
    </row>
    <row r="767" spans="19:32" x14ac:dyDescent="0.35">
      <c r="S767" s="34">
        <v>763</v>
      </c>
      <c r="T767" s="34" t="s">
        <v>4284</v>
      </c>
      <c r="U767" s="34" t="s">
        <v>5105</v>
      </c>
      <c r="V767" s="35">
        <v>7.7116935483870975E-5</v>
      </c>
      <c r="W767" s="13"/>
      <c r="X767" s="34">
        <v>763</v>
      </c>
      <c r="Y767" s="34" t="s">
        <v>2248</v>
      </c>
      <c r="Z767" s="34" t="s">
        <v>3630</v>
      </c>
      <c r="AA767" s="35">
        <v>0.38387096774193552</v>
      </c>
      <c r="AB767" s="13"/>
      <c r="AC767" s="34">
        <v>763</v>
      </c>
      <c r="AD767" s="34" t="s">
        <v>4573</v>
      </c>
      <c r="AE767" s="34" t="s">
        <v>3560</v>
      </c>
      <c r="AF767" s="35">
        <v>0</v>
      </c>
    </row>
    <row r="768" spans="19:32" x14ac:dyDescent="0.35">
      <c r="S768" s="34">
        <v>764</v>
      </c>
      <c r="T768" s="34" t="s">
        <v>4284</v>
      </c>
      <c r="U768" s="34" t="s">
        <v>5104</v>
      </c>
      <c r="V768" s="35">
        <v>8.191532258064517E-2</v>
      </c>
      <c r="W768" s="13"/>
      <c r="X768" s="34">
        <v>764</v>
      </c>
      <c r="Y768" s="34" t="s">
        <v>2248</v>
      </c>
      <c r="Z768" s="34" t="s">
        <v>5643</v>
      </c>
      <c r="AA768" s="35">
        <v>4.0786290322580645E-10</v>
      </c>
      <c r="AB768" s="13"/>
      <c r="AC768" s="34">
        <v>764</v>
      </c>
      <c r="AD768" s="34" t="s">
        <v>4573</v>
      </c>
      <c r="AE768" s="34" t="s">
        <v>5075</v>
      </c>
      <c r="AF768" s="35">
        <v>5.929435483870968</v>
      </c>
    </row>
    <row r="769" spans="19:32" x14ac:dyDescent="0.35">
      <c r="S769" s="34">
        <v>765</v>
      </c>
      <c r="T769" s="34" t="s">
        <v>4284</v>
      </c>
      <c r="U769" s="34" t="s">
        <v>5103</v>
      </c>
      <c r="V769" s="35">
        <v>9.5282258064516134E-3</v>
      </c>
      <c r="W769" s="13"/>
      <c r="X769" s="34">
        <v>765</v>
      </c>
      <c r="Y769" s="34" t="s">
        <v>2248</v>
      </c>
      <c r="Z769" s="34" t="s">
        <v>5260</v>
      </c>
      <c r="AA769" s="35">
        <v>1.4943548387096774</v>
      </c>
      <c r="AB769" s="13"/>
      <c r="AC769" s="34">
        <v>765</v>
      </c>
      <c r="AD769" s="34" t="s">
        <v>4573</v>
      </c>
      <c r="AE769" s="34" t="s">
        <v>5074</v>
      </c>
      <c r="AF769" s="35">
        <v>6.991935483870968</v>
      </c>
    </row>
    <row r="770" spans="19:32" x14ac:dyDescent="0.35">
      <c r="S770" s="34">
        <v>766</v>
      </c>
      <c r="T770" s="34" t="s">
        <v>4284</v>
      </c>
      <c r="U770" s="34" t="s">
        <v>5102</v>
      </c>
      <c r="V770" s="35">
        <v>1.7102822580645162E-4</v>
      </c>
      <c r="W770" s="13"/>
      <c r="X770" s="34">
        <v>766</v>
      </c>
      <c r="Y770" s="34" t="s">
        <v>2248</v>
      </c>
      <c r="Z770" s="34" t="s">
        <v>5259</v>
      </c>
      <c r="AA770" s="35">
        <v>2.5808467741935486E-3</v>
      </c>
      <c r="AB770" s="13"/>
      <c r="AC770" s="34">
        <v>766</v>
      </c>
      <c r="AD770" s="34" t="s">
        <v>4573</v>
      </c>
      <c r="AE770" s="34" t="s">
        <v>5072</v>
      </c>
      <c r="AF770" s="35">
        <v>1.6383064516129035E-2</v>
      </c>
    </row>
    <row r="771" spans="19:32" x14ac:dyDescent="0.35">
      <c r="S771" s="34">
        <v>767</v>
      </c>
      <c r="T771" s="34" t="s">
        <v>4284</v>
      </c>
      <c r="U771" s="34" t="s">
        <v>3582</v>
      </c>
      <c r="V771" s="35">
        <v>0.13915322580645162</v>
      </c>
      <c r="W771" s="13"/>
      <c r="X771" s="34">
        <v>767</v>
      </c>
      <c r="Y771" s="34" t="s">
        <v>2248</v>
      </c>
      <c r="Z771" s="34" t="s">
        <v>5642</v>
      </c>
      <c r="AA771" s="35">
        <v>1.2064516129032259E-5</v>
      </c>
      <c r="AB771" s="13"/>
      <c r="AC771" s="34">
        <v>767</v>
      </c>
      <c r="AD771" s="34" t="s">
        <v>4573</v>
      </c>
      <c r="AE771" s="34" t="s">
        <v>5070</v>
      </c>
      <c r="AF771" s="35">
        <v>7.026209677419355</v>
      </c>
    </row>
    <row r="772" spans="19:32" x14ac:dyDescent="0.35">
      <c r="S772" s="34">
        <v>768</v>
      </c>
      <c r="T772" s="34" t="s">
        <v>4284</v>
      </c>
      <c r="U772" s="34" t="s">
        <v>3582</v>
      </c>
      <c r="V772" s="35">
        <v>0</v>
      </c>
      <c r="W772" s="13"/>
      <c r="X772" s="34">
        <v>768</v>
      </c>
      <c r="Y772" s="34" t="s">
        <v>2248</v>
      </c>
      <c r="Z772" s="34" t="s">
        <v>5258</v>
      </c>
      <c r="AA772" s="35">
        <v>5.4495967741935489E-5</v>
      </c>
      <c r="AB772" s="13"/>
      <c r="AC772" s="34">
        <v>768</v>
      </c>
      <c r="AD772" s="34" t="s">
        <v>4573</v>
      </c>
      <c r="AE772" s="34" t="s">
        <v>5068</v>
      </c>
      <c r="AF772" s="35">
        <v>0.30812500000000004</v>
      </c>
    </row>
    <row r="773" spans="19:32" x14ac:dyDescent="0.35">
      <c r="S773" s="34">
        <v>769</v>
      </c>
      <c r="T773" s="34" t="s">
        <v>4284</v>
      </c>
      <c r="U773" s="34" t="s">
        <v>5101</v>
      </c>
      <c r="V773" s="35">
        <v>4.1814516129032265E-7</v>
      </c>
      <c r="W773" s="13"/>
      <c r="X773" s="34">
        <v>769</v>
      </c>
      <c r="Y773" s="34" t="s">
        <v>2248</v>
      </c>
      <c r="Z773" s="34" t="s">
        <v>3627</v>
      </c>
      <c r="AA773" s="35">
        <v>4.8116000000000003</v>
      </c>
      <c r="AB773" s="13"/>
      <c r="AC773" s="34">
        <v>769</v>
      </c>
      <c r="AD773" s="34" t="s">
        <v>4573</v>
      </c>
      <c r="AE773" s="34" t="s">
        <v>5067</v>
      </c>
      <c r="AF773" s="35">
        <v>3.0641129032258066E-8</v>
      </c>
    </row>
    <row r="774" spans="19:32" x14ac:dyDescent="0.35">
      <c r="S774" s="34">
        <v>770</v>
      </c>
      <c r="T774" s="34" t="s">
        <v>4284</v>
      </c>
      <c r="U774" s="34" t="s">
        <v>5100</v>
      </c>
      <c r="V774" s="35">
        <v>0.1076209677419355</v>
      </c>
      <c r="W774" s="13"/>
      <c r="X774" s="34">
        <v>770</v>
      </c>
      <c r="Y774" s="34" t="s">
        <v>2248</v>
      </c>
      <c r="Z774" s="34" t="s">
        <v>5641</v>
      </c>
      <c r="AA774" s="35">
        <v>1.0659274193548388E-3</v>
      </c>
      <c r="AB774" s="13"/>
      <c r="AC774" s="34">
        <v>770</v>
      </c>
      <c r="AD774" s="34" t="s">
        <v>4573</v>
      </c>
      <c r="AE774" s="34" t="s">
        <v>5066</v>
      </c>
      <c r="AF774" s="35">
        <v>4.1471774193548392E-3</v>
      </c>
    </row>
    <row r="775" spans="19:32" x14ac:dyDescent="0.35">
      <c r="S775" s="34">
        <v>771</v>
      </c>
      <c r="T775" s="34" t="s">
        <v>4284</v>
      </c>
      <c r="U775" s="34" t="s">
        <v>5099</v>
      </c>
      <c r="V775" s="35">
        <v>1.5183467741935485E-6</v>
      </c>
      <c r="W775" s="13"/>
      <c r="X775" s="34">
        <v>771</v>
      </c>
      <c r="Y775" s="34" t="s">
        <v>2248</v>
      </c>
      <c r="Z775" s="34" t="s">
        <v>5257</v>
      </c>
      <c r="AA775" s="35">
        <v>3.9758064516129035E-3</v>
      </c>
      <c r="AB775" s="13"/>
      <c r="AC775" s="34">
        <v>771</v>
      </c>
      <c r="AD775" s="34" t="s">
        <v>4573</v>
      </c>
      <c r="AE775" s="34" t="s">
        <v>5065</v>
      </c>
      <c r="AF775" s="35">
        <v>5.175403225806452E-3</v>
      </c>
    </row>
    <row r="776" spans="19:32" x14ac:dyDescent="0.35">
      <c r="S776" s="34">
        <v>772</v>
      </c>
      <c r="T776" s="34" t="s">
        <v>4284</v>
      </c>
      <c r="U776" s="34" t="s">
        <v>5098</v>
      </c>
      <c r="V776" s="35">
        <v>3.3965725806451614E-4</v>
      </c>
      <c r="W776" s="13"/>
      <c r="X776" s="34">
        <v>772</v>
      </c>
      <c r="Y776" s="34" t="s">
        <v>2248</v>
      </c>
      <c r="Z776" s="34" t="s">
        <v>5256</v>
      </c>
      <c r="AA776" s="35">
        <v>5.0725806451612909E-3</v>
      </c>
      <c r="AB776" s="13"/>
      <c r="AC776" s="34">
        <v>772</v>
      </c>
      <c r="AD776" s="34" t="s">
        <v>4573</v>
      </c>
      <c r="AE776" s="34" t="s">
        <v>3558</v>
      </c>
      <c r="AF776" s="35">
        <v>3.4683999999999999</v>
      </c>
    </row>
    <row r="777" spans="19:32" x14ac:dyDescent="0.35">
      <c r="S777" s="34">
        <v>773</v>
      </c>
      <c r="T777" s="34" t="s">
        <v>4284</v>
      </c>
      <c r="U777" s="34" t="s">
        <v>3579</v>
      </c>
      <c r="V777" s="35">
        <v>0</v>
      </c>
      <c r="W777" s="13"/>
      <c r="X777" s="34">
        <v>773</v>
      </c>
      <c r="Y777" s="34" t="s">
        <v>2248</v>
      </c>
      <c r="Z777" s="34" t="s">
        <v>5255</v>
      </c>
      <c r="AA777" s="35">
        <v>4.6955645161290326E-4</v>
      </c>
      <c r="AB777" s="13"/>
      <c r="AC777" s="34">
        <v>773</v>
      </c>
      <c r="AD777" s="34" t="s">
        <v>4573</v>
      </c>
      <c r="AE777" s="34" t="s">
        <v>5064</v>
      </c>
      <c r="AF777" s="35">
        <v>0.66834677419354849</v>
      </c>
    </row>
    <row r="778" spans="19:32" x14ac:dyDescent="0.35">
      <c r="S778" s="34">
        <v>774</v>
      </c>
      <c r="T778" s="34" t="s">
        <v>4284</v>
      </c>
      <c r="U778" s="34" t="s">
        <v>5097</v>
      </c>
      <c r="V778" s="35">
        <v>5.0040322580645162E-3</v>
      </c>
      <c r="W778" s="13"/>
      <c r="X778" s="34">
        <v>774</v>
      </c>
      <c r="Y778" s="34" t="s">
        <v>2248</v>
      </c>
      <c r="Z778" s="34" t="s">
        <v>5640</v>
      </c>
      <c r="AA778" s="35">
        <v>5.106854838709678E-4</v>
      </c>
      <c r="AB778" s="13"/>
      <c r="AC778" s="34">
        <v>774</v>
      </c>
      <c r="AD778" s="34" t="s">
        <v>4573</v>
      </c>
      <c r="AE778" s="34" t="s">
        <v>5063</v>
      </c>
      <c r="AF778" s="35">
        <v>11.10483870967742</v>
      </c>
    </row>
    <row r="779" spans="19:32" x14ac:dyDescent="0.35">
      <c r="S779" s="34">
        <v>775</v>
      </c>
      <c r="T779" s="34" t="s">
        <v>4284</v>
      </c>
      <c r="U779" s="34" t="s">
        <v>5096</v>
      </c>
      <c r="V779" s="35">
        <v>1.3949596774193551E-3</v>
      </c>
      <c r="W779" s="13"/>
      <c r="X779" s="34">
        <v>775</v>
      </c>
      <c r="Y779" s="34" t="s">
        <v>2248</v>
      </c>
      <c r="Z779" s="34" t="s">
        <v>5254</v>
      </c>
      <c r="AA779" s="35">
        <v>3.1395161290322582E-3</v>
      </c>
      <c r="AB779" s="13"/>
      <c r="AC779" s="34">
        <v>775</v>
      </c>
      <c r="AD779" s="34" t="s">
        <v>4573</v>
      </c>
      <c r="AE779" s="34" t="s">
        <v>3557</v>
      </c>
      <c r="AF779" s="35">
        <v>0.14875000000000002</v>
      </c>
    </row>
    <row r="780" spans="19:32" x14ac:dyDescent="0.35">
      <c r="S780" s="34">
        <v>776</v>
      </c>
      <c r="T780" s="34" t="s">
        <v>4284</v>
      </c>
      <c r="U780" s="34" t="s">
        <v>5095</v>
      </c>
      <c r="V780" s="35">
        <v>8.2600806451612902E-6</v>
      </c>
      <c r="W780" s="13"/>
      <c r="X780" s="34">
        <v>776</v>
      </c>
      <c r="Y780" s="34" t="s">
        <v>2248</v>
      </c>
      <c r="Z780" s="34" t="s">
        <v>5253</v>
      </c>
      <c r="AA780" s="35">
        <v>5.7923387096774194E-3</v>
      </c>
      <c r="AB780" s="13"/>
      <c r="AC780" s="34">
        <v>776</v>
      </c>
      <c r="AD780" s="34" t="s">
        <v>4573</v>
      </c>
      <c r="AE780" s="34" t="s">
        <v>3557</v>
      </c>
      <c r="AF780" s="35">
        <v>6.4676</v>
      </c>
    </row>
    <row r="781" spans="19:32" x14ac:dyDescent="0.35">
      <c r="S781" s="34">
        <v>777</v>
      </c>
      <c r="T781" s="34" t="s">
        <v>4284</v>
      </c>
      <c r="U781" s="34" t="s">
        <v>5094</v>
      </c>
      <c r="V781" s="35">
        <v>2.3923387096774196E-4</v>
      </c>
      <c r="W781" s="13"/>
      <c r="X781" s="34">
        <v>777</v>
      </c>
      <c r="Y781" s="34" t="s">
        <v>2248</v>
      </c>
      <c r="Z781" s="34" t="s">
        <v>5639</v>
      </c>
      <c r="AA781" s="35">
        <v>1.1893145161290325E-4</v>
      </c>
      <c r="AB781" s="13"/>
      <c r="AC781" s="34">
        <v>777</v>
      </c>
      <c r="AD781" s="34" t="s">
        <v>4573</v>
      </c>
      <c r="AE781" s="34" t="s">
        <v>3554</v>
      </c>
      <c r="AF781" s="35">
        <v>8.6387999999999998</v>
      </c>
    </row>
    <row r="782" spans="19:32" x14ac:dyDescent="0.35">
      <c r="S782" s="34">
        <v>778</v>
      </c>
      <c r="T782" s="34" t="s">
        <v>4284</v>
      </c>
      <c r="U782" s="34" t="s">
        <v>5092</v>
      </c>
      <c r="V782" s="35">
        <v>3.1703629032258068E-2</v>
      </c>
      <c r="W782" s="13"/>
      <c r="X782" s="34">
        <v>778</v>
      </c>
      <c r="Y782" s="34" t="s">
        <v>2248</v>
      </c>
      <c r="Z782" s="34" t="s">
        <v>5252</v>
      </c>
      <c r="AA782" s="35">
        <v>4.8669354838709676E-5</v>
      </c>
      <c r="AB782" s="13"/>
      <c r="AC782" s="34">
        <v>778</v>
      </c>
      <c r="AD782" s="34" t="s">
        <v>4573</v>
      </c>
      <c r="AE782" s="34" t="s">
        <v>3552</v>
      </c>
      <c r="AF782" s="35">
        <v>5.7591999999999999</v>
      </c>
    </row>
    <row r="783" spans="19:32" x14ac:dyDescent="0.35">
      <c r="S783" s="34">
        <v>779</v>
      </c>
      <c r="T783" s="34" t="s">
        <v>4284</v>
      </c>
      <c r="U783" s="34" t="s">
        <v>5091</v>
      </c>
      <c r="V783" s="35">
        <v>2.9612903225806455E-3</v>
      </c>
      <c r="W783" s="13"/>
      <c r="X783" s="34">
        <v>779</v>
      </c>
      <c r="Y783" s="34" t="s">
        <v>2248</v>
      </c>
      <c r="Z783" s="34" t="s">
        <v>5251</v>
      </c>
      <c r="AA783" s="35">
        <v>5.5181451612903235E-5</v>
      </c>
      <c r="AB783" s="13"/>
      <c r="AC783" s="34">
        <v>779</v>
      </c>
      <c r="AD783" s="34" t="s">
        <v>4573</v>
      </c>
      <c r="AE783" s="34" t="s">
        <v>3549</v>
      </c>
      <c r="AF783" s="35">
        <v>2.1455645161290324E-2</v>
      </c>
    </row>
    <row r="784" spans="19:32" x14ac:dyDescent="0.35">
      <c r="S784" s="34">
        <v>780</v>
      </c>
      <c r="T784" s="34" t="s">
        <v>4284</v>
      </c>
      <c r="U784" s="34" t="s">
        <v>5090</v>
      </c>
      <c r="V784" s="35">
        <v>1.360685483870968E-3</v>
      </c>
      <c r="W784" s="13"/>
      <c r="X784" s="34">
        <v>780</v>
      </c>
      <c r="Y784" s="34" t="s">
        <v>2248</v>
      </c>
      <c r="Z784" s="34" t="s">
        <v>5638</v>
      </c>
      <c r="AA784" s="35">
        <v>1.7685483870967742E-5</v>
      </c>
      <c r="AB784" s="13"/>
      <c r="AC784" s="34">
        <v>780</v>
      </c>
      <c r="AD784" s="34" t="s">
        <v>4573</v>
      </c>
      <c r="AE784" s="34" t="s">
        <v>3549</v>
      </c>
      <c r="AF784" s="35">
        <v>0.22816</v>
      </c>
    </row>
    <row r="785" spans="19:32" x14ac:dyDescent="0.35">
      <c r="S785" s="34">
        <v>781</v>
      </c>
      <c r="T785" s="34" t="s">
        <v>4284</v>
      </c>
      <c r="U785" s="34" t="s">
        <v>3577</v>
      </c>
      <c r="V785" s="35">
        <v>0</v>
      </c>
      <c r="W785" s="13"/>
      <c r="X785" s="34">
        <v>781</v>
      </c>
      <c r="Y785" s="34" t="s">
        <v>2248</v>
      </c>
      <c r="Z785" s="34" t="s">
        <v>5249</v>
      </c>
      <c r="AA785" s="35">
        <v>3.4616935483870972E-5</v>
      </c>
      <c r="AB785" s="13"/>
      <c r="AC785" s="34">
        <v>781</v>
      </c>
      <c r="AD785" s="34" t="s">
        <v>4573</v>
      </c>
      <c r="AE785" s="34" t="s">
        <v>3546</v>
      </c>
      <c r="AF785" s="35">
        <v>1.6280241935483872E-3</v>
      </c>
    </row>
    <row r="786" spans="19:32" x14ac:dyDescent="0.35">
      <c r="S786" s="34">
        <v>782</v>
      </c>
      <c r="T786" s="34" t="s">
        <v>4284</v>
      </c>
      <c r="U786" s="34" t="s">
        <v>5089</v>
      </c>
      <c r="V786" s="35">
        <v>9.2197580645161301E-2</v>
      </c>
      <c r="W786" s="13"/>
      <c r="X786" s="34">
        <v>782</v>
      </c>
      <c r="Y786" s="34" t="s">
        <v>2248</v>
      </c>
      <c r="Z786" s="34" t="s">
        <v>5248</v>
      </c>
      <c r="AA786" s="35">
        <v>2.8790322580645165E-3</v>
      </c>
      <c r="AB786" s="13"/>
      <c r="AC786" s="34">
        <v>782</v>
      </c>
      <c r="AD786" s="34" t="s">
        <v>4573</v>
      </c>
      <c r="AE786" s="34" t="s">
        <v>3546</v>
      </c>
      <c r="AF786" s="35">
        <v>8.1236000000000003E-2</v>
      </c>
    </row>
    <row r="787" spans="19:32" x14ac:dyDescent="0.35">
      <c r="S787" s="34">
        <v>783</v>
      </c>
      <c r="T787" s="34" t="s">
        <v>4284</v>
      </c>
      <c r="U787" s="34" t="s">
        <v>5088</v>
      </c>
      <c r="V787" s="35">
        <v>2.5911290322580646E-5</v>
      </c>
      <c r="W787" s="13"/>
      <c r="X787" s="34">
        <v>783</v>
      </c>
      <c r="Y787" s="34" t="s">
        <v>2248</v>
      </c>
      <c r="Z787" s="34" t="s">
        <v>5637</v>
      </c>
      <c r="AA787" s="35">
        <v>8.2600806451612916E-5</v>
      </c>
      <c r="AB787" s="13"/>
      <c r="AC787" s="34">
        <v>783</v>
      </c>
      <c r="AD787" s="34" t="s">
        <v>4573</v>
      </c>
      <c r="AE787" s="34" t="s">
        <v>5054</v>
      </c>
      <c r="AF787" s="35">
        <v>3.1223790322580645E-3</v>
      </c>
    </row>
    <row r="788" spans="19:32" x14ac:dyDescent="0.35">
      <c r="S788" s="34">
        <v>784</v>
      </c>
      <c r="T788" s="34" t="s">
        <v>4284</v>
      </c>
      <c r="U788" s="34" t="s">
        <v>5087</v>
      </c>
      <c r="V788" s="35">
        <v>2.4163306451612906E-2</v>
      </c>
      <c r="W788" s="13"/>
      <c r="X788" s="34">
        <v>784</v>
      </c>
      <c r="Y788" s="34" t="s">
        <v>2248</v>
      </c>
      <c r="Z788" s="34" t="s">
        <v>5247</v>
      </c>
      <c r="AA788" s="35">
        <v>1.0590725806451613E-4</v>
      </c>
      <c r="AB788" s="13"/>
      <c r="AC788" s="34">
        <v>784</v>
      </c>
      <c r="AD788" s="34" t="s">
        <v>4573</v>
      </c>
      <c r="AE788" s="34" t="s">
        <v>3545</v>
      </c>
      <c r="AF788" s="35">
        <v>7.197580645161291E-3</v>
      </c>
    </row>
    <row r="789" spans="19:32" x14ac:dyDescent="0.35">
      <c r="S789" s="34">
        <v>785</v>
      </c>
      <c r="T789" s="34" t="s">
        <v>4284</v>
      </c>
      <c r="U789" s="34" t="s">
        <v>3574</v>
      </c>
      <c r="V789" s="35">
        <v>0</v>
      </c>
      <c r="W789" s="13"/>
      <c r="X789" s="34">
        <v>785</v>
      </c>
      <c r="Y789" s="34" t="s">
        <v>2248</v>
      </c>
      <c r="Z789" s="34" t="s">
        <v>5245</v>
      </c>
      <c r="AA789" s="35">
        <v>9.45967741935484E-4</v>
      </c>
      <c r="AB789" s="13"/>
      <c r="AC789" s="34">
        <v>785</v>
      </c>
      <c r="AD789" s="34" t="s">
        <v>4573</v>
      </c>
      <c r="AE789" s="34" t="s">
        <v>3545</v>
      </c>
      <c r="AF789" s="35">
        <v>0</v>
      </c>
    </row>
    <row r="790" spans="19:32" x14ac:dyDescent="0.35">
      <c r="S790" s="34">
        <v>786</v>
      </c>
      <c r="T790" s="34" t="s">
        <v>4284</v>
      </c>
      <c r="U790" s="34" t="s">
        <v>3573</v>
      </c>
      <c r="V790" s="35">
        <v>1.7000000000000001E-3</v>
      </c>
      <c r="W790" s="13"/>
      <c r="X790" s="34">
        <v>786</v>
      </c>
      <c r="Y790" s="34" t="s">
        <v>2248</v>
      </c>
      <c r="Z790" s="34" t="s">
        <v>5636</v>
      </c>
      <c r="AA790" s="35">
        <v>3.3280241935483877E-4</v>
      </c>
      <c r="AB790" s="13"/>
      <c r="AC790" s="34">
        <v>786</v>
      </c>
      <c r="AD790" s="34" t="s">
        <v>4573</v>
      </c>
      <c r="AE790" s="34" t="s">
        <v>3543</v>
      </c>
      <c r="AF790" s="35">
        <v>6.957661290322581E-2</v>
      </c>
    </row>
    <row r="791" spans="19:32" x14ac:dyDescent="0.35">
      <c r="S791" s="34">
        <v>787</v>
      </c>
      <c r="T791" s="34" t="s">
        <v>4284</v>
      </c>
      <c r="U791" s="34" t="s">
        <v>3573</v>
      </c>
      <c r="V791" s="35">
        <v>0</v>
      </c>
      <c r="W791" s="13"/>
      <c r="X791" s="34">
        <v>787</v>
      </c>
      <c r="Y791" s="34" t="s">
        <v>2248</v>
      </c>
      <c r="Z791" s="34" t="s">
        <v>5243</v>
      </c>
      <c r="AA791" s="35">
        <v>5.1068548387096779</v>
      </c>
      <c r="AB791" s="13"/>
      <c r="AC791" s="34">
        <v>787</v>
      </c>
      <c r="AD791" s="34" t="s">
        <v>4573</v>
      </c>
      <c r="AE791" s="34" t="s">
        <v>3543</v>
      </c>
      <c r="AF791" s="35">
        <v>0.78108</v>
      </c>
    </row>
    <row r="792" spans="19:32" x14ac:dyDescent="0.35">
      <c r="S792" s="34">
        <v>788</v>
      </c>
      <c r="T792" s="34" t="s">
        <v>4284</v>
      </c>
      <c r="U792" s="34" t="s">
        <v>5086</v>
      </c>
      <c r="V792" s="35">
        <v>1.0693548387096775E-7</v>
      </c>
      <c r="W792" s="13"/>
      <c r="X792" s="34">
        <v>788</v>
      </c>
      <c r="Y792" s="34" t="s">
        <v>2248</v>
      </c>
      <c r="Z792" s="34" t="s">
        <v>5242</v>
      </c>
      <c r="AA792" s="35">
        <v>6.6149193548387105E-6</v>
      </c>
      <c r="AB792" s="13"/>
      <c r="AC792" s="34">
        <v>788</v>
      </c>
      <c r="AD792" s="34" t="s">
        <v>4573</v>
      </c>
      <c r="AE792" s="34" t="s">
        <v>5053</v>
      </c>
      <c r="AF792" s="35">
        <v>8.3286290322580649E-3</v>
      </c>
    </row>
    <row r="793" spans="19:32" x14ac:dyDescent="0.35">
      <c r="S793" s="34">
        <v>789</v>
      </c>
      <c r="T793" s="34" t="s">
        <v>4284</v>
      </c>
      <c r="U793" s="34" t="s">
        <v>5085</v>
      </c>
      <c r="V793" s="35">
        <v>4.3185483870967746E-4</v>
      </c>
      <c r="W793" s="13"/>
      <c r="X793" s="34">
        <v>789</v>
      </c>
      <c r="Y793" s="34" t="s">
        <v>2248</v>
      </c>
      <c r="Z793" s="34" t="s">
        <v>5241</v>
      </c>
      <c r="AA793" s="35">
        <v>3.7358870967741943E-5</v>
      </c>
      <c r="AB793" s="13"/>
      <c r="AC793" s="34">
        <v>789</v>
      </c>
      <c r="AD793" s="34" t="s">
        <v>4573</v>
      </c>
      <c r="AE793" s="34" t="s">
        <v>3542</v>
      </c>
      <c r="AF793" s="35">
        <v>9.0483870967741946E-5</v>
      </c>
    </row>
    <row r="794" spans="19:32" x14ac:dyDescent="0.35">
      <c r="S794" s="34">
        <v>790</v>
      </c>
      <c r="T794" s="34" t="s">
        <v>4284</v>
      </c>
      <c r="U794" s="34" t="s">
        <v>3570</v>
      </c>
      <c r="V794" s="35">
        <v>2.7933467741935488E-4</v>
      </c>
      <c r="W794" s="13"/>
      <c r="X794" s="34">
        <v>790</v>
      </c>
      <c r="Y794" s="34" t="s">
        <v>2248</v>
      </c>
      <c r="Z794" s="34" t="s">
        <v>5635</v>
      </c>
      <c r="AA794" s="35">
        <v>1.086491935483871E-4</v>
      </c>
      <c r="AB794" s="13"/>
      <c r="AC794" s="34">
        <v>790</v>
      </c>
      <c r="AD794" s="34" t="s">
        <v>4573</v>
      </c>
      <c r="AE794" s="34" t="s">
        <v>3542</v>
      </c>
      <c r="AF794" s="35">
        <v>0.22908000000000001</v>
      </c>
    </row>
    <row r="795" spans="19:32" x14ac:dyDescent="0.35">
      <c r="S795" s="34">
        <v>791</v>
      </c>
      <c r="T795" s="34" t="s">
        <v>4284</v>
      </c>
      <c r="U795" s="34" t="s">
        <v>3570</v>
      </c>
      <c r="V795" s="35">
        <v>0</v>
      </c>
      <c r="W795" s="13"/>
      <c r="X795" s="34">
        <v>791</v>
      </c>
      <c r="Y795" s="34" t="s">
        <v>2248</v>
      </c>
      <c r="Z795" s="34" t="s">
        <v>5240</v>
      </c>
      <c r="AA795" s="35">
        <v>2.2038306451612902E-3</v>
      </c>
      <c r="AB795" s="13"/>
      <c r="AC795" s="34">
        <v>791</v>
      </c>
      <c r="AD795" s="34" t="s">
        <v>4573</v>
      </c>
      <c r="AE795" s="34" t="s">
        <v>5052</v>
      </c>
      <c r="AF795" s="35">
        <v>5.5524193548387099E-3</v>
      </c>
    </row>
    <row r="796" spans="19:32" x14ac:dyDescent="0.35">
      <c r="S796" s="34">
        <v>792</v>
      </c>
      <c r="T796" s="34" t="s">
        <v>4284</v>
      </c>
      <c r="U796" s="34" t="s">
        <v>3569</v>
      </c>
      <c r="V796" s="35">
        <v>468.28000000000003</v>
      </c>
      <c r="W796" s="13"/>
      <c r="X796" s="34">
        <v>792</v>
      </c>
      <c r="Y796" s="34" t="s">
        <v>2248</v>
      </c>
      <c r="Z796" s="34" t="s">
        <v>5239</v>
      </c>
      <c r="AA796" s="35">
        <v>8.362903225806452E-8</v>
      </c>
      <c r="AB796" s="13"/>
      <c r="AC796" s="34">
        <v>792</v>
      </c>
      <c r="AD796" s="34" t="s">
        <v>4573</v>
      </c>
      <c r="AE796" s="34" t="s">
        <v>3540</v>
      </c>
      <c r="AF796" s="35">
        <v>157.32000000000002</v>
      </c>
    </row>
    <row r="797" spans="19:32" x14ac:dyDescent="0.35">
      <c r="S797" s="34">
        <v>793</v>
      </c>
      <c r="T797" s="34" t="s">
        <v>4284</v>
      </c>
      <c r="U797" s="34" t="s">
        <v>5084</v>
      </c>
      <c r="V797" s="35">
        <v>3.8729838709677424E-4</v>
      </c>
      <c r="W797" s="13"/>
      <c r="X797" s="34">
        <v>793</v>
      </c>
      <c r="Y797" s="34" t="s">
        <v>2248</v>
      </c>
      <c r="Z797" s="34" t="s">
        <v>5634</v>
      </c>
      <c r="AA797" s="35">
        <v>1.8370967741935486E-6</v>
      </c>
      <c r="AB797" s="13"/>
      <c r="AC797" s="34">
        <v>793</v>
      </c>
      <c r="AD797" s="34" t="s">
        <v>4573</v>
      </c>
      <c r="AE797" s="34" t="s">
        <v>3539</v>
      </c>
      <c r="AF797" s="35">
        <v>15.64</v>
      </c>
    </row>
    <row r="798" spans="19:32" x14ac:dyDescent="0.35">
      <c r="S798" s="34">
        <v>794</v>
      </c>
      <c r="T798" s="34" t="s">
        <v>4284</v>
      </c>
      <c r="U798" s="34" t="s">
        <v>3567</v>
      </c>
      <c r="V798" s="35">
        <v>0</v>
      </c>
      <c r="W798" s="13"/>
      <c r="X798" s="34">
        <v>794</v>
      </c>
      <c r="Y798" s="34" t="s">
        <v>2248</v>
      </c>
      <c r="Z798" s="34" t="s">
        <v>5238</v>
      </c>
      <c r="AA798" s="35">
        <v>1.7993951612903226E-2</v>
      </c>
      <c r="AB798" s="13"/>
      <c r="AC798" s="34">
        <v>794</v>
      </c>
      <c r="AD798" s="34" t="s">
        <v>4573</v>
      </c>
      <c r="AE798" s="34" t="s">
        <v>3537</v>
      </c>
      <c r="AF798" s="35">
        <v>3.804435483870968E-4</v>
      </c>
    </row>
    <row r="799" spans="19:32" x14ac:dyDescent="0.35">
      <c r="S799" s="34">
        <v>795</v>
      </c>
      <c r="T799" s="34" t="s">
        <v>4284</v>
      </c>
      <c r="U799" s="34" t="s">
        <v>3566</v>
      </c>
      <c r="V799" s="35">
        <v>0.77371999999999996</v>
      </c>
      <c r="W799" s="13"/>
      <c r="X799" s="34">
        <v>795</v>
      </c>
      <c r="Y799" s="34" t="s">
        <v>2248</v>
      </c>
      <c r="Z799" s="34" t="s">
        <v>3626</v>
      </c>
      <c r="AA799" s="35">
        <v>297.15999999999997</v>
      </c>
      <c r="AB799" s="13"/>
      <c r="AC799" s="34">
        <v>795</v>
      </c>
      <c r="AD799" s="34" t="s">
        <v>4573</v>
      </c>
      <c r="AE799" s="34" t="s">
        <v>3537</v>
      </c>
      <c r="AF799" s="35">
        <v>4.1492000000000004</v>
      </c>
    </row>
    <row r="800" spans="19:32" x14ac:dyDescent="0.35">
      <c r="S800" s="34">
        <v>796</v>
      </c>
      <c r="T800" s="34" t="s">
        <v>4284</v>
      </c>
      <c r="U800" s="34" t="s">
        <v>3563</v>
      </c>
      <c r="V800" s="35">
        <v>0</v>
      </c>
      <c r="W800" s="13"/>
      <c r="X800" s="34">
        <v>796</v>
      </c>
      <c r="Y800" s="34" t="s">
        <v>2248</v>
      </c>
      <c r="Z800" s="34" t="s">
        <v>5237</v>
      </c>
      <c r="AA800" s="35">
        <v>4.0100806451612906E-5</v>
      </c>
      <c r="AB800" s="13"/>
      <c r="AC800" s="34">
        <v>796</v>
      </c>
      <c r="AD800" s="34" t="s">
        <v>4573</v>
      </c>
      <c r="AE800" s="34" t="s">
        <v>3536</v>
      </c>
      <c r="AF800" s="35">
        <v>216.2</v>
      </c>
    </row>
    <row r="801" spans="19:32" x14ac:dyDescent="0.35">
      <c r="S801" s="34">
        <v>797</v>
      </c>
      <c r="T801" s="34" t="s">
        <v>4284</v>
      </c>
      <c r="U801" s="34" t="s">
        <v>3561</v>
      </c>
      <c r="V801" s="35">
        <v>1.9776209677419354E-4</v>
      </c>
      <c r="W801" s="13"/>
      <c r="X801" s="34">
        <v>797</v>
      </c>
      <c r="Y801" s="34" t="s">
        <v>2248</v>
      </c>
      <c r="Z801" s="34" t="s">
        <v>5633</v>
      </c>
      <c r="AA801" s="35">
        <v>2.3032258064516133E-5</v>
      </c>
      <c r="AB801" s="13"/>
      <c r="AC801" s="34">
        <v>797</v>
      </c>
      <c r="AD801" s="34" t="s">
        <v>4573</v>
      </c>
      <c r="AE801" s="34" t="s">
        <v>3535</v>
      </c>
      <c r="AF801" s="35">
        <v>2.9681451612903224E-3</v>
      </c>
    </row>
    <row r="802" spans="19:32" x14ac:dyDescent="0.35">
      <c r="S802" s="34">
        <v>798</v>
      </c>
      <c r="T802" s="34" t="s">
        <v>4284</v>
      </c>
      <c r="U802" s="34" t="s">
        <v>3561</v>
      </c>
      <c r="V802" s="35">
        <v>0</v>
      </c>
      <c r="W802" s="13"/>
      <c r="X802" s="34">
        <v>798</v>
      </c>
      <c r="Y802" s="34" t="s">
        <v>2248</v>
      </c>
      <c r="Z802" s="34" t="s">
        <v>5235</v>
      </c>
      <c r="AA802" s="35">
        <v>1.0693548387096775E-3</v>
      </c>
      <c r="AB802" s="13"/>
      <c r="AC802" s="34">
        <v>798</v>
      </c>
      <c r="AD802" s="34" t="s">
        <v>4573</v>
      </c>
      <c r="AE802" s="34" t="s">
        <v>3535</v>
      </c>
      <c r="AF802" s="35">
        <v>8.3352000000000009E-2</v>
      </c>
    </row>
    <row r="803" spans="19:32" x14ac:dyDescent="0.35">
      <c r="S803" s="34">
        <v>799</v>
      </c>
      <c r="T803" s="34" t="s">
        <v>4284</v>
      </c>
      <c r="U803" s="34" t="s">
        <v>5083</v>
      </c>
      <c r="V803" s="35">
        <v>1.9296370967741936E-4</v>
      </c>
      <c r="W803" s="13"/>
      <c r="X803" s="34">
        <v>799</v>
      </c>
      <c r="Y803" s="34" t="s">
        <v>2248</v>
      </c>
      <c r="Z803" s="34" t="s">
        <v>3623</v>
      </c>
      <c r="AA803" s="35">
        <v>0</v>
      </c>
      <c r="AB803" s="13"/>
      <c r="AC803" s="34">
        <v>799</v>
      </c>
      <c r="AD803" s="34" t="s">
        <v>4573</v>
      </c>
      <c r="AE803" s="34" t="s">
        <v>5051</v>
      </c>
      <c r="AF803" s="35">
        <v>5.9979838709677425E-3</v>
      </c>
    </row>
    <row r="804" spans="19:32" x14ac:dyDescent="0.35">
      <c r="S804" s="34">
        <v>800</v>
      </c>
      <c r="T804" s="34" t="s">
        <v>4284</v>
      </c>
      <c r="U804" s="34" t="s">
        <v>5082</v>
      </c>
      <c r="V804" s="35">
        <v>2.9852822580645161E-3</v>
      </c>
      <c r="W804" s="13"/>
      <c r="X804" s="34">
        <v>800</v>
      </c>
      <c r="Y804" s="34" t="s">
        <v>2248</v>
      </c>
      <c r="Z804" s="34" t="s">
        <v>5632</v>
      </c>
      <c r="AA804" s="35">
        <v>2.0050403225806455</v>
      </c>
      <c r="AB804" s="13"/>
      <c r="AC804" s="34">
        <v>800</v>
      </c>
      <c r="AD804" s="34" t="s">
        <v>4573</v>
      </c>
      <c r="AE804" s="34" t="s">
        <v>3534</v>
      </c>
      <c r="AF804" s="35">
        <v>153.63999999999999</v>
      </c>
    </row>
    <row r="805" spans="19:32" x14ac:dyDescent="0.35">
      <c r="S805" s="34">
        <v>801</v>
      </c>
      <c r="T805" s="34" t="s">
        <v>4284</v>
      </c>
      <c r="U805" s="34" t="s">
        <v>5081</v>
      </c>
      <c r="V805" s="35">
        <v>7.5060483870967752E-3</v>
      </c>
      <c r="W805" s="13"/>
      <c r="X805" s="34">
        <v>801</v>
      </c>
      <c r="Y805" s="34" t="s">
        <v>2248</v>
      </c>
      <c r="Z805" s="34" t="s">
        <v>5234</v>
      </c>
      <c r="AA805" s="35">
        <v>2.9612903225806455E-5</v>
      </c>
      <c r="AB805" s="13"/>
      <c r="AC805" s="34">
        <v>801</v>
      </c>
      <c r="AD805" s="34" t="s">
        <v>4573</v>
      </c>
      <c r="AE805" s="34" t="s">
        <v>3533</v>
      </c>
      <c r="AF805" s="35">
        <v>14.26</v>
      </c>
    </row>
    <row r="806" spans="19:32" x14ac:dyDescent="0.35">
      <c r="S806" s="34">
        <v>802</v>
      </c>
      <c r="T806" s="34" t="s">
        <v>4284</v>
      </c>
      <c r="U806" s="34" t="s">
        <v>5079</v>
      </c>
      <c r="V806" s="35">
        <v>0.18542338709677419</v>
      </c>
      <c r="W806" s="13"/>
      <c r="X806" s="34">
        <v>802</v>
      </c>
      <c r="Y806" s="34" t="s">
        <v>2248</v>
      </c>
      <c r="Z806" s="34" t="s">
        <v>3621</v>
      </c>
      <c r="AA806" s="35">
        <v>0.74336000000000002</v>
      </c>
      <c r="AB806" s="13"/>
      <c r="AC806" s="34">
        <v>802</v>
      </c>
      <c r="AD806" s="34" t="s">
        <v>4573</v>
      </c>
      <c r="AE806" s="34" t="s">
        <v>5050</v>
      </c>
      <c r="AF806" s="35">
        <v>1.7102822580645162E-3</v>
      </c>
    </row>
    <row r="807" spans="19:32" x14ac:dyDescent="0.35">
      <c r="S807" s="34">
        <v>803</v>
      </c>
      <c r="T807" s="34" t="s">
        <v>4284</v>
      </c>
      <c r="U807" s="34" t="s">
        <v>5078</v>
      </c>
      <c r="V807" s="35">
        <v>9.9052419354838717E-4</v>
      </c>
      <c r="W807" s="13"/>
      <c r="X807" s="34">
        <v>803</v>
      </c>
      <c r="Y807" s="34" t="s">
        <v>2248</v>
      </c>
      <c r="Z807" s="34" t="s">
        <v>5631</v>
      </c>
      <c r="AA807" s="35">
        <v>9.7338709677419362E-4</v>
      </c>
      <c r="AB807" s="13"/>
      <c r="AC807" s="34">
        <v>803</v>
      </c>
      <c r="AD807" s="34" t="s">
        <v>4573</v>
      </c>
      <c r="AE807" s="34" t="s">
        <v>5049</v>
      </c>
      <c r="AF807" s="35">
        <v>2.9681451612903227</v>
      </c>
    </row>
    <row r="808" spans="19:32" x14ac:dyDescent="0.35">
      <c r="S808" s="34">
        <v>804</v>
      </c>
      <c r="T808" s="34" t="s">
        <v>4284</v>
      </c>
      <c r="U808" s="34" t="s">
        <v>5077</v>
      </c>
      <c r="V808" s="35">
        <v>5.758064516129033E-3</v>
      </c>
      <c r="W808" s="13"/>
      <c r="X808" s="34">
        <v>804</v>
      </c>
      <c r="Y808" s="34" t="s">
        <v>2248</v>
      </c>
      <c r="Z808" s="34" t="s">
        <v>3618</v>
      </c>
      <c r="AA808" s="35">
        <v>0.1656</v>
      </c>
      <c r="AB808" s="13"/>
      <c r="AC808" s="34">
        <v>804</v>
      </c>
      <c r="AD808" s="34" t="s">
        <v>4573</v>
      </c>
      <c r="AE808" s="34" t="s">
        <v>5048</v>
      </c>
      <c r="AF808" s="35">
        <v>3.7358870967741939E-3</v>
      </c>
    </row>
    <row r="809" spans="19:32" x14ac:dyDescent="0.35">
      <c r="S809" s="34">
        <v>805</v>
      </c>
      <c r="T809" s="34" t="s">
        <v>4284</v>
      </c>
      <c r="U809" s="34" t="s">
        <v>5076</v>
      </c>
      <c r="V809" s="35">
        <v>0.138125</v>
      </c>
      <c r="W809" s="13"/>
      <c r="X809" s="34">
        <v>805</v>
      </c>
      <c r="Y809" s="34" t="s">
        <v>2248</v>
      </c>
      <c r="Z809" s="34" t="s">
        <v>3616</v>
      </c>
      <c r="AA809" s="35">
        <v>1.0671999999999999</v>
      </c>
      <c r="AB809" s="13"/>
      <c r="AC809" s="34">
        <v>805</v>
      </c>
      <c r="AD809" s="34" t="s">
        <v>4573</v>
      </c>
      <c r="AE809" s="34" t="s">
        <v>5047</v>
      </c>
      <c r="AF809" s="35">
        <v>1.1481854838709678E-2</v>
      </c>
    </row>
    <row r="810" spans="19:32" x14ac:dyDescent="0.35">
      <c r="S810" s="34">
        <v>806</v>
      </c>
      <c r="T810" s="34" t="s">
        <v>4284</v>
      </c>
      <c r="U810" s="34" t="s">
        <v>3560</v>
      </c>
      <c r="V810" s="35">
        <v>0</v>
      </c>
      <c r="W810" s="13"/>
      <c r="X810" s="34">
        <v>806</v>
      </c>
      <c r="Y810" s="34" t="s">
        <v>2248</v>
      </c>
      <c r="Z810" s="34" t="s">
        <v>3615</v>
      </c>
      <c r="AA810" s="35">
        <v>0.47564000000000001</v>
      </c>
      <c r="AB810" s="13"/>
      <c r="AC810" s="34">
        <v>806</v>
      </c>
      <c r="AD810" s="34" t="s">
        <v>4573</v>
      </c>
      <c r="AE810" s="34" t="s">
        <v>3532</v>
      </c>
      <c r="AF810" s="35">
        <v>0</v>
      </c>
    </row>
    <row r="811" spans="19:32" x14ac:dyDescent="0.35">
      <c r="S811" s="34">
        <v>807</v>
      </c>
      <c r="T811" s="34" t="s">
        <v>4284</v>
      </c>
      <c r="U811" s="34" t="s">
        <v>5075</v>
      </c>
      <c r="V811" s="35">
        <v>0.10213709677419355</v>
      </c>
      <c r="W811" s="13"/>
      <c r="X811" s="34">
        <v>807</v>
      </c>
      <c r="Y811" s="34" t="s">
        <v>2248</v>
      </c>
      <c r="Z811" s="34" t="s">
        <v>5630</v>
      </c>
      <c r="AA811" s="35">
        <v>3.0743951612903227E-2</v>
      </c>
      <c r="AB811" s="13"/>
      <c r="AC811" s="34">
        <v>807</v>
      </c>
      <c r="AD811" s="34" t="s">
        <v>4573</v>
      </c>
      <c r="AE811" s="34" t="s">
        <v>5046</v>
      </c>
      <c r="AF811" s="35">
        <v>6.5120967741935489E-3</v>
      </c>
    </row>
    <row r="812" spans="19:32" x14ac:dyDescent="0.35">
      <c r="S812" s="34">
        <v>808</v>
      </c>
      <c r="T812" s="34" t="s">
        <v>4284</v>
      </c>
      <c r="U812" s="34" t="s">
        <v>5074</v>
      </c>
      <c r="V812" s="35">
        <v>0.20427419354838711</v>
      </c>
      <c r="W812" s="13"/>
      <c r="X812" s="34">
        <v>808</v>
      </c>
      <c r="Y812" s="34" t="s">
        <v>2248</v>
      </c>
      <c r="Z812" s="34" t="s">
        <v>5233</v>
      </c>
      <c r="AA812" s="35">
        <v>1.6828629032258067E-3</v>
      </c>
      <c r="AB812" s="13"/>
      <c r="AC812" s="34">
        <v>808</v>
      </c>
      <c r="AD812" s="34" t="s">
        <v>4573</v>
      </c>
      <c r="AE812" s="34" t="s">
        <v>3531</v>
      </c>
      <c r="AF812" s="35">
        <v>1.7959677419354841E-3</v>
      </c>
    </row>
    <row r="813" spans="19:32" x14ac:dyDescent="0.35">
      <c r="S813" s="34">
        <v>809</v>
      </c>
      <c r="T813" s="34" t="s">
        <v>4284</v>
      </c>
      <c r="U813" s="34" t="s">
        <v>5072</v>
      </c>
      <c r="V813" s="35">
        <v>9.1512096774193558E-5</v>
      </c>
      <c r="W813" s="13"/>
      <c r="X813" s="34">
        <v>809</v>
      </c>
      <c r="Y813" s="34" t="s">
        <v>2248</v>
      </c>
      <c r="Z813" s="34" t="s">
        <v>3613</v>
      </c>
      <c r="AA813" s="35">
        <v>1.4628000000000001</v>
      </c>
      <c r="AB813" s="13"/>
      <c r="AC813" s="34">
        <v>809</v>
      </c>
      <c r="AD813" s="34" t="s">
        <v>4573</v>
      </c>
      <c r="AE813" s="34" t="s">
        <v>3531</v>
      </c>
      <c r="AF813" s="35">
        <v>0.62008000000000008</v>
      </c>
    </row>
    <row r="814" spans="19:32" x14ac:dyDescent="0.35">
      <c r="S814" s="34">
        <v>810</v>
      </c>
      <c r="T814" s="34" t="s">
        <v>4284</v>
      </c>
      <c r="U814" s="34" t="s">
        <v>5070</v>
      </c>
      <c r="V814" s="35">
        <v>1.7205645161290323E-2</v>
      </c>
      <c r="W814" s="13"/>
      <c r="X814" s="34">
        <v>810</v>
      </c>
      <c r="Y814" s="34" t="s">
        <v>2248</v>
      </c>
      <c r="Z814" s="34" t="s">
        <v>5629</v>
      </c>
      <c r="AA814" s="35">
        <v>2.220967741935484E-5</v>
      </c>
      <c r="AB814" s="13"/>
      <c r="AC814" s="34">
        <v>810</v>
      </c>
      <c r="AD814" s="34" t="s">
        <v>4573</v>
      </c>
      <c r="AE814" s="34" t="s">
        <v>5045</v>
      </c>
      <c r="AF814" s="35">
        <v>6.1350806451612914E-5</v>
      </c>
    </row>
    <row r="815" spans="19:32" x14ac:dyDescent="0.35">
      <c r="S815" s="34">
        <v>811</v>
      </c>
      <c r="T815" s="34" t="s">
        <v>4284</v>
      </c>
      <c r="U815" s="34" t="s">
        <v>5068</v>
      </c>
      <c r="V815" s="35">
        <v>3.9758064516129035E-3</v>
      </c>
      <c r="W815" s="13"/>
      <c r="X815" s="34">
        <v>811</v>
      </c>
      <c r="Y815" s="34" t="s">
        <v>2248</v>
      </c>
      <c r="Z815" s="34" t="s">
        <v>3612</v>
      </c>
      <c r="AA815" s="35">
        <v>0.77003999999999995</v>
      </c>
      <c r="AB815" s="13"/>
      <c r="AC815" s="34">
        <v>811</v>
      </c>
      <c r="AD815" s="34" t="s">
        <v>4573</v>
      </c>
      <c r="AE815" s="34" t="s">
        <v>5044</v>
      </c>
      <c r="AF815" s="35">
        <v>4.8669354838709681E-4</v>
      </c>
    </row>
    <row r="816" spans="19:32" x14ac:dyDescent="0.35">
      <c r="S816" s="34">
        <v>812</v>
      </c>
      <c r="T816" s="34" t="s">
        <v>4284</v>
      </c>
      <c r="U816" s="34" t="s">
        <v>5067</v>
      </c>
      <c r="V816" s="35">
        <v>1.2407258064516131E-10</v>
      </c>
      <c r="W816" s="13"/>
      <c r="X816" s="34">
        <v>812</v>
      </c>
      <c r="Y816" s="34" t="s">
        <v>2248</v>
      </c>
      <c r="Z816" s="34" t="s">
        <v>3611</v>
      </c>
      <c r="AA816" s="35">
        <v>0.37168000000000001</v>
      </c>
      <c r="AB816" s="13"/>
      <c r="AC816" s="34">
        <v>812</v>
      </c>
      <c r="AD816" s="34" t="s">
        <v>4573</v>
      </c>
      <c r="AE816" s="34" t="s">
        <v>5043</v>
      </c>
      <c r="AF816" s="35">
        <v>1.2989919354838709E-3</v>
      </c>
    </row>
    <row r="817" spans="19:32" x14ac:dyDescent="0.35">
      <c r="S817" s="34">
        <v>813</v>
      </c>
      <c r="T817" s="34" t="s">
        <v>4284</v>
      </c>
      <c r="U817" s="34" t="s">
        <v>5066</v>
      </c>
      <c r="V817" s="35">
        <v>6.5120967741935483E-5</v>
      </c>
      <c r="W817" s="13"/>
      <c r="X817" s="34">
        <v>813</v>
      </c>
      <c r="Y817" s="34" t="s">
        <v>2248</v>
      </c>
      <c r="Z817" s="34" t="s">
        <v>3609</v>
      </c>
      <c r="AA817" s="35">
        <v>1.3892</v>
      </c>
      <c r="AB817" s="13"/>
      <c r="AC817" s="34">
        <v>813</v>
      </c>
      <c r="AD817" s="34" t="s">
        <v>4573</v>
      </c>
      <c r="AE817" s="34" t="s">
        <v>5042</v>
      </c>
      <c r="AF817" s="35">
        <v>3.461693548387097</v>
      </c>
    </row>
    <row r="818" spans="19:32" x14ac:dyDescent="0.35">
      <c r="S818" s="34">
        <v>814</v>
      </c>
      <c r="T818" s="34" t="s">
        <v>4284</v>
      </c>
      <c r="U818" s="34" t="s">
        <v>5065</v>
      </c>
      <c r="V818" s="35">
        <v>1.0590725806451613E-4</v>
      </c>
      <c r="W818" s="13"/>
      <c r="X818" s="34">
        <v>814</v>
      </c>
      <c r="Y818" s="34" t="s">
        <v>2248</v>
      </c>
      <c r="Z818" s="34" t="s">
        <v>5628</v>
      </c>
      <c r="AA818" s="35">
        <v>8.6028225806451624E-4</v>
      </c>
      <c r="AB818" s="13"/>
      <c r="AC818" s="34">
        <v>814</v>
      </c>
      <c r="AD818" s="34" t="s">
        <v>4573</v>
      </c>
      <c r="AE818" s="34" t="s">
        <v>5040</v>
      </c>
      <c r="AF818" s="35">
        <v>3.495967741935484E-3</v>
      </c>
    </row>
    <row r="819" spans="19:32" x14ac:dyDescent="0.35">
      <c r="S819" s="34">
        <v>815</v>
      </c>
      <c r="T819" s="34" t="s">
        <v>4284</v>
      </c>
      <c r="U819" s="34" t="s">
        <v>3558</v>
      </c>
      <c r="V819" s="35">
        <v>0.62835999999999992</v>
      </c>
      <c r="W819" s="13"/>
      <c r="X819" s="34">
        <v>815</v>
      </c>
      <c r="Y819" s="34" t="s">
        <v>2248</v>
      </c>
      <c r="Z819" s="34" t="s">
        <v>5232</v>
      </c>
      <c r="AA819" s="35">
        <v>2.3649193548387099E-2</v>
      </c>
      <c r="AB819" s="13"/>
      <c r="AC819" s="34">
        <v>815</v>
      </c>
      <c r="AD819" s="34" t="s">
        <v>4573</v>
      </c>
      <c r="AE819" s="34" t="s">
        <v>5039</v>
      </c>
      <c r="AF819" s="35">
        <v>1.2715725806451614E-3</v>
      </c>
    </row>
    <row r="820" spans="19:32" x14ac:dyDescent="0.35">
      <c r="S820" s="34">
        <v>816</v>
      </c>
      <c r="T820" s="34" t="s">
        <v>4284</v>
      </c>
      <c r="U820" s="34" t="s">
        <v>5064</v>
      </c>
      <c r="V820" s="35">
        <v>6.6491935483870973E-3</v>
      </c>
      <c r="W820" s="13"/>
      <c r="X820" s="34">
        <v>816</v>
      </c>
      <c r="Y820" s="34" t="s">
        <v>2248</v>
      </c>
      <c r="Z820" s="34" t="s">
        <v>5231</v>
      </c>
      <c r="AA820" s="35">
        <v>1.0042338709677421E-2</v>
      </c>
      <c r="AB820" s="13"/>
      <c r="AC820" s="34">
        <v>816</v>
      </c>
      <c r="AD820" s="34" t="s">
        <v>4573</v>
      </c>
      <c r="AE820" s="34" t="s">
        <v>5038</v>
      </c>
      <c r="AF820" s="35">
        <v>2.3169354838709677</v>
      </c>
    </row>
    <row r="821" spans="19:32" x14ac:dyDescent="0.35">
      <c r="S821" s="34">
        <v>817</v>
      </c>
      <c r="T821" s="34" t="s">
        <v>4284</v>
      </c>
      <c r="U821" s="34" t="s">
        <v>5063</v>
      </c>
      <c r="V821" s="35">
        <v>0.42500000000000004</v>
      </c>
      <c r="W821" s="13"/>
      <c r="X821" s="34">
        <v>817</v>
      </c>
      <c r="Y821" s="34" t="s">
        <v>2248</v>
      </c>
      <c r="Z821" s="34" t="s">
        <v>5627</v>
      </c>
      <c r="AA821" s="35">
        <v>5.4838709677419361E-3</v>
      </c>
      <c r="AB821" s="13"/>
      <c r="AC821" s="34">
        <v>817</v>
      </c>
      <c r="AD821" s="34" t="s">
        <v>4573</v>
      </c>
      <c r="AE821" s="34" t="s">
        <v>5037</v>
      </c>
      <c r="AF821" s="35">
        <v>4.1129032258064518E-5</v>
      </c>
    </row>
    <row r="822" spans="19:32" x14ac:dyDescent="0.35">
      <c r="S822" s="34">
        <v>818</v>
      </c>
      <c r="T822" s="34" t="s">
        <v>4284</v>
      </c>
      <c r="U822" s="34" t="s">
        <v>3557</v>
      </c>
      <c r="V822" s="35">
        <v>1.3195564516129034E-4</v>
      </c>
      <c r="W822" s="13"/>
      <c r="X822" s="34">
        <v>818</v>
      </c>
      <c r="Y822" s="34" t="s">
        <v>2248</v>
      </c>
      <c r="Z822" s="34" t="s">
        <v>5230</v>
      </c>
      <c r="AA822" s="35">
        <v>0.79516129032258076</v>
      </c>
      <c r="AB822" s="13"/>
      <c r="AC822" s="34">
        <v>818</v>
      </c>
      <c r="AD822" s="34" t="s">
        <v>4573</v>
      </c>
      <c r="AE822" s="34" t="s">
        <v>3529</v>
      </c>
      <c r="AF822" s="35">
        <v>18.951999999999998</v>
      </c>
    </row>
    <row r="823" spans="19:32" x14ac:dyDescent="0.35">
      <c r="S823" s="34">
        <v>819</v>
      </c>
      <c r="T823" s="34" t="s">
        <v>4284</v>
      </c>
      <c r="U823" s="34" t="s">
        <v>3557</v>
      </c>
      <c r="V823" s="35">
        <v>0.76544000000000001</v>
      </c>
      <c r="W823" s="13"/>
      <c r="X823" s="34">
        <v>819</v>
      </c>
      <c r="Y823" s="34" t="s">
        <v>2248</v>
      </c>
      <c r="Z823" s="34" t="s">
        <v>5229</v>
      </c>
      <c r="AA823" s="35">
        <v>1.7479838709677419E-4</v>
      </c>
      <c r="AB823" s="13"/>
      <c r="AC823" s="34">
        <v>819</v>
      </c>
      <c r="AD823" s="34" t="s">
        <v>4573</v>
      </c>
      <c r="AE823" s="34" t="s">
        <v>3528</v>
      </c>
      <c r="AF823" s="35">
        <v>3.3417338709677423E-4</v>
      </c>
    </row>
    <row r="824" spans="19:32" x14ac:dyDescent="0.35">
      <c r="S824" s="34">
        <v>820</v>
      </c>
      <c r="T824" s="34" t="s">
        <v>4284</v>
      </c>
      <c r="U824" s="34" t="s">
        <v>3554</v>
      </c>
      <c r="V824" s="35">
        <v>6.3019999999999996</v>
      </c>
      <c r="W824" s="13"/>
      <c r="X824" s="34">
        <v>820</v>
      </c>
      <c r="Y824" s="34" t="s">
        <v>2248</v>
      </c>
      <c r="Z824" s="34" t="s">
        <v>5626</v>
      </c>
      <c r="AA824" s="35">
        <v>1.1653225806451614E-2</v>
      </c>
      <c r="AB824" s="13"/>
      <c r="AC824" s="34">
        <v>820</v>
      </c>
      <c r="AD824" s="34" t="s">
        <v>4573</v>
      </c>
      <c r="AE824" s="34" t="s">
        <v>3528</v>
      </c>
      <c r="AF824" s="35">
        <v>0</v>
      </c>
    </row>
    <row r="825" spans="19:32" x14ac:dyDescent="0.35">
      <c r="S825" s="34">
        <v>821</v>
      </c>
      <c r="T825" s="34" t="s">
        <v>4284</v>
      </c>
      <c r="U825" s="34" t="s">
        <v>3552</v>
      </c>
      <c r="V825" s="35">
        <v>0.38272</v>
      </c>
      <c r="W825" s="13"/>
      <c r="X825" s="34">
        <v>821</v>
      </c>
      <c r="Y825" s="34" t="s">
        <v>2248</v>
      </c>
      <c r="Z825" s="34" t="s">
        <v>5228</v>
      </c>
      <c r="AA825" s="35">
        <v>1.8405241935483874E-2</v>
      </c>
      <c r="AB825" s="13"/>
      <c r="AC825" s="34">
        <v>821</v>
      </c>
      <c r="AD825" s="34" t="s">
        <v>4573</v>
      </c>
      <c r="AE825" s="34" t="s">
        <v>3526</v>
      </c>
      <c r="AF825" s="35">
        <v>7.1576000000000001E-2</v>
      </c>
    </row>
    <row r="826" spans="19:32" x14ac:dyDescent="0.35">
      <c r="S826" s="34">
        <v>822</v>
      </c>
      <c r="T826" s="34" t="s">
        <v>4284</v>
      </c>
      <c r="U826" s="34" t="s">
        <v>3549</v>
      </c>
      <c r="V826" s="35">
        <v>9.9395161290322586E-4</v>
      </c>
      <c r="W826" s="13"/>
      <c r="X826" s="34">
        <v>822</v>
      </c>
      <c r="Y826" s="34" t="s">
        <v>2248</v>
      </c>
      <c r="Z826" s="34" t="s">
        <v>3607</v>
      </c>
      <c r="AA826" s="35">
        <v>4.1952000000000007</v>
      </c>
      <c r="AB826" s="13"/>
      <c r="AC826" s="34">
        <v>822</v>
      </c>
      <c r="AD826" s="34" t="s">
        <v>4573</v>
      </c>
      <c r="AE826" s="34" t="s">
        <v>5036</v>
      </c>
      <c r="AF826" s="35">
        <v>2.4848790322580649E-3</v>
      </c>
    </row>
    <row r="827" spans="19:32" x14ac:dyDescent="0.35">
      <c r="S827" s="34">
        <v>823</v>
      </c>
      <c r="T827" s="34" t="s">
        <v>4284</v>
      </c>
      <c r="U827" s="34" t="s">
        <v>3549</v>
      </c>
      <c r="V827" s="35">
        <v>0.13156000000000001</v>
      </c>
      <c r="W827" s="13"/>
      <c r="X827" s="34">
        <v>823</v>
      </c>
      <c r="Y827" s="34" t="s">
        <v>2248</v>
      </c>
      <c r="Z827" s="34" t="s">
        <v>5227</v>
      </c>
      <c r="AA827" s="35">
        <v>3.8387096774193549E-4</v>
      </c>
      <c r="AB827" s="13"/>
      <c r="AC827" s="34">
        <v>823</v>
      </c>
      <c r="AD827" s="34" t="s">
        <v>4573</v>
      </c>
      <c r="AE827" s="34" t="s">
        <v>5035</v>
      </c>
      <c r="AF827" s="35">
        <v>5.0383064516129035E-3</v>
      </c>
    </row>
    <row r="828" spans="19:32" x14ac:dyDescent="0.35">
      <c r="S828" s="41">
        <v>824</v>
      </c>
      <c r="T828" s="41" t="s">
        <v>4284</v>
      </c>
      <c r="U828" s="41" t="s">
        <v>3546</v>
      </c>
      <c r="V828" s="42">
        <v>5.7779999999999996</v>
      </c>
      <c r="W828" s="13"/>
      <c r="X828" s="34">
        <v>824</v>
      </c>
      <c r="Y828" s="34" t="s">
        <v>2248</v>
      </c>
      <c r="Z828" s="34" t="s">
        <v>5625</v>
      </c>
      <c r="AA828" s="35">
        <v>2.776209677419355E-3</v>
      </c>
      <c r="AB828" s="13"/>
      <c r="AC828" s="34">
        <v>824</v>
      </c>
      <c r="AD828" s="34" t="s">
        <v>4573</v>
      </c>
      <c r="AE828" s="34" t="s">
        <v>5031</v>
      </c>
      <c r="AF828" s="35">
        <v>4.5241935483870972E-3</v>
      </c>
    </row>
    <row r="829" spans="19:32" x14ac:dyDescent="0.35">
      <c r="S829" s="34">
        <v>825</v>
      </c>
      <c r="T829" s="34" t="s">
        <v>4284</v>
      </c>
      <c r="U829" s="34" t="s">
        <v>3546</v>
      </c>
      <c r="V829" s="35">
        <v>9.4596774193548405E-6</v>
      </c>
      <c r="W829" s="17"/>
      <c r="X829" s="34">
        <v>825</v>
      </c>
      <c r="Y829" s="34" t="s">
        <v>2248</v>
      </c>
      <c r="Z829" s="34" t="s">
        <v>5226</v>
      </c>
      <c r="AA829" s="35">
        <v>3.5302419354838716E-2</v>
      </c>
      <c r="AB829" s="13"/>
      <c r="AC829" s="34">
        <v>825</v>
      </c>
      <c r="AD829" s="34" t="s">
        <v>4573</v>
      </c>
      <c r="AE829" s="34" t="s">
        <v>3524</v>
      </c>
      <c r="AF829" s="35">
        <v>47.655999999999999</v>
      </c>
    </row>
    <row r="830" spans="19:32" x14ac:dyDescent="0.35">
      <c r="S830" s="34">
        <v>826</v>
      </c>
      <c r="T830" s="34" t="s">
        <v>4284</v>
      </c>
      <c r="U830" s="34" t="s">
        <v>3546</v>
      </c>
      <c r="V830" s="35">
        <v>8.6940000000000003E-2</v>
      </c>
      <c r="W830" s="17"/>
      <c r="X830" s="34">
        <v>826</v>
      </c>
      <c r="Y830" s="34" t="s">
        <v>2248</v>
      </c>
      <c r="Z830" s="34" t="s">
        <v>5225</v>
      </c>
      <c r="AA830" s="35">
        <v>2.5191532258064517E-2</v>
      </c>
      <c r="AB830" s="13"/>
      <c r="AC830" s="34">
        <v>826</v>
      </c>
      <c r="AD830" s="34" t="s">
        <v>4573</v>
      </c>
      <c r="AE830" s="34" t="s">
        <v>3523</v>
      </c>
      <c r="AF830" s="35">
        <v>0</v>
      </c>
    </row>
    <row r="831" spans="19:32" x14ac:dyDescent="0.35">
      <c r="S831" s="34">
        <v>827</v>
      </c>
      <c r="T831" s="34" t="s">
        <v>4284</v>
      </c>
      <c r="U831" s="34" t="s">
        <v>5054</v>
      </c>
      <c r="V831" s="35">
        <v>6.6149193548387095E-5</v>
      </c>
      <c r="W831" s="13"/>
      <c r="X831" s="34">
        <v>827</v>
      </c>
      <c r="Y831" s="34" t="s">
        <v>2248</v>
      </c>
      <c r="Z831" s="34" t="s">
        <v>5624</v>
      </c>
      <c r="AA831" s="35">
        <v>1.2784274193548389E-4</v>
      </c>
      <c r="AB831" s="13"/>
      <c r="AC831" s="34">
        <v>827</v>
      </c>
      <c r="AD831" s="34" t="s">
        <v>4573</v>
      </c>
      <c r="AE831" s="34" t="s">
        <v>5030</v>
      </c>
      <c r="AF831" s="35">
        <v>0.61693548387096775</v>
      </c>
    </row>
    <row r="832" spans="19:32" x14ac:dyDescent="0.35">
      <c r="S832" s="34">
        <v>828</v>
      </c>
      <c r="T832" s="34" t="s">
        <v>4284</v>
      </c>
      <c r="U832" s="34" t="s">
        <v>3545</v>
      </c>
      <c r="V832" s="35">
        <v>3.9415322580645167E-4</v>
      </c>
      <c r="W832" s="17"/>
      <c r="X832" s="34">
        <v>828</v>
      </c>
      <c r="Y832" s="34" t="s">
        <v>2248</v>
      </c>
      <c r="Z832" s="34" t="s">
        <v>5224</v>
      </c>
      <c r="AA832" s="35">
        <v>5.0040322580645162E-2</v>
      </c>
      <c r="AB832" s="13"/>
      <c r="AC832" s="34">
        <v>828</v>
      </c>
      <c r="AD832" s="34" t="s">
        <v>4573</v>
      </c>
      <c r="AE832" s="34" t="s">
        <v>3521</v>
      </c>
      <c r="AF832" s="35">
        <v>9.5679999999999996</v>
      </c>
    </row>
    <row r="833" spans="19:32" x14ac:dyDescent="0.35">
      <c r="S833" s="34">
        <v>829</v>
      </c>
      <c r="T833" s="34" t="s">
        <v>4284</v>
      </c>
      <c r="U833" s="34" t="s">
        <v>3545</v>
      </c>
      <c r="V833" s="35">
        <v>0</v>
      </c>
      <c r="W833" s="17"/>
      <c r="X833" s="34">
        <v>829</v>
      </c>
      <c r="Y833" s="34" t="s">
        <v>2248</v>
      </c>
      <c r="Z833" s="34" t="s">
        <v>5223</v>
      </c>
      <c r="AA833" s="35">
        <v>1.5457661290322583E-3</v>
      </c>
      <c r="AB833" s="13"/>
      <c r="AC833" s="34">
        <v>829</v>
      </c>
      <c r="AD833" s="34" t="s">
        <v>4573</v>
      </c>
      <c r="AE833" s="34" t="s">
        <v>5029</v>
      </c>
      <c r="AF833" s="35">
        <v>4.4556451612903232E-2</v>
      </c>
    </row>
    <row r="834" spans="19:32" x14ac:dyDescent="0.35">
      <c r="S834" s="34">
        <v>830</v>
      </c>
      <c r="T834" s="34" t="s">
        <v>4284</v>
      </c>
      <c r="U834" s="34" t="s">
        <v>3543</v>
      </c>
      <c r="V834" s="35">
        <v>1.172177419354839E-3</v>
      </c>
      <c r="W834" s="17"/>
      <c r="X834" s="34">
        <v>830</v>
      </c>
      <c r="Y834" s="34" t="s">
        <v>2248</v>
      </c>
      <c r="Z834" s="34" t="s">
        <v>5623</v>
      </c>
      <c r="AA834" s="35">
        <v>1.9707661290322583E-4</v>
      </c>
      <c r="AB834" s="13"/>
      <c r="AC834" s="34">
        <v>830</v>
      </c>
      <c r="AD834" s="34" t="s">
        <v>4573</v>
      </c>
      <c r="AE834" s="34" t="s">
        <v>5028</v>
      </c>
      <c r="AF834" s="35">
        <v>22.655241935483872</v>
      </c>
    </row>
    <row r="835" spans="19:32" x14ac:dyDescent="0.35">
      <c r="S835" s="34">
        <v>831</v>
      </c>
      <c r="T835" s="34" t="s">
        <v>4284</v>
      </c>
      <c r="U835" s="34" t="s">
        <v>3543</v>
      </c>
      <c r="V835" s="35">
        <v>0.79947999999999997</v>
      </c>
      <c r="W835" s="13"/>
      <c r="X835" s="34">
        <v>831</v>
      </c>
      <c r="Y835" s="34" t="s">
        <v>2248</v>
      </c>
      <c r="Z835" s="34" t="s">
        <v>5222</v>
      </c>
      <c r="AA835" s="35">
        <v>0.21901209677419356</v>
      </c>
      <c r="AB835" s="13"/>
      <c r="AC835" s="34">
        <v>831</v>
      </c>
      <c r="AD835" s="34" t="s">
        <v>4573</v>
      </c>
      <c r="AE835" s="34" t="s">
        <v>5024</v>
      </c>
      <c r="AF835" s="35">
        <v>0.60665322580645165</v>
      </c>
    </row>
    <row r="836" spans="19:32" x14ac:dyDescent="0.35">
      <c r="S836" s="34">
        <v>832</v>
      </c>
      <c r="T836" s="34" t="s">
        <v>4284</v>
      </c>
      <c r="U836" s="34" t="s">
        <v>5053</v>
      </c>
      <c r="V836" s="35">
        <v>2.268951612903226E-3</v>
      </c>
      <c r="W836" s="13"/>
      <c r="X836" s="34">
        <v>832</v>
      </c>
      <c r="Y836" s="34" t="s">
        <v>2248</v>
      </c>
      <c r="Z836" s="34" t="s">
        <v>5221</v>
      </c>
      <c r="AA836" s="35">
        <v>5.0383064516129031E-4</v>
      </c>
      <c r="AB836" s="13"/>
      <c r="AC836" s="34">
        <v>832</v>
      </c>
      <c r="AD836" s="34" t="s">
        <v>4573</v>
      </c>
      <c r="AE836" s="34" t="s">
        <v>5019</v>
      </c>
      <c r="AF836" s="35">
        <v>5.8608870967741943E-2</v>
      </c>
    </row>
    <row r="837" spans="19:32" x14ac:dyDescent="0.35">
      <c r="S837" s="34">
        <v>833</v>
      </c>
      <c r="T837" s="34" t="s">
        <v>4284</v>
      </c>
      <c r="U837" s="34" t="s">
        <v>3542</v>
      </c>
      <c r="V837" s="35">
        <v>2.0256048387096776E-5</v>
      </c>
      <c r="W837" s="13"/>
      <c r="X837" s="34">
        <v>833</v>
      </c>
      <c r="Y837" s="34" t="s">
        <v>2248</v>
      </c>
      <c r="Z837" s="34" t="s">
        <v>5220</v>
      </c>
      <c r="AA837" s="35">
        <v>1.0659274193548388E-3</v>
      </c>
      <c r="AB837" s="13"/>
      <c r="AC837" s="34">
        <v>833</v>
      </c>
      <c r="AD837" s="34" t="s">
        <v>4573</v>
      </c>
      <c r="AE837" s="34" t="s">
        <v>3520</v>
      </c>
      <c r="AF837" s="35">
        <v>1.1550403225806452</v>
      </c>
    </row>
    <row r="838" spans="19:32" x14ac:dyDescent="0.35">
      <c r="S838" s="34">
        <v>834</v>
      </c>
      <c r="T838" s="34" t="s">
        <v>4284</v>
      </c>
      <c r="U838" s="34" t="s">
        <v>3542</v>
      </c>
      <c r="V838" s="35">
        <v>0.55936000000000008</v>
      </c>
      <c r="W838" s="13"/>
      <c r="X838" s="34">
        <v>834</v>
      </c>
      <c r="Y838" s="34" t="s">
        <v>2248</v>
      </c>
      <c r="Z838" s="34" t="s">
        <v>5622</v>
      </c>
      <c r="AA838" s="35">
        <v>1.052217741935484E-4</v>
      </c>
      <c r="AB838" s="13"/>
      <c r="AC838" s="34">
        <v>834</v>
      </c>
      <c r="AD838" s="34" t="s">
        <v>4573</v>
      </c>
      <c r="AE838" s="34" t="s">
        <v>3520</v>
      </c>
      <c r="AF838" s="35">
        <v>0</v>
      </c>
    </row>
    <row r="839" spans="19:32" x14ac:dyDescent="0.35">
      <c r="S839" s="34">
        <v>835</v>
      </c>
      <c r="T839" s="34" t="s">
        <v>4284</v>
      </c>
      <c r="U839" s="34" t="s">
        <v>5052</v>
      </c>
      <c r="V839" s="35">
        <v>1.1481854838709677E-3</v>
      </c>
      <c r="W839" s="13"/>
      <c r="X839" s="34">
        <v>835</v>
      </c>
      <c r="Y839" s="34" t="s">
        <v>2248</v>
      </c>
      <c r="Z839" s="34" t="s">
        <v>5219</v>
      </c>
      <c r="AA839" s="35">
        <v>6.6491935483870967E-4</v>
      </c>
      <c r="AB839" s="13"/>
      <c r="AC839" s="34">
        <v>835</v>
      </c>
      <c r="AD839" s="34" t="s">
        <v>4573</v>
      </c>
      <c r="AE839" s="34" t="s">
        <v>3518</v>
      </c>
      <c r="AF839" s="35">
        <v>4.0786290322580646E-3</v>
      </c>
    </row>
    <row r="840" spans="19:32" x14ac:dyDescent="0.35">
      <c r="S840" s="34">
        <v>836</v>
      </c>
      <c r="T840" s="34" t="s">
        <v>4284</v>
      </c>
      <c r="U840" s="34" t="s">
        <v>3540</v>
      </c>
      <c r="V840" s="35">
        <v>51.06</v>
      </c>
      <c r="W840" s="13"/>
      <c r="X840" s="34">
        <v>836</v>
      </c>
      <c r="Y840" s="34" t="s">
        <v>2248</v>
      </c>
      <c r="Z840" s="34" t="s">
        <v>5217</v>
      </c>
      <c r="AA840" s="35">
        <v>8.5685483870967744E-4</v>
      </c>
      <c r="AB840" s="13"/>
      <c r="AC840" s="34">
        <v>836</v>
      </c>
      <c r="AD840" s="34" t="s">
        <v>4573</v>
      </c>
      <c r="AE840" s="34" t="s">
        <v>3518</v>
      </c>
      <c r="AF840" s="35">
        <v>10.948</v>
      </c>
    </row>
    <row r="841" spans="19:32" x14ac:dyDescent="0.35">
      <c r="S841" s="34">
        <v>837</v>
      </c>
      <c r="T841" s="34" t="s">
        <v>4284</v>
      </c>
      <c r="U841" s="34" t="s">
        <v>3539</v>
      </c>
      <c r="V841" s="35">
        <v>22.172000000000001</v>
      </c>
      <c r="W841" s="13"/>
      <c r="X841" s="34">
        <v>837</v>
      </c>
      <c r="Y841" s="34" t="s">
        <v>2248</v>
      </c>
      <c r="Z841" s="34" t="s">
        <v>5621</v>
      </c>
      <c r="AA841" s="35">
        <v>0.14018145161290324</v>
      </c>
      <c r="AB841" s="13"/>
      <c r="AC841" s="34">
        <v>837</v>
      </c>
      <c r="AD841" s="34" t="s">
        <v>4573</v>
      </c>
      <c r="AE841" s="34" t="s">
        <v>3517</v>
      </c>
      <c r="AF841" s="35">
        <v>6.8548387096774195E-3</v>
      </c>
    </row>
    <row r="842" spans="19:32" x14ac:dyDescent="0.35">
      <c r="S842" s="34">
        <v>838</v>
      </c>
      <c r="T842" s="34" t="s">
        <v>4284</v>
      </c>
      <c r="U842" s="34" t="s">
        <v>3537</v>
      </c>
      <c r="V842" s="35">
        <v>3.9072580645161295E-6</v>
      </c>
      <c r="W842" s="13"/>
      <c r="X842" s="34">
        <v>838</v>
      </c>
      <c r="Y842" s="34" t="s">
        <v>2248</v>
      </c>
      <c r="Z842" s="34" t="s">
        <v>5216</v>
      </c>
      <c r="AA842" s="35">
        <v>1.394959677419355E-4</v>
      </c>
      <c r="AB842" s="13"/>
      <c r="AC842" s="34">
        <v>838</v>
      </c>
      <c r="AD842" s="34" t="s">
        <v>4573</v>
      </c>
      <c r="AE842" s="34" t="s">
        <v>3517</v>
      </c>
      <c r="AF842" s="35">
        <v>0</v>
      </c>
    </row>
    <row r="843" spans="19:32" x14ac:dyDescent="0.35">
      <c r="S843" s="34">
        <v>839</v>
      </c>
      <c r="T843" s="34" t="s">
        <v>4284</v>
      </c>
      <c r="U843" s="34" t="s">
        <v>3537</v>
      </c>
      <c r="V843" s="35">
        <v>1.5364</v>
      </c>
      <c r="W843" s="13"/>
      <c r="X843" s="34">
        <v>839</v>
      </c>
      <c r="Y843" s="34" t="s">
        <v>2248</v>
      </c>
      <c r="Z843" s="34" t="s">
        <v>5215</v>
      </c>
      <c r="AA843" s="35">
        <v>2.5362903225806453E-2</v>
      </c>
      <c r="AB843" s="13"/>
      <c r="AC843" s="34">
        <v>839</v>
      </c>
      <c r="AD843" s="34" t="s">
        <v>4573</v>
      </c>
      <c r="AE843" s="34" t="s">
        <v>3515</v>
      </c>
      <c r="AF843" s="35">
        <v>1.2201612903225807E-2</v>
      </c>
    </row>
    <row r="844" spans="19:32" x14ac:dyDescent="0.35">
      <c r="S844" s="34">
        <v>840</v>
      </c>
      <c r="T844" s="34" t="s">
        <v>4284</v>
      </c>
      <c r="U844" s="34" t="s">
        <v>3536</v>
      </c>
      <c r="V844" s="35">
        <v>130.64000000000001</v>
      </c>
      <c r="W844" s="13"/>
      <c r="X844" s="34">
        <v>840</v>
      </c>
      <c r="Y844" s="34" t="s">
        <v>2248</v>
      </c>
      <c r="Z844" s="34" t="s">
        <v>5620</v>
      </c>
      <c r="AA844" s="35">
        <v>9.6310483870967753E-5</v>
      </c>
      <c r="AB844" s="13"/>
      <c r="AC844" s="34">
        <v>840</v>
      </c>
      <c r="AD844" s="34" t="s">
        <v>4573</v>
      </c>
      <c r="AE844" s="34" t="s">
        <v>3515</v>
      </c>
      <c r="AF844" s="35">
        <v>3.0728</v>
      </c>
    </row>
    <row r="845" spans="19:32" x14ac:dyDescent="0.35">
      <c r="S845" s="34">
        <v>841</v>
      </c>
      <c r="T845" s="34" t="s">
        <v>4284</v>
      </c>
      <c r="U845" s="34" t="s">
        <v>3535</v>
      </c>
      <c r="V845" s="35">
        <v>1.8953629032258067E-4</v>
      </c>
      <c r="W845" s="13"/>
      <c r="X845" s="34">
        <v>841</v>
      </c>
      <c r="Y845" s="34" t="s">
        <v>2248</v>
      </c>
      <c r="Z845" s="34" t="s">
        <v>5214</v>
      </c>
      <c r="AA845" s="35">
        <v>5.4838709677419359E-4</v>
      </c>
      <c r="AB845" s="13"/>
      <c r="AC845" s="34">
        <v>841</v>
      </c>
      <c r="AD845" s="34" t="s">
        <v>4573</v>
      </c>
      <c r="AE845" s="34" t="s">
        <v>3514</v>
      </c>
      <c r="AF845" s="35">
        <v>0</v>
      </c>
    </row>
    <row r="846" spans="19:32" x14ac:dyDescent="0.35">
      <c r="S846" s="34">
        <v>842</v>
      </c>
      <c r="T846" s="34" t="s">
        <v>4284</v>
      </c>
      <c r="U846" s="34" t="s">
        <v>3535</v>
      </c>
      <c r="V846" s="35">
        <v>0.18676000000000001</v>
      </c>
      <c r="W846" s="13"/>
      <c r="X846" s="34">
        <v>842</v>
      </c>
      <c r="Y846" s="34" t="s">
        <v>2248</v>
      </c>
      <c r="Z846" s="34" t="s">
        <v>5213</v>
      </c>
      <c r="AA846" s="35">
        <v>3.0504032258064518E-2</v>
      </c>
      <c r="AB846" s="13"/>
      <c r="AC846" s="34">
        <v>842</v>
      </c>
      <c r="AD846" s="34" t="s">
        <v>4573</v>
      </c>
      <c r="AE846" s="34" t="s">
        <v>3512</v>
      </c>
      <c r="AF846" s="35">
        <v>4.6270161290322583E-3</v>
      </c>
    </row>
    <row r="847" spans="19:32" x14ac:dyDescent="0.35">
      <c r="S847" s="34">
        <v>843</v>
      </c>
      <c r="T847" s="34" t="s">
        <v>4284</v>
      </c>
      <c r="U847" s="34" t="s">
        <v>5051</v>
      </c>
      <c r="V847" s="35">
        <v>4.3185483870967746E-4</v>
      </c>
      <c r="W847" s="13"/>
      <c r="X847" s="34">
        <v>843</v>
      </c>
      <c r="Y847" s="34" t="s">
        <v>2248</v>
      </c>
      <c r="Z847" s="34" t="s">
        <v>5212</v>
      </c>
      <c r="AA847" s="35">
        <v>1.6245967741935485E-2</v>
      </c>
      <c r="AB847" s="13"/>
      <c r="AC847" s="34">
        <v>843</v>
      </c>
      <c r="AD847" s="34" t="s">
        <v>4573</v>
      </c>
      <c r="AE847" s="34" t="s">
        <v>3512</v>
      </c>
      <c r="AF847" s="35">
        <v>4.9680000000000002E-3</v>
      </c>
    </row>
    <row r="848" spans="19:32" x14ac:dyDescent="0.35">
      <c r="S848" s="30">
        <v>844</v>
      </c>
      <c r="T848" s="30" t="s">
        <v>4284</v>
      </c>
      <c r="U848" s="30" t="s">
        <v>5619</v>
      </c>
      <c r="V848" s="31">
        <v>3.5960000000000001</v>
      </c>
      <c r="W848" s="13"/>
      <c r="X848" s="34">
        <v>844</v>
      </c>
      <c r="Y848" s="34" t="s">
        <v>2248</v>
      </c>
      <c r="Z848" s="34" t="s">
        <v>5618</v>
      </c>
      <c r="AA848" s="35">
        <v>1.7479838709677422E-2</v>
      </c>
      <c r="AB848" s="13"/>
      <c r="AC848" s="34">
        <v>844</v>
      </c>
      <c r="AD848" s="34" t="s">
        <v>4573</v>
      </c>
      <c r="AE848" s="34" t="s">
        <v>5016</v>
      </c>
      <c r="AF848" s="35">
        <v>7.2318548387096781E-4</v>
      </c>
    </row>
    <row r="849" spans="19:32" x14ac:dyDescent="0.35">
      <c r="S849" s="30">
        <v>845</v>
      </c>
      <c r="T849" s="30" t="s">
        <v>4284</v>
      </c>
      <c r="U849" s="30" t="s">
        <v>5617</v>
      </c>
      <c r="V849" s="31">
        <v>0.81200000000000006</v>
      </c>
      <c r="W849" s="17"/>
      <c r="X849" s="34">
        <v>845</v>
      </c>
      <c r="Y849" s="34" t="s">
        <v>2248</v>
      </c>
      <c r="Z849" s="34" t="s">
        <v>3606</v>
      </c>
      <c r="AA849" s="35">
        <v>0.14904000000000001</v>
      </c>
      <c r="AB849" s="13"/>
      <c r="AC849" s="34">
        <v>845</v>
      </c>
      <c r="AD849" s="34" t="s">
        <v>4573</v>
      </c>
      <c r="AE849" s="34" t="s">
        <v>5015</v>
      </c>
      <c r="AF849" s="35">
        <v>8.8084677419354848E-4</v>
      </c>
    </row>
    <row r="850" spans="19:32" x14ac:dyDescent="0.35">
      <c r="S850" s="30">
        <v>846</v>
      </c>
      <c r="T850" s="30" t="s">
        <v>4284</v>
      </c>
      <c r="U850" s="30" t="s">
        <v>5616</v>
      </c>
      <c r="V850" s="31">
        <v>3.1320000000000001</v>
      </c>
      <c r="W850" s="17"/>
      <c r="X850" s="34">
        <v>846</v>
      </c>
      <c r="Y850" s="34" t="s">
        <v>2248</v>
      </c>
      <c r="Z850" s="34" t="s">
        <v>5211</v>
      </c>
      <c r="AA850" s="35">
        <v>1.5389112903225807E-3</v>
      </c>
      <c r="AB850" s="13"/>
      <c r="AC850" s="34">
        <v>846</v>
      </c>
      <c r="AD850" s="34" t="s">
        <v>4573</v>
      </c>
      <c r="AE850" s="34" t="s">
        <v>5014</v>
      </c>
      <c r="AF850" s="35">
        <v>39.072580645161295</v>
      </c>
    </row>
    <row r="851" spans="19:32" x14ac:dyDescent="0.35">
      <c r="S851" s="30">
        <v>847</v>
      </c>
      <c r="T851" s="30" t="s">
        <v>4284</v>
      </c>
      <c r="U851" s="30" t="s">
        <v>5615</v>
      </c>
      <c r="V851" s="31">
        <v>6.032</v>
      </c>
      <c r="W851" s="17"/>
      <c r="X851" s="34">
        <v>847</v>
      </c>
      <c r="Y851" s="34" t="s">
        <v>2248</v>
      </c>
      <c r="Z851" s="34" t="s">
        <v>5614</v>
      </c>
      <c r="AA851" s="35">
        <v>0.12098790322580646</v>
      </c>
      <c r="AB851" s="13"/>
      <c r="AC851" s="34">
        <v>847</v>
      </c>
      <c r="AD851" s="34" t="s">
        <v>4573</v>
      </c>
      <c r="AE851" s="34" t="s">
        <v>3510</v>
      </c>
      <c r="AF851" s="35">
        <v>2.9348000000000001</v>
      </c>
    </row>
    <row r="852" spans="19:32" x14ac:dyDescent="0.35">
      <c r="S852" s="30">
        <v>848</v>
      </c>
      <c r="T852" s="30" t="s">
        <v>4284</v>
      </c>
      <c r="U852" s="30" t="s">
        <v>5613</v>
      </c>
      <c r="V852" s="31">
        <v>0.34800000000000003</v>
      </c>
      <c r="W852" s="17"/>
      <c r="X852" s="34">
        <v>848</v>
      </c>
      <c r="Y852" s="34" t="s">
        <v>2248</v>
      </c>
      <c r="Z852" s="34" t="s">
        <v>5210</v>
      </c>
      <c r="AA852" s="35">
        <v>6.8205645161290331E-3</v>
      </c>
      <c r="AB852" s="13"/>
      <c r="AC852" s="34">
        <v>848</v>
      </c>
      <c r="AD852" s="34" t="s">
        <v>4573</v>
      </c>
      <c r="AE852" s="34" t="s">
        <v>3509</v>
      </c>
      <c r="AF852" s="35">
        <v>28887.999999999996</v>
      </c>
    </row>
    <row r="853" spans="19:32" x14ac:dyDescent="0.35">
      <c r="S853" s="30">
        <v>849</v>
      </c>
      <c r="T853" s="30" t="s">
        <v>4284</v>
      </c>
      <c r="U853" s="30" t="s">
        <v>5612</v>
      </c>
      <c r="V853" s="31">
        <v>0.23200000000000001</v>
      </c>
      <c r="W853" s="13"/>
      <c r="X853" s="34">
        <v>849</v>
      </c>
      <c r="Y853" s="34" t="s">
        <v>2248</v>
      </c>
      <c r="Z853" s="34" t="s">
        <v>3603</v>
      </c>
      <c r="AA853" s="35">
        <v>3.3304E-2</v>
      </c>
      <c r="AB853" s="13"/>
      <c r="AC853" s="34">
        <v>849</v>
      </c>
      <c r="AD853" s="34" t="s">
        <v>4573</v>
      </c>
      <c r="AE853" s="34" t="s">
        <v>3507</v>
      </c>
      <c r="AF853" s="35">
        <v>1.4086693548387097</v>
      </c>
    </row>
    <row r="854" spans="19:32" x14ac:dyDescent="0.35">
      <c r="S854" s="30">
        <v>850</v>
      </c>
      <c r="T854" s="30" t="s">
        <v>4284</v>
      </c>
      <c r="U854" s="30" t="s">
        <v>5611</v>
      </c>
      <c r="V854" s="31">
        <v>0.23200000000000001</v>
      </c>
      <c r="W854" s="13"/>
      <c r="X854" s="34">
        <v>850</v>
      </c>
      <c r="Y854" s="34" t="s">
        <v>2248</v>
      </c>
      <c r="Z854" s="34" t="s">
        <v>5610</v>
      </c>
      <c r="AA854" s="35">
        <v>7.1975806451612912E-4</v>
      </c>
      <c r="AB854" s="13"/>
      <c r="AC854" s="34">
        <v>850</v>
      </c>
      <c r="AD854" s="34" t="s">
        <v>4573</v>
      </c>
      <c r="AE854" s="34" t="s">
        <v>3507</v>
      </c>
      <c r="AF854" s="35">
        <v>27048</v>
      </c>
    </row>
    <row r="855" spans="19:32" x14ac:dyDescent="0.35">
      <c r="S855" s="30">
        <v>851</v>
      </c>
      <c r="T855" s="30" t="s">
        <v>4284</v>
      </c>
      <c r="U855" s="30" t="s">
        <v>5609</v>
      </c>
      <c r="V855" s="31">
        <v>0.23200000000000001</v>
      </c>
      <c r="W855" s="13"/>
      <c r="X855" s="34">
        <v>851</v>
      </c>
      <c r="Y855" s="34" t="s">
        <v>2248</v>
      </c>
      <c r="Z855" s="34" t="s">
        <v>5209</v>
      </c>
      <c r="AA855" s="35">
        <v>3.7358870967741939E-3</v>
      </c>
      <c r="AB855" s="13"/>
      <c r="AC855" s="34">
        <v>851</v>
      </c>
      <c r="AD855" s="34" t="s">
        <v>4573</v>
      </c>
      <c r="AE855" s="34" t="s">
        <v>3506</v>
      </c>
      <c r="AF855" s="35">
        <v>0</v>
      </c>
    </row>
    <row r="856" spans="19:32" x14ac:dyDescent="0.35">
      <c r="S856" s="30">
        <v>852</v>
      </c>
      <c r="T856" s="30" t="s">
        <v>4284</v>
      </c>
      <c r="U856" s="30" t="s">
        <v>5608</v>
      </c>
      <c r="V856" s="31">
        <v>0.23200000000000001</v>
      </c>
      <c r="W856" s="13"/>
      <c r="X856" s="34">
        <v>852</v>
      </c>
      <c r="Y856" s="34" t="s">
        <v>2248</v>
      </c>
      <c r="Z856" s="34" t="s">
        <v>5208</v>
      </c>
      <c r="AA856" s="35">
        <v>6.1008064516129043E-4</v>
      </c>
      <c r="AB856" s="13"/>
      <c r="AC856" s="34">
        <v>852</v>
      </c>
      <c r="AD856" s="34" t="s">
        <v>4573</v>
      </c>
      <c r="AE856" s="34" t="s">
        <v>5013</v>
      </c>
      <c r="AF856" s="35">
        <v>2.6082661290322582</v>
      </c>
    </row>
    <row r="857" spans="19:32" x14ac:dyDescent="0.35">
      <c r="S857" s="34">
        <v>853</v>
      </c>
      <c r="T857" s="34" t="s">
        <v>4284</v>
      </c>
      <c r="U857" s="34" t="s">
        <v>3534</v>
      </c>
      <c r="V857" s="35">
        <v>34.5</v>
      </c>
      <c r="W857" s="13"/>
      <c r="X857" s="34">
        <v>853</v>
      </c>
      <c r="Y857" s="34" t="s">
        <v>2248</v>
      </c>
      <c r="Z857" s="34" t="s">
        <v>5207</v>
      </c>
      <c r="AA857" s="35">
        <v>9.4939516129032258E-4</v>
      </c>
      <c r="AB857" s="13"/>
      <c r="AC857" s="34">
        <v>853</v>
      </c>
      <c r="AD857" s="34" t="s">
        <v>4573</v>
      </c>
      <c r="AE857" s="34" t="s">
        <v>3504</v>
      </c>
      <c r="AF857" s="35">
        <v>0</v>
      </c>
    </row>
    <row r="858" spans="19:32" x14ac:dyDescent="0.35">
      <c r="S858" s="34">
        <v>854</v>
      </c>
      <c r="T858" s="34" t="s">
        <v>4284</v>
      </c>
      <c r="U858" s="34" t="s">
        <v>3533</v>
      </c>
      <c r="V858" s="35">
        <v>2.8887999999999998</v>
      </c>
      <c r="W858" s="13"/>
      <c r="X858" s="34">
        <v>854</v>
      </c>
      <c r="Y858" s="34" t="s">
        <v>2248</v>
      </c>
      <c r="Z858" s="34" t="s">
        <v>5607</v>
      </c>
      <c r="AA858" s="35">
        <v>1.240725806451613E-6</v>
      </c>
      <c r="AB858" s="13"/>
      <c r="AC858" s="34">
        <v>854</v>
      </c>
      <c r="AD858" s="34" t="s">
        <v>4573</v>
      </c>
      <c r="AE858" s="34" t="s">
        <v>5012</v>
      </c>
      <c r="AF858" s="35">
        <v>1.4223790322580646E-2</v>
      </c>
    </row>
    <row r="859" spans="19:32" x14ac:dyDescent="0.35">
      <c r="S859" s="41">
        <v>855</v>
      </c>
      <c r="T859" s="41" t="s">
        <v>4284</v>
      </c>
      <c r="U859" s="41" t="s">
        <v>5050</v>
      </c>
      <c r="V859" s="42">
        <v>0.87739999999999996</v>
      </c>
      <c r="W859" s="13"/>
      <c r="X859" s="34">
        <v>855</v>
      </c>
      <c r="Y859" s="34" t="s">
        <v>2248</v>
      </c>
      <c r="Z859" s="34" t="s">
        <v>5206</v>
      </c>
      <c r="AA859" s="35">
        <v>2.659677419354839E-4</v>
      </c>
      <c r="AB859" s="13"/>
      <c r="AC859" s="34">
        <v>855</v>
      </c>
      <c r="AD859" s="34" t="s">
        <v>4573</v>
      </c>
      <c r="AE859" s="34" t="s">
        <v>5011</v>
      </c>
      <c r="AF859" s="35">
        <v>2.0701612903225808E-2</v>
      </c>
    </row>
    <row r="860" spans="19:32" x14ac:dyDescent="0.35">
      <c r="S860" s="34">
        <v>856</v>
      </c>
      <c r="T860" s="34" t="s">
        <v>4284</v>
      </c>
      <c r="U860" s="34" t="s">
        <v>5050</v>
      </c>
      <c r="V860" s="35">
        <v>7.5403225806451631E-5</v>
      </c>
      <c r="W860" s="13"/>
      <c r="X860" s="34">
        <v>856</v>
      </c>
      <c r="Y860" s="34" t="s">
        <v>2248</v>
      </c>
      <c r="Z860" s="34" t="s">
        <v>5204</v>
      </c>
      <c r="AA860" s="35">
        <v>1.1447580645161291E-2</v>
      </c>
      <c r="AB860" s="13"/>
      <c r="AC860" s="34">
        <v>856</v>
      </c>
      <c r="AD860" s="34" t="s">
        <v>4573</v>
      </c>
      <c r="AE860" s="34" t="s">
        <v>5010</v>
      </c>
      <c r="AF860" s="35">
        <v>5.7580645161290328E-2</v>
      </c>
    </row>
    <row r="861" spans="19:32" x14ac:dyDescent="0.35">
      <c r="S861" s="34">
        <v>857</v>
      </c>
      <c r="T861" s="34" t="s">
        <v>4284</v>
      </c>
      <c r="U861" s="34" t="s">
        <v>5049</v>
      </c>
      <c r="V861" s="35">
        <v>0.10008064516129032</v>
      </c>
      <c r="W861" s="13"/>
      <c r="X861" s="34">
        <v>857</v>
      </c>
      <c r="Y861" s="34" t="s">
        <v>2248</v>
      </c>
      <c r="Z861" s="34" t="s">
        <v>5606</v>
      </c>
      <c r="AA861" s="35">
        <v>2.0358870967741936E-2</v>
      </c>
      <c r="AB861" s="13"/>
      <c r="AC861" s="34">
        <v>857</v>
      </c>
      <c r="AD861" s="34" t="s">
        <v>4573</v>
      </c>
      <c r="AE861" s="34" t="s">
        <v>3503</v>
      </c>
      <c r="AF861" s="35">
        <v>1.6108870967741937</v>
      </c>
    </row>
    <row r="862" spans="19:32" x14ac:dyDescent="0.35">
      <c r="S862" s="34">
        <v>858</v>
      </c>
      <c r="T862" s="34" t="s">
        <v>4284</v>
      </c>
      <c r="U862" s="34" t="s">
        <v>5048</v>
      </c>
      <c r="V862" s="35">
        <v>2.5979838709677423E-4</v>
      </c>
      <c r="W862" s="13"/>
      <c r="X862" s="34">
        <v>858</v>
      </c>
      <c r="Y862" s="34" t="s">
        <v>2248</v>
      </c>
      <c r="Z862" s="34" t="s">
        <v>3601</v>
      </c>
      <c r="AA862" s="35">
        <v>1.6008</v>
      </c>
      <c r="AB862" s="13"/>
      <c r="AC862" s="34">
        <v>858</v>
      </c>
      <c r="AD862" s="34" t="s">
        <v>4573</v>
      </c>
      <c r="AE862" s="34" t="s">
        <v>3503</v>
      </c>
      <c r="AF862" s="35">
        <v>0</v>
      </c>
    </row>
    <row r="863" spans="19:32" x14ac:dyDescent="0.35">
      <c r="S863" s="34">
        <v>859</v>
      </c>
      <c r="T863" s="34" t="s">
        <v>4284</v>
      </c>
      <c r="U863" s="34" t="s">
        <v>5047</v>
      </c>
      <c r="V863" s="35">
        <v>2.988709677419355E-3</v>
      </c>
      <c r="W863" s="13"/>
      <c r="X863" s="34">
        <v>859</v>
      </c>
      <c r="Y863" s="34" t="s">
        <v>2248</v>
      </c>
      <c r="Z863" s="34" t="s">
        <v>5203</v>
      </c>
      <c r="AA863" s="35">
        <v>2.3854838709677419E-6</v>
      </c>
      <c r="AB863" s="13"/>
      <c r="AC863" s="34">
        <v>859</v>
      </c>
      <c r="AD863" s="34" t="s">
        <v>4573</v>
      </c>
      <c r="AE863" s="34" t="s">
        <v>5009</v>
      </c>
      <c r="AF863" s="35">
        <v>1.0556451612903226</v>
      </c>
    </row>
    <row r="864" spans="19:32" x14ac:dyDescent="0.35">
      <c r="S864" s="34">
        <v>860</v>
      </c>
      <c r="T864" s="34" t="s">
        <v>4284</v>
      </c>
      <c r="U864" s="34" t="s">
        <v>3532</v>
      </c>
      <c r="V864" s="35">
        <v>0</v>
      </c>
      <c r="W864" s="13"/>
      <c r="X864" s="34">
        <v>860</v>
      </c>
      <c r="Y864" s="34" t="s">
        <v>2248</v>
      </c>
      <c r="Z864" s="34" t="s">
        <v>5605</v>
      </c>
      <c r="AA864" s="35">
        <v>1.9056451612903227E-5</v>
      </c>
      <c r="AB864" s="13"/>
      <c r="AC864" s="34">
        <v>860</v>
      </c>
      <c r="AD864" s="34" t="s">
        <v>4573</v>
      </c>
      <c r="AE864" s="34" t="s">
        <v>5008</v>
      </c>
      <c r="AF864" s="35">
        <v>0.32217741935483873</v>
      </c>
    </row>
    <row r="865" spans="19:32" x14ac:dyDescent="0.35">
      <c r="S865" s="34">
        <v>861</v>
      </c>
      <c r="T865" s="34" t="s">
        <v>4284</v>
      </c>
      <c r="U865" s="34" t="s">
        <v>5046</v>
      </c>
      <c r="V865" s="35">
        <v>7.4032258064516136E-4</v>
      </c>
      <c r="W865" s="13"/>
      <c r="X865" s="34">
        <v>861</v>
      </c>
      <c r="Y865" s="34" t="s">
        <v>2248</v>
      </c>
      <c r="Z865" s="34" t="s">
        <v>5202</v>
      </c>
      <c r="AA865" s="35">
        <v>3.9072580645161292E-4</v>
      </c>
      <c r="AB865" s="13"/>
      <c r="AC865" s="34">
        <v>861</v>
      </c>
      <c r="AD865" s="34" t="s">
        <v>4573</v>
      </c>
      <c r="AE865" s="34" t="s">
        <v>3501</v>
      </c>
      <c r="AF865" s="35">
        <v>9.185483870967742</v>
      </c>
    </row>
    <row r="866" spans="19:32" x14ac:dyDescent="0.35">
      <c r="S866" s="34">
        <v>862</v>
      </c>
      <c r="T866" s="34" t="s">
        <v>4284</v>
      </c>
      <c r="U866" s="34" t="s">
        <v>3531</v>
      </c>
      <c r="V866" s="35">
        <v>1.9913306451612903E-4</v>
      </c>
      <c r="W866" s="13"/>
      <c r="X866" s="34">
        <v>862</v>
      </c>
      <c r="Y866" s="34" t="s">
        <v>2248</v>
      </c>
      <c r="Z866" s="34" t="s">
        <v>5201</v>
      </c>
      <c r="AA866" s="35">
        <v>2.0804435483870971E-4</v>
      </c>
      <c r="AB866" s="13"/>
      <c r="AC866" s="34">
        <v>862</v>
      </c>
      <c r="AD866" s="34" t="s">
        <v>4573</v>
      </c>
      <c r="AE866" s="34" t="s">
        <v>3501</v>
      </c>
      <c r="AF866" s="35">
        <v>1508.8</v>
      </c>
    </row>
    <row r="867" spans="19:32" x14ac:dyDescent="0.35">
      <c r="S867" s="34">
        <v>863</v>
      </c>
      <c r="T867" s="34" t="s">
        <v>4284</v>
      </c>
      <c r="U867" s="34" t="s">
        <v>3531</v>
      </c>
      <c r="V867" s="35">
        <v>0.55843999999999994</v>
      </c>
      <c r="W867" s="13"/>
      <c r="X867" s="34">
        <v>863</v>
      </c>
      <c r="Y867" s="34" t="s">
        <v>2248</v>
      </c>
      <c r="Z867" s="34" t="s">
        <v>5198</v>
      </c>
      <c r="AA867" s="35">
        <v>6.6834677419354841E-5</v>
      </c>
      <c r="AB867" s="13"/>
      <c r="AC867" s="34">
        <v>863</v>
      </c>
      <c r="AD867" s="34" t="s">
        <v>4573</v>
      </c>
      <c r="AE867" s="34" t="s">
        <v>5007</v>
      </c>
      <c r="AF867" s="35">
        <v>0.63750000000000007</v>
      </c>
    </row>
    <row r="868" spans="19:32" x14ac:dyDescent="0.35">
      <c r="S868" s="34">
        <v>864</v>
      </c>
      <c r="T868" s="34" t="s">
        <v>4284</v>
      </c>
      <c r="U868" s="34" t="s">
        <v>5045</v>
      </c>
      <c r="V868" s="35">
        <v>1.2715725806451613E-5</v>
      </c>
      <c r="W868" s="13"/>
      <c r="X868" s="34">
        <v>864</v>
      </c>
      <c r="Y868" s="34" t="s">
        <v>2248</v>
      </c>
      <c r="Z868" s="34" t="s">
        <v>5604</v>
      </c>
      <c r="AA868" s="35">
        <v>4.9697580645161295E-5</v>
      </c>
      <c r="AB868" s="13"/>
      <c r="AC868" s="34">
        <v>864</v>
      </c>
      <c r="AD868" s="34" t="s">
        <v>4573</v>
      </c>
      <c r="AE868" s="34" t="s">
        <v>5006</v>
      </c>
      <c r="AF868" s="35">
        <v>4.0443548387096774E-2</v>
      </c>
    </row>
    <row r="869" spans="19:32" x14ac:dyDescent="0.35">
      <c r="S869" s="34">
        <v>865</v>
      </c>
      <c r="T869" s="34" t="s">
        <v>4284</v>
      </c>
      <c r="U869" s="34" t="s">
        <v>5044</v>
      </c>
      <c r="V869" s="35">
        <v>4.7298387096774191E-5</v>
      </c>
      <c r="W869" s="17"/>
      <c r="X869" s="34">
        <v>865</v>
      </c>
      <c r="Y869" s="34" t="s">
        <v>2248</v>
      </c>
      <c r="Z869" s="34" t="s">
        <v>3600</v>
      </c>
      <c r="AA869" s="35">
        <v>1.3615999999999999</v>
      </c>
      <c r="AB869" s="13"/>
      <c r="AC869" s="34">
        <v>865</v>
      </c>
      <c r="AD869" s="34" t="s">
        <v>4573</v>
      </c>
      <c r="AE869" s="34" t="s">
        <v>5005</v>
      </c>
      <c r="AF869" s="35">
        <v>9.5967741935483873E-5</v>
      </c>
    </row>
    <row r="870" spans="19:32" x14ac:dyDescent="0.35">
      <c r="S870" s="34">
        <v>866</v>
      </c>
      <c r="T870" s="34" t="s">
        <v>4284</v>
      </c>
      <c r="U870" s="34" t="s">
        <v>5043</v>
      </c>
      <c r="V870" s="35">
        <v>8.2258064516129036E-5</v>
      </c>
      <c r="W870" s="17"/>
      <c r="X870" s="34">
        <v>866</v>
      </c>
      <c r="Y870" s="34" t="s">
        <v>2248</v>
      </c>
      <c r="Z870" s="34" t="s">
        <v>3597</v>
      </c>
      <c r="AA870" s="35">
        <v>15.731999999999999</v>
      </c>
      <c r="AB870" s="13"/>
      <c r="AC870" s="34">
        <v>866</v>
      </c>
      <c r="AD870" s="34" t="s">
        <v>4573</v>
      </c>
      <c r="AE870" s="34" t="s">
        <v>5004</v>
      </c>
      <c r="AF870" s="35">
        <v>5.895161290322581E-5</v>
      </c>
    </row>
    <row r="871" spans="19:32" x14ac:dyDescent="0.35">
      <c r="S871" s="34">
        <v>867</v>
      </c>
      <c r="T871" s="34" t="s">
        <v>4284</v>
      </c>
      <c r="U871" s="34" t="s">
        <v>5042</v>
      </c>
      <c r="V871" s="35">
        <v>3.4205645161290328E-2</v>
      </c>
      <c r="W871" s="17"/>
      <c r="X871" s="34">
        <v>867</v>
      </c>
      <c r="Y871" s="34" t="s">
        <v>2248</v>
      </c>
      <c r="Z871" s="34" t="s">
        <v>5603</v>
      </c>
      <c r="AA871" s="35">
        <v>5.3467741935483873E-4</v>
      </c>
      <c r="AB871" s="13"/>
      <c r="AC871" s="34">
        <v>867</v>
      </c>
      <c r="AD871" s="34" t="s">
        <v>4573</v>
      </c>
      <c r="AE871" s="34" t="s">
        <v>5003</v>
      </c>
      <c r="AF871" s="35">
        <v>7.1633064516129039E-2</v>
      </c>
    </row>
    <row r="872" spans="19:32" x14ac:dyDescent="0.35">
      <c r="S872" s="34">
        <v>868</v>
      </c>
      <c r="T872" s="34" t="s">
        <v>4284</v>
      </c>
      <c r="U872" s="34" t="s">
        <v>5040</v>
      </c>
      <c r="V872" s="35">
        <v>2.0016129032258064E-4</v>
      </c>
      <c r="W872" s="13"/>
      <c r="X872" s="34">
        <v>868</v>
      </c>
      <c r="Y872" s="34" t="s">
        <v>2248</v>
      </c>
      <c r="Z872" s="34" t="s">
        <v>5197</v>
      </c>
      <c r="AA872" s="35">
        <v>2.5842741935483875E-3</v>
      </c>
      <c r="AB872" s="13"/>
      <c r="AC872" s="34">
        <v>868</v>
      </c>
      <c r="AD872" s="34" t="s">
        <v>4573</v>
      </c>
      <c r="AE872" s="34" t="s">
        <v>3499</v>
      </c>
      <c r="AF872" s="35">
        <v>0</v>
      </c>
    </row>
    <row r="873" spans="19:32" x14ac:dyDescent="0.35">
      <c r="S873" s="34">
        <v>869</v>
      </c>
      <c r="T873" s="34" t="s">
        <v>4284</v>
      </c>
      <c r="U873" s="34" t="s">
        <v>5039</v>
      </c>
      <c r="V873" s="35">
        <v>8.0544354838709692E-5</v>
      </c>
      <c r="W873" s="13"/>
      <c r="X873" s="34">
        <v>869</v>
      </c>
      <c r="Y873" s="34" t="s">
        <v>2248</v>
      </c>
      <c r="Z873" s="34" t="s">
        <v>5195</v>
      </c>
      <c r="AA873" s="35">
        <v>6.9919354838709677E-4</v>
      </c>
      <c r="AB873" s="13"/>
      <c r="AC873" s="34">
        <v>869</v>
      </c>
      <c r="AD873" s="34" t="s">
        <v>4573</v>
      </c>
      <c r="AE873" s="34" t="s">
        <v>5002</v>
      </c>
      <c r="AF873" s="35">
        <v>36.330645161290327</v>
      </c>
    </row>
    <row r="874" spans="19:32" x14ac:dyDescent="0.35">
      <c r="S874" s="34">
        <v>870</v>
      </c>
      <c r="T874" s="34" t="s">
        <v>4284</v>
      </c>
      <c r="U874" s="34" t="s">
        <v>5038</v>
      </c>
      <c r="V874" s="35">
        <v>3.1120967741935485E-2</v>
      </c>
      <c r="W874" s="13"/>
      <c r="X874" s="34">
        <v>870</v>
      </c>
      <c r="Y874" s="34" t="s">
        <v>2248</v>
      </c>
      <c r="Z874" s="34" t="s">
        <v>5193</v>
      </c>
      <c r="AA874" s="35">
        <v>2.3443548387096775E-4</v>
      </c>
      <c r="AB874" s="13"/>
      <c r="AC874" s="34">
        <v>870</v>
      </c>
      <c r="AD874" s="34" t="s">
        <v>4573</v>
      </c>
      <c r="AE874" s="34" t="s">
        <v>3498</v>
      </c>
      <c r="AF874" s="35">
        <v>0.23923387096774196</v>
      </c>
    </row>
    <row r="875" spans="19:32" x14ac:dyDescent="0.35">
      <c r="S875" s="41">
        <v>871</v>
      </c>
      <c r="T875" s="41" t="s">
        <v>4284</v>
      </c>
      <c r="U875" s="41" t="s">
        <v>5037</v>
      </c>
      <c r="V875" s="42">
        <v>0.85064999999999991</v>
      </c>
      <c r="W875" s="13"/>
      <c r="X875" s="34">
        <v>871</v>
      </c>
      <c r="Y875" s="34" t="s">
        <v>2248</v>
      </c>
      <c r="Z875" s="34" t="s">
        <v>5602</v>
      </c>
      <c r="AA875" s="35">
        <v>1.9090725806451616E-4</v>
      </c>
      <c r="AB875" s="13"/>
      <c r="AC875" s="34">
        <v>871</v>
      </c>
      <c r="AD875" s="34" t="s">
        <v>4573</v>
      </c>
      <c r="AE875" s="34" t="s">
        <v>3498</v>
      </c>
      <c r="AF875" s="35">
        <v>0</v>
      </c>
    </row>
    <row r="876" spans="19:32" x14ac:dyDescent="0.35">
      <c r="S876" s="34">
        <v>872</v>
      </c>
      <c r="T876" s="34" t="s">
        <v>4284</v>
      </c>
      <c r="U876" s="34" t="s">
        <v>5037</v>
      </c>
      <c r="V876" s="35">
        <v>1.7274193548387099E-6</v>
      </c>
      <c r="W876" s="13"/>
      <c r="X876" s="34">
        <v>872</v>
      </c>
      <c r="Y876" s="34" t="s">
        <v>2248</v>
      </c>
      <c r="Z876" s="34" t="s">
        <v>3596</v>
      </c>
      <c r="AA876" s="35">
        <v>0</v>
      </c>
      <c r="AB876" s="13"/>
      <c r="AC876" s="34">
        <v>872</v>
      </c>
      <c r="AD876" s="34" t="s">
        <v>4573</v>
      </c>
      <c r="AE876" s="34" t="s">
        <v>3496</v>
      </c>
      <c r="AF876" s="35">
        <v>5.1411290322580646E-3</v>
      </c>
    </row>
    <row r="877" spans="19:32" x14ac:dyDescent="0.35">
      <c r="S877" s="34">
        <v>873</v>
      </c>
      <c r="T877" s="34" t="s">
        <v>4284</v>
      </c>
      <c r="U877" s="34" t="s">
        <v>3529</v>
      </c>
      <c r="V877" s="35">
        <v>18.86</v>
      </c>
      <c r="W877" s="13"/>
      <c r="X877" s="34">
        <v>873</v>
      </c>
      <c r="Y877" s="34" t="s">
        <v>2248</v>
      </c>
      <c r="Z877" s="34" t="s">
        <v>3594</v>
      </c>
      <c r="AA877" s="35">
        <v>3.0267999999999996E-2</v>
      </c>
      <c r="AB877" s="13"/>
      <c r="AC877" s="34">
        <v>873</v>
      </c>
      <c r="AD877" s="34" t="s">
        <v>4573</v>
      </c>
      <c r="AE877" s="34" t="s">
        <v>3496</v>
      </c>
      <c r="AF877" s="35">
        <v>0</v>
      </c>
    </row>
    <row r="878" spans="19:32" x14ac:dyDescent="0.35">
      <c r="S878" s="34">
        <v>874</v>
      </c>
      <c r="T878" s="34" t="s">
        <v>4284</v>
      </c>
      <c r="U878" s="34" t="s">
        <v>3528</v>
      </c>
      <c r="V878" s="35">
        <v>1.5731854838709678E-5</v>
      </c>
      <c r="W878" s="13"/>
      <c r="X878" s="34">
        <v>874</v>
      </c>
      <c r="Y878" s="34" t="s">
        <v>2248</v>
      </c>
      <c r="Z878" s="34" t="s">
        <v>5601</v>
      </c>
      <c r="AA878" s="35">
        <v>4.3185483870967749E-5</v>
      </c>
      <c r="AB878" s="13"/>
      <c r="AC878" s="34">
        <v>874</v>
      </c>
      <c r="AD878" s="34" t="s">
        <v>4573</v>
      </c>
      <c r="AE878" s="34" t="s">
        <v>5000</v>
      </c>
      <c r="AF878" s="35">
        <v>0.15389112903225807</v>
      </c>
    </row>
    <row r="879" spans="19:32" x14ac:dyDescent="0.35">
      <c r="S879" s="34">
        <v>875</v>
      </c>
      <c r="T879" s="34" t="s">
        <v>4284</v>
      </c>
      <c r="U879" s="34" t="s">
        <v>3528</v>
      </c>
      <c r="V879" s="35">
        <v>0</v>
      </c>
      <c r="W879" s="13"/>
      <c r="X879" s="34">
        <v>875</v>
      </c>
      <c r="Y879" s="34" t="s">
        <v>2248</v>
      </c>
      <c r="Z879" s="34" t="s">
        <v>5191</v>
      </c>
      <c r="AA879" s="35">
        <v>1.4223790322580646E-3</v>
      </c>
      <c r="AB879" s="13"/>
      <c r="AC879" s="34">
        <v>875</v>
      </c>
      <c r="AD879" s="34" t="s">
        <v>4573</v>
      </c>
      <c r="AE879" s="34" t="s">
        <v>4999</v>
      </c>
      <c r="AF879" s="35">
        <v>1.8747983870967742E-2</v>
      </c>
    </row>
    <row r="880" spans="19:32" x14ac:dyDescent="0.35">
      <c r="S880" s="34">
        <v>876</v>
      </c>
      <c r="T880" s="34" t="s">
        <v>4284</v>
      </c>
      <c r="U880" s="34" t="s">
        <v>3526</v>
      </c>
      <c r="V880" s="35">
        <v>0.10488</v>
      </c>
      <c r="W880" s="13"/>
      <c r="X880" s="34">
        <v>876</v>
      </c>
      <c r="Y880" s="34" t="s">
        <v>2248</v>
      </c>
      <c r="Z880" s="34" t="s">
        <v>5187</v>
      </c>
      <c r="AA880" s="35">
        <v>2.3923387096774196E-4</v>
      </c>
      <c r="AB880" s="13"/>
      <c r="AC880" s="34">
        <v>876</v>
      </c>
      <c r="AD880" s="34" t="s">
        <v>4573</v>
      </c>
      <c r="AE880" s="34" t="s">
        <v>4998</v>
      </c>
      <c r="AF880" s="35">
        <v>5.8608870967741949E-4</v>
      </c>
    </row>
    <row r="881" spans="19:32" x14ac:dyDescent="0.35">
      <c r="S881" s="34">
        <v>877</v>
      </c>
      <c r="T881" s="34" t="s">
        <v>4284</v>
      </c>
      <c r="U881" s="34" t="s">
        <v>5036</v>
      </c>
      <c r="V881" s="35">
        <v>6.6149193548387095E-5</v>
      </c>
      <c r="W881" s="13"/>
      <c r="X881" s="34">
        <v>877</v>
      </c>
      <c r="Y881" s="34" t="s">
        <v>2248</v>
      </c>
      <c r="Z881" s="34" t="s">
        <v>5600</v>
      </c>
      <c r="AA881" s="35">
        <v>3.094959677419355E-3</v>
      </c>
      <c r="AB881" s="13"/>
      <c r="AC881" s="34">
        <v>877</v>
      </c>
      <c r="AD881" s="34" t="s">
        <v>4573</v>
      </c>
      <c r="AE881" s="34" t="s">
        <v>4997</v>
      </c>
      <c r="AF881" s="35">
        <v>1.1104838709677419E-3</v>
      </c>
    </row>
    <row r="882" spans="19:32" x14ac:dyDescent="0.35">
      <c r="S882" s="34">
        <v>878</v>
      </c>
      <c r="T882" s="34" t="s">
        <v>4284</v>
      </c>
      <c r="U882" s="34" t="s">
        <v>5035</v>
      </c>
      <c r="V882" s="35">
        <v>1.4737903225806452E-4</v>
      </c>
      <c r="W882" s="13"/>
      <c r="X882" s="34">
        <v>878</v>
      </c>
      <c r="Y882" s="34" t="s">
        <v>2248</v>
      </c>
      <c r="Z882" s="34" t="s">
        <v>5185</v>
      </c>
      <c r="AA882" s="35">
        <v>5.3125000000000004E-5</v>
      </c>
      <c r="AB882" s="13"/>
      <c r="AC882" s="34">
        <v>878</v>
      </c>
      <c r="AD882" s="34" t="s">
        <v>4573</v>
      </c>
      <c r="AE882" s="34" t="s">
        <v>4996</v>
      </c>
      <c r="AF882" s="35">
        <v>4.112903225806452</v>
      </c>
    </row>
    <row r="883" spans="19:32" x14ac:dyDescent="0.35">
      <c r="S883" s="34">
        <v>879</v>
      </c>
      <c r="T883" s="34" t="s">
        <v>4284</v>
      </c>
      <c r="U883" s="34" t="s">
        <v>5031</v>
      </c>
      <c r="V883" s="35">
        <v>1.4429435483870968E-4</v>
      </c>
      <c r="W883" s="13"/>
      <c r="X883" s="34">
        <v>879</v>
      </c>
      <c r="Y883" s="34" t="s">
        <v>2248</v>
      </c>
      <c r="Z883" s="34" t="s">
        <v>5182</v>
      </c>
      <c r="AA883" s="35">
        <v>1.3435483870967743E-3</v>
      </c>
      <c r="AB883" s="13"/>
      <c r="AC883" s="34">
        <v>879</v>
      </c>
      <c r="AD883" s="34" t="s">
        <v>4573</v>
      </c>
      <c r="AE883" s="34" t="s">
        <v>4994</v>
      </c>
      <c r="AF883" s="35">
        <v>1199.5967741935485</v>
      </c>
    </row>
    <row r="884" spans="19:32" x14ac:dyDescent="0.35">
      <c r="S884" s="34">
        <v>880</v>
      </c>
      <c r="T884" s="34" t="s">
        <v>4284</v>
      </c>
      <c r="U884" s="34" t="s">
        <v>3524</v>
      </c>
      <c r="V884" s="35">
        <v>58.42</v>
      </c>
      <c r="W884" s="13"/>
      <c r="X884" s="34">
        <v>880</v>
      </c>
      <c r="Y884" s="34" t="s">
        <v>2248</v>
      </c>
      <c r="Z884" s="34" t="s">
        <v>5599</v>
      </c>
      <c r="AA884" s="35">
        <v>0.21387096774193551</v>
      </c>
      <c r="AB884" s="13"/>
      <c r="AC884" s="34">
        <v>880</v>
      </c>
      <c r="AD884" s="34" t="s">
        <v>4573</v>
      </c>
      <c r="AE884" s="34" t="s">
        <v>4993</v>
      </c>
      <c r="AF884" s="35">
        <v>7.7802419354838712E-2</v>
      </c>
    </row>
    <row r="885" spans="19:32" x14ac:dyDescent="0.35">
      <c r="S885" s="34">
        <v>881</v>
      </c>
      <c r="T885" s="34" t="s">
        <v>4284</v>
      </c>
      <c r="U885" s="34" t="s">
        <v>3523</v>
      </c>
      <c r="V885" s="35">
        <v>0</v>
      </c>
      <c r="W885" s="13"/>
      <c r="X885" s="34">
        <v>881</v>
      </c>
      <c r="Y885" s="34" t="s">
        <v>2248</v>
      </c>
      <c r="Z885" s="34" t="s">
        <v>5180</v>
      </c>
      <c r="AA885" s="35">
        <v>0.76431451612903234</v>
      </c>
      <c r="AB885" s="13"/>
      <c r="AC885" s="34">
        <v>881</v>
      </c>
      <c r="AD885" s="34" t="s">
        <v>4573</v>
      </c>
      <c r="AE885" s="34" t="s">
        <v>3495</v>
      </c>
      <c r="AF885" s="35">
        <v>4.181451612903226E-2</v>
      </c>
    </row>
    <row r="886" spans="19:32" x14ac:dyDescent="0.35">
      <c r="S886" s="34">
        <v>882</v>
      </c>
      <c r="T886" s="34" t="s">
        <v>4284</v>
      </c>
      <c r="U886" s="34" t="s">
        <v>5030</v>
      </c>
      <c r="V886" s="35">
        <v>1.5629032258064519E-2</v>
      </c>
      <c r="W886" s="13"/>
      <c r="X886" s="34">
        <v>882</v>
      </c>
      <c r="Y886" s="34" t="s">
        <v>2248</v>
      </c>
      <c r="Z886" s="34" t="s">
        <v>3591</v>
      </c>
      <c r="AA886" s="35">
        <v>4.1859999999999999</v>
      </c>
      <c r="AB886" s="13"/>
      <c r="AC886" s="34">
        <v>882</v>
      </c>
      <c r="AD886" s="34" t="s">
        <v>4573</v>
      </c>
      <c r="AE886" s="34" t="s">
        <v>3495</v>
      </c>
      <c r="AF886" s="35">
        <v>2.5299999999999998</v>
      </c>
    </row>
    <row r="887" spans="19:32" x14ac:dyDescent="0.35">
      <c r="S887" s="34">
        <v>883</v>
      </c>
      <c r="T887" s="34" t="s">
        <v>4284</v>
      </c>
      <c r="U887" s="34" t="s">
        <v>3521</v>
      </c>
      <c r="V887" s="35">
        <v>4.1399999999999997</v>
      </c>
      <c r="W887" s="13"/>
      <c r="X887" s="34">
        <v>883</v>
      </c>
      <c r="Y887" s="34" t="s">
        <v>2248</v>
      </c>
      <c r="Z887" s="34" t="s">
        <v>5177</v>
      </c>
      <c r="AA887" s="35">
        <v>4.3528225806451615E-4</v>
      </c>
      <c r="AB887" s="13"/>
      <c r="AC887" s="34">
        <v>883</v>
      </c>
      <c r="AD887" s="34" t="s">
        <v>4573</v>
      </c>
      <c r="AE887" s="34" t="s">
        <v>4992</v>
      </c>
      <c r="AF887" s="35">
        <v>1.2407258064516132E-3</v>
      </c>
    </row>
    <row r="888" spans="19:32" x14ac:dyDescent="0.35">
      <c r="S888" s="34">
        <v>884</v>
      </c>
      <c r="T888" s="34" t="s">
        <v>4284</v>
      </c>
      <c r="U888" s="34" t="s">
        <v>5029</v>
      </c>
      <c r="V888" s="35">
        <v>1.2955645161290323E-2</v>
      </c>
      <c r="W888" s="13"/>
      <c r="X888" s="34">
        <v>884</v>
      </c>
      <c r="Y888" s="34" t="s">
        <v>2248</v>
      </c>
      <c r="Z888" s="34" t="s">
        <v>5598</v>
      </c>
      <c r="AA888" s="35">
        <v>2.4471774193548388E-5</v>
      </c>
      <c r="AB888" s="13"/>
      <c r="AC888" s="34">
        <v>884</v>
      </c>
      <c r="AD888" s="34" t="s">
        <v>4573</v>
      </c>
      <c r="AE888" s="34" t="s">
        <v>4991</v>
      </c>
      <c r="AF888" s="35">
        <v>4.215725806451613E-3</v>
      </c>
    </row>
    <row r="889" spans="19:32" x14ac:dyDescent="0.35">
      <c r="S889" s="34">
        <v>885</v>
      </c>
      <c r="T889" s="34" t="s">
        <v>4284</v>
      </c>
      <c r="U889" s="34" t="s">
        <v>5028</v>
      </c>
      <c r="V889" s="35">
        <v>0.5346774193548387</v>
      </c>
      <c r="W889" s="13"/>
      <c r="X889" s="34">
        <v>885</v>
      </c>
      <c r="Y889" s="34" t="s">
        <v>2248</v>
      </c>
      <c r="Z889" s="34" t="s">
        <v>5175</v>
      </c>
      <c r="AA889" s="35">
        <v>1.8679435483870969E-4</v>
      </c>
      <c r="AB889" s="13"/>
      <c r="AC889" s="34">
        <v>885</v>
      </c>
      <c r="AD889" s="34" t="s">
        <v>4573</v>
      </c>
      <c r="AE889" s="34" t="s">
        <v>4990</v>
      </c>
      <c r="AF889" s="35">
        <v>0.43185483870967745</v>
      </c>
    </row>
    <row r="890" spans="19:32" x14ac:dyDescent="0.35">
      <c r="S890" s="34">
        <v>886</v>
      </c>
      <c r="T890" s="34" t="s">
        <v>4284</v>
      </c>
      <c r="U890" s="34" t="s">
        <v>5024</v>
      </c>
      <c r="V890" s="35">
        <v>6.4092741935483878E-3</v>
      </c>
      <c r="W890" s="13"/>
      <c r="X890" s="34">
        <v>886</v>
      </c>
      <c r="Y890" s="34" t="s">
        <v>2248</v>
      </c>
      <c r="Z890" s="34" t="s">
        <v>5172</v>
      </c>
      <c r="AA890" s="35">
        <v>9.9737903225806455E-4</v>
      </c>
      <c r="AB890" s="13"/>
      <c r="AC890" s="34">
        <v>886</v>
      </c>
      <c r="AD890" s="34" t="s">
        <v>4573</v>
      </c>
      <c r="AE890" s="34" t="s">
        <v>4989</v>
      </c>
      <c r="AF890" s="35">
        <v>140.18145161290323</v>
      </c>
    </row>
    <row r="891" spans="19:32" x14ac:dyDescent="0.35">
      <c r="S891" s="34">
        <v>887</v>
      </c>
      <c r="T891" s="34" t="s">
        <v>4284</v>
      </c>
      <c r="U891" s="34" t="s">
        <v>5019</v>
      </c>
      <c r="V891" s="35">
        <v>2.0256048387096775E-3</v>
      </c>
      <c r="W891" s="13"/>
      <c r="X891" s="34">
        <v>887</v>
      </c>
      <c r="Y891" s="34" t="s">
        <v>2248</v>
      </c>
      <c r="Z891" s="34" t="s">
        <v>5597</v>
      </c>
      <c r="AA891" s="35">
        <v>1.1276209677419356E-4</v>
      </c>
      <c r="AB891" s="13"/>
      <c r="AC891" s="34">
        <v>887</v>
      </c>
      <c r="AD891" s="34" t="s">
        <v>4573</v>
      </c>
      <c r="AE891" s="34" t="s">
        <v>4988</v>
      </c>
      <c r="AF891" s="35">
        <v>2.6391129032258067E-2</v>
      </c>
    </row>
    <row r="892" spans="19:32" x14ac:dyDescent="0.35">
      <c r="S892" s="34">
        <v>888</v>
      </c>
      <c r="T892" s="34" t="s">
        <v>4284</v>
      </c>
      <c r="U892" s="34" t="s">
        <v>3520</v>
      </c>
      <c r="V892" s="35">
        <v>3.495967741935484E-3</v>
      </c>
      <c r="W892" s="13"/>
      <c r="X892" s="34">
        <v>888</v>
      </c>
      <c r="Y892" s="34" t="s">
        <v>2248</v>
      </c>
      <c r="Z892" s="34" t="s">
        <v>5169</v>
      </c>
      <c r="AA892" s="35">
        <v>5.1754032258064519E-5</v>
      </c>
      <c r="AB892" s="13"/>
      <c r="AC892" s="34">
        <v>888</v>
      </c>
      <c r="AD892" s="34" t="s">
        <v>4573</v>
      </c>
      <c r="AE892" s="34" t="s">
        <v>4987</v>
      </c>
      <c r="AF892" s="35">
        <v>2.6014112903225808</v>
      </c>
    </row>
    <row r="893" spans="19:32" x14ac:dyDescent="0.35">
      <c r="S893" s="34">
        <v>889</v>
      </c>
      <c r="T893" s="34" t="s">
        <v>4284</v>
      </c>
      <c r="U893" s="34" t="s">
        <v>3520</v>
      </c>
      <c r="V893" s="35">
        <v>0</v>
      </c>
      <c r="W893" s="13"/>
      <c r="X893" s="34">
        <v>889</v>
      </c>
      <c r="Y893" s="34" t="s">
        <v>2248</v>
      </c>
      <c r="Z893" s="34" t="s">
        <v>5167</v>
      </c>
      <c r="AA893" s="35">
        <v>2.3203629032258069E-5</v>
      </c>
      <c r="AB893" s="13"/>
      <c r="AC893" s="34">
        <v>889</v>
      </c>
      <c r="AD893" s="34" t="s">
        <v>4573</v>
      </c>
      <c r="AE893" s="34" t="s">
        <v>3494</v>
      </c>
      <c r="AF893" s="35">
        <v>1.1687500000000002E-2</v>
      </c>
    </row>
    <row r="894" spans="19:32" x14ac:dyDescent="0.35">
      <c r="S894" s="34">
        <v>890</v>
      </c>
      <c r="T894" s="34" t="s">
        <v>4284</v>
      </c>
      <c r="U894" s="34" t="s">
        <v>3518</v>
      </c>
      <c r="V894" s="35">
        <v>3.0949596774193549E-4</v>
      </c>
      <c r="W894" s="13"/>
      <c r="X894" s="34">
        <v>890</v>
      </c>
      <c r="Y894" s="34" t="s">
        <v>2248</v>
      </c>
      <c r="Z894" s="34" t="s">
        <v>5596</v>
      </c>
      <c r="AA894" s="35">
        <v>2.6185483870967746E-7</v>
      </c>
      <c r="AB894" s="13"/>
      <c r="AC894" s="34">
        <v>890</v>
      </c>
      <c r="AD894" s="34" t="s">
        <v>4573</v>
      </c>
      <c r="AE894" s="34" t="s">
        <v>3494</v>
      </c>
      <c r="AF894" s="35">
        <v>3.0728000000000002E-2</v>
      </c>
    </row>
    <row r="895" spans="19:32" x14ac:dyDescent="0.35">
      <c r="S895" s="34">
        <v>891</v>
      </c>
      <c r="T895" s="34" t="s">
        <v>4284</v>
      </c>
      <c r="U895" s="34" t="s">
        <v>3518</v>
      </c>
      <c r="V895" s="35">
        <v>25.944000000000003</v>
      </c>
      <c r="W895" s="13"/>
      <c r="X895" s="34">
        <v>891</v>
      </c>
      <c r="Y895" s="34" t="s">
        <v>2248</v>
      </c>
      <c r="Z895" s="34" t="s">
        <v>5166</v>
      </c>
      <c r="AA895" s="35">
        <v>1.4875000000000001E-5</v>
      </c>
      <c r="AB895" s="13"/>
      <c r="AC895" s="34">
        <v>891</v>
      </c>
      <c r="AD895" s="34" t="s">
        <v>4573</v>
      </c>
      <c r="AE895" s="34" t="s">
        <v>4986</v>
      </c>
      <c r="AF895" s="35">
        <v>1.1858870967741937</v>
      </c>
    </row>
    <row r="896" spans="19:32" x14ac:dyDescent="0.35">
      <c r="S896" s="34">
        <v>892</v>
      </c>
      <c r="T896" s="34" t="s">
        <v>4284</v>
      </c>
      <c r="U896" s="34" t="s">
        <v>3517</v>
      </c>
      <c r="V896" s="35">
        <v>3.8387096774193549E-4</v>
      </c>
      <c r="W896" s="13"/>
      <c r="X896" s="34">
        <v>892</v>
      </c>
      <c r="Y896" s="34" t="s">
        <v>2248</v>
      </c>
      <c r="Z896" s="34" t="s">
        <v>5164</v>
      </c>
      <c r="AA896" s="35">
        <v>1.1687500000000001E-4</v>
      </c>
      <c r="AB896" s="13"/>
      <c r="AC896" s="34">
        <v>892</v>
      </c>
      <c r="AD896" s="34" t="s">
        <v>4573</v>
      </c>
      <c r="AE896" s="34" t="s">
        <v>3493</v>
      </c>
      <c r="AF896" s="35">
        <v>0</v>
      </c>
    </row>
    <row r="897" spans="19:32" x14ac:dyDescent="0.35">
      <c r="S897" s="34">
        <v>893</v>
      </c>
      <c r="T897" s="34" t="s">
        <v>4284</v>
      </c>
      <c r="U897" s="34" t="s">
        <v>3517</v>
      </c>
      <c r="V897" s="35">
        <v>0</v>
      </c>
      <c r="W897" s="13"/>
      <c r="X897" s="34">
        <v>893</v>
      </c>
      <c r="Y897" s="34" t="s">
        <v>2248</v>
      </c>
      <c r="Z897" s="34" t="s">
        <v>5162</v>
      </c>
      <c r="AA897" s="35">
        <v>4.2842741935483874E-6</v>
      </c>
      <c r="AB897" s="13"/>
      <c r="AC897" s="34">
        <v>893</v>
      </c>
      <c r="AD897" s="34" t="s">
        <v>4573</v>
      </c>
      <c r="AE897" s="34" t="s">
        <v>4982</v>
      </c>
      <c r="AF897" s="35">
        <v>0.19536290322580646</v>
      </c>
    </row>
    <row r="898" spans="19:32" x14ac:dyDescent="0.35">
      <c r="S898" s="34">
        <v>894</v>
      </c>
      <c r="T898" s="34" t="s">
        <v>4284</v>
      </c>
      <c r="U898" s="34" t="s">
        <v>3515</v>
      </c>
      <c r="V898" s="35">
        <v>1.182459677419355E-4</v>
      </c>
      <c r="W898" s="13"/>
      <c r="X898" s="34">
        <v>894</v>
      </c>
      <c r="Y898" s="34" t="s">
        <v>2248</v>
      </c>
      <c r="Z898" s="34" t="s">
        <v>5595</v>
      </c>
      <c r="AA898" s="35">
        <v>1.4943548387096777E-4</v>
      </c>
      <c r="AB898" s="13"/>
      <c r="AC898" s="34">
        <v>894</v>
      </c>
      <c r="AD898" s="34" t="s">
        <v>4573</v>
      </c>
      <c r="AE898" s="34" t="s">
        <v>3492</v>
      </c>
      <c r="AF898" s="35">
        <v>3.3588709677419358E-2</v>
      </c>
    </row>
    <row r="899" spans="19:32" x14ac:dyDescent="0.35">
      <c r="S899" s="34">
        <v>895</v>
      </c>
      <c r="T899" s="34" t="s">
        <v>4284</v>
      </c>
      <c r="U899" s="34" t="s">
        <v>3515</v>
      </c>
      <c r="V899" s="35">
        <v>1.7663999999999997</v>
      </c>
      <c r="W899" s="13"/>
      <c r="X899" s="34">
        <v>895</v>
      </c>
      <c r="Y899" s="34" t="s">
        <v>2248</v>
      </c>
      <c r="Z899" s="34" t="s">
        <v>5159</v>
      </c>
      <c r="AA899" s="35">
        <v>2.5602822580645163E-5</v>
      </c>
      <c r="AB899" s="13"/>
      <c r="AC899" s="34">
        <v>895</v>
      </c>
      <c r="AD899" s="34" t="s">
        <v>4573</v>
      </c>
      <c r="AE899" s="34" t="s">
        <v>3492</v>
      </c>
      <c r="AF899" s="35">
        <v>4.2228000000000003</v>
      </c>
    </row>
    <row r="900" spans="19:32" x14ac:dyDescent="0.35">
      <c r="S900" s="34">
        <v>896</v>
      </c>
      <c r="T900" s="34" t="s">
        <v>4284</v>
      </c>
      <c r="U900" s="34" t="s">
        <v>3514</v>
      </c>
      <c r="V900" s="35">
        <v>0</v>
      </c>
      <c r="W900" s="13"/>
      <c r="X900" s="34">
        <v>896</v>
      </c>
      <c r="Y900" s="34" t="s">
        <v>2248</v>
      </c>
      <c r="Z900" s="34" t="s">
        <v>5157</v>
      </c>
      <c r="AA900" s="35">
        <v>3.0504032258064521E-5</v>
      </c>
      <c r="AB900" s="13"/>
      <c r="AC900" s="34">
        <v>896</v>
      </c>
      <c r="AD900" s="34" t="s">
        <v>4573</v>
      </c>
      <c r="AE900" s="34" t="s">
        <v>3491</v>
      </c>
      <c r="AF900" s="35">
        <v>0</v>
      </c>
    </row>
    <row r="901" spans="19:32" x14ac:dyDescent="0.35">
      <c r="S901" s="34">
        <v>897</v>
      </c>
      <c r="T901" s="34" t="s">
        <v>4284</v>
      </c>
      <c r="U901" s="34" t="s">
        <v>3512</v>
      </c>
      <c r="V901" s="35">
        <v>8.6370967741935498E-5</v>
      </c>
      <c r="W901" s="13"/>
      <c r="X901" s="34">
        <v>897</v>
      </c>
      <c r="Y901" s="34" t="s">
        <v>2248</v>
      </c>
      <c r="Z901" s="34" t="s">
        <v>5594</v>
      </c>
      <c r="AA901" s="35">
        <v>3.4959677419354844E-2</v>
      </c>
      <c r="AB901" s="13"/>
      <c r="AC901" s="34">
        <v>897</v>
      </c>
      <c r="AD901" s="34" t="s">
        <v>4573</v>
      </c>
      <c r="AE901" s="34" t="s">
        <v>4981</v>
      </c>
      <c r="AF901" s="35">
        <v>4.6612903225806454E-2</v>
      </c>
    </row>
    <row r="902" spans="19:32" x14ac:dyDescent="0.35">
      <c r="S902" s="34">
        <v>898</v>
      </c>
      <c r="T902" s="34" t="s">
        <v>4284</v>
      </c>
      <c r="U902" s="34" t="s">
        <v>3512</v>
      </c>
      <c r="V902" s="35">
        <v>9.1999999999999998E-2</v>
      </c>
      <c r="W902" s="13"/>
      <c r="X902" s="34">
        <v>898</v>
      </c>
      <c r="Y902" s="34" t="s">
        <v>2248</v>
      </c>
      <c r="Z902" s="34" t="s">
        <v>5156</v>
      </c>
      <c r="AA902" s="35">
        <v>8.9455645161290327E-6</v>
      </c>
      <c r="AB902" s="13"/>
      <c r="AC902" s="34">
        <v>898</v>
      </c>
      <c r="AD902" s="34" t="s">
        <v>4573</v>
      </c>
      <c r="AE902" s="34" t="s">
        <v>3489</v>
      </c>
      <c r="AF902" s="35">
        <v>1.5663306451612905E-2</v>
      </c>
    </row>
    <row r="903" spans="19:32" x14ac:dyDescent="0.35">
      <c r="S903" s="34">
        <v>899</v>
      </c>
      <c r="T903" s="34" t="s">
        <v>4284</v>
      </c>
      <c r="U903" s="34" t="s">
        <v>5016</v>
      </c>
      <c r="V903" s="35">
        <v>1.7891129032258064E-4</v>
      </c>
      <c r="W903" s="13"/>
      <c r="X903" s="34">
        <v>899</v>
      </c>
      <c r="Y903" s="34" t="s">
        <v>2248</v>
      </c>
      <c r="Z903" s="34" t="s">
        <v>5155</v>
      </c>
      <c r="AA903" s="35">
        <v>2.5225806451612902E-3</v>
      </c>
      <c r="AB903" s="13"/>
      <c r="AC903" s="34">
        <v>899</v>
      </c>
      <c r="AD903" s="34" t="s">
        <v>4573</v>
      </c>
      <c r="AE903" s="34" t="s">
        <v>3489</v>
      </c>
      <c r="AF903" s="35">
        <v>0</v>
      </c>
    </row>
    <row r="904" spans="19:32" x14ac:dyDescent="0.35">
      <c r="S904" s="34">
        <v>900</v>
      </c>
      <c r="T904" s="34" t="s">
        <v>4284</v>
      </c>
      <c r="U904" s="34" t="s">
        <v>5015</v>
      </c>
      <c r="V904" s="35">
        <v>2.1387096774193551E-4</v>
      </c>
      <c r="W904" s="13"/>
      <c r="X904" s="34">
        <v>900</v>
      </c>
      <c r="Y904" s="34" t="s">
        <v>2248</v>
      </c>
      <c r="Z904" s="34" t="s">
        <v>5593</v>
      </c>
      <c r="AA904" s="35">
        <v>5.1411290322580649E-4</v>
      </c>
      <c r="AB904" s="13"/>
      <c r="AC904" s="34">
        <v>900</v>
      </c>
      <c r="AD904" s="34" t="s">
        <v>4573</v>
      </c>
      <c r="AE904" s="34" t="s">
        <v>4980</v>
      </c>
      <c r="AF904" s="35">
        <v>363.30645161290323</v>
      </c>
    </row>
    <row r="905" spans="19:32" x14ac:dyDescent="0.35">
      <c r="S905" s="34">
        <v>901</v>
      </c>
      <c r="T905" s="34" t="s">
        <v>4284</v>
      </c>
      <c r="U905" s="34" t="s">
        <v>5014</v>
      </c>
      <c r="V905" s="35">
        <v>0.22655241935483872</v>
      </c>
      <c r="W905" s="13"/>
      <c r="X905" s="34">
        <v>901</v>
      </c>
      <c r="Y905" s="34" t="s">
        <v>2248</v>
      </c>
      <c r="Z905" s="34" t="s">
        <v>5154</v>
      </c>
      <c r="AA905" s="35">
        <v>9.2883064516129045E-4</v>
      </c>
      <c r="AB905" s="13"/>
      <c r="AC905" s="34">
        <v>901</v>
      </c>
      <c r="AD905" s="34" t="s">
        <v>4573</v>
      </c>
      <c r="AE905" s="34" t="s">
        <v>4979</v>
      </c>
      <c r="AF905" s="35">
        <v>1.0487903225806453E-2</v>
      </c>
    </row>
    <row r="906" spans="19:32" x14ac:dyDescent="0.35">
      <c r="S906" s="34">
        <v>902</v>
      </c>
      <c r="T906" s="34" t="s">
        <v>4284</v>
      </c>
      <c r="U906" s="34" t="s">
        <v>3510</v>
      </c>
      <c r="V906" s="35">
        <v>1.3523999999999998</v>
      </c>
      <c r="W906" s="13"/>
      <c r="X906" s="34">
        <v>902</v>
      </c>
      <c r="Y906" s="34" t="s">
        <v>2248</v>
      </c>
      <c r="Z906" s="34" t="s">
        <v>5153</v>
      </c>
      <c r="AA906" s="35">
        <v>3.4616935483870973E-2</v>
      </c>
      <c r="AB906" s="13"/>
      <c r="AC906" s="34">
        <v>902</v>
      </c>
      <c r="AD906" s="34" t="s">
        <v>4573</v>
      </c>
      <c r="AE906" s="34" t="s">
        <v>3488</v>
      </c>
      <c r="AF906" s="35">
        <v>0</v>
      </c>
    </row>
    <row r="907" spans="19:32" x14ac:dyDescent="0.35">
      <c r="S907" s="34">
        <v>903</v>
      </c>
      <c r="T907" s="34" t="s">
        <v>4284</v>
      </c>
      <c r="U907" s="34" t="s">
        <v>3509</v>
      </c>
      <c r="V907" s="35">
        <v>14904</v>
      </c>
      <c r="W907" s="13"/>
      <c r="X907" s="34">
        <v>903</v>
      </c>
      <c r="Y907" s="34" t="s">
        <v>2248</v>
      </c>
      <c r="Z907" s="34" t="s">
        <v>5151</v>
      </c>
      <c r="AA907" s="35">
        <v>1.5149193548387098E-3</v>
      </c>
      <c r="AB907" s="13"/>
      <c r="AC907" s="34">
        <v>903</v>
      </c>
      <c r="AD907" s="34" t="s">
        <v>4573</v>
      </c>
      <c r="AE907" s="34" t="s">
        <v>4978</v>
      </c>
      <c r="AF907" s="35">
        <v>3.2080645161290324E-3</v>
      </c>
    </row>
    <row r="908" spans="19:32" x14ac:dyDescent="0.35">
      <c r="S908" s="34">
        <v>904</v>
      </c>
      <c r="T908" s="34" t="s">
        <v>4284</v>
      </c>
      <c r="U908" s="34" t="s">
        <v>3507</v>
      </c>
      <c r="V908" s="35">
        <v>3.8729838709677424E-2</v>
      </c>
      <c r="W908" s="13"/>
      <c r="X908" s="34">
        <v>904</v>
      </c>
      <c r="Y908" s="34" t="s">
        <v>2248</v>
      </c>
      <c r="Z908" s="34" t="s">
        <v>5592</v>
      </c>
      <c r="AA908" s="35">
        <v>1.7925403225806453E-2</v>
      </c>
      <c r="AB908" s="13"/>
      <c r="AC908" s="34">
        <v>904</v>
      </c>
      <c r="AD908" s="34" t="s">
        <v>4573</v>
      </c>
      <c r="AE908" s="34" t="s">
        <v>4977</v>
      </c>
      <c r="AF908" s="35">
        <v>2.4368951612903224E-3</v>
      </c>
    </row>
    <row r="909" spans="19:32" x14ac:dyDescent="0.35">
      <c r="S909" s="34">
        <v>905</v>
      </c>
      <c r="T909" s="34" t="s">
        <v>4284</v>
      </c>
      <c r="U909" s="34" t="s">
        <v>3507</v>
      </c>
      <c r="V909" s="35">
        <v>5363.6</v>
      </c>
      <c r="W909" s="13"/>
      <c r="X909" s="34">
        <v>905</v>
      </c>
      <c r="Y909" s="34" t="s">
        <v>2248</v>
      </c>
      <c r="Z909" s="34" t="s">
        <v>3588</v>
      </c>
      <c r="AA909" s="35">
        <v>6.0719999999999996E-2</v>
      </c>
      <c r="AB909" s="13"/>
      <c r="AC909" s="34">
        <v>905</v>
      </c>
      <c r="AD909" s="34" t="s">
        <v>4573</v>
      </c>
      <c r="AE909" s="34" t="s">
        <v>4976</v>
      </c>
      <c r="AF909" s="35">
        <v>8.8084677419354843E-2</v>
      </c>
    </row>
    <row r="910" spans="19:32" x14ac:dyDescent="0.35">
      <c r="S910" s="34">
        <v>906</v>
      </c>
      <c r="T910" s="34" t="s">
        <v>4284</v>
      </c>
      <c r="U910" s="34" t="s">
        <v>3506</v>
      </c>
      <c r="V910" s="35">
        <v>0</v>
      </c>
      <c r="W910" s="13"/>
      <c r="X910" s="34">
        <v>906</v>
      </c>
      <c r="Y910" s="34" t="s">
        <v>2248</v>
      </c>
      <c r="Z910" s="34" t="s">
        <v>5150</v>
      </c>
      <c r="AA910" s="35">
        <v>4.6612903225806456E-3</v>
      </c>
      <c r="AB910" s="13"/>
      <c r="AC910" s="34">
        <v>906</v>
      </c>
      <c r="AD910" s="34" t="s">
        <v>4573</v>
      </c>
      <c r="AE910" s="34" t="s">
        <v>4975</v>
      </c>
      <c r="AF910" s="35">
        <v>0.17445564516129033</v>
      </c>
    </row>
    <row r="911" spans="19:32" x14ac:dyDescent="0.35">
      <c r="S911" s="34">
        <v>907</v>
      </c>
      <c r="T911" s="34" t="s">
        <v>4284</v>
      </c>
      <c r="U911" s="34" t="s">
        <v>5013</v>
      </c>
      <c r="V911" s="35">
        <v>3.9758064516129038E-2</v>
      </c>
      <c r="W911" s="13"/>
      <c r="X911" s="34">
        <v>907</v>
      </c>
      <c r="Y911" s="34" t="s">
        <v>2248</v>
      </c>
      <c r="Z911" s="34" t="s">
        <v>5591</v>
      </c>
      <c r="AA911" s="35">
        <v>8.0201612903225809E-4</v>
      </c>
      <c r="AB911" s="13"/>
      <c r="AC911" s="34">
        <v>907</v>
      </c>
      <c r="AD911" s="34" t="s">
        <v>4573</v>
      </c>
      <c r="AE911" s="34" t="s">
        <v>3487</v>
      </c>
      <c r="AF911" s="35">
        <v>0</v>
      </c>
    </row>
    <row r="912" spans="19:32" x14ac:dyDescent="0.35">
      <c r="S912" s="34">
        <v>908</v>
      </c>
      <c r="T912" s="34" t="s">
        <v>4284</v>
      </c>
      <c r="U912" s="34" t="s">
        <v>3504</v>
      </c>
      <c r="V912" s="35">
        <v>0</v>
      </c>
      <c r="W912" s="13"/>
      <c r="X912" s="34">
        <v>908</v>
      </c>
      <c r="Y912" s="34" t="s">
        <v>2248</v>
      </c>
      <c r="Z912" s="34" t="s">
        <v>5148</v>
      </c>
      <c r="AA912" s="35">
        <v>4.0786290322580646E-3</v>
      </c>
      <c r="AB912" s="13"/>
      <c r="AC912" s="34">
        <v>908</v>
      </c>
      <c r="AD912" s="34" t="s">
        <v>4573</v>
      </c>
      <c r="AE912" s="34" t="s">
        <v>3485</v>
      </c>
      <c r="AF912" s="35">
        <v>13.70967741935484</v>
      </c>
    </row>
    <row r="913" spans="19:32" x14ac:dyDescent="0.35">
      <c r="S913" s="34">
        <v>909</v>
      </c>
      <c r="T913" s="34" t="s">
        <v>4284</v>
      </c>
      <c r="U913" s="34" t="s">
        <v>5012</v>
      </c>
      <c r="V913" s="35">
        <v>9.1854838709677438E-5</v>
      </c>
      <c r="W913" s="13"/>
      <c r="X913" s="34">
        <v>909</v>
      </c>
      <c r="Y913" s="34" t="s">
        <v>2248</v>
      </c>
      <c r="Z913" s="34" t="s">
        <v>3586</v>
      </c>
      <c r="AA913" s="35">
        <v>3.9008000000000001E-2</v>
      </c>
      <c r="AB913" s="13"/>
      <c r="AC913" s="34">
        <v>909</v>
      </c>
      <c r="AD913" s="34" t="s">
        <v>4573</v>
      </c>
      <c r="AE913" s="34" t="s">
        <v>3485</v>
      </c>
      <c r="AF913" s="35">
        <v>0</v>
      </c>
    </row>
    <row r="914" spans="19:32" x14ac:dyDescent="0.35">
      <c r="S914" s="34">
        <v>910</v>
      </c>
      <c r="T914" s="34" t="s">
        <v>4284</v>
      </c>
      <c r="U914" s="34" t="s">
        <v>5011</v>
      </c>
      <c r="V914" s="35">
        <v>1.9707661290322585E-6</v>
      </c>
      <c r="W914" s="13"/>
      <c r="X914" s="34">
        <v>910</v>
      </c>
      <c r="Y914" s="34" t="s">
        <v>2248</v>
      </c>
      <c r="Z914" s="34" t="s">
        <v>3586</v>
      </c>
      <c r="AA914" s="35">
        <v>3.838709677419355E-3</v>
      </c>
      <c r="AB914" s="13"/>
      <c r="AC914" s="34">
        <v>910</v>
      </c>
      <c r="AD914" s="34" t="s">
        <v>4573</v>
      </c>
      <c r="AE914" s="34" t="s">
        <v>3484</v>
      </c>
      <c r="AF914" s="35">
        <v>2.1661290322580646E-2</v>
      </c>
    </row>
    <row r="915" spans="19:32" x14ac:dyDescent="0.35">
      <c r="S915" s="34">
        <v>911</v>
      </c>
      <c r="T915" s="34" t="s">
        <v>4284</v>
      </c>
      <c r="U915" s="34" t="s">
        <v>5010</v>
      </c>
      <c r="V915" s="35">
        <v>5.6552419354838714E-4</v>
      </c>
      <c r="W915" s="13"/>
      <c r="X915" s="34">
        <v>911</v>
      </c>
      <c r="Y915" s="34" t="s">
        <v>2248</v>
      </c>
      <c r="Z915" s="34" t="s">
        <v>5590</v>
      </c>
      <c r="AA915" s="35">
        <v>8.8427419354838721E-2</v>
      </c>
      <c r="AB915" s="13"/>
      <c r="AC915" s="34">
        <v>911</v>
      </c>
      <c r="AD915" s="34" t="s">
        <v>4573</v>
      </c>
      <c r="AE915" s="34" t="s">
        <v>3484</v>
      </c>
      <c r="AF915" s="35">
        <v>6.3572000000000004E-2</v>
      </c>
    </row>
    <row r="916" spans="19:32" x14ac:dyDescent="0.35">
      <c r="S916" s="34">
        <v>912</v>
      </c>
      <c r="T916" s="34" t="s">
        <v>4284</v>
      </c>
      <c r="U916" s="34" t="s">
        <v>3503</v>
      </c>
      <c r="V916" s="35">
        <v>4.6612903225806454E-2</v>
      </c>
      <c r="W916" s="13"/>
      <c r="X916" s="34">
        <v>912</v>
      </c>
      <c r="Y916" s="34" t="s">
        <v>2248</v>
      </c>
      <c r="Z916" s="34" t="s">
        <v>5145</v>
      </c>
      <c r="AA916" s="35">
        <v>1.1036290322580645E-2</v>
      </c>
      <c r="AB916" s="13"/>
      <c r="AC916" s="34">
        <v>912</v>
      </c>
      <c r="AD916" s="34" t="s">
        <v>4573</v>
      </c>
      <c r="AE916" s="34" t="s">
        <v>3482</v>
      </c>
      <c r="AF916" s="35">
        <v>0.15364</v>
      </c>
    </row>
    <row r="917" spans="19:32" x14ac:dyDescent="0.35">
      <c r="S917" s="34">
        <v>913</v>
      </c>
      <c r="T917" s="34" t="s">
        <v>4284</v>
      </c>
      <c r="U917" s="34" t="s">
        <v>3503</v>
      </c>
      <c r="V917" s="35">
        <v>0</v>
      </c>
      <c r="W917" s="13"/>
      <c r="X917" s="34">
        <v>913</v>
      </c>
      <c r="Y917" s="34" t="s">
        <v>2248</v>
      </c>
      <c r="Z917" s="34" t="s">
        <v>5144</v>
      </c>
      <c r="AA917" s="35">
        <v>2.3100806451612906E-5</v>
      </c>
      <c r="AB917" s="13"/>
      <c r="AC917" s="34">
        <v>913</v>
      </c>
      <c r="AD917" s="34" t="s">
        <v>4573</v>
      </c>
      <c r="AE917" s="34" t="s">
        <v>3481</v>
      </c>
      <c r="AF917" s="35">
        <v>0.12715725806451614</v>
      </c>
    </row>
    <row r="918" spans="19:32" x14ac:dyDescent="0.35">
      <c r="S918" s="34">
        <v>914</v>
      </c>
      <c r="T918" s="34" t="s">
        <v>4284</v>
      </c>
      <c r="U918" s="34" t="s">
        <v>5009</v>
      </c>
      <c r="V918" s="35">
        <v>4.1129032258064517E-2</v>
      </c>
      <c r="W918" s="13"/>
      <c r="X918" s="34">
        <v>914</v>
      </c>
      <c r="Y918" s="34" t="s">
        <v>2248</v>
      </c>
      <c r="Z918" s="34" t="s">
        <v>5589</v>
      </c>
      <c r="AA918" s="35">
        <v>6.3750000000000005E-3</v>
      </c>
      <c r="AB918" s="13"/>
      <c r="AC918" s="34">
        <v>914</v>
      </c>
      <c r="AD918" s="34" t="s">
        <v>4573</v>
      </c>
      <c r="AE918" s="34" t="s">
        <v>3481</v>
      </c>
      <c r="AF918" s="35">
        <v>0.52807999999999999</v>
      </c>
    </row>
    <row r="919" spans="19:32" x14ac:dyDescent="0.35">
      <c r="S919" s="34">
        <v>915</v>
      </c>
      <c r="T919" s="34" t="s">
        <v>4284</v>
      </c>
      <c r="U919" s="34" t="s">
        <v>5008</v>
      </c>
      <c r="V919" s="35">
        <v>4.181451612903226E-2</v>
      </c>
      <c r="W919" s="13"/>
      <c r="X919" s="34">
        <v>915</v>
      </c>
      <c r="Y919" s="34" t="s">
        <v>2248</v>
      </c>
      <c r="Z919" s="34" t="s">
        <v>5143</v>
      </c>
      <c r="AA919" s="35">
        <v>4.4213709677419358E-4</v>
      </c>
      <c r="AB919" s="13"/>
      <c r="AC919" s="34">
        <v>915</v>
      </c>
      <c r="AD919" s="34" t="s">
        <v>4573</v>
      </c>
      <c r="AE919" s="34" t="s">
        <v>4974</v>
      </c>
      <c r="AF919" s="35">
        <v>0.35987903225806456</v>
      </c>
    </row>
    <row r="920" spans="19:32" x14ac:dyDescent="0.35">
      <c r="S920" s="34">
        <v>916</v>
      </c>
      <c r="T920" s="34" t="s">
        <v>4284</v>
      </c>
      <c r="U920" s="34" t="s">
        <v>3501</v>
      </c>
      <c r="V920" s="35">
        <v>1.9330645161290325E-2</v>
      </c>
      <c r="W920" s="13"/>
      <c r="X920" s="34">
        <v>916</v>
      </c>
      <c r="Y920" s="34" t="s">
        <v>2248</v>
      </c>
      <c r="Z920" s="34" t="s">
        <v>5141</v>
      </c>
      <c r="AA920" s="35">
        <v>1.1790322580645161E-5</v>
      </c>
      <c r="AB920" s="13"/>
      <c r="AC920" s="34">
        <v>916</v>
      </c>
      <c r="AD920" s="34" t="s">
        <v>4573</v>
      </c>
      <c r="AE920" s="34" t="s">
        <v>4973</v>
      </c>
      <c r="AF920" s="35">
        <v>0.12030241935483872</v>
      </c>
    </row>
    <row r="921" spans="19:32" x14ac:dyDescent="0.35">
      <c r="S921" s="34">
        <v>917</v>
      </c>
      <c r="T921" s="34" t="s">
        <v>4284</v>
      </c>
      <c r="U921" s="34" t="s">
        <v>3501</v>
      </c>
      <c r="V921" s="35">
        <v>28.427999999999997</v>
      </c>
      <c r="W921" s="13"/>
      <c r="X921" s="34">
        <v>917</v>
      </c>
      <c r="Y921" s="34" t="s">
        <v>2248</v>
      </c>
      <c r="Z921" s="34" t="s">
        <v>5588</v>
      </c>
      <c r="AA921" s="35">
        <v>5.0040322580645162E-2</v>
      </c>
      <c r="AB921" s="13"/>
      <c r="AC921" s="34">
        <v>917</v>
      </c>
      <c r="AD921" s="34" t="s">
        <v>4573</v>
      </c>
      <c r="AE921" s="34" t="s">
        <v>3479</v>
      </c>
      <c r="AF921" s="35">
        <v>117.75999999999999</v>
      </c>
    </row>
    <row r="922" spans="19:32" x14ac:dyDescent="0.35">
      <c r="S922" s="34">
        <v>918</v>
      </c>
      <c r="T922" s="34" t="s">
        <v>4284</v>
      </c>
      <c r="U922" s="34" t="s">
        <v>5007</v>
      </c>
      <c r="V922" s="35">
        <v>3.0572580645161294E-2</v>
      </c>
      <c r="W922" s="13"/>
      <c r="X922" s="34">
        <v>918</v>
      </c>
      <c r="Y922" s="34" t="s">
        <v>2248</v>
      </c>
      <c r="Z922" s="34" t="s">
        <v>5140</v>
      </c>
      <c r="AA922" s="35">
        <v>3.084677419354839E-4</v>
      </c>
      <c r="AB922" s="13"/>
      <c r="AC922" s="34">
        <v>918</v>
      </c>
      <c r="AD922" s="34" t="s">
        <v>4573</v>
      </c>
      <c r="AE922" s="34" t="s">
        <v>3477</v>
      </c>
      <c r="AF922" s="35">
        <v>1.0487903225806453E-2</v>
      </c>
    </row>
    <row r="923" spans="19:32" x14ac:dyDescent="0.35">
      <c r="S923" s="34">
        <v>919</v>
      </c>
      <c r="T923" s="34" t="s">
        <v>4284</v>
      </c>
      <c r="U923" s="34" t="s">
        <v>5006</v>
      </c>
      <c r="V923" s="35">
        <v>6.9233870967741942E-3</v>
      </c>
      <c r="W923" s="13"/>
      <c r="X923" s="34">
        <v>919</v>
      </c>
      <c r="Y923" s="34" t="s">
        <v>2248</v>
      </c>
      <c r="Z923" s="34" t="s">
        <v>5139</v>
      </c>
      <c r="AA923" s="35">
        <v>1.5252016129032259E-3</v>
      </c>
      <c r="AB923" s="13"/>
      <c r="AC923" s="34">
        <v>919</v>
      </c>
      <c r="AD923" s="34" t="s">
        <v>4573</v>
      </c>
      <c r="AE923" s="34" t="s">
        <v>3477</v>
      </c>
      <c r="AF923" s="35">
        <v>0.15732000000000002</v>
      </c>
    </row>
    <row r="924" spans="19:32" x14ac:dyDescent="0.35">
      <c r="S924" s="34">
        <v>920</v>
      </c>
      <c r="T924" s="34" t="s">
        <v>4284</v>
      </c>
      <c r="U924" s="34" t="s">
        <v>5005</v>
      </c>
      <c r="V924" s="35">
        <v>5.55241935483871E-9</v>
      </c>
      <c r="W924" s="13"/>
      <c r="X924" s="34">
        <v>920</v>
      </c>
      <c r="Y924" s="34" t="s">
        <v>2248</v>
      </c>
      <c r="Z924" s="34" t="s">
        <v>5587</v>
      </c>
      <c r="AA924" s="35">
        <v>7.0947580645161299E-3</v>
      </c>
      <c r="AB924" s="13"/>
      <c r="AC924" s="34">
        <v>920</v>
      </c>
      <c r="AD924" s="34" t="s">
        <v>4573</v>
      </c>
      <c r="AE924" s="34" t="s">
        <v>3476</v>
      </c>
      <c r="AF924" s="35">
        <v>0.2186693548387097</v>
      </c>
    </row>
    <row r="925" spans="19:32" x14ac:dyDescent="0.35">
      <c r="S925" s="34">
        <v>921</v>
      </c>
      <c r="T925" s="34" t="s">
        <v>4284</v>
      </c>
      <c r="U925" s="34" t="s">
        <v>5004</v>
      </c>
      <c r="V925" s="35">
        <v>1.867943548387097E-7</v>
      </c>
      <c r="W925" s="13"/>
      <c r="X925" s="34">
        <v>921</v>
      </c>
      <c r="Y925" s="34" t="s">
        <v>2248</v>
      </c>
      <c r="Z925" s="34" t="s">
        <v>5137</v>
      </c>
      <c r="AA925" s="35">
        <v>1.5800403225806454E-6</v>
      </c>
      <c r="AB925" s="13"/>
      <c r="AC925" s="34">
        <v>921</v>
      </c>
      <c r="AD925" s="34" t="s">
        <v>4573</v>
      </c>
      <c r="AE925" s="34" t="s">
        <v>3476</v>
      </c>
      <c r="AF925" s="35">
        <v>0</v>
      </c>
    </row>
    <row r="926" spans="19:32" x14ac:dyDescent="0.35">
      <c r="S926" s="34">
        <v>922</v>
      </c>
      <c r="T926" s="34" t="s">
        <v>4284</v>
      </c>
      <c r="U926" s="34" t="s">
        <v>5003</v>
      </c>
      <c r="V926" s="35">
        <v>6.61491935483871E-3</v>
      </c>
      <c r="W926" s="13"/>
      <c r="X926" s="34">
        <v>922</v>
      </c>
      <c r="Y926" s="34" t="s">
        <v>2248</v>
      </c>
      <c r="Z926" s="34" t="s">
        <v>5132</v>
      </c>
      <c r="AA926" s="35">
        <v>2.6391129032258069E-5</v>
      </c>
      <c r="AB926" s="13"/>
      <c r="AC926" s="34">
        <v>922</v>
      </c>
      <c r="AD926" s="34" t="s">
        <v>4573</v>
      </c>
      <c r="AE926" s="34" t="s">
        <v>3474</v>
      </c>
      <c r="AF926" s="35">
        <v>11.316000000000001</v>
      </c>
    </row>
    <row r="927" spans="19:32" x14ac:dyDescent="0.35">
      <c r="S927" s="34">
        <v>923</v>
      </c>
      <c r="T927" s="34" t="s">
        <v>4284</v>
      </c>
      <c r="U927" s="34" t="s">
        <v>3499</v>
      </c>
      <c r="V927" s="35">
        <v>0</v>
      </c>
      <c r="W927" s="17"/>
      <c r="X927" s="34">
        <v>923</v>
      </c>
      <c r="Y927" s="34" t="s">
        <v>2248</v>
      </c>
      <c r="Z927" s="34" t="s">
        <v>5127</v>
      </c>
      <c r="AA927" s="35">
        <v>5.9637096774193545E-4</v>
      </c>
      <c r="AB927" s="13"/>
      <c r="AC927" s="34">
        <v>923</v>
      </c>
      <c r="AD927" s="34" t="s">
        <v>4573</v>
      </c>
      <c r="AE927" s="34" t="s">
        <v>3473</v>
      </c>
      <c r="AF927" s="35">
        <v>1.713709677419355</v>
      </c>
    </row>
    <row r="928" spans="19:32" x14ac:dyDescent="0.35">
      <c r="S928" s="34">
        <v>924</v>
      </c>
      <c r="T928" s="34" t="s">
        <v>4284</v>
      </c>
      <c r="U928" s="34" t="s">
        <v>5002</v>
      </c>
      <c r="V928" s="35">
        <v>0.26254032258064519</v>
      </c>
      <c r="W928" s="17"/>
      <c r="X928" s="34">
        <v>924</v>
      </c>
      <c r="Y928" s="34" t="s">
        <v>2248</v>
      </c>
      <c r="Z928" s="34" t="s">
        <v>5586</v>
      </c>
      <c r="AA928" s="35">
        <v>1.1379032258064517E-2</v>
      </c>
      <c r="AB928" s="13"/>
      <c r="AC928" s="34">
        <v>924</v>
      </c>
      <c r="AD928" s="34" t="s">
        <v>4573</v>
      </c>
      <c r="AE928" s="34" t="s">
        <v>3473</v>
      </c>
      <c r="AF928" s="35">
        <v>77.188000000000002</v>
      </c>
    </row>
    <row r="929" spans="19:32" x14ac:dyDescent="0.35">
      <c r="S929" s="34">
        <v>925</v>
      </c>
      <c r="T929" s="34" t="s">
        <v>4284</v>
      </c>
      <c r="U929" s="34" t="s">
        <v>3498</v>
      </c>
      <c r="V929" s="35">
        <v>2.3203629032258069E-3</v>
      </c>
      <c r="W929" s="17"/>
      <c r="X929" s="34">
        <v>925</v>
      </c>
      <c r="Y929" s="34" t="s">
        <v>2248</v>
      </c>
      <c r="Z929" s="34" t="s">
        <v>5124</v>
      </c>
      <c r="AA929" s="35">
        <v>1.1413306451612905E-5</v>
      </c>
      <c r="AB929" s="13"/>
      <c r="AC929" s="34">
        <v>925</v>
      </c>
      <c r="AD929" s="34" t="s">
        <v>4573</v>
      </c>
      <c r="AE929" s="34" t="s">
        <v>3471</v>
      </c>
      <c r="AF929" s="35">
        <v>10.350806451612904</v>
      </c>
    </row>
    <row r="930" spans="19:32" x14ac:dyDescent="0.35">
      <c r="S930" s="34">
        <v>926</v>
      </c>
      <c r="T930" s="34" t="s">
        <v>4284</v>
      </c>
      <c r="U930" s="34" t="s">
        <v>3498</v>
      </c>
      <c r="V930" s="35">
        <v>0</v>
      </c>
      <c r="W930" s="17"/>
      <c r="X930" s="34">
        <v>926</v>
      </c>
      <c r="Y930" s="34" t="s">
        <v>2248</v>
      </c>
      <c r="Z930" s="34" t="s">
        <v>5121</v>
      </c>
      <c r="AA930" s="35">
        <v>6.4092741935483874E-6</v>
      </c>
      <c r="AB930" s="13"/>
      <c r="AC930" s="34">
        <v>926</v>
      </c>
      <c r="AD930" s="34" t="s">
        <v>4573</v>
      </c>
      <c r="AE930" s="34" t="s">
        <v>3471</v>
      </c>
      <c r="AF930" s="35">
        <v>234.60000000000002</v>
      </c>
    </row>
    <row r="931" spans="19:32" x14ac:dyDescent="0.35">
      <c r="S931" s="34">
        <v>927</v>
      </c>
      <c r="T931" s="34" t="s">
        <v>4284</v>
      </c>
      <c r="U931" s="34" t="s">
        <v>3496</v>
      </c>
      <c r="V931" s="35">
        <v>2.8276209677419357E-7</v>
      </c>
      <c r="W931" s="13"/>
      <c r="X931" s="34">
        <v>927</v>
      </c>
      <c r="Y931" s="34" t="s">
        <v>2248</v>
      </c>
      <c r="Z931" s="34" t="s">
        <v>5585</v>
      </c>
      <c r="AA931" s="35">
        <v>1.6108870967741938E-3</v>
      </c>
      <c r="AB931" s="13"/>
      <c r="AC931" s="34">
        <v>927</v>
      </c>
      <c r="AD931" s="34" t="s">
        <v>4573</v>
      </c>
      <c r="AE931" s="34" t="s">
        <v>3470</v>
      </c>
      <c r="AF931" s="35">
        <v>0</v>
      </c>
    </row>
    <row r="932" spans="19:32" x14ac:dyDescent="0.35">
      <c r="S932" s="34">
        <v>928</v>
      </c>
      <c r="T932" s="34" t="s">
        <v>4284</v>
      </c>
      <c r="U932" s="34" t="s">
        <v>3496</v>
      </c>
      <c r="V932" s="35">
        <v>0</v>
      </c>
      <c r="W932" s="13"/>
      <c r="X932" s="34">
        <v>928</v>
      </c>
      <c r="Y932" s="34" t="s">
        <v>2248</v>
      </c>
      <c r="Z932" s="34" t="s">
        <v>5117</v>
      </c>
      <c r="AA932" s="35">
        <v>1.7548387096774196E-3</v>
      </c>
      <c r="AB932" s="13"/>
      <c r="AC932" s="34">
        <v>928</v>
      </c>
      <c r="AD932" s="34" t="s">
        <v>4573</v>
      </c>
      <c r="AE932" s="34" t="s">
        <v>3469</v>
      </c>
      <c r="AF932" s="35">
        <v>0.25911290322580649</v>
      </c>
    </row>
    <row r="933" spans="19:32" x14ac:dyDescent="0.35">
      <c r="S933" s="34">
        <v>929</v>
      </c>
      <c r="T933" s="34" t="s">
        <v>4284</v>
      </c>
      <c r="U933" s="34" t="s">
        <v>5000</v>
      </c>
      <c r="V933" s="35">
        <v>4.3870967741935488E-5</v>
      </c>
      <c r="W933" s="13"/>
      <c r="X933" s="34">
        <v>929</v>
      </c>
      <c r="Y933" s="34" t="s">
        <v>2248</v>
      </c>
      <c r="Z933" s="34" t="s">
        <v>5112</v>
      </c>
      <c r="AA933" s="35">
        <v>2.3820564516129034E-4</v>
      </c>
      <c r="AB933" s="13"/>
      <c r="AC933" s="34">
        <v>929</v>
      </c>
      <c r="AD933" s="34" t="s">
        <v>4573</v>
      </c>
      <c r="AE933" s="34" t="s">
        <v>3469</v>
      </c>
      <c r="AF933" s="35">
        <v>0</v>
      </c>
    </row>
    <row r="934" spans="19:32" x14ac:dyDescent="0.35">
      <c r="S934" s="34">
        <v>930</v>
      </c>
      <c r="T934" s="34" t="s">
        <v>4284</v>
      </c>
      <c r="U934" s="34" t="s">
        <v>4999</v>
      </c>
      <c r="V934" s="35">
        <v>2.5054435483870969E-4</v>
      </c>
      <c r="W934" s="13"/>
      <c r="X934" s="34">
        <v>930</v>
      </c>
      <c r="Y934" s="34" t="s">
        <v>2248</v>
      </c>
      <c r="Z934" s="34" t="s">
        <v>5108</v>
      </c>
      <c r="AA934" s="35">
        <v>6.546370967741936E-4</v>
      </c>
      <c r="AB934" s="13"/>
      <c r="AC934" s="34">
        <v>930</v>
      </c>
      <c r="AD934" s="34" t="s">
        <v>4573</v>
      </c>
      <c r="AE934" s="34" t="s">
        <v>4972</v>
      </c>
      <c r="AF934" s="35">
        <v>6.7177419354838716E-2</v>
      </c>
    </row>
    <row r="935" spans="19:32" x14ac:dyDescent="0.35">
      <c r="S935" s="34">
        <v>931</v>
      </c>
      <c r="T935" s="34" t="s">
        <v>4284</v>
      </c>
      <c r="U935" s="34" t="s">
        <v>4998</v>
      </c>
      <c r="V935" s="35">
        <v>5.6895161290322591E-6</v>
      </c>
      <c r="W935" s="13"/>
      <c r="X935" s="34">
        <v>931</v>
      </c>
      <c r="Y935" s="34" t="s">
        <v>2248</v>
      </c>
      <c r="Z935" s="34" t="s">
        <v>5584</v>
      </c>
      <c r="AA935" s="35">
        <v>6.3750000000000001E-2</v>
      </c>
      <c r="AB935" s="13"/>
      <c r="AC935" s="34">
        <v>931</v>
      </c>
      <c r="AD935" s="34" t="s">
        <v>4573</v>
      </c>
      <c r="AE935" s="34" t="s">
        <v>3467</v>
      </c>
      <c r="AF935" s="35">
        <v>3.273185483870968</v>
      </c>
    </row>
    <row r="936" spans="19:32" x14ac:dyDescent="0.35">
      <c r="S936" s="34">
        <v>932</v>
      </c>
      <c r="T936" s="34" t="s">
        <v>4284</v>
      </c>
      <c r="U936" s="34" t="s">
        <v>4997</v>
      </c>
      <c r="V936" s="35">
        <v>4.2500000000000003E-5</v>
      </c>
      <c r="W936" s="13"/>
      <c r="X936" s="34">
        <v>932</v>
      </c>
      <c r="Y936" s="34" t="s">
        <v>2248</v>
      </c>
      <c r="Z936" s="34" t="s">
        <v>5107</v>
      </c>
      <c r="AA936" s="35">
        <v>2.3889112903225805E-5</v>
      </c>
      <c r="AB936" s="13"/>
      <c r="AC936" s="34">
        <v>932</v>
      </c>
      <c r="AD936" s="34" t="s">
        <v>4573</v>
      </c>
      <c r="AE936" s="34" t="s">
        <v>3467</v>
      </c>
      <c r="AF936" s="35">
        <v>0</v>
      </c>
    </row>
    <row r="937" spans="19:32" x14ac:dyDescent="0.35">
      <c r="S937" s="34">
        <v>933</v>
      </c>
      <c r="T937" s="34" t="s">
        <v>4284</v>
      </c>
      <c r="U937" s="34" t="s">
        <v>4996</v>
      </c>
      <c r="V937" s="35">
        <v>4.2842741935483876E-3</v>
      </c>
      <c r="W937" s="13"/>
      <c r="X937" s="34">
        <v>933</v>
      </c>
      <c r="Y937" s="34" t="s">
        <v>2248</v>
      </c>
      <c r="Z937" s="34" t="s">
        <v>5106</v>
      </c>
      <c r="AA937" s="35">
        <v>4.6612903225806458E-5</v>
      </c>
      <c r="AB937" s="13"/>
      <c r="AC937" s="34">
        <v>933</v>
      </c>
      <c r="AD937" s="34" t="s">
        <v>4573</v>
      </c>
      <c r="AE937" s="34" t="s">
        <v>3466</v>
      </c>
      <c r="AF937" s="35">
        <v>4.181451612903226E-2</v>
      </c>
    </row>
    <row r="938" spans="19:32" x14ac:dyDescent="0.35">
      <c r="S938" s="34">
        <v>934</v>
      </c>
      <c r="T938" s="34" t="s">
        <v>4284</v>
      </c>
      <c r="U938" s="34" t="s">
        <v>4994</v>
      </c>
      <c r="V938" s="35">
        <v>14.703629032258066</v>
      </c>
      <c r="W938" s="13"/>
      <c r="X938" s="34">
        <v>934</v>
      </c>
      <c r="Y938" s="34" t="s">
        <v>2248</v>
      </c>
      <c r="Z938" s="34" t="s">
        <v>5583</v>
      </c>
      <c r="AA938" s="35">
        <v>5.1411290322580649E-4</v>
      </c>
      <c r="AB938" s="13"/>
      <c r="AC938" s="34">
        <v>934</v>
      </c>
      <c r="AD938" s="34" t="s">
        <v>4573</v>
      </c>
      <c r="AE938" s="34" t="s">
        <v>3466</v>
      </c>
      <c r="AF938" s="35">
        <v>0</v>
      </c>
    </row>
    <row r="939" spans="19:32" x14ac:dyDescent="0.35">
      <c r="S939" s="34">
        <v>935</v>
      </c>
      <c r="T939" s="34" t="s">
        <v>4284</v>
      </c>
      <c r="U939" s="34" t="s">
        <v>4993</v>
      </c>
      <c r="V939" s="35">
        <v>1.3092741935483872E-3</v>
      </c>
      <c r="W939" s="13"/>
      <c r="X939" s="34">
        <v>935</v>
      </c>
      <c r="Y939" s="34" t="s">
        <v>2248</v>
      </c>
      <c r="Z939" s="34" t="s">
        <v>5105</v>
      </c>
      <c r="AA939" s="35">
        <v>1.2750000000000001E-4</v>
      </c>
      <c r="AB939" s="13"/>
      <c r="AC939" s="34">
        <v>935</v>
      </c>
      <c r="AD939" s="34" t="s">
        <v>4573</v>
      </c>
      <c r="AE939" s="34" t="s">
        <v>3464</v>
      </c>
      <c r="AF939" s="35">
        <v>6.5120967741935489</v>
      </c>
    </row>
    <row r="940" spans="19:32" x14ac:dyDescent="0.35">
      <c r="S940" s="34">
        <v>936</v>
      </c>
      <c r="T940" s="34" t="s">
        <v>4284</v>
      </c>
      <c r="U940" s="34" t="s">
        <v>5582</v>
      </c>
      <c r="V940" s="35">
        <v>3.2320564516129035E-4</v>
      </c>
      <c r="W940" s="13"/>
      <c r="X940" s="34">
        <v>936</v>
      </c>
      <c r="Y940" s="34" t="s">
        <v>2248</v>
      </c>
      <c r="Z940" s="34" t="s">
        <v>5104</v>
      </c>
      <c r="AA940" s="35">
        <v>3.0538306451612904E-2</v>
      </c>
      <c r="AB940" s="13"/>
      <c r="AC940" s="34">
        <v>936</v>
      </c>
      <c r="AD940" s="34" t="s">
        <v>4573</v>
      </c>
      <c r="AE940" s="34" t="s">
        <v>3464</v>
      </c>
      <c r="AF940" s="35">
        <v>0</v>
      </c>
    </row>
    <row r="941" spans="19:32" x14ac:dyDescent="0.35">
      <c r="S941" s="34">
        <v>937</v>
      </c>
      <c r="T941" s="34" t="s">
        <v>4284</v>
      </c>
      <c r="U941" s="34" t="s">
        <v>5582</v>
      </c>
      <c r="V941" s="35">
        <v>0.32108000000000003</v>
      </c>
      <c r="W941" s="13"/>
      <c r="X941" s="34">
        <v>937</v>
      </c>
      <c r="Y941" s="34" t="s">
        <v>2248</v>
      </c>
      <c r="Z941" s="34" t="s">
        <v>5581</v>
      </c>
      <c r="AA941" s="35">
        <v>5.6552419354838714E-2</v>
      </c>
      <c r="AB941" s="13"/>
      <c r="AC941" s="34">
        <v>937</v>
      </c>
      <c r="AD941" s="34" t="s">
        <v>4573</v>
      </c>
      <c r="AE941" s="34" t="s">
        <v>4970</v>
      </c>
      <c r="AF941" s="35">
        <v>2899.5967741935488</v>
      </c>
    </row>
    <row r="942" spans="19:32" x14ac:dyDescent="0.35">
      <c r="S942" s="34">
        <v>938</v>
      </c>
      <c r="T942" s="34" t="s">
        <v>4284</v>
      </c>
      <c r="U942" s="34" t="s">
        <v>4992</v>
      </c>
      <c r="V942" s="35">
        <v>8.2943548387096782E-5</v>
      </c>
      <c r="W942" s="13"/>
      <c r="X942" s="34">
        <v>938</v>
      </c>
      <c r="Y942" s="34" t="s">
        <v>2248</v>
      </c>
      <c r="Z942" s="34" t="s">
        <v>5103</v>
      </c>
      <c r="AA942" s="35">
        <v>1.7959677419354839E-2</v>
      </c>
      <c r="AB942" s="13"/>
      <c r="AC942" s="34">
        <v>938</v>
      </c>
      <c r="AD942" s="34" t="s">
        <v>4573</v>
      </c>
      <c r="AE942" s="34" t="s">
        <v>3463</v>
      </c>
      <c r="AF942" s="35">
        <v>1.7548387096774196E-3</v>
      </c>
    </row>
    <row r="943" spans="19:32" x14ac:dyDescent="0.35">
      <c r="S943" s="34">
        <v>939</v>
      </c>
      <c r="T943" s="34" t="s">
        <v>4284</v>
      </c>
      <c r="U943" s="34" t="s">
        <v>5580</v>
      </c>
      <c r="V943" s="35">
        <v>2.5157258064516128E-8</v>
      </c>
      <c r="W943" s="13"/>
      <c r="X943" s="34">
        <v>939</v>
      </c>
      <c r="Y943" s="34" t="s">
        <v>2248</v>
      </c>
      <c r="Z943" s="34" t="s">
        <v>5102</v>
      </c>
      <c r="AA943" s="35">
        <v>7.1633064516129035E-5</v>
      </c>
      <c r="AB943" s="13"/>
      <c r="AC943" s="34">
        <v>939</v>
      </c>
      <c r="AD943" s="34" t="s">
        <v>4573</v>
      </c>
      <c r="AE943" s="34" t="s">
        <v>3463</v>
      </c>
      <c r="AF943" s="35">
        <v>3.3488000000000004E-2</v>
      </c>
    </row>
    <row r="944" spans="19:32" x14ac:dyDescent="0.35">
      <c r="S944" s="34">
        <v>940</v>
      </c>
      <c r="T944" s="34" t="s">
        <v>4284</v>
      </c>
      <c r="U944" s="34" t="s">
        <v>4990</v>
      </c>
      <c r="V944" s="35">
        <v>8.6713709677419357E-2</v>
      </c>
      <c r="W944" s="13"/>
      <c r="X944" s="34">
        <v>940</v>
      </c>
      <c r="Y944" s="34" t="s">
        <v>2248</v>
      </c>
      <c r="Z944" s="34" t="s">
        <v>5579</v>
      </c>
      <c r="AA944" s="35">
        <v>1.4155241935483872E-2</v>
      </c>
      <c r="AB944" s="13"/>
      <c r="AC944" s="34">
        <v>940</v>
      </c>
      <c r="AD944" s="34" t="s">
        <v>4573</v>
      </c>
      <c r="AE944" s="34" t="s">
        <v>4969</v>
      </c>
      <c r="AF944" s="35">
        <v>84.657258064516142</v>
      </c>
    </row>
    <row r="945" spans="19:32" x14ac:dyDescent="0.35">
      <c r="S945" s="34">
        <v>941</v>
      </c>
      <c r="T945" s="34" t="s">
        <v>4284</v>
      </c>
      <c r="U945" s="34" t="s">
        <v>4989</v>
      </c>
      <c r="V945" s="35">
        <v>64.435483870967744</v>
      </c>
      <c r="W945" s="13"/>
      <c r="X945" s="34">
        <v>941</v>
      </c>
      <c r="Y945" s="34" t="s">
        <v>2248</v>
      </c>
      <c r="Z945" s="34" t="s">
        <v>3582</v>
      </c>
      <c r="AA945" s="35">
        <v>0</v>
      </c>
      <c r="AB945" s="13"/>
      <c r="AC945" s="34">
        <v>941</v>
      </c>
      <c r="AD945" s="34" t="s">
        <v>4573</v>
      </c>
      <c r="AE945" s="34" t="s">
        <v>3461</v>
      </c>
      <c r="AF945" s="35">
        <v>6.1693548387096779</v>
      </c>
    </row>
    <row r="946" spans="19:32" x14ac:dyDescent="0.35">
      <c r="S946" s="34">
        <v>942</v>
      </c>
      <c r="T946" s="34" t="s">
        <v>4284</v>
      </c>
      <c r="U946" s="34" t="s">
        <v>4988</v>
      </c>
      <c r="V946" s="35">
        <v>3.7016129032258068E-4</v>
      </c>
      <c r="W946" s="13"/>
      <c r="X946" s="34">
        <v>942</v>
      </c>
      <c r="Y946" s="34" t="s">
        <v>2248</v>
      </c>
      <c r="Z946" s="34" t="s">
        <v>3582</v>
      </c>
      <c r="AA946" s="35">
        <v>0.25294354838709682</v>
      </c>
      <c r="AB946" s="13"/>
      <c r="AC946" s="34">
        <v>942</v>
      </c>
      <c r="AD946" s="34" t="s">
        <v>4573</v>
      </c>
      <c r="AE946" s="34" t="s">
        <v>3461</v>
      </c>
      <c r="AF946" s="35">
        <v>9.66</v>
      </c>
    </row>
    <row r="947" spans="19:32" x14ac:dyDescent="0.35">
      <c r="S947" s="34">
        <v>943</v>
      </c>
      <c r="T947" s="34" t="s">
        <v>4284</v>
      </c>
      <c r="U947" s="34" t="s">
        <v>4987</v>
      </c>
      <c r="V947" s="35">
        <v>5.1411290322580648E-2</v>
      </c>
      <c r="W947" s="13"/>
      <c r="X947" s="34">
        <v>943</v>
      </c>
      <c r="Y947" s="34" t="s">
        <v>2248</v>
      </c>
      <c r="Z947" s="34" t="s">
        <v>5101</v>
      </c>
      <c r="AA947" s="35">
        <v>9.5282258064516127E-5</v>
      </c>
      <c r="AB947" s="13"/>
      <c r="AC947" s="34">
        <v>943</v>
      </c>
      <c r="AD947" s="34" t="s">
        <v>4573</v>
      </c>
      <c r="AE947" s="34" t="s">
        <v>3460</v>
      </c>
      <c r="AF947" s="35">
        <v>3.8824000000000001</v>
      </c>
    </row>
    <row r="948" spans="19:32" x14ac:dyDescent="0.35">
      <c r="S948" s="34">
        <v>944</v>
      </c>
      <c r="T948" s="34" t="s">
        <v>4284</v>
      </c>
      <c r="U948" s="34" t="s">
        <v>3494</v>
      </c>
      <c r="V948" s="35">
        <v>5.7580645161290332E-4</v>
      </c>
      <c r="W948" s="13"/>
      <c r="X948" s="34">
        <v>944</v>
      </c>
      <c r="Y948" s="34" t="s">
        <v>2248</v>
      </c>
      <c r="Z948" s="34" t="s">
        <v>5578</v>
      </c>
      <c r="AA948" s="35">
        <v>1.4566532258064517E-3</v>
      </c>
      <c r="AB948" s="13"/>
      <c r="AC948" s="34">
        <v>944</v>
      </c>
      <c r="AD948" s="34" t="s">
        <v>4573</v>
      </c>
      <c r="AE948" s="34" t="s">
        <v>4968</v>
      </c>
      <c r="AF948" s="35">
        <v>0.66491935483870968</v>
      </c>
    </row>
    <row r="949" spans="19:32" x14ac:dyDescent="0.35">
      <c r="S949" s="34">
        <v>945</v>
      </c>
      <c r="T949" s="34" t="s">
        <v>4284</v>
      </c>
      <c r="U949" s="34" t="s">
        <v>3494</v>
      </c>
      <c r="V949" s="35">
        <v>4.6275999999999998E-2</v>
      </c>
      <c r="W949" s="13"/>
      <c r="X949" s="34">
        <v>945</v>
      </c>
      <c r="Y949" s="34" t="s">
        <v>2248</v>
      </c>
      <c r="Z949" s="34" t="s">
        <v>5100</v>
      </c>
      <c r="AA949" s="35">
        <v>0.15354838709677421</v>
      </c>
      <c r="AB949" s="13"/>
      <c r="AC949" s="34">
        <v>945</v>
      </c>
      <c r="AD949" s="34" t="s">
        <v>4573</v>
      </c>
      <c r="AE949" s="34" t="s">
        <v>4967</v>
      </c>
      <c r="AF949" s="35">
        <v>0.18199596774193549</v>
      </c>
    </row>
    <row r="950" spans="19:32" x14ac:dyDescent="0.35">
      <c r="S950" s="34">
        <v>946</v>
      </c>
      <c r="T950" s="34" t="s">
        <v>4284</v>
      </c>
      <c r="U950" s="34" t="s">
        <v>4986</v>
      </c>
      <c r="V950" s="35">
        <v>9.1512096774193554E-3</v>
      </c>
      <c r="W950" s="13"/>
      <c r="X950" s="34">
        <v>946</v>
      </c>
      <c r="Y950" s="34" t="s">
        <v>2248</v>
      </c>
      <c r="Z950" s="34" t="s">
        <v>5099</v>
      </c>
      <c r="AA950" s="35">
        <v>2.9475806451612905E-5</v>
      </c>
      <c r="AB950" s="13"/>
      <c r="AC950" s="34">
        <v>946</v>
      </c>
      <c r="AD950" s="34" t="s">
        <v>4573</v>
      </c>
      <c r="AE950" s="34" t="s">
        <v>4966</v>
      </c>
      <c r="AF950" s="35">
        <v>0.21969758064516132</v>
      </c>
    </row>
    <row r="951" spans="19:32" x14ac:dyDescent="0.35">
      <c r="S951" s="34">
        <v>947</v>
      </c>
      <c r="T951" s="34" t="s">
        <v>4284</v>
      </c>
      <c r="U951" s="34" t="s">
        <v>3493</v>
      </c>
      <c r="V951" s="35">
        <v>0</v>
      </c>
      <c r="W951" s="13"/>
      <c r="X951" s="34">
        <v>947</v>
      </c>
      <c r="Y951" s="34" t="s">
        <v>2248</v>
      </c>
      <c r="Z951" s="34" t="s">
        <v>5098</v>
      </c>
      <c r="AA951" s="35">
        <v>2.0735887096774196E-3</v>
      </c>
      <c r="AB951" s="13"/>
      <c r="AC951" s="34">
        <v>947</v>
      </c>
      <c r="AD951" s="34" t="s">
        <v>4573</v>
      </c>
      <c r="AE951" s="34" t="s">
        <v>4965</v>
      </c>
      <c r="AF951" s="35">
        <v>5.655241935483871</v>
      </c>
    </row>
    <row r="952" spans="19:32" x14ac:dyDescent="0.35">
      <c r="S952" s="34">
        <v>948</v>
      </c>
      <c r="T952" s="34" t="s">
        <v>4284</v>
      </c>
      <c r="U952" s="34" t="s">
        <v>4982</v>
      </c>
      <c r="V952" s="35">
        <v>1.9707661290322581E-3</v>
      </c>
      <c r="W952" s="13"/>
      <c r="X952" s="34">
        <v>948</v>
      </c>
      <c r="Y952" s="34" t="s">
        <v>2248</v>
      </c>
      <c r="Z952" s="34" t="s">
        <v>5577</v>
      </c>
      <c r="AA952" s="35">
        <v>3.2560483870967745E-4</v>
      </c>
      <c r="AB952" s="13"/>
      <c r="AC952" s="34">
        <v>948</v>
      </c>
      <c r="AD952" s="34" t="s">
        <v>4573</v>
      </c>
      <c r="AE952" s="34" t="s">
        <v>4964</v>
      </c>
      <c r="AF952" s="35">
        <v>4.558467741935484</v>
      </c>
    </row>
    <row r="953" spans="19:32" x14ac:dyDescent="0.35">
      <c r="S953" s="34">
        <v>949</v>
      </c>
      <c r="T953" s="34" t="s">
        <v>4284</v>
      </c>
      <c r="U953" s="34" t="s">
        <v>3492</v>
      </c>
      <c r="V953" s="35">
        <v>2.8413306451612907E-3</v>
      </c>
      <c r="W953" s="13"/>
      <c r="X953" s="34">
        <v>949</v>
      </c>
      <c r="Y953" s="34" t="s">
        <v>2248</v>
      </c>
      <c r="Z953" s="34" t="s">
        <v>3579</v>
      </c>
      <c r="AA953" s="35">
        <v>0</v>
      </c>
      <c r="AB953" s="13"/>
      <c r="AC953" s="34">
        <v>949</v>
      </c>
      <c r="AD953" s="34" t="s">
        <v>4573</v>
      </c>
      <c r="AE953" s="34" t="s">
        <v>3458</v>
      </c>
      <c r="AF953" s="35">
        <v>0.94939516129032264</v>
      </c>
    </row>
    <row r="954" spans="19:32" x14ac:dyDescent="0.35">
      <c r="S954" s="34">
        <v>950</v>
      </c>
      <c r="T954" s="34" t="s">
        <v>4284</v>
      </c>
      <c r="U954" s="34" t="s">
        <v>3492</v>
      </c>
      <c r="V954" s="35">
        <v>15.731999999999999</v>
      </c>
      <c r="W954" s="13"/>
      <c r="X954" s="34">
        <v>950</v>
      </c>
      <c r="Y954" s="34" t="s">
        <v>2248</v>
      </c>
      <c r="Z954" s="34" t="s">
        <v>5097</v>
      </c>
      <c r="AA954" s="35">
        <v>5.0040322580645162E-3</v>
      </c>
      <c r="AB954" s="13"/>
      <c r="AC954" s="34">
        <v>950</v>
      </c>
      <c r="AD954" s="34" t="s">
        <v>4573</v>
      </c>
      <c r="AE954" s="34" t="s">
        <v>3458</v>
      </c>
      <c r="AF954" s="35">
        <v>313.71999999999997</v>
      </c>
    </row>
    <row r="955" spans="19:32" x14ac:dyDescent="0.35">
      <c r="S955" s="44">
        <v>951</v>
      </c>
      <c r="T955" s="44" t="s">
        <v>4284</v>
      </c>
      <c r="U955" s="44" t="s">
        <v>5575</v>
      </c>
      <c r="V955" s="45">
        <v>0</v>
      </c>
      <c r="W955" s="13"/>
      <c r="X955" s="34">
        <v>951</v>
      </c>
      <c r="Y955" s="34" t="s">
        <v>2248</v>
      </c>
      <c r="Z955" s="34" t="s">
        <v>5576</v>
      </c>
      <c r="AA955" s="35">
        <v>3.6673387096774197E-5</v>
      </c>
      <c r="AB955" s="13"/>
      <c r="AC955" s="34">
        <v>951</v>
      </c>
      <c r="AD955" s="34" t="s">
        <v>4573</v>
      </c>
      <c r="AE955" s="34" t="s">
        <v>3457</v>
      </c>
      <c r="AF955" s="35">
        <v>0.5209677419354839</v>
      </c>
    </row>
    <row r="956" spans="19:32" x14ac:dyDescent="0.35">
      <c r="S956" s="41">
        <v>952</v>
      </c>
      <c r="T956" s="41" t="s">
        <v>4284</v>
      </c>
      <c r="U956" s="43" t="s">
        <v>5575</v>
      </c>
      <c r="V956" s="46">
        <v>17.1785</v>
      </c>
      <c r="W956" s="13"/>
      <c r="X956" s="34">
        <v>952</v>
      </c>
      <c r="Y956" s="34" t="s">
        <v>2248</v>
      </c>
      <c r="Z956" s="34" t="s">
        <v>5096</v>
      </c>
      <c r="AA956" s="35">
        <v>1.2784274193548388E-3</v>
      </c>
      <c r="AB956" s="13"/>
      <c r="AC956" s="34">
        <v>952</v>
      </c>
      <c r="AD956" s="34" t="s">
        <v>4573</v>
      </c>
      <c r="AE956" s="34" t="s">
        <v>3457</v>
      </c>
      <c r="AF956" s="35">
        <v>313.71999999999997</v>
      </c>
    </row>
    <row r="957" spans="19:32" x14ac:dyDescent="0.35">
      <c r="S957" s="44">
        <v>953</v>
      </c>
      <c r="T957" s="44" t="s">
        <v>4284</v>
      </c>
      <c r="U957" s="44" t="s">
        <v>5574</v>
      </c>
      <c r="V957" s="45">
        <v>0</v>
      </c>
      <c r="W957" s="13"/>
      <c r="X957" s="34">
        <v>953</v>
      </c>
      <c r="Y957" s="34" t="s">
        <v>2248</v>
      </c>
      <c r="Z957" s="34" t="s">
        <v>5095</v>
      </c>
      <c r="AA957" s="35">
        <v>5.6552419354838713E-5</v>
      </c>
      <c r="AB957" s="13"/>
      <c r="AC957" s="34">
        <v>953</v>
      </c>
      <c r="AD957" s="34" t="s">
        <v>4573</v>
      </c>
      <c r="AE957" s="34" t="s">
        <v>3455</v>
      </c>
      <c r="AF957" s="35">
        <v>1.3812500000000001</v>
      </c>
    </row>
    <row r="958" spans="19:32" x14ac:dyDescent="0.35">
      <c r="S958" s="41">
        <v>954</v>
      </c>
      <c r="T958" s="41" t="s">
        <v>4284</v>
      </c>
      <c r="U958" s="41" t="s">
        <v>5574</v>
      </c>
      <c r="V958" s="42">
        <v>9.1509</v>
      </c>
      <c r="W958" s="13"/>
      <c r="X958" s="34">
        <v>954</v>
      </c>
      <c r="Y958" s="34" t="s">
        <v>2248</v>
      </c>
      <c r="Z958" s="34" t="s">
        <v>5573</v>
      </c>
      <c r="AA958" s="35">
        <v>6.7177419354838711E-3</v>
      </c>
      <c r="AB958" s="13"/>
      <c r="AC958" s="34">
        <v>954</v>
      </c>
      <c r="AD958" s="34" t="s">
        <v>4573</v>
      </c>
      <c r="AE958" s="34" t="s">
        <v>3455</v>
      </c>
      <c r="AF958" s="35">
        <v>313.71999999999997</v>
      </c>
    </row>
    <row r="959" spans="19:32" x14ac:dyDescent="0.35">
      <c r="S959" s="44">
        <v>955</v>
      </c>
      <c r="T959" s="44" t="s">
        <v>4284</v>
      </c>
      <c r="U959" s="44" t="s">
        <v>5572</v>
      </c>
      <c r="V959" s="45">
        <v>0</v>
      </c>
      <c r="W959" s="13"/>
      <c r="X959" s="34">
        <v>955</v>
      </c>
      <c r="Y959" s="34" t="s">
        <v>2248</v>
      </c>
      <c r="Z959" s="34" t="s">
        <v>5094</v>
      </c>
      <c r="AA959" s="35">
        <v>3.190927419354839E-4</v>
      </c>
      <c r="AB959" s="13"/>
      <c r="AC959" s="34">
        <v>955</v>
      </c>
      <c r="AD959" s="34" t="s">
        <v>4573</v>
      </c>
      <c r="AE959" s="34" t="s">
        <v>3453</v>
      </c>
      <c r="AF959" s="35">
        <v>0</v>
      </c>
    </row>
    <row r="960" spans="19:32" x14ac:dyDescent="0.35">
      <c r="S960" s="41">
        <v>956</v>
      </c>
      <c r="T960" s="41" t="s">
        <v>4284</v>
      </c>
      <c r="U960" s="41" t="s">
        <v>5572</v>
      </c>
      <c r="V960" s="42">
        <v>19.020900000000001</v>
      </c>
      <c r="W960" s="13"/>
      <c r="X960" s="34">
        <v>956</v>
      </c>
      <c r="Y960" s="34" t="s">
        <v>2248</v>
      </c>
      <c r="Z960" s="34" t="s">
        <v>5092</v>
      </c>
      <c r="AA960" s="35">
        <v>2.9510080645161293E-2</v>
      </c>
      <c r="AB960" s="13"/>
      <c r="AC960" s="34">
        <v>956</v>
      </c>
      <c r="AD960" s="34" t="s">
        <v>4573</v>
      </c>
      <c r="AE960" s="34" t="s">
        <v>3452</v>
      </c>
      <c r="AF960" s="35">
        <v>0</v>
      </c>
    </row>
    <row r="961" spans="19:32" x14ac:dyDescent="0.35">
      <c r="S961" s="44">
        <v>957</v>
      </c>
      <c r="T961" s="44" t="s">
        <v>4284</v>
      </c>
      <c r="U961" s="44" t="s">
        <v>5571</v>
      </c>
      <c r="V961" s="45">
        <v>0</v>
      </c>
      <c r="W961" s="13"/>
      <c r="X961" s="34">
        <v>957</v>
      </c>
      <c r="Y961" s="34" t="s">
        <v>2248</v>
      </c>
      <c r="Z961" s="34" t="s">
        <v>5091</v>
      </c>
      <c r="AA961" s="35">
        <v>4.8326612903225813E-3</v>
      </c>
      <c r="AB961" s="13"/>
      <c r="AC961" s="34">
        <v>957</v>
      </c>
      <c r="AD961" s="34" t="s">
        <v>4573</v>
      </c>
      <c r="AE961" s="34" t="s">
        <v>3451</v>
      </c>
      <c r="AF961" s="35">
        <v>0</v>
      </c>
    </row>
    <row r="962" spans="19:32" x14ac:dyDescent="0.35">
      <c r="S962" s="41">
        <v>958</v>
      </c>
      <c r="T962" s="41" t="s">
        <v>4284</v>
      </c>
      <c r="U962" s="41" t="s">
        <v>5571</v>
      </c>
      <c r="V962" s="42">
        <v>4.9068000000000005</v>
      </c>
      <c r="W962" s="13"/>
      <c r="X962" s="34">
        <v>958</v>
      </c>
      <c r="Y962" s="34" t="s">
        <v>2248</v>
      </c>
      <c r="Z962" s="34" t="s">
        <v>5570</v>
      </c>
      <c r="AA962" s="35">
        <v>3.118951612903226E-3</v>
      </c>
      <c r="AB962" s="13"/>
      <c r="AC962" s="34">
        <v>958</v>
      </c>
      <c r="AD962" s="34" t="s">
        <v>4573</v>
      </c>
      <c r="AE962" s="34" t="s">
        <v>4960</v>
      </c>
      <c r="AF962" s="35">
        <v>7.4032258064516132E-3</v>
      </c>
    </row>
    <row r="963" spans="19:32" x14ac:dyDescent="0.35">
      <c r="S963" s="44">
        <v>959</v>
      </c>
      <c r="T963" s="44" t="s">
        <v>4284</v>
      </c>
      <c r="U963" s="44" t="s">
        <v>5569</v>
      </c>
      <c r="V963" s="45">
        <v>0</v>
      </c>
      <c r="W963" s="13"/>
      <c r="X963" s="34">
        <v>959</v>
      </c>
      <c r="Y963" s="34" t="s">
        <v>2248</v>
      </c>
      <c r="Z963" s="34" t="s">
        <v>5090</v>
      </c>
      <c r="AA963" s="35">
        <v>6.4092741935483878E-3</v>
      </c>
      <c r="AB963" s="13"/>
      <c r="AC963" s="34">
        <v>959</v>
      </c>
      <c r="AD963" s="34" t="s">
        <v>4573</v>
      </c>
      <c r="AE963" s="34" t="s">
        <v>3450</v>
      </c>
      <c r="AF963" s="35">
        <v>2.9955645161290323</v>
      </c>
    </row>
    <row r="964" spans="19:32" x14ac:dyDescent="0.35">
      <c r="S964" s="41">
        <v>960</v>
      </c>
      <c r="T964" s="41" t="s">
        <v>4284</v>
      </c>
      <c r="U964" s="41" t="s">
        <v>5569</v>
      </c>
      <c r="V964" s="42">
        <v>11.110799999999999</v>
      </c>
      <c r="W964" s="13"/>
      <c r="X964" s="34">
        <v>960</v>
      </c>
      <c r="Y964" s="34" t="s">
        <v>2248</v>
      </c>
      <c r="Z964" s="34" t="s">
        <v>3577</v>
      </c>
      <c r="AA964" s="35">
        <v>0</v>
      </c>
      <c r="AB964" s="13"/>
      <c r="AC964" s="34">
        <v>960</v>
      </c>
      <c r="AD964" s="34" t="s">
        <v>4573</v>
      </c>
      <c r="AE964" s="34" t="s">
        <v>3450</v>
      </c>
      <c r="AF964" s="35">
        <v>3.3948</v>
      </c>
    </row>
    <row r="965" spans="19:32" x14ac:dyDescent="0.35">
      <c r="S965" s="44">
        <v>961</v>
      </c>
      <c r="T965" s="44" t="s">
        <v>4284</v>
      </c>
      <c r="U965" s="44" t="s">
        <v>5567</v>
      </c>
      <c r="V965" s="45">
        <v>0</v>
      </c>
      <c r="W965" s="13"/>
      <c r="X965" s="34">
        <v>961</v>
      </c>
      <c r="Y965" s="34" t="s">
        <v>2248</v>
      </c>
      <c r="Z965" s="34" t="s">
        <v>5568</v>
      </c>
      <c r="AA965" s="35">
        <v>7.8145161290322594E-3</v>
      </c>
      <c r="AB965" s="13"/>
      <c r="AC965" s="34">
        <v>961</v>
      </c>
      <c r="AD965" s="34" t="s">
        <v>4573</v>
      </c>
      <c r="AE965" s="34" t="s">
        <v>3448</v>
      </c>
      <c r="AF965" s="35">
        <v>0.48669354838709683</v>
      </c>
    </row>
    <row r="966" spans="19:32" x14ac:dyDescent="0.35">
      <c r="S966" s="41">
        <v>962</v>
      </c>
      <c r="T966" s="41" t="s">
        <v>4284</v>
      </c>
      <c r="U966" s="41" t="s">
        <v>5567</v>
      </c>
      <c r="V966" s="42">
        <v>1.6261999999999999</v>
      </c>
      <c r="W966" s="13"/>
      <c r="X966" s="34">
        <v>962</v>
      </c>
      <c r="Y966" s="34" t="s">
        <v>2248</v>
      </c>
      <c r="Z966" s="34" t="s">
        <v>5089</v>
      </c>
      <c r="AA966" s="35">
        <v>9.425403225806453E-2</v>
      </c>
      <c r="AB966" s="13"/>
      <c r="AC966" s="34">
        <v>962</v>
      </c>
      <c r="AD966" s="34" t="s">
        <v>4573</v>
      </c>
      <c r="AE966" s="34" t="s">
        <v>3448</v>
      </c>
      <c r="AF966" s="35">
        <v>14.904</v>
      </c>
    </row>
    <row r="967" spans="19:32" x14ac:dyDescent="0.35">
      <c r="S967" s="44">
        <v>963</v>
      </c>
      <c r="T967" s="44" t="s">
        <v>4284</v>
      </c>
      <c r="U967" s="44" t="s">
        <v>5566</v>
      </c>
      <c r="V967" s="45">
        <v>0</v>
      </c>
      <c r="W967" s="13"/>
      <c r="X967" s="34">
        <v>963</v>
      </c>
      <c r="Y967" s="34" t="s">
        <v>2248</v>
      </c>
      <c r="Z967" s="34" t="s">
        <v>5088</v>
      </c>
      <c r="AA967" s="35">
        <v>5.7923387096774198E-5</v>
      </c>
      <c r="AB967" s="13"/>
      <c r="AC967" s="34">
        <v>963</v>
      </c>
      <c r="AD967" s="34" t="s">
        <v>4573</v>
      </c>
      <c r="AE967" s="34" t="s">
        <v>4956</v>
      </c>
      <c r="AF967" s="35">
        <v>2.9715725806451616E-2</v>
      </c>
    </row>
    <row r="968" spans="19:32" x14ac:dyDescent="0.35">
      <c r="S968" s="41">
        <v>964</v>
      </c>
      <c r="T968" s="41" t="s">
        <v>4284</v>
      </c>
      <c r="U968" s="41" t="s">
        <v>5566</v>
      </c>
      <c r="V968" s="42">
        <v>9.5033999999999992</v>
      </c>
      <c r="W968" s="13"/>
      <c r="X968" s="34">
        <v>964</v>
      </c>
      <c r="Y968" s="34" t="s">
        <v>2248</v>
      </c>
      <c r="Z968" s="34" t="s">
        <v>5087</v>
      </c>
      <c r="AA968" s="35">
        <v>2.9612903225806453E-2</v>
      </c>
      <c r="AB968" s="13"/>
      <c r="AC968" s="34">
        <v>964</v>
      </c>
      <c r="AD968" s="34" t="s">
        <v>4573</v>
      </c>
      <c r="AE968" s="34" t="s">
        <v>4955</v>
      </c>
      <c r="AF968" s="35">
        <v>58.608870967741943</v>
      </c>
    </row>
    <row r="969" spans="19:32" x14ac:dyDescent="0.35">
      <c r="S969" s="44">
        <v>965</v>
      </c>
      <c r="T969" s="44" t="s">
        <v>4284</v>
      </c>
      <c r="U969" s="44" t="s">
        <v>5564</v>
      </c>
      <c r="V969" s="45">
        <v>0</v>
      </c>
      <c r="W969" s="13"/>
      <c r="X969" s="34">
        <v>965</v>
      </c>
      <c r="Y969" s="34" t="s">
        <v>2248</v>
      </c>
      <c r="Z969" s="34" t="s">
        <v>5565</v>
      </c>
      <c r="AA969" s="35">
        <v>1.7479838709677422E-2</v>
      </c>
      <c r="AB969" s="13"/>
      <c r="AC969" s="34">
        <v>965</v>
      </c>
      <c r="AD969" s="34" t="s">
        <v>4573</v>
      </c>
      <c r="AE969" s="34" t="s">
        <v>4952</v>
      </c>
      <c r="AF969" s="35">
        <v>5.6895161290322585E-2</v>
      </c>
    </row>
    <row r="970" spans="19:32" x14ac:dyDescent="0.35">
      <c r="S970" s="41">
        <v>966</v>
      </c>
      <c r="T970" s="41" t="s">
        <v>4284</v>
      </c>
      <c r="U970" s="41" t="s">
        <v>5564</v>
      </c>
      <c r="V970" s="42">
        <v>26.978000000000002</v>
      </c>
      <c r="W970" s="13"/>
      <c r="X970" s="34">
        <v>966</v>
      </c>
      <c r="Y970" s="34" t="s">
        <v>2248</v>
      </c>
      <c r="Z970" s="34" t="s">
        <v>3574</v>
      </c>
      <c r="AA970" s="35">
        <v>0</v>
      </c>
      <c r="AB970" s="13"/>
      <c r="AC970" s="34">
        <v>966</v>
      </c>
      <c r="AD970" s="34" t="s">
        <v>4573</v>
      </c>
      <c r="AE970" s="34" t="s">
        <v>4950</v>
      </c>
      <c r="AF970" s="35">
        <v>5.3125000000000006E-2</v>
      </c>
    </row>
    <row r="971" spans="19:32" x14ac:dyDescent="0.35">
      <c r="S971" s="44">
        <v>967</v>
      </c>
      <c r="T971" s="44" t="s">
        <v>4284</v>
      </c>
      <c r="U971" s="44" t="s">
        <v>5563</v>
      </c>
      <c r="V971" s="45">
        <v>0</v>
      </c>
      <c r="W971" s="13"/>
      <c r="X971" s="34">
        <v>967</v>
      </c>
      <c r="Y971" s="34" t="s">
        <v>2248</v>
      </c>
      <c r="Z971" s="34" t="s">
        <v>3573</v>
      </c>
      <c r="AA971" s="35">
        <v>0</v>
      </c>
      <c r="AB971" s="13"/>
      <c r="AC971" s="34">
        <v>967</v>
      </c>
      <c r="AD971" s="34" t="s">
        <v>4573</v>
      </c>
      <c r="AE971" s="34" t="s">
        <v>4949</v>
      </c>
      <c r="AF971" s="35">
        <v>0.3461693548387097</v>
      </c>
    </row>
    <row r="972" spans="19:32" x14ac:dyDescent="0.35">
      <c r="S972" s="41">
        <v>968</v>
      </c>
      <c r="T972" s="41" t="s">
        <v>4284</v>
      </c>
      <c r="U972" s="41" t="s">
        <v>5563</v>
      </c>
      <c r="V972" s="42">
        <v>8.4459</v>
      </c>
      <c r="W972" s="13"/>
      <c r="X972" s="34">
        <v>968</v>
      </c>
      <c r="Y972" s="34" t="s">
        <v>2248</v>
      </c>
      <c r="Z972" s="34" t="s">
        <v>5562</v>
      </c>
      <c r="AA972" s="35">
        <v>3.1635080645161292E-3</v>
      </c>
      <c r="AB972" s="13"/>
      <c r="AC972" s="34">
        <v>968</v>
      </c>
      <c r="AD972" s="34" t="s">
        <v>4573</v>
      </c>
      <c r="AE972" s="34" t="s">
        <v>4946</v>
      </c>
      <c r="AF972" s="35">
        <v>2.6185483870967743</v>
      </c>
    </row>
    <row r="973" spans="19:32" x14ac:dyDescent="0.35">
      <c r="S973" s="44">
        <v>969</v>
      </c>
      <c r="T973" s="44" t="s">
        <v>4284</v>
      </c>
      <c r="U973" s="44" t="s">
        <v>5561</v>
      </c>
      <c r="V973" s="45">
        <v>0</v>
      </c>
      <c r="W973" s="13"/>
      <c r="X973" s="34">
        <v>969</v>
      </c>
      <c r="Y973" s="34" t="s">
        <v>2248</v>
      </c>
      <c r="Z973" s="34" t="s">
        <v>3573</v>
      </c>
      <c r="AA973" s="35">
        <v>1.5663306451612906E-3</v>
      </c>
      <c r="AB973" s="13"/>
      <c r="AC973" s="34">
        <v>969</v>
      </c>
      <c r="AD973" s="34" t="s">
        <v>4573</v>
      </c>
      <c r="AE973" s="34" t="s">
        <v>3447</v>
      </c>
      <c r="AF973" s="35">
        <v>17.204000000000001</v>
      </c>
    </row>
    <row r="974" spans="19:32" x14ac:dyDescent="0.35">
      <c r="S974" s="41">
        <v>970</v>
      </c>
      <c r="T974" s="41" t="s">
        <v>4284</v>
      </c>
      <c r="U974" s="41" t="s">
        <v>5561</v>
      </c>
      <c r="V974" s="42">
        <v>13.1412</v>
      </c>
      <c r="W974" s="13"/>
      <c r="X974" s="34">
        <v>970</v>
      </c>
      <c r="Y974" s="34" t="s">
        <v>2248</v>
      </c>
      <c r="Z974" s="34" t="s">
        <v>5086</v>
      </c>
      <c r="AA974" s="35">
        <v>8.6370967741935498E-5</v>
      </c>
      <c r="AB974" s="13"/>
      <c r="AC974" s="34">
        <v>970</v>
      </c>
      <c r="AD974" s="34" t="s">
        <v>4573</v>
      </c>
      <c r="AE974" s="34" t="s">
        <v>4943</v>
      </c>
      <c r="AF974" s="35">
        <v>62.37903225806452</v>
      </c>
    </row>
    <row r="975" spans="19:32" x14ac:dyDescent="0.35">
      <c r="S975" s="44">
        <v>971</v>
      </c>
      <c r="T975" s="44" t="s">
        <v>4284</v>
      </c>
      <c r="U975" s="44" t="s">
        <v>5559</v>
      </c>
      <c r="V975" s="45">
        <v>0</v>
      </c>
      <c r="W975" s="13"/>
      <c r="X975" s="34">
        <v>971</v>
      </c>
      <c r="Y975" s="34" t="s">
        <v>2248</v>
      </c>
      <c r="Z975" s="34" t="s">
        <v>5560</v>
      </c>
      <c r="AA975" s="35">
        <v>2.9407258064516133E-4</v>
      </c>
      <c r="AB975" s="13"/>
      <c r="AC975" s="34">
        <v>971</v>
      </c>
      <c r="AD975" s="34" t="s">
        <v>4573</v>
      </c>
      <c r="AE975" s="34" t="s">
        <v>3446</v>
      </c>
      <c r="AF975" s="35">
        <v>18.43951612903226</v>
      </c>
    </row>
    <row r="976" spans="19:32" x14ac:dyDescent="0.35">
      <c r="S976" s="41">
        <v>972</v>
      </c>
      <c r="T976" s="41" t="s">
        <v>4284</v>
      </c>
      <c r="U976" s="41" t="s">
        <v>5559</v>
      </c>
      <c r="V976" s="42">
        <v>16.1492</v>
      </c>
      <c r="W976" s="13"/>
      <c r="X976" s="34">
        <v>972</v>
      </c>
      <c r="Y976" s="34" t="s">
        <v>2248</v>
      </c>
      <c r="Z976" s="34" t="s">
        <v>5085</v>
      </c>
      <c r="AA976" s="35">
        <v>5.3810483870967742E-4</v>
      </c>
      <c r="AB976" s="13"/>
      <c r="AC976" s="34">
        <v>972</v>
      </c>
      <c r="AD976" s="34" t="s">
        <v>4573</v>
      </c>
      <c r="AE976" s="34" t="s">
        <v>3446</v>
      </c>
      <c r="AF976" s="35">
        <v>0</v>
      </c>
    </row>
    <row r="977" spans="19:32" x14ac:dyDescent="0.35">
      <c r="S977" s="44">
        <v>973</v>
      </c>
      <c r="T977" s="44" t="s">
        <v>4284</v>
      </c>
      <c r="U977" s="44" t="s">
        <v>5558</v>
      </c>
      <c r="V977" s="45">
        <v>0</v>
      </c>
      <c r="W977" s="13"/>
      <c r="X977" s="34">
        <v>973</v>
      </c>
      <c r="Y977" s="34" t="s">
        <v>2248</v>
      </c>
      <c r="Z977" s="34" t="s">
        <v>3570</v>
      </c>
      <c r="AA977" s="35">
        <v>0</v>
      </c>
      <c r="AB977" s="13"/>
      <c r="AC977" s="34">
        <v>973</v>
      </c>
      <c r="AD977" s="34" t="s">
        <v>4573</v>
      </c>
      <c r="AE977" s="34" t="s">
        <v>4937</v>
      </c>
      <c r="AF977" s="35">
        <v>3.9072580645161295E-2</v>
      </c>
    </row>
    <row r="978" spans="19:32" x14ac:dyDescent="0.35">
      <c r="S978" s="41">
        <v>974</v>
      </c>
      <c r="T978" s="41" t="s">
        <v>4284</v>
      </c>
      <c r="U978" s="41" t="s">
        <v>5558</v>
      </c>
      <c r="V978" s="42">
        <v>5.1935000000000002</v>
      </c>
      <c r="W978" s="13"/>
      <c r="X978" s="34">
        <v>974</v>
      </c>
      <c r="Y978" s="34" t="s">
        <v>2248</v>
      </c>
      <c r="Z978" s="34" t="s">
        <v>3570</v>
      </c>
      <c r="AA978" s="35">
        <v>1.9570564516129033E-3</v>
      </c>
      <c r="AB978" s="13"/>
      <c r="AC978" s="34">
        <v>974</v>
      </c>
      <c r="AD978" s="34" t="s">
        <v>4573</v>
      </c>
      <c r="AE978" s="34" t="s">
        <v>3444</v>
      </c>
      <c r="AF978" s="35">
        <v>0.57237903225806452</v>
      </c>
    </row>
    <row r="979" spans="19:32" x14ac:dyDescent="0.35">
      <c r="S979" s="44">
        <v>975</v>
      </c>
      <c r="T979" s="44" t="s">
        <v>4284</v>
      </c>
      <c r="U979" s="44" t="s">
        <v>5556</v>
      </c>
      <c r="V979" s="45">
        <v>0</v>
      </c>
      <c r="W979" s="13"/>
      <c r="X979" s="34">
        <v>975</v>
      </c>
      <c r="Y979" s="34" t="s">
        <v>2248</v>
      </c>
      <c r="Z979" s="34" t="s">
        <v>5557</v>
      </c>
      <c r="AA979" s="35">
        <v>6.4435483870967751E-3</v>
      </c>
      <c r="AB979" s="13"/>
      <c r="AC979" s="34">
        <v>975</v>
      </c>
      <c r="AD979" s="34" t="s">
        <v>4573</v>
      </c>
      <c r="AE979" s="34" t="s">
        <v>3444</v>
      </c>
      <c r="AF979" s="35">
        <v>5.75</v>
      </c>
    </row>
    <row r="980" spans="19:32" x14ac:dyDescent="0.35">
      <c r="S980" s="41">
        <v>976</v>
      </c>
      <c r="T980" s="41" t="s">
        <v>4284</v>
      </c>
      <c r="U980" s="41" t="s">
        <v>5556</v>
      </c>
      <c r="V980" s="42">
        <v>5.6212</v>
      </c>
      <c r="W980" s="13"/>
      <c r="X980" s="34">
        <v>976</v>
      </c>
      <c r="Y980" s="34" t="s">
        <v>2248</v>
      </c>
      <c r="Z980" s="34" t="s">
        <v>3569</v>
      </c>
      <c r="AA980" s="35">
        <v>4.2872000000000003</v>
      </c>
      <c r="AB980" s="13"/>
      <c r="AC980" s="34">
        <v>976</v>
      </c>
      <c r="AD980" s="34" t="s">
        <v>4573</v>
      </c>
      <c r="AE980" s="34" t="s">
        <v>3443</v>
      </c>
      <c r="AF980" s="35">
        <v>0</v>
      </c>
    </row>
    <row r="981" spans="19:32" x14ac:dyDescent="0.35">
      <c r="S981" s="44">
        <v>977</v>
      </c>
      <c r="T981" s="44" t="s">
        <v>4284</v>
      </c>
      <c r="U981" s="44" t="s">
        <v>5555</v>
      </c>
      <c r="V981" s="45">
        <v>0</v>
      </c>
      <c r="W981" s="13"/>
      <c r="X981" s="34">
        <v>977</v>
      </c>
      <c r="Y981" s="34" t="s">
        <v>2248</v>
      </c>
      <c r="Z981" s="34" t="s">
        <v>5084</v>
      </c>
      <c r="AA981" s="35">
        <v>7.6088709677419363E-5</v>
      </c>
      <c r="AB981" s="13"/>
      <c r="AC981" s="34">
        <v>977</v>
      </c>
      <c r="AD981" s="34" t="s">
        <v>4573</v>
      </c>
      <c r="AE981" s="34" t="s">
        <v>4936</v>
      </c>
      <c r="AF981" s="35">
        <v>34.95967741935484</v>
      </c>
    </row>
    <row r="982" spans="19:32" x14ac:dyDescent="0.35">
      <c r="S982" s="41">
        <v>978</v>
      </c>
      <c r="T982" s="41" t="s">
        <v>4284</v>
      </c>
      <c r="U982" s="41" t="s">
        <v>5555</v>
      </c>
      <c r="V982" s="42">
        <v>4.3663000000000007</v>
      </c>
      <c r="W982" s="13"/>
      <c r="X982" s="34">
        <v>978</v>
      </c>
      <c r="Y982" s="34" t="s">
        <v>2248</v>
      </c>
      <c r="Z982" s="34" t="s">
        <v>5554</v>
      </c>
      <c r="AA982" s="35">
        <v>1.2030241935483871E-2</v>
      </c>
      <c r="AB982" s="13"/>
      <c r="AC982" s="34">
        <v>978</v>
      </c>
      <c r="AD982" s="34" t="s">
        <v>4573</v>
      </c>
      <c r="AE982" s="34" t="s">
        <v>3442</v>
      </c>
      <c r="AF982" s="35">
        <v>889.64</v>
      </c>
    </row>
    <row r="983" spans="19:32" x14ac:dyDescent="0.35">
      <c r="S983" s="44">
        <v>979</v>
      </c>
      <c r="T983" s="44" t="s">
        <v>4284</v>
      </c>
      <c r="U983" s="44" t="s">
        <v>5553</v>
      </c>
      <c r="V983" s="45">
        <v>0</v>
      </c>
      <c r="W983" s="13"/>
      <c r="X983" s="34">
        <v>979</v>
      </c>
      <c r="Y983" s="34" t="s">
        <v>2248</v>
      </c>
      <c r="Z983" s="34" t="s">
        <v>3567</v>
      </c>
      <c r="AA983" s="35">
        <v>0</v>
      </c>
      <c r="AB983" s="13"/>
      <c r="AC983" s="34">
        <v>979</v>
      </c>
      <c r="AD983" s="34" t="s">
        <v>4573</v>
      </c>
      <c r="AE983" s="34" t="s">
        <v>4934</v>
      </c>
      <c r="AF983" s="35">
        <v>2.6391129032258065</v>
      </c>
    </row>
    <row r="984" spans="19:32" x14ac:dyDescent="0.35">
      <c r="S984" s="41">
        <v>980</v>
      </c>
      <c r="T984" s="41" t="s">
        <v>4284</v>
      </c>
      <c r="U984" s="41" t="s">
        <v>5553</v>
      </c>
      <c r="V984" s="42">
        <v>13.000200000000001</v>
      </c>
      <c r="W984" s="13"/>
      <c r="X984" s="34">
        <v>980</v>
      </c>
      <c r="Y984" s="34" t="s">
        <v>2248</v>
      </c>
      <c r="Z984" s="34" t="s">
        <v>3566</v>
      </c>
      <c r="AA984" s="35">
        <v>0.14076</v>
      </c>
      <c r="AB984" s="13"/>
      <c r="AC984" s="34">
        <v>980</v>
      </c>
      <c r="AD984" s="34" t="s">
        <v>4573</v>
      </c>
      <c r="AE984" s="34" t="s">
        <v>4931</v>
      </c>
      <c r="AF984" s="35">
        <v>2.6596774193548389E-2</v>
      </c>
    </row>
    <row r="985" spans="19:32" x14ac:dyDescent="0.35">
      <c r="S985" s="44">
        <v>981</v>
      </c>
      <c r="T985" s="44" t="s">
        <v>4284</v>
      </c>
      <c r="U985" s="44" t="s">
        <v>5551</v>
      </c>
      <c r="V985" s="45">
        <v>0</v>
      </c>
      <c r="W985" s="13"/>
      <c r="X985" s="34">
        <v>981</v>
      </c>
      <c r="Y985" s="34" t="s">
        <v>2248</v>
      </c>
      <c r="Z985" s="34" t="s">
        <v>5552</v>
      </c>
      <c r="AA985" s="35">
        <v>1.62116935483871E-4</v>
      </c>
      <c r="AB985" s="13"/>
      <c r="AC985" s="34">
        <v>981</v>
      </c>
      <c r="AD985" s="34" t="s">
        <v>4573</v>
      </c>
      <c r="AE985" s="34" t="s">
        <v>4930</v>
      </c>
      <c r="AF985" s="35">
        <v>9.8024193548387102E-3</v>
      </c>
    </row>
    <row r="986" spans="19:32" x14ac:dyDescent="0.35">
      <c r="S986" s="41">
        <v>982</v>
      </c>
      <c r="T986" s="41" t="s">
        <v>4284</v>
      </c>
      <c r="U986" s="41" t="s">
        <v>5551</v>
      </c>
      <c r="V986" s="42">
        <v>13.686400000000001</v>
      </c>
      <c r="W986" s="13"/>
      <c r="X986" s="34">
        <v>982</v>
      </c>
      <c r="Y986" s="34" t="s">
        <v>2248</v>
      </c>
      <c r="Z986" s="34" t="s">
        <v>3563</v>
      </c>
      <c r="AA986" s="35">
        <v>0</v>
      </c>
      <c r="AB986" s="13"/>
      <c r="AC986" s="34">
        <v>982</v>
      </c>
      <c r="AD986" s="34" t="s">
        <v>4573</v>
      </c>
      <c r="AE986" s="34" t="s">
        <v>4929</v>
      </c>
      <c r="AF986" s="35">
        <v>1.2201612903225807</v>
      </c>
    </row>
    <row r="987" spans="19:32" x14ac:dyDescent="0.35">
      <c r="S987" s="44">
        <v>983</v>
      </c>
      <c r="T987" s="44" t="s">
        <v>4284</v>
      </c>
      <c r="U987" s="44" t="s">
        <v>5550</v>
      </c>
      <c r="V987" s="45">
        <v>0</v>
      </c>
      <c r="W987" s="13"/>
      <c r="X987" s="34">
        <v>983</v>
      </c>
      <c r="Y987" s="34" t="s">
        <v>2248</v>
      </c>
      <c r="Z987" s="34" t="s">
        <v>3561</v>
      </c>
      <c r="AA987" s="35">
        <v>0</v>
      </c>
      <c r="AB987" s="13"/>
      <c r="AC987" s="34">
        <v>983</v>
      </c>
      <c r="AD987" s="34" t="s">
        <v>4573</v>
      </c>
      <c r="AE987" s="34" t="s">
        <v>3441</v>
      </c>
      <c r="AF987" s="35">
        <v>1.8859999999999999</v>
      </c>
    </row>
    <row r="988" spans="19:32" x14ac:dyDescent="0.35">
      <c r="S988" s="41">
        <v>984</v>
      </c>
      <c r="T988" s="41" t="s">
        <v>4284</v>
      </c>
      <c r="U988" s="41" t="s">
        <v>5550</v>
      </c>
      <c r="V988" s="42">
        <v>2.9516</v>
      </c>
      <c r="W988" s="13"/>
      <c r="X988" s="34">
        <v>984</v>
      </c>
      <c r="Y988" s="34" t="s">
        <v>2248</v>
      </c>
      <c r="Z988" s="34" t="s">
        <v>3561</v>
      </c>
      <c r="AA988" s="35">
        <v>1.5629032258064518E-5</v>
      </c>
      <c r="AB988" s="13"/>
      <c r="AC988" s="34">
        <v>984</v>
      </c>
      <c r="AD988" s="34" t="s">
        <v>4573</v>
      </c>
      <c r="AE988" s="34" t="s">
        <v>3439</v>
      </c>
      <c r="AF988" s="35">
        <v>0</v>
      </c>
    </row>
    <row r="989" spans="19:32" x14ac:dyDescent="0.35">
      <c r="S989" s="44">
        <v>985</v>
      </c>
      <c r="T989" s="44" t="s">
        <v>4284</v>
      </c>
      <c r="U989" s="44" t="s">
        <v>5548</v>
      </c>
      <c r="V989" s="45">
        <v>0</v>
      </c>
      <c r="W989" s="13"/>
      <c r="X989" s="34">
        <v>985</v>
      </c>
      <c r="Y989" s="34" t="s">
        <v>2248</v>
      </c>
      <c r="Z989" s="34" t="s">
        <v>5549</v>
      </c>
      <c r="AA989" s="35">
        <v>4.8669354838709676E-5</v>
      </c>
      <c r="AB989" s="13"/>
      <c r="AC989" s="34">
        <v>985</v>
      </c>
      <c r="AD989" s="34" t="s">
        <v>4573</v>
      </c>
      <c r="AE989" s="34" t="s">
        <v>3438</v>
      </c>
      <c r="AF989" s="35">
        <v>1.076209677419355</v>
      </c>
    </row>
    <row r="990" spans="19:32" x14ac:dyDescent="0.35">
      <c r="S990" s="41">
        <v>986</v>
      </c>
      <c r="T990" s="41" t="s">
        <v>4284</v>
      </c>
      <c r="U990" s="41" t="s">
        <v>5548</v>
      </c>
      <c r="V990" s="42">
        <v>1.8424</v>
      </c>
      <c r="W990" s="13"/>
      <c r="X990" s="34">
        <v>986</v>
      </c>
      <c r="Y990" s="34" t="s">
        <v>2248</v>
      </c>
      <c r="Z990" s="34" t="s">
        <v>5083</v>
      </c>
      <c r="AA990" s="35">
        <v>4.6270161290322585E-5</v>
      </c>
      <c r="AB990" s="13"/>
      <c r="AC990" s="34">
        <v>986</v>
      </c>
      <c r="AD990" s="34" t="s">
        <v>4573</v>
      </c>
      <c r="AE990" s="34" t="s">
        <v>3438</v>
      </c>
      <c r="AF990" s="35">
        <v>0</v>
      </c>
    </row>
    <row r="991" spans="19:32" x14ac:dyDescent="0.35">
      <c r="S991" s="44">
        <v>987</v>
      </c>
      <c r="T991" s="44" t="s">
        <v>4284</v>
      </c>
      <c r="U991" s="44" t="s">
        <v>5547</v>
      </c>
      <c r="V991" s="45">
        <v>0</v>
      </c>
      <c r="W991" s="13"/>
      <c r="X991" s="34">
        <v>987</v>
      </c>
      <c r="Y991" s="34" t="s">
        <v>2248</v>
      </c>
      <c r="Z991" s="34" t="s">
        <v>5082</v>
      </c>
      <c r="AA991" s="35">
        <v>3.2423387096774193E-3</v>
      </c>
      <c r="AB991" s="13"/>
      <c r="AC991" s="34">
        <v>987</v>
      </c>
      <c r="AD991" s="34" t="s">
        <v>4573</v>
      </c>
      <c r="AE991" s="34" t="s">
        <v>4928</v>
      </c>
      <c r="AF991" s="35">
        <v>5.1411290322580646E-3</v>
      </c>
    </row>
    <row r="992" spans="19:32" x14ac:dyDescent="0.35">
      <c r="S992" s="41">
        <v>988</v>
      </c>
      <c r="T992" s="41" t="s">
        <v>4284</v>
      </c>
      <c r="U992" s="41" t="s">
        <v>5547</v>
      </c>
      <c r="V992" s="42">
        <v>3.2382999999999997</v>
      </c>
      <c r="W992" s="13"/>
      <c r="X992" s="34">
        <v>988</v>
      </c>
      <c r="Y992" s="34" t="s">
        <v>2248</v>
      </c>
      <c r="Z992" s="34" t="s">
        <v>5546</v>
      </c>
      <c r="AA992" s="35">
        <v>1.370967741935484E-3</v>
      </c>
      <c r="AB992" s="13"/>
      <c r="AC992" s="34">
        <v>988</v>
      </c>
      <c r="AD992" s="34" t="s">
        <v>4573</v>
      </c>
      <c r="AE992" s="34" t="s">
        <v>4927</v>
      </c>
      <c r="AF992" s="35">
        <v>9.5967741935483879</v>
      </c>
    </row>
    <row r="993" spans="19:32" x14ac:dyDescent="0.35">
      <c r="S993" s="44">
        <v>989</v>
      </c>
      <c r="T993" s="44" t="s">
        <v>4284</v>
      </c>
      <c r="U993" s="44" t="s">
        <v>5545</v>
      </c>
      <c r="V993" s="45">
        <v>0</v>
      </c>
      <c r="W993" s="17"/>
      <c r="X993" s="34">
        <v>989</v>
      </c>
      <c r="Y993" s="34" t="s">
        <v>2248</v>
      </c>
      <c r="Z993" s="34" t="s">
        <v>5081</v>
      </c>
      <c r="AA993" s="35">
        <v>3.5987903225806455E-3</v>
      </c>
      <c r="AB993" s="13"/>
      <c r="AC993" s="34">
        <v>989</v>
      </c>
      <c r="AD993" s="34" t="s">
        <v>4573</v>
      </c>
      <c r="AE993" s="34" t="s">
        <v>4926</v>
      </c>
      <c r="AF993" s="35">
        <v>0.61693548387096775</v>
      </c>
    </row>
    <row r="994" spans="19:32" x14ac:dyDescent="0.35">
      <c r="S994" s="41">
        <v>990</v>
      </c>
      <c r="T994" s="41" t="s">
        <v>4284</v>
      </c>
      <c r="U994" s="41" t="s">
        <v>5545</v>
      </c>
      <c r="V994" s="42">
        <v>5.3627000000000002</v>
      </c>
      <c r="W994" s="13"/>
      <c r="X994" s="34">
        <v>990</v>
      </c>
      <c r="Y994" s="34" t="s">
        <v>2248</v>
      </c>
      <c r="Z994" s="34" t="s">
        <v>5079</v>
      </c>
      <c r="AA994" s="35">
        <v>0.27110887096774194</v>
      </c>
      <c r="AB994" s="13"/>
      <c r="AC994" s="34">
        <v>990</v>
      </c>
      <c r="AD994" s="34" t="s">
        <v>4573</v>
      </c>
      <c r="AE994" s="34" t="s">
        <v>4925</v>
      </c>
      <c r="AF994" s="35">
        <v>7.1975806451612909</v>
      </c>
    </row>
    <row r="995" spans="19:32" x14ac:dyDescent="0.35">
      <c r="S995" s="44">
        <v>991</v>
      </c>
      <c r="T995" s="44" t="s">
        <v>4284</v>
      </c>
      <c r="U995" s="44" t="s">
        <v>5543</v>
      </c>
      <c r="V995" s="45">
        <v>0</v>
      </c>
      <c r="W995" s="13"/>
      <c r="X995" s="34">
        <v>991</v>
      </c>
      <c r="Y995" s="34" t="s">
        <v>2248</v>
      </c>
      <c r="Z995" s="34" t="s">
        <v>5544</v>
      </c>
      <c r="AA995" s="35">
        <v>4.8326612903225809E-5</v>
      </c>
      <c r="AB995" s="13"/>
      <c r="AC995" s="34">
        <v>991</v>
      </c>
      <c r="AD995" s="34" t="s">
        <v>4573</v>
      </c>
      <c r="AE995" s="34" t="s">
        <v>4924</v>
      </c>
      <c r="AF995" s="35">
        <v>0.82258064516129037</v>
      </c>
    </row>
    <row r="996" spans="19:32" x14ac:dyDescent="0.35">
      <c r="S996" s="41">
        <v>992</v>
      </c>
      <c r="T996" s="41" t="s">
        <v>4284</v>
      </c>
      <c r="U996" s="41" t="s">
        <v>5543</v>
      </c>
      <c r="V996" s="42">
        <v>1.3817999999999999</v>
      </c>
      <c r="W996" s="13"/>
      <c r="X996" s="34">
        <v>992</v>
      </c>
      <c r="Y996" s="34" t="s">
        <v>2248</v>
      </c>
      <c r="Z996" s="34" t="s">
        <v>5078</v>
      </c>
      <c r="AA996" s="35">
        <v>1.1276209677419356E-4</v>
      </c>
      <c r="AB996" s="13"/>
      <c r="AC996" s="34">
        <v>992</v>
      </c>
      <c r="AD996" s="34" t="s">
        <v>4573</v>
      </c>
      <c r="AE996" s="34" t="s">
        <v>4923</v>
      </c>
      <c r="AF996" s="35">
        <v>1.5491935483870969E-2</v>
      </c>
    </row>
    <row r="997" spans="19:32" x14ac:dyDescent="0.35">
      <c r="S997" s="44">
        <v>993</v>
      </c>
      <c r="T997" s="44" t="s">
        <v>4284</v>
      </c>
      <c r="U997" s="44" t="s">
        <v>5542</v>
      </c>
      <c r="V997" s="45">
        <v>0</v>
      </c>
      <c r="W997" s="13"/>
      <c r="X997" s="34">
        <v>993</v>
      </c>
      <c r="Y997" s="34" t="s">
        <v>2248</v>
      </c>
      <c r="Z997" s="34" t="s">
        <v>5077</v>
      </c>
      <c r="AA997" s="35">
        <v>6.3064516129032267E-3</v>
      </c>
      <c r="AB997" s="13"/>
      <c r="AC997" s="34">
        <v>993</v>
      </c>
      <c r="AD997" s="34" t="s">
        <v>4573</v>
      </c>
      <c r="AE997" s="34" t="s">
        <v>4922</v>
      </c>
      <c r="AF997" s="35">
        <v>1.4326612903225808</v>
      </c>
    </row>
    <row r="998" spans="19:32" x14ac:dyDescent="0.35">
      <c r="S998" s="41">
        <v>994</v>
      </c>
      <c r="T998" s="41" t="s">
        <v>4284</v>
      </c>
      <c r="U998" s="41" t="s">
        <v>5542</v>
      </c>
      <c r="V998" s="42">
        <v>10.640799999999999</v>
      </c>
      <c r="W998" s="13"/>
      <c r="X998" s="34">
        <v>994</v>
      </c>
      <c r="Y998" s="34" t="s">
        <v>2248</v>
      </c>
      <c r="Z998" s="34" t="s">
        <v>5076</v>
      </c>
      <c r="AA998" s="35">
        <v>0.22243951612903229</v>
      </c>
      <c r="AB998" s="13"/>
      <c r="AC998" s="34">
        <v>994</v>
      </c>
      <c r="AD998" s="34" t="s">
        <v>4573</v>
      </c>
      <c r="AE998" s="34" t="s">
        <v>4921</v>
      </c>
      <c r="AF998" s="35">
        <v>7.6774193548387104E-2</v>
      </c>
    </row>
    <row r="999" spans="19:32" x14ac:dyDescent="0.35">
      <c r="S999" s="44">
        <v>995</v>
      </c>
      <c r="T999" s="44" t="s">
        <v>4284</v>
      </c>
      <c r="U999" s="44" t="s">
        <v>5540</v>
      </c>
      <c r="V999" s="45">
        <v>0</v>
      </c>
      <c r="W999" s="13"/>
      <c r="X999" s="34">
        <v>995</v>
      </c>
      <c r="Y999" s="34" t="s">
        <v>2248</v>
      </c>
      <c r="Z999" s="34" t="s">
        <v>5541</v>
      </c>
      <c r="AA999" s="35">
        <v>1.2784274193548388E-3</v>
      </c>
      <c r="AB999" s="13"/>
      <c r="AC999" s="34">
        <v>995</v>
      </c>
      <c r="AD999" s="34" t="s">
        <v>4573</v>
      </c>
      <c r="AE999" s="34" t="s">
        <v>4920</v>
      </c>
      <c r="AF999" s="35">
        <v>6.8548387096774195E-3</v>
      </c>
    </row>
    <row r="1000" spans="19:32" x14ac:dyDescent="0.35">
      <c r="S1000" s="41">
        <v>996</v>
      </c>
      <c r="T1000" s="41" t="s">
        <v>4284</v>
      </c>
      <c r="U1000" s="41" t="s">
        <v>5540</v>
      </c>
      <c r="V1000" s="42">
        <v>9.2919</v>
      </c>
      <c r="W1000" s="13"/>
      <c r="X1000" s="34">
        <v>996</v>
      </c>
      <c r="Y1000" s="34" t="s">
        <v>2248</v>
      </c>
      <c r="Z1000" s="34" t="s">
        <v>3560</v>
      </c>
      <c r="AA1000" s="35">
        <v>0</v>
      </c>
      <c r="AB1000" s="13"/>
      <c r="AC1000" s="34">
        <v>996</v>
      </c>
      <c r="AD1000" s="34" t="s">
        <v>4573</v>
      </c>
      <c r="AE1000" s="34" t="s">
        <v>4919</v>
      </c>
      <c r="AF1000" s="35">
        <v>7.0604838709677423E-5</v>
      </c>
    </row>
    <row r="1001" spans="19:32" x14ac:dyDescent="0.35">
      <c r="S1001" s="44">
        <v>997</v>
      </c>
      <c r="T1001" s="44" t="s">
        <v>4284</v>
      </c>
      <c r="U1001" s="44" t="s">
        <v>5539</v>
      </c>
      <c r="V1001" s="45">
        <v>0</v>
      </c>
      <c r="W1001" s="13"/>
      <c r="X1001" s="34">
        <v>997</v>
      </c>
      <c r="Y1001" s="34" t="s">
        <v>2248</v>
      </c>
      <c r="Z1001" s="34" t="s">
        <v>5075</v>
      </c>
      <c r="AA1001" s="35">
        <v>5.4495967741935492E-2</v>
      </c>
      <c r="AB1001" s="13"/>
      <c r="AC1001" s="34">
        <v>997</v>
      </c>
      <c r="AD1001" s="34" t="s">
        <v>4573</v>
      </c>
      <c r="AE1001" s="34" t="s">
        <v>4918</v>
      </c>
      <c r="AF1001" s="35">
        <v>19.741935483870968</v>
      </c>
    </row>
    <row r="1002" spans="19:32" x14ac:dyDescent="0.35">
      <c r="S1002" s="41">
        <v>998</v>
      </c>
      <c r="T1002" s="41" t="s">
        <v>4284</v>
      </c>
      <c r="U1002" s="41" t="s">
        <v>5539</v>
      </c>
      <c r="V1002" s="42">
        <v>18.438100000000002</v>
      </c>
      <c r="W1002" s="13"/>
      <c r="X1002" s="34">
        <v>998</v>
      </c>
      <c r="Y1002" s="34" t="s">
        <v>2248</v>
      </c>
      <c r="Z1002" s="34" t="s">
        <v>5538</v>
      </c>
      <c r="AA1002" s="35">
        <v>8.9455645161290329E-2</v>
      </c>
      <c r="AB1002" s="13"/>
      <c r="AC1002" s="34">
        <v>998</v>
      </c>
      <c r="AD1002" s="34" t="s">
        <v>4573</v>
      </c>
      <c r="AE1002" s="34" t="s">
        <v>4916</v>
      </c>
      <c r="AF1002" s="35">
        <v>237.17741935483872</v>
      </c>
    </row>
    <row r="1003" spans="19:32" x14ac:dyDescent="0.35">
      <c r="S1003" s="44">
        <v>999</v>
      </c>
      <c r="T1003" s="44" t="s">
        <v>4284</v>
      </c>
      <c r="U1003" s="44" t="s">
        <v>5537</v>
      </c>
      <c r="V1003" s="45">
        <v>0</v>
      </c>
      <c r="W1003" s="13"/>
      <c r="X1003" s="34">
        <v>999</v>
      </c>
      <c r="Y1003" s="34" t="s">
        <v>2248</v>
      </c>
      <c r="Z1003" s="34" t="s">
        <v>5074</v>
      </c>
      <c r="AA1003" s="35">
        <v>0.18610887096774195</v>
      </c>
      <c r="AB1003" s="13"/>
      <c r="AC1003" s="34">
        <v>999</v>
      </c>
      <c r="AD1003" s="34" t="s">
        <v>4573</v>
      </c>
      <c r="AE1003" s="34" t="s">
        <v>4915</v>
      </c>
      <c r="AF1003" s="35">
        <v>7.129032258064516E-2</v>
      </c>
    </row>
    <row r="1004" spans="19:32" x14ac:dyDescent="0.35">
      <c r="S1004" s="41">
        <v>1000</v>
      </c>
      <c r="T1004" s="41" t="s">
        <v>4284</v>
      </c>
      <c r="U1004" s="41" t="s">
        <v>5537</v>
      </c>
      <c r="V1004" s="42">
        <v>6.6269999999999998</v>
      </c>
      <c r="W1004" s="13"/>
      <c r="X1004" s="34">
        <v>1000</v>
      </c>
      <c r="Y1004" s="34" t="s">
        <v>2248</v>
      </c>
      <c r="Z1004" s="34" t="s">
        <v>5072</v>
      </c>
      <c r="AA1004" s="35">
        <v>9.5967741935483873E-5</v>
      </c>
      <c r="AB1004" s="13"/>
      <c r="AC1004" s="34">
        <v>1000</v>
      </c>
      <c r="AD1004" s="34" t="s">
        <v>4573</v>
      </c>
      <c r="AE1004" s="34" t="s">
        <v>3436</v>
      </c>
      <c r="AF1004" s="35">
        <v>1.2030241935483871E-2</v>
      </c>
    </row>
    <row r="1005" spans="19:32" x14ac:dyDescent="0.35">
      <c r="S1005" s="44">
        <v>1001</v>
      </c>
      <c r="T1005" s="44" t="s">
        <v>4284</v>
      </c>
      <c r="U1005" s="44" t="s">
        <v>5535</v>
      </c>
      <c r="V1005" s="45">
        <v>0</v>
      </c>
      <c r="W1005" s="13"/>
      <c r="X1005" s="34">
        <v>1001</v>
      </c>
      <c r="Y1005" s="34" t="s">
        <v>2248</v>
      </c>
      <c r="Z1005" s="34" t="s">
        <v>5536</v>
      </c>
      <c r="AA1005" s="35">
        <v>2.080443548387097E-3</v>
      </c>
      <c r="AB1005" s="13"/>
      <c r="AC1005" s="34">
        <v>1001</v>
      </c>
      <c r="AD1005" s="34" t="s">
        <v>4573</v>
      </c>
      <c r="AE1005" s="34" t="s">
        <v>3436</v>
      </c>
      <c r="AF1005" s="35">
        <v>2.4104E-2</v>
      </c>
    </row>
    <row r="1006" spans="19:32" x14ac:dyDescent="0.35">
      <c r="S1006" s="41">
        <v>1002</v>
      </c>
      <c r="T1006" s="41" t="s">
        <v>4284</v>
      </c>
      <c r="U1006" s="41" t="s">
        <v>5535</v>
      </c>
      <c r="V1006" s="42">
        <v>2.2418999999999998</v>
      </c>
      <c r="W1006" s="13"/>
      <c r="X1006" s="34">
        <v>1002</v>
      </c>
      <c r="Y1006" s="34" t="s">
        <v>2248</v>
      </c>
      <c r="Z1006" s="34" t="s">
        <v>5070</v>
      </c>
      <c r="AA1006" s="35">
        <v>2.8893145161290323E-3</v>
      </c>
      <c r="AB1006" s="13"/>
      <c r="AC1006" s="34">
        <v>1002</v>
      </c>
      <c r="AD1006" s="34" t="s">
        <v>4573</v>
      </c>
      <c r="AE1006" s="34" t="s">
        <v>4914</v>
      </c>
      <c r="AF1006" s="35">
        <v>4.5927419354838711E-2</v>
      </c>
    </row>
    <row r="1007" spans="19:32" x14ac:dyDescent="0.35">
      <c r="S1007" s="44">
        <v>1003</v>
      </c>
      <c r="T1007" s="44" t="s">
        <v>4284</v>
      </c>
      <c r="U1007" s="44" t="s">
        <v>5534</v>
      </c>
      <c r="V1007" s="45">
        <v>0</v>
      </c>
      <c r="W1007" s="13"/>
      <c r="X1007" s="34">
        <v>1003</v>
      </c>
      <c r="Y1007" s="34" t="s">
        <v>2248</v>
      </c>
      <c r="Z1007" s="34" t="s">
        <v>5068</v>
      </c>
      <c r="AA1007" s="35">
        <v>7.5745967741935484E-5</v>
      </c>
      <c r="AB1007" s="13"/>
      <c r="AC1007" s="34">
        <v>1003</v>
      </c>
      <c r="AD1007" s="34" t="s">
        <v>4573</v>
      </c>
      <c r="AE1007" s="34" t="s">
        <v>4913</v>
      </c>
      <c r="AF1007" s="35">
        <v>0.19879032258064519</v>
      </c>
    </row>
    <row r="1008" spans="19:32" x14ac:dyDescent="0.35">
      <c r="S1008" s="41">
        <v>1004</v>
      </c>
      <c r="T1008" s="41" t="s">
        <v>4284</v>
      </c>
      <c r="U1008" s="41" t="s">
        <v>5534</v>
      </c>
      <c r="V1008" s="42">
        <v>8.4083000000000006</v>
      </c>
      <c r="W1008" s="13"/>
      <c r="X1008" s="34">
        <v>1004</v>
      </c>
      <c r="Y1008" s="34" t="s">
        <v>2248</v>
      </c>
      <c r="Z1008" s="34" t="s">
        <v>5067</v>
      </c>
      <c r="AA1008" s="35">
        <v>1.0933467741935485E-12</v>
      </c>
      <c r="AB1008" s="13"/>
      <c r="AC1008" s="34">
        <v>1004</v>
      </c>
      <c r="AD1008" s="34" t="s">
        <v>4573</v>
      </c>
      <c r="AE1008" s="34" t="s">
        <v>4912</v>
      </c>
      <c r="AF1008" s="35">
        <v>7.1290322580645164E-3</v>
      </c>
    </row>
    <row r="1009" spans="19:32" x14ac:dyDescent="0.35">
      <c r="S1009" s="44">
        <v>1005</v>
      </c>
      <c r="T1009" s="44" t="s">
        <v>4284</v>
      </c>
      <c r="U1009" s="44" t="s">
        <v>5532</v>
      </c>
      <c r="V1009" s="45">
        <v>0</v>
      </c>
      <c r="W1009" s="13"/>
      <c r="X1009" s="34">
        <v>1005</v>
      </c>
      <c r="Y1009" s="34" t="s">
        <v>2248</v>
      </c>
      <c r="Z1009" s="34" t="s">
        <v>5533</v>
      </c>
      <c r="AA1009" s="35">
        <v>1.7137096774193551E-2</v>
      </c>
      <c r="AB1009" s="13"/>
      <c r="AC1009" s="34">
        <v>1005</v>
      </c>
      <c r="AD1009" s="34" t="s">
        <v>4573</v>
      </c>
      <c r="AE1009" s="34" t="s">
        <v>4911</v>
      </c>
      <c r="AF1009" s="35">
        <v>6.7862903225806457E-3</v>
      </c>
    </row>
    <row r="1010" spans="19:32" x14ac:dyDescent="0.35">
      <c r="S1010" s="41">
        <v>1006</v>
      </c>
      <c r="T1010" s="41" t="s">
        <v>4284</v>
      </c>
      <c r="U1010" s="41" t="s">
        <v>5532</v>
      </c>
      <c r="V1010" s="42">
        <v>9.0005000000000006</v>
      </c>
      <c r="W1010" s="13"/>
      <c r="X1010" s="34">
        <v>1006</v>
      </c>
      <c r="Y1010" s="34" t="s">
        <v>2248</v>
      </c>
      <c r="Z1010" s="34" t="s">
        <v>5066</v>
      </c>
      <c r="AA1010" s="35">
        <v>3.0743951612903232E-4</v>
      </c>
      <c r="AB1010" s="13"/>
      <c r="AC1010" s="34">
        <v>1006</v>
      </c>
      <c r="AD1010" s="34" t="s">
        <v>4573</v>
      </c>
      <c r="AE1010" s="34" t="s">
        <v>4910</v>
      </c>
      <c r="AF1010" s="35">
        <v>3.2971774193548388E-2</v>
      </c>
    </row>
    <row r="1011" spans="19:32" x14ac:dyDescent="0.35">
      <c r="S1011" s="44">
        <v>1007</v>
      </c>
      <c r="T1011" s="44" t="s">
        <v>4284</v>
      </c>
      <c r="U1011" s="44" t="s">
        <v>5531</v>
      </c>
      <c r="V1011" s="45">
        <v>0</v>
      </c>
      <c r="W1011" s="13"/>
      <c r="X1011" s="34">
        <v>1007</v>
      </c>
      <c r="Y1011" s="34" t="s">
        <v>2248</v>
      </c>
      <c r="Z1011" s="34" t="s">
        <v>5065</v>
      </c>
      <c r="AA1011" s="35">
        <v>4.5927419354838714E-4</v>
      </c>
      <c r="AB1011" s="13"/>
      <c r="AC1011" s="34">
        <v>1007</v>
      </c>
      <c r="AD1011" s="34" t="s">
        <v>4573</v>
      </c>
      <c r="AE1011" s="34" t="s">
        <v>4909</v>
      </c>
      <c r="AF1011" s="35">
        <v>0.24677419354838712</v>
      </c>
    </row>
    <row r="1012" spans="19:32" x14ac:dyDescent="0.35">
      <c r="S1012" s="41">
        <v>1008</v>
      </c>
      <c r="T1012" s="41" t="s">
        <v>4284</v>
      </c>
      <c r="U1012" s="41" t="s">
        <v>5531</v>
      </c>
      <c r="V1012" s="42">
        <v>1.5134000000000001</v>
      </c>
      <c r="W1012" s="13"/>
      <c r="X1012" s="34">
        <v>1008</v>
      </c>
      <c r="Y1012" s="34" t="s">
        <v>2248</v>
      </c>
      <c r="Z1012" s="34" t="s">
        <v>3763</v>
      </c>
      <c r="AA1012" s="35">
        <v>2.6082661290322582E-2</v>
      </c>
      <c r="AB1012" s="13"/>
      <c r="AC1012" s="34">
        <v>1008</v>
      </c>
      <c r="AD1012" s="34" t="s">
        <v>4573</v>
      </c>
      <c r="AE1012" s="34" t="s">
        <v>4908</v>
      </c>
      <c r="AF1012" s="35">
        <v>1.0419354838709679E-2</v>
      </c>
    </row>
    <row r="1013" spans="19:32" x14ac:dyDescent="0.35">
      <c r="S1013" s="44">
        <v>1009</v>
      </c>
      <c r="T1013" s="44" t="s">
        <v>4284</v>
      </c>
      <c r="U1013" s="44" t="s">
        <v>5530</v>
      </c>
      <c r="V1013" s="45">
        <v>0</v>
      </c>
      <c r="W1013" s="13"/>
      <c r="X1013" s="34">
        <v>1009</v>
      </c>
      <c r="Y1013" s="34" t="s">
        <v>2248</v>
      </c>
      <c r="Z1013" s="34" t="s">
        <v>3558</v>
      </c>
      <c r="AA1013" s="35">
        <v>4.3700000000000003E-2</v>
      </c>
      <c r="AB1013" s="13"/>
      <c r="AC1013" s="34">
        <v>1009</v>
      </c>
      <c r="AD1013" s="34" t="s">
        <v>4573</v>
      </c>
      <c r="AE1013" s="34" t="s">
        <v>4907</v>
      </c>
      <c r="AF1013" s="35">
        <v>1.5868951612903227E-2</v>
      </c>
    </row>
    <row r="1014" spans="19:32" x14ac:dyDescent="0.35">
      <c r="S1014" s="41">
        <v>1010</v>
      </c>
      <c r="T1014" s="41" t="s">
        <v>4284</v>
      </c>
      <c r="U1014" s="41" t="s">
        <v>5530</v>
      </c>
      <c r="V1014" s="42">
        <v>12.558400000000001</v>
      </c>
      <c r="W1014" s="13"/>
      <c r="X1014" s="34">
        <v>1010</v>
      </c>
      <c r="Y1014" s="34" t="s">
        <v>2248</v>
      </c>
      <c r="Z1014" s="34" t="s">
        <v>5064</v>
      </c>
      <c r="AA1014" s="35">
        <v>2.6493951612903228E-3</v>
      </c>
      <c r="AB1014" s="13"/>
      <c r="AC1014" s="34">
        <v>1010</v>
      </c>
      <c r="AD1014" s="34" t="s">
        <v>4573</v>
      </c>
      <c r="AE1014" s="34" t="s">
        <v>4905</v>
      </c>
      <c r="AF1014" s="35">
        <v>2.5911290322580645E-3</v>
      </c>
    </row>
    <row r="1015" spans="19:32" x14ac:dyDescent="0.35">
      <c r="S1015" s="44">
        <v>1011</v>
      </c>
      <c r="T1015" s="44" t="s">
        <v>4284</v>
      </c>
      <c r="U1015" s="44" t="s">
        <v>5529</v>
      </c>
      <c r="V1015" s="45">
        <v>0</v>
      </c>
      <c r="W1015" s="13"/>
      <c r="X1015" s="34">
        <v>1011</v>
      </c>
      <c r="Y1015" s="34" t="s">
        <v>2248</v>
      </c>
      <c r="Z1015" s="34" t="s">
        <v>5063</v>
      </c>
      <c r="AA1015" s="35">
        <v>1.7102822580645163</v>
      </c>
      <c r="AB1015" s="13"/>
      <c r="AC1015" s="34">
        <v>1011</v>
      </c>
      <c r="AD1015" s="34" t="s">
        <v>4573</v>
      </c>
      <c r="AE1015" s="34" t="s">
        <v>4904</v>
      </c>
      <c r="AF1015" s="35">
        <v>0.7060483870967742</v>
      </c>
    </row>
    <row r="1016" spans="19:32" x14ac:dyDescent="0.35">
      <c r="S1016" s="41">
        <v>1012</v>
      </c>
      <c r="T1016" s="41" t="s">
        <v>4284</v>
      </c>
      <c r="U1016" s="41" t="s">
        <v>5529</v>
      </c>
      <c r="V1016" s="42">
        <v>2.4252000000000002</v>
      </c>
      <c r="W1016" s="13"/>
      <c r="X1016" s="34">
        <v>1012</v>
      </c>
      <c r="Y1016" s="34" t="s">
        <v>2248</v>
      </c>
      <c r="Z1016" s="34" t="s">
        <v>5528</v>
      </c>
      <c r="AA1016" s="35">
        <v>4.1129032258064519E-3</v>
      </c>
      <c r="AB1016" s="13"/>
      <c r="AC1016" s="34">
        <v>1012</v>
      </c>
      <c r="AD1016" s="34" t="s">
        <v>4573</v>
      </c>
      <c r="AE1016" s="34" t="s">
        <v>4903</v>
      </c>
      <c r="AF1016" s="35">
        <v>1.7068548387096776</v>
      </c>
    </row>
    <row r="1017" spans="19:32" x14ac:dyDescent="0.35">
      <c r="S1017" s="44">
        <v>1013</v>
      </c>
      <c r="T1017" s="44" t="s">
        <v>4284</v>
      </c>
      <c r="U1017" s="44" t="s">
        <v>5527</v>
      </c>
      <c r="V1017" s="45">
        <v>0</v>
      </c>
      <c r="W1017" s="13"/>
      <c r="X1017" s="34">
        <v>1013</v>
      </c>
      <c r="Y1017" s="34" t="s">
        <v>2248</v>
      </c>
      <c r="Z1017" s="34" t="s">
        <v>3557</v>
      </c>
      <c r="AA1017" s="35">
        <v>4.0388E-2</v>
      </c>
      <c r="AB1017" s="13"/>
      <c r="AC1017" s="34">
        <v>1013</v>
      </c>
      <c r="AD1017" s="34" t="s">
        <v>4573</v>
      </c>
      <c r="AE1017" s="34" t="s">
        <v>4902</v>
      </c>
      <c r="AF1017" s="35">
        <v>9.7338709677419362E-4</v>
      </c>
    </row>
    <row r="1018" spans="19:32" x14ac:dyDescent="0.35">
      <c r="S1018" s="41">
        <v>1014</v>
      </c>
      <c r="T1018" s="41" t="s">
        <v>4284</v>
      </c>
      <c r="U1018" s="41" t="s">
        <v>5527</v>
      </c>
      <c r="V1018" s="42">
        <v>5.0478000000000005</v>
      </c>
      <c r="W1018" s="13"/>
      <c r="X1018" s="34">
        <v>1014</v>
      </c>
      <c r="Y1018" s="34" t="s">
        <v>2248</v>
      </c>
      <c r="Z1018" s="34" t="s">
        <v>3557</v>
      </c>
      <c r="AA1018" s="35">
        <v>6.4092741935483873E-4</v>
      </c>
      <c r="AB1018" s="13"/>
      <c r="AC1018" s="34">
        <v>1014</v>
      </c>
      <c r="AD1018" s="34" t="s">
        <v>4573</v>
      </c>
      <c r="AE1018" s="34" t="s">
        <v>4901</v>
      </c>
      <c r="AF1018" s="35">
        <v>3.382862903225807E-3</v>
      </c>
    </row>
    <row r="1019" spans="19:32" x14ac:dyDescent="0.35">
      <c r="S1019" s="44">
        <v>1015</v>
      </c>
      <c r="T1019" s="44" t="s">
        <v>4284</v>
      </c>
      <c r="U1019" s="44" t="s">
        <v>5525</v>
      </c>
      <c r="V1019" s="45">
        <v>0</v>
      </c>
      <c r="W1019" s="13"/>
      <c r="X1019" s="34">
        <v>1015</v>
      </c>
      <c r="Y1019" s="34" t="s">
        <v>2248</v>
      </c>
      <c r="Z1019" s="34" t="s">
        <v>5526</v>
      </c>
      <c r="AA1019" s="35">
        <v>4.7641129032258068E-7</v>
      </c>
      <c r="AB1019" s="13"/>
      <c r="AC1019" s="34">
        <v>1015</v>
      </c>
      <c r="AD1019" s="34" t="s">
        <v>4573</v>
      </c>
      <c r="AE1019" s="34" t="s">
        <v>4900</v>
      </c>
      <c r="AF1019" s="35">
        <v>0.16828629032258066</v>
      </c>
    </row>
    <row r="1020" spans="19:32" x14ac:dyDescent="0.35">
      <c r="S1020" s="41">
        <v>1016</v>
      </c>
      <c r="T1020" s="41" t="s">
        <v>4284</v>
      </c>
      <c r="U1020" s="41" t="s">
        <v>5525</v>
      </c>
      <c r="V1020" s="42">
        <v>3.3557999999999999</v>
      </c>
      <c r="W1020" s="13"/>
      <c r="X1020" s="34">
        <v>1016</v>
      </c>
      <c r="Y1020" s="34" t="s">
        <v>2248</v>
      </c>
      <c r="Z1020" s="34" t="s">
        <v>3554</v>
      </c>
      <c r="AA1020" s="35">
        <v>0.55015999999999998</v>
      </c>
      <c r="AB1020" s="13"/>
      <c r="AC1020" s="34">
        <v>1016</v>
      </c>
      <c r="AD1020" s="34" t="s">
        <v>4573</v>
      </c>
      <c r="AE1020" s="34" t="s">
        <v>4899</v>
      </c>
      <c r="AF1020" s="35">
        <v>1.3298387096774195E-2</v>
      </c>
    </row>
    <row r="1021" spans="19:32" x14ac:dyDescent="0.35">
      <c r="S1021" s="44">
        <v>1017</v>
      </c>
      <c r="T1021" s="44" t="s">
        <v>4284</v>
      </c>
      <c r="U1021" s="44" t="s">
        <v>5524</v>
      </c>
      <c r="V1021" s="45">
        <v>0</v>
      </c>
      <c r="W1021" s="13"/>
      <c r="X1021" s="34">
        <v>1017</v>
      </c>
      <c r="Y1021" s="34" t="s">
        <v>2248</v>
      </c>
      <c r="Z1021" s="34" t="s">
        <v>3552</v>
      </c>
      <c r="AA1021" s="35">
        <v>7.7004000000000003E-2</v>
      </c>
      <c r="AB1021" s="13"/>
      <c r="AC1021" s="34">
        <v>1017</v>
      </c>
      <c r="AD1021" s="34" t="s">
        <v>4573</v>
      </c>
      <c r="AE1021" s="34" t="s">
        <v>3435</v>
      </c>
      <c r="AF1021" s="35">
        <v>0</v>
      </c>
    </row>
    <row r="1022" spans="19:32" x14ac:dyDescent="0.35">
      <c r="S1022" s="41">
        <v>1018</v>
      </c>
      <c r="T1022" s="41" t="s">
        <v>4284</v>
      </c>
      <c r="U1022" s="41" t="s">
        <v>5524</v>
      </c>
      <c r="V1022" s="42">
        <v>8.9253</v>
      </c>
      <c r="W1022" s="13"/>
      <c r="X1022" s="34">
        <v>1018</v>
      </c>
      <c r="Y1022" s="34" t="s">
        <v>2248</v>
      </c>
      <c r="Z1022" s="34" t="s">
        <v>5523</v>
      </c>
      <c r="AA1022" s="35">
        <v>1.453225806451613E-3</v>
      </c>
      <c r="AB1022" s="13"/>
      <c r="AC1022" s="34">
        <v>1018</v>
      </c>
      <c r="AD1022" s="34" t="s">
        <v>4573</v>
      </c>
      <c r="AE1022" s="34" t="s">
        <v>4898</v>
      </c>
      <c r="AF1022" s="35">
        <v>2.0838709677419357E-2</v>
      </c>
    </row>
    <row r="1023" spans="19:32" x14ac:dyDescent="0.35">
      <c r="S1023" s="44">
        <v>1019</v>
      </c>
      <c r="T1023" s="44" t="s">
        <v>4284</v>
      </c>
      <c r="U1023" s="44" t="s">
        <v>5522</v>
      </c>
      <c r="V1023" s="45">
        <v>0</v>
      </c>
      <c r="W1023" s="13"/>
      <c r="X1023" s="34">
        <v>1019</v>
      </c>
      <c r="Y1023" s="34" t="s">
        <v>2248</v>
      </c>
      <c r="Z1023" s="34" t="s">
        <v>3549</v>
      </c>
      <c r="AA1023" s="35">
        <v>1.5916E-2</v>
      </c>
      <c r="AB1023" s="13"/>
      <c r="AC1023" s="34">
        <v>1019</v>
      </c>
      <c r="AD1023" s="34" t="s">
        <v>4573</v>
      </c>
      <c r="AE1023" s="34" t="s">
        <v>4897</v>
      </c>
      <c r="AF1023" s="35">
        <v>1.1584677419354839E-2</v>
      </c>
    </row>
    <row r="1024" spans="19:32" x14ac:dyDescent="0.35">
      <c r="S1024" s="41">
        <v>1020</v>
      </c>
      <c r="T1024" s="41" t="s">
        <v>4284</v>
      </c>
      <c r="U1024" s="41" t="s">
        <v>5522</v>
      </c>
      <c r="V1024" s="42">
        <v>14.038900000000002</v>
      </c>
      <c r="W1024" s="13"/>
      <c r="X1024" s="34">
        <v>1020</v>
      </c>
      <c r="Y1024" s="34" t="s">
        <v>2248</v>
      </c>
      <c r="Z1024" s="34" t="s">
        <v>3549</v>
      </c>
      <c r="AA1024" s="35">
        <v>1.5012096774193549E-3</v>
      </c>
      <c r="AB1024" s="13"/>
      <c r="AC1024" s="34">
        <v>1020</v>
      </c>
      <c r="AD1024" s="34" t="s">
        <v>4573</v>
      </c>
      <c r="AE1024" s="34" t="s">
        <v>4896</v>
      </c>
      <c r="AF1024" s="35">
        <v>2.3135080645161291E-2</v>
      </c>
    </row>
    <row r="1025" spans="19:32" x14ac:dyDescent="0.35">
      <c r="S1025" s="44">
        <v>1021</v>
      </c>
      <c r="T1025" s="44" t="s">
        <v>4284</v>
      </c>
      <c r="U1025" s="44" t="s">
        <v>5520</v>
      </c>
      <c r="V1025" s="45">
        <v>0</v>
      </c>
      <c r="W1025" s="13"/>
      <c r="X1025" s="34">
        <v>1021</v>
      </c>
      <c r="Y1025" s="34" t="s">
        <v>2248</v>
      </c>
      <c r="Z1025" s="34" t="s">
        <v>5521</v>
      </c>
      <c r="AA1025" s="35">
        <v>1.5868951612903228E-4</v>
      </c>
      <c r="AB1025" s="13"/>
      <c r="AC1025" s="34">
        <v>1021</v>
      </c>
      <c r="AD1025" s="34" t="s">
        <v>4573</v>
      </c>
      <c r="AE1025" s="34" t="s">
        <v>3433</v>
      </c>
      <c r="AF1025" s="35">
        <v>1.5640000000000001</v>
      </c>
    </row>
    <row r="1026" spans="19:32" x14ac:dyDescent="0.35">
      <c r="S1026" s="41">
        <v>1022</v>
      </c>
      <c r="T1026" s="41" t="s">
        <v>4284</v>
      </c>
      <c r="U1026" s="41" t="s">
        <v>5520</v>
      </c>
      <c r="V1026" s="42">
        <v>11.561999999999999</v>
      </c>
      <c r="W1026" s="13"/>
      <c r="X1026" s="34">
        <v>1022</v>
      </c>
      <c r="Y1026" s="34" t="s">
        <v>2248</v>
      </c>
      <c r="Z1026" s="34" t="s">
        <v>3546</v>
      </c>
      <c r="AA1026" s="35">
        <v>1.8124000000000001E-2</v>
      </c>
      <c r="AB1026" s="13"/>
      <c r="AC1026" s="34">
        <v>1022</v>
      </c>
      <c r="AD1026" s="34" t="s">
        <v>4573</v>
      </c>
      <c r="AE1026" s="34" t="s">
        <v>3432</v>
      </c>
      <c r="AF1026" s="35">
        <v>5.8951612903225814E-2</v>
      </c>
    </row>
    <row r="1027" spans="19:32" x14ac:dyDescent="0.35">
      <c r="S1027" s="44">
        <v>1023</v>
      </c>
      <c r="T1027" s="44" t="s">
        <v>4284</v>
      </c>
      <c r="U1027" s="44" t="s">
        <v>5519</v>
      </c>
      <c r="V1027" s="45">
        <v>0</v>
      </c>
      <c r="W1027" s="13"/>
      <c r="X1027" s="34">
        <v>1023</v>
      </c>
      <c r="Y1027" s="34" t="s">
        <v>2248</v>
      </c>
      <c r="Z1027" s="34" t="s">
        <v>3546</v>
      </c>
      <c r="AA1027" s="35">
        <v>2.9475806451612904E-4</v>
      </c>
      <c r="AB1027" s="13"/>
      <c r="AC1027" s="34">
        <v>1023</v>
      </c>
      <c r="AD1027" s="34" t="s">
        <v>4573</v>
      </c>
      <c r="AE1027" s="34" t="s">
        <v>3432</v>
      </c>
      <c r="AF1027" s="35">
        <v>0.56855999999999995</v>
      </c>
    </row>
    <row r="1028" spans="19:32" x14ac:dyDescent="0.35">
      <c r="S1028" s="41">
        <v>1024</v>
      </c>
      <c r="T1028" s="41" t="s">
        <v>4284</v>
      </c>
      <c r="U1028" s="41" t="s">
        <v>5519</v>
      </c>
      <c r="V1028" s="42">
        <v>4.3992000000000004</v>
      </c>
      <c r="W1028" s="13"/>
      <c r="X1028" s="34">
        <v>1024</v>
      </c>
      <c r="Y1028" s="34" t="s">
        <v>2248</v>
      </c>
      <c r="Z1028" s="34" t="s">
        <v>5054</v>
      </c>
      <c r="AA1028" s="35">
        <v>9.1512096774193558E-4</v>
      </c>
      <c r="AB1028" s="13"/>
      <c r="AC1028" s="34">
        <v>1024</v>
      </c>
      <c r="AD1028" s="34" t="s">
        <v>4573</v>
      </c>
      <c r="AE1028" s="34" t="s">
        <v>4895</v>
      </c>
      <c r="AF1028" s="35">
        <v>3.0401209677419359E-2</v>
      </c>
    </row>
    <row r="1029" spans="19:32" x14ac:dyDescent="0.35">
      <c r="S1029" s="34">
        <v>1025</v>
      </c>
      <c r="T1029" s="34" t="s">
        <v>4284</v>
      </c>
      <c r="U1029" s="34" t="s">
        <v>3491</v>
      </c>
      <c r="V1029" s="35">
        <v>0</v>
      </c>
      <c r="W1029" s="13"/>
      <c r="X1029" s="34">
        <v>1025</v>
      </c>
      <c r="Y1029" s="34" t="s">
        <v>2248</v>
      </c>
      <c r="Z1029" s="34" t="s">
        <v>5518</v>
      </c>
      <c r="AA1029" s="35">
        <v>4.3870967741935489E-2</v>
      </c>
      <c r="AB1029" s="13"/>
      <c r="AC1029" s="34">
        <v>1025</v>
      </c>
      <c r="AD1029" s="34" t="s">
        <v>4573</v>
      </c>
      <c r="AE1029" s="34" t="s">
        <v>4894</v>
      </c>
      <c r="AF1029" s="35">
        <v>4.1471774193548389E-2</v>
      </c>
    </row>
    <row r="1030" spans="19:32" x14ac:dyDescent="0.35">
      <c r="S1030" s="34">
        <v>1026</v>
      </c>
      <c r="T1030" s="34" t="s">
        <v>4284</v>
      </c>
      <c r="U1030" s="34" t="s">
        <v>4981</v>
      </c>
      <c r="V1030" s="35">
        <v>1.1584677419354839E-2</v>
      </c>
      <c r="W1030" s="13"/>
      <c r="X1030" s="34">
        <v>1026</v>
      </c>
      <c r="Y1030" s="34" t="s">
        <v>2248</v>
      </c>
      <c r="Z1030" s="34" t="s">
        <v>3545</v>
      </c>
      <c r="AA1030" s="35">
        <v>0</v>
      </c>
      <c r="AB1030" s="13"/>
      <c r="AC1030" s="34">
        <v>1026</v>
      </c>
      <c r="AD1030" s="34" t="s">
        <v>4573</v>
      </c>
      <c r="AE1030" s="34" t="s">
        <v>4893</v>
      </c>
      <c r="AF1030" s="35">
        <v>1.2475806451612904E-2</v>
      </c>
    </row>
    <row r="1031" spans="19:32" x14ac:dyDescent="0.35">
      <c r="S1031" s="41">
        <v>1027</v>
      </c>
      <c r="T1031" s="41" t="s">
        <v>4284</v>
      </c>
      <c r="U1031" s="41" t="s">
        <v>5517</v>
      </c>
      <c r="V1031" s="42">
        <v>16.167999999999999</v>
      </c>
      <c r="W1031" s="13"/>
      <c r="X1031" s="34">
        <v>1027</v>
      </c>
      <c r="Y1031" s="34" t="s">
        <v>2248</v>
      </c>
      <c r="Z1031" s="34" t="s">
        <v>3545</v>
      </c>
      <c r="AA1031" s="35">
        <v>1.4292338709677422E-3</v>
      </c>
      <c r="AB1031" s="13"/>
      <c r="AC1031" s="34">
        <v>1027</v>
      </c>
      <c r="AD1031" s="34" t="s">
        <v>4573</v>
      </c>
      <c r="AE1031" s="34" t="s">
        <v>4892</v>
      </c>
      <c r="AF1031" s="35">
        <v>7.5060483870967752E-3</v>
      </c>
    </row>
    <row r="1032" spans="19:32" x14ac:dyDescent="0.35">
      <c r="S1032" s="34">
        <v>1028</v>
      </c>
      <c r="T1032" s="34" t="s">
        <v>4284</v>
      </c>
      <c r="U1032" s="34" t="s">
        <v>3489</v>
      </c>
      <c r="V1032" s="35">
        <v>1.3812500000000001E-3</v>
      </c>
      <c r="W1032" s="13"/>
      <c r="X1032" s="34">
        <v>1028</v>
      </c>
      <c r="Y1032" s="34" t="s">
        <v>2248</v>
      </c>
      <c r="Z1032" s="34" t="s">
        <v>5516</v>
      </c>
      <c r="AA1032" s="35">
        <v>7.4032258064516132E-3</v>
      </c>
      <c r="AB1032" s="13"/>
      <c r="AC1032" s="34">
        <v>1028</v>
      </c>
      <c r="AD1032" s="34" t="s">
        <v>4573</v>
      </c>
      <c r="AE1032" s="34" t="s">
        <v>4891</v>
      </c>
      <c r="AF1032" s="35">
        <v>6.3750000000000005E-3</v>
      </c>
    </row>
    <row r="1033" spans="19:32" x14ac:dyDescent="0.35">
      <c r="S1033" s="34">
        <v>1029</v>
      </c>
      <c r="T1033" s="34" t="s">
        <v>4284</v>
      </c>
      <c r="U1033" s="34" t="s">
        <v>3489</v>
      </c>
      <c r="V1033" s="35">
        <v>0</v>
      </c>
      <c r="W1033" s="13"/>
      <c r="X1033" s="34">
        <v>1029</v>
      </c>
      <c r="Y1033" s="34" t="s">
        <v>2248</v>
      </c>
      <c r="Z1033" s="34" t="s">
        <v>3543</v>
      </c>
      <c r="AA1033" s="35">
        <v>0.21803999999999998</v>
      </c>
      <c r="AB1033" s="13"/>
      <c r="AC1033" s="34">
        <v>1029</v>
      </c>
      <c r="AD1033" s="34" t="s">
        <v>4573</v>
      </c>
      <c r="AE1033" s="34" t="s">
        <v>3431</v>
      </c>
      <c r="AF1033" s="35">
        <v>2.2620967741935486E-3</v>
      </c>
    </row>
    <row r="1034" spans="19:32" x14ac:dyDescent="0.35">
      <c r="S1034" s="34">
        <v>1030</v>
      </c>
      <c r="T1034" s="34" t="s">
        <v>4284</v>
      </c>
      <c r="U1034" s="34" t="s">
        <v>4980</v>
      </c>
      <c r="V1034" s="35">
        <v>9.7681451612903238</v>
      </c>
      <c r="W1034" s="13"/>
      <c r="X1034" s="34">
        <v>1030</v>
      </c>
      <c r="Y1034" s="34" t="s">
        <v>2248</v>
      </c>
      <c r="Z1034" s="34" t="s">
        <v>3543</v>
      </c>
      <c r="AA1034" s="35">
        <v>1.3298387096774195E-2</v>
      </c>
      <c r="AB1034" s="13"/>
      <c r="AC1034" s="34">
        <v>1030</v>
      </c>
      <c r="AD1034" s="34" t="s">
        <v>4573</v>
      </c>
      <c r="AE1034" s="34" t="s">
        <v>3431</v>
      </c>
      <c r="AF1034" s="35">
        <v>0.19228000000000001</v>
      </c>
    </row>
    <row r="1035" spans="19:32" x14ac:dyDescent="0.35">
      <c r="S1035" s="34">
        <v>1031</v>
      </c>
      <c r="T1035" s="34" t="s">
        <v>4284</v>
      </c>
      <c r="U1035" s="34" t="s">
        <v>4979</v>
      </c>
      <c r="V1035" s="35">
        <v>1.641733870967742E-3</v>
      </c>
      <c r="W1035" s="13"/>
      <c r="X1035" s="34">
        <v>1031</v>
      </c>
      <c r="Y1035" s="34" t="s">
        <v>2248</v>
      </c>
      <c r="Z1035" s="34" t="s">
        <v>3757</v>
      </c>
      <c r="AA1035" s="35">
        <v>1.723991935483871E-2</v>
      </c>
      <c r="AB1035" s="13"/>
      <c r="AC1035" s="34">
        <v>1031</v>
      </c>
      <c r="AD1035" s="34" t="s">
        <v>4573</v>
      </c>
      <c r="AE1035" s="34" t="s">
        <v>4889</v>
      </c>
      <c r="AF1035" s="35">
        <v>0.59979838709677424</v>
      </c>
    </row>
    <row r="1036" spans="19:32" x14ac:dyDescent="0.35">
      <c r="S1036" s="34">
        <v>1032</v>
      </c>
      <c r="T1036" s="34" t="s">
        <v>4284</v>
      </c>
      <c r="U1036" s="34" t="s">
        <v>3488</v>
      </c>
      <c r="V1036" s="35">
        <v>0</v>
      </c>
      <c r="W1036" s="13"/>
      <c r="X1036" s="34">
        <v>1032</v>
      </c>
      <c r="Y1036" s="34" t="s">
        <v>2248</v>
      </c>
      <c r="Z1036" s="34" t="s">
        <v>5053</v>
      </c>
      <c r="AA1036" s="35">
        <v>3.3451612903225808E-3</v>
      </c>
      <c r="AB1036" s="13"/>
      <c r="AC1036" s="34">
        <v>1032</v>
      </c>
      <c r="AD1036" s="34" t="s">
        <v>4573</v>
      </c>
      <c r="AE1036" s="34" t="s">
        <v>3430</v>
      </c>
      <c r="AF1036" s="35">
        <v>2.2449596774193552E-2</v>
      </c>
    </row>
    <row r="1037" spans="19:32" x14ac:dyDescent="0.35">
      <c r="S1037" s="34">
        <v>1033</v>
      </c>
      <c r="T1037" s="34" t="s">
        <v>4284</v>
      </c>
      <c r="U1037" s="34" t="s">
        <v>4978</v>
      </c>
      <c r="V1037" s="35">
        <v>4.4213709677419358E-4</v>
      </c>
      <c r="W1037" s="13"/>
      <c r="X1037" s="34">
        <v>1033</v>
      </c>
      <c r="Y1037" s="34" t="s">
        <v>2248</v>
      </c>
      <c r="Z1037" s="34" t="s">
        <v>3542</v>
      </c>
      <c r="AA1037" s="35">
        <v>7.773999999999999E-2</v>
      </c>
      <c r="AB1037" s="13"/>
      <c r="AC1037" s="34">
        <v>1033</v>
      </c>
      <c r="AD1037" s="34" t="s">
        <v>4573</v>
      </c>
      <c r="AE1037" s="34" t="s">
        <v>3430</v>
      </c>
      <c r="AF1037" s="35">
        <v>0.45355999999999996</v>
      </c>
    </row>
    <row r="1038" spans="19:32" x14ac:dyDescent="0.35">
      <c r="S1038" s="34">
        <v>1034</v>
      </c>
      <c r="T1038" s="34" t="s">
        <v>4284</v>
      </c>
      <c r="U1038" s="34" t="s">
        <v>4977</v>
      </c>
      <c r="V1038" s="35">
        <v>1.3332661290322583E-4</v>
      </c>
      <c r="W1038" s="13"/>
      <c r="X1038" s="34">
        <v>1034</v>
      </c>
      <c r="Y1038" s="34" t="s">
        <v>2248</v>
      </c>
      <c r="Z1038" s="34" t="s">
        <v>3542</v>
      </c>
      <c r="AA1038" s="35">
        <v>3.0298387096774198E-5</v>
      </c>
      <c r="AB1038" s="13"/>
      <c r="AC1038" s="34">
        <v>1034</v>
      </c>
      <c r="AD1038" s="34" t="s">
        <v>4573</v>
      </c>
      <c r="AE1038" s="34" t="s">
        <v>4888</v>
      </c>
      <c r="AF1038" s="35">
        <v>2.1935483870967745</v>
      </c>
    </row>
    <row r="1039" spans="19:32" x14ac:dyDescent="0.35">
      <c r="S1039" s="34">
        <v>1035</v>
      </c>
      <c r="T1039" s="34" t="s">
        <v>4284</v>
      </c>
      <c r="U1039" s="34" t="s">
        <v>4976</v>
      </c>
      <c r="V1039" s="35">
        <v>1.8987903225806452E-3</v>
      </c>
      <c r="W1039" s="13"/>
      <c r="X1039" s="34">
        <v>1035</v>
      </c>
      <c r="Y1039" s="34" t="s">
        <v>2248</v>
      </c>
      <c r="Z1039" s="34" t="s">
        <v>5515</v>
      </c>
      <c r="AA1039" s="35">
        <v>3.4959677419354844E-2</v>
      </c>
      <c r="AB1039" s="13"/>
      <c r="AC1039" s="34">
        <v>1035</v>
      </c>
      <c r="AD1039" s="34" t="s">
        <v>4573</v>
      </c>
      <c r="AE1039" s="34" t="s">
        <v>3429</v>
      </c>
      <c r="AF1039" s="35">
        <v>81.971999999999994</v>
      </c>
    </row>
    <row r="1040" spans="19:32" x14ac:dyDescent="0.35">
      <c r="S1040" s="34">
        <v>1036</v>
      </c>
      <c r="T1040" s="34" t="s">
        <v>4284</v>
      </c>
      <c r="U1040" s="34" t="s">
        <v>4975</v>
      </c>
      <c r="V1040" s="35">
        <v>3.2663306451612903E-3</v>
      </c>
      <c r="W1040" s="13"/>
      <c r="X1040" s="34">
        <v>1036</v>
      </c>
      <c r="Y1040" s="34" t="s">
        <v>2248</v>
      </c>
      <c r="Z1040" s="34" t="s">
        <v>5052</v>
      </c>
      <c r="AA1040" s="35">
        <v>1.7171370967741938E-3</v>
      </c>
      <c r="AB1040" s="13"/>
      <c r="AC1040" s="34">
        <v>1036</v>
      </c>
      <c r="AD1040" s="34" t="s">
        <v>4573</v>
      </c>
      <c r="AE1040" s="34" t="s">
        <v>4887</v>
      </c>
      <c r="AF1040" s="35">
        <v>5.4838709677419361E-3</v>
      </c>
    </row>
    <row r="1041" spans="19:32" x14ac:dyDescent="0.35">
      <c r="S1041" s="34">
        <v>1037</v>
      </c>
      <c r="T1041" s="34" t="s">
        <v>4284</v>
      </c>
      <c r="U1041" s="34" t="s">
        <v>3487</v>
      </c>
      <c r="V1041" s="35">
        <v>0</v>
      </c>
      <c r="W1041" s="13"/>
      <c r="X1041" s="34">
        <v>1037</v>
      </c>
      <c r="Y1041" s="34" t="s">
        <v>2248</v>
      </c>
      <c r="Z1041" s="34" t="s">
        <v>3540</v>
      </c>
      <c r="AA1041" s="35">
        <v>2.4931999999999999</v>
      </c>
      <c r="AB1041" s="13"/>
      <c r="AC1041" s="34">
        <v>1037</v>
      </c>
      <c r="AD1041" s="34" t="s">
        <v>4573</v>
      </c>
      <c r="AE1041" s="34" t="s">
        <v>4886</v>
      </c>
      <c r="AF1041" s="35">
        <v>1.6725806451612906E-2</v>
      </c>
    </row>
    <row r="1042" spans="19:32" x14ac:dyDescent="0.35">
      <c r="S1042" s="34">
        <v>1038</v>
      </c>
      <c r="T1042" s="34" t="s">
        <v>4284</v>
      </c>
      <c r="U1042" s="34" t="s">
        <v>3485</v>
      </c>
      <c r="V1042" s="35">
        <v>0.18850806451612906</v>
      </c>
      <c r="W1042" s="13"/>
      <c r="X1042" s="34">
        <v>1038</v>
      </c>
      <c r="Y1042" s="34" t="s">
        <v>2248</v>
      </c>
      <c r="Z1042" s="34" t="s">
        <v>5514</v>
      </c>
      <c r="AA1042" s="35">
        <v>3.3588709677419355E-3</v>
      </c>
      <c r="AB1042" s="13"/>
      <c r="AC1042" s="34">
        <v>1038</v>
      </c>
      <c r="AD1042" s="34" t="s">
        <v>4573</v>
      </c>
      <c r="AE1042" s="34" t="s">
        <v>4885</v>
      </c>
      <c r="AF1042" s="35">
        <v>2.6116935483870968E-2</v>
      </c>
    </row>
    <row r="1043" spans="19:32" x14ac:dyDescent="0.35">
      <c r="S1043" s="34">
        <v>1039</v>
      </c>
      <c r="T1043" s="34" t="s">
        <v>4284</v>
      </c>
      <c r="U1043" s="34" t="s">
        <v>3485</v>
      </c>
      <c r="V1043" s="35">
        <v>0</v>
      </c>
      <c r="W1043" s="13"/>
      <c r="X1043" s="34">
        <v>1039</v>
      </c>
      <c r="Y1043" s="34" t="s">
        <v>2248</v>
      </c>
      <c r="Z1043" s="34" t="s">
        <v>3539</v>
      </c>
      <c r="AA1043" s="35">
        <v>0.78476000000000001</v>
      </c>
      <c r="AB1043" s="13"/>
      <c r="AC1043" s="34">
        <v>1039</v>
      </c>
      <c r="AD1043" s="34" t="s">
        <v>4573</v>
      </c>
      <c r="AE1043" s="34" t="s">
        <v>3428</v>
      </c>
      <c r="AF1043" s="35">
        <v>0</v>
      </c>
    </row>
    <row r="1044" spans="19:32" x14ac:dyDescent="0.35">
      <c r="S1044" s="34">
        <v>1040</v>
      </c>
      <c r="T1044" s="34" t="s">
        <v>4284</v>
      </c>
      <c r="U1044" s="34" t="s">
        <v>3484</v>
      </c>
      <c r="V1044" s="35">
        <v>8.6370967741935498E-5</v>
      </c>
      <c r="W1044" s="13"/>
      <c r="X1044" s="34">
        <v>1040</v>
      </c>
      <c r="Y1044" s="34" t="s">
        <v>2248</v>
      </c>
      <c r="Z1044" s="34" t="s">
        <v>3537</v>
      </c>
      <c r="AA1044" s="35">
        <v>0.33856000000000003</v>
      </c>
      <c r="AB1044" s="13"/>
      <c r="AC1044" s="34">
        <v>1040</v>
      </c>
      <c r="AD1044" s="34" t="s">
        <v>4573</v>
      </c>
      <c r="AE1044" s="34" t="s">
        <v>4884</v>
      </c>
      <c r="AF1044" s="35">
        <v>0.43528225806451615</v>
      </c>
    </row>
    <row r="1045" spans="19:32" x14ac:dyDescent="0.35">
      <c r="S1045" s="34">
        <v>1041</v>
      </c>
      <c r="T1045" s="34" t="s">
        <v>4284</v>
      </c>
      <c r="U1045" s="34" t="s">
        <v>3484</v>
      </c>
      <c r="V1045" s="35">
        <v>1.6652E-2</v>
      </c>
      <c r="W1045" s="13"/>
      <c r="X1045" s="34">
        <v>1041</v>
      </c>
      <c r="Y1045" s="34" t="s">
        <v>2248</v>
      </c>
      <c r="Z1045" s="34" t="s">
        <v>3537</v>
      </c>
      <c r="AA1045" s="35">
        <v>2.8858870967741936E-5</v>
      </c>
      <c r="AB1045" s="13"/>
      <c r="AC1045" s="34">
        <v>1041</v>
      </c>
      <c r="AD1045" s="34" t="s">
        <v>4573</v>
      </c>
      <c r="AE1045" s="34" t="s">
        <v>4883</v>
      </c>
      <c r="AF1045" s="35">
        <v>6.8548387096774202E-2</v>
      </c>
    </row>
    <row r="1046" spans="19:32" x14ac:dyDescent="0.35">
      <c r="S1046" s="34">
        <v>1042</v>
      </c>
      <c r="T1046" s="34" t="s">
        <v>4284</v>
      </c>
      <c r="U1046" s="34" t="s">
        <v>3482</v>
      </c>
      <c r="V1046" s="35">
        <v>0.65595999999999999</v>
      </c>
      <c r="W1046" s="13"/>
      <c r="X1046" s="34">
        <v>1042</v>
      </c>
      <c r="Y1046" s="34" t="s">
        <v>2248</v>
      </c>
      <c r="Z1046" s="34" t="s">
        <v>5513</v>
      </c>
      <c r="AA1046" s="35">
        <v>1.4463709677419357E-2</v>
      </c>
      <c r="AB1046" s="13"/>
      <c r="AC1046" s="34">
        <v>1042</v>
      </c>
      <c r="AD1046" s="34" t="s">
        <v>4573</v>
      </c>
      <c r="AE1046" s="34" t="s">
        <v>4882</v>
      </c>
      <c r="AF1046" s="35">
        <v>0.2553427419354839</v>
      </c>
    </row>
    <row r="1047" spans="19:32" x14ac:dyDescent="0.35">
      <c r="S1047" s="34">
        <v>1043</v>
      </c>
      <c r="T1047" s="34" t="s">
        <v>4284</v>
      </c>
      <c r="U1047" s="34" t="s">
        <v>3481</v>
      </c>
      <c r="V1047" s="35">
        <v>3.252620967741936E-3</v>
      </c>
      <c r="W1047" s="13"/>
      <c r="X1047" s="34">
        <v>1043</v>
      </c>
      <c r="Y1047" s="34" t="s">
        <v>2248</v>
      </c>
      <c r="Z1047" s="34" t="s">
        <v>3536</v>
      </c>
      <c r="AA1047" s="35">
        <v>10.672000000000001</v>
      </c>
      <c r="AB1047" s="13"/>
      <c r="AC1047" s="34">
        <v>1043</v>
      </c>
      <c r="AD1047" s="34" t="s">
        <v>4573</v>
      </c>
      <c r="AE1047" s="34" t="s">
        <v>4881</v>
      </c>
      <c r="AF1047" s="35">
        <v>4.3870967741935489E-2</v>
      </c>
    </row>
    <row r="1048" spans="19:32" x14ac:dyDescent="0.35">
      <c r="S1048" s="34">
        <v>1044</v>
      </c>
      <c r="T1048" s="34" t="s">
        <v>4284</v>
      </c>
      <c r="U1048" s="34" t="s">
        <v>3481</v>
      </c>
      <c r="V1048" s="35">
        <v>0.29991999999999996</v>
      </c>
      <c r="W1048" s="13"/>
      <c r="X1048" s="34">
        <v>1044</v>
      </c>
      <c r="Y1048" s="34" t="s">
        <v>2248</v>
      </c>
      <c r="Z1048" s="34" t="s">
        <v>3535</v>
      </c>
      <c r="AA1048" s="35">
        <v>1.4352E-2</v>
      </c>
      <c r="AB1048" s="13"/>
      <c r="AC1048" s="34">
        <v>1044</v>
      </c>
      <c r="AD1048" s="34" t="s">
        <v>4573</v>
      </c>
      <c r="AE1048" s="34" t="s">
        <v>4880</v>
      </c>
      <c r="AF1048" s="35">
        <v>7.5403225806451618E-2</v>
      </c>
    </row>
    <row r="1049" spans="19:32" x14ac:dyDescent="0.35">
      <c r="S1049" s="34">
        <v>1045</v>
      </c>
      <c r="T1049" s="34" t="s">
        <v>4284</v>
      </c>
      <c r="U1049" s="34" t="s">
        <v>4974</v>
      </c>
      <c r="V1049" s="35">
        <v>1.9433467741935486E-3</v>
      </c>
      <c r="W1049" s="13"/>
      <c r="X1049" s="34">
        <v>1045</v>
      </c>
      <c r="Y1049" s="34" t="s">
        <v>2248</v>
      </c>
      <c r="Z1049" s="34" t="s">
        <v>3535</v>
      </c>
      <c r="AA1049" s="35">
        <v>5.106854838709678E-4</v>
      </c>
      <c r="AB1049" s="13"/>
      <c r="AC1049" s="34">
        <v>1045</v>
      </c>
      <c r="AD1049" s="34" t="s">
        <v>4573</v>
      </c>
      <c r="AE1049" s="34" t="s">
        <v>3427</v>
      </c>
      <c r="AF1049" s="35">
        <v>2.4506048387096777E-2</v>
      </c>
    </row>
    <row r="1050" spans="19:32" x14ac:dyDescent="0.35">
      <c r="S1050" s="34">
        <v>1046</v>
      </c>
      <c r="T1050" s="34" t="s">
        <v>4284</v>
      </c>
      <c r="U1050" s="34" t="s">
        <v>4973</v>
      </c>
      <c r="V1050" s="35">
        <v>7.0262096774193557E-4</v>
      </c>
      <c r="W1050" s="13"/>
      <c r="X1050" s="34">
        <v>1046</v>
      </c>
      <c r="Y1050" s="34" t="s">
        <v>2248</v>
      </c>
      <c r="Z1050" s="34" t="s">
        <v>5512</v>
      </c>
      <c r="AA1050" s="35">
        <v>1.655443548387097E-2</v>
      </c>
      <c r="AB1050" s="13"/>
      <c r="AC1050" s="34">
        <v>1046</v>
      </c>
      <c r="AD1050" s="34" t="s">
        <v>4573</v>
      </c>
      <c r="AE1050" s="34" t="s">
        <v>3427</v>
      </c>
      <c r="AF1050" s="35">
        <v>4.7656E-3</v>
      </c>
    </row>
    <row r="1051" spans="19:32" x14ac:dyDescent="0.35">
      <c r="S1051" s="34">
        <v>1047</v>
      </c>
      <c r="T1051" s="34" t="s">
        <v>4284</v>
      </c>
      <c r="U1051" s="34" t="s">
        <v>3479</v>
      </c>
      <c r="V1051" s="35">
        <v>24.748000000000001</v>
      </c>
      <c r="W1051" s="13"/>
      <c r="X1051" s="34">
        <v>1047</v>
      </c>
      <c r="Y1051" s="34" t="s">
        <v>2248</v>
      </c>
      <c r="Z1051" s="34" t="s">
        <v>5051</v>
      </c>
      <c r="AA1051" s="35">
        <v>9.425403225806452E-4</v>
      </c>
      <c r="AB1051" s="13"/>
      <c r="AC1051" s="34">
        <v>1047</v>
      </c>
      <c r="AD1051" s="34" t="s">
        <v>4573</v>
      </c>
      <c r="AE1051" s="34" t="s">
        <v>3425</v>
      </c>
      <c r="AF1051" s="35">
        <v>2.0118951612903228E-2</v>
      </c>
    </row>
    <row r="1052" spans="19:32" x14ac:dyDescent="0.35">
      <c r="S1052" s="34">
        <v>1048</v>
      </c>
      <c r="T1052" s="34" t="s">
        <v>4284</v>
      </c>
      <c r="U1052" s="34" t="s">
        <v>3477</v>
      </c>
      <c r="V1052" s="35">
        <v>8.774193548387098E-6</v>
      </c>
      <c r="W1052" s="13"/>
      <c r="X1052" s="34">
        <v>1048</v>
      </c>
      <c r="Y1052" s="34" t="s">
        <v>2248</v>
      </c>
      <c r="Z1052" s="34" t="s">
        <v>5511</v>
      </c>
      <c r="AA1052" s="35">
        <v>1.6520161290322583E-3</v>
      </c>
      <c r="AB1052" s="13"/>
      <c r="AC1052" s="34">
        <v>1048</v>
      </c>
      <c r="AD1052" s="34" t="s">
        <v>4573</v>
      </c>
      <c r="AE1052" s="34" t="s">
        <v>3425</v>
      </c>
      <c r="AF1052" s="35">
        <v>0</v>
      </c>
    </row>
    <row r="1053" spans="19:32" x14ac:dyDescent="0.35">
      <c r="S1053" s="34">
        <v>1049</v>
      </c>
      <c r="T1053" s="34" t="s">
        <v>4284</v>
      </c>
      <c r="U1053" s="34" t="s">
        <v>3477</v>
      </c>
      <c r="V1053" s="35">
        <v>6.8724000000000007E-2</v>
      </c>
      <c r="W1053" s="13"/>
      <c r="X1053" s="34">
        <v>1049</v>
      </c>
      <c r="Y1053" s="34" t="s">
        <v>2248</v>
      </c>
      <c r="Z1053" s="34" t="s">
        <v>5510</v>
      </c>
      <c r="AA1053" s="35">
        <v>2.8379032258064516E-4</v>
      </c>
      <c r="AB1053" s="13"/>
      <c r="AC1053" s="34">
        <v>1049</v>
      </c>
      <c r="AD1053" s="34" t="s">
        <v>4573</v>
      </c>
      <c r="AE1053" s="34" t="s">
        <v>4879</v>
      </c>
      <c r="AF1053" s="35">
        <v>0.13675403225806454</v>
      </c>
    </row>
    <row r="1054" spans="19:32" x14ac:dyDescent="0.35">
      <c r="S1054" s="34">
        <v>1050</v>
      </c>
      <c r="T1054" s="34" t="s">
        <v>4284</v>
      </c>
      <c r="U1054" s="34" t="s">
        <v>3476</v>
      </c>
      <c r="V1054" s="35">
        <v>2.0221774193548391E-3</v>
      </c>
      <c r="W1054" s="13"/>
      <c r="X1054" s="34">
        <v>1050</v>
      </c>
      <c r="Y1054" s="34" t="s">
        <v>2248</v>
      </c>
      <c r="Z1054" s="34" t="s">
        <v>3534</v>
      </c>
      <c r="AA1054" s="35">
        <v>31.463999999999999</v>
      </c>
      <c r="AB1054" s="13"/>
      <c r="AC1054" s="34">
        <v>1050</v>
      </c>
      <c r="AD1054" s="34" t="s">
        <v>4573</v>
      </c>
      <c r="AE1054" s="34" t="s">
        <v>4878</v>
      </c>
      <c r="AF1054" s="35">
        <v>3.5302419354838713E-4</v>
      </c>
    </row>
    <row r="1055" spans="19:32" x14ac:dyDescent="0.35">
      <c r="S1055" s="34">
        <v>1051</v>
      </c>
      <c r="T1055" s="34" t="s">
        <v>4284</v>
      </c>
      <c r="U1055" s="34" t="s">
        <v>3476</v>
      </c>
      <c r="V1055" s="35">
        <v>0</v>
      </c>
      <c r="W1055" s="13"/>
      <c r="X1055" s="34">
        <v>1051</v>
      </c>
      <c r="Y1055" s="34" t="s">
        <v>2248</v>
      </c>
      <c r="Z1055" s="34" t="s">
        <v>3533</v>
      </c>
      <c r="AA1055" s="35">
        <v>2.0148000000000001</v>
      </c>
      <c r="AB1055" s="13"/>
      <c r="AC1055" s="34">
        <v>1051</v>
      </c>
      <c r="AD1055" s="34" t="s">
        <v>4573</v>
      </c>
      <c r="AE1055" s="34" t="s">
        <v>4875</v>
      </c>
      <c r="AF1055" s="35">
        <v>0.56209677419354842</v>
      </c>
    </row>
    <row r="1056" spans="19:32" x14ac:dyDescent="0.35">
      <c r="S1056" s="34">
        <v>1052</v>
      </c>
      <c r="T1056" s="34" t="s">
        <v>4284</v>
      </c>
      <c r="U1056" s="34" t="s">
        <v>3474</v>
      </c>
      <c r="V1056" s="35">
        <v>25.667999999999999</v>
      </c>
      <c r="W1056" s="13"/>
      <c r="X1056" s="34">
        <v>1052</v>
      </c>
      <c r="Y1056" s="34" t="s">
        <v>2248</v>
      </c>
      <c r="Z1056" s="34" t="s">
        <v>3752</v>
      </c>
      <c r="AA1056" s="35">
        <v>9.425403225806452E-4</v>
      </c>
      <c r="AB1056" s="13"/>
      <c r="AC1056" s="34">
        <v>1052</v>
      </c>
      <c r="AD1056" s="34" t="s">
        <v>4573</v>
      </c>
      <c r="AE1056" s="34" t="s">
        <v>4873</v>
      </c>
      <c r="AF1056" s="35">
        <v>5.963709677419355E-2</v>
      </c>
    </row>
    <row r="1057" spans="19:32" x14ac:dyDescent="0.35">
      <c r="S1057" s="34">
        <v>1053</v>
      </c>
      <c r="T1057" s="34" t="s">
        <v>4284</v>
      </c>
      <c r="U1057" s="34" t="s">
        <v>3473</v>
      </c>
      <c r="V1057" s="35">
        <v>1.2304435483870968E-2</v>
      </c>
      <c r="W1057" s="13"/>
      <c r="X1057" s="34">
        <v>1053</v>
      </c>
      <c r="Y1057" s="34" t="s">
        <v>2248</v>
      </c>
      <c r="Z1057" s="34" t="s">
        <v>5050</v>
      </c>
      <c r="AA1057" s="35">
        <v>1.4600806451612904E-5</v>
      </c>
      <c r="AB1057" s="13"/>
      <c r="AC1057" s="34">
        <v>1053</v>
      </c>
      <c r="AD1057" s="34" t="s">
        <v>4573</v>
      </c>
      <c r="AE1057" s="34" t="s">
        <v>4872</v>
      </c>
      <c r="AF1057" s="35">
        <v>1.0247983870967743E-2</v>
      </c>
    </row>
    <row r="1058" spans="19:32" x14ac:dyDescent="0.35">
      <c r="S1058" s="34">
        <v>1054</v>
      </c>
      <c r="T1058" s="34" t="s">
        <v>4284</v>
      </c>
      <c r="U1058" s="34" t="s">
        <v>3473</v>
      </c>
      <c r="V1058" s="35">
        <v>8.4640000000000004</v>
      </c>
      <c r="W1058" s="13"/>
      <c r="X1058" s="34">
        <v>1054</v>
      </c>
      <c r="Y1058" s="34" t="s">
        <v>2248</v>
      </c>
      <c r="Z1058" s="34" t="s">
        <v>5049</v>
      </c>
      <c r="AA1058" s="35">
        <v>2.4985887096774195E-2</v>
      </c>
      <c r="AB1058" s="13"/>
      <c r="AC1058" s="34">
        <v>1054</v>
      </c>
      <c r="AD1058" s="34" t="s">
        <v>4573</v>
      </c>
      <c r="AE1058" s="34" t="s">
        <v>4871</v>
      </c>
      <c r="AF1058" s="35">
        <v>1.7068548387096774E-2</v>
      </c>
    </row>
    <row r="1059" spans="19:32" x14ac:dyDescent="0.35">
      <c r="S1059" s="34">
        <v>1055</v>
      </c>
      <c r="T1059" s="34" t="s">
        <v>4284</v>
      </c>
      <c r="U1059" s="34" t="s">
        <v>3471</v>
      </c>
      <c r="V1059" s="35">
        <v>2.5808467741935487E-2</v>
      </c>
      <c r="W1059" s="13"/>
      <c r="X1059" s="34">
        <v>1055</v>
      </c>
      <c r="Y1059" s="34" t="s">
        <v>2248</v>
      </c>
      <c r="Z1059" s="34" t="s">
        <v>5509</v>
      </c>
      <c r="AA1059" s="35">
        <v>6.2721774193548392E-5</v>
      </c>
      <c r="AB1059" s="13"/>
      <c r="AC1059" s="34">
        <v>1055</v>
      </c>
      <c r="AD1059" s="34" t="s">
        <v>4573</v>
      </c>
      <c r="AE1059" s="34" t="s">
        <v>4870</v>
      </c>
      <c r="AF1059" s="35">
        <v>9.7338709677419366E-2</v>
      </c>
    </row>
    <row r="1060" spans="19:32" x14ac:dyDescent="0.35">
      <c r="S1060" s="34">
        <v>1056</v>
      </c>
      <c r="T1060" s="34" t="s">
        <v>4284</v>
      </c>
      <c r="U1060" s="34" t="s">
        <v>3471</v>
      </c>
      <c r="V1060" s="35">
        <v>16.375999999999998</v>
      </c>
      <c r="W1060" s="13"/>
      <c r="X1060" s="34">
        <v>1056</v>
      </c>
      <c r="Y1060" s="34" t="s">
        <v>2248</v>
      </c>
      <c r="Z1060" s="34" t="s">
        <v>5048</v>
      </c>
      <c r="AA1060" s="35">
        <v>4.5927419354838714E-4</v>
      </c>
      <c r="AB1060" s="13"/>
      <c r="AC1060" s="34">
        <v>1056</v>
      </c>
      <c r="AD1060" s="34" t="s">
        <v>4573</v>
      </c>
      <c r="AE1060" s="34" t="s">
        <v>4867</v>
      </c>
      <c r="AF1060" s="35">
        <v>0.19125</v>
      </c>
    </row>
    <row r="1061" spans="19:32" x14ac:dyDescent="0.35">
      <c r="S1061" s="34">
        <v>1057</v>
      </c>
      <c r="T1061" s="34" t="s">
        <v>4284</v>
      </c>
      <c r="U1061" s="34" t="s">
        <v>3470</v>
      </c>
      <c r="V1061" s="35">
        <v>0</v>
      </c>
      <c r="W1061" s="13"/>
      <c r="X1061" s="34">
        <v>1057</v>
      </c>
      <c r="Y1061" s="34" t="s">
        <v>2248</v>
      </c>
      <c r="Z1061" s="34" t="s">
        <v>5047</v>
      </c>
      <c r="AA1061" s="35">
        <v>3.8729838709677424E-3</v>
      </c>
      <c r="AB1061" s="13"/>
      <c r="AC1061" s="34">
        <v>1057</v>
      </c>
      <c r="AD1061" s="34" t="s">
        <v>4573</v>
      </c>
      <c r="AE1061" s="34" t="s">
        <v>4865</v>
      </c>
      <c r="AF1061" s="35">
        <v>0.42500000000000004</v>
      </c>
    </row>
    <row r="1062" spans="19:32" x14ac:dyDescent="0.35">
      <c r="S1062" s="34">
        <v>1058</v>
      </c>
      <c r="T1062" s="34" t="s">
        <v>4284</v>
      </c>
      <c r="U1062" s="34" t="s">
        <v>3469</v>
      </c>
      <c r="V1062" s="35">
        <v>8.739919354838711E-3</v>
      </c>
      <c r="W1062" s="13"/>
      <c r="X1062" s="34">
        <v>1058</v>
      </c>
      <c r="Y1062" s="34" t="s">
        <v>2248</v>
      </c>
      <c r="Z1062" s="34" t="s">
        <v>5508</v>
      </c>
      <c r="AA1062" s="35">
        <v>3.9072580645161297E-3</v>
      </c>
      <c r="AB1062" s="13"/>
      <c r="AC1062" s="34">
        <v>1058</v>
      </c>
      <c r="AD1062" s="34" t="s">
        <v>4573</v>
      </c>
      <c r="AE1062" s="34" t="s">
        <v>4862</v>
      </c>
      <c r="AF1062" s="35">
        <v>7.0947580645161299</v>
      </c>
    </row>
    <row r="1063" spans="19:32" x14ac:dyDescent="0.35">
      <c r="S1063" s="34">
        <v>1059</v>
      </c>
      <c r="T1063" s="34" t="s">
        <v>4284</v>
      </c>
      <c r="U1063" s="34" t="s">
        <v>3469</v>
      </c>
      <c r="V1063" s="35">
        <v>0</v>
      </c>
      <c r="W1063" s="13"/>
      <c r="X1063" s="34">
        <v>1059</v>
      </c>
      <c r="Y1063" s="34" t="s">
        <v>2248</v>
      </c>
      <c r="Z1063" s="34" t="s">
        <v>3532</v>
      </c>
      <c r="AA1063" s="35">
        <v>0</v>
      </c>
      <c r="AB1063" s="13"/>
      <c r="AC1063" s="34">
        <v>1059</v>
      </c>
      <c r="AD1063" s="34" t="s">
        <v>4573</v>
      </c>
      <c r="AE1063" s="34" t="s">
        <v>3423</v>
      </c>
      <c r="AF1063" s="35">
        <v>3.3691532258064517E-2</v>
      </c>
    </row>
    <row r="1064" spans="19:32" x14ac:dyDescent="0.35">
      <c r="S1064" s="34">
        <v>1060</v>
      </c>
      <c r="T1064" s="34" t="s">
        <v>4284</v>
      </c>
      <c r="U1064" s="34" t="s">
        <v>4972</v>
      </c>
      <c r="V1064" s="35">
        <v>7.7459677419354847E-4</v>
      </c>
      <c r="W1064" s="13"/>
      <c r="X1064" s="34">
        <v>1060</v>
      </c>
      <c r="Y1064" s="34" t="s">
        <v>2248</v>
      </c>
      <c r="Z1064" s="34" t="s">
        <v>5046</v>
      </c>
      <c r="AA1064" s="35">
        <v>7.985887096774194E-4</v>
      </c>
      <c r="AB1064" s="13"/>
      <c r="AC1064" s="34">
        <v>1060</v>
      </c>
      <c r="AD1064" s="34" t="s">
        <v>4573</v>
      </c>
      <c r="AE1064" s="34" t="s">
        <v>3423</v>
      </c>
      <c r="AF1064" s="35">
        <v>0.28612000000000004</v>
      </c>
    </row>
    <row r="1065" spans="19:32" x14ac:dyDescent="0.35">
      <c r="S1065" s="34">
        <v>1061</v>
      </c>
      <c r="T1065" s="34" t="s">
        <v>4284</v>
      </c>
      <c r="U1065" s="34" t="s">
        <v>3467</v>
      </c>
      <c r="V1065" s="35">
        <v>1.1481854838709677</v>
      </c>
      <c r="W1065" s="13"/>
      <c r="X1065" s="34">
        <v>1061</v>
      </c>
      <c r="Y1065" s="34" t="s">
        <v>2248</v>
      </c>
      <c r="Z1065" s="34" t="s">
        <v>3531</v>
      </c>
      <c r="AA1065" s="35">
        <v>7.3415999999999995E-2</v>
      </c>
      <c r="AB1065" s="13"/>
      <c r="AC1065" s="34">
        <v>1061</v>
      </c>
      <c r="AD1065" s="34" t="s">
        <v>4573</v>
      </c>
      <c r="AE1065" s="34" t="s">
        <v>4858</v>
      </c>
      <c r="AF1065" s="35">
        <v>6.61491935483871</v>
      </c>
    </row>
    <row r="1066" spans="19:32" x14ac:dyDescent="0.35">
      <c r="S1066" s="34">
        <v>1062</v>
      </c>
      <c r="T1066" s="34" t="s">
        <v>4284</v>
      </c>
      <c r="U1066" s="34" t="s">
        <v>3467</v>
      </c>
      <c r="V1066" s="35">
        <v>0</v>
      </c>
      <c r="W1066" s="13"/>
      <c r="X1066" s="34">
        <v>1062</v>
      </c>
      <c r="Y1066" s="34" t="s">
        <v>2248</v>
      </c>
      <c r="Z1066" s="34" t="s">
        <v>3750</v>
      </c>
      <c r="AA1066" s="35">
        <v>2.4266129032258065E-3</v>
      </c>
      <c r="AB1066" s="13"/>
      <c r="AC1066" s="34">
        <v>1062</v>
      </c>
      <c r="AD1066" s="34" t="s">
        <v>4573</v>
      </c>
      <c r="AE1066" s="34" t="s">
        <v>4855</v>
      </c>
      <c r="AF1066" s="35">
        <v>0.63750000000000007</v>
      </c>
    </row>
    <row r="1067" spans="19:32" x14ac:dyDescent="0.35">
      <c r="S1067" s="34">
        <v>1063</v>
      </c>
      <c r="T1067" s="34" t="s">
        <v>4284</v>
      </c>
      <c r="U1067" s="34" t="s">
        <v>3466</v>
      </c>
      <c r="V1067" s="35">
        <v>1.477217741935484E-2</v>
      </c>
      <c r="W1067" s="13"/>
      <c r="X1067" s="34">
        <v>1063</v>
      </c>
      <c r="Y1067" s="34" t="s">
        <v>2248</v>
      </c>
      <c r="Z1067" s="34" t="s">
        <v>3531</v>
      </c>
      <c r="AA1067" s="35">
        <v>2.1250000000000002E-4</v>
      </c>
      <c r="AB1067" s="13"/>
      <c r="AC1067" s="34">
        <v>1063</v>
      </c>
      <c r="AD1067" s="34" t="s">
        <v>4573</v>
      </c>
      <c r="AE1067" s="34" t="s">
        <v>4852</v>
      </c>
      <c r="AF1067" s="35">
        <v>23.923387096774196</v>
      </c>
    </row>
    <row r="1068" spans="19:32" x14ac:dyDescent="0.35">
      <c r="S1068" s="34">
        <v>1064</v>
      </c>
      <c r="T1068" s="34" t="s">
        <v>4284</v>
      </c>
      <c r="U1068" s="34" t="s">
        <v>3466</v>
      </c>
      <c r="V1068" s="35">
        <v>0</v>
      </c>
      <c r="W1068" s="13"/>
      <c r="X1068" s="34">
        <v>1064</v>
      </c>
      <c r="Y1068" s="34" t="s">
        <v>2248</v>
      </c>
      <c r="Z1068" s="34" t="s">
        <v>5045</v>
      </c>
      <c r="AA1068" s="35">
        <v>1.5766129032258068E-5</v>
      </c>
      <c r="AB1068" s="13"/>
      <c r="AC1068" s="34">
        <v>1064</v>
      </c>
      <c r="AD1068" s="34" t="s">
        <v>4573</v>
      </c>
      <c r="AE1068" s="34" t="s">
        <v>4850</v>
      </c>
      <c r="AF1068" s="35">
        <v>2.3854838709677421E-2</v>
      </c>
    </row>
    <row r="1069" spans="19:32" x14ac:dyDescent="0.35">
      <c r="S1069" s="34">
        <v>1065</v>
      </c>
      <c r="T1069" s="34" t="s">
        <v>4284</v>
      </c>
      <c r="U1069" s="34" t="s">
        <v>3464</v>
      </c>
      <c r="V1069" s="35">
        <v>2.279233870967742</v>
      </c>
      <c r="W1069" s="13"/>
      <c r="X1069" s="34">
        <v>1065</v>
      </c>
      <c r="Y1069" s="34" t="s">
        <v>2248</v>
      </c>
      <c r="Z1069" s="34" t="s">
        <v>5507</v>
      </c>
      <c r="AA1069" s="35">
        <v>1.3435483870967742E-2</v>
      </c>
      <c r="AB1069" s="13"/>
      <c r="AC1069" s="34">
        <v>1065</v>
      </c>
      <c r="AD1069" s="34" t="s">
        <v>4573</v>
      </c>
      <c r="AE1069" s="34" t="s">
        <v>3422</v>
      </c>
      <c r="AF1069" s="35">
        <v>3.3691532258064517E-2</v>
      </c>
    </row>
    <row r="1070" spans="19:32" x14ac:dyDescent="0.35">
      <c r="S1070" s="34">
        <v>1066</v>
      </c>
      <c r="T1070" s="34" t="s">
        <v>4284</v>
      </c>
      <c r="U1070" s="34" t="s">
        <v>3464</v>
      </c>
      <c r="V1070" s="35">
        <v>0</v>
      </c>
      <c r="W1070" s="13"/>
      <c r="X1070" s="34">
        <v>1066</v>
      </c>
      <c r="Y1070" s="34" t="s">
        <v>2248</v>
      </c>
      <c r="Z1070" s="34" t="s">
        <v>5044</v>
      </c>
      <c r="AA1070" s="35">
        <v>5.0383064516129034E-5</v>
      </c>
      <c r="AB1070" s="13"/>
      <c r="AC1070" s="34">
        <v>1066</v>
      </c>
      <c r="AD1070" s="34" t="s">
        <v>4573</v>
      </c>
      <c r="AE1070" s="34" t="s">
        <v>3422</v>
      </c>
      <c r="AF1070" s="35">
        <v>0.63019999999999998</v>
      </c>
    </row>
    <row r="1071" spans="19:32" x14ac:dyDescent="0.35">
      <c r="S1071" s="34">
        <v>1067</v>
      </c>
      <c r="T1071" s="34" t="s">
        <v>4284</v>
      </c>
      <c r="U1071" s="34" t="s">
        <v>4970</v>
      </c>
      <c r="V1071" s="35">
        <v>92.540322580645167</v>
      </c>
      <c r="W1071" s="13"/>
      <c r="X1071" s="34">
        <v>1067</v>
      </c>
      <c r="Y1071" s="34" t="s">
        <v>2248</v>
      </c>
      <c r="Z1071" s="34" t="s">
        <v>5043</v>
      </c>
      <c r="AA1071" s="35">
        <v>3.2971774193548385E-4</v>
      </c>
      <c r="AB1071" s="13"/>
      <c r="AC1071" s="34">
        <v>1067</v>
      </c>
      <c r="AD1071" s="34" t="s">
        <v>4573</v>
      </c>
      <c r="AE1071" s="34" t="s">
        <v>4845</v>
      </c>
      <c r="AF1071" s="35">
        <v>2.645967741935484E-2</v>
      </c>
    </row>
    <row r="1072" spans="19:32" x14ac:dyDescent="0.35">
      <c r="S1072" s="34">
        <v>1068</v>
      </c>
      <c r="T1072" s="34" t="s">
        <v>4284</v>
      </c>
      <c r="U1072" s="34" t="s">
        <v>3463</v>
      </c>
      <c r="V1072" s="35">
        <v>5.2439516129032265E-5</v>
      </c>
      <c r="W1072" s="13"/>
      <c r="X1072" s="34">
        <v>1068</v>
      </c>
      <c r="Y1072" s="34" t="s">
        <v>2248</v>
      </c>
      <c r="Z1072" s="34" t="s">
        <v>5042</v>
      </c>
      <c r="AA1072" s="35">
        <v>1.4497983870967743E-3</v>
      </c>
      <c r="AB1072" s="13"/>
      <c r="AC1072" s="34">
        <v>1068</v>
      </c>
      <c r="AD1072" s="34" t="s">
        <v>4573</v>
      </c>
      <c r="AE1072" s="34" t="s">
        <v>3420</v>
      </c>
      <c r="AF1072" s="35">
        <v>9.9052419354838717E-2</v>
      </c>
    </row>
    <row r="1073" spans="19:32" x14ac:dyDescent="0.35">
      <c r="S1073" s="34">
        <v>1069</v>
      </c>
      <c r="T1073" s="34" t="s">
        <v>4284</v>
      </c>
      <c r="U1073" s="34" t="s">
        <v>3463</v>
      </c>
      <c r="V1073" s="35">
        <v>4.8115999999999999E-2</v>
      </c>
      <c r="W1073" s="13"/>
      <c r="X1073" s="34">
        <v>1069</v>
      </c>
      <c r="Y1073" s="34" t="s">
        <v>2248</v>
      </c>
      <c r="Z1073" s="34" t="s">
        <v>3749</v>
      </c>
      <c r="AA1073" s="35">
        <v>2.834475806451613E-5</v>
      </c>
      <c r="AB1073" s="13"/>
      <c r="AC1073" s="34">
        <v>1069</v>
      </c>
      <c r="AD1073" s="34" t="s">
        <v>4573</v>
      </c>
      <c r="AE1073" s="34" t="s">
        <v>3420</v>
      </c>
      <c r="AF1073" s="35">
        <v>0.27232000000000001</v>
      </c>
    </row>
    <row r="1074" spans="19:32" x14ac:dyDescent="0.35">
      <c r="S1074" s="34">
        <v>1070</v>
      </c>
      <c r="T1074" s="34" t="s">
        <v>4284</v>
      </c>
      <c r="U1074" s="34" t="s">
        <v>4969</v>
      </c>
      <c r="V1074" s="35">
        <v>1.4086693548387097</v>
      </c>
      <c r="W1074" s="13"/>
      <c r="X1074" s="34">
        <v>1070</v>
      </c>
      <c r="Y1074" s="34" t="s">
        <v>2248</v>
      </c>
      <c r="Z1074" s="34" t="s">
        <v>5040</v>
      </c>
      <c r="AA1074" s="35">
        <v>4.0443548387096779E-4</v>
      </c>
      <c r="AB1074" s="13"/>
      <c r="AC1074" s="34">
        <v>1070</v>
      </c>
      <c r="AD1074" s="34" t="s">
        <v>4573</v>
      </c>
      <c r="AE1074" s="34" t="s">
        <v>3419</v>
      </c>
      <c r="AF1074" s="35">
        <v>1.2144000000000001</v>
      </c>
    </row>
    <row r="1075" spans="19:32" x14ac:dyDescent="0.35">
      <c r="S1075" s="34">
        <v>1071</v>
      </c>
      <c r="T1075" s="34" t="s">
        <v>4284</v>
      </c>
      <c r="U1075" s="34" t="s">
        <v>3461</v>
      </c>
      <c r="V1075" s="35">
        <v>3.7358870967741938E-2</v>
      </c>
      <c r="W1075" s="13"/>
      <c r="X1075" s="34">
        <v>1071</v>
      </c>
      <c r="Y1075" s="34" t="s">
        <v>2248</v>
      </c>
      <c r="Z1075" s="34" t="s">
        <v>5039</v>
      </c>
      <c r="AA1075" s="35">
        <v>2.1661290322580649E-4</v>
      </c>
      <c r="AB1075" s="13"/>
      <c r="AC1075" s="34">
        <v>1071</v>
      </c>
      <c r="AD1075" s="34" t="s">
        <v>4573</v>
      </c>
      <c r="AE1075" s="34" t="s">
        <v>3417</v>
      </c>
      <c r="AF1075" s="35">
        <v>1.7891129032258066E-2</v>
      </c>
    </row>
    <row r="1076" spans="19:32" x14ac:dyDescent="0.35">
      <c r="S1076" s="34">
        <v>1072</v>
      </c>
      <c r="T1076" s="34" t="s">
        <v>4284</v>
      </c>
      <c r="U1076" s="34" t="s">
        <v>3461</v>
      </c>
      <c r="V1076" s="35">
        <v>0.32291999999999998</v>
      </c>
      <c r="W1076" s="13"/>
      <c r="X1076" s="34">
        <v>1072</v>
      </c>
      <c r="Y1076" s="34" t="s">
        <v>2248</v>
      </c>
      <c r="Z1076" s="34" t="s">
        <v>3746</v>
      </c>
      <c r="AA1076" s="35">
        <v>2.6802419354838711E-2</v>
      </c>
      <c r="AB1076" s="13"/>
      <c r="AC1076" s="34">
        <v>1072</v>
      </c>
      <c r="AD1076" s="34" t="s">
        <v>4573</v>
      </c>
      <c r="AE1076" s="34" t="s">
        <v>3417</v>
      </c>
      <c r="AF1076" s="35">
        <v>10.488</v>
      </c>
    </row>
    <row r="1077" spans="19:32" x14ac:dyDescent="0.35">
      <c r="S1077" s="34">
        <v>1073</v>
      </c>
      <c r="T1077" s="34" t="s">
        <v>4284</v>
      </c>
      <c r="U1077" s="34" t="s">
        <v>3460</v>
      </c>
      <c r="V1077" s="35">
        <v>0.73692000000000002</v>
      </c>
      <c r="W1077" s="13"/>
      <c r="X1077" s="34">
        <v>1073</v>
      </c>
      <c r="Y1077" s="34" t="s">
        <v>2248</v>
      </c>
      <c r="Z1077" s="34" t="s">
        <v>5038</v>
      </c>
      <c r="AA1077" s="35">
        <v>3.3417338709677419E-2</v>
      </c>
      <c r="AB1077" s="13"/>
      <c r="AC1077" s="34">
        <v>1073</v>
      </c>
      <c r="AD1077" s="34" t="s">
        <v>4573</v>
      </c>
      <c r="AE1077" s="34" t="s">
        <v>4839</v>
      </c>
      <c r="AF1077" s="35">
        <v>3.7016129032258066E-2</v>
      </c>
    </row>
    <row r="1078" spans="19:32" x14ac:dyDescent="0.35">
      <c r="S1078" s="34">
        <v>1074</v>
      </c>
      <c r="T1078" s="34" t="s">
        <v>4284</v>
      </c>
      <c r="U1078" s="34" t="s">
        <v>4968</v>
      </c>
      <c r="V1078" s="35">
        <v>1.3024193548387098E-3</v>
      </c>
      <c r="W1078" s="13"/>
      <c r="X1078" s="34">
        <v>1074</v>
      </c>
      <c r="Y1078" s="34" t="s">
        <v>2248</v>
      </c>
      <c r="Z1078" s="34" t="s">
        <v>5037</v>
      </c>
      <c r="AA1078" s="35">
        <v>8.8770161290322595E-6</v>
      </c>
      <c r="AB1078" s="13"/>
      <c r="AC1078" s="34">
        <v>1074</v>
      </c>
      <c r="AD1078" s="34" t="s">
        <v>4573</v>
      </c>
      <c r="AE1078" s="34" t="s">
        <v>4837</v>
      </c>
      <c r="AF1078" s="35">
        <v>1.0796370967741937E-2</v>
      </c>
    </row>
    <row r="1079" spans="19:32" x14ac:dyDescent="0.35">
      <c r="S1079" s="34">
        <v>1075</v>
      </c>
      <c r="T1079" s="34" t="s">
        <v>4284</v>
      </c>
      <c r="U1079" s="34" t="s">
        <v>4967</v>
      </c>
      <c r="V1079" s="35">
        <v>4.3185483870967746E-4</v>
      </c>
      <c r="W1079" s="13"/>
      <c r="X1079" s="34">
        <v>1075</v>
      </c>
      <c r="Y1079" s="34" t="s">
        <v>2248</v>
      </c>
      <c r="Z1079" s="34" t="s">
        <v>5506</v>
      </c>
      <c r="AA1079" s="35">
        <v>6.4435483870967751E-3</v>
      </c>
      <c r="AB1079" s="13"/>
      <c r="AC1079" s="34">
        <v>1075</v>
      </c>
      <c r="AD1079" s="34" t="s">
        <v>4573</v>
      </c>
      <c r="AE1079" s="34" t="s">
        <v>3416</v>
      </c>
      <c r="AF1079" s="35">
        <v>0.71975806451612911</v>
      </c>
    </row>
    <row r="1080" spans="19:32" x14ac:dyDescent="0.35">
      <c r="S1080" s="34">
        <v>1076</v>
      </c>
      <c r="T1080" s="34" t="s">
        <v>4284</v>
      </c>
      <c r="U1080" s="34" t="s">
        <v>4966</v>
      </c>
      <c r="V1080" s="35">
        <v>5.2439516129032266E-4</v>
      </c>
      <c r="W1080" s="13"/>
      <c r="X1080" s="34">
        <v>1076</v>
      </c>
      <c r="Y1080" s="34" t="s">
        <v>2248</v>
      </c>
      <c r="Z1080" s="34" t="s">
        <v>3529</v>
      </c>
      <c r="AA1080" s="35">
        <v>0.83628000000000002</v>
      </c>
      <c r="AB1080" s="13"/>
      <c r="AC1080" s="34">
        <v>1076</v>
      </c>
      <c r="AD1080" s="34" t="s">
        <v>4573</v>
      </c>
      <c r="AE1080" s="34" t="s">
        <v>3416</v>
      </c>
      <c r="AF1080" s="35">
        <v>19.32</v>
      </c>
    </row>
    <row r="1081" spans="19:32" x14ac:dyDescent="0.35">
      <c r="S1081" s="34">
        <v>1077</v>
      </c>
      <c r="T1081" s="34" t="s">
        <v>4284</v>
      </c>
      <c r="U1081" s="34" t="s">
        <v>4965</v>
      </c>
      <c r="V1081" s="35">
        <v>6.6834677419354838E-2</v>
      </c>
      <c r="W1081" s="13"/>
      <c r="X1081" s="34">
        <v>1077</v>
      </c>
      <c r="Y1081" s="34" t="s">
        <v>2248</v>
      </c>
      <c r="Z1081" s="34" t="s">
        <v>3528</v>
      </c>
      <c r="AA1081" s="35">
        <v>0</v>
      </c>
      <c r="AB1081" s="13"/>
      <c r="AC1081" s="34">
        <v>1077</v>
      </c>
      <c r="AD1081" s="34" t="s">
        <v>4573</v>
      </c>
      <c r="AE1081" s="34" t="s">
        <v>3414</v>
      </c>
      <c r="AF1081" s="35">
        <v>5.3819999999999997</v>
      </c>
    </row>
    <row r="1082" spans="19:32" x14ac:dyDescent="0.35">
      <c r="S1082" s="34">
        <v>1078</v>
      </c>
      <c r="T1082" s="34" t="s">
        <v>4284</v>
      </c>
      <c r="U1082" s="34" t="s">
        <v>4964</v>
      </c>
      <c r="V1082" s="35">
        <v>2.7590725806451614E-2</v>
      </c>
      <c r="W1082" s="13"/>
      <c r="X1082" s="34">
        <v>1078</v>
      </c>
      <c r="Y1082" s="34" t="s">
        <v>2248</v>
      </c>
      <c r="Z1082" s="34" t="s">
        <v>3528</v>
      </c>
      <c r="AA1082" s="35">
        <v>7.1633064516129035E-5</v>
      </c>
      <c r="AB1082" s="13"/>
      <c r="AC1082" s="34">
        <v>1078</v>
      </c>
      <c r="AD1082" s="34" t="s">
        <v>4573</v>
      </c>
      <c r="AE1082" s="34" t="s">
        <v>3413</v>
      </c>
      <c r="AF1082" s="35">
        <v>140.76000000000002</v>
      </c>
    </row>
    <row r="1083" spans="19:32" x14ac:dyDescent="0.35">
      <c r="S1083" s="34">
        <v>1079</v>
      </c>
      <c r="T1083" s="34" t="s">
        <v>4284</v>
      </c>
      <c r="U1083" s="34" t="s">
        <v>3458</v>
      </c>
      <c r="V1083" s="35">
        <v>0.3495967741935484</v>
      </c>
      <c r="W1083" s="13"/>
      <c r="X1083" s="34">
        <v>1079</v>
      </c>
      <c r="Y1083" s="34" t="s">
        <v>2248</v>
      </c>
      <c r="Z1083" s="34" t="s">
        <v>5505</v>
      </c>
      <c r="AA1083" s="35">
        <v>4.9697580645161298E-3</v>
      </c>
      <c r="AB1083" s="13"/>
      <c r="AC1083" s="34">
        <v>1079</v>
      </c>
      <c r="AD1083" s="34" t="s">
        <v>4573</v>
      </c>
      <c r="AE1083" s="34" t="s">
        <v>4832</v>
      </c>
      <c r="AF1083" s="35">
        <v>4.1129032258064517E-2</v>
      </c>
    </row>
    <row r="1084" spans="19:32" x14ac:dyDescent="0.35">
      <c r="S1084" s="34">
        <v>1080</v>
      </c>
      <c r="T1084" s="34" t="s">
        <v>4284</v>
      </c>
      <c r="U1084" s="34" t="s">
        <v>3458</v>
      </c>
      <c r="V1084" s="35">
        <v>314.64000000000004</v>
      </c>
      <c r="W1084" s="13"/>
      <c r="X1084" s="34">
        <v>1080</v>
      </c>
      <c r="Y1084" s="34" t="s">
        <v>2248</v>
      </c>
      <c r="Z1084" s="34" t="s">
        <v>3526</v>
      </c>
      <c r="AA1084" s="35">
        <v>5.7683999999999999E-3</v>
      </c>
      <c r="AB1084" s="13"/>
      <c r="AC1084" s="34">
        <v>1080</v>
      </c>
      <c r="AD1084" s="34" t="s">
        <v>4573</v>
      </c>
      <c r="AE1084" s="34" t="s">
        <v>4830</v>
      </c>
      <c r="AF1084" s="35">
        <v>0.29304435483870972</v>
      </c>
    </row>
    <row r="1085" spans="19:32" x14ac:dyDescent="0.35">
      <c r="S1085" s="34">
        <v>1081</v>
      </c>
      <c r="T1085" s="34" t="s">
        <v>4284</v>
      </c>
      <c r="U1085" s="34" t="s">
        <v>3457</v>
      </c>
      <c r="V1085" s="35">
        <v>0.19090725806451614</v>
      </c>
      <c r="W1085" s="13"/>
      <c r="X1085" s="34">
        <v>1081</v>
      </c>
      <c r="Y1085" s="34" t="s">
        <v>2248</v>
      </c>
      <c r="Z1085" s="34" t="s">
        <v>5036</v>
      </c>
      <c r="AA1085" s="35">
        <v>1.9776209677419354E-4</v>
      </c>
      <c r="AB1085" s="13"/>
      <c r="AC1085" s="34">
        <v>1081</v>
      </c>
      <c r="AD1085" s="34" t="s">
        <v>4573</v>
      </c>
      <c r="AE1085" s="34" t="s">
        <v>3411</v>
      </c>
      <c r="AF1085" s="35">
        <v>1.346975806451613E-2</v>
      </c>
    </row>
    <row r="1086" spans="19:32" x14ac:dyDescent="0.35">
      <c r="S1086" s="34">
        <v>1082</v>
      </c>
      <c r="T1086" s="34" t="s">
        <v>4284</v>
      </c>
      <c r="U1086" s="34" t="s">
        <v>3457</v>
      </c>
      <c r="V1086" s="35">
        <v>314.64000000000004</v>
      </c>
      <c r="W1086" s="13"/>
      <c r="X1086" s="34">
        <v>1082</v>
      </c>
      <c r="Y1086" s="34" t="s">
        <v>2248</v>
      </c>
      <c r="Z1086" s="34" t="s">
        <v>5504</v>
      </c>
      <c r="AA1086" s="35">
        <v>7.1290322580645174E-4</v>
      </c>
      <c r="AB1086" s="13"/>
      <c r="AC1086" s="34">
        <v>1082</v>
      </c>
      <c r="AD1086" s="34" t="s">
        <v>4573</v>
      </c>
      <c r="AE1086" s="34" t="s">
        <v>3411</v>
      </c>
      <c r="AF1086" s="35">
        <v>6.605599999999999E-2</v>
      </c>
    </row>
    <row r="1087" spans="19:32" x14ac:dyDescent="0.35">
      <c r="S1087" s="34">
        <v>1083</v>
      </c>
      <c r="T1087" s="34" t="s">
        <v>4284</v>
      </c>
      <c r="U1087" s="34" t="s">
        <v>3455</v>
      </c>
      <c r="V1087" s="35">
        <v>0.50725806451612909</v>
      </c>
      <c r="W1087" s="13"/>
      <c r="X1087" s="34">
        <v>1083</v>
      </c>
      <c r="Y1087" s="34" t="s">
        <v>2248</v>
      </c>
      <c r="Z1087" s="34" t="s">
        <v>5035</v>
      </c>
      <c r="AA1087" s="35">
        <v>9.9052419354838717E-4</v>
      </c>
      <c r="AB1087" s="13"/>
      <c r="AC1087" s="34">
        <v>1083</v>
      </c>
      <c r="AD1087" s="34" t="s">
        <v>4573</v>
      </c>
      <c r="AE1087" s="34" t="s">
        <v>4825</v>
      </c>
      <c r="AF1087" s="35">
        <v>1.7205645161290323E-2</v>
      </c>
    </row>
    <row r="1088" spans="19:32" x14ac:dyDescent="0.35">
      <c r="S1088" s="34">
        <v>1084</v>
      </c>
      <c r="T1088" s="34" t="s">
        <v>4284</v>
      </c>
      <c r="U1088" s="34" t="s">
        <v>3455</v>
      </c>
      <c r="V1088" s="35">
        <v>314.64000000000004</v>
      </c>
      <c r="W1088" s="13"/>
      <c r="X1088" s="34">
        <v>1084</v>
      </c>
      <c r="Y1088" s="34" t="s">
        <v>2248</v>
      </c>
      <c r="Z1088" s="34" t="s">
        <v>5031</v>
      </c>
      <c r="AA1088" s="35">
        <v>8.8084677419354848E-4</v>
      </c>
      <c r="AB1088" s="13"/>
      <c r="AC1088" s="34">
        <v>1084</v>
      </c>
      <c r="AD1088" s="34" t="s">
        <v>4573</v>
      </c>
      <c r="AE1088" s="34" t="s">
        <v>3409</v>
      </c>
      <c r="AF1088" s="35">
        <v>0</v>
      </c>
    </row>
    <row r="1089" spans="19:32" x14ac:dyDescent="0.35">
      <c r="S1089" s="34">
        <v>1085</v>
      </c>
      <c r="T1089" s="34" t="s">
        <v>4284</v>
      </c>
      <c r="U1089" s="34" t="s">
        <v>3453</v>
      </c>
      <c r="V1089" s="35">
        <v>0</v>
      </c>
      <c r="W1089" s="13"/>
      <c r="X1089" s="34">
        <v>1085</v>
      </c>
      <c r="Y1089" s="34" t="s">
        <v>2248</v>
      </c>
      <c r="Z1089" s="34" t="s">
        <v>5503</v>
      </c>
      <c r="AA1089" s="35">
        <v>5.9294354838709679E-3</v>
      </c>
      <c r="AB1089" s="13"/>
      <c r="AC1089" s="34">
        <v>1085</v>
      </c>
      <c r="AD1089" s="34" t="s">
        <v>4573</v>
      </c>
      <c r="AE1089" s="34" t="s">
        <v>3408</v>
      </c>
      <c r="AF1089" s="35">
        <v>5.9979838709677425E-3</v>
      </c>
    </row>
    <row r="1090" spans="19:32" x14ac:dyDescent="0.35">
      <c r="S1090" s="34">
        <v>1086</v>
      </c>
      <c r="T1090" s="34" t="s">
        <v>4284</v>
      </c>
      <c r="U1090" s="34" t="s">
        <v>3452</v>
      </c>
      <c r="V1090" s="35">
        <v>0</v>
      </c>
      <c r="W1090" s="13"/>
      <c r="X1090" s="34">
        <v>1086</v>
      </c>
      <c r="Y1090" s="34" t="s">
        <v>2248</v>
      </c>
      <c r="Z1090" s="34" t="s">
        <v>3524</v>
      </c>
      <c r="AA1090" s="35">
        <v>18.492000000000001</v>
      </c>
      <c r="AB1090" s="13"/>
      <c r="AC1090" s="34">
        <v>1086</v>
      </c>
      <c r="AD1090" s="34" t="s">
        <v>4573</v>
      </c>
      <c r="AE1090" s="34" t="s">
        <v>3408</v>
      </c>
      <c r="AF1090" s="35">
        <v>3.6984000000000003E-2</v>
      </c>
    </row>
    <row r="1091" spans="19:32" x14ac:dyDescent="0.35">
      <c r="S1091" s="34">
        <v>1087</v>
      </c>
      <c r="T1091" s="34" t="s">
        <v>4284</v>
      </c>
      <c r="U1091" s="34" t="s">
        <v>3451</v>
      </c>
      <c r="V1091" s="35">
        <v>0</v>
      </c>
      <c r="W1091" s="13"/>
      <c r="X1091" s="34">
        <v>1087</v>
      </c>
      <c r="Y1091" s="34" t="s">
        <v>2248</v>
      </c>
      <c r="Z1091" s="34" t="s">
        <v>3523</v>
      </c>
      <c r="AA1091" s="35">
        <v>0</v>
      </c>
      <c r="AB1091" s="13"/>
      <c r="AC1091" s="34">
        <v>1087</v>
      </c>
      <c r="AD1091" s="34" t="s">
        <v>4573</v>
      </c>
      <c r="AE1091" s="34" t="s">
        <v>4822</v>
      </c>
      <c r="AF1091" s="35">
        <v>1.5320564516129034E-2</v>
      </c>
    </row>
    <row r="1092" spans="19:32" x14ac:dyDescent="0.35">
      <c r="S1092" s="34">
        <v>1088</v>
      </c>
      <c r="T1092" s="34" t="s">
        <v>4284</v>
      </c>
      <c r="U1092" s="34" t="s">
        <v>4960</v>
      </c>
      <c r="V1092" s="35">
        <v>1.9604838709677419E-4</v>
      </c>
      <c r="W1092" s="13"/>
      <c r="X1092" s="34">
        <v>1088</v>
      </c>
      <c r="Y1092" s="34" t="s">
        <v>2248</v>
      </c>
      <c r="Z1092" s="34" t="s">
        <v>5502</v>
      </c>
      <c r="AA1092" s="35">
        <v>1.8542338709677419E-2</v>
      </c>
      <c r="AB1092" s="13"/>
      <c r="AC1092" s="34">
        <v>1088</v>
      </c>
      <c r="AD1092" s="34" t="s">
        <v>4573</v>
      </c>
      <c r="AE1092" s="34" t="s">
        <v>3406</v>
      </c>
      <c r="AF1092" s="35">
        <v>3.5302419354838714</v>
      </c>
    </row>
    <row r="1093" spans="19:32" x14ac:dyDescent="0.35">
      <c r="S1093" s="34">
        <v>1089</v>
      </c>
      <c r="T1093" s="34" t="s">
        <v>4284</v>
      </c>
      <c r="U1093" s="34" t="s">
        <v>3450</v>
      </c>
      <c r="V1093" s="35">
        <v>6.957661290322581E-2</v>
      </c>
      <c r="W1093" s="13"/>
      <c r="X1093" s="34">
        <v>1089</v>
      </c>
      <c r="Y1093" s="34" t="s">
        <v>2248</v>
      </c>
      <c r="Z1093" s="34" t="s">
        <v>5030</v>
      </c>
      <c r="AA1093" s="35">
        <v>2.7625000000000002E-3</v>
      </c>
      <c r="AB1093" s="13"/>
      <c r="AC1093" s="34">
        <v>1089</v>
      </c>
      <c r="AD1093" s="34" t="s">
        <v>4573</v>
      </c>
      <c r="AE1093" s="34" t="s">
        <v>3406</v>
      </c>
      <c r="AF1093" s="35">
        <v>677.12</v>
      </c>
    </row>
    <row r="1094" spans="19:32" x14ac:dyDescent="0.35">
      <c r="S1094" s="34">
        <v>1090</v>
      </c>
      <c r="T1094" s="34" t="s">
        <v>4284</v>
      </c>
      <c r="U1094" s="34" t="s">
        <v>3450</v>
      </c>
      <c r="V1094" s="35">
        <v>1.9872000000000001</v>
      </c>
      <c r="W1094" s="13"/>
      <c r="X1094" s="34">
        <v>1090</v>
      </c>
      <c r="Y1094" s="34" t="s">
        <v>2248</v>
      </c>
      <c r="Z1094" s="34" t="s">
        <v>3521</v>
      </c>
      <c r="AA1094" s="35">
        <v>1.0948</v>
      </c>
      <c r="AB1094" s="13"/>
      <c r="AC1094" s="34">
        <v>1090</v>
      </c>
      <c r="AD1094" s="34" t="s">
        <v>4573</v>
      </c>
      <c r="AE1094" s="34" t="s">
        <v>4817</v>
      </c>
      <c r="AF1094" s="35">
        <v>0.57237903225806452</v>
      </c>
    </row>
    <row r="1095" spans="19:32" x14ac:dyDescent="0.35">
      <c r="S1095" s="34">
        <v>1091</v>
      </c>
      <c r="T1095" s="34" t="s">
        <v>4284</v>
      </c>
      <c r="U1095" s="34" t="s">
        <v>3448</v>
      </c>
      <c r="V1095" s="35">
        <v>7.197580645161291E-3</v>
      </c>
      <c r="W1095" s="13"/>
      <c r="X1095" s="34">
        <v>1091</v>
      </c>
      <c r="Y1095" s="34" t="s">
        <v>2248</v>
      </c>
      <c r="Z1095" s="34" t="s">
        <v>5029</v>
      </c>
      <c r="AA1095" s="35">
        <v>1.6760080645161293E-2</v>
      </c>
      <c r="AB1095" s="13"/>
      <c r="AC1095" s="34">
        <v>1091</v>
      </c>
      <c r="AD1095" s="34" t="s">
        <v>4573</v>
      </c>
      <c r="AE1095" s="34" t="s">
        <v>3405</v>
      </c>
      <c r="AF1095" s="35">
        <v>1.8953629032258066</v>
      </c>
    </row>
    <row r="1096" spans="19:32" x14ac:dyDescent="0.35">
      <c r="S1096" s="34">
        <v>1092</v>
      </c>
      <c r="T1096" s="34" t="s">
        <v>4284</v>
      </c>
      <c r="U1096" s="34" t="s">
        <v>3448</v>
      </c>
      <c r="V1096" s="35">
        <v>1.8124000000000002</v>
      </c>
      <c r="W1096" s="13"/>
      <c r="X1096" s="34">
        <v>1092</v>
      </c>
      <c r="Y1096" s="34" t="s">
        <v>2248</v>
      </c>
      <c r="Z1096" s="34" t="s">
        <v>5501</v>
      </c>
      <c r="AA1096" s="35">
        <v>4.8669354838709681E-4</v>
      </c>
      <c r="AB1096" s="13"/>
      <c r="AC1096" s="34">
        <v>1092</v>
      </c>
      <c r="AD1096" s="34" t="s">
        <v>4573</v>
      </c>
      <c r="AE1096" s="34" t="s">
        <v>3405</v>
      </c>
      <c r="AF1096" s="35">
        <v>8.5928000000000004</v>
      </c>
    </row>
    <row r="1097" spans="19:32" x14ac:dyDescent="0.35">
      <c r="S1097" s="34">
        <v>1093</v>
      </c>
      <c r="T1097" s="34" t="s">
        <v>4284</v>
      </c>
      <c r="U1097" s="34" t="s">
        <v>4956</v>
      </c>
      <c r="V1097" s="35">
        <v>6.1008064516129036E-3</v>
      </c>
      <c r="W1097" s="13"/>
      <c r="X1097" s="34">
        <v>1093</v>
      </c>
      <c r="Y1097" s="34" t="s">
        <v>2248</v>
      </c>
      <c r="Z1097" s="34" t="s">
        <v>5028</v>
      </c>
      <c r="AA1097" s="35">
        <v>0.20358870967741938</v>
      </c>
      <c r="AB1097" s="13"/>
      <c r="AC1097" s="34">
        <v>1093</v>
      </c>
      <c r="AD1097" s="34" t="s">
        <v>4573</v>
      </c>
      <c r="AE1097" s="34" t="s">
        <v>3403</v>
      </c>
      <c r="AF1097" s="35">
        <v>1.2612903225806453</v>
      </c>
    </row>
    <row r="1098" spans="19:32" x14ac:dyDescent="0.35">
      <c r="S1098" s="34">
        <v>1094</v>
      </c>
      <c r="T1098" s="34" t="s">
        <v>4284</v>
      </c>
      <c r="U1098" s="34" t="s">
        <v>4955</v>
      </c>
      <c r="V1098" s="35">
        <v>1.559475806451613</v>
      </c>
      <c r="W1098" s="13"/>
      <c r="X1098" s="34">
        <v>1094</v>
      </c>
      <c r="Y1098" s="34" t="s">
        <v>2248</v>
      </c>
      <c r="Z1098" s="34" t="s">
        <v>5024</v>
      </c>
      <c r="AA1098" s="35">
        <v>5.9637096774193545E-4</v>
      </c>
      <c r="AB1098" s="13"/>
      <c r="AC1098" s="34">
        <v>1094</v>
      </c>
      <c r="AD1098" s="34" t="s">
        <v>4573</v>
      </c>
      <c r="AE1098" s="34" t="s">
        <v>3403</v>
      </c>
      <c r="AF1098" s="35">
        <v>0</v>
      </c>
    </row>
    <row r="1099" spans="19:32" x14ac:dyDescent="0.35">
      <c r="S1099" s="34">
        <v>1095</v>
      </c>
      <c r="T1099" s="34" t="s">
        <v>4284</v>
      </c>
      <c r="U1099" s="34" t="s">
        <v>4952</v>
      </c>
      <c r="V1099" s="35">
        <v>2.4677419354838712E-3</v>
      </c>
      <c r="W1099" s="13"/>
      <c r="X1099" s="34">
        <v>1095</v>
      </c>
      <c r="Y1099" s="34" t="s">
        <v>2248</v>
      </c>
      <c r="Z1099" s="34" t="s">
        <v>5500</v>
      </c>
      <c r="AA1099" s="35">
        <v>0.39758064516129038</v>
      </c>
      <c r="AB1099" s="13"/>
      <c r="AC1099" s="34">
        <v>1095</v>
      </c>
      <c r="AD1099" s="34" t="s">
        <v>4573</v>
      </c>
      <c r="AE1099" s="34" t="s">
        <v>4813</v>
      </c>
      <c r="AF1099" s="35">
        <v>7.3004032258064519E-4</v>
      </c>
    </row>
    <row r="1100" spans="19:32" x14ac:dyDescent="0.35">
      <c r="S1100" s="34">
        <v>1096</v>
      </c>
      <c r="T1100" s="34" t="s">
        <v>4284</v>
      </c>
      <c r="U1100" s="34" t="s">
        <v>4950</v>
      </c>
      <c r="V1100" s="35">
        <v>1.2338709677419356E-3</v>
      </c>
      <c r="W1100" s="13"/>
      <c r="X1100" s="34">
        <v>1096</v>
      </c>
      <c r="Y1100" s="34" t="s">
        <v>2248</v>
      </c>
      <c r="Z1100" s="34" t="s">
        <v>5019</v>
      </c>
      <c r="AA1100" s="35">
        <v>2.4540322580645164E-2</v>
      </c>
      <c r="AB1100" s="13"/>
      <c r="AC1100" s="34">
        <v>1096</v>
      </c>
      <c r="AD1100" s="34" t="s">
        <v>4573</v>
      </c>
      <c r="AE1100" s="34" t="s">
        <v>3402</v>
      </c>
      <c r="AF1100" s="35">
        <v>0.26220000000000004</v>
      </c>
    </row>
    <row r="1101" spans="19:32" x14ac:dyDescent="0.35">
      <c r="S1101" s="34">
        <v>1097</v>
      </c>
      <c r="T1101" s="34" t="s">
        <v>4284</v>
      </c>
      <c r="U1101" s="34" t="s">
        <v>4949</v>
      </c>
      <c r="V1101" s="35">
        <v>4.0786290322580646E-3</v>
      </c>
      <c r="W1101" s="13"/>
      <c r="X1101" s="34">
        <v>1097</v>
      </c>
      <c r="Y1101" s="34" t="s">
        <v>2248</v>
      </c>
      <c r="Z1101" s="34" t="s">
        <v>3520</v>
      </c>
      <c r="AA1101" s="35">
        <v>0</v>
      </c>
      <c r="AB1101" s="13"/>
      <c r="AC1101" s="34">
        <v>1097</v>
      </c>
      <c r="AD1101" s="34" t="s">
        <v>4573</v>
      </c>
      <c r="AE1101" s="34" t="s">
        <v>3400</v>
      </c>
      <c r="AF1101" s="35">
        <v>0.24931999999999999</v>
      </c>
    </row>
    <row r="1102" spans="19:32" x14ac:dyDescent="0.35">
      <c r="S1102" s="34">
        <v>1098</v>
      </c>
      <c r="T1102" s="34" t="s">
        <v>4284</v>
      </c>
      <c r="U1102" s="34" t="s">
        <v>4946</v>
      </c>
      <c r="V1102" s="35">
        <v>2.7556451612903227E-2</v>
      </c>
      <c r="W1102" s="13"/>
      <c r="X1102" s="34">
        <v>1098</v>
      </c>
      <c r="Y1102" s="34" t="s">
        <v>2248</v>
      </c>
      <c r="Z1102" s="34" t="s">
        <v>3520</v>
      </c>
      <c r="AA1102" s="35">
        <v>0.14703629032258064</v>
      </c>
      <c r="AB1102" s="13"/>
      <c r="AC1102" s="34">
        <v>1098</v>
      </c>
      <c r="AD1102" s="34" t="s">
        <v>4573</v>
      </c>
      <c r="AE1102" s="34" t="s">
        <v>3398</v>
      </c>
      <c r="AF1102" s="35">
        <v>0.27232000000000001</v>
      </c>
    </row>
    <row r="1103" spans="19:32" x14ac:dyDescent="0.35">
      <c r="S1103" s="34">
        <v>1099</v>
      </c>
      <c r="T1103" s="34" t="s">
        <v>4284</v>
      </c>
      <c r="U1103" s="34" t="s">
        <v>3447</v>
      </c>
      <c r="V1103" s="35">
        <v>11.224</v>
      </c>
      <c r="W1103" s="13"/>
      <c r="X1103" s="34">
        <v>1099</v>
      </c>
      <c r="Y1103" s="34" t="s">
        <v>2248</v>
      </c>
      <c r="Z1103" s="34" t="s">
        <v>5499</v>
      </c>
      <c r="AA1103" s="35">
        <v>0.43185483870967745</v>
      </c>
      <c r="AB1103" s="13"/>
      <c r="AC1103" s="34">
        <v>1099</v>
      </c>
      <c r="AD1103" s="34" t="s">
        <v>4573</v>
      </c>
      <c r="AE1103" s="34" t="s">
        <v>4810</v>
      </c>
      <c r="AF1103" s="35">
        <v>1.3264112903225808E-2</v>
      </c>
    </row>
    <row r="1104" spans="19:32" x14ac:dyDescent="0.35">
      <c r="S1104" s="34">
        <v>1100</v>
      </c>
      <c r="T1104" s="34" t="s">
        <v>4284</v>
      </c>
      <c r="U1104" s="34" t="s">
        <v>4943</v>
      </c>
      <c r="V1104" s="35">
        <v>0.49697580645161293</v>
      </c>
      <c r="W1104" s="13"/>
      <c r="X1104" s="34">
        <v>1100</v>
      </c>
      <c r="Y1104" s="34" t="s">
        <v>2248</v>
      </c>
      <c r="Z1104" s="34" t="s">
        <v>3518</v>
      </c>
      <c r="AA1104" s="35">
        <v>1.7112000000000001</v>
      </c>
      <c r="AB1104" s="13"/>
      <c r="AC1104" s="34">
        <v>1100</v>
      </c>
      <c r="AD1104" s="34" t="s">
        <v>4573</v>
      </c>
      <c r="AE1104" s="34" t="s">
        <v>4808</v>
      </c>
      <c r="AF1104" s="35">
        <v>8.8084677419354839E-3</v>
      </c>
    </row>
    <row r="1105" spans="19:32" x14ac:dyDescent="0.35">
      <c r="S1105" s="34">
        <v>1101</v>
      </c>
      <c r="T1105" s="34" t="s">
        <v>4284</v>
      </c>
      <c r="U1105" s="34" t="s">
        <v>3446</v>
      </c>
      <c r="V1105" s="35">
        <v>0.18850806451612906</v>
      </c>
      <c r="W1105" s="13"/>
      <c r="X1105" s="34">
        <v>1101</v>
      </c>
      <c r="Y1105" s="34" t="s">
        <v>2248</v>
      </c>
      <c r="Z1105" s="34" t="s">
        <v>3518</v>
      </c>
      <c r="AA1105" s="35">
        <v>6.2721774193548398E-4</v>
      </c>
      <c r="AB1105" s="13"/>
      <c r="AC1105" s="34">
        <v>1101</v>
      </c>
      <c r="AD1105" s="34" t="s">
        <v>4573</v>
      </c>
      <c r="AE1105" s="34" t="s">
        <v>4805</v>
      </c>
      <c r="AF1105" s="35">
        <v>1.1516129032258066E-2</v>
      </c>
    </row>
    <row r="1106" spans="19:32" x14ac:dyDescent="0.35">
      <c r="S1106" s="34">
        <v>1102</v>
      </c>
      <c r="T1106" s="34" t="s">
        <v>4284</v>
      </c>
      <c r="U1106" s="34" t="s">
        <v>3446</v>
      </c>
      <c r="V1106" s="35">
        <v>0</v>
      </c>
      <c r="W1106" s="13"/>
      <c r="X1106" s="34">
        <v>1102</v>
      </c>
      <c r="Y1106" s="34" t="s">
        <v>2248</v>
      </c>
      <c r="Z1106" s="34" t="s">
        <v>5498</v>
      </c>
      <c r="AA1106" s="35">
        <v>9.2883064516129047E-3</v>
      </c>
      <c r="AB1106" s="13"/>
      <c r="AC1106" s="34">
        <v>1102</v>
      </c>
      <c r="AD1106" s="34" t="s">
        <v>4573</v>
      </c>
      <c r="AE1106" s="34" t="s">
        <v>4802</v>
      </c>
      <c r="AF1106" s="35">
        <v>1.878225806451613E-3</v>
      </c>
    </row>
    <row r="1107" spans="19:32" x14ac:dyDescent="0.35">
      <c r="S1107" s="34">
        <v>1103</v>
      </c>
      <c r="T1107" s="34" t="s">
        <v>4284</v>
      </c>
      <c r="U1107" s="34" t="s">
        <v>4937</v>
      </c>
      <c r="V1107" s="35">
        <v>1.1756048387096775E-3</v>
      </c>
      <c r="W1107" s="13"/>
      <c r="X1107" s="34">
        <v>1103</v>
      </c>
      <c r="Y1107" s="34" t="s">
        <v>2248</v>
      </c>
      <c r="Z1107" s="34" t="s">
        <v>3517</v>
      </c>
      <c r="AA1107" s="35">
        <v>0</v>
      </c>
      <c r="AB1107" s="13"/>
      <c r="AC1107" s="34">
        <v>1103</v>
      </c>
      <c r="AD1107" s="34" t="s">
        <v>4573</v>
      </c>
      <c r="AE1107" s="34" t="s">
        <v>4800</v>
      </c>
      <c r="AF1107" s="35">
        <v>5.7580645161290328E-2</v>
      </c>
    </row>
    <row r="1108" spans="19:32" x14ac:dyDescent="0.35">
      <c r="S1108" s="34">
        <v>1104</v>
      </c>
      <c r="T1108" s="34" t="s">
        <v>4284</v>
      </c>
      <c r="U1108" s="34" t="s">
        <v>3444</v>
      </c>
      <c r="V1108" s="35">
        <v>1.5149193548387098E-2</v>
      </c>
      <c r="W1108" s="13"/>
      <c r="X1108" s="34">
        <v>1104</v>
      </c>
      <c r="Y1108" s="34" t="s">
        <v>2248</v>
      </c>
      <c r="Z1108" s="34" t="s">
        <v>3517</v>
      </c>
      <c r="AA1108" s="35">
        <v>5.826612903225807E-4</v>
      </c>
      <c r="AB1108" s="13"/>
      <c r="AC1108" s="34">
        <v>1104</v>
      </c>
      <c r="AD1108" s="34" t="s">
        <v>4573</v>
      </c>
      <c r="AE1108" s="34" t="s">
        <v>4797</v>
      </c>
      <c r="AF1108" s="35">
        <v>6.2036290322580647E-3</v>
      </c>
    </row>
    <row r="1109" spans="19:32" x14ac:dyDescent="0.35">
      <c r="S1109" s="34">
        <v>1105</v>
      </c>
      <c r="T1109" s="34" t="s">
        <v>4284</v>
      </c>
      <c r="U1109" s="34" t="s">
        <v>3444</v>
      </c>
      <c r="V1109" s="35">
        <v>3.9744000000000002</v>
      </c>
      <c r="W1109" s="13"/>
      <c r="X1109" s="34">
        <v>1105</v>
      </c>
      <c r="Y1109" s="34" t="s">
        <v>2248</v>
      </c>
      <c r="Z1109" s="34" t="s">
        <v>5497</v>
      </c>
      <c r="AA1109" s="35">
        <v>6.0665322580645163E-3</v>
      </c>
      <c r="AB1109" s="13"/>
      <c r="AC1109" s="34">
        <v>1105</v>
      </c>
      <c r="AD1109" s="34" t="s">
        <v>4573</v>
      </c>
      <c r="AE1109" s="34" t="s">
        <v>4795</v>
      </c>
      <c r="AF1109" s="35">
        <v>1.1379032258064517E-2</v>
      </c>
    </row>
    <row r="1110" spans="19:32" x14ac:dyDescent="0.35">
      <c r="S1110" s="34">
        <v>1106</v>
      </c>
      <c r="T1110" s="34" t="s">
        <v>4284</v>
      </c>
      <c r="U1110" s="34" t="s">
        <v>3443</v>
      </c>
      <c r="V1110" s="35">
        <v>0</v>
      </c>
      <c r="W1110" s="13"/>
      <c r="X1110" s="34">
        <v>1106</v>
      </c>
      <c r="Y1110" s="34" t="s">
        <v>2248</v>
      </c>
      <c r="Z1110" s="34" t="s">
        <v>3515</v>
      </c>
      <c r="AA1110" s="35">
        <v>0.64767999999999992</v>
      </c>
      <c r="AB1110" s="13"/>
      <c r="AC1110" s="34">
        <v>1106</v>
      </c>
      <c r="AD1110" s="34" t="s">
        <v>4573</v>
      </c>
      <c r="AE1110" s="34" t="s">
        <v>4792</v>
      </c>
      <c r="AF1110" s="35">
        <v>2.8721774193548387E-3</v>
      </c>
    </row>
    <row r="1111" spans="19:32" x14ac:dyDescent="0.35">
      <c r="S1111" s="34">
        <v>1107</v>
      </c>
      <c r="T1111" s="34" t="s">
        <v>4284</v>
      </c>
      <c r="U1111" s="34" t="s">
        <v>4936</v>
      </c>
      <c r="V1111" s="35">
        <v>0.94254032258064524</v>
      </c>
      <c r="W1111" s="13"/>
      <c r="X1111" s="34">
        <v>1107</v>
      </c>
      <c r="Y1111" s="34" t="s">
        <v>2248</v>
      </c>
      <c r="Z1111" s="34" t="s">
        <v>3515</v>
      </c>
      <c r="AA1111" s="35">
        <v>1.891935483870968E-3</v>
      </c>
      <c r="AB1111" s="13"/>
      <c r="AC1111" s="34">
        <v>1107</v>
      </c>
      <c r="AD1111" s="34" t="s">
        <v>4573</v>
      </c>
      <c r="AE1111" s="34" t="s">
        <v>4789</v>
      </c>
      <c r="AF1111" s="35">
        <v>1.7514112903225808E-2</v>
      </c>
    </row>
    <row r="1112" spans="19:32" x14ac:dyDescent="0.35">
      <c r="S1112" s="34">
        <v>1108</v>
      </c>
      <c r="T1112" s="34" t="s">
        <v>4284</v>
      </c>
      <c r="U1112" s="34" t="s">
        <v>3442</v>
      </c>
      <c r="V1112" s="35">
        <v>3440.7999999999997</v>
      </c>
      <c r="W1112" s="13"/>
      <c r="X1112" s="34">
        <v>1108</v>
      </c>
      <c r="Y1112" s="34" t="s">
        <v>2248</v>
      </c>
      <c r="Z1112" s="34" t="s">
        <v>3514</v>
      </c>
      <c r="AA1112" s="35">
        <v>0</v>
      </c>
      <c r="AB1112" s="13"/>
      <c r="AC1112" s="34">
        <v>1108</v>
      </c>
      <c r="AD1112" s="34" t="s">
        <v>4573</v>
      </c>
      <c r="AE1112" s="34" t="s">
        <v>4786</v>
      </c>
      <c r="AF1112" s="35">
        <v>4.1814516129032257E-5</v>
      </c>
    </row>
    <row r="1113" spans="19:32" x14ac:dyDescent="0.35">
      <c r="S1113" s="34">
        <v>1109</v>
      </c>
      <c r="T1113" s="34" t="s">
        <v>4284</v>
      </c>
      <c r="U1113" s="34" t="s">
        <v>4934</v>
      </c>
      <c r="V1113" s="35">
        <v>0.41814516129032259</v>
      </c>
      <c r="W1113" s="13"/>
      <c r="X1113" s="34">
        <v>1109</v>
      </c>
      <c r="Y1113" s="34" t="s">
        <v>2248</v>
      </c>
      <c r="Z1113" s="34" t="s">
        <v>5496</v>
      </c>
      <c r="AA1113" s="35">
        <v>6.9919354838709679E-3</v>
      </c>
      <c r="AB1113" s="13"/>
      <c r="AC1113" s="34">
        <v>1109</v>
      </c>
      <c r="AD1113" s="34" t="s">
        <v>4573</v>
      </c>
      <c r="AE1113" s="34" t="s">
        <v>3397</v>
      </c>
      <c r="AF1113" s="35">
        <v>0</v>
      </c>
    </row>
    <row r="1114" spans="19:32" x14ac:dyDescent="0.35">
      <c r="S1114" s="34">
        <v>1110</v>
      </c>
      <c r="T1114" s="34" t="s">
        <v>4284</v>
      </c>
      <c r="U1114" s="34" t="s">
        <v>4931</v>
      </c>
      <c r="V1114" s="35">
        <v>3.3622983870967745E-6</v>
      </c>
      <c r="W1114" s="13"/>
      <c r="X1114" s="34">
        <v>1110</v>
      </c>
      <c r="Y1114" s="34" t="s">
        <v>2248</v>
      </c>
      <c r="Z1114" s="34" t="s">
        <v>3512</v>
      </c>
      <c r="AA1114" s="35">
        <v>4.5447999999999996E-5</v>
      </c>
      <c r="AB1114" s="13"/>
      <c r="AC1114" s="34">
        <v>1110</v>
      </c>
      <c r="AD1114" s="34" t="s">
        <v>4573</v>
      </c>
      <c r="AE1114" s="34" t="s">
        <v>4784</v>
      </c>
      <c r="AF1114" s="35">
        <v>4.4899193548387102E-4</v>
      </c>
    </row>
    <row r="1115" spans="19:32" x14ac:dyDescent="0.35">
      <c r="S1115" s="34">
        <v>1111</v>
      </c>
      <c r="T1115" s="34" t="s">
        <v>4284</v>
      </c>
      <c r="U1115" s="34" t="s">
        <v>4930</v>
      </c>
      <c r="V1115" s="35">
        <v>4.5927419354838714E-4</v>
      </c>
      <c r="W1115" s="13"/>
      <c r="X1115" s="34">
        <v>1111</v>
      </c>
      <c r="Y1115" s="34" t="s">
        <v>2248</v>
      </c>
      <c r="Z1115" s="34" t="s">
        <v>3512</v>
      </c>
      <c r="AA1115" s="35">
        <v>1.4977822580645163E-6</v>
      </c>
      <c r="AB1115" s="13"/>
      <c r="AC1115" s="34">
        <v>1111</v>
      </c>
      <c r="AD1115" s="34" t="s">
        <v>4573</v>
      </c>
      <c r="AE1115" s="34" t="s">
        <v>4781</v>
      </c>
      <c r="AF1115" s="35">
        <v>5.0383064516129035E-3</v>
      </c>
    </row>
    <row r="1116" spans="19:32" x14ac:dyDescent="0.35">
      <c r="S1116" s="34">
        <v>1112</v>
      </c>
      <c r="T1116" s="34" t="s">
        <v>4284</v>
      </c>
      <c r="U1116" s="34" t="s">
        <v>4929</v>
      </c>
      <c r="V1116" s="35">
        <v>1.4977822580645162E-2</v>
      </c>
      <c r="W1116" s="13"/>
      <c r="X1116" s="34">
        <v>1112</v>
      </c>
      <c r="Y1116" s="34" t="s">
        <v>2248</v>
      </c>
      <c r="Z1116" s="34" t="s">
        <v>5495</v>
      </c>
      <c r="AA1116" s="35">
        <v>2.8207661290322581E-3</v>
      </c>
      <c r="AB1116" s="13"/>
      <c r="AC1116" s="34">
        <v>1112</v>
      </c>
      <c r="AD1116" s="34" t="s">
        <v>4573</v>
      </c>
      <c r="AE1116" s="34" t="s">
        <v>4778</v>
      </c>
      <c r="AF1116" s="35">
        <v>8.6028225806451618E-5</v>
      </c>
    </row>
    <row r="1117" spans="19:32" x14ac:dyDescent="0.35">
      <c r="S1117" s="34">
        <v>1113</v>
      </c>
      <c r="T1117" s="34" t="s">
        <v>4284</v>
      </c>
      <c r="U1117" s="34" t="s">
        <v>3441</v>
      </c>
      <c r="V1117" s="35">
        <v>4.6643999999999997</v>
      </c>
      <c r="W1117" s="13"/>
      <c r="X1117" s="34">
        <v>1113</v>
      </c>
      <c r="Y1117" s="34" t="s">
        <v>2248</v>
      </c>
      <c r="Z1117" s="34" t="s">
        <v>5016</v>
      </c>
      <c r="AA1117" s="35">
        <v>2.4403225806451616E-4</v>
      </c>
      <c r="AB1117" s="13"/>
      <c r="AC1117" s="34">
        <v>1113</v>
      </c>
      <c r="AD1117" s="34" t="s">
        <v>4573</v>
      </c>
      <c r="AE1117" s="34" t="s">
        <v>4776</v>
      </c>
      <c r="AF1117" s="35">
        <v>0.88084677419354851</v>
      </c>
    </row>
    <row r="1118" spans="19:32" x14ac:dyDescent="0.35">
      <c r="S1118" s="34">
        <v>1114</v>
      </c>
      <c r="T1118" s="34" t="s">
        <v>4284</v>
      </c>
      <c r="U1118" s="34" t="s">
        <v>3439</v>
      </c>
      <c r="V1118" s="35">
        <v>0</v>
      </c>
      <c r="W1118" s="13"/>
      <c r="X1118" s="34">
        <v>1114</v>
      </c>
      <c r="Y1118" s="34" t="s">
        <v>2248</v>
      </c>
      <c r="Z1118" s="34" t="s">
        <v>5015</v>
      </c>
      <c r="AA1118" s="35">
        <v>2.8858870967741937E-4</v>
      </c>
      <c r="AB1118" s="13"/>
      <c r="AC1118" s="34">
        <v>1114</v>
      </c>
      <c r="AD1118" s="34" t="s">
        <v>4573</v>
      </c>
      <c r="AE1118" s="34" t="s">
        <v>4773</v>
      </c>
      <c r="AF1118" s="35">
        <v>7.6774193548387104E-2</v>
      </c>
    </row>
    <row r="1119" spans="19:32" x14ac:dyDescent="0.35">
      <c r="S1119" s="34">
        <v>1115</v>
      </c>
      <c r="T1119" s="34" t="s">
        <v>4284</v>
      </c>
      <c r="U1119" s="34" t="s">
        <v>3438</v>
      </c>
      <c r="V1119" s="35">
        <v>0.37358870967741936</v>
      </c>
      <c r="W1119" s="13"/>
      <c r="X1119" s="34">
        <v>1115</v>
      </c>
      <c r="Y1119" s="34" t="s">
        <v>2248</v>
      </c>
      <c r="Z1119" s="34" t="s">
        <v>5014</v>
      </c>
      <c r="AA1119" s="35">
        <v>8.7056451612903235E-2</v>
      </c>
      <c r="AB1119" s="13"/>
      <c r="AC1119" s="34">
        <v>1115</v>
      </c>
      <c r="AD1119" s="34" t="s">
        <v>4573</v>
      </c>
      <c r="AE1119" s="34" t="s">
        <v>4770</v>
      </c>
      <c r="AF1119" s="35">
        <v>0.48669354838709683</v>
      </c>
    </row>
    <row r="1120" spans="19:32" x14ac:dyDescent="0.35">
      <c r="S1120" s="34">
        <v>1116</v>
      </c>
      <c r="T1120" s="34" t="s">
        <v>4284</v>
      </c>
      <c r="U1120" s="34" t="s">
        <v>3438</v>
      </c>
      <c r="V1120" s="35">
        <v>0</v>
      </c>
      <c r="W1120" s="13"/>
      <c r="X1120" s="34">
        <v>1116</v>
      </c>
      <c r="Y1120" s="34" t="s">
        <v>2248</v>
      </c>
      <c r="Z1120" s="34" t="s">
        <v>5494</v>
      </c>
      <c r="AA1120" s="35">
        <v>1.4703629032258064E-3</v>
      </c>
      <c r="AB1120" s="13"/>
      <c r="AC1120" s="34">
        <v>1116</v>
      </c>
      <c r="AD1120" s="34" t="s">
        <v>4573</v>
      </c>
      <c r="AE1120" s="34" t="s">
        <v>3395</v>
      </c>
      <c r="AF1120" s="35">
        <v>0.35987903225806456</v>
      </c>
    </row>
    <row r="1121" spans="19:32" x14ac:dyDescent="0.35">
      <c r="S1121" s="34">
        <v>1117</v>
      </c>
      <c r="T1121" s="34" t="s">
        <v>4284</v>
      </c>
      <c r="U1121" s="34" t="s">
        <v>4928</v>
      </c>
      <c r="V1121" s="35">
        <v>3.4274193548387101E-4</v>
      </c>
      <c r="W1121" s="13"/>
      <c r="X1121" s="34">
        <v>1117</v>
      </c>
      <c r="Y1121" s="34" t="s">
        <v>2248</v>
      </c>
      <c r="Z1121" s="34" t="s">
        <v>3510</v>
      </c>
      <c r="AA1121" s="35">
        <v>1.1867999999999999</v>
      </c>
      <c r="AB1121" s="13"/>
      <c r="AC1121" s="34">
        <v>1117</v>
      </c>
      <c r="AD1121" s="34" t="s">
        <v>4573</v>
      </c>
      <c r="AE1121" s="34" t="s">
        <v>3395</v>
      </c>
      <c r="AF1121" s="35">
        <v>9117.2000000000007</v>
      </c>
    </row>
    <row r="1122" spans="19:32" x14ac:dyDescent="0.35">
      <c r="S1122" s="34">
        <v>1118</v>
      </c>
      <c r="T1122" s="34" t="s">
        <v>4284</v>
      </c>
      <c r="U1122" s="34" t="s">
        <v>4927</v>
      </c>
      <c r="V1122" s="35">
        <v>0.1617741935483871</v>
      </c>
      <c r="W1122" s="13"/>
      <c r="X1122" s="34">
        <v>1118</v>
      </c>
      <c r="Y1122" s="34" t="s">
        <v>2248</v>
      </c>
      <c r="Z1122" s="34" t="s">
        <v>3509</v>
      </c>
      <c r="AA1122" s="35">
        <v>11316</v>
      </c>
      <c r="AB1122" s="13"/>
      <c r="AC1122" s="34">
        <v>1118</v>
      </c>
      <c r="AD1122" s="34" t="s">
        <v>4573</v>
      </c>
      <c r="AE1122" s="34" t="s">
        <v>3394</v>
      </c>
      <c r="AF1122" s="35">
        <v>7.4888000000000003</v>
      </c>
    </row>
    <row r="1123" spans="19:32" x14ac:dyDescent="0.35">
      <c r="S1123" s="34">
        <v>1119</v>
      </c>
      <c r="T1123" s="34" t="s">
        <v>4284</v>
      </c>
      <c r="U1123" s="34" t="s">
        <v>4926</v>
      </c>
      <c r="V1123" s="35">
        <v>6.6491935483870967E-4</v>
      </c>
      <c r="W1123" s="13"/>
      <c r="X1123" s="34">
        <v>1119</v>
      </c>
      <c r="Y1123" s="34" t="s">
        <v>2248</v>
      </c>
      <c r="Z1123" s="34" t="s">
        <v>5493</v>
      </c>
      <c r="AA1123" s="35">
        <v>2.6699596774193554E-3</v>
      </c>
      <c r="AB1123" s="13"/>
      <c r="AC1123" s="34">
        <v>1119</v>
      </c>
      <c r="AD1123" s="34" t="s">
        <v>4573</v>
      </c>
      <c r="AE1123" s="34" t="s">
        <v>3392</v>
      </c>
      <c r="AF1123" s="35">
        <v>0.73231999999999997</v>
      </c>
    </row>
    <row r="1124" spans="19:32" x14ac:dyDescent="0.35">
      <c r="S1124" s="34">
        <v>1120</v>
      </c>
      <c r="T1124" s="34" t="s">
        <v>4284</v>
      </c>
      <c r="U1124" s="34" t="s">
        <v>4925</v>
      </c>
      <c r="V1124" s="35">
        <v>8.4314516129032263E-2</v>
      </c>
      <c r="W1124" s="13"/>
      <c r="X1124" s="34">
        <v>1120</v>
      </c>
      <c r="Y1124" s="34" t="s">
        <v>2248</v>
      </c>
      <c r="Z1124" s="34" t="s">
        <v>3507</v>
      </c>
      <c r="AA1124" s="35">
        <v>8979.1999999999989</v>
      </c>
      <c r="AB1124" s="13"/>
      <c r="AC1124" s="34">
        <v>1120</v>
      </c>
      <c r="AD1124" s="34" t="s">
        <v>4573</v>
      </c>
      <c r="AE1124" s="34" t="s">
        <v>3391</v>
      </c>
      <c r="AF1124" s="35">
        <v>0.55524193548387102</v>
      </c>
    </row>
    <row r="1125" spans="19:32" x14ac:dyDescent="0.35">
      <c r="S1125" s="34">
        <v>1121</v>
      </c>
      <c r="T1125" s="34" t="s">
        <v>4284</v>
      </c>
      <c r="U1125" s="34" t="s">
        <v>4924</v>
      </c>
      <c r="V1125" s="35">
        <v>9.9052419354838713E-3</v>
      </c>
      <c r="W1125" s="13"/>
      <c r="X1125" s="34">
        <v>1121</v>
      </c>
      <c r="Y1125" s="34" t="s">
        <v>2248</v>
      </c>
      <c r="Z1125" s="34" t="s">
        <v>3507</v>
      </c>
      <c r="AA1125" s="35">
        <v>0.46955645161290327</v>
      </c>
      <c r="AB1125" s="13"/>
      <c r="AC1125" s="34">
        <v>1121</v>
      </c>
      <c r="AD1125" s="34" t="s">
        <v>4573</v>
      </c>
      <c r="AE1125" s="34" t="s">
        <v>3391</v>
      </c>
      <c r="AF1125" s="35">
        <v>34.96</v>
      </c>
    </row>
    <row r="1126" spans="19:32" x14ac:dyDescent="0.35">
      <c r="S1126" s="34">
        <v>1122</v>
      </c>
      <c r="T1126" s="34" t="s">
        <v>4284</v>
      </c>
      <c r="U1126" s="34" t="s">
        <v>4923</v>
      </c>
      <c r="V1126" s="35">
        <v>4.3185483870967746E-4</v>
      </c>
      <c r="W1126" s="13"/>
      <c r="X1126" s="34">
        <v>1122</v>
      </c>
      <c r="Y1126" s="34" t="s">
        <v>2248</v>
      </c>
      <c r="Z1126" s="34" t="s">
        <v>5492</v>
      </c>
      <c r="AA1126" s="35">
        <v>7.7802419354838712E-3</v>
      </c>
      <c r="AB1126" s="13"/>
      <c r="AC1126" s="34">
        <v>1122</v>
      </c>
      <c r="AD1126" s="34" t="s">
        <v>4573</v>
      </c>
      <c r="AE1126" s="34" t="s">
        <v>3389</v>
      </c>
      <c r="AF1126" s="35">
        <v>0.59294354838709684</v>
      </c>
    </row>
    <row r="1127" spans="19:32" x14ac:dyDescent="0.35">
      <c r="S1127" s="34">
        <v>1123</v>
      </c>
      <c r="T1127" s="34" t="s">
        <v>4284</v>
      </c>
      <c r="U1127" s="34" t="s">
        <v>4922</v>
      </c>
      <c r="V1127" s="35">
        <v>1.6622983870967743E-2</v>
      </c>
      <c r="W1127" s="13"/>
      <c r="X1127" s="34">
        <v>1123</v>
      </c>
      <c r="Y1127" s="34" t="s">
        <v>2248</v>
      </c>
      <c r="Z1127" s="34" t="s">
        <v>3506</v>
      </c>
      <c r="AA1127" s="35">
        <v>0</v>
      </c>
      <c r="AB1127" s="13"/>
      <c r="AC1127" s="34">
        <v>1123</v>
      </c>
      <c r="AD1127" s="34" t="s">
        <v>4573</v>
      </c>
      <c r="AE1127" s="34" t="s">
        <v>3389</v>
      </c>
      <c r="AF1127" s="35">
        <v>17.204000000000001</v>
      </c>
    </row>
    <row r="1128" spans="19:32" x14ac:dyDescent="0.35">
      <c r="S1128" s="34">
        <v>1124</v>
      </c>
      <c r="T1128" s="34" t="s">
        <v>4284</v>
      </c>
      <c r="U1128" s="34" t="s">
        <v>4921</v>
      </c>
      <c r="V1128" s="35">
        <v>4.6612903225806451E-4</v>
      </c>
      <c r="W1128" s="13"/>
      <c r="X1128" s="34">
        <v>1124</v>
      </c>
      <c r="Y1128" s="34" t="s">
        <v>2248</v>
      </c>
      <c r="Z1128" s="34" t="s">
        <v>5013</v>
      </c>
      <c r="AA1128" s="35">
        <v>4.7298387096774197E-2</v>
      </c>
      <c r="AB1128" s="13"/>
      <c r="AC1128" s="34">
        <v>1124</v>
      </c>
      <c r="AD1128" s="34" t="s">
        <v>4573</v>
      </c>
      <c r="AE1128" s="34" t="s">
        <v>3388</v>
      </c>
      <c r="AF1128" s="35">
        <v>83.168000000000006</v>
      </c>
    </row>
    <row r="1129" spans="19:32" x14ac:dyDescent="0.35">
      <c r="S1129" s="34">
        <v>1125</v>
      </c>
      <c r="T1129" s="34" t="s">
        <v>4284</v>
      </c>
      <c r="U1129" s="34" t="s">
        <v>4920</v>
      </c>
      <c r="V1129" s="35">
        <v>1.4120967741935485E-4</v>
      </c>
      <c r="W1129" s="13"/>
      <c r="X1129" s="34">
        <v>1125</v>
      </c>
      <c r="Y1129" s="34" t="s">
        <v>2248</v>
      </c>
      <c r="Z1129" s="34" t="s">
        <v>3504</v>
      </c>
      <c r="AA1129" s="35">
        <v>0</v>
      </c>
      <c r="AB1129" s="13"/>
      <c r="AC1129" s="34">
        <v>1125</v>
      </c>
      <c r="AD1129" s="34" t="s">
        <v>4573</v>
      </c>
      <c r="AE1129" s="34" t="s">
        <v>4763</v>
      </c>
      <c r="AF1129" s="35">
        <v>0.41471774193548389</v>
      </c>
    </row>
    <row r="1130" spans="19:32" x14ac:dyDescent="0.35">
      <c r="S1130" s="34">
        <v>1126</v>
      </c>
      <c r="T1130" s="34" t="s">
        <v>4284</v>
      </c>
      <c r="U1130" s="34" t="s">
        <v>4919</v>
      </c>
      <c r="V1130" s="35">
        <v>1.1927419354838709E-5</v>
      </c>
      <c r="W1130" s="13"/>
      <c r="X1130" s="34">
        <v>1126</v>
      </c>
      <c r="Y1130" s="34" t="s">
        <v>2248</v>
      </c>
      <c r="Z1130" s="34" t="s">
        <v>5491</v>
      </c>
      <c r="AA1130" s="35">
        <v>9.6653225806451627E-3</v>
      </c>
      <c r="AB1130" s="13"/>
      <c r="AC1130" s="34">
        <v>1126</v>
      </c>
      <c r="AD1130" s="34" t="s">
        <v>4573</v>
      </c>
      <c r="AE1130" s="34" t="s">
        <v>3387</v>
      </c>
      <c r="AF1130" s="35">
        <v>187.68</v>
      </c>
    </row>
    <row r="1131" spans="19:32" x14ac:dyDescent="0.35">
      <c r="S1131" s="34">
        <v>1127</v>
      </c>
      <c r="T1131" s="34" t="s">
        <v>4284</v>
      </c>
      <c r="U1131" s="34" t="s">
        <v>4918</v>
      </c>
      <c r="V1131" s="35">
        <v>0.24540322580645163</v>
      </c>
      <c r="W1131" s="13"/>
      <c r="X1131" s="34">
        <v>1127</v>
      </c>
      <c r="Y1131" s="34" t="s">
        <v>2248</v>
      </c>
      <c r="Z1131" s="34" t="s">
        <v>5012</v>
      </c>
      <c r="AA1131" s="35">
        <v>7.4375000000000004E-6</v>
      </c>
      <c r="AB1131" s="13"/>
      <c r="AC1131" s="34">
        <v>1127</v>
      </c>
      <c r="AD1131" s="34" t="s">
        <v>4573</v>
      </c>
      <c r="AE1131" s="34" t="s">
        <v>3386</v>
      </c>
      <c r="AF1131" s="35">
        <v>46.270161290322584</v>
      </c>
    </row>
    <row r="1132" spans="19:32" x14ac:dyDescent="0.35">
      <c r="S1132" s="34">
        <v>1128</v>
      </c>
      <c r="T1132" s="34" t="s">
        <v>4284</v>
      </c>
      <c r="U1132" s="34" t="s">
        <v>4916</v>
      </c>
      <c r="V1132" s="35">
        <v>2.89616935483871</v>
      </c>
      <c r="W1132" s="13"/>
      <c r="X1132" s="34">
        <v>1128</v>
      </c>
      <c r="Y1132" s="34" t="s">
        <v>2248</v>
      </c>
      <c r="Z1132" s="34" t="s">
        <v>5011</v>
      </c>
      <c r="AA1132" s="35">
        <v>2.2209677419354841E-6</v>
      </c>
      <c r="AB1132" s="13"/>
      <c r="AC1132" s="34">
        <v>1128</v>
      </c>
      <c r="AD1132" s="34" t="s">
        <v>4573</v>
      </c>
      <c r="AE1132" s="34" t="s">
        <v>3386</v>
      </c>
      <c r="AF1132" s="35">
        <v>687.24</v>
      </c>
    </row>
    <row r="1133" spans="19:32" x14ac:dyDescent="0.35">
      <c r="S1133" s="34">
        <v>1129</v>
      </c>
      <c r="T1133" s="34" t="s">
        <v>4284</v>
      </c>
      <c r="U1133" s="34" t="s">
        <v>4915</v>
      </c>
      <c r="V1133" s="35">
        <v>1.1653225806451614E-3</v>
      </c>
      <c r="W1133" s="13"/>
      <c r="X1133" s="34">
        <v>1129</v>
      </c>
      <c r="Y1133" s="34" t="s">
        <v>2248</v>
      </c>
      <c r="Z1133" s="34" t="s">
        <v>5490</v>
      </c>
      <c r="AA1133" s="35">
        <v>8.7741935483870976E-5</v>
      </c>
      <c r="AB1133" s="13"/>
      <c r="AC1133" s="34">
        <v>1129</v>
      </c>
      <c r="AD1133" s="34" t="s">
        <v>4573</v>
      </c>
      <c r="AE1133" s="34" t="s">
        <v>3385</v>
      </c>
      <c r="AF1133" s="35">
        <v>0.57923387096774193</v>
      </c>
    </row>
    <row r="1134" spans="19:32" x14ac:dyDescent="0.35">
      <c r="S1134" s="41">
        <v>1130</v>
      </c>
      <c r="T1134" s="41" t="s">
        <v>4284</v>
      </c>
      <c r="U1134" s="41" t="s">
        <v>3436</v>
      </c>
      <c r="V1134" s="42">
        <v>-0.82924999999999993</v>
      </c>
      <c r="W1134" s="13"/>
      <c r="X1134" s="34">
        <v>1130</v>
      </c>
      <c r="Y1134" s="34" t="s">
        <v>2248</v>
      </c>
      <c r="Z1134" s="34" t="s">
        <v>5010</v>
      </c>
      <c r="AA1134" s="35">
        <v>7.2318548387096783E-3</v>
      </c>
      <c r="AB1134" s="13"/>
      <c r="AC1134" s="34">
        <v>1130</v>
      </c>
      <c r="AD1134" s="34" t="s">
        <v>4573</v>
      </c>
      <c r="AE1134" s="34" t="s">
        <v>3385</v>
      </c>
      <c r="AF1134" s="35">
        <v>2548.4</v>
      </c>
    </row>
    <row r="1135" spans="19:32" x14ac:dyDescent="0.35">
      <c r="S1135" s="34">
        <v>1131</v>
      </c>
      <c r="T1135" s="34" t="s">
        <v>4284</v>
      </c>
      <c r="U1135" s="34" t="s">
        <v>3436</v>
      </c>
      <c r="V1135" s="35">
        <v>9.8709677419354843E-5</v>
      </c>
      <c r="W1135" s="13"/>
      <c r="X1135" s="34">
        <v>1131</v>
      </c>
      <c r="Y1135" s="34" t="s">
        <v>2248</v>
      </c>
      <c r="Z1135" s="34" t="s">
        <v>3503</v>
      </c>
      <c r="AA1135" s="35">
        <v>0</v>
      </c>
      <c r="AB1135" s="13"/>
      <c r="AC1135" s="34">
        <v>1131</v>
      </c>
      <c r="AD1135" s="34" t="s">
        <v>4573</v>
      </c>
      <c r="AE1135" s="34" t="s">
        <v>3383</v>
      </c>
      <c r="AF1135" s="35">
        <v>6495.2000000000007</v>
      </c>
    </row>
    <row r="1136" spans="19:32" x14ac:dyDescent="0.35">
      <c r="S1136" s="34">
        <v>1132</v>
      </c>
      <c r="T1136" s="34" t="s">
        <v>4284</v>
      </c>
      <c r="U1136" s="34" t="s">
        <v>3436</v>
      </c>
      <c r="V1136" s="35">
        <v>1.6559999999999998E-2</v>
      </c>
      <c r="W1136" s="13"/>
      <c r="X1136" s="34">
        <v>1132</v>
      </c>
      <c r="Y1136" s="34" t="s">
        <v>2248</v>
      </c>
      <c r="Z1136" s="34" t="s">
        <v>3503</v>
      </c>
      <c r="AA1136" s="35">
        <v>2.1215725806451615E-2</v>
      </c>
      <c r="AB1136" s="13"/>
      <c r="AC1136" s="34">
        <v>1132</v>
      </c>
      <c r="AD1136" s="34" t="s">
        <v>4573</v>
      </c>
      <c r="AE1136" s="34" t="s">
        <v>4759</v>
      </c>
      <c r="AF1136" s="35">
        <v>5.4495967741935489</v>
      </c>
    </row>
    <row r="1137" spans="19:32" x14ac:dyDescent="0.35">
      <c r="S1137" s="34">
        <v>1133</v>
      </c>
      <c r="T1137" s="34" t="s">
        <v>4284</v>
      </c>
      <c r="U1137" s="34" t="s">
        <v>4914</v>
      </c>
      <c r="V1137" s="35">
        <v>6.6149193548387109E-4</v>
      </c>
      <c r="W1137" s="13"/>
      <c r="X1137" s="34">
        <v>1133</v>
      </c>
      <c r="Y1137" s="34" t="s">
        <v>2248</v>
      </c>
      <c r="Z1137" s="34" t="s">
        <v>5489</v>
      </c>
      <c r="AA1137" s="35">
        <v>9.3911290322580652E-4</v>
      </c>
      <c r="AB1137" s="13"/>
      <c r="AC1137" s="34">
        <v>1133</v>
      </c>
      <c r="AD1137" s="34" t="s">
        <v>4573</v>
      </c>
      <c r="AE1137" s="34" t="s">
        <v>4758</v>
      </c>
      <c r="AF1137" s="35">
        <v>9.3225806451612912E-3</v>
      </c>
    </row>
    <row r="1138" spans="19:32" x14ac:dyDescent="0.35">
      <c r="S1138" s="34">
        <v>1134</v>
      </c>
      <c r="T1138" s="34" t="s">
        <v>4284</v>
      </c>
      <c r="U1138" s="34" t="s">
        <v>4913</v>
      </c>
      <c r="V1138" s="35">
        <v>5.2439516129032266E-3</v>
      </c>
      <c r="W1138" s="13"/>
      <c r="X1138" s="34">
        <v>1134</v>
      </c>
      <c r="Y1138" s="34" t="s">
        <v>2248</v>
      </c>
      <c r="Z1138" s="34" t="s">
        <v>5009</v>
      </c>
      <c r="AA1138" s="35">
        <v>0.26802419354838714</v>
      </c>
      <c r="AB1138" s="13"/>
      <c r="AC1138" s="34">
        <v>1134</v>
      </c>
      <c r="AD1138" s="34" t="s">
        <v>4573</v>
      </c>
      <c r="AE1138" s="34" t="s">
        <v>4757</v>
      </c>
      <c r="AF1138" s="35">
        <v>4.5927419354838711E-2</v>
      </c>
    </row>
    <row r="1139" spans="19:32" x14ac:dyDescent="0.35">
      <c r="S1139" s="34">
        <v>1135</v>
      </c>
      <c r="T1139" s="34" t="s">
        <v>4284</v>
      </c>
      <c r="U1139" s="34" t="s">
        <v>4912</v>
      </c>
      <c r="V1139" s="35">
        <v>1.9125000000000001E-4</v>
      </c>
      <c r="W1139" s="13"/>
      <c r="X1139" s="34">
        <v>1135</v>
      </c>
      <c r="Y1139" s="34" t="s">
        <v>2248</v>
      </c>
      <c r="Z1139" s="34" t="s">
        <v>5008</v>
      </c>
      <c r="AA1139" s="35">
        <v>8.1572580645161291E-2</v>
      </c>
      <c r="AB1139" s="13"/>
      <c r="AC1139" s="34">
        <v>1135</v>
      </c>
      <c r="AD1139" s="34" t="s">
        <v>4573</v>
      </c>
      <c r="AE1139" s="34" t="s">
        <v>4756</v>
      </c>
      <c r="AF1139" s="35">
        <v>0.28721774193548388</v>
      </c>
    </row>
    <row r="1140" spans="19:32" x14ac:dyDescent="0.35">
      <c r="S1140" s="34">
        <v>1136</v>
      </c>
      <c r="T1140" s="34" t="s">
        <v>4284</v>
      </c>
      <c r="U1140" s="34" t="s">
        <v>4911</v>
      </c>
      <c r="V1140" s="35">
        <v>2.0838709677419355E-5</v>
      </c>
      <c r="W1140" s="13"/>
      <c r="X1140" s="34">
        <v>1136</v>
      </c>
      <c r="Y1140" s="34" t="s">
        <v>2248</v>
      </c>
      <c r="Z1140" s="34" t="s">
        <v>5488</v>
      </c>
      <c r="AA1140" s="35">
        <v>6.7177419354838716E-2</v>
      </c>
      <c r="AB1140" s="13"/>
      <c r="AC1140" s="34">
        <v>1136</v>
      </c>
      <c r="AD1140" s="34" t="s">
        <v>4573</v>
      </c>
      <c r="AE1140" s="34" t="s">
        <v>3382</v>
      </c>
      <c r="AF1140" s="35">
        <v>58.512</v>
      </c>
    </row>
    <row r="1141" spans="19:32" x14ac:dyDescent="0.35">
      <c r="S1141" s="34">
        <v>1137</v>
      </c>
      <c r="T1141" s="34" t="s">
        <v>4284</v>
      </c>
      <c r="U1141" s="34" t="s">
        <v>4910</v>
      </c>
      <c r="V1141" s="35">
        <v>7.3346774193548393E-5</v>
      </c>
      <c r="W1141" s="13"/>
      <c r="X1141" s="34">
        <v>1137</v>
      </c>
      <c r="Y1141" s="34" t="s">
        <v>2248</v>
      </c>
      <c r="Z1141" s="34" t="s">
        <v>3501</v>
      </c>
      <c r="AA1141" s="35">
        <v>4.7839999999999998</v>
      </c>
      <c r="AB1141" s="13"/>
      <c r="AC1141" s="34">
        <v>1137</v>
      </c>
      <c r="AD1141" s="34" t="s">
        <v>4573</v>
      </c>
      <c r="AE1141" s="34" t="s">
        <v>4755</v>
      </c>
      <c r="AF1141" s="35">
        <v>0.31258064516129036</v>
      </c>
    </row>
    <row r="1142" spans="19:32" x14ac:dyDescent="0.35">
      <c r="S1142" s="34">
        <v>1138</v>
      </c>
      <c r="T1142" s="34" t="s">
        <v>4284</v>
      </c>
      <c r="U1142" s="34" t="s">
        <v>4909</v>
      </c>
      <c r="V1142" s="35">
        <v>2.3614919354838712E-3</v>
      </c>
      <c r="W1142" s="13"/>
      <c r="X1142" s="34">
        <v>1138</v>
      </c>
      <c r="Y1142" s="34" t="s">
        <v>2248</v>
      </c>
      <c r="Z1142" s="34" t="s">
        <v>3501</v>
      </c>
      <c r="AA1142" s="35">
        <v>2.0598790322580648E-2</v>
      </c>
      <c r="AB1142" s="13"/>
      <c r="AC1142" s="47">
        <v>1138</v>
      </c>
      <c r="AD1142" s="47" t="s">
        <v>4573</v>
      </c>
      <c r="AE1142" s="47" t="s">
        <v>3380</v>
      </c>
      <c r="AF1142" s="48">
        <v>2778.4</v>
      </c>
    </row>
    <row r="1143" spans="19:32" x14ac:dyDescent="0.35">
      <c r="S1143" s="34">
        <v>1139</v>
      </c>
      <c r="T1143" s="34" t="s">
        <v>4284</v>
      </c>
      <c r="U1143" s="34" t="s">
        <v>4908</v>
      </c>
      <c r="V1143" s="35">
        <v>6.2379032258064526E-5</v>
      </c>
      <c r="W1143" s="13"/>
      <c r="X1143" s="34">
        <v>1139</v>
      </c>
      <c r="Y1143" s="34" t="s">
        <v>2248</v>
      </c>
      <c r="Z1143" s="34" t="s">
        <v>5487</v>
      </c>
      <c r="AA1143" s="35">
        <v>9.6653225806451623E-2</v>
      </c>
      <c r="AB1143" s="13"/>
      <c r="AC1143" s="34">
        <v>1139</v>
      </c>
      <c r="AD1143" s="34" t="s">
        <v>4573</v>
      </c>
      <c r="AE1143" s="34" t="s">
        <v>4754</v>
      </c>
      <c r="AF1143" s="35">
        <v>1.8199596774193551E-2</v>
      </c>
    </row>
    <row r="1144" spans="19:32" x14ac:dyDescent="0.35">
      <c r="S1144" s="34">
        <v>1140</v>
      </c>
      <c r="T1144" s="34" t="s">
        <v>4284</v>
      </c>
      <c r="U1144" s="34" t="s">
        <v>4907</v>
      </c>
      <c r="V1144" s="35">
        <v>8.431451612903226E-5</v>
      </c>
      <c r="W1144" s="13"/>
      <c r="X1144" s="34">
        <v>1140</v>
      </c>
      <c r="Y1144" s="34" t="s">
        <v>2248</v>
      </c>
      <c r="Z1144" s="34" t="s">
        <v>5007</v>
      </c>
      <c r="AA1144" s="35">
        <v>1.8953629032258067E-2</v>
      </c>
      <c r="AB1144" s="13"/>
      <c r="AC1144" s="34">
        <v>1140</v>
      </c>
      <c r="AD1144" s="34" t="s">
        <v>4573</v>
      </c>
      <c r="AE1144" s="34" t="s">
        <v>3379</v>
      </c>
      <c r="AF1144" s="35">
        <v>1.322983870967742E-2</v>
      </c>
    </row>
    <row r="1145" spans="19:32" x14ac:dyDescent="0.35">
      <c r="S1145" s="34">
        <v>1141</v>
      </c>
      <c r="T1145" s="34" t="s">
        <v>4284</v>
      </c>
      <c r="U1145" s="34" t="s">
        <v>4905</v>
      </c>
      <c r="V1145" s="35">
        <v>1.5046370967741937E-5</v>
      </c>
      <c r="W1145" s="13"/>
      <c r="X1145" s="34">
        <v>1141</v>
      </c>
      <c r="Y1145" s="34" t="s">
        <v>2248</v>
      </c>
      <c r="Z1145" s="34" t="s">
        <v>5006</v>
      </c>
      <c r="AA1145" s="35">
        <v>1.1002016129032259E-2</v>
      </c>
      <c r="AB1145" s="13"/>
      <c r="AC1145" s="47">
        <v>1141</v>
      </c>
      <c r="AD1145" s="47" t="s">
        <v>4573</v>
      </c>
      <c r="AE1145" s="47" t="s">
        <v>3379</v>
      </c>
      <c r="AF1145" s="48">
        <v>1.1316000000000002</v>
      </c>
    </row>
    <row r="1146" spans="19:32" x14ac:dyDescent="0.35">
      <c r="S1146" s="34">
        <v>1142</v>
      </c>
      <c r="T1146" s="34" t="s">
        <v>4284</v>
      </c>
      <c r="U1146" s="34" t="s">
        <v>4904</v>
      </c>
      <c r="V1146" s="35">
        <v>7.7116935483870974E-3</v>
      </c>
      <c r="W1146" s="13"/>
      <c r="X1146" s="34">
        <v>1142</v>
      </c>
      <c r="Y1146" s="34" t="s">
        <v>2248</v>
      </c>
      <c r="Z1146" s="34" t="s">
        <v>5005</v>
      </c>
      <c r="AA1146" s="35">
        <v>1.9193548387096777E-9</v>
      </c>
      <c r="AB1146" s="13"/>
      <c r="AC1146" s="47">
        <v>1142</v>
      </c>
      <c r="AD1146" s="47" t="s">
        <v>4573</v>
      </c>
      <c r="AE1146" s="47" t="s">
        <v>3377</v>
      </c>
      <c r="AF1146" s="48">
        <v>0</v>
      </c>
    </row>
    <row r="1147" spans="19:32" x14ac:dyDescent="0.35">
      <c r="S1147" s="34">
        <v>1143</v>
      </c>
      <c r="T1147" s="34" t="s">
        <v>4284</v>
      </c>
      <c r="U1147" s="34" t="s">
        <v>4903</v>
      </c>
      <c r="V1147" s="35">
        <v>4.5241935483870968E-2</v>
      </c>
      <c r="W1147" s="13"/>
      <c r="X1147" s="34">
        <v>1143</v>
      </c>
      <c r="Y1147" s="34" t="s">
        <v>2248</v>
      </c>
      <c r="Z1147" s="34" t="s">
        <v>3740</v>
      </c>
      <c r="AA1147" s="35">
        <v>0.35645161290322586</v>
      </c>
      <c r="AB1147" s="13"/>
      <c r="AC1147" s="34">
        <v>1143</v>
      </c>
      <c r="AD1147" s="34" t="s">
        <v>4573</v>
      </c>
      <c r="AE1147" s="34" t="s">
        <v>3375</v>
      </c>
      <c r="AF1147" s="35">
        <v>9.9052419354838713E-3</v>
      </c>
    </row>
    <row r="1148" spans="19:32" x14ac:dyDescent="0.35">
      <c r="S1148" s="34">
        <v>1144</v>
      </c>
      <c r="T1148" s="34" t="s">
        <v>4284</v>
      </c>
      <c r="U1148" s="34" t="s">
        <v>4902</v>
      </c>
      <c r="V1148" s="35">
        <v>1.0590725806451613E-4</v>
      </c>
      <c r="W1148" s="17"/>
      <c r="X1148" s="34">
        <v>1144</v>
      </c>
      <c r="Y1148" s="34" t="s">
        <v>2248</v>
      </c>
      <c r="Z1148" s="34" t="s">
        <v>5004</v>
      </c>
      <c r="AA1148" s="35">
        <v>2.1764112903225807E-9</v>
      </c>
      <c r="AB1148" s="13"/>
      <c r="AC1148" s="47">
        <v>1144</v>
      </c>
      <c r="AD1148" s="47" t="s">
        <v>4573</v>
      </c>
      <c r="AE1148" s="47" t="s">
        <v>3375</v>
      </c>
      <c r="AF1148" s="48">
        <v>0</v>
      </c>
    </row>
    <row r="1149" spans="19:32" x14ac:dyDescent="0.35">
      <c r="S1149" s="34">
        <v>1145</v>
      </c>
      <c r="T1149" s="34" t="s">
        <v>4284</v>
      </c>
      <c r="U1149" s="34" t="s">
        <v>4901</v>
      </c>
      <c r="V1149" s="35">
        <v>7.8487903225806454E-5</v>
      </c>
      <c r="W1149" s="17"/>
      <c r="X1149" s="34">
        <v>1145</v>
      </c>
      <c r="Y1149" s="34" t="s">
        <v>2248</v>
      </c>
      <c r="Z1149" s="34" t="s">
        <v>5003</v>
      </c>
      <c r="AA1149" s="35">
        <v>7.3004032258064521E-3</v>
      </c>
      <c r="AB1149" s="13"/>
      <c r="AC1149" s="34">
        <v>1145</v>
      </c>
      <c r="AD1149" s="34" t="s">
        <v>4573</v>
      </c>
      <c r="AE1149" s="34" t="s">
        <v>4753</v>
      </c>
      <c r="AF1149" s="35">
        <v>9.3225806451612912E-3</v>
      </c>
    </row>
    <row r="1150" spans="19:32" x14ac:dyDescent="0.35">
      <c r="S1150" s="34">
        <v>1146</v>
      </c>
      <c r="T1150" s="34" t="s">
        <v>4284</v>
      </c>
      <c r="U1150" s="34" t="s">
        <v>4900</v>
      </c>
      <c r="V1150" s="35">
        <v>3.9072580645161297E-3</v>
      </c>
      <c r="W1150" s="13"/>
      <c r="X1150" s="34">
        <v>1146</v>
      </c>
      <c r="Y1150" s="34" t="s">
        <v>2248</v>
      </c>
      <c r="Z1150" s="34" t="s">
        <v>5486</v>
      </c>
      <c r="AA1150" s="35">
        <v>1.8782258064516131E-5</v>
      </c>
      <c r="AB1150" s="13"/>
      <c r="AC1150" s="34">
        <v>1146</v>
      </c>
      <c r="AD1150" s="34" t="s">
        <v>4573</v>
      </c>
      <c r="AE1150" s="34" t="s">
        <v>4752</v>
      </c>
      <c r="AF1150" s="35">
        <v>3.6330645161290323E-2</v>
      </c>
    </row>
    <row r="1151" spans="19:32" x14ac:dyDescent="0.35">
      <c r="S1151" s="34">
        <v>1147</v>
      </c>
      <c r="T1151" s="34" t="s">
        <v>4284</v>
      </c>
      <c r="U1151" s="34" t="s">
        <v>4899</v>
      </c>
      <c r="V1151" s="35">
        <v>3.2217741935483876E-3</v>
      </c>
      <c r="W1151" s="13"/>
      <c r="X1151" s="34">
        <v>1147</v>
      </c>
      <c r="Y1151" s="34" t="s">
        <v>2248</v>
      </c>
      <c r="Z1151" s="34" t="s">
        <v>3499</v>
      </c>
      <c r="AA1151" s="35">
        <v>0</v>
      </c>
      <c r="AB1151" s="13"/>
      <c r="AC1151" s="34">
        <v>1147</v>
      </c>
      <c r="AD1151" s="34" t="s">
        <v>4573</v>
      </c>
      <c r="AE1151" s="34" t="s">
        <v>4750</v>
      </c>
      <c r="AF1151" s="35">
        <v>0.14086693548387097</v>
      </c>
    </row>
    <row r="1152" spans="19:32" x14ac:dyDescent="0.35">
      <c r="S1152" s="34">
        <v>1148</v>
      </c>
      <c r="T1152" s="34" t="s">
        <v>4284</v>
      </c>
      <c r="U1152" s="34" t="s">
        <v>3435</v>
      </c>
      <c r="V1152" s="35">
        <v>0</v>
      </c>
      <c r="W1152" s="13"/>
      <c r="X1152" s="34">
        <v>1148</v>
      </c>
      <c r="Y1152" s="34" t="s">
        <v>2248</v>
      </c>
      <c r="Z1152" s="34" t="s">
        <v>5002</v>
      </c>
      <c r="AA1152" s="35">
        <v>6.409274193548388E-2</v>
      </c>
      <c r="AB1152" s="13"/>
      <c r="AC1152" s="34">
        <v>1148</v>
      </c>
      <c r="AD1152" s="34" t="s">
        <v>4573</v>
      </c>
      <c r="AE1152" s="34" t="s">
        <v>4749</v>
      </c>
      <c r="AF1152" s="35">
        <v>0.11618951612903226</v>
      </c>
    </row>
    <row r="1153" spans="19:32" x14ac:dyDescent="0.35">
      <c r="S1153" s="34">
        <v>1149</v>
      </c>
      <c r="T1153" s="34" t="s">
        <v>4284</v>
      </c>
      <c r="U1153" s="34" t="s">
        <v>4898</v>
      </c>
      <c r="V1153" s="35">
        <v>1.2750000000000002E-5</v>
      </c>
      <c r="W1153" s="13"/>
      <c r="X1153" s="34">
        <v>1149</v>
      </c>
      <c r="Y1153" s="34" t="s">
        <v>2248</v>
      </c>
      <c r="Z1153" s="34" t="s">
        <v>5485</v>
      </c>
      <c r="AA1153" s="35">
        <v>9.288306451612904E-6</v>
      </c>
      <c r="AB1153" s="13"/>
      <c r="AC1153" s="47">
        <v>1149</v>
      </c>
      <c r="AD1153" s="47" t="s">
        <v>4573</v>
      </c>
      <c r="AE1153" s="47" t="s">
        <v>3374</v>
      </c>
      <c r="AF1153" s="48">
        <v>0</v>
      </c>
    </row>
    <row r="1154" spans="19:32" x14ac:dyDescent="0.35">
      <c r="S1154" s="34">
        <v>1150</v>
      </c>
      <c r="T1154" s="34" t="s">
        <v>4284</v>
      </c>
      <c r="U1154" s="34" t="s">
        <v>4897</v>
      </c>
      <c r="V1154" s="35">
        <v>3.3383064516129034E-5</v>
      </c>
      <c r="W1154" s="13"/>
      <c r="X1154" s="34">
        <v>1150</v>
      </c>
      <c r="Y1154" s="34" t="s">
        <v>2248</v>
      </c>
      <c r="Z1154" s="34" t="s">
        <v>3498</v>
      </c>
      <c r="AA1154" s="35">
        <v>0</v>
      </c>
      <c r="AB1154" s="13"/>
      <c r="AC1154" s="34">
        <v>1150</v>
      </c>
      <c r="AD1154" s="34" t="s">
        <v>4573</v>
      </c>
      <c r="AE1154" s="34" t="s">
        <v>4748</v>
      </c>
      <c r="AF1154" s="35">
        <v>2.0427419354838712E-3</v>
      </c>
    </row>
    <row r="1155" spans="19:32" x14ac:dyDescent="0.35">
      <c r="S1155" s="34">
        <v>1151</v>
      </c>
      <c r="T1155" s="34" t="s">
        <v>4284</v>
      </c>
      <c r="U1155" s="34" t="s">
        <v>4896</v>
      </c>
      <c r="V1155" s="35">
        <v>1.72741935483871E-5</v>
      </c>
      <c r="W1155" s="13"/>
      <c r="X1155" s="34">
        <v>1151</v>
      </c>
      <c r="Y1155" s="34" t="s">
        <v>2248</v>
      </c>
      <c r="Z1155" s="34" t="s">
        <v>3498</v>
      </c>
      <c r="AA1155" s="35">
        <v>5.415322580645162E-2</v>
      </c>
      <c r="AB1155" s="13"/>
      <c r="AC1155" s="34">
        <v>1151</v>
      </c>
      <c r="AD1155" s="34" t="s">
        <v>4573</v>
      </c>
      <c r="AE1155" s="34" t="s">
        <v>4747</v>
      </c>
      <c r="AF1155" s="35">
        <v>4.5927419354838711E-2</v>
      </c>
    </row>
    <row r="1156" spans="19:32" x14ac:dyDescent="0.35">
      <c r="S1156" s="34">
        <v>1152</v>
      </c>
      <c r="T1156" s="34" t="s">
        <v>4284</v>
      </c>
      <c r="U1156" s="34" t="s">
        <v>3433</v>
      </c>
      <c r="V1156" s="35">
        <v>0.52807999999999999</v>
      </c>
      <c r="W1156" s="13"/>
      <c r="X1156" s="34">
        <v>1152</v>
      </c>
      <c r="Y1156" s="34" t="s">
        <v>2248</v>
      </c>
      <c r="Z1156" s="34" t="s">
        <v>5484</v>
      </c>
      <c r="AA1156" s="35">
        <v>2.9681451612903228E-5</v>
      </c>
      <c r="AB1156" s="13"/>
      <c r="AC1156" s="34">
        <v>1152</v>
      </c>
      <c r="AD1156" s="34" t="s">
        <v>4573</v>
      </c>
      <c r="AE1156" s="34" t="s">
        <v>4746</v>
      </c>
      <c r="AF1156" s="35">
        <v>6.6491935483870973E-3</v>
      </c>
    </row>
    <row r="1157" spans="19:32" x14ac:dyDescent="0.35">
      <c r="S1157" s="34">
        <v>1153</v>
      </c>
      <c r="T1157" s="34" t="s">
        <v>4284</v>
      </c>
      <c r="U1157" s="34" t="s">
        <v>3432</v>
      </c>
      <c r="V1157" s="35">
        <v>2.5157258064516133E-3</v>
      </c>
      <c r="W1157" s="13"/>
      <c r="X1157" s="34">
        <v>1153</v>
      </c>
      <c r="Y1157" s="34" t="s">
        <v>2248</v>
      </c>
      <c r="Z1157" s="34" t="s">
        <v>3496</v>
      </c>
      <c r="AA1157" s="35">
        <v>0</v>
      </c>
      <c r="AB1157" s="13"/>
      <c r="AC1157" s="34">
        <v>1153</v>
      </c>
      <c r="AD1157" s="34" t="s">
        <v>4573</v>
      </c>
      <c r="AE1157" s="34" t="s">
        <v>4745</v>
      </c>
      <c r="AF1157" s="35">
        <v>1.5114919354838711E-3</v>
      </c>
    </row>
    <row r="1158" spans="19:32" x14ac:dyDescent="0.35">
      <c r="S1158" s="34">
        <v>1154</v>
      </c>
      <c r="T1158" s="34" t="s">
        <v>4284</v>
      </c>
      <c r="U1158" s="34" t="s">
        <v>3432</v>
      </c>
      <c r="V1158" s="35">
        <v>0.39651999999999998</v>
      </c>
      <c r="W1158" s="13"/>
      <c r="X1158" s="34">
        <v>1154</v>
      </c>
      <c r="Y1158" s="34" t="s">
        <v>2248</v>
      </c>
      <c r="Z1158" s="34" t="s">
        <v>3496</v>
      </c>
      <c r="AA1158" s="35">
        <v>7.883064516129032E-5</v>
      </c>
      <c r="AB1158" s="13"/>
      <c r="AC1158" s="34">
        <v>1154</v>
      </c>
      <c r="AD1158" s="34" t="s">
        <v>4573</v>
      </c>
      <c r="AE1158" s="34" t="s">
        <v>4744</v>
      </c>
      <c r="AF1158" s="35">
        <v>0.17788306451612904</v>
      </c>
    </row>
    <row r="1159" spans="19:32" x14ac:dyDescent="0.35">
      <c r="S1159" s="34">
        <v>1155</v>
      </c>
      <c r="T1159" s="34" t="s">
        <v>4284</v>
      </c>
      <c r="U1159" s="34" t="s">
        <v>4895</v>
      </c>
      <c r="V1159" s="35">
        <v>2.5465725806451613E-3</v>
      </c>
      <c r="W1159" s="13"/>
      <c r="X1159" s="34">
        <v>1155</v>
      </c>
      <c r="Y1159" s="34" t="s">
        <v>2248</v>
      </c>
      <c r="Z1159" s="34" t="s">
        <v>5000</v>
      </c>
      <c r="AA1159" s="35">
        <v>6.0322580645161298E-3</v>
      </c>
      <c r="AB1159" s="13"/>
      <c r="AC1159" s="34">
        <v>1155</v>
      </c>
      <c r="AD1159" s="34" t="s">
        <v>4573</v>
      </c>
      <c r="AE1159" s="34" t="s">
        <v>4743</v>
      </c>
      <c r="AF1159" s="35">
        <v>8.5342741935483871E-3</v>
      </c>
    </row>
    <row r="1160" spans="19:32" x14ac:dyDescent="0.35">
      <c r="S1160" s="34">
        <v>1156</v>
      </c>
      <c r="T1160" s="34" t="s">
        <v>4284</v>
      </c>
      <c r="U1160" s="34" t="s">
        <v>4894</v>
      </c>
      <c r="V1160" s="35">
        <v>7.7802419354838721E-5</v>
      </c>
      <c r="W1160" s="13"/>
      <c r="X1160" s="34">
        <v>1156</v>
      </c>
      <c r="Y1160" s="34" t="s">
        <v>2248</v>
      </c>
      <c r="Z1160" s="34" t="s">
        <v>5483</v>
      </c>
      <c r="AA1160" s="35">
        <v>4.7641129032258069E-4</v>
      </c>
      <c r="AB1160" s="13"/>
      <c r="AC1160" s="34">
        <v>1156</v>
      </c>
      <c r="AD1160" s="34" t="s">
        <v>4573</v>
      </c>
      <c r="AE1160" s="34" t="s">
        <v>3372</v>
      </c>
      <c r="AF1160" s="35">
        <v>3.7701612903225808E-3</v>
      </c>
    </row>
    <row r="1161" spans="19:32" x14ac:dyDescent="0.35">
      <c r="S1161" s="34">
        <v>1157</v>
      </c>
      <c r="T1161" s="34" t="s">
        <v>4284</v>
      </c>
      <c r="U1161" s="34" t="s">
        <v>4893</v>
      </c>
      <c r="V1161" s="35">
        <v>4.7641129032258064E-5</v>
      </c>
      <c r="W1161" s="13"/>
      <c r="X1161" s="34">
        <v>1157</v>
      </c>
      <c r="Y1161" s="34" t="s">
        <v>2248</v>
      </c>
      <c r="Z1161" s="34" t="s">
        <v>4999</v>
      </c>
      <c r="AA1161" s="35">
        <v>1.5937500000000001E-5</v>
      </c>
      <c r="AB1161" s="13"/>
      <c r="AC1161" s="47">
        <v>1157</v>
      </c>
      <c r="AD1161" s="47" t="s">
        <v>4573</v>
      </c>
      <c r="AE1161" s="47" t="s">
        <v>3372</v>
      </c>
      <c r="AF1161" s="48">
        <v>279.68</v>
      </c>
    </row>
    <row r="1162" spans="19:32" x14ac:dyDescent="0.35">
      <c r="S1162" s="34">
        <v>1158</v>
      </c>
      <c r="T1162" s="34" t="s">
        <v>4284</v>
      </c>
      <c r="U1162" s="34" t="s">
        <v>4892</v>
      </c>
      <c r="V1162" s="35">
        <v>1.0830645161290324E-5</v>
      </c>
      <c r="W1162" s="13"/>
      <c r="X1162" s="34">
        <v>1158</v>
      </c>
      <c r="Y1162" s="34" t="s">
        <v>2248</v>
      </c>
      <c r="Z1162" s="34" t="s">
        <v>4998</v>
      </c>
      <c r="AA1162" s="35">
        <v>5.9979838709677422E-5</v>
      </c>
      <c r="AB1162" s="13"/>
      <c r="AC1162" s="34">
        <v>1158</v>
      </c>
      <c r="AD1162" s="34" t="s">
        <v>4573</v>
      </c>
      <c r="AE1162" s="34" t="s">
        <v>4741</v>
      </c>
      <c r="AF1162" s="35">
        <v>4.798387096774194E-2</v>
      </c>
    </row>
    <row r="1163" spans="19:32" x14ac:dyDescent="0.35">
      <c r="S1163" s="34">
        <v>1159</v>
      </c>
      <c r="T1163" s="34" t="s">
        <v>4284</v>
      </c>
      <c r="U1163" s="34" t="s">
        <v>4891</v>
      </c>
      <c r="V1163" s="35">
        <v>6.6149193548387105E-6</v>
      </c>
      <c r="W1163" s="13"/>
      <c r="X1163" s="34">
        <v>1159</v>
      </c>
      <c r="Y1163" s="34" t="s">
        <v>2248</v>
      </c>
      <c r="Z1163" s="34" t="s">
        <v>5482</v>
      </c>
      <c r="AA1163" s="35">
        <v>4.2500000000000003E-4</v>
      </c>
      <c r="AB1163" s="13"/>
      <c r="AC1163" s="34">
        <v>1159</v>
      </c>
      <c r="AD1163" s="34" t="s">
        <v>4573</v>
      </c>
      <c r="AE1163" s="34" t="s">
        <v>4739</v>
      </c>
      <c r="AF1163" s="35">
        <v>0.15423387096774194</v>
      </c>
    </row>
    <row r="1164" spans="19:32" x14ac:dyDescent="0.35">
      <c r="S1164" s="41">
        <v>1160</v>
      </c>
      <c r="T1164" s="41" t="s">
        <v>4284</v>
      </c>
      <c r="U1164" s="41" t="s">
        <v>3431</v>
      </c>
      <c r="V1164" s="42">
        <v>1.9687999999999999</v>
      </c>
      <c r="W1164" s="13"/>
      <c r="X1164" s="34">
        <v>1160</v>
      </c>
      <c r="Y1164" s="34" t="s">
        <v>2248</v>
      </c>
      <c r="Z1164" s="34" t="s">
        <v>4997</v>
      </c>
      <c r="AA1164" s="35">
        <v>2.2963709677419357E-4</v>
      </c>
      <c r="AB1164" s="13"/>
      <c r="AC1164" s="34">
        <v>1160</v>
      </c>
      <c r="AD1164" s="34" t="s">
        <v>4573</v>
      </c>
      <c r="AE1164" s="34" t="s">
        <v>4738</v>
      </c>
      <c r="AF1164" s="35">
        <v>3.8729838709677424E-3</v>
      </c>
    </row>
    <row r="1165" spans="19:32" x14ac:dyDescent="0.35">
      <c r="S1165" s="34">
        <v>1161</v>
      </c>
      <c r="T1165" s="34" t="s">
        <v>4284</v>
      </c>
      <c r="U1165" s="34" t="s">
        <v>3431</v>
      </c>
      <c r="V1165" s="35">
        <v>1.7719758064516132E-6</v>
      </c>
      <c r="W1165" s="13"/>
      <c r="X1165" s="34">
        <v>1161</v>
      </c>
      <c r="Y1165" s="34" t="s">
        <v>2248</v>
      </c>
      <c r="Z1165" s="34" t="s">
        <v>4996</v>
      </c>
      <c r="AA1165" s="35">
        <v>1.8028225806451614E-3</v>
      </c>
      <c r="AB1165" s="13"/>
      <c r="AC1165" s="47">
        <v>1161</v>
      </c>
      <c r="AD1165" s="47" t="s">
        <v>4573</v>
      </c>
      <c r="AE1165" s="47" t="s">
        <v>3371</v>
      </c>
      <c r="AF1165" s="48">
        <v>7.6635999999999997</v>
      </c>
    </row>
    <row r="1166" spans="19:32" x14ac:dyDescent="0.35">
      <c r="S1166" s="34">
        <v>1162</v>
      </c>
      <c r="T1166" s="34" t="s">
        <v>4284</v>
      </c>
      <c r="U1166" s="34" t="s">
        <v>3431</v>
      </c>
      <c r="V1166" s="35">
        <v>0.24012000000000003</v>
      </c>
      <c r="W1166" s="13"/>
      <c r="X1166" s="34">
        <v>1162</v>
      </c>
      <c r="Y1166" s="34" t="s">
        <v>2248</v>
      </c>
      <c r="Z1166" s="34" t="s">
        <v>4994</v>
      </c>
      <c r="AA1166" s="35">
        <v>0.16280241935483872</v>
      </c>
      <c r="AB1166" s="13"/>
      <c r="AC1166" s="34">
        <v>1162</v>
      </c>
      <c r="AD1166" s="34" t="s">
        <v>4573</v>
      </c>
      <c r="AE1166" s="34" t="s">
        <v>4737</v>
      </c>
      <c r="AF1166" s="35">
        <v>0.33588709677419359</v>
      </c>
    </row>
    <row r="1167" spans="19:32" x14ac:dyDescent="0.35">
      <c r="S1167" s="34">
        <v>1163</v>
      </c>
      <c r="T1167" s="34" t="s">
        <v>4284</v>
      </c>
      <c r="U1167" s="34" t="s">
        <v>4889</v>
      </c>
      <c r="V1167" s="35">
        <v>3.6673387096774194E-4</v>
      </c>
      <c r="W1167" s="13"/>
      <c r="X1167" s="34">
        <v>1163</v>
      </c>
      <c r="Y1167" s="34" t="s">
        <v>2248</v>
      </c>
      <c r="Z1167" s="34" t="s">
        <v>5481</v>
      </c>
      <c r="AA1167" s="35">
        <v>3.6330645161290323E-2</v>
      </c>
      <c r="AB1167" s="13"/>
      <c r="AC1167" s="47">
        <v>1163</v>
      </c>
      <c r="AD1167" s="47" t="s">
        <v>4573</v>
      </c>
      <c r="AE1167" s="47" t="s">
        <v>3370</v>
      </c>
      <c r="AF1167" s="48">
        <v>0</v>
      </c>
    </row>
    <row r="1168" spans="19:32" x14ac:dyDescent="0.35">
      <c r="S1168" s="34">
        <v>1164</v>
      </c>
      <c r="T1168" s="34" t="s">
        <v>4284</v>
      </c>
      <c r="U1168" s="34" t="s">
        <v>3430</v>
      </c>
      <c r="V1168" s="35">
        <v>4.0786290322580648E-4</v>
      </c>
      <c r="W1168" s="13"/>
      <c r="X1168" s="34">
        <v>1164</v>
      </c>
      <c r="Y1168" s="34" t="s">
        <v>2248</v>
      </c>
      <c r="Z1168" s="34" t="s">
        <v>4993</v>
      </c>
      <c r="AA1168" s="35">
        <v>2.186693548387097E-3</v>
      </c>
      <c r="AB1168" s="13"/>
      <c r="AC1168" s="34">
        <v>1164</v>
      </c>
      <c r="AD1168" s="34" t="s">
        <v>4573</v>
      </c>
      <c r="AE1168" s="34" t="s">
        <v>4736</v>
      </c>
      <c r="AF1168" s="35">
        <v>1.4120967741935484</v>
      </c>
    </row>
    <row r="1169" spans="19:32" x14ac:dyDescent="0.35">
      <c r="S1169" s="34">
        <v>1165</v>
      </c>
      <c r="T1169" s="34" t="s">
        <v>4284</v>
      </c>
      <c r="U1169" s="34" t="s">
        <v>3430</v>
      </c>
      <c r="V1169" s="35">
        <v>0.28887999999999997</v>
      </c>
      <c r="W1169" s="13"/>
      <c r="X1169" s="34">
        <v>1165</v>
      </c>
      <c r="Y1169" s="34" t="s">
        <v>2248</v>
      </c>
      <c r="Z1169" s="34" t="s">
        <v>3495</v>
      </c>
      <c r="AA1169" s="35">
        <v>1.9595999999999999E-2</v>
      </c>
      <c r="AB1169" s="13"/>
      <c r="AC1169" s="34">
        <v>1165</v>
      </c>
      <c r="AD1169" s="34" t="s">
        <v>4573</v>
      </c>
      <c r="AE1169" s="34" t="s">
        <v>4735</v>
      </c>
      <c r="AF1169" s="35">
        <v>1.7068548387096775E-3</v>
      </c>
    </row>
    <row r="1170" spans="19:32" x14ac:dyDescent="0.35">
      <c r="S1170" s="34">
        <v>1166</v>
      </c>
      <c r="T1170" s="34" t="s">
        <v>4284</v>
      </c>
      <c r="U1170" s="34" t="s">
        <v>4888</v>
      </c>
      <c r="V1170" s="35">
        <v>6.4435483870967744E-2</v>
      </c>
      <c r="W1170" s="13"/>
      <c r="X1170" s="34">
        <v>1166</v>
      </c>
      <c r="Y1170" s="34" t="s">
        <v>2248</v>
      </c>
      <c r="Z1170" s="34" t="s">
        <v>5480</v>
      </c>
      <c r="AA1170" s="35">
        <v>1.2441532258064518E-2</v>
      </c>
      <c r="AB1170" s="13"/>
      <c r="AC1170" s="34">
        <v>1166</v>
      </c>
      <c r="AD1170" s="34" t="s">
        <v>4573</v>
      </c>
      <c r="AE1170" s="34" t="s">
        <v>3369</v>
      </c>
      <c r="AF1170" s="35">
        <v>0.10419354838709678</v>
      </c>
    </row>
    <row r="1171" spans="19:32" x14ac:dyDescent="0.35">
      <c r="S1171" s="34">
        <v>1167</v>
      </c>
      <c r="T1171" s="34" t="s">
        <v>4284</v>
      </c>
      <c r="U1171" s="34" t="s">
        <v>3429</v>
      </c>
      <c r="V1171" s="35">
        <v>7.6452</v>
      </c>
      <c r="W1171" s="13"/>
      <c r="X1171" s="34">
        <v>1167</v>
      </c>
      <c r="Y1171" s="34" t="s">
        <v>2248</v>
      </c>
      <c r="Z1171" s="34" t="s">
        <v>3495</v>
      </c>
      <c r="AA1171" s="35">
        <v>3.190927419354839E-4</v>
      </c>
      <c r="AB1171" s="13"/>
      <c r="AC1171" s="47">
        <v>1167</v>
      </c>
      <c r="AD1171" s="47" t="s">
        <v>4573</v>
      </c>
      <c r="AE1171" s="47" t="s">
        <v>3369</v>
      </c>
      <c r="AF1171" s="48">
        <v>3.5052E-2</v>
      </c>
    </row>
    <row r="1172" spans="19:32" x14ac:dyDescent="0.35">
      <c r="S1172" s="34">
        <v>1168</v>
      </c>
      <c r="T1172" s="34" t="s">
        <v>4284</v>
      </c>
      <c r="U1172" s="34" t="s">
        <v>4887</v>
      </c>
      <c r="V1172" s="35">
        <v>3.3862903225806453E-5</v>
      </c>
      <c r="W1172" s="13"/>
      <c r="X1172" s="34">
        <v>1168</v>
      </c>
      <c r="Y1172" s="34" t="s">
        <v>2248</v>
      </c>
      <c r="Z1172" s="34" t="s">
        <v>4992</v>
      </c>
      <c r="AA1172" s="35">
        <v>1.182459677419355E-4</v>
      </c>
      <c r="AB1172" s="13"/>
      <c r="AC1172" s="34">
        <v>1168</v>
      </c>
      <c r="AD1172" s="34" t="s">
        <v>4573</v>
      </c>
      <c r="AE1172" s="34" t="s">
        <v>3368</v>
      </c>
      <c r="AF1172" s="35">
        <v>6.8548387096774195E-3</v>
      </c>
    </row>
    <row r="1173" spans="19:32" x14ac:dyDescent="0.35">
      <c r="S1173" s="34">
        <v>1169</v>
      </c>
      <c r="T1173" s="34" t="s">
        <v>4284</v>
      </c>
      <c r="U1173" s="34" t="s">
        <v>4886</v>
      </c>
      <c r="V1173" s="35">
        <v>5.0040322580645162E-4</v>
      </c>
      <c r="W1173" s="13"/>
      <c r="X1173" s="34">
        <v>1169</v>
      </c>
      <c r="Y1173" s="34" t="s">
        <v>2248</v>
      </c>
      <c r="Z1173" s="34" t="s">
        <v>5479</v>
      </c>
      <c r="AA1173" s="35">
        <v>3.8044354838709681E-3</v>
      </c>
      <c r="AB1173" s="13"/>
      <c r="AC1173" s="47">
        <v>1169</v>
      </c>
      <c r="AD1173" s="47" t="s">
        <v>4573</v>
      </c>
      <c r="AE1173" s="47" t="s">
        <v>3368</v>
      </c>
      <c r="AF1173" s="48">
        <v>0</v>
      </c>
    </row>
    <row r="1174" spans="19:32" x14ac:dyDescent="0.35">
      <c r="S1174" s="34">
        <v>1170</v>
      </c>
      <c r="T1174" s="34" t="s">
        <v>4284</v>
      </c>
      <c r="U1174" s="34" t="s">
        <v>4885</v>
      </c>
      <c r="V1174" s="35">
        <v>9.9737903225806469E-5</v>
      </c>
      <c r="W1174" s="13"/>
      <c r="X1174" s="34">
        <v>1170</v>
      </c>
      <c r="Y1174" s="34" t="s">
        <v>2248</v>
      </c>
      <c r="Z1174" s="34" t="s">
        <v>4991</v>
      </c>
      <c r="AA1174" s="35">
        <v>1.6417338709677421E-6</v>
      </c>
      <c r="AB1174" s="13"/>
      <c r="AC1174" s="34">
        <v>1170</v>
      </c>
      <c r="AD1174" s="34" t="s">
        <v>4573</v>
      </c>
      <c r="AE1174" s="34" t="s">
        <v>4734</v>
      </c>
      <c r="AF1174" s="35">
        <v>7.6431451612903226E-2</v>
      </c>
    </row>
    <row r="1175" spans="19:32" x14ac:dyDescent="0.35">
      <c r="S1175" s="34">
        <v>1171</v>
      </c>
      <c r="T1175" s="34" t="s">
        <v>4284</v>
      </c>
      <c r="U1175" s="34" t="s">
        <v>3428</v>
      </c>
      <c r="V1175" s="35">
        <v>0</v>
      </c>
      <c r="W1175" s="13"/>
      <c r="X1175" s="34">
        <v>1171</v>
      </c>
      <c r="Y1175" s="34" t="s">
        <v>2248</v>
      </c>
      <c r="Z1175" s="34" t="s">
        <v>4990</v>
      </c>
      <c r="AA1175" s="35">
        <v>0.11687500000000001</v>
      </c>
      <c r="AB1175" s="13"/>
      <c r="AC1175" s="34">
        <v>1171</v>
      </c>
      <c r="AD1175" s="34" t="s">
        <v>4573</v>
      </c>
      <c r="AE1175" s="34" t="s">
        <v>3367</v>
      </c>
      <c r="AF1175" s="35">
        <v>2.8104838709677421E-2</v>
      </c>
    </row>
    <row r="1176" spans="19:32" x14ac:dyDescent="0.35">
      <c r="S1176" s="34">
        <v>1172</v>
      </c>
      <c r="T1176" s="34" t="s">
        <v>4284</v>
      </c>
      <c r="U1176" s="34" t="s">
        <v>4884</v>
      </c>
      <c r="V1176" s="35">
        <v>5.655241935483871E-3</v>
      </c>
      <c r="W1176" s="13"/>
      <c r="X1176" s="34">
        <v>1172</v>
      </c>
      <c r="Y1176" s="34" t="s">
        <v>2248</v>
      </c>
      <c r="Z1176" s="34" t="s">
        <v>4989</v>
      </c>
      <c r="AA1176" s="35">
        <v>94.596774193548399</v>
      </c>
      <c r="AB1176" s="13"/>
      <c r="AC1176" s="47">
        <v>1172</v>
      </c>
      <c r="AD1176" s="47" t="s">
        <v>4573</v>
      </c>
      <c r="AE1176" s="47" t="s">
        <v>3367</v>
      </c>
      <c r="AF1176" s="48">
        <v>0.40848000000000001</v>
      </c>
    </row>
    <row r="1177" spans="19:32" x14ac:dyDescent="0.35">
      <c r="S1177" s="34">
        <v>1173</v>
      </c>
      <c r="T1177" s="34" t="s">
        <v>4284</v>
      </c>
      <c r="U1177" s="34" t="s">
        <v>4883</v>
      </c>
      <c r="V1177" s="35">
        <v>4.4556451612903227E-4</v>
      </c>
      <c r="W1177" s="13"/>
      <c r="X1177" s="34">
        <v>1173</v>
      </c>
      <c r="Y1177" s="34" t="s">
        <v>2248</v>
      </c>
      <c r="Z1177" s="34" t="s">
        <v>5478</v>
      </c>
      <c r="AA1177" s="35">
        <v>6.8891129032258068E-3</v>
      </c>
      <c r="AB1177" s="13"/>
      <c r="AC1177" s="34">
        <v>1173</v>
      </c>
      <c r="AD1177" s="34" t="s">
        <v>4573</v>
      </c>
      <c r="AE1177" s="34" t="s">
        <v>4732</v>
      </c>
      <c r="AF1177" s="35">
        <v>7.5745967741935497E-2</v>
      </c>
    </row>
    <row r="1178" spans="19:32" x14ac:dyDescent="0.35">
      <c r="S1178" s="34">
        <v>1174</v>
      </c>
      <c r="T1178" s="34" t="s">
        <v>4284</v>
      </c>
      <c r="U1178" s="34" t="s">
        <v>4882</v>
      </c>
      <c r="V1178" s="35">
        <v>1.6554435483870967E-3</v>
      </c>
      <c r="W1178" s="13"/>
      <c r="X1178" s="34">
        <v>1174</v>
      </c>
      <c r="Y1178" s="34" t="s">
        <v>2248</v>
      </c>
      <c r="Z1178" s="34" t="s">
        <v>4988</v>
      </c>
      <c r="AA1178" s="35">
        <v>1.6245967741935484E-5</v>
      </c>
      <c r="AB1178" s="13"/>
      <c r="AC1178" s="34">
        <v>1174</v>
      </c>
      <c r="AD1178" s="34" t="s">
        <v>4573</v>
      </c>
      <c r="AE1178" s="34" t="s">
        <v>4731</v>
      </c>
      <c r="AF1178" s="35">
        <v>5.9294354838709679E-2</v>
      </c>
    </row>
    <row r="1179" spans="19:32" x14ac:dyDescent="0.35">
      <c r="S1179" s="41">
        <v>1175</v>
      </c>
      <c r="T1179" s="41" t="s">
        <v>4284</v>
      </c>
      <c r="U1179" s="41" t="s">
        <v>5477</v>
      </c>
      <c r="V1179" s="42">
        <v>11.449</v>
      </c>
      <c r="W1179" s="13"/>
      <c r="X1179" s="34">
        <v>1175</v>
      </c>
      <c r="Y1179" s="34" t="s">
        <v>2248</v>
      </c>
      <c r="Z1179" s="34" t="s">
        <v>4987</v>
      </c>
      <c r="AA1179" s="35">
        <v>6.2036290322580651E-2</v>
      </c>
      <c r="AB1179" s="13"/>
      <c r="AC1179" s="34">
        <v>1175</v>
      </c>
      <c r="AD1179" s="34" t="s">
        <v>4573</v>
      </c>
      <c r="AE1179" s="34" t="s">
        <v>4730</v>
      </c>
      <c r="AF1179" s="35">
        <v>5.2782258064516131E-3</v>
      </c>
    </row>
    <row r="1180" spans="19:32" x14ac:dyDescent="0.35">
      <c r="S1180" s="34">
        <v>1176</v>
      </c>
      <c r="T1180" s="34" t="s">
        <v>4284</v>
      </c>
      <c r="U1180" s="34" t="s">
        <v>4881</v>
      </c>
      <c r="V1180" s="35">
        <v>5.106854838709678E-4</v>
      </c>
      <c r="W1180" s="13"/>
      <c r="X1180" s="34">
        <v>1176</v>
      </c>
      <c r="Y1180" s="34" t="s">
        <v>2248</v>
      </c>
      <c r="Z1180" s="34" t="s">
        <v>5476</v>
      </c>
      <c r="AA1180" s="35">
        <v>7.7802419354838712E-3</v>
      </c>
      <c r="AB1180" s="13"/>
      <c r="AC1180" s="34">
        <v>1176</v>
      </c>
      <c r="AD1180" s="34" t="s">
        <v>4573</v>
      </c>
      <c r="AE1180" s="34" t="s">
        <v>3366</v>
      </c>
      <c r="AF1180" s="35">
        <v>7.1633064516129039</v>
      </c>
    </row>
    <row r="1181" spans="19:32" x14ac:dyDescent="0.35">
      <c r="S1181" s="34">
        <v>1177</v>
      </c>
      <c r="T1181" s="34" t="s">
        <v>4284</v>
      </c>
      <c r="U1181" s="34" t="s">
        <v>4880</v>
      </c>
      <c r="V1181" s="35">
        <v>2.9715725806451614E-4</v>
      </c>
      <c r="W1181" s="13"/>
      <c r="X1181" s="34">
        <v>1177</v>
      </c>
      <c r="Y1181" s="34" t="s">
        <v>2248</v>
      </c>
      <c r="Z1181" s="34" t="s">
        <v>3494</v>
      </c>
      <c r="AA1181" s="35">
        <v>1.6099999999999999E-3</v>
      </c>
      <c r="AB1181" s="13"/>
      <c r="AC1181" s="47">
        <v>1177</v>
      </c>
      <c r="AD1181" s="47" t="s">
        <v>4573</v>
      </c>
      <c r="AE1181" s="47" t="s">
        <v>3366</v>
      </c>
      <c r="AF1181" s="48">
        <v>0</v>
      </c>
    </row>
    <row r="1182" spans="19:32" x14ac:dyDescent="0.35">
      <c r="S1182" s="41">
        <v>1178</v>
      </c>
      <c r="T1182" s="41" t="s">
        <v>4284</v>
      </c>
      <c r="U1182" s="41" t="s">
        <v>3427</v>
      </c>
      <c r="V1182" s="42">
        <v>11.555999999999999</v>
      </c>
      <c r="W1182" s="13"/>
      <c r="X1182" s="34">
        <v>1178</v>
      </c>
      <c r="Y1182" s="34" t="s">
        <v>2248</v>
      </c>
      <c r="Z1182" s="34" t="s">
        <v>3494</v>
      </c>
      <c r="AA1182" s="35">
        <v>6.1350806451612901E-4</v>
      </c>
      <c r="AB1182" s="13"/>
      <c r="AC1182" s="34">
        <v>1178</v>
      </c>
      <c r="AD1182" s="34" t="s">
        <v>4573</v>
      </c>
      <c r="AE1182" s="34" t="s">
        <v>4729</v>
      </c>
      <c r="AF1182" s="35">
        <v>9.2540322580645165E-2</v>
      </c>
    </row>
    <row r="1183" spans="19:32" x14ac:dyDescent="0.35">
      <c r="S1183" s="34">
        <v>1179</v>
      </c>
      <c r="T1183" s="34" t="s">
        <v>4284</v>
      </c>
      <c r="U1183" s="34" t="s">
        <v>3427</v>
      </c>
      <c r="V1183" s="35">
        <v>1.4018145161290323E-6</v>
      </c>
      <c r="W1183" s="13"/>
      <c r="X1183" s="34">
        <v>1179</v>
      </c>
      <c r="Y1183" s="34" t="s">
        <v>2248</v>
      </c>
      <c r="Z1183" s="34" t="s">
        <v>5475</v>
      </c>
      <c r="AA1183" s="35">
        <v>7.0262096774193543E-5</v>
      </c>
      <c r="AB1183" s="13"/>
      <c r="AC1183" s="47">
        <v>1179</v>
      </c>
      <c r="AD1183" s="47" t="s">
        <v>4573</v>
      </c>
      <c r="AE1183" s="47" t="s">
        <v>3364</v>
      </c>
      <c r="AF1183" s="48">
        <v>0</v>
      </c>
    </row>
    <row r="1184" spans="19:32" x14ac:dyDescent="0.35">
      <c r="S1184" s="34">
        <v>1180</v>
      </c>
      <c r="T1184" s="34" t="s">
        <v>4284</v>
      </c>
      <c r="U1184" s="34" t="s">
        <v>3427</v>
      </c>
      <c r="V1184" s="35">
        <v>2.7783999999999999E-3</v>
      </c>
      <c r="W1184" s="13"/>
      <c r="X1184" s="34">
        <v>1180</v>
      </c>
      <c r="Y1184" s="34" t="s">
        <v>2248</v>
      </c>
      <c r="Z1184" s="34" t="s">
        <v>4986</v>
      </c>
      <c r="AA1184" s="35">
        <v>2.9989919354838713E-3</v>
      </c>
      <c r="AB1184" s="13"/>
      <c r="AC1184" s="34">
        <v>1180</v>
      </c>
      <c r="AD1184" s="34" t="s">
        <v>4573</v>
      </c>
      <c r="AE1184" s="34" t="s">
        <v>3363</v>
      </c>
      <c r="AF1184" s="35">
        <v>0.47298387096774197</v>
      </c>
    </row>
    <row r="1185" spans="19:32" x14ac:dyDescent="0.35">
      <c r="S1185" s="34">
        <v>1181</v>
      </c>
      <c r="T1185" s="34" t="s">
        <v>4284</v>
      </c>
      <c r="U1185" s="34" t="s">
        <v>3425</v>
      </c>
      <c r="V1185" s="35">
        <v>7.6774193548387109E-5</v>
      </c>
      <c r="W1185" s="13"/>
      <c r="X1185" s="34">
        <v>1181</v>
      </c>
      <c r="Y1185" s="34" t="s">
        <v>2248</v>
      </c>
      <c r="Z1185" s="34" t="s">
        <v>3493</v>
      </c>
      <c r="AA1185" s="35">
        <v>0</v>
      </c>
      <c r="AB1185" s="13"/>
      <c r="AC1185" s="47">
        <v>1181</v>
      </c>
      <c r="AD1185" s="47" t="s">
        <v>4573</v>
      </c>
      <c r="AE1185" s="47" t="s">
        <v>3363</v>
      </c>
      <c r="AF1185" s="48">
        <v>7.5347999999999999E-21</v>
      </c>
    </row>
    <row r="1186" spans="19:32" x14ac:dyDescent="0.35">
      <c r="S1186" s="34">
        <v>1182</v>
      </c>
      <c r="T1186" s="34" t="s">
        <v>4284</v>
      </c>
      <c r="U1186" s="34" t="s">
        <v>3425</v>
      </c>
      <c r="V1186" s="35">
        <v>0</v>
      </c>
      <c r="W1186" s="13"/>
      <c r="X1186" s="34">
        <v>1182</v>
      </c>
      <c r="Y1186" s="34" t="s">
        <v>2248</v>
      </c>
      <c r="Z1186" s="34" t="s">
        <v>4982</v>
      </c>
      <c r="AA1186" s="35">
        <v>4.7983870967741943E-6</v>
      </c>
      <c r="AB1186" s="13"/>
      <c r="AC1186" s="34">
        <v>1182</v>
      </c>
      <c r="AD1186" s="34" t="s">
        <v>4573</v>
      </c>
      <c r="AE1186" s="34" t="s">
        <v>4728</v>
      </c>
      <c r="AF1186" s="35">
        <v>22.929435483870968</v>
      </c>
    </row>
    <row r="1187" spans="19:32" x14ac:dyDescent="0.35">
      <c r="S1187" s="34">
        <v>1183</v>
      </c>
      <c r="T1187" s="34" t="s">
        <v>4284</v>
      </c>
      <c r="U1187" s="34" t="s">
        <v>4879</v>
      </c>
      <c r="V1187" s="35">
        <v>4.0100806451612905E-4</v>
      </c>
      <c r="W1187" s="13"/>
      <c r="X1187" s="34">
        <v>1183</v>
      </c>
      <c r="Y1187" s="34" t="s">
        <v>2248</v>
      </c>
      <c r="Z1187" s="34" t="s">
        <v>5474</v>
      </c>
      <c r="AA1187" s="35">
        <v>6.5463709677419366E-2</v>
      </c>
      <c r="AB1187" s="13"/>
      <c r="AC1187" s="47">
        <v>1183</v>
      </c>
      <c r="AD1187" s="47" t="s">
        <v>4573</v>
      </c>
      <c r="AE1187" s="47" t="s">
        <v>3361</v>
      </c>
      <c r="AF1187" s="48">
        <v>0</v>
      </c>
    </row>
    <row r="1188" spans="19:32" x14ac:dyDescent="0.35">
      <c r="S1188" s="34">
        <v>1184</v>
      </c>
      <c r="T1188" s="34" t="s">
        <v>4284</v>
      </c>
      <c r="U1188" s="34" t="s">
        <v>4878</v>
      </c>
      <c r="V1188" s="35">
        <v>7.8145161290322593E-7</v>
      </c>
      <c r="W1188" s="13"/>
      <c r="X1188" s="34">
        <v>1184</v>
      </c>
      <c r="Y1188" s="34" t="s">
        <v>2248</v>
      </c>
      <c r="Z1188" s="34" t="s">
        <v>3492</v>
      </c>
      <c r="AA1188" s="35">
        <v>0.44068000000000002</v>
      </c>
      <c r="AB1188" s="13"/>
      <c r="AC1188" s="34">
        <v>1184</v>
      </c>
      <c r="AD1188" s="34" t="s">
        <v>4573</v>
      </c>
      <c r="AE1188" s="34" t="s">
        <v>4727</v>
      </c>
      <c r="AF1188" s="35">
        <v>5689.5161290322585</v>
      </c>
    </row>
    <row r="1189" spans="19:32" x14ac:dyDescent="0.35">
      <c r="S1189" s="34">
        <v>1185</v>
      </c>
      <c r="T1189" s="34" t="s">
        <v>4284</v>
      </c>
      <c r="U1189" s="34" t="s">
        <v>4875</v>
      </c>
      <c r="V1189" s="35">
        <v>0.11550403225806452</v>
      </c>
      <c r="W1189" s="13"/>
      <c r="X1189" s="34">
        <v>1185</v>
      </c>
      <c r="Y1189" s="34" t="s">
        <v>2248</v>
      </c>
      <c r="Z1189" s="34" t="s">
        <v>3492</v>
      </c>
      <c r="AA1189" s="35">
        <v>3.495967741935484E-3</v>
      </c>
      <c r="AB1189" s="13"/>
      <c r="AC1189" s="47">
        <v>1185</v>
      </c>
      <c r="AD1189" s="47" t="s">
        <v>4573</v>
      </c>
      <c r="AE1189" s="47" t="s">
        <v>3360</v>
      </c>
      <c r="AF1189" s="48">
        <v>4.3608000000000002</v>
      </c>
    </row>
    <row r="1190" spans="19:32" x14ac:dyDescent="0.35">
      <c r="S1190" s="34">
        <v>1186</v>
      </c>
      <c r="T1190" s="34" t="s">
        <v>4284</v>
      </c>
      <c r="U1190" s="34" t="s">
        <v>4873</v>
      </c>
      <c r="V1190" s="35">
        <v>1.6006048387096774E-4</v>
      </c>
      <c r="W1190" s="13"/>
      <c r="X1190" s="34">
        <v>1186</v>
      </c>
      <c r="Y1190" s="34" t="s">
        <v>2248</v>
      </c>
      <c r="Z1190" s="34" t="s">
        <v>5473</v>
      </c>
      <c r="AA1190" s="35">
        <v>7.7459677419354847E-2</v>
      </c>
      <c r="AB1190" s="13"/>
      <c r="AC1190" s="34">
        <v>1186</v>
      </c>
      <c r="AD1190" s="34" t="s">
        <v>4573</v>
      </c>
      <c r="AE1190" s="34" t="s">
        <v>4726</v>
      </c>
      <c r="AF1190" s="35">
        <v>2.1421370967741938E-3</v>
      </c>
    </row>
    <row r="1191" spans="19:32" x14ac:dyDescent="0.35">
      <c r="S1191" s="41">
        <v>1187</v>
      </c>
      <c r="T1191" s="41" t="s">
        <v>4284</v>
      </c>
      <c r="U1191" s="41" t="s">
        <v>4872</v>
      </c>
      <c r="V1191" s="42">
        <v>12.465499999999999</v>
      </c>
      <c r="W1191" s="13"/>
      <c r="X1191" s="34">
        <v>1187</v>
      </c>
      <c r="Y1191" s="34" t="s">
        <v>2248</v>
      </c>
      <c r="Z1191" s="34" t="s">
        <v>5472</v>
      </c>
      <c r="AA1191" s="35">
        <v>4.4899193548387104E-2</v>
      </c>
      <c r="AB1191" s="13"/>
      <c r="AC1191" s="34">
        <v>1187</v>
      </c>
      <c r="AD1191" s="34" t="s">
        <v>4573</v>
      </c>
      <c r="AE1191" s="34" t="s">
        <v>3359</v>
      </c>
      <c r="AF1191" s="35">
        <v>4.4213709677419361E-2</v>
      </c>
    </row>
    <row r="1192" spans="19:32" x14ac:dyDescent="0.35">
      <c r="S1192" s="34">
        <v>1188</v>
      </c>
      <c r="T1192" s="34" t="s">
        <v>4284</v>
      </c>
      <c r="U1192" s="34" t="s">
        <v>4872</v>
      </c>
      <c r="V1192" s="35">
        <v>2.6219758064516129E-7</v>
      </c>
      <c r="W1192" s="13"/>
      <c r="X1192" s="34">
        <v>1188</v>
      </c>
      <c r="Y1192" s="34" t="s">
        <v>2248</v>
      </c>
      <c r="Z1192" s="34" t="s">
        <v>3729</v>
      </c>
      <c r="AA1192" s="35">
        <v>2.7899193548387101E-3</v>
      </c>
      <c r="AB1192" s="13"/>
      <c r="AC1192" s="47">
        <v>1188</v>
      </c>
      <c r="AD1192" s="47" t="s">
        <v>4573</v>
      </c>
      <c r="AE1192" s="47" t="s">
        <v>3359</v>
      </c>
      <c r="AF1192" s="48">
        <v>0</v>
      </c>
    </row>
    <row r="1193" spans="19:32" x14ac:dyDescent="0.35">
      <c r="S1193" s="34">
        <v>1189</v>
      </c>
      <c r="T1193" s="34" t="s">
        <v>4284</v>
      </c>
      <c r="U1193" s="34" t="s">
        <v>4871</v>
      </c>
      <c r="V1193" s="35">
        <v>3.4239919354838713E-5</v>
      </c>
      <c r="W1193" s="13"/>
      <c r="X1193" s="34">
        <v>1189</v>
      </c>
      <c r="Y1193" s="34" t="s">
        <v>2248</v>
      </c>
      <c r="Z1193" s="34" t="s">
        <v>5471</v>
      </c>
      <c r="AA1193" s="35">
        <v>2.2895161290322581E-3</v>
      </c>
      <c r="AB1193" s="13"/>
      <c r="AC1193" s="34">
        <v>1189</v>
      </c>
      <c r="AD1193" s="34" t="s">
        <v>4573</v>
      </c>
      <c r="AE1193" s="34" t="s">
        <v>4725</v>
      </c>
      <c r="AF1193" s="35">
        <v>1.7856854838709679</v>
      </c>
    </row>
    <row r="1194" spans="19:32" x14ac:dyDescent="0.35">
      <c r="S1194" s="34">
        <v>1190</v>
      </c>
      <c r="T1194" s="34" t="s">
        <v>4284</v>
      </c>
      <c r="U1194" s="34" t="s">
        <v>4870</v>
      </c>
      <c r="V1194" s="35">
        <v>5.5524193548387097E-4</v>
      </c>
      <c r="W1194" s="13"/>
      <c r="X1194" s="34">
        <v>1190</v>
      </c>
      <c r="Y1194" s="34" t="s">
        <v>2248</v>
      </c>
      <c r="Z1194" s="34" t="s">
        <v>5470</v>
      </c>
      <c r="AA1194" s="35">
        <v>2.0495967741935486E-3</v>
      </c>
      <c r="AB1194" s="13"/>
      <c r="AC1194" s="34">
        <v>1190</v>
      </c>
      <c r="AD1194" s="34" t="s">
        <v>4573</v>
      </c>
      <c r="AE1194" s="34" t="s">
        <v>4724</v>
      </c>
      <c r="AF1194" s="35">
        <v>2.9235887096774197E-3</v>
      </c>
    </row>
    <row r="1195" spans="19:32" x14ac:dyDescent="0.35">
      <c r="S1195" s="34">
        <v>1191</v>
      </c>
      <c r="T1195" s="34" t="s">
        <v>4284</v>
      </c>
      <c r="U1195" s="34" t="s">
        <v>4867</v>
      </c>
      <c r="V1195" s="35">
        <v>6.8548387096774195E-3</v>
      </c>
      <c r="W1195" s="13"/>
      <c r="X1195" s="34">
        <v>1191</v>
      </c>
      <c r="Y1195" s="34" t="s">
        <v>2248</v>
      </c>
      <c r="Z1195" s="34" t="s">
        <v>5469</v>
      </c>
      <c r="AA1195" s="35">
        <v>4.2842741935483876E-3</v>
      </c>
      <c r="AB1195" s="13"/>
      <c r="AC1195" s="34">
        <v>1191</v>
      </c>
      <c r="AD1195" s="34" t="s">
        <v>4573</v>
      </c>
      <c r="AE1195" s="34" t="s">
        <v>4723</v>
      </c>
      <c r="AF1195" s="35">
        <v>2.5979838709677423E-2</v>
      </c>
    </row>
    <row r="1196" spans="19:32" x14ac:dyDescent="0.35">
      <c r="S1196" s="34">
        <v>1192</v>
      </c>
      <c r="T1196" s="34" t="s">
        <v>4284</v>
      </c>
      <c r="U1196" s="34" t="s">
        <v>4865</v>
      </c>
      <c r="V1196" s="35">
        <v>9.7338709677419366E-2</v>
      </c>
      <c r="W1196" s="13"/>
      <c r="X1196" s="34">
        <v>1192</v>
      </c>
      <c r="Y1196" s="34" t="s">
        <v>2248</v>
      </c>
      <c r="Z1196" s="34" t="s">
        <v>5468</v>
      </c>
      <c r="AA1196" s="35">
        <v>5.2439516129032266E-3</v>
      </c>
      <c r="AB1196" s="13"/>
      <c r="AC1196" s="34">
        <v>1192</v>
      </c>
      <c r="AD1196" s="34" t="s">
        <v>4573</v>
      </c>
      <c r="AE1196" s="34" t="s">
        <v>4722</v>
      </c>
      <c r="AF1196" s="35">
        <v>1.346975806451613E-2</v>
      </c>
    </row>
    <row r="1197" spans="19:32" x14ac:dyDescent="0.35">
      <c r="S1197" s="34">
        <v>1193</v>
      </c>
      <c r="T1197" s="34" t="s">
        <v>4284</v>
      </c>
      <c r="U1197" s="34" t="s">
        <v>4862</v>
      </c>
      <c r="V1197" s="35">
        <v>0.16554435483870969</v>
      </c>
      <c r="W1197" s="13"/>
      <c r="X1197" s="34">
        <v>1193</v>
      </c>
      <c r="Y1197" s="34" t="s">
        <v>2248</v>
      </c>
      <c r="Z1197" s="34" t="s">
        <v>5467</v>
      </c>
      <c r="AA1197" s="35">
        <v>2.2449596774193549E-3</v>
      </c>
      <c r="AB1197" s="13"/>
      <c r="AC1197" s="34">
        <v>1193</v>
      </c>
      <c r="AD1197" s="34" t="s">
        <v>4573</v>
      </c>
      <c r="AE1197" s="34" t="s">
        <v>4721</v>
      </c>
      <c r="AF1197" s="35">
        <v>0.14326612903225808</v>
      </c>
    </row>
    <row r="1198" spans="19:32" x14ac:dyDescent="0.35">
      <c r="S1198" s="34">
        <v>1194</v>
      </c>
      <c r="T1198" s="34" t="s">
        <v>4284</v>
      </c>
      <c r="U1198" s="34" t="s">
        <v>3423</v>
      </c>
      <c r="V1198" s="35">
        <v>1.2784274193548389E-4</v>
      </c>
      <c r="W1198" s="13"/>
      <c r="X1198" s="34">
        <v>1194</v>
      </c>
      <c r="Y1198" s="34" t="s">
        <v>2248</v>
      </c>
      <c r="Z1198" s="34" t="s">
        <v>5466</v>
      </c>
      <c r="AA1198" s="35">
        <v>2.4300403225806454E-3</v>
      </c>
      <c r="AB1198" s="13"/>
      <c r="AC1198" s="34">
        <v>1194</v>
      </c>
      <c r="AD1198" s="34" t="s">
        <v>4573</v>
      </c>
      <c r="AE1198" s="34" t="s">
        <v>4720</v>
      </c>
      <c r="AF1198" s="35">
        <v>7.5745967741935489</v>
      </c>
    </row>
    <row r="1199" spans="19:32" x14ac:dyDescent="0.35">
      <c r="S1199" s="34">
        <v>1195</v>
      </c>
      <c r="T1199" s="34" t="s">
        <v>4284</v>
      </c>
      <c r="U1199" s="34" t="s">
        <v>3423</v>
      </c>
      <c r="V1199" s="35">
        <v>0.16652</v>
      </c>
      <c r="W1199" s="13"/>
      <c r="X1199" s="34">
        <v>1195</v>
      </c>
      <c r="Y1199" s="34" t="s">
        <v>2248</v>
      </c>
      <c r="Z1199" s="34" t="s">
        <v>5465</v>
      </c>
      <c r="AA1199" s="35">
        <v>2.5568548387096775E-2</v>
      </c>
      <c r="AB1199" s="13"/>
      <c r="AC1199" s="34">
        <v>1195</v>
      </c>
      <c r="AD1199" s="34" t="s">
        <v>4573</v>
      </c>
      <c r="AE1199" s="34" t="s">
        <v>3358</v>
      </c>
      <c r="AF1199" s="35">
        <v>225.5241935483871</v>
      </c>
    </row>
    <row r="1200" spans="19:32" x14ac:dyDescent="0.35">
      <c r="S1200" s="34">
        <v>1196</v>
      </c>
      <c r="T1200" s="34" t="s">
        <v>4284</v>
      </c>
      <c r="U1200" s="34" t="s">
        <v>4858</v>
      </c>
      <c r="V1200" s="35">
        <v>0.19056451612903227</v>
      </c>
      <c r="W1200" s="13"/>
      <c r="X1200" s="34">
        <v>1196</v>
      </c>
      <c r="Y1200" s="34" t="s">
        <v>2248</v>
      </c>
      <c r="Z1200" s="34" t="s">
        <v>5464</v>
      </c>
      <c r="AA1200" s="35">
        <v>6.9576612903225815E-3</v>
      </c>
      <c r="AB1200" s="13"/>
      <c r="AC1200" s="47">
        <v>1196</v>
      </c>
      <c r="AD1200" s="47" t="s">
        <v>4573</v>
      </c>
      <c r="AE1200" s="47" t="s">
        <v>3358</v>
      </c>
      <c r="AF1200" s="48">
        <v>0</v>
      </c>
    </row>
    <row r="1201" spans="19:32" x14ac:dyDescent="0.35">
      <c r="S1201" s="34">
        <v>1197</v>
      </c>
      <c r="T1201" s="34" t="s">
        <v>4284</v>
      </c>
      <c r="U1201" s="34" t="s">
        <v>4855</v>
      </c>
      <c r="V1201" s="35">
        <v>0.12852822580645162</v>
      </c>
      <c r="W1201" s="13"/>
      <c r="X1201" s="34">
        <v>1197</v>
      </c>
      <c r="Y1201" s="34" t="s">
        <v>2248</v>
      </c>
      <c r="Z1201" s="34" t="s">
        <v>3491</v>
      </c>
      <c r="AA1201" s="35">
        <v>0</v>
      </c>
      <c r="AB1201" s="13"/>
      <c r="AC1201" s="34">
        <v>1197</v>
      </c>
      <c r="AD1201" s="34" t="s">
        <v>4573</v>
      </c>
      <c r="AE1201" s="34" t="s">
        <v>4719</v>
      </c>
      <c r="AF1201" s="35">
        <v>8.7056451612903235E-2</v>
      </c>
    </row>
    <row r="1202" spans="19:32" x14ac:dyDescent="0.35">
      <c r="S1202" s="34">
        <v>1198</v>
      </c>
      <c r="T1202" s="34" t="s">
        <v>4284</v>
      </c>
      <c r="U1202" s="34" t="s">
        <v>4852</v>
      </c>
      <c r="V1202" s="35">
        <v>1.9467741935483873</v>
      </c>
      <c r="W1202" s="13"/>
      <c r="X1202" s="34">
        <v>1198</v>
      </c>
      <c r="Y1202" s="34" t="s">
        <v>2248</v>
      </c>
      <c r="Z1202" s="34" t="s">
        <v>4981</v>
      </c>
      <c r="AA1202" s="35">
        <v>1.5663306451612905E-2</v>
      </c>
      <c r="AB1202" s="13"/>
      <c r="AC1202" s="34">
        <v>1198</v>
      </c>
      <c r="AD1202" s="34" t="s">
        <v>4573</v>
      </c>
      <c r="AE1202" s="34" t="s">
        <v>4718</v>
      </c>
      <c r="AF1202" s="35">
        <v>3.6673387096774195</v>
      </c>
    </row>
    <row r="1203" spans="19:32" x14ac:dyDescent="0.35">
      <c r="S1203" s="34">
        <v>1199</v>
      </c>
      <c r="T1203" s="34" t="s">
        <v>4284</v>
      </c>
      <c r="U1203" s="34" t="s">
        <v>4850</v>
      </c>
      <c r="V1203" s="35">
        <v>4.6270161290322583E-4</v>
      </c>
      <c r="W1203" s="13"/>
      <c r="X1203" s="34">
        <v>1199</v>
      </c>
      <c r="Y1203" s="34" t="s">
        <v>2248</v>
      </c>
      <c r="Z1203" s="34" t="s">
        <v>5463</v>
      </c>
      <c r="AA1203" s="35">
        <v>3.7358870967741938E-2</v>
      </c>
      <c r="AB1203" s="13"/>
      <c r="AC1203" s="34">
        <v>1199</v>
      </c>
      <c r="AD1203" s="34" t="s">
        <v>4573</v>
      </c>
      <c r="AE1203" s="34" t="s">
        <v>4717</v>
      </c>
      <c r="AF1203" s="35">
        <v>50.383064516129039</v>
      </c>
    </row>
    <row r="1204" spans="19:32" x14ac:dyDescent="0.35">
      <c r="S1204" s="34">
        <v>1200</v>
      </c>
      <c r="T1204" s="34" t="s">
        <v>4284</v>
      </c>
      <c r="U1204" s="34" t="s">
        <v>3422</v>
      </c>
      <c r="V1204" s="35">
        <v>1.5526209677419354E-3</v>
      </c>
      <c r="W1204" s="13"/>
      <c r="X1204" s="34">
        <v>1200</v>
      </c>
      <c r="Y1204" s="34" t="s">
        <v>2248</v>
      </c>
      <c r="Z1204" s="34" t="s">
        <v>3489</v>
      </c>
      <c r="AA1204" s="35">
        <v>0</v>
      </c>
      <c r="AB1204" s="13"/>
      <c r="AC1204" s="34">
        <v>1200</v>
      </c>
      <c r="AD1204" s="34" t="s">
        <v>4573</v>
      </c>
      <c r="AE1204" s="34" t="s">
        <v>3357</v>
      </c>
      <c r="AF1204" s="35">
        <v>7.5403225806451618E-2</v>
      </c>
    </row>
    <row r="1205" spans="19:32" x14ac:dyDescent="0.35">
      <c r="S1205" s="34">
        <v>1201</v>
      </c>
      <c r="T1205" s="34" t="s">
        <v>4284</v>
      </c>
      <c r="U1205" s="34" t="s">
        <v>3422</v>
      </c>
      <c r="V1205" s="35">
        <v>0.30176000000000003</v>
      </c>
      <c r="W1205" s="13"/>
      <c r="X1205" s="34">
        <v>1201</v>
      </c>
      <c r="Y1205" s="34" t="s">
        <v>2248</v>
      </c>
      <c r="Z1205" s="34" t="s">
        <v>3489</v>
      </c>
      <c r="AA1205" s="35">
        <v>1.4600806451612904E-3</v>
      </c>
      <c r="AB1205" s="13"/>
      <c r="AC1205" s="47">
        <v>1201</v>
      </c>
      <c r="AD1205" s="47" t="s">
        <v>4573</v>
      </c>
      <c r="AE1205" s="47" t="s">
        <v>3357</v>
      </c>
      <c r="AF1205" s="48">
        <v>0</v>
      </c>
    </row>
    <row r="1206" spans="19:32" x14ac:dyDescent="0.35">
      <c r="S1206" s="34">
        <v>1202</v>
      </c>
      <c r="T1206" s="34" t="s">
        <v>4284</v>
      </c>
      <c r="U1206" s="34" t="s">
        <v>4845</v>
      </c>
      <c r="V1206" s="35">
        <v>7.5403225806451623E-4</v>
      </c>
      <c r="W1206" s="13"/>
      <c r="X1206" s="34">
        <v>1202</v>
      </c>
      <c r="Y1206" s="34" t="s">
        <v>2248</v>
      </c>
      <c r="Z1206" s="34" t="s">
        <v>5462</v>
      </c>
      <c r="AA1206" s="35">
        <v>8.8770161290322586E-4</v>
      </c>
      <c r="AB1206" s="13"/>
      <c r="AC1206" s="47">
        <v>1202</v>
      </c>
      <c r="AD1206" s="47" t="s">
        <v>4573</v>
      </c>
      <c r="AE1206" s="47" t="s">
        <v>3355</v>
      </c>
      <c r="AF1206" s="48">
        <v>97.52</v>
      </c>
    </row>
    <row r="1207" spans="19:32" x14ac:dyDescent="0.35">
      <c r="S1207" s="34">
        <v>1203</v>
      </c>
      <c r="T1207" s="34" t="s">
        <v>4284</v>
      </c>
      <c r="U1207" s="34" t="s">
        <v>3420</v>
      </c>
      <c r="V1207" s="35">
        <v>5.0383064516129035E-3</v>
      </c>
      <c r="W1207" s="13"/>
      <c r="X1207" s="34">
        <v>1203</v>
      </c>
      <c r="Y1207" s="34" t="s">
        <v>2248</v>
      </c>
      <c r="Z1207" s="34" t="s">
        <v>4980</v>
      </c>
      <c r="AA1207" s="35">
        <v>1.052217741935484E-2</v>
      </c>
      <c r="AB1207" s="13"/>
      <c r="AC1207" s="34">
        <v>1203</v>
      </c>
      <c r="AD1207" s="34" t="s">
        <v>4573</v>
      </c>
      <c r="AE1207" s="34" t="s">
        <v>4716</v>
      </c>
      <c r="AF1207" s="35">
        <v>9.6995967741935499E-5</v>
      </c>
    </row>
    <row r="1208" spans="19:32" x14ac:dyDescent="0.35">
      <c r="S1208" s="34">
        <v>1204</v>
      </c>
      <c r="T1208" s="34" t="s">
        <v>4284</v>
      </c>
      <c r="U1208" s="34" t="s">
        <v>3420</v>
      </c>
      <c r="V1208" s="35">
        <v>0.13339999999999999</v>
      </c>
      <c r="W1208" s="13"/>
      <c r="X1208" s="34">
        <v>1204</v>
      </c>
      <c r="Y1208" s="34" t="s">
        <v>2248</v>
      </c>
      <c r="Z1208" s="34" t="s">
        <v>4979</v>
      </c>
      <c r="AA1208" s="35">
        <v>2.0907258064516133E-3</v>
      </c>
      <c r="AB1208" s="13"/>
      <c r="AC1208" s="47">
        <v>1204</v>
      </c>
      <c r="AD1208" s="47" t="s">
        <v>4573</v>
      </c>
      <c r="AE1208" s="47" t="s">
        <v>3354</v>
      </c>
      <c r="AF1208" s="48">
        <v>0.21712000000000001</v>
      </c>
    </row>
    <row r="1209" spans="19:32" x14ac:dyDescent="0.35">
      <c r="S1209" s="34">
        <v>1205</v>
      </c>
      <c r="T1209" s="34" t="s">
        <v>4284</v>
      </c>
      <c r="U1209" s="34" t="s">
        <v>3419</v>
      </c>
      <c r="V1209" s="35">
        <v>0.39100000000000001</v>
      </c>
      <c r="W1209" s="13"/>
      <c r="X1209" s="34">
        <v>1205</v>
      </c>
      <c r="Y1209" s="34" t="s">
        <v>2248</v>
      </c>
      <c r="Z1209" s="34" t="s">
        <v>3723</v>
      </c>
      <c r="AA1209" s="35">
        <v>6.3407258064516136E-4</v>
      </c>
      <c r="AB1209" s="13"/>
      <c r="AC1209" s="34">
        <v>1205</v>
      </c>
      <c r="AD1209" s="34" t="s">
        <v>4573</v>
      </c>
      <c r="AE1209" s="34" t="s">
        <v>3353</v>
      </c>
      <c r="AF1209" s="35">
        <v>2.0735887096774196E-3</v>
      </c>
    </row>
    <row r="1210" spans="19:32" x14ac:dyDescent="0.35">
      <c r="S1210" s="34">
        <v>1206</v>
      </c>
      <c r="T1210" s="34" t="s">
        <v>4284</v>
      </c>
      <c r="U1210" s="34" t="s">
        <v>3417</v>
      </c>
      <c r="V1210" s="35">
        <v>6.8891129032258071E-4</v>
      </c>
      <c r="W1210" s="13"/>
      <c r="X1210" s="34">
        <v>1206</v>
      </c>
      <c r="Y1210" s="34" t="s">
        <v>2248</v>
      </c>
      <c r="Z1210" s="34" t="s">
        <v>3488</v>
      </c>
      <c r="AA1210" s="35">
        <v>0</v>
      </c>
      <c r="AB1210" s="13"/>
      <c r="AC1210" s="47">
        <v>1206</v>
      </c>
      <c r="AD1210" s="47" t="s">
        <v>4573</v>
      </c>
      <c r="AE1210" s="47" t="s">
        <v>3353</v>
      </c>
      <c r="AF1210" s="48">
        <v>5.7683999999999997</v>
      </c>
    </row>
    <row r="1211" spans="19:32" x14ac:dyDescent="0.35">
      <c r="S1211" s="34">
        <v>1207</v>
      </c>
      <c r="T1211" s="34" t="s">
        <v>4284</v>
      </c>
      <c r="U1211" s="34" t="s">
        <v>3417</v>
      </c>
      <c r="V1211" s="35">
        <v>5.0415999999999999</v>
      </c>
      <c r="W1211" s="13"/>
      <c r="X1211" s="34">
        <v>1207</v>
      </c>
      <c r="Y1211" s="34" t="s">
        <v>2248</v>
      </c>
      <c r="Z1211" s="34" t="s">
        <v>4978</v>
      </c>
      <c r="AA1211" s="35">
        <v>1.3435483870967743E-3</v>
      </c>
      <c r="AB1211" s="13"/>
      <c r="AC1211" s="34">
        <v>1207</v>
      </c>
      <c r="AD1211" s="34" t="s">
        <v>4573</v>
      </c>
      <c r="AE1211" s="34" t="s">
        <v>4715</v>
      </c>
      <c r="AF1211" s="35">
        <v>1.3743951612903227E-2</v>
      </c>
    </row>
    <row r="1212" spans="19:32" x14ac:dyDescent="0.35">
      <c r="S1212" s="34">
        <v>1208</v>
      </c>
      <c r="T1212" s="34" t="s">
        <v>4284</v>
      </c>
      <c r="U1212" s="34" t="s">
        <v>4839</v>
      </c>
      <c r="V1212" s="35">
        <v>1.4018145161290322E-3</v>
      </c>
      <c r="W1212" s="13"/>
      <c r="X1212" s="34">
        <v>1208</v>
      </c>
      <c r="Y1212" s="34" t="s">
        <v>2248</v>
      </c>
      <c r="Z1212" s="34" t="s">
        <v>4977</v>
      </c>
      <c r="AA1212" s="35">
        <v>3.4239919354838713E-4</v>
      </c>
      <c r="AB1212" s="13"/>
      <c r="AC1212" s="34">
        <v>1208</v>
      </c>
      <c r="AD1212" s="34" t="s">
        <v>4573</v>
      </c>
      <c r="AE1212" s="34" t="s">
        <v>4714</v>
      </c>
      <c r="AF1212" s="35">
        <v>1.3092741935483872E-2</v>
      </c>
    </row>
    <row r="1213" spans="19:32" x14ac:dyDescent="0.35">
      <c r="S1213" s="34">
        <v>1209</v>
      </c>
      <c r="T1213" s="34" t="s">
        <v>4284</v>
      </c>
      <c r="U1213" s="34" t="s">
        <v>4837</v>
      </c>
      <c r="V1213" s="35">
        <v>7.9858870967741945E-7</v>
      </c>
      <c r="W1213" s="13"/>
      <c r="X1213" s="34">
        <v>1209</v>
      </c>
      <c r="Y1213" s="34" t="s">
        <v>2248</v>
      </c>
      <c r="Z1213" s="34" t="s">
        <v>5461</v>
      </c>
      <c r="AA1213" s="35">
        <v>1.8028225806451614E-3</v>
      </c>
      <c r="AB1213" s="13"/>
      <c r="AC1213" s="34">
        <v>1209</v>
      </c>
      <c r="AD1213" s="34" t="s">
        <v>4573</v>
      </c>
      <c r="AE1213" s="34" t="s">
        <v>4711</v>
      </c>
      <c r="AF1213" s="35">
        <v>1.8473790322580647E-2</v>
      </c>
    </row>
    <row r="1214" spans="19:32" x14ac:dyDescent="0.35">
      <c r="S1214" s="34">
        <v>1210</v>
      </c>
      <c r="T1214" s="34" t="s">
        <v>4284</v>
      </c>
      <c r="U1214" s="34" t="s">
        <v>3416</v>
      </c>
      <c r="V1214" s="35">
        <v>1.9673387096774197E-2</v>
      </c>
      <c r="W1214" s="13"/>
      <c r="X1214" s="34">
        <v>1210</v>
      </c>
      <c r="Y1214" s="34" t="s">
        <v>2248</v>
      </c>
      <c r="Z1214" s="34" t="s">
        <v>4976</v>
      </c>
      <c r="AA1214" s="35">
        <v>2.587701612903226E-3</v>
      </c>
      <c r="AB1214" s="13"/>
      <c r="AC1214" s="34">
        <v>1210</v>
      </c>
      <c r="AD1214" s="34" t="s">
        <v>4573</v>
      </c>
      <c r="AE1214" s="34" t="s">
        <v>3352</v>
      </c>
      <c r="AF1214" s="35">
        <v>75.745967741935488</v>
      </c>
    </row>
    <row r="1215" spans="19:32" x14ac:dyDescent="0.35">
      <c r="S1215" s="34">
        <v>1211</v>
      </c>
      <c r="T1215" s="34" t="s">
        <v>4284</v>
      </c>
      <c r="U1215" s="34" t="s">
        <v>3416</v>
      </c>
      <c r="V1215" s="35">
        <v>5.9064000000000005</v>
      </c>
      <c r="W1215" s="13"/>
      <c r="X1215" s="34">
        <v>1211</v>
      </c>
      <c r="Y1215" s="34" t="s">
        <v>2248</v>
      </c>
      <c r="Z1215" s="34" t="s">
        <v>4975</v>
      </c>
      <c r="AA1215" s="35">
        <v>1.9536290322580648E-2</v>
      </c>
      <c r="AB1215" s="13"/>
      <c r="AC1215" s="47">
        <v>1211</v>
      </c>
      <c r="AD1215" s="47" t="s">
        <v>4573</v>
      </c>
      <c r="AE1215" s="47" t="s">
        <v>3352</v>
      </c>
      <c r="AF1215" s="48">
        <v>0</v>
      </c>
    </row>
    <row r="1216" spans="19:32" x14ac:dyDescent="0.35">
      <c r="S1216" s="36">
        <v>1212</v>
      </c>
      <c r="T1216" s="36" t="s">
        <v>4284</v>
      </c>
      <c r="U1216" s="36" t="s">
        <v>5460</v>
      </c>
      <c r="V1216" s="37">
        <v>11.930499999999999</v>
      </c>
      <c r="W1216" s="13"/>
      <c r="X1216" s="34">
        <v>1212</v>
      </c>
      <c r="Y1216" s="34" t="s">
        <v>2248</v>
      </c>
      <c r="Z1216" s="34" t="s">
        <v>3719</v>
      </c>
      <c r="AA1216" s="35">
        <v>1.4875000000000001E-3</v>
      </c>
      <c r="AB1216" s="13"/>
      <c r="AC1216" s="47">
        <v>1212</v>
      </c>
      <c r="AD1216" s="47" t="s">
        <v>4573</v>
      </c>
      <c r="AE1216" s="47" t="s">
        <v>3350</v>
      </c>
      <c r="AF1216" s="48">
        <v>4885.2</v>
      </c>
    </row>
    <row r="1217" spans="19:32" x14ac:dyDescent="0.35">
      <c r="S1217" s="34">
        <v>1213</v>
      </c>
      <c r="T1217" s="34" t="s">
        <v>4284</v>
      </c>
      <c r="U1217" s="34" t="s">
        <v>3414</v>
      </c>
      <c r="V1217" s="35">
        <v>1.7020000000000002</v>
      </c>
      <c r="W1217" s="13"/>
      <c r="X1217" s="34">
        <v>1213</v>
      </c>
      <c r="Y1217" s="34" t="s">
        <v>2248</v>
      </c>
      <c r="Z1217" s="34" t="s">
        <v>3487</v>
      </c>
      <c r="AA1217" s="35">
        <v>0</v>
      </c>
      <c r="AB1217" s="13"/>
      <c r="AC1217" s="47">
        <v>1213</v>
      </c>
      <c r="AD1217" s="47" t="s">
        <v>4573</v>
      </c>
      <c r="AE1217" s="47" t="s">
        <v>3349</v>
      </c>
      <c r="AF1217" s="48">
        <v>0</v>
      </c>
    </row>
    <row r="1218" spans="19:32" x14ac:dyDescent="0.35">
      <c r="S1218" s="34">
        <v>1214</v>
      </c>
      <c r="T1218" s="34" t="s">
        <v>4284</v>
      </c>
      <c r="U1218" s="34" t="s">
        <v>3413</v>
      </c>
      <c r="V1218" s="35">
        <v>6.0259999999999998</v>
      </c>
      <c r="W1218" s="13"/>
      <c r="X1218" s="34">
        <v>1214</v>
      </c>
      <c r="Y1218" s="34" t="s">
        <v>2248</v>
      </c>
      <c r="Z1218" s="34" t="s">
        <v>3485</v>
      </c>
      <c r="AA1218" s="35">
        <v>0</v>
      </c>
      <c r="AB1218" s="13"/>
      <c r="AC1218" s="34">
        <v>1214</v>
      </c>
      <c r="AD1218" s="34" t="s">
        <v>4573</v>
      </c>
      <c r="AE1218" s="34" t="s">
        <v>3347</v>
      </c>
      <c r="AF1218" s="35">
        <v>0.28618951612903226</v>
      </c>
    </row>
    <row r="1219" spans="19:32" x14ac:dyDescent="0.35">
      <c r="S1219" s="34">
        <v>1215</v>
      </c>
      <c r="T1219" s="34" t="s">
        <v>4284</v>
      </c>
      <c r="U1219" s="34" t="s">
        <v>4832</v>
      </c>
      <c r="V1219" s="35">
        <v>8.9455645161290334E-4</v>
      </c>
      <c r="W1219" s="13"/>
      <c r="X1219" s="34">
        <v>1215</v>
      </c>
      <c r="Y1219" s="34" t="s">
        <v>2248</v>
      </c>
      <c r="Z1219" s="34" t="s">
        <v>3485</v>
      </c>
      <c r="AA1219" s="35">
        <v>1.8336693548387099E-3</v>
      </c>
      <c r="AB1219" s="13"/>
      <c r="AC1219" s="47">
        <v>1215</v>
      </c>
      <c r="AD1219" s="47" t="s">
        <v>4573</v>
      </c>
      <c r="AE1219" s="47" t="s">
        <v>3347</v>
      </c>
      <c r="AF1219" s="48">
        <v>0</v>
      </c>
    </row>
    <row r="1220" spans="19:32" x14ac:dyDescent="0.35">
      <c r="S1220" s="34">
        <v>1216</v>
      </c>
      <c r="T1220" s="34" t="s">
        <v>4284</v>
      </c>
      <c r="U1220" s="34" t="s">
        <v>4830</v>
      </c>
      <c r="V1220" s="35">
        <v>2.2004032258064517E-5</v>
      </c>
      <c r="W1220" s="13"/>
      <c r="X1220" s="34">
        <v>1216</v>
      </c>
      <c r="Y1220" s="34" t="s">
        <v>2248</v>
      </c>
      <c r="Z1220" s="34" t="s">
        <v>5459</v>
      </c>
      <c r="AA1220" s="35">
        <v>4.2157258064516132E-2</v>
      </c>
      <c r="AB1220" s="13"/>
      <c r="AC1220" s="34">
        <v>1216</v>
      </c>
      <c r="AD1220" s="34" t="s">
        <v>4573</v>
      </c>
      <c r="AE1220" s="34" t="s">
        <v>4704</v>
      </c>
      <c r="AF1220" s="35">
        <v>0.21558467741935486</v>
      </c>
    </row>
    <row r="1221" spans="19:32" x14ac:dyDescent="0.35">
      <c r="S1221" s="34">
        <v>1217</v>
      </c>
      <c r="T1221" s="34" t="s">
        <v>4284</v>
      </c>
      <c r="U1221" s="34" t="s">
        <v>3411</v>
      </c>
      <c r="V1221" s="35">
        <v>2.3409274193548392E-5</v>
      </c>
      <c r="W1221" s="13"/>
      <c r="X1221" s="34">
        <v>1217</v>
      </c>
      <c r="Y1221" s="34" t="s">
        <v>2248</v>
      </c>
      <c r="Z1221" s="34" t="s">
        <v>3484</v>
      </c>
      <c r="AA1221" s="35">
        <v>1.9044E-4</v>
      </c>
      <c r="AB1221" s="13"/>
      <c r="AC1221" s="34">
        <v>1217</v>
      </c>
      <c r="AD1221" s="34" t="s">
        <v>4573</v>
      </c>
      <c r="AE1221" s="34" t="s">
        <v>4703</v>
      </c>
      <c r="AF1221" s="35">
        <v>0.55524193548387102</v>
      </c>
    </row>
    <row r="1222" spans="19:32" x14ac:dyDescent="0.35">
      <c r="S1222" s="34">
        <v>1218</v>
      </c>
      <c r="T1222" s="34" t="s">
        <v>4284</v>
      </c>
      <c r="U1222" s="34" t="s">
        <v>3411</v>
      </c>
      <c r="V1222" s="35">
        <v>8.2799999999999999E-2</v>
      </c>
      <c r="W1222" s="13"/>
      <c r="X1222" s="34">
        <v>1218</v>
      </c>
      <c r="Y1222" s="34" t="s">
        <v>2248</v>
      </c>
      <c r="Z1222" s="34" t="s">
        <v>3484</v>
      </c>
      <c r="AA1222" s="35">
        <v>6.2721774193548392E-5</v>
      </c>
      <c r="AB1222" s="13"/>
      <c r="AC1222" s="34">
        <v>1218</v>
      </c>
      <c r="AD1222" s="34" t="s">
        <v>4573</v>
      </c>
      <c r="AE1222" s="34" t="s">
        <v>4702</v>
      </c>
      <c r="AF1222" s="35">
        <v>4.318548387096775E-3</v>
      </c>
    </row>
    <row r="1223" spans="19:32" x14ac:dyDescent="0.35">
      <c r="S1223" s="34">
        <v>1219</v>
      </c>
      <c r="T1223" s="34" t="s">
        <v>4284</v>
      </c>
      <c r="U1223" s="34" t="s">
        <v>4825</v>
      </c>
      <c r="V1223" s="35">
        <v>6.5463709677419363E-5</v>
      </c>
      <c r="W1223" s="13"/>
      <c r="X1223" s="34">
        <v>1219</v>
      </c>
      <c r="Y1223" s="34" t="s">
        <v>2248</v>
      </c>
      <c r="Z1223" s="34" t="s">
        <v>5458</v>
      </c>
      <c r="AA1223" s="35">
        <v>3.067540322580645E-4</v>
      </c>
      <c r="AB1223" s="13"/>
      <c r="AC1223" s="34">
        <v>1219</v>
      </c>
      <c r="AD1223" s="34" t="s">
        <v>4573</v>
      </c>
      <c r="AE1223" s="34" t="s">
        <v>4701</v>
      </c>
      <c r="AF1223" s="35">
        <v>0.3495967741935484</v>
      </c>
    </row>
    <row r="1224" spans="19:32" x14ac:dyDescent="0.35">
      <c r="S1224" s="34">
        <v>1220</v>
      </c>
      <c r="T1224" s="34" t="s">
        <v>4284</v>
      </c>
      <c r="U1224" s="34" t="s">
        <v>3409</v>
      </c>
      <c r="V1224" s="35">
        <v>0</v>
      </c>
      <c r="W1224" s="13"/>
      <c r="X1224" s="34">
        <v>1220</v>
      </c>
      <c r="Y1224" s="34" t="s">
        <v>2248</v>
      </c>
      <c r="Z1224" s="34" t="s">
        <v>3482</v>
      </c>
      <c r="AA1224" s="35">
        <v>5.1704E-2</v>
      </c>
      <c r="AB1224" s="13"/>
      <c r="AC1224" s="34">
        <v>1220</v>
      </c>
      <c r="AD1224" s="34" t="s">
        <v>4573</v>
      </c>
      <c r="AE1224" s="34" t="s">
        <v>4700</v>
      </c>
      <c r="AF1224" s="35">
        <v>2.3957661290322583</v>
      </c>
    </row>
    <row r="1225" spans="19:32" x14ac:dyDescent="0.35">
      <c r="S1225" s="36">
        <v>1221</v>
      </c>
      <c r="T1225" s="36" t="s">
        <v>4284</v>
      </c>
      <c r="U1225" s="36" t="s">
        <v>3408</v>
      </c>
      <c r="V1225" s="37">
        <v>6.5804999999999998</v>
      </c>
      <c r="W1225" s="13"/>
      <c r="X1225" s="34">
        <v>1221</v>
      </c>
      <c r="Y1225" s="34" t="s">
        <v>2248</v>
      </c>
      <c r="Z1225" s="34" t="s">
        <v>3481</v>
      </c>
      <c r="AA1225" s="35">
        <v>5.1060000000000001E-2</v>
      </c>
      <c r="AB1225" s="13"/>
      <c r="AC1225" s="34">
        <v>1221</v>
      </c>
      <c r="AD1225" s="34" t="s">
        <v>4573</v>
      </c>
      <c r="AE1225" s="34" t="s">
        <v>4699</v>
      </c>
      <c r="AF1225" s="35">
        <v>9.0483870967741943E-3</v>
      </c>
    </row>
    <row r="1226" spans="19:32" x14ac:dyDescent="0.35">
      <c r="S1226" s="34">
        <v>1222</v>
      </c>
      <c r="T1226" s="34" t="s">
        <v>4284</v>
      </c>
      <c r="U1226" s="34" t="s">
        <v>3408</v>
      </c>
      <c r="V1226" s="35">
        <v>8.7741935483870975E-7</v>
      </c>
      <c r="W1226" s="13"/>
      <c r="X1226" s="34">
        <v>1222</v>
      </c>
      <c r="Y1226" s="34" t="s">
        <v>2248</v>
      </c>
      <c r="Z1226" s="34" t="s">
        <v>5457</v>
      </c>
      <c r="AA1226" s="35">
        <v>8.705645161290323E-6</v>
      </c>
      <c r="AB1226" s="13"/>
      <c r="AC1226" s="34">
        <v>1222</v>
      </c>
      <c r="AD1226" s="34" t="s">
        <v>4573</v>
      </c>
      <c r="AE1226" s="34" t="s">
        <v>4698</v>
      </c>
      <c r="AF1226" s="35">
        <v>8.4314516129032263E-2</v>
      </c>
    </row>
    <row r="1227" spans="19:32" x14ac:dyDescent="0.35">
      <c r="S1227" s="34">
        <v>1223</v>
      </c>
      <c r="T1227" s="34" t="s">
        <v>4284</v>
      </c>
      <c r="U1227" s="34" t="s">
        <v>3408</v>
      </c>
      <c r="V1227" s="35">
        <v>0.29899999999999999</v>
      </c>
      <c r="W1227" s="13"/>
      <c r="X1227" s="34">
        <v>1223</v>
      </c>
      <c r="Y1227" s="34" t="s">
        <v>2248</v>
      </c>
      <c r="Z1227" s="34" t="s">
        <v>3481</v>
      </c>
      <c r="AA1227" s="35">
        <v>4.0443548387096781E-3</v>
      </c>
      <c r="AB1227" s="13"/>
      <c r="AC1227" s="34">
        <v>1223</v>
      </c>
      <c r="AD1227" s="34" t="s">
        <v>4573</v>
      </c>
      <c r="AE1227" s="34" t="s">
        <v>4696</v>
      </c>
      <c r="AF1227" s="35">
        <v>0.13366935483870968</v>
      </c>
    </row>
    <row r="1228" spans="19:32" x14ac:dyDescent="0.35">
      <c r="S1228" s="34">
        <v>1224</v>
      </c>
      <c r="T1228" s="34" t="s">
        <v>4284</v>
      </c>
      <c r="U1228" s="34" t="s">
        <v>4822</v>
      </c>
      <c r="V1228" s="35">
        <v>3.5302419354838713E-4</v>
      </c>
      <c r="W1228" s="13"/>
      <c r="X1228" s="34">
        <v>1224</v>
      </c>
      <c r="Y1228" s="34" t="s">
        <v>2248</v>
      </c>
      <c r="Z1228" s="34" t="s">
        <v>4974</v>
      </c>
      <c r="AA1228" s="35">
        <v>1.2750000000000001E-2</v>
      </c>
      <c r="AB1228" s="13"/>
      <c r="AC1228" s="34">
        <v>1224</v>
      </c>
      <c r="AD1228" s="34" t="s">
        <v>4573</v>
      </c>
      <c r="AE1228" s="34" t="s">
        <v>4695</v>
      </c>
      <c r="AF1228" s="35">
        <v>6.6149193548387109E-2</v>
      </c>
    </row>
    <row r="1229" spans="19:32" x14ac:dyDescent="0.35">
      <c r="S1229" s="34">
        <v>1225</v>
      </c>
      <c r="T1229" s="34" t="s">
        <v>4284</v>
      </c>
      <c r="U1229" s="34" t="s">
        <v>3406</v>
      </c>
      <c r="V1229" s="35">
        <v>1.8131048387096775E-2</v>
      </c>
      <c r="W1229" s="13"/>
      <c r="X1229" s="34">
        <v>1225</v>
      </c>
      <c r="Y1229" s="34" t="s">
        <v>2248</v>
      </c>
      <c r="Z1229" s="34" t="s">
        <v>4973</v>
      </c>
      <c r="AA1229" s="35">
        <v>7.4375000000000005E-3</v>
      </c>
      <c r="AB1229" s="13"/>
      <c r="AC1229" s="34">
        <v>1225</v>
      </c>
      <c r="AD1229" s="34" t="s">
        <v>4573</v>
      </c>
      <c r="AE1229" s="34" t="s">
        <v>4694</v>
      </c>
      <c r="AF1229" s="35">
        <v>4.6270161290322583E-2</v>
      </c>
    </row>
    <row r="1230" spans="19:32" x14ac:dyDescent="0.35">
      <c r="S1230" s="34">
        <v>1226</v>
      </c>
      <c r="T1230" s="34" t="s">
        <v>4284</v>
      </c>
      <c r="U1230" s="34" t="s">
        <v>3406</v>
      </c>
      <c r="V1230" s="35">
        <v>65.963999999999999</v>
      </c>
      <c r="W1230" s="13"/>
      <c r="X1230" s="34">
        <v>1226</v>
      </c>
      <c r="Y1230" s="34" t="s">
        <v>2248</v>
      </c>
      <c r="Z1230" s="34" t="s">
        <v>5456</v>
      </c>
      <c r="AA1230" s="35">
        <v>4.1471774193548389E-2</v>
      </c>
      <c r="AB1230" s="13"/>
      <c r="AC1230" s="34">
        <v>1226</v>
      </c>
      <c r="AD1230" s="34" t="s">
        <v>4573</v>
      </c>
      <c r="AE1230" s="34" t="s">
        <v>4689</v>
      </c>
      <c r="AF1230" s="35">
        <v>2.2243951612903228E-3</v>
      </c>
    </row>
    <row r="1231" spans="19:32" x14ac:dyDescent="0.35">
      <c r="S1231" s="34">
        <v>1227</v>
      </c>
      <c r="T1231" s="34" t="s">
        <v>4284</v>
      </c>
      <c r="U1231" s="34" t="s">
        <v>4817</v>
      </c>
      <c r="V1231" s="35">
        <v>9.4939516129032269E-3</v>
      </c>
      <c r="W1231" s="13"/>
      <c r="X1231" s="34">
        <v>1227</v>
      </c>
      <c r="Y1231" s="34" t="s">
        <v>2248</v>
      </c>
      <c r="Z1231" s="34" t="s">
        <v>3479</v>
      </c>
      <c r="AA1231" s="35">
        <v>10.119999999999999</v>
      </c>
      <c r="AB1231" s="13"/>
      <c r="AC1231" s="34">
        <v>1227</v>
      </c>
      <c r="AD1231" s="34" t="s">
        <v>4573</v>
      </c>
      <c r="AE1231" s="34" t="s">
        <v>4688</v>
      </c>
      <c r="AF1231" s="35">
        <v>2.7453629032258068E-2</v>
      </c>
    </row>
    <row r="1232" spans="19:32" x14ac:dyDescent="0.35">
      <c r="S1232" s="34">
        <v>1228</v>
      </c>
      <c r="T1232" s="34" t="s">
        <v>4284</v>
      </c>
      <c r="U1232" s="34" t="s">
        <v>3405</v>
      </c>
      <c r="V1232" s="35">
        <v>5.9294354838709679E-2</v>
      </c>
      <c r="W1232" s="13"/>
      <c r="X1232" s="34">
        <v>1228</v>
      </c>
      <c r="Y1232" s="34" t="s">
        <v>2248</v>
      </c>
      <c r="Z1232" s="34" t="s">
        <v>3477</v>
      </c>
      <c r="AA1232" s="35">
        <v>3.5787999999999996E-3</v>
      </c>
      <c r="AB1232" s="13"/>
      <c r="AC1232" s="47">
        <v>1228</v>
      </c>
      <c r="AD1232" s="47" t="s">
        <v>4573</v>
      </c>
      <c r="AE1232" s="47" t="s">
        <v>4687</v>
      </c>
      <c r="AF1232" s="48">
        <v>5.4153225806451619</v>
      </c>
    </row>
    <row r="1233" spans="19:32" x14ac:dyDescent="0.35">
      <c r="S1233" s="34">
        <v>1229</v>
      </c>
      <c r="T1233" s="34" t="s">
        <v>4284</v>
      </c>
      <c r="U1233" s="34" t="s">
        <v>3405</v>
      </c>
      <c r="V1233" s="35">
        <v>5.8788</v>
      </c>
      <c r="W1233" s="13"/>
      <c r="X1233" s="34">
        <v>1229</v>
      </c>
      <c r="Y1233" s="34" t="s">
        <v>2248</v>
      </c>
      <c r="Z1233" s="34" t="s">
        <v>5455</v>
      </c>
      <c r="AA1233" s="35">
        <v>5.8266129032258068E-3</v>
      </c>
      <c r="AB1233" s="13"/>
      <c r="AC1233" s="47">
        <v>1229</v>
      </c>
      <c r="AD1233" s="47" t="s">
        <v>4573</v>
      </c>
      <c r="AE1233" s="47" t="s">
        <v>3345</v>
      </c>
      <c r="AF1233" s="48">
        <v>6.4778225806451616E-3</v>
      </c>
    </row>
    <row r="1234" spans="19:32" x14ac:dyDescent="0.35">
      <c r="S1234" s="34">
        <v>1230</v>
      </c>
      <c r="T1234" s="34" t="s">
        <v>4284</v>
      </c>
      <c r="U1234" s="34" t="s">
        <v>3403</v>
      </c>
      <c r="V1234" s="35">
        <v>0.37016129032258066</v>
      </c>
      <c r="W1234" s="13"/>
      <c r="X1234" s="34">
        <v>1230</v>
      </c>
      <c r="Y1234" s="34" t="s">
        <v>2248</v>
      </c>
      <c r="Z1234" s="34" t="s">
        <v>3477</v>
      </c>
      <c r="AA1234" s="35">
        <v>2.2278225806451614E-4</v>
      </c>
      <c r="AB1234" s="13"/>
      <c r="AC1234" s="47">
        <v>1230</v>
      </c>
      <c r="AD1234" s="47" t="s">
        <v>4573</v>
      </c>
      <c r="AE1234" s="47" t="s">
        <v>3345</v>
      </c>
      <c r="AF1234" s="48">
        <v>4.1124000000000001E-2</v>
      </c>
    </row>
    <row r="1235" spans="19:32" x14ac:dyDescent="0.35">
      <c r="S1235" s="34">
        <v>1231</v>
      </c>
      <c r="T1235" s="34" t="s">
        <v>4284</v>
      </c>
      <c r="U1235" s="34" t="s">
        <v>3403</v>
      </c>
      <c r="V1235" s="35">
        <v>0</v>
      </c>
      <c r="W1235" s="13"/>
      <c r="X1235" s="34">
        <v>1231</v>
      </c>
      <c r="Y1235" s="34" t="s">
        <v>2248</v>
      </c>
      <c r="Z1235" s="34" t="s">
        <v>3476</v>
      </c>
      <c r="AA1235" s="35">
        <v>0</v>
      </c>
      <c r="AB1235" s="13"/>
      <c r="AC1235" s="47">
        <v>1231</v>
      </c>
      <c r="AD1235" s="47" t="s">
        <v>4573</v>
      </c>
      <c r="AE1235" s="47" t="s">
        <v>4683</v>
      </c>
      <c r="AF1235" s="48">
        <v>15.457661290322582</v>
      </c>
    </row>
    <row r="1236" spans="19:32" x14ac:dyDescent="0.35">
      <c r="S1236" s="34">
        <v>1232</v>
      </c>
      <c r="T1236" s="34" t="s">
        <v>4284</v>
      </c>
      <c r="U1236" s="34" t="s">
        <v>4813</v>
      </c>
      <c r="V1236" s="35">
        <v>4.215725806451613E-5</v>
      </c>
      <c r="W1236" s="13"/>
      <c r="X1236" s="34">
        <v>1232</v>
      </c>
      <c r="Y1236" s="34" t="s">
        <v>2248</v>
      </c>
      <c r="Z1236" s="34" t="s">
        <v>5454</v>
      </c>
      <c r="AA1236" s="35">
        <v>0.18816532258064517</v>
      </c>
      <c r="AB1236" s="13"/>
      <c r="AC1236" s="47">
        <v>1232</v>
      </c>
      <c r="AD1236" s="47" t="s">
        <v>4573</v>
      </c>
      <c r="AE1236" s="47" t="s">
        <v>4678</v>
      </c>
      <c r="AF1236" s="48">
        <v>0.98366935483870976</v>
      </c>
    </row>
    <row r="1237" spans="19:32" x14ac:dyDescent="0.35">
      <c r="S1237" s="34">
        <v>1233</v>
      </c>
      <c r="T1237" s="34" t="s">
        <v>4284</v>
      </c>
      <c r="U1237" s="34" t="s">
        <v>3402</v>
      </c>
      <c r="V1237" s="35">
        <v>6.4032000000000006E-2</v>
      </c>
      <c r="W1237" s="13"/>
      <c r="X1237" s="34">
        <v>1233</v>
      </c>
      <c r="Y1237" s="34" t="s">
        <v>2248</v>
      </c>
      <c r="Z1237" s="34" t="s">
        <v>3476</v>
      </c>
      <c r="AA1237" s="35">
        <v>2.5260080645161293E-2</v>
      </c>
      <c r="AB1237" s="13"/>
      <c r="AC1237" s="34">
        <v>1233</v>
      </c>
      <c r="AD1237" s="34" t="s">
        <v>4573</v>
      </c>
      <c r="AE1237" s="34" t="s">
        <v>4675</v>
      </c>
      <c r="AF1237" s="35">
        <v>0.56552419354838712</v>
      </c>
    </row>
    <row r="1238" spans="19:32" x14ac:dyDescent="0.35">
      <c r="S1238" s="34">
        <v>1234</v>
      </c>
      <c r="T1238" s="34" t="s">
        <v>4284</v>
      </c>
      <c r="U1238" s="34" t="s">
        <v>3400</v>
      </c>
      <c r="V1238" s="35">
        <v>0.24196000000000001</v>
      </c>
      <c r="W1238" s="13"/>
      <c r="X1238" s="34">
        <v>1234</v>
      </c>
      <c r="Y1238" s="34" t="s">
        <v>2248</v>
      </c>
      <c r="Z1238" s="34" t="s">
        <v>3474</v>
      </c>
      <c r="AA1238" s="35">
        <v>4.7379999999999995</v>
      </c>
      <c r="AB1238" s="13"/>
      <c r="AC1238" s="47">
        <v>1234</v>
      </c>
      <c r="AD1238" s="47" t="s">
        <v>4573</v>
      </c>
      <c r="AE1238" s="47" t="s">
        <v>4673</v>
      </c>
      <c r="AF1238" s="48">
        <v>12.235887096774194</v>
      </c>
    </row>
    <row r="1239" spans="19:32" x14ac:dyDescent="0.35">
      <c r="S1239" s="34">
        <v>1235</v>
      </c>
      <c r="T1239" s="34" t="s">
        <v>4284</v>
      </c>
      <c r="U1239" s="34" t="s">
        <v>3398</v>
      </c>
      <c r="V1239" s="35">
        <v>4.1307999999999997E-2</v>
      </c>
      <c r="W1239" s="13"/>
      <c r="X1239" s="34">
        <v>1235</v>
      </c>
      <c r="Y1239" s="34" t="s">
        <v>2248</v>
      </c>
      <c r="Z1239" s="34" t="s">
        <v>3714</v>
      </c>
      <c r="AA1239" s="35">
        <v>3.7701612903225808E-3</v>
      </c>
      <c r="AB1239" s="13"/>
      <c r="AC1239" s="34">
        <v>1235</v>
      </c>
      <c r="AD1239" s="34" t="s">
        <v>4573</v>
      </c>
      <c r="AE1239" s="34" t="s">
        <v>4671</v>
      </c>
      <c r="AF1239" s="35">
        <v>6.340725806451613</v>
      </c>
    </row>
    <row r="1240" spans="19:32" x14ac:dyDescent="0.35">
      <c r="S1240" s="34">
        <v>1236</v>
      </c>
      <c r="T1240" s="34" t="s">
        <v>4284</v>
      </c>
      <c r="U1240" s="34" t="s">
        <v>4810</v>
      </c>
      <c r="V1240" s="35">
        <v>1.4737903225806452E-4</v>
      </c>
      <c r="W1240" s="13"/>
      <c r="X1240" s="34">
        <v>1236</v>
      </c>
      <c r="Y1240" s="34" t="s">
        <v>2248</v>
      </c>
      <c r="Z1240" s="34" t="s">
        <v>3473</v>
      </c>
      <c r="AA1240" s="35">
        <v>1.8031999999999999</v>
      </c>
      <c r="AB1240" s="13"/>
      <c r="AC1240" s="47">
        <v>1236</v>
      </c>
      <c r="AD1240" s="47" t="s">
        <v>4573</v>
      </c>
      <c r="AE1240" s="47" t="s">
        <v>4669</v>
      </c>
      <c r="AF1240" s="48">
        <v>3.5645161290322585</v>
      </c>
    </row>
    <row r="1241" spans="19:32" x14ac:dyDescent="0.35">
      <c r="S1241" s="34">
        <v>1237</v>
      </c>
      <c r="T1241" s="34" t="s">
        <v>4284</v>
      </c>
      <c r="U1241" s="34" t="s">
        <v>4808</v>
      </c>
      <c r="V1241" s="35">
        <v>1.0008064516129032E-4</v>
      </c>
      <c r="W1241" s="13"/>
      <c r="X1241" s="34">
        <v>1237</v>
      </c>
      <c r="Y1241" s="34" t="s">
        <v>2248</v>
      </c>
      <c r="Z1241" s="34" t="s">
        <v>3473</v>
      </c>
      <c r="AA1241" s="35">
        <v>6.9576612903225815E-3</v>
      </c>
      <c r="AB1241" s="13"/>
      <c r="AC1241" s="34">
        <v>1237</v>
      </c>
      <c r="AD1241" s="34" t="s">
        <v>4573</v>
      </c>
      <c r="AE1241" s="34" t="s">
        <v>4668</v>
      </c>
      <c r="AF1241" s="35">
        <v>8.9798387096774207E-2</v>
      </c>
    </row>
    <row r="1242" spans="19:32" x14ac:dyDescent="0.35">
      <c r="S1242" s="34">
        <v>1238</v>
      </c>
      <c r="T1242" s="34" t="s">
        <v>4284</v>
      </c>
      <c r="U1242" s="34" t="s">
        <v>4805</v>
      </c>
      <c r="V1242" s="35">
        <v>7.8145161290322585E-4</v>
      </c>
      <c r="W1242" s="13"/>
      <c r="X1242" s="34">
        <v>1238</v>
      </c>
      <c r="Y1242" s="34" t="s">
        <v>2248</v>
      </c>
      <c r="Z1242" s="34" t="s">
        <v>3471</v>
      </c>
      <c r="AA1242" s="35">
        <v>2.254</v>
      </c>
      <c r="AB1242" s="13"/>
      <c r="AC1242" s="47">
        <v>1238</v>
      </c>
      <c r="AD1242" s="47" t="s">
        <v>4573</v>
      </c>
      <c r="AE1242" s="47" t="s">
        <v>3344</v>
      </c>
      <c r="AF1242" s="48">
        <v>454.47999999999996</v>
      </c>
    </row>
    <row r="1243" spans="19:32" x14ac:dyDescent="0.35">
      <c r="S1243" s="34">
        <v>1239</v>
      </c>
      <c r="T1243" s="34" t="s">
        <v>4284</v>
      </c>
      <c r="U1243" s="34" t="s">
        <v>4802</v>
      </c>
      <c r="V1243" s="35">
        <v>1.6520161290322583E-4</v>
      </c>
      <c r="W1243" s="13"/>
      <c r="X1243" s="34">
        <v>1239</v>
      </c>
      <c r="Y1243" s="34" t="s">
        <v>2248</v>
      </c>
      <c r="Z1243" s="34" t="s">
        <v>5453</v>
      </c>
      <c r="AA1243" s="35">
        <v>8.9455645161290334E-4</v>
      </c>
      <c r="AB1243" s="13"/>
      <c r="AC1243" s="47">
        <v>1239</v>
      </c>
      <c r="AD1243" s="47" t="s">
        <v>4573</v>
      </c>
      <c r="AE1243" s="47" t="s">
        <v>4667</v>
      </c>
      <c r="AF1243" s="48">
        <v>57.923387096774199</v>
      </c>
    </row>
    <row r="1244" spans="19:32" x14ac:dyDescent="0.35">
      <c r="S1244" s="34">
        <v>1240</v>
      </c>
      <c r="T1244" s="34" t="s">
        <v>4284</v>
      </c>
      <c r="U1244" s="34" t="s">
        <v>4800</v>
      </c>
      <c r="V1244" s="35">
        <v>1.2578629032258066E-3</v>
      </c>
      <c r="W1244" s="13"/>
      <c r="X1244" s="34">
        <v>1240</v>
      </c>
      <c r="Y1244" s="34" t="s">
        <v>2248</v>
      </c>
      <c r="Z1244" s="34" t="s">
        <v>3471</v>
      </c>
      <c r="AA1244" s="35">
        <v>4.0786290322580646E-2</v>
      </c>
      <c r="AB1244" s="13"/>
      <c r="AC1244" s="47">
        <v>1240</v>
      </c>
      <c r="AD1244" s="47" t="s">
        <v>4573</v>
      </c>
      <c r="AE1244" s="47" t="s">
        <v>4666</v>
      </c>
      <c r="AF1244" s="48">
        <v>0.57580645161290323</v>
      </c>
    </row>
    <row r="1245" spans="19:32" x14ac:dyDescent="0.35">
      <c r="S1245" s="34">
        <v>1241</v>
      </c>
      <c r="T1245" s="34" t="s">
        <v>4284</v>
      </c>
      <c r="U1245" s="34" t="s">
        <v>4797</v>
      </c>
      <c r="V1245" s="35">
        <v>1.6554435483870968E-4</v>
      </c>
      <c r="W1245" s="13"/>
      <c r="X1245" s="34">
        <v>1241</v>
      </c>
      <c r="Y1245" s="34" t="s">
        <v>2248</v>
      </c>
      <c r="Z1245" s="34" t="s">
        <v>3470</v>
      </c>
      <c r="AA1245" s="35">
        <v>0</v>
      </c>
      <c r="AB1245" s="13"/>
      <c r="AC1245" s="47">
        <v>1241</v>
      </c>
      <c r="AD1245" s="47" t="s">
        <v>4573</v>
      </c>
      <c r="AE1245" s="47" t="s">
        <v>4665</v>
      </c>
      <c r="AF1245" s="48">
        <v>3.0641129032258067E-2</v>
      </c>
    </row>
    <row r="1246" spans="19:32" x14ac:dyDescent="0.35">
      <c r="S1246" s="34">
        <v>1242</v>
      </c>
      <c r="T1246" s="34" t="s">
        <v>4284</v>
      </c>
      <c r="U1246" s="34" t="s">
        <v>4795</v>
      </c>
      <c r="V1246" s="35">
        <v>7.7802419354838716E-4</v>
      </c>
      <c r="W1246" s="13"/>
      <c r="X1246" s="34">
        <v>1242</v>
      </c>
      <c r="Y1246" s="34" t="s">
        <v>2248</v>
      </c>
      <c r="Z1246" s="34" t="s">
        <v>5452</v>
      </c>
      <c r="AA1246" s="35">
        <v>7.9516129032258073E-6</v>
      </c>
      <c r="AB1246" s="13"/>
      <c r="AC1246" s="47">
        <v>1242</v>
      </c>
      <c r="AD1246" s="47" t="s">
        <v>4573</v>
      </c>
      <c r="AE1246" s="47" t="s">
        <v>4664</v>
      </c>
      <c r="AF1246" s="48">
        <v>1.9604838709677421</v>
      </c>
    </row>
    <row r="1247" spans="19:32" x14ac:dyDescent="0.35">
      <c r="S1247" s="34">
        <v>1243</v>
      </c>
      <c r="T1247" s="34" t="s">
        <v>4284</v>
      </c>
      <c r="U1247" s="34" t="s">
        <v>4792</v>
      </c>
      <c r="V1247" s="35">
        <v>2.8653225806451614E-4</v>
      </c>
      <c r="W1247" s="13"/>
      <c r="X1247" s="34">
        <v>1243</v>
      </c>
      <c r="Y1247" s="34" t="s">
        <v>2248</v>
      </c>
      <c r="Z1247" s="34" t="s">
        <v>3469</v>
      </c>
      <c r="AA1247" s="35">
        <v>0</v>
      </c>
      <c r="AB1247" s="13"/>
      <c r="AC1247" s="47">
        <v>1243</v>
      </c>
      <c r="AD1247" s="47" t="s">
        <v>4573</v>
      </c>
      <c r="AE1247" s="47" t="s">
        <v>3342</v>
      </c>
      <c r="AF1247" s="48">
        <v>0.42136000000000001</v>
      </c>
    </row>
    <row r="1248" spans="19:32" x14ac:dyDescent="0.35">
      <c r="S1248" s="34">
        <v>1244</v>
      </c>
      <c r="T1248" s="34" t="s">
        <v>4284</v>
      </c>
      <c r="U1248" s="34" t="s">
        <v>4789</v>
      </c>
      <c r="V1248" s="35">
        <v>3.1155241935483871E-4</v>
      </c>
      <c r="W1248" s="13"/>
      <c r="X1248" s="34">
        <v>1244</v>
      </c>
      <c r="Y1248" s="34" t="s">
        <v>2248</v>
      </c>
      <c r="Z1248" s="34" t="s">
        <v>3469</v>
      </c>
      <c r="AA1248" s="35">
        <v>1.1241935483870968E-4</v>
      </c>
      <c r="AB1248" s="13"/>
      <c r="AC1248" s="34">
        <v>1244</v>
      </c>
      <c r="AD1248" s="34" t="s">
        <v>4573</v>
      </c>
      <c r="AE1248" s="34" t="s">
        <v>3341</v>
      </c>
      <c r="AF1248" s="35">
        <v>0.26254032258064519</v>
      </c>
    </row>
    <row r="1249" spans="19:32" x14ac:dyDescent="0.35">
      <c r="S1249" s="34">
        <v>1245</v>
      </c>
      <c r="T1249" s="34" t="s">
        <v>4284</v>
      </c>
      <c r="U1249" s="34" t="s">
        <v>4786</v>
      </c>
      <c r="V1249" s="35">
        <v>5.8608870967741947E-6</v>
      </c>
      <c r="W1249" s="13"/>
      <c r="X1249" s="34">
        <v>1245</v>
      </c>
      <c r="Y1249" s="34" t="s">
        <v>2248</v>
      </c>
      <c r="Z1249" s="34" t="s">
        <v>4972</v>
      </c>
      <c r="AA1249" s="35">
        <v>1.0899193548387098E-3</v>
      </c>
      <c r="AB1249" s="13"/>
      <c r="AC1249" s="47">
        <v>1245</v>
      </c>
      <c r="AD1249" s="47" t="s">
        <v>4573</v>
      </c>
      <c r="AE1249" s="47" t="s">
        <v>3341</v>
      </c>
      <c r="AF1249" s="48">
        <v>12.328000000000001</v>
      </c>
    </row>
    <row r="1250" spans="19:32" x14ac:dyDescent="0.35">
      <c r="S1250" s="34">
        <v>1246</v>
      </c>
      <c r="T1250" s="34" t="s">
        <v>4284</v>
      </c>
      <c r="U1250" s="34" t="s">
        <v>3397</v>
      </c>
      <c r="V1250" s="35">
        <v>0</v>
      </c>
      <c r="W1250" s="13"/>
      <c r="X1250" s="34">
        <v>1246</v>
      </c>
      <c r="Y1250" s="34" t="s">
        <v>2248</v>
      </c>
      <c r="Z1250" s="34" t="s">
        <v>5451</v>
      </c>
      <c r="AA1250" s="35">
        <v>6.4435483870967753E-4</v>
      </c>
      <c r="AB1250" s="13"/>
      <c r="AC1250" s="47">
        <v>1246</v>
      </c>
      <c r="AD1250" s="47" t="s">
        <v>4573</v>
      </c>
      <c r="AE1250" s="47" t="s">
        <v>4663</v>
      </c>
      <c r="AF1250" s="48">
        <v>0.41814516129032259</v>
      </c>
    </row>
    <row r="1251" spans="19:32" x14ac:dyDescent="0.35">
      <c r="S1251" s="34">
        <v>1247</v>
      </c>
      <c r="T1251" s="34" t="s">
        <v>4284</v>
      </c>
      <c r="U1251" s="34" t="s">
        <v>4784</v>
      </c>
      <c r="V1251" s="35">
        <v>9.6995967741935499E-5</v>
      </c>
      <c r="W1251" s="13"/>
      <c r="X1251" s="34">
        <v>1247</v>
      </c>
      <c r="Y1251" s="34" t="s">
        <v>2248</v>
      </c>
      <c r="Z1251" s="34" t="s">
        <v>3467</v>
      </c>
      <c r="AA1251" s="35">
        <v>0</v>
      </c>
      <c r="AB1251" s="13"/>
      <c r="AC1251" s="34">
        <v>1247</v>
      </c>
      <c r="AD1251" s="34" t="s">
        <v>4573</v>
      </c>
      <c r="AE1251" s="34" t="s">
        <v>4662</v>
      </c>
      <c r="AF1251" s="35">
        <v>1.5903225806451614E-3</v>
      </c>
    </row>
    <row r="1252" spans="19:32" x14ac:dyDescent="0.35">
      <c r="S1252" s="34">
        <v>1248</v>
      </c>
      <c r="T1252" s="34" t="s">
        <v>4284</v>
      </c>
      <c r="U1252" s="34" t="s">
        <v>4781</v>
      </c>
      <c r="V1252" s="35">
        <v>2.8995967741935488E-4</v>
      </c>
      <c r="W1252" s="13"/>
      <c r="X1252" s="34">
        <v>1248</v>
      </c>
      <c r="Y1252" s="34" t="s">
        <v>2248</v>
      </c>
      <c r="Z1252" s="34" t="s">
        <v>3467</v>
      </c>
      <c r="AA1252" s="35">
        <v>1.6485887096774194</v>
      </c>
      <c r="AB1252" s="13"/>
      <c r="AC1252" s="47">
        <v>1248</v>
      </c>
      <c r="AD1252" s="47" t="s">
        <v>4573</v>
      </c>
      <c r="AE1252" s="47" t="s">
        <v>4661</v>
      </c>
      <c r="AF1252" s="48">
        <v>2.5945564516129034E-3</v>
      </c>
    </row>
    <row r="1253" spans="19:32" x14ac:dyDescent="0.35">
      <c r="S1253" s="34">
        <v>1249</v>
      </c>
      <c r="T1253" s="34" t="s">
        <v>4284</v>
      </c>
      <c r="U1253" s="34" t="s">
        <v>4778</v>
      </c>
      <c r="V1253" s="35">
        <v>2.1489919354838711E-5</v>
      </c>
      <c r="W1253" s="13"/>
      <c r="X1253" s="34">
        <v>1249</v>
      </c>
      <c r="Y1253" s="34" t="s">
        <v>2248</v>
      </c>
      <c r="Z1253" s="34" t="s">
        <v>3701</v>
      </c>
      <c r="AA1253" s="35">
        <v>4.9697580645161298E-3</v>
      </c>
      <c r="AB1253" s="13"/>
      <c r="AC1253" s="34">
        <v>1249</v>
      </c>
      <c r="AD1253" s="34" t="s">
        <v>4573</v>
      </c>
      <c r="AE1253" s="34" t="s">
        <v>3340</v>
      </c>
      <c r="AF1253" s="35">
        <v>8.6370967741935493E-4</v>
      </c>
    </row>
    <row r="1254" spans="19:32" x14ac:dyDescent="0.35">
      <c r="S1254" s="34">
        <v>1250</v>
      </c>
      <c r="T1254" s="34" t="s">
        <v>4284</v>
      </c>
      <c r="U1254" s="34" t="s">
        <v>4776</v>
      </c>
      <c r="V1254" s="35">
        <v>4.0786290322580646E-2</v>
      </c>
      <c r="W1254" s="13"/>
      <c r="X1254" s="34">
        <v>1250</v>
      </c>
      <c r="Y1254" s="34" t="s">
        <v>2248</v>
      </c>
      <c r="Z1254" s="34" t="s">
        <v>3466</v>
      </c>
      <c r="AA1254" s="35">
        <v>0</v>
      </c>
      <c r="AB1254" s="13"/>
      <c r="AC1254" s="47">
        <v>1250</v>
      </c>
      <c r="AD1254" s="47" t="s">
        <v>4573</v>
      </c>
      <c r="AE1254" s="47" t="s">
        <v>3340</v>
      </c>
      <c r="AF1254" s="48">
        <v>6.1180000000000005E-2</v>
      </c>
    </row>
    <row r="1255" spans="19:32" x14ac:dyDescent="0.35">
      <c r="S1255" s="34">
        <v>1251</v>
      </c>
      <c r="T1255" s="34" t="s">
        <v>4284</v>
      </c>
      <c r="U1255" s="34" t="s">
        <v>4773</v>
      </c>
      <c r="V1255" s="35">
        <v>1.8028225806451614E-3</v>
      </c>
      <c r="W1255" s="13"/>
      <c r="X1255" s="34">
        <v>1251</v>
      </c>
      <c r="Y1255" s="34" t="s">
        <v>2248</v>
      </c>
      <c r="Z1255" s="34" t="s">
        <v>3466</v>
      </c>
      <c r="AA1255" s="35">
        <v>2.1215725806451615E-2</v>
      </c>
      <c r="AB1255" s="13"/>
      <c r="AC1255" s="47">
        <v>1251</v>
      </c>
      <c r="AD1255" s="47" t="s">
        <v>4573</v>
      </c>
      <c r="AE1255" s="47" t="s">
        <v>4660</v>
      </c>
      <c r="AF1255" s="48">
        <v>2.3340725806451614E-4</v>
      </c>
    </row>
    <row r="1256" spans="19:32" x14ac:dyDescent="0.35">
      <c r="S1256" s="34">
        <v>1252</v>
      </c>
      <c r="T1256" s="34" t="s">
        <v>4284</v>
      </c>
      <c r="U1256" s="34" t="s">
        <v>4770</v>
      </c>
      <c r="V1256" s="35">
        <v>2.5602822580645165E-2</v>
      </c>
      <c r="W1256" s="13"/>
      <c r="X1256" s="34">
        <v>1252</v>
      </c>
      <c r="Y1256" s="34" t="s">
        <v>2248</v>
      </c>
      <c r="Z1256" s="34" t="s">
        <v>5450</v>
      </c>
      <c r="AA1256" s="35">
        <v>5.1754032258064517E-4</v>
      </c>
      <c r="AB1256" s="13"/>
      <c r="AC1256" s="47">
        <v>1252</v>
      </c>
      <c r="AD1256" s="47" t="s">
        <v>4573</v>
      </c>
      <c r="AE1256" s="47" t="s">
        <v>3339</v>
      </c>
      <c r="AF1256" s="48">
        <v>1.6931451612903228E-4</v>
      </c>
    </row>
    <row r="1257" spans="19:32" x14ac:dyDescent="0.35">
      <c r="S1257" s="34">
        <v>1253</v>
      </c>
      <c r="T1257" s="34" t="s">
        <v>4284</v>
      </c>
      <c r="U1257" s="34" t="s">
        <v>3395</v>
      </c>
      <c r="V1257" s="35">
        <v>3.9415322580645161E-3</v>
      </c>
      <c r="W1257" s="13"/>
      <c r="X1257" s="34">
        <v>1253</v>
      </c>
      <c r="Y1257" s="34" t="s">
        <v>2248</v>
      </c>
      <c r="Z1257" s="34" t="s">
        <v>3464</v>
      </c>
      <c r="AA1257" s="35">
        <v>0</v>
      </c>
      <c r="AB1257" s="13"/>
      <c r="AC1257" s="47">
        <v>1253</v>
      </c>
      <c r="AD1257" s="47" t="s">
        <v>4573</v>
      </c>
      <c r="AE1257" s="47" t="s">
        <v>3339</v>
      </c>
      <c r="AF1257" s="48">
        <v>0</v>
      </c>
    </row>
    <row r="1258" spans="19:32" x14ac:dyDescent="0.35">
      <c r="S1258" s="34">
        <v>1254</v>
      </c>
      <c r="T1258" s="34" t="s">
        <v>4284</v>
      </c>
      <c r="U1258" s="34" t="s">
        <v>3395</v>
      </c>
      <c r="V1258" s="35">
        <v>2198.8000000000002</v>
      </c>
      <c r="W1258" s="13"/>
      <c r="X1258" s="34">
        <v>1254</v>
      </c>
      <c r="Y1258" s="34" t="s">
        <v>2248</v>
      </c>
      <c r="Z1258" s="34" t="s">
        <v>3464</v>
      </c>
      <c r="AA1258" s="35">
        <v>3.2766129032258067</v>
      </c>
      <c r="AB1258" s="13"/>
      <c r="AC1258" s="47">
        <v>1254</v>
      </c>
      <c r="AD1258" s="47" t="s">
        <v>4573</v>
      </c>
      <c r="AE1258" s="47" t="s">
        <v>4659</v>
      </c>
      <c r="AF1258" s="48">
        <v>1.7377016129032259E-2</v>
      </c>
    </row>
    <row r="1259" spans="19:32" x14ac:dyDescent="0.35">
      <c r="S1259" s="34">
        <v>1255</v>
      </c>
      <c r="T1259" s="34" t="s">
        <v>4284</v>
      </c>
      <c r="U1259" s="34" t="s">
        <v>3394</v>
      </c>
      <c r="V1259" s="35">
        <v>1.8124000000000002</v>
      </c>
      <c r="W1259" s="13"/>
      <c r="X1259" s="34">
        <v>1255</v>
      </c>
      <c r="Y1259" s="34" t="s">
        <v>2248</v>
      </c>
      <c r="Z1259" s="34" t="s">
        <v>4970</v>
      </c>
      <c r="AA1259" s="35">
        <v>23.889112903225808</v>
      </c>
      <c r="AB1259" s="13"/>
      <c r="AC1259" s="47">
        <v>1255</v>
      </c>
      <c r="AD1259" s="47" t="s">
        <v>4573</v>
      </c>
      <c r="AE1259" s="47" t="s">
        <v>4658</v>
      </c>
      <c r="AF1259" s="48">
        <v>0.31360887096774198</v>
      </c>
    </row>
    <row r="1260" spans="19:32" x14ac:dyDescent="0.35">
      <c r="S1260" s="34">
        <v>1256</v>
      </c>
      <c r="T1260" s="34" t="s">
        <v>4284</v>
      </c>
      <c r="U1260" s="34" t="s">
        <v>3392</v>
      </c>
      <c r="V1260" s="35">
        <v>0.14627999999999999</v>
      </c>
      <c r="W1260" s="13"/>
      <c r="X1260" s="34">
        <v>1256</v>
      </c>
      <c r="Y1260" s="34" t="s">
        <v>2248</v>
      </c>
      <c r="Z1260" s="34" t="s">
        <v>5449</v>
      </c>
      <c r="AA1260" s="35">
        <v>5.0725806451612907E-5</v>
      </c>
      <c r="AB1260" s="13"/>
      <c r="AC1260" s="34">
        <v>1256</v>
      </c>
      <c r="AD1260" s="34" t="s">
        <v>4573</v>
      </c>
      <c r="AE1260" s="34" t="s">
        <v>4657</v>
      </c>
      <c r="AF1260" s="35">
        <v>1.052217741935484E-3</v>
      </c>
    </row>
    <row r="1261" spans="19:32" x14ac:dyDescent="0.35">
      <c r="S1261" s="34">
        <v>1257</v>
      </c>
      <c r="T1261" s="34" t="s">
        <v>4284</v>
      </c>
      <c r="U1261" s="34" t="s">
        <v>3391</v>
      </c>
      <c r="V1261" s="35">
        <v>5.2439516129032266E-3</v>
      </c>
      <c r="W1261" s="13"/>
      <c r="X1261" s="34">
        <v>1257</v>
      </c>
      <c r="Y1261" s="34" t="s">
        <v>2248</v>
      </c>
      <c r="Z1261" s="34" t="s">
        <v>3463</v>
      </c>
      <c r="AA1261" s="35">
        <v>2.898E-3</v>
      </c>
      <c r="AB1261" s="13"/>
      <c r="AC1261" s="47">
        <v>1257</v>
      </c>
      <c r="AD1261" s="47" t="s">
        <v>4573</v>
      </c>
      <c r="AE1261" s="47" t="s">
        <v>4656</v>
      </c>
      <c r="AF1261" s="48">
        <v>3.3108870967741937E-4</v>
      </c>
    </row>
    <row r="1262" spans="19:32" x14ac:dyDescent="0.35">
      <c r="S1262" s="34">
        <v>1258</v>
      </c>
      <c r="T1262" s="34" t="s">
        <v>4284</v>
      </c>
      <c r="U1262" s="34" t="s">
        <v>3391</v>
      </c>
      <c r="V1262" s="35">
        <v>10.119999999999999</v>
      </c>
      <c r="W1262" s="13"/>
      <c r="X1262" s="34">
        <v>1258</v>
      </c>
      <c r="Y1262" s="34" t="s">
        <v>2248</v>
      </c>
      <c r="Z1262" s="34" t="s">
        <v>3463</v>
      </c>
      <c r="AA1262" s="35">
        <v>1.5080645161290326E-4</v>
      </c>
      <c r="AB1262" s="13"/>
      <c r="AC1262" s="34">
        <v>1258</v>
      </c>
      <c r="AD1262" s="34" t="s">
        <v>4573</v>
      </c>
      <c r="AE1262" s="34" t="s">
        <v>4655</v>
      </c>
      <c r="AF1262" s="35">
        <v>6.9233870967741945E-2</v>
      </c>
    </row>
    <row r="1263" spans="19:32" x14ac:dyDescent="0.35">
      <c r="S1263" s="34">
        <v>1259</v>
      </c>
      <c r="T1263" s="34" t="s">
        <v>4284</v>
      </c>
      <c r="U1263" s="34" t="s">
        <v>3389</v>
      </c>
      <c r="V1263" s="35">
        <v>0.17891129032258066</v>
      </c>
      <c r="W1263" s="13"/>
      <c r="X1263" s="34">
        <v>1259</v>
      </c>
      <c r="Y1263" s="34" t="s">
        <v>2248</v>
      </c>
      <c r="Z1263" s="34" t="s">
        <v>3696</v>
      </c>
      <c r="AA1263" s="35">
        <v>2.2072580645161294E-4</v>
      </c>
      <c r="AB1263" s="13"/>
      <c r="AC1263" s="47">
        <v>1259</v>
      </c>
      <c r="AD1263" s="47" t="s">
        <v>4573</v>
      </c>
      <c r="AE1263" s="47" t="s">
        <v>4654</v>
      </c>
      <c r="AF1263" s="48">
        <v>2.8995967741935486E-3</v>
      </c>
    </row>
    <row r="1264" spans="19:32" x14ac:dyDescent="0.35">
      <c r="S1264" s="34">
        <v>1260</v>
      </c>
      <c r="T1264" s="34" t="s">
        <v>4284</v>
      </c>
      <c r="U1264" s="34" t="s">
        <v>3389</v>
      </c>
      <c r="V1264" s="35">
        <v>34.408000000000001</v>
      </c>
      <c r="W1264" s="13"/>
      <c r="X1264" s="34">
        <v>1260</v>
      </c>
      <c r="Y1264" s="34" t="s">
        <v>2248</v>
      </c>
      <c r="Z1264" s="34" t="s">
        <v>4969</v>
      </c>
      <c r="AA1264" s="35">
        <v>15.800403225806454</v>
      </c>
      <c r="AB1264" s="13"/>
      <c r="AC1264" s="34">
        <v>1260</v>
      </c>
      <c r="AD1264" s="34" t="s">
        <v>4573</v>
      </c>
      <c r="AE1264" s="34" t="s">
        <v>4653</v>
      </c>
      <c r="AF1264" s="35">
        <v>8.157258064516129E-5</v>
      </c>
    </row>
    <row r="1265" spans="19:32" x14ac:dyDescent="0.35">
      <c r="S1265" s="34">
        <v>1261</v>
      </c>
      <c r="T1265" s="34" t="s">
        <v>4284</v>
      </c>
      <c r="U1265" s="34" t="s">
        <v>3388</v>
      </c>
      <c r="V1265" s="35">
        <v>218.96</v>
      </c>
      <c r="W1265" s="13"/>
      <c r="X1265" s="34">
        <v>1261</v>
      </c>
      <c r="Y1265" s="34" t="s">
        <v>2248</v>
      </c>
      <c r="Z1265" s="34" t="s">
        <v>3461</v>
      </c>
      <c r="AA1265" s="35">
        <v>3.5604000000000004E-2</v>
      </c>
      <c r="AB1265" s="13"/>
      <c r="AC1265" s="47">
        <v>1261</v>
      </c>
      <c r="AD1265" s="47" t="s">
        <v>4573</v>
      </c>
      <c r="AE1265" s="47" t="s">
        <v>4652</v>
      </c>
      <c r="AF1265" s="48">
        <v>1.1516129032258065E-4</v>
      </c>
    </row>
    <row r="1266" spans="19:32" x14ac:dyDescent="0.35">
      <c r="S1266" s="34">
        <v>1262</v>
      </c>
      <c r="T1266" s="34" t="s">
        <v>4284</v>
      </c>
      <c r="U1266" s="34" t="s">
        <v>4763</v>
      </c>
      <c r="V1266" s="35">
        <v>5.1411290322580646E-3</v>
      </c>
      <c r="W1266" s="13"/>
      <c r="X1266" s="34">
        <v>1262</v>
      </c>
      <c r="Y1266" s="34" t="s">
        <v>2248</v>
      </c>
      <c r="Z1266" s="34" t="s">
        <v>3461</v>
      </c>
      <c r="AA1266" s="35">
        <v>2.0187500000000001E-2</v>
      </c>
      <c r="AB1266" s="13"/>
      <c r="AC1266" s="47">
        <v>1262</v>
      </c>
      <c r="AD1266" s="47" t="s">
        <v>4573</v>
      </c>
      <c r="AE1266" s="47" t="s">
        <v>4651</v>
      </c>
      <c r="AF1266" s="48">
        <v>2.2175403225806452E-4</v>
      </c>
    </row>
    <row r="1267" spans="19:32" x14ac:dyDescent="0.35">
      <c r="S1267" s="34">
        <v>1263</v>
      </c>
      <c r="T1267" s="34" t="s">
        <v>4284</v>
      </c>
      <c r="U1267" s="34" t="s">
        <v>3387</v>
      </c>
      <c r="V1267" s="35">
        <v>32.015999999999998</v>
      </c>
      <c r="W1267" s="13"/>
      <c r="X1267" s="34">
        <v>1263</v>
      </c>
      <c r="Y1267" s="34" t="s">
        <v>2248</v>
      </c>
      <c r="Z1267" s="34" t="s">
        <v>5448</v>
      </c>
      <c r="AA1267" s="35">
        <v>2.5705645161290323E-5</v>
      </c>
      <c r="AB1267" s="13"/>
      <c r="AC1267" s="47">
        <v>1263</v>
      </c>
      <c r="AD1267" s="47" t="s">
        <v>4573</v>
      </c>
      <c r="AE1267" s="47" t="s">
        <v>3337</v>
      </c>
      <c r="AF1267" s="48">
        <v>0.32016</v>
      </c>
    </row>
    <row r="1268" spans="19:32" x14ac:dyDescent="0.35">
      <c r="S1268" s="34">
        <v>1264</v>
      </c>
      <c r="T1268" s="34" t="s">
        <v>4284</v>
      </c>
      <c r="U1268" s="34" t="s">
        <v>3386</v>
      </c>
      <c r="V1268" s="35">
        <v>0.24197580645161293</v>
      </c>
      <c r="W1268" s="13"/>
      <c r="X1268" s="34">
        <v>1264</v>
      </c>
      <c r="Y1268" s="34" t="s">
        <v>2248</v>
      </c>
      <c r="Z1268" s="34" t="s">
        <v>3460</v>
      </c>
      <c r="AA1268" s="35">
        <v>1.518</v>
      </c>
      <c r="AB1268" s="13"/>
      <c r="AC1268" s="47">
        <v>1264</v>
      </c>
      <c r="AD1268" s="47" t="s">
        <v>4573</v>
      </c>
      <c r="AE1268" s="47" t="s">
        <v>4650</v>
      </c>
      <c r="AF1268" s="48">
        <v>1.2612903225806454E-4</v>
      </c>
    </row>
    <row r="1269" spans="19:32" x14ac:dyDescent="0.35">
      <c r="S1269" s="34">
        <v>1265</v>
      </c>
      <c r="T1269" s="34" t="s">
        <v>4284</v>
      </c>
      <c r="U1269" s="34" t="s">
        <v>3386</v>
      </c>
      <c r="V1269" s="35">
        <v>366.16</v>
      </c>
      <c r="W1269" s="13"/>
      <c r="X1269" s="34">
        <v>1265</v>
      </c>
      <c r="Y1269" s="34" t="s">
        <v>2248</v>
      </c>
      <c r="Z1269" s="34" t="s">
        <v>4968</v>
      </c>
      <c r="AA1269" s="35">
        <v>0.19467741935483873</v>
      </c>
      <c r="AB1269" s="13"/>
      <c r="AC1269" s="47">
        <v>1265</v>
      </c>
      <c r="AD1269" s="47" t="s">
        <v>4573</v>
      </c>
      <c r="AE1269" s="47" t="s">
        <v>4649</v>
      </c>
      <c r="AF1269" s="48">
        <v>3.0606854838709681E-2</v>
      </c>
    </row>
    <row r="1270" spans="19:32" x14ac:dyDescent="0.35">
      <c r="S1270" s="34">
        <v>1266</v>
      </c>
      <c r="T1270" s="34" t="s">
        <v>4284</v>
      </c>
      <c r="U1270" s="34" t="s">
        <v>3385</v>
      </c>
      <c r="V1270" s="35">
        <v>4.3870967741935487E-3</v>
      </c>
      <c r="W1270" s="13"/>
      <c r="X1270" s="34">
        <v>1266</v>
      </c>
      <c r="Y1270" s="34" t="s">
        <v>2248</v>
      </c>
      <c r="Z1270" s="34" t="s">
        <v>5447</v>
      </c>
      <c r="AA1270" s="35">
        <v>4.5927419354838714E-4</v>
      </c>
      <c r="AB1270" s="13"/>
      <c r="AC1270" s="34">
        <v>1266</v>
      </c>
      <c r="AD1270" s="34" t="s">
        <v>4573</v>
      </c>
      <c r="AE1270" s="34" t="s">
        <v>4648</v>
      </c>
      <c r="AF1270" s="35">
        <v>0.42842741935483875</v>
      </c>
    </row>
    <row r="1271" spans="19:32" x14ac:dyDescent="0.35">
      <c r="S1271" s="34">
        <v>1267</v>
      </c>
      <c r="T1271" s="34" t="s">
        <v>4284</v>
      </c>
      <c r="U1271" s="34" t="s">
        <v>3385</v>
      </c>
      <c r="V1271" s="35">
        <v>3753.6000000000004</v>
      </c>
      <c r="W1271" s="13"/>
      <c r="X1271" s="34">
        <v>1267</v>
      </c>
      <c r="Y1271" s="34" t="s">
        <v>2248</v>
      </c>
      <c r="Z1271" s="34" t="s">
        <v>4967</v>
      </c>
      <c r="AA1271" s="35">
        <v>1.0110887096774195E-3</v>
      </c>
      <c r="AB1271" s="13"/>
      <c r="AC1271" s="47">
        <v>1267</v>
      </c>
      <c r="AD1271" s="47" t="s">
        <v>4573</v>
      </c>
      <c r="AE1271" s="47" t="s">
        <v>4647</v>
      </c>
      <c r="AF1271" s="48">
        <v>2.5362903225806453E-2</v>
      </c>
    </row>
    <row r="1272" spans="19:32" x14ac:dyDescent="0.35">
      <c r="S1272" s="34">
        <v>1268</v>
      </c>
      <c r="T1272" s="34" t="s">
        <v>4284</v>
      </c>
      <c r="U1272" s="34" t="s">
        <v>3383</v>
      </c>
      <c r="V1272" s="35">
        <v>874</v>
      </c>
      <c r="W1272" s="13"/>
      <c r="X1272" s="34">
        <v>1268</v>
      </c>
      <c r="Y1272" s="34" t="s">
        <v>2248</v>
      </c>
      <c r="Z1272" s="34" t="s">
        <v>4966</v>
      </c>
      <c r="AA1272" s="35">
        <v>1.2201612903225809E-3</v>
      </c>
      <c r="AB1272" s="13"/>
      <c r="AC1272" s="34">
        <v>1268</v>
      </c>
      <c r="AD1272" s="34" t="s">
        <v>4573</v>
      </c>
      <c r="AE1272" s="34" t="s">
        <v>4646</v>
      </c>
      <c r="AF1272" s="35">
        <v>6.7520161290322589</v>
      </c>
    </row>
    <row r="1273" spans="19:32" x14ac:dyDescent="0.35">
      <c r="S1273" s="34">
        <v>1269</v>
      </c>
      <c r="T1273" s="34" t="s">
        <v>4284</v>
      </c>
      <c r="U1273" s="34" t="s">
        <v>4759</v>
      </c>
      <c r="V1273" s="35">
        <v>4.7641129032258069E-2</v>
      </c>
      <c r="W1273" s="13"/>
      <c r="X1273" s="34">
        <v>1269</v>
      </c>
      <c r="Y1273" s="34" t="s">
        <v>2248</v>
      </c>
      <c r="Z1273" s="34" t="s">
        <v>5446</v>
      </c>
      <c r="AA1273" s="35">
        <v>1.8576612903225809E-2</v>
      </c>
      <c r="AB1273" s="13"/>
      <c r="AC1273" s="47">
        <v>1269</v>
      </c>
      <c r="AD1273" s="47" t="s">
        <v>4573</v>
      </c>
      <c r="AE1273" s="47" t="s">
        <v>4645</v>
      </c>
      <c r="AF1273" s="48">
        <v>9.7338709677419362E-4</v>
      </c>
    </row>
    <row r="1274" spans="19:32" x14ac:dyDescent="0.35">
      <c r="S1274" s="34">
        <v>1270</v>
      </c>
      <c r="T1274" s="34" t="s">
        <v>4284</v>
      </c>
      <c r="U1274" s="34" t="s">
        <v>4758</v>
      </c>
      <c r="V1274" s="35">
        <v>8.2600806451612902E-6</v>
      </c>
      <c r="W1274" s="13"/>
      <c r="X1274" s="34">
        <v>1270</v>
      </c>
      <c r="Y1274" s="34" t="s">
        <v>2248</v>
      </c>
      <c r="Z1274" s="34" t="s">
        <v>4965</v>
      </c>
      <c r="AA1274" s="35">
        <v>1.2989919354838711E-2</v>
      </c>
      <c r="AB1274" s="13"/>
      <c r="AC1274" s="34">
        <v>1270</v>
      </c>
      <c r="AD1274" s="34" t="s">
        <v>4573</v>
      </c>
      <c r="AE1274" s="34" t="s">
        <v>4644</v>
      </c>
      <c r="AF1274" s="35">
        <v>1.3366935483870969E-2</v>
      </c>
    </row>
    <row r="1275" spans="19:32" x14ac:dyDescent="0.35">
      <c r="S1275" s="34">
        <v>1271</v>
      </c>
      <c r="T1275" s="34" t="s">
        <v>4284</v>
      </c>
      <c r="U1275" s="34" t="s">
        <v>4757</v>
      </c>
      <c r="V1275" s="35">
        <v>1.891935483870968E-3</v>
      </c>
      <c r="W1275" s="13"/>
      <c r="X1275" s="34">
        <v>1271</v>
      </c>
      <c r="Y1275" s="34" t="s">
        <v>2248</v>
      </c>
      <c r="Z1275" s="34" t="s">
        <v>4964</v>
      </c>
      <c r="AA1275" s="35">
        <v>7.6431451612903236E-3</v>
      </c>
      <c r="AB1275" s="13"/>
      <c r="AC1275" s="47">
        <v>1271</v>
      </c>
      <c r="AD1275" s="47" t="s">
        <v>4573</v>
      </c>
      <c r="AE1275" s="47" t="s">
        <v>4643</v>
      </c>
      <c r="AF1275" s="48">
        <v>1.7205645161290325E-3</v>
      </c>
    </row>
    <row r="1276" spans="19:32" x14ac:dyDescent="0.35">
      <c r="S1276" s="34">
        <v>1272</v>
      </c>
      <c r="T1276" s="34" t="s">
        <v>4284</v>
      </c>
      <c r="U1276" s="34" t="s">
        <v>4756</v>
      </c>
      <c r="V1276" s="35">
        <v>6.4778225806451616E-3</v>
      </c>
      <c r="W1276" s="13"/>
      <c r="X1276" s="34">
        <v>1272</v>
      </c>
      <c r="Y1276" s="34" t="s">
        <v>2248</v>
      </c>
      <c r="Z1276" s="34" t="s">
        <v>5445</v>
      </c>
      <c r="AA1276" s="35">
        <v>1.5868951612903225E-3</v>
      </c>
      <c r="AB1276" s="13"/>
      <c r="AC1276" s="47">
        <v>1272</v>
      </c>
      <c r="AD1276" s="47" t="s">
        <v>4573</v>
      </c>
      <c r="AE1276" s="47" t="s">
        <v>4642</v>
      </c>
      <c r="AF1276" s="48">
        <v>1.0693548387096775E-2</v>
      </c>
    </row>
    <row r="1277" spans="19:32" x14ac:dyDescent="0.35">
      <c r="S1277" s="34">
        <v>1273</v>
      </c>
      <c r="T1277" s="34" t="s">
        <v>4284</v>
      </c>
      <c r="U1277" s="34" t="s">
        <v>3382</v>
      </c>
      <c r="V1277" s="35">
        <v>29.808</v>
      </c>
      <c r="W1277" s="13"/>
      <c r="X1277" s="34">
        <v>1273</v>
      </c>
      <c r="Y1277" s="34" t="s">
        <v>2248</v>
      </c>
      <c r="Z1277" s="34" t="s">
        <v>3458</v>
      </c>
      <c r="AA1277" s="35">
        <v>165.60000000000002</v>
      </c>
      <c r="AB1277" s="13"/>
      <c r="AC1277" s="47">
        <v>1273</v>
      </c>
      <c r="AD1277" s="47" t="s">
        <v>4573</v>
      </c>
      <c r="AE1277" s="47" t="s">
        <v>4641</v>
      </c>
      <c r="AF1277" s="48">
        <v>4.8669354838709683E-2</v>
      </c>
    </row>
    <row r="1278" spans="19:32" x14ac:dyDescent="0.35">
      <c r="S1278" s="34">
        <v>1274</v>
      </c>
      <c r="T1278" s="34" t="s">
        <v>4284</v>
      </c>
      <c r="U1278" s="34" t="s">
        <v>4755</v>
      </c>
      <c r="V1278" s="35">
        <v>7.0604838709677426E-3</v>
      </c>
      <c r="W1278" s="13"/>
      <c r="X1278" s="34">
        <v>1274</v>
      </c>
      <c r="Y1278" s="34" t="s">
        <v>2248</v>
      </c>
      <c r="Z1278" s="34" t="s">
        <v>3458</v>
      </c>
      <c r="AA1278" s="35">
        <v>0.50383064516129039</v>
      </c>
      <c r="AB1278" s="13"/>
      <c r="AC1278" s="47">
        <v>1274</v>
      </c>
      <c r="AD1278" s="47" t="s">
        <v>4573</v>
      </c>
      <c r="AE1278" s="47" t="s">
        <v>4640</v>
      </c>
      <c r="AF1278" s="48">
        <v>6.957661290322581</v>
      </c>
    </row>
    <row r="1279" spans="19:32" x14ac:dyDescent="0.35">
      <c r="S1279" s="34">
        <v>1275</v>
      </c>
      <c r="T1279" s="34" t="s">
        <v>4284</v>
      </c>
      <c r="U1279" s="34" t="s">
        <v>3380</v>
      </c>
      <c r="V1279" s="35">
        <v>398.36</v>
      </c>
      <c r="W1279" s="13"/>
      <c r="X1279" s="34">
        <v>1275</v>
      </c>
      <c r="Y1279" s="34" t="s">
        <v>2248</v>
      </c>
      <c r="Z1279" s="34" t="s">
        <v>3457</v>
      </c>
      <c r="AA1279" s="35">
        <v>165.60000000000002</v>
      </c>
      <c r="AB1279" s="13"/>
      <c r="AC1279" s="34">
        <v>1275</v>
      </c>
      <c r="AD1279" s="34" t="s">
        <v>4573</v>
      </c>
      <c r="AE1279" s="34" t="s">
        <v>4637</v>
      </c>
      <c r="AF1279" s="35">
        <v>0.10693548387096775</v>
      </c>
    </row>
    <row r="1280" spans="19:32" x14ac:dyDescent="0.35">
      <c r="S1280" s="34">
        <v>1276</v>
      </c>
      <c r="T1280" s="34" t="s">
        <v>4284</v>
      </c>
      <c r="U1280" s="34" t="s">
        <v>4754</v>
      </c>
      <c r="V1280" s="35">
        <v>2.2483870967741937E-5</v>
      </c>
      <c r="W1280" s="13"/>
      <c r="X1280" s="34">
        <v>1276</v>
      </c>
      <c r="Y1280" s="34" t="s">
        <v>2248</v>
      </c>
      <c r="Z1280" s="34" t="s">
        <v>3457</v>
      </c>
      <c r="AA1280" s="35">
        <v>0.27522177419354843</v>
      </c>
      <c r="AB1280" s="13"/>
      <c r="AC1280" s="47">
        <v>1276</v>
      </c>
      <c r="AD1280" s="47" t="s">
        <v>4573</v>
      </c>
      <c r="AE1280" s="47" t="s">
        <v>3336</v>
      </c>
      <c r="AF1280" s="48">
        <v>0</v>
      </c>
    </row>
    <row r="1281" spans="19:32" x14ac:dyDescent="0.35">
      <c r="S1281" s="34">
        <v>1277</v>
      </c>
      <c r="T1281" s="34" t="s">
        <v>4284</v>
      </c>
      <c r="U1281" s="34" t="s">
        <v>3379</v>
      </c>
      <c r="V1281" s="35">
        <v>1.7788306451612906E-5</v>
      </c>
      <c r="W1281" s="13"/>
      <c r="X1281" s="34">
        <v>1277</v>
      </c>
      <c r="Y1281" s="34" t="s">
        <v>2248</v>
      </c>
      <c r="Z1281" s="34" t="s">
        <v>5444</v>
      </c>
      <c r="AA1281" s="35">
        <v>8.7399193548387099E-4</v>
      </c>
      <c r="AB1281" s="13"/>
      <c r="AC1281" s="47">
        <v>1277</v>
      </c>
      <c r="AD1281" s="47" t="s">
        <v>4573</v>
      </c>
      <c r="AE1281" s="47" t="s">
        <v>4635</v>
      </c>
      <c r="AF1281" s="48">
        <v>5.4838709677419356E-2</v>
      </c>
    </row>
    <row r="1282" spans="19:32" x14ac:dyDescent="0.35">
      <c r="S1282" s="47">
        <v>1278</v>
      </c>
      <c r="T1282" s="47" t="s">
        <v>4284</v>
      </c>
      <c r="U1282" s="47" t="s">
        <v>3379</v>
      </c>
      <c r="V1282" s="48">
        <v>0.84639999999999993</v>
      </c>
      <c r="W1282" s="13"/>
      <c r="X1282" s="34">
        <v>1278</v>
      </c>
      <c r="Y1282" s="34" t="s">
        <v>2248</v>
      </c>
      <c r="Z1282" s="34" t="s">
        <v>3455</v>
      </c>
      <c r="AA1282" s="35">
        <v>165.60000000000002</v>
      </c>
      <c r="AB1282" s="13"/>
      <c r="AC1282" s="34">
        <v>1278</v>
      </c>
      <c r="AD1282" s="34" t="s">
        <v>4573</v>
      </c>
      <c r="AE1282" s="34" t="s">
        <v>3334</v>
      </c>
      <c r="AF1282" s="35">
        <v>0.30298387096774199</v>
      </c>
    </row>
    <row r="1283" spans="19:32" x14ac:dyDescent="0.35">
      <c r="S1283" s="47">
        <v>1279</v>
      </c>
      <c r="T1283" s="47" t="s">
        <v>4284</v>
      </c>
      <c r="U1283" s="47" t="s">
        <v>3377</v>
      </c>
      <c r="V1283" s="48">
        <v>0</v>
      </c>
      <c r="W1283" s="13"/>
      <c r="X1283" s="34">
        <v>1279</v>
      </c>
      <c r="Y1283" s="34" t="s">
        <v>2248</v>
      </c>
      <c r="Z1283" s="34" t="s">
        <v>3455</v>
      </c>
      <c r="AA1283" s="35">
        <v>0.73004032258064522</v>
      </c>
      <c r="AB1283" s="13"/>
      <c r="AC1283" s="47">
        <v>1279</v>
      </c>
      <c r="AD1283" s="47" t="s">
        <v>4573</v>
      </c>
      <c r="AE1283" s="47" t="s">
        <v>3334</v>
      </c>
      <c r="AF1283" s="48">
        <v>0.31647999999999998</v>
      </c>
    </row>
    <row r="1284" spans="19:32" x14ac:dyDescent="0.35">
      <c r="S1284" s="34">
        <v>1280</v>
      </c>
      <c r="T1284" s="34" t="s">
        <v>4284</v>
      </c>
      <c r="U1284" s="34" t="s">
        <v>3375</v>
      </c>
      <c r="V1284" s="35">
        <v>4.72983870967742E-4</v>
      </c>
      <c r="W1284" s="13"/>
      <c r="X1284" s="34">
        <v>1280</v>
      </c>
      <c r="Y1284" s="34" t="s">
        <v>2248</v>
      </c>
      <c r="Z1284" s="34" t="s">
        <v>5443</v>
      </c>
      <c r="AA1284" s="35">
        <v>8.2600806451612902E-3</v>
      </c>
      <c r="AB1284" s="13"/>
      <c r="AC1284" s="47">
        <v>1280</v>
      </c>
      <c r="AD1284" s="47" t="s">
        <v>4573</v>
      </c>
      <c r="AE1284" s="47" t="s">
        <v>4634</v>
      </c>
      <c r="AF1284" s="48">
        <v>1.5868951612903227E-2</v>
      </c>
    </row>
    <row r="1285" spans="19:32" x14ac:dyDescent="0.35">
      <c r="S1285" s="47">
        <v>1281</v>
      </c>
      <c r="T1285" s="47" t="s">
        <v>4284</v>
      </c>
      <c r="U1285" s="47" t="s">
        <v>3375</v>
      </c>
      <c r="V1285" s="48">
        <v>0</v>
      </c>
      <c r="W1285" s="13"/>
      <c r="X1285" s="34">
        <v>1281</v>
      </c>
      <c r="Y1285" s="34" t="s">
        <v>2248</v>
      </c>
      <c r="Z1285" s="34" t="s">
        <v>3453</v>
      </c>
      <c r="AA1285" s="35">
        <v>0</v>
      </c>
      <c r="AB1285" s="13"/>
      <c r="AC1285" s="47">
        <v>1281</v>
      </c>
      <c r="AD1285" s="47" t="s">
        <v>4573</v>
      </c>
      <c r="AE1285" s="47" t="s">
        <v>3332</v>
      </c>
      <c r="AF1285" s="48">
        <v>0</v>
      </c>
    </row>
    <row r="1286" spans="19:32" x14ac:dyDescent="0.35">
      <c r="S1286" s="34">
        <v>1282</v>
      </c>
      <c r="T1286" s="34" t="s">
        <v>4284</v>
      </c>
      <c r="U1286" s="34" t="s">
        <v>4753</v>
      </c>
      <c r="V1286" s="35">
        <v>9.2883064516129045E-4</v>
      </c>
      <c r="W1286" s="17"/>
      <c r="X1286" s="34">
        <v>1282</v>
      </c>
      <c r="Y1286" s="34" t="s">
        <v>2248</v>
      </c>
      <c r="Z1286" s="34" t="s">
        <v>3452</v>
      </c>
      <c r="AA1286" s="35">
        <v>0</v>
      </c>
      <c r="AB1286" s="13"/>
      <c r="AC1286" s="34">
        <v>1282</v>
      </c>
      <c r="AD1286" s="34" t="s">
        <v>4573</v>
      </c>
      <c r="AE1286" s="34" t="s">
        <v>4633</v>
      </c>
      <c r="AF1286" s="35">
        <v>1.7719758064516132E-3</v>
      </c>
    </row>
    <row r="1287" spans="19:32" x14ac:dyDescent="0.35">
      <c r="S1287" s="34">
        <v>1283</v>
      </c>
      <c r="T1287" s="34" t="s">
        <v>4284</v>
      </c>
      <c r="U1287" s="34" t="s">
        <v>4752</v>
      </c>
      <c r="V1287" s="35">
        <v>1.7719758064516132E-3</v>
      </c>
      <c r="W1287" s="17"/>
      <c r="X1287" s="34">
        <v>1283</v>
      </c>
      <c r="Y1287" s="34" t="s">
        <v>2248</v>
      </c>
      <c r="Z1287" s="34" t="s">
        <v>5442</v>
      </c>
      <c r="AA1287" s="35">
        <v>2.090725806451613E-4</v>
      </c>
      <c r="AB1287" s="13"/>
      <c r="AC1287" s="47">
        <v>1283</v>
      </c>
      <c r="AD1287" s="47" t="s">
        <v>4573</v>
      </c>
      <c r="AE1287" s="47" t="s">
        <v>4632</v>
      </c>
      <c r="AF1287" s="48">
        <v>4.7298387096774197E-2</v>
      </c>
    </row>
    <row r="1288" spans="19:32" x14ac:dyDescent="0.35">
      <c r="S1288" s="34">
        <v>1284</v>
      </c>
      <c r="T1288" s="34" t="s">
        <v>4284</v>
      </c>
      <c r="U1288" s="34" t="s">
        <v>4750</v>
      </c>
      <c r="V1288" s="35">
        <v>9.7681451612903242E-4</v>
      </c>
      <c r="W1288" s="17"/>
      <c r="X1288" s="34">
        <v>1284</v>
      </c>
      <c r="Y1288" s="34" t="s">
        <v>2248</v>
      </c>
      <c r="Z1288" s="34" t="s">
        <v>3451</v>
      </c>
      <c r="AA1288" s="35">
        <v>0</v>
      </c>
      <c r="AB1288" s="13"/>
      <c r="AC1288" s="47">
        <v>1284</v>
      </c>
      <c r="AD1288" s="47" t="s">
        <v>4573</v>
      </c>
      <c r="AE1288" s="47" t="s">
        <v>4631</v>
      </c>
      <c r="AF1288" s="48">
        <v>1.1653225806451614E-2</v>
      </c>
    </row>
    <row r="1289" spans="19:32" x14ac:dyDescent="0.35">
      <c r="S1289" s="34">
        <v>1285</v>
      </c>
      <c r="T1289" s="34" t="s">
        <v>4284</v>
      </c>
      <c r="U1289" s="34" t="s">
        <v>4749</v>
      </c>
      <c r="V1289" s="35">
        <v>1.0247983870967743E-2</v>
      </c>
      <c r="W1289" s="13"/>
      <c r="X1289" s="34">
        <v>1285</v>
      </c>
      <c r="Y1289" s="34" t="s">
        <v>2248</v>
      </c>
      <c r="Z1289" s="34" t="s">
        <v>4960</v>
      </c>
      <c r="AA1289" s="35">
        <v>3.9415322580645167E-4</v>
      </c>
      <c r="AB1289" s="13"/>
      <c r="AC1289" s="47">
        <v>1285</v>
      </c>
      <c r="AD1289" s="47" t="s">
        <v>4573</v>
      </c>
      <c r="AE1289" s="47" t="s">
        <v>4630</v>
      </c>
      <c r="AF1289" s="48">
        <v>4.0786290322580648E-4</v>
      </c>
    </row>
    <row r="1290" spans="19:32" x14ac:dyDescent="0.35">
      <c r="S1290" s="47">
        <v>1286</v>
      </c>
      <c r="T1290" s="47" t="s">
        <v>4284</v>
      </c>
      <c r="U1290" s="47" t="s">
        <v>3374</v>
      </c>
      <c r="V1290" s="48">
        <v>0</v>
      </c>
      <c r="W1290" s="13"/>
      <c r="X1290" s="34">
        <v>1286</v>
      </c>
      <c r="Y1290" s="34" t="s">
        <v>2248</v>
      </c>
      <c r="Z1290" s="34" t="s">
        <v>5441</v>
      </c>
      <c r="AA1290" s="35">
        <v>1.6383064516129035E-2</v>
      </c>
      <c r="AB1290" s="13"/>
      <c r="AC1290" s="47">
        <v>1286</v>
      </c>
      <c r="AD1290" s="47" t="s">
        <v>4573</v>
      </c>
      <c r="AE1290" s="47" t="s">
        <v>3331</v>
      </c>
      <c r="AF1290" s="48">
        <v>5.3125000000000004E-3</v>
      </c>
    </row>
    <row r="1291" spans="19:32" x14ac:dyDescent="0.35">
      <c r="S1291" s="34">
        <v>1287</v>
      </c>
      <c r="T1291" s="34" t="s">
        <v>4284</v>
      </c>
      <c r="U1291" s="34" t="s">
        <v>4748</v>
      </c>
      <c r="V1291" s="35">
        <v>6.4778225806451617E-5</v>
      </c>
      <c r="W1291" s="13"/>
      <c r="X1291" s="34">
        <v>1287</v>
      </c>
      <c r="Y1291" s="34" t="s">
        <v>2248</v>
      </c>
      <c r="Z1291" s="34" t="s">
        <v>3450</v>
      </c>
      <c r="AA1291" s="35">
        <v>0.13339999999999999</v>
      </c>
      <c r="AB1291" s="13"/>
      <c r="AC1291" s="47">
        <v>1287</v>
      </c>
      <c r="AD1291" s="47" t="s">
        <v>4573</v>
      </c>
      <c r="AE1291" s="47" t="s">
        <v>3331</v>
      </c>
      <c r="AF1291" s="48">
        <v>0</v>
      </c>
    </row>
    <row r="1292" spans="19:32" x14ac:dyDescent="0.35">
      <c r="S1292" s="34">
        <v>1288</v>
      </c>
      <c r="T1292" s="34" t="s">
        <v>4284</v>
      </c>
      <c r="U1292" s="34" t="s">
        <v>4747</v>
      </c>
      <c r="V1292" s="35">
        <v>2.4848790322580649E-3</v>
      </c>
      <c r="W1292" s="17"/>
      <c r="X1292" s="34">
        <v>1288</v>
      </c>
      <c r="Y1292" s="34" t="s">
        <v>2248</v>
      </c>
      <c r="Z1292" s="34" t="s">
        <v>3450</v>
      </c>
      <c r="AA1292" s="35">
        <v>0.11756048387096775</v>
      </c>
      <c r="AB1292" s="13"/>
      <c r="AC1292" s="47">
        <v>1288</v>
      </c>
      <c r="AD1292" s="47" t="s">
        <v>4573</v>
      </c>
      <c r="AE1292" s="47" t="s">
        <v>3329</v>
      </c>
      <c r="AF1292" s="48">
        <v>1.9227999999999998</v>
      </c>
    </row>
    <row r="1293" spans="19:32" x14ac:dyDescent="0.35">
      <c r="S1293" s="34">
        <v>1289</v>
      </c>
      <c r="T1293" s="34" t="s">
        <v>4284</v>
      </c>
      <c r="U1293" s="34" t="s">
        <v>4746</v>
      </c>
      <c r="V1293" s="35">
        <v>2.9030241935483876E-4</v>
      </c>
      <c r="W1293" s="17"/>
      <c r="X1293" s="34">
        <v>1289</v>
      </c>
      <c r="Y1293" s="34" t="s">
        <v>2248</v>
      </c>
      <c r="Z1293" s="34" t="s">
        <v>5440</v>
      </c>
      <c r="AA1293" s="35">
        <v>8.7741935483870979E-4</v>
      </c>
      <c r="AB1293" s="13"/>
      <c r="AC1293" s="34">
        <v>1289</v>
      </c>
      <c r="AD1293" s="34" t="s">
        <v>4573</v>
      </c>
      <c r="AE1293" s="34" t="s">
        <v>4629</v>
      </c>
      <c r="AF1293" s="35">
        <v>0.27967741935483875</v>
      </c>
    </row>
    <row r="1294" spans="19:32" x14ac:dyDescent="0.35">
      <c r="S1294" s="34">
        <v>1290</v>
      </c>
      <c r="T1294" s="34" t="s">
        <v>4284</v>
      </c>
      <c r="U1294" s="34" t="s">
        <v>4745</v>
      </c>
      <c r="V1294" s="35">
        <v>4.9354838709677422E-5</v>
      </c>
      <c r="W1294" s="13"/>
      <c r="X1294" s="34">
        <v>1290</v>
      </c>
      <c r="Y1294" s="34" t="s">
        <v>2248</v>
      </c>
      <c r="Z1294" s="34" t="s">
        <v>3448</v>
      </c>
      <c r="AA1294" s="35">
        <v>1.196</v>
      </c>
      <c r="AB1294" s="13"/>
      <c r="AC1294" s="47">
        <v>1290</v>
      </c>
      <c r="AD1294" s="47" t="s">
        <v>4573</v>
      </c>
      <c r="AE1294" s="47" t="s">
        <v>4628</v>
      </c>
      <c r="AF1294" s="48">
        <v>0.71633064516129041</v>
      </c>
    </row>
    <row r="1295" spans="19:32" x14ac:dyDescent="0.35">
      <c r="S1295" s="34">
        <v>1291</v>
      </c>
      <c r="T1295" s="34" t="s">
        <v>4284</v>
      </c>
      <c r="U1295" s="34" t="s">
        <v>4744</v>
      </c>
      <c r="V1295" s="35">
        <v>4.1471774193548392E-3</v>
      </c>
      <c r="W1295" s="13"/>
      <c r="X1295" s="34">
        <v>1291</v>
      </c>
      <c r="Y1295" s="34" t="s">
        <v>2248</v>
      </c>
      <c r="Z1295" s="34" t="s">
        <v>3448</v>
      </c>
      <c r="AA1295" s="35">
        <v>3.9072580645161295E-2</v>
      </c>
      <c r="AB1295" s="13"/>
      <c r="AC1295" s="34">
        <v>1291</v>
      </c>
      <c r="AD1295" s="34" t="s">
        <v>4573</v>
      </c>
      <c r="AE1295" s="34" t="s">
        <v>4627</v>
      </c>
      <c r="AF1295" s="35">
        <v>0.15012096774193551</v>
      </c>
    </row>
    <row r="1296" spans="19:32" x14ac:dyDescent="0.35">
      <c r="S1296" s="34">
        <v>1292</v>
      </c>
      <c r="T1296" s="34" t="s">
        <v>4284</v>
      </c>
      <c r="U1296" s="34" t="s">
        <v>4743</v>
      </c>
      <c r="V1296" s="35">
        <v>1.5491935483870968E-4</v>
      </c>
      <c r="W1296" s="13"/>
      <c r="X1296" s="34">
        <v>1292</v>
      </c>
      <c r="Y1296" s="34" t="s">
        <v>2248</v>
      </c>
      <c r="Z1296" s="34" t="s">
        <v>4956</v>
      </c>
      <c r="AA1296" s="35">
        <v>8.2600806451612902E-3</v>
      </c>
      <c r="AB1296" s="13"/>
      <c r="AC1296" s="47">
        <v>1292</v>
      </c>
      <c r="AD1296" s="47" t="s">
        <v>4573</v>
      </c>
      <c r="AE1296" s="47" t="s">
        <v>3328</v>
      </c>
      <c r="AF1296" s="48">
        <v>0</v>
      </c>
    </row>
    <row r="1297" spans="19:32" x14ac:dyDescent="0.35">
      <c r="S1297" s="34">
        <v>1293</v>
      </c>
      <c r="T1297" s="34" t="s">
        <v>4284</v>
      </c>
      <c r="U1297" s="34" t="s">
        <v>3372</v>
      </c>
      <c r="V1297" s="35">
        <v>1.4566532258064516E-5</v>
      </c>
      <c r="W1297" s="19"/>
      <c r="X1297" s="34">
        <v>1293</v>
      </c>
      <c r="Y1297" s="34" t="s">
        <v>2248</v>
      </c>
      <c r="Z1297" s="34" t="s">
        <v>5439</v>
      </c>
      <c r="AA1297" s="35">
        <v>2.4883064516129035E-2</v>
      </c>
      <c r="AB1297" s="13"/>
      <c r="AC1297" s="47">
        <v>1293</v>
      </c>
      <c r="AD1297" s="47" t="s">
        <v>4573</v>
      </c>
      <c r="AE1297" s="47" t="s">
        <v>4626</v>
      </c>
      <c r="AF1297" s="48">
        <v>0.5243951612903226</v>
      </c>
    </row>
    <row r="1298" spans="19:32" x14ac:dyDescent="0.35">
      <c r="S1298" s="47">
        <v>1294</v>
      </c>
      <c r="T1298" s="47" t="s">
        <v>4284</v>
      </c>
      <c r="U1298" s="47" t="s">
        <v>3372</v>
      </c>
      <c r="V1298" s="48">
        <v>118.67999999999999</v>
      </c>
      <c r="W1298" s="13"/>
      <c r="X1298" s="34">
        <v>1294</v>
      </c>
      <c r="Y1298" s="34" t="s">
        <v>2248</v>
      </c>
      <c r="Z1298" s="34" t="s">
        <v>4955</v>
      </c>
      <c r="AA1298" s="35">
        <v>4.6612903225806456E-3</v>
      </c>
      <c r="AB1298" s="13"/>
      <c r="AC1298" s="47">
        <v>1294</v>
      </c>
      <c r="AD1298" s="47" t="s">
        <v>4573</v>
      </c>
      <c r="AE1298" s="47" t="s">
        <v>3326</v>
      </c>
      <c r="AF1298" s="48">
        <v>0</v>
      </c>
    </row>
    <row r="1299" spans="19:32" x14ac:dyDescent="0.35">
      <c r="S1299" s="34">
        <v>1295</v>
      </c>
      <c r="T1299" s="34" t="s">
        <v>4284</v>
      </c>
      <c r="U1299" s="34" t="s">
        <v>4741</v>
      </c>
      <c r="V1299" s="35">
        <v>2.3957661290322582E-5</v>
      </c>
      <c r="W1299" s="13"/>
      <c r="X1299" s="34">
        <v>1295</v>
      </c>
      <c r="Y1299" s="34" t="s">
        <v>2248</v>
      </c>
      <c r="Z1299" s="34" t="s">
        <v>4952</v>
      </c>
      <c r="AA1299" s="35">
        <v>4.1814516129032265E-3</v>
      </c>
      <c r="AB1299" s="13"/>
      <c r="AC1299" s="34">
        <v>1295</v>
      </c>
      <c r="AD1299" s="34" t="s">
        <v>4573</v>
      </c>
      <c r="AE1299" s="34" t="s">
        <v>4625</v>
      </c>
      <c r="AF1299" s="35">
        <v>1.3435483870967743E-3</v>
      </c>
    </row>
    <row r="1300" spans="19:32" x14ac:dyDescent="0.35">
      <c r="S1300" s="34">
        <v>1296</v>
      </c>
      <c r="T1300" s="34" t="s">
        <v>4284</v>
      </c>
      <c r="U1300" s="34" t="s">
        <v>4739</v>
      </c>
      <c r="V1300" s="35">
        <v>1.7719758064516132E-3</v>
      </c>
      <c r="W1300" s="13"/>
      <c r="X1300" s="34">
        <v>1296</v>
      </c>
      <c r="Y1300" s="34" t="s">
        <v>2248</v>
      </c>
      <c r="Z1300" s="34" t="s">
        <v>5438</v>
      </c>
      <c r="AA1300" s="35">
        <v>2.9647177419354839E-2</v>
      </c>
      <c r="AB1300" s="13"/>
      <c r="AC1300" s="47">
        <v>1296</v>
      </c>
      <c r="AD1300" s="47" t="s">
        <v>4573</v>
      </c>
      <c r="AE1300" s="47" t="s">
        <v>4624</v>
      </c>
      <c r="AF1300" s="48">
        <v>1.4155241935483872E-2</v>
      </c>
    </row>
    <row r="1301" spans="19:32" x14ac:dyDescent="0.35">
      <c r="S1301" s="34">
        <v>1297</v>
      </c>
      <c r="T1301" s="34" t="s">
        <v>4284</v>
      </c>
      <c r="U1301" s="34" t="s">
        <v>4738</v>
      </c>
      <c r="V1301" s="35">
        <v>9.8366935483870977E-5</v>
      </c>
      <c r="W1301" s="13"/>
      <c r="X1301" s="34">
        <v>1297</v>
      </c>
      <c r="Y1301" s="34" t="s">
        <v>2248</v>
      </c>
      <c r="Z1301" s="34" t="s">
        <v>4950</v>
      </c>
      <c r="AA1301" s="35">
        <v>1.9913306451612906E-3</v>
      </c>
      <c r="AB1301" s="13"/>
      <c r="AC1301" s="47">
        <v>1297</v>
      </c>
      <c r="AD1301" s="47" t="s">
        <v>4573</v>
      </c>
      <c r="AE1301" s="47" t="s">
        <v>3325</v>
      </c>
      <c r="AF1301" s="48">
        <v>6.9367999999999999E-2</v>
      </c>
    </row>
    <row r="1302" spans="19:32" x14ac:dyDescent="0.35">
      <c r="S1302" s="47">
        <v>1298</v>
      </c>
      <c r="T1302" s="47" t="s">
        <v>4284</v>
      </c>
      <c r="U1302" s="47" t="s">
        <v>3371</v>
      </c>
      <c r="V1302" s="48">
        <v>21.068000000000001</v>
      </c>
      <c r="W1302" s="13"/>
      <c r="X1302" s="34">
        <v>1298</v>
      </c>
      <c r="Y1302" s="34" t="s">
        <v>2248</v>
      </c>
      <c r="Z1302" s="34" t="s">
        <v>4949</v>
      </c>
      <c r="AA1302" s="35">
        <v>7.6431451612903236E-3</v>
      </c>
      <c r="AB1302" s="13"/>
      <c r="AC1302" s="47">
        <v>1298</v>
      </c>
      <c r="AD1302" s="47" t="s">
        <v>4573</v>
      </c>
      <c r="AE1302" s="47" t="s">
        <v>3324</v>
      </c>
      <c r="AF1302" s="48">
        <v>80.591999999999999</v>
      </c>
    </row>
    <row r="1303" spans="19:32" x14ac:dyDescent="0.35">
      <c r="S1303" s="34">
        <v>1299</v>
      </c>
      <c r="T1303" s="34" t="s">
        <v>4284</v>
      </c>
      <c r="U1303" s="34" t="s">
        <v>4737</v>
      </c>
      <c r="V1303" s="35">
        <v>3.8044354838709681E-2</v>
      </c>
      <c r="W1303" s="13"/>
      <c r="X1303" s="34">
        <v>1299</v>
      </c>
      <c r="Y1303" s="34" t="s">
        <v>2248</v>
      </c>
      <c r="Z1303" s="34" t="s">
        <v>4946</v>
      </c>
      <c r="AA1303" s="35">
        <v>1.038508064516129E-2</v>
      </c>
      <c r="AB1303" s="13"/>
      <c r="AC1303" s="47">
        <v>1299</v>
      </c>
      <c r="AD1303" s="47" t="s">
        <v>4573</v>
      </c>
      <c r="AE1303" s="47" t="s">
        <v>3323</v>
      </c>
      <c r="AF1303" s="48">
        <v>4.9128000000000002E-3</v>
      </c>
    </row>
    <row r="1304" spans="19:32" x14ac:dyDescent="0.35">
      <c r="S1304" s="47">
        <v>1300</v>
      </c>
      <c r="T1304" s="47" t="s">
        <v>4284</v>
      </c>
      <c r="U1304" s="47" t="s">
        <v>3370</v>
      </c>
      <c r="V1304" s="48">
        <v>0</v>
      </c>
      <c r="W1304" s="13"/>
      <c r="X1304" s="34">
        <v>1300</v>
      </c>
      <c r="Y1304" s="34" t="s">
        <v>2248</v>
      </c>
      <c r="Z1304" s="34" t="s">
        <v>5437</v>
      </c>
      <c r="AA1304" s="35">
        <v>3.5302419354838713E-3</v>
      </c>
      <c r="AB1304" s="13"/>
      <c r="AC1304" s="47">
        <v>1300</v>
      </c>
      <c r="AD1304" s="47" t="s">
        <v>4573</v>
      </c>
      <c r="AE1304" s="47" t="s">
        <v>3322</v>
      </c>
      <c r="AF1304" s="48">
        <v>0.31556000000000001</v>
      </c>
    </row>
    <row r="1305" spans="19:32" x14ac:dyDescent="0.35">
      <c r="S1305" s="34">
        <v>1301</v>
      </c>
      <c r="T1305" s="34" t="s">
        <v>4284</v>
      </c>
      <c r="U1305" s="34" t="s">
        <v>4736</v>
      </c>
      <c r="V1305" s="35">
        <v>4.2157258064516132E-2</v>
      </c>
      <c r="W1305" s="13"/>
      <c r="X1305" s="34">
        <v>1301</v>
      </c>
      <c r="Y1305" s="34" t="s">
        <v>2248</v>
      </c>
      <c r="Z1305" s="34" t="s">
        <v>3447</v>
      </c>
      <c r="AA1305" s="35">
        <v>6.992</v>
      </c>
      <c r="AB1305" s="13"/>
      <c r="AC1305" s="47">
        <v>1301</v>
      </c>
      <c r="AD1305" s="47" t="s">
        <v>4573</v>
      </c>
      <c r="AE1305" s="47" t="s">
        <v>3321</v>
      </c>
      <c r="AF1305" s="48">
        <v>3.7016129032258066E-3</v>
      </c>
    </row>
    <row r="1306" spans="19:32" x14ac:dyDescent="0.35">
      <c r="S1306" s="34">
        <v>1302</v>
      </c>
      <c r="T1306" s="34" t="s">
        <v>4284</v>
      </c>
      <c r="U1306" s="34" t="s">
        <v>4735</v>
      </c>
      <c r="V1306" s="35">
        <v>2.848185483870968E-5</v>
      </c>
      <c r="W1306" s="13"/>
      <c r="X1306" s="34">
        <v>1302</v>
      </c>
      <c r="Y1306" s="34" t="s">
        <v>2248</v>
      </c>
      <c r="Z1306" s="34" t="s">
        <v>4943</v>
      </c>
      <c r="AA1306" s="35">
        <v>0.88427419354838721</v>
      </c>
      <c r="AB1306" s="13"/>
      <c r="AC1306" s="47">
        <v>1302</v>
      </c>
      <c r="AD1306" s="47" t="s">
        <v>4573</v>
      </c>
      <c r="AE1306" s="47" t="s">
        <v>3321</v>
      </c>
      <c r="AF1306" s="48">
        <v>0.49495999999999996</v>
      </c>
    </row>
    <row r="1307" spans="19:32" x14ac:dyDescent="0.35">
      <c r="S1307" s="34">
        <v>1303</v>
      </c>
      <c r="T1307" s="34" t="s">
        <v>4284</v>
      </c>
      <c r="U1307" s="34" t="s">
        <v>3369</v>
      </c>
      <c r="V1307" s="35">
        <v>1.6485887096774196E-3</v>
      </c>
      <c r="W1307" s="13"/>
      <c r="X1307" s="34">
        <v>1303</v>
      </c>
      <c r="Y1307" s="34" t="s">
        <v>2248</v>
      </c>
      <c r="Z1307" s="34" t="s">
        <v>3689</v>
      </c>
      <c r="AA1307" s="35">
        <v>0.20427419354838711</v>
      </c>
      <c r="AB1307" s="13"/>
      <c r="AC1307" s="47">
        <v>1303</v>
      </c>
      <c r="AD1307" s="47" t="s">
        <v>4573</v>
      </c>
      <c r="AE1307" s="47" t="s">
        <v>4623</v>
      </c>
      <c r="AF1307" s="48">
        <v>2.3889112903225809</v>
      </c>
    </row>
    <row r="1308" spans="19:32" x14ac:dyDescent="0.35">
      <c r="S1308" s="47">
        <v>1304</v>
      </c>
      <c r="T1308" s="47" t="s">
        <v>4284</v>
      </c>
      <c r="U1308" s="47" t="s">
        <v>3369</v>
      </c>
      <c r="V1308" s="48">
        <v>2.0056000000000001E-2</v>
      </c>
      <c r="W1308" s="13"/>
      <c r="X1308" s="34">
        <v>1304</v>
      </c>
      <c r="Y1308" s="34" t="s">
        <v>2248</v>
      </c>
      <c r="Z1308" s="34" t="s">
        <v>3446</v>
      </c>
      <c r="AA1308" s="35">
        <v>0</v>
      </c>
      <c r="AB1308" s="13"/>
      <c r="AC1308" s="47">
        <v>1304</v>
      </c>
      <c r="AD1308" s="47" t="s">
        <v>4573</v>
      </c>
      <c r="AE1308" s="47" t="s">
        <v>3320</v>
      </c>
      <c r="AF1308" s="48">
        <v>0</v>
      </c>
    </row>
    <row r="1309" spans="19:32" x14ac:dyDescent="0.35">
      <c r="S1309" s="34">
        <v>1305</v>
      </c>
      <c r="T1309" s="34" t="s">
        <v>4284</v>
      </c>
      <c r="U1309" s="34" t="s">
        <v>3368</v>
      </c>
      <c r="V1309" s="35">
        <v>2.3786290322580649E-4</v>
      </c>
      <c r="W1309" s="13"/>
      <c r="X1309" s="34">
        <v>1305</v>
      </c>
      <c r="Y1309" s="34" t="s">
        <v>2248</v>
      </c>
      <c r="Z1309" s="34" t="s">
        <v>3446</v>
      </c>
      <c r="AA1309" s="35">
        <v>0.24129032258064517</v>
      </c>
      <c r="AB1309" s="13"/>
      <c r="AC1309" s="47">
        <v>1305</v>
      </c>
      <c r="AD1309" s="47" t="s">
        <v>4573</v>
      </c>
      <c r="AE1309" s="47" t="s">
        <v>4622</v>
      </c>
      <c r="AF1309" s="48">
        <v>2.3340725806451613E-2</v>
      </c>
    </row>
    <row r="1310" spans="19:32" x14ac:dyDescent="0.35">
      <c r="S1310" s="47">
        <v>1306</v>
      </c>
      <c r="T1310" s="47" t="s">
        <v>4284</v>
      </c>
      <c r="U1310" s="47" t="s">
        <v>3368</v>
      </c>
      <c r="V1310" s="48">
        <v>0</v>
      </c>
      <c r="W1310" s="13"/>
      <c r="X1310" s="34">
        <v>1306</v>
      </c>
      <c r="Y1310" s="34" t="s">
        <v>2248</v>
      </c>
      <c r="Z1310" s="34" t="s">
        <v>4937</v>
      </c>
      <c r="AA1310" s="35">
        <v>1.4840725806451613E-4</v>
      </c>
      <c r="AB1310" s="13"/>
      <c r="AC1310" s="34">
        <v>1306</v>
      </c>
      <c r="AD1310" s="34" t="s">
        <v>4573</v>
      </c>
      <c r="AE1310" s="34" t="s">
        <v>3319</v>
      </c>
      <c r="AF1310" s="35">
        <v>13.058467741935486</v>
      </c>
    </row>
    <row r="1311" spans="19:32" x14ac:dyDescent="0.35">
      <c r="S1311" s="34">
        <v>1307</v>
      </c>
      <c r="T1311" s="34" t="s">
        <v>4284</v>
      </c>
      <c r="U1311" s="34" t="s">
        <v>4734</v>
      </c>
      <c r="V1311" s="35">
        <v>1.1618951612903227E-3</v>
      </c>
      <c r="W1311" s="13"/>
      <c r="X1311" s="34">
        <v>1307</v>
      </c>
      <c r="Y1311" s="34" t="s">
        <v>2248</v>
      </c>
      <c r="Z1311" s="34" t="s">
        <v>5436</v>
      </c>
      <c r="AA1311" s="35">
        <v>4.0786290322580646E-3</v>
      </c>
      <c r="AB1311" s="13"/>
      <c r="AC1311" s="47">
        <v>1307</v>
      </c>
      <c r="AD1311" s="47" t="s">
        <v>4573</v>
      </c>
      <c r="AE1311" s="47" t="s">
        <v>3319</v>
      </c>
      <c r="AF1311" s="48">
        <v>2.3367999999999998</v>
      </c>
    </row>
    <row r="1312" spans="19:32" x14ac:dyDescent="0.35">
      <c r="S1312" s="34">
        <v>1308</v>
      </c>
      <c r="T1312" s="34" t="s">
        <v>4284</v>
      </c>
      <c r="U1312" s="34" t="s">
        <v>3367</v>
      </c>
      <c r="V1312" s="35">
        <v>1.1858870967741937E-4</v>
      </c>
      <c r="W1312" s="13"/>
      <c r="X1312" s="34">
        <v>1308</v>
      </c>
      <c r="Y1312" s="34" t="s">
        <v>2248</v>
      </c>
      <c r="Z1312" s="34" t="s">
        <v>3444</v>
      </c>
      <c r="AA1312" s="35">
        <v>0.36615999999999999</v>
      </c>
      <c r="AB1312" s="13"/>
      <c r="AC1312" s="47">
        <v>1308</v>
      </c>
      <c r="AD1312" s="47" t="s">
        <v>4573</v>
      </c>
      <c r="AE1312" s="47" t="s">
        <v>4621</v>
      </c>
      <c r="AF1312" s="48">
        <v>4.969758064516129</v>
      </c>
    </row>
    <row r="1313" spans="19:32" x14ac:dyDescent="0.35">
      <c r="S1313" s="47">
        <v>1309</v>
      </c>
      <c r="T1313" s="47" t="s">
        <v>4284</v>
      </c>
      <c r="U1313" s="47" t="s">
        <v>3367</v>
      </c>
      <c r="V1313" s="48">
        <v>0.47564000000000001</v>
      </c>
      <c r="W1313" s="13"/>
      <c r="X1313" s="34">
        <v>1309</v>
      </c>
      <c r="Y1313" s="34" t="s">
        <v>2248</v>
      </c>
      <c r="Z1313" s="34" t="s">
        <v>3444</v>
      </c>
      <c r="AA1313" s="35">
        <v>6.4435483870967751E-3</v>
      </c>
      <c r="AB1313" s="13"/>
      <c r="AC1313" s="34">
        <v>1309</v>
      </c>
      <c r="AD1313" s="34" t="s">
        <v>4573</v>
      </c>
      <c r="AE1313" s="34" t="s">
        <v>3318</v>
      </c>
      <c r="AF1313" s="35">
        <v>6.4092741935483878E-3</v>
      </c>
    </row>
    <row r="1314" spans="19:32" x14ac:dyDescent="0.35">
      <c r="S1314" s="34">
        <v>1310</v>
      </c>
      <c r="T1314" s="34" t="s">
        <v>4284</v>
      </c>
      <c r="U1314" s="34" t="s">
        <v>4732</v>
      </c>
      <c r="V1314" s="35">
        <v>3.3691532258064522E-4</v>
      </c>
      <c r="W1314" s="13"/>
      <c r="X1314" s="34">
        <v>1310</v>
      </c>
      <c r="Y1314" s="34" t="s">
        <v>2248</v>
      </c>
      <c r="Z1314" s="34" t="s">
        <v>5435</v>
      </c>
      <c r="AA1314" s="35">
        <v>5.8266129032258068E-3</v>
      </c>
      <c r="AB1314" s="13"/>
      <c r="AC1314" s="47">
        <v>1310</v>
      </c>
      <c r="AD1314" s="47" t="s">
        <v>4573</v>
      </c>
      <c r="AE1314" s="47" t="s">
        <v>3318</v>
      </c>
      <c r="AF1314" s="48">
        <v>0</v>
      </c>
    </row>
    <row r="1315" spans="19:32" x14ac:dyDescent="0.35">
      <c r="S1315" s="34">
        <v>1311</v>
      </c>
      <c r="T1315" s="34" t="s">
        <v>4284</v>
      </c>
      <c r="U1315" s="34" t="s">
        <v>4731</v>
      </c>
      <c r="V1315" s="35">
        <v>6.4435483870967751E-3</v>
      </c>
      <c r="W1315" s="13"/>
      <c r="X1315" s="34">
        <v>1311</v>
      </c>
      <c r="Y1315" s="34" t="s">
        <v>2248</v>
      </c>
      <c r="Z1315" s="34" t="s">
        <v>3443</v>
      </c>
      <c r="AA1315" s="35">
        <v>0</v>
      </c>
      <c r="AB1315" s="13"/>
      <c r="AC1315" s="47">
        <v>1311</v>
      </c>
      <c r="AD1315" s="47" t="s">
        <v>4573</v>
      </c>
      <c r="AE1315" s="47" t="s">
        <v>4620</v>
      </c>
      <c r="AF1315" s="48">
        <v>3.1360887096774197E-3</v>
      </c>
    </row>
    <row r="1316" spans="19:32" x14ac:dyDescent="0.35">
      <c r="S1316" s="34">
        <v>1312</v>
      </c>
      <c r="T1316" s="34" t="s">
        <v>4284</v>
      </c>
      <c r="U1316" s="34" t="s">
        <v>4730</v>
      </c>
      <c r="V1316" s="35">
        <v>7.9516129032258066E-5</v>
      </c>
      <c r="W1316" s="13"/>
      <c r="X1316" s="34">
        <v>1312</v>
      </c>
      <c r="Y1316" s="34" t="s">
        <v>2248</v>
      </c>
      <c r="Z1316" s="34" t="s">
        <v>4936</v>
      </c>
      <c r="AA1316" s="35">
        <v>1.1310483870967742E-2</v>
      </c>
      <c r="AB1316" s="13"/>
      <c r="AC1316" s="47">
        <v>1312</v>
      </c>
      <c r="AD1316" s="47" t="s">
        <v>4573</v>
      </c>
      <c r="AE1316" s="47" t="s">
        <v>3317</v>
      </c>
      <c r="AF1316" s="48">
        <v>185.84</v>
      </c>
    </row>
    <row r="1317" spans="19:32" x14ac:dyDescent="0.35">
      <c r="S1317" s="34">
        <v>1313</v>
      </c>
      <c r="T1317" s="34" t="s">
        <v>4284</v>
      </c>
      <c r="U1317" s="34" t="s">
        <v>3366</v>
      </c>
      <c r="V1317" s="35">
        <v>9.0826612903225815E-2</v>
      </c>
      <c r="W1317" s="13"/>
      <c r="X1317" s="34">
        <v>1313</v>
      </c>
      <c r="Y1317" s="34" t="s">
        <v>2248</v>
      </c>
      <c r="Z1317" s="34" t="s">
        <v>5434</v>
      </c>
      <c r="AA1317" s="35">
        <v>5.5181451612903226E-3</v>
      </c>
      <c r="AB1317" s="13"/>
      <c r="AC1317" s="47">
        <v>1313</v>
      </c>
      <c r="AD1317" s="47" t="s">
        <v>4573</v>
      </c>
      <c r="AE1317" s="47" t="s">
        <v>3316</v>
      </c>
      <c r="AF1317" s="48">
        <v>7.3783999999999992</v>
      </c>
    </row>
    <row r="1318" spans="19:32" x14ac:dyDescent="0.35">
      <c r="S1318" s="47">
        <v>1314</v>
      </c>
      <c r="T1318" s="47" t="s">
        <v>4284</v>
      </c>
      <c r="U1318" s="47" t="s">
        <v>3366</v>
      </c>
      <c r="V1318" s="48">
        <v>0</v>
      </c>
      <c r="W1318" s="13"/>
      <c r="X1318" s="34">
        <v>1314</v>
      </c>
      <c r="Y1318" s="34" t="s">
        <v>2248</v>
      </c>
      <c r="Z1318" s="34" t="s">
        <v>3442</v>
      </c>
      <c r="AA1318" s="35">
        <v>264.95999999999998</v>
      </c>
      <c r="AB1318" s="13"/>
      <c r="AC1318" s="47">
        <v>1314</v>
      </c>
      <c r="AD1318" s="47" t="s">
        <v>4573</v>
      </c>
      <c r="AE1318" s="47" t="s">
        <v>3315</v>
      </c>
      <c r="AF1318" s="48">
        <v>131.56</v>
      </c>
    </row>
    <row r="1319" spans="19:32" x14ac:dyDescent="0.35">
      <c r="S1319" s="34">
        <v>1315</v>
      </c>
      <c r="T1319" s="34" t="s">
        <v>4284</v>
      </c>
      <c r="U1319" s="34" t="s">
        <v>4729</v>
      </c>
      <c r="V1319" s="35">
        <v>1.0453629032258066E-3</v>
      </c>
      <c r="W1319" s="17"/>
      <c r="X1319" s="34">
        <v>1315</v>
      </c>
      <c r="Y1319" s="34" t="s">
        <v>2248</v>
      </c>
      <c r="Z1319" s="34" t="s">
        <v>4934</v>
      </c>
      <c r="AA1319" s="35">
        <v>0.5346774193548387</v>
      </c>
      <c r="AB1319" s="13"/>
      <c r="AC1319" s="47">
        <v>1315</v>
      </c>
      <c r="AD1319" s="47" t="s">
        <v>4573</v>
      </c>
      <c r="AE1319" s="47" t="s">
        <v>3313</v>
      </c>
      <c r="AF1319" s="48">
        <v>97.52</v>
      </c>
    </row>
    <row r="1320" spans="19:32" x14ac:dyDescent="0.35">
      <c r="S1320" s="47">
        <v>1316</v>
      </c>
      <c r="T1320" s="47" t="s">
        <v>4284</v>
      </c>
      <c r="U1320" s="47" t="s">
        <v>3364</v>
      </c>
      <c r="V1320" s="48">
        <v>0</v>
      </c>
      <c r="W1320" s="17"/>
      <c r="X1320" s="34">
        <v>1316</v>
      </c>
      <c r="Y1320" s="34" t="s">
        <v>2248</v>
      </c>
      <c r="Z1320" s="34" t="s">
        <v>4931</v>
      </c>
      <c r="AA1320" s="35">
        <v>2.9989919354838713E-4</v>
      </c>
      <c r="AB1320" s="13"/>
      <c r="AC1320" s="47">
        <v>1316</v>
      </c>
      <c r="AD1320" s="47" t="s">
        <v>4573</v>
      </c>
      <c r="AE1320" s="47" t="s">
        <v>3312</v>
      </c>
      <c r="AF1320" s="48">
        <v>0.74887999999999999</v>
      </c>
    </row>
    <row r="1321" spans="19:32" x14ac:dyDescent="0.35">
      <c r="S1321" s="34">
        <v>1317</v>
      </c>
      <c r="T1321" s="34" t="s">
        <v>4284</v>
      </c>
      <c r="U1321" s="34" t="s">
        <v>3363</v>
      </c>
      <c r="V1321" s="35">
        <v>0.18028225806451614</v>
      </c>
      <c r="W1321" s="17"/>
      <c r="X1321" s="34">
        <v>1317</v>
      </c>
      <c r="Y1321" s="34" t="s">
        <v>2248</v>
      </c>
      <c r="Z1321" s="34" t="s">
        <v>5433</v>
      </c>
      <c r="AA1321" s="35">
        <v>1.0659274193548387E-5</v>
      </c>
      <c r="AB1321" s="13"/>
      <c r="AC1321" s="34">
        <v>1317</v>
      </c>
      <c r="AD1321" s="34" t="s">
        <v>4573</v>
      </c>
      <c r="AE1321" s="34" t="s">
        <v>4619</v>
      </c>
      <c r="AF1321" s="35">
        <v>1.3195564516129032</v>
      </c>
    </row>
    <row r="1322" spans="19:32" x14ac:dyDescent="0.35">
      <c r="S1322" s="47">
        <v>1318</v>
      </c>
      <c r="T1322" s="47" t="s">
        <v>4284</v>
      </c>
      <c r="U1322" s="47" t="s">
        <v>3363</v>
      </c>
      <c r="V1322" s="48">
        <v>57.04</v>
      </c>
      <c r="W1322" s="13"/>
      <c r="X1322" s="34">
        <v>1318</v>
      </c>
      <c r="Y1322" s="34" t="s">
        <v>2248</v>
      </c>
      <c r="Z1322" s="34" t="s">
        <v>4930</v>
      </c>
      <c r="AA1322" s="35">
        <v>1.1893145161290324E-3</v>
      </c>
      <c r="AB1322" s="13"/>
      <c r="AC1322" s="47">
        <v>1318</v>
      </c>
      <c r="AD1322" s="47" t="s">
        <v>4573</v>
      </c>
      <c r="AE1322" s="47" t="s">
        <v>4618</v>
      </c>
      <c r="AF1322" s="48">
        <v>1.2407258064516132E-3</v>
      </c>
    </row>
    <row r="1323" spans="19:32" x14ac:dyDescent="0.35">
      <c r="S1323" s="34">
        <v>1319</v>
      </c>
      <c r="T1323" s="34" t="s">
        <v>4284</v>
      </c>
      <c r="U1323" s="34" t="s">
        <v>4728</v>
      </c>
      <c r="V1323" s="35">
        <v>0.63407258064516137</v>
      </c>
      <c r="W1323" s="13"/>
      <c r="X1323" s="34">
        <v>1319</v>
      </c>
      <c r="Y1323" s="34" t="s">
        <v>2248</v>
      </c>
      <c r="Z1323" s="34" t="s">
        <v>4929</v>
      </c>
      <c r="AA1323" s="35">
        <v>2.6733870967741939E-3</v>
      </c>
      <c r="AB1323" s="13"/>
      <c r="AC1323" s="47">
        <v>1319</v>
      </c>
      <c r="AD1323" s="47" t="s">
        <v>4573</v>
      </c>
      <c r="AE1323" s="47" t="s">
        <v>3310</v>
      </c>
      <c r="AF1323" s="48">
        <v>0.48208000000000001</v>
      </c>
    </row>
    <row r="1324" spans="19:32" x14ac:dyDescent="0.35">
      <c r="S1324" s="47">
        <v>1320</v>
      </c>
      <c r="T1324" s="47" t="s">
        <v>4284</v>
      </c>
      <c r="U1324" s="47" t="s">
        <v>3361</v>
      </c>
      <c r="V1324" s="48">
        <v>0</v>
      </c>
      <c r="W1324" s="13"/>
      <c r="X1324" s="34">
        <v>1320</v>
      </c>
      <c r="Y1324" s="34" t="s">
        <v>2248</v>
      </c>
      <c r="Z1324" s="34" t="s">
        <v>5432</v>
      </c>
      <c r="AA1324" s="35">
        <v>2.2415322580645162E-2</v>
      </c>
      <c r="AB1324" s="13"/>
      <c r="AC1324" s="47">
        <v>1320</v>
      </c>
      <c r="AD1324" s="47" t="s">
        <v>4573</v>
      </c>
      <c r="AE1324" s="47" t="s">
        <v>4617</v>
      </c>
      <c r="AF1324" s="48">
        <v>0.35987903225806456</v>
      </c>
    </row>
    <row r="1325" spans="19:32" x14ac:dyDescent="0.35">
      <c r="S1325" s="34">
        <v>1321</v>
      </c>
      <c r="T1325" s="34" t="s">
        <v>4284</v>
      </c>
      <c r="U1325" s="34" t="s">
        <v>4727</v>
      </c>
      <c r="V1325" s="35">
        <v>70.262096774193552</v>
      </c>
      <c r="W1325" s="13"/>
      <c r="X1325" s="34">
        <v>1321</v>
      </c>
      <c r="Y1325" s="34" t="s">
        <v>2248</v>
      </c>
      <c r="Z1325" s="34" t="s">
        <v>3441</v>
      </c>
      <c r="AA1325" s="35">
        <v>0.79027999999999998</v>
      </c>
      <c r="AB1325" s="13"/>
      <c r="AC1325" s="47">
        <v>1321</v>
      </c>
      <c r="AD1325" s="47" t="s">
        <v>4573</v>
      </c>
      <c r="AE1325" s="47" t="s">
        <v>4616</v>
      </c>
      <c r="AF1325" s="48">
        <v>3.7701612903225808E-3</v>
      </c>
    </row>
    <row r="1326" spans="19:32" x14ac:dyDescent="0.35">
      <c r="S1326" s="47">
        <v>1322</v>
      </c>
      <c r="T1326" s="47" t="s">
        <v>4284</v>
      </c>
      <c r="U1326" s="47" t="s">
        <v>3360</v>
      </c>
      <c r="V1326" s="48">
        <v>0.60996000000000006</v>
      </c>
      <c r="W1326" s="13"/>
      <c r="X1326" s="34">
        <v>1322</v>
      </c>
      <c r="Y1326" s="34" t="s">
        <v>2248</v>
      </c>
      <c r="Z1326" s="34" t="s">
        <v>3439</v>
      </c>
      <c r="AA1326" s="35">
        <v>0</v>
      </c>
      <c r="AB1326" s="13"/>
      <c r="AC1326" s="47">
        <v>1322</v>
      </c>
      <c r="AD1326" s="47" t="s">
        <v>4573</v>
      </c>
      <c r="AE1326" s="47" t="s">
        <v>3309</v>
      </c>
      <c r="AF1326" s="48">
        <v>0</v>
      </c>
    </row>
    <row r="1327" spans="19:32" x14ac:dyDescent="0.35">
      <c r="S1327" s="34">
        <v>1323</v>
      </c>
      <c r="T1327" s="34" t="s">
        <v>4284</v>
      </c>
      <c r="U1327" s="34" t="s">
        <v>4726</v>
      </c>
      <c r="V1327" s="35">
        <v>1.3812500000000001E-4</v>
      </c>
      <c r="W1327" s="13"/>
      <c r="X1327" s="34">
        <v>1323</v>
      </c>
      <c r="Y1327" s="34" t="s">
        <v>2248</v>
      </c>
      <c r="Z1327" s="34" t="s">
        <v>5431</v>
      </c>
      <c r="AA1327" s="35">
        <v>7.0604838709677423E-5</v>
      </c>
      <c r="AB1327" s="13"/>
      <c r="AC1327" s="47">
        <v>1323</v>
      </c>
      <c r="AD1327" s="47" t="s">
        <v>4573</v>
      </c>
      <c r="AE1327" s="47" t="s">
        <v>4615</v>
      </c>
      <c r="AF1327" s="48">
        <v>5.3125000000000006E-2</v>
      </c>
    </row>
    <row r="1328" spans="19:32" x14ac:dyDescent="0.35">
      <c r="S1328" s="34">
        <v>1324</v>
      </c>
      <c r="T1328" s="34" t="s">
        <v>4284</v>
      </c>
      <c r="U1328" s="34" t="s">
        <v>3359</v>
      </c>
      <c r="V1328" s="35">
        <v>2.1627016129032259E-3</v>
      </c>
      <c r="W1328" s="13"/>
      <c r="X1328" s="34">
        <v>1324</v>
      </c>
      <c r="Y1328" s="34" t="s">
        <v>2248</v>
      </c>
      <c r="Z1328" s="34" t="s">
        <v>3438</v>
      </c>
      <c r="AA1328" s="35">
        <v>0</v>
      </c>
      <c r="AB1328" s="13"/>
      <c r="AC1328" s="34">
        <v>1324</v>
      </c>
      <c r="AD1328" s="34" t="s">
        <v>4573</v>
      </c>
      <c r="AE1328" s="34" t="s">
        <v>4614</v>
      </c>
      <c r="AF1328" s="35">
        <v>3.9072580645161295E-2</v>
      </c>
    </row>
    <row r="1329" spans="19:32" x14ac:dyDescent="0.35">
      <c r="S1329" s="47">
        <v>1325</v>
      </c>
      <c r="T1329" s="47" t="s">
        <v>4284</v>
      </c>
      <c r="U1329" s="47" t="s">
        <v>3359</v>
      </c>
      <c r="V1329" s="48">
        <v>0</v>
      </c>
      <c r="W1329" s="13"/>
      <c r="X1329" s="34">
        <v>1325</v>
      </c>
      <c r="Y1329" s="34" t="s">
        <v>2248</v>
      </c>
      <c r="Z1329" s="34" t="s">
        <v>3438</v>
      </c>
      <c r="AA1329" s="35">
        <v>0.53810483870967751</v>
      </c>
      <c r="AB1329" s="13"/>
      <c r="AC1329" s="47">
        <v>1325</v>
      </c>
      <c r="AD1329" s="47" t="s">
        <v>4573</v>
      </c>
      <c r="AE1329" s="47" t="s">
        <v>4613</v>
      </c>
      <c r="AF1329" s="48">
        <v>2.7933467741935486E-3</v>
      </c>
    </row>
    <row r="1330" spans="19:32" x14ac:dyDescent="0.35">
      <c r="S1330" s="34">
        <v>1326</v>
      </c>
      <c r="T1330" s="34" t="s">
        <v>4284</v>
      </c>
      <c r="U1330" s="34" t="s">
        <v>4725</v>
      </c>
      <c r="V1330" s="35">
        <v>0.15629032258064518</v>
      </c>
      <c r="W1330" s="13"/>
      <c r="X1330" s="34">
        <v>1326</v>
      </c>
      <c r="Y1330" s="34" t="s">
        <v>2248</v>
      </c>
      <c r="Z1330" s="34" t="s">
        <v>4928</v>
      </c>
      <c r="AA1330" s="35">
        <v>4.2500000000000003E-4</v>
      </c>
      <c r="AB1330" s="13"/>
      <c r="AC1330" s="34">
        <v>1326</v>
      </c>
      <c r="AD1330" s="34" t="s">
        <v>4573</v>
      </c>
      <c r="AE1330" s="34" t="s">
        <v>4612</v>
      </c>
      <c r="AF1330" s="35">
        <v>1.3435483870967743E-3</v>
      </c>
    </row>
    <row r="1331" spans="19:32" x14ac:dyDescent="0.35">
      <c r="S1331" s="34">
        <v>1327</v>
      </c>
      <c r="T1331" s="34" t="s">
        <v>4284</v>
      </c>
      <c r="U1331" s="34" t="s">
        <v>4724</v>
      </c>
      <c r="V1331" s="35">
        <v>1.3538306451612904E-8</v>
      </c>
      <c r="W1331" s="13"/>
      <c r="X1331" s="34">
        <v>1327</v>
      </c>
      <c r="Y1331" s="34" t="s">
        <v>2248</v>
      </c>
      <c r="Z1331" s="34" t="s">
        <v>5430</v>
      </c>
      <c r="AA1331" s="35">
        <v>6.5120967741935491E-4</v>
      </c>
      <c r="AB1331" s="13"/>
      <c r="AC1331" s="47">
        <v>1327</v>
      </c>
      <c r="AD1331" s="47" t="s">
        <v>4573</v>
      </c>
      <c r="AE1331" s="47" t="s">
        <v>4611</v>
      </c>
      <c r="AF1331" s="48">
        <v>3.307459677419355E-3</v>
      </c>
    </row>
    <row r="1332" spans="19:32" x14ac:dyDescent="0.35">
      <c r="S1332" s="34">
        <v>1328</v>
      </c>
      <c r="T1332" s="34" t="s">
        <v>4284</v>
      </c>
      <c r="U1332" s="34" t="s">
        <v>4723</v>
      </c>
      <c r="V1332" s="35">
        <v>9.5625000000000016E-7</v>
      </c>
      <c r="W1332" s="13"/>
      <c r="X1332" s="34">
        <v>1328</v>
      </c>
      <c r="Y1332" s="34" t="s">
        <v>2248</v>
      </c>
      <c r="Z1332" s="34" t="s">
        <v>4927</v>
      </c>
      <c r="AA1332" s="35">
        <v>4.2842741935483875E-2</v>
      </c>
      <c r="AB1332" s="13"/>
      <c r="AC1332" s="47">
        <v>1328</v>
      </c>
      <c r="AD1332" s="47" t="s">
        <v>4573</v>
      </c>
      <c r="AE1332" s="47" t="s">
        <v>3307</v>
      </c>
      <c r="AF1332" s="48">
        <v>0</v>
      </c>
    </row>
    <row r="1333" spans="19:32" x14ac:dyDescent="0.35">
      <c r="S1333" s="34">
        <v>1329</v>
      </c>
      <c r="T1333" s="34" t="s">
        <v>4284</v>
      </c>
      <c r="U1333" s="34" t="s">
        <v>4722</v>
      </c>
      <c r="V1333" s="35">
        <v>8.8427419354838711E-8</v>
      </c>
      <c r="W1333" s="13"/>
      <c r="X1333" s="34">
        <v>1329</v>
      </c>
      <c r="Y1333" s="34" t="s">
        <v>2248</v>
      </c>
      <c r="Z1333" s="34" t="s">
        <v>4926</v>
      </c>
      <c r="AA1333" s="35">
        <v>8.1572580645161295E-4</v>
      </c>
      <c r="AB1333" s="13"/>
      <c r="AC1333" s="47">
        <v>1329</v>
      </c>
      <c r="AD1333" s="47" t="s">
        <v>4573</v>
      </c>
      <c r="AE1333" s="47" t="s">
        <v>3306</v>
      </c>
      <c r="AF1333" s="48">
        <v>0</v>
      </c>
    </row>
    <row r="1334" spans="19:32" x14ac:dyDescent="0.35">
      <c r="S1334" s="34">
        <v>1330</v>
      </c>
      <c r="T1334" s="34" t="s">
        <v>4284</v>
      </c>
      <c r="U1334" s="34" t="s">
        <v>4721</v>
      </c>
      <c r="V1334" s="35">
        <v>9.7681451612903239E-7</v>
      </c>
      <c r="W1334" s="13"/>
      <c r="X1334" s="34">
        <v>1330</v>
      </c>
      <c r="Y1334" s="34" t="s">
        <v>2248</v>
      </c>
      <c r="Z1334" s="34" t="s">
        <v>5429</v>
      </c>
      <c r="AA1334" s="35">
        <v>8.0887096774193544E-5</v>
      </c>
      <c r="AB1334" s="13"/>
      <c r="AC1334" s="47">
        <v>1330</v>
      </c>
      <c r="AD1334" s="47" t="s">
        <v>4573</v>
      </c>
      <c r="AE1334" s="47" t="s">
        <v>3305</v>
      </c>
      <c r="AF1334" s="48">
        <v>0</v>
      </c>
    </row>
    <row r="1335" spans="19:32" x14ac:dyDescent="0.35">
      <c r="S1335" s="34">
        <v>1331</v>
      </c>
      <c r="T1335" s="34" t="s">
        <v>4284</v>
      </c>
      <c r="U1335" s="34" t="s">
        <v>4720</v>
      </c>
      <c r="V1335" s="35">
        <v>0.24985887096774195</v>
      </c>
      <c r="W1335" s="13"/>
      <c r="X1335" s="34">
        <v>1331</v>
      </c>
      <c r="Y1335" s="34" t="s">
        <v>2248</v>
      </c>
      <c r="Z1335" s="34" t="s">
        <v>4925</v>
      </c>
      <c r="AA1335" s="35">
        <v>4.8326612903225813E-3</v>
      </c>
      <c r="AB1335" s="13"/>
      <c r="AC1335" s="47">
        <v>1331</v>
      </c>
      <c r="AD1335" s="47" t="s">
        <v>4573</v>
      </c>
      <c r="AE1335" s="47" t="s">
        <v>3303</v>
      </c>
      <c r="AF1335" s="48">
        <v>0</v>
      </c>
    </row>
    <row r="1336" spans="19:32" x14ac:dyDescent="0.35">
      <c r="S1336" s="34">
        <v>1332</v>
      </c>
      <c r="T1336" s="34" t="s">
        <v>4284</v>
      </c>
      <c r="U1336" s="34" t="s">
        <v>3358</v>
      </c>
      <c r="V1336" s="35">
        <v>3.1875000000000004</v>
      </c>
      <c r="W1336" s="13"/>
      <c r="X1336" s="34">
        <v>1332</v>
      </c>
      <c r="Y1336" s="34" t="s">
        <v>2248</v>
      </c>
      <c r="Z1336" s="34" t="s">
        <v>4924</v>
      </c>
      <c r="AA1336" s="35">
        <v>2.6870967741935484E-2</v>
      </c>
      <c r="AB1336" s="13"/>
      <c r="AC1336" s="47">
        <v>1332</v>
      </c>
      <c r="AD1336" s="47" t="s">
        <v>4573</v>
      </c>
      <c r="AE1336" s="47" t="s">
        <v>3302</v>
      </c>
      <c r="AF1336" s="48">
        <v>0</v>
      </c>
    </row>
    <row r="1337" spans="19:32" x14ac:dyDescent="0.35">
      <c r="S1337" s="47">
        <v>1333</v>
      </c>
      <c r="T1337" s="47" t="s">
        <v>4284</v>
      </c>
      <c r="U1337" s="47" t="s">
        <v>3358</v>
      </c>
      <c r="V1337" s="48">
        <v>0</v>
      </c>
      <c r="W1337" s="13"/>
      <c r="X1337" s="34">
        <v>1333</v>
      </c>
      <c r="Y1337" s="34" t="s">
        <v>2248</v>
      </c>
      <c r="Z1337" s="34" t="s">
        <v>5428</v>
      </c>
      <c r="AA1337" s="35">
        <v>1.6451612903225807E-4</v>
      </c>
      <c r="AB1337" s="13"/>
      <c r="AC1337" s="34">
        <v>1333</v>
      </c>
      <c r="AD1337" s="34" t="s">
        <v>4573</v>
      </c>
      <c r="AE1337" s="34" t="s">
        <v>3300</v>
      </c>
      <c r="AF1337" s="35">
        <v>4.8326612903225812E-2</v>
      </c>
    </row>
    <row r="1338" spans="19:32" x14ac:dyDescent="0.35">
      <c r="S1338" s="34">
        <v>1334</v>
      </c>
      <c r="T1338" s="34" t="s">
        <v>4284</v>
      </c>
      <c r="U1338" s="34" t="s">
        <v>4719</v>
      </c>
      <c r="V1338" s="35">
        <v>2.0256048387096777E-2</v>
      </c>
      <c r="W1338" s="13"/>
      <c r="X1338" s="34">
        <v>1334</v>
      </c>
      <c r="Y1338" s="34" t="s">
        <v>2248</v>
      </c>
      <c r="Z1338" s="34" t="s">
        <v>4923</v>
      </c>
      <c r="AA1338" s="35">
        <v>4.4899193548387102E-4</v>
      </c>
      <c r="AB1338" s="13"/>
      <c r="AC1338" s="47">
        <v>1334</v>
      </c>
      <c r="AD1338" s="47" t="s">
        <v>4573</v>
      </c>
      <c r="AE1338" s="47" t="s">
        <v>3300</v>
      </c>
      <c r="AF1338" s="48">
        <v>0</v>
      </c>
    </row>
    <row r="1339" spans="19:32" x14ac:dyDescent="0.35">
      <c r="S1339" s="34">
        <v>1335</v>
      </c>
      <c r="T1339" s="34" t="s">
        <v>4284</v>
      </c>
      <c r="U1339" s="34" t="s">
        <v>4718</v>
      </c>
      <c r="V1339" s="35">
        <v>4.7641129032258069E-2</v>
      </c>
      <c r="W1339" s="13"/>
      <c r="X1339" s="34">
        <v>1335</v>
      </c>
      <c r="Y1339" s="34" t="s">
        <v>2248</v>
      </c>
      <c r="Z1339" s="34" t="s">
        <v>4922</v>
      </c>
      <c r="AA1339" s="35">
        <v>4.2842741935483875E-2</v>
      </c>
      <c r="AB1339" s="13"/>
      <c r="AC1339" s="47">
        <v>1335</v>
      </c>
      <c r="AD1339" s="47" t="s">
        <v>4573</v>
      </c>
      <c r="AE1339" s="47" t="s">
        <v>4609</v>
      </c>
      <c r="AF1339" s="48">
        <v>1.3401209677419356E-3</v>
      </c>
    </row>
    <row r="1340" spans="19:32" x14ac:dyDescent="0.35">
      <c r="S1340" s="34">
        <v>1336</v>
      </c>
      <c r="T1340" s="34" t="s">
        <v>4284</v>
      </c>
      <c r="U1340" s="34" t="s">
        <v>4717</v>
      </c>
      <c r="V1340" s="35">
        <v>0.31669354838709679</v>
      </c>
      <c r="W1340" s="13"/>
      <c r="X1340" s="34">
        <v>1336</v>
      </c>
      <c r="Y1340" s="34" t="s">
        <v>2248</v>
      </c>
      <c r="Z1340" s="34" t="s">
        <v>4921</v>
      </c>
      <c r="AA1340" s="35">
        <v>5.9979838709677422E-5</v>
      </c>
      <c r="AB1340" s="13"/>
      <c r="AC1340" s="47">
        <v>1336</v>
      </c>
      <c r="AD1340" s="47" t="s">
        <v>4573</v>
      </c>
      <c r="AE1340" s="47" t="s">
        <v>4606</v>
      </c>
      <c r="AF1340" s="48">
        <v>2.340927419354839E-2</v>
      </c>
    </row>
    <row r="1341" spans="19:32" x14ac:dyDescent="0.35">
      <c r="S1341" s="34">
        <v>1337</v>
      </c>
      <c r="T1341" s="34" t="s">
        <v>4284</v>
      </c>
      <c r="U1341" s="34" t="s">
        <v>3357</v>
      </c>
      <c r="V1341" s="35">
        <v>2.2072580645161294E-4</v>
      </c>
      <c r="W1341" s="13"/>
      <c r="X1341" s="34">
        <v>1337</v>
      </c>
      <c r="Y1341" s="34" t="s">
        <v>2248</v>
      </c>
      <c r="Z1341" s="34" t="s">
        <v>5427</v>
      </c>
      <c r="AA1341" s="35">
        <v>6.5463709677419356E-7</v>
      </c>
      <c r="AB1341" s="13"/>
      <c r="AC1341" s="47">
        <v>1337</v>
      </c>
      <c r="AD1341" s="47" t="s">
        <v>4573</v>
      </c>
      <c r="AE1341" s="47" t="s">
        <v>3299</v>
      </c>
      <c r="AF1341" s="48">
        <v>14.811999999999998</v>
      </c>
    </row>
    <row r="1342" spans="19:32" x14ac:dyDescent="0.35">
      <c r="S1342" s="47">
        <v>1338</v>
      </c>
      <c r="T1342" s="47" t="s">
        <v>4284</v>
      </c>
      <c r="U1342" s="47" t="s">
        <v>3357</v>
      </c>
      <c r="V1342" s="48">
        <v>0</v>
      </c>
      <c r="W1342" s="13"/>
      <c r="X1342" s="34">
        <v>1338</v>
      </c>
      <c r="Y1342" s="34" t="s">
        <v>2248</v>
      </c>
      <c r="Z1342" s="34" t="s">
        <v>4920</v>
      </c>
      <c r="AA1342" s="35">
        <v>5.2782258064516135E-4</v>
      </c>
      <c r="AB1342" s="13"/>
      <c r="AC1342" s="47">
        <v>1338</v>
      </c>
      <c r="AD1342" s="47" t="s">
        <v>4573</v>
      </c>
      <c r="AE1342" s="47" t="s">
        <v>3297</v>
      </c>
      <c r="AF1342" s="48">
        <v>123.28</v>
      </c>
    </row>
    <row r="1343" spans="19:32" x14ac:dyDescent="0.35">
      <c r="S1343" s="47">
        <v>1339</v>
      </c>
      <c r="T1343" s="47" t="s">
        <v>4284</v>
      </c>
      <c r="U1343" s="47" t="s">
        <v>3355</v>
      </c>
      <c r="V1343" s="48">
        <v>14.536000000000001</v>
      </c>
      <c r="W1343" s="13"/>
      <c r="X1343" s="34">
        <v>1339</v>
      </c>
      <c r="Y1343" s="34" t="s">
        <v>2248</v>
      </c>
      <c r="Z1343" s="34" t="s">
        <v>4919</v>
      </c>
      <c r="AA1343" s="35">
        <v>2.2997983870967746E-5</v>
      </c>
      <c r="AB1343" s="13"/>
      <c r="AC1343" s="47">
        <v>1339</v>
      </c>
      <c r="AD1343" s="47" t="s">
        <v>4573</v>
      </c>
      <c r="AE1343" s="47" t="s">
        <v>4603</v>
      </c>
      <c r="AF1343" s="48">
        <v>5.2782258064516135E-4</v>
      </c>
    </row>
    <row r="1344" spans="19:32" x14ac:dyDescent="0.35">
      <c r="S1344" s="34">
        <v>1340</v>
      </c>
      <c r="T1344" s="34" t="s">
        <v>4284</v>
      </c>
      <c r="U1344" s="34" t="s">
        <v>4716</v>
      </c>
      <c r="V1344" s="35">
        <v>5.6209677419354842E-6</v>
      </c>
      <c r="W1344" s="13"/>
      <c r="X1344" s="34">
        <v>1340</v>
      </c>
      <c r="Y1344" s="34" t="s">
        <v>2248</v>
      </c>
      <c r="Z1344" s="34" t="s">
        <v>3686</v>
      </c>
      <c r="AA1344" s="35">
        <v>5.5524193548387108E-5</v>
      </c>
      <c r="AB1344" s="13"/>
      <c r="AC1344" s="47">
        <v>1340</v>
      </c>
      <c r="AD1344" s="47" t="s">
        <v>4573</v>
      </c>
      <c r="AE1344" s="47" t="s">
        <v>3296</v>
      </c>
      <c r="AF1344" s="48">
        <v>0</v>
      </c>
    </row>
    <row r="1345" spans="19:32" x14ac:dyDescent="0.35">
      <c r="S1345" s="47">
        <v>1341</v>
      </c>
      <c r="T1345" s="47" t="s">
        <v>4284</v>
      </c>
      <c r="U1345" s="47" t="s">
        <v>3354</v>
      </c>
      <c r="V1345" s="48">
        <v>0.16191999999999998</v>
      </c>
      <c r="W1345" s="13"/>
      <c r="X1345" s="34">
        <v>1341</v>
      </c>
      <c r="Y1345" s="34" t="s">
        <v>2248</v>
      </c>
      <c r="Z1345" s="34" t="s">
        <v>4918</v>
      </c>
      <c r="AA1345" s="35">
        <v>0.34</v>
      </c>
      <c r="AB1345" s="13"/>
      <c r="AC1345" s="47">
        <v>1341</v>
      </c>
      <c r="AD1345" s="47" t="s">
        <v>4573</v>
      </c>
      <c r="AE1345" s="47" t="s">
        <v>4599</v>
      </c>
      <c r="AF1345" s="48">
        <v>3.0675403225806455</v>
      </c>
    </row>
    <row r="1346" spans="19:32" x14ac:dyDescent="0.35">
      <c r="S1346" s="34">
        <v>1342</v>
      </c>
      <c r="T1346" s="34" t="s">
        <v>4284</v>
      </c>
      <c r="U1346" s="34" t="s">
        <v>3353</v>
      </c>
      <c r="V1346" s="35">
        <v>4.6270161290322585E-5</v>
      </c>
      <c r="W1346" s="13"/>
      <c r="X1346" s="34">
        <v>1342</v>
      </c>
      <c r="Y1346" s="34" t="s">
        <v>2248</v>
      </c>
      <c r="Z1346" s="34" t="s">
        <v>4916</v>
      </c>
      <c r="AA1346" s="35">
        <v>3.7358870967741939</v>
      </c>
      <c r="AB1346" s="13"/>
      <c r="AC1346" s="34">
        <v>1342</v>
      </c>
      <c r="AD1346" s="34" t="s">
        <v>4573</v>
      </c>
      <c r="AE1346" s="34" t="s">
        <v>3294</v>
      </c>
      <c r="AF1346" s="35">
        <v>1.0556451612903226E-2</v>
      </c>
    </row>
    <row r="1347" spans="19:32" x14ac:dyDescent="0.35">
      <c r="S1347" s="47">
        <v>1343</v>
      </c>
      <c r="T1347" s="47" t="s">
        <v>4284</v>
      </c>
      <c r="U1347" s="47" t="s">
        <v>3353</v>
      </c>
      <c r="V1347" s="48">
        <v>2.5944000000000003</v>
      </c>
      <c r="W1347" s="13"/>
      <c r="X1347" s="34">
        <v>1343</v>
      </c>
      <c r="Y1347" s="34" t="s">
        <v>2248</v>
      </c>
      <c r="Z1347" s="34" t="s">
        <v>5426</v>
      </c>
      <c r="AA1347" s="35">
        <v>1.6931451612903228E-4</v>
      </c>
      <c r="AB1347" s="13"/>
      <c r="AC1347" s="47">
        <v>1343</v>
      </c>
      <c r="AD1347" s="47" t="s">
        <v>4573</v>
      </c>
      <c r="AE1347" s="47" t="s">
        <v>3294</v>
      </c>
      <c r="AF1347" s="48">
        <v>3.6155999999999997</v>
      </c>
    </row>
    <row r="1348" spans="19:32" x14ac:dyDescent="0.35">
      <c r="S1348" s="34">
        <v>1344</v>
      </c>
      <c r="T1348" s="34" t="s">
        <v>4284</v>
      </c>
      <c r="U1348" s="34" t="s">
        <v>4715</v>
      </c>
      <c r="V1348" s="35">
        <v>3.8729838709677424E-4</v>
      </c>
      <c r="W1348" s="13"/>
      <c r="X1348" s="34">
        <v>1344</v>
      </c>
      <c r="Y1348" s="34" t="s">
        <v>2248</v>
      </c>
      <c r="Z1348" s="34" t="s">
        <v>4915</v>
      </c>
      <c r="AA1348" s="35">
        <v>1.360685483870968E-3</v>
      </c>
      <c r="AB1348" s="13"/>
      <c r="AC1348" s="47">
        <v>1344</v>
      </c>
      <c r="AD1348" s="47" t="s">
        <v>4573</v>
      </c>
      <c r="AE1348" s="47" t="s">
        <v>3293</v>
      </c>
      <c r="AF1348" s="48">
        <v>78.487903225806463</v>
      </c>
    </row>
    <row r="1349" spans="19:32" x14ac:dyDescent="0.35">
      <c r="S1349" s="34">
        <v>1345</v>
      </c>
      <c r="T1349" s="34" t="s">
        <v>4284</v>
      </c>
      <c r="U1349" s="34" t="s">
        <v>4714</v>
      </c>
      <c r="V1349" s="35">
        <v>2.8276209677419357E-4</v>
      </c>
      <c r="W1349" s="13"/>
      <c r="X1349" s="34">
        <v>1345</v>
      </c>
      <c r="Y1349" s="34" t="s">
        <v>2248</v>
      </c>
      <c r="Z1349" s="34" t="s">
        <v>3436</v>
      </c>
      <c r="AA1349" s="35">
        <v>3.6432000000000005E-3</v>
      </c>
      <c r="AB1349" s="13"/>
      <c r="AC1349" s="47">
        <v>1345</v>
      </c>
      <c r="AD1349" s="47" t="s">
        <v>4573</v>
      </c>
      <c r="AE1349" s="47" t="s">
        <v>3293</v>
      </c>
      <c r="AF1349" s="48">
        <v>16.099999999999998</v>
      </c>
    </row>
    <row r="1350" spans="19:32" x14ac:dyDescent="0.35">
      <c r="S1350" s="34">
        <v>1346</v>
      </c>
      <c r="T1350" s="34" t="s">
        <v>4284</v>
      </c>
      <c r="U1350" s="34" t="s">
        <v>4711</v>
      </c>
      <c r="V1350" s="35">
        <v>3.0401209677419357E-5</v>
      </c>
      <c r="W1350" s="13"/>
      <c r="X1350" s="34">
        <v>1346</v>
      </c>
      <c r="Y1350" s="34" t="s">
        <v>2248</v>
      </c>
      <c r="Z1350" s="34" t="s">
        <v>3436</v>
      </c>
      <c r="AA1350" s="35">
        <v>1.5491935483870969E-3</v>
      </c>
      <c r="AB1350" s="13"/>
      <c r="AC1350" s="34">
        <v>1346</v>
      </c>
      <c r="AD1350" s="34" t="s">
        <v>4573</v>
      </c>
      <c r="AE1350" s="34" t="s">
        <v>4587</v>
      </c>
      <c r="AF1350" s="35">
        <v>6.0665322580645169</v>
      </c>
    </row>
    <row r="1351" spans="19:32" x14ac:dyDescent="0.35">
      <c r="S1351" s="34">
        <v>1347</v>
      </c>
      <c r="T1351" s="34" t="s">
        <v>4284</v>
      </c>
      <c r="U1351" s="34" t="s">
        <v>3352</v>
      </c>
      <c r="V1351" s="35">
        <v>1.2681451612903227</v>
      </c>
      <c r="W1351" s="13"/>
      <c r="X1351" s="34">
        <v>1347</v>
      </c>
      <c r="Y1351" s="34" t="s">
        <v>2248</v>
      </c>
      <c r="Z1351" s="34" t="s">
        <v>5425</v>
      </c>
      <c r="AA1351" s="35">
        <v>8.5685483870967744E-4</v>
      </c>
      <c r="AB1351" s="13"/>
      <c r="AC1351" s="47">
        <v>1347</v>
      </c>
      <c r="AD1351" s="47" t="s">
        <v>4573</v>
      </c>
      <c r="AE1351" s="47" t="s">
        <v>3291</v>
      </c>
      <c r="AF1351" s="48">
        <v>8.5283999999999999E-2</v>
      </c>
    </row>
    <row r="1352" spans="19:32" x14ac:dyDescent="0.35">
      <c r="S1352" s="47">
        <v>1348</v>
      </c>
      <c r="T1352" s="47" t="s">
        <v>4284</v>
      </c>
      <c r="U1352" s="47" t="s">
        <v>3352</v>
      </c>
      <c r="V1352" s="48">
        <v>0</v>
      </c>
      <c r="W1352" s="13"/>
      <c r="X1352" s="34">
        <v>1348</v>
      </c>
      <c r="Y1352" s="34" t="s">
        <v>2248</v>
      </c>
      <c r="Z1352" s="34" t="s">
        <v>4914</v>
      </c>
      <c r="AA1352" s="35">
        <v>3.3451612903225808E-3</v>
      </c>
      <c r="AB1352" s="13"/>
      <c r="AC1352" s="47">
        <v>1348</v>
      </c>
      <c r="AD1352" s="47" t="s">
        <v>4573</v>
      </c>
      <c r="AE1352" s="47" t="s">
        <v>3289</v>
      </c>
      <c r="AF1352" s="48">
        <v>2.3889112903225809</v>
      </c>
    </row>
    <row r="1353" spans="19:32" x14ac:dyDescent="0.35">
      <c r="S1353" s="47">
        <v>1349</v>
      </c>
      <c r="T1353" s="47" t="s">
        <v>4284</v>
      </c>
      <c r="U1353" s="47" t="s">
        <v>3350</v>
      </c>
      <c r="V1353" s="48">
        <v>5832.8</v>
      </c>
      <c r="W1353" s="13"/>
      <c r="X1353" s="34">
        <v>1349</v>
      </c>
      <c r="Y1353" s="34" t="s">
        <v>2248</v>
      </c>
      <c r="Z1353" s="34" t="s">
        <v>4913</v>
      </c>
      <c r="AA1353" s="35">
        <v>1.4497983870967743E-2</v>
      </c>
      <c r="AB1353" s="13"/>
      <c r="AC1353" s="47">
        <v>1349</v>
      </c>
      <c r="AD1353" s="47" t="s">
        <v>4573</v>
      </c>
      <c r="AE1353" s="47" t="s">
        <v>3289</v>
      </c>
      <c r="AF1353" s="48">
        <v>0</v>
      </c>
    </row>
    <row r="1354" spans="19:32" x14ac:dyDescent="0.35">
      <c r="S1354" s="47">
        <v>1350</v>
      </c>
      <c r="T1354" s="47" t="s">
        <v>4284</v>
      </c>
      <c r="U1354" s="47" t="s">
        <v>3349</v>
      </c>
      <c r="V1354" s="48">
        <v>0</v>
      </c>
      <c r="W1354" s="13"/>
      <c r="X1354" s="34">
        <v>1350</v>
      </c>
      <c r="Y1354" s="34" t="s">
        <v>2248</v>
      </c>
      <c r="Z1354" s="34" t="s">
        <v>5424</v>
      </c>
      <c r="AA1354" s="35">
        <v>1.1756048387096775E-3</v>
      </c>
      <c r="AB1354" s="13"/>
      <c r="AC1354" s="47">
        <v>1350</v>
      </c>
      <c r="AD1354" s="47" t="s">
        <v>4573</v>
      </c>
      <c r="AE1354" s="47" t="s">
        <v>3288</v>
      </c>
      <c r="AF1354" s="48">
        <v>0</v>
      </c>
    </row>
    <row r="1355" spans="19:32" x14ac:dyDescent="0.35">
      <c r="S1355" s="34">
        <v>1351</v>
      </c>
      <c r="T1355" s="34" t="s">
        <v>4284</v>
      </c>
      <c r="U1355" s="34" t="s">
        <v>3347</v>
      </c>
      <c r="V1355" s="35">
        <v>3.9072580645161297E-3</v>
      </c>
      <c r="W1355" s="13"/>
      <c r="X1355" s="34">
        <v>1351</v>
      </c>
      <c r="Y1355" s="34" t="s">
        <v>2248</v>
      </c>
      <c r="Z1355" s="34" t="s">
        <v>4912</v>
      </c>
      <c r="AA1355" s="35">
        <v>4.9354838709677424E-4</v>
      </c>
      <c r="AB1355" s="13"/>
      <c r="AC1355" s="34">
        <v>1351</v>
      </c>
      <c r="AD1355" s="34" t="s">
        <v>4573</v>
      </c>
      <c r="AE1355" s="34" t="s">
        <v>4585</v>
      </c>
      <c r="AF1355" s="35">
        <v>8.6713709677419361E-4</v>
      </c>
    </row>
    <row r="1356" spans="19:32" x14ac:dyDescent="0.35">
      <c r="S1356" s="47">
        <v>1352</v>
      </c>
      <c r="T1356" s="47" t="s">
        <v>4284</v>
      </c>
      <c r="U1356" s="47" t="s">
        <v>3347</v>
      </c>
      <c r="V1356" s="48">
        <v>0</v>
      </c>
      <c r="W1356" s="13"/>
      <c r="X1356" s="34">
        <v>1352</v>
      </c>
      <c r="Y1356" s="34" t="s">
        <v>2248</v>
      </c>
      <c r="Z1356" s="34" t="s">
        <v>4911</v>
      </c>
      <c r="AA1356" s="35">
        <v>9.5967741935483873E-5</v>
      </c>
      <c r="AB1356" s="13"/>
      <c r="AC1356" s="47">
        <v>1352</v>
      </c>
      <c r="AD1356" s="47" t="s">
        <v>4573</v>
      </c>
      <c r="AE1356" s="47" t="s">
        <v>4582</v>
      </c>
      <c r="AF1356" s="48">
        <v>1.6314516129032258E-2</v>
      </c>
    </row>
    <row r="1357" spans="19:32" x14ac:dyDescent="0.35">
      <c r="S1357" s="34">
        <v>1353</v>
      </c>
      <c r="T1357" s="34" t="s">
        <v>4284</v>
      </c>
      <c r="U1357" s="34" t="s">
        <v>4704</v>
      </c>
      <c r="V1357" s="35">
        <v>2.6391129032258067E-2</v>
      </c>
      <c r="W1357" s="13"/>
      <c r="X1357" s="34">
        <v>1353</v>
      </c>
      <c r="Y1357" s="34" t="s">
        <v>2248</v>
      </c>
      <c r="Z1357" s="34" t="s">
        <v>5423</v>
      </c>
      <c r="AA1357" s="35">
        <v>1.6383064516129034E-4</v>
      </c>
      <c r="AB1357" s="13"/>
      <c r="AC1357" s="47">
        <v>1353</v>
      </c>
      <c r="AD1357" s="47" t="s">
        <v>4573</v>
      </c>
      <c r="AE1357" s="47" t="s">
        <v>3286</v>
      </c>
      <c r="AF1357" s="48">
        <v>6.6149193548387109E-4</v>
      </c>
    </row>
    <row r="1358" spans="19:32" x14ac:dyDescent="0.35">
      <c r="S1358" s="34">
        <v>1354</v>
      </c>
      <c r="T1358" s="34" t="s">
        <v>4284</v>
      </c>
      <c r="U1358" s="34" t="s">
        <v>4703</v>
      </c>
      <c r="V1358" s="35">
        <v>1.6211693548387099E-2</v>
      </c>
      <c r="W1358" s="13"/>
      <c r="X1358" s="34">
        <v>1354</v>
      </c>
      <c r="Y1358" s="34" t="s">
        <v>2248</v>
      </c>
      <c r="Z1358" s="34" t="s">
        <v>4910</v>
      </c>
      <c r="AA1358" s="35">
        <v>9.425403225806452E-4</v>
      </c>
      <c r="AB1358" s="13"/>
      <c r="AC1358" s="47">
        <v>1354</v>
      </c>
      <c r="AD1358" s="47" t="s">
        <v>4573</v>
      </c>
      <c r="AE1358" s="47" t="s">
        <v>3286</v>
      </c>
      <c r="AF1358" s="48">
        <v>0</v>
      </c>
    </row>
    <row r="1359" spans="19:32" x14ac:dyDescent="0.35">
      <c r="S1359" s="34">
        <v>1355</v>
      </c>
      <c r="T1359" s="34" t="s">
        <v>4284</v>
      </c>
      <c r="U1359" s="34" t="s">
        <v>4702</v>
      </c>
      <c r="V1359" s="35">
        <v>4.0100806451612906E-5</v>
      </c>
      <c r="W1359" s="13"/>
      <c r="X1359" s="34">
        <v>1355</v>
      </c>
      <c r="Y1359" s="34" t="s">
        <v>2248</v>
      </c>
      <c r="Z1359" s="34" t="s">
        <v>4909</v>
      </c>
      <c r="AA1359" s="35">
        <v>1.3778225806451614E-2</v>
      </c>
      <c r="AB1359" s="13"/>
      <c r="AC1359" s="47">
        <v>1355</v>
      </c>
      <c r="AD1359" s="47" t="s">
        <v>4573</v>
      </c>
      <c r="AE1359" s="47" t="s">
        <v>3285</v>
      </c>
      <c r="AF1359" s="48">
        <v>0.26322580645161292</v>
      </c>
    </row>
    <row r="1360" spans="19:32" x14ac:dyDescent="0.35">
      <c r="S1360" s="34">
        <v>1356</v>
      </c>
      <c r="T1360" s="34" t="s">
        <v>4284</v>
      </c>
      <c r="U1360" s="34" t="s">
        <v>4701</v>
      </c>
      <c r="V1360" s="35">
        <v>2.2655241935483874E-2</v>
      </c>
      <c r="W1360" s="13"/>
      <c r="X1360" s="34">
        <v>1356</v>
      </c>
      <c r="Y1360" s="34" t="s">
        <v>2248</v>
      </c>
      <c r="Z1360" s="34" t="s">
        <v>4908</v>
      </c>
      <c r="AA1360" s="35">
        <v>7.9173387096774202E-4</v>
      </c>
      <c r="AB1360" s="13"/>
      <c r="AC1360" s="47">
        <v>1356</v>
      </c>
      <c r="AD1360" s="47" t="s">
        <v>4573</v>
      </c>
      <c r="AE1360" s="47" t="s">
        <v>3285</v>
      </c>
      <c r="AF1360" s="48">
        <v>1.012</v>
      </c>
    </row>
    <row r="1361" spans="19:32" x14ac:dyDescent="0.35">
      <c r="S1361" s="34">
        <v>1357</v>
      </c>
      <c r="T1361" s="34" t="s">
        <v>4284</v>
      </c>
      <c r="U1361" s="34" t="s">
        <v>4700</v>
      </c>
      <c r="V1361" s="35">
        <v>0.13778225806451613</v>
      </c>
      <c r="W1361" s="13"/>
      <c r="X1361" s="34">
        <v>1357</v>
      </c>
      <c r="Y1361" s="34" t="s">
        <v>2248</v>
      </c>
      <c r="Z1361" s="34" t="s">
        <v>5422</v>
      </c>
      <c r="AA1361" s="35">
        <v>2.6528225806451614E-4</v>
      </c>
      <c r="AB1361" s="13"/>
      <c r="AC1361" s="47">
        <v>1357</v>
      </c>
      <c r="AD1361" s="47" t="s">
        <v>4573</v>
      </c>
      <c r="AE1361" s="47" t="s">
        <v>4575</v>
      </c>
      <c r="AF1361" s="48">
        <v>6.4092741935483879</v>
      </c>
    </row>
    <row r="1362" spans="19:32" x14ac:dyDescent="0.35">
      <c r="S1362" s="34">
        <v>1358</v>
      </c>
      <c r="T1362" s="34" t="s">
        <v>4284</v>
      </c>
      <c r="U1362" s="34" t="s">
        <v>4699</v>
      </c>
      <c r="V1362" s="35">
        <v>8.6713709677419351E-5</v>
      </c>
      <c r="W1362" s="13"/>
      <c r="X1362" s="34">
        <v>1358</v>
      </c>
      <c r="Y1362" s="34" t="s">
        <v>2248</v>
      </c>
      <c r="Z1362" s="34" t="s">
        <v>4907</v>
      </c>
      <c r="AA1362" s="35">
        <v>9.7338709677419362E-4</v>
      </c>
      <c r="AB1362" s="13"/>
      <c r="AC1362" s="34">
        <v>1358</v>
      </c>
      <c r="AD1362" s="34" t="s">
        <v>4573</v>
      </c>
      <c r="AE1362" s="34" t="s">
        <v>3283</v>
      </c>
      <c r="AF1362" s="35">
        <v>2.9064516129032261</v>
      </c>
    </row>
    <row r="1363" spans="19:32" x14ac:dyDescent="0.35">
      <c r="S1363" s="34">
        <v>1359</v>
      </c>
      <c r="T1363" s="34" t="s">
        <v>4284</v>
      </c>
      <c r="U1363" s="34" t="s">
        <v>4698</v>
      </c>
      <c r="V1363" s="35">
        <v>2.2483870967741934E-3</v>
      </c>
      <c r="W1363" s="13"/>
      <c r="X1363" s="34">
        <v>1359</v>
      </c>
      <c r="Y1363" s="34" t="s">
        <v>2248</v>
      </c>
      <c r="Z1363" s="34" t="s">
        <v>4905</v>
      </c>
      <c r="AA1363" s="35">
        <v>4.8669354838709681E-4</v>
      </c>
      <c r="AB1363" s="13"/>
      <c r="AC1363" s="47">
        <v>1359</v>
      </c>
      <c r="AD1363" s="47" t="s">
        <v>4573</v>
      </c>
      <c r="AE1363" s="47" t="s">
        <v>3283</v>
      </c>
      <c r="AF1363" s="48">
        <v>0.17572000000000002</v>
      </c>
    </row>
    <row r="1364" spans="19:32" x14ac:dyDescent="0.35">
      <c r="S1364" s="34">
        <v>1360</v>
      </c>
      <c r="T1364" s="34" t="s">
        <v>4284</v>
      </c>
      <c r="U1364" s="34" t="s">
        <v>4696</v>
      </c>
      <c r="V1364" s="35">
        <v>9.0483870967741943E-3</v>
      </c>
      <c r="W1364" s="13"/>
      <c r="X1364" s="34">
        <v>1360</v>
      </c>
      <c r="Y1364" s="34" t="s">
        <v>2248</v>
      </c>
      <c r="Z1364" s="34" t="s">
        <v>5421</v>
      </c>
      <c r="AA1364" s="35">
        <v>6.1350806451612902E-6</v>
      </c>
      <c r="AB1364" s="13"/>
      <c r="AC1364" s="47">
        <v>1360</v>
      </c>
      <c r="AD1364" s="47" t="s">
        <v>4573</v>
      </c>
      <c r="AE1364" s="47" t="s">
        <v>3282</v>
      </c>
      <c r="AF1364" s="48">
        <v>2.6733870967741939E-2</v>
      </c>
    </row>
    <row r="1365" spans="19:32" x14ac:dyDescent="0.35">
      <c r="S1365" s="34">
        <v>1361</v>
      </c>
      <c r="T1365" s="34" t="s">
        <v>4284</v>
      </c>
      <c r="U1365" s="34" t="s">
        <v>4695</v>
      </c>
      <c r="V1365" s="35">
        <v>5.8608870967741941E-3</v>
      </c>
      <c r="W1365" s="13"/>
      <c r="X1365" s="34">
        <v>1361</v>
      </c>
      <c r="Y1365" s="34" t="s">
        <v>2248</v>
      </c>
      <c r="Z1365" s="34" t="s">
        <v>4904</v>
      </c>
      <c r="AA1365" s="35">
        <v>2.5671370967741938E-2</v>
      </c>
      <c r="AB1365" s="13"/>
      <c r="AC1365" s="47">
        <v>1361</v>
      </c>
      <c r="AD1365" s="47" t="s">
        <v>4573</v>
      </c>
      <c r="AE1365" s="47" t="s">
        <v>3282</v>
      </c>
      <c r="AF1365" s="48">
        <v>0</v>
      </c>
    </row>
    <row r="1366" spans="19:32" x14ac:dyDescent="0.35">
      <c r="S1366" s="34">
        <v>1362</v>
      </c>
      <c r="T1366" s="34" t="s">
        <v>4284</v>
      </c>
      <c r="U1366" s="34" t="s">
        <v>4694</v>
      </c>
      <c r="V1366" s="35">
        <v>9.2540322580645171E-5</v>
      </c>
      <c r="W1366" s="13"/>
      <c r="X1366" s="34">
        <v>1362</v>
      </c>
      <c r="Y1366" s="34" t="s">
        <v>2248</v>
      </c>
      <c r="Z1366" s="34" t="s">
        <v>4903</v>
      </c>
      <c r="AA1366" s="35">
        <v>8.6028225806451614E-2</v>
      </c>
      <c r="AB1366" s="13"/>
      <c r="AC1366" s="34">
        <v>1362</v>
      </c>
      <c r="AD1366" s="34" t="s">
        <v>4573</v>
      </c>
      <c r="AE1366" s="34" t="s">
        <v>4572</v>
      </c>
      <c r="AF1366" s="35">
        <v>0.22141129032258067</v>
      </c>
    </row>
    <row r="1367" spans="19:32" x14ac:dyDescent="0.35">
      <c r="S1367" s="34">
        <v>1363</v>
      </c>
      <c r="T1367" s="34" t="s">
        <v>4284</v>
      </c>
      <c r="U1367" s="34" t="s">
        <v>4689</v>
      </c>
      <c r="V1367" s="35">
        <v>2.25866935483871E-5</v>
      </c>
      <c r="W1367" s="13"/>
      <c r="X1367" s="34">
        <v>1363</v>
      </c>
      <c r="Y1367" s="34" t="s">
        <v>2248</v>
      </c>
      <c r="Z1367" s="34" t="s">
        <v>5420</v>
      </c>
      <c r="AA1367" s="35">
        <v>1.984475806451613E-4</v>
      </c>
      <c r="AB1367" s="13"/>
      <c r="AC1367" s="47">
        <v>1363</v>
      </c>
      <c r="AD1367" s="47" t="s">
        <v>4573</v>
      </c>
      <c r="AE1367" s="47" t="s">
        <v>4570</v>
      </c>
      <c r="AF1367" s="48">
        <v>4.0443548387096779</v>
      </c>
    </row>
    <row r="1368" spans="19:32" x14ac:dyDescent="0.35">
      <c r="S1368" s="34">
        <v>1364</v>
      </c>
      <c r="T1368" s="34" t="s">
        <v>4284</v>
      </c>
      <c r="U1368" s="34" t="s">
        <v>4688</v>
      </c>
      <c r="V1368" s="35">
        <v>4.3185483870967749E-5</v>
      </c>
      <c r="W1368" s="13"/>
      <c r="X1368" s="34">
        <v>1364</v>
      </c>
      <c r="Y1368" s="34" t="s">
        <v>2248</v>
      </c>
      <c r="Z1368" s="34" t="s">
        <v>4902</v>
      </c>
      <c r="AA1368" s="35">
        <v>1.477217741935484E-4</v>
      </c>
      <c r="AB1368" s="13"/>
      <c r="AC1368" s="34">
        <v>1364</v>
      </c>
      <c r="AD1368" s="34" t="s">
        <v>4573</v>
      </c>
      <c r="AE1368" s="34" t="s">
        <v>4567</v>
      </c>
      <c r="AF1368" s="35">
        <v>3.1497983870967743</v>
      </c>
    </row>
    <row r="1369" spans="19:32" x14ac:dyDescent="0.35">
      <c r="S1369" s="34">
        <v>1365</v>
      </c>
      <c r="T1369" s="34" t="s">
        <v>4284</v>
      </c>
      <c r="U1369" s="34" t="s">
        <v>4687</v>
      </c>
      <c r="V1369" s="35">
        <v>0.22312500000000002</v>
      </c>
      <c r="W1369" s="13"/>
      <c r="X1369" s="34">
        <v>1365</v>
      </c>
      <c r="Y1369" s="34" t="s">
        <v>2248</v>
      </c>
      <c r="Z1369" s="34" t="s">
        <v>4901</v>
      </c>
      <c r="AA1369" s="35">
        <v>5.792338709677419E-4</v>
      </c>
      <c r="AB1369" s="13"/>
      <c r="AC1369" s="47">
        <v>1365</v>
      </c>
      <c r="AD1369" s="47" t="s">
        <v>4573</v>
      </c>
      <c r="AE1369" s="47" t="s">
        <v>3280</v>
      </c>
      <c r="AF1369" s="48">
        <v>2.7967741935483876E-4</v>
      </c>
    </row>
    <row r="1370" spans="19:32" x14ac:dyDescent="0.35">
      <c r="S1370" s="47">
        <v>1366</v>
      </c>
      <c r="T1370" s="47" t="s">
        <v>4284</v>
      </c>
      <c r="U1370" s="47" t="s">
        <v>3345</v>
      </c>
      <c r="V1370" s="48">
        <v>1.0316532258064516E-4</v>
      </c>
      <c r="W1370" s="13"/>
      <c r="X1370" s="34">
        <v>1366</v>
      </c>
      <c r="Y1370" s="34" t="s">
        <v>2248</v>
      </c>
      <c r="Z1370" s="34" t="s">
        <v>4900</v>
      </c>
      <c r="AA1370" s="35">
        <v>1.6485887096774196E-3</v>
      </c>
      <c r="AB1370" s="13"/>
      <c r="AC1370" s="47">
        <v>1366</v>
      </c>
      <c r="AD1370" s="47" t="s">
        <v>4573</v>
      </c>
      <c r="AE1370" s="47" t="s">
        <v>3280</v>
      </c>
      <c r="AF1370" s="48">
        <v>4.3331999999999997</v>
      </c>
    </row>
    <row r="1371" spans="19:32" x14ac:dyDescent="0.35">
      <c r="S1371" s="47">
        <v>1367</v>
      </c>
      <c r="T1371" s="47" t="s">
        <v>4284</v>
      </c>
      <c r="U1371" s="47" t="s">
        <v>3345</v>
      </c>
      <c r="V1371" s="48">
        <v>4.1676000000000005E-2</v>
      </c>
      <c r="W1371" s="13"/>
      <c r="X1371" s="34">
        <v>1367</v>
      </c>
      <c r="Y1371" s="34" t="s">
        <v>2248</v>
      </c>
      <c r="Z1371" s="34" t="s">
        <v>5419</v>
      </c>
      <c r="AA1371" s="35">
        <v>7.9173387096774206E-6</v>
      </c>
      <c r="AB1371" s="13"/>
      <c r="AC1371" s="47">
        <v>1367</v>
      </c>
      <c r="AD1371" s="47" t="s">
        <v>4573</v>
      </c>
      <c r="AE1371" s="47" t="s">
        <v>3278</v>
      </c>
      <c r="AF1371" s="48">
        <v>0</v>
      </c>
    </row>
    <row r="1372" spans="19:32" x14ac:dyDescent="0.35">
      <c r="S1372" s="34">
        <v>1368</v>
      </c>
      <c r="T1372" s="34" t="s">
        <v>4284</v>
      </c>
      <c r="U1372" s="34" t="s">
        <v>4683</v>
      </c>
      <c r="V1372" s="35">
        <v>1.6143145161290322E-2</v>
      </c>
      <c r="W1372" s="13"/>
      <c r="X1372" s="34">
        <v>1368</v>
      </c>
      <c r="Y1372" s="34" t="s">
        <v>2248</v>
      </c>
      <c r="Z1372" s="34" t="s">
        <v>4899</v>
      </c>
      <c r="AA1372" s="35">
        <v>4.8326612903225813E-3</v>
      </c>
      <c r="AB1372" s="13"/>
      <c r="AC1372" s="47">
        <v>1368</v>
      </c>
      <c r="AD1372" s="47" t="s">
        <v>4573</v>
      </c>
      <c r="AE1372" s="47" t="s">
        <v>3277</v>
      </c>
      <c r="AF1372" s="48">
        <v>1.5731854838709678</v>
      </c>
    </row>
    <row r="1373" spans="19:32" x14ac:dyDescent="0.35">
      <c r="S1373" s="47">
        <v>1369</v>
      </c>
      <c r="T1373" s="47" t="s">
        <v>4284</v>
      </c>
      <c r="U1373" s="47" t="s">
        <v>4678</v>
      </c>
      <c r="V1373" s="48">
        <v>3.7016129032258066E-3</v>
      </c>
      <c r="W1373" s="13"/>
      <c r="X1373" s="34">
        <v>1369</v>
      </c>
      <c r="Y1373" s="34" t="s">
        <v>2248</v>
      </c>
      <c r="Z1373" s="34" t="s">
        <v>3435</v>
      </c>
      <c r="AA1373" s="35">
        <v>0</v>
      </c>
      <c r="AB1373" s="13"/>
      <c r="AC1373" s="47">
        <v>1369</v>
      </c>
      <c r="AD1373" s="47" t="s">
        <v>4573</v>
      </c>
      <c r="AE1373" s="47" t="s">
        <v>3277</v>
      </c>
      <c r="AF1373" s="48">
        <v>6.4584000000000001</v>
      </c>
    </row>
    <row r="1374" spans="19:32" x14ac:dyDescent="0.35">
      <c r="S1374" s="47">
        <v>1370</v>
      </c>
      <c r="T1374" s="47" t="s">
        <v>4284</v>
      </c>
      <c r="U1374" s="47" t="s">
        <v>4675</v>
      </c>
      <c r="V1374" s="48">
        <v>2.4300403225806455E-2</v>
      </c>
      <c r="W1374" s="13"/>
      <c r="X1374" s="34">
        <v>1370</v>
      </c>
      <c r="Y1374" s="34" t="s">
        <v>2248</v>
      </c>
      <c r="Z1374" s="34" t="s">
        <v>5418</v>
      </c>
      <c r="AA1374" s="35">
        <v>1.1344758064516131E-4</v>
      </c>
      <c r="AB1374" s="13"/>
      <c r="AC1374" s="47">
        <v>1370</v>
      </c>
      <c r="AD1374" s="47" t="s">
        <v>4573</v>
      </c>
      <c r="AE1374" s="47" t="s">
        <v>3276</v>
      </c>
      <c r="AF1374" s="48">
        <v>0.10625000000000001</v>
      </c>
    </row>
    <row r="1375" spans="19:32" x14ac:dyDescent="0.35">
      <c r="S1375" s="47">
        <v>1371</v>
      </c>
      <c r="T1375" s="47" t="s">
        <v>4284</v>
      </c>
      <c r="U1375" s="47" t="s">
        <v>4673</v>
      </c>
      <c r="V1375" s="48">
        <v>0.18131048387096776</v>
      </c>
      <c r="W1375" s="13"/>
      <c r="X1375" s="34">
        <v>1371</v>
      </c>
      <c r="Y1375" s="34" t="s">
        <v>2248</v>
      </c>
      <c r="Z1375" s="34" t="s">
        <v>4898</v>
      </c>
      <c r="AA1375" s="35">
        <v>4.4213709677419358E-4</v>
      </c>
      <c r="AB1375" s="13"/>
      <c r="AC1375" s="47">
        <v>1371</v>
      </c>
      <c r="AD1375" s="47" t="s">
        <v>4573</v>
      </c>
      <c r="AE1375" s="47" t="s">
        <v>3276</v>
      </c>
      <c r="AF1375" s="48">
        <v>1.012</v>
      </c>
    </row>
    <row r="1376" spans="19:32" x14ac:dyDescent="0.35">
      <c r="S1376" s="47">
        <v>1372</v>
      </c>
      <c r="T1376" s="47" t="s">
        <v>4284</v>
      </c>
      <c r="U1376" s="47" t="s">
        <v>4671</v>
      </c>
      <c r="V1376" s="48">
        <v>5.6552419354838714E-2</v>
      </c>
      <c r="W1376" s="13"/>
      <c r="X1376" s="34">
        <v>1372</v>
      </c>
      <c r="Y1376" s="34" t="s">
        <v>2248</v>
      </c>
      <c r="Z1376" s="34" t="s">
        <v>4897</v>
      </c>
      <c r="AA1376" s="35">
        <v>4.8326612903225807E-4</v>
      </c>
      <c r="AB1376" s="13"/>
      <c r="AC1376" s="47">
        <v>1372</v>
      </c>
      <c r="AD1376" s="47" t="s">
        <v>4573</v>
      </c>
      <c r="AE1376" s="47" t="s">
        <v>4566</v>
      </c>
      <c r="AF1376" s="48">
        <v>25.362903225806452</v>
      </c>
    </row>
    <row r="1377" spans="19:32" x14ac:dyDescent="0.35">
      <c r="S1377" s="34">
        <v>1373</v>
      </c>
      <c r="T1377" s="34" t="s">
        <v>4284</v>
      </c>
      <c r="U1377" s="34" t="s">
        <v>4669</v>
      </c>
      <c r="V1377" s="35">
        <v>0.13846774193548389</v>
      </c>
      <c r="W1377" s="13"/>
      <c r="X1377" s="34">
        <v>1373</v>
      </c>
      <c r="Y1377" s="34" t="s">
        <v>2248</v>
      </c>
      <c r="Z1377" s="34" t="s">
        <v>5417</v>
      </c>
      <c r="AA1377" s="35">
        <v>1.2681451612903227E-5</v>
      </c>
      <c r="AB1377" s="13"/>
      <c r="AC1377" s="34">
        <v>1373</v>
      </c>
      <c r="AD1377" s="34" t="s">
        <v>4573</v>
      </c>
      <c r="AE1377" s="34" t="s">
        <v>4565</v>
      </c>
      <c r="AF1377" s="35">
        <v>7.4032258064516132E-2</v>
      </c>
    </row>
    <row r="1378" spans="19:32" x14ac:dyDescent="0.35">
      <c r="S1378" s="47">
        <v>1374</v>
      </c>
      <c r="T1378" s="47" t="s">
        <v>4284</v>
      </c>
      <c r="U1378" s="47" t="s">
        <v>4668</v>
      </c>
      <c r="V1378" s="48">
        <v>2.0975806451612906E-3</v>
      </c>
      <c r="W1378" s="13"/>
      <c r="X1378" s="34">
        <v>1374</v>
      </c>
      <c r="Y1378" s="34" t="s">
        <v>2248</v>
      </c>
      <c r="Z1378" s="34" t="s">
        <v>4896</v>
      </c>
      <c r="AA1378" s="35">
        <v>7.4032258064516136E-4</v>
      </c>
      <c r="AB1378" s="13"/>
      <c r="AC1378" s="47">
        <v>1374</v>
      </c>
      <c r="AD1378" s="47" t="s">
        <v>4573</v>
      </c>
      <c r="AE1378" s="49" t="s">
        <v>3275</v>
      </c>
      <c r="AF1378" s="50">
        <v>3.838709677419355</v>
      </c>
    </row>
    <row r="1379" spans="19:32" x14ac:dyDescent="0.35">
      <c r="S1379" s="47">
        <v>1375</v>
      </c>
      <c r="T1379" s="47" t="s">
        <v>4284</v>
      </c>
      <c r="U1379" s="47" t="s">
        <v>3344</v>
      </c>
      <c r="V1379" s="48">
        <v>780.16</v>
      </c>
      <c r="W1379" s="13"/>
      <c r="X1379" s="34">
        <v>1375</v>
      </c>
      <c r="Y1379" s="34" t="s">
        <v>2248</v>
      </c>
      <c r="Z1379" s="34" t="s">
        <v>3433</v>
      </c>
      <c r="AA1379" s="35">
        <v>0.15180000000000002</v>
      </c>
      <c r="AB1379" s="13"/>
      <c r="AC1379" s="47">
        <v>1375</v>
      </c>
      <c r="AD1379" s="47" t="s">
        <v>4573</v>
      </c>
      <c r="AE1379" s="47" t="s">
        <v>3275</v>
      </c>
      <c r="AF1379" s="48">
        <v>0</v>
      </c>
    </row>
    <row r="1380" spans="19:32" x14ac:dyDescent="0.35">
      <c r="S1380" s="34">
        <v>1376</v>
      </c>
      <c r="T1380" s="34" t="s">
        <v>4284</v>
      </c>
      <c r="U1380" s="34" t="s">
        <v>4667</v>
      </c>
      <c r="V1380" s="35">
        <v>0.47983870967741937</v>
      </c>
      <c r="W1380" s="13"/>
      <c r="X1380" s="34">
        <v>1376</v>
      </c>
      <c r="Y1380" s="34" t="s">
        <v>2248</v>
      </c>
      <c r="Z1380" s="34" t="s">
        <v>3432</v>
      </c>
      <c r="AA1380" s="35">
        <v>4.2964000000000002E-2</v>
      </c>
      <c r="AB1380" s="13"/>
      <c r="AC1380" s="34">
        <v>1376</v>
      </c>
      <c r="AD1380" s="34" t="s">
        <v>4573</v>
      </c>
      <c r="AE1380" s="34" t="s">
        <v>4564</v>
      </c>
      <c r="AF1380" s="35">
        <v>0.17616935483870969</v>
      </c>
    </row>
    <row r="1381" spans="19:32" x14ac:dyDescent="0.35">
      <c r="S1381" s="47">
        <v>1377</v>
      </c>
      <c r="T1381" s="47" t="s">
        <v>4284</v>
      </c>
      <c r="U1381" s="47" t="s">
        <v>4666</v>
      </c>
      <c r="V1381" s="48">
        <v>6.0665322580645163E-3</v>
      </c>
      <c r="W1381" s="13"/>
      <c r="X1381" s="34">
        <v>1377</v>
      </c>
      <c r="Y1381" s="34" t="s">
        <v>2248</v>
      </c>
      <c r="Z1381" s="34" t="s">
        <v>5416</v>
      </c>
      <c r="AA1381" s="35">
        <v>7.5745967741935484E-5</v>
      </c>
      <c r="AB1381" s="13"/>
      <c r="AC1381" s="47">
        <v>1377</v>
      </c>
      <c r="AD1381" s="47" t="s">
        <v>4573</v>
      </c>
      <c r="AE1381" s="47" t="s">
        <v>4563</v>
      </c>
      <c r="AF1381" s="48">
        <v>5.2096774193548393E-3</v>
      </c>
    </row>
    <row r="1382" spans="19:32" x14ac:dyDescent="0.35">
      <c r="S1382" s="34">
        <v>1378</v>
      </c>
      <c r="T1382" s="34" t="s">
        <v>4284</v>
      </c>
      <c r="U1382" s="34" t="s">
        <v>4665</v>
      </c>
      <c r="V1382" s="35">
        <v>2.6631048387096772E-4</v>
      </c>
      <c r="W1382" s="13"/>
      <c r="X1382" s="34">
        <v>1378</v>
      </c>
      <c r="Y1382" s="34" t="s">
        <v>2248</v>
      </c>
      <c r="Z1382" s="34" t="s">
        <v>3432</v>
      </c>
      <c r="AA1382" s="35">
        <v>3.9758064516129035E-3</v>
      </c>
      <c r="AB1382" s="13"/>
      <c r="AC1382" s="34">
        <v>1378</v>
      </c>
      <c r="AD1382" s="34" t="s">
        <v>4573</v>
      </c>
      <c r="AE1382" s="34" t="s">
        <v>4562</v>
      </c>
      <c r="AF1382" s="35">
        <v>6.4435483870967753E-4</v>
      </c>
    </row>
    <row r="1383" spans="19:32" x14ac:dyDescent="0.35">
      <c r="S1383" s="47">
        <v>1379</v>
      </c>
      <c r="T1383" s="47" t="s">
        <v>4284</v>
      </c>
      <c r="U1383" s="47" t="s">
        <v>4664</v>
      </c>
      <c r="V1383" s="48">
        <v>2.2758064516129033E-2</v>
      </c>
      <c r="W1383" s="13"/>
      <c r="X1383" s="34">
        <v>1379</v>
      </c>
      <c r="Y1383" s="34" t="s">
        <v>2248</v>
      </c>
      <c r="Z1383" s="34" t="s">
        <v>4895</v>
      </c>
      <c r="AA1383" s="35">
        <v>6.7520161290322584E-3</v>
      </c>
      <c r="AB1383" s="13"/>
      <c r="AC1383" s="47">
        <v>1379</v>
      </c>
      <c r="AD1383" s="47" t="s">
        <v>4573</v>
      </c>
      <c r="AE1383" s="47" t="s">
        <v>3273</v>
      </c>
      <c r="AF1383" s="48">
        <v>0</v>
      </c>
    </row>
    <row r="1384" spans="19:32" x14ac:dyDescent="0.35">
      <c r="S1384" s="36">
        <v>1380</v>
      </c>
      <c r="T1384" s="36" t="s">
        <v>4284</v>
      </c>
      <c r="U1384" s="36" t="s">
        <v>3342</v>
      </c>
      <c r="V1384" s="37">
        <v>7.7039999999999988</v>
      </c>
      <c r="W1384" s="13"/>
      <c r="X1384" s="34">
        <v>1380</v>
      </c>
      <c r="Y1384" s="34" t="s">
        <v>2248</v>
      </c>
      <c r="Z1384" s="34" t="s">
        <v>5415</v>
      </c>
      <c r="AA1384" s="35">
        <v>4.5241935483870972E-3</v>
      </c>
      <c r="AB1384" s="13"/>
      <c r="AC1384" s="47">
        <v>1380</v>
      </c>
      <c r="AD1384" s="47" t="s">
        <v>4573</v>
      </c>
      <c r="AE1384" s="47" t="s">
        <v>4561</v>
      </c>
      <c r="AF1384" s="48">
        <v>2.0804435483870971E-2</v>
      </c>
    </row>
    <row r="1385" spans="19:32" x14ac:dyDescent="0.35">
      <c r="S1385" s="47">
        <v>1381</v>
      </c>
      <c r="T1385" s="47" t="s">
        <v>4284</v>
      </c>
      <c r="U1385" s="47" t="s">
        <v>3342</v>
      </c>
      <c r="V1385" s="48">
        <v>0.52532000000000001</v>
      </c>
      <c r="W1385" s="13"/>
      <c r="X1385" s="34">
        <v>1381</v>
      </c>
      <c r="Y1385" s="34" t="s">
        <v>2248</v>
      </c>
      <c r="Z1385" s="34" t="s">
        <v>4894</v>
      </c>
      <c r="AA1385" s="35">
        <v>4.1471774193548391E-4</v>
      </c>
      <c r="AB1385" s="13"/>
      <c r="AC1385" s="47">
        <v>1381</v>
      </c>
      <c r="AD1385" s="47" t="s">
        <v>4573</v>
      </c>
      <c r="AE1385" s="47" t="s">
        <v>4560</v>
      </c>
      <c r="AF1385" s="48">
        <v>0.18987903225806452</v>
      </c>
    </row>
    <row r="1386" spans="19:32" x14ac:dyDescent="0.35">
      <c r="S1386" s="47">
        <v>1382</v>
      </c>
      <c r="T1386" s="47" t="s">
        <v>4284</v>
      </c>
      <c r="U1386" s="47" t="s">
        <v>3341</v>
      </c>
      <c r="V1386" s="48">
        <v>1.583467741935484E-3</v>
      </c>
      <c r="W1386" s="13"/>
      <c r="X1386" s="34">
        <v>1382</v>
      </c>
      <c r="Y1386" s="34" t="s">
        <v>2248</v>
      </c>
      <c r="Z1386" s="34" t="s">
        <v>4893</v>
      </c>
      <c r="AA1386" s="35">
        <v>1.984475806451613E-4</v>
      </c>
      <c r="AB1386" s="13"/>
      <c r="AC1386" s="47">
        <v>1382</v>
      </c>
      <c r="AD1386" s="47" t="s">
        <v>4573</v>
      </c>
      <c r="AE1386" s="47" t="s">
        <v>4559</v>
      </c>
      <c r="AF1386" s="48">
        <v>8.73991935483871E-2</v>
      </c>
    </row>
    <row r="1387" spans="19:32" x14ac:dyDescent="0.35">
      <c r="S1387" s="47">
        <v>1383</v>
      </c>
      <c r="T1387" s="47" t="s">
        <v>4284</v>
      </c>
      <c r="U1387" s="47" t="s">
        <v>3341</v>
      </c>
      <c r="V1387" s="48">
        <v>1.6927999999999999</v>
      </c>
      <c r="W1387" s="13"/>
      <c r="X1387" s="34">
        <v>1383</v>
      </c>
      <c r="Y1387" s="34" t="s">
        <v>2248</v>
      </c>
      <c r="Z1387" s="34" t="s">
        <v>5414</v>
      </c>
      <c r="AA1387" s="35">
        <v>3.3006048387096778E-4</v>
      </c>
      <c r="AB1387" s="13"/>
      <c r="AC1387" s="47">
        <v>1383</v>
      </c>
      <c r="AD1387" s="47" t="s">
        <v>4573</v>
      </c>
      <c r="AE1387" s="47" t="s">
        <v>4558</v>
      </c>
      <c r="AF1387" s="48">
        <v>4.25</v>
      </c>
    </row>
    <row r="1388" spans="19:32" x14ac:dyDescent="0.35">
      <c r="S1388" s="47">
        <v>1384</v>
      </c>
      <c r="T1388" s="47" t="s">
        <v>4284</v>
      </c>
      <c r="U1388" s="47" t="s">
        <v>4663</v>
      </c>
      <c r="V1388" s="48">
        <v>2.0598790322580646E-4</v>
      </c>
      <c r="W1388" s="13"/>
      <c r="X1388" s="34">
        <v>1384</v>
      </c>
      <c r="Y1388" s="34" t="s">
        <v>2248</v>
      </c>
      <c r="Z1388" s="34" t="s">
        <v>4892</v>
      </c>
      <c r="AA1388" s="35">
        <v>1.7891129032258064E-4</v>
      </c>
      <c r="AB1388" s="13"/>
      <c r="AC1388" s="34">
        <v>1384</v>
      </c>
      <c r="AD1388" s="34" t="s">
        <v>4573</v>
      </c>
      <c r="AE1388" s="34" t="s">
        <v>4557</v>
      </c>
      <c r="AF1388" s="35">
        <v>8.2943548387096779</v>
      </c>
    </row>
    <row r="1389" spans="19:32" x14ac:dyDescent="0.35">
      <c r="S1389" s="36">
        <v>1385</v>
      </c>
      <c r="T1389" s="36" t="s">
        <v>4284</v>
      </c>
      <c r="U1389" s="36" t="s">
        <v>4662</v>
      </c>
      <c r="V1389" s="37">
        <v>7.1689999999999996</v>
      </c>
      <c r="W1389" s="13"/>
      <c r="X1389" s="34">
        <v>1385</v>
      </c>
      <c r="Y1389" s="34" t="s">
        <v>2248</v>
      </c>
      <c r="Z1389" s="34" t="s">
        <v>4891</v>
      </c>
      <c r="AA1389" s="35">
        <v>1.2921370967741935E-4</v>
      </c>
      <c r="AB1389" s="13"/>
      <c r="AC1389" s="47">
        <v>1385</v>
      </c>
      <c r="AD1389" s="47" t="s">
        <v>4573</v>
      </c>
      <c r="AE1389" s="47" t="s">
        <v>4556</v>
      </c>
      <c r="AF1389" s="48">
        <v>0.84314516129032269</v>
      </c>
    </row>
    <row r="1390" spans="19:32" x14ac:dyDescent="0.35">
      <c r="S1390" s="47">
        <v>1386</v>
      </c>
      <c r="T1390" s="47" t="s">
        <v>4284</v>
      </c>
      <c r="U1390" s="47" t="s">
        <v>4662</v>
      </c>
      <c r="V1390" s="48">
        <v>4.0443548387096777E-6</v>
      </c>
      <c r="W1390" s="13"/>
      <c r="X1390" s="34">
        <v>1386</v>
      </c>
      <c r="Y1390" s="34" t="s">
        <v>2248</v>
      </c>
      <c r="Z1390" s="34" t="s">
        <v>5413</v>
      </c>
      <c r="AA1390" s="35">
        <v>3.633064516129033E-5</v>
      </c>
      <c r="AB1390" s="13"/>
      <c r="AC1390" s="34">
        <v>1386</v>
      </c>
      <c r="AD1390" s="34" t="s">
        <v>4573</v>
      </c>
      <c r="AE1390" s="34" t="s">
        <v>4555</v>
      </c>
      <c r="AF1390" s="35">
        <v>4.3528225806451614E-3</v>
      </c>
    </row>
    <row r="1391" spans="19:32" x14ac:dyDescent="0.35">
      <c r="S1391" s="34">
        <v>1387</v>
      </c>
      <c r="T1391" s="34" t="s">
        <v>4284</v>
      </c>
      <c r="U1391" s="34" t="s">
        <v>4661</v>
      </c>
      <c r="V1391" s="35">
        <v>2.0050403225806455E-6</v>
      </c>
      <c r="W1391" s="13"/>
      <c r="X1391" s="34">
        <v>1387</v>
      </c>
      <c r="Y1391" s="34" t="s">
        <v>2248</v>
      </c>
      <c r="Z1391" s="34" t="s">
        <v>3431</v>
      </c>
      <c r="AA1391" s="35">
        <v>7.0471999999999993E-2</v>
      </c>
      <c r="AB1391" s="13"/>
      <c r="AC1391" s="47">
        <v>1387</v>
      </c>
      <c r="AD1391" s="47" t="s">
        <v>4573</v>
      </c>
      <c r="AE1391" s="47" t="s">
        <v>3272</v>
      </c>
      <c r="AF1391" s="48">
        <v>0</v>
      </c>
    </row>
    <row r="1392" spans="19:32" x14ac:dyDescent="0.35">
      <c r="S1392" s="36">
        <v>1388</v>
      </c>
      <c r="T1392" s="36" t="s">
        <v>4284</v>
      </c>
      <c r="U1392" s="36" t="s">
        <v>5412</v>
      </c>
      <c r="V1392" s="37">
        <v>3.1832499999999997</v>
      </c>
      <c r="W1392" s="13"/>
      <c r="X1392" s="34">
        <v>1388</v>
      </c>
      <c r="Y1392" s="34" t="s">
        <v>2248</v>
      </c>
      <c r="Z1392" s="34" t="s">
        <v>3431</v>
      </c>
      <c r="AA1392" s="35">
        <v>7.0604838709677423E-5</v>
      </c>
      <c r="AB1392" s="13"/>
      <c r="AC1392" s="47">
        <v>1388</v>
      </c>
      <c r="AD1392" s="47" t="s">
        <v>4573</v>
      </c>
      <c r="AE1392" s="47" t="s">
        <v>4553</v>
      </c>
      <c r="AF1392" s="48">
        <v>7.9858870967741939</v>
      </c>
    </row>
    <row r="1393" spans="19:32" x14ac:dyDescent="0.35">
      <c r="S1393" s="30">
        <v>1389</v>
      </c>
      <c r="T1393" s="30" t="s">
        <v>4284</v>
      </c>
      <c r="U1393" s="30" t="s">
        <v>5411</v>
      </c>
      <c r="V1393" s="31">
        <v>273.76</v>
      </c>
      <c r="W1393" s="13"/>
      <c r="X1393" s="34">
        <v>1389</v>
      </c>
      <c r="Y1393" s="34" t="s">
        <v>2248</v>
      </c>
      <c r="Z1393" s="34" t="s">
        <v>4889</v>
      </c>
      <c r="AA1393" s="35">
        <v>6.4778225806451616E-3</v>
      </c>
      <c r="AB1393" s="13"/>
      <c r="AC1393" s="34">
        <v>1389</v>
      </c>
      <c r="AD1393" s="34" t="s">
        <v>4573</v>
      </c>
      <c r="AE1393" s="34" t="s">
        <v>4552</v>
      </c>
      <c r="AF1393" s="35">
        <v>3.0743951612903229</v>
      </c>
    </row>
    <row r="1394" spans="19:32" x14ac:dyDescent="0.35">
      <c r="S1394" s="30">
        <v>1390</v>
      </c>
      <c r="T1394" s="30" t="s">
        <v>4284</v>
      </c>
      <c r="U1394" s="30" t="s">
        <v>5410</v>
      </c>
      <c r="V1394" s="31">
        <v>93.26400000000001</v>
      </c>
      <c r="W1394" s="13"/>
      <c r="X1394" s="34">
        <v>1390</v>
      </c>
      <c r="Y1394" s="34" t="s">
        <v>2248</v>
      </c>
      <c r="Z1394" s="34" t="s">
        <v>5409</v>
      </c>
      <c r="AA1394" s="35">
        <v>8.3629032258064514E-5</v>
      </c>
      <c r="AB1394" s="13"/>
      <c r="AC1394" s="47">
        <v>1390</v>
      </c>
      <c r="AD1394" s="47" t="s">
        <v>4573</v>
      </c>
      <c r="AE1394" s="47" t="s">
        <v>3271</v>
      </c>
      <c r="AF1394" s="48">
        <v>4.3528225806451618E-2</v>
      </c>
    </row>
    <row r="1395" spans="19:32" x14ac:dyDescent="0.35">
      <c r="S1395" s="49">
        <v>1391</v>
      </c>
      <c r="T1395" s="49" t="s">
        <v>4284</v>
      </c>
      <c r="U1395" s="49" t="s">
        <v>3340</v>
      </c>
      <c r="V1395" s="50">
        <v>1.004233870967742E-5</v>
      </c>
      <c r="W1395" s="13"/>
      <c r="X1395" s="34">
        <v>1391</v>
      </c>
      <c r="Y1395" s="34" t="s">
        <v>2248</v>
      </c>
      <c r="Z1395" s="34" t="s">
        <v>3430</v>
      </c>
      <c r="AA1395" s="35">
        <v>7.1024000000000004E-2</v>
      </c>
      <c r="AB1395" s="13"/>
      <c r="AC1395" s="47">
        <v>1391</v>
      </c>
      <c r="AD1395" s="47" t="s">
        <v>4573</v>
      </c>
      <c r="AE1395" s="47" t="s">
        <v>3271</v>
      </c>
      <c r="AF1395" s="48">
        <v>0.57775999999999994</v>
      </c>
    </row>
    <row r="1396" spans="19:32" x14ac:dyDescent="0.35">
      <c r="S1396" s="47">
        <v>1392</v>
      </c>
      <c r="T1396" s="47" t="s">
        <v>4284</v>
      </c>
      <c r="U1396" s="47" t="s">
        <v>3340</v>
      </c>
      <c r="V1396" s="48">
        <v>7.7831999999999998E-2</v>
      </c>
      <c r="W1396" s="13"/>
      <c r="X1396" s="34">
        <v>1392</v>
      </c>
      <c r="Y1396" s="34" t="s">
        <v>2248</v>
      </c>
      <c r="Z1396" s="34" t="s">
        <v>3430</v>
      </c>
      <c r="AA1396" s="35">
        <v>2.8036290322580645E-3</v>
      </c>
      <c r="AB1396" s="13"/>
      <c r="AC1396" s="47">
        <v>1392</v>
      </c>
      <c r="AD1396" s="47" t="s">
        <v>4573</v>
      </c>
      <c r="AE1396" s="47" t="s">
        <v>3270</v>
      </c>
      <c r="AF1396" s="48">
        <v>0</v>
      </c>
    </row>
    <row r="1397" spans="19:32" x14ac:dyDescent="0.35">
      <c r="S1397" s="34">
        <v>1393</v>
      </c>
      <c r="T1397" s="34" t="s">
        <v>4284</v>
      </c>
      <c r="U1397" s="34" t="s">
        <v>4660</v>
      </c>
      <c r="V1397" s="35">
        <v>1.8268145161290323E-7</v>
      </c>
      <c r="W1397" s="13"/>
      <c r="X1397" s="34">
        <v>1393</v>
      </c>
      <c r="Y1397" s="34" t="s">
        <v>2248</v>
      </c>
      <c r="Z1397" s="34" t="s">
        <v>5408</v>
      </c>
      <c r="AA1397" s="35">
        <v>9.8366935483870977E-5</v>
      </c>
      <c r="AB1397" s="13"/>
      <c r="AC1397" s="47">
        <v>1393</v>
      </c>
      <c r="AD1397" s="47" t="s">
        <v>4573</v>
      </c>
      <c r="AE1397" s="47" t="s">
        <v>3268</v>
      </c>
      <c r="AF1397" s="48">
        <v>0</v>
      </c>
    </row>
    <row r="1398" spans="19:32" x14ac:dyDescent="0.35">
      <c r="S1398" s="47">
        <v>1394</v>
      </c>
      <c r="T1398" s="47" t="s">
        <v>4284</v>
      </c>
      <c r="U1398" s="47" t="s">
        <v>3339</v>
      </c>
      <c r="V1398" s="48">
        <v>3.8044354838709684E-8</v>
      </c>
      <c r="W1398" s="13"/>
      <c r="X1398" s="34">
        <v>1394</v>
      </c>
      <c r="Y1398" s="34" t="s">
        <v>2248</v>
      </c>
      <c r="Z1398" s="34" t="s">
        <v>4888</v>
      </c>
      <c r="AA1398" s="35">
        <v>2.4848790322580649E-2</v>
      </c>
      <c r="AB1398" s="13"/>
      <c r="AC1398" s="47">
        <v>1394</v>
      </c>
      <c r="AD1398" s="47" t="s">
        <v>4573</v>
      </c>
      <c r="AE1398" s="47" t="s">
        <v>4551</v>
      </c>
      <c r="AF1398" s="48">
        <v>6.7862903225806464E-4</v>
      </c>
    </row>
    <row r="1399" spans="19:32" x14ac:dyDescent="0.35">
      <c r="S1399" s="47">
        <v>1395</v>
      </c>
      <c r="T1399" s="47" t="s">
        <v>4284</v>
      </c>
      <c r="U1399" s="47" t="s">
        <v>3339</v>
      </c>
      <c r="V1399" s="48">
        <v>0</v>
      </c>
      <c r="W1399" s="13"/>
      <c r="X1399" s="34">
        <v>1395</v>
      </c>
      <c r="Y1399" s="34" t="s">
        <v>2248</v>
      </c>
      <c r="Z1399" s="34" t="s">
        <v>3429</v>
      </c>
      <c r="AA1399" s="35">
        <v>1.6284000000000001</v>
      </c>
      <c r="AB1399" s="13"/>
      <c r="AC1399" s="47">
        <v>1395</v>
      </c>
      <c r="AD1399" s="47" t="s">
        <v>4573</v>
      </c>
      <c r="AE1399" s="47" t="s">
        <v>4550</v>
      </c>
      <c r="AF1399" s="48">
        <v>1.3024193548387097</v>
      </c>
    </row>
    <row r="1400" spans="19:32" x14ac:dyDescent="0.35">
      <c r="S1400" s="34">
        <v>1396</v>
      </c>
      <c r="T1400" s="34" t="s">
        <v>4284</v>
      </c>
      <c r="U1400" s="34" t="s">
        <v>4659</v>
      </c>
      <c r="V1400" s="35">
        <v>9.5282258064516135E-7</v>
      </c>
      <c r="W1400" s="13"/>
      <c r="X1400" s="34">
        <v>1396</v>
      </c>
      <c r="Y1400" s="34" t="s">
        <v>2248</v>
      </c>
      <c r="Z1400" s="34" t="s">
        <v>4887</v>
      </c>
      <c r="AA1400" s="35">
        <v>1.1824596774193548E-3</v>
      </c>
      <c r="AB1400" s="13"/>
      <c r="AC1400" s="47">
        <v>1396</v>
      </c>
      <c r="AD1400" s="47" t="s">
        <v>4573</v>
      </c>
      <c r="AE1400" s="47" t="s">
        <v>4549</v>
      </c>
      <c r="AF1400" s="48">
        <v>2.6356854838709678</v>
      </c>
    </row>
    <row r="1401" spans="19:32" x14ac:dyDescent="0.35">
      <c r="S1401" s="47">
        <v>1397</v>
      </c>
      <c r="T1401" s="47" t="s">
        <v>4284</v>
      </c>
      <c r="U1401" s="47" t="s">
        <v>4658</v>
      </c>
      <c r="V1401" s="48">
        <v>6.3407258064516136E-4</v>
      </c>
      <c r="W1401" s="13"/>
      <c r="X1401" s="34">
        <v>1397</v>
      </c>
      <c r="Y1401" s="34" t="s">
        <v>2248</v>
      </c>
      <c r="Z1401" s="34" t="s">
        <v>5407</v>
      </c>
      <c r="AA1401" s="35">
        <v>3.3931451612903226E-5</v>
      </c>
      <c r="AB1401" s="13"/>
      <c r="AC1401" s="34">
        <v>1397</v>
      </c>
      <c r="AD1401" s="34" t="s">
        <v>4573</v>
      </c>
      <c r="AE1401" s="34" t="s">
        <v>4548</v>
      </c>
      <c r="AF1401" s="35">
        <v>1.5389112903225808</v>
      </c>
    </row>
    <row r="1402" spans="19:32" x14ac:dyDescent="0.35">
      <c r="S1402" s="36">
        <v>1398</v>
      </c>
      <c r="T1402" s="36" t="s">
        <v>4284</v>
      </c>
      <c r="U1402" s="36" t="s">
        <v>5406</v>
      </c>
      <c r="V1402" s="37">
        <v>2.1774499999999999</v>
      </c>
      <c r="W1402" s="13"/>
      <c r="X1402" s="34">
        <v>1398</v>
      </c>
      <c r="Y1402" s="34" t="s">
        <v>2248</v>
      </c>
      <c r="Z1402" s="34" t="s">
        <v>4886</v>
      </c>
      <c r="AA1402" s="35">
        <v>3.3657258064516134E-3</v>
      </c>
      <c r="AB1402" s="13"/>
      <c r="AC1402" s="47">
        <v>1398</v>
      </c>
      <c r="AD1402" s="47" t="s">
        <v>4573</v>
      </c>
      <c r="AE1402" s="47" t="s">
        <v>3267</v>
      </c>
      <c r="AF1402" s="48">
        <v>0</v>
      </c>
    </row>
    <row r="1403" spans="19:32" x14ac:dyDescent="0.35">
      <c r="S1403" s="36">
        <v>1399</v>
      </c>
      <c r="T1403" s="36" t="s">
        <v>4284</v>
      </c>
      <c r="U1403" s="36" t="s">
        <v>5405</v>
      </c>
      <c r="V1403" s="37">
        <v>4.8898999999999999</v>
      </c>
      <c r="W1403" s="13"/>
      <c r="X1403" s="34">
        <v>1399</v>
      </c>
      <c r="Y1403" s="34" t="s">
        <v>2248</v>
      </c>
      <c r="Z1403" s="34" t="s">
        <v>4885</v>
      </c>
      <c r="AA1403" s="35">
        <v>7.5745967741935484E-5</v>
      </c>
      <c r="AB1403" s="13"/>
      <c r="AC1403" s="47">
        <v>1399</v>
      </c>
      <c r="AD1403" s="47" t="s">
        <v>4573</v>
      </c>
      <c r="AE1403" s="47" t="s">
        <v>3266</v>
      </c>
      <c r="AF1403" s="48">
        <v>8.7056451612903228E-3</v>
      </c>
    </row>
    <row r="1404" spans="19:32" x14ac:dyDescent="0.35">
      <c r="S1404" s="30">
        <v>1400</v>
      </c>
      <c r="T1404" s="30" t="s">
        <v>4284</v>
      </c>
      <c r="U1404" s="30" t="s">
        <v>5404</v>
      </c>
      <c r="V1404" s="31">
        <v>1067.2</v>
      </c>
      <c r="W1404" s="17"/>
      <c r="X1404" s="34">
        <v>1400</v>
      </c>
      <c r="Y1404" s="34" t="s">
        <v>2248</v>
      </c>
      <c r="Z1404" s="34" t="s">
        <v>5403</v>
      </c>
      <c r="AA1404" s="35">
        <v>3.2560483870967741E-5</v>
      </c>
      <c r="AB1404" s="13"/>
      <c r="AC1404" s="47">
        <v>1400</v>
      </c>
      <c r="AD1404" s="47" t="s">
        <v>4573</v>
      </c>
      <c r="AE1404" s="47" t="s">
        <v>3266</v>
      </c>
      <c r="AF1404" s="48">
        <v>1.1039999999999999</v>
      </c>
    </row>
    <row r="1405" spans="19:32" x14ac:dyDescent="0.35">
      <c r="S1405" s="30">
        <v>1401</v>
      </c>
      <c r="T1405" s="30" t="s">
        <v>4284</v>
      </c>
      <c r="U1405" s="30" t="s">
        <v>5402</v>
      </c>
      <c r="V1405" s="31">
        <v>1106.6400000000001</v>
      </c>
      <c r="W1405" s="18"/>
      <c r="X1405" s="34">
        <v>1401</v>
      </c>
      <c r="Y1405" s="34" t="s">
        <v>2248</v>
      </c>
      <c r="Z1405" s="34" t="s">
        <v>3428</v>
      </c>
      <c r="AA1405" s="35">
        <v>0</v>
      </c>
      <c r="AB1405" s="13"/>
      <c r="AC1405" s="47">
        <v>1401</v>
      </c>
      <c r="AD1405" s="47" t="s">
        <v>4573</v>
      </c>
      <c r="AE1405" s="47" t="s">
        <v>3264</v>
      </c>
      <c r="AF1405" s="48">
        <v>0</v>
      </c>
    </row>
    <row r="1406" spans="19:32" x14ac:dyDescent="0.35">
      <c r="S1406" s="47">
        <v>1402</v>
      </c>
      <c r="T1406" s="47" t="s">
        <v>4284</v>
      </c>
      <c r="U1406" s="47" t="s">
        <v>4657</v>
      </c>
      <c r="V1406" s="48">
        <v>9.1854838709677438E-5</v>
      </c>
      <c r="W1406" s="13"/>
      <c r="X1406" s="34">
        <v>1402</v>
      </c>
      <c r="Y1406" s="34" t="s">
        <v>2248</v>
      </c>
      <c r="Z1406" s="34" t="s">
        <v>4884</v>
      </c>
      <c r="AA1406" s="35">
        <v>2.906451612903226E-3</v>
      </c>
      <c r="AB1406" s="13"/>
      <c r="AC1406" s="34">
        <v>1402</v>
      </c>
      <c r="AD1406" s="34" t="s">
        <v>4573</v>
      </c>
      <c r="AE1406" s="34" t="s">
        <v>4547</v>
      </c>
      <c r="AF1406" s="35">
        <v>8.0544354838709689E-4</v>
      </c>
    </row>
    <row r="1407" spans="19:32" x14ac:dyDescent="0.35">
      <c r="S1407" s="47">
        <v>1403</v>
      </c>
      <c r="T1407" s="47" t="s">
        <v>4284</v>
      </c>
      <c r="U1407" s="47" t="s">
        <v>4656</v>
      </c>
      <c r="V1407" s="48">
        <v>2.3649193548387095E-5</v>
      </c>
      <c r="W1407" s="13"/>
      <c r="X1407" s="34">
        <v>1403</v>
      </c>
      <c r="Y1407" s="34" t="s">
        <v>2248</v>
      </c>
      <c r="Z1407" s="34" t="s">
        <v>5401</v>
      </c>
      <c r="AA1407" s="35">
        <v>4.72983870967742E-4</v>
      </c>
      <c r="AB1407" s="13"/>
      <c r="AC1407" s="47">
        <v>1403</v>
      </c>
      <c r="AD1407" s="47" t="s">
        <v>4573</v>
      </c>
      <c r="AE1407" s="47" t="s">
        <v>4546</v>
      </c>
      <c r="AF1407" s="48">
        <v>0.65120967741935487</v>
      </c>
    </row>
    <row r="1408" spans="19:32" x14ac:dyDescent="0.35">
      <c r="S1408" s="47">
        <v>1404</v>
      </c>
      <c r="T1408" s="47" t="s">
        <v>4284</v>
      </c>
      <c r="U1408" s="47" t="s">
        <v>4655</v>
      </c>
      <c r="V1408" s="48">
        <v>7.0604838709677426E-4</v>
      </c>
      <c r="W1408" s="13"/>
      <c r="X1408" s="34">
        <v>1404</v>
      </c>
      <c r="Y1408" s="34" t="s">
        <v>2248</v>
      </c>
      <c r="Z1408" s="34" t="s">
        <v>4883</v>
      </c>
      <c r="AA1408" s="35">
        <v>9.2197580645161296E-4</v>
      </c>
      <c r="AB1408" s="13"/>
      <c r="AC1408" s="47">
        <v>1404</v>
      </c>
      <c r="AD1408" s="47" t="s">
        <v>4573</v>
      </c>
      <c r="AE1408" s="47" t="s">
        <v>3263</v>
      </c>
      <c r="AF1408" s="48">
        <v>702.88</v>
      </c>
    </row>
    <row r="1409" spans="19:32" x14ac:dyDescent="0.35">
      <c r="S1409" s="34">
        <v>1405</v>
      </c>
      <c r="T1409" s="34" t="s">
        <v>4284</v>
      </c>
      <c r="U1409" s="34" t="s">
        <v>4654</v>
      </c>
      <c r="V1409" s="35">
        <v>1.2030241935483871E-4</v>
      </c>
      <c r="W1409" s="13"/>
      <c r="X1409" s="34">
        <v>1405</v>
      </c>
      <c r="Y1409" s="34" t="s">
        <v>2248</v>
      </c>
      <c r="Z1409" s="34" t="s">
        <v>4882</v>
      </c>
      <c r="AA1409" s="35">
        <v>2.8687500000000002E-3</v>
      </c>
      <c r="AB1409" s="13"/>
      <c r="AC1409" s="34">
        <v>1405</v>
      </c>
      <c r="AD1409" s="34" t="s">
        <v>4573</v>
      </c>
      <c r="AE1409" s="34" t="s">
        <v>4545</v>
      </c>
      <c r="AF1409" s="35">
        <v>2.4643145161290323</v>
      </c>
    </row>
    <row r="1410" spans="19:32" x14ac:dyDescent="0.35">
      <c r="S1410" s="47">
        <v>1406</v>
      </c>
      <c r="T1410" s="47" t="s">
        <v>4284</v>
      </c>
      <c r="U1410" s="47" t="s">
        <v>4653</v>
      </c>
      <c r="V1410" s="48">
        <v>4.5241935483870972E-9</v>
      </c>
      <c r="W1410" s="13"/>
      <c r="X1410" s="34">
        <v>1406</v>
      </c>
      <c r="Y1410" s="34" t="s">
        <v>2248</v>
      </c>
      <c r="Z1410" s="34" t="s">
        <v>4881</v>
      </c>
      <c r="AA1410" s="35">
        <v>2.5122983870967745E-4</v>
      </c>
      <c r="AB1410" s="13"/>
      <c r="AC1410" s="47">
        <v>1406</v>
      </c>
      <c r="AD1410" s="47" t="s">
        <v>4573</v>
      </c>
      <c r="AE1410" s="47" t="s">
        <v>4544</v>
      </c>
      <c r="AF1410" s="48">
        <v>3.6330645161290324E-3</v>
      </c>
    </row>
    <row r="1411" spans="19:32" x14ac:dyDescent="0.35">
      <c r="S1411" s="34">
        <v>1407</v>
      </c>
      <c r="T1411" s="34" t="s">
        <v>4284</v>
      </c>
      <c r="U1411" s="34" t="s">
        <v>4652</v>
      </c>
      <c r="V1411" s="35">
        <v>7.026209677419355E-6</v>
      </c>
      <c r="W1411" s="13"/>
      <c r="X1411" s="34">
        <v>1407</v>
      </c>
      <c r="Y1411" s="34" t="s">
        <v>2248</v>
      </c>
      <c r="Z1411" s="34" t="s">
        <v>5400</v>
      </c>
      <c r="AA1411" s="35">
        <v>0.91854838709677422</v>
      </c>
      <c r="AB1411" s="13"/>
      <c r="AC1411" s="47">
        <v>1407</v>
      </c>
      <c r="AD1411" s="47" t="s">
        <v>4573</v>
      </c>
      <c r="AE1411" s="47" t="s">
        <v>4543</v>
      </c>
      <c r="AF1411" s="48">
        <v>0.10830645161290324</v>
      </c>
    </row>
    <row r="1412" spans="19:32" x14ac:dyDescent="0.35">
      <c r="S1412" s="47">
        <v>1408</v>
      </c>
      <c r="T1412" s="47" t="s">
        <v>4284</v>
      </c>
      <c r="U1412" s="47" t="s">
        <v>4651</v>
      </c>
      <c r="V1412" s="48">
        <v>9.6995967741935485E-6</v>
      </c>
      <c r="W1412" s="13"/>
      <c r="X1412" s="34">
        <v>1408</v>
      </c>
      <c r="Y1412" s="34" t="s">
        <v>2248</v>
      </c>
      <c r="Z1412" s="34" t="s">
        <v>4880</v>
      </c>
      <c r="AA1412" s="35">
        <v>1.0796370967741937E-3</v>
      </c>
      <c r="AB1412" s="13"/>
      <c r="AC1412" s="47">
        <v>1408</v>
      </c>
      <c r="AD1412" s="47" t="s">
        <v>4573</v>
      </c>
      <c r="AE1412" s="47" t="s">
        <v>3261</v>
      </c>
      <c r="AF1412" s="48">
        <v>1.3606854838709678E-2</v>
      </c>
    </row>
    <row r="1413" spans="19:32" x14ac:dyDescent="0.35">
      <c r="S1413" s="47">
        <v>1409</v>
      </c>
      <c r="T1413" s="47" t="s">
        <v>4284</v>
      </c>
      <c r="U1413" s="47" t="s">
        <v>3337</v>
      </c>
      <c r="V1413" s="48">
        <v>0.34500000000000003</v>
      </c>
      <c r="W1413" s="13"/>
      <c r="X1413" s="34">
        <v>1409</v>
      </c>
      <c r="Y1413" s="34" t="s">
        <v>2248</v>
      </c>
      <c r="Z1413" s="34" t="s">
        <v>5399</v>
      </c>
      <c r="AA1413" s="35">
        <v>2.053024193548387E-3</v>
      </c>
      <c r="AB1413" s="13"/>
      <c r="AC1413" s="47">
        <v>1409</v>
      </c>
      <c r="AD1413" s="47" t="s">
        <v>4573</v>
      </c>
      <c r="AE1413" s="47" t="s">
        <v>3261</v>
      </c>
      <c r="AF1413" s="48">
        <v>0</v>
      </c>
    </row>
    <row r="1414" spans="19:32" x14ac:dyDescent="0.35">
      <c r="S1414" s="34">
        <v>1410</v>
      </c>
      <c r="T1414" s="34" t="s">
        <v>4284</v>
      </c>
      <c r="U1414" s="34" t="s">
        <v>4650</v>
      </c>
      <c r="V1414" s="35">
        <v>2.4608870967741938E-5</v>
      </c>
      <c r="W1414" s="13"/>
      <c r="X1414" s="34">
        <v>1410</v>
      </c>
      <c r="Y1414" s="34" t="s">
        <v>2248</v>
      </c>
      <c r="Z1414" s="34" t="s">
        <v>3427</v>
      </c>
      <c r="AA1414" s="35">
        <v>1.2052000000000002E-4</v>
      </c>
      <c r="AB1414" s="13"/>
      <c r="AC1414" s="47">
        <v>1410</v>
      </c>
      <c r="AD1414" s="47" t="s">
        <v>4573</v>
      </c>
      <c r="AE1414" s="47" t="s">
        <v>3260</v>
      </c>
      <c r="AF1414" s="48">
        <v>1.1241935483870968</v>
      </c>
    </row>
    <row r="1415" spans="19:32" x14ac:dyDescent="0.35">
      <c r="S1415" s="30">
        <v>1411</v>
      </c>
      <c r="T1415" s="30" t="s">
        <v>4284</v>
      </c>
      <c r="U1415" s="30" t="s">
        <v>5398</v>
      </c>
      <c r="V1415" s="31">
        <v>3.9440000000000004</v>
      </c>
      <c r="W1415" s="13"/>
      <c r="X1415" s="34">
        <v>1411</v>
      </c>
      <c r="Y1415" s="34" t="s">
        <v>2248</v>
      </c>
      <c r="Z1415" s="34" t="s">
        <v>3427</v>
      </c>
      <c r="AA1415" s="35">
        <v>1.5149193548387097E-4</v>
      </c>
      <c r="AB1415" s="13"/>
      <c r="AC1415" s="47">
        <v>1411</v>
      </c>
      <c r="AD1415" s="47" t="s">
        <v>4573</v>
      </c>
      <c r="AE1415" s="47" t="s">
        <v>3260</v>
      </c>
      <c r="AF1415" s="48">
        <v>0</v>
      </c>
    </row>
    <row r="1416" spans="19:32" x14ac:dyDescent="0.35">
      <c r="S1416" s="30">
        <v>1412</v>
      </c>
      <c r="T1416" s="30" t="s">
        <v>4284</v>
      </c>
      <c r="U1416" s="32" t="s">
        <v>5397</v>
      </c>
      <c r="V1416" s="33">
        <v>1.8560000000000001</v>
      </c>
      <c r="W1416" s="13"/>
      <c r="X1416" s="34">
        <v>1412</v>
      </c>
      <c r="Y1416" s="34" t="s">
        <v>2248</v>
      </c>
      <c r="Z1416" s="34" t="s">
        <v>3683</v>
      </c>
      <c r="AA1416" s="35">
        <v>3.0024193548387101E-4</v>
      </c>
      <c r="AB1416" s="13"/>
      <c r="AC1416" s="34">
        <v>1412</v>
      </c>
      <c r="AD1416" s="34" t="s">
        <v>4573</v>
      </c>
      <c r="AE1416" s="34" t="s">
        <v>4542</v>
      </c>
      <c r="AF1416" s="35">
        <v>0.54838709677419362</v>
      </c>
    </row>
    <row r="1417" spans="19:32" x14ac:dyDescent="0.35">
      <c r="S1417" s="30">
        <v>1413</v>
      </c>
      <c r="T1417" s="30" t="s">
        <v>4284</v>
      </c>
      <c r="U1417" s="30" t="s">
        <v>5396</v>
      </c>
      <c r="V1417" s="31">
        <v>1.9720000000000002</v>
      </c>
      <c r="W1417" s="13"/>
      <c r="X1417" s="34">
        <v>1413</v>
      </c>
      <c r="Y1417" s="34" t="s">
        <v>2248</v>
      </c>
      <c r="Z1417" s="34" t="s">
        <v>3425</v>
      </c>
      <c r="AA1417" s="35">
        <v>0</v>
      </c>
      <c r="AB1417" s="13"/>
      <c r="AC1417" s="47">
        <v>1413</v>
      </c>
      <c r="AD1417" s="47" t="s">
        <v>4573</v>
      </c>
      <c r="AE1417" s="47" t="s">
        <v>4541</v>
      </c>
      <c r="AF1417" s="48">
        <v>7.9173387096774198E-2</v>
      </c>
    </row>
    <row r="1418" spans="19:32" x14ac:dyDescent="0.35">
      <c r="S1418" s="36">
        <v>1414</v>
      </c>
      <c r="T1418" s="36" t="s">
        <v>4284</v>
      </c>
      <c r="U1418" s="36" t="s">
        <v>5395</v>
      </c>
      <c r="V1418" s="37">
        <v>4.4190999999999994</v>
      </c>
      <c r="W1418" s="13"/>
      <c r="X1418" s="34">
        <v>1414</v>
      </c>
      <c r="Y1418" s="34" t="s">
        <v>2248</v>
      </c>
      <c r="Z1418" s="34" t="s">
        <v>3425</v>
      </c>
      <c r="AA1418" s="35">
        <v>4.2157258064516134E-4</v>
      </c>
      <c r="AB1418" s="13"/>
      <c r="AC1418" s="34">
        <v>1414</v>
      </c>
      <c r="AD1418" s="34" t="s">
        <v>4573</v>
      </c>
      <c r="AE1418" s="34" t="s">
        <v>3259</v>
      </c>
      <c r="AF1418" s="35">
        <v>6.272177419354839</v>
      </c>
    </row>
    <row r="1419" spans="19:32" x14ac:dyDescent="0.35">
      <c r="S1419" s="36">
        <v>1415</v>
      </c>
      <c r="T1419" s="36" t="s">
        <v>4284</v>
      </c>
      <c r="U1419" s="36" t="s">
        <v>5394</v>
      </c>
      <c r="V1419" s="37">
        <v>3.6701000000000001</v>
      </c>
      <c r="W1419" s="13"/>
      <c r="X1419" s="34">
        <v>1415</v>
      </c>
      <c r="Y1419" s="34" t="s">
        <v>2248</v>
      </c>
      <c r="Z1419" s="34" t="s">
        <v>4879</v>
      </c>
      <c r="AA1419" s="35">
        <v>3.1497983870967744E-3</v>
      </c>
      <c r="AB1419" s="13"/>
      <c r="AC1419" s="47">
        <v>1415</v>
      </c>
      <c r="AD1419" s="47" t="s">
        <v>4573</v>
      </c>
      <c r="AE1419" s="47" t="s">
        <v>3259</v>
      </c>
      <c r="AF1419" s="48">
        <v>6900</v>
      </c>
    </row>
    <row r="1420" spans="19:32" x14ac:dyDescent="0.35">
      <c r="S1420" s="47">
        <v>1416</v>
      </c>
      <c r="T1420" s="47" t="s">
        <v>4284</v>
      </c>
      <c r="U1420" s="47" t="s">
        <v>4649</v>
      </c>
      <c r="V1420" s="48">
        <v>5.9294354838709687E-4</v>
      </c>
      <c r="W1420" s="13"/>
      <c r="X1420" s="34">
        <v>1416</v>
      </c>
      <c r="Y1420" s="34" t="s">
        <v>2248</v>
      </c>
      <c r="Z1420" s="34" t="s">
        <v>5393</v>
      </c>
      <c r="AA1420" s="35">
        <v>0.18508064516129033</v>
      </c>
      <c r="AB1420" s="13"/>
      <c r="AC1420" s="47">
        <v>1416</v>
      </c>
      <c r="AD1420" s="47" t="s">
        <v>4573</v>
      </c>
      <c r="AE1420" s="47" t="s">
        <v>4540</v>
      </c>
      <c r="AF1420" s="48">
        <v>29.715725806451616</v>
      </c>
    </row>
    <row r="1421" spans="19:32" x14ac:dyDescent="0.35">
      <c r="S1421" s="47">
        <v>1417</v>
      </c>
      <c r="T1421" s="47" t="s">
        <v>4284</v>
      </c>
      <c r="U1421" s="47" t="s">
        <v>4648</v>
      </c>
      <c r="V1421" s="48">
        <v>5.0725806451612905E-2</v>
      </c>
      <c r="W1421" s="13"/>
      <c r="X1421" s="34">
        <v>1417</v>
      </c>
      <c r="Y1421" s="34" t="s">
        <v>2248</v>
      </c>
      <c r="Z1421" s="34" t="s">
        <v>4878</v>
      </c>
      <c r="AA1421" s="35">
        <v>4.1129032258064518E-5</v>
      </c>
      <c r="AB1421" s="13"/>
      <c r="AC1421" s="34">
        <v>1417</v>
      </c>
      <c r="AD1421" s="34" t="s">
        <v>4573</v>
      </c>
      <c r="AE1421" s="34" t="s">
        <v>4539</v>
      </c>
      <c r="AF1421" s="35">
        <v>3.9415322580645165</v>
      </c>
    </row>
    <row r="1422" spans="19:32" x14ac:dyDescent="0.35">
      <c r="S1422" s="47">
        <v>1418</v>
      </c>
      <c r="T1422" s="47" t="s">
        <v>4284</v>
      </c>
      <c r="U1422" s="47" t="s">
        <v>4647</v>
      </c>
      <c r="V1422" s="48">
        <v>2.1764112903225807E-3</v>
      </c>
      <c r="W1422" s="13"/>
      <c r="X1422" s="34">
        <v>1418</v>
      </c>
      <c r="Y1422" s="34" t="s">
        <v>2248</v>
      </c>
      <c r="Z1422" s="34" t="s">
        <v>4875</v>
      </c>
      <c r="AA1422" s="35">
        <v>0.14395161290322581</v>
      </c>
      <c r="AB1422" s="13"/>
      <c r="AC1422" s="47">
        <v>1418</v>
      </c>
      <c r="AD1422" s="47" t="s">
        <v>4573</v>
      </c>
      <c r="AE1422" s="47" t="s">
        <v>4538</v>
      </c>
      <c r="AF1422" s="48">
        <v>0.61008064516129035</v>
      </c>
    </row>
    <row r="1423" spans="19:32" x14ac:dyDescent="0.35">
      <c r="S1423" s="47">
        <v>1419</v>
      </c>
      <c r="T1423" s="47" t="s">
        <v>4284</v>
      </c>
      <c r="U1423" s="47" t="s">
        <v>4646</v>
      </c>
      <c r="V1423" s="48">
        <v>4.6270161290322583E-2</v>
      </c>
      <c r="W1423" s="13"/>
      <c r="X1423" s="34">
        <v>1419</v>
      </c>
      <c r="Y1423" s="34" t="s">
        <v>2248</v>
      </c>
      <c r="Z1423" s="34" t="s">
        <v>4873</v>
      </c>
      <c r="AA1423" s="35">
        <v>1.1139112903225806E-3</v>
      </c>
      <c r="AB1423" s="13"/>
      <c r="AC1423" s="47">
        <v>1419</v>
      </c>
      <c r="AD1423" s="47" t="s">
        <v>4573</v>
      </c>
      <c r="AE1423" s="47" t="s">
        <v>4537</v>
      </c>
      <c r="AF1423" s="48">
        <v>2.3203629032258068E-2</v>
      </c>
    </row>
    <row r="1424" spans="19:32" x14ac:dyDescent="0.35">
      <c r="S1424" s="36">
        <v>1420</v>
      </c>
      <c r="T1424" s="36" t="s">
        <v>4284</v>
      </c>
      <c r="U1424" s="36" t="s">
        <v>4645</v>
      </c>
      <c r="V1424" s="37">
        <v>2.4289000000000001</v>
      </c>
      <c r="W1424" s="13"/>
      <c r="X1424" s="34">
        <v>1420</v>
      </c>
      <c r="Y1424" s="34" t="s">
        <v>2248</v>
      </c>
      <c r="Z1424" s="34" t="s">
        <v>5392</v>
      </c>
      <c r="AA1424" s="35">
        <v>1.5868951612903228E-4</v>
      </c>
      <c r="AB1424" s="13"/>
      <c r="AC1424" s="47">
        <v>1420</v>
      </c>
      <c r="AD1424" s="47" t="s">
        <v>4573</v>
      </c>
      <c r="AE1424" s="47" t="s">
        <v>3258</v>
      </c>
      <c r="AF1424" s="48">
        <v>5.0507999999999997</v>
      </c>
    </row>
    <row r="1425" spans="19:32" x14ac:dyDescent="0.35">
      <c r="S1425" s="34">
        <v>1421</v>
      </c>
      <c r="T1425" s="34" t="s">
        <v>4284</v>
      </c>
      <c r="U1425" s="34" t="s">
        <v>4645</v>
      </c>
      <c r="V1425" s="35">
        <v>4.0100806451612911E-6</v>
      </c>
      <c r="W1425" s="13"/>
      <c r="X1425" s="34">
        <v>1421</v>
      </c>
      <c r="Y1425" s="34" t="s">
        <v>2248</v>
      </c>
      <c r="Z1425" s="34" t="s">
        <v>4872</v>
      </c>
      <c r="AA1425" s="35">
        <v>7.6774193548387109E-5</v>
      </c>
      <c r="AB1425" s="13"/>
      <c r="AC1425" s="47">
        <v>1421</v>
      </c>
      <c r="AD1425" s="47" t="s">
        <v>4573</v>
      </c>
      <c r="AE1425" s="47" t="s">
        <v>4536</v>
      </c>
      <c r="AF1425" s="48">
        <v>466.12903225806457</v>
      </c>
    </row>
    <row r="1426" spans="19:32" x14ac:dyDescent="0.35">
      <c r="S1426" s="47">
        <v>1422</v>
      </c>
      <c r="T1426" s="47" t="s">
        <v>4284</v>
      </c>
      <c r="U1426" s="47" t="s">
        <v>4644</v>
      </c>
      <c r="V1426" s="48">
        <v>1.1413306451612905E-5</v>
      </c>
      <c r="W1426" s="13"/>
      <c r="X1426" s="34">
        <v>1422</v>
      </c>
      <c r="Y1426" s="34" t="s">
        <v>2248</v>
      </c>
      <c r="Z1426" s="34" t="s">
        <v>4871</v>
      </c>
      <c r="AA1426" s="35">
        <v>3.0332661290322581E-4</v>
      </c>
      <c r="AB1426" s="13"/>
      <c r="AC1426" s="47">
        <v>1422</v>
      </c>
      <c r="AD1426" s="47" t="s">
        <v>4573</v>
      </c>
      <c r="AE1426" s="47" t="s">
        <v>4535</v>
      </c>
      <c r="AF1426" s="48">
        <v>51.411290322580648</v>
      </c>
    </row>
    <row r="1427" spans="19:32" x14ac:dyDescent="0.35">
      <c r="S1427" s="34">
        <v>1423</v>
      </c>
      <c r="T1427" s="34" t="s">
        <v>4284</v>
      </c>
      <c r="U1427" s="34" t="s">
        <v>4643</v>
      </c>
      <c r="V1427" s="35">
        <v>1.1756048387096775E-7</v>
      </c>
      <c r="W1427" s="13"/>
      <c r="X1427" s="34">
        <v>1423</v>
      </c>
      <c r="Y1427" s="34" t="s">
        <v>2248</v>
      </c>
      <c r="Z1427" s="34" t="s">
        <v>5391</v>
      </c>
      <c r="AA1427" s="35">
        <v>5.7580645161290328E-2</v>
      </c>
      <c r="AB1427" s="13"/>
      <c r="AC1427" s="34">
        <v>1423</v>
      </c>
      <c r="AD1427" s="34" t="s">
        <v>4573</v>
      </c>
      <c r="AE1427" s="34" t="s">
        <v>3257</v>
      </c>
      <c r="AF1427" s="35">
        <v>1.6383064516129033</v>
      </c>
    </row>
    <row r="1428" spans="19:32" x14ac:dyDescent="0.35">
      <c r="S1428" s="47">
        <v>1424</v>
      </c>
      <c r="T1428" s="47" t="s">
        <v>4284</v>
      </c>
      <c r="U1428" s="47" t="s">
        <v>4642</v>
      </c>
      <c r="V1428" s="48">
        <v>1.1139112903225809E-5</v>
      </c>
      <c r="W1428" s="13"/>
      <c r="X1428" s="34">
        <v>1424</v>
      </c>
      <c r="Y1428" s="34" t="s">
        <v>2248</v>
      </c>
      <c r="Z1428" s="34" t="s">
        <v>4870</v>
      </c>
      <c r="AA1428" s="35">
        <v>2.7659274193548391E-3</v>
      </c>
      <c r="AB1428" s="13"/>
      <c r="AC1428" s="47">
        <v>1424</v>
      </c>
      <c r="AD1428" s="47" t="s">
        <v>4573</v>
      </c>
      <c r="AE1428" s="47" t="s">
        <v>3257</v>
      </c>
      <c r="AF1428" s="48">
        <v>0</v>
      </c>
    </row>
    <row r="1429" spans="19:32" x14ac:dyDescent="0.35">
      <c r="S1429" s="34">
        <v>1425</v>
      </c>
      <c r="T1429" s="34" t="s">
        <v>4284</v>
      </c>
      <c r="U1429" s="34" t="s">
        <v>4641</v>
      </c>
      <c r="V1429" s="35">
        <v>1.5903225806451615E-5</v>
      </c>
      <c r="W1429" s="13"/>
      <c r="X1429" s="34">
        <v>1425</v>
      </c>
      <c r="Y1429" s="34" t="s">
        <v>2248</v>
      </c>
      <c r="Z1429" s="34" t="s">
        <v>4867</v>
      </c>
      <c r="AA1429" s="35">
        <v>1.1618951612903227E-2</v>
      </c>
      <c r="AB1429" s="13"/>
      <c r="AC1429" s="47">
        <v>1425</v>
      </c>
      <c r="AD1429" s="47" t="s">
        <v>4573</v>
      </c>
      <c r="AE1429" s="47" t="s">
        <v>4534</v>
      </c>
      <c r="AF1429" s="48">
        <v>6.8205645161290329</v>
      </c>
    </row>
    <row r="1430" spans="19:32" x14ac:dyDescent="0.35">
      <c r="S1430" s="47">
        <v>1426</v>
      </c>
      <c r="T1430" s="47" t="s">
        <v>4284</v>
      </c>
      <c r="U1430" s="47" t="s">
        <v>4640</v>
      </c>
      <c r="V1430" s="48">
        <v>2.7282258064516132E-2</v>
      </c>
      <c r="W1430" s="13"/>
      <c r="X1430" s="34">
        <v>1426</v>
      </c>
      <c r="Y1430" s="34" t="s">
        <v>2248</v>
      </c>
      <c r="Z1430" s="34" t="s">
        <v>5390</v>
      </c>
      <c r="AA1430" s="35">
        <v>2.1558467741935484E-5</v>
      </c>
      <c r="AB1430" s="13"/>
      <c r="AC1430" s="34">
        <v>1426</v>
      </c>
      <c r="AD1430" s="34" t="s">
        <v>4573</v>
      </c>
      <c r="AE1430" s="34" t="s">
        <v>4533</v>
      </c>
      <c r="AF1430" s="35">
        <v>0.31875000000000003</v>
      </c>
    </row>
    <row r="1431" spans="19:32" x14ac:dyDescent="0.35">
      <c r="S1431" s="47">
        <v>1427</v>
      </c>
      <c r="T1431" s="47" t="s">
        <v>4284</v>
      </c>
      <c r="U1431" s="47" t="s">
        <v>4637</v>
      </c>
      <c r="V1431" s="48">
        <v>2.3169354838709676E-3</v>
      </c>
      <c r="W1431" s="13"/>
      <c r="X1431" s="34">
        <v>1427</v>
      </c>
      <c r="Y1431" s="34" t="s">
        <v>2248</v>
      </c>
      <c r="Z1431" s="34" t="s">
        <v>4865</v>
      </c>
      <c r="AA1431" s="35">
        <v>0.1240725806451613</v>
      </c>
      <c r="AB1431" s="13"/>
      <c r="AC1431" s="47">
        <v>1427</v>
      </c>
      <c r="AD1431" s="47" t="s">
        <v>4573</v>
      </c>
      <c r="AE1431" s="47" t="s">
        <v>3255</v>
      </c>
      <c r="AF1431" s="48">
        <v>0</v>
      </c>
    </row>
    <row r="1432" spans="19:32" x14ac:dyDescent="0.35">
      <c r="S1432" s="47">
        <v>1428</v>
      </c>
      <c r="T1432" s="47" t="s">
        <v>4284</v>
      </c>
      <c r="U1432" s="47" t="s">
        <v>3336</v>
      </c>
      <c r="V1432" s="48">
        <v>0</v>
      </c>
      <c r="W1432" s="13"/>
      <c r="X1432" s="34">
        <v>1428</v>
      </c>
      <c r="Y1432" s="34" t="s">
        <v>2248</v>
      </c>
      <c r="Z1432" s="34" t="s">
        <v>4862</v>
      </c>
      <c r="AA1432" s="35">
        <v>0.13504032258064516</v>
      </c>
      <c r="AB1432" s="13"/>
      <c r="AC1432" s="47">
        <v>1428</v>
      </c>
      <c r="AD1432" s="47" t="s">
        <v>4573</v>
      </c>
      <c r="AE1432" s="47" t="s">
        <v>4532</v>
      </c>
      <c r="AF1432" s="48">
        <v>0.45241935483870971</v>
      </c>
    </row>
    <row r="1433" spans="19:32" x14ac:dyDescent="0.35">
      <c r="S1433" s="47">
        <v>1429</v>
      </c>
      <c r="T1433" s="47" t="s">
        <v>4284</v>
      </c>
      <c r="U1433" s="47" t="s">
        <v>4635</v>
      </c>
      <c r="V1433" s="48">
        <v>1.0008064516129032E-4</v>
      </c>
      <c r="W1433" s="13"/>
      <c r="X1433" s="34">
        <v>1429</v>
      </c>
      <c r="Y1433" s="34" t="s">
        <v>2248</v>
      </c>
      <c r="Z1433" s="34" t="s">
        <v>3681</v>
      </c>
      <c r="AA1433" s="35">
        <v>3.7701612903225815E-5</v>
      </c>
      <c r="AB1433" s="13"/>
      <c r="AC1433" s="34">
        <v>1429</v>
      </c>
      <c r="AD1433" s="34" t="s">
        <v>4573</v>
      </c>
      <c r="AE1433" s="34" t="s">
        <v>3254</v>
      </c>
      <c r="AF1433" s="35">
        <v>6.0665322580645163E-3</v>
      </c>
    </row>
    <row r="1434" spans="19:32" x14ac:dyDescent="0.35">
      <c r="S1434" s="47">
        <v>1430</v>
      </c>
      <c r="T1434" s="47" t="s">
        <v>4284</v>
      </c>
      <c r="U1434" s="47" t="s">
        <v>3334</v>
      </c>
      <c r="V1434" s="48">
        <v>1.8028225806451614E-3</v>
      </c>
      <c r="W1434" s="13"/>
      <c r="X1434" s="34">
        <v>1430</v>
      </c>
      <c r="Y1434" s="34" t="s">
        <v>2248</v>
      </c>
      <c r="Z1434" s="34" t="s">
        <v>3423</v>
      </c>
      <c r="AA1434" s="35">
        <v>5.5660000000000008E-2</v>
      </c>
      <c r="AB1434" s="13"/>
      <c r="AC1434" s="47">
        <v>1430</v>
      </c>
      <c r="AD1434" s="47" t="s">
        <v>4573</v>
      </c>
      <c r="AE1434" s="47" t="s">
        <v>3254</v>
      </c>
      <c r="AF1434" s="48">
        <v>0</v>
      </c>
    </row>
    <row r="1435" spans="19:32" x14ac:dyDescent="0.35">
      <c r="S1435" s="47">
        <v>1431</v>
      </c>
      <c r="T1435" s="47" t="s">
        <v>4284</v>
      </c>
      <c r="U1435" s="47" t="s">
        <v>3334</v>
      </c>
      <c r="V1435" s="48">
        <v>7.8660000000000008E-2</v>
      </c>
      <c r="W1435" s="13"/>
      <c r="X1435" s="34">
        <v>1431</v>
      </c>
      <c r="Y1435" s="34" t="s">
        <v>2248</v>
      </c>
      <c r="Z1435" s="34" t="s">
        <v>3423</v>
      </c>
      <c r="AA1435" s="35">
        <v>5.9294354838709687E-4</v>
      </c>
      <c r="AB1435" s="13"/>
      <c r="AC1435" s="47">
        <v>1431</v>
      </c>
      <c r="AD1435" s="47" t="s">
        <v>4573</v>
      </c>
      <c r="AE1435" s="47" t="s">
        <v>4531</v>
      </c>
      <c r="AF1435" s="48">
        <v>1.0830645161290324</v>
      </c>
    </row>
    <row r="1436" spans="19:32" x14ac:dyDescent="0.35">
      <c r="S1436" s="34">
        <v>1432</v>
      </c>
      <c r="T1436" s="34" t="s">
        <v>4284</v>
      </c>
      <c r="U1436" s="34" t="s">
        <v>4634</v>
      </c>
      <c r="V1436" s="35">
        <v>1.8987903225806452E-4</v>
      </c>
      <c r="W1436" s="13"/>
      <c r="X1436" s="34">
        <v>1432</v>
      </c>
      <c r="Y1436" s="34" t="s">
        <v>2248</v>
      </c>
      <c r="Z1436" s="34" t="s">
        <v>4858</v>
      </c>
      <c r="AA1436" s="35">
        <v>8.8427419354838721E-3</v>
      </c>
      <c r="AB1436" s="13"/>
      <c r="AC1436" s="47">
        <v>1432</v>
      </c>
      <c r="AD1436" s="47" t="s">
        <v>4573</v>
      </c>
      <c r="AE1436" s="47" t="s">
        <v>3252</v>
      </c>
      <c r="AF1436" s="48">
        <v>0.10008064516129032</v>
      </c>
    </row>
    <row r="1437" spans="19:32" x14ac:dyDescent="0.35">
      <c r="S1437" s="47">
        <v>1433</v>
      </c>
      <c r="T1437" s="47" t="s">
        <v>4284</v>
      </c>
      <c r="U1437" s="47" t="s">
        <v>3332</v>
      </c>
      <c r="V1437" s="48">
        <v>0</v>
      </c>
      <c r="W1437" s="13"/>
      <c r="X1437" s="34">
        <v>1433</v>
      </c>
      <c r="Y1437" s="34" t="s">
        <v>2248</v>
      </c>
      <c r="Z1437" s="34" t="s">
        <v>5389</v>
      </c>
      <c r="AA1437" s="35">
        <v>3.0983870967741937E-4</v>
      </c>
      <c r="AB1437" s="13"/>
      <c r="AC1437" s="47">
        <v>1433</v>
      </c>
      <c r="AD1437" s="47" t="s">
        <v>4573</v>
      </c>
      <c r="AE1437" s="47" t="s">
        <v>3252</v>
      </c>
      <c r="AF1437" s="48">
        <v>0</v>
      </c>
    </row>
    <row r="1438" spans="19:32" x14ac:dyDescent="0.35">
      <c r="S1438" s="47">
        <v>1434</v>
      </c>
      <c r="T1438" s="47" t="s">
        <v>4284</v>
      </c>
      <c r="U1438" s="47" t="s">
        <v>4633</v>
      </c>
      <c r="V1438" s="48">
        <v>1.3572580645161291E-4</v>
      </c>
      <c r="W1438" s="13"/>
      <c r="X1438" s="34">
        <v>1434</v>
      </c>
      <c r="Y1438" s="34" t="s">
        <v>2248</v>
      </c>
      <c r="Z1438" s="34" t="s">
        <v>4855</v>
      </c>
      <c r="AA1438" s="35">
        <v>0.18268145161290325</v>
      </c>
      <c r="AB1438" s="13"/>
      <c r="AC1438" s="47">
        <v>1434</v>
      </c>
      <c r="AD1438" s="47" t="s">
        <v>4573</v>
      </c>
      <c r="AE1438" s="47" t="s">
        <v>4530</v>
      </c>
      <c r="AF1438" s="48">
        <v>4.7983870967741938E-4</v>
      </c>
    </row>
    <row r="1439" spans="19:32" x14ac:dyDescent="0.35">
      <c r="S1439" s="34">
        <v>1435</v>
      </c>
      <c r="T1439" s="34" t="s">
        <v>4284</v>
      </c>
      <c r="U1439" s="34" t="s">
        <v>4632</v>
      </c>
      <c r="V1439" s="35">
        <v>1.264717741935484E-3</v>
      </c>
      <c r="W1439" s="13"/>
      <c r="X1439" s="34">
        <v>1435</v>
      </c>
      <c r="Y1439" s="34" t="s">
        <v>2248</v>
      </c>
      <c r="Z1439" s="34" t="s">
        <v>4852</v>
      </c>
      <c r="AA1439" s="35">
        <v>2.0838709677419356</v>
      </c>
      <c r="AB1439" s="13"/>
      <c r="AC1439" s="47">
        <v>1435</v>
      </c>
      <c r="AD1439" s="47" t="s">
        <v>4573</v>
      </c>
      <c r="AE1439" s="47" t="s">
        <v>4529</v>
      </c>
      <c r="AF1439" s="48">
        <v>0.26185483870967746</v>
      </c>
    </row>
    <row r="1440" spans="19:32" x14ac:dyDescent="0.35">
      <c r="S1440" s="47">
        <v>1436</v>
      </c>
      <c r="T1440" s="47" t="s">
        <v>4284</v>
      </c>
      <c r="U1440" s="47" t="s">
        <v>4631</v>
      </c>
      <c r="V1440" s="48">
        <v>1.1653225806451615E-5</v>
      </c>
      <c r="W1440" s="13"/>
      <c r="X1440" s="34">
        <v>1436</v>
      </c>
      <c r="Y1440" s="34" t="s">
        <v>2248</v>
      </c>
      <c r="Z1440" s="34" t="s">
        <v>5388</v>
      </c>
      <c r="AA1440" s="35">
        <v>7.3689516129032259E-5</v>
      </c>
      <c r="AB1440" s="13"/>
      <c r="AC1440" s="34">
        <v>1436</v>
      </c>
      <c r="AD1440" s="34" t="s">
        <v>4573</v>
      </c>
      <c r="AE1440" s="34" t="s">
        <v>3251</v>
      </c>
      <c r="AF1440" s="35">
        <v>0.68548387096774199</v>
      </c>
    </row>
    <row r="1441" spans="19:32" x14ac:dyDescent="0.35">
      <c r="S1441" s="34">
        <v>1437</v>
      </c>
      <c r="T1441" s="34" t="s">
        <v>4284</v>
      </c>
      <c r="U1441" s="34" t="s">
        <v>4630</v>
      </c>
      <c r="V1441" s="35">
        <v>1.2510080645161291E-6</v>
      </c>
      <c r="W1441" s="13"/>
      <c r="X1441" s="34">
        <v>1437</v>
      </c>
      <c r="Y1441" s="34" t="s">
        <v>2248</v>
      </c>
      <c r="Z1441" s="34" t="s">
        <v>4850</v>
      </c>
      <c r="AA1441" s="35">
        <v>8.7741935483870979E-4</v>
      </c>
      <c r="AB1441" s="13"/>
      <c r="AC1441" s="47">
        <v>1437</v>
      </c>
      <c r="AD1441" s="47" t="s">
        <v>4573</v>
      </c>
      <c r="AE1441" s="47" t="s">
        <v>3251</v>
      </c>
      <c r="AF1441" s="48">
        <v>10.212</v>
      </c>
    </row>
    <row r="1442" spans="19:32" x14ac:dyDescent="0.35">
      <c r="S1442" s="47">
        <v>1438</v>
      </c>
      <c r="T1442" s="47" t="s">
        <v>4284</v>
      </c>
      <c r="U1442" s="47" t="s">
        <v>3331</v>
      </c>
      <c r="V1442" s="48">
        <v>1.1173387096774195E-3</v>
      </c>
      <c r="W1442" s="17"/>
      <c r="X1442" s="34">
        <v>1438</v>
      </c>
      <c r="Y1442" s="34" t="s">
        <v>2248</v>
      </c>
      <c r="Z1442" s="34" t="s">
        <v>3422</v>
      </c>
      <c r="AA1442" s="35">
        <v>0.11039999999999998</v>
      </c>
      <c r="AB1442" s="13"/>
      <c r="AC1442" s="47">
        <v>1438</v>
      </c>
      <c r="AD1442" s="47" t="s">
        <v>4573</v>
      </c>
      <c r="AE1442" s="47" t="s">
        <v>4528</v>
      </c>
      <c r="AF1442" s="48">
        <v>3.564516129032258E-2</v>
      </c>
    </row>
    <row r="1443" spans="19:32" x14ac:dyDescent="0.35">
      <c r="S1443" s="47">
        <v>1439</v>
      </c>
      <c r="T1443" s="47" t="s">
        <v>4284</v>
      </c>
      <c r="U1443" s="47" t="s">
        <v>3331</v>
      </c>
      <c r="V1443" s="48">
        <v>0</v>
      </c>
      <c r="W1443" s="17"/>
      <c r="X1443" s="34">
        <v>1439</v>
      </c>
      <c r="Y1443" s="34" t="s">
        <v>2248</v>
      </c>
      <c r="Z1443" s="34" t="s">
        <v>3422</v>
      </c>
      <c r="AA1443" s="35">
        <v>4.3528225806451614E-3</v>
      </c>
      <c r="AB1443" s="13"/>
      <c r="AC1443" s="34">
        <v>1439</v>
      </c>
      <c r="AD1443" s="34" t="s">
        <v>4573</v>
      </c>
      <c r="AE1443" s="34" t="s">
        <v>3249</v>
      </c>
      <c r="AF1443" s="35">
        <v>1.4086693548387098E-3</v>
      </c>
    </row>
    <row r="1444" spans="19:32" x14ac:dyDescent="0.35">
      <c r="S1444" s="47">
        <v>1440</v>
      </c>
      <c r="T1444" s="47" t="s">
        <v>4284</v>
      </c>
      <c r="U1444" s="47" t="s">
        <v>3329</v>
      </c>
      <c r="V1444" s="48">
        <v>1.3431999999999999</v>
      </c>
      <c r="W1444" s="17"/>
      <c r="X1444" s="34">
        <v>1440</v>
      </c>
      <c r="Y1444" s="34" t="s">
        <v>2248</v>
      </c>
      <c r="Z1444" s="34" t="s">
        <v>5387</v>
      </c>
      <c r="AA1444" s="35">
        <v>9.2883064516129045E-4</v>
      </c>
      <c r="AB1444" s="13"/>
      <c r="AC1444" s="47">
        <v>1440</v>
      </c>
      <c r="AD1444" s="47" t="s">
        <v>4573</v>
      </c>
      <c r="AE1444" s="47" t="s">
        <v>3249</v>
      </c>
      <c r="AF1444" s="48">
        <v>0.32844000000000001</v>
      </c>
    </row>
    <row r="1445" spans="19:32" x14ac:dyDescent="0.35">
      <c r="S1445" s="47">
        <v>1441</v>
      </c>
      <c r="T1445" s="47" t="s">
        <v>4284</v>
      </c>
      <c r="U1445" s="47" t="s">
        <v>4629</v>
      </c>
      <c r="V1445" s="48">
        <v>6.1350806451612908E-2</v>
      </c>
      <c r="W1445" s="17"/>
      <c r="X1445" s="34">
        <v>1441</v>
      </c>
      <c r="Y1445" s="34" t="s">
        <v>2248</v>
      </c>
      <c r="Z1445" s="34" t="s">
        <v>4845</v>
      </c>
      <c r="AA1445" s="35">
        <v>1.227016129032258E-3</v>
      </c>
      <c r="AB1445" s="13"/>
      <c r="AC1445" s="47">
        <v>1441</v>
      </c>
      <c r="AD1445" s="47" t="s">
        <v>4573</v>
      </c>
      <c r="AE1445" s="47" t="s">
        <v>4527</v>
      </c>
      <c r="AF1445" s="48">
        <v>0.88427419354838721</v>
      </c>
    </row>
    <row r="1446" spans="19:32" x14ac:dyDescent="0.35">
      <c r="S1446" s="47">
        <v>1442</v>
      </c>
      <c r="T1446" s="47" t="s">
        <v>4284</v>
      </c>
      <c r="U1446" s="47" t="s">
        <v>4628</v>
      </c>
      <c r="V1446" s="48">
        <v>8.2600806451612913E-2</v>
      </c>
      <c r="W1446" s="13"/>
      <c r="X1446" s="34">
        <v>1442</v>
      </c>
      <c r="Y1446" s="34" t="s">
        <v>2248</v>
      </c>
      <c r="Z1446" s="34" t="s">
        <v>5386</v>
      </c>
      <c r="AA1446" s="35">
        <v>0.1583467741935484</v>
      </c>
      <c r="AB1446" s="13"/>
      <c r="AC1446" s="47">
        <v>1442</v>
      </c>
      <c r="AD1446" s="47" t="s">
        <v>4573</v>
      </c>
      <c r="AE1446" s="47" t="s">
        <v>3248</v>
      </c>
      <c r="AF1446" s="48">
        <v>3.1739999999999999</v>
      </c>
    </row>
    <row r="1447" spans="19:32" x14ac:dyDescent="0.35">
      <c r="S1447" s="47">
        <v>1443</v>
      </c>
      <c r="T1447" s="47" t="s">
        <v>4284</v>
      </c>
      <c r="U1447" s="47" t="s">
        <v>4627</v>
      </c>
      <c r="V1447" s="48">
        <v>2.4471774193548387E-2</v>
      </c>
      <c r="W1447" s="17"/>
      <c r="X1447" s="34">
        <v>1443</v>
      </c>
      <c r="Y1447" s="34" t="s">
        <v>2248</v>
      </c>
      <c r="Z1447" s="34" t="s">
        <v>3420</v>
      </c>
      <c r="AA1447" s="35">
        <v>4.4344000000000001E-2</v>
      </c>
      <c r="AB1447" s="13"/>
      <c r="AC1447" s="34">
        <v>1443</v>
      </c>
      <c r="AD1447" s="34" t="s">
        <v>4573</v>
      </c>
      <c r="AE1447" s="34" t="s">
        <v>4526</v>
      </c>
      <c r="AF1447" s="35">
        <v>0.13983870967741938</v>
      </c>
    </row>
    <row r="1448" spans="19:32" x14ac:dyDescent="0.35">
      <c r="S1448" s="47">
        <v>1444</v>
      </c>
      <c r="T1448" s="47" t="s">
        <v>4284</v>
      </c>
      <c r="U1448" s="47" t="s">
        <v>3328</v>
      </c>
      <c r="V1448" s="48">
        <v>0</v>
      </c>
      <c r="W1448" s="17"/>
      <c r="X1448" s="34">
        <v>1444</v>
      </c>
      <c r="Y1448" s="34" t="s">
        <v>2248</v>
      </c>
      <c r="Z1448" s="34" t="s">
        <v>3420</v>
      </c>
      <c r="AA1448" s="35">
        <v>1.1207661290322581E-2</v>
      </c>
      <c r="AB1448" s="13"/>
      <c r="AC1448" s="47">
        <v>1444</v>
      </c>
      <c r="AD1448" s="47" t="s">
        <v>4573</v>
      </c>
      <c r="AE1448" s="47" t="s">
        <v>3246</v>
      </c>
      <c r="AF1448" s="48">
        <v>2.0838709677419356</v>
      </c>
    </row>
    <row r="1449" spans="19:32" x14ac:dyDescent="0.35">
      <c r="S1449" s="34">
        <v>1445</v>
      </c>
      <c r="T1449" s="34" t="s">
        <v>4284</v>
      </c>
      <c r="U1449" s="34" t="s">
        <v>4626</v>
      </c>
      <c r="V1449" s="35">
        <v>0.14155241935483873</v>
      </c>
      <c r="W1449" s="13"/>
      <c r="X1449" s="34">
        <v>1445</v>
      </c>
      <c r="Y1449" s="34" t="s">
        <v>2248</v>
      </c>
      <c r="Z1449" s="34" t="s">
        <v>3419</v>
      </c>
      <c r="AA1449" s="35">
        <v>2.6772000000000001E-2</v>
      </c>
      <c r="AB1449" s="13"/>
      <c r="AC1449" s="47">
        <v>1445</v>
      </c>
      <c r="AD1449" s="47" t="s">
        <v>4573</v>
      </c>
      <c r="AE1449" s="47" t="s">
        <v>3246</v>
      </c>
      <c r="AF1449" s="48">
        <v>0</v>
      </c>
    </row>
    <row r="1450" spans="19:32" x14ac:dyDescent="0.35">
      <c r="S1450" s="47">
        <v>1446</v>
      </c>
      <c r="T1450" s="47" t="s">
        <v>4284</v>
      </c>
      <c r="U1450" s="47" t="s">
        <v>3326</v>
      </c>
      <c r="V1450" s="48">
        <v>0</v>
      </c>
      <c r="W1450" s="13"/>
      <c r="X1450" s="34">
        <v>1446</v>
      </c>
      <c r="Y1450" s="34" t="s">
        <v>2248</v>
      </c>
      <c r="Z1450" s="34" t="s">
        <v>5385</v>
      </c>
      <c r="AA1450" s="35">
        <v>5.8608870967741937E-5</v>
      </c>
      <c r="AB1450" s="13"/>
      <c r="AC1450" s="47">
        <v>1446</v>
      </c>
      <c r="AD1450" s="47" t="s">
        <v>4573</v>
      </c>
      <c r="AE1450" s="47" t="s">
        <v>3244</v>
      </c>
      <c r="AF1450" s="48">
        <v>3.9758064516129036E-4</v>
      </c>
    </row>
    <row r="1451" spans="19:32" x14ac:dyDescent="0.35">
      <c r="S1451" s="47">
        <v>1447</v>
      </c>
      <c r="T1451" s="47" t="s">
        <v>4284</v>
      </c>
      <c r="U1451" s="47" t="s">
        <v>4625</v>
      </c>
      <c r="V1451" s="48">
        <v>3.9072580645161292E-4</v>
      </c>
      <c r="W1451" s="13"/>
      <c r="X1451" s="34">
        <v>1447</v>
      </c>
      <c r="Y1451" s="34" t="s">
        <v>2248</v>
      </c>
      <c r="Z1451" s="34" t="s">
        <v>3417</v>
      </c>
      <c r="AA1451" s="35">
        <v>1.6927999999999999</v>
      </c>
      <c r="AB1451" s="13"/>
      <c r="AC1451" s="47">
        <v>1447</v>
      </c>
      <c r="AD1451" s="47" t="s">
        <v>4573</v>
      </c>
      <c r="AE1451" s="47" t="s">
        <v>3244</v>
      </c>
      <c r="AF1451" s="48">
        <v>2.4748000000000001</v>
      </c>
    </row>
    <row r="1452" spans="19:32" x14ac:dyDescent="0.35">
      <c r="S1452" s="34">
        <v>1448</v>
      </c>
      <c r="T1452" s="34" t="s">
        <v>4284</v>
      </c>
      <c r="U1452" s="34" t="s">
        <v>4624</v>
      </c>
      <c r="V1452" s="35">
        <v>2.4951612903225807E-3</v>
      </c>
      <c r="W1452" s="13"/>
      <c r="X1452" s="34">
        <v>1448</v>
      </c>
      <c r="Y1452" s="34" t="s">
        <v>2248</v>
      </c>
      <c r="Z1452" s="34" t="s">
        <v>3417</v>
      </c>
      <c r="AA1452" s="35">
        <v>2.1147177419354843E-3</v>
      </c>
      <c r="AB1452" s="13"/>
      <c r="AC1452" s="47">
        <v>1448</v>
      </c>
      <c r="AD1452" s="47" t="s">
        <v>4573</v>
      </c>
      <c r="AE1452" s="47" t="s">
        <v>4525</v>
      </c>
      <c r="AF1452" s="48">
        <v>2.0084677419354841E-2</v>
      </c>
    </row>
    <row r="1453" spans="19:32" x14ac:dyDescent="0.35">
      <c r="S1453" s="47">
        <v>1449</v>
      </c>
      <c r="T1453" s="47" t="s">
        <v>4284</v>
      </c>
      <c r="U1453" s="47" t="s">
        <v>3325</v>
      </c>
      <c r="V1453" s="48">
        <v>0.12603999999999999</v>
      </c>
      <c r="W1453" s="13"/>
      <c r="X1453" s="34">
        <v>1449</v>
      </c>
      <c r="Y1453" s="34" t="s">
        <v>2248</v>
      </c>
      <c r="Z1453" s="34" t="s">
        <v>4839</v>
      </c>
      <c r="AA1453" s="35">
        <v>3.7358870967741939E-3</v>
      </c>
      <c r="AB1453" s="13"/>
      <c r="AC1453" s="47">
        <v>1449</v>
      </c>
      <c r="AD1453" s="47" t="s">
        <v>4573</v>
      </c>
      <c r="AE1453" s="47" t="s">
        <v>3243</v>
      </c>
      <c r="AF1453" s="48">
        <v>39.072580645161295</v>
      </c>
    </row>
    <row r="1454" spans="19:32" x14ac:dyDescent="0.35">
      <c r="S1454" s="47">
        <v>1450</v>
      </c>
      <c r="T1454" s="47" t="s">
        <v>4284</v>
      </c>
      <c r="U1454" s="47" t="s">
        <v>3324</v>
      </c>
      <c r="V1454" s="48">
        <v>67.712000000000003</v>
      </c>
      <c r="W1454" s="13"/>
      <c r="X1454" s="34">
        <v>1450</v>
      </c>
      <c r="Y1454" s="34" t="s">
        <v>2248</v>
      </c>
      <c r="Z1454" s="34" t="s">
        <v>5384</v>
      </c>
      <c r="AA1454" s="35">
        <v>2.220967741935484E-5</v>
      </c>
      <c r="AB1454" s="13"/>
      <c r="AC1454" s="47">
        <v>1450</v>
      </c>
      <c r="AD1454" s="47" t="s">
        <v>4573</v>
      </c>
      <c r="AE1454" s="47" t="s">
        <v>3243</v>
      </c>
      <c r="AF1454" s="48">
        <v>0.1012</v>
      </c>
    </row>
    <row r="1455" spans="19:32" x14ac:dyDescent="0.35">
      <c r="S1455" s="47">
        <v>1451</v>
      </c>
      <c r="T1455" s="47" t="s">
        <v>4284</v>
      </c>
      <c r="U1455" s="47" t="s">
        <v>3323</v>
      </c>
      <c r="V1455" s="48">
        <v>9.1999999999999998E-3</v>
      </c>
      <c r="W1455" s="13"/>
      <c r="X1455" s="34">
        <v>1451</v>
      </c>
      <c r="Y1455" s="34" t="s">
        <v>2248</v>
      </c>
      <c r="Z1455" s="34" t="s">
        <v>4837</v>
      </c>
      <c r="AA1455" s="35">
        <v>1.6588709677419357E-5</v>
      </c>
      <c r="AB1455" s="13"/>
      <c r="AC1455" s="34">
        <v>1451</v>
      </c>
      <c r="AD1455" s="34" t="s">
        <v>4573</v>
      </c>
      <c r="AE1455" s="34" t="s">
        <v>4524</v>
      </c>
      <c r="AF1455" s="35">
        <v>1.5149193548387099</v>
      </c>
    </row>
    <row r="1456" spans="19:32" x14ac:dyDescent="0.35">
      <c r="S1456" s="47">
        <v>1452</v>
      </c>
      <c r="T1456" s="47" t="s">
        <v>4284</v>
      </c>
      <c r="U1456" s="47" t="s">
        <v>3322</v>
      </c>
      <c r="V1456" s="48">
        <v>0.55292000000000008</v>
      </c>
      <c r="W1456" s="13"/>
      <c r="X1456" s="34">
        <v>1452</v>
      </c>
      <c r="Y1456" s="34" t="s">
        <v>2248</v>
      </c>
      <c r="Z1456" s="34" t="s">
        <v>3416</v>
      </c>
      <c r="AA1456" s="35">
        <v>2.1528000000000002E-2</v>
      </c>
      <c r="AB1456" s="13"/>
      <c r="AC1456" s="47">
        <v>1452</v>
      </c>
      <c r="AD1456" s="47" t="s">
        <v>4573</v>
      </c>
      <c r="AE1456" s="47" t="s">
        <v>3241</v>
      </c>
      <c r="AF1456" s="48">
        <v>0</v>
      </c>
    </row>
    <row r="1457" spans="19:32" x14ac:dyDescent="0.35">
      <c r="S1457" s="47">
        <v>1453</v>
      </c>
      <c r="T1457" s="47" t="s">
        <v>4284</v>
      </c>
      <c r="U1457" s="47" t="s">
        <v>3321</v>
      </c>
      <c r="V1457" s="48">
        <v>1.2441532258064517E-3</v>
      </c>
      <c r="W1457" s="13"/>
      <c r="X1457" s="34">
        <v>1453</v>
      </c>
      <c r="Y1457" s="34" t="s">
        <v>2248</v>
      </c>
      <c r="Z1457" s="34" t="s">
        <v>5383</v>
      </c>
      <c r="AA1457" s="35">
        <v>1.6280241935483871E-5</v>
      </c>
      <c r="AB1457" s="13"/>
      <c r="AC1457" s="47">
        <v>1453</v>
      </c>
      <c r="AD1457" s="47" t="s">
        <v>4573</v>
      </c>
      <c r="AE1457" s="47" t="s">
        <v>4523</v>
      </c>
      <c r="AF1457" s="48">
        <v>524.39516129032268</v>
      </c>
    </row>
    <row r="1458" spans="19:32" x14ac:dyDescent="0.35">
      <c r="S1458" s="47">
        <v>1454</v>
      </c>
      <c r="T1458" s="47" t="s">
        <v>4284</v>
      </c>
      <c r="U1458" s="47" t="s">
        <v>3321</v>
      </c>
      <c r="V1458" s="48">
        <v>0.41676000000000002</v>
      </c>
      <c r="W1458" s="13"/>
      <c r="X1458" s="34">
        <v>1454</v>
      </c>
      <c r="Y1458" s="34" t="s">
        <v>2248</v>
      </c>
      <c r="Z1458" s="34" t="s">
        <v>3416</v>
      </c>
      <c r="AA1458" s="35">
        <v>2.4745967741935483E-4</v>
      </c>
      <c r="AB1458" s="13"/>
      <c r="AC1458" s="34">
        <v>1454</v>
      </c>
      <c r="AD1458" s="34" t="s">
        <v>4573</v>
      </c>
      <c r="AE1458" s="34" t="s">
        <v>4522</v>
      </c>
      <c r="AF1458" s="35">
        <v>1.5868951612903226</v>
      </c>
    </row>
    <row r="1459" spans="19:32" x14ac:dyDescent="0.35">
      <c r="S1459" s="34">
        <v>1455</v>
      </c>
      <c r="T1459" s="34" t="s">
        <v>4284</v>
      </c>
      <c r="U1459" s="34" t="s">
        <v>4623</v>
      </c>
      <c r="V1459" s="35">
        <v>0.70947580645161301</v>
      </c>
      <c r="W1459" s="19"/>
      <c r="X1459" s="34">
        <v>1455</v>
      </c>
      <c r="Y1459" s="34" t="s">
        <v>2248</v>
      </c>
      <c r="Z1459" s="34" t="s">
        <v>3414</v>
      </c>
      <c r="AA1459" s="35">
        <v>0.21251999999999999</v>
      </c>
      <c r="AB1459" s="13"/>
      <c r="AC1459" s="47">
        <v>1455</v>
      </c>
      <c r="AD1459" s="47" t="s">
        <v>4573</v>
      </c>
      <c r="AE1459" s="47" t="s">
        <v>4521</v>
      </c>
      <c r="AF1459" s="48">
        <v>188.85080645161293</v>
      </c>
    </row>
    <row r="1460" spans="19:32" x14ac:dyDescent="0.35">
      <c r="S1460" s="47">
        <v>1456</v>
      </c>
      <c r="T1460" s="47" t="s">
        <v>4284</v>
      </c>
      <c r="U1460" s="47" t="s">
        <v>3320</v>
      </c>
      <c r="V1460" s="48">
        <v>0</v>
      </c>
      <c r="W1460" s="13"/>
      <c r="X1460" s="34">
        <v>1456</v>
      </c>
      <c r="Y1460" s="34" t="s">
        <v>2248</v>
      </c>
      <c r="Z1460" s="34" t="s">
        <v>5382</v>
      </c>
      <c r="AA1460" s="35">
        <v>6.4092741935483884E-5</v>
      </c>
      <c r="AB1460" s="13"/>
      <c r="AC1460" s="47">
        <v>1456</v>
      </c>
      <c r="AD1460" s="47" t="s">
        <v>4573</v>
      </c>
      <c r="AE1460" s="47" t="s">
        <v>3240</v>
      </c>
      <c r="AF1460" s="48">
        <v>0</v>
      </c>
    </row>
    <row r="1461" spans="19:32" x14ac:dyDescent="0.35">
      <c r="S1461" s="47">
        <v>1457</v>
      </c>
      <c r="T1461" s="47" t="s">
        <v>4284</v>
      </c>
      <c r="U1461" s="47" t="s">
        <v>4622</v>
      </c>
      <c r="V1461" s="48">
        <v>6.9233870967741942E-3</v>
      </c>
      <c r="W1461" s="13"/>
      <c r="X1461" s="34">
        <v>1457</v>
      </c>
      <c r="Y1461" s="34" t="s">
        <v>2248</v>
      </c>
      <c r="Z1461" s="34" t="s">
        <v>3413</v>
      </c>
      <c r="AA1461" s="35">
        <v>1.7112000000000001</v>
      </c>
      <c r="AB1461" s="13"/>
      <c r="AC1461" s="34">
        <v>1457</v>
      </c>
      <c r="AD1461" s="34" t="s">
        <v>4573</v>
      </c>
      <c r="AE1461" s="34" t="s">
        <v>3238</v>
      </c>
      <c r="AF1461" s="35">
        <v>0.18816532258064517</v>
      </c>
    </row>
    <row r="1462" spans="19:32" x14ac:dyDescent="0.35">
      <c r="S1462" s="47">
        <v>1458</v>
      </c>
      <c r="T1462" s="47" t="s">
        <v>4284</v>
      </c>
      <c r="U1462" s="47" t="s">
        <v>3319</v>
      </c>
      <c r="V1462" s="48">
        <v>3.8729838709677424</v>
      </c>
      <c r="W1462" s="13"/>
      <c r="X1462" s="34">
        <v>1458</v>
      </c>
      <c r="Y1462" s="34" t="s">
        <v>2248</v>
      </c>
      <c r="Z1462" s="34" t="s">
        <v>4832</v>
      </c>
      <c r="AA1462" s="35">
        <v>1.6485887096774196E-3</v>
      </c>
      <c r="AB1462" s="13"/>
      <c r="AC1462" s="47">
        <v>1458</v>
      </c>
      <c r="AD1462" s="47" t="s">
        <v>4573</v>
      </c>
      <c r="AE1462" s="47" t="s">
        <v>3238</v>
      </c>
      <c r="AF1462" s="48">
        <v>0</v>
      </c>
    </row>
    <row r="1463" spans="19:32" x14ac:dyDescent="0.35">
      <c r="S1463" s="47">
        <v>1459</v>
      </c>
      <c r="T1463" s="47" t="s">
        <v>4284</v>
      </c>
      <c r="U1463" s="47" t="s">
        <v>3319</v>
      </c>
      <c r="V1463" s="48">
        <v>4.4619999999999997</v>
      </c>
      <c r="W1463" s="13"/>
      <c r="X1463" s="34">
        <v>1459</v>
      </c>
      <c r="Y1463" s="34" t="s">
        <v>2248</v>
      </c>
      <c r="Z1463" s="34" t="s">
        <v>5381</v>
      </c>
      <c r="AA1463" s="35">
        <v>1.038508064516129E-2</v>
      </c>
      <c r="AB1463" s="13"/>
      <c r="AC1463" s="47">
        <v>1459</v>
      </c>
      <c r="AD1463" s="47" t="s">
        <v>4573</v>
      </c>
      <c r="AE1463" s="47" t="s">
        <v>3237</v>
      </c>
      <c r="AF1463" s="48">
        <v>213.52822580645162</v>
      </c>
    </row>
    <row r="1464" spans="19:32" x14ac:dyDescent="0.35">
      <c r="S1464" s="47">
        <v>1460</v>
      </c>
      <c r="T1464" s="47" t="s">
        <v>4284</v>
      </c>
      <c r="U1464" s="47" t="s">
        <v>4621</v>
      </c>
      <c r="V1464" s="48">
        <v>1.4155241935483871</v>
      </c>
      <c r="W1464" s="13"/>
      <c r="X1464" s="34">
        <v>1460</v>
      </c>
      <c r="Y1464" s="34" t="s">
        <v>2248</v>
      </c>
      <c r="Z1464" s="34" t="s">
        <v>4830</v>
      </c>
      <c r="AA1464" s="35">
        <v>4.3185483870967746E-4</v>
      </c>
      <c r="AB1464" s="13"/>
      <c r="AC1464" s="47">
        <v>1460</v>
      </c>
      <c r="AD1464" s="47" t="s">
        <v>4573</v>
      </c>
      <c r="AE1464" s="47" t="s">
        <v>3237</v>
      </c>
      <c r="AF1464" s="48">
        <v>0</v>
      </c>
    </row>
    <row r="1465" spans="19:32" x14ac:dyDescent="0.35">
      <c r="S1465" s="47">
        <v>1461</v>
      </c>
      <c r="T1465" s="47" t="s">
        <v>4284</v>
      </c>
      <c r="U1465" s="47" t="s">
        <v>3318</v>
      </c>
      <c r="V1465" s="48">
        <v>2.1524193548387097E-3</v>
      </c>
      <c r="W1465" s="13"/>
      <c r="X1465" s="34">
        <v>1461</v>
      </c>
      <c r="Y1465" s="34" t="s">
        <v>2248</v>
      </c>
      <c r="Z1465" s="34" t="s">
        <v>3411</v>
      </c>
      <c r="AA1465" s="35">
        <v>2.2264000000000003E-2</v>
      </c>
      <c r="AB1465" s="13"/>
      <c r="AC1465" s="47">
        <v>1461</v>
      </c>
      <c r="AD1465" s="47" t="s">
        <v>4573</v>
      </c>
      <c r="AE1465" s="47" t="s">
        <v>4520</v>
      </c>
      <c r="AF1465" s="48">
        <v>24.985887096774196</v>
      </c>
    </row>
    <row r="1466" spans="19:32" x14ac:dyDescent="0.35">
      <c r="S1466" s="47">
        <v>1462</v>
      </c>
      <c r="T1466" s="47" t="s">
        <v>4284</v>
      </c>
      <c r="U1466" s="47" t="s">
        <v>3318</v>
      </c>
      <c r="V1466" s="48">
        <v>0</v>
      </c>
      <c r="W1466" s="13"/>
      <c r="X1466" s="34">
        <v>1462</v>
      </c>
      <c r="Y1466" s="34" t="s">
        <v>2248</v>
      </c>
      <c r="Z1466" s="34" t="s">
        <v>3411</v>
      </c>
      <c r="AA1466" s="35">
        <v>2.2175403225806452E-4</v>
      </c>
      <c r="AB1466" s="13"/>
      <c r="AC1466" s="47">
        <v>1462</v>
      </c>
      <c r="AD1466" s="47" t="s">
        <v>4573</v>
      </c>
      <c r="AE1466" s="47" t="s">
        <v>4519</v>
      </c>
      <c r="AF1466" s="48">
        <v>0.41814516129032259</v>
      </c>
    </row>
    <row r="1467" spans="19:32" x14ac:dyDescent="0.35">
      <c r="S1467" s="34">
        <v>1463</v>
      </c>
      <c r="T1467" s="34" t="s">
        <v>4284</v>
      </c>
      <c r="U1467" s="34" t="s">
        <v>4620</v>
      </c>
      <c r="V1467" s="35">
        <v>6.0665322580645163E-4</v>
      </c>
      <c r="W1467" s="13"/>
      <c r="X1467" s="34">
        <v>1463</v>
      </c>
      <c r="Y1467" s="34" t="s">
        <v>2248</v>
      </c>
      <c r="Z1467" s="34" t="s">
        <v>3677</v>
      </c>
      <c r="AA1467" s="35">
        <v>4.318548387096775E-3</v>
      </c>
      <c r="AB1467" s="13"/>
      <c r="AC1467" s="47">
        <v>1463</v>
      </c>
      <c r="AD1467" s="47" t="s">
        <v>4573</v>
      </c>
      <c r="AE1467" s="47" t="s">
        <v>4518</v>
      </c>
      <c r="AF1467" s="48">
        <v>3.4959677419354844E-2</v>
      </c>
    </row>
    <row r="1468" spans="19:32" x14ac:dyDescent="0.35">
      <c r="S1468" s="47">
        <v>1464</v>
      </c>
      <c r="T1468" s="47" t="s">
        <v>4284</v>
      </c>
      <c r="U1468" s="47" t="s">
        <v>3317</v>
      </c>
      <c r="V1468" s="48">
        <v>1435.2</v>
      </c>
      <c r="W1468" s="13"/>
      <c r="X1468" s="34">
        <v>1464</v>
      </c>
      <c r="Y1468" s="34" t="s">
        <v>2248</v>
      </c>
      <c r="Z1468" s="34" t="s">
        <v>4825</v>
      </c>
      <c r="AA1468" s="35">
        <v>3.6330645161290325E-4</v>
      </c>
      <c r="AB1468" s="13"/>
      <c r="AC1468" s="34">
        <v>1464</v>
      </c>
      <c r="AD1468" s="34" t="s">
        <v>4573</v>
      </c>
      <c r="AE1468" s="34" t="s">
        <v>4517</v>
      </c>
      <c r="AF1468" s="35">
        <v>61.693548387096776</v>
      </c>
    </row>
    <row r="1469" spans="19:32" x14ac:dyDescent="0.35">
      <c r="S1469" s="47">
        <v>1465</v>
      </c>
      <c r="T1469" s="47" t="s">
        <v>4284</v>
      </c>
      <c r="U1469" s="47" t="s">
        <v>3316</v>
      </c>
      <c r="V1469" s="48">
        <v>8.2984000000000009</v>
      </c>
      <c r="W1469" s="13"/>
      <c r="X1469" s="34">
        <v>1465</v>
      </c>
      <c r="Y1469" s="34" t="s">
        <v>2248</v>
      </c>
      <c r="Z1469" s="34" t="s">
        <v>3409</v>
      </c>
      <c r="AA1469" s="35">
        <v>0</v>
      </c>
      <c r="AB1469" s="13"/>
      <c r="AC1469" s="47">
        <v>1465</v>
      </c>
      <c r="AD1469" s="47" t="s">
        <v>4573</v>
      </c>
      <c r="AE1469" s="47" t="s">
        <v>4516</v>
      </c>
      <c r="AF1469" s="48">
        <v>9.1854838709677422E-2</v>
      </c>
    </row>
    <row r="1470" spans="19:32" x14ac:dyDescent="0.35">
      <c r="S1470" s="47">
        <v>1466</v>
      </c>
      <c r="T1470" s="47" t="s">
        <v>4284</v>
      </c>
      <c r="U1470" s="47" t="s">
        <v>3315</v>
      </c>
      <c r="V1470" s="48">
        <v>127.88</v>
      </c>
      <c r="W1470" s="13"/>
      <c r="X1470" s="34">
        <v>1466</v>
      </c>
      <c r="Y1470" s="34" t="s">
        <v>2248</v>
      </c>
      <c r="Z1470" s="34" t="s">
        <v>5380</v>
      </c>
      <c r="AA1470" s="35">
        <v>7.2661290322580661E-5</v>
      </c>
      <c r="AB1470" s="13"/>
      <c r="AC1470" s="34">
        <v>1466</v>
      </c>
      <c r="AD1470" s="34" t="s">
        <v>4573</v>
      </c>
      <c r="AE1470" s="34" t="s">
        <v>3235</v>
      </c>
      <c r="AF1470" s="35">
        <v>5.0725806451612911E-4</v>
      </c>
    </row>
    <row r="1471" spans="19:32" x14ac:dyDescent="0.35">
      <c r="S1471" s="47">
        <v>1467</v>
      </c>
      <c r="T1471" s="47" t="s">
        <v>4284</v>
      </c>
      <c r="U1471" s="47" t="s">
        <v>3313</v>
      </c>
      <c r="V1471" s="48">
        <v>97.52</v>
      </c>
      <c r="W1471" s="13"/>
      <c r="X1471" s="34">
        <v>1467</v>
      </c>
      <c r="Y1471" s="34" t="s">
        <v>2248</v>
      </c>
      <c r="Z1471" s="34" t="s">
        <v>3408</v>
      </c>
      <c r="AA1471" s="35">
        <v>3.3119999999999997E-2</v>
      </c>
      <c r="AB1471" s="13"/>
      <c r="AC1471" s="47">
        <v>1467</v>
      </c>
      <c r="AD1471" s="47" t="s">
        <v>4573</v>
      </c>
      <c r="AE1471" s="47" t="s">
        <v>3235</v>
      </c>
      <c r="AF1471" s="48">
        <v>0</v>
      </c>
    </row>
    <row r="1472" spans="19:32" x14ac:dyDescent="0.35">
      <c r="S1472" s="47">
        <v>1468</v>
      </c>
      <c r="T1472" s="47" t="s">
        <v>4284</v>
      </c>
      <c r="U1472" s="47" t="s">
        <v>3312</v>
      </c>
      <c r="V1472" s="48">
        <v>0.12328000000000001</v>
      </c>
      <c r="W1472" s="13"/>
      <c r="X1472" s="34">
        <v>1468</v>
      </c>
      <c r="Y1472" s="34" t="s">
        <v>2248</v>
      </c>
      <c r="Z1472" s="34" t="s">
        <v>3408</v>
      </c>
      <c r="AA1472" s="35">
        <v>5.895161290322581E-5</v>
      </c>
      <c r="AB1472" s="13"/>
      <c r="AC1472" s="47">
        <v>1468</v>
      </c>
      <c r="AD1472" s="47" t="s">
        <v>4573</v>
      </c>
      <c r="AE1472" s="47" t="s">
        <v>3233</v>
      </c>
      <c r="AF1472" s="48">
        <v>0.27727822580645162</v>
      </c>
    </row>
    <row r="1473" spans="19:32" x14ac:dyDescent="0.35">
      <c r="S1473" s="47">
        <v>1469</v>
      </c>
      <c r="T1473" s="47" t="s">
        <v>4284</v>
      </c>
      <c r="U1473" s="47" t="s">
        <v>4619</v>
      </c>
      <c r="V1473" s="48">
        <v>2.2518145161290325E-2</v>
      </c>
      <c r="W1473" s="13"/>
      <c r="X1473" s="34">
        <v>1469</v>
      </c>
      <c r="Y1473" s="34" t="s">
        <v>2248</v>
      </c>
      <c r="Z1473" s="34" t="s">
        <v>5379</v>
      </c>
      <c r="AA1473" s="35">
        <v>5.0383064516129035E-3</v>
      </c>
      <c r="AB1473" s="13"/>
      <c r="AC1473" s="47">
        <v>1469</v>
      </c>
      <c r="AD1473" s="47" t="s">
        <v>4573</v>
      </c>
      <c r="AE1473" s="47" t="s">
        <v>3233</v>
      </c>
      <c r="AF1473" s="48">
        <v>0</v>
      </c>
    </row>
    <row r="1474" spans="19:32" x14ac:dyDescent="0.35">
      <c r="S1474" s="34">
        <v>1470</v>
      </c>
      <c r="T1474" s="34" t="s">
        <v>4284</v>
      </c>
      <c r="U1474" s="34" t="s">
        <v>4618</v>
      </c>
      <c r="V1474" s="35">
        <v>1.7308467741935486E-5</v>
      </c>
      <c r="W1474" s="13"/>
      <c r="X1474" s="34">
        <v>1470</v>
      </c>
      <c r="Y1474" s="34" t="s">
        <v>2248</v>
      </c>
      <c r="Z1474" s="34" t="s">
        <v>4822</v>
      </c>
      <c r="AA1474" s="35">
        <v>5.4495967741935489E-5</v>
      </c>
      <c r="AB1474" s="13"/>
      <c r="AC1474" s="34">
        <v>1470</v>
      </c>
      <c r="AD1474" s="34" t="s">
        <v>4573</v>
      </c>
      <c r="AE1474" s="34" t="s">
        <v>3232</v>
      </c>
      <c r="AF1474" s="35">
        <v>0.27727822580645162</v>
      </c>
    </row>
    <row r="1475" spans="19:32" x14ac:dyDescent="0.35">
      <c r="S1475" s="47">
        <v>1471</v>
      </c>
      <c r="T1475" s="47" t="s">
        <v>4284</v>
      </c>
      <c r="U1475" s="47" t="s">
        <v>3310</v>
      </c>
      <c r="V1475" s="48">
        <v>0.42136000000000001</v>
      </c>
      <c r="W1475" s="13"/>
      <c r="X1475" s="34">
        <v>1471</v>
      </c>
      <c r="Y1475" s="34" t="s">
        <v>2248</v>
      </c>
      <c r="Z1475" s="34" t="s">
        <v>3406</v>
      </c>
      <c r="AA1475" s="35">
        <v>60.260000000000005</v>
      </c>
      <c r="AB1475" s="13"/>
      <c r="AC1475" s="47">
        <v>1471</v>
      </c>
      <c r="AD1475" s="47" t="s">
        <v>4573</v>
      </c>
      <c r="AE1475" s="47" t="s">
        <v>3232</v>
      </c>
      <c r="AF1475" s="48">
        <v>0</v>
      </c>
    </row>
    <row r="1476" spans="19:32" x14ac:dyDescent="0.35">
      <c r="S1476" s="47">
        <v>1472</v>
      </c>
      <c r="T1476" s="47" t="s">
        <v>4284</v>
      </c>
      <c r="U1476" s="47" t="s">
        <v>4617</v>
      </c>
      <c r="V1476" s="48">
        <v>7.9173387096774198E-2</v>
      </c>
      <c r="W1476" s="13"/>
      <c r="X1476" s="34">
        <v>1472</v>
      </c>
      <c r="Y1476" s="34" t="s">
        <v>2248</v>
      </c>
      <c r="Z1476" s="34" t="s">
        <v>3406</v>
      </c>
      <c r="AA1476" s="35">
        <v>0.12030241935483872</v>
      </c>
      <c r="AB1476" s="13"/>
      <c r="AC1476" s="47">
        <v>1472</v>
      </c>
      <c r="AD1476" s="47" t="s">
        <v>4573</v>
      </c>
      <c r="AE1476" s="47" t="s">
        <v>3231</v>
      </c>
      <c r="AF1476" s="48">
        <v>3.5645161290322585</v>
      </c>
    </row>
    <row r="1477" spans="19:32" x14ac:dyDescent="0.35">
      <c r="S1477" s="34">
        <v>1473</v>
      </c>
      <c r="T1477" s="34" t="s">
        <v>4284</v>
      </c>
      <c r="U1477" s="34" t="s">
        <v>4616</v>
      </c>
      <c r="V1477" s="35">
        <v>1.0419354838709678E-4</v>
      </c>
      <c r="W1477" s="13"/>
      <c r="X1477" s="34">
        <v>1473</v>
      </c>
      <c r="Y1477" s="34" t="s">
        <v>2248</v>
      </c>
      <c r="Z1477" s="34" t="s">
        <v>5378</v>
      </c>
      <c r="AA1477" s="35">
        <v>2.4711693548387097E-3</v>
      </c>
      <c r="AB1477" s="13"/>
      <c r="AC1477" s="47">
        <v>1473</v>
      </c>
      <c r="AD1477" s="47" t="s">
        <v>4573</v>
      </c>
      <c r="AE1477" s="47" t="s">
        <v>3231</v>
      </c>
      <c r="AF1477" s="48">
        <v>9108</v>
      </c>
    </row>
    <row r="1478" spans="19:32" x14ac:dyDescent="0.35">
      <c r="S1478" s="47">
        <v>1474</v>
      </c>
      <c r="T1478" s="47" t="s">
        <v>4284</v>
      </c>
      <c r="U1478" s="47" t="s">
        <v>3309</v>
      </c>
      <c r="V1478" s="48">
        <v>0</v>
      </c>
      <c r="W1478" s="13"/>
      <c r="X1478" s="34">
        <v>1474</v>
      </c>
      <c r="Y1478" s="34" t="s">
        <v>2248</v>
      </c>
      <c r="Z1478" s="34" t="s">
        <v>4817</v>
      </c>
      <c r="AA1478" s="35">
        <v>1.1516129032258066E-2</v>
      </c>
      <c r="AB1478" s="13"/>
      <c r="AC1478" s="47">
        <v>1474</v>
      </c>
      <c r="AD1478" s="47" t="s">
        <v>4573</v>
      </c>
      <c r="AE1478" s="47" t="s">
        <v>3230</v>
      </c>
      <c r="AF1478" s="48">
        <v>0.83286290322580647</v>
      </c>
    </row>
    <row r="1479" spans="19:32" x14ac:dyDescent="0.35">
      <c r="S1479" s="47">
        <v>1475</v>
      </c>
      <c r="T1479" s="47" t="s">
        <v>4284</v>
      </c>
      <c r="U1479" s="47" t="s">
        <v>4615</v>
      </c>
      <c r="V1479" s="48">
        <v>1.6006048387096777E-2</v>
      </c>
      <c r="W1479" s="13"/>
      <c r="X1479" s="34">
        <v>1475</v>
      </c>
      <c r="Y1479" s="34" t="s">
        <v>2248</v>
      </c>
      <c r="Z1479" s="34" t="s">
        <v>3405</v>
      </c>
      <c r="AA1479" s="35">
        <v>0.79672000000000009</v>
      </c>
      <c r="AB1479" s="13"/>
      <c r="AC1479" s="47">
        <v>1475</v>
      </c>
      <c r="AD1479" s="47" t="s">
        <v>4573</v>
      </c>
      <c r="AE1479" s="47" t="s">
        <v>3230</v>
      </c>
      <c r="AF1479" s="48">
        <v>0.77464</v>
      </c>
    </row>
    <row r="1480" spans="19:32" x14ac:dyDescent="0.35">
      <c r="S1480" s="47">
        <v>1476</v>
      </c>
      <c r="T1480" s="47" t="s">
        <v>4284</v>
      </c>
      <c r="U1480" s="47" t="s">
        <v>4614</v>
      </c>
      <c r="V1480" s="48">
        <v>1.3538306451612904E-3</v>
      </c>
      <c r="W1480" s="13"/>
      <c r="X1480" s="34">
        <v>1476</v>
      </c>
      <c r="Y1480" s="34" t="s">
        <v>2248</v>
      </c>
      <c r="Z1480" s="34" t="s">
        <v>5377</v>
      </c>
      <c r="AA1480" s="35">
        <v>2.2175403225806454E-3</v>
      </c>
      <c r="AB1480" s="13"/>
      <c r="AC1480" s="47">
        <v>1476</v>
      </c>
      <c r="AD1480" s="47" t="s">
        <v>4573</v>
      </c>
      <c r="AE1480" s="47" t="s">
        <v>3228</v>
      </c>
      <c r="AF1480" s="48">
        <v>1012.0000000000001</v>
      </c>
    </row>
    <row r="1481" spans="19:32" x14ac:dyDescent="0.35">
      <c r="S1481" s="47">
        <v>1477</v>
      </c>
      <c r="T1481" s="47" t="s">
        <v>4284</v>
      </c>
      <c r="U1481" s="47" t="s">
        <v>4613</v>
      </c>
      <c r="V1481" s="48">
        <v>6.1008064516129043E-4</v>
      </c>
      <c r="W1481" s="13"/>
      <c r="X1481" s="34">
        <v>1477</v>
      </c>
      <c r="Y1481" s="34" t="s">
        <v>2248</v>
      </c>
      <c r="Z1481" s="34" t="s">
        <v>3405</v>
      </c>
      <c r="AA1481" s="35">
        <v>1.7754032258064517E-2</v>
      </c>
      <c r="AB1481" s="13"/>
      <c r="AC1481" s="47">
        <v>1477</v>
      </c>
      <c r="AD1481" s="47" t="s">
        <v>4573</v>
      </c>
      <c r="AE1481" s="47" t="s">
        <v>3227</v>
      </c>
      <c r="AF1481" s="48">
        <v>0</v>
      </c>
    </row>
    <row r="1482" spans="19:32" x14ac:dyDescent="0.35">
      <c r="S1482" s="47">
        <v>1478</v>
      </c>
      <c r="T1482" s="47" t="s">
        <v>4284</v>
      </c>
      <c r="U1482" s="47" t="s">
        <v>4612</v>
      </c>
      <c r="V1482" s="48">
        <v>4.0100806451612905E-4</v>
      </c>
      <c r="W1482" s="13"/>
      <c r="X1482" s="34">
        <v>1478</v>
      </c>
      <c r="Y1482" s="34" t="s">
        <v>2248</v>
      </c>
      <c r="Z1482" s="34" t="s">
        <v>3403</v>
      </c>
      <c r="AA1482" s="35">
        <v>0</v>
      </c>
      <c r="AB1482" s="13"/>
      <c r="AC1482" s="47">
        <v>1478</v>
      </c>
      <c r="AD1482" s="47" t="s">
        <v>4573</v>
      </c>
      <c r="AE1482" s="47" t="s">
        <v>3225</v>
      </c>
      <c r="AF1482" s="48">
        <v>9.1908000000000004E-2</v>
      </c>
    </row>
    <row r="1483" spans="19:32" x14ac:dyDescent="0.35">
      <c r="S1483" s="34">
        <v>1479</v>
      </c>
      <c r="T1483" s="34" t="s">
        <v>4284</v>
      </c>
      <c r="U1483" s="34" t="s">
        <v>4611</v>
      </c>
      <c r="V1483" s="35">
        <v>9.1854838709677427E-4</v>
      </c>
      <c r="W1483" s="13"/>
      <c r="X1483" s="34">
        <v>1479</v>
      </c>
      <c r="Y1483" s="34" t="s">
        <v>2248</v>
      </c>
      <c r="Z1483" s="34" t="s">
        <v>3403</v>
      </c>
      <c r="AA1483" s="35">
        <v>0.48326612903225813</v>
      </c>
      <c r="AB1483" s="13"/>
      <c r="AC1483" s="47">
        <v>1479</v>
      </c>
      <c r="AD1483" s="47" t="s">
        <v>4573</v>
      </c>
      <c r="AE1483" s="47" t="s">
        <v>3224</v>
      </c>
      <c r="AF1483" s="48">
        <v>275.08</v>
      </c>
    </row>
    <row r="1484" spans="19:32" x14ac:dyDescent="0.35">
      <c r="S1484" s="47">
        <v>1480</v>
      </c>
      <c r="T1484" s="47" t="s">
        <v>4284</v>
      </c>
      <c r="U1484" s="47" t="s">
        <v>3307</v>
      </c>
      <c r="V1484" s="48">
        <v>0</v>
      </c>
      <c r="W1484" s="13"/>
      <c r="X1484" s="34">
        <v>1480</v>
      </c>
      <c r="Y1484" s="34" t="s">
        <v>2248</v>
      </c>
      <c r="Z1484" s="34" t="s">
        <v>5376</v>
      </c>
      <c r="AA1484" s="35">
        <v>5.4838709677419362E-5</v>
      </c>
      <c r="AB1484" s="13"/>
      <c r="AC1484" s="47">
        <v>1480</v>
      </c>
      <c r="AD1484" s="47" t="s">
        <v>4573</v>
      </c>
      <c r="AE1484" s="47" t="s">
        <v>4514</v>
      </c>
      <c r="AF1484" s="48">
        <v>3.3588709677419355E-3</v>
      </c>
    </row>
    <row r="1485" spans="19:32" x14ac:dyDescent="0.35">
      <c r="S1485" s="47">
        <v>1481</v>
      </c>
      <c r="T1485" s="47" t="s">
        <v>4284</v>
      </c>
      <c r="U1485" s="47" t="s">
        <v>3306</v>
      </c>
      <c r="V1485" s="48">
        <v>0</v>
      </c>
      <c r="W1485" s="13"/>
      <c r="X1485" s="34">
        <v>1481</v>
      </c>
      <c r="Y1485" s="34" t="s">
        <v>2248</v>
      </c>
      <c r="Z1485" s="34" t="s">
        <v>4813</v>
      </c>
      <c r="AA1485" s="35">
        <v>6.3064516129032272E-5</v>
      </c>
      <c r="AB1485" s="13"/>
      <c r="AC1485" s="47">
        <v>1481</v>
      </c>
      <c r="AD1485" s="47" t="s">
        <v>4573</v>
      </c>
      <c r="AE1485" s="47" t="s">
        <v>4513</v>
      </c>
      <c r="AF1485" s="48">
        <v>0.40443548387096778</v>
      </c>
    </row>
    <row r="1486" spans="19:32" x14ac:dyDescent="0.35">
      <c r="S1486" s="47">
        <v>1482</v>
      </c>
      <c r="T1486" s="47" t="s">
        <v>4284</v>
      </c>
      <c r="U1486" s="47" t="s">
        <v>3305</v>
      </c>
      <c r="V1486" s="48">
        <v>0</v>
      </c>
      <c r="W1486" s="13"/>
      <c r="X1486" s="34">
        <v>1482</v>
      </c>
      <c r="Y1486" s="34" t="s">
        <v>2248</v>
      </c>
      <c r="Z1486" s="34" t="s">
        <v>3402</v>
      </c>
      <c r="AA1486" s="35">
        <v>4.6643999999999998E-2</v>
      </c>
      <c r="AB1486" s="13"/>
      <c r="AC1486" s="34">
        <v>1482</v>
      </c>
      <c r="AD1486" s="34" t="s">
        <v>4573</v>
      </c>
      <c r="AE1486" s="34" t="s">
        <v>4512</v>
      </c>
      <c r="AF1486" s="35">
        <v>69.233870967741936</v>
      </c>
    </row>
    <row r="1487" spans="19:32" x14ac:dyDescent="0.35">
      <c r="S1487" s="47">
        <v>1483</v>
      </c>
      <c r="T1487" s="47" t="s">
        <v>4284</v>
      </c>
      <c r="U1487" s="47" t="s">
        <v>3303</v>
      </c>
      <c r="V1487" s="48">
        <v>0</v>
      </c>
      <c r="W1487" s="13"/>
      <c r="X1487" s="34">
        <v>1483</v>
      </c>
      <c r="Y1487" s="34" t="s">
        <v>2248</v>
      </c>
      <c r="Z1487" s="34" t="s">
        <v>5375</v>
      </c>
      <c r="AA1487" s="35">
        <v>4.9697580645161291E-6</v>
      </c>
      <c r="AB1487" s="13"/>
      <c r="AC1487" s="47">
        <v>1483</v>
      </c>
      <c r="AD1487" s="47" t="s">
        <v>4573</v>
      </c>
      <c r="AE1487" s="47" t="s">
        <v>3222</v>
      </c>
      <c r="AF1487" s="48">
        <v>4.1471774193548389E-2</v>
      </c>
    </row>
    <row r="1488" spans="19:32" x14ac:dyDescent="0.35">
      <c r="S1488" s="47">
        <v>1484</v>
      </c>
      <c r="T1488" s="47" t="s">
        <v>4284</v>
      </c>
      <c r="U1488" s="47" t="s">
        <v>3302</v>
      </c>
      <c r="V1488" s="48">
        <v>0</v>
      </c>
      <c r="W1488" s="13"/>
      <c r="X1488" s="34">
        <v>1484</v>
      </c>
      <c r="Y1488" s="34" t="s">
        <v>2248</v>
      </c>
      <c r="Z1488" s="34" t="s">
        <v>3400</v>
      </c>
      <c r="AA1488" s="35">
        <v>3.9191999999999998E-2</v>
      </c>
      <c r="AB1488" s="13"/>
      <c r="AC1488" s="47">
        <v>1484</v>
      </c>
      <c r="AD1488" s="47" t="s">
        <v>4573</v>
      </c>
      <c r="AE1488" s="47" t="s">
        <v>3222</v>
      </c>
      <c r="AF1488" s="48">
        <v>0</v>
      </c>
    </row>
    <row r="1489" spans="19:32" x14ac:dyDescent="0.35">
      <c r="S1489" s="47">
        <v>1485</v>
      </c>
      <c r="T1489" s="47" t="s">
        <v>4284</v>
      </c>
      <c r="U1489" s="47" t="s">
        <v>3300</v>
      </c>
      <c r="V1489" s="48">
        <v>1.6280241935483872E-3</v>
      </c>
      <c r="W1489" s="13"/>
      <c r="X1489" s="34">
        <v>1485</v>
      </c>
      <c r="Y1489" s="34" t="s">
        <v>2248</v>
      </c>
      <c r="Z1489" s="34" t="s">
        <v>3398</v>
      </c>
      <c r="AA1489" s="35">
        <v>3.2752000000000003E-2</v>
      </c>
      <c r="AB1489" s="13"/>
      <c r="AC1489" s="34">
        <v>1485</v>
      </c>
      <c r="AD1489" s="34" t="s">
        <v>4573</v>
      </c>
      <c r="AE1489" s="34" t="s">
        <v>3221</v>
      </c>
      <c r="AF1489" s="35">
        <v>7.5403225806451623E-4</v>
      </c>
    </row>
    <row r="1490" spans="19:32" x14ac:dyDescent="0.35">
      <c r="S1490" s="47">
        <v>1486</v>
      </c>
      <c r="T1490" s="47" t="s">
        <v>4284</v>
      </c>
      <c r="U1490" s="47" t="s">
        <v>3300</v>
      </c>
      <c r="V1490" s="48">
        <v>0</v>
      </c>
      <c r="W1490" s="13"/>
      <c r="X1490" s="34">
        <v>1486</v>
      </c>
      <c r="Y1490" s="34" t="s">
        <v>2248</v>
      </c>
      <c r="Z1490" s="34" t="s">
        <v>5374</v>
      </c>
      <c r="AA1490" s="35">
        <v>0.78830645161290325</v>
      </c>
      <c r="AB1490" s="13"/>
      <c r="AC1490" s="47">
        <v>1486</v>
      </c>
      <c r="AD1490" s="47" t="s">
        <v>4573</v>
      </c>
      <c r="AE1490" s="47" t="s">
        <v>3221</v>
      </c>
      <c r="AF1490" s="48">
        <v>0</v>
      </c>
    </row>
    <row r="1491" spans="19:32" x14ac:dyDescent="0.35">
      <c r="S1491" s="34">
        <v>1487</v>
      </c>
      <c r="T1491" s="34" t="s">
        <v>4284</v>
      </c>
      <c r="U1491" s="34" t="s">
        <v>4609</v>
      </c>
      <c r="V1491" s="35">
        <v>2.385483870967742E-4</v>
      </c>
      <c r="W1491" s="13"/>
      <c r="X1491" s="34">
        <v>1487</v>
      </c>
      <c r="Y1491" s="34" t="s">
        <v>2248</v>
      </c>
      <c r="Z1491" s="34" t="s">
        <v>4810</v>
      </c>
      <c r="AA1491" s="35">
        <v>4.7641129032258069E-6</v>
      </c>
      <c r="AB1491" s="13"/>
      <c r="AC1491" s="47">
        <v>1487</v>
      </c>
      <c r="AD1491" s="47" t="s">
        <v>4573</v>
      </c>
      <c r="AE1491" s="47" t="s">
        <v>3220</v>
      </c>
      <c r="AF1491" s="48">
        <v>61.350806451612911</v>
      </c>
    </row>
    <row r="1492" spans="19:32" x14ac:dyDescent="0.35">
      <c r="S1492" s="47">
        <v>1488</v>
      </c>
      <c r="T1492" s="47" t="s">
        <v>4284</v>
      </c>
      <c r="U1492" s="47" t="s">
        <v>4606</v>
      </c>
      <c r="V1492" s="48">
        <v>7.8487903225806458E-3</v>
      </c>
      <c r="W1492" s="13"/>
      <c r="X1492" s="34">
        <v>1488</v>
      </c>
      <c r="Y1492" s="34" t="s">
        <v>2248</v>
      </c>
      <c r="Z1492" s="34" t="s">
        <v>4808</v>
      </c>
      <c r="AA1492" s="35">
        <v>2.9510080645161292E-6</v>
      </c>
      <c r="AB1492" s="13"/>
      <c r="AC1492" s="47">
        <v>1488</v>
      </c>
      <c r="AD1492" s="47" t="s">
        <v>4573</v>
      </c>
      <c r="AE1492" s="47" t="s">
        <v>3220</v>
      </c>
      <c r="AF1492" s="48">
        <v>5.5200000000000005</v>
      </c>
    </row>
    <row r="1493" spans="19:32" x14ac:dyDescent="0.35">
      <c r="S1493" s="47">
        <v>1489</v>
      </c>
      <c r="T1493" s="47" t="s">
        <v>4284</v>
      </c>
      <c r="U1493" s="47" t="s">
        <v>3299</v>
      </c>
      <c r="V1493" s="48">
        <v>3.8271999999999999</v>
      </c>
      <c r="W1493" s="13"/>
      <c r="X1493" s="34">
        <v>1489</v>
      </c>
      <c r="Y1493" s="34" t="s">
        <v>2248</v>
      </c>
      <c r="Z1493" s="34" t="s">
        <v>5373</v>
      </c>
      <c r="AA1493" s="35">
        <v>4.4899193548387102E-4</v>
      </c>
      <c r="AB1493" s="13"/>
      <c r="AC1493" s="34">
        <v>1489</v>
      </c>
      <c r="AD1493" s="34" t="s">
        <v>4573</v>
      </c>
      <c r="AE1493" s="34" t="s">
        <v>4511</v>
      </c>
      <c r="AF1493" s="35">
        <v>0.12544354838709679</v>
      </c>
    </row>
    <row r="1494" spans="19:32" x14ac:dyDescent="0.35">
      <c r="S1494" s="47">
        <v>1490</v>
      </c>
      <c r="T1494" s="47" t="s">
        <v>4284</v>
      </c>
      <c r="U1494" s="47" t="s">
        <v>3297</v>
      </c>
      <c r="V1494" s="48">
        <v>14.168000000000001</v>
      </c>
      <c r="W1494" s="13"/>
      <c r="X1494" s="34">
        <v>1490</v>
      </c>
      <c r="Y1494" s="34" t="s">
        <v>2248</v>
      </c>
      <c r="Z1494" s="34" t="s">
        <v>4805</v>
      </c>
      <c r="AA1494" s="35">
        <v>2.7385080645161296E-3</v>
      </c>
      <c r="AB1494" s="13"/>
      <c r="AC1494" s="47">
        <v>1490</v>
      </c>
      <c r="AD1494" s="47" t="s">
        <v>4573</v>
      </c>
      <c r="AE1494" s="47" t="s">
        <v>3218</v>
      </c>
      <c r="AF1494" s="48">
        <v>15.363999999999999</v>
      </c>
    </row>
    <row r="1495" spans="19:32" x14ac:dyDescent="0.35">
      <c r="S1495" s="34">
        <v>1491</v>
      </c>
      <c r="T1495" s="34" t="s">
        <v>4284</v>
      </c>
      <c r="U1495" s="34" t="s">
        <v>4603</v>
      </c>
      <c r="V1495" s="35">
        <v>1.4155241935483872E-5</v>
      </c>
      <c r="W1495" s="13"/>
      <c r="X1495" s="34">
        <v>1491</v>
      </c>
      <c r="Y1495" s="34" t="s">
        <v>2248</v>
      </c>
      <c r="Z1495" s="34" t="s">
        <v>4802</v>
      </c>
      <c r="AA1495" s="35">
        <v>2.553427419354839E-4</v>
      </c>
      <c r="AB1495" s="13"/>
      <c r="AC1495" s="47">
        <v>1491</v>
      </c>
      <c r="AD1495" s="47" t="s">
        <v>4573</v>
      </c>
      <c r="AE1495" s="47" t="s">
        <v>4510</v>
      </c>
      <c r="AF1495" s="48">
        <v>0.95625000000000004</v>
      </c>
    </row>
    <row r="1496" spans="19:32" x14ac:dyDescent="0.35">
      <c r="S1496" s="47">
        <v>1492</v>
      </c>
      <c r="T1496" s="47" t="s">
        <v>4284</v>
      </c>
      <c r="U1496" s="47" t="s">
        <v>3296</v>
      </c>
      <c r="V1496" s="48">
        <v>0</v>
      </c>
      <c r="W1496" s="13"/>
      <c r="X1496" s="34">
        <v>1492</v>
      </c>
      <c r="Y1496" s="34" t="s">
        <v>2248</v>
      </c>
      <c r="Z1496" s="34" t="s">
        <v>4800</v>
      </c>
      <c r="AA1496" s="35">
        <v>1.0110887096774195E-3</v>
      </c>
      <c r="AB1496" s="13"/>
      <c r="AC1496" s="47">
        <v>1492</v>
      </c>
      <c r="AD1496" s="47" t="s">
        <v>4573</v>
      </c>
      <c r="AE1496" s="47" t="s">
        <v>3217</v>
      </c>
      <c r="AF1496" s="48">
        <v>0.33487999999999996</v>
      </c>
    </row>
    <row r="1497" spans="19:32" x14ac:dyDescent="0.35">
      <c r="S1497" s="47">
        <v>1493</v>
      </c>
      <c r="T1497" s="47" t="s">
        <v>4284</v>
      </c>
      <c r="U1497" s="47" t="s">
        <v>4599</v>
      </c>
      <c r="V1497" s="48">
        <v>2.9235887096774195E-2</v>
      </c>
      <c r="W1497" s="13"/>
      <c r="X1497" s="34">
        <v>1493</v>
      </c>
      <c r="Y1497" s="34" t="s">
        <v>2248</v>
      </c>
      <c r="Z1497" s="34" t="s">
        <v>5372</v>
      </c>
      <c r="AA1497" s="35">
        <v>4.9354838709677424E-4</v>
      </c>
      <c r="AB1497" s="13"/>
      <c r="AC1497" s="47">
        <v>1493</v>
      </c>
      <c r="AD1497" s="47" t="s">
        <v>4573</v>
      </c>
      <c r="AE1497" s="47" t="s">
        <v>4509</v>
      </c>
      <c r="AF1497" s="48">
        <v>0.26665322580645162</v>
      </c>
    </row>
    <row r="1498" spans="19:32" x14ac:dyDescent="0.35">
      <c r="S1498" s="47">
        <v>1494</v>
      </c>
      <c r="T1498" s="47" t="s">
        <v>4284</v>
      </c>
      <c r="U1498" s="47" t="s">
        <v>3294</v>
      </c>
      <c r="V1498" s="48">
        <v>1.4429435483870969E-3</v>
      </c>
      <c r="W1498" s="13"/>
      <c r="X1498" s="34">
        <v>1494</v>
      </c>
      <c r="Y1498" s="34" t="s">
        <v>2248</v>
      </c>
      <c r="Z1498" s="34" t="s">
        <v>4797</v>
      </c>
      <c r="AA1498" s="35">
        <v>2.9338709677419357E-4</v>
      </c>
      <c r="AB1498" s="13"/>
      <c r="AC1498" s="47">
        <v>1494</v>
      </c>
      <c r="AD1498" s="47" t="s">
        <v>4573</v>
      </c>
      <c r="AE1498" s="47" t="s">
        <v>4508</v>
      </c>
      <c r="AF1498" s="48">
        <v>3.1155241935483875E-2</v>
      </c>
    </row>
    <row r="1499" spans="19:32" x14ac:dyDescent="0.35">
      <c r="S1499" s="47">
        <v>1495</v>
      </c>
      <c r="T1499" s="47" t="s">
        <v>4284</v>
      </c>
      <c r="U1499" s="47" t="s">
        <v>3294</v>
      </c>
      <c r="V1499" s="48">
        <v>14.628</v>
      </c>
      <c r="W1499" s="13"/>
      <c r="X1499" s="34">
        <v>1495</v>
      </c>
      <c r="Y1499" s="34" t="s">
        <v>2248</v>
      </c>
      <c r="Z1499" s="34" t="s">
        <v>4795</v>
      </c>
      <c r="AA1499" s="35">
        <v>1.2133064516129033E-3</v>
      </c>
      <c r="AB1499" s="13"/>
      <c r="AC1499" s="47">
        <v>1495</v>
      </c>
      <c r="AD1499" s="47" t="s">
        <v>4573</v>
      </c>
      <c r="AE1499" s="47" t="s">
        <v>4504</v>
      </c>
      <c r="AF1499" s="48">
        <v>0.47983870967741937</v>
      </c>
    </row>
    <row r="1500" spans="19:32" x14ac:dyDescent="0.35">
      <c r="S1500" s="47">
        <v>1496</v>
      </c>
      <c r="T1500" s="47" t="s">
        <v>4284</v>
      </c>
      <c r="U1500" s="47" t="s">
        <v>3293</v>
      </c>
      <c r="V1500" s="48">
        <v>27.693548387096776</v>
      </c>
      <c r="W1500" s="13"/>
      <c r="X1500" s="34">
        <v>1496</v>
      </c>
      <c r="Y1500" s="34" t="s">
        <v>2248</v>
      </c>
      <c r="Z1500" s="34" t="s">
        <v>5371</v>
      </c>
      <c r="AA1500" s="35">
        <v>2.4711693548387099E-2</v>
      </c>
      <c r="AB1500" s="13"/>
      <c r="AC1500" s="34">
        <v>1496</v>
      </c>
      <c r="AD1500" s="34" t="s">
        <v>4573</v>
      </c>
      <c r="AE1500" s="34" t="s">
        <v>4499</v>
      </c>
      <c r="AF1500" s="35">
        <v>6.2036290322580651E-2</v>
      </c>
    </row>
    <row r="1501" spans="19:32" x14ac:dyDescent="0.35">
      <c r="S1501" s="47">
        <v>1497</v>
      </c>
      <c r="T1501" s="47" t="s">
        <v>4284</v>
      </c>
      <c r="U1501" s="47" t="s">
        <v>3293</v>
      </c>
      <c r="V1501" s="48">
        <v>287.96000000000004</v>
      </c>
      <c r="W1501" s="13"/>
      <c r="X1501" s="34">
        <v>1497</v>
      </c>
      <c r="Y1501" s="34" t="s">
        <v>2248</v>
      </c>
      <c r="Z1501" s="34" t="s">
        <v>4792</v>
      </c>
      <c r="AA1501" s="35">
        <v>8.0201612903225809E-4</v>
      </c>
      <c r="AB1501" s="13"/>
      <c r="AC1501" s="47">
        <v>1497</v>
      </c>
      <c r="AD1501" s="47" t="s">
        <v>4573</v>
      </c>
      <c r="AE1501" s="47" t="s">
        <v>4495</v>
      </c>
      <c r="AF1501" s="48">
        <v>6.0322580645161298E-3</v>
      </c>
    </row>
    <row r="1502" spans="19:32" x14ac:dyDescent="0.35">
      <c r="S1502" s="47">
        <v>1498</v>
      </c>
      <c r="T1502" s="47" t="s">
        <v>4284</v>
      </c>
      <c r="U1502" s="47" t="s">
        <v>4587</v>
      </c>
      <c r="V1502" s="48">
        <v>1.477217741935484E-2</v>
      </c>
      <c r="W1502" s="13"/>
      <c r="X1502" s="34">
        <v>1498</v>
      </c>
      <c r="Y1502" s="34" t="s">
        <v>2248</v>
      </c>
      <c r="Z1502" s="34" t="s">
        <v>4789</v>
      </c>
      <c r="AA1502" s="35">
        <v>9.425403225806452E-4</v>
      </c>
      <c r="AB1502" s="13"/>
      <c r="AC1502" s="34">
        <v>1498</v>
      </c>
      <c r="AD1502" s="34" t="s">
        <v>4573</v>
      </c>
      <c r="AE1502" s="34" t="s">
        <v>4491</v>
      </c>
      <c r="AF1502" s="35">
        <v>4.215725806451613</v>
      </c>
    </row>
    <row r="1503" spans="19:32" x14ac:dyDescent="0.35">
      <c r="S1503" s="47">
        <v>1499</v>
      </c>
      <c r="T1503" s="47" t="s">
        <v>4284</v>
      </c>
      <c r="U1503" s="47" t="s">
        <v>3291</v>
      </c>
      <c r="V1503" s="48">
        <v>0.18215999999999999</v>
      </c>
      <c r="W1503" s="13"/>
      <c r="X1503" s="34">
        <v>1499</v>
      </c>
      <c r="Y1503" s="34" t="s">
        <v>2248</v>
      </c>
      <c r="Z1503" s="34" t="s">
        <v>4786</v>
      </c>
      <c r="AA1503" s="35">
        <v>6.7520161290322587E-6</v>
      </c>
      <c r="AB1503" s="13"/>
      <c r="AC1503" s="47">
        <v>1499</v>
      </c>
      <c r="AD1503" s="47" t="s">
        <v>4573</v>
      </c>
      <c r="AE1503" s="47" t="s">
        <v>3215</v>
      </c>
      <c r="AF1503" s="48">
        <v>0</v>
      </c>
    </row>
    <row r="1504" spans="19:32" x14ac:dyDescent="0.35">
      <c r="S1504" s="34">
        <v>1500</v>
      </c>
      <c r="T1504" s="34" t="s">
        <v>4284</v>
      </c>
      <c r="U1504" s="34" t="s">
        <v>3289</v>
      </c>
      <c r="V1504" s="35">
        <v>0.11516129032258066</v>
      </c>
      <c r="W1504" s="13"/>
      <c r="X1504" s="34">
        <v>1500</v>
      </c>
      <c r="Y1504" s="34" t="s">
        <v>2248</v>
      </c>
      <c r="Z1504" s="34" t="s">
        <v>5370</v>
      </c>
      <c r="AA1504" s="35">
        <v>1.6040322580645162E-3</v>
      </c>
      <c r="AB1504" s="13"/>
      <c r="AC1504" s="47">
        <v>1500</v>
      </c>
      <c r="AD1504" s="47" t="s">
        <v>4573</v>
      </c>
      <c r="AE1504" s="47" t="s">
        <v>3214</v>
      </c>
      <c r="AF1504" s="48">
        <v>1.5087999999999999</v>
      </c>
    </row>
    <row r="1505" spans="19:32" x14ac:dyDescent="0.35">
      <c r="S1505" s="47">
        <v>1501</v>
      </c>
      <c r="T1505" s="47" t="s">
        <v>4284</v>
      </c>
      <c r="U1505" s="47" t="s">
        <v>3289</v>
      </c>
      <c r="V1505" s="48">
        <v>0</v>
      </c>
      <c r="W1505" s="13"/>
      <c r="X1505" s="34">
        <v>1501</v>
      </c>
      <c r="Y1505" s="34" t="s">
        <v>2248</v>
      </c>
      <c r="Z1505" s="34" t="s">
        <v>3397</v>
      </c>
      <c r="AA1505" s="35">
        <v>0</v>
      </c>
      <c r="AB1505" s="13"/>
      <c r="AC1505" s="47">
        <v>1501</v>
      </c>
      <c r="AD1505" s="47" t="s">
        <v>4573</v>
      </c>
      <c r="AE1505" s="47" t="s">
        <v>4486</v>
      </c>
      <c r="AF1505" s="48">
        <v>340</v>
      </c>
    </row>
    <row r="1506" spans="19:32" x14ac:dyDescent="0.35">
      <c r="S1506" s="47">
        <v>1502</v>
      </c>
      <c r="T1506" s="47" t="s">
        <v>4284</v>
      </c>
      <c r="U1506" s="47" t="s">
        <v>3288</v>
      </c>
      <c r="V1506" s="48">
        <v>0</v>
      </c>
      <c r="W1506" s="13"/>
      <c r="X1506" s="34">
        <v>1502</v>
      </c>
      <c r="Y1506" s="34" t="s">
        <v>2248</v>
      </c>
      <c r="Z1506" s="34" t="s">
        <v>4784</v>
      </c>
      <c r="AA1506" s="35">
        <v>1.5183467741935485E-4</v>
      </c>
      <c r="AB1506" s="13"/>
      <c r="AC1506" s="34">
        <v>1502</v>
      </c>
      <c r="AD1506" s="34" t="s">
        <v>4573</v>
      </c>
      <c r="AE1506" s="34" t="s">
        <v>4482</v>
      </c>
      <c r="AF1506" s="35">
        <v>2.0633064516129033E-3</v>
      </c>
    </row>
    <row r="1507" spans="19:32" x14ac:dyDescent="0.35">
      <c r="S1507" s="47">
        <v>1503</v>
      </c>
      <c r="T1507" s="47" t="s">
        <v>4284</v>
      </c>
      <c r="U1507" s="47" t="s">
        <v>4585</v>
      </c>
      <c r="V1507" s="48">
        <v>2.090725806451613E-4</v>
      </c>
      <c r="W1507" s="13"/>
      <c r="X1507" s="34">
        <v>1503</v>
      </c>
      <c r="Y1507" s="34" t="s">
        <v>2248</v>
      </c>
      <c r="Z1507" s="34" t="s">
        <v>5369</v>
      </c>
      <c r="AA1507" s="35">
        <v>3.3417338709677423E-3</v>
      </c>
      <c r="AB1507" s="13"/>
      <c r="AC1507" s="47">
        <v>1503</v>
      </c>
      <c r="AD1507" s="47" t="s">
        <v>4573</v>
      </c>
      <c r="AE1507" s="47" t="s">
        <v>3212</v>
      </c>
      <c r="AF1507" s="48">
        <v>7.9858870967741939</v>
      </c>
    </row>
    <row r="1508" spans="19:32" x14ac:dyDescent="0.35">
      <c r="S1508" s="34">
        <v>1504</v>
      </c>
      <c r="T1508" s="34" t="s">
        <v>4284</v>
      </c>
      <c r="U1508" s="34" t="s">
        <v>4582</v>
      </c>
      <c r="V1508" s="35">
        <v>1.1413306451612905E-7</v>
      </c>
      <c r="W1508" s="13"/>
      <c r="X1508" s="34">
        <v>1504</v>
      </c>
      <c r="Y1508" s="34" t="s">
        <v>2248</v>
      </c>
      <c r="Z1508" s="34" t="s">
        <v>4781</v>
      </c>
      <c r="AA1508" s="35">
        <v>9.5282258064516138E-4</v>
      </c>
      <c r="AB1508" s="13"/>
      <c r="AC1508" s="47">
        <v>1504</v>
      </c>
      <c r="AD1508" s="47" t="s">
        <v>4573</v>
      </c>
      <c r="AE1508" s="47" t="s">
        <v>3212</v>
      </c>
      <c r="AF1508" s="48">
        <v>0</v>
      </c>
    </row>
    <row r="1509" spans="19:32" x14ac:dyDescent="0.35">
      <c r="S1509" s="47">
        <v>1505</v>
      </c>
      <c r="T1509" s="47" t="s">
        <v>4284</v>
      </c>
      <c r="U1509" s="47" t="s">
        <v>3286</v>
      </c>
      <c r="V1509" s="48">
        <v>3.8044354838709682E-5</v>
      </c>
      <c r="W1509" s="13"/>
      <c r="X1509" s="34">
        <v>1505</v>
      </c>
      <c r="Y1509" s="34" t="s">
        <v>2248</v>
      </c>
      <c r="Z1509" s="34" t="s">
        <v>4778</v>
      </c>
      <c r="AA1509" s="35">
        <v>2.9030241935483872E-5</v>
      </c>
      <c r="AB1509" s="13"/>
      <c r="AC1509" s="47">
        <v>1505</v>
      </c>
      <c r="AD1509" s="47" t="s">
        <v>4573</v>
      </c>
      <c r="AE1509" s="47" t="s">
        <v>3210</v>
      </c>
      <c r="AF1509" s="48">
        <v>3.084677419354839E-2</v>
      </c>
    </row>
    <row r="1510" spans="19:32" x14ac:dyDescent="0.35">
      <c r="S1510" s="47">
        <v>1506</v>
      </c>
      <c r="T1510" s="47" t="s">
        <v>4284</v>
      </c>
      <c r="U1510" s="47" t="s">
        <v>3286</v>
      </c>
      <c r="V1510" s="48">
        <v>0</v>
      </c>
      <c r="W1510" s="13"/>
      <c r="X1510" s="34">
        <v>1506</v>
      </c>
      <c r="Y1510" s="34" t="s">
        <v>2248</v>
      </c>
      <c r="Z1510" s="34" t="s">
        <v>5368</v>
      </c>
      <c r="AA1510" s="35">
        <v>1.1104838709677419E-3</v>
      </c>
      <c r="AB1510" s="13"/>
      <c r="AC1510" s="47">
        <v>1506</v>
      </c>
      <c r="AD1510" s="47" t="s">
        <v>4573</v>
      </c>
      <c r="AE1510" s="47" t="s">
        <v>3210</v>
      </c>
      <c r="AF1510" s="48">
        <v>1.0671999999999999</v>
      </c>
    </row>
    <row r="1511" spans="19:32" x14ac:dyDescent="0.35">
      <c r="S1511" s="34">
        <v>1507</v>
      </c>
      <c r="T1511" s="34" t="s">
        <v>4284</v>
      </c>
      <c r="U1511" s="34" t="s">
        <v>3285</v>
      </c>
      <c r="V1511" s="35">
        <v>2.7796370967741934E-3</v>
      </c>
      <c r="W1511" s="13"/>
      <c r="X1511" s="34">
        <v>1507</v>
      </c>
      <c r="Y1511" s="34" t="s">
        <v>2248</v>
      </c>
      <c r="Z1511" s="34" t="s">
        <v>4776</v>
      </c>
      <c r="AA1511" s="35">
        <v>2.704233870967742E-2</v>
      </c>
      <c r="AB1511" s="13"/>
      <c r="AC1511" s="47">
        <v>1507</v>
      </c>
      <c r="AD1511" s="47" t="s">
        <v>4573</v>
      </c>
      <c r="AE1511" s="47" t="s">
        <v>4470</v>
      </c>
      <c r="AF1511" s="48">
        <v>3.2252016129032259E-2</v>
      </c>
    </row>
    <row r="1512" spans="19:32" x14ac:dyDescent="0.35">
      <c r="S1512" s="47">
        <v>1508</v>
      </c>
      <c r="T1512" s="47" t="s">
        <v>4284</v>
      </c>
      <c r="U1512" s="47" t="s">
        <v>3285</v>
      </c>
      <c r="V1512" s="48">
        <v>0.22908000000000001</v>
      </c>
      <c r="W1512" s="13"/>
      <c r="X1512" s="34">
        <v>1508</v>
      </c>
      <c r="Y1512" s="34" t="s">
        <v>2248</v>
      </c>
      <c r="Z1512" s="34" t="s">
        <v>4773</v>
      </c>
      <c r="AA1512" s="35">
        <v>1.8576612903225809E-3</v>
      </c>
      <c r="AB1512" s="13"/>
      <c r="AC1512" s="47">
        <v>1508</v>
      </c>
      <c r="AD1512" s="47" t="s">
        <v>4573</v>
      </c>
      <c r="AE1512" s="47" t="s">
        <v>4466</v>
      </c>
      <c r="AF1512" s="48">
        <v>1.298991935483871</v>
      </c>
    </row>
    <row r="1513" spans="19:32" x14ac:dyDescent="0.35">
      <c r="S1513" s="47">
        <v>1509</v>
      </c>
      <c r="T1513" s="47" t="s">
        <v>4284</v>
      </c>
      <c r="U1513" s="47" t="s">
        <v>4575</v>
      </c>
      <c r="V1513" s="48">
        <v>6.957661290322581E-2</v>
      </c>
      <c r="W1513" s="13"/>
      <c r="X1513" s="34">
        <v>1509</v>
      </c>
      <c r="Y1513" s="34" t="s">
        <v>2248</v>
      </c>
      <c r="Z1513" s="34" t="s">
        <v>5367</v>
      </c>
      <c r="AA1513" s="35">
        <v>1.2715725806451614E-3</v>
      </c>
      <c r="AB1513" s="13"/>
      <c r="AC1513" s="47">
        <v>1509</v>
      </c>
      <c r="AD1513" s="47" t="s">
        <v>4573</v>
      </c>
      <c r="AE1513" s="47" t="s">
        <v>3209</v>
      </c>
      <c r="AF1513" s="48">
        <v>4.83</v>
      </c>
    </row>
    <row r="1514" spans="19:32" x14ac:dyDescent="0.35">
      <c r="S1514" s="47">
        <v>1510</v>
      </c>
      <c r="T1514" s="47" t="s">
        <v>4284</v>
      </c>
      <c r="U1514" s="47" t="s">
        <v>3283</v>
      </c>
      <c r="V1514" s="48">
        <v>3.2629032258064516E-2</v>
      </c>
      <c r="W1514" s="13"/>
      <c r="X1514" s="34">
        <v>1510</v>
      </c>
      <c r="Y1514" s="34" t="s">
        <v>2248</v>
      </c>
      <c r="Z1514" s="34" t="s">
        <v>4770</v>
      </c>
      <c r="AA1514" s="35">
        <v>1.9707661290322583E-2</v>
      </c>
      <c r="AB1514" s="13"/>
      <c r="AC1514" s="34">
        <v>1510</v>
      </c>
      <c r="AD1514" s="34" t="s">
        <v>4573</v>
      </c>
      <c r="AE1514" s="34" t="s">
        <v>4462</v>
      </c>
      <c r="AF1514" s="35">
        <v>1.795967741935484E-4</v>
      </c>
    </row>
    <row r="1515" spans="19:32" x14ac:dyDescent="0.35">
      <c r="S1515" s="47">
        <v>1511</v>
      </c>
      <c r="T1515" s="47" t="s">
        <v>4284</v>
      </c>
      <c r="U1515" s="47" t="s">
        <v>3283</v>
      </c>
      <c r="V1515" s="48">
        <v>1.5731999999999999E-2</v>
      </c>
      <c r="W1515" s="13"/>
      <c r="X1515" s="34">
        <v>1511</v>
      </c>
      <c r="Y1515" s="34" t="s">
        <v>2248</v>
      </c>
      <c r="Z1515" s="34" t="s">
        <v>3395</v>
      </c>
      <c r="AA1515" s="35">
        <v>104.88000000000001</v>
      </c>
      <c r="AB1515" s="13"/>
      <c r="AC1515" s="47">
        <v>1511</v>
      </c>
      <c r="AD1515" s="47" t="s">
        <v>4573</v>
      </c>
      <c r="AE1515" s="47" t="s">
        <v>4457</v>
      </c>
      <c r="AF1515" s="48">
        <v>5.3467741935483879</v>
      </c>
    </row>
    <row r="1516" spans="19:32" x14ac:dyDescent="0.35">
      <c r="S1516" s="47">
        <v>1512</v>
      </c>
      <c r="T1516" s="47" t="s">
        <v>4284</v>
      </c>
      <c r="U1516" s="47" t="s">
        <v>3282</v>
      </c>
      <c r="V1516" s="48">
        <v>6.1350806451612901E-4</v>
      </c>
      <c r="W1516" s="13"/>
      <c r="X1516" s="34">
        <v>1512</v>
      </c>
      <c r="Y1516" s="34" t="s">
        <v>2248</v>
      </c>
      <c r="Z1516" s="34" t="s">
        <v>3395</v>
      </c>
      <c r="AA1516" s="35">
        <v>4.1471774193548392E-3</v>
      </c>
      <c r="AB1516" s="13"/>
      <c r="AC1516" s="34">
        <v>1512</v>
      </c>
      <c r="AD1516" s="34" t="s">
        <v>4573</v>
      </c>
      <c r="AE1516" s="34" t="s">
        <v>4453</v>
      </c>
      <c r="AF1516" s="35">
        <v>9.9395161290322595E-2</v>
      </c>
    </row>
    <row r="1517" spans="19:32" x14ac:dyDescent="0.35">
      <c r="S1517" s="47">
        <v>1513</v>
      </c>
      <c r="T1517" s="47" t="s">
        <v>4284</v>
      </c>
      <c r="U1517" s="47" t="s">
        <v>3282</v>
      </c>
      <c r="V1517" s="48">
        <v>0</v>
      </c>
      <c r="W1517" s="13"/>
      <c r="X1517" s="34">
        <v>1513</v>
      </c>
      <c r="Y1517" s="34" t="s">
        <v>2248</v>
      </c>
      <c r="Z1517" s="34" t="s">
        <v>5366</v>
      </c>
      <c r="AA1517" s="35">
        <v>0.5278225806451613</v>
      </c>
      <c r="AB1517" s="13"/>
      <c r="AC1517" s="47">
        <v>1513</v>
      </c>
      <c r="AD1517" s="47" t="s">
        <v>4573</v>
      </c>
      <c r="AE1517" s="47" t="s">
        <v>3207</v>
      </c>
      <c r="AF1517" s="48">
        <v>4.25</v>
      </c>
    </row>
    <row r="1518" spans="19:32" x14ac:dyDescent="0.35">
      <c r="S1518" s="47">
        <v>1514</v>
      </c>
      <c r="T1518" s="47" t="s">
        <v>4284</v>
      </c>
      <c r="U1518" s="47" t="s">
        <v>4572</v>
      </c>
      <c r="V1518" s="48">
        <v>7.4375000000000005E-4</v>
      </c>
      <c r="W1518" s="13"/>
      <c r="X1518" s="34">
        <v>1514</v>
      </c>
      <c r="Y1518" s="34" t="s">
        <v>2248</v>
      </c>
      <c r="Z1518" s="34" t="s">
        <v>3394</v>
      </c>
      <c r="AA1518" s="35">
        <v>5.1611999999999998E-2</v>
      </c>
      <c r="AB1518" s="13"/>
      <c r="AC1518" s="47">
        <v>1514</v>
      </c>
      <c r="AD1518" s="47" t="s">
        <v>4573</v>
      </c>
      <c r="AE1518" s="47" t="s">
        <v>3207</v>
      </c>
      <c r="AF1518" s="48">
        <v>0</v>
      </c>
    </row>
    <row r="1519" spans="19:32" x14ac:dyDescent="0.35">
      <c r="S1519" s="34">
        <v>1515</v>
      </c>
      <c r="T1519" s="34" t="s">
        <v>4284</v>
      </c>
      <c r="U1519" s="34" t="s">
        <v>4570</v>
      </c>
      <c r="V1519" s="35">
        <v>3.142943548387097E-2</v>
      </c>
      <c r="W1519" s="13"/>
      <c r="X1519" s="34">
        <v>1515</v>
      </c>
      <c r="Y1519" s="34" t="s">
        <v>2248</v>
      </c>
      <c r="Z1519" s="34" t="s">
        <v>3392</v>
      </c>
      <c r="AA1519" s="35">
        <v>0.32016</v>
      </c>
      <c r="AB1519" s="13"/>
      <c r="AC1519" s="34">
        <v>1515</v>
      </c>
      <c r="AD1519" s="34" t="s">
        <v>4573</v>
      </c>
      <c r="AE1519" s="34" t="s">
        <v>4443</v>
      </c>
      <c r="AF1519" s="35">
        <v>2.2758064516129033E-2</v>
      </c>
    </row>
    <row r="1520" spans="19:32" x14ac:dyDescent="0.35">
      <c r="S1520" s="47">
        <v>1516</v>
      </c>
      <c r="T1520" s="47" t="s">
        <v>4284</v>
      </c>
      <c r="U1520" s="47" t="s">
        <v>4567</v>
      </c>
      <c r="V1520" s="48">
        <v>2.6870967741935484E-2</v>
      </c>
      <c r="W1520" s="13"/>
      <c r="X1520" s="34">
        <v>1516</v>
      </c>
      <c r="Y1520" s="34" t="s">
        <v>2248</v>
      </c>
      <c r="Z1520" s="34" t="s">
        <v>5365</v>
      </c>
      <c r="AA1520" s="35">
        <v>1.3366935483870968E-4</v>
      </c>
      <c r="AB1520" s="13"/>
      <c r="AC1520" s="47">
        <v>1516</v>
      </c>
      <c r="AD1520" s="47" t="s">
        <v>4573</v>
      </c>
      <c r="AE1520" s="47" t="s">
        <v>4437</v>
      </c>
      <c r="AF1520" s="48">
        <v>0.10933467741935485</v>
      </c>
    </row>
    <row r="1521" spans="19:32" x14ac:dyDescent="0.35">
      <c r="S1521" s="34">
        <v>1517</v>
      </c>
      <c r="T1521" s="34" t="s">
        <v>4284</v>
      </c>
      <c r="U1521" s="34" t="s">
        <v>3280</v>
      </c>
      <c r="V1521" s="35">
        <v>3.2046370967741942E-5</v>
      </c>
      <c r="W1521" s="19"/>
      <c r="X1521" s="34">
        <v>1517</v>
      </c>
      <c r="Y1521" s="34" t="s">
        <v>2248</v>
      </c>
      <c r="Z1521" s="34" t="s">
        <v>3391</v>
      </c>
      <c r="AA1521" s="35">
        <v>7.4979999999999991E-2</v>
      </c>
      <c r="AB1521" s="13"/>
      <c r="AC1521" s="47">
        <v>1517</v>
      </c>
      <c r="AD1521" s="47" t="s">
        <v>4573</v>
      </c>
      <c r="AE1521" s="47" t="s">
        <v>4432</v>
      </c>
      <c r="AF1521" s="48">
        <v>7.6088709677419363E-3</v>
      </c>
    </row>
    <row r="1522" spans="19:32" x14ac:dyDescent="0.35">
      <c r="S1522" s="47">
        <v>1518</v>
      </c>
      <c r="T1522" s="47" t="s">
        <v>4284</v>
      </c>
      <c r="U1522" s="47" t="s">
        <v>3280</v>
      </c>
      <c r="V1522" s="48">
        <v>3.2199999999999998</v>
      </c>
      <c r="W1522" s="19"/>
      <c r="X1522" s="34">
        <v>1518</v>
      </c>
      <c r="Y1522" s="34" t="s">
        <v>2248</v>
      </c>
      <c r="Z1522" s="34" t="s">
        <v>3391</v>
      </c>
      <c r="AA1522" s="35">
        <v>8.7741935483870979E-4</v>
      </c>
      <c r="AB1522" s="13"/>
      <c r="AC1522" s="47">
        <v>1518</v>
      </c>
      <c r="AD1522" s="47" t="s">
        <v>4573</v>
      </c>
      <c r="AE1522" s="47" t="s">
        <v>3206</v>
      </c>
      <c r="AF1522" s="48">
        <v>4.9404000000000003</v>
      </c>
    </row>
    <row r="1523" spans="19:32" x14ac:dyDescent="0.35">
      <c r="S1523" s="47">
        <v>1519</v>
      </c>
      <c r="T1523" s="47" t="s">
        <v>4284</v>
      </c>
      <c r="U1523" s="47" t="s">
        <v>3278</v>
      </c>
      <c r="V1523" s="48">
        <v>0</v>
      </c>
      <c r="W1523" s="19"/>
      <c r="X1523" s="34">
        <v>1519</v>
      </c>
      <c r="Y1523" s="34" t="s">
        <v>2248</v>
      </c>
      <c r="Z1523" s="34" t="s">
        <v>5364</v>
      </c>
      <c r="AA1523" s="35">
        <v>4.0100806451612905E-4</v>
      </c>
      <c r="AB1523" s="13"/>
      <c r="AC1523" s="47">
        <v>1519</v>
      </c>
      <c r="AD1523" s="47" t="s">
        <v>4573</v>
      </c>
      <c r="AE1523" s="47" t="s">
        <v>3204</v>
      </c>
      <c r="AF1523" s="48">
        <v>5.3125000000000004E-3</v>
      </c>
    </row>
    <row r="1524" spans="19:32" x14ac:dyDescent="0.35">
      <c r="S1524" s="47">
        <v>1520</v>
      </c>
      <c r="T1524" s="47" t="s">
        <v>4284</v>
      </c>
      <c r="U1524" s="47" t="s">
        <v>3277</v>
      </c>
      <c r="V1524" s="48">
        <v>3.0161290322580647E-2</v>
      </c>
      <c r="W1524" s="13"/>
      <c r="X1524" s="34">
        <v>1520</v>
      </c>
      <c r="Y1524" s="34" t="s">
        <v>2248</v>
      </c>
      <c r="Z1524" s="34" t="s">
        <v>3389</v>
      </c>
      <c r="AA1524" s="35">
        <v>7.3691999999999993</v>
      </c>
      <c r="AB1524" s="13"/>
      <c r="AC1524" s="47">
        <v>1520</v>
      </c>
      <c r="AD1524" s="47" t="s">
        <v>4573</v>
      </c>
      <c r="AE1524" s="47" t="s">
        <v>3204</v>
      </c>
      <c r="AF1524" s="48">
        <v>0</v>
      </c>
    </row>
    <row r="1525" spans="19:32" x14ac:dyDescent="0.35">
      <c r="S1525" s="47">
        <v>1521</v>
      </c>
      <c r="T1525" s="47" t="s">
        <v>4284</v>
      </c>
      <c r="U1525" s="47" t="s">
        <v>3277</v>
      </c>
      <c r="V1525" s="48">
        <v>2.2448000000000001</v>
      </c>
      <c r="W1525" s="13"/>
      <c r="X1525" s="34">
        <v>1521</v>
      </c>
      <c r="Y1525" s="34" t="s">
        <v>2248</v>
      </c>
      <c r="Z1525" s="34" t="s">
        <v>3389</v>
      </c>
      <c r="AA1525" s="35">
        <v>0.25362903225806455</v>
      </c>
      <c r="AB1525" s="13"/>
      <c r="AC1525" s="47">
        <v>1521</v>
      </c>
      <c r="AD1525" s="47" t="s">
        <v>4573</v>
      </c>
      <c r="AE1525" s="47" t="s">
        <v>4420</v>
      </c>
      <c r="AF1525" s="48">
        <v>0.11893145161290324</v>
      </c>
    </row>
    <row r="1526" spans="19:32" x14ac:dyDescent="0.35">
      <c r="S1526" s="34">
        <v>1522</v>
      </c>
      <c r="T1526" s="34" t="s">
        <v>4284</v>
      </c>
      <c r="U1526" s="34" t="s">
        <v>3276</v>
      </c>
      <c r="V1526" s="35">
        <v>1.3401209677419356E-3</v>
      </c>
      <c r="W1526" s="13"/>
      <c r="X1526" s="34">
        <v>1522</v>
      </c>
      <c r="Y1526" s="34" t="s">
        <v>2248</v>
      </c>
      <c r="Z1526" s="34" t="s">
        <v>3388</v>
      </c>
      <c r="AA1526" s="35">
        <v>32.384</v>
      </c>
      <c r="AB1526" s="13"/>
      <c r="AC1526" s="34">
        <v>1522</v>
      </c>
      <c r="AD1526" s="34" t="s">
        <v>4573</v>
      </c>
      <c r="AE1526" s="34" t="s">
        <v>3203</v>
      </c>
      <c r="AF1526" s="35">
        <v>2.9338709677419357</v>
      </c>
    </row>
    <row r="1527" spans="19:32" x14ac:dyDescent="0.35">
      <c r="S1527" s="47">
        <v>1523</v>
      </c>
      <c r="T1527" s="47" t="s">
        <v>4284</v>
      </c>
      <c r="U1527" s="47" t="s">
        <v>3276</v>
      </c>
      <c r="V1527" s="48">
        <v>0.61456</v>
      </c>
      <c r="W1527" s="13"/>
      <c r="X1527" s="34">
        <v>1523</v>
      </c>
      <c r="Y1527" s="34" t="s">
        <v>2248</v>
      </c>
      <c r="Z1527" s="34" t="s">
        <v>5363</v>
      </c>
      <c r="AA1527" s="35">
        <v>2.7727822580645164E-5</v>
      </c>
      <c r="AB1527" s="13"/>
      <c r="AC1527" s="47">
        <v>1523</v>
      </c>
      <c r="AD1527" s="47" t="s">
        <v>4573</v>
      </c>
      <c r="AE1527" s="47" t="s">
        <v>3203</v>
      </c>
      <c r="AF1527" s="48">
        <v>34.315999999999995</v>
      </c>
    </row>
    <row r="1528" spans="19:32" x14ac:dyDescent="0.35">
      <c r="S1528" s="47">
        <v>1524</v>
      </c>
      <c r="T1528" s="47" t="s">
        <v>4284</v>
      </c>
      <c r="U1528" s="47" t="s">
        <v>4566</v>
      </c>
      <c r="V1528" s="48">
        <v>0.29441532258064518</v>
      </c>
      <c r="W1528" s="13"/>
      <c r="X1528" s="34">
        <v>1524</v>
      </c>
      <c r="Y1528" s="34" t="s">
        <v>2248</v>
      </c>
      <c r="Z1528" s="34" t="s">
        <v>4763</v>
      </c>
      <c r="AA1528" s="35">
        <v>1.3298387096774195E-2</v>
      </c>
      <c r="AB1528" s="13"/>
      <c r="AC1528" s="47">
        <v>1524</v>
      </c>
      <c r="AD1528" s="47" t="s">
        <v>4573</v>
      </c>
      <c r="AE1528" s="47" t="s">
        <v>4415</v>
      </c>
      <c r="AF1528" s="48">
        <v>1.0522177419354839</v>
      </c>
    </row>
    <row r="1529" spans="19:32" x14ac:dyDescent="0.35">
      <c r="S1529" s="47">
        <v>1525</v>
      </c>
      <c r="T1529" s="47" t="s">
        <v>4284</v>
      </c>
      <c r="U1529" s="47" t="s">
        <v>4565</v>
      </c>
      <c r="V1529" s="48">
        <v>1.0590725806451614E-3</v>
      </c>
      <c r="W1529" s="13"/>
      <c r="X1529" s="34">
        <v>1525</v>
      </c>
      <c r="Y1529" s="34" t="s">
        <v>2248</v>
      </c>
      <c r="Z1529" s="34" t="s">
        <v>3387</v>
      </c>
      <c r="AA1529" s="35">
        <v>25.483999999999998</v>
      </c>
      <c r="AB1529" s="13"/>
      <c r="AC1529" s="34">
        <v>1525</v>
      </c>
      <c r="AD1529" s="34" t="s">
        <v>4573</v>
      </c>
      <c r="AE1529" s="34" t="s">
        <v>4413</v>
      </c>
      <c r="AF1529" s="35">
        <v>2.4231854838709679E-2</v>
      </c>
    </row>
    <row r="1530" spans="19:32" x14ac:dyDescent="0.35">
      <c r="S1530" s="47">
        <v>1526</v>
      </c>
      <c r="T1530" s="47" t="s">
        <v>4284</v>
      </c>
      <c r="U1530" s="47" t="s">
        <v>3275</v>
      </c>
      <c r="V1530" s="48">
        <v>0.10145161290322581</v>
      </c>
      <c r="W1530" s="13"/>
      <c r="X1530" s="34">
        <v>1526</v>
      </c>
      <c r="Y1530" s="34" t="s">
        <v>2248</v>
      </c>
      <c r="Z1530" s="34" t="s">
        <v>5362</v>
      </c>
      <c r="AA1530" s="35">
        <v>1.5766129032258064E-4</v>
      </c>
      <c r="AB1530" s="13"/>
      <c r="AC1530" s="47">
        <v>1526</v>
      </c>
      <c r="AD1530" s="47" t="s">
        <v>4573</v>
      </c>
      <c r="AE1530" s="47" t="s">
        <v>4412</v>
      </c>
      <c r="AF1530" s="48">
        <v>2.0701612903225807E-3</v>
      </c>
    </row>
    <row r="1531" spans="19:32" x14ac:dyDescent="0.35">
      <c r="S1531" s="47">
        <v>1527</v>
      </c>
      <c r="T1531" s="47" t="s">
        <v>4284</v>
      </c>
      <c r="U1531" s="47" t="s">
        <v>3275</v>
      </c>
      <c r="V1531" s="48">
        <v>0</v>
      </c>
      <c r="W1531" s="13"/>
      <c r="X1531" s="34">
        <v>1527</v>
      </c>
      <c r="Y1531" s="34" t="s">
        <v>2248</v>
      </c>
      <c r="Z1531" s="34" t="s">
        <v>3386</v>
      </c>
      <c r="AA1531" s="35">
        <v>5.9707999999999997</v>
      </c>
      <c r="AB1531" s="13"/>
      <c r="AC1531" s="34">
        <v>1527</v>
      </c>
      <c r="AD1531" s="34" t="s">
        <v>4573</v>
      </c>
      <c r="AE1531" s="34" t="s">
        <v>4410</v>
      </c>
      <c r="AF1531" s="35">
        <v>0.71290322580645171</v>
      </c>
    </row>
    <row r="1532" spans="19:32" x14ac:dyDescent="0.35">
      <c r="S1532" s="47">
        <v>1528</v>
      </c>
      <c r="T1532" s="47" t="s">
        <v>4284</v>
      </c>
      <c r="U1532" s="47" t="s">
        <v>4564</v>
      </c>
      <c r="V1532" s="48">
        <v>1.3024193548387098E-3</v>
      </c>
      <c r="W1532" s="13"/>
      <c r="X1532" s="34">
        <v>1528</v>
      </c>
      <c r="Y1532" s="34" t="s">
        <v>2248</v>
      </c>
      <c r="Z1532" s="34" t="s">
        <v>3386</v>
      </c>
      <c r="AA1532" s="35">
        <v>6.2379032258064522E-2</v>
      </c>
      <c r="AB1532" s="13"/>
      <c r="AC1532" s="47">
        <v>1528</v>
      </c>
      <c r="AD1532" s="47" t="s">
        <v>4573</v>
      </c>
      <c r="AE1532" s="47" t="s">
        <v>4408</v>
      </c>
      <c r="AF1532" s="48">
        <v>3.3828629032258068</v>
      </c>
    </row>
    <row r="1533" spans="19:32" x14ac:dyDescent="0.35">
      <c r="S1533" s="30">
        <v>1529</v>
      </c>
      <c r="T1533" s="30" t="s">
        <v>4284</v>
      </c>
      <c r="U1533" s="51" t="s">
        <v>5361</v>
      </c>
      <c r="V1533" s="52">
        <v>0.11600000000000001</v>
      </c>
      <c r="W1533" s="13"/>
      <c r="X1533" s="34">
        <v>1529</v>
      </c>
      <c r="Y1533" s="34" t="s">
        <v>2248</v>
      </c>
      <c r="Z1533" s="34" t="s">
        <v>5360</v>
      </c>
      <c r="AA1533" s="35">
        <v>1.569758064516129E-7</v>
      </c>
      <c r="AB1533" s="13"/>
      <c r="AC1533" s="47">
        <v>1529</v>
      </c>
      <c r="AD1533" s="47" t="s">
        <v>4573</v>
      </c>
      <c r="AE1533" s="47" t="s">
        <v>4406</v>
      </c>
      <c r="AF1533" s="48">
        <v>0.24368951612903228</v>
      </c>
    </row>
    <row r="1534" spans="19:32" x14ac:dyDescent="0.35">
      <c r="S1534" s="30">
        <v>1530</v>
      </c>
      <c r="T1534" s="30" t="s">
        <v>4284</v>
      </c>
      <c r="U1534" s="30" t="s">
        <v>5359</v>
      </c>
      <c r="V1534" s="31">
        <v>0.11600000000000001</v>
      </c>
      <c r="W1534" s="17"/>
      <c r="X1534" s="34">
        <v>1530</v>
      </c>
      <c r="Y1534" s="34" t="s">
        <v>2248</v>
      </c>
      <c r="Z1534" s="34" t="s">
        <v>3385</v>
      </c>
      <c r="AA1534" s="35">
        <v>2.3275999999999999</v>
      </c>
      <c r="AB1534" s="13"/>
      <c r="AC1534" s="47">
        <v>1530</v>
      </c>
      <c r="AD1534" s="47" t="s">
        <v>4573</v>
      </c>
      <c r="AE1534" s="47" t="s">
        <v>3202</v>
      </c>
      <c r="AF1534" s="48">
        <v>15.272</v>
      </c>
    </row>
    <row r="1535" spans="19:32" x14ac:dyDescent="0.35">
      <c r="S1535" s="30">
        <v>1531</v>
      </c>
      <c r="T1535" s="30" t="s">
        <v>4284</v>
      </c>
      <c r="U1535" s="30" t="s">
        <v>5358</v>
      </c>
      <c r="V1535" s="31">
        <v>0.11600000000000001</v>
      </c>
      <c r="W1535" s="17"/>
      <c r="X1535" s="34">
        <v>1531</v>
      </c>
      <c r="Y1535" s="34" t="s">
        <v>2248</v>
      </c>
      <c r="Z1535" s="34" t="s">
        <v>3385</v>
      </c>
      <c r="AA1535" s="35">
        <v>2.9887096774193554E-4</v>
      </c>
      <c r="AB1535" s="13"/>
      <c r="AC1535" s="47">
        <v>1531</v>
      </c>
      <c r="AD1535" s="47" t="s">
        <v>4573</v>
      </c>
      <c r="AE1535" s="47" t="s">
        <v>4405</v>
      </c>
      <c r="AF1535" s="48">
        <v>5.1411290322580646E-3</v>
      </c>
    </row>
    <row r="1536" spans="19:32" x14ac:dyDescent="0.35">
      <c r="S1536" s="34">
        <v>1532</v>
      </c>
      <c r="T1536" s="34" t="s">
        <v>4284</v>
      </c>
      <c r="U1536" s="34" t="s">
        <v>4563</v>
      </c>
      <c r="V1536" s="35">
        <v>2.4334677419354838E-6</v>
      </c>
      <c r="W1536" s="17"/>
      <c r="X1536" s="34">
        <v>1532</v>
      </c>
      <c r="Y1536" s="34" t="s">
        <v>2248</v>
      </c>
      <c r="Z1536" s="34" t="s">
        <v>3383</v>
      </c>
      <c r="AA1536" s="35">
        <v>36.524000000000001</v>
      </c>
      <c r="AB1536" s="13"/>
      <c r="AC1536" s="47">
        <v>1532</v>
      </c>
      <c r="AD1536" s="47" t="s">
        <v>4573</v>
      </c>
      <c r="AE1536" s="47" t="s">
        <v>4404</v>
      </c>
      <c r="AF1536" s="48">
        <v>0.77116935483870974</v>
      </c>
    </row>
    <row r="1537" spans="19:32" x14ac:dyDescent="0.35">
      <c r="S1537" s="36">
        <v>1533</v>
      </c>
      <c r="T1537" s="36" t="s">
        <v>4284</v>
      </c>
      <c r="U1537" s="36" t="s">
        <v>5357</v>
      </c>
      <c r="V1537" s="37">
        <v>0.24395999999999998</v>
      </c>
      <c r="W1537" s="17"/>
      <c r="X1537" s="34">
        <v>1533</v>
      </c>
      <c r="Y1537" s="34" t="s">
        <v>2248</v>
      </c>
      <c r="Z1537" s="34" t="s">
        <v>5356</v>
      </c>
      <c r="AA1537" s="35">
        <v>2.1010080645161292E-5</v>
      </c>
      <c r="AB1537" s="13"/>
      <c r="AC1537" s="34">
        <v>1533</v>
      </c>
      <c r="AD1537" s="34" t="s">
        <v>4573</v>
      </c>
      <c r="AE1537" s="34" t="s">
        <v>4403</v>
      </c>
      <c r="AF1537" s="35">
        <v>0.11036290322580646</v>
      </c>
    </row>
    <row r="1538" spans="19:32" x14ac:dyDescent="0.35">
      <c r="S1538" s="36">
        <v>1534</v>
      </c>
      <c r="T1538" s="36" t="s">
        <v>4284</v>
      </c>
      <c r="U1538" s="36" t="s">
        <v>5355</v>
      </c>
      <c r="V1538" s="37">
        <v>0.24395999999999998</v>
      </c>
      <c r="W1538" s="13"/>
      <c r="X1538" s="34">
        <v>1534</v>
      </c>
      <c r="Y1538" s="34" t="s">
        <v>2248</v>
      </c>
      <c r="Z1538" s="34" t="s">
        <v>4759</v>
      </c>
      <c r="AA1538" s="35">
        <v>9.3911290322580658E-3</v>
      </c>
      <c r="AB1538" s="13"/>
      <c r="AC1538" s="47">
        <v>1534</v>
      </c>
      <c r="AD1538" s="47" t="s">
        <v>4573</v>
      </c>
      <c r="AE1538" s="47" t="s">
        <v>4402</v>
      </c>
      <c r="AF1538" s="56">
        <v>3.3348790322580646E-2</v>
      </c>
    </row>
    <row r="1539" spans="19:32" x14ac:dyDescent="0.35">
      <c r="S1539" s="47">
        <v>1535</v>
      </c>
      <c r="T1539" s="47" t="s">
        <v>4284</v>
      </c>
      <c r="U1539" s="47" t="s">
        <v>4562</v>
      </c>
      <c r="V1539" s="48">
        <v>1.2407258064516129E-4</v>
      </c>
      <c r="W1539" s="13"/>
      <c r="X1539" s="34">
        <v>1535</v>
      </c>
      <c r="Y1539" s="34" t="s">
        <v>2248</v>
      </c>
      <c r="Z1539" s="34" t="s">
        <v>4758</v>
      </c>
      <c r="AA1539" s="35">
        <v>2.2243951612903227E-5</v>
      </c>
      <c r="AB1539" s="13"/>
      <c r="AC1539" s="34">
        <v>1535</v>
      </c>
      <c r="AD1539" s="34" t="s">
        <v>4573</v>
      </c>
      <c r="AE1539" s="34" t="s">
        <v>4401</v>
      </c>
      <c r="AF1539" s="35">
        <v>3.9758064516129036E-4</v>
      </c>
    </row>
    <row r="1540" spans="19:32" x14ac:dyDescent="0.35">
      <c r="S1540" s="47">
        <v>1536</v>
      </c>
      <c r="T1540" s="47" t="s">
        <v>4284</v>
      </c>
      <c r="U1540" s="47" t="s">
        <v>3273</v>
      </c>
      <c r="V1540" s="48">
        <v>0</v>
      </c>
      <c r="W1540" s="13"/>
      <c r="X1540" s="34">
        <v>1536</v>
      </c>
      <c r="Y1540" s="34" t="s">
        <v>2248</v>
      </c>
      <c r="Z1540" s="34" t="s">
        <v>5354</v>
      </c>
      <c r="AA1540" s="35">
        <v>2.3683467741935485E-5</v>
      </c>
      <c r="AB1540" s="13"/>
      <c r="AC1540" s="47">
        <v>1536</v>
      </c>
      <c r="AD1540" s="47" t="s">
        <v>4573</v>
      </c>
      <c r="AE1540" s="47" t="s">
        <v>4400</v>
      </c>
      <c r="AF1540" s="56">
        <v>5.4838709677419361E-3</v>
      </c>
    </row>
    <row r="1541" spans="19:32" x14ac:dyDescent="0.35">
      <c r="S1541" s="34">
        <v>1537</v>
      </c>
      <c r="T1541" s="34" t="s">
        <v>4284</v>
      </c>
      <c r="U1541" s="34" t="s">
        <v>4561</v>
      </c>
      <c r="V1541" s="35">
        <v>5.2782258064516138E-5</v>
      </c>
      <c r="W1541" s="13"/>
      <c r="X1541" s="34">
        <v>1537</v>
      </c>
      <c r="Y1541" s="34" t="s">
        <v>2248</v>
      </c>
      <c r="Z1541" s="34" t="s">
        <v>4757</v>
      </c>
      <c r="AA1541" s="35">
        <v>1.1961693548387099E-2</v>
      </c>
      <c r="AB1541" s="13"/>
      <c r="AC1541" s="34">
        <v>1537</v>
      </c>
      <c r="AD1541" s="34" t="s">
        <v>4573</v>
      </c>
      <c r="AE1541" s="34" t="s">
        <v>4399</v>
      </c>
      <c r="AF1541" s="35">
        <v>1.2750000000000001E-3</v>
      </c>
    </row>
    <row r="1542" spans="19:32" x14ac:dyDescent="0.35">
      <c r="S1542" s="47">
        <v>1538</v>
      </c>
      <c r="T1542" s="47" t="s">
        <v>4284</v>
      </c>
      <c r="U1542" s="47" t="s">
        <v>4560</v>
      </c>
      <c r="V1542" s="48">
        <v>3.4616935483870973E-2</v>
      </c>
      <c r="W1542" s="13"/>
      <c r="X1542" s="34">
        <v>1538</v>
      </c>
      <c r="Y1542" s="34" t="s">
        <v>2248</v>
      </c>
      <c r="Z1542" s="34" t="s">
        <v>4756</v>
      </c>
      <c r="AA1542" s="35">
        <v>7.8145161290322574E-5</v>
      </c>
      <c r="AB1542" s="13"/>
      <c r="AC1542" s="47">
        <v>1538</v>
      </c>
      <c r="AD1542" s="47" t="s">
        <v>4573</v>
      </c>
      <c r="AE1542" s="47" t="s">
        <v>4398</v>
      </c>
      <c r="AF1542" s="56">
        <v>5.415322580645162E-2</v>
      </c>
    </row>
    <row r="1543" spans="19:32" x14ac:dyDescent="0.35">
      <c r="S1543" s="34">
        <v>1539</v>
      </c>
      <c r="T1543" s="34" t="s">
        <v>4284</v>
      </c>
      <c r="U1543" s="34" t="s">
        <v>4559</v>
      </c>
      <c r="V1543" s="35">
        <v>1.9262096774193549E-2</v>
      </c>
      <c r="W1543" s="13"/>
      <c r="X1543" s="34">
        <v>1539</v>
      </c>
      <c r="Y1543" s="34" t="s">
        <v>2248</v>
      </c>
      <c r="Z1543" s="34" t="s">
        <v>3382</v>
      </c>
      <c r="AA1543" s="35">
        <v>0.19688</v>
      </c>
      <c r="AB1543" s="13"/>
      <c r="AC1543" s="47">
        <v>1539</v>
      </c>
      <c r="AD1543" s="47" t="s">
        <v>4573</v>
      </c>
      <c r="AE1543" s="47" t="s">
        <v>4397</v>
      </c>
      <c r="AF1543" s="56">
        <v>5.2782258064516134E-2</v>
      </c>
    </row>
    <row r="1544" spans="19:32" x14ac:dyDescent="0.35">
      <c r="S1544" s="47">
        <v>1540</v>
      </c>
      <c r="T1544" s="47" t="s">
        <v>4284</v>
      </c>
      <c r="U1544" s="47" t="s">
        <v>4558</v>
      </c>
      <c r="V1544" s="48">
        <v>8.0887096774193562E-3</v>
      </c>
      <c r="W1544" s="13"/>
      <c r="X1544" s="34">
        <v>1540</v>
      </c>
      <c r="Y1544" s="34" t="s">
        <v>2248</v>
      </c>
      <c r="Z1544" s="34" t="s">
        <v>5353</v>
      </c>
      <c r="AA1544" s="35">
        <v>4.2500000000000003E-4</v>
      </c>
      <c r="AB1544" s="13"/>
      <c r="AC1544" s="47">
        <v>1540</v>
      </c>
      <c r="AD1544" s="47" t="s">
        <v>4573</v>
      </c>
      <c r="AE1544" s="47" t="s">
        <v>4396</v>
      </c>
      <c r="AF1544" s="56">
        <v>0.12818548387096776</v>
      </c>
    </row>
    <row r="1545" spans="19:32" x14ac:dyDescent="0.35">
      <c r="S1545" s="47">
        <v>1541</v>
      </c>
      <c r="T1545" s="47" t="s">
        <v>4284</v>
      </c>
      <c r="U1545" s="47" t="s">
        <v>4557</v>
      </c>
      <c r="V1545" s="48">
        <v>4.6955645161290326E-2</v>
      </c>
      <c r="W1545" s="13"/>
      <c r="X1545" s="34">
        <v>1541</v>
      </c>
      <c r="Y1545" s="34" t="s">
        <v>2248</v>
      </c>
      <c r="Z1545" s="34" t="s">
        <v>4755</v>
      </c>
      <c r="AA1545" s="35">
        <v>7.8487903225806454E-5</v>
      </c>
      <c r="AB1545" s="13"/>
      <c r="AC1545" s="47">
        <v>1541</v>
      </c>
      <c r="AD1545" s="47" t="s">
        <v>4573</v>
      </c>
      <c r="AE1545" s="47" t="s">
        <v>4395</v>
      </c>
      <c r="AF1545" s="56">
        <v>1.665725806451613E-3</v>
      </c>
    </row>
    <row r="1546" spans="19:32" x14ac:dyDescent="0.35">
      <c r="S1546" s="47">
        <v>1542</v>
      </c>
      <c r="T1546" s="47" t="s">
        <v>4284</v>
      </c>
      <c r="U1546" s="47" t="s">
        <v>4556</v>
      </c>
      <c r="V1546" s="48">
        <v>9.0483870967741943E-3</v>
      </c>
      <c r="W1546" s="13"/>
      <c r="X1546" s="34">
        <v>1542</v>
      </c>
      <c r="Y1546" s="34" t="s">
        <v>2248</v>
      </c>
      <c r="Z1546" s="34" t="s">
        <v>3380</v>
      </c>
      <c r="AA1546" s="35">
        <v>44.160000000000004</v>
      </c>
      <c r="AB1546" s="13"/>
      <c r="AC1546" s="34">
        <v>1542</v>
      </c>
      <c r="AD1546" s="34" t="s">
        <v>4573</v>
      </c>
      <c r="AE1546" s="34" t="s">
        <v>4394</v>
      </c>
      <c r="AF1546" s="35">
        <v>0.15971774193548388</v>
      </c>
    </row>
    <row r="1547" spans="19:32" x14ac:dyDescent="0.35">
      <c r="S1547" s="47">
        <v>1543</v>
      </c>
      <c r="T1547" s="47" t="s">
        <v>4284</v>
      </c>
      <c r="U1547" s="47" t="s">
        <v>4555</v>
      </c>
      <c r="V1547" s="48">
        <v>3.3931451612903232E-4</v>
      </c>
      <c r="W1547" s="13"/>
      <c r="X1547" s="34">
        <v>1543</v>
      </c>
      <c r="Y1547" s="34" t="s">
        <v>2248</v>
      </c>
      <c r="Z1547" s="34" t="s">
        <v>5352</v>
      </c>
      <c r="AA1547" s="35">
        <v>2.5568548387096778E-4</v>
      </c>
      <c r="AB1547" s="13"/>
      <c r="AC1547" s="47">
        <v>1543</v>
      </c>
      <c r="AD1547" s="47" t="s">
        <v>4573</v>
      </c>
      <c r="AE1547" s="47" t="s">
        <v>4393</v>
      </c>
      <c r="AF1547" s="56">
        <v>1.7993951612903226E-2</v>
      </c>
    </row>
    <row r="1548" spans="19:32" x14ac:dyDescent="0.35">
      <c r="S1548" s="47">
        <v>1544</v>
      </c>
      <c r="T1548" s="47" t="s">
        <v>4284</v>
      </c>
      <c r="U1548" s="47" t="s">
        <v>3272</v>
      </c>
      <c r="V1548" s="48">
        <v>0</v>
      </c>
      <c r="W1548" s="17"/>
      <c r="X1548" s="34">
        <v>1544</v>
      </c>
      <c r="Y1548" s="34" t="s">
        <v>2248</v>
      </c>
      <c r="Z1548" s="34" t="s">
        <v>4754</v>
      </c>
      <c r="AA1548" s="35">
        <v>1.3881048387096774E-4</v>
      </c>
      <c r="AB1548" s="13"/>
      <c r="AC1548" s="34">
        <v>1544</v>
      </c>
      <c r="AD1548" s="34" t="s">
        <v>4573</v>
      </c>
      <c r="AE1548" s="34" t="s">
        <v>4392</v>
      </c>
      <c r="AF1548" s="35">
        <v>9.1512096774193554E-3</v>
      </c>
    </row>
    <row r="1549" spans="19:32" x14ac:dyDescent="0.35">
      <c r="S1549" s="34">
        <v>1545</v>
      </c>
      <c r="T1549" s="34" t="s">
        <v>4284</v>
      </c>
      <c r="U1549" s="34" t="s">
        <v>4553</v>
      </c>
      <c r="V1549" s="35">
        <v>0.21558467741935486</v>
      </c>
      <c r="W1549" s="18"/>
      <c r="X1549" s="47">
        <v>1545</v>
      </c>
      <c r="Y1549" s="47" t="s">
        <v>2248</v>
      </c>
      <c r="Z1549" s="47" t="s">
        <v>3379</v>
      </c>
      <c r="AA1549" s="48">
        <v>4.4159999999999998E-2</v>
      </c>
      <c r="AB1549" s="13"/>
      <c r="AC1549" s="47">
        <v>1545</v>
      </c>
      <c r="AD1549" s="47" t="s">
        <v>4573</v>
      </c>
      <c r="AE1549" s="47" t="s">
        <v>4391</v>
      </c>
      <c r="AF1549" s="56">
        <v>2.3820564516129034E-2</v>
      </c>
    </row>
    <row r="1550" spans="19:32" x14ac:dyDescent="0.35">
      <c r="S1550" s="47">
        <v>1546</v>
      </c>
      <c r="T1550" s="47" t="s">
        <v>4284</v>
      </c>
      <c r="U1550" s="47" t="s">
        <v>4552</v>
      </c>
      <c r="V1550" s="48">
        <v>3.4616935483870973E-2</v>
      </c>
      <c r="W1550" s="13"/>
      <c r="X1550" s="34">
        <v>1546</v>
      </c>
      <c r="Y1550" s="34" t="s">
        <v>2248</v>
      </c>
      <c r="Z1550" s="34" t="s">
        <v>3671</v>
      </c>
      <c r="AA1550" s="35">
        <v>5.5181451612903239E-4</v>
      </c>
      <c r="AB1550" s="13"/>
      <c r="AC1550" s="34">
        <v>1546</v>
      </c>
      <c r="AD1550" s="34" t="s">
        <v>4573</v>
      </c>
      <c r="AE1550" s="34" t="s">
        <v>4390</v>
      </c>
      <c r="AF1550" s="35">
        <v>2.5637096774193551E-2</v>
      </c>
    </row>
    <row r="1551" spans="19:32" x14ac:dyDescent="0.35">
      <c r="S1551" s="34">
        <v>1547</v>
      </c>
      <c r="T1551" s="34" t="s">
        <v>4284</v>
      </c>
      <c r="U1551" s="34" t="s">
        <v>3271</v>
      </c>
      <c r="V1551" s="35">
        <v>9.425403225806452E-4</v>
      </c>
      <c r="W1551" s="13"/>
      <c r="X1551" s="34">
        <v>1547</v>
      </c>
      <c r="Y1551" s="34" t="s">
        <v>2248</v>
      </c>
      <c r="Z1551" s="34" t="s">
        <v>3379</v>
      </c>
      <c r="AA1551" s="35">
        <v>3.6673387096774194E-4</v>
      </c>
      <c r="AB1551" s="13"/>
      <c r="AC1551" s="47">
        <v>1547</v>
      </c>
      <c r="AD1551" s="47" t="s">
        <v>4573</v>
      </c>
      <c r="AE1551" s="47" t="s">
        <v>3201</v>
      </c>
      <c r="AF1551" s="48">
        <v>7.0472E-3</v>
      </c>
    </row>
    <row r="1552" spans="19:32" x14ac:dyDescent="0.35">
      <c r="S1552" s="47">
        <v>1548</v>
      </c>
      <c r="T1552" s="47" t="s">
        <v>4284</v>
      </c>
      <c r="U1552" s="47" t="s">
        <v>3271</v>
      </c>
      <c r="V1552" s="48">
        <v>0.37628</v>
      </c>
      <c r="W1552" s="13"/>
      <c r="X1552" s="47">
        <v>1548</v>
      </c>
      <c r="Y1552" s="47" t="s">
        <v>2248</v>
      </c>
      <c r="Z1552" s="47" t="s">
        <v>3377</v>
      </c>
      <c r="AA1552" s="48">
        <v>0</v>
      </c>
      <c r="AB1552" s="13"/>
      <c r="AC1552" s="47">
        <v>1548</v>
      </c>
      <c r="AD1552" s="47" t="s">
        <v>4573</v>
      </c>
      <c r="AE1552" s="47" t="s">
        <v>4388</v>
      </c>
      <c r="AF1552" s="56">
        <v>9.425403225806452E-4</v>
      </c>
    </row>
    <row r="1553" spans="19:32" x14ac:dyDescent="0.35">
      <c r="S1553" s="47">
        <v>1549</v>
      </c>
      <c r="T1553" s="47" t="s">
        <v>4284</v>
      </c>
      <c r="U1553" s="47" t="s">
        <v>3270</v>
      </c>
      <c r="V1553" s="48">
        <v>0</v>
      </c>
      <c r="W1553" s="13"/>
      <c r="X1553" s="34">
        <v>1549</v>
      </c>
      <c r="Y1553" s="34" t="s">
        <v>2248</v>
      </c>
      <c r="Z1553" s="34" t="s">
        <v>5351</v>
      </c>
      <c r="AA1553" s="35">
        <v>5.1754032258064517E-4</v>
      </c>
      <c r="AB1553" s="13"/>
      <c r="AC1553" s="47">
        <v>1549</v>
      </c>
      <c r="AD1553" s="47" t="s">
        <v>4573</v>
      </c>
      <c r="AE1553" s="47" t="s">
        <v>4385</v>
      </c>
      <c r="AF1553" s="56">
        <v>7.9858870967741934E-3</v>
      </c>
    </row>
    <row r="1554" spans="19:32" x14ac:dyDescent="0.35">
      <c r="S1554" s="47">
        <v>1550</v>
      </c>
      <c r="T1554" s="47" t="s">
        <v>4284</v>
      </c>
      <c r="U1554" s="47" t="s">
        <v>3268</v>
      </c>
      <c r="V1554" s="48">
        <v>0</v>
      </c>
      <c r="W1554" s="13"/>
      <c r="X1554" s="47">
        <v>1550</v>
      </c>
      <c r="Y1554" s="47" t="s">
        <v>2248</v>
      </c>
      <c r="Z1554" s="47" t="s">
        <v>3375</v>
      </c>
      <c r="AA1554" s="48">
        <v>0</v>
      </c>
      <c r="AB1554" s="13"/>
      <c r="AC1554" s="47">
        <v>1550</v>
      </c>
      <c r="AD1554" s="47" t="s">
        <v>4573</v>
      </c>
      <c r="AE1554" s="47" t="s">
        <v>4382</v>
      </c>
      <c r="AF1554" s="56">
        <v>6.3750000000000005E-3</v>
      </c>
    </row>
    <row r="1555" spans="19:32" x14ac:dyDescent="0.35">
      <c r="S1555" s="47">
        <v>1551</v>
      </c>
      <c r="T1555" s="47" t="s">
        <v>4284</v>
      </c>
      <c r="U1555" s="47" t="s">
        <v>4551</v>
      </c>
      <c r="V1555" s="48">
        <v>1.3743951612903225E-4</v>
      </c>
      <c r="W1555" s="13"/>
      <c r="X1555" s="34">
        <v>1551</v>
      </c>
      <c r="Y1555" s="34" t="s">
        <v>2248</v>
      </c>
      <c r="Z1555" s="34" t="s">
        <v>3375</v>
      </c>
      <c r="AA1555" s="35">
        <v>2.0153225806451613E-4</v>
      </c>
      <c r="AB1555" s="13"/>
      <c r="AC1555" s="47">
        <v>1551</v>
      </c>
      <c r="AD1555" s="47" t="s">
        <v>4573</v>
      </c>
      <c r="AE1555" s="47" t="s">
        <v>3200</v>
      </c>
      <c r="AF1555" s="56">
        <v>2.2758064516129038E-3</v>
      </c>
    </row>
    <row r="1556" spans="19:32" x14ac:dyDescent="0.35">
      <c r="S1556" s="34">
        <v>1552</v>
      </c>
      <c r="T1556" s="34" t="s">
        <v>4284</v>
      </c>
      <c r="U1556" s="34" t="s">
        <v>4550</v>
      </c>
      <c r="V1556" s="35">
        <v>0.50383064516129039</v>
      </c>
      <c r="W1556" s="13"/>
      <c r="X1556" s="34">
        <v>1552</v>
      </c>
      <c r="Y1556" s="34" t="s">
        <v>2248</v>
      </c>
      <c r="Z1556" s="34" t="s">
        <v>4753</v>
      </c>
      <c r="AA1556" s="35">
        <v>1.1036290322580648E-3</v>
      </c>
      <c r="AB1556" s="13"/>
      <c r="AC1556" s="47">
        <v>1552</v>
      </c>
      <c r="AD1556" s="47" t="s">
        <v>4573</v>
      </c>
      <c r="AE1556" s="47" t="s">
        <v>3200</v>
      </c>
      <c r="AF1556" s="48">
        <v>0</v>
      </c>
    </row>
    <row r="1557" spans="19:32" x14ac:dyDescent="0.35">
      <c r="S1557" s="47">
        <v>1553</v>
      </c>
      <c r="T1557" s="47" t="s">
        <v>4284</v>
      </c>
      <c r="U1557" s="47" t="s">
        <v>4549</v>
      </c>
      <c r="V1557" s="48">
        <v>0.13504032258064516</v>
      </c>
      <c r="W1557" s="13"/>
      <c r="X1557" s="34">
        <v>1553</v>
      </c>
      <c r="Y1557" s="34" t="s">
        <v>2248</v>
      </c>
      <c r="Z1557" s="34" t="s">
        <v>3668</v>
      </c>
      <c r="AA1557" s="35">
        <v>1.936491935483871E-5</v>
      </c>
      <c r="AB1557" s="13"/>
      <c r="AC1557" s="34">
        <v>1553</v>
      </c>
      <c r="AD1557" s="34" t="s">
        <v>4573</v>
      </c>
      <c r="AE1557" s="34" t="s">
        <v>4379</v>
      </c>
      <c r="AF1557" s="35">
        <v>3.0469758064516133E-3</v>
      </c>
    </row>
    <row r="1558" spans="19:32" x14ac:dyDescent="0.35">
      <c r="S1558" s="47">
        <v>1554</v>
      </c>
      <c r="T1558" s="47" t="s">
        <v>4284</v>
      </c>
      <c r="U1558" s="47" t="s">
        <v>4548</v>
      </c>
      <c r="V1558" s="48">
        <v>5.7580645161290328E-2</v>
      </c>
      <c r="W1558" s="13"/>
      <c r="X1558" s="34">
        <v>1554</v>
      </c>
      <c r="Y1558" s="34" t="s">
        <v>2248</v>
      </c>
      <c r="Z1558" s="34" t="s">
        <v>4752</v>
      </c>
      <c r="AA1558" s="35">
        <v>9.082661290322581E-4</v>
      </c>
      <c r="AB1558" s="13"/>
      <c r="AC1558" s="47">
        <v>1554</v>
      </c>
      <c r="AD1558" s="47" t="s">
        <v>4573</v>
      </c>
      <c r="AE1558" s="47" t="s">
        <v>4377</v>
      </c>
      <c r="AF1558" s="56">
        <v>2.2209677419354839E-3</v>
      </c>
    </row>
    <row r="1559" spans="19:32" x14ac:dyDescent="0.35">
      <c r="S1559" s="47">
        <v>1555</v>
      </c>
      <c r="T1559" s="47" t="s">
        <v>4284</v>
      </c>
      <c r="U1559" s="47" t="s">
        <v>3267</v>
      </c>
      <c r="V1559" s="48">
        <v>0</v>
      </c>
      <c r="W1559" s="13"/>
      <c r="X1559" s="34">
        <v>1555</v>
      </c>
      <c r="Y1559" s="34" t="s">
        <v>2248</v>
      </c>
      <c r="Z1559" s="34" t="s">
        <v>4750</v>
      </c>
      <c r="AA1559" s="35">
        <v>6.5806451612903227E-3</v>
      </c>
      <c r="AB1559" s="13"/>
      <c r="AC1559" s="47">
        <v>1555</v>
      </c>
      <c r="AD1559" s="47" t="s">
        <v>4573</v>
      </c>
      <c r="AE1559" s="47" t="s">
        <v>3199</v>
      </c>
      <c r="AF1559" s="48">
        <v>0.34683999999999998</v>
      </c>
    </row>
    <row r="1560" spans="19:32" x14ac:dyDescent="0.35">
      <c r="S1560" s="47">
        <v>1556</v>
      </c>
      <c r="T1560" s="47" t="s">
        <v>4284</v>
      </c>
      <c r="U1560" s="47" t="s">
        <v>3266</v>
      </c>
      <c r="V1560" s="48">
        <v>3.5302419354838713E-4</v>
      </c>
      <c r="W1560" s="13"/>
      <c r="X1560" s="34">
        <v>1556</v>
      </c>
      <c r="Y1560" s="34" t="s">
        <v>2248</v>
      </c>
      <c r="Z1560" s="34" t="s">
        <v>5350</v>
      </c>
      <c r="AA1560" s="35">
        <v>6.9576612903225811E-7</v>
      </c>
      <c r="AB1560" s="13"/>
      <c r="AC1560" s="34">
        <v>1556</v>
      </c>
      <c r="AD1560" s="34" t="s">
        <v>4573</v>
      </c>
      <c r="AE1560" s="34" t="s">
        <v>4374</v>
      </c>
      <c r="AF1560" s="35">
        <v>0.95967741935483875</v>
      </c>
    </row>
    <row r="1561" spans="19:32" x14ac:dyDescent="0.35">
      <c r="S1561" s="47">
        <v>1557</v>
      </c>
      <c r="T1561" s="47" t="s">
        <v>4284</v>
      </c>
      <c r="U1561" s="47" t="s">
        <v>3266</v>
      </c>
      <c r="V1561" s="48">
        <v>0.37352000000000002</v>
      </c>
      <c r="W1561" s="13"/>
      <c r="X1561" s="34">
        <v>1557</v>
      </c>
      <c r="Y1561" s="34" t="s">
        <v>2248</v>
      </c>
      <c r="Z1561" s="34" t="s">
        <v>4749</v>
      </c>
      <c r="AA1561" s="35">
        <v>1.1893145161290324E-2</v>
      </c>
      <c r="AB1561" s="13"/>
      <c r="AC1561" s="47">
        <v>1557</v>
      </c>
      <c r="AD1561" s="47" t="s">
        <v>4573</v>
      </c>
      <c r="AE1561" s="47" t="s">
        <v>4373</v>
      </c>
      <c r="AF1561" s="56">
        <v>1.0864919354838711E-3</v>
      </c>
    </row>
    <row r="1562" spans="19:32" x14ac:dyDescent="0.35">
      <c r="S1562" s="47">
        <v>1558</v>
      </c>
      <c r="T1562" s="47" t="s">
        <v>4284</v>
      </c>
      <c r="U1562" s="47" t="s">
        <v>3264</v>
      </c>
      <c r="V1562" s="48">
        <v>0</v>
      </c>
      <c r="W1562" s="13"/>
      <c r="X1562" s="47">
        <v>1558</v>
      </c>
      <c r="Y1562" s="47" t="s">
        <v>2248</v>
      </c>
      <c r="Z1562" s="47" t="s">
        <v>3374</v>
      </c>
      <c r="AA1562" s="48">
        <v>0</v>
      </c>
      <c r="AB1562" s="13"/>
      <c r="AC1562" s="34">
        <v>1558</v>
      </c>
      <c r="AD1562" s="34" t="s">
        <v>4573</v>
      </c>
      <c r="AE1562" s="34" t="s">
        <v>4370</v>
      </c>
      <c r="AF1562" s="35">
        <v>4.9697580645161298E-3</v>
      </c>
    </row>
    <row r="1563" spans="19:32" x14ac:dyDescent="0.35">
      <c r="S1563" s="47">
        <v>1559</v>
      </c>
      <c r="T1563" s="47" t="s">
        <v>4284</v>
      </c>
      <c r="U1563" s="47" t="s">
        <v>4547</v>
      </c>
      <c r="V1563" s="48">
        <v>1.7754032258064518E-4</v>
      </c>
      <c r="W1563" s="13"/>
      <c r="X1563" s="34">
        <v>1559</v>
      </c>
      <c r="Y1563" s="34" t="s">
        <v>2248</v>
      </c>
      <c r="Z1563" s="34" t="s">
        <v>4748</v>
      </c>
      <c r="AA1563" s="35">
        <v>2.4643145161290324E-4</v>
      </c>
      <c r="AB1563" s="13"/>
      <c r="AC1563" s="47">
        <v>1559</v>
      </c>
      <c r="AD1563" s="47" t="s">
        <v>4573</v>
      </c>
      <c r="AE1563" s="47" t="s">
        <v>4368</v>
      </c>
      <c r="AF1563" s="56">
        <v>1.3058467741935484E-2</v>
      </c>
    </row>
    <row r="1564" spans="19:32" x14ac:dyDescent="0.35">
      <c r="S1564" s="34">
        <v>1560</v>
      </c>
      <c r="T1564" s="34" t="s">
        <v>4284</v>
      </c>
      <c r="U1564" s="34" t="s">
        <v>4546</v>
      </c>
      <c r="V1564" s="35">
        <v>1.9947580645161292E-2</v>
      </c>
      <c r="W1564" s="13"/>
      <c r="X1564" s="34">
        <v>1560</v>
      </c>
      <c r="Y1564" s="34" t="s">
        <v>2248</v>
      </c>
      <c r="Z1564" s="34" t="s">
        <v>5349</v>
      </c>
      <c r="AA1564" s="35">
        <v>3.9415322580645161E-3</v>
      </c>
      <c r="AB1564" s="13"/>
      <c r="AC1564" s="47">
        <v>1560</v>
      </c>
      <c r="AD1564" s="47" t="s">
        <v>4573</v>
      </c>
      <c r="AE1564" s="47" t="s">
        <v>4367</v>
      </c>
      <c r="AF1564" s="56">
        <v>7.574596774193549E-3</v>
      </c>
    </row>
    <row r="1565" spans="19:32" x14ac:dyDescent="0.35">
      <c r="S1565" s="47">
        <v>1561</v>
      </c>
      <c r="T1565" s="47" t="s">
        <v>4284</v>
      </c>
      <c r="U1565" s="47" t="s">
        <v>3263</v>
      </c>
      <c r="V1565" s="48">
        <v>65.411999999999992</v>
      </c>
      <c r="W1565" s="13"/>
      <c r="X1565" s="34">
        <v>1561</v>
      </c>
      <c r="Y1565" s="34" t="s">
        <v>2248</v>
      </c>
      <c r="Z1565" s="34" t="s">
        <v>4747</v>
      </c>
      <c r="AA1565" s="35">
        <v>3.2012096774193554E-3</v>
      </c>
      <c r="AB1565" s="13"/>
      <c r="AC1565" s="47">
        <v>1561</v>
      </c>
      <c r="AD1565" s="47" t="s">
        <v>4573</v>
      </c>
      <c r="AE1565" s="47" t="s">
        <v>4364</v>
      </c>
      <c r="AF1565" s="56">
        <v>1.0659274193548388E-3</v>
      </c>
    </row>
    <row r="1566" spans="19:32" x14ac:dyDescent="0.35">
      <c r="S1566" s="47">
        <v>1562</v>
      </c>
      <c r="T1566" s="47" t="s">
        <v>4284</v>
      </c>
      <c r="U1566" s="47" t="s">
        <v>4545</v>
      </c>
      <c r="V1566" s="48">
        <v>0.40443548387096778</v>
      </c>
      <c r="W1566" s="13"/>
      <c r="X1566" s="34">
        <v>1562</v>
      </c>
      <c r="Y1566" s="34" t="s">
        <v>2248</v>
      </c>
      <c r="Z1566" s="34" t="s">
        <v>4746</v>
      </c>
      <c r="AA1566" s="35">
        <v>6.6491935483870967E-4</v>
      </c>
      <c r="AB1566" s="13"/>
      <c r="AC1566" s="47">
        <v>1562</v>
      </c>
      <c r="AD1566" s="47" t="s">
        <v>4573</v>
      </c>
      <c r="AE1566" s="47" t="s">
        <v>3198</v>
      </c>
      <c r="AF1566" s="56">
        <v>1.6931451612903228</v>
      </c>
    </row>
    <row r="1567" spans="19:32" x14ac:dyDescent="0.35">
      <c r="S1567" s="34">
        <v>1563</v>
      </c>
      <c r="T1567" s="34" t="s">
        <v>4284</v>
      </c>
      <c r="U1567" s="34" t="s">
        <v>4544</v>
      </c>
      <c r="V1567" s="35">
        <v>9.5282258064516138E-4</v>
      </c>
      <c r="W1567" s="13"/>
      <c r="X1567" s="34">
        <v>1563</v>
      </c>
      <c r="Y1567" s="34" t="s">
        <v>2248</v>
      </c>
      <c r="Z1567" s="34" t="s">
        <v>3665</v>
      </c>
      <c r="AA1567" s="35">
        <v>2.1181451612903226E-4</v>
      </c>
      <c r="AB1567" s="13"/>
      <c r="AC1567" s="47">
        <v>1563</v>
      </c>
      <c r="AD1567" s="47" t="s">
        <v>4573</v>
      </c>
      <c r="AE1567" s="47" t="s">
        <v>3198</v>
      </c>
      <c r="AF1567" s="48">
        <v>0</v>
      </c>
    </row>
    <row r="1568" spans="19:32" x14ac:dyDescent="0.35">
      <c r="S1568" s="47">
        <v>1564</v>
      </c>
      <c r="T1568" s="47" t="s">
        <v>4284</v>
      </c>
      <c r="U1568" s="47" t="s">
        <v>4543</v>
      </c>
      <c r="V1568" s="48">
        <v>3.4616935483870973E-2</v>
      </c>
      <c r="W1568" s="13"/>
      <c r="X1568" s="34">
        <v>1564</v>
      </c>
      <c r="Y1568" s="34" t="s">
        <v>2248</v>
      </c>
      <c r="Z1568" s="34" t="s">
        <v>4745</v>
      </c>
      <c r="AA1568" s="35">
        <v>2.5774193548387095E-4</v>
      </c>
      <c r="AB1568" s="13"/>
      <c r="AC1568" s="34">
        <v>1564</v>
      </c>
      <c r="AD1568" s="34" t="s">
        <v>4573</v>
      </c>
      <c r="AE1568" s="34" t="s">
        <v>4359</v>
      </c>
      <c r="AF1568" s="35">
        <v>1.3024193548387098E-3</v>
      </c>
    </row>
    <row r="1569" spans="19:32" x14ac:dyDescent="0.35">
      <c r="S1569" s="34">
        <v>1565</v>
      </c>
      <c r="T1569" s="34" t="s">
        <v>4284</v>
      </c>
      <c r="U1569" s="34" t="s">
        <v>3261</v>
      </c>
      <c r="V1569" s="35">
        <v>2.6322580645161292E-3</v>
      </c>
      <c r="W1569" s="13"/>
      <c r="X1569" s="34">
        <v>1565</v>
      </c>
      <c r="Y1569" s="34" t="s">
        <v>2248</v>
      </c>
      <c r="Z1569" s="34" t="s">
        <v>4744</v>
      </c>
      <c r="AA1569" s="35">
        <v>3.2046370967741939E-3</v>
      </c>
      <c r="AB1569" s="13"/>
      <c r="AC1569" s="47">
        <v>1565</v>
      </c>
      <c r="AD1569" s="47" t="s">
        <v>4573</v>
      </c>
      <c r="AE1569" s="47" t="s">
        <v>4356</v>
      </c>
      <c r="AF1569" s="56">
        <v>4.4556451612903232E-2</v>
      </c>
    </row>
    <row r="1570" spans="19:32" x14ac:dyDescent="0.35">
      <c r="S1570" s="47">
        <v>1566</v>
      </c>
      <c r="T1570" s="47" t="s">
        <v>4284</v>
      </c>
      <c r="U1570" s="47" t="s">
        <v>3261</v>
      </c>
      <c r="V1570" s="48">
        <v>0</v>
      </c>
      <c r="W1570" s="13"/>
      <c r="X1570" s="34">
        <v>1566</v>
      </c>
      <c r="Y1570" s="34" t="s">
        <v>2248</v>
      </c>
      <c r="Z1570" s="34" t="s">
        <v>5348</v>
      </c>
      <c r="AA1570" s="35">
        <v>1.9673387096774195E-4</v>
      </c>
      <c r="AB1570" s="13"/>
      <c r="AC1570" s="34">
        <v>1566</v>
      </c>
      <c r="AD1570" s="34" t="s">
        <v>4573</v>
      </c>
      <c r="AE1570" s="34" t="s">
        <v>4353</v>
      </c>
      <c r="AF1570" s="35">
        <v>3.249193548387097E-4</v>
      </c>
    </row>
    <row r="1571" spans="19:32" x14ac:dyDescent="0.35">
      <c r="S1571" s="47">
        <v>1567</v>
      </c>
      <c r="T1571" s="47" t="s">
        <v>4284</v>
      </c>
      <c r="U1571" s="47" t="s">
        <v>3260</v>
      </c>
      <c r="V1571" s="48">
        <v>5.0040322580645162E-2</v>
      </c>
      <c r="W1571" s="13"/>
      <c r="X1571" s="34">
        <v>1567</v>
      </c>
      <c r="Y1571" s="34" t="s">
        <v>2248</v>
      </c>
      <c r="Z1571" s="34" t="s">
        <v>4743</v>
      </c>
      <c r="AA1571" s="35">
        <v>2.196975806451613E-4</v>
      </c>
      <c r="AB1571" s="13"/>
      <c r="AC1571" s="47">
        <v>1567</v>
      </c>
      <c r="AD1571" s="47" t="s">
        <v>4573</v>
      </c>
      <c r="AE1571" s="47" t="s">
        <v>4351</v>
      </c>
      <c r="AF1571" s="56">
        <v>2.2655241935483873E-4</v>
      </c>
    </row>
    <row r="1572" spans="19:32" x14ac:dyDescent="0.35">
      <c r="S1572" s="47">
        <v>1568</v>
      </c>
      <c r="T1572" s="47" t="s">
        <v>4284</v>
      </c>
      <c r="U1572" s="47" t="s">
        <v>3260</v>
      </c>
      <c r="V1572" s="48">
        <v>0</v>
      </c>
      <c r="W1572" s="13"/>
      <c r="X1572" s="47">
        <v>1568</v>
      </c>
      <c r="Y1572" s="47" t="s">
        <v>2248</v>
      </c>
      <c r="Z1572" s="47" t="s">
        <v>3372</v>
      </c>
      <c r="AA1572" s="48">
        <v>31.924000000000003</v>
      </c>
      <c r="AB1572" s="13"/>
      <c r="AC1572" s="47">
        <v>1568</v>
      </c>
      <c r="AD1572" s="47" t="s">
        <v>4573</v>
      </c>
      <c r="AE1572" s="47" t="s">
        <v>3196</v>
      </c>
      <c r="AF1572" s="48">
        <v>1.012</v>
      </c>
    </row>
    <row r="1573" spans="19:32" x14ac:dyDescent="0.35">
      <c r="S1573" s="47">
        <v>1569</v>
      </c>
      <c r="T1573" s="47" t="s">
        <v>4284</v>
      </c>
      <c r="U1573" s="47" t="s">
        <v>4542</v>
      </c>
      <c r="V1573" s="48">
        <v>1.5903225806451614E-2</v>
      </c>
      <c r="W1573" s="13"/>
      <c r="X1573" s="34">
        <v>1569</v>
      </c>
      <c r="Y1573" s="34" t="s">
        <v>2248</v>
      </c>
      <c r="Z1573" s="34" t="s">
        <v>3372</v>
      </c>
      <c r="AA1573" s="35">
        <v>4.0443548387096772E-5</v>
      </c>
      <c r="AB1573" s="13"/>
      <c r="AC1573" s="47">
        <v>1569</v>
      </c>
      <c r="AD1573" s="47" t="s">
        <v>4573</v>
      </c>
      <c r="AE1573" s="47" t="s">
        <v>3195</v>
      </c>
      <c r="AF1573" s="48">
        <v>6.7343999999999999</v>
      </c>
    </row>
    <row r="1574" spans="19:32" x14ac:dyDescent="0.35">
      <c r="S1574" s="47">
        <v>1570</v>
      </c>
      <c r="T1574" s="47" t="s">
        <v>4284</v>
      </c>
      <c r="U1574" s="47" t="s">
        <v>4541</v>
      </c>
      <c r="V1574" s="48">
        <v>1.8028225806451614E-3</v>
      </c>
      <c r="W1574" s="13"/>
      <c r="X1574" s="34">
        <v>1570</v>
      </c>
      <c r="Y1574" s="34" t="s">
        <v>2248</v>
      </c>
      <c r="Z1574" s="34" t="s">
        <v>5347</v>
      </c>
      <c r="AA1574" s="35">
        <v>5.2439516129032265E-5</v>
      </c>
      <c r="AB1574" s="13"/>
      <c r="AC1574" s="34">
        <v>1570</v>
      </c>
      <c r="AD1574" s="34" t="s">
        <v>4573</v>
      </c>
      <c r="AE1574" s="34" t="s">
        <v>4350</v>
      </c>
      <c r="AF1574" s="35">
        <v>1.0727822580645162E-2</v>
      </c>
    </row>
    <row r="1575" spans="19:32" x14ac:dyDescent="0.35">
      <c r="S1575" s="47">
        <v>1571</v>
      </c>
      <c r="T1575" s="47" t="s">
        <v>4284</v>
      </c>
      <c r="U1575" s="47" t="s">
        <v>3259</v>
      </c>
      <c r="V1575" s="48">
        <v>5.9979838709677422E-2</v>
      </c>
      <c r="W1575" s="13"/>
      <c r="X1575" s="34">
        <v>1571</v>
      </c>
      <c r="Y1575" s="34" t="s">
        <v>2248</v>
      </c>
      <c r="Z1575" s="34" t="s">
        <v>4741</v>
      </c>
      <c r="AA1575" s="35">
        <v>4.4213709677419358E-4</v>
      </c>
      <c r="AB1575" s="13"/>
      <c r="AC1575" s="47">
        <v>1571</v>
      </c>
      <c r="AD1575" s="47" t="s">
        <v>4573</v>
      </c>
      <c r="AE1575" s="47" t="s">
        <v>4347</v>
      </c>
      <c r="AF1575" s="56">
        <v>16760.080645161292</v>
      </c>
    </row>
    <row r="1576" spans="19:32" x14ac:dyDescent="0.35">
      <c r="S1576" s="47">
        <v>1572</v>
      </c>
      <c r="T1576" s="47" t="s">
        <v>4284</v>
      </c>
      <c r="U1576" s="47" t="s">
        <v>3259</v>
      </c>
      <c r="V1576" s="48">
        <v>278.76</v>
      </c>
      <c r="W1576" s="13"/>
      <c r="X1576" s="34">
        <v>1572</v>
      </c>
      <c r="Y1576" s="34" t="s">
        <v>2248</v>
      </c>
      <c r="Z1576" s="34" t="s">
        <v>4739</v>
      </c>
      <c r="AA1576" s="35">
        <v>3.5302419354838713E-3</v>
      </c>
      <c r="AB1576" s="13"/>
      <c r="AC1576" s="47">
        <v>1572</v>
      </c>
      <c r="AD1576" s="47" t="s">
        <v>4573</v>
      </c>
      <c r="AE1576" s="47" t="s">
        <v>4346</v>
      </c>
      <c r="AF1576" s="56">
        <v>176.16935483870969</v>
      </c>
    </row>
    <row r="1577" spans="19:32" x14ac:dyDescent="0.35">
      <c r="S1577" s="34">
        <v>1573</v>
      </c>
      <c r="T1577" s="34" t="s">
        <v>4284</v>
      </c>
      <c r="U1577" s="34" t="s">
        <v>4540</v>
      </c>
      <c r="V1577" s="35">
        <v>0.28310483870967745</v>
      </c>
      <c r="W1577" s="13"/>
      <c r="X1577" s="34">
        <v>1573</v>
      </c>
      <c r="Y1577" s="34" t="s">
        <v>2248</v>
      </c>
      <c r="Z1577" s="34" t="s">
        <v>5346</v>
      </c>
      <c r="AA1577" s="35">
        <v>1.1002016129032259E-4</v>
      </c>
      <c r="AB1577" s="13"/>
      <c r="AC1577" s="47">
        <v>1573</v>
      </c>
      <c r="AD1577" s="47" t="s">
        <v>4573</v>
      </c>
      <c r="AE1577" s="47" t="s">
        <v>4344</v>
      </c>
      <c r="AF1577" s="56">
        <v>19.227822580645164</v>
      </c>
    </row>
    <row r="1578" spans="19:32" x14ac:dyDescent="0.35">
      <c r="S1578" s="47">
        <v>1574</v>
      </c>
      <c r="T1578" s="47" t="s">
        <v>4284</v>
      </c>
      <c r="U1578" s="47" t="s">
        <v>4539</v>
      </c>
      <c r="V1578" s="48">
        <v>3.7358870967741938E-2</v>
      </c>
      <c r="W1578" s="13"/>
      <c r="X1578" s="34">
        <v>1574</v>
      </c>
      <c r="Y1578" s="34" t="s">
        <v>2248</v>
      </c>
      <c r="Z1578" s="34" t="s">
        <v>4738</v>
      </c>
      <c r="AA1578" s="35">
        <v>5.4153225806451621E-4</v>
      </c>
      <c r="AB1578" s="13"/>
      <c r="AC1578" s="47">
        <v>1574</v>
      </c>
      <c r="AD1578" s="47" t="s">
        <v>4573</v>
      </c>
      <c r="AE1578" s="47" t="s">
        <v>4341</v>
      </c>
      <c r="AF1578" s="56">
        <v>0.37358870967741936</v>
      </c>
    </row>
    <row r="1579" spans="19:32" x14ac:dyDescent="0.35">
      <c r="S1579" s="34">
        <v>1575</v>
      </c>
      <c r="T1579" s="34" t="s">
        <v>4284</v>
      </c>
      <c r="U1579" s="34" t="s">
        <v>4538</v>
      </c>
      <c r="V1579" s="35">
        <v>1.9090725806451616E-4</v>
      </c>
      <c r="W1579" s="13"/>
      <c r="X1579" s="47">
        <v>1575</v>
      </c>
      <c r="Y1579" s="47" t="s">
        <v>2248</v>
      </c>
      <c r="Z1579" s="47" t="s">
        <v>3371</v>
      </c>
      <c r="AA1579" s="48">
        <v>1.6468</v>
      </c>
      <c r="AB1579" s="13"/>
      <c r="AC1579" s="34">
        <v>1575</v>
      </c>
      <c r="AD1579" s="34" t="s">
        <v>4573</v>
      </c>
      <c r="AE1579" s="34" t="s">
        <v>4340</v>
      </c>
      <c r="AF1579" s="35">
        <v>0.15560483870967742</v>
      </c>
    </row>
    <row r="1580" spans="19:32" x14ac:dyDescent="0.35">
      <c r="S1580" s="47">
        <v>1576</v>
      </c>
      <c r="T1580" s="47" t="s">
        <v>4284</v>
      </c>
      <c r="U1580" s="47" t="s">
        <v>4537</v>
      </c>
      <c r="V1580" s="48">
        <v>2.5774193548387095E-4</v>
      </c>
      <c r="W1580" s="13"/>
      <c r="X1580" s="34">
        <v>1576</v>
      </c>
      <c r="Y1580" s="34" t="s">
        <v>2248</v>
      </c>
      <c r="Z1580" s="34" t="s">
        <v>5345</v>
      </c>
      <c r="AA1580" s="35">
        <v>7.8145161290322585E-4</v>
      </c>
      <c r="AB1580" s="13"/>
      <c r="AC1580" s="47">
        <v>1576</v>
      </c>
      <c r="AD1580" s="47" t="s">
        <v>4573</v>
      </c>
      <c r="AE1580" s="47" t="s">
        <v>4336</v>
      </c>
      <c r="AF1580" s="56">
        <v>1723.9919354838712</v>
      </c>
    </row>
    <row r="1581" spans="19:32" x14ac:dyDescent="0.35">
      <c r="S1581" s="47">
        <v>1577</v>
      </c>
      <c r="T1581" s="47" t="s">
        <v>4284</v>
      </c>
      <c r="U1581" s="47" t="s">
        <v>3258</v>
      </c>
      <c r="V1581" s="48">
        <v>5.7223999999999995</v>
      </c>
      <c r="W1581" s="13"/>
      <c r="X1581" s="34">
        <v>1577</v>
      </c>
      <c r="Y1581" s="34" t="s">
        <v>2248</v>
      </c>
      <c r="Z1581" s="34" t="s">
        <v>4737</v>
      </c>
      <c r="AA1581" s="35">
        <v>5.175403225806452E-2</v>
      </c>
      <c r="AB1581" s="13"/>
      <c r="AC1581" s="34">
        <v>1577</v>
      </c>
      <c r="AD1581" s="34" t="s">
        <v>4573</v>
      </c>
      <c r="AE1581" s="34" t="s">
        <v>4333</v>
      </c>
      <c r="AF1581" s="35">
        <v>7.9516129032258069</v>
      </c>
    </row>
    <row r="1582" spans="19:32" x14ac:dyDescent="0.35">
      <c r="S1582" s="34">
        <v>1578</v>
      </c>
      <c r="T1582" s="34" t="s">
        <v>4284</v>
      </c>
      <c r="U1582" s="34" t="s">
        <v>4536</v>
      </c>
      <c r="V1582" s="35">
        <v>0.22243951612903229</v>
      </c>
      <c r="W1582" s="13"/>
      <c r="X1582" s="47">
        <v>1578</v>
      </c>
      <c r="Y1582" s="47" t="s">
        <v>2248</v>
      </c>
      <c r="Z1582" s="47" t="s">
        <v>3370</v>
      </c>
      <c r="AA1582" s="48">
        <v>0</v>
      </c>
      <c r="AB1582" s="13"/>
      <c r="AC1582" s="47">
        <v>1578</v>
      </c>
      <c r="AD1582" s="47" t="s">
        <v>4573</v>
      </c>
      <c r="AE1582" s="47" t="s">
        <v>4330</v>
      </c>
      <c r="AF1582" s="56">
        <v>0.33622983870967743</v>
      </c>
    </row>
    <row r="1583" spans="19:32" x14ac:dyDescent="0.35">
      <c r="S1583" s="47">
        <v>1579</v>
      </c>
      <c r="T1583" s="47" t="s">
        <v>4284</v>
      </c>
      <c r="U1583" s="47" t="s">
        <v>4535</v>
      </c>
      <c r="V1583" s="48">
        <v>1.0830645161290324</v>
      </c>
      <c r="W1583" s="13"/>
      <c r="X1583" s="34">
        <v>1579</v>
      </c>
      <c r="Y1583" s="34" t="s">
        <v>2248</v>
      </c>
      <c r="Z1583" s="34" t="s">
        <v>4736</v>
      </c>
      <c r="AA1583" s="35">
        <v>1.2407258064516129E-2</v>
      </c>
      <c r="AB1583" s="13"/>
      <c r="AC1583" s="34">
        <v>1579</v>
      </c>
      <c r="AD1583" s="34" t="s">
        <v>4573</v>
      </c>
      <c r="AE1583" s="34" t="s">
        <v>4327</v>
      </c>
      <c r="AF1583" s="35">
        <v>0.15800403225806453</v>
      </c>
    </row>
    <row r="1584" spans="19:32" x14ac:dyDescent="0.35">
      <c r="S1584" s="47">
        <v>1580</v>
      </c>
      <c r="T1584" s="47" t="s">
        <v>4284</v>
      </c>
      <c r="U1584" s="47" t="s">
        <v>3257</v>
      </c>
      <c r="V1584" s="48">
        <v>4.2157258064516132E-2</v>
      </c>
      <c r="W1584" s="13"/>
      <c r="X1584" s="34">
        <v>1580</v>
      </c>
      <c r="Y1584" s="34" t="s">
        <v>2248</v>
      </c>
      <c r="Z1584" s="34" t="s">
        <v>5344</v>
      </c>
      <c r="AA1584" s="35">
        <v>9.3911290322580656E-6</v>
      </c>
      <c r="AB1584" s="13"/>
      <c r="AC1584" s="47">
        <v>1580</v>
      </c>
      <c r="AD1584" s="47" t="s">
        <v>4573</v>
      </c>
      <c r="AE1584" s="47" t="s">
        <v>4324</v>
      </c>
      <c r="AF1584" s="56">
        <v>0.95967741935483875</v>
      </c>
    </row>
    <row r="1585" spans="19:32" x14ac:dyDescent="0.35">
      <c r="S1585" s="47">
        <v>1581</v>
      </c>
      <c r="T1585" s="47" t="s">
        <v>4284</v>
      </c>
      <c r="U1585" s="47" t="s">
        <v>3257</v>
      </c>
      <c r="V1585" s="48">
        <v>0</v>
      </c>
      <c r="W1585" s="13"/>
      <c r="X1585" s="34">
        <v>1581</v>
      </c>
      <c r="Y1585" s="34" t="s">
        <v>2248</v>
      </c>
      <c r="Z1585" s="34" t="s">
        <v>4735</v>
      </c>
      <c r="AA1585" s="35">
        <v>1.9570564516129034E-4</v>
      </c>
      <c r="AB1585" s="13"/>
      <c r="AC1585" s="47">
        <v>1581</v>
      </c>
      <c r="AD1585" s="47" t="s">
        <v>4573</v>
      </c>
      <c r="AE1585" s="47" t="s">
        <v>4319</v>
      </c>
      <c r="AF1585" s="56">
        <v>2.3169354838709678E-2</v>
      </c>
    </row>
    <row r="1586" spans="19:32" x14ac:dyDescent="0.35">
      <c r="S1586" s="47">
        <v>1582</v>
      </c>
      <c r="T1586" s="47" t="s">
        <v>4284</v>
      </c>
      <c r="U1586" s="47" t="s">
        <v>4534</v>
      </c>
      <c r="V1586" s="48">
        <v>9.596774193548388E-2</v>
      </c>
      <c r="W1586" s="13"/>
      <c r="X1586" s="47">
        <v>1582</v>
      </c>
      <c r="Y1586" s="47" t="s">
        <v>2248</v>
      </c>
      <c r="Z1586" s="47" t="s">
        <v>3369</v>
      </c>
      <c r="AA1586" s="48">
        <v>4.0111999999999995E-3</v>
      </c>
      <c r="AB1586" s="13"/>
      <c r="AC1586" s="47">
        <v>1582</v>
      </c>
      <c r="AD1586" s="47" t="s">
        <v>4573</v>
      </c>
      <c r="AE1586" s="47" t="s">
        <v>4317</v>
      </c>
      <c r="AF1586" s="56">
        <v>0.10659274193548388</v>
      </c>
    </row>
    <row r="1587" spans="19:32" x14ac:dyDescent="0.35">
      <c r="S1587" s="47">
        <v>1583</v>
      </c>
      <c r="T1587" s="47" t="s">
        <v>4284</v>
      </c>
      <c r="U1587" s="47" t="s">
        <v>4533</v>
      </c>
      <c r="V1587" s="48">
        <v>7.3689516129032268E-3</v>
      </c>
      <c r="W1587" s="13"/>
      <c r="X1587" s="34">
        <v>1583</v>
      </c>
      <c r="Y1587" s="34" t="s">
        <v>2248</v>
      </c>
      <c r="Z1587" s="34" t="s">
        <v>3369</v>
      </c>
      <c r="AA1587" s="35">
        <v>9.4596774193548387E-3</v>
      </c>
      <c r="AB1587" s="13"/>
      <c r="AC1587" s="47">
        <v>1583</v>
      </c>
      <c r="AD1587" s="47" t="s">
        <v>4573</v>
      </c>
      <c r="AE1587" s="47" t="s">
        <v>3193</v>
      </c>
      <c r="AF1587" s="56">
        <v>3.8729838709677424E-3</v>
      </c>
    </row>
    <row r="1588" spans="19:32" x14ac:dyDescent="0.35">
      <c r="S1588" s="47">
        <v>1584</v>
      </c>
      <c r="T1588" s="47" t="s">
        <v>4284</v>
      </c>
      <c r="U1588" s="47" t="s">
        <v>3255</v>
      </c>
      <c r="V1588" s="48">
        <v>0</v>
      </c>
      <c r="W1588" s="13"/>
      <c r="X1588" s="34">
        <v>1584</v>
      </c>
      <c r="Y1588" s="34" t="s">
        <v>2248</v>
      </c>
      <c r="Z1588" s="34" t="s">
        <v>5343</v>
      </c>
      <c r="AA1588" s="35">
        <v>2.3854838709677418E-3</v>
      </c>
      <c r="AB1588" s="13"/>
      <c r="AC1588" s="47">
        <v>1584</v>
      </c>
      <c r="AD1588" s="47" t="s">
        <v>4573</v>
      </c>
      <c r="AE1588" s="47" t="s">
        <v>3193</v>
      </c>
      <c r="AF1588" s="48">
        <v>7.1208000000000007E-2</v>
      </c>
    </row>
    <row r="1589" spans="19:32" x14ac:dyDescent="0.35">
      <c r="S1589" s="34">
        <v>1585</v>
      </c>
      <c r="T1589" s="34" t="s">
        <v>4284</v>
      </c>
      <c r="U1589" s="34" t="s">
        <v>4532</v>
      </c>
      <c r="V1589" s="35">
        <v>1.1721774193548387E-4</v>
      </c>
      <c r="W1589" s="13"/>
      <c r="X1589" s="47">
        <v>1585</v>
      </c>
      <c r="Y1589" s="47" t="s">
        <v>2248</v>
      </c>
      <c r="Z1589" s="47" t="s">
        <v>3368</v>
      </c>
      <c r="AA1589" s="48">
        <v>0</v>
      </c>
      <c r="AB1589" s="13"/>
      <c r="AC1589" s="34">
        <v>1585</v>
      </c>
      <c r="AD1589" s="34" t="s">
        <v>4573</v>
      </c>
      <c r="AE1589" s="34" t="s">
        <v>4314</v>
      </c>
      <c r="AF1589" s="35">
        <v>1.4395161290322582</v>
      </c>
    </row>
    <row r="1590" spans="19:32" x14ac:dyDescent="0.35">
      <c r="S1590" s="47">
        <v>1586</v>
      </c>
      <c r="T1590" s="47" t="s">
        <v>4284</v>
      </c>
      <c r="U1590" s="47" t="s">
        <v>3254</v>
      </c>
      <c r="V1590" s="48">
        <v>5.6552419354838714E-4</v>
      </c>
      <c r="W1590" s="13"/>
      <c r="X1590" s="34">
        <v>1586</v>
      </c>
      <c r="Y1590" s="34" t="s">
        <v>2248</v>
      </c>
      <c r="Z1590" s="34" t="s">
        <v>3368</v>
      </c>
      <c r="AA1590" s="35">
        <v>1.346975806451613E-3</v>
      </c>
      <c r="AB1590" s="13"/>
      <c r="AC1590" s="47">
        <v>1586</v>
      </c>
      <c r="AD1590" s="47" t="s">
        <v>4573</v>
      </c>
      <c r="AE1590" s="47" t="s">
        <v>4310</v>
      </c>
      <c r="AF1590" s="56">
        <v>1.7822580645161292</v>
      </c>
    </row>
    <row r="1591" spans="19:32" x14ac:dyDescent="0.35">
      <c r="S1591" s="47">
        <v>1587</v>
      </c>
      <c r="T1591" s="47" t="s">
        <v>4284</v>
      </c>
      <c r="U1591" s="47" t="s">
        <v>3254</v>
      </c>
      <c r="V1591" s="48">
        <v>0</v>
      </c>
      <c r="W1591" s="13"/>
      <c r="X1591" s="34">
        <v>1587</v>
      </c>
      <c r="Y1591" s="34" t="s">
        <v>2248</v>
      </c>
      <c r="Z1591" s="34" t="s">
        <v>5342</v>
      </c>
      <c r="AA1591" s="35">
        <v>3.0298387096774193E-4</v>
      </c>
      <c r="AB1591" s="13"/>
      <c r="AC1591" s="34">
        <v>1587</v>
      </c>
      <c r="AD1591" s="34" t="s">
        <v>4573</v>
      </c>
      <c r="AE1591" s="34" t="s">
        <v>3192</v>
      </c>
      <c r="AF1591" s="35">
        <v>93.225806451612911</v>
      </c>
    </row>
    <row r="1592" spans="19:32" x14ac:dyDescent="0.35">
      <c r="S1592" s="34">
        <v>1588</v>
      </c>
      <c r="T1592" s="34" t="s">
        <v>4284</v>
      </c>
      <c r="U1592" s="34" t="s">
        <v>4531</v>
      </c>
      <c r="V1592" s="35">
        <v>3.7358870967741938E-2</v>
      </c>
      <c r="W1592" s="13"/>
      <c r="X1592" s="34">
        <v>1588</v>
      </c>
      <c r="Y1592" s="34" t="s">
        <v>2248</v>
      </c>
      <c r="Z1592" s="34" t="s">
        <v>4734</v>
      </c>
      <c r="AA1592" s="35">
        <v>3.1600806451612909E-4</v>
      </c>
      <c r="AB1592" s="13"/>
      <c r="AC1592" s="47">
        <v>1588</v>
      </c>
      <c r="AD1592" s="47" t="s">
        <v>4573</v>
      </c>
      <c r="AE1592" s="47" t="s">
        <v>3192</v>
      </c>
      <c r="AF1592" s="48">
        <v>29347.999999999996</v>
      </c>
    </row>
    <row r="1593" spans="19:32" x14ac:dyDescent="0.35">
      <c r="S1593" s="47">
        <v>1589</v>
      </c>
      <c r="T1593" s="47" t="s">
        <v>4284</v>
      </c>
      <c r="U1593" s="47" t="s">
        <v>3252</v>
      </c>
      <c r="V1593" s="48">
        <v>1.1995967741935485E-2</v>
      </c>
      <c r="W1593" s="13"/>
      <c r="X1593" s="47">
        <v>1589</v>
      </c>
      <c r="Y1593" s="47" t="s">
        <v>2248</v>
      </c>
      <c r="Z1593" s="47" t="s">
        <v>3367</v>
      </c>
      <c r="AA1593" s="48">
        <v>6.7068000000000003E-2</v>
      </c>
      <c r="AB1593" s="13"/>
      <c r="AC1593" s="47">
        <v>1589</v>
      </c>
      <c r="AD1593" s="47" t="s">
        <v>4573</v>
      </c>
      <c r="AE1593" s="47" t="s">
        <v>3190</v>
      </c>
      <c r="AF1593" s="56">
        <v>6.272177419354839</v>
      </c>
    </row>
    <row r="1594" spans="19:32" x14ac:dyDescent="0.35">
      <c r="S1594" s="47">
        <v>1590</v>
      </c>
      <c r="T1594" s="47" t="s">
        <v>4284</v>
      </c>
      <c r="U1594" s="47" t="s">
        <v>3252</v>
      </c>
      <c r="V1594" s="48">
        <v>0</v>
      </c>
      <c r="W1594" s="13"/>
      <c r="X1594" s="34">
        <v>1590</v>
      </c>
      <c r="Y1594" s="34" t="s">
        <v>2248</v>
      </c>
      <c r="Z1594" s="34" t="s">
        <v>5341</v>
      </c>
      <c r="AA1594" s="35">
        <v>5.381048387096775E-3</v>
      </c>
      <c r="AB1594" s="13"/>
      <c r="AC1594" s="47">
        <v>1590</v>
      </c>
      <c r="AD1594" s="47" t="s">
        <v>4573</v>
      </c>
      <c r="AE1594" s="47" t="s">
        <v>3190</v>
      </c>
      <c r="AF1594" s="48">
        <v>332.12</v>
      </c>
    </row>
    <row r="1595" spans="19:32" x14ac:dyDescent="0.35">
      <c r="S1595" s="34">
        <v>1591</v>
      </c>
      <c r="T1595" s="34" t="s">
        <v>4284</v>
      </c>
      <c r="U1595" s="34" t="s">
        <v>4530</v>
      </c>
      <c r="V1595" s="35">
        <v>1.2475806451612905E-4</v>
      </c>
      <c r="W1595" s="13"/>
      <c r="X1595" s="34">
        <v>1591</v>
      </c>
      <c r="Y1595" s="34" t="s">
        <v>2248</v>
      </c>
      <c r="Z1595" s="34" t="s">
        <v>3367</v>
      </c>
      <c r="AA1595" s="35">
        <v>1.0693548387096775E-3</v>
      </c>
      <c r="AB1595" s="13"/>
      <c r="AC1595" s="34">
        <v>1591</v>
      </c>
      <c r="AD1595" s="34" t="s">
        <v>4573</v>
      </c>
      <c r="AE1595" s="34" t="s">
        <v>3189</v>
      </c>
      <c r="AF1595" s="35">
        <v>9.5282258064516139</v>
      </c>
    </row>
    <row r="1596" spans="19:32" x14ac:dyDescent="0.35">
      <c r="S1596" s="47">
        <v>1592</v>
      </c>
      <c r="T1596" s="47" t="s">
        <v>4284</v>
      </c>
      <c r="U1596" s="47" t="s">
        <v>4529</v>
      </c>
      <c r="V1596" s="48">
        <v>1.346975806451613E-2</v>
      </c>
      <c r="W1596" s="13"/>
      <c r="X1596" s="34">
        <v>1592</v>
      </c>
      <c r="Y1596" s="34" t="s">
        <v>2248</v>
      </c>
      <c r="Z1596" s="34" t="s">
        <v>4732</v>
      </c>
      <c r="AA1596" s="35">
        <v>3.1292338709677419E-3</v>
      </c>
      <c r="AB1596" s="13"/>
      <c r="AC1596" s="47">
        <v>1592</v>
      </c>
      <c r="AD1596" s="47" t="s">
        <v>4573</v>
      </c>
      <c r="AE1596" s="47" t="s">
        <v>3189</v>
      </c>
      <c r="AF1596" s="48">
        <v>440.68</v>
      </c>
    </row>
    <row r="1597" spans="19:32" x14ac:dyDescent="0.35">
      <c r="S1597" s="47">
        <v>1593</v>
      </c>
      <c r="T1597" s="47" t="s">
        <v>4284</v>
      </c>
      <c r="U1597" s="47" t="s">
        <v>3251</v>
      </c>
      <c r="V1597" s="48">
        <v>1.9227822580645162E-2</v>
      </c>
      <c r="W1597" s="13"/>
      <c r="X1597" s="34">
        <v>1593</v>
      </c>
      <c r="Y1597" s="34" t="s">
        <v>2248</v>
      </c>
      <c r="Z1597" s="34" t="s">
        <v>5340</v>
      </c>
      <c r="AA1597" s="35">
        <v>1.9810483870967743E-5</v>
      </c>
      <c r="AB1597" s="13"/>
      <c r="AC1597" s="47">
        <v>1593</v>
      </c>
      <c r="AD1597" s="47" t="s">
        <v>4573</v>
      </c>
      <c r="AE1597" s="47" t="s">
        <v>3188</v>
      </c>
      <c r="AF1597" s="48">
        <v>1.3156000000000001E-3</v>
      </c>
    </row>
    <row r="1598" spans="19:32" x14ac:dyDescent="0.35">
      <c r="S1598" s="47">
        <v>1594</v>
      </c>
      <c r="T1598" s="47" t="s">
        <v>4284</v>
      </c>
      <c r="U1598" s="47" t="s">
        <v>3251</v>
      </c>
      <c r="V1598" s="48">
        <v>1.8399999999999999</v>
      </c>
      <c r="W1598" s="13"/>
      <c r="X1598" s="34">
        <v>1594</v>
      </c>
      <c r="Y1598" s="34" t="s">
        <v>2248</v>
      </c>
      <c r="Z1598" s="34" t="s">
        <v>4731</v>
      </c>
      <c r="AA1598" s="35">
        <v>2.0016129032258065E-2</v>
      </c>
      <c r="AB1598" s="13"/>
      <c r="AC1598" s="47">
        <v>1594</v>
      </c>
      <c r="AD1598" s="47" t="s">
        <v>4573</v>
      </c>
      <c r="AE1598" s="47" t="s">
        <v>4302</v>
      </c>
      <c r="AF1598" s="56">
        <v>1.9467741935483871E-2</v>
      </c>
    </row>
    <row r="1599" spans="19:32" x14ac:dyDescent="0.35">
      <c r="S1599" s="47">
        <v>1595</v>
      </c>
      <c r="T1599" s="47" t="s">
        <v>4284</v>
      </c>
      <c r="U1599" s="47" t="s">
        <v>4528</v>
      </c>
      <c r="V1599" s="48">
        <v>2.0530241935483872E-5</v>
      </c>
      <c r="W1599" s="18"/>
      <c r="X1599" s="34">
        <v>1595</v>
      </c>
      <c r="Y1599" s="34" t="s">
        <v>2248</v>
      </c>
      <c r="Z1599" s="34" t="s">
        <v>4730</v>
      </c>
      <c r="AA1599" s="35">
        <v>2.4403225806451616E-6</v>
      </c>
      <c r="AB1599" s="13"/>
      <c r="AC1599" s="47">
        <v>1595</v>
      </c>
      <c r="AD1599" s="47" t="s">
        <v>4573</v>
      </c>
      <c r="AE1599" s="47" t="s">
        <v>4300</v>
      </c>
      <c r="AF1599" s="56">
        <v>5.7580645161290328E-2</v>
      </c>
    </row>
    <row r="1600" spans="19:32" x14ac:dyDescent="0.35">
      <c r="S1600" s="30">
        <v>1596</v>
      </c>
      <c r="T1600" s="30" t="s">
        <v>4284</v>
      </c>
      <c r="U1600" s="30" t="s">
        <v>3249</v>
      </c>
      <c r="V1600" s="31">
        <v>1.8560000000000001</v>
      </c>
      <c r="W1600" s="17"/>
      <c r="X1600" s="34">
        <v>1596</v>
      </c>
      <c r="Y1600" s="34" t="s">
        <v>2248</v>
      </c>
      <c r="Z1600" s="34" t="s">
        <v>5339</v>
      </c>
      <c r="AA1600" s="35">
        <v>3.4239919354838715E-2</v>
      </c>
      <c r="AB1600" s="13"/>
      <c r="AC1600" s="47">
        <v>1596</v>
      </c>
      <c r="AD1600" s="47" t="s">
        <v>4573</v>
      </c>
      <c r="AE1600" s="47" t="s">
        <v>4299</v>
      </c>
      <c r="AF1600" s="56">
        <v>4.181451612903226E-2</v>
      </c>
    </row>
    <row r="1601" spans="19:32" x14ac:dyDescent="0.35">
      <c r="S1601" s="36">
        <v>1597</v>
      </c>
      <c r="T1601" s="36" t="s">
        <v>4284</v>
      </c>
      <c r="U1601" s="36" t="s">
        <v>3249</v>
      </c>
      <c r="V1601" s="37">
        <v>0.20811499999999997</v>
      </c>
      <c r="W1601" s="17"/>
      <c r="X1601" s="47">
        <v>1597</v>
      </c>
      <c r="Y1601" s="47" t="s">
        <v>2248</v>
      </c>
      <c r="Z1601" s="47" t="s">
        <v>3366</v>
      </c>
      <c r="AA1601" s="48">
        <v>0</v>
      </c>
      <c r="AB1601" s="13"/>
      <c r="AC1601" s="47">
        <v>1597</v>
      </c>
      <c r="AD1601" s="47" t="s">
        <v>4573</v>
      </c>
      <c r="AE1601" s="47" t="s">
        <v>4297</v>
      </c>
      <c r="AF1601" s="56">
        <v>1.9399193548387098E-2</v>
      </c>
    </row>
    <row r="1602" spans="19:32" x14ac:dyDescent="0.35">
      <c r="S1602" s="47">
        <v>1598</v>
      </c>
      <c r="T1602" s="47" t="s">
        <v>4284</v>
      </c>
      <c r="U1602" s="47" t="s">
        <v>3249</v>
      </c>
      <c r="V1602" s="48">
        <v>8.4314516129032267E-6</v>
      </c>
      <c r="W1602" s="17"/>
      <c r="X1602" s="34">
        <v>1598</v>
      </c>
      <c r="Y1602" s="34" t="s">
        <v>2248</v>
      </c>
      <c r="Z1602" s="34" t="s">
        <v>3366</v>
      </c>
      <c r="AA1602" s="35">
        <v>0.11550403225806452</v>
      </c>
      <c r="AB1602" s="13"/>
      <c r="AC1602" s="34">
        <v>1598</v>
      </c>
      <c r="AD1602" s="34" t="s">
        <v>4573</v>
      </c>
      <c r="AE1602" s="34" t="s">
        <v>4293</v>
      </c>
      <c r="AF1602" s="35">
        <v>6.3750000000000005E-4</v>
      </c>
    </row>
    <row r="1603" spans="19:32" x14ac:dyDescent="0.35">
      <c r="S1603" s="47">
        <v>1599</v>
      </c>
      <c r="T1603" s="47" t="s">
        <v>4284</v>
      </c>
      <c r="U1603" s="47" t="s">
        <v>3249</v>
      </c>
      <c r="V1603" s="48">
        <v>0.18032000000000001</v>
      </c>
      <c r="W1603" s="17"/>
      <c r="X1603" s="34">
        <v>1599</v>
      </c>
      <c r="Y1603" s="34" t="s">
        <v>2248</v>
      </c>
      <c r="Z1603" s="34" t="s">
        <v>4729</v>
      </c>
      <c r="AA1603" s="35">
        <v>2.8721774193548387E-3</v>
      </c>
      <c r="AB1603" s="13"/>
      <c r="AC1603" s="47">
        <v>1599</v>
      </c>
      <c r="AD1603" s="47" t="s">
        <v>4573</v>
      </c>
      <c r="AE1603" s="47" t="s">
        <v>4290</v>
      </c>
      <c r="AF1603" s="56">
        <v>6.0665322580645163E-3</v>
      </c>
    </row>
    <row r="1604" spans="19:32" x14ac:dyDescent="0.35">
      <c r="S1604" s="34">
        <v>1600</v>
      </c>
      <c r="T1604" s="34" t="s">
        <v>4284</v>
      </c>
      <c r="U1604" s="34" t="s">
        <v>4527</v>
      </c>
      <c r="V1604" s="35">
        <v>5.4495967741935492E-2</v>
      </c>
      <c r="W1604" s="13"/>
      <c r="X1604" s="34">
        <v>1600</v>
      </c>
      <c r="Y1604" s="34" t="s">
        <v>2248</v>
      </c>
      <c r="Z1604" s="34" t="s">
        <v>5338</v>
      </c>
      <c r="AA1604" s="35">
        <v>4.5927419354838714E-4</v>
      </c>
      <c r="AB1604" s="13"/>
      <c r="AC1604" s="34">
        <v>1600</v>
      </c>
      <c r="AD1604" s="34" t="s">
        <v>4573</v>
      </c>
      <c r="AE1604" s="34" t="s">
        <v>4288</v>
      </c>
      <c r="AF1604" s="35">
        <v>4.6955645161290329E-3</v>
      </c>
    </row>
    <row r="1605" spans="19:32" x14ac:dyDescent="0.35">
      <c r="S1605" s="47">
        <v>1601</v>
      </c>
      <c r="T1605" s="47" t="s">
        <v>4284</v>
      </c>
      <c r="U1605" s="47" t="s">
        <v>3248</v>
      </c>
      <c r="V1605" s="48">
        <v>3.0543999999999998</v>
      </c>
      <c r="W1605" s="17"/>
      <c r="X1605" s="47">
        <v>1601</v>
      </c>
      <c r="Y1605" s="47" t="s">
        <v>2248</v>
      </c>
      <c r="Z1605" s="47" t="s">
        <v>3364</v>
      </c>
      <c r="AA1605" s="48">
        <v>0</v>
      </c>
      <c r="AB1605" s="13"/>
      <c r="AC1605" s="47">
        <v>1601</v>
      </c>
      <c r="AD1605" s="47" t="s">
        <v>4573</v>
      </c>
      <c r="AE1605" s="47" t="s">
        <v>3186</v>
      </c>
      <c r="AF1605" s="56">
        <v>7.6431451612903236E-3</v>
      </c>
    </row>
    <row r="1606" spans="19:32" x14ac:dyDescent="0.35">
      <c r="S1606" s="47">
        <v>1602</v>
      </c>
      <c r="T1606" s="47" t="s">
        <v>4284</v>
      </c>
      <c r="U1606" s="47" t="s">
        <v>4526</v>
      </c>
      <c r="V1606" s="48">
        <v>1.8165322580645163E-4</v>
      </c>
      <c r="W1606" s="18"/>
      <c r="X1606" s="47">
        <v>1602</v>
      </c>
      <c r="Y1606" s="47" t="s">
        <v>2248</v>
      </c>
      <c r="Z1606" s="47" t="s">
        <v>3363</v>
      </c>
      <c r="AA1606" s="48">
        <v>1.5179999999999999E-18</v>
      </c>
      <c r="AB1606" s="13"/>
      <c r="AC1606" s="47">
        <v>1602</v>
      </c>
      <c r="AD1606" s="47" t="s">
        <v>4573</v>
      </c>
      <c r="AE1606" s="47" t="s">
        <v>3186</v>
      </c>
      <c r="AF1606" s="48">
        <v>0</v>
      </c>
    </row>
    <row r="1607" spans="19:32" x14ac:dyDescent="0.35">
      <c r="S1607" s="34">
        <v>1603</v>
      </c>
      <c r="T1607" s="34" t="s">
        <v>4284</v>
      </c>
      <c r="U1607" s="34" t="s">
        <v>3246</v>
      </c>
      <c r="V1607" s="35">
        <v>1.501209677419355E-2</v>
      </c>
      <c r="W1607" s="17"/>
      <c r="X1607" s="34">
        <v>1603</v>
      </c>
      <c r="Y1607" s="34" t="s">
        <v>2248</v>
      </c>
      <c r="Z1607" s="34" t="s">
        <v>3363</v>
      </c>
      <c r="AA1607" s="35">
        <v>0.26048387096774195</v>
      </c>
      <c r="AB1607" s="13"/>
      <c r="AC1607" s="47">
        <v>1603</v>
      </c>
      <c r="AD1607" s="47" t="s">
        <v>4573</v>
      </c>
      <c r="AE1607" s="47" t="s">
        <v>3185</v>
      </c>
      <c r="AF1607" s="48">
        <v>0</v>
      </c>
    </row>
    <row r="1608" spans="19:32" x14ac:dyDescent="0.35">
      <c r="S1608" s="47">
        <v>1604</v>
      </c>
      <c r="T1608" s="47" t="s">
        <v>4284</v>
      </c>
      <c r="U1608" s="47" t="s">
        <v>3246</v>
      </c>
      <c r="V1608" s="48">
        <v>0</v>
      </c>
      <c r="W1608" s="17"/>
      <c r="X1608" s="34">
        <v>1604</v>
      </c>
      <c r="Y1608" s="34" t="s">
        <v>2248</v>
      </c>
      <c r="Z1608" s="34" t="s">
        <v>5337</v>
      </c>
      <c r="AA1608" s="35">
        <v>2.0941532258064517</v>
      </c>
      <c r="AB1608" s="13"/>
      <c r="AC1608" s="47">
        <v>1604</v>
      </c>
      <c r="AD1608" s="47" t="s">
        <v>4573</v>
      </c>
      <c r="AE1608" s="47" t="s">
        <v>3183</v>
      </c>
      <c r="AF1608" s="48">
        <v>6.2652000000000001</v>
      </c>
    </row>
    <row r="1609" spans="19:32" x14ac:dyDescent="0.35">
      <c r="S1609" s="47">
        <v>1605</v>
      </c>
      <c r="T1609" s="47" t="s">
        <v>4284</v>
      </c>
      <c r="U1609" s="47" t="s">
        <v>3244</v>
      </c>
      <c r="V1609" s="48">
        <v>7.5060483870967749E-9</v>
      </c>
      <c r="W1609" s="17"/>
      <c r="X1609" s="34">
        <v>1605</v>
      </c>
      <c r="Y1609" s="34" t="s">
        <v>2248</v>
      </c>
      <c r="Z1609" s="34" t="s">
        <v>4728</v>
      </c>
      <c r="AA1609" s="35">
        <v>2.7385080645161293</v>
      </c>
      <c r="AB1609" s="13"/>
      <c r="AC1609" s="34">
        <v>1605</v>
      </c>
      <c r="AD1609" s="34" t="s">
        <v>4573</v>
      </c>
      <c r="AE1609" s="34" t="s">
        <v>4282</v>
      </c>
      <c r="AF1609" s="35">
        <v>1.2235887096774194</v>
      </c>
    </row>
    <row r="1610" spans="19:32" x14ac:dyDescent="0.35">
      <c r="S1610" s="47">
        <v>1606</v>
      </c>
      <c r="T1610" s="47" t="s">
        <v>4284</v>
      </c>
      <c r="U1610" s="47" t="s">
        <v>3244</v>
      </c>
      <c r="V1610" s="48">
        <v>2.7692000000000001</v>
      </c>
      <c r="W1610" s="13"/>
      <c r="X1610" s="47">
        <v>1606</v>
      </c>
      <c r="Y1610" s="47" t="s">
        <v>2248</v>
      </c>
      <c r="Z1610" s="47" t="s">
        <v>3361</v>
      </c>
      <c r="AA1610" s="48">
        <v>0</v>
      </c>
      <c r="AB1610" s="13"/>
      <c r="AC1610" s="47">
        <v>1606</v>
      </c>
      <c r="AD1610" s="47" t="s">
        <v>4573</v>
      </c>
      <c r="AE1610" s="47" t="s">
        <v>3182</v>
      </c>
      <c r="AF1610" s="56">
        <v>117.56048387096776</v>
      </c>
    </row>
    <row r="1611" spans="19:32" x14ac:dyDescent="0.35">
      <c r="S1611" s="34">
        <v>1607</v>
      </c>
      <c r="T1611" s="34" t="s">
        <v>4284</v>
      </c>
      <c r="U1611" s="34" t="s">
        <v>4525</v>
      </c>
      <c r="V1611" s="35">
        <v>2.5671370967741938E-3</v>
      </c>
      <c r="W1611" s="13"/>
      <c r="X1611" s="34">
        <v>1607</v>
      </c>
      <c r="Y1611" s="34" t="s">
        <v>2248</v>
      </c>
      <c r="Z1611" s="34" t="s">
        <v>5336</v>
      </c>
      <c r="AA1611" s="35">
        <v>0.22723790322580648</v>
      </c>
      <c r="AB1611" s="13"/>
      <c r="AC1611" s="47">
        <v>1607</v>
      </c>
      <c r="AD1611" s="47" t="s">
        <v>4573</v>
      </c>
      <c r="AE1611" s="47" t="s">
        <v>3182</v>
      </c>
      <c r="AF1611" s="48">
        <v>0</v>
      </c>
    </row>
    <row r="1612" spans="19:32" x14ac:dyDescent="0.35">
      <c r="S1612" s="47">
        <v>1608</v>
      </c>
      <c r="T1612" s="47" t="s">
        <v>4284</v>
      </c>
      <c r="U1612" s="47" t="s">
        <v>3243</v>
      </c>
      <c r="V1612" s="48">
        <v>1.4635080645161291</v>
      </c>
      <c r="W1612" s="13"/>
      <c r="X1612" s="34">
        <v>1608</v>
      </c>
      <c r="Y1612" s="34" t="s">
        <v>2248</v>
      </c>
      <c r="Z1612" s="34" t="s">
        <v>4727</v>
      </c>
      <c r="AA1612" s="35">
        <v>7.8830645161290329</v>
      </c>
      <c r="AB1612" s="13"/>
      <c r="AC1612" s="47">
        <v>1608</v>
      </c>
      <c r="AD1612" s="47" t="s">
        <v>4573</v>
      </c>
      <c r="AE1612" s="47" t="s">
        <v>4277</v>
      </c>
      <c r="AF1612" s="56">
        <v>1.9879032258064519E-2</v>
      </c>
    </row>
    <row r="1613" spans="19:32" x14ac:dyDescent="0.35">
      <c r="S1613" s="47">
        <v>1609</v>
      </c>
      <c r="T1613" s="47" t="s">
        <v>4284</v>
      </c>
      <c r="U1613" s="47" t="s">
        <v>3243</v>
      </c>
      <c r="V1613" s="48">
        <v>4.1124000000000001E-2</v>
      </c>
      <c r="W1613" s="13"/>
      <c r="X1613" s="47">
        <v>1609</v>
      </c>
      <c r="Y1613" s="47" t="s">
        <v>2248</v>
      </c>
      <c r="Z1613" s="47" t="s">
        <v>3360</v>
      </c>
      <c r="AA1613" s="48">
        <v>0.22355999999999998</v>
      </c>
      <c r="AB1613" s="13"/>
      <c r="AC1613" s="47">
        <v>1609</v>
      </c>
      <c r="AD1613" s="47" t="s">
        <v>4573</v>
      </c>
      <c r="AE1613" s="47" t="s">
        <v>4274</v>
      </c>
      <c r="AF1613" s="56">
        <v>3.3417338709677423E-3</v>
      </c>
    </row>
    <row r="1614" spans="19:32" x14ac:dyDescent="0.35">
      <c r="S1614" s="47">
        <v>1610</v>
      </c>
      <c r="T1614" s="47" t="s">
        <v>4284</v>
      </c>
      <c r="U1614" s="47" t="s">
        <v>4524</v>
      </c>
      <c r="V1614" s="48">
        <v>1.4429435483870968E-2</v>
      </c>
      <c r="W1614" s="13"/>
      <c r="X1614" s="34">
        <v>1610</v>
      </c>
      <c r="Y1614" s="34" t="s">
        <v>2248</v>
      </c>
      <c r="Z1614" s="34" t="s">
        <v>5335</v>
      </c>
      <c r="AA1614" s="35">
        <v>6.5120967741935491E-4</v>
      </c>
      <c r="AB1614" s="13"/>
      <c r="AC1614" s="47">
        <v>1610</v>
      </c>
      <c r="AD1614" s="47" t="s">
        <v>4573</v>
      </c>
      <c r="AE1614" s="47" t="s">
        <v>3180</v>
      </c>
      <c r="AF1614" s="48">
        <v>0</v>
      </c>
    </row>
    <row r="1615" spans="19:32" x14ac:dyDescent="0.35">
      <c r="S1615" s="47">
        <v>1611</v>
      </c>
      <c r="T1615" s="47" t="s">
        <v>4284</v>
      </c>
      <c r="U1615" s="47" t="s">
        <v>3241</v>
      </c>
      <c r="V1615" s="48">
        <v>0</v>
      </c>
      <c r="W1615" s="13"/>
      <c r="X1615" s="34">
        <v>1611</v>
      </c>
      <c r="Y1615" s="34" t="s">
        <v>2248</v>
      </c>
      <c r="Z1615" s="34" t="s">
        <v>4726</v>
      </c>
      <c r="AA1615" s="35">
        <v>2.0016129032258064E-4</v>
      </c>
      <c r="AB1615" s="13"/>
      <c r="AC1615" s="47">
        <v>1611</v>
      </c>
      <c r="AD1615" s="47" t="s">
        <v>4573</v>
      </c>
      <c r="AE1615" s="47" t="s">
        <v>4271</v>
      </c>
      <c r="AF1615" s="56">
        <v>1.9262096774193549</v>
      </c>
    </row>
    <row r="1616" spans="19:32" x14ac:dyDescent="0.35">
      <c r="S1616" s="47">
        <v>1612</v>
      </c>
      <c r="T1616" s="47" t="s">
        <v>4284</v>
      </c>
      <c r="U1616" s="47" t="s">
        <v>4523</v>
      </c>
      <c r="V1616" s="48">
        <v>4.2842741935483875E-2</v>
      </c>
      <c r="W1616" s="13"/>
      <c r="X1616" s="47">
        <v>1612</v>
      </c>
      <c r="Y1616" s="47" t="s">
        <v>2248</v>
      </c>
      <c r="Z1616" s="47" t="s">
        <v>3359</v>
      </c>
      <c r="AA1616" s="48">
        <v>0</v>
      </c>
      <c r="AB1616" s="13"/>
      <c r="AC1616" s="34">
        <v>1612</v>
      </c>
      <c r="AD1616" s="34" t="s">
        <v>4573</v>
      </c>
      <c r="AE1616" s="34" t="s">
        <v>4267</v>
      </c>
      <c r="AF1616" s="35">
        <v>2.9030241935483874</v>
      </c>
    </row>
    <row r="1617" spans="19:32" x14ac:dyDescent="0.35">
      <c r="S1617" s="47">
        <v>1613</v>
      </c>
      <c r="T1617" s="47" t="s">
        <v>4284</v>
      </c>
      <c r="U1617" s="47" t="s">
        <v>4522</v>
      </c>
      <c r="V1617" s="48">
        <v>2.5088709677419357E-2</v>
      </c>
      <c r="W1617" s="13"/>
      <c r="X1617" s="34">
        <v>1613</v>
      </c>
      <c r="Y1617" s="34" t="s">
        <v>2248</v>
      </c>
      <c r="Z1617" s="34" t="s">
        <v>3359</v>
      </c>
      <c r="AA1617" s="35">
        <v>1.038508064516129E-2</v>
      </c>
      <c r="AB1617" s="13"/>
      <c r="AC1617" s="47">
        <v>1613</v>
      </c>
      <c r="AD1617" s="47" t="s">
        <v>4573</v>
      </c>
      <c r="AE1617" s="47" t="s">
        <v>4264</v>
      </c>
      <c r="AF1617" s="56">
        <v>0.67177419354838719</v>
      </c>
    </row>
    <row r="1618" spans="19:32" x14ac:dyDescent="0.35">
      <c r="S1618" s="34">
        <v>1614</v>
      </c>
      <c r="T1618" s="34" t="s">
        <v>4284</v>
      </c>
      <c r="U1618" s="34" t="s">
        <v>4521</v>
      </c>
      <c r="V1618" s="35">
        <v>1.3161290322580645</v>
      </c>
      <c r="W1618" s="13"/>
      <c r="X1618" s="34">
        <v>1614</v>
      </c>
      <c r="Y1618" s="34" t="s">
        <v>2248</v>
      </c>
      <c r="Z1618" s="34" t="s">
        <v>3660</v>
      </c>
      <c r="AA1618" s="35">
        <v>4.4556451612903225E-3</v>
      </c>
      <c r="AB1618" s="13"/>
      <c r="AC1618" s="47">
        <v>1614</v>
      </c>
      <c r="AD1618" s="47" t="s">
        <v>4573</v>
      </c>
      <c r="AE1618" s="47" t="s">
        <v>3179</v>
      </c>
      <c r="AF1618" s="48">
        <v>0</v>
      </c>
    </row>
    <row r="1619" spans="19:32" x14ac:dyDescent="0.35">
      <c r="S1619" s="47">
        <v>1615</v>
      </c>
      <c r="T1619" s="47" t="s">
        <v>4284</v>
      </c>
      <c r="U1619" s="47" t="s">
        <v>3240</v>
      </c>
      <c r="V1619" s="48">
        <v>0</v>
      </c>
      <c r="W1619" s="13"/>
      <c r="X1619" s="34">
        <v>1615</v>
      </c>
      <c r="Y1619" s="34" t="s">
        <v>2248</v>
      </c>
      <c r="Z1619" s="34" t="s">
        <v>4725</v>
      </c>
      <c r="AA1619" s="35">
        <v>0.3461693548387097</v>
      </c>
      <c r="AB1619" s="13"/>
      <c r="AC1619" s="47">
        <v>1615</v>
      </c>
      <c r="AD1619" s="47" t="s">
        <v>4573</v>
      </c>
      <c r="AE1619" s="47" t="s">
        <v>3178</v>
      </c>
      <c r="AF1619" s="48">
        <v>3.8547999999999996</v>
      </c>
    </row>
    <row r="1620" spans="19:32" x14ac:dyDescent="0.35">
      <c r="S1620" s="47">
        <v>1616</v>
      </c>
      <c r="T1620" s="47" t="s">
        <v>4284</v>
      </c>
      <c r="U1620" s="47" t="s">
        <v>3238</v>
      </c>
      <c r="V1620" s="48">
        <v>1.7171370967741938E-3</v>
      </c>
      <c r="W1620" s="13"/>
      <c r="X1620" s="34">
        <v>1616</v>
      </c>
      <c r="Y1620" s="34" t="s">
        <v>2248</v>
      </c>
      <c r="Z1620" s="34" t="s">
        <v>4724</v>
      </c>
      <c r="AA1620" s="35">
        <v>1.2921370967741936E-5</v>
      </c>
      <c r="AB1620" s="13"/>
      <c r="AC1620" s="34">
        <v>1616</v>
      </c>
      <c r="AD1620" s="34" t="s">
        <v>4573</v>
      </c>
      <c r="AE1620" s="34" t="s">
        <v>4260</v>
      </c>
      <c r="AF1620" s="35">
        <v>0.44899193548387101</v>
      </c>
    </row>
    <row r="1621" spans="19:32" x14ac:dyDescent="0.35">
      <c r="S1621" s="47">
        <v>1617</v>
      </c>
      <c r="T1621" s="47" t="s">
        <v>4284</v>
      </c>
      <c r="U1621" s="47" t="s">
        <v>3238</v>
      </c>
      <c r="V1621" s="48">
        <v>0</v>
      </c>
      <c r="W1621" s="13"/>
      <c r="X1621" s="34">
        <v>1617</v>
      </c>
      <c r="Y1621" s="34" t="s">
        <v>2248</v>
      </c>
      <c r="Z1621" s="34" t="s">
        <v>5334</v>
      </c>
      <c r="AA1621" s="35">
        <v>2.6768145161290323E-3</v>
      </c>
      <c r="AB1621" s="13"/>
      <c r="AC1621" s="47">
        <v>1617</v>
      </c>
      <c r="AD1621" s="47" t="s">
        <v>4573</v>
      </c>
      <c r="AE1621" s="47" t="s">
        <v>3176</v>
      </c>
      <c r="AF1621" s="56">
        <v>0.15423387096774194</v>
      </c>
    </row>
    <row r="1622" spans="19:32" x14ac:dyDescent="0.35">
      <c r="S1622" s="34">
        <v>1618</v>
      </c>
      <c r="T1622" s="34" t="s">
        <v>4284</v>
      </c>
      <c r="U1622" s="34" t="s">
        <v>3237</v>
      </c>
      <c r="V1622" s="35">
        <v>0.80544354838709686</v>
      </c>
      <c r="W1622" s="13"/>
      <c r="X1622" s="34">
        <v>1618</v>
      </c>
      <c r="Y1622" s="34" t="s">
        <v>2248</v>
      </c>
      <c r="Z1622" s="34" t="s">
        <v>4723</v>
      </c>
      <c r="AA1622" s="35">
        <v>3.4616935483870972E-5</v>
      </c>
      <c r="AB1622" s="13"/>
      <c r="AC1622" s="47">
        <v>1618</v>
      </c>
      <c r="AD1622" s="47" t="s">
        <v>4573</v>
      </c>
      <c r="AE1622" s="47" t="s">
        <v>3176</v>
      </c>
      <c r="AF1622" s="48">
        <v>16.652000000000001</v>
      </c>
    </row>
    <row r="1623" spans="19:32" x14ac:dyDescent="0.35">
      <c r="S1623" s="47">
        <v>1619</v>
      </c>
      <c r="T1623" s="47" t="s">
        <v>4284</v>
      </c>
      <c r="U1623" s="47" t="s">
        <v>3237</v>
      </c>
      <c r="V1623" s="48">
        <v>0</v>
      </c>
      <c r="W1623" s="13"/>
      <c r="X1623" s="34">
        <v>1619</v>
      </c>
      <c r="Y1623" s="34" t="s">
        <v>2248</v>
      </c>
      <c r="Z1623" s="34" t="s">
        <v>4722</v>
      </c>
      <c r="AA1623" s="35">
        <v>2.57741935483871E-5</v>
      </c>
      <c r="AB1623" s="13"/>
      <c r="AC1623" s="34">
        <v>1619</v>
      </c>
      <c r="AD1623" s="34" t="s">
        <v>4573</v>
      </c>
      <c r="AE1623" s="34" t="s">
        <v>4256</v>
      </c>
      <c r="AF1623" s="35">
        <v>2.2449596774193552E-2</v>
      </c>
    </row>
    <row r="1624" spans="19:32" x14ac:dyDescent="0.35">
      <c r="S1624" s="47">
        <v>1620</v>
      </c>
      <c r="T1624" s="47" t="s">
        <v>4284</v>
      </c>
      <c r="U1624" s="47" t="s">
        <v>4520</v>
      </c>
      <c r="V1624" s="48">
        <v>0.11653225806451614</v>
      </c>
      <c r="W1624" s="13"/>
      <c r="X1624" s="34">
        <v>1620</v>
      </c>
      <c r="Y1624" s="34" t="s">
        <v>2248</v>
      </c>
      <c r="Z1624" s="34" t="s">
        <v>5333</v>
      </c>
      <c r="AA1624" s="35">
        <v>8.2600806451612916E-5</v>
      </c>
      <c r="AB1624" s="13"/>
      <c r="AC1624" s="47">
        <v>1620</v>
      </c>
      <c r="AD1624" s="47" t="s">
        <v>4573</v>
      </c>
      <c r="AE1624" s="47" t="s">
        <v>3175</v>
      </c>
      <c r="AF1624" s="56">
        <v>0.14463709677419356</v>
      </c>
    </row>
    <row r="1625" spans="19:32" x14ac:dyDescent="0.35">
      <c r="S1625" s="34">
        <v>1621</v>
      </c>
      <c r="T1625" s="34" t="s">
        <v>4284</v>
      </c>
      <c r="U1625" s="34" t="s">
        <v>4519</v>
      </c>
      <c r="V1625" s="35">
        <v>4.3870967741935489E-2</v>
      </c>
      <c r="W1625" s="13"/>
      <c r="X1625" s="34">
        <v>1621</v>
      </c>
      <c r="Y1625" s="34" t="s">
        <v>2248</v>
      </c>
      <c r="Z1625" s="34" t="s">
        <v>4721</v>
      </c>
      <c r="AA1625" s="35">
        <v>1.9741935483870969E-4</v>
      </c>
      <c r="AB1625" s="13"/>
      <c r="AC1625" s="47">
        <v>1621</v>
      </c>
      <c r="AD1625" s="47" t="s">
        <v>4573</v>
      </c>
      <c r="AE1625" s="47" t="s">
        <v>3175</v>
      </c>
      <c r="AF1625" s="48">
        <v>0</v>
      </c>
    </row>
    <row r="1626" spans="19:32" x14ac:dyDescent="0.35">
      <c r="S1626" s="47">
        <v>1622</v>
      </c>
      <c r="T1626" s="47" t="s">
        <v>4284</v>
      </c>
      <c r="U1626" s="47" t="s">
        <v>4518</v>
      </c>
      <c r="V1626" s="48">
        <v>9.5967741935483876E-4</v>
      </c>
      <c r="W1626" s="13"/>
      <c r="X1626" s="34">
        <v>1622</v>
      </c>
      <c r="Y1626" s="34" t="s">
        <v>2248</v>
      </c>
      <c r="Z1626" s="34" t="s">
        <v>4720</v>
      </c>
      <c r="AA1626" s="35">
        <v>3.6673387096774197E-3</v>
      </c>
      <c r="AB1626" s="13"/>
      <c r="AC1626" s="47">
        <v>1622</v>
      </c>
      <c r="AD1626" s="47" t="s">
        <v>4573</v>
      </c>
      <c r="AE1626" s="47" t="s">
        <v>3173</v>
      </c>
      <c r="AF1626" s="48">
        <v>0</v>
      </c>
    </row>
    <row r="1627" spans="19:32" x14ac:dyDescent="0.35">
      <c r="S1627" s="47">
        <v>1623</v>
      </c>
      <c r="T1627" s="47" t="s">
        <v>4284</v>
      </c>
      <c r="U1627" s="47" t="s">
        <v>4517</v>
      </c>
      <c r="V1627" s="48">
        <v>3.1943548387096778E-4</v>
      </c>
      <c r="W1627" s="13"/>
      <c r="X1627" s="34">
        <v>1623</v>
      </c>
      <c r="Y1627" s="34" t="s">
        <v>2248</v>
      </c>
      <c r="Z1627" s="34" t="s">
        <v>5332</v>
      </c>
      <c r="AA1627" s="35">
        <v>3.5987903225806456E-4</v>
      </c>
      <c r="AB1627" s="13"/>
      <c r="AC1627" s="47">
        <v>1623</v>
      </c>
      <c r="AD1627" s="47" t="s">
        <v>4573</v>
      </c>
      <c r="AE1627" s="47" t="s">
        <v>3172</v>
      </c>
      <c r="AF1627" s="56">
        <v>6.340725806451613</v>
      </c>
    </row>
    <row r="1628" spans="19:32" x14ac:dyDescent="0.35">
      <c r="S1628" s="47">
        <v>1624</v>
      </c>
      <c r="T1628" s="47" t="s">
        <v>4284</v>
      </c>
      <c r="U1628" s="47" t="s">
        <v>4516</v>
      </c>
      <c r="V1628" s="48">
        <v>2.265524193548387E-3</v>
      </c>
      <c r="W1628" s="13"/>
      <c r="X1628" s="47">
        <v>1624</v>
      </c>
      <c r="Y1628" s="47" t="s">
        <v>2248</v>
      </c>
      <c r="Z1628" s="47" t="s">
        <v>3358</v>
      </c>
      <c r="AA1628" s="48">
        <v>0</v>
      </c>
      <c r="AB1628" s="13"/>
      <c r="AC1628" s="47">
        <v>1624</v>
      </c>
      <c r="AD1628" s="47" t="s">
        <v>4573</v>
      </c>
      <c r="AE1628" s="47" t="s">
        <v>3172</v>
      </c>
      <c r="AF1628" s="48">
        <v>0</v>
      </c>
    </row>
    <row r="1629" spans="19:32" x14ac:dyDescent="0.35">
      <c r="S1629" s="47">
        <v>1625</v>
      </c>
      <c r="T1629" s="47" t="s">
        <v>4284</v>
      </c>
      <c r="U1629" s="47" t="s">
        <v>3235</v>
      </c>
      <c r="V1629" s="48">
        <v>3.0469758064516131E-5</v>
      </c>
      <c r="W1629" s="13"/>
      <c r="X1629" s="34">
        <v>1625</v>
      </c>
      <c r="Y1629" s="34" t="s">
        <v>2248</v>
      </c>
      <c r="Z1629" s="34" t="s">
        <v>3358</v>
      </c>
      <c r="AA1629" s="35">
        <v>4.7298387096774197E-2</v>
      </c>
      <c r="AB1629" s="13"/>
      <c r="AC1629" s="47">
        <v>1625</v>
      </c>
      <c r="AD1629" s="47" t="s">
        <v>4573</v>
      </c>
      <c r="AE1629" s="47" t="s">
        <v>4250</v>
      </c>
      <c r="AF1629" s="56">
        <v>4.3870967741935489</v>
      </c>
    </row>
    <row r="1630" spans="19:32" x14ac:dyDescent="0.35">
      <c r="S1630" s="47">
        <v>1626</v>
      </c>
      <c r="T1630" s="47" t="s">
        <v>4284</v>
      </c>
      <c r="U1630" s="47" t="s">
        <v>3235</v>
      </c>
      <c r="V1630" s="48">
        <v>0</v>
      </c>
      <c r="W1630" s="13"/>
      <c r="X1630" s="34">
        <v>1626</v>
      </c>
      <c r="Y1630" s="34" t="s">
        <v>2248</v>
      </c>
      <c r="Z1630" s="34" t="s">
        <v>4719</v>
      </c>
      <c r="AA1630" s="35">
        <v>2.8653225806451615E-2</v>
      </c>
      <c r="AB1630" s="13"/>
      <c r="AC1630" s="47">
        <v>1626</v>
      </c>
      <c r="AD1630" s="47" t="s">
        <v>4573</v>
      </c>
      <c r="AE1630" s="47" t="s">
        <v>3170</v>
      </c>
      <c r="AF1630" s="56">
        <v>0.20907258064516129</v>
      </c>
    </row>
    <row r="1631" spans="19:32" x14ac:dyDescent="0.35">
      <c r="S1631" s="34">
        <v>1627</v>
      </c>
      <c r="T1631" s="34" t="s">
        <v>4284</v>
      </c>
      <c r="U1631" s="34" t="s">
        <v>3233</v>
      </c>
      <c r="V1631" s="35">
        <v>9.6995967741935488E-2</v>
      </c>
      <c r="W1631" s="13"/>
      <c r="X1631" s="34">
        <v>1627</v>
      </c>
      <c r="Y1631" s="34" t="s">
        <v>2248</v>
      </c>
      <c r="Z1631" s="34" t="s">
        <v>5331</v>
      </c>
      <c r="AA1631" s="35">
        <v>0.10556451612903227</v>
      </c>
      <c r="AB1631" s="13"/>
      <c r="AC1631" s="47">
        <v>1627</v>
      </c>
      <c r="AD1631" s="47" t="s">
        <v>4573</v>
      </c>
      <c r="AE1631" s="47" t="s">
        <v>3170</v>
      </c>
      <c r="AF1631" s="48">
        <v>11500</v>
      </c>
    </row>
    <row r="1632" spans="19:32" x14ac:dyDescent="0.35">
      <c r="S1632" s="47">
        <v>1628</v>
      </c>
      <c r="T1632" s="47" t="s">
        <v>4284</v>
      </c>
      <c r="U1632" s="47" t="s">
        <v>3233</v>
      </c>
      <c r="V1632" s="48">
        <v>0</v>
      </c>
      <c r="W1632" s="13"/>
      <c r="X1632" s="34">
        <v>1628</v>
      </c>
      <c r="Y1632" s="34" t="s">
        <v>2248</v>
      </c>
      <c r="Z1632" s="34" t="s">
        <v>4718</v>
      </c>
      <c r="AA1632" s="35">
        <v>2.1764112903225809E-2</v>
      </c>
      <c r="AB1632" s="13"/>
      <c r="AC1632" s="47">
        <v>1628</v>
      </c>
      <c r="AD1632" s="47" t="s">
        <v>4573</v>
      </c>
      <c r="AE1632" s="47" t="s">
        <v>3169</v>
      </c>
      <c r="AF1632" s="48">
        <v>7.3875999999999994E-3</v>
      </c>
    </row>
    <row r="1633" spans="19:32" x14ac:dyDescent="0.35">
      <c r="S1633" s="47">
        <v>1629</v>
      </c>
      <c r="T1633" s="47" t="s">
        <v>4284</v>
      </c>
      <c r="U1633" s="47" t="s">
        <v>3232</v>
      </c>
      <c r="V1633" s="48">
        <v>9.6995967741935488E-2</v>
      </c>
      <c r="W1633" s="13"/>
      <c r="X1633" s="34">
        <v>1629</v>
      </c>
      <c r="Y1633" s="34" t="s">
        <v>2248</v>
      </c>
      <c r="Z1633" s="34" t="s">
        <v>4717</v>
      </c>
      <c r="AA1633" s="35">
        <v>5.826612903225807E-4</v>
      </c>
      <c r="AB1633" s="13"/>
      <c r="AC1633" s="34">
        <v>1629</v>
      </c>
      <c r="AD1633" s="34" t="s">
        <v>4573</v>
      </c>
      <c r="AE1633" s="34" t="s">
        <v>4248</v>
      </c>
      <c r="AF1633" s="35">
        <v>7.3689516129032268E-2</v>
      </c>
    </row>
    <row r="1634" spans="19:32" x14ac:dyDescent="0.35">
      <c r="S1634" s="47">
        <v>1630</v>
      </c>
      <c r="T1634" s="47" t="s">
        <v>4284</v>
      </c>
      <c r="U1634" s="47" t="s">
        <v>3232</v>
      </c>
      <c r="V1634" s="48">
        <v>0</v>
      </c>
      <c r="W1634" s="13"/>
      <c r="X1634" s="34">
        <v>1630</v>
      </c>
      <c r="Y1634" s="34" t="s">
        <v>2248</v>
      </c>
      <c r="Z1634" s="34" t="s">
        <v>5330</v>
      </c>
      <c r="AA1634" s="35">
        <v>1.4635080645161291E-2</v>
      </c>
      <c r="AB1634" s="13"/>
      <c r="AC1634" s="47">
        <v>1630</v>
      </c>
      <c r="AD1634" s="47" t="s">
        <v>4573</v>
      </c>
      <c r="AE1634" s="47" t="s">
        <v>4245</v>
      </c>
      <c r="AF1634" s="56">
        <v>30538.306451612905</v>
      </c>
    </row>
    <row r="1635" spans="19:32" x14ac:dyDescent="0.35">
      <c r="S1635" s="34">
        <v>1631</v>
      </c>
      <c r="T1635" s="34" t="s">
        <v>4284</v>
      </c>
      <c r="U1635" s="34" t="s">
        <v>3231</v>
      </c>
      <c r="V1635" s="35">
        <v>1.2475806451612905</v>
      </c>
      <c r="W1635" s="13"/>
      <c r="X1635" s="47">
        <v>1631</v>
      </c>
      <c r="Y1635" s="47" t="s">
        <v>2248</v>
      </c>
      <c r="Z1635" s="47" t="s">
        <v>3357</v>
      </c>
      <c r="AA1635" s="48">
        <v>0</v>
      </c>
      <c r="AB1635" s="13"/>
      <c r="AC1635" s="47">
        <v>1631</v>
      </c>
      <c r="AD1635" s="47" t="s">
        <v>4573</v>
      </c>
      <c r="AE1635" s="47" t="s">
        <v>3167</v>
      </c>
      <c r="AF1635" s="48">
        <v>0</v>
      </c>
    </row>
    <row r="1636" spans="19:32" x14ac:dyDescent="0.35">
      <c r="S1636" s="47">
        <v>1632</v>
      </c>
      <c r="T1636" s="47" t="s">
        <v>4284</v>
      </c>
      <c r="U1636" s="47" t="s">
        <v>3231</v>
      </c>
      <c r="V1636" s="48">
        <v>3256.8</v>
      </c>
      <c r="W1636" s="13"/>
      <c r="X1636" s="34">
        <v>1632</v>
      </c>
      <c r="Y1636" s="34" t="s">
        <v>2248</v>
      </c>
      <c r="Z1636" s="34" t="s">
        <v>3357</v>
      </c>
      <c r="AA1636" s="35">
        <v>4.1471774193548391E-5</v>
      </c>
      <c r="AB1636" s="13"/>
      <c r="AC1636" s="34">
        <v>1632</v>
      </c>
      <c r="AD1636" s="34" t="s">
        <v>4573</v>
      </c>
      <c r="AE1636" s="34" t="s">
        <v>4243</v>
      </c>
      <c r="AF1636" s="35">
        <v>0.92540322580645173</v>
      </c>
    </row>
    <row r="1637" spans="19:32" x14ac:dyDescent="0.35">
      <c r="S1637" s="47">
        <v>1633</v>
      </c>
      <c r="T1637" s="47" t="s">
        <v>4284</v>
      </c>
      <c r="U1637" s="47" t="s">
        <v>3230</v>
      </c>
      <c r="V1637" s="48">
        <v>2.8104838709677421E-2</v>
      </c>
      <c r="W1637" s="13"/>
      <c r="X1637" s="47">
        <v>1633</v>
      </c>
      <c r="Y1637" s="47" t="s">
        <v>2248</v>
      </c>
      <c r="Z1637" s="47" t="s">
        <v>3355</v>
      </c>
      <c r="AA1637" s="48">
        <v>3.496</v>
      </c>
      <c r="AB1637" s="13"/>
      <c r="AC1637" s="47">
        <v>1633</v>
      </c>
      <c r="AD1637" s="47" t="s">
        <v>4573</v>
      </c>
      <c r="AE1637" s="47" t="s">
        <v>4241</v>
      </c>
      <c r="AF1637" s="56">
        <v>1.2133064516129033</v>
      </c>
    </row>
    <row r="1638" spans="19:32" x14ac:dyDescent="0.35">
      <c r="S1638" s="47">
        <v>1634</v>
      </c>
      <c r="T1638" s="47" t="s">
        <v>4284</v>
      </c>
      <c r="U1638" s="47" t="s">
        <v>3230</v>
      </c>
      <c r="V1638" s="48">
        <v>1.288</v>
      </c>
      <c r="W1638" s="13"/>
      <c r="X1638" s="34">
        <v>1634</v>
      </c>
      <c r="Y1638" s="34" t="s">
        <v>2248</v>
      </c>
      <c r="Z1638" s="34" t="s">
        <v>5329</v>
      </c>
      <c r="AA1638" s="35">
        <v>2.7110887096774196E-2</v>
      </c>
      <c r="AB1638" s="13"/>
      <c r="AC1638" s="34">
        <v>1634</v>
      </c>
      <c r="AD1638" s="34" t="s">
        <v>4573</v>
      </c>
      <c r="AE1638" s="34" t="s">
        <v>4237</v>
      </c>
      <c r="AF1638" s="35">
        <v>0.56209677419354842</v>
      </c>
    </row>
    <row r="1639" spans="19:32" x14ac:dyDescent="0.35">
      <c r="S1639" s="47">
        <v>1635</v>
      </c>
      <c r="T1639" s="47" t="s">
        <v>4284</v>
      </c>
      <c r="U1639" s="47" t="s">
        <v>3228</v>
      </c>
      <c r="V1639" s="48">
        <v>42.872</v>
      </c>
      <c r="W1639" s="13"/>
      <c r="X1639" s="34">
        <v>1635</v>
      </c>
      <c r="Y1639" s="34" t="s">
        <v>2248</v>
      </c>
      <c r="Z1639" s="34" t="s">
        <v>4716</v>
      </c>
      <c r="AA1639" s="35">
        <v>2.7350806451612908E-5</v>
      </c>
      <c r="AB1639" s="13"/>
      <c r="AC1639" s="47">
        <v>1635</v>
      </c>
      <c r="AD1639" s="47" t="s">
        <v>4573</v>
      </c>
      <c r="AE1639" s="47" t="s">
        <v>4235</v>
      </c>
      <c r="AF1639" s="56">
        <v>5.5866935483870971E-2</v>
      </c>
    </row>
    <row r="1640" spans="19:32" x14ac:dyDescent="0.35">
      <c r="S1640" s="47">
        <v>1636</v>
      </c>
      <c r="T1640" s="47" t="s">
        <v>4284</v>
      </c>
      <c r="U1640" s="47" t="s">
        <v>3227</v>
      </c>
      <c r="V1640" s="48">
        <v>0</v>
      </c>
      <c r="W1640" s="13"/>
      <c r="X1640" s="47">
        <v>1636</v>
      </c>
      <c r="Y1640" s="47" t="s">
        <v>2248</v>
      </c>
      <c r="Z1640" s="47" t="s">
        <v>3354</v>
      </c>
      <c r="AA1640" s="48">
        <v>4.5356E-2</v>
      </c>
      <c r="AB1640" s="13"/>
      <c r="AC1640" s="47">
        <v>1636</v>
      </c>
      <c r="AD1640" s="47" t="s">
        <v>4573</v>
      </c>
      <c r="AE1640" s="47" t="s">
        <v>4232</v>
      </c>
      <c r="AF1640" s="56">
        <v>1.3778225806451614</v>
      </c>
    </row>
    <row r="1641" spans="19:32" x14ac:dyDescent="0.35">
      <c r="S1641" s="47">
        <v>1637</v>
      </c>
      <c r="T1641" s="47" t="s">
        <v>4284</v>
      </c>
      <c r="U1641" s="47" t="s">
        <v>3225</v>
      </c>
      <c r="V1641" s="48">
        <v>2.2079999999999999E-2</v>
      </c>
      <c r="W1641" s="13"/>
      <c r="X1641" s="34">
        <v>1637</v>
      </c>
      <c r="Y1641" s="34" t="s">
        <v>2248</v>
      </c>
      <c r="Z1641" s="34" t="s">
        <v>5328</v>
      </c>
      <c r="AA1641" s="35">
        <v>1.1516129032258066E-2</v>
      </c>
      <c r="AB1641" s="13"/>
      <c r="AC1641" s="47">
        <v>1637</v>
      </c>
      <c r="AD1641" s="47" t="s">
        <v>4573</v>
      </c>
      <c r="AE1641" s="47" t="s">
        <v>4229</v>
      </c>
      <c r="AF1641" s="56">
        <v>0.26733870967741935</v>
      </c>
    </row>
    <row r="1642" spans="19:32" x14ac:dyDescent="0.35">
      <c r="S1642" s="47">
        <v>1638</v>
      </c>
      <c r="T1642" s="47" t="s">
        <v>4284</v>
      </c>
      <c r="U1642" s="47" t="s">
        <v>3224</v>
      </c>
      <c r="V1642" s="48">
        <v>78.292000000000002</v>
      </c>
      <c r="W1642" s="13"/>
      <c r="X1642" s="47">
        <v>1638</v>
      </c>
      <c r="Y1642" s="47" t="s">
        <v>2248</v>
      </c>
      <c r="Z1642" s="47" t="s">
        <v>3353</v>
      </c>
      <c r="AA1642" s="48">
        <v>0.86571999999999993</v>
      </c>
      <c r="AB1642" s="13"/>
      <c r="AC1642" s="47">
        <v>1638</v>
      </c>
      <c r="AD1642" s="47" t="s">
        <v>4573</v>
      </c>
      <c r="AE1642" s="47" t="s">
        <v>4228</v>
      </c>
      <c r="AF1642" s="56">
        <v>2.3854838709677421E-2</v>
      </c>
    </row>
    <row r="1643" spans="19:32" x14ac:dyDescent="0.35">
      <c r="S1643" s="34">
        <v>1639</v>
      </c>
      <c r="T1643" s="34" t="s">
        <v>4284</v>
      </c>
      <c r="U1643" s="34" t="s">
        <v>4514</v>
      </c>
      <c r="V1643" s="35">
        <v>3.6673387096774197E-5</v>
      </c>
      <c r="W1643" s="13"/>
      <c r="X1643" s="34">
        <v>1639</v>
      </c>
      <c r="Y1643" s="34" t="s">
        <v>2248</v>
      </c>
      <c r="Z1643" s="34" t="s">
        <v>3353</v>
      </c>
      <c r="AA1643" s="35">
        <v>2.5911290322580647E-4</v>
      </c>
      <c r="AB1643" s="13"/>
      <c r="AC1643" s="47">
        <v>1639</v>
      </c>
      <c r="AD1643" s="47" t="s">
        <v>4573</v>
      </c>
      <c r="AE1643" s="47" t="s">
        <v>3165</v>
      </c>
      <c r="AF1643" s="48">
        <v>0</v>
      </c>
    </row>
    <row r="1644" spans="19:32" x14ac:dyDescent="0.35">
      <c r="S1644" s="47">
        <v>1640</v>
      </c>
      <c r="T1644" s="47" t="s">
        <v>4284</v>
      </c>
      <c r="U1644" s="47" t="s">
        <v>4513</v>
      </c>
      <c r="V1644" s="48">
        <v>3.8044354838709681E-3</v>
      </c>
      <c r="W1644" s="13"/>
      <c r="X1644" s="34">
        <v>1640</v>
      </c>
      <c r="Y1644" s="34" t="s">
        <v>2248</v>
      </c>
      <c r="Z1644" s="34" t="s">
        <v>4715</v>
      </c>
      <c r="AA1644" s="35">
        <v>3.1772177419354842E-5</v>
      </c>
      <c r="AB1644" s="13"/>
      <c r="AC1644" s="34">
        <v>1640</v>
      </c>
      <c r="AD1644" s="34" t="s">
        <v>4573</v>
      </c>
      <c r="AE1644" s="34" t="s">
        <v>4227</v>
      </c>
      <c r="AF1644" s="35">
        <v>1.2338709677419356E-4</v>
      </c>
    </row>
    <row r="1645" spans="19:32" x14ac:dyDescent="0.35">
      <c r="S1645" s="30">
        <v>1641</v>
      </c>
      <c r="T1645" s="30" t="s">
        <v>4284</v>
      </c>
      <c r="U1645" s="30" t="s">
        <v>5327</v>
      </c>
      <c r="V1645" s="31">
        <v>839.84</v>
      </c>
      <c r="W1645" s="13"/>
      <c r="X1645" s="34">
        <v>1641</v>
      </c>
      <c r="Y1645" s="34" t="s">
        <v>2248</v>
      </c>
      <c r="Z1645" s="34" t="s">
        <v>5326</v>
      </c>
      <c r="AA1645" s="35">
        <v>3.3520161290322582E-4</v>
      </c>
      <c r="AB1645" s="13"/>
      <c r="AC1645" s="47">
        <v>1641</v>
      </c>
      <c r="AD1645" s="47" t="s">
        <v>4573</v>
      </c>
      <c r="AE1645" s="47" t="s">
        <v>4225</v>
      </c>
      <c r="AF1645" s="56">
        <v>0.18816532258064517</v>
      </c>
    </row>
    <row r="1646" spans="19:32" x14ac:dyDescent="0.35">
      <c r="S1646" s="47">
        <v>1642</v>
      </c>
      <c r="T1646" s="47" t="s">
        <v>4284</v>
      </c>
      <c r="U1646" s="47" t="s">
        <v>4512</v>
      </c>
      <c r="V1646" s="48">
        <v>0.60322580645161294</v>
      </c>
      <c r="W1646" s="13"/>
      <c r="X1646" s="34">
        <v>1642</v>
      </c>
      <c r="Y1646" s="34" t="s">
        <v>2248</v>
      </c>
      <c r="Z1646" s="34" t="s">
        <v>4714</v>
      </c>
      <c r="AA1646" s="35">
        <v>5.6552419354838714E-4</v>
      </c>
      <c r="AB1646" s="13"/>
      <c r="AC1646" s="34">
        <v>1642</v>
      </c>
      <c r="AD1646" s="34" t="s">
        <v>4573</v>
      </c>
      <c r="AE1646" s="34" t="s">
        <v>4222</v>
      </c>
      <c r="AF1646" s="35">
        <v>6.4778225806451623E-2</v>
      </c>
    </row>
    <row r="1647" spans="19:32" x14ac:dyDescent="0.35">
      <c r="S1647" s="47">
        <v>1643</v>
      </c>
      <c r="T1647" s="47" t="s">
        <v>4284</v>
      </c>
      <c r="U1647" s="47" t="s">
        <v>3222</v>
      </c>
      <c r="V1647" s="48">
        <v>5.3125000000000004E-5</v>
      </c>
      <c r="W1647" s="13"/>
      <c r="X1647" s="34">
        <v>1643</v>
      </c>
      <c r="Y1647" s="34" t="s">
        <v>2248</v>
      </c>
      <c r="Z1647" s="34" t="s">
        <v>4711</v>
      </c>
      <c r="AA1647" s="35">
        <v>1.5903225806451615E-5</v>
      </c>
      <c r="AB1647" s="13"/>
      <c r="AC1647" s="47">
        <v>1643</v>
      </c>
      <c r="AD1647" s="47" t="s">
        <v>4573</v>
      </c>
      <c r="AE1647" s="47" t="s">
        <v>4220</v>
      </c>
      <c r="AF1647" s="56">
        <v>5.586693548387097</v>
      </c>
    </row>
    <row r="1648" spans="19:32" x14ac:dyDescent="0.35">
      <c r="S1648" s="47">
        <v>1644</v>
      </c>
      <c r="T1648" s="47" t="s">
        <v>4284</v>
      </c>
      <c r="U1648" s="47" t="s">
        <v>3222</v>
      </c>
      <c r="V1648" s="48">
        <v>0</v>
      </c>
      <c r="W1648" s="13"/>
      <c r="X1648" s="34">
        <v>1644</v>
      </c>
      <c r="Y1648" s="34" t="s">
        <v>2248</v>
      </c>
      <c r="Z1648" s="34" t="s">
        <v>5325</v>
      </c>
      <c r="AA1648" s="35">
        <v>1.2338709677419357E-2</v>
      </c>
      <c r="AB1648" s="13"/>
      <c r="AC1648" s="34">
        <v>1644</v>
      </c>
      <c r="AD1648" s="34" t="s">
        <v>4573</v>
      </c>
      <c r="AE1648" s="34" t="s">
        <v>4219</v>
      </c>
      <c r="AF1648" s="35">
        <v>0.17959677419354841</v>
      </c>
    </row>
    <row r="1649" spans="19:32" x14ac:dyDescent="0.35">
      <c r="S1649" s="47">
        <v>1645</v>
      </c>
      <c r="T1649" s="47" t="s">
        <v>4284</v>
      </c>
      <c r="U1649" s="47" t="s">
        <v>3221</v>
      </c>
      <c r="V1649" s="48">
        <v>6.1008064516129041E-5</v>
      </c>
      <c r="W1649" s="13"/>
      <c r="X1649" s="47">
        <v>1645</v>
      </c>
      <c r="Y1649" s="47" t="s">
        <v>2248</v>
      </c>
      <c r="Z1649" s="47" t="s">
        <v>3352</v>
      </c>
      <c r="AA1649" s="48">
        <v>0</v>
      </c>
      <c r="AB1649" s="13"/>
      <c r="AC1649" s="47">
        <v>1645</v>
      </c>
      <c r="AD1649" s="47" t="s">
        <v>4573</v>
      </c>
      <c r="AE1649" s="47" t="s">
        <v>4216</v>
      </c>
      <c r="AF1649" s="56">
        <v>0.29510080645161291</v>
      </c>
    </row>
    <row r="1650" spans="19:32" x14ac:dyDescent="0.35">
      <c r="S1650" s="47">
        <v>1646</v>
      </c>
      <c r="T1650" s="47" t="s">
        <v>4284</v>
      </c>
      <c r="U1650" s="47" t="s">
        <v>3221</v>
      </c>
      <c r="V1650" s="48">
        <v>0</v>
      </c>
      <c r="W1650" s="13"/>
      <c r="X1650" s="34">
        <v>1646</v>
      </c>
      <c r="Y1650" s="34" t="s">
        <v>2248</v>
      </c>
      <c r="Z1650" s="34" t="s">
        <v>3352</v>
      </c>
      <c r="AA1650" s="35">
        <v>8.808467741935484</v>
      </c>
      <c r="AB1650" s="13"/>
      <c r="AC1650" s="47">
        <v>1646</v>
      </c>
      <c r="AD1650" s="47" t="s">
        <v>4573</v>
      </c>
      <c r="AE1650" s="47" t="s">
        <v>4215</v>
      </c>
      <c r="AF1650" s="56">
        <v>2.2723790322580646</v>
      </c>
    </row>
    <row r="1651" spans="19:32" x14ac:dyDescent="0.35">
      <c r="S1651" s="34">
        <v>1647</v>
      </c>
      <c r="T1651" s="34" t="s">
        <v>4284</v>
      </c>
      <c r="U1651" s="34" t="s">
        <v>3220</v>
      </c>
      <c r="V1651" s="35">
        <v>1.5080645161290325</v>
      </c>
      <c r="W1651" s="13"/>
      <c r="X1651" s="34">
        <v>1647</v>
      </c>
      <c r="Y1651" s="34" t="s">
        <v>2248</v>
      </c>
      <c r="Z1651" s="34" t="s">
        <v>5324</v>
      </c>
      <c r="AA1651" s="35">
        <v>2.4403225806451614E-2</v>
      </c>
      <c r="AB1651" s="13"/>
      <c r="AC1651" s="47">
        <v>1647</v>
      </c>
      <c r="AD1651" s="47" t="s">
        <v>4573</v>
      </c>
      <c r="AE1651" s="47" t="s">
        <v>3164</v>
      </c>
      <c r="AF1651" s="56">
        <v>13.94959677419355</v>
      </c>
    </row>
    <row r="1652" spans="19:32" x14ac:dyDescent="0.35">
      <c r="S1652" s="47">
        <v>1648</v>
      </c>
      <c r="T1652" s="47" t="s">
        <v>4284</v>
      </c>
      <c r="U1652" s="47" t="s">
        <v>3220</v>
      </c>
      <c r="V1652" s="48">
        <v>4.6735999999999995</v>
      </c>
      <c r="W1652" s="13"/>
      <c r="X1652" s="47">
        <v>1648</v>
      </c>
      <c r="Y1652" s="47" t="s">
        <v>2248</v>
      </c>
      <c r="Z1652" s="47" t="s">
        <v>3350</v>
      </c>
      <c r="AA1652" s="48">
        <v>2180.4</v>
      </c>
      <c r="AB1652" s="13"/>
      <c r="AC1652" s="47">
        <v>1648</v>
      </c>
      <c r="AD1652" s="47" t="s">
        <v>4573</v>
      </c>
      <c r="AE1652" s="47" t="s">
        <v>3164</v>
      </c>
      <c r="AF1652" s="48">
        <v>0</v>
      </c>
    </row>
    <row r="1653" spans="19:32" x14ac:dyDescent="0.35">
      <c r="S1653" s="47">
        <v>1649</v>
      </c>
      <c r="T1653" s="47" t="s">
        <v>4284</v>
      </c>
      <c r="U1653" s="47" t="s">
        <v>4511</v>
      </c>
      <c r="V1653" s="48">
        <v>1.2784274193548388E-3</v>
      </c>
      <c r="W1653" s="13"/>
      <c r="X1653" s="47">
        <v>1649</v>
      </c>
      <c r="Y1653" s="47" t="s">
        <v>2248</v>
      </c>
      <c r="Z1653" s="47" t="s">
        <v>3349</v>
      </c>
      <c r="AA1653" s="48">
        <v>0</v>
      </c>
      <c r="AB1653" s="13"/>
      <c r="AC1653" s="47">
        <v>1649</v>
      </c>
      <c r="AD1653" s="47" t="s">
        <v>4573</v>
      </c>
      <c r="AE1653" s="47" t="s">
        <v>4211</v>
      </c>
      <c r="AF1653" s="56">
        <v>0.23752016129032261</v>
      </c>
    </row>
    <row r="1654" spans="19:32" x14ac:dyDescent="0.35">
      <c r="S1654" s="47">
        <v>1650</v>
      </c>
      <c r="T1654" s="47" t="s">
        <v>4284</v>
      </c>
      <c r="U1654" s="47" t="s">
        <v>3218</v>
      </c>
      <c r="V1654" s="48">
        <v>3.7719999999999998</v>
      </c>
      <c r="W1654" s="13"/>
      <c r="X1654" s="34">
        <v>1650</v>
      </c>
      <c r="Y1654" s="34" t="s">
        <v>2248</v>
      </c>
      <c r="Z1654" s="34" t="s">
        <v>5323</v>
      </c>
      <c r="AA1654" s="35">
        <v>9.6995967741935491E-3</v>
      </c>
      <c r="AB1654" s="13"/>
      <c r="AC1654" s="34">
        <v>1650</v>
      </c>
      <c r="AD1654" s="34" t="s">
        <v>4573</v>
      </c>
      <c r="AE1654" s="34" t="s">
        <v>3162</v>
      </c>
      <c r="AF1654" s="35">
        <v>1.4497983870967743E-2</v>
      </c>
    </row>
    <row r="1655" spans="19:32" x14ac:dyDescent="0.35">
      <c r="S1655" s="34">
        <v>1651</v>
      </c>
      <c r="T1655" s="34" t="s">
        <v>4284</v>
      </c>
      <c r="U1655" s="34" t="s">
        <v>4510</v>
      </c>
      <c r="V1655" s="35">
        <v>1.4703629032258065E-2</v>
      </c>
      <c r="W1655" s="13"/>
      <c r="X1655" s="47">
        <v>1651</v>
      </c>
      <c r="Y1655" s="47" t="s">
        <v>2248</v>
      </c>
      <c r="Z1655" s="47" t="s">
        <v>3347</v>
      </c>
      <c r="AA1655" s="48">
        <v>0</v>
      </c>
      <c r="AB1655" s="13"/>
      <c r="AC1655" s="47">
        <v>1651</v>
      </c>
      <c r="AD1655" s="47" t="s">
        <v>4573</v>
      </c>
      <c r="AE1655" s="47" t="s">
        <v>3162</v>
      </c>
      <c r="AF1655" s="48">
        <v>0</v>
      </c>
    </row>
    <row r="1656" spans="19:32" x14ac:dyDescent="0.35">
      <c r="S1656" s="47">
        <v>1652</v>
      </c>
      <c r="T1656" s="47" t="s">
        <v>4284</v>
      </c>
      <c r="U1656" s="47" t="s">
        <v>3217</v>
      </c>
      <c r="V1656" s="48">
        <v>0.13616</v>
      </c>
      <c r="W1656" s="13"/>
      <c r="X1656" s="34">
        <v>1652</v>
      </c>
      <c r="Y1656" s="34" t="s">
        <v>2248</v>
      </c>
      <c r="Z1656" s="34" t="s">
        <v>3347</v>
      </c>
      <c r="AA1656" s="35">
        <v>6.7520161290322584E-3</v>
      </c>
      <c r="AB1656" s="13"/>
      <c r="AC1656" s="47">
        <v>1652</v>
      </c>
      <c r="AD1656" s="47" t="s">
        <v>4573</v>
      </c>
      <c r="AE1656" s="47" t="s">
        <v>3161</v>
      </c>
      <c r="AF1656" s="56">
        <v>24.81451612903226</v>
      </c>
    </row>
    <row r="1657" spans="19:32" x14ac:dyDescent="0.35">
      <c r="S1657" s="47">
        <v>1653</v>
      </c>
      <c r="T1657" s="47" t="s">
        <v>4284</v>
      </c>
      <c r="U1657" s="47" t="s">
        <v>4509</v>
      </c>
      <c r="V1657" s="48">
        <v>6.4435483870967751E-3</v>
      </c>
      <c r="W1657" s="13"/>
      <c r="X1657" s="34">
        <v>1653</v>
      </c>
      <c r="Y1657" s="34" t="s">
        <v>2248</v>
      </c>
      <c r="Z1657" s="34" t="s">
        <v>4704</v>
      </c>
      <c r="AA1657" s="35">
        <v>3.2149193548387099E-2</v>
      </c>
      <c r="AB1657" s="13"/>
      <c r="AC1657" s="47">
        <v>1653</v>
      </c>
      <c r="AD1657" s="47" t="s">
        <v>4573</v>
      </c>
      <c r="AE1657" s="47" t="s">
        <v>3161</v>
      </c>
      <c r="AF1657" s="48">
        <v>19.872</v>
      </c>
    </row>
    <row r="1658" spans="19:32" x14ac:dyDescent="0.35">
      <c r="S1658" s="34">
        <v>1654</v>
      </c>
      <c r="T1658" s="34" t="s">
        <v>4284</v>
      </c>
      <c r="U1658" s="34" t="s">
        <v>4508</v>
      </c>
      <c r="V1658" s="35">
        <v>2.104435483870968E-3</v>
      </c>
      <c r="W1658" s="13"/>
      <c r="X1658" s="34">
        <v>1654</v>
      </c>
      <c r="Y1658" s="34" t="s">
        <v>2248</v>
      </c>
      <c r="Z1658" s="34" t="s">
        <v>5322</v>
      </c>
      <c r="AA1658" s="35">
        <v>3.0024193548387101E-4</v>
      </c>
      <c r="AB1658" s="13"/>
      <c r="AC1658" s="34">
        <v>1654</v>
      </c>
      <c r="AD1658" s="34" t="s">
        <v>4573</v>
      </c>
      <c r="AE1658" s="34" t="s">
        <v>3159</v>
      </c>
      <c r="AF1658" s="35">
        <v>6.6491935483870973E-2</v>
      </c>
    </row>
    <row r="1659" spans="19:32" x14ac:dyDescent="0.35">
      <c r="S1659" s="47">
        <v>1655</v>
      </c>
      <c r="T1659" s="47" t="s">
        <v>4284</v>
      </c>
      <c r="U1659" s="47" t="s">
        <v>4504</v>
      </c>
      <c r="V1659" s="48">
        <v>9.2883064516129047E-3</v>
      </c>
      <c r="W1659" s="13"/>
      <c r="X1659" s="34">
        <v>1655</v>
      </c>
      <c r="Y1659" s="34" t="s">
        <v>2248</v>
      </c>
      <c r="Z1659" s="34" t="s">
        <v>4703</v>
      </c>
      <c r="AA1659" s="35">
        <v>1.9536290322580648E-3</v>
      </c>
      <c r="AB1659" s="13"/>
      <c r="AC1659" s="47">
        <v>1655</v>
      </c>
      <c r="AD1659" s="47" t="s">
        <v>4573</v>
      </c>
      <c r="AE1659" s="47" t="s">
        <v>3159</v>
      </c>
      <c r="AF1659" s="48">
        <v>0</v>
      </c>
    </row>
    <row r="1660" spans="19:32" x14ac:dyDescent="0.35">
      <c r="S1660" s="47">
        <v>1656</v>
      </c>
      <c r="T1660" s="47" t="s">
        <v>4284</v>
      </c>
      <c r="U1660" s="47" t="s">
        <v>4499</v>
      </c>
      <c r="V1660" s="48">
        <v>1.6794354838709678E-3</v>
      </c>
      <c r="W1660" s="13"/>
      <c r="X1660" s="34">
        <v>1656</v>
      </c>
      <c r="Y1660" s="34" t="s">
        <v>2248</v>
      </c>
      <c r="Z1660" s="34" t="s">
        <v>4702</v>
      </c>
      <c r="AA1660" s="35">
        <v>3.3622983870967745E-6</v>
      </c>
      <c r="AB1660" s="13"/>
      <c r="AC1660" s="47">
        <v>1656</v>
      </c>
      <c r="AD1660" s="47" t="s">
        <v>4573</v>
      </c>
      <c r="AE1660" s="47" t="s">
        <v>4209</v>
      </c>
      <c r="AF1660" s="56">
        <v>4.455645161290323</v>
      </c>
    </row>
    <row r="1661" spans="19:32" x14ac:dyDescent="0.35">
      <c r="S1661" s="47">
        <v>1657</v>
      </c>
      <c r="T1661" s="47" t="s">
        <v>4284</v>
      </c>
      <c r="U1661" s="47" t="s">
        <v>4495</v>
      </c>
      <c r="V1661" s="48">
        <v>1.7959677419354841E-3</v>
      </c>
      <c r="W1661" s="13"/>
      <c r="X1661" s="34">
        <v>1657</v>
      </c>
      <c r="Y1661" s="34" t="s">
        <v>2248</v>
      </c>
      <c r="Z1661" s="34" t="s">
        <v>5321</v>
      </c>
      <c r="AA1661" s="35">
        <v>2.4471774193548387E-2</v>
      </c>
      <c r="AB1661" s="13"/>
      <c r="AC1661" s="34">
        <v>1657</v>
      </c>
      <c r="AD1661" s="34" t="s">
        <v>4573</v>
      </c>
      <c r="AE1661" s="34" t="s">
        <v>3158</v>
      </c>
      <c r="AF1661" s="35">
        <v>16.520161290322584</v>
      </c>
    </row>
    <row r="1662" spans="19:32" x14ac:dyDescent="0.35">
      <c r="S1662" s="47">
        <v>1658</v>
      </c>
      <c r="T1662" s="47" t="s">
        <v>4284</v>
      </c>
      <c r="U1662" s="47" t="s">
        <v>4491</v>
      </c>
      <c r="V1662" s="48">
        <v>1.5389112903225808</v>
      </c>
      <c r="W1662" s="13"/>
      <c r="X1662" s="34">
        <v>1658</v>
      </c>
      <c r="Y1662" s="34" t="s">
        <v>2248</v>
      </c>
      <c r="Z1662" s="34" t="s">
        <v>4701</v>
      </c>
      <c r="AA1662" s="35">
        <v>2.1112903225806452E-2</v>
      </c>
      <c r="AB1662" s="13"/>
      <c r="AC1662" s="47">
        <v>1658</v>
      </c>
      <c r="AD1662" s="47" t="s">
        <v>4573</v>
      </c>
      <c r="AE1662" s="47" t="s">
        <v>3158</v>
      </c>
      <c r="AF1662" s="48">
        <v>460.92</v>
      </c>
    </row>
    <row r="1663" spans="19:32" x14ac:dyDescent="0.35">
      <c r="S1663" s="47">
        <v>1659</v>
      </c>
      <c r="T1663" s="47" t="s">
        <v>4284</v>
      </c>
      <c r="U1663" s="47" t="s">
        <v>3215</v>
      </c>
      <c r="V1663" s="48">
        <v>0</v>
      </c>
      <c r="W1663" s="13"/>
      <c r="X1663" s="34">
        <v>1659</v>
      </c>
      <c r="Y1663" s="34" t="s">
        <v>2248</v>
      </c>
      <c r="Z1663" s="34" t="s">
        <v>4700</v>
      </c>
      <c r="AA1663" s="35">
        <v>0.65806451612903227</v>
      </c>
      <c r="AB1663" s="13"/>
      <c r="AC1663" s="47">
        <v>1659</v>
      </c>
      <c r="AD1663" s="47" t="s">
        <v>4573</v>
      </c>
      <c r="AE1663" s="47" t="s">
        <v>4205</v>
      </c>
      <c r="AF1663" s="56">
        <v>0.12544354838709679</v>
      </c>
    </row>
    <row r="1664" spans="19:32" x14ac:dyDescent="0.35">
      <c r="S1664" s="47">
        <v>1660</v>
      </c>
      <c r="T1664" s="47" t="s">
        <v>4284</v>
      </c>
      <c r="U1664" s="47" t="s">
        <v>3214</v>
      </c>
      <c r="V1664" s="48">
        <v>1.6008</v>
      </c>
      <c r="W1664" s="13"/>
      <c r="X1664" s="34">
        <v>1660</v>
      </c>
      <c r="Y1664" s="34" t="s">
        <v>2248</v>
      </c>
      <c r="Z1664" s="34" t="s">
        <v>4699</v>
      </c>
      <c r="AA1664" s="35">
        <v>4.0100806451612905E-4</v>
      </c>
      <c r="AB1664" s="13"/>
      <c r="AC1664" s="47">
        <v>1660</v>
      </c>
      <c r="AD1664" s="47" t="s">
        <v>4573</v>
      </c>
      <c r="AE1664" s="47" t="s">
        <v>4204</v>
      </c>
      <c r="AF1664" s="56">
        <v>0.45584677419354841</v>
      </c>
    </row>
    <row r="1665" spans="19:32" x14ac:dyDescent="0.35">
      <c r="S1665" s="34">
        <v>1661</v>
      </c>
      <c r="T1665" s="34" t="s">
        <v>4284</v>
      </c>
      <c r="U1665" s="34" t="s">
        <v>4486</v>
      </c>
      <c r="V1665" s="35">
        <v>124.75806451612904</v>
      </c>
      <c r="W1665" s="13"/>
      <c r="X1665" s="34">
        <v>1661</v>
      </c>
      <c r="Y1665" s="34" t="s">
        <v>2248</v>
      </c>
      <c r="Z1665" s="34" t="s">
        <v>5320</v>
      </c>
      <c r="AA1665" s="35">
        <v>6.2721774193548394E-2</v>
      </c>
      <c r="AB1665" s="13"/>
      <c r="AC1665" s="47">
        <v>1661</v>
      </c>
      <c r="AD1665" s="47" t="s">
        <v>4573</v>
      </c>
      <c r="AE1665" s="47" t="s">
        <v>4203</v>
      </c>
      <c r="AF1665" s="56">
        <v>3.495967741935484</v>
      </c>
    </row>
    <row r="1666" spans="19:32" x14ac:dyDescent="0.35">
      <c r="S1666" s="47">
        <v>1662</v>
      </c>
      <c r="T1666" s="47" t="s">
        <v>4284</v>
      </c>
      <c r="U1666" s="47" t="s">
        <v>4482</v>
      </c>
      <c r="V1666" s="48">
        <v>4.6612903225806458E-5</v>
      </c>
      <c r="W1666" s="13"/>
      <c r="X1666" s="34">
        <v>1662</v>
      </c>
      <c r="Y1666" s="34" t="s">
        <v>2248</v>
      </c>
      <c r="Z1666" s="34" t="s">
        <v>4698</v>
      </c>
      <c r="AA1666" s="35">
        <v>2.6665322580645165E-5</v>
      </c>
      <c r="AB1666" s="13"/>
      <c r="AC1666" s="47">
        <v>1662</v>
      </c>
      <c r="AD1666" s="47" t="s">
        <v>4573</v>
      </c>
      <c r="AE1666" s="47" t="s">
        <v>4201</v>
      </c>
      <c r="AF1666" s="56">
        <v>5.3810483870967749E-2</v>
      </c>
    </row>
    <row r="1667" spans="19:32" x14ac:dyDescent="0.35">
      <c r="S1667" s="34">
        <v>1663</v>
      </c>
      <c r="T1667" s="34" t="s">
        <v>4284</v>
      </c>
      <c r="U1667" s="34" t="s">
        <v>3212</v>
      </c>
      <c r="V1667" s="35">
        <v>8.7056451612903235E-2</v>
      </c>
      <c r="W1667" s="13"/>
      <c r="X1667" s="34">
        <v>1663</v>
      </c>
      <c r="Y1667" s="34" t="s">
        <v>2248</v>
      </c>
      <c r="Z1667" s="34" t="s">
        <v>4696</v>
      </c>
      <c r="AA1667" s="35">
        <v>2.6870967741935484E-2</v>
      </c>
      <c r="AB1667" s="13"/>
      <c r="AC1667" s="34">
        <v>1663</v>
      </c>
      <c r="AD1667" s="34" t="s">
        <v>4573</v>
      </c>
      <c r="AE1667" s="34" t="s">
        <v>4200</v>
      </c>
      <c r="AF1667" s="35">
        <v>7.9173387096774205E-3</v>
      </c>
    </row>
    <row r="1668" spans="19:32" x14ac:dyDescent="0.35">
      <c r="S1668" s="47">
        <v>1664</v>
      </c>
      <c r="T1668" s="47" t="s">
        <v>4284</v>
      </c>
      <c r="U1668" s="47" t="s">
        <v>3212</v>
      </c>
      <c r="V1668" s="48">
        <v>0</v>
      </c>
      <c r="W1668" s="13"/>
      <c r="X1668" s="34">
        <v>1664</v>
      </c>
      <c r="Y1668" s="34" t="s">
        <v>2248</v>
      </c>
      <c r="Z1668" s="34" t="s">
        <v>5319</v>
      </c>
      <c r="AA1668" s="35">
        <v>2.1764112903225807E-3</v>
      </c>
      <c r="AB1668" s="13"/>
      <c r="AC1668" s="47">
        <v>1664</v>
      </c>
      <c r="AD1668" s="47" t="s">
        <v>4573</v>
      </c>
      <c r="AE1668" s="47" t="s">
        <v>3156</v>
      </c>
      <c r="AF1668" s="48">
        <v>0</v>
      </c>
    </row>
    <row r="1669" spans="19:32" x14ac:dyDescent="0.35">
      <c r="S1669" s="47">
        <v>1665</v>
      </c>
      <c r="T1669" s="47" t="s">
        <v>4284</v>
      </c>
      <c r="U1669" s="47" t="s">
        <v>3210</v>
      </c>
      <c r="V1669" s="48">
        <v>2.2004032258064517E-3</v>
      </c>
      <c r="W1669" s="13"/>
      <c r="X1669" s="34">
        <v>1665</v>
      </c>
      <c r="Y1669" s="34" t="s">
        <v>2248</v>
      </c>
      <c r="Z1669" s="34" t="s">
        <v>4695</v>
      </c>
      <c r="AA1669" s="35">
        <v>5.5181451612903226E-3</v>
      </c>
      <c r="AB1669" s="13"/>
      <c r="AC1669" s="47">
        <v>1665</v>
      </c>
      <c r="AD1669" s="47" t="s">
        <v>4573</v>
      </c>
      <c r="AE1669" s="47" t="s">
        <v>3155</v>
      </c>
      <c r="AF1669" s="56">
        <v>21.25</v>
      </c>
    </row>
    <row r="1670" spans="19:32" x14ac:dyDescent="0.35">
      <c r="S1670" s="47">
        <v>1666</v>
      </c>
      <c r="T1670" s="47" t="s">
        <v>4284</v>
      </c>
      <c r="U1670" s="47" t="s">
        <v>3210</v>
      </c>
      <c r="V1670" s="48">
        <v>1.0488000000000002</v>
      </c>
      <c r="W1670" s="13"/>
      <c r="X1670" s="34">
        <v>1666</v>
      </c>
      <c r="Y1670" s="34" t="s">
        <v>2248</v>
      </c>
      <c r="Z1670" s="34" t="s">
        <v>4694</v>
      </c>
      <c r="AA1670" s="35">
        <v>9.5625000000000007E-4</v>
      </c>
      <c r="AB1670" s="13"/>
      <c r="AC1670" s="47">
        <v>1666</v>
      </c>
      <c r="AD1670" s="47" t="s">
        <v>4573</v>
      </c>
      <c r="AE1670" s="47" t="s">
        <v>3155</v>
      </c>
      <c r="AF1670" s="48">
        <v>7856.8000000000011</v>
      </c>
    </row>
    <row r="1671" spans="19:32" x14ac:dyDescent="0.35">
      <c r="S1671" s="34">
        <v>1667</v>
      </c>
      <c r="T1671" s="34" t="s">
        <v>4284</v>
      </c>
      <c r="U1671" s="34" t="s">
        <v>4470</v>
      </c>
      <c r="V1671" s="35">
        <v>2.5054435483870969E-4</v>
      </c>
      <c r="W1671" s="13"/>
      <c r="X1671" s="34">
        <v>1667</v>
      </c>
      <c r="Y1671" s="34" t="s">
        <v>2248</v>
      </c>
      <c r="Z1671" s="34" t="s">
        <v>5318</v>
      </c>
      <c r="AA1671" s="35">
        <v>4.2157258064516132E-2</v>
      </c>
      <c r="AB1671" s="13"/>
      <c r="AC1671" s="34">
        <v>1667</v>
      </c>
      <c r="AD1671" s="34" t="s">
        <v>4573</v>
      </c>
      <c r="AE1671" s="34" t="s">
        <v>4198</v>
      </c>
      <c r="AF1671" s="35">
        <v>0.31120967741935485</v>
      </c>
    </row>
    <row r="1672" spans="19:32" x14ac:dyDescent="0.35">
      <c r="S1672" s="47">
        <v>1668</v>
      </c>
      <c r="T1672" s="47" t="s">
        <v>4284</v>
      </c>
      <c r="U1672" s="47" t="s">
        <v>4466</v>
      </c>
      <c r="V1672" s="48">
        <v>2.7487903225806454E-2</v>
      </c>
      <c r="W1672" s="13"/>
      <c r="X1672" s="34">
        <v>1668</v>
      </c>
      <c r="Y1672" s="34" t="s">
        <v>2248</v>
      </c>
      <c r="Z1672" s="34" t="s">
        <v>4689</v>
      </c>
      <c r="AA1672" s="35">
        <v>1.4120967741935485E-4</v>
      </c>
      <c r="AB1672" s="13"/>
      <c r="AC1672" s="47">
        <v>1668</v>
      </c>
      <c r="AD1672" s="47" t="s">
        <v>4573</v>
      </c>
      <c r="AE1672" s="47" t="s">
        <v>4196</v>
      </c>
      <c r="AF1672" s="56">
        <v>1.6143145161290325E-3</v>
      </c>
    </row>
    <row r="1673" spans="19:32" x14ac:dyDescent="0.35">
      <c r="S1673" s="47">
        <v>1669</v>
      </c>
      <c r="T1673" s="47" t="s">
        <v>4284</v>
      </c>
      <c r="U1673" s="47" t="s">
        <v>3209</v>
      </c>
      <c r="V1673" s="48">
        <v>2.8611999999999997</v>
      </c>
      <c r="W1673" s="13"/>
      <c r="X1673" s="47">
        <v>1669</v>
      </c>
      <c r="Y1673" s="47" t="s">
        <v>2248</v>
      </c>
      <c r="Z1673" s="47" t="s">
        <v>4688</v>
      </c>
      <c r="AA1673" s="48">
        <v>2.9304435483870975E-4</v>
      </c>
      <c r="AB1673" s="13"/>
      <c r="AC1673" s="34">
        <v>1669</v>
      </c>
      <c r="AD1673" s="34" t="s">
        <v>4573</v>
      </c>
      <c r="AE1673" s="34" t="s">
        <v>4195</v>
      </c>
      <c r="AF1673" s="35">
        <v>9.973790322580646E-3</v>
      </c>
    </row>
    <row r="1674" spans="19:32" x14ac:dyDescent="0.35">
      <c r="S1674" s="47">
        <v>1670</v>
      </c>
      <c r="T1674" s="47" t="s">
        <v>4284</v>
      </c>
      <c r="U1674" s="47" t="s">
        <v>4462</v>
      </c>
      <c r="V1674" s="48">
        <v>6.7520161290322587E-6</v>
      </c>
      <c r="W1674" s="13"/>
      <c r="X1674" s="34">
        <v>1670</v>
      </c>
      <c r="Y1674" s="34" t="s">
        <v>2248</v>
      </c>
      <c r="Z1674" s="34" t="s">
        <v>4687</v>
      </c>
      <c r="AA1674" s="35">
        <v>0.13195564516129032</v>
      </c>
      <c r="AB1674" s="13"/>
      <c r="AC1674" s="47">
        <v>1670</v>
      </c>
      <c r="AD1674" s="47" t="s">
        <v>4573</v>
      </c>
      <c r="AE1674" s="47" t="s">
        <v>4192</v>
      </c>
      <c r="AF1674" s="56">
        <v>1.038508064516129E-4</v>
      </c>
    </row>
    <row r="1675" spans="19:32" x14ac:dyDescent="0.35">
      <c r="S1675" s="47">
        <v>1671</v>
      </c>
      <c r="T1675" s="47" t="s">
        <v>4284</v>
      </c>
      <c r="U1675" s="47" t="s">
        <v>4457</v>
      </c>
      <c r="V1675" s="48">
        <v>7.129032258064516E-2</v>
      </c>
      <c r="W1675" s="13"/>
      <c r="X1675" s="34">
        <v>1671</v>
      </c>
      <c r="Y1675" s="34" t="s">
        <v>2248</v>
      </c>
      <c r="Z1675" s="34" t="s">
        <v>5317</v>
      </c>
      <c r="AA1675" s="35">
        <v>1.3401209677419356E-2</v>
      </c>
      <c r="AB1675" s="13"/>
      <c r="AC1675" s="47">
        <v>1671</v>
      </c>
      <c r="AD1675" s="47" t="s">
        <v>4573</v>
      </c>
      <c r="AE1675" s="47" t="s">
        <v>3153</v>
      </c>
      <c r="AF1675" s="56">
        <v>3.2697580645161296E-2</v>
      </c>
    </row>
    <row r="1676" spans="19:32" x14ac:dyDescent="0.35">
      <c r="S1676" s="47">
        <v>1672</v>
      </c>
      <c r="T1676" s="47" t="s">
        <v>4284</v>
      </c>
      <c r="U1676" s="47" t="s">
        <v>4453</v>
      </c>
      <c r="V1676" s="48">
        <v>1.8473790322580646E-3</v>
      </c>
      <c r="W1676" s="13"/>
      <c r="X1676" s="47">
        <v>1672</v>
      </c>
      <c r="Y1676" s="47" t="s">
        <v>2248</v>
      </c>
      <c r="Z1676" s="47" t="s">
        <v>3345</v>
      </c>
      <c r="AA1676" s="48">
        <v>1.3984E-2</v>
      </c>
      <c r="AB1676" s="13"/>
      <c r="AC1676" s="47">
        <v>1672</v>
      </c>
      <c r="AD1676" s="47" t="s">
        <v>4573</v>
      </c>
      <c r="AE1676" s="47" t="s">
        <v>3153</v>
      </c>
      <c r="AF1676" s="48">
        <v>0</v>
      </c>
    </row>
    <row r="1677" spans="19:32" x14ac:dyDescent="0.35">
      <c r="S1677" s="34">
        <v>1673</v>
      </c>
      <c r="T1677" s="34" t="s">
        <v>4284</v>
      </c>
      <c r="U1677" s="34" t="s">
        <v>3207</v>
      </c>
      <c r="V1677" s="35">
        <v>5.7580645161290328E-2</v>
      </c>
      <c r="W1677" s="13"/>
      <c r="X1677" s="47">
        <v>1673</v>
      </c>
      <c r="Y1677" s="47" t="s">
        <v>2248</v>
      </c>
      <c r="Z1677" s="47" t="s">
        <v>3345</v>
      </c>
      <c r="AA1677" s="48">
        <v>4.3185483870967746E-4</v>
      </c>
      <c r="AB1677" s="13"/>
      <c r="AC1677" s="47">
        <v>1673</v>
      </c>
      <c r="AD1677" s="47" t="s">
        <v>4573</v>
      </c>
      <c r="AE1677" s="47" t="s">
        <v>4187</v>
      </c>
      <c r="AF1677" s="56">
        <v>5.2782258064516131E-3</v>
      </c>
    </row>
    <row r="1678" spans="19:32" x14ac:dyDescent="0.35">
      <c r="S1678" s="47">
        <v>1674</v>
      </c>
      <c r="T1678" s="47" t="s">
        <v>4284</v>
      </c>
      <c r="U1678" s="47" t="s">
        <v>3207</v>
      </c>
      <c r="V1678" s="48">
        <v>0</v>
      </c>
      <c r="W1678" s="13"/>
      <c r="X1678" s="34">
        <v>1674</v>
      </c>
      <c r="Y1678" s="34" t="s">
        <v>2248</v>
      </c>
      <c r="Z1678" s="34" t="s">
        <v>5316</v>
      </c>
      <c r="AA1678" s="35">
        <v>2.6288306451612904E-2</v>
      </c>
      <c r="AB1678" s="13"/>
      <c r="AC1678" s="47">
        <v>1674</v>
      </c>
      <c r="AD1678" s="47" t="s">
        <v>4573</v>
      </c>
      <c r="AE1678" s="47" t="s">
        <v>4186</v>
      </c>
      <c r="AF1678" s="56">
        <v>0.19981854838709678</v>
      </c>
    </row>
    <row r="1679" spans="19:32" x14ac:dyDescent="0.35">
      <c r="S1679" s="53">
        <v>1675</v>
      </c>
      <c r="T1679" s="53" t="s">
        <v>4284</v>
      </c>
      <c r="U1679" s="54" t="s">
        <v>4443</v>
      </c>
      <c r="V1679" s="55">
        <v>4.5207499999999996</v>
      </c>
      <c r="W1679" s="13"/>
      <c r="X1679" s="34">
        <v>1675</v>
      </c>
      <c r="Y1679" s="34" t="s">
        <v>2248</v>
      </c>
      <c r="Z1679" s="34" t="s">
        <v>4683</v>
      </c>
      <c r="AA1679" s="35">
        <v>4.8326612903225813E-3</v>
      </c>
      <c r="AB1679" s="13"/>
      <c r="AC1679" s="34">
        <v>1675</v>
      </c>
      <c r="AD1679" s="34" t="s">
        <v>4573</v>
      </c>
      <c r="AE1679" s="34" t="s">
        <v>4182</v>
      </c>
      <c r="AF1679" s="35">
        <v>4.4899193548387098E-3</v>
      </c>
    </row>
    <row r="1680" spans="19:32" x14ac:dyDescent="0.35">
      <c r="S1680" s="47">
        <v>1676</v>
      </c>
      <c r="T1680" s="47" t="s">
        <v>4284</v>
      </c>
      <c r="U1680" s="47" t="s">
        <v>4443</v>
      </c>
      <c r="V1680" s="48">
        <v>2.6288306451612906E-6</v>
      </c>
      <c r="W1680" s="13"/>
      <c r="X1680" s="47">
        <v>1676</v>
      </c>
      <c r="Y1680" s="47" t="s">
        <v>2248</v>
      </c>
      <c r="Z1680" s="47" t="s">
        <v>4678</v>
      </c>
      <c r="AA1680" s="48">
        <v>2.7179435483870971E-5</v>
      </c>
      <c r="AB1680" s="13"/>
      <c r="AC1680" s="47">
        <v>1676</v>
      </c>
      <c r="AD1680" s="47" t="s">
        <v>4573</v>
      </c>
      <c r="AE1680" s="47" t="s">
        <v>4179</v>
      </c>
      <c r="AF1680" s="56">
        <v>3.7701612903225808E-3</v>
      </c>
    </row>
    <row r="1681" spans="19:32" x14ac:dyDescent="0.35">
      <c r="S1681" s="34">
        <v>1677</v>
      </c>
      <c r="T1681" s="34" t="s">
        <v>4284</v>
      </c>
      <c r="U1681" s="34" t="s">
        <v>4437</v>
      </c>
      <c r="V1681" s="35">
        <v>6.0665322580645163E-3</v>
      </c>
      <c r="W1681" s="13"/>
      <c r="X1681" s="34">
        <v>1677</v>
      </c>
      <c r="Y1681" s="34" t="s">
        <v>2248</v>
      </c>
      <c r="Z1681" s="34" t="s">
        <v>5315</v>
      </c>
      <c r="AA1681" s="35">
        <v>2.0838709677419357E-2</v>
      </c>
      <c r="AB1681" s="13"/>
      <c r="AC1681" s="34">
        <v>1677</v>
      </c>
      <c r="AD1681" s="34" t="s">
        <v>4573</v>
      </c>
      <c r="AE1681" s="34" t="s">
        <v>3151</v>
      </c>
      <c r="AF1681" s="35">
        <v>0.43528225806451615</v>
      </c>
    </row>
    <row r="1682" spans="19:32" x14ac:dyDescent="0.35">
      <c r="S1682" s="47">
        <v>1678</v>
      </c>
      <c r="T1682" s="47" t="s">
        <v>4284</v>
      </c>
      <c r="U1682" s="47" t="s">
        <v>4432</v>
      </c>
      <c r="V1682" s="48">
        <v>1.3606854838709679E-4</v>
      </c>
      <c r="W1682" s="13"/>
      <c r="X1682" s="34">
        <v>1678</v>
      </c>
      <c r="Y1682" s="34" t="s">
        <v>2248</v>
      </c>
      <c r="Z1682" s="34" t="s">
        <v>4675</v>
      </c>
      <c r="AA1682" s="35">
        <v>6.6491935483870973E-3</v>
      </c>
      <c r="AB1682" s="13"/>
      <c r="AC1682" s="47">
        <v>1678</v>
      </c>
      <c r="AD1682" s="47" t="s">
        <v>4573</v>
      </c>
      <c r="AE1682" s="47" t="s">
        <v>3151</v>
      </c>
      <c r="AF1682" s="48">
        <v>0</v>
      </c>
    </row>
    <row r="1683" spans="19:32" x14ac:dyDescent="0.35">
      <c r="S1683" s="47">
        <v>1679</v>
      </c>
      <c r="T1683" s="47" t="s">
        <v>4284</v>
      </c>
      <c r="U1683" s="47" t="s">
        <v>3206</v>
      </c>
      <c r="V1683" s="48">
        <v>12.603999999999999</v>
      </c>
      <c r="W1683" s="13"/>
      <c r="X1683" s="80">
        <v>1679</v>
      </c>
      <c r="Y1683" s="80" t="s">
        <v>2248</v>
      </c>
      <c r="Z1683" s="80" t="s">
        <v>4673</v>
      </c>
      <c r="AA1683" s="81">
        <v>1.501209677419355E-4</v>
      </c>
      <c r="AB1683" s="13"/>
      <c r="AC1683" s="47">
        <v>1679</v>
      </c>
      <c r="AD1683" s="47" t="s">
        <v>4573</v>
      </c>
      <c r="AE1683" s="47" t="s">
        <v>3150</v>
      </c>
      <c r="AF1683" s="56">
        <v>2.5945564516129036E-5</v>
      </c>
    </row>
    <row r="1684" spans="19:32" x14ac:dyDescent="0.35">
      <c r="S1684" s="34">
        <v>1680</v>
      </c>
      <c r="T1684" s="34" t="s">
        <v>4284</v>
      </c>
      <c r="U1684" s="34" t="s">
        <v>3204</v>
      </c>
      <c r="V1684" s="35">
        <v>2.1250000000000002E-4</v>
      </c>
      <c r="W1684" s="13"/>
      <c r="X1684" s="47">
        <v>1680</v>
      </c>
      <c r="Y1684" s="47" t="s">
        <v>2248</v>
      </c>
      <c r="Z1684" s="47" t="s">
        <v>4671</v>
      </c>
      <c r="AA1684" s="48">
        <v>2.0564516129032259E-3</v>
      </c>
      <c r="AB1684" s="13"/>
      <c r="AC1684" s="47">
        <v>1680</v>
      </c>
      <c r="AD1684" s="47" t="s">
        <v>4573</v>
      </c>
      <c r="AE1684" s="47" t="s">
        <v>3150</v>
      </c>
      <c r="AF1684" s="48">
        <v>1.5179999999999999E-2</v>
      </c>
    </row>
    <row r="1685" spans="19:32" x14ac:dyDescent="0.35">
      <c r="S1685" s="47">
        <v>1681</v>
      </c>
      <c r="T1685" s="47" t="s">
        <v>4284</v>
      </c>
      <c r="U1685" s="47" t="s">
        <v>3204</v>
      </c>
      <c r="V1685" s="48">
        <v>0</v>
      </c>
      <c r="W1685" s="13"/>
      <c r="X1685" s="34">
        <v>1681</v>
      </c>
      <c r="Y1685" s="34" t="s">
        <v>2248</v>
      </c>
      <c r="Z1685" s="34" t="s">
        <v>5314</v>
      </c>
      <c r="AA1685" s="35">
        <v>2.8756048387096778E-4</v>
      </c>
      <c r="AB1685" s="13"/>
      <c r="AC1685" s="34">
        <v>1681</v>
      </c>
      <c r="AD1685" s="34" t="s">
        <v>4573</v>
      </c>
      <c r="AE1685" s="34" t="s">
        <v>4177</v>
      </c>
      <c r="AF1685" s="35">
        <v>2.7590725806451613E-3</v>
      </c>
    </row>
    <row r="1686" spans="19:32" x14ac:dyDescent="0.35">
      <c r="S1686" s="47">
        <v>1682</v>
      </c>
      <c r="T1686" s="47" t="s">
        <v>4284</v>
      </c>
      <c r="U1686" s="47" t="s">
        <v>4420</v>
      </c>
      <c r="V1686" s="48">
        <v>6.1350806451612909E-3</v>
      </c>
      <c r="W1686" s="13"/>
      <c r="X1686" s="47">
        <v>1682</v>
      </c>
      <c r="Y1686" s="47" t="s">
        <v>2248</v>
      </c>
      <c r="Z1686" s="47" t="s">
        <v>4669</v>
      </c>
      <c r="AA1686" s="48">
        <v>0.13572580645161292</v>
      </c>
      <c r="AB1686" s="13"/>
      <c r="AC1686" s="47">
        <v>1682</v>
      </c>
      <c r="AD1686" s="47" t="s">
        <v>4573</v>
      </c>
      <c r="AE1686" s="47" t="s">
        <v>4176</v>
      </c>
      <c r="AF1686" s="56">
        <v>3.331451612903226E-3</v>
      </c>
    </row>
    <row r="1687" spans="19:32" x14ac:dyDescent="0.35">
      <c r="S1687" s="47">
        <v>1683</v>
      </c>
      <c r="T1687" s="47" t="s">
        <v>4284</v>
      </c>
      <c r="U1687" s="47" t="s">
        <v>3203</v>
      </c>
      <c r="V1687" s="48">
        <v>0.1028225806451613</v>
      </c>
      <c r="W1687" s="13"/>
      <c r="X1687" s="47">
        <v>1683</v>
      </c>
      <c r="Y1687" s="47" t="s">
        <v>2248</v>
      </c>
      <c r="Z1687" s="47" t="s">
        <v>4668</v>
      </c>
      <c r="AA1687" s="48">
        <v>6.7520161290322584E-4</v>
      </c>
      <c r="AB1687" s="13"/>
      <c r="AC1687" s="47">
        <v>1683</v>
      </c>
      <c r="AD1687" s="47" t="s">
        <v>4573</v>
      </c>
      <c r="AE1687" s="47" t="s">
        <v>4175</v>
      </c>
      <c r="AF1687" s="56">
        <v>1.3572580645161293E-3</v>
      </c>
    </row>
    <row r="1688" spans="19:32" x14ac:dyDescent="0.35">
      <c r="S1688" s="47">
        <v>1684</v>
      </c>
      <c r="T1688" s="47" t="s">
        <v>4284</v>
      </c>
      <c r="U1688" s="47" t="s">
        <v>3203</v>
      </c>
      <c r="V1688" s="48">
        <v>7.9488000000000003</v>
      </c>
      <c r="W1688" s="13"/>
      <c r="X1688" s="34">
        <v>1684</v>
      </c>
      <c r="Y1688" s="34" t="s">
        <v>2248</v>
      </c>
      <c r="Z1688" s="34" t="s">
        <v>5313</v>
      </c>
      <c r="AA1688" s="35">
        <v>1.4326612903225807E-2</v>
      </c>
      <c r="AB1688" s="13"/>
      <c r="AC1688" s="47">
        <v>1684</v>
      </c>
      <c r="AD1688" s="47" t="s">
        <v>4573</v>
      </c>
      <c r="AE1688" s="47" t="s">
        <v>4174</v>
      </c>
      <c r="AF1688" s="56">
        <v>8.9455645161290334E-4</v>
      </c>
    </row>
    <row r="1689" spans="19:32" x14ac:dyDescent="0.35">
      <c r="S1689" s="47">
        <v>1685</v>
      </c>
      <c r="T1689" s="47" t="s">
        <v>4284</v>
      </c>
      <c r="U1689" s="47" t="s">
        <v>4415</v>
      </c>
      <c r="V1689" s="48">
        <v>6.2036290322580647E-3</v>
      </c>
      <c r="W1689" s="13"/>
      <c r="X1689" s="47">
        <v>1685</v>
      </c>
      <c r="Y1689" s="47" t="s">
        <v>2248</v>
      </c>
      <c r="Z1689" s="47" t="s">
        <v>3344</v>
      </c>
      <c r="AA1689" s="48">
        <v>100.28</v>
      </c>
      <c r="AB1689" s="13"/>
      <c r="AC1689" s="47">
        <v>1685</v>
      </c>
      <c r="AD1689" s="47" t="s">
        <v>4573</v>
      </c>
      <c r="AE1689" s="47" t="s">
        <v>4172</v>
      </c>
      <c r="AF1689" s="56">
        <v>3.0332661290322582E-2</v>
      </c>
    </row>
    <row r="1690" spans="19:32" x14ac:dyDescent="0.35">
      <c r="S1690" s="47">
        <v>1686</v>
      </c>
      <c r="T1690" s="47" t="s">
        <v>4284</v>
      </c>
      <c r="U1690" s="47" t="s">
        <v>4413</v>
      </c>
      <c r="V1690" s="48">
        <v>7.0262096774193543E-5</v>
      </c>
      <c r="W1690" s="13"/>
      <c r="X1690" s="34">
        <v>1686</v>
      </c>
      <c r="Y1690" s="34" t="s">
        <v>2248</v>
      </c>
      <c r="Z1690" s="34" t="s">
        <v>4667</v>
      </c>
      <c r="AA1690" s="35">
        <v>0.92197580645161292</v>
      </c>
      <c r="AB1690" s="13"/>
      <c r="AC1690" s="34">
        <v>1686</v>
      </c>
      <c r="AD1690" s="34" t="s">
        <v>4573</v>
      </c>
      <c r="AE1690" s="34" t="s">
        <v>3148</v>
      </c>
      <c r="AF1690" s="35">
        <v>5.997983870967742</v>
      </c>
    </row>
    <row r="1691" spans="19:32" x14ac:dyDescent="0.35">
      <c r="S1691" s="34">
        <v>1687</v>
      </c>
      <c r="T1691" s="34" t="s">
        <v>4284</v>
      </c>
      <c r="U1691" s="34" t="s">
        <v>4412</v>
      </c>
      <c r="V1691" s="35">
        <v>1.3024193548387097E-4</v>
      </c>
      <c r="W1691" s="13"/>
      <c r="X1691" s="47">
        <v>1687</v>
      </c>
      <c r="Y1691" s="47" t="s">
        <v>2248</v>
      </c>
      <c r="Z1691" s="47" t="s">
        <v>4666</v>
      </c>
      <c r="AA1691" s="48">
        <v>1.0145161290322582E-2</v>
      </c>
      <c r="AB1691" s="13"/>
      <c r="AC1691" s="47">
        <v>1687</v>
      </c>
      <c r="AD1691" s="47" t="s">
        <v>4573</v>
      </c>
      <c r="AE1691" s="47" t="s">
        <v>3148</v>
      </c>
      <c r="AF1691" s="48">
        <v>20240</v>
      </c>
    </row>
    <row r="1692" spans="19:32" x14ac:dyDescent="0.35">
      <c r="S1692" s="47">
        <v>1688</v>
      </c>
      <c r="T1692" s="47" t="s">
        <v>4284</v>
      </c>
      <c r="U1692" s="47" t="s">
        <v>4410</v>
      </c>
      <c r="V1692" s="48">
        <v>6.2379032258064522E-2</v>
      </c>
      <c r="W1692" s="13"/>
      <c r="X1692" s="34">
        <v>1688</v>
      </c>
      <c r="Y1692" s="34" t="s">
        <v>2248</v>
      </c>
      <c r="Z1692" s="34" t="s">
        <v>5312</v>
      </c>
      <c r="AA1692" s="35">
        <v>4.72983870967742E-4</v>
      </c>
      <c r="AB1692" s="13"/>
      <c r="AC1692" s="47">
        <v>1688</v>
      </c>
      <c r="AD1692" s="47" t="s">
        <v>4573</v>
      </c>
      <c r="AE1692" s="47" t="s">
        <v>4169</v>
      </c>
      <c r="AF1692" s="56">
        <v>0.94939516129032264</v>
      </c>
    </row>
    <row r="1693" spans="19:32" x14ac:dyDescent="0.35">
      <c r="S1693" s="34">
        <v>1689</v>
      </c>
      <c r="T1693" s="34" t="s">
        <v>4284</v>
      </c>
      <c r="U1693" s="34" t="s">
        <v>4408</v>
      </c>
      <c r="V1693" s="35">
        <v>4.9354838709677424E-3</v>
      </c>
      <c r="W1693" s="13"/>
      <c r="X1693" s="34">
        <v>1689</v>
      </c>
      <c r="Y1693" s="34" t="s">
        <v>2248</v>
      </c>
      <c r="Z1693" s="34" t="s">
        <v>4665</v>
      </c>
      <c r="AA1693" s="35">
        <v>1.4326612903225807E-4</v>
      </c>
      <c r="AB1693" s="13"/>
      <c r="AC1693" s="34">
        <v>1689</v>
      </c>
      <c r="AD1693" s="34" t="s">
        <v>4573</v>
      </c>
      <c r="AE1693" s="34" t="s">
        <v>4167</v>
      </c>
      <c r="AF1693" s="35">
        <v>4.4213709677419359</v>
      </c>
    </row>
    <row r="1694" spans="19:32" x14ac:dyDescent="0.35">
      <c r="S1694" s="47">
        <v>1690</v>
      </c>
      <c r="T1694" s="47" t="s">
        <v>4284</v>
      </c>
      <c r="U1694" s="47" t="s">
        <v>4406</v>
      </c>
      <c r="V1694" s="48">
        <v>1.0247983870967743E-3</v>
      </c>
      <c r="W1694" s="13"/>
      <c r="X1694" s="47">
        <v>1690</v>
      </c>
      <c r="Y1694" s="47" t="s">
        <v>2248</v>
      </c>
      <c r="Z1694" s="47" t="s">
        <v>4664</v>
      </c>
      <c r="AA1694" s="48">
        <v>8.1572580645161291E-3</v>
      </c>
      <c r="AB1694" s="13"/>
      <c r="AC1694" s="47">
        <v>1690</v>
      </c>
      <c r="AD1694" s="47" t="s">
        <v>4573</v>
      </c>
      <c r="AE1694" s="47" t="s">
        <v>4163</v>
      </c>
      <c r="AF1694" s="56">
        <v>0.35987903225806456</v>
      </c>
    </row>
    <row r="1695" spans="19:32" x14ac:dyDescent="0.35">
      <c r="S1695" s="47">
        <v>1691</v>
      </c>
      <c r="T1695" s="47" t="s">
        <v>4284</v>
      </c>
      <c r="U1695" s="47" t="s">
        <v>3202</v>
      </c>
      <c r="V1695" s="48">
        <v>17.663999999999998</v>
      </c>
      <c r="W1695" s="13"/>
      <c r="X1695" s="34">
        <v>1691</v>
      </c>
      <c r="Y1695" s="34" t="s">
        <v>2248</v>
      </c>
      <c r="Z1695" s="34" t="s">
        <v>5311</v>
      </c>
      <c r="AA1695" s="35">
        <v>1.2715725806451614E-3</v>
      </c>
      <c r="AB1695" s="13"/>
      <c r="AC1695" s="34">
        <v>1691</v>
      </c>
      <c r="AD1695" s="34" t="s">
        <v>4573</v>
      </c>
      <c r="AE1695" s="34" t="s">
        <v>4160</v>
      </c>
      <c r="AF1695" s="35">
        <v>3.1600806451612909E-2</v>
      </c>
    </row>
    <row r="1696" spans="19:32" x14ac:dyDescent="0.35">
      <c r="S1696" s="34">
        <v>1692</v>
      </c>
      <c r="T1696" s="34" t="s">
        <v>4284</v>
      </c>
      <c r="U1696" s="34" t="s">
        <v>4405</v>
      </c>
      <c r="V1696" s="35">
        <v>4.3185483870967747E-7</v>
      </c>
      <c r="W1696" s="13"/>
      <c r="X1696" s="47">
        <v>1692</v>
      </c>
      <c r="Y1696" s="47" t="s">
        <v>2248</v>
      </c>
      <c r="Z1696" s="47" t="s">
        <v>3342</v>
      </c>
      <c r="AA1696" s="48">
        <v>1.6284E-2</v>
      </c>
      <c r="AB1696" s="13"/>
      <c r="AC1696" s="47">
        <v>1692</v>
      </c>
      <c r="AD1696" s="47" t="s">
        <v>4573</v>
      </c>
      <c r="AE1696" s="47" t="s">
        <v>4157</v>
      </c>
      <c r="AF1696" s="56">
        <v>407.86290322580646</v>
      </c>
    </row>
    <row r="1697" spans="19:32" x14ac:dyDescent="0.35">
      <c r="S1697" s="47">
        <v>1693</v>
      </c>
      <c r="T1697" s="47" t="s">
        <v>4284</v>
      </c>
      <c r="U1697" s="47" t="s">
        <v>4404</v>
      </c>
      <c r="V1697" s="48">
        <v>2.7076612903225807E-3</v>
      </c>
      <c r="W1697" s="13"/>
      <c r="X1697" s="47">
        <v>1693</v>
      </c>
      <c r="Y1697" s="47" t="s">
        <v>2248</v>
      </c>
      <c r="Z1697" s="47" t="s">
        <v>3341</v>
      </c>
      <c r="AA1697" s="48">
        <v>0.95679999999999998</v>
      </c>
      <c r="AB1697" s="13"/>
      <c r="AC1697" s="47">
        <v>1693</v>
      </c>
      <c r="AD1697" s="47" t="s">
        <v>4573</v>
      </c>
      <c r="AE1697" s="47" t="s">
        <v>4153</v>
      </c>
      <c r="AF1697" s="56">
        <v>5.8266129032258071E-2</v>
      </c>
    </row>
    <row r="1698" spans="19:32" x14ac:dyDescent="0.35">
      <c r="S1698" s="47">
        <v>1694</v>
      </c>
      <c r="T1698" s="47" t="s">
        <v>4284</v>
      </c>
      <c r="U1698" s="47" t="s">
        <v>4403</v>
      </c>
      <c r="V1698" s="48">
        <v>8.8427419354838717E-4</v>
      </c>
      <c r="W1698" s="13"/>
      <c r="X1698" s="34">
        <v>1694</v>
      </c>
      <c r="Y1698" s="34" t="s">
        <v>2248</v>
      </c>
      <c r="Z1698" s="34" t="s">
        <v>5310</v>
      </c>
      <c r="AA1698" s="35">
        <v>8.6028225806451624E-4</v>
      </c>
      <c r="AB1698" s="13"/>
      <c r="AC1698" s="47">
        <v>1694</v>
      </c>
      <c r="AD1698" s="47" t="s">
        <v>4573</v>
      </c>
      <c r="AE1698" s="47" t="s">
        <v>3147</v>
      </c>
      <c r="AF1698" s="48">
        <v>0.19411999999999999</v>
      </c>
    </row>
    <row r="1699" spans="19:32" x14ac:dyDescent="0.35">
      <c r="S1699" s="47">
        <v>1695</v>
      </c>
      <c r="T1699" s="47" t="s">
        <v>4284</v>
      </c>
      <c r="U1699" s="47" t="s">
        <v>4402</v>
      </c>
      <c r="V1699" s="48">
        <v>1.1344758064516131E-4</v>
      </c>
      <c r="W1699" s="13"/>
      <c r="X1699" s="34">
        <v>1695</v>
      </c>
      <c r="Y1699" s="34" t="s">
        <v>2248</v>
      </c>
      <c r="Z1699" s="34" t="s">
        <v>3341</v>
      </c>
      <c r="AA1699" s="35">
        <v>2.0393145161290323E-3</v>
      </c>
      <c r="AB1699" s="13"/>
      <c r="AC1699" s="47">
        <v>1695</v>
      </c>
      <c r="AD1699" s="47" t="s">
        <v>4573</v>
      </c>
      <c r="AE1699" s="47" t="s">
        <v>3145</v>
      </c>
      <c r="AF1699" s="48">
        <v>22.907999999999998</v>
      </c>
    </row>
    <row r="1700" spans="19:32" x14ac:dyDescent="0.35">
      <c r="S1700" s="47">
        <v>1696</v>
      </c>
      <c r="T1700" s="47" t="s">
        <v>4284</v>
      </c>
      <c r="U1700" s="47" t="s">
        <v>4401</v>
      </c>
      <c r="V1700" s="56">
        <v>6.4092741935483877E-9</v>
      </c>
      <c r="W1700" s="13"/>
      <c r="X1700" s="47">
        <v>1696</v>
      </c>
      <c r="Y1700" s="47" t="s">
        <v>2248</v>
      </c>
      <c r="Z1700" s="47" t="s">
        <v>4663</v>
      </c>
      <c r="AA1700" s="48">
        <v>1.7548387096774196E-3</v>
      </c>
      <c r="AB1700" s="13"/>
      <c r="AC1700" s="47">
        <v>1696</v>
      </c>
      <c r="AD1700" s="47" t="s">
        <v>4573</v>
      </c>
      <c r="AE1700" s="47" t="s">
        <v>4151</v>
      </c>
      <c r="AF1700" s="56">
        <v>7.4717741935483879E-3</v>
      </c>
    </row>
    <row r="1701" spans="19:32" x14ac:dyDescent="0.35">
      <c r="S1701" s="34">
        <v>1697</v>
      </c>
      <c r="T1701" s="34" t="s">
        <v>4284</v>
      </c>
      <c r="U1701" s="34" t="s">
        <v>4400</v>
      </c>
      <c r="V1701" s="35">
        <v>1.6006048387096774E-7</v>
      </c>
      <c r="W1701" s="13"/>
      <c r="X1701" s="34">
        <v>1697</v>
      </c>
      <c r="Y1701" s="34" t="s">
        <v>2248</v>
      </c>
      <c r="Z1701" s="34" t="s">
        <v>5309</v>
      </c>
      <c r="AA1701" s="35">
        <v>2.2141129032258067E-4</v>
      </c>
      <c r="AB1701" s="13"/>
      <c r="AC1701" s="47">
        <v>1697</v>
      </c>
      <c r="AD1701" s="47" t="s">
        <v>4573</v>
      </c>
      <c r="AE1701" s="47" t="s">
        <v>3144</v>
      </c>
      <c r="AF1701" s="48">
        <v>0.5474</v>
      </c>
    </row>
    <row r="1702" spans="19:32" x14ac:dyDescent="0.35">
      <c r="S1702" s="47">
        <v>1698</v>
      </c>
      <c r="T1702" s="47" t="s">
        <v>4284</v>
      </c>
      <c r="U1702" s="47" t="s">
        <v>4399</v>
      </c>
      <c r="V1702" s="56">
        <v>1.1618951612903226E-8</v>
      </c>
      <c r="W1702" s="13"/>
      <c r="X1702" s="47">
        <v>1698</v>
      </c>
      <c r="Y1702" s="47" t="s">
        <v>2248</v>
      </c>
      <c r="Z1702" s="47" t="s">
        <v>4662</v>
      </c>
      <c r="AA1702" s="48">
        <v>2.2004032258064518E-4</v>
      </c>
      <c r="AB1702" s="13"/>
      <c r="AC1702" s="47">
        <v>1698</v>
      </c>
      <c r="AD1702" s="47" t="s">
        <v>4573</v>
      </c>
      <c r="AE1702" s="47" t="s">
        <v>4147</v>
      </c>
      <c r="AF1702" s="56">
        <v>1.5149193548387098E-3</v>
      </c>
    </row>
    <row r="1703" spans="19:32" x14ac:dyDescent="0.35">
      <c r="S1703" s="34">
        <v>1699</v>
      </c>
      <c r="T1703" s="34" t="s">
        <v>4284</v>
      </c>
      <c r="U1703" s="34" t="s">
        <v>4398</v>
      </c>
      <c r="V1703" s="35">
        <v>3.9415322580645167E-4</v>
      </c>
      <c r="W1703" s="13"/>
      <c r="X1703" s="47">
        <v>1699</v>
      </c>
      <c r="Y1703" s="47" t="s">
        <v>2248</v>
      </c>
      <c r="Z1703" s="47" t="s">
        <v>4661</v>
      </c>
      <c r="AA1703" s="48">
        <v>2.2929435483870972E-4</v>
      </c>
      <c r="AB1703" s="13"/>
      <c r="AC1703" s="34">
        <v>1699</v>
      </c>
      <c r="AD1703" s="34" t="s">
        <v>4573</v>
      </c>
      <c r="AE1703" s="34" t="s">
        <v>4146</v>
      </c>
      <c r="AF1703" s="35">
        <v>6.1693548387096783E-3</v>
      </c>
    </row>
    <row r="1704" spans="19:32" x14ac:dyDescent="0.35">
      <c r="S1704" s="47">
        <v>1700</v>
      </c>
      <c r="T1704" s="47" t="s">
        <v>4284</v>
      </c>
      <c r="U1704" s="47" t="s">
        <v>4397</v>
      </c>
      <c r="V1704" s="56">
        <v>5.6209677419354835E-4</v>
      </c>
      <c r="W1704" s="13"/>
      <c r="X1704" s="34">
        <v>1700</v>
      </c>
      <c r="Y1704" s="34" t="s">
        <v>2248</v>
      </c>
      <c r="Z1704" s="34" t="s">
        <v>5308</v>
      </c>
      <c r="AA1704" s="35">
        <v>7.3346774193548394E-3</v>
      </c>
      <c r="AB1704" s="13"/>
      <c r="AC1704" s="47">
        <v>1700</v>
      </c>
      <c r="AD1704" s="47" t="s">
        <v>4573</v>
      </c>
      <c r="AE1704" s="47" t="s">
        <v>4145</v>
      </c>
      <c r="AF1704" s="56">
        <v>8.0887096774193548E-2</v>
      </c>
    </row>
    <row r="1705" spans="19:32" x14ac:dyDescent="0.35">
      <c r="S1705" s="34">
        <v>1701</v>
      </c>
      <c r="T1705" s="34" t="s">
        <v>4284</v>
      </c>
      <c r="U1705" s="34" t="s">
        <v>4396</v>
      </c>
      <c r="V1705" s="35">
        <v>1.4120967741935485E-3</v>
      </c>
      <c r="W1705" s="13"/>
      <c r="X1705" s="47">
        <v>1701</v>
      </c>
      <c r="Y1705" s="47" t="s">
        <v>2248</v>
      </c>
      <c r="Z1705" s="47" t="s">
        <v>3340</v>
      </c>
      <c r="AA1705" s="48">
        <v>1.8307999999999998E-2</v>
      </c>
      <c r="AB1705" s="13"/>
      <c r="AC1705" s="34">
        <v>1701</v>
      </c>
      <c r="AD1705" s="34" t="s">
        <v>4573</v>
      </c>
      <c r="AE1705" s="34" t="s">
        <v>4143</v>
      </c>
      <c r="AF1705" s="35">
        <v>6.5120967741935491E-4</v>
      </c>
    </row>
    <row r="1706" spans="19:32" x14ac:dyDescent="0.35">
      <c r="S1706" s="36">
        <v>1702</v>
      </c>
      <c r="T1706" s="36" t="s">
        <v>4284</v>
      </c>
      <c r="U1706" s="36" t="s">
        <v>4395</v>
      </c>
      <c r="V1706" s="37">
        <v>2.6214999999999997</v>
      </c>
      <c r="W1706" s="13"/>
      <c r="X1706" s="47">
        <v>1702</v>
      </c>
      <c r="Y1706" s="47" t="s">
        <v>2248</v>
      </c>
      <c r="Z1706" s="47" t="s">
        <v>3340</v>
      </c>
      <c r="AA1706" s="48">
        <v>1.1379032258064516E-4</v>
      </c>
      <c r="AB1706" s="13"/>
      <c r="AC1706" s="47">
        <v>1702</v>
      </c>
      <c r="AD1706" s="47" t="s">
        <v>4573</v>
      </c>
      <c r="AE1706" s="47" t="s">
        <v>3142</v>
      </c>
      <c r="AF1706" s="56">
        <v>7.9173387096774202E-4</v>
      </c>
    </row>
    <row r="1707" spans="19:32" x14ac:dyDescent="0.35">
      <c r="S1707" s="47">
        <v>1703</v>
      </c>
      <c r="T1707" s="47" t="s">
        <v>4284</v>
      </c>
      <c r="U1707" s="47" t="s">
        <v>4395</v>
      </c>
      <c r="V1707" s="56">
        <v>1.9604838709677423E-8</v>
      </c>
      <c r="W1707" s="13"/>
      <c r="X1707" s="34">
        <v>1703</v>
      </c>
      <c r="Y1707" s="34" t="s">
        <v>2248</v>
      </c>
      <c r="Z1707" s="34" t="s">
        <v>5307</v>
      </c>
      <c r="AA1707" s="35">
        <v>6.5463709677419362E-3</v>
      </c>
      <c r="AB1707" s="13"/>
      <c r="AC1707" s="47">
        <v>1703</v>
      </c>
      <c r="AD1707" s="47" t="s">
        <v>4573</v>
      </c>
      <c r="AE1707" s="47" t="s">
        <v>3142</v>
      </c>
      <c r="AF1707" s="48">
        <v>0</v>
      </c>
    </row>
    <row r="1708" spans="19:32" x14ac:dyDescent="0.35">
      <c r="S1708" s="47">
        <v>1704</v>
      </c>
      <c r="T1708" s="47" t="s">
        <v>4284</v>
      </c>
      <c r="U1708" s="47" t="s">
        <v>4394</v>
      </c>
      <c r="V1708" s="56">
        <v>5.346774193548387E-7</v>
      </c>
      <c r="W1708" s="13"/>
      <c r="X1708" s="34">
        <v>1704</v>
      </c>
      <c r="Y1708" s="34" t="s">
        <v>2248</v>
      </c>
      <c r="Z1708" s="34" t="s">
        <v>4660</v>
      </c>
      <c r="AA1708" s="35">
        <v>2.3854838709677419E-6</v>
      </c>
      <c r="AB1708" s="13"/>
      <c r="AC1708" s="34">
        <v>1704</v>
      </c>
      <c r="AD1708" s="34" t="s">
        <v>4573</v>
      </c>
      <c r="AE1708" s="34" t="s">
        <v>4141</v>
      </c>
      <c r="AF1708" s="35">
        <v>8.5685483870967752E-5</v>
      </c>
    </row>
    <row r="1709" spans="19:32" x14ac:dyDescent="0.35">
      <c r="S1709" s="47">
        <v>1705</v>
      </c>
      <c r="T1709" s="47" t="s">
        <v>4284</v>
      </c>
      <c r="U1709" s="47" t="s">
        <v>4393</v>
      </c>
      <c r="V1709" s="56">
        <v>1.5594758064516131E-7</v>
      </c>
      <c r="W1709" s="13"/>
      <c r="X1709" s="47">
        <v>1705</v>
      </c>
      <c r="Y1709" s="47" t="s">
        <v>2248</v>
      </c>
      <c r="Z1709" s="47" t="s">
        <v>3339</v>
      </c>
      <c r="AA1709" s="48">
        <v>0</v>
      </c>
      <c r="AB1709" s="13"/>
      <c r="AC1709" s="47">
        <v>1705</v>
      </c>
      <c r="AD1709" s="47" t="s">
        <v>4573</v>
      </c>
      <c r="AE1709" s="47" t="s">
        <v>4139</v>
      </c>
      <c r="AF1709" s="56">
        <v>3.1223790322580647E-4</v>
      </c>
    </row>
    <row r="1710" spans="19:32" x14ac:dyDescent="0.35">
      <c r="S1710" s="47">
        <v>1706</v>
      </c>
      <c r="T1710" s="47" t="s">
        <v>4284</v>
      </c>
      <c r="U1710" s="47" t="s">
        <v>4392</v>
      </c>
      <c r="V1710" s="56">
        <v>4.1814516129032257E-5</v>
      </c>
      <c r="W1710" s="13"/>
      <c r="X1710" s="34">
        <v>1706</v>
      </c>
      <c r="Y1710" s="34" t="s">
        <v>2248</v>
      </c>
      <c r="Z1710" s="34" t="s">
        <v>5306</v>
      </c>
      <c r="AA1710" s="35">
        <v>4.5927419354838711E-2</v>
      </c>
      <c r="AB1710" s="13"/>
      <c r="AC1710" s="47">
        <v>1706</v>
      </c>
      <c r="AD1710" s="47" t="s">
        <v>4573</v>
      </c>
      <c r="AE1710" s="47" t="s">
        <v>4136</v>
      </c>
      <c r="AF1710" s="56">
        <v>1.0145161290322582</v>
      </c>
    </row>
    <row r="1711" spans="19:32" x14ac:dyDescent="0.35">
      <c r="S1711" s="34">
        <v>1707</v>
      </c>
      <c r="T1711" s="34" t="s">
        <v>4284</v>
      </c>
      <c r="U1711" s="34" t="s">
        <v>4391</v>
      </c>
      <c r="V1711" s="35">
        <v>2.4368951612903226E-7</v>
      </c>
      <c r="W1711" s="13"/>
      <c r="X1711" s="47">
        <v>1707</v>
      </c>
      <c r="Y1711" s="47" t="s">
        <v>2248</v>
      </c>
      <c r="Z1711" s="47" t="s">
        <v>3339</v>
      </c>
      <c r="AA1711" s="48">
        <v>1.1995967741935486E-6</v>
      </c>
      <c r="AB1711" s="13"/>
      <c r="AC1711" s="47">
        <v>1707</v>
      </c>
      <c r="AD1711" s="47" t="s">
        <v>4573</v>
      </c>
      <c r="AE1711" s="47" t="s">
        <v>4134</v>
      </c>
      <c r="AF1711" s="56">
        <v>2.2243951612903228E-3</v>
      </c>
    </row>
    <row r="1712" spans="19:32" x14ac:dyDescent="0.35">
      <c r="S1712" s="47">
        <v>1708</v>
      </c>
      <c r="T1712" s="47" t="s">
        <v>4284</v>
      </c>
      <c r="U1712" s="47" t="s">
        <v>4390</v>
      </c>
      <c r="V1712" s="56">
        <v>2.1866935483870967E-6</v>
      </c>
      <c r="W1712" s="13"/>
      <c r="X1712" s="34">
        <v>1708</v>
      </c>
      <c r="Y1712" s="34" t="s">
        <v>2248</v>
      </c>
      <c r="Z1712" s="34" t="s">
        <v>4659</v>
      </c>
      <c r="AA1712" s="35">
        <v>4.3870967741935488E-5</v>
      </c>
      <c r="AB1712" s="13"/>
      <c r="AC1712" s="47">
        <v>1708</v>
      </c>
      <c r="AD1712" s="47" t="s">
        <v>4573</v>
      </c>
      <c r="AE1712" s="47" t="s">
        <v>4133</v>
      </c>
      <c r="AF1712" s="56">
        <v>1.3092741935483872E-3</v>
      </c>
    </row>
    <row r="1713" spans="19:32" x14ac:dyDescent="0.35">
      <c r="S1713" s="47">
        <v>1709</v>
      </c>
      <c r="T1713" s="47" t="s">
        <v>4284</v>
      </c>
      <c r="U1713" s="47" t="s">
        <v>3201</v>
      </c>
      <c r="V1713" s="48">
        <v>9.5680000000000001E-3</v>
      </c>
      <c r="W1713" s="13"/>
      <c r="X1713" s="47">
        <v>1709</v>
      </c>
      <c r="Y1713" s="47" t="s">
        <v>2248</v>
      </c>
      <c r="Z1713" s="47" t="s">
        <v>4658</v>
      </c>
      <c r="AA1713" s="48">
        <v>4.6955645161290329E-3</v>
      </c>
      <c r="AB1713" s="13"/>
      <c r="AC1713" s="34">
        <v>1709</v>
      </c>
      <c r="AD1713" s="34" t="s">
        <v>4573</v>
      </c>
      <c r="AE1713" s="34" t="s">
        <v>4130</v>
      </c>
      <c r="AF1713" s="35">
        <v>11.413306451612904</v>
      </c>
    </row>
    <row r="1714" spans="19:32" x14ac:dyDescent="0.35">
      <c r="S1714" s="36">
        <v>1710</v>
      </c>
      <c r="T1714" s="36" t="s">
        <v>4284</v>
      </c>
      <c r="U1714" s="36" t="s">
        <v>4388</v>
      </c>
      <c r="V1714" s="37">
        <v>4.6812499999999995</v>
      </c>
      <c r="W1714" s="13"/>
      <c r="X1714" s="34">
        <v>1710</v>
      </c>
      <c r="Y1714" s="34" t="s">
        <v>2248</v>
      </c>
      <c r="Z1714" s="34" t="s">
        <v>5305</v>
      </c>
      <c r="AA1714" s="35">
        <v>6.9576612903225819E-4</v>
      </c>
      <c r="AB1714" s="13"/>
      <c r="AC1714" s="47">
        <v>1710</v>
      </c>
      <c r="AD1714" s="47" t="s">
        <v>4573</v>
      </c>
      <c r="AE1714" s="47" t="s">
        <v>3140</v>
      </c>
      <c r="AF1714" s="48">
        <v>0</v>
      </c>
    </row>
    <row r="1715" spans="19:32" x14ac:dyDescent="0.35">
      <c r="S1715" s="34">
        <v>1711</v>
      </c>
      <c r="T1715" s="34" t="s">
        <v>4284</v>
      </c>
      <c r="U1715" s="34" t="s">
        <v>4388</v>
      </c>
      <c r="V1715" s="35">
        <v>1.1139112903225809E-5</v>
      </c>
      <c r="W1715" s="13"/>
      <c r="X1715" s="34">
        <v>1711</v>
      </c>
      <c r="Y1715" s="34" t="s">
        <v>2248</v>
      </c>
      <c r="Z1715" s="34" t="s">
        <v>4657</v>
      </c>
      <c r="AA1715" s="35">
        <v>1.0487903225806453E-4</v>
      </c>
      <c r="AB1715" s="13"/>
      <c r="AC1715" s="47">
        <v>1711</v>
      </c>
      <c r="AD1715" s="47" t="s">
        <v>4573</v>
      </c>
      <c r="AE1715" s="47" t="s">
        <v>4126</v>
      </c>
      <c r="AF1715" s="56">
        <v>0.42842741935483875</v>
      </c>
    </row>
    <row r="1716" spans="19:32" x14ac:dyDescent="0.35">
      <c r="S1716" s="47">
        <v>1712</v>
      </c>
      <c r="T1716" s="47" t="s">
        <v>4284</v>
      </c>
      <c r="U1716" s="47" t="s">
        <v>4385</v>
      </c>
      <c r="V1716" s="56">
        <v>5.7923387096774198E-5</v>
      </c>
      <c r="W1716" s="13"/>
      <c r="X1716" s="34">
        <v>1712</v>
      </c>
      <c r="Y1716" s="34" t="s">
        <v>2248</v>
      </c>
      <c r="Z1716" s="34" t="s">
        <v>5304</v>
      </c>
      <c r="AA1716" s="35">
        <v>6.6149193548387109E-2</v>
      </c>
      <c r="AB1716" s="13"/>
      <c r="AC1716" s="34">
        <v>1712</v>
      </c>
      <c r="AD1716" s="34" t="s">
        <v>4573</v>
      </c>
      <c r="AE1716" s="34" t="s">
        <v>4124</v>
      </c>
      <c r="AF1716" s="35">
        <v>0.28447580645161291</v>
      </c>
    </row>
    <row r="1717" spans="19:32" x14ac:dyDescent="0.35">
      <c r="S1717" s="34">
        <v>1713</v>
      </c>
      <c r="T1717" s="34" t="s">
        <v>4284</v>
      </c>
      <c r="U1717" s="34" t="s">
        <v>4382</v>
      </c>
      <c r="V1717" s="35">
        <v>1.3024193548387098E-5</v>
      </c>
      <c r="W1717" s="13"/>
      <c r="X1717" s="47">
        <v>1713</v>
      </c>
      <c r="Y1717" s="47" t="s">
        <v>2248</v>
      </c>
      <c r="Z1717" s="47" t="s">
        <v>4656</v>
      </c>
      <c r="AA1717" s="48">
        <v>2.9475806451612905E-5</v>
      </c>
      <c r="AB1717" s="13"/>
      <c r="AC1717" s="47">
        <v>1713</v>
      </c>
      <c r="AD1717" s="47" t="s">
        <v>4573</v>
      </c>
      <c r="AE1717" s="47" t="s">
        <v>4123</v>
      </c>
      <c r="AF1717" s="56">
        <v>4.7983870967741939</v>
      </c>
    </row>
    <row r="1718" spans="19:32" x14ac:dyDescent="0.35">
      <c r="S1718" s="36">
        <v>1714</v>
      </c>
      <c r="T1718" s="36" t="s">
        <v>4284</v>
      </c>
      <c r="U1718" s="36" t="s">
        <v>3200</v>
      </c>
      <c r="V1718" s="37">
        <v>2.7017499999999997</v>
      </c>
      <c r="W1718" s="13"/>
      <c r="X1718" s="47">
        <v>1714</v>
      </c>
      <c r="Y1718" s="47" t="s">
        <v>2248</v>
      </c>
      <c r="Z1718" s="47" t="s">
        <v>4655</v>
      </c>
      <c r="AA1718" s="48">
        <v>4.8669354838709681E-4</v>
      </c>
      <c r="AB1718" s="13"/>
      <c r="AC1718" s="34">
        <v>1714</v>
      </c>
      <c r="AD1718" s="34" t="s">
        <v>4573</v>
      </c>
      <c r="AE1718" s="34" t="s">
        <v>4121</v>
      </c>
      <c r="AF1718" s="35">
        <v>8.2943548387096777E-2</v>
      </c>
    </row>
    <row r="1719" spans="19:32" x14ac:dyDescent="0.35">
      <c r="S1719" s="47">
        <v>1715</v>
      </c>
      <c r="T1719" s="47" t="s">
        <v>4284</v>
      </c>
      <c r="U1719" s="47" t="s">
        <v>3200</v>
      </c>
      <c r="V1719" s="56">
        <v>4.6270161290322585E-5</v>
      </c>
      <c r="W1719" s="13"/>
      <c r="X1719" s="34">
        <v>1715</v>
      </c>
      <c r="Y1719" s="34" t="s">
        <v>2248</v>
      </c>
      <c r="Z1719" s="34" t="s">
        <v>5303</v>
      </c>
      <c r="AA1719" s="35">
        <v>7.3004032258064519E-4</v>
      </c>
      <c r="AB1719" s="13"/>
      <c r="AC1719" s="47">
        <v>1715</v>
      </c>
      <c r="AD1719" s="47" t="s">
        <v>4573</v>
      </c>
      <c r="AE1719" s="47" t="s">
        <v>4120</v>
      </c>
      <c r="AF1719" s="56">
        <v>7.7459677419354847E-3</v>
      </c>
    </row>
    <row r="1720" spans="19:32" x14ac:dyDescent="0.35">
      <c r="S1720" s="47">
        <v>1716</v>
      </c>
      <c r="T1720" s="47" t="s">
        <v>4284</v>
      </c>
      <c r="U1720" s="47" t="s">
        <v>3200</v>
      </c>
      <c r="V1720" s="48">
        <v>0</v>
      </c>
      <c r="W1720" s="13"/>
      <c r="X1720" s="47">
        <v>1716</v>
      </c>
      <c r="Y1720" s="47" t="s">
        <v>2248</v>
      </c>
      <c r="Z1720" s="47" t="s">
        <v>4654</v>
      </c>
      <c r="AA1720" s="48">
        <v>2.7522177419354838E-4</v>
      </c>
      <c r="AB1720" s="13"/>
      <c r="AC1720" s="47">
        <v>1716</v>
      </c>
      <c r="AD1720" s="47" t="s">
        <v>4573</v>
      </c>
      <c r="AE1720" s="47" t="s">
        <v>3139</v>
      </c>
      <c r="AF1720" s="56">
        <v>0.61350806451612905</v>
      </c>
    </row>
    <row r="1721" spans="19:32" x14ac:dyDescent="0.35">
      <c r="S1721" s="47">
        <v>1717</v>
      </c>
      <c r="T1721" s="47" t="s">
        <v>4284</v>
      </c>
      <c r="U1721" s="47" t="s">
        <v>4379</v>
      </c>
      <c r="V1721" s="56">
        <v>2.0735887096774195E-4</v>
      </c>
      <c r="W1721" s="13"/>
      <c r="X1721" s="47">
        <v>1717</v>
      </c>
      <c r="Y1721" s="47" t="s">
        <v>2248</v>
      </c>
      <c r="Z1721" s="47" t="s">
        <v>4653</v>
      </c>
      <c r="AA1721" s="48">
        <v>5.7237903225806455E-7</v>
      </c>
      <c r="AB1721" s="13"/>
      <c r="AC1721" s="47">
        <v>1717</v>
      </c>
      <c r="AD1721" s="47" t="s">
        <v>4573</v>
      </c>
      <c r="AE1721" s="47" t="s">
        <v>3139</v>
      </c>
      <c r="AF1721" s="48">
        <v>0</v>
      </c>
    </row>
    <row r="1722" spans="19:32" x14ac:dyDescent="0.35">
      <c r="S1722" s="47">
        <v>1718</v>
      </c>
      <c r="T1722" s="47" t="s">
        <v>4284</v>
      </c>
      <c r="U1722" s="47" t="s">
        <v>4377</v>
      </c>
      <c r="V1722" s="56">
        <v>1.5594758064516131E-8</v>
      </c>
      <c r="W1722" s="13"/>
      <c r="X1722" s="34">
        <v>1718</v>
      </c>
      <c r="Y1722" s="34" t="s">
        <v>2248</v>
      </c>
      <c r="Z1722" s="34" t="s">
        <v>4652</v>
      </c>
      <c r="AA1722" s="35">
        <v>8.1572580645161287E-6</v>
      </c>
      <c r="AB1722" s="13"/>
      <c r="AC1722" s="47">
        <v>1718</v>
      </c>
      <c r="AD1722" s="47" t="s">
        <v>4573</v>
      </c>
      <c r="AE1722" s="47" t="s">
        <v>4118</v>
      </c>
      <c r="AF1722" s="56">
        <v>9.3911290322580651E-2</v>
      </c>
    </row>
    <row r="1723" spans="19:32" x14ac:dyDescent="0.35">
      <c r="S1723" s="47">
        <v>1719</v>
      </c>
      <c r="T1723" s="47" t="s">
        <v>4284</v>
      </c>
      <c r="U1723" s="47" t="s">
        <v>3199</v>
      </c>
      <c r="V1723" s="48">
        <v>0.16743999999999998</v>
      </c>
      <c r="W1723" s="13"/>
      <c r="X1723" s="34">
        <v>1719</v>
      </c>
      <c r="Y1723" s="34" t="s">
        <v>2248</v>
      </c>
      <c r="Z1723" s="34" t="s">
        <v>5302</v>
      </c>
      <c r="AA1723" s="35">
        <v>6.2721774193548398E-4</v>
      </c>
      <c r="AB1723" s="13"/>
      <c r="AC1723" s="47">
        <v>1719</v>
      </c>
      <c r="AD1723" s="47" t="s">
        <v>4573</v>
      </c>
      <c r="AE1723" s="47" t="s">
        <v>3137</v>
      </c>
      <c r="AF1723" s="56">
        <v>1.0659274193548387E-2</v>
      </c>
    </row>
    <row r="1724" spans="19:32" x14ac:dyDescent="0.35">
      <c r="S1724" s="47">
        <v>1720</v>
      </c>
      <c r="T1724" s="47" t="s">
        <v>4284</v>
      </c>
      <c r="U1724" s="47" t="s">
        <v>4374</v>
      </c>
      <c r="V1724" s="56">
        <v>0.19399193548387098</v>
      </c>
      <c r="W1724" s="13"/>
      <c r="X1724" s="47">
        <v>1720</v>
      </c>
      <c r="Y1724" s="47" t="s">
        <v>2248</v>
      </c>
      <c r="Z1724" s="47" t="s">
        <v>4651</v>
      </c>
      <c r="AA1724" s="48">
        <v>1.7856854838709679E-5</v>
      </c>
      <c r="AB1724" s="13"/>
      <c r="AC1724" s="47">
        <v>1720</v>
      </c>
      <c r="AD1724" s="47" t="s">
        <v>4573</v>
      </c>
      <c r="AE1724" s="47" t="s">
        <v>3137</v>
      </c>
      <c r="AF1724" s="48">
        <v>5.7592000000000004E-2</v>
      </c>
    </row>
    <row r="1725" spans="19:32" x14ac:dyDescent="0.35">
      <c r="S1725" s="34">
        <v>1721</v>
      </c>
      <c r="T1725" s="34" t="s">
        <v>4284</v>
      </c>
      <c r="U1725" s="34" t="s">
        <v>4373</v>
      </c>
      <c r="V1725" s="35">
        <v>1.7068548387096777E-7</v>
      </c>
      <c r="W1725" s="13"/>
      <c r="X1725" s="47">
        <v>1721</v>
      </c>
      <c r="Y1725" s="47" t="s">
        <v>2248</v>
      </c>
      <c r="Z1725" s="47" t="s">
        <v>3337</v>
      </c>
      <c r="AA1725" s="48">
        <v>1.5916E-2</v>
      </c>
      <c r="AB1725" s="13"/>
      <c r="AC1725" s="34">
        <v>1721</v>
      </c>
      <c r="AD1725" s="34" t="s">
        <v>4573</v>
      </c>
      <c r="AE1725" s="34" t="s">
        <v>4115</v>
      </c>
      <c r="AF1725" s="35">
        <v>2.0187500000000001E-2</v>
      </c>
    </row>
    <row r="1726" spans="19:32" x14ac:dyDescent="0.35">
      <c r="S1726" s="47">
        <v>1722</v>
      </c>
      <c r="T1726" s="47" t="s">
        <v>4284</v>
      </c>
      <c r="U1726" s="47" t="s">
        <v>4370</v>
      </c>
      <c r="V1726" s="56">
        <v>6.3750000000000005E-5</v>
      </c>
      <c r="W1726" s="13"/>
      <c r="X1726" s="34">
        <v>1722</v>
      </c>
      <c r="Y1726" s="34" t="s">
        <v>2248</v>
      </c>
      <c r="Z1726" s="34" t="s">
        <v>5301</v>
      </c>
      <c r="AA1726" s="35">
        <v>1.052217741935484E-3</v>
      </c>
      <c r="AB1726" s="13"/>
      <c r="AC1726" s="47">
        <v>1722</v>
      </c>
      <c r="AD1726" s="47" t="s">
        <v>4573</v>
      </c>
      <c r="AE1726" s="47" t="s">
        <v>4112</v>
      </c>
      <c r="AF1726" s="56">
        <v>1.3195564516129032</v>
      </c>
    </row>
    <row r="1727" spans="19:32" x14ac:dyDescent="0.35">
      <c r="S1727" s="34">
        <v>1723</v>
      </c>
      <c r="T1727" s="34" t="s">
        <v>4284</v>
      </c>
      <c r="U1727" s="34" t="s">
        <v>4368</v>
      </c>
      <c r="V1727" s="35">
        <v>1.8199596774193548E-4</v>
      </c>
      <c r="W1727" s="13"/>
      <c r="X1727" s="34">
        <v>1723</v>
      </c>
      <c r="Y1727" s="34" t="s">
        <v>2248</v>
      </c>
      <c r="Z1727" s="34" t="s">
        <v>4650</v>
      </c>
      <c r="AA1727" s="35">
        <v>3.4274193548387099E-5</v>
      </c>
      <c r="AB1727" s="13"/>
      <c r="AC1727" s="34">
        <v>1723</v>
      </c>
      <c r="AD1727" s="34" t="s">
        <v>4573</v>
      </c>
      <c r="AE1727" s="34" t="s">
        <v>4110</v>
      </c>
      <c r="AF1727" s="35">
        <v>0.16862903225806453</v>
      </c>
    </row>
    <row r="1728" spans="19:32" x14ac:dyDescent="0.35">
      <c r="S1728" s="47">
        <v>1724</v>
      </c>
      <c r="T1728" s="47" t="s">
        <v>4284</v>
      </c>
      <c r="U1728" s="47" t="s">
        <v>4367</v>
      </c>
      <c r="V1728" s="56">
        <v>1.1481854838709679E-7</v>
      </c>
      <c r="W1728" s="13"/>
      <c r="X1728" s="34">
        <v>1724</v>
      </c>
      <c r="Y1728" s="34" t="s">
        <v>2248</v>
      </c>
      <c r="Z1728" s="34" t="s">
        <v>5300</v>
      </c>
      <c r="AA1728" s="35">
        <v>5.3467741935483877E-3</v>
      </c>
      <c r="AB1728" s="13"/>
      <c r="AC1728" s="47">
        <v>1724</v>
      </c>
      <c r="AD1728" s="47" t="s">
        <v>4573</v>
      </c>
      <c r="AE1728" s="47" t="s">
        <v>4107</v>
      </c>
      <c r="AF1728" s="56">
        <v>0.11207661290322582</v>
      </c>
    </row>
    <row r="1729" spans="19:32" x14ac:dyDescent="0.35">
      <c r="S1729" s="34">
        <v>1725</v>
      </c>
      <c r="T1729" s="34" t="s">
        <v>4284</v>
      </c>
      <c r="U1729" s="34" t="s">
        <v>4364</v>
      </c>
      <c r="V1729" s="35">
        <v>1.9227822580645163E-8</v>
      </c>
      <c r="W1729" s="13"/>
      <c r="X1729" s="47">
        <v>1725</v>
      </c>
      <c r="Y1729" s="47" t="s">
        <v>2248</v>
      </c>
      <c r="Z1729" s="47" t="s">
        <v>4649</v>
      </c>
      <c r="AA1729" s="48">
        <v>4.72983870967742E-4</v>
      </c>
      <c r="AB1729" s="13"/>
      <c r="AC1729" s="34">
        <v>1725</v>
      </c>
      <c r="AD1729" s="34" t="s">
        <v>4573</v>
      </c>
      <c r="AE1729" s="34" t="s">
        <v>4106</v>
      </c>
      <c r="AF1729" s="35">
        <v>1.4909274193548387E-6</v>
      </c>
    </row>
    <row r="1730" spans="19:32" x14ac:dyDescent="0.35">
      <c r="S1730" s="47">
        <v>1726</v>
      </c>
      <c r="T1730" s="47" t="s">
        <v>4284</v>
      </c>
      <c r="U1730" s="47" t="s">
        <v>3198</v>
      </c>
      <c r="V1730" s="56">
        <v>5.2096774193548386E-4</v>
      </c>
      <c r="W1730" s="13"/>
      <c r="X1730" s="34">
        <v>1726</v>
      </c>
      <c r="Y1730" s="34" t="s">
        <v>2248</v>
      </c>
      <c r="Z1730" s="34" t="s">
        <v>4648</v>
      </c>
      <c r="AA1730" s="35">
        <v>0.12441532258064517</v>
      </c>
      <c r="AB1730" s="13"/>
      <c r="AC1730" s="47">
        <v>1726</v>
      </c>
      <c r="AD1730" s="47" t="s">
        <v>4573</v>
      </c>
      <c r="AE1730" s="47" t="s">
        <v>3136</v>
      </c>
      <c r="AF1730" s="56">
        <v>1.0727822580645162E-4</v>
      </c>
    </row>
    <row r="1731" spans="19:32" x14ac:dyDescent="0.35">
      <c r="S1731" s="47">
        <v>1727</v>
      </c>
      <c r="T1731" s="47" t="s">
        <v>4284</v>
      </c>
      <c r="U1731" s="47" t="s">
        <v>3198</v>
      </c>
      <c r="V1731" s="48">
        <v>0</v>
      </c>
      <c r="W1731" s="13"/>
      <c r="X1731" s="34">
        <v>1727</v>
      </c>
      <c r="Y1731" s="34" t="s">
        <v>2248</v>
      </c>
      <c r="Z1731" s="34" t="s">
        <v>5299</v>
      </c>
      <c r="AA1731" s="35">
        <v>1.7205645161290324E-4</v>
      </c>
      <c r="AB1731" s="13"/>
      <c r="AC1731" s="47">
        <v>1727</v>
      </c>
      <c r="AD1731" s="47" t="s">
        <v>4573</v>
      </c>
      <c r="AE1731" s="47" t="s">
        <v>3136</v>
      </c>
      <c r="AF1731" s="48">
        <v>0</v>
      </c>
    </row>
    <row r="1732" spans="19:32" x14ac:dyDescent="0.35">
      <c r="S1732" s="47">
        <v>1728</v>
      </c>
      <c r="T1732" s="47" t="s">
        <v>4284</v>
      </c>
      <c r="U1732" s="47" t="s">
        <v>4359</v>
      </c>
      <c r="V1732" s="56">
        <v>1.7479838709677422E-8</v>
      </c>
      <c r="W1732" s="13"/>
      <c r="X1732" s="47">
        <v>1728</v>
      </c>
      <c r="Y1732" s="47" t="s">
        <v>2248</v>
      </c>
      <c r="Z1732" s="47" t="s">
        <v>4647</v>
      </c>
      <c r="AA1732" s="48">
        <v>8.1572580645161291E-3</v>
      </c>
      <c r="AB1732" s="13"/>
      <c r="AC1732" s="47">
        <v>1728</v>
      </c>
      <c r="AD1732" s="47" t="s">
        <v>4573</v>
      </c>
      <c r="AE1732" s="47" t="s">
        <v>3134</v>
      </c>
      <c r="AF1732" s="56">
        <v>2.7522177419354839E-3</v>
      </c>
    </row>
    <row r="1733" spans="19:32" x14ac:dyDescent="0.35">
      <c r="S1733" s="47">
        <v>1729</v>
      </c>
      <c r="T1733" s="47" t="s">
        <v>4284</v>
      </c>
      <c r="U1733" s="47" t="s">
        <v>4356</v>
      </c>
      <c r="V1733" s="56">
        <v>1.8062500000000002E-7</v>
      </c>
      <c r="W1733" s="13"/>
      <c r="X1733" s="47">
        <v>1729</v>
      </c>
      <c r="Y1733" s="47" t="s">
        <v>2248</v>
      </c>
      <c r="Z1733" s="47" t="s">
        <v>4646</v>
      </c>
      <c r="AA1733" s="48">
        <v>2.0838709677419357E-2</v>
      </c>
      <c r="AB1733" s="13"/>
      <c r="AC1733" s="47">
        <v>1729</v>
      </c>
      <c r="AD1733" s="47" t="s">
        <v>4573</v>
      </c>
      <c r="AE1733" s="47" t="s">
        <v>3134</v>
      </c>
      <c r="AF1733" s="48">
        <v>0.28795999999999999</v>
      </c>
    </row>
    <row r="1734" spans="19:32" x14ac:dyDescent="0.35">
      <c r="S1734" s="47">
        <v>1730</v>
      </c>
      <c r="T1734" s="47" t="s">
        <v>4284</v>
      </c>
      <c r="U1734" s="47" t="s">
        <v>4353</v>
      </c>
      <c r="V1734" s="56">
        <v>5.1068548387096773E-6</v>
      </c>
      <c r="W1734" s="13"/>
      <c r="X1734" s="34">
        <v>1730</v>
      </c>
      <c r="Y1734" s="34" t="s">
        <v>2248</v>
      </c>
      <c r="Z1734" s="34" t="s">
        <v>5298</v>
      </c>
      <c r="AA1734" s="35">
        <v>4.6955645161290326E-4</v>
      </c>
      <c r="AB1734" s="13"/>
      <c r="AC1734" s="47">
        <v>1730</v>
      </c>
      <c r="AD1734" s="47" t="s">
        <v>4573</v>
      </c>
      <c r="AE1734" s="47" t="s">
        <v>4100</v>
      </c>
      <c r="AF1734" s="56">
        <v>6.61491935483871E-3</v>
      </c>
    </row>
    <row r="1735" spans="19:32" x14ac:dyDescent="0.35">
      <c r="S1735" s="34">
        <v>1731</v>
      </c>
      <c r="T1735" s="34" t="s">
        <v>4284</v>
      </c>
      <c r="U1735" s="34" t="s">
        <v>4351</v>
      </c>
      <c r="V1735" s="35">
        <v>7.1290322580645166E-6</v>
      </c>
      <c r="W1735" s="13"/>
      <c r="X1735" s="47">
        <v>1731</v>
      </c>
      <c r="Y1735" s="47" t="s">
        <v>2248</v>
      </c>
      <c r="Z1735" s="47" t="s">
        <v>4645</v>
      </c>
      <c r="AA1735" s="48">
        <v>4.8326612903225809E-5</v>
      </c>
      <c r="AB1735" s="13"/>
      <c r="AC1735" s="47">
        <v>1731</v>
      </c>
      <c r="AD1735" s="47" t="s">
        <v>4573</v>
      </c>
      <c r="AE1735" s="47" t="s">
        <v>3133</v>
      </c>
      <c r="AF1735" s="48">
        <v>5.8603999999999996E-2</v>
      </c>
    </row>
    <row r="1736" spans="19:32" x14ac:dyDescent="0.35">
      <c r="S1736" s="47">
        <v>1732</v>
      </c>
      <c r="T1736" s="47" t="s">
        <v>4284</v>
      </c>
      <c r="U1736" s="47" t="s">
        <v>3196</v>
      </c>
      <c r="V1736" s="48">
        <v>1.0488000000000002</v>
      </c>
      <c r="W1736" s="13"/>
      <c r="X1736" s="47">
        <v>1732</v>
      </c>
      <c r="Y1736" s="47" t="s">
        <v>2248</v>
      </c>
      <c r="Z1736" s="47" t="s">
        <v>4644</v>
      </c>
      <c r="AA1736" s="48">
        <v>2.7967741935483876E-4</v>
      </c>
      <c r="AB1736" s="13"/>
      <c r="AC1736" s="47">
        <v>1732</v>
      </c>
      <c r="AD1736" s="47" t="s">
        <v>4573</v>
      </c>
      <c r="AE1736" s="47" t="s">
        <v>3131</v>
      </c>
      <c r="AF1736" s="48">
        <v>6.7160000000000011E-2</v>
      </c>
    </row>
    <row r="1737" spans="19:32" x14ac:dyDescent="0.35">
      <c r="S1737" s="47">
        <v>1733</v>
      </c>
      <c r="T1737" s="47" t="s">
        <v>4284</v>
      </c>
      <c r="U1737" s="47" t="s">
        <v>3195</v>
      </c>
      <c r="V1737" s="48">
        <v>2.9164000000000003</v>
      </c>
      <c r="W1737" s="13"/>
      <c r="X1737" s="34">
        <v>1733</v>
      </c>
      <c r="Y1737" s="34" t="s">
        <v>2248</v>
      </c>
      <c r="Z1737" s="34" t="s">
        <v>5297</v>
      </c>
      <c r="AA1737" s="35">
        <v>5.9294354838709683E-5</v>
      </c>
      <c r="AB1737" s="13"/>
      <c r="AC1737" s="47">
        <v>1733</v>
      </c>
      <c r="AD1737" s="47" t="s">
        <v>4573</v>
      </c>
      <c r="AE1737" s="47" t="s">
        <v>4098</v>
      </c>
      <c r="AF1737" s="56">
        <v>8.9455645161290332E-3</v>
      </c>
    </row>
    <row r="1738" spans="19:32" x14ac:dyDescent="0.35">
      <c r="S1738" s="47">
        <v>1734</v>
      </c>
      <c r="T1738" s="47" t="s">
        <v>4284</v>
      </c>
      <c r="U1738" s="47" t="s">
        <v>4350</v>
      </c>
      <c r="V1738" s="56">
        <v>1.1070564516129034E-4</v>
      </c>
      <c r="W1738" s="13"/>
      <c r="X1738" s="34">
        <v>1734</v>
      </c>
      <c r="Y1738" s="34" t="s">
        <v>2248</v>
      </c>
      <c r="Z1738" s="34" t="s">
        <v>4643</v>
      </c>
      <c r="AA1738" s="35">
        <v>6.7520161290322587E-6</v>
      </c>
      <c r="AB1738" s="13"/>
      <c r="AC1738" s="34">
        <v>1734</v>
      </c>
      <c r="AD1738" s="34" t="s">
        <v>4573</v>
      </c>
      <c r="AE1738" s="34" t="s">
        <v>4095</v>
      </c>
      <c r="AF1738" s="35">
        <v>2.7556451612903231E-5</v>
      </c>
    </row>
    <row r="1739" spans="19:32" x14ac:dyDescent="0.35">
      <c r="S1739" s="34">
        <v>1735</v>
      </c>
      <c r="T1739" s="34" t="s">
        <v>4284</v>
      </c>
      <c r="U1739" s="34" t="s">
        <v>4347</v>
      </c>
      <c r="V1739" s="35">
        <v>356.45161290322585</v>
      </c>
      <c r="W1739" s="13"/>
      <c r="X1739" s="47">
        <v>1735</v>
      </c>
      <c r="Y1739" s="47" t="s">
        <v>2248</v>
      </c>
      <c r="Z1739" s="47" t="s">
        <v>4642</v>
      </c>
      <c r="AA1739" s="48">
        <v>1.9330645161290324E-4</v>
      </c>
      <c r="AB1739" s="13"/>
      <c r="AC1739" s="47">
        <v>1735</v>
      </c>
      <c r="AD1739" s="47" t="s">
        <v>4573</v>
      </c>
      <c r="AE1739" s="47" t="s">
        <v>4091</v>
      </c>
      <c r="AF1739" s="56">
        <v>5.8266129032258068E-3</v>
      </c>
    </row>
    <row r="1740" spans="19:32" x14ac:dyDescent="0.35">
      <c r="S1740" s="47">
        <v>1736</v>
      </c>
      <c r="T1740" s="47" t="s">
        <v>4284</v>
      </c>
      <c r="U1740" s="47" t="s">
        <v>4346</v>
      </c>
      <c r="V1740" s="56">
        <v>1.3949596774193549</v>
      </c>
      <c r="W1740" s="13"/>
      <c r="X1740" s="34">
        <v>1736</v>
      </c>
      <c r="Y1740" s="34" t="s">
        <v>2248</v>
      </c>
      <c r="Z1740" s="34" t="s">
        <v>4641</v>
      </c>
      <c r="AA1740" s="35">
        <v>2.8310483870967745E-4</v>
      </c>
      <c r="AB1740" s="13"/>
      <c r="AC1740" s="47">
        <v>1736</v>
      </c>
      <c r="AD1740" s="47" t="s">
        <v>4573</v>
      </c>
      <c r="AE1740" s="47" t="s">
        <v>3130</v>
      </c>
      <c r="AF1740" s="48">
        <v>27.692</v>
      </c>
    </row>
    <row r="1741" spans="19:32" x14ac:dyDescent="0.35">
      <c r="S1741" s="34">
        <v>1737</v>
      </c>
      <c r="T1741" s="34" t="s">
        <v>4284</v>
      </c>
      <c r="U1741" s="34" t="s">
        <v>4344</v>
      </c>
      <c r="V1741" s="35">
        <v>0.16108870967741937</v>
      </c>
      <c r="W1741" s="13"/>
      <c r="X1741" s="34">
        <v>1737</v>
      </c>
      <c r="Y1741" s="34" t="s">
        <v>2248</v>
      </c>
      <c r="Z1741" s="34" t="s">
        <v>5296</v>
      </c>
      <c r="AA1741" s="35">
        <v>4.8326612903225807E-4</v>
      </c>
      <c r="AB1741" s="13"/>
      <c r="AC1741" s="34">
        <v>1737</v>
      </c>
      <c r="AD1741" s="34" t="s">
        <v>4573</v>
      </c>
      <c r="AE1741" s="34" t="s">
        <v>4090</v>
      </c>
      <c r="AF1741" s="35">
        <v>0.58266129032258074</v>
      </c>
    </row>
    <row r="1742" spans="19:32" x14ac:dyDescent="0.35">
      <c r="S1742" s="47">
        <v>1738</v>
      </c>
      <c r="T1742" s="47" t="s">
        <v>4284</v>
      </c>
      <c r="U1742" s="47" t="s">
        <v>4341</v>
      </c>
      <c r="V1742" s="56">
        <v>1.1584677419354839E-2</v>
      </c>
      <c r="W1742" s="13"/>
      <c r="X1742" s="47">
        <v>1738</v>
      </c>
      <c r="Y1742" s="47" t="s">
        <v>2248</v>
      </c>
      <c r="Z1742" s="47" t="s">
        <v>4640</v>
      </c>
      <c r="AA1742" s="48">
        <v>1.3264112903225806</v>
      </c>
      <c r="AB1742" s="13"/>
      <c r="AC1742" s="47">
        <v>1738</v>
      </c>
      <c r="AD1742" s="47" t="s">
        <v>4573</v>
      </c>
      <c r="AE1742" s="47" t="s">
        <v>4088</v>
      </c>
      <c r="AF1742" s="56">
        <v>12.784274193548388</v>
      </c>
    </row>
    <row r="1743" spans="19:32" x14ac:dyDescent="0.35">
      <c r="S1743" s="47">
        <v>1739</v>
      </c>
      <c r="T1743" s="47" t="s">
        <v>4284</v>
      </c>
      <c r="U1743" s="47" t="s">
        <v>4340</v>
      </c>
      <c r="V1743" s="56">
        <v>4.0443548387096781E-3</v>
      </c>
      <c r="W1743" s="13"/>
      <c r="X1743" s="34">
        <v>1739</v>
      </c>
      <c r="Y1743" s="34" t="s">
        <v>2248</v>
      </c>
      <c r="Z1743" s="34" t="s">
        <v>4637</v>
      </c>
      <c r="AA1743" s="35">
        <v>1.038508064516129E-2</v>
      </c>
      <c r="AB1743" s="13"/>
      <c r="AC1743" s="34">
        <v>1739</v>
      </c>
      <c r="AD1743" s="34" t="s">
        <v>4573</v>
      </c>
      <c r="AE1743" s="34" t="s">
        <v>4085</v>
      </c>
      <c r="AF1743" s="35">
        <v>0.28104838709677421</v>
      </c>
    </row>
    <row r="1744" spans="19:32" x14ac:dyDescent="0.35">
      <c r="S1744" s="47">
        <v>1740</v>
      </c>
      <c r="T1744" s="47" t="s">
        <v>4284</v>
      </c>
      <c r="U1744" s="47" t="s">
        <v>4336</v>
      </c>
      <c r="V1744" s="56">
        <v>21.661290322580648</v>
      </c>
      <c r="W1744" s="13"/>
      <c r="X1744" s="34">
        <v>1740</v>
      </c>
      <c r="Y1744" s="34" t="s">
        <v>2248</v>
      </c>
      <c r="Z1744" s="34" t="s">
        <v>5295</v>
      </c>
      <c r="AA1744" s="35">
        <v>2.1901209677419357E-4</v>
      </c>
      <c r="AB1744" s="13"/>
      <c r="AC1744" s="47">
        <v>1740</v>
      </c>
      <c r="AD1744" s="47" t="s">
        <v>4573</v>
      </c>
      <c r="AE1744" s="47" t="s">
        <v>4083</v>
      </c>
      <c r="AF1744" s="56">
        <v>1.6108870967741936E-2</v>
      </c>
    </row>
    <row r="1745" spans="19:32" x14ac:dyDescent="0.35">
      <c r="S1745" s="47">
        <v>1741</v>
      </c>
      <c r="T1745" s="47" t="s">
        <v>4284</v>
      </c>
      <c r="U1745" s="47" t="s">
        <v>4333</v>
      </c>
      <c r="V1745" s="56">
        <v>2.1729838709677422E-2</v>
      </c>
      <c r="W1745" s="13"/>
      <c r="X1745" s="47">
        <v>1741</v>
      </c>
      <c r="Y1745" s="47" t="s">
        <v>2248</v>
      </c>
      <c r="Z1745" s="47" t="s">
        <v>3336</v>
      </c>
      <c r="AA1745" s="48">
        <v>0</v>
      </c>
      <c r="AB1745" s="13"/>
      <c r="AC1745" s="47">
        <v>1741</v>
      </c>
      <c r="AD1745" s="47" t="s">
        <v>4573</v>
      </c>
      <c r="AE1745" s="47" t="s">
        <v>4081</v>
      </c>
      <c r="AF1745" s="56">
        <v>59.29435483870968</v>
      </c>
    </row>
    <row r="1746" spans="19:32" x14ac:dyDescent="0.35">
      <c r="S1746" s="34">
        <v>1742</v>
      </c>
      <c r="T1746" s="34" t="s">
        <v>4284</v>
      </c>
      <c r="U1746" s="34" t="s">
        <v>4330</v>
      </c>
      <c r="V1746" s="35">
        <v>9.6310483870967745E-3</v>
      </c>
      <c r="W1746" s="13"/>
      <c r="X1746" s="47">
        <v>1742</v>
      </c>
      <c r="Y1746" s="47" t="s">
        <v>2248</v>
      </c>
      <c r="Z1746" s="47" t="s">
        <v>4635</v>
      </c>
      <c r="AA1746" s="48">
        <v>5.9979838709677425E-4</v>
      </c>
      <c r="AB1746" s="13"/>
      <c r="AC1746" s="47">
        <v>1742</v>
      </c>
      <c r="AD1746" s="47" t="s">
        <v>4573</v>
      </c>
      <c r="AE1746" s="47" t="s">
        <v>4078</v>
      </c>
      <c r="AF1746" s="56">
        <v>3.8387096774193549E-4</v>
      </c>
    </row>
    <row r="1747" spans="19:32" x14ac:dyDescent="0.35">
      <c r="S1747" s="47">
        <v>1743</v>
      </c>
      <c r="T1747" s="47" t="s">
        <v>4284</v>
      </c>
      <c r="U1747" s="47" t="s">
        <v>4327</v>
      </c>
      <c r="V1747" s="56">
        <v>5.4838709677419361E-3</v>
      </c>
      <c r="W1747" s="13"/>
      <c r="X1747" s="34">
        <v>1743</v>
      </c>
      <c r="Y1747" s="34" t="s">
        <v>2248</v>
      </c>
      <c r="Z1747" s="34" t="s">
        <v>5294</v>
      </c>
      <c r="AA1747" s="35">
        <v>4.1814516129032265E-3</v>
      </c>
      <c r="AB1747" s="13"/>
      <c r="AC1747" s="47">
        <v>1743</v>
      </c>
      <c r="AD1747" s="47" t="s">
        <v>4573</v>
      </c>
      <c r="AE1747" s="47" t="s">
        <v>4074</v>
      </c>
      <c r="AF1747" s="56">
        <v>111.39112903225808</v>
      </c>
    </row>
    <row r="1748" spans="19:32" x14ac:dyDescent="0.35">
      <c r="S1748" s="34">
        <v>1744</v>
      </c>
      <c r="T1748" s="34" t="s">
        <v>4284</v>
      </c>
      <c r="U1748" s="34" t="s">
        <v>4324</v>
      </c>
      <c r="V1748" s="35">
        <v>7.7116935483870974E-3</v>
      </c>
      <c r="W1748" s="13"/>
      <c r="X1748" s="47">
        <v>1744</v>
      </c>
      <c r="Y1748" s="47" t="s">
        <v>2248</v>
      </c>
      <c r="Z1748" s="47" t="s">
        <v>3334</v>
      </c>
      <c r="AA1748" s="48">
        <v>9.384E-3</v>
      </c>
      <c r="AB1748" s="13"/>
      <c r="AC1748" s="34">
        <v>1744</v>
      </c>
      <c r="AD1748" s="34" t="s">
        <v>4573</v>
      </c>
      <c r="AE1748" s="34" t="s">
        <v>4072</v>
      </c>
      <c r="AF1748" s="35">
        <v>1.4737903225806452</v>
      </c>
    </row>
    <row r="1749" spans="19:32" x14ac:dyDescent="0.35">
      <c r="S1749" s="47">
        <v>1745</v>
      </c>
      <c r="T1749" s="47" t="s">
        <v>4284</v>
      </c>
      <c r="U1749" s="47" t="s">
        <v>4319</v>
      </c>
      <c r="V1749" s="56">
        <v>2.9647177419354839E-3</v>
      </c>
      <c r="W1749" s="13"/>
      <c r="X1749" s="47">
        <v>1745</v>
      </c>
      <c r="Y1749" s="47" t="s">
        <v>2248</v>
      </c>
      <c r="Z1749" s="47" t="s">
        <v>3334</v>
      </c>
      <c r="AA1749" s="48">
        <v>5.4838709677419361E-3</v>
      </c>
      <c r="AB1749" s="13"/>
      <c r="AC1749" s="47">
        <v>1745</v>
      </c>
      <c r="AD1749" s="47" t="s">
        <v>4573</v>
      </c>
      <c r="AE1749" s="47" t="s">
        <v>4070</v>
      </c>
      <c r="AF1749" s="56">
        <v>1.1241935483870969E-2</v>
      </c>
    </row>
    <row r="1750" spans="19:32" x14ac:dyDescent="0.35">
      <c r="S1750" s="34">
        <v>1746</v>
      </c>
      <c r="T1750" s="34" t="s">
        <v>4284</v>
      </c>
      <c r="U1750" s="34" t="s">
        <v>4317</v>
      </c>
      <c r="V1750" s="35">
        <v>3.8044354838709681E-3</v>
      </c>
      <c r="W1750" s="13"/>
      <c r="X1750" s="47">
        <v>1746</v>
      </c>
      <c r="Y1750" s="47" t="s">
        <v>2248</v>
      </c>
      <c r="Z1750" s="47" t="s">
        <v>4634</v>
      </c>
      <c r="AA1750" s="48">
        <v>1.6143145161290324E-5</v>
      </c>
      <c r="AB1750" s="13"/>
      <c r="AC1750" s="34">
        <v>1746</v>
      </c>
      <c r="AD1750" s="34" t="s">
        <v>4573</v>
      </c>
      <c r="AE1750" s="34" t="s">
        <v>3128</v>
      </c>
      <c r="AF1750" s="35">
        <v>1.7891129032258066</v>
      </c>
    </row>
    <row r="1751" spans="19:32" x14ac:dyDescent="0.35">
      <c r="S1751" s="47">
        <v>1747</v>
      </c>
      <c r="T1751" s="47" t="s">
        <v>4284</v>
      </c>
      <c r="U1751" s="47" t="s">
        <v>3193</v>
      </c>
      <c r="V1751" s="56">
        <v>9.1512096774193558E-5</v>
      </c>
      <c r="W1751" s="13"/>
      <c r="X1751" s="34">
        <v>1747</v>
      </c>
      <c r="Y1751" s="34" t="s">
        <v>2248</v>
      </c>
      <c r="Z1751" s="34" t="s">
        <v>5293</v>
      </c>
      <c r="AA1751" s="35">
        <v>1.0830645161290323E-2</v>
      </c>
      <c r="AB1751" s="13"/>
      <c r="AC1751" s="47">
        <v>1747</v>
      </c>
      <c r="AD1751" s="47" t="s">
        <v>4573</v>
      </c>
      <c r="AE1751" s="47" t="s">
        <v>3128</v>
      </c>
      <c r="AF1751" s="48">
        <v>0</v>
      </c>
    </row>
    <row r="1752" spans="19:32" x14ac:dyDescent="0.35">
      <c r="S1752" s="47">
        <v>1748</v>
      </c>
      <c r="T1752" s="47" t="s">
        <v>4284</v>
      </c>
      <c r="U1752" s="47" t="s">
        <v>3193</v>
      </c>
      <c r="V1752" s="48">
        <v>0.16928000000000001</v>
      </c>
      <c r="W1752" s="13"/>
      <c r="X1752" s="47">
        <v>1748</v>
      </c>
      <c r="Y1752" s="47" t="s">
        <v>2248</v>
      </c>
      <c r="Z1752" s="47" t="s">
        <v>3332</v>
      </c>
      <c r="AA1752" s="48">
        <v>0</v>
      </c>
      <c r="AB1752" s="13"/>
      <c r="AC1752" s="47">
        <v>1748</v>
      </c>
      <c r="AD1752" s="47" t="s">
        <v>4573</v>
      </c>
      <c r="AE1752" s="47" t="s">
        <v>4065</v>
      </c>
      <c r="AF1752" s="56">
        <v>4.592741935483871</v>
      </c>
    </row>
    <row r="1753" spans="19:32" x14ac:dyDescent="0.35">
      <c r="S1753" s="47">
        <v>1749</v>
      </c>
      <c r="T1753" s="47" t="s">
        <v>4284</v>
      </c>
      <c r="U1753" s="47" t="s">
        <v>4314</v>
      </c>
      <c r="V1753" s="56">
        <v>1.453225806451613E-2</v>
      </c>
      <c r="W1753" s="13"/>
      <c r="X1753" s="47">
        <v>1749</v>
      </c>
      <c r="Y1753" s="47" t="s">
        <v>2248</v>
      </c>
      <c r="Z1753" s="47" t="s">
        <v>4633</v>
      </c>
      <c r="AA1753" s="48">
        <v>1.3983870967741938E-4</v>
      </c>
      <c r="AB1753" s="13"/>
      <c r="AC1753" s="34">
        <v>1749</v>
      </c>
      <c r="AD1753" s="34" t="s">
        <v>4573</v>
      </c>
      <c r="AE1753" s="34" t="s">
        <v>4064</v>
      </c>
      <c r="AF1753" s="35">
        <v>2.0016129032258068</v>
      </c>
    </row>
    <row r="1754" spans="19:32" x14ac:dyDescent="0.35">
      <c r="S1754" s="47">
        <v>1750</v>
      </c>
      <c r="T1754" s="47" t="s">
        <v>4284</v>
      </c>
      <c r="U1754" s="47" t="s">
        <v>4310</v>
      </c>
      <c r="V1754" s="56">
        <v>4.8326612903225812E-2</v>
      </c>
      <c r="W1754" s="13"/>
      <c r="X1754" s="34">
        <v>1750</v>
      </c>
      <c r="Y1754" s="34" t="s">
        <v>2248</v>
      </c>
      <c r="Z1754" s="34" t="s">
        <v>5292</v>
      </c>
      <c r="AA1754" s="35">
        <v>2.7556451612903228E-3</v>
      </c>
      <c r="AB1754" s="13"/>
      <c r="AC1754" s="47">
        <v>1750</v>
      </c>
      <c r="AD1754" s="47" t="s">
        <v>4573</v>
      </c>
      <c r="AE1754" s="47" t="s">
        <v>4062</v>
      </c>
      <c r="AF1754" s="56">
        <v>1.0008064516129034</v>
      </c>
    </row>
    <row r="1755" spans="19:32" x14ac:dyDescent="0.35">
      <c r="S1755" s="47">
        <v>1751</v>
      </c>
      <c r="T1755" s="47" t="s">
        <v>4284</v>
      </c>
      <c r="U1755" s="47" t="s">
        <v>3192</v>
      </c>
      <c r="V1755" s="56">
        <v>1.7068548387096776</v>
      </c>
      <c r="W1755" s="13"/>
      <c r="X1755" s="34">
        <v>1751</v>
      </c>
      <c r="Y1755" s="34" t="s">
        <v>2248</v>
      </c>
      <c r="Z1755" s="34" t="s">
        <v>4632</v>
      </c>
      <c r="AA1755" s="35">
        <v>1.1550403225806453E-3</v>
      </c>
      <c r="AB1755" s="13"/>
      <c r="AC1755" s="47">
        <v>1751</v>
      </c>
      <c r="AD1755" s="47" t="s">
        <v>4573</v>
      </c>
      <c r="AE1755" s="47" t="s">
        <v>3127</v>
      </c>
      <c r="AF1755" s="56">
        <v>1.0864919354838711E-2</v>
      </c>
    </row>
    <row r="1756" spans="19:32" x14ac:dyDescent="0.35">
      <c r="S1756" s="47">
        <v>1752</v>
      </c>
      <c r="T1756" s="47" t="s">
        <v>4284</v>
      </c>
      <c r="U1756" s="47" t="s">
        <v>3192</v>
      </c>
      <c r="V1756" s="48">
        <v>720.3599999999999</v>
      </c>
      <c r="W1756" s="13"/>
      <c r="X1756" s="47">
        <v>1752</v>
      </c>
      <c r="Y1756" s="47" t="s">
        <v>2248</v>
      </c>
      <c r="Z1756" s="47" t="s">
        <v>4631</v>
      </c>
      <c r="AA1756" s="48">
        <v>1.3195564516129034E-4</v>
      </c>
      <c r="AB1756" s="13"/>
      <c r="AC1756" s="47">
        <v>1752</v>
      </c>
      <c r="AD1756" s="47" t="s">
        <v>4573</v>
      </c>
      <c r="AE1756" s="47" t="s">
        <v>3127</v>
      </c>
      <c r="AF1756" s="48">
        <v>58.512</v>
      </c>
    </row>
    <row r="1757" spans="19:32" x14ac:dyDescent="0.35">
      <c r="S1757" s="34">
        <v>1753</v>
      </c>
      <c r="T1757" s="34" t="s">
        <v>4284</v>
      </c>
      <c r="U1757" s="34" t="s">
        <v>3190</v>
      </c>
      <c r="V1757" s="35">
        <v>2.6254032258064518E-2</v>
      </c>
      <c r="W1757" s="13"/>
      <c r="X1757" s="34">
        <v>1753</v>
      </c>
      <c r="Y1757" s="34" t="s">
        <v>2248</v>
      </c>
      <c r="Z1757" s="34" t="s">
        <v>3643</v>
      </c>
      <c r="AA1757" s="35">
        <v>6.8891129032258065E-5</v>
      </c>
      <c r="AB1757" s="13"/>
      <c r="AC1757" s="47">
        <v>1753</v>
      </c>
      <c r="AD1757" s="47" t="s">
        <v>4573</v>
      </c>
      <c r="AE1757" s="47" t="s">
        <v>4060</v>
      </c>
      <c r="AF1757" s="56">
        <v>54.838709677419359</v>
      </c>
    </row>
    <row r="1758" spans="19:32" x14ac:dyDescent="0.35">
      <c r="S1758" s="47">
        <v>1754</v>
      </c>
      <c r="T1758" s="47" t="s">
        <v>4284</v>
      </c>
      <c r="U1758" s="47" t="s">
        <v>3190</v>
      </c>
      <c r="V1758" s="48">
        <v>39.56</v>
      </c>
      <c r="W1758" s="13"/>
      <c r="X1758" s="34">
        <v>1754</v>
      </c>
      <c r="Y1758" s="34" t="s">
        <v>2248</v>
      </c>
      <c r="Z1758" s="34" t="s">
        <v>4630</v>
      </c>
      <c r="AA1758" s="35">
        <v>2.4129032258064518E-5</v>
      </c>
      <c r="AB1758" s="13"/>
      <c r="AC1758" s="47">
        <v>1754</v>
      </c>
      <c r="AD1758" s="47" t="s">
        <v>4573</v>
      </c>
      <c r="AE1758" s="47" t="s">
        <v>4058</v>
      </c>
      <c r="AF1758" s="56">
        <v>9.80241935483871</v>
      </c>
    </row>
    <row r="1759" spans="19:32" x14ac:dyDescent="0.35">
      <c r="S1759" s="47">
        <v>1755</v>
      </c>
      <c r="T1759" s="47" t="s">
        <v>4284</v>
      </c>
      <c r="U1759" s="47" t="s">
        <v>3189</v>
      </c>
      <c r="V1759" s="56">
        <v>0.19056451612903227</v>
      </c>
      <c r="W1759" s="13"/>
      <c r="X1759" s="47">
        <v>1755</v>
      </c>
      <c r="Y1759" s="47" t="s">
        <v>2248</v>
      </c>
      <c r="Z1759" s="47" t="s">
        <v>3331</v>
      </c>
      <c r="AA1759" s="48">
        <v>0</v>
      </c>
      <c r="AB1759" s="13"/>
      <c r="AC1759" s="34">
        <v>1755</v>
      </c>
      <c r="AD1759" s="34" t="s">
        <v>4573</v>
      </c>
      <c r="AE1759" s="34" t="s">
        <v>4057</v>
      </c>
      <c r="AF1759" s="35">
        <v>9.0483870967741943E-3</v>
      </c>
    </row>
    <row r="1760" spans="19:32" x14ac:dyDescent="0.35">
      <c r="S1760" s="47">
        <v>1756</v>
      </c>
      <c r="T1760" s="47" t="s">
        <v>4284</v>
      </c>
      <c r="U1760" s="47" t="s">
        <v>3189</v>
      </c>
      <c r="V1760" s="48">
        <v>43.239999999999995</v>
      </c>
      <c r="W1760" s="13"/>
      <c r="X1760" s="47">
        <v>1756</v>
      </c>
      <c r="Y1760" s="47" t="s">
        <v>2248</v>
      </c>
      <c r="Z1760" s="47" t="s">
        <v>3331</v>
      </c>
      <c r="AA1760" s="48">
        <v>1.7239919354838709E-3</v>
      </c>
      <c r="AB1760" s="13"/>
      <c r="AC1760" s="47">
        <v>1756</v>
      </c>
      <c r="AD1760" s="47" t="s">
        <v>4573</v>
      </c>
      <c r="AE1760" s="47" t="s">
        <v>3126</v>
      </c>
      <c r="AF1760" s="56">
        <v>5.8266129032258069</v>
      </c>
    </row>
    <row r="1761" spans="19:32" x14ac:dyDescent="0.35">
      <c r="S1761" s="47">
        <v>1757</v>
      </c>
      <c r="T1761" s="47" t="s">
        <v>4284</v>
      </c>
      <c r="U1761" s="47" t="s">
        <v>3188</v>
      </c>
      <c r="V1761" s="48">
        <v>7.2312000000000001E-2</v>
      </c>
      <c r="W1761" s="13"/>
      <c r="X1761" s="34">
        <v>1757</v>
      </c>
      <c r="Y1761" s="34" t="s">
        <v>2248</v>
      </c>
      <c r="Z1761" s="34" t="s">
        <v>5291</v>
      </c>
      <c r="AA1761" s="35">
        <v>4.4213709677419358E-4</v>
      </c>
      <c r="AB1761" s="13"/>
      <c r="AC1761" s="47">
        <v>1757</v>
      </c>
      <c r="AD1761" s="47" t="s">
        <v>4573</v>
      </c>
      <c r="AE1761" s="47" t="s">
        <v>3126</v>
      </c>
      <c r="AF1761" s="48">
        <v>0</v>
      </c>
    </row>
    <row r="1762" spans="19:32" x14ac:dyDescent="0.35">
      <c r="S1762" s="34">
        <v>1758</v>
      </c>
      <c r="T1762" s="34" t="s">
        <v>4284</v>
      </c>
      <c r="U1762" s="34" t="s">
        <v>4302</v>
      </c>
      <c r="V1762" s="35">
        <v>9.3568548387096783E-7</v>
      </c>
      <c r="W1762" s="13"/>
      <c r="X1762" s="47">
        <v>1758</v>
      </c>
      <c r="Y1762" s="47" t="s">
        <v>2248</v>
      </c>
      <c r="Z1762" s="47" t="s">
        <v>3329</v>
      </c>
      <c r="AA1762" s="48">
        <v>0.56487999999999994</v>
      </c>
      <c r="AB1762" s="13"/>
      <c r="AC1762" s="34">
        <v>1758</v>
      </c>
      <c r="AD1762" s="34" t="s">
        <v>4573</v>
      </c>
      <c r="AE1762" s="34" t="s">
        <v>4056</v>
      </c>
      <c r="AF1762" s="35">
        <v>29.852822580645164</v>
      </c>
    </row>
    <row r="1763" spans="19:32" x14ac:dyDescent="0.35">
      <c r="S1763" s="47">
        <v>1759</v>
      </c>
      <c r="T1763" s="47" t="s">
        <v>4284</v>
      </c>
      <c r="U1763" s="47" t="s">
        <v>4300</v>
      </c>
      <c r="V1763" s="56">
        <v>3.42741935483871E-7</v>
      </c>
      <c r="W1763" s="13"/>
      <c r="X1763" s="34">
        <v>1759</v>
      </c>
      <c r="Y1763" s="34" t="s">
        <v>2248</v>
      </c>
      <c r="Z1763" s="34" t="s">
        <v>4629</v>
      </c>
      <c r="AA1763" s="35">
        <v>8.3971774193548399E-2</v>
      </c>
      <c r="AB1763" s="13"/>
      <c r="AC1763" s="47">
        <v>1759</v>
      </c>
      <c r="AD1763" s="47" t="s">
        <v>4573</v>
      </c>
      <c r="AE1763" s="47" t="s">
        <v>4054</v>
      </c>
      <c r="AF1763" s="56">
        <v>13.94959677419355</v>
      </c>
    </row>
    <row r="1764" spans="19:32" x14ac:dyDescent="0.35">
      <c r="S1764" s="36">
        <v>1760</v>
      </c>
      <c r="T1764" s="36" t="s">
        <v>4284</v>
      </c>
      <c r="U1764" s="36" t="s">
        <v>4299</v>
      </c>
      <c r="V1764" s="37">
        <v>3.4721500000000001</v>
      </c>
      <c r="W1764" s="13"/>
      <c r="X1764" s="34">
        <v>1760</v>
      </c>
      <c r="Y1764" s="34" t="s">
        <v>2248</v>
      </c>
      <c r="Z1764" s="34" t="s">
        <v>5290</v>
      </c>
      <c r="AA1764" s="35">
        <v>1.2750000000000001E-3</v>
      </c>
      <c r="AB1764" s="13"/>
      <c r="AC1764" s="34">
        <v>1760</v>
      </c>
      <c r="AD1764" s="34" t="s">
        <v>4573</v>
      </c>
      <c r="AE1764" s="34" t="s">
        <v>4050</v>
      </c>
      <c r="AF1764" s="35">
        <v>4.2157258064516132E-2</v>
      </c>
    </row>
    <row r="1765" spans="19:32" x14ac:dyDescent="0.35">
      <c r="S1765" s="34">
        <v>1761</v>
      </c>
      <c r="T1765" s="34" t="s">
        <v>4284</v>
      </c>
      <c r="U1765" s="34" t="s">
        <v>4299</v>
      </c>
      <c r="V1765" s="35">
        <v>1.5971774193548387E-7</v>
      </c>
      <c r="W1765" s="13"/>
      <c r="X1765" s="47">
        <v>1761</v>
      </c>
      <c r="Y1765" s="47" t="s">
        <v>2248</v>
      </c>
      <c r="Z1765" s="47" t="s">
        <v>4628</v>
      </c>
      <c r="AA1765" s="48">
        <v>9.9052419354838717E-2</v>
      </c>
      <c r="AB1765" s="13"/>
      <c r="AC1765" s="47">
        <v>1761</v>
      </c>
      <c r="AD1765" s="47" t="s">
        <v>4573</v>
      </c>
      <c r="AE1765" s="47" t="s">
        <v>4049</v>
      </c>
      <c r="AF1765" s="56">
        <v>6.5806451612903227E-3</v>
      </c>
    </row>
    <row r="1766" spans="19:32" x14ac:dyDescent="0.35">
      <c r="S1766" s="30">
        <v>1762</v>
      </c>
      <c r="T1766" s="30" t="s">
        <v>4284</v>
      </c>
      <c r="U1766" s="30" t="s">
        <v>5289</v>
      </c>
      <c r="V1766" s="31">
        <v>421.08000000000004</v>
      </c>
      <c r="W1766" s="13"/>
      <c r="X1766" s="47">
        <v>1762</v>
      </c>
      <c r="Y1766" s="47" t="s">
        <v>2248</v>
      </c>
      <c r="Z1766" s="47" t="s">
        <v>4627</v>
      </c>
      <c r="AA1766" s="48">
        <v>3.1840725806451614E-2</v>
      </c>
      <c r="AB1766" s="13"/>
      <c r="AC1766" s="47">
        <v>1762</v>
      </c>
      <c r="AD1766" s="47" t="s">
        <v>4573</v>
      </c>
      <c r="AE1766" s="47" t="s">
        <v>4048</v>
      </c>
      <c r="AF1766" s="56">
        <v>5.8951612903225814E-2</v>
      </c>
    </row>
    <row r="1767" spans="19:32" x14ac:dyDescent="0.35">
      <c r="S1767" s="30">
        <v>1763</v>
      </c>
      <c r="T1767" s="30" t="s">
        <v>4284</v>
      </c>
      <c r="U1767" s="30" t="s">
        <v>5288</v>
      </c>
      <c r="V1767" s="31">
        <v>520.84</v>
      </c>
      <c r="W1767" s="13"/>
      <c r="X1767" s="34">
        <v>1763</v>
      </c>
      <c r="Y1767" s="34" t="s">
        <v>2248</v>
      </c>
      <c r="Z1767" s="34" t="s">
        <v>5287</v>
      </c>
      <c r="AA1767" s="35">
        <v>3.9072580645161295E-2</v>
      </c>
      <c r="AB1767" s="13"/>
      <c r="AC1767" s="47">
        <v>1763</v>
      </c>
      <c r="AD1767" s="47" t="s">
        <v>4573</v>
      </c>
      <c r="AE1767" s="47" t="s">
        <v>3124</v>
      </c>
      <c r="AF1767" s="56">
        <v>7.7459677419354849</v>
      </c>
    </row>
    <row r="1768" spans="19:32" x14ac:dyDescent="0.35">
      <c r="S1768" s="30">
        <v>1764</v>
      </c>
      <c r="T1768" s="30" t="s">
        <v>4284</v>
      </c>
      <c r="U1768" s="30" t="s">
        <v>5286</v>
      </c>
      <c r="V1768" s="31">
        <v>451.24</v>
      </c>
      <c r="W1768" s="13"/>
      <c r="X1768" s="47">
        <v>1764</v>
      </c>
      <c r="Y1768" s="47" t="s">
        <v>2248</v>
      </c>
      <c r="Z1768" s="47" t="s">
        <v>3328</v>
      </c>
      <c r="AA1768" s="48">
        <v>0</v>
      </c>
      <c r="AB1768" s="13"/>
      <c r="AC1768" s="47">
        <v>1764</v>
      </c>
      <c r="AD1768" s="47" t="s">
        <v>4573</v>
      </c>
      <c r="AE1768" s="47" t="s">
        <v>3124</v>
      </c>
      <c r="AF1768" s="48">
        <v>0</v>
      </c>
    </row>
    <row r="1769" spans="19:32" x14ac:dyDescent="0.35">
      <c r="S1769" s="30">
        <v>1765</v>
      </c>
      <c r="T1769" s="30" t="s">
        <v>4284</v>
      </c>
      <c r="U1769" s="30" t="s">
        <v>5285</v>
      </c>
      <c r="V1769" s="31">
        <v>850.28000000000009</v>
      </c>
      <c r="W1769" s="13"/>
      <c r="X1769" s="47">
        <v>1765</v>
      </c>
      <c r="Y1769" s="47" t="s">
        <v>2248</v>
      </c>
      <c r="Z1769" s="47" t="s">
        <v>4626</v>
      </c>
      <c r="AA1769" s="48">
        <v>0.19879032258064519</v>
      </c>
      <c r="AB1769" s="13"/>
      <c r="AC1769" s="47">
        <v>1765</v>
      </c>
      <c r="AD1769" s="47" t="s">
        <v>4573</v>
      </c>
      <c r="AE1769" s="47" t="s">
        <v>3123</v>
      </c>
      <c r="AF1769" s="56">
        <v>323.54838709677421</v>
      </c>
    </row>
    <row r="1770" spans="19:32" x14ac:dyDescent="0.35">
      <c r="S1770" s="30">
        <v>1766</v>
      </c>
      <c r="T1770" s="30" t="s">
        <v>4284</v>
      </c>
      <c r="U1770" s="30" t="s">
        <v>5284</v>
      </c>
      <c r="V1770" s="31">
        <v>25.636000000000003</v>
      </c>
      <c r="W1770" s="13"/>
      <c r="X1770" s="47">
        <v>1766</v>
      </c>
      <c r="Y1770" s="47" t="s">
        <v>2248</v>
      </c>
      <c r="Z1770" s="47" t="s">
        <v>3326</v>
      </c>
      <c r="AA1770" s="48">
        <v>0</v>
      </c>
      <c r="AB1770" s="13"/>
      <c r="AC1770" s="47">
        <v>1766</v>
      </c>
      <c r="AD1770" s="47" t="s">
        <v>4573</v>
      </c>
      <c r="AE1770" s="47" t="s">
        <v>3123</v>
      </c>
      <c r="AF1770" s="48">
        <v>134320000</v>
      </c>
    </row>
    <row r="1771" spans="19:32" x14ac:dyDescent="0.35">
      <c r="S1771" s="47">
        <v>1767</v>
      </c>
      <c r="T1771" s="47" t="s">
        <v>4284</v>
      </c>
      <c r="U1771" s="47" t="s">
        <v>4297</v>
      </c>
      <c r="V1771" s="56">
        <v>4.6955645161290326E-4</v>
      </c>
      <c r="W1771" s="13"/>
      <c r="X1771" s="34">
        <v>1767</v>
      </c>
      <c r="Y1771" s="34" t="s">
        <v>2248</v>
      </c>
      <c r="Z1771" s="34" t="s">
        <v>5283</v>
      </c>
      <c r="AA1771" s="35">
        <v>9.2197580645161301E-3</v>
      </c>
      <c r="AB1771" s="13"/>
      <c r="AC1771" s="34">
        <v>1767</v>
      </c>
      <c r="AD1771" s="34" t="s">
        <v>4573</v>
      </c>
      <c r="AE1771" s="34" t="s">
        <v>4045</v>
      </c>
      <c r="AF1771" s="35">
        <v>9.3568548387096789E-6</v>
      </c>
    </row>
    <row r="1772" spans="19:32" x14ac:dyDescent="0.35">
      <c r="S1772" s="47">
        <v>1768</v>
      </c>
      <c r="T1772" s="47" t="s">
        <v>4284</v>
      </c>
      <c r="U1772" s="47" t="s">
        <v>4293</v>
      </c>
      <c r="V1772" s="56">
        <v>7.7116935483870975E-6</v>
      </c>
      <c r="W1772" s="13"/>
      <c r="X1772" s="47">
        <v>1768</v>
      </c>
      <c r="Y1772" s="47" t="s">
        <v>2248</v>
      </c>
      <c r="Z1772" s="47" t="s">
        <v>4625</v>
      </c>
      <c r="AA1772" s="48">
        <v>5.5181451612903239E-4</v>
      </c>
      <c r="AB1772" s="13"/>
      <c r="AC1772" s="47">
        <v>1768</v>
      </c>
      <c r="AD1772" s="47" t="s">
        <v>4573</v>
      </c>
      <c r="AE1772" s="47" t="s">
        <v>4043</v>
      </c>
      <c r="AF1772" s="56">
        <v>2.1455645161290324E-2</v>
      </c>
    </row>
    <row r="1773" spans="19:32" x14ac:dyDescent="0.35">
      <c r="S1773" s="47">
        <v>1769</v>
      </c>
      <c r="T1773" s="47" t="s">
        <v>4284</v>
      </c>
      <c r="U1773" s="47" t="s">
        <v>4290</v>
      </c>
      <c r="V1773" s="56">
        <v>1.0145161290322582E-3</v>
      </c>
      <c r="W1773" s="13"/>
      <c r="X1773" s="34">
        <v>1769</v>
      </c>
      <c r="Y1773" s="34" t="s">
        <v>2248</v>
      </c>
      <c r="Z1773" s="34" t="s">
        <v>4624</v>
      </c>
      <c r="AA1773" s="35">
        <v>3.2971774193548391E-3</v>
      </c>
      <c r="AB1773" s="13"/>
      <c r="AC1773" s="34">
        <v>1769</v>
      </c>
      <c r="AD1773" s="34" t="s">
        <v>4573</v>
      </c>
      <c r="AE1773" s="34" t="s">
        <v>4042</v>
      </c>
      <c r="AF1773" s="35">
        <v>3.838709677419355</v>
      </c>
    </row>
    <row r="1774" spans="19:32" x14ac:dyDescent="0.35">
      <c r="S1774" s="47">
        <v>1770</v>
      </c>
      <c r="T1774" s="47" t="s">
        <v>4284</v>
      </c>
      <c r="U1774" s="47" t="s">
        <v>4288</v>
      </c>
      <c r="V1774" s="56">
        <v>7.1633064516129029E-8</v>
      </c>
      <c r="W1774" s="13"/>
      <c r="X1774" s="34">
        <v>1770</v>
      </c>
      <c r="Y1774" s="34" t="s">
        <v>2248</v>
      </c>
      <c r="Z1774" s="34" t="s">
        <v>5282</v>
      </c>
      <c r="AA1774" s="35">
        <v>1.333266129032258E-3</v>
      </c>
      <c r="AB1774" s="13"/>
      <c r="AC1774" s="47">
        <v>1770</v>
      </c>
      <c r="AD1774" s="47" t="s">
        <v>4573</v>
      </c>
      <c r="AE1774" s="47" t="s">
        <v>4039</v>
      </c>
      <c r="AF1774" s="56">
        <v>0.10933467741935485</v>
      </c>
    </row>
    <row r="1775" spans="19:32" x14ac:dyDescent="0.35">
      <c r="S1775" s="34">
        <v>1771</v>
      </c>
      <c r="T1775" s="34" t="s">
        <v>4284</v>
      </c>
      <c r="U1775" s="34" t="s">
        <v>3186</v>
      </c>
      <c r="V1775" s="35">
        <v>9.6653225806451619E-5</v>
      </c>
      <c r="W1775" s="13"/>
      <c r="X1775" s="47">
        <v>1771</v>
      </c>
      <c r="Y1775" s="47" t="s">
        <v>2248</v>
      </c>
      <c r="Z1775" s="47" t="s">
        <v>3325</v>
      </c>
      <c r="AA1775" s="48">
        <v>1.8860000000000002E-2</v>
      </c>
      <c r="AB1775" s="13"/>
      <c r="AC1775" s="34">
        <v>1771</v>
      </c>
      <c r="AD1775" s="34" t="s">
        <v>4573</v>
      </c>
      <c r="AE1775" s="34" t="s">
        <v>4036</v>
      </c>
      <c r="AF1775" s="35">
        <v>6.1008064516129039</v>
      </c>
    </row>
    <row r="1776" spans="19:32" x14ac:dyDescent="0.35">
      <c r="S1776" s="47">
        <v>1772</v>
      </c>
      <c r="T1776" s="47" t="s">
        <v>4284</v>
      </c>
      <c r="U1776" s="47" t="s">
        <v>3186</v>
      </c>
      <c r="V1776" s="48">
        <v>0</v>
      </c>
      <c r="W1776" s="17"/>
      <c r="X1776" s="47">
        <v>1772</v>
      </c>
      <c r="Y1776" s="47" t="s">
        <v>2248</v>
      </c>
      <c r="Z1776" s="47" t="s">
        <v>3324</v>
      </c>
      <c r="AA1776" s="48">
        <v>38.18</v>
      </c>
      <c r="AB1776" s="13"/>
      <c r="AC1776" s="47">
        <v>1772</v>
      </c>
      <c r="AD1776" s="47" t="s">
        <v>4573</v>
      </c>
      <c r="AE1776" s="47" t="s">
        <v>4033</v>
      </c>
      <c r="AF1776" s="56">
        <v>7.3346774193548394E-3</v>
      </c>
    </row>
    <row r="1777" spans="19:32" x14ac:dyDescent="0.35">
      <c r="S1777" s="47">
        <v>1773</v>
      </c>
      <c r="T1777" s="47" t="s">
        <v>4284</v>
      </c>
      <c r="U1777" s="47" t="s">
        <v>3185</v>
      </c>
      <c r="V1777" s="48">
        <v>0</v>
      </c>
      <c r="W1777" s="13"/>
      <c r="X1777" s="47">
        <v>1773</v>
      </c>
      <c r="Y1777" s="47" t="s">
        <v>2248</v>
      </c>
      <c r="Z1777" s="47" t="s">
        <v>3323</v>
      </c>
      <c r="AA1777" s="48">
        <v>1.6008000000000001E-3</v>
      </c>
      <c r="AB1777" s="13"/>
      <c r="AC1777" s="47">
        <v>1773</v>
      </c>
      <c r="AD1777" s="47" t="s">
        <v>4573</v>
      </c>
      <c r="AE1777" s="47" t="s">
        <v>3121</v>
      </c>
      <c r="AF1777" s="48">
        <v>0</v>
      </c>
    </row>
    <row r="1778" spans="19:32" x14ac:dyDescent="0.35">
      <c r="S1778" s="47">
        <v>1774</v>
      </c>
      <c r="T1778" s="47" t="s">
        <v>4284</v>
      </c>
      <c r="U1778" s="47" t="s">
        <v>3183</v>
      </c>
      <c r="V1778" s="48">
        <v>0.58328000000000002</v>
      </c>
      <c r="W1778" s="13"/>
      <c r="X1778" s="34">
        <v>1774</v>
      </c>
      <c r="Y1778" s="34" t="s">
        <v>2248</v>
      </c>
      <c r="Z1778" s="34" t="s">
        <v>5281</v>
      </c>
      <c r="AA1778" s="35">
        <v>2.1387096774193551E-4</v>
      </c>
      <c r="AB1778" s="13"/>
      <c r="AC1778" s="47">
        <v>1774</v>
      </c>
      <c r="AD1778" s="47" t="s">
        <v>4573</v>
      </c>
      <c r="AE1778" s="47" t="s">
        <v>4032</v>
      </c>
      <c r="AF1778" s="56">
        <v>0.94596774193548394</v>
      </c>
    </row>
    <row r="1779" spans="19:32" x14ac:dyDescent="0.35">
      <c r="S1779" s="47">
        <v>1775</v>
      </c>
      <c r="T1779" s="47" t="s">
        <v>4284</v>
      </c>
      <c r="U1779" s="47" t="s">
        <v>4282</v>
      </c>
      <c r="V1779" s="56">
        <v>5.3125000000000006E-2</v>
      </c>
      <c r="W1779" s="13"/>
      <c r="X1779" s="47">
        <v>1775</v>
      </c>
      <c r="Y1779" s="47" t="s">
        <v>2248</v>
      </c>
      <c r="Z1779" s="47" t="s">
        <v>3322</v>
      </c>
      <c r="AA1779" s="48">
        <v>0.13891999999999999</v>
      </c>
      <c r="AB1779" s="13"/>
      <c r="AC1779" s="47">
        <v>1775</v>
      </c>
      <c r="AD1779" s="47" t="s">
        <v>4573</v>
      </c>
      <c r="AE1779" s="47" t="s">
        <v>4029</v>
      </c>
      <c r="AF1779" s="56">
        <v>14.566532258064518</v>
      </c>
    </row>
    <row r="1780" spans="19:32" x14ac:dyDescent="0.35">
      <c r="S1780" s="34">
        <v>1776</v>
      </c>
      <c r="T1780" s="34" t="s">
        <v>4284</v>
      </c>
      <c r="U1780" s="34" t="s">
        <v>3182</v>
      </c>
      <c r="V1780" s="35">
        <v>0.81915322580645167</v>
      </c>
      <c r="W1780" s="13"/>
      <c r="X1780" s="47">
        <v>1776</v>
      </c>
      <c r="Y1780" s="47" t="s">
        <v>2248</v>
      </c>
      <c r="Z1780" s="47" t="s">
        <v>3321</v>
      </c>
      <c r="AA1780" s="48">
        <v>0.23736000000000002</v>
      </c>
      <c r="AB1780" s="13"/>
      <c r="AC1780" s="34">
        <v>1776</v>
      </c>
      <c r="AD1780" s="34" t="s">
        <v>4573</v>
      </c>
      <c r="AE1780" s="34" t="s">
        <v>4027</v>
      </c>
      <c r="AF1780" s="35">
        <v>620.36290322580646</v>
      </c>
    </row>
    <row r="1781" spans="19:32" x14ac:dyDescent="0.35">
      <c r="S1781" s="47">
        <v>1777</v>
      </c>
      <c r="T1781" s="47" t="s">
        <v>4284</v>
      </c>
      <c r="U1781" s="47" t="s">
        <v>3182</v>
      </c>
      <c r="V1781" s="48">
        <v>0</v>
      </c>
      <c r="W1781" s="13"/>
      <c r="X1781" s="47">
        <v>1777</v>
      </c>
      <c r="Y1781" s="47" t="s">
        <v>2248</v>
      </c>
      <c r="Z1781" s="47" t="s">
        <v>3321</v>
      </c>
      <c r="AA1781" s="48">
        <v>1.7822580645161291E-3</v>
      </c>
      <c r="AB1781" s="13"/>
      <c r="AC1781" s="34">
        <v>1777</v>
      </c>
      <c r="AD1781" s="34" t="s">
        <v>4573</v>
      </c>
      <c r="AE1781" s="34" t="s">
        <v>4025</v>
      </c>
      <c r="AF1781" s="35">
        <v>3.0778225806451613E-3</v>
      </c>
    </row>
    <row r="1782" spans="19:32" x14ac:dyDescent="0.35">
      <c r="S1782" s="47">
        <v>1778</v>
      </c>
      <c r="T1782" s="47" t="s">
        <v>4284</v>
      </c>
      <c r="U1782" s="47" t="s">
        <v>4277</v>
      </c>
      <c r="V1782" s="56">
        <v>2.8995967741935488E-4</v>
      </c>
      <c r="W1782" s="13"/>
      <c r="X1782" s="34">
        <v>1778</v>
      </c>
      <c r="Y1782" s="34" t="s">
        <v>2248</v>
      </c>
      <c r="Z1782" s="34" t="s">
        <v>3640</v>
      </c>
      <c r="AA1782" s="35">
        <v>5.5181451612903226E-3</v>
      </c>
      <c r="AB1782" s="13"/>
      <c r="AC1782" s="34">
        <v>1778</v>
      </c>
      <c r="AD1782" s="34" t="s">
        <v>4573</v>
      </c>
      <c r="AE1782" s="34" t="s">
        <v>4021</v>
      </c>
      <c r="AF1782" s="35">
        <v>0.30195564516129036</v>
      </c>
    </row>
    <row r="1783" spans="19:32" x14ac:dyDescent="0.35">
      <c r="S1783" s="34">
        <v>1779</v>
      </c>
      <c r="T1783" s="34" t="s">
        <v>4284</v>
      </c>
      <c r="U1783" s="34" t="s">
        <v>4274</v>
      </c>
      <c r="V1783" s="35">
        <v>1.144758064516129E-4</v>
      </c>
      <c r="W1783" s="13"/>
      <c r="X1783" s="34">
        <v>1779</v>
      </c>
      <c r="Y1783" s="34" t="s">
        <v>2248</v>
      </c>
      <c r="Z1783" s="34" t="s">
        <v>4623</v>
      </c>
      <c r="AA1783" s="35">
        <v>1.0110887096774195</v>
      </c>
      <c r="AB1783" s="13"/>
      <c r="AC1783" s="34">
        <v>1779</v>
      </c>
      <c r="AD1783" s="34" t="s">
        <v>4573</v>
      </c>
      <c r="AE1783" s="34" t="s">
        <v>4020</v>
      </c>
      <c r="AF1783" s="35">
        <v>2.3854838709677421E-2</v>
      </c>
    </row>
    <row r="1784" spans="19:32" x14ac:dyDescent="0.35">
      <c r="S1784" s="47">
        <v>1780</v>
      </c>
      <c r="T1784" s="47" t="s">
        <v>4284</v>
      </c>
      <c r="U1784" s="47" t="s">
        <v>3180</v>
      </c>
      <c r="V1784" s="48">
        <v>0</v>
      </c>
      <c r="W1784" s="13"/>
      <c r="X1784" s="34">
        <v>1780</v>
      </c>
      <c r="Y1784" s="34" t="s">
        <v>2248</v>
      </c>
      <c r="Z1784" s="34" t="s">
        <v>5280</v>
      </c>
      <c r="AA1784" s="35">
        <v>2.9372983870967745E-5</v>
      </c>
      <c r="AB1784" s="13"/>
      <c r="AC1784" s="47">
        <v>1780</v>
      </c>
      <c r="AD1784" s="47" t="s">
        <v>4573</v>
      </c>
      <c r="AE1784" s="47" t="s">
        <v>3120</v>
      </c>
      <c r="AF1784" s="48">
        <v>0</v>
      </c>
    </row>
    <row r="1785" spans="19:32" x14ac:dyDescent="0.35">
      <c r="S1785" s="47">
        <v>1781</v>
      </c>
      <c r="T1785" s="47" t="s">
        <v>4284</v>
      </c>
      <c r="U1785" s="47" t="s">
        <v>4271</v>
      </c>
      <c r="V1785" s="56">
        <v>9.6310483870967745E-2</v>
      </c>
      <c r="W1785" s="13"/>
      <c r="X1785" s="47">
        <v>1781</v>
      </c>
      <c r="Y1785" s="47" t="s">
        <v>2248</v>
      </c>
      <c r="Z1785" s="47" t="s">
        <v>3320</v>
      </c>
      <c r="AA1785" s="48">
        <v>0</v>
      </c>
      <c r="AB1785" s="13"/>
      <c r="AC1785" s="34">
        <v>1781</v>
      </c>
      <c r="AD1785" s="34" t="s">
        <v>4573</v>
      </c>
      <c r="AE1785" s="34" t="s">
        <v>4019</v>
      </c>
      <c r="AF1785" s="35">
        <v>5.8608870967741943E-2</v>
      </c>
    </row>
    <row r="1786" spans="19:32" x14ac:dyDescent="0.35">
      <c r="S1786" s="47">
        <v>1782</v>
      </c>
      <c r="T1786" s="47" t="s">
        <v>4284</v>
      </c>
      <c r="U1786" s="47" t="s">
        <v>4267</v>
      </c>
      <c r="V1786" s="56">
        <v>3.2183467741935486E-2</v>
      </c>
      <c r="W1786" s="13"/>
      <c r="X1786" s="47">
        <v>1782</v>
      </c>
      <c r="Y1786" s="47" t="s">
        <v>2248</v>
      </c>
      <c r="Z1786" s="47" t="s">
        <v>4622</v>
      </c>
      <c r="AA1786" s="48">
        <v>1.0008064516129032E-2</v>
      </c>
      <c r="AB1786" s="13"/>
      <c r="AC1786" s="47">
        <v>1782</v>
      </c>
      <c r="AD1786" s="47" t="s">
        <v>4573</v>
      </c>
      <c r="AE1786" s="47" t="s">
        <v>3118</v>
      </c>
      <c r="AF1786" s="48">
        <v>0.24380000000000002</v>
      </c>
    </row>
    <row r="1787" spans="19:32" x14ac:dyDescent="0.35">
      <c r="S1787" s="47">
        <v>1783</v>
      </c>
      <c r="T1787" s="47" t="s">
        <v>4284</v>
      </c>
      <c r="U1787" s="47" t="s">
        <v>4264</v>
      </c>
      <c r="V1787" s="56">
        <v>1.264717741935484E-2</v>
      </c>
      <c r="W1787" s="13"/>
      <c r="X1787" s="34">
        <v>1783</v>
      </c>
      <c r="Y1787" s="34" t="s">
        <v>2248</v>
      </c>
      <c r="Z1787" s="34" t="s">
        <v>5279</v>
      </c>
      <c r="AA1787" s="35">
        <v>8.2258064516129038E-3</v>
      </c>
      <c r="AB1787" s="13"/>
      <c r="AC1787" s="34">
        <v>1783</v>
      </c>
      <c r="AD1787" s="34" t="s">
        <v>4573</v>
      </c>
      <c r="AE1787" s="34" t="s">
        <v>4016</v>
      </c>
      <c r="AF1787" s="35">
        <v>2.6391129032258065</v>
      </c>
    </row>
    <row r="1788" spans="19:32" x14ac:dyDescent="0.35">
      <c r="S1788" s="47">
        <v>1784</v>
      </c>
      <c r="T1788" s="47" t="s">
        <v>4284</v>
      </c>
      <c r="U1788" s="47" t="s">
        <v>3179</v>
      </c>
      <c r="V1788" s="48">
        <v>0</v>
      </c>
      <c r="W1788" s="13"/>
      <c r="X1788" s="47">
        <v>1784</v>
      </c>
      <c r="Y1788" s="47" t="s">
        <v>2248</v>
      </c>
      <c r="Z1788" s="47" t="s">
        <v>3319</v>
      </c>
      <c r="AA1788" s="48">
        <v>0.99360000000000004</v>
      </c>
      <c r="AB1788" s="13"/>
      <c r="AC1788" s="34">
        <v>1784</v>
      </c>
      <c r="AD1788" s="34" t="s">
        <v>4573</v>
      </c>
      <c r="AE1788" s="34" t="s">
        <v>4015</v>
      </c>
      <c r="AF1788" s="35">
        <v>5.895161290322581</v>
      </c>
    </row>
    <row r="1789" spans="19:32" x14ac:dyDescent="0.35">
      <c r="S1789" s="47">
        <v>1785</v>
      </c>
      <c r="T1789" s="47" t="s">
        <v>4284</v>
      </c>
      <c r="U1789" s="49" t="s">
        <v>3178</v>
      </c>
      <c r="V1789" s="50">
        <v>2.2816000000000001</v>
      </c>
      <c r="W1789" s="13"/>
      <c r="X1789" s="34">
        <v>1785</v>
      </c>
      <c r="Y1789" s="34" t="s">
        <v>2248</v>
      </c>
      <c r="Z1789" s="34" t="s">
        <v>3319</v>
      </c>
      <c r="AA1789" s="35">
        <v>5.55241935483871</v>
      </c>
      <c r="AB1789" s="13"/>
      <c r="AC1789" s="34">
        <v>1785</v>
      </c>
      <c r="AD1789" s="34" t="s">
        <v>4573</v>
      </c>
      <c r="AE1789" s="34" t="s">
        <v>4012</v>
      </c>
      <c r="AF1789" s="35">
        <v>5.415322580645162E-2</v>
      </c>
    </row>
    <row r="1790" spans="19:32" x14ac:dyDescent="0.35">
      <c r="S1790" s="47">
        <v>1786</v>
      </c>
      <c r="T1790" s="47" t="s">
        <v>4284</v>
      </c>
      <c r="U1790" s="47" t="s">
        <v>4260</v>
      </c>
      <c r="V1790" s="56">
        <v>3.1360887096774197E-3</v>
      </c>
      <c r="W1790" s="13"/>
      <c r="X1790" s="47">
        <v>1786</v>
      </c>
      <c r="Y1790" s="47" t="s">
        <v>2248</v>
      </c>
      <c r="Z1790" s="47" t="s">
        <v>4621</v>
      </c>
      <c r="AA1790" s="48">
        <v>1.9981854838709678</v>
      </c>
      <c r="AB1790" s="13"/>
      <c r="AC1790" s="34">
        <v>1786</v>
      </c>
      <c r="AD1790" s="34" t="s">
        <v>4573</v>
      </c>
      <c r="AE1790" s="34" t="s">
        <v>4009</v>
      </c>
      <c r="AF1790" s="35">
        <v>1.4463709677419357E-2</v>
      </c>
    </row>
    <row r="1791" spans="19:32" x14ac:dyDescent="0.35">
      <c r="S1791" s="34">
        <v>1787</v>
      </c>
      <c r="T1791" s="34" t="s">
        <v>4284</v>
      </c>
      <c r="U1791" s="34" t="s">
        <v>3176</v>
      </c>
      <c r="V1791" s="35">
        <v>8.1915322580645164E-4</v>
      </c>
      <c r="W1791" s="13"/>
      <c r="X1791" s="34">
        <v>1787</v>
      </c>
      <c r="Y1791" s="34" t="s">
        <v>2248</v>
      </c>
      <c r="Z1791" s="34" t="s">
        <v>5278</v>
      </c>
      <c r="AA1791" s="35">
        <v>5.106854838709678E-4</v>
      </c>
      <c r="AB1791" s="13"/>
      <c r="AC1791" s="34">
        <v>1787</v>
      </c>
      <c r="AD1791" s="34" t="s">
        <v>4573</v>
      </c>
      <c r="AE1791" s="34" t="s">
        <v>4006</v>
      </c>
      <c r="AF1791" s="35">
        <v>6.1693548387096779E-2</v>
      </c>
    </row>
    <row r="1792" spans="19:32" x14ac:dyDescent="0.35">
      <c r="S1792" s="47">
        <v>1788</v>
      </c>
      <c r="T1792" s="47" t="s">
        <v>4284</v>
      </c>
      <c r="U1792" s="47" t="s">
        <v>3176</v>
      </c>
      <c r="V1792" s="48">
        <v>3.8363999999999998</v>
      </c>
      <c r="W1792" s="13"/>
      <c r="X1792" s="47">
        <v>1788</v>
      </c>
      <c r="Y1792" s="47" t="s">
        <v>2248</v>
      </c>
      <c r="Z1792" s="47" t="s">
        <v>3318</v>
      </c>
      <c r="AA1792" s="48">
        <v>0</v>
      </c>
      <c r="AB1792" s="13"/>
      <c r="AC1792" s="34">
        <v>1788</v>
      </c>
      <c r="AD1792" s="34" t="s">
        <v>4573</v>
      </c>
      <c r="AE1792" s="34" t="s">
        <v>4004</v>
      </c>
      <c r="AF1792" s="35">
        <v>1.3778225806451614E-2</v>
      </c>
    </row>
    <row r="1793" spans="19:32" x14ac:dyDescent="0.35">
      <c r="S1793" s="47">
        <v>1789</v>
      </c>
      <c r="T1793" s="47" t="s">
        <v>4284</v>
      </c>
      <c r="U1793" s="47" t="s">
        <v>4256</v>
      </c>
      <c r="V1793" s="56">
        <v>2.3786290322580649E-4</v>
      </c>
      <c r="W1793" s="13"/>
      <c r="X1793" s="47">
        <v>1789</v>
      </c>
      <c r="Y1793" s="47" t="s">
        <v>2248</v>
      </c>
      <c r="Z1793" s="47" t="s">
        <v>3318</v>
      </c>
      <c r="AA1793" s="48">
        <v>3.0812500000000002E-3</v>
      </c>
      <c r="AB1793" s="13"/>
      <c r="AC1793" s="34">
        <v>1789</v>
      </c>
      <c r="AD1793" s="34" t="s">
        <v>4573</v>
      </c>
      <c r="AE1793" s="34" t="s">
        <v>3116</v>
      </c>
      <c r="AF1793" s="35">
        <v>7.9173387096774199</v>
      </c>
    </row>
    <row r="1794" spans="19:32" x14ac:dyDescent="0.35">
      <c r="S1794" s="34">
        <v>1790</v>
      </c>
      <c r="T1794" s="34" t="s">
        <v>4284</v>
      </c>
      <c r="U1794" s="34" t="s">
        <v>3175</v>
      </c>
      <c r="V1794" s="35">
        <v>6.5120967741935491E-4</v>
      </c>
      <c r="W1794" s="13"/>
      <c r="X1794" s="47">
        <v>1790</v>
      </c>
      <c r="Y1794" s="47" t="s">
        <v>2248</v>
      </c>
      <c r="Z1794" s="47" t="s">
        <v>4620</v>
      </c>
      <c r="AA1794" s="48">
        <v>8.1229838709677427E-4</v>
      </c>
      <c r="AB1794" s="13"/>
      <c r="AC1794" s="47">
        <v>1790</v>
      </c>
      <c r="AD1794" s="47" t="s">
        <v>4573</v>
      </c>
      <c r="AE1794" s="47" t="s">
        <v>3116</v>
      </c>
      <c r="AF1794" s="48">
        <v>0</v>
      </c>
    </row>
    <row r="1795" spans="19:32" x14ac:dyDescent="0.35">
      <c r="S1795" s="47">
        <v>1791</v>
      </c>
      <c r="T1795" s="47" t="s">
        <v>4284</v>
      </c>
      <c r="U1795" s="47" t="s">
        <v>3175</v>
      </c>
      <c r="V1795" s="48">
        <v>0</v>
      </c>
      <c r="W1795" s="13"/>
      <c r="X1795" s="34">
        <v>1791</v>
      </c>
      <c r="Y1795" s="34" t="s">
        <v>2248</v>
      </c>
      <c r="Z1795" s="34" t="s">
        <v>5277</v>
      </c>
      <c r="AA1795" s="35">
        <v>5.8266129032258064E-5</v>
      </c>
      <c r="AB1795" s="13"/>
      <c r="AC1795" s="34">
        <v>1791</v>
      </c>
      <c r="AD1795" s="34" t="s">
        <v>4573</v>
      </c>
      <c r="AE1795" s="34" t="s">
        <v>4001</v>
      </c>
      <c r="AF1795" s="35">
        <v>22.758064516129036</v>
      </c>
    </row>
    <row r="1796" spans="19:32" x14ac:dyDescent="0.35">
      <c r="S1796" s="47">
        <v>1792</v>
      </c>
      <c r="T1796" s="47" t="s">
        <v>4284</v>
      </c>
      <c r="U1796" s="47" t="s">
        <v>3173</v>
      </c>
      <c r="V1796" s="48">
        <v>0</v>
      </c>
      <c r="W1796" s="13"/>
      <c r="X1796" s="47">
        <v>1792</v>
      </c>
      <c r="Y1796" s="47" t="s">
        <v>2248</v>
      </c>
      <c r="Z1796" s="47" t="s">
        <v>3317</v>
      </c>
      <c r="AA1796" s="48">
        <v>50.14</v>
      </c>
      <c r="AB1796" s="13"/>
      <c r="AC1796" s="34">
        <v>1792</v>
      </c>
      <c r="AD1796" s="34" t="s">
        <v>4573</v>
      </c>
      <c r="AE1796" s="34" t="s">
        <v>4000</v>
      </c>
      <c r="AF1796" s="35">
        <v>44.556451612903231</v>
      </c>
    </row>
    <row r="1797" spans="19:32" x14ac:dyDescent="0.35">
      <c r="S1797" s="47">
        <v>1793</v>
      </c>
      <c r="T1797" s="47" t="s">
        <v>4284</v>
      </c>
      <c r="U1797" s="47" t="s">
        <v>3172</v>
      </c>
      <c r="V1797" s="56">
        <v>5.79233870967742E-2</v>
      </c>
      <c r="W1797" s="13"/>
      <c r="X1797" s="47">
        <v>1793</v>
      </c>
      <c r="Y1797" s="47" t="s">
        <v>2248</v>
      </c>
      <c r="Z1797" s="47" t="s">
        <v>3316</v>
      </c>
      <c r="AA1797" s="48">
        <v>2.944</v>
      </c>
      <c r="AB1797" s="13"/>
      <c r="AC1797" s="34">
        <v>1793</v>
      </c>
      <c r="AD1797" s="34" t="s">
        <v>4573</v>
      </c>
      <c r="AE1797" s="34" t="s">
        <v>3997</v>
      </c>
      <c r="AF1797" s="35">
        <v>1.453225806451613</v>
      </c>
    </row>
    <row r="1798" spans="19:32" x14ac:dyDescent="0.35">
      <c r="S1798" s="47">
        <v>1794</v>
      </c>
      <c r="T1798" s="47" t="s">
        <v>4284</v>
      </c>
      <c r="U1798" s="47" t="s">
        <v>3172</v>
      </c>
      <c r="V1798" s="48">
        <v>0</v>
      </c>
      <c r="W1798" s="13"/>
      <c r="X1798" s="34">
        <v>1794</v>
      </c>
      <c r="Y1798" s="34" t="s">
        <v>2248</v>
      </c>
      <c r="Z1798" s="34" t="s">
        <v>5276</v>
      </c>
      <c r="AA1798" s="35">
        <v>1.1995967741935485E-3</v>
      </c>
      <c r="AB1798" s="13"/>
      <c r="AC1798" s="34">
        <v>1794</v>
      </c>
      <c r="AD1798" s="34" t="s">
        <v>4573</v>
      </c>
      <c r="AE1798" s="34" t="s">
        <v>3996</v>
      </c>
      <c r="AF1798" s="35">
        <v>9.6653225806451619</v>
      </c>
    </row>
    <row r="1799" spans="19:32" x14ac:dyDescent="0.35">
      <c r="S1799" s="34">
        <v>1795</v>
      </c>
      <c r="T1799" s="34" t="s">
        <v>4284</v>
      </c>
      <c r="U1799" s="34" t="s">
        <v>4250</v>
      </c>
      <c r="V1799" s="35">
        <v>9.0826612903225815E-2</v>
      </c>
      <c r="W1799" s="13"/>
      <c r="X1799" s="47">
        <v>1795</v>
      </c>
      <c r="Y1799" s="47" t="s">
        <v>2248</v>
      </c>
      <c r="Z1799" s="47" t="s">
        <v>3315</v>
      </c>
      <c r="AA1799" s="48">
        <v>63.296000000000006</v>
      </c>
      <c r="AB1799" s="13"/>
      <c r="AC1799" s="34">
        <v>1795</v>
      </c>
      <c r="AD1799" s="34" t="s">
        <v>4573</v>
      </c>
      <c r="AE1799" s="34" t="s">
        <v>3993</v>
      </c>
      <c r="AF1799" s="35">
        <v>9.1854838709677425E-6</v>
      </c>
    </row>
    <row r="1800" spans="19:32" x14ac:dyDescent="0.35">
      <c r="S1800" s="47">
        <v>1796</v>
      </c>
      <c r="T1800" s="47" t="s">
        <v>4284</v>
      </c>
      <c r="U1800" s="47" t="s">
        <v>3170</v>
      </c>
      <c r="V1800" s="56">
        <v>2.3272177419354843E-3</v>
      </c>
      <c r="W1800" s="13"/>
      <c r="X1800" s="47">
        <v>1796</v>
      </c>
      <c r="Y1800" s="47" t="s">
        <v>2248</v>
      </c>
      <c r="Z1800" s="47" t="s">
        <v>3313</v>
      </c>
      <c r="AA1800" s="48">
        <v>47.012</v>
      </c>
      <c r="AB1800" s="13"/>
      <c r="AC1800" s="34">
        <v>1796</v>
      </c>
      <c r="AD1800" s="34" t="s">
        <v>4573</v>
      </c>
      <c r="AE1800" s="34" t="s">
        <v>3115</v>
      </c>
      <c r="AF1800" s="35">
        <v>2.056451612903226</v>
      </c>
    </row>
    <row r="1801" spans="19:32" x14ac:dyDescent="0.35">
      <c r="S1801" s="47">
        <v>1797</v>
      </c>
      <c r="T1801" s="47" t="s">
        <v>4284</v>
      </c>
      <c r="U1801" s="47" t="s">
        <v>3170</v>
      </c>
      <c r="V1801" s="48">
        <v>5023.2</v>
      </c>
      <c r="W1801" s="13"/>
      <c r="X1801" s="34">
        <v>1797</v>
      </c>
      <c r="Y1801" s="34" t="s">
        <v>2248</v>
      </c>
      <c r="Z1801" s="34" t="s">
        <v>5275</v>
      </c>
      <c r="AA1801" s="35">
        <v>4.1814516129032257E-5</v>
      </c>
      <c r="AB1801" s="13"/>
      <c r="AC1801" s="47">
        <v>1797</v>
      </c>
      <c r="AD1801" s="47" t="s">
        <v>4573</v>
      </c>
      <c r="AE1801" s="47" t="s">
        <v>3115</v>
      </c>
      <c r="AF1801" s="48">
        <v>0</v>
      </c>
    </row>
    <row r="1802" spans="19:32" x14ac:dyDescent="0.35">
      <c r="S1802" s="47">
        <v>1798</v>
      </c>
      <c r="T1802" s="47" t="s">
        <v>4284</v>
      </c>
      <c r="U1802" s="47" t="s">
        <v>3169</v>
      </c>
      <c r="V1802" s="48">
        <v>3.9283999999999999E-2</v>
      </c>
      <c r="W1802" s="13"/>
      <c r="X1802" s="47">
        <v>1798</v>
      </c>
      <c r="Y1802" s="47" t="s">
        <v>2248</v>
      </c>
      <c r="Z1802" s="47" t="s">
        <v>3312</v>
      </c>
      <c r="AA1802" s="48">
        <v>3.5235999999999996E-2</v>
      </c>
      <c r="AB1802" s="13"/>
      <c r="AC1802" s="47">
        <v>1798</v>
      </c>
      <c r="AD1802" s="47" t="s">
        <v>4573</v>
      </c>
      <c r="AE1802" s="47" t="s">
        <v>3113</v>
      </c>
      <c r="AF1802" s="48">
        <v>4.2228000000000003</v>
      </c>
    </row>
    <row r="1803" spans="19:32" x14ac:dyDescent="0.35">
      <c r="S1803" s="47">
        <v>1799</v>
      </c>
      <c r="T1803" s="47" t="s">
        <v>4284</v>
      </c>
      <c r="U1803" s="47" t="s">
        <v>4248</v>
      </c>
      <c r="V1803" s="56">
        <v>4.1129032258064517E-4</v>
      </c>
      <c r="W1803" s="13"/>
      <c r="X1803" s="47">
        <v>1799</v>
      </c>
      <c r="Y1803" s="47" t="s">
        <v>2248</v>
      </c>
      <c r="Z1803" s="47" t="s">
        <v>4619</v>
      </c>
      <c r="AA1803" s="48">
        <v>3.0469758064516132E-2</v>
      </c>
      <c r="AB1803" s="13"/>
      <c r="AC1803" s="34">
        <v>1799</v>
      </c>
      <c r="AD1803" s="34" t="s">
        <v>4573</v>
      </c>
      <c r="AE1803" s="34" t="s">
        <v>3112</v>
      </c>
      <c r="AF1803" s="35">
        <v>9.9052419354838713E-3</v>
      </c>
    </row>
    <row r="1804" spans="19:32" x14ac:dyDescent="0.35">
      <c r="S1804" s="47">
        <v>1800</v>
      </c>
      <c r="T1804" s="47" t="s">
        <v>4284</v>
      </c>
      <c r="U1804" s="47" t="s">
        <v>4245</v>
      </c>
      <c r="V1804" s="56">
        <v>987.09677419354841</v>
      </c>
      <c r="W1804" s="13"/>
      <c r="X1804" s="34">
        <v>1800</v>
      </c>
      <c r="Y1804" s="34" t="s">
        <v>2248</v>
      </c>
      <c r="Z1804" s="34" t="s">
        <v>4618</v>
      </c>
      <c r="AA1804" s="35">
        <v>8.3286290322580651E-6</v>
      </c>
      <c r="AB1804" s="13"/>
      <c r="AC1804" s="47">
        <v>1800</v>
      </c>
      <c r="AD1804" s="47" t="s">
        <v>4573</v>
      </c>
      <c r="AE1804" s="47" t="s">
        <v>3112</v>
      </c>
      <c r="AF1804" s="48">
        <v>0.38179999999999997</v>
      </c>
    </row>
    <row r="1805" spans="19:32" x14ac:dyDescent="0.35">
      <c r="S1805" s="47">
        <v>1801</v>
      </c>
      <c r="T1805" s="47" t="s">
        <v>4284</v>
      </c>
      <c r="U1805" s="47" t="s">
        <v>3167</v>
      </c>
      <c r="V1805" s="48">
        <v>0</v>
      </c>
      <c r="W1805" s="13"/>
      <c r="X1805" s="34">
        <v>1801</v>
      </c>
      <c r="Y1805" s="34" t="s">
        <v>2248</v>
      </c>
      <c r="Z1805" s="34" t="s">
        <v>5274</v>
      </c>
      <c r="AA1805" s="35">
        <v>7.1290322580645169E-5</v>
      </c>
      <c r="AB1805" s="13"/>
      <c r="AC1805" s="47">
        <v>1801</v>
      </c>
      <c r="AD1805" s="47" t="s">
        <v>4573</v>
      </c>
      <c r="AE1805" s="47" t="s">
        <v>3111</v>
      </c>
      <c r="AF1805" s="48">
        <v>0</v>
      </c>
    </row>
    <row r="1806" spans="19:32" x14ac:dyDescent="0.35">
      <c r="S1806" s="47">
        <v>1802</v>
      </c>
      <c r="T1806" s="47" t="s">
        <v>4284</v>
      </c>
      <c r="U1806" s="47" t="s">
        <v>4243</v>
      </c>
      <c r="V1806" s="56">
        <v>8.911290322580645E-3</v>
      </c>
      <c r="W1806" s="13"/>
      <c r="X1806" s="47">
        <v>1802</v>
      </c>
      <c r="Y1806" s="47" t="s">
        <v>2248</v>
      </c>
      <c r="Z1806" s="47" t="s">
        <v>3310</v>
      </c>
      <c r="AA1806" s="48">
        <v>1.1868E-2</v>
      </c>
      <c r="AB1806" s="13"/>
      <c r="AC1806" s="47">
        <v>1802</v>
      </c>
      <c r="AD1806" s="47" t="s">
        <v>4573</v>
      </c>
      <c r="AE1806" s="47" t="s">
        <v>3110</v>
      </c>
      <c r="AF1806" s="48">
        <v>0</v>
      </c>
    </row>
    <row r="1807" spans="19:32" x14ac:dyDescent="0.35">
      <c r="S1807" s="34">
        <v>1803</v>
      </c>
      <c r="T1807" s="34" t="s">
        <v>4284</v>
      </c>
      <c r="U1807" s="34" t="s">
        <v>4241</v>
      </c>
      <c r="V1807" s="35">
        <v>6.7862903225806459E-2</v>
      </c>
      <c r="W1807" s="13"/>
      <c r="X1807" s="47">
        <v>1803</v>
      </c>
      <c r="Y1807" s="47" t="s">
        <v>2248</v>
      </c>
      <c r="Z1807" s="47" t="s">
        <v>4617</v>
      </c>
      <c r="AA1807" s="48">
        <v>0.10830645161290324</v>
      </c>
      <c r="AB1807" s="13"/>
      <c r="AC1807" s="34">
        <v>1803</v>
      </c>
      <c r="AD1807" s="34" t="s">
        <v>4573</v>
      </c>
      <c r="AE1807" s="34" t="s">
        <v>3987</v>
      </c>
      <c r="AF1807" s="35">
        <v>27.145161290322584</v>
      </c>
    </row>
    <row r="1808" spans="19:32" x14ac:dyDescent="0.35">
      <c r="S1808" s="47">
        <v>1804</v>
      </c>
      <c r="T1808" s="47" t="s">
        <v>4284</v>
      </c>
      <c r="U1808" s="47" t="s">
        <v>4237</v>
      </c>
      <c r="V1808" s="56">
        <v>3.5645161290322587E-4</v>
      </c>
      <c r="W1808" s="13"/>
      <c r="X1808" s="34">
        <v>1804</v>
      </c>
      <c r="Y1808" s="34" t="s">
        <v>2248</v>
      </c>
      <c r="Z1808" s="34" t="s">
        <v>5273</v>
      </c>
      <c r="AA1808" s="35">
        <v>1.3881048387096775E-3</v>
      </c>
      <c r="AB1808" s="13"/>
      <c r="AC1808" s="34">
        <v>1804</v>
      </c>
      <c r="AD1808" s="34" t="s">
        <v>4573</v>
      </c>
      <c r="AE1808" s="34" t="s">
        <v>3984</v>
      </c>
      <c r="AF1808" s="35">
        <v>1.2784274193548388</v>
      </c>
    </row>
    <row r="1809" spans="19:32" x14ac:dyDescent="0.35">
      <c r="S1809" s="34">
        <v>1805</v>
      </c>
      <c r="T1809" s="34" t="s">
        <v>4284</v>
      </c>
      <c r="U1809" s="34" t="s">
        <v>4235</v>
      </c>
      <c r="V1809" s="35">
        <v>8.5342741935483875E-4</v>
      </c>
      <c r="W1809" s="13"/>
      <c r="X1809" s="34">
        <v>1805</v>
      </c>
      <c r="Y1809" s="34" t="s">
        <v>2248</v>
      </c>
      <c r="Z1809" s="34" t="s">
        <v>4616</v>
      </c>
      <c r="AA1809" s="35">
        <v>5.929435483870968E-6</v>
      </c>
      <c r="AB1809" s="13"/>
      <c r="AC1809" s="34">
        <v>1805</v>
      </c>
      <c r="AD1809" s="34" t="s">
        <v>4573</v>
      </c>
      <c r="AE1809" s="34" t="s">
        <v>3983</v>
      </c>
      <c r="AF1809" s="35">
        <v>1.4120967741935485E-2</v>
      </c>
    </row>
    <row r="1810" spans="19:32" x14ac:dyDescent="0.35">
      <c r="S1810" s="47">
        <v>1806</v>
      </c>
      <c r="T1810" s="47" t="s">
        <v>4284</v>
      </c>
      <c r="U1810" s="47" t="s">
        <v>4232</v>
      </c>
      <c r="V1810" s="56">
        <v>1.5629032258064519E-2</v>
      </c>
      <c r="W1810" s="13"/>
      <c r="X1810" s="47">
        <v>1806</v>
      </c>
      <c r="Y1810" s="47" t="s">
        <v>2248</v>
      </c>
      <c r="Z1810" s="47" t="s">
        <v>3309</v>
      </c>
      <c r="AA1810" s="48">
        <v>0</v>
      </c>
      <c r="AB1810" s="13"/>
      <c r="AC1810" s="34">
        <v>1806</v>
      </c>
      <c r="AD1810" s="34" t="s">
        <v>4573</v>
      </c>
      <c r="AE1810" s="34" t="s">
        <v>3982</v>
      </c>
      <c r="AF1810" s="35">
        <v>2.296370967741936E-5</v>
      </c>
    </row>
    <row r="1811" spans="19:32" x14ac:dyDescent="0.35">
      <c r="S1811" s="34">
        <v>1807</v>
      </c>
      <c r="T1811" s="34" t="s">
        <v>4284</v>
      </c>
      <c r="U1811" s="34" t="s">
        <v>4229</v>
      </c>
      <c r="V1811" s="35">
        <v>1.5012096774193549E-3</v>
      </c>
      <c r="W1811" s="13"/>
      <c r="X1811" s="47">
        <v>1807</v>
      </c>
      <c r="Y1811" s="47" t="s">
        <v>2248</v>
      </c>
      <c r="Z1811" s="47" t="s">
        <v>4615</v>
      </c>
      <c r="AA1811" s="48">
        <v>2.268951612903226E-2</v>
      </c>
      <c r="AB1811" s="13"/>
      <c r="AC1811" s="34">
        <v>1807</v>
      </c>
      <c r="AD1811" s="34" t="s">
        <v>4573</v>
      </c>
      <c r="AE1811" s="34" t="s">
        <v>3979</v>
      </c>
      <c r="AF1811" s="35">
        <v>5.5866935483870967E-5</v>
      </c>
    </row>
    <row r="1812" spans="19:32" x14ac:dyDescent="0.35">
      <c r="S1812" s="47">
        <v>1808</v>
      </c>
      <c r="T1812" s="47" t="s">
        <v>4284</v>
      </c>
      <c r="U1812" s="47" t="s">
        <v>4228</v>
      </c>
      <c r="V1812" s="56">
        <v>2.68366935483871E-4</v>
      </c>
      <c r="W1812" s="13"/>
      <c r="X1812" s="34">
        <v>1808</v>
      </c>
      <c r="Y1812" s="34" t="s">
        <v>2248</v>
      </c>
      <c r="Z1812" s="34" t="s">
        <v>5272</v>
      </c>
      <c r="AA1812" s="35">
        <v>2.2963709677419357E-4</v>
      </c>
      <c r="AB1812" s="13"/>
      <c r="AC1812" s="34">
        <v>1808</v>
      </c>
      <c r="AD1812" s="34" t="s">
        <v>4573</v>
      </c>
      <c r="AE1812" s="34" t="s">
        <v>3978</v>
      </c>
      <c r="AF1812" s="35">
        <v>0.12921370967741935</v>
      </c>
    </row>
    <row r="1813" spans="19:32" x14ac:dyDescent="0.35">
      <c r="S1813" s="47">
        <v>1809</v>
      </c>
      <c r="T1813" s="47" t="s">
        <v>4284</v>
      </c>
      <c r="U1813" s="47" t="s">
        <v>3165</v>
      </c>
      <c r="V1813" s="48">
        <v>0</v>
      </c>
      <c r="W1813" s="13"/>
      <c r="X1813" s="34">
        <v>1809</v>
      </c>
      <c r="Y1813" s="34" t="s">
        <v>2248</v>
      </c>
      <c r="Z1813" s="34" t="s">
        <v>4614</v>
      </c>
      <c r="AA1813" s="35">
        <v>1.6245967741935485E-2</v>
      </c>
      <c r="AB1813" s="13"/>
      <c r="AC1813" s="34">
        <v>1809</v>
      </c>
      <c r="AD1813" s="34" t="s">
        <v>4573</v>
      </c>
      <c r="AE1813" s="34" t="s">
        <v>3977</v>
      </c>
      <c r="AF1813" s="35">
        <v>5.4153225806451619E-6</v>
      </c>
    </row>
    <row r="1814" spans="19:32" x14ac:dyDescent="0.35">
      <c r="S1814" s="47">
        <v>1810</v>
      </c>
      <c r="T1814" s="47" t="s">
        <v>4284</v>
      </c>
      <c r="U1814" s="47" t="s">
        <v>4227</v>
      </c>
      <c r="V1814" s="56">
        <v>3.2903225806451615E-6</v>
      </c>
      <c r="W1814" s="13"/>
      <c r="X1814" s="47">
        <v>1810</v>
      </c>
      <c r="Y1814" s="47" t="s">
        <v>2248</v>
      </c>
      <c r="Z1814" s="47" t="s">
        <v>4613</v>
      </c>
      <c r="AA1814" s="48">
        <v>8.3286290322580651E-4</v>
      </c>
      <c r="AB1814" s="13"/>
      <c r="AC1814" s="34">
        <v>1810</v>
      </c>
      <c r="AD1814" s="34" t="s">
        <v>4573</v>
      </c>
      <c r="AE1814" s="34" t="s">
        <v>3974</v>
      </c>
      <c r="AF1814" s="35">
        <v>2.0393145161290323E-2</v>
      </c>
    </row>
    <row r="1815" spans="19:32" x14ac:dyDescent="0.35">
      <c r="S1815" s="47">
        <v>1811</v>
      </c>
      <c r="T1815" s="47" t="s">
        <v>4284</v>
      </c>
      <c r="U1815" s="47" t="s">
        <v>4225</v>
      </c>
      <c r="V1815" s="56">
        <v>1.4909274193548387E-6</v>
      </c>
      <c r="W1815" s="13"/>
      <c r="X1815" s="34">
        <v>1811</v>
      </c>
      <c r="Y1815" s="34" t="s">
        <v>2248</v>
      </c>
      <c r="Z1815" s="34" t="s">
        <v>5271</v>
      </c>
      <c r="AA1815" s="35">
        <v>2.6254032258064521E-4</v>
      </c>
      <c r="AB1815" s="13"/>
      <c r="AC1815" s="34">
        <v>1811</v>
      </c>
      <c r="AD1815" s="34" t="s">
        <v>4573</v>
      </c>
      <c r="AE1815" s="34" t="s">
        <v>3972</v>
      </c>
      <c r="AF1815" s="35">
        <v>1.7651209677419358E-2</v>
      </c>
    </row>
    <row r="1816" spans="19:32" x14ac:dyDescent="0.35">
      <c r="S1816" s="47">
        <v>1812</v>
      </c>
      <c r="T1816" s="47" t="s">
        <v>4284</v>
      </c>
      <c r="U1816" s="47" t="s">
        <v>4222</v>
      </c>
      <c r="V1816" s="56">
        <v>2.5157258064516133E-3</v>
      </c>
      <c r="W1816" s="13"/>
      <c r="X1816" s="47">
        <v>1812</v>
      </c>
      <c r="Y1816" s="47" t="s">
        <v>2248</v>
      </c>
      <c r="Z1816" s="47" t="s">
        <v>4612</v>
      </c>
      <c r="AA1816" s="48">
        <v>5.6209677419354835E-4</v>
      </c>
      <c r="AB1816" s="13"/>
      <c r="AC1816" s="34">
        <v>1812</v>
      </c>
      <c r="AD1816" s="34" t="s">
        <v>4573</v>
      </c>
      <c r="AE1816" s="34" t="s">
        <v>3970</v>
      </c>
      <c r="AF1816" s="35">
        <v>5.5181451612903235E-6</v>
      </c>
    </row>
    <row r="1817" spans="19:32" x14ac:dyDescent="0.35">
      <c r="S1817" s="34">
        <v>1813</v>
      </c>
      <c r="T1817" s="34" t="s">
        <v>4284</v>
      </c>
      <c r="U1817" s="34" t="s">
        <v>4220</v>
      </c>
      <c r="V1817" s="35">
        <v>6.6834677419354838E-2</v>
      </c>
      <c r="W1817" s="13"/>
      <c r="X1817" s="47">
        <v>1813</v>
      </c>
      <c r="Y1817" s="47" t="s">
        <v>2248</v>
      </c>
      <c r="Z1817" s="47" t="s">
        <v>4611</v>
      </c>
      <c r="AA1817" s="48">
        <v>1.2887096774193551E-3</v>
      </c>
      <c r="AB1817" s="13"/>
      <c r="AC1817" s="34">
        <v>1813</v>
      </c>
      <c r="AD1817" s="34" t="s">
        <v>4573</v>
      </c>
      <c r="AE1817" s="34" t="s">
        <v>3967</v>
      </c>
      <c r="AF1817" s="35">
        <v>0.12304435483870969</v>
      </c>
    </row>
    <row r="1818" spans="19:32" x14ac:dyDescent="0.35">
      <c r="S1818" s="47">
        <v>1814</v>
      </c>
      <c r="T1818" s="47" t="s">
        <v>4284</v>
      </c>
      <c r="U1818" s="47" t="s">
        <v>4219</v>
      </c>
      <c r="V1818" s="56">
        <v>6.6834677419354846E-3</v>
      </c>
      <c r="W1818" s="13"/>
      <c r="X1818" s="34">
        <v>1814</v>
      </c>
      <c r="Y1818" s="34" t="s">
        <v>2248</v>
      </c>
      <c r="Z1818" s="34" t="s">
        <v>5270</v>
      </c>
      <c r="AA1818" s="35">
        <v>4.4556451612903227E-4</v>
      </c>
      <c r="AB1818" s="13"/>
      <c r="AC1818" s="34">
        <v>1814</v>
      </c>
      <c r="AD1818" s="34" t="s">
        <v>4573</v>
      </c>
      <c r="AE1818" s="34" t="s">
        <v>3966</v>
      </c>
      <c r="AF1818" s="35">
        <v>0.10350806451612904</v>
      </c>
    </row>
    <row r="1819" spans="19:32" x14ac:dyDescent="0.35">
      <c r="S1819" s="34">
        <v>1815</v>
      </c>
      <c r="T1819" s="34" t="s">
        <v>4284</v>
      </c>
      <c r="U1819" s="34" t="s">
        <v>4216</v>
      </c>
      <c r="V1819" s="35">
        <v>1.2338709677419356E-4</v>
      </c>
      <c r="W1819" s="13"/>
      <c r="X1819" s="47">
        <v>1815</v>
      </c>
      <c r="Y1819" s="47" t="s">
        <v>2248</v>
      </c>
      <c r="Z1819" s="47" t="s">
        <v>3307</v>
      </c>
      <c r="AA1819" s="48">
        <v>0</v>
      </c>
      <c r="AB1819" s="13"/>
      <c r="AC1819" s="34">
        <v>1815</v>
      </c>
      <c r="AD1819" s="34" t="s">
        <v>4573</v>
      </c>
      <c r="AE1819" s="34" t="s">
        <v>3965</v>
      </c>
      <c r="AF1819" s="35">
        <v>3.5987903225806454E-8</v>
      </c>
    </row>
    <row r="1820" spans="19:32" x14ac:dyDescent="0.35">
      <c r="S1820" s="47">
        <v>1816</v>
      </c>
      <c r="T1820" s="47" t="s">
        <v>4284</v>
      </c>
      <c r="U1820" s="47" t="s">
        <v>4215</v>
      </c>
      <c r="V1820" s="56">
        <v>4.3528225806451618E-2</v>
      </c>
      <c r="W1820" s="13"/>
      <c r="X1820" s="47">
        <v>1816</v>
      </c>
      <c r="Y1820" s="47" t="s">
        <v>2248</v>
      </c>
      <c r="Z1820" s="47" t="s">
        <v>3306</v>
      </c>
      <c r="AA1820" s="48">
        <v>0</v>
      </c>
      <c r="AB1820" s="13"/>
      <c r="AC1820" s="34">
        <v>1816</v>
      </c>
      <c r="AD1820" s="34" t="s">
        <v>4573</v>
      </c>
      <c r="AE1820" s="34" t="s">
        <v>3964</v>
      </c>
      <c r="AF1820" s="35">
        <v>0.99052419354838717</v>
      </c>
    </row>
    <row r="1821" spans="19:32" x14ac:dyDescent="0.35">
      <c r="S1821" s="34">
        <v>1817</v>
      </c>
      <c r="T1821" s="34" t="s">
        <v>4284</v>
      </c>
      <c r="U1821" s="34" t="s">
        <v>3164</v>
      </c>
      <c r="V1821" s="35">
        <v>0.58608870967741944</v>
      </c>
      <c r="W1821" s="13"/>
      <c r="X1821" s="47">
        <v>1817</v>
      </c>
      <c r="Y1821" s="47" t="s">
        <v>2248</v>
      </c>
      <c r="Z1821" s="47" t="s">
        <v>3305</v>
      </c>
      <c r="AA1821" s="48">
        <v>0</v>
      </c>
      <c r="AB1821" s="13"/>
      <c r="AC1821" s="34">
        <v>1817</v>
      </c>
      <c r="AD1821" s="34" t="s">
        <v>4573</v>
      </c>
      <c r="AE1821" s="34" t="s">
        <v>3963</v>
      </c>
      <c r="AF1821" s="35">
        <v>0.59637096774193554</v>
      </c>
    </row>
    <row r="1822" spans="19:32" x14ac:dyDescent="0.35">
      <c r="S1822" s="47">
        <v>1818</v>
      </c>
      <c r="T1822" s="47" t="s">
        <v>4284</v>
      </c>
      <c r="U1822" s="47" t="s">
        <v>3164</v>
      </c>
      <c r="V1822" s="48">
        <v>0</v>
      </c>
      <c r="W1822" s="13"/>
      <c r="X1822" s="34">
        <v>1818</v>
      </c>
      <c r="Y1822" s="34" t="s">
        <v>2248</v>
      </c>
      <c r="Z1822" s="34" t="s">
        <v>5269</v>
      </c>
      <c r="AA1822" s="35">
        <v>1.0796370967741937E-3</v>
      </c>
      <c r="AB1822" s="13"/>
      <c r="AC1822" s="34">
        <v>1818</v>
      </c>
      <c r="AD1822" s="34" t="s">
        <v>4573</v>
      </c>
      <c r="AE1822" s="34" t="s">
        <v>3108</v>
      </c>
      <c r="AF1822" s="35">
        <v>0.58266129032258074</v>
      </c>
    </row>
    <row r="1823" spans="19:32" x14ac:dyDescent="0.35">
      <c r="S1823" s="47">
        <v>1819</v>
      </c>
      <c r="T1823" s="47" t="s">
        <v>4284</v>
      </c>
      <c r="U1823" s="47" t="s">
        <v>4211</v>
      </c>
      <c r="V1823" s="56">
        <v>8.431451612903226E-3</v>
      </c>
      <c r="W1823" s="13"/>
      <c r="X1823" s="47">
        <v>1819</v>
      </c>
      <c r="Y1823" s="47" t="s">
        <v>2248</v>
      </c>
      <c r="Z1823" s="47" t="s">
        <v>3303</v>
      </c>
      <c r="AA1823" s="48">
        <v>0</v>
      </c>
      <c r="AB1823" s="13"/>
      <c r="AC1823" s="47">
        <v>1819</v>
      </c>
      <c r="AD1823" s="47" t="s">
        <v>4573</v>
      </c>
      <c r="AE1823" s="47" t="s">
        <v>3108</v>
      </c>
      <c r="AF1823" s="48">
        <v>0</v>
      </c>
    </row>
    <row r="1824" spans="19:32" x14ac:dyDescent="0.35">
      <c r="S1824" s="47">
        <v>1820</v>
      </c>
      <c r="T1824" s="47" t="s">
        <v>4284</v>
      </c>
      <c r="U1824" s="47" t="s">
        <v>3162</v>
      </c>
      <c r="V1824" s="56">
        <v>4.4556451612903227E-4</v>
      </c>
      <c r="W1824" s="13"/>
      <c r="X1824" s="47">
        <v>1820</v>
      </c>
      <c r="Y1824" s="47" t="s">
        <v>2248</v>
      </c>
      <c r="Z1824" s="47" t="s">
        <v>3302</v>
      </c>
      <c r="AA1824" s="48">
        <v>0</v>
      </c>
      <c r="AB1824" s="13"/>
      <c r="AC1824" s="34">
        <v>1820</v>
      </c>
      <c r="AD1824" s="34" t="s">
        <v>4573</v>
      </c>
      <c r="AE1824" s="34" t="s">
        <v>3107</v>
      </c>
      <c r="AF1824" s="35">
        <v>1.607459677419355</v>
      </c>
    </row>
    <row r="1825" spans="19:32" x14ac:dyDescent="0.35">
      <c r="S1825" s="47">
        <v>1821</v>
      </c>
      <c r="T1825" s="47" t="s">
        <v>4284</v>
      </c>
      <c r="U1825" s="47" t="s">
        <v>3162</v>
      </c>
      <c r="V1825" s="48">
        <v>0</v>
      </c>
      <c r="W1825" s="13"/>
      <c r="X1825" s="34">
        <v>1821</v>
      </c>
      <c r="Y1825" s="34" t="s">
        <v>2248</v>
      </c>
      <c r="Z1825" s="34" t="s">
        <v>3633</v>
      </c>
      <c r="AA1825" s="35">
        <v>9.3225806451612908E-2</v>
      </c>
      <c r="AB1825" s="13"/>
      <c r="AC1825" s="47">
        <v>1821</v>
      </c>
      <c r="AD1825" s="47" t="s">
        <v>4573</v>
      </c>
      <c r="AE1825" s="47" t="s">
        <v>3107</v>
      </c>
      <c r="AF1825" s="48">
        <v>0</v>
      </c>
    </row>
    <row r="1826" spans="19:32" x14ac:dyDescent="0.35">
      <c r="S1826" s="47">
        <v>1822</v>
      </c>
      <c r="T1826" s="47" t="s">
        <v>4284</v>
      </c>
      <c r="U1826" s="47" t="s">
        <v>3161</v>
      </c>
      <c r="V1826" s="56">
        <v>0.46955645161290327</v>
      </c>
      <c r="W1826" s="13"/>
      <c r="X1826" s="47">
        <v>1822</v>
      </c>
      <c r="Y1826" s="47" t="s">
        <v>2248</v>
      </c>
      <c r="Z1826" s="47" t="s">
        <v>3300</v>
      </c>
      <c r="AA1826" s="48">
        <v>0</v>
      </c>
      <c r="AB1826" s="13"/>
      <c r="AC1826" s="47">
        <v>1822</v>
      </c>
      <c r="AD1826" s="47" t="s">
        <v>4573</v>
      </c>
      <c r="AE1826" s="47" t="s">
        <v>3105</v>
      </c>
      <c r="AF1826" s="48">
        <v>0.16008</v>
      </c>
    </row>
    <row r="1827" spans="19:32" x14ac:dyDescent="0.35">
      <c r="S1827" s="47">
        <v>1823</v>
      </c>
      <c r="T1827" s="47" t="s">
        <v>4284</v>
      </c>
      <c r="U1827" s="47" t="s">
        <v>3161</v>
      </c>
      <c r="V1827" s="48">
        <v>1.5548</v>
      </c>
      <c r="W1827" s="13"/>
      <c r="X1827" s="47">
        <v>1823</v>
      </c>
      <c r="Y1827" s="47" t="s">
        <v>2248</v>
      </c>
      <c r="Z1827" s="47" t="s">
        <v>3300</v>
      </c>
      <c r="AA1827" s="48">
        <v>8.3971774193548389E-4</v>
      </c>
      <c r="AB1827" s="13"/>
      <c r="AC1827" s="47">
        <v>1823</v>
      </c>
      <c r="AD1827" s="47" t="s">
        <v>4573</v>
      </c>
      <c r="AE1827" s="47" t="s">
        <v>3103</v>
      </c>
      <c r="AF1827" s="48">
        <v>0</v>
      </c>
    </row>
    <row r="1828" spans="19:32" x14ac:dyDescent="0.35">
      <c r="S1828" s="47">
        <v>1824</v>
      </c>
      <c r="T1828" s="47" t="s">
        <v>4284</v>
      </c>
      <c r="U1828" s="47" t="s">
        <v>3159</v>
      </c>
      <c r="V1828" s="56">
        <v>1.0145161290322582E-3</v>
      </c>
      <c r="W1828" s="13"/>
      <c r="X1828" s="34">
        <v>1824</v>
      </c>
      <c r="Y1828" s="34" t="s">
        <v>2248</v>
      </c>
      <c r="Z1828" s="34" t="s">
        <v>5268</v>
      </c>
      <c r="AA1828" s="35">
        <v>5.106854838709678E-4</v>
      </c>
      <c r="AB1828" s="13"/>
      <c r="AC1828" s="34">
        <v>1824</v>
      </c>
      <c r="AD1828" s="34" t="s">
        <v>4573</v>
      </c>
      <c r="AE1828" s="34" t="s">
        <v>3962</v>
      </c>
      <c r="AF1828" s="35">
        <v>0.48669354838709683</v>
      </c>
    </row>
    <row r="1829" spans="19:32" x14ac:dyDescent="0.35">
      <c r="S1829" s="47">
        <v>1825</v>
      </c>
      <c r="T1829" s="47" t="s">
        <v>4284</v>
      </c>
      <c r="U1829" s="47" t="s">
        <v>3159</v>
      </c>
      <c r="V1829" s="48">
        <v>0</v>
      </c>
      <c r="W1829" s="13"/>
      <c r="X1829" s="34">
        <v>1825</v>
      </c>
      <c r="Y1829" s="34" t="s">
        <v>2248</v>
      </c>
      <c r="Z1829" s="34" t="s">
        <v>4609</v>
      </c>
      <c r="AA1829" s="35">
        <v>3.1566532258064521E-4</v>
      </c>
      <c r="AB1829" s="13"/>
      <c r="AC1829" s="34">
        <v>1825</v>
      </c>
      <c r="AD1829" s="34" t="s">
        <v>4573</v>
      </c>
      <c r="AE1829" s="34" t="s">
        <v>3961</v>
      </c>
      <c r="AF1829" s="35">
        <v>2.1627016129032259E-3</v>
      </c>
    </row>
    <row r="1830" spans="19:32" x14ac:dyDescent="0.35">
      <c r="S1830" s="34">
        <v>1826</v>
      </c>
      <c r="T1830" s="34" t="s">
        <v>4284</v>
      </c>
      <c r="U1830" s="34" t="s">
        <v>4209</v>
      </c>
      <c r="V1830" s="35">
        <v>4.181451612903226E-2</v>
      </c>
      <c r="W1830" s="13"/>
      <c r="X1830" s="47">
        <v>1826</v>
      </c>
      <c r="Y1830" s="47" t="s">
        <v>2248</v>
      </c>
      <c r="Z1830" s="47" t="s">
        <v>4606</v>
      </c>
      <c r="AA1830" s="48">
        <v>1.1241935483870969E-2</v>
      </c>
      <c r="AB1830" s="13"/>
      <c r="AC1830" s="34">
        <v>1826</v>
      </c>
      <c r="AD1830" s="34" t="s">
        <v>4573</v>
      </c>
      <c r="AE1830" s="34" t="s">
        <v>3960</v>
      </c>
      <c r="AF1830" s="35">
        <v>2.2895161290322581E-3</v>
      </c>
    </row>
    <row r="1831" spans="19:32" x14ac:dyDescent="0.35">
      <c r="S1831" s="47">
        <v>1827</v>
      </c>
      <c r="T1831" s="47" t="s">
        <v>4284</v>
      </c>
      <c r="U1831" s="47" t="s">
        <v>3158</v>
      </c>
      <c r="V1831" s="56">
        <v>0.47298387096774197</v>
      </c>
      <c r="W1831" s="13"/>
      <c r="X1831" s="47">
        <v>1827</v>
      </c>
      <c r="Y1831" s="47" t="s">
        <v>2248</v>
      </c>
      <c r="Z1831" s="47" t="s">
        <v>3299</v>
      </c>
      <c r="AA1831" s="48">
        <v>4.1124000000000001E-2</v>
      </c>
      <c r="AB1831" s="13"/>
      <c r="AC1831" s="47">
        <v>1827</v>
      </c>
      <c r="AD1831" s="47" t="s">
        <v>4573</v>
      </c>
      <c r="AE1831" s="47" t="s">
        <v>3102</v>
      </c>
      <c r="AF1831" s="48">
        <v>0</v>
      </c>
    </row>
    <row r="1832" spans="19:32" x14ac:dyDescent="0.35">
      <c r="S1832" s="47">
        <v>1828</v>
      </c>
      <c r="T1832" s="47" t="s">
        <v>4284</v>
      </c>
      <c r="U1832" s="47" t="s">
        <v>3158</v>
      </c>
      <c r="V1832" s="48">
        <v>18.216000000000001</v>
      </c>
      <c r="W1832" s="13"/>
      <c r="X1832" s="34">
        <v>1828</v>
      </c>
      <c r="Y1832" s="34" t="s">
        <v>2248</v>
      </c>
      <c r="Z1832" s="34" t="s">
        <v>5267</v>
      </c>
      <c r="AA1832" s="35">
        <v>1.2201612903225808E-4</v>
      </c>
      <c r="AB1832" s="13"/>
      <c r="AC1832" s="47">
        <v>1828</v>
      </c>
      <c r="AD1832" s="47" t="s">
        <v>4573</v>
      </c>
      <c r="AE1832" s="47" t="s">
        <v>3100</v>
      </c>
      <c r="AF1832" s="48">
        <v>0</v>
      </c>
    </row>
    <row r="1833" spans="19:32" x14ac:dyDescent="0.35">
      <c r="S1833" s="34">
        <v>1829</v>
      </c>
      <c r="T1833" s="34" t="s">
        <v>4284</v>
      </c>
      <c r="U1833" s="34" t="s">
        <v>4205</v>
      </c>
      <c r="V1833" s="35">
        <v>8.2943548387096784E-3</v>
      </c>
      <c r="W1833" s="13"/>
      <c r="X1833" s="47">
        <v>1829</v>
      </c>
      <c r="Y1833" s="47" t="s">
        <v>2248</v>
      </c>
      <c r="Z1833" s="47" t="s">
        <v>3297</v>
      </c>
      <c r="AA1833" s="48">
        <v>2.0055999999999998</v>
      </c>
      <c r="AB1833" s="13"/>
      <c r="AC1833" s="34">
        <v>1829</v>
      </c>
      <c r="AD1833" s="34" t="s">
        <v>4573</v>
      </c>
      <c r="AE1833" s="34" t="s">
        <v>3959</v>
      </c>
      <c r="AF1833" s="35">
        <v>18.850806451612904</v>
      </c>
    </row>
    <row r="1834" spans="19:32" x14ac:dyDescent="0.35">
      <c r="S1834" s="47">
        <v>1830</v>
      </c>
      <c r="T1834" s="47" t="s">
        <v>4284</v>
      </c>
      <c r="U1834" s="47" t="s">
        <v>4204</v>
      </c>
      <c r="V1834" s="56">
        <v>1.2030241935483871E-2</v>
      </c>
      <c r="W1834" s="13"/>
      <c r="X1834" s="34">
        <v>1830</v>
      </c>
      <c r="Y1834" s="34" t="s">
        <v>2248</v>
      </c>
      <c r="Z1834" s="34" t="s">
        <v>4603</v>
      </c>
      <c r="AA1834" s="35">
        <v>8.2600806451612898E-8</v>
      </c>
      <c r="AB1834" s="13"/>
      <c r="AC1834" s="34">
        <v>1830</v>
      </c>
      <c r="AD1834" s="34" t="s">
        <v>4573</v>
      </c>
      <c r="AE1834" s="34" t="s">
        <v>3099</v>
      </c>
      <c r="AF1834" s="35">
        <v>20.358870967741936</v>
      </c>
    </row>
    <row r="1835" spans="19:32" x14ac:dyDescent="0.35">
      <c r="S1835" s="34">
        <v>1831</v>
      </c>
      <c r="T1835" s="34" t="s">
        <v>4284</v>
      </c>
      <c r="U1835" s="34" t="s">
        <v>4203</v>
      </c>
      <c r="V1835" s="35">
        <v>1.3298387096774195E-4</v>
      </c>
      <c r="W1835" s="13"/>
      <c r="X1835" s="34">
        <v>1831</v>
      </c>
      <c r="Y1835" s="34" t="s">
        <v>2248</v>
      </c>
      <c r="Z1835" s="34" t="s">
        <v>5266</v>
      </c>
      <c r="AA1835" s="35">
        <v>4.5927419354838715E-7</v>
      </c>
      <c r="AB1835" s="13"/>
      <c r="AC1835" s="47">
        <v>1831</v>
      </c>
      <c r="AD1835" s="47" t="s">
        <v>4573</v>
      </c>
      <c r="AE1835" s="47" t="s">
        <v>3099</v>
      </c>
      <c r="AF1835" s="48">
        <v>0</v>
      </c>
    </row>
    <row r="1836" spans="19:32" x14ac:dyDescent="0.35">
      <c r="S1836" s="47">
        <v>1832</v>
      </c>
      <c r="T1836" s="47" t="s">
        <v>4284</v>
      </c>
      <c r="U1836" s="47" t="s">
        <v>4201</v>
      </c>
      <c r="V1836" s="56">
        <v>5.6552419354838714E-4</v>
      </c>
      <c r="W1836" s="13"/>
      <c r="X1836" s="47">
        <v>1832</v>
      </c>
      <c r="Y1836" s="47" t="s">
        <v>2248</v>
      </c>
      <c r="Z1836" s="47" t="s">
        <v>3296</v>
      </c>
      <c r="AA1836" s="48">
        <v>0</v>
      </c>
      <c r="AB1836" s="13"/>
      <c r="AC1836" s="34">
        <v>1832</v>
      </c>
      <c r="AD1836" s="34" t="s">
        <v>4573</v>
      </c>
      <c r="AE1836" s="34" t="s">
        <v>3955</v>
      </c>
      <c r="AF1836" s="35">
        <v>18.473790322580648</v>
      </c>
    </row>
    <row r="1837" spans="19:32" x14ac:dyDescent="0.35">
      <c r="S1837" s="47">
        <v>1833</v>
      </c>
      <c r="T1837" s="47" t="s">
        <v>4284</v>
      </c>
      <c r="U1837" s="47" t="s">
        <v>4200</v>
      </c>
      <c r="V1837" s="56">
        <v>8.1229838709677424E-8</v>
      </c>
      <c r="W1837" s="13"/>
      <c r="X1837" s="47">
        <v>1833</v>
      </c>
      <c r="Y1837" s="47" t="s">
        <v>2248</v>
      </c>
      <c r="Z1837" s="47" t="s">
        <v>4599</v>
      </c>
      <c r="AA1837" s="48">
        <v>2.1078629032258066E-2</v>
      </c>
      <c r="AB1837" s="13"/>
      <c r="AC1837" s="34">
        <v>1833</v>
      </c>
      <c r="AD1837" s="34" t="s">
        <v>4573</v>
      </c>
      <c r="AE1837" s="34" t="s">
        <v>3952</v>
      </c>
      <c r="AF1837" s="35">
        <v>7.2318548387096779</v>
      </c>
    </row>
    <row r="1838" spans="19:32" x14ac:dyDescent="0.35">
      <c r="S1838" s="47">
        <v>1834</v>
      </c>
      <c r="T1838" s="47" t="s">
        <v>4284</v>
      </c>
      <c r="U1838" s="47" t="s">
        <v>3156</v>
      </c>
      <c r="V1838" s="48">
        <v>0</v>
      </c>
      <c r="W1838" s="13"/>
      <c r="X1838" s="34">
        <v>1834</v>
      </c>
      <c r="Y1838" s="34" t="s">
        <v>2248</v>
      </c>
      <c r="Z1838" s="34" t="s">
        <v>5265</v>
      </c>
      <c r="AA1838" s="35">
        <v>2.2449596774193549E-3</v>
      </c>
      <c r="AB1838" s="13"/>
      <c r="AC1838" s="34">
        <v>1834</v>
      </c>
      <c r="AD1838" s="34" t="s">
        <v>4573</v>
      </c>
      <c r="AE1838" s="34" t="s">
        <v>3949</v>
      </c>
      <c r="AF1838" s="35">
        <v>1.8165322580645162E-2</v>
      </c>
    </row>
    <row r="1839" spans="19:32" x14ac:dyDescent="0.35">
      <c r="S1839" s="47">
        <v>1835</v>
      </c>
      <c r="T1839" s="47" t="s">
        <v>4284</v>
      </c>
      <c r="U1839" s="47" t="s">
        <v>3155</v>
      </c>
      <c r="V1839" s="56">
        <v>0.21661290322580648</v>
      </c>
      <c r="W1839" s="13"/>
      <c r="X1839" s="47">
        <v>1835</v>
      </c>
      <c r="Y1839" s="47" t="s">
        <v>2248</v>
      </c>
      <c r="Z1839" s="47" t="s">
        <v>3294</v>
      </c>
      <c r="AA1839" s="48">
        <v>0.56672</v>
      </c>
      <c r="AB1839" s="13"/>
      <c r="AC1839" s="34">
        <v>1835</v>
      </c>
      <c r="AD1839" s="34" t="s">
        <v>4573</v>
      </c>
      <c r="AE1839" s="34" t="s">
        <v>3097</v>
      </c>
      <c r="AF1839" s="35">
        <v>404.4354838709678</v>
      </c>
    </row>
    <row r="1840" spans="19:32" x14ac:dyDescent="0.35">
      <c r="S1840" s="47">
        <v>1836</v>
      </c>
      <c r="T1840" s="47" t="s">
        <v>4284</v>
      </c>
      <c r="U1840" s="47" t="s">
        <v>3155</v>
      </c>
      <c r="V1840" s="48">
        <v>289.8</v>
      </c>
      <c r="W1840" s="13"/>
      <c r="X1840" s="34">
        <v>1836</v>
      </c>
      <c r="Y1840" s="34" t="s">
        <v>2248</v>
      </c>
      <c r="Z1840" s="34" t="s">
        <v>3294</v>
      </c>
      <c r="AA1840" s="35">
        <v>1.6485887096774196E-3</v>
      </c>
      <c r="AB1840" s="13"/>
      <c r="AC1840" s="47">
        <v>1836</v>
      </c>
      <c r="AD1840" s="47" t="s">
        <v>4573</v>
      </c>
      <c r="AE1840" s="47" t="s">
        <v>3097</v>
      </c>
      <c r="AF1840" s="48">
        <v>0</v>
      </c>
    </row>
    <row r="1841" spans="19:32" x14ac:dyDescent="0.35">
      <c r="S1841" s="47">
        <v>1837</v>
      </c>
      <c r="T1841" s="47" t="s">
        <v>4284</v>
      </c>
      <c r="U1841" s="47" t="s">
        <v>4198</v>
      </c>
      <c r="V1841" s="56">
        <v>6.6491935483870973E-3</v>
      </c>
      <c r="W1841" s="13"/>
      <c r="X1841" s="47">
        <v>1837</v>
      </c>
      <c r="Y1841" s="47" t="s">
        <v>2248</v>
      </c>
      <c r="Z1841" s="47" t="s">
        <v>3293</v>
      </c>
      <c r="AA1841" s="48">
        <v>8.1695999999999991</v>
      </c>
      <c r="AB1841" s="13"/>
      <c r="AC1841" s="34">
        <v>1837</v>
      </c>
      <c r="AD1841" s="34" t="s">
        <v>4573</v>
      </c>
      <c r="AE1841" s="34" t="s">
        <v>3947</v>
      </c>
      <c r="AF1841" s="35">
        <v>1.5491935483870969E-2</v>
      </c>
    </row>
    <row r="1842" spans="19:32" x14ac:dyDescent="0.35">
      <c r="S1842" s="34">
        <v>1838</v>
      </c>
      <c r="T1842" s="34" t="s">
        <v>4284</v>
      </c>
      <c r="U1842" s="34" t="s">
        <v>4196</v>
      </c>
      <c r="V1842" s="35">
        <v>1.9536290322580644E-5</v>
      </c>
      <c r="W1842" s="13"/>
      <c r="X1842" s="34">
        <v>1838</v>
      </c>
      <c r="Y1842" s="34" t="s">
        <v>2248</v>
      </c>
      <c r="Z1842" s="34" t="s">
        <v>5264</v>
      </c>
      <c r="AA1842" s="35">
        <v>1.6451612903225807E-4</v>
      </c>
      <c r="AB1842" s="13"/>
      <c r="AC1842" s="47">
        <v>1838</v>
      </c>
      <c r="AD1842" s="47" t="s">
        <v>4573</v>
      </c>
      <c r="AE1842" s="47" t="s">
        <v>3096</v>
      </c>
      <c r="AF1842" s="48">
        <v>1196</v>
      </c>
    </row>
    <row r="1843" spans="19:32" x14ac:dyDescent="0.35">
      <c r="S1843" s="47">
        <v>1839</v>
      </c>
      <c r="T1843" s="47" t="s">
        <v>4284</v>
      </c>
      <c r="U1843" s="47" t="s">
        <v>4195</v>
      </c>
      <c r="V1843" s="56">
        <v>2.5637096774193551E-7</v>
      </c>
      <c r="W1843" s="13"/>
      <c r="X1843" s="47">
        <v>1839</v>
      </c>
      <c r="Y1843" s="47" t="s">
        <v>2248</v>
      </c>
      <c r="Z1843" s="47" t="s">
        <v>3293</v>
      </c>
      <c r="AA1843" s="48">
        <v>39.758064516129032</v>
      </c>
      <c r="AB1843" s="13"/>
      <c r="AC1843" s="47">
        <v>1839</v>
      </c>
      <c r="AD1843" s="47" t="s">
        <v>4573</v>
      </c>
      <c r="AE1843" s="47" t="s">
        <v>3094</v>
      </c>
      <c r="AF1843" s="48">
        <v>0</v>
      </c>
    </row>
    <row r="1844" spans="19:32" x14ac:dyDescent="0.35">
      <c r="S1844" s="36">
        <v>1840</v>
      </c>
      <c r="T1844" s="36" t="s">
        <v>4284</v>
      </c>
      <c r="U1844" s="36" t="s">
        <v>4192</v>
      </c>
      <c r="V1844" s="37">
        <v>4.0232000000000001</v>
      </c>
      <c r="W1844" s="13"/>
      <c r="X1844" s="47">
        <v>1840</v>
      </c>
      <c r="Y1844" s="47" t="s">
        <v>2248</v>
      </c>
      <c r="Z1844" s="47" t="s">
        <v>4587</v>
      </c>
      <c r="AA1844" s="48">
        <v>6.8891129032258071E-4</v>
      </c>
      <c r="AB1844" s="13"/>
      <c r="AC1844" s="34">
        <v>1840</v>
      </c>
      <c r="AD1844" s="34" t="s">
        <v>4573</v>
      </c>
      <c r="AE1844" s="34" t="s">
        <v>3945</v>
      </c>
      <c r="AF1844" s="35">
        <v>115.50403225806453</v>
      </c>
    </row>
    <row r="1845" spans="19:32" x14ac:dyDescent="0.35">
      <c r="S1845" s="34">
        <v>1841</v>
      </c>
      <c r="T1845" s="34" t="s">
        <v>4284</v>
      </c>
      <c r="U1845" s="34" t="s">
        <v>4192</v>
      </c>
      <c r="V1845" s="35">
        <v>5.8608870967741936E-8</v>
      </c>
      <c r="W1845" s="13"/>
      <c r="X1845" s="34">
        <v>1841</v>
      </c>
      <c r="Y1845" s="34" t="s">
        <v>2248</v>
      </c>
      <c r="Z1845" s="34" t="s">
        <v>5263</v>
      </c>
      <c r="AA1845" s="35">
        <v>5.6895161290322579E-5</v>
      </c>
      <c r="AB1845" s="13"/>
      <c r="AC1845" s="34">
        <v>1841</v>
      </c>
      <c r="AD1845" s="34" t="s">
        <v>4573</v>
      </c>
      <c r="AE1845" s="34" t="s">
        <v>3092</v>
      </c>
      <c r="AF1845" s="35">
        <v>1.1584677419354839E-2</v>
      </c>
    </row>
    <row r="1846" spans="19:32" x14ac:dyDescent="0.35">
      <c r="S1846" s="47">
        <v>1842</v>
      </c>
      <c r="T1846" s="47" t="s">
        <v>4284</v>
      </c>
      <c r="U1846" s="47" t="s">
        <v>3153</v>
      </c>
      <c r="V1846" s="56">
        <v>5.9637096774193545E-4</v>
      </c>
      <c r="W1846" s="13"/>
      <c r="X1846" s="47">
        <v>1842</v>
      </c>
      <c r="Y1846" s="47" t="s">
        <v>2248</v>
      </c>
      <c r="Z1846" s="47" t="s">
        <v>3291</v>
      </c>
      <c r="AA1846" s="48">
        <v>6.1732000000000002E-3</v>
      </c>
      <c r="AB1846" s="13"/>
      <c r="AC1846" s="47">
        <v>1842</v>
      </c>
      <c r="AD1846" s="47" t="s">
        <v>4573</v>
      </c>
      <c r="AE1846" s="47" t="s">
        <v>3092</v>
      </c>
      <c r="AF1846" s="48">
        <v>6.1548000000000007</v>
      </c>
    </row>
    <row r="1847" spans="19:32" x14ac:dyDescent="0.35">
      <c r="S1847" s="47">
        <v>1843</v>
      </c>
      <c r="T1847" s="47" t="s">
        <v>4284</v>
      </c>
      <c r="U1847" s="47" t="s">
        <v>3153</v>
      </c>
      <c r="V1847" s="48">
        <v>0</v>
      </c>
      <c r="W1847" s="13"/>
      <c r="X1847" s="47">
        <v>1843</v>
      </c>
      <c r="Y1847" s="47" t="s">
        <v>2248</v>
      </c>
      <c r="Z1847" s="47" t="s">
        <v>3289</v>
      </c>
      <c r="AA1847" s="48">
        <v>0</v>
      </c>
      <c r="AB1847" s="13"/>
      <c r="AC1847" s="34">
        <v>1843</v>
      </c>
      <c r="AD1847" s="34" t="s">
        <v>4573</v>
      </c>
      <c r="AE1847" s="34" t="s">
        <v>3942</v>
      </c>
      <c r="AF1847" s="35">
        <v>1.1790322580645163</v>
      </c>
    </row>
    <row r="1848" spans="19:32" x14ac:dyDescent="0.35">
      <c r="S1848" s="34">
        <v>1844</v>
      </c>
      <c r="T1848" s="34" t="s">
        <v>4284</v>
      </c>
      <c r="U1848" s="34" t="s">
        <v>4187</v>
      </c>
      <c r="V1848" s="35">
        <v>1.8439516129032258E-4</v>
      </c>
      <c r="W1848" s="13"/>
      <c r="X1848" s="47">
        <v>1844</v>
      </c>
      <c r="Y1848" s="47" t="s">
        <v>2248</v>
      </c>
      <c r="Z1848" s="47" t="s">
        <v>3289</v>
      </c>
      <c r="AA1848" s="48">
        <v>0.26939516129032259</v>
      </c>
      <c r="AB1848" s="13"/>
      <c r="AC1848" s="34">
        <v>1844</v>
      </c>
      <c r="AD1848" s="34" t="s">
        <v>4573</v>
      </c>
      <c r="AE1848" s="34" t="s">
        <v>3941</v>
      </c>
      <c r="AF1848" s="35">
        <v>2.573991935483871E-2</v>
      </c>
    </row>
    <row r="1849" spans="19:32" x14ac:dyDescent="0.35">
      <c r="S1849" s="47">
        <v>1845</v>
      </c>
      <c r="T1849" s="47" t="s">
        <v>4284</v>
      </c>
      <c r="U1849" s="47" t="s">
        <v>4186</v>
      </c>
      <c r="V1849" s="56">
        <v>2.3683467741935486E-3</v>
      </c>
      <c r="W1849" s="13"/>
      <c r="X1849" s="34">
        <v>1845</v>
      </c>
      <c r="Y1849" s="34" t="s">
        <v>2248</v>
      </c>
      <c r="Z1849" s="34" t="s">
        <v>5262</v>
      </c>
      <c r="AA1849" s="35">
        <v>3.804435483870968E-4</v>
      </c>
      <c r="AB1849" s="13"/>
      <c r="AC1849" s="34">
        <v>1845</v>
      </c>
      <c r="AD1849" s="34" t="s">
        <v>4573</v>
      </c>
      <c r="AE1849" s="34" t="s">
        <v>3940</v>
      </c>
      <c r="AF1849" s="35">
        <v>0.73346774193548392</v>
      </c>
    </row>
    <row r="1850" spans="19:32" x14ac:dyDescent="0.35">
      <c r="S1850" s="47">
        <v>1846</v>
      </c>
      <c r="T1850" s="47" t="s">
        <v>4284</v>
      </c>
      <c r="U1850" s="47" t="s">
        <v>4182</v>
      </c>
      <c r="V1850" s="56">
        <v>3.4274193548387101E-4</v>
      </c>
      <c r="W1850" s="13"/>
      <c r="X1850" s="47">
        <v>1846</v>
      </c>
      <c r="Y1850" s="47" t="s">
        <v>2248</v>
      </c>
      <c r="Z1850" s="47" t="s">
        <v>3288</v>
      </c>
      <c r="AA1850" s="48">
        <v>0</v>
      </c>
      <c r="AB1850" s="13"/>
      <c r="AC1850" s="34">
        <v>1846</v>
      </c>
      <c r="AD1850" s="34" t="s">
        <v>4573</v>
      </c>
      <c r="AE1850" s="34" t="s">
        <v>3091</v>
      </c>
      <c r="AF1850" s="35">
        <v>4.5927419354838709E-3</v>
      </c>
    </row>
    <row r="1851" spans="19:32" x14ac:dyDescent="0.35">
      <c r="S1851" s="47">
        <v>1847</v>
      </c>
      <c r="T1851" s="47" t="s">
        <v>4284</v>
      </c>
      <c r="U1851" s="47" t="s">
        <v>4179</v>
      </c>
      <c r="V1851" s="56">
        <v>4.4556451612903234E-5</v>
      </c>
      <c r="W1851" s="13"/>
      <c r="X1851" s="47">
        <v>1847</v>
      </c>
      <c r="Y1851" s="47" t="s">
        <v>2248</v>
      </c>
      <c r="Z1851" s="47" t="s">
        <v>4585</v>
      </c>
      <c r="AA1851" s="48">
        <v>2.8516129032258068E-4</v>
      </c>
      <c r="AB1851" s="13"/>
      <c r="AC1851" s="47">
        <v>1847</v>
      </c>
      <c r="AD1851" s="47" t="s">
        <v>4573</v>
      </c>
      <c r="AE1851" s="47" t="s">
        <v>3091</v>
      </c>
      <c r="AF1851" s="48">
        <v>0</v>
      </c>
    </row>
    <row r="1852" spans="19:32" x14ac:dyDescent="0.35">
      <c r="S1852" s="47">
        <v>1848</v>
      </c>
      <c r="T1852" s="47" t="s">
        <v>4284</v>
      </c>
      <c r="U1852" s="47" t="s">
        <v>3151</v>
      </c>
      <c r="V1852" s="56">
        <v>1.9947580645161292E-2</v>
      </c>
      <c r="W1852" s="13"/>
      <c r="X1852" s="34">
        <v>1848</v>
      </c>
      <c r="Y1852" s="34" t="s">
        <v>2248</v>
      </c>
      <c r="Z1852" s="34" t="s">
        <v>5261</v>
      </c>
      <c r="AA1852" s="35">
        <v>0.21592741935483872</v>
      </c>
      <c r="AB1852" s="13"/>
      <c r="AC1852" s="34">
        <v>1848</v>
      </c>
      <c r="AD1852" s="34" t="s">
        <v>4573</v>
      </c>
      <c r="AE1852" s="34" t="s">
        <v>3934</v>
      </c>
      <c r="AF1852" s="35">
        <v>651.20967741935488</v>
      </c>
    </row>
    <row r="1853" spans="19:32" x14ac:dyDescent="0.35">
      <c r="S1853" s="47">
        <v>1849</v>
      </c>
      <c r="T1853" s="47" t="s">
        <v>4284</v>
      </c>
      <c r="U1853" s="47" t="s">
        <v>3151</v>
      </c>
      <c r="V1853" s="48">
        <v>0</v>
      </c>
      <c r="W1853" s="13"/>
      <c r="X1853" s="34">
        <v>1849</v>
      </c>
      <c r="Y1853" s="34" t="s">
        <v>2248</v>
      </c>
      <c r="Z1853" s="34" t="s">
        <v>4582</v>
      </c>
      <c r="AA1853" s="35">
        <v>1.8919354838709681E-5</v>
      </c>
      <c r="AB1853" s="13"/>
      <c r="AC1853" s="47">
        <v>1849</v>
      </c>
      <c r="AD1853" s="47" t="s">
        <v>4573</v>
      </c>
      <c r="AE1853" s="47" t="s">
        <v>3090</v>
      </c>
      <c r="AF1853" s="48">
        <v>0</v>
      </c>
    </row>
    <row r="1854" spans="19:32" x14ac:dyDescent="0.35">
      <c r="S1854" s="34">
        <v>1850</v>
      </c>
      <c r="T1854" s="34" t="s">
        <v>4284</v>
      </c>
      <c r="U1854" s="34" t="s">
        <v>3150</v>
      </c>
      <c r="V1854" s="35">
        <v>1.7E-6</v>
      </c>
      <c r="W1854" s="13"/>
      <c r="X1854" s="47">
        <v>1850</v>
      </c>
      <c r="Y1854" s="47" t="s">
        <v>2248</v>
      </c>
      <c r="Z1854" s="47" t="s">
        <v>3286</v>
      </c>
      <c r="AA1854" s="48">
        <v>0</v>
      </c>
      <c r="AB1854" s="13"/>
      <c r="AC1854" s="34">
        <v>1850</v>
      </c>
      <c r="AD1854" s="34" t="s">
        <v>4573</v>
      </c>
      <c r="AE1854" s="34" t="s">
        <v>3089</v>
      </c>
      <c r="AF1854" s="35">
        <v>7711.6935483870975</v>
      </c>
    </row>
    <row r="1855" spans="19:32" x14ac:dyDescent="0.35">
      <c r="S1855" s="47">
        <v>1851</v>
      </c>
      <c r="T1855" s="47" t="s">
        <v>4284</v>
      </c>
      <c r="U1855" s="47" t="s">
        <v>3150</v>
      </c>
      <c r="V1855" s="48">
        <v>3.6524000000000001E-2</v>
      </c>
      <c r="W1855" s="13"/>
      <c r="X1855" s="47">
        <v>1851</v>
      </c>
      <c r="Y1855" s="47" t="s">
        <v>2248</v>
      </c>
      <c r="Z1855" s="47" t="s">
        <v>3286</v>
      </c>
      <c r="AA1855" s="48">
        <v>1.0008064516129032E-4</v>
      </c>
      <c r="AB1855" s="13"/>
      <c r="AC1855" s="47">
        <v>1851</v>
      </c>
      <c r="AD1855" s="47" t="s">
        <v>4573</v>
      </c>
      <c r="AE1855" s="47" t="s">
        <v>3089</v>
      </c>
      <c r="AF1855" s="48">
        <v>0</v>
      </c>
    </row>
    <row r="1856" spans="19:32" x14ac:dyDescent="0.35">
      <c r="S1856" s="47">
        <v>1852</v>
      </c>
      <c r="T1856" s="47" t="s">
        <v>4284</v>
      </c>
      <c r="U1856" s="47" t="s">
        <v>4177</v>
      </c>
      <c r="V1856" s="56">
        <v>2.8344758064516128E-4</v>
      </c>
      <c r="W1856" s="13"/>
      <c r="X1856" s="34">
        <v>1852</v>
      </c>
      <c r="Y1856" s="34" t="s">
        <v>2248</v>
      </c>
      <c r="Z1856" s="34" t="s">
        <v>3630</v>
      </c>
      <c r="AA1856" s="35">
        <v>0.38387096774193552</v>
      </c>
      <c r="AB1856" s="13"/>
      <c r="AC1856" s="47">
        <v>1852</v>
      </c>
      <c r="AD1856" s="47" t="s">
        <v>4573</v>
      </c>
      <c r="AE1856" s="47" t="s">
        <v>3088</v>
      </c>
      <c r="AF1856" s="48">
        <v>39.008000000000003</v>
      </c>
    </row>
    <row r="1857" spans="19:32" x14ac:dyDescent="0.35">
      <c r="S1857" s="34">
        <v>1853</v>
      </c>
      <c r="T1857" s="34" t="s">
        <v>4284</v>
      </c>
      <c r="U1857" s="34" t="s">
        <v>4176</v>
      </c>
      <c r="V1857" s="35">
        <v>4.3528225806451615E-5</v>
      </c>
      <c r="W1857" s="13"/>
      <c r="X1857" s="47">
        <v>1853</v>
      </c>
      <c r="Y1857" s="47" t="s">
        <v>2248</v>
      </c>
      <c r="Z1857" s="47" t="s">
        <v>3285</v>
      </c>
      <c r="AA1857" s="48">
        <v>7.2495999999999997E-4</v>
      </c>
      <c r="AB1857" s="13"/>
      <c r="AC1857" s="34">
        <v>1853</v>
      </c>
      <c r="AD1857" s="34" t="s">
        <v>4573</v>
      </c>
      <c r="AE1857" s="34" t="s">
        <v>3929</v>
      </c>
      <c r="AF1857" s="35">
        <v>0.80887096774193556</v>
      </c>
    </row>
    <row r="1858" spans="19:32" x14ac:dyDescent="0.35">
      <c r="S1858" s="47">
        <v>1854</v>
      </c>
      <c r="T1858" s="47" t="s">
        <v>4284</v>
      </c>
      <c r="U1858" s="47" t="s">
        <v>4175</v>
      </c>
      <c r="V1858" s="56">
        <v>1.963911290322581E-4</v>
      </c>
      <c r="W1858" s="13"/>
      <c r="X1858" s="34">
        <v>1854</v>
      </c>
      <c r="Y1858" s="34" t="s">
        <v>2248</v>
      </c>
      <c r="Z1858" s="34" t="s">
        <v>3285</v>
      </c>
      <c r="AA1858" s="35">
        <v>1.8850806451612906E-4</v>
      </c>
      <c r="AB1858" s="13"/>
      <c r="AC1858" s="34">
        <v>1854</v>
      </c>
      <c r="AD1858" s="34" t="s">
        <v>4573</v>
      </c>
      <c r="AE1858" s="34" t="s">
        <v>3927</v>
      </c>
      <c r="AF1858" s="35">
        <v>8.8427419354838719</v>
      </c>
    </row>
    <row r="1859" spans="19:32" x14ac:dyDescent="0.35">
      <c r="S1859" s="34">
        <v>1855</v>
      </c>
      <c r="T1859" s="34" t="s">
        <v>4284</v>
      </c>
      <c r="U1859" s="34" t="s">
        <v>4174</v>
      </c>
      <c r="V1859" s="35">
        <v>2.1901209677419357E-5</v>
      </c>
      <c r="W1859" s="13"/>
      <c r="X1859" s="34">
        <v>1855</v>
      </c>
      <c r="Y1859" s="34" t="s">
        <v>2248</v>
      </c>
      <c r="Z1859" s="34" t="s">
        <v>5260</v>
      </c>
      <c r="AA1859" s="35">
        <v>1.4943548387096774</v>
      </c>
      <c r="AB1859" s="13"/>
      <c r="AC1859" s="34">
        <v>1855</v>
      </c>
      <c r="AD1859" s="34" t="s">
        <v>4573</v>
      </c>
      <c r="AE1859" s="34" t="s">
        <v>3923</v>
      </c>
      <c r="AF1859" s="35">
        <v>1.1995967741935485E-3</v>
      </c>
    </row>
    <row r="1860" spans="19:32" x14ac:dyDescent="0.35">
      <c r="S1860" s="47">
        <v>1856</v>
      </c>
      <c r="T1860" s="47" t="s">
        <v>4284</v>
      </c>
      <c r="U1860" s="47" t="s">
        <v>4172</v>
      </c>
      <c r="V1860" s="56">
        <v>5.3125000000000004E-4</v>
      </c>
      <c r="W1860" s="13"/>
      <c r="X1860" s="47">
        <v>1856</v>
      </c>
      <c r="Y1860" s="47" t="s">
        <v>2248</v>
      </c>
      <c r="Z1860" s="47" t="s">
        <v>4575</v>
      </c>
      <c r="AA1860" s="48">
        <v>5.7237903225806457E-3</v>
      </c>
      <c r="AB1860" s="13"/>
      <c r="AC1860" s="34">
        <v>1856</v>
      </c>
      <c r="AD1860" s="34" t="s">
        <v>4573</v>
      </c>
      <c r="AE1860" s="34" t="s">
        <v>3921</v>
      </c>
      <c r="AF1860" s="35">
        <v>0.73689516129032262</v>
      </c>
    </row>
    <row r="1861" spans="19:32" x14ac:dyDescent="0.35">
      <c r="S1861" s="47">
        <v>1857</v>
      </c>
      <c r="T1861" s="47" t="s">
        <v>4284</v>
      </c>
      <c r="U1861" s="47" t="s">
        <v>3148</v>
      </c>
      <c r="V1861" s="56">
        <v>7.9173387096774198E-2</v>
      </c>
      <c r="W1861" s="13"/>
      <c r="X1861" s="47">
        <v>1857</v>
      </c>
      <c r="Y1861" s="47" t="s">
        <v>2248</v>
      </c>
      <c r="Z1861" s="47" t="s">
        <v>3283</v>
      </c>
      <c r="AA1861" s="48">
        <v>8.2708E-4</v>
      </c>
      <c r="AB1861" s="13"/>
      <c r="AC1861" s="34">
        <v>1857</v>
      </c>
      <c r="AD1861" s="34" t="s">
        <v>4573</v>
      </c>
      <c r="AE1861" s="34" t="s">
        <v>3087</v>
      </c>
      <c r="AF1861" s="35">
        <v>5.8608870967741941E-3</v>
      </c>
    </row>
    <row r="1862" spans="19:32" x14ac:dyDescent="0.35">
      <c r="S1862" s="47">
        <v>1858</v>
      </c>
      <c r="T1862" s="47" t="s">
        <v>4284</v>
      </c>
      <c r="U1862" s="47" t="s">
        <v>3148</v>
      </c>
      <c r="V1862" s="48">
        <v>3229.2000000000003</v>
      </c>
      <c r="W1862" s="13"/>
      <c r="X1862" s="34">
        <v>1858</v>
      </c>
      <c r="Y1862" s="34" t="s">
        <v>2248</v>
      </c>
      <c r="Z1862" s="34" t="s">
        <v>5259</v>
      </c>
      <c r="AA1862" s="35">
        <v>2.5808467741935486E-3</v>
      </c>
      <c r="AB1862" s="13"/>
      <c r="AC1862" s="47">
        <v>1858</v>
      </c>
      <c r="AD1862" s="47" t="s">
        <v>4573</v>
      </c>
      <c r="AE1862" s="47" t="s">
        <v>3087</v>
      </c>
      <c r="AF1862" s="48">
        <v>0.52440000000000009</v>
      </c>
    </row>
    <row r="1863" spans="19:32" x14ac:dyDescent="0.35">
      <c r="S1863" s="47">
        <v>1859</v>
      </c>
      <c r="T1863" s="47" t="s">
        <v>4284</v>
      </c>
      <c r="U1863" s="47" t="s">
        <v>4169</v>
      </c>
      <c r="V1863" s="56">
        <v>3.5302419354838713E-3</v>
      </c>
      <c r="W1863" s="13"/>
      <c r="X1863" s="34">
        <v>1859</v>
      </c>
      <c r="Y1863" s="34" t="s">
        <v>2248</v>
      </c>
      <c r="Z1863" s="34" t="s">
        <v>3283</v>
      </c>
      <c r="AA1863" s="35">
        <v>1.3709677419354839E-2</v>
      </c>
      <c r="AB1863" s="13"/>
      <c r="AC1863" s="47">
        <v>1859</v>
      </c>
      <c r="AD1863" s="47" t="s">
        <v>4573</v>
      </c>
      <c r="AE1863" s="47" t="s">
        <v>3086</v>
      </c>
      <c r="AF1863" s="48">
        <v>9.5680000000000001E-3</v>
      </c>
    </row>
    <row r="1864" spans="19:32" x14ac:dyDescent="0.35">
      <c r="S1864" s="47">
        <v>1860</v>
      </c>
      <c r="T1864" s="47" t="s">
        <v>4284</v>
      </c>
      <c r="U1864" s="47" t="s">
        <v>4167</v>
      </c>
      <c r="V1864" s="56">
        <v>0.15594758064516132</v>
      </c>
      <c r="W1864" s="13"/>
      <c r="X1864" s="47">
        <v>1860</v>
      </c>
      <c r="Y1864" s="47" t="s">
        <v>2248</v>
      </c>
      <c r="Z1864" s="47" t="s">
        <v>3282</v>
      </c>
      <c r="AA1864" s="48">
        <v>0</v>
      </c>
      <c r="AB1864" s="13"/>
      <c r="AC1864" s="34">
        <v>1860</v>
      </c>
      <c r="AD1864" s="34" t="s">
        <v>4573</v>
      </c>
      <c r="AE1864" s="34" t="s">
        <v>3085</v>
      </c>
      <c r="AF1864" s="35">
        <v>7.4375000000000005E-4</v>
      </c>
    </row>
    <row r="1865" spans="19:32" x14ac:dyDescent="0.35">
      <c r="S1865" s="34">
        <v>1861</v>
      </c>
      <c r="T1865" s="34" t="s">
        <v>4284</v>
      </c>
      <c r="U1865" s="34" t="s">
        <v>4163</v>
      </c>
      <c r="V1865" s="35">
        <v>4.9697580645161298E-3</v>
      </c>
      <c r="W1865" s="13"/>
      <c r="X1865" s="47">
        <v>1861</v>
      </c>
      <c r="Y1865" s="47" t="s">
        <v>2248</v>
      </c>
      <c r="Z1865" s="47" t="s">
        <v>3282</v>
      </c>
      <c r="AA1865" s="48">
        <v>3.1977822580645161E-3</v>
      </c>
      <c r="AB1865" s="13"/>
      <c r="AC1865" s="47">
        <v>1861</v>
      </c>
      <c r="AD1865" s="47" t="s">
        <v>4573</v>
      </c>
      <c r="AE1865" s="47" t="s">
        <v>3085</v>
      </c>
      <c r="AF1865" s="48">
        <v>0</v>
      </c>
    </row>
    <row r="1866" spans="19:32" x14ac:dyDescent="0.35">
      <c r="S1866" s="47">
        <v>1862</v>
      </c>
      <c r="T1866" s="47" t="s">
        <v>4284</v>
      </c>
      <c r="U1866" s="47" t="s">
        <v>4160</v>
      </c>
      <c r="V1866" s="56">
        <v>8.5342741935483875E-4</v>
      </c>
      <c r="W1866" s="13"/>
      <c r="X1866" s="34">
        <v>1862</v>
      </c>
      <c r="Y1866" s="34" t="s">
        <v>2248</v>
      </c>
      <c r="Z1866" s="34" t="s">
        <v>5258</v>
      </c>
      <c r="AA1866" s="35">
        <v>1.7891129032258064E-4</v>
      </c>
      <c r="AB1866" s="13"/>
      <c r="AC1866" s="34">
        <v>1862</v>
      </c>
      <c r="AD1866" s="34" t="s">
        <v>4573</v>
      </c>
      <c r="AE1866" s="34" t="s">
        <v>3083</v>
      </c>
      <c r="AF1866" s="35">
        <v>1.110483870967742E-2</v>
      </c>
    </row>
    <row r="1867" spans="19:32" x14ac:dyDescent="0.35">
      <c r="S1867" s="34">
        <v>1863</v>
      </c>
      <c r="T1867" s="34" t="s">
        <v>4284</v>
      </c>
      <c r="U1867" s="34" t="s">
        <v>4157</v>
      </c>
      <c r="V1867" s="35">
        <v>7.67741935483871</v>
      </c>
      <c r="W1867" s="13"/>
      <c r="X1867" s="47">
        <v>1863</v>
      </c>
      <c r="Y1867" s="47" t="s">
        <v>2248</v>
      </c>
      <c r="Z1867" s="47" t="s">
        <v>4572</v>
      </c>
      <c r="AA1867" s="48">
        <v>6.4778225806451611E-4</v>
      </c>
      <c r="AB1867" s="13"/>
      <c r="AC1867" s="47">
        <v>1863</v>
      </c>
      <c r="AD1867" s="47" t="s">
        <v>4573</v>
      </c>
      <c r="AE1867" s="47" t="s">
        <v>3083</v>
      </c>
      <c r="AF1867" s="48">
        <v>1.0671999999999999</v>
      </c>
    </row>
    <row r="1868" spans="19:32" x14ac:dyDescent="0.35">
      <c r="S1868" s="47">
        <v>1864</v>
      </c>
      <c r="T1868" s="47" t="s">
        <v>4284</v>
      </c>
      <c r="U1868" s="47" t="s">
        <v>4153</v>
      </c>
      <c r="V1868" s="56">
        <v>1.8473790322580646E-3</v>
      </c>
      <c r="W1868" s="13"/>
      <c r="X1868" s="47">
        <v>1864</v>
      </c>
      <c r="Y1868" s="47" t="s">
        <v>2248</v>
      </c>
      <c r="Z1868" s="47" t="s">
        <v>4570</v>
      </c>
      <c r="AA1868" s="48">
        <v>4.0100806451612908E-3</v>
      </c>
      <c r="AB1868" s="13"/>
      <c r="AC1868" s="34">
        <v>1864</v>
      </c>
      <c r="AD1868" s="34" t="s">
        <v>4573</v>
      </c>
      <c r="AE1868" s="34" t="s">
        <v>3081</v>
      </c>
      <c r="AF1868" s="35">
        <v>1.4909274193548388E-3</v>
      </c>
    </row>
    <row r="1869" spans="19:32" x14ac:dyDescent="0.35">
      <c r="S1869" s="47">
        <v>1865</v>
      </c>
      <c r="T1869" s="47" t="s">
        <v>4284</v>
      </c>
      <c r="U1869" s="47" t="s">
        <v>3147</v>
      </c>
      <c r="V1869" s="48">
        <v>0.19411999999999999</v>
      </c>
      <c r="W1869" s="13"/>
      <c r="X1869" s="34">
        <v>1865</v>
      </c>
      <c r="Y1869" s="34" t="s">
        <v>2248</v>
      </c>
      <c r="Z1869" s="34" t="s">
        <v>5257</v>
      </c>
      <c r="AA1869" s="35">
        <v>3.9415322580645161E-3</v>
      </c>
      <c r="AB1869" s="13"/>
      <c r="AC1869" s="47">
        <v>1865</v>
      </c>
      <c r="AD1869" s="47" t="s">
        <v>4573</v>
      </c>
      <c r="AE1869" s="47" t="s">
        <v>3081</v>
      </c>
      <c r="AF1869" s="48">
        <v>0.70932000000000006</v>
      </c>
    </row>
    <row r="1870" spans="19:32" x14ac:dyDescent="0.35">
      <c r="S1870" s="47">
        <v>1866</v>
      </c>
      <c r="T1870" s="47" t="s">
        <v>4284</v>
      </c>
      <c r="U1870" s="47" t="s">
        <v>3145</v>
      </c>
      <c r="V1870" s="48">
        <v>3.0175999999999998</v>
      </c>
      <c r="W1870" s="13"/>
      <c r="X1870" s="47">
        <v>1866</v>
      </c>
      <c r="Y1870" s="47" t="s">
        <v>2248</v>
      </c>
      <c r="Z1870" s="47" t="s">
        <v>4567</v>
      </c>
      <c r="AA1870" s="48">
        <v>8.191532258064517E-2</v>
      </c>
      <c r="AB1870" s="13"/>
      <c r="AC1870" s="47">
        <v>1866</v>
      </c>
      <c r="AD1870" s="47" t="s">
        <v>4573</v>
      </c>
      <c r="AE1870" s="47" t="s">
        <v>3080</v>
      </c>
      <c r="AF1870" s="48">
        <v>0</v>
      </c>
    </row>
    <row r="1871" spans="19:32" x14ac:dyDescent="0.35">
      <c r="S1871" s="34">
        <v>1867</v>
      </c>
      <c r="T1871" s="34" t="s">
        <v>4284</v>
      </c>
      <c r="U1871" s="34" t="s">
        <v>4151</v>
      </c>
      <c r="V1871" s="35">
        <v>1.4086693548387099E-4</v>
      </c>
      <c r="W1871" s="13"/>
      <c r="X1871" s="47">
        <v>1867</v>
      </c>
      <c r="Y1871" s="47" t="s">
        <v>2248</v>
      </c>
      <c r="Z1871" s="47" t="s">
        <v>3280</v>
      </c>
      <c r="AA1871" s="48">
        <v>1.0488000000000002</v>
      </c>
      <c r="AB1871" s="13"/>
      <c r="AC1871" s="47">
        <v>1867</v>
      </c>
      <c r="AD1871" s="47" t="s">
        <v>4573</v>
      </c>
      <c r="AE1871" s="47" t="s">
        <v>3078</v>
      </c>
      <c r="AF1871" s="48">
        <v>0</v>
      </c>
    </row>
    <row r="1872" spans="19:32" x14ac:dyDescent="0.35">
      <c r="S1872" s="47">
        <v>1868</v>
      </c>
      <c r="T1872" s="47" t="s">
        <v>4284</v>
      </c>
      <c r="U1872" s="47" t="s">
        <v>3144</v>
      </c>
      <c r="V1872" s="48">
        <v>0.16467999999999999</v>
      </c>
      <c r="W1872" s="13"/>
      <c r="X1872" s="34">
        <v>1868</v>
      </c>
      <c r="Y1872" s="34" t="s">
        <v>2248</v>
      </c>
      <c r="Z1872" s="34" t="s">
        <v>3280</v>
      </c>
      <c r="AA1872" s="35">
        <v>6.3407258064516138E-5</v>
      </c>
      <c r="AB1872" s="13"/>
      <c r="AC1872" s="47">
        <v>1868</v>
      </c>
      <c r="AD1872" s="47" t="s">
        <v>4573</v>
      </c>
      <c r="AE1872" s="47" t="s">
        <v>3077</v>
      </c>
      <c r="AF1872" s="48">
        <v>3.4132000000000003E-2</v>
      </c>
    </row>
    <row r="1873" spans="19:32" x14ac:dyDescent="0.35">
      <c r="S1873" s="47">
        <v>1869</v>
      </c>
      <c r="T1873" s="47" t="s">
        <v>4284</v>
      </c>
      <c r="U1873" s="47" t="s">
        <v>4147</v>
      </c>
      <c r="V1873" s="56">
        <v>2.7385080645161291E-6</v>
      </c>
      <c r="W1873" s="13"/>
      <c r="X1873" s="34">
        <v>1869</v>
      </c>
      <c r="Y1873" s="34" t="s">
        <v>2248</v>
      </c>
      <c r="Z1873" s="34" t="s">
        <v>5256</v>
      </c>
      <c r="AA1873" s="35">
        <v>5.0725806451612909E-3</v>
      </c>
      <c r="AB1873" s="13"/>
      <c r="AC1873" s="34">
        <v>1869</v>
      </c>
      <c r="AD1873" s="34" t="s">
        <v>4573</v>
      </c>
      <c r="AE1873" s="34" t="s">
        <v>3075</v>
      </c>
      <c r="AF1873" s="35">
        <v>9.2197580645161301E-3</v>
      </c>
    </row>
    <row r="1874" spans="19:32" x14ac:dyDescent="0.35">
      <c r="S1874" s="47">
        <v>1870</v>
      </c>
      <c r="T1874" s="47" t="s">
        <v>4284</v>
      </c>
      <c r="U1874" s="47" t="s">
        <v>4146</v>
      </c>
      <c r="V1874" s="56">
        <v>6.9233870967741945E-5</v>
      </c>
      <c r="W1874" s="13"/>
      <c r="X1874" s="47">
        <v>1870</v>
      </c>
      <c r="Y1874" s="47" t="s">
        <v>2248</v>
      </c>
      <c r="Z1874" s="47" t="s">
        <v>3278</v>
      </c>
      <c r="AA1874" s="48">
        <v>0</v>
      </c>
      <c r="AB1874" s="13"/>
      <c r="AC1874" s="47">
        <v>1870</v>
      </c>
      <c r="AD1874" s="47" t="s">
        <v>4573</v>
      </c>
      <c r="AE1874" s="47" t="s">
        <v>3075</v>
      </c>
      <c r="AF1874" s="48">
        <v>13.156000000000001</v>
      </c>
    </row>
    <row r="1875" spans="19:32" x14ac:dyDescent="0.35">
      <c r="S1875" s="47">
        <v>1871</v>
      </c>
      <c r="T1875" s="47" t="s">
        <v>4284</v>
      </c>
      <c r="U1875" s="47" t="s">
        <v>4145</v>
      </c>
      <c r="V1875" s="56">
        <v>2.765927419354839E-4</v>
      </c>
      <c r="W1875" s="13"/>
      <c r="X1875" s="34">
        <v>1871</v>
      </c>
      <c r="Y1875" s="34" t="s">
        <v>2248</v>
      </c>
      <c r="Z1875" s="34" t="s">
        <v>5255</v>
      </c>
      <c r="AA1875" s="35">
        <v>4.6955645161290326E-4</v>
      </c>
      <c r="AB1875" s="13"/>
      <c r="AC1875" s="34">
        <v>1871</v>
      </c>
      <c r="AD1875" s="34" t="s">
        <v>4573</v>
      </c>
      <c r="AE1875" s="34" t="s">
        <v>3074</v>
      </c>
      <c r="AF1875" s="35">
        <v>5.1754032258064517E-4</v>
      </c>
    </row>
    <row r="1876" spans="19:32" x14ac:dyDescent="0.35">
      <c r="S1876" s="47">
        <v>1872</v>
      </c>
      <c r="T1876" s="47" t="s">
        <v>4284</v>
      </c>
      <c r="U1876" s="47" t="s">
        <v>4143</v>
      </c>
      <c r="V1876" s="56">
        <v>1.5697580645161291E-5</v>
      </c>
      <c r="W1876" s="13"/>
      <c r="X1876" s="47">
        <v>1872</v>
      </c>
      <c r="Y1876" s="47" t="s">
        <v>2248</v>
      </c>
      <c r="Z1876" s="47" t="s">
        <v>3277</v>
      </c>
      <c r="AA1876" s="48">
        <v>0.10303999999999999</v>
      </c>
      <c r="AB1876" s="13"/>
      <c r="AC1876" s="47">
        <v>1872</v>
      </c>
      <c r="AD1876" s="47" t="s">
        <v>4573</v>
      </c>
      <c r="AE1876" s="47" t="s">
        <v>3074</v>
      </c>
      <c r="AF1876" s="48">
        <v>1.4443999999999999</v>
      </c>
    </row>
    <row r="1877" spans="19:32" x14ac:dyDescent="0.35">
      <c r="S1877" s="34">
        <v>1873</v>
      </c>
      <c r="T1877" s="34" t="s">
        <v>4284</v>
      </c>
      <c r="U1877" s="34" t="s">
        <v>3142</v>
      </c>
      <c r="V1877" s="35">
        <v>9.0483870967741943E-6</v>
      </c>
      <c r="W1877" s="13"/>
      <c r="X1877" s="47">
        <v>1873</v>
      </c>
      <c r="Y1877" s="47" t="s">
        <v>2248</v>
      </c>
      <c r="Z1877" s="47" t="s">
        <v>3277</v>
      </c>
      <c r="AA1877" s="48">
        <v>2.5054435483870971E-2</v>
      </c>
      <c r="AB1877" s="13"/>
      <c r="AC1877" s="47">
        <v>1873</v>
      </c>
      <c r="AD1877" s="47" t="s">
        <v>4573</v>
      </c>
      <c r="AE1877" s="47" t="s">
        <v>3073</v>
      </c>
      <c r="AF1877" s="48">
        <v>0</v>
      </c>
    </row>
    <row r="1878" spans="19:32" x14ac:dyDescent="0.35">
      <c r="S1878" s="47">
        <v>1874</v>
      </c>
      <c r="T1878" s="47" t="s">
        <v>4284</v>
      </c>
      <c r="U1878" s="47" t="s">
        <v>3142</v>
      </c>
      <c r="V1878" s="48">
        <v>0</v>
      </c>
      <c r="W1878" s="13"/>
      <c r="X1878" s="34">
        <v>1874</v>
      </c>
      <c r="Y1878" s="34" t="s">
        <v>2248</v>
      </c>
      <c r="Z1878" s="34" t="s">
        <v>5254</v>
      </c>
      <c r="AA1878" s="35">
        <v>3.1360887096774197E-3</v>
      </c>
      <c r="AB1878" s="13"/>
      <c r="AC1878" s="34">
        <v>1874</v>
      </c>
      <c r="AD1878" s="34" t="s">
        <v>4573</v>
      </c>
      <c r="AE1878" s="34" t="s">
        <v>3072</v>
      </c>
      <c r="AF1878" s="35">
        <v>4.1471774193548392E-3</v>
      </c>
    </row>
    <row r="1879" spans="19:32" x14ac:dyDescent="0.35">
      <c r="S1879" s="36">
        <v>1875</v>
      </c>
      <c r="T1879" s="36" t="s">
        <v>4284</v>
      </c>
      <c r="U1879" s="36" t="s">
        <v>4141</v>
      </c>
      <c r="V1879" s="37">
        <v>3.5952000000000002</v>
      </c>
      <c r="W1879" s="13"/>
      <c r="X1879" s="47">
        <v>1875</v>
      </c>
      <c r="Y1879" s="47" t="s">
        <v>2248</v>
      </c>
      <c r="Z1879" s="47" t="s">
        <v>3276</v>
      </c>
      <c r="AA1879" s="48">
        <v>3.9652000000000003E-3</v>
      </c>
      <c r="AB1879" s="13"/>
      <c r="AC1879" s="47">
        <v>1875</v>
      </c>
      <c r="AD1879" s="47" t="s">
        <v>4573</v>
      </c>
      <c r="AE1879" s="47" t="s">
        <v>3072</v>
      </c>
      <c r="AF1879" s="48">
        <v>3.3488000000000004E-2</v>
      </c>
    </row>
    <row r="1880" spans="19:32" x14ac:dyDescent="0.35">
      <c r="S1880" s="47">
        <v>1876</v>
      </c>
      <c r="T1880" s="47" t="s">
        <v>4284</v>
      </c>
      <c r="U1880" s="47" t="s">
        <v>4141</v>
      </c>
      <c r="V1880" s="56">
        <v>2.7350806451612906E-8</v>
      </c>
      <c r="W1880" s="13"/>
      <c r="X1880" s="34">
        <v>1876</v>
      </c>
      <c r="Y1880" s="34" t="s">
        <v>2248</v>
      </c>
      <c r="Z1880" s="34" t="s">
        <v>3276</v>
      </c>
      <c r="AA1880" s="35">
        <v>3.3897177419354844E-4</v>
      </c>
      <c r="AB1880" s="13"/>
      <c r="AC1880" s="47">
        <v>1876</v>
      </c>
      <c r="AD1880" s="47" t="s">
        <v>4573</v>
      </c>
      <c r="AE1880" s="47" t="s">
        <v>3071</v>
      </c>
      <c r="AF1880" s="48">
        <v>0</v>
      </c>
    </row>
    <row r="1881" spans="19:32" x14ac:dyDescent="0.35">
      <c r="S1881" s="34">
        <v>1877</v>
      </c>
      <c r="T1881" s="34" t="s">
        <v>4284</v>
      </c>
      <c r="U1881" s="34" t="s">
        <v>4139</v>
      </c>
      <c r="V1881" s="35">
        <v>3.3588709677419354E-7</v>
      </c>
      <c r="W1881" s="13"/>
      <c r="X1881" s="47">
        <v>1877</v>
      </c>
      <c r="Y1881" s="47" t="s">
        <v>2248</v>
      </c>
      <c r="Z1881" s="47" t="s">
        <v>4566</v>
      </c>
      <c r="AA1881" s="48">
        <v>0.63064516129032266</v>
      </c>
      <c r="AB1881" s="13"/>
      <c r="AC1881" s="47">
        <v>1877</v>
      </c>
      <c r="AD1881" s="47" t="s">
        <v>4573</v>
      </c>
      <c r="AE1881" s="47" t="s">
        <v>3069</v>
      </c>
      <c r="AF1881" s="48">
        <v>1.3892</v>
      </c>
    </row>
    <row r="1882" spans="19:32" x14ac:dyDescent="0.35">
      <c r="S1882" s="47">
        <v>1878</v>
      </c>
      <c r="T1882" s="47" t="s">
        <v>4284</v>
      </c>
      <c r="U1882" s="47" t="s">
        <v>4136</v>
      </c>
      <c r="V1882" s="56">
        <v>1.346975806451613E-2</v>
      </c>
      <c r="W1882" s="13"/>
      <c r="X1882" s="34">
        <v>1878</v>
      </c>
      <c r="Y1882" s="34" t="s">
        <v>2248</v>
      </c>
      <c r="Z1882" s="34" t="s">
        <v>5253</v>
      </c>
      <c r="AA1882" s="35">
        <v>5.7923387096774194E-3</v>
      </c>
      <c r="AB1882" s="13"/>
      <c r="AC1882" s="47">
        <v>1878</v>
      </c>
      <c r="AD1882" s="47" t="s">
        <v>4573</v>
      </c>
      <c r="AE1882" s="47" t="s">
        <v>3068</v>
      </c>
      <c r="AF1882" s="48">
        <v>0.12695999999999999</v>
      </c>
    </row>
    <row r="1883" spans="19:32" x14ac:dyDescent="0.35">
      <c r="S1883" s="34">
        <v>1879</v>
      </c>
      <c r="T1883" s="34" t="s">
        <v>4284</v>
      </c>
      <c r="U1883" s="34" t="s">
        <v>4134</v>
      </c>
      <c r="V1883" s="35">
        <v>2.4780241935483871E-5</v>
      </c>
      <c r="W1883" s="13"/>
      <c r="X1883" s="34">
        <v>1879</v>
      </c>
      <c r="Y1883" s="34" t="s">
        <v>2248</v>
      </c>
      <c r="Z1883" s="34" t="s">
        <v>4565</v>
      </c>
      <c r="AA1883" s="35">
        <v>1.4395161290322582E-3</v>
      </c>
      <c r="AB1883" s="13"/>
      <c r="AC1883" s="47">
        <v>1879</v>
      </c>
      <c r="AD1883" s="47" t="s">
        <v>4573</v>
      </c>
      <c r="AE1883" s="47" t="s">
        <v>3066</v>
      </c>
      <c r="AF1883" s="48">
        <v>1.702E-2</v>
      </c>
    </row>
    <row r="1884" spans="19:32" x14ac:dyDescent="0.35">
      <c r="S1884" s="47">
        <v>1880</v>
      </c>
      <c r="T1884" s="47" t="s">
        <v>4284</v>
      </c>
      <c r="U1884" s="47" t="s">
        <v>4133</v>
      </c>
      <c r="V1884" s="56">
        <v>5.4495967741935492E-7</v>
      </c>
      <c r="W1884" s="13"/>
      <c r="X1884" s="47">
        <v>1880</v>
      </c>
      <c r="Y1884" s="47" t="s">
        <v>2248</v>
      </c>
      <c r="Z1884" s="47" t="s">
        <v>3275</v>
      </c>
      <c r="AA1884" s="48">
        <v>0</v>
      </c>
      <c r="AB1884" s="13"/>
      <c r="AC1884" s="34">
        <v>1880</v>
      </c>
      <c r="AD1884" s="34" t="s">
        <v>4573</v>
      </c>
      <c r="AE1884" s="34" t="s">
        <v>3906</v>
      </c>
      <c r="AF1884" s="35">
        <v>3.1292338709677423E-4</v>
      </c>
    </row>
    <row r="1885" spans="19:32" x14ac:dyDescent="0.35">
      <c r="S1885" s="47">
        <v>1881</v>
      </c>
      <c r="T1885" s="47" t="s">
        <v>4284</v>
      </c>
      <c r="U1885" s="47" t="s">
        <v>4130</v>
      </c>
      <c r="V1885" s="56">
        <v>0.23957661290322582</v>
      </c>
      <c r="W1885" s="13"/>
      <c r="X1885" s="47">
        <v>1881</v>
      </c>
      <c r="Y1885" s="47" t="s">
        <v>2248</v>
      </c>
      <c r="Z1885" s="47" t="s">
        <v>3275</v>
      </c>
      <c r="AA1885" s="48">
        <v>0.20050403225806454</v>
      </c>
      <c r="AB1885" s="13"/>
      <c r="AC1885" s="34">
        <v>1881</v>
      </c>
      <c r="AD1885" s="34" t="s">
        <v>4573</v>
      </c>
      <c r="AE1885" s="34" t="s">
        <v>3065</v>
      </c>
      <c r="AF1885" s="35">
        <v>6.4435483870967744E-2</v>
      </c>
    </row>
    <row r="1886" spans="19:32" x14ac:dyDescent="0.35">
      <c r="S1886" s="47">
        <v>1882</v>
      </c>
      <c r="T1886" s="47" t="s">
        <v>4284</v>
      </c>
      <c r="U1886" s="47" t="s">
        <v>3140</v>
      </c>
      <c r="V1886" s="48">
        <v>0</v>
      </c>
      <c r="W1886" s="13"/>
      <c r="X1886" s="34">
        <v>1882</v>
      </c>
      <c r="Y1886" s="34" t="s">
        <v>2248</v>
      </c>
      <c r="Z1886" s="34" t="s">
        <v>5252</v>
      </c>
      <c r="AA1886" s="35">
        <v>4.8669354838709676E-5</v>
      </c>
      <c r="AB1886" s="13"/>
      <c r="AC1886" s="47">
        <v>1882</v>
      </c>
      <c r="AD1886" s="47" t="s">
        <v>4573</v>
      </c>
      <c r="AE1886" s="47" t="s">
        <v>3065</v>
      </c>
      <c r="AF1886" s="48">
        <v>1.9596</v>
      </c>
    </row>
    <row r="1887" spans="19:32" x14ac:dyDescent="0.35">
      <c r="S1887" s="47">
        <v>1883</v>
      </c>
      <c r="T1887" s="47" t="s">
        <v>4284</v>
      </c>
      <c r="U1887" s="47" t="s">
        <v>4126</v>
      </c>
      <c r="V1887" s="56">
        <v>6.3750000000000005E-3</v>
      </c>
      <c r="W1887" s="13"/>
      <c r="X1887" s="47">
        <v>1883</v>
      </c>
      <c r="Y1887" s="47" t="s">
        <v>2248</v>
      </c>
      <c r="Z1887" s="47" t="s">
        <v>4564</v>
      </c>
      <c r="AA1887" s="48">
        <v>7.883064516129032E-5</v>
      </c>
      <c r="AB1887" s="13"/>
      <c r="AC1887" s="34">
        <v>1883</v>
      </c>
      <c r="AD1887" s="34" t="s">
        <v>4573</v>
      </c>
      <c r="AE1887" s="34" t="s">
        <v>3064</v>
      </c>
      <c r="AF1887" s="35">
        <v>1.0796370967741937E-2</v>
      </c>
    </row>
    <row r="1888" spans="19:32" x14ac:dyDescent="0.35">
      <c r="S1888" s="47">
        <v>1884</v>
      </c>
      <c r="T1888" s="47" t="s">
        <v>4284</v>
      </c>
      <c r="U1888" s="47" t="s">
        <v>4124</v>
      </c>
      <c r="V1888" s="56">
        <v>5.1411290322580646E-3</v>
      </c>
      <c r="W1888" s="13"/>
      <c r="X1888" s="34">
        <v>1884</v>
      </c>
      <c r="Y1888" s="34" t="s">
        <v>2248</v>
      </c>
      <c r="Z1888" s="34" t="s">
        <v>5251</v>
      </c>
      <c r="AA1888" s="35">
        <v>5.5181451612903235E-5</v>
      </c>
      <c r="AB1888" s="13"/>
      <c r="AC1888" s="47">
        <v>1884</v>
      </c>
      <c r="AD1888" s="47" t="s">
        <v>4573</v>
      </c>
      <c r="AE1888" s="47" t="s">
        <v>3064</v>
      </c>
      <c r="AF1888" s="48">
        <v>2.0515999999999996</v>
      </c>
    </row>
    <row r="1889" spans="19:32" x14ac:dyDescent="0.35">
      <c r="S1889" s="34">
        <v>1885</v>
      </c>
      <c r="T1889" s="34" t="s">
        <v>4284</v>
      </c>
      <c r="U1889" s="34" t="s">
        <v>4123</v>
      </c>
      <c r="V1889" s="35">
        <v>7.1633064516129039E-2</v>
      </c>
      <c r="W1889" s="13"/>
      <c r="X1889" s="30">
        <v>1885</v>
      </c>
      <c r="Y1889" s="30" t="s">
        <v>2248</v>
      </c>
      <c r="Z1889" s="30" t="s">
        <v>5250</v>
      </c>
      <c r="AA1889" s="31">
        <v>-0.11600000000000001</v>
      </c>
      <c r="AB1889" s="13"/>
      <c r="AC1889" s="34">
        <v>1885</v>
      </c>
      <c r="AD1889" s="34" t="s">
        <v>4573</v>
      </c>
      <c r="AE1889" s="34" t="s">
        <v>3900</v>
      </c>
      <c r="AF1889" s="35">
        <v>4.1814516129032265E-3</v>
      </c>
    </row>
    <row r="1890" spans="19:32" x14ac:dyDescent="0.35">
      <c r="S1890" s="47">
        <v>1886</v>
      </c>
      <c r="T1890" s="47" t="s">
        <v>4284</v>
      </c>
      <c r="U1890" s="47" t="s">
        <v>4121</v>
      </c>
      <c r="V1890" s="56">
        <v>3.6673387096774197E-3</v>
      </c>
      <c r="W1890" s="13"/>
      <c r="X1890" s="47">
        <v>1886</v>
      </c>
      <c r="Y1890" s="47" t="s">
        <v>2248</v>
      </c>
      <c r="Z1890" s="47" t="s">
        <v>4563</v>
      </c>
      <c r="AA1890" s="48">
        <v>7.1975806451612915E-5</v>
      </c>
      <c r="AB1890" s="13"/>
      <c r="AC1890" s="47">
        <v>1886</v>
      </c>
      <c r="AD1890" s="47" t="s">
        <v>4573</v>
      </c>
      <c r="AE1890" s="47" t="s">
        <v>3063</v>
      </c>
      <c r="AF1890" s="48">
        <v>1931.9999999999998</v>
      </c>
    </row>
    <row r="1891" spans="19:32" x14ac:dyDescent="0.35">
      <c r="S1891" s="34">
        <v>1887</v>
      </c>
      <c r="T1891" s="34" t="s">
        <v>4284</v>
      </c>
      <c r="U1891" s="34" t="s">
        <v>4120</v>
      </c>
      <c r="V1891" s="35">
        <v>7.7802419354838721E-5</v>
      </c>
      <c r="W1891" s="13"/>
      <c r="X1891" s="34">
        <v>1887</v>
      </c>
      <c r="Y1891" s="34" t="s">
        <v>2248</v>
      </c>
      <c r="Z1891" s="34" t="s">
        <v>5249</v>
      </c>
      <c r="AA1891" s="35">
        <v>3.4616935483870972E-5</v>
      </c>
      <c r="AB1891" s="13"/>
      <c r="AC1891" s="34">
        <v>1887</v>
      </c>
      <c r="AD1891" s="34" t="s">
        <v>4573</v>
      </c>
      <c r="AE1891" s="34" t="s">
        <v>3061</v>
      </c>
      <c r="AF1891" s="35">
        <v>1.0693548387096775E-4</v>
      </c>
    </row>
    <row r="1892" spans="19:32" x14ac:dyDescent="0.35">
      <c r="S1892" s="47">
        <v>1888</v>
      </c>
      <c r="T1892" s="47" t="s">
        <v>4284</v>
      </c>
      <c r="U1892" s="47" t="s">
        <v>3139</v>
      </c>
      <c r="V1892" s="56">
        <v>1.1139112903225808E-2</v>
      </c>
      <c r="W1892" s="13"/>
      <c r="X1892" s="47">
        <v>1888</v>
      </c>
      <c r="Y1892" s="47" t="s">
        <v>2248</v>
      </c>
      <c r="Z1892" s="47" t="s">
        <v>4562</v>
      </c>
      <c r="AA1892" s="48">
        <v>2.0872983870967742E-4</v>
      </c>
      <c r="AB1892" s="13"/>
      <c r="AC1892" s="47">
        <v>1888</v>
      </c>
      <c r="AD1892" s="47" t="s">
        <v>4573</v>
      </c>
      <c r="AE1892" s="47" t="s">
        <v>3061</v>
      </c>
      <c r="AF1892" s="48">
        <v>2.3368E-3</v>
      </c>
    </row>
    <row r="1893" spans="19:32" x14ac:dyDescent="0.35">
      <c r="S1893" s="47">
        <v>1889</v>
      </c>
      <c r="T1893" s="47" t="s">
        <v>4284</v>
      </c>
      <c r="U1893" s="47" t="s">
        <v>3139</v>
      </c>
      <c r="V1893" s="48">
        <v>0</v>
      </c>
      <c r="W1893" s="13"/>
      <c r="X1893" s="47">
        <v>1889</v>
      </c>
      <c r="Y1893" s="47" t="s">
        <v>2248</v>
      </c>
      <c r="Z1893" s="47" t="s">
        <v>3273</v>
      </c>
      <c r="AA1893" s="48">
        <v>0</v>
      </c>
      <c r="AB1893" s="13"/>
      <c r="AC1893" s="34">
        <v>1889</v>
      </c>
      <c r="AD1893" s="34" t="s">
        <v>4573</v>
      </c>
      <c r="AE1893" s="34" t="s">
        <v>3896</v>
      </c>
      <c r="AF1893" s="35">
        <v>2.5088709677419357E-2</v>
      </c>
    </row>
    <row r="1894" spans="19:32" x14ac:dyDescent="0.35">
      <c r="S1894" s="34">
        <v>1890</v>
      </c>
      <c r="T1894" s="34" t="s">
        <v>4284</v>
      </c>
      <c r="U1894" s="34" t="s">
        <v>4118</v>
      </c>
      <c r="V1894" s="35">
        <v>1.4155241935483872E-3</v>
      </c>
      <c r="W1894" s="13"/>
      <c r="X1894" s="34">
        <v>1890</v>
      </c>
      <c r="Y1894" s="34" t="s">
        <v>2248</v>
      </c>
      <c r="Z1894" s="34" t="s">
        <v>4561</v>
      </c>
      <c r="AA1894" s="35">
        <v>2.1455645161290323E-3</v>
      </c>
      <c r="AB1894" s="13"/>
      <c r="AC1894" s="34">
        <v>1890</v>
      </c>
      <c r="AD1894" s="34" t="s">
        <v>4573</v>
      </c>
      <c r="AE1894" s="34" t="s">
        <v>3893</v>
      </c>
      <c r="AF1894" s="35">
        <v>2.3957661290322585E-3</v>
      </c>
    </row>
    <row r="1895" spans="19:32" x14ac:dyDescent="0.35">
      <c r="S1895" s="47">
        <v>1891</v>
      </c>
      <c r="T1895" s="47" t="s">
        <v>4284</v>
      </c>
      <c r="U1895" s="47" t="s">
        <v>3137</v>
      </c>
      <c r="V1895" s="56">
        <v>5.1411290322580649E-4</v>
      </c>
      <c r="W1895" s="13"/>
      <c r="X1895" s="34">
        <v>1891</v>
      </c>
      <c r="Y1895" s="34" t="s">
        <v>2248</v>
      </c>
      <c r="Z1895" s="34" t="s">
        <v>5248</v>
      </c>
      <c r="AA1895" s="35">
        <v>2.8790322580645165E-3</v>
      </c>
      <c r="AB1895" s="13"/>
      <c r="AC1895" s="34">
        <v>1891</v>
      </c>
      <c r="AD1895" s="34" t="s">
        <v>4573</v>
      </c>
      <c r="AE1895" s="34" t="s">
        <v>3891</v>
      </c>
      <c r="AF1895" s="35">
        <v>1.2407258064516129E-4</v>
      </c>
    </row>
    <row r="1896" spans="19:32" x14ac:dyDescent="0.35">
      <c r="S1896" s="47">
        <v>1892</v>
      </c>
      <c r="T1896" s="47" t="s">
        <v>4284</v>
      </c>
      <c r="U1896" s="47" t="s">
        <v>3137</v>
      </c>
      <c r="V1896" s="48">
        <v>2.5023999999999998E-2</v>
      </c>
      <c r="W1896" s="13"/>
      <c r="X1896" s="47">
        <v>1892</v>
      </c>
      <c r="Y1896" s="47" t="s">
        <v>2248</v>
      </c>
      <c r="Z1896" s="47" t="s">
        <v>4560</v>
      </c>
      <c r="AA1896" s="48">
        <v>6.409274193548388E-2</v>
      </c>
      <c r="AB1896" s="13"/>
      <c r="AC1896" s="34">
        <v>1892</v>
      </c>
      <c r="AD1896" s="34" t="s">
        <v>4573</v>
      </c>
      <c r="AE1896" s="34" t="s">
        <v>3888</v>
      </c>
      <c r="AF1896" s="35">
        <v>4.7298387096774191E-5</v>
      </c>
    </row>
    <row r="1897" spans="19:32" x14ac:dyDescent="0.35">
      <c r="S1897" s="47">
        <v>1893</v>
      </c>
      <c r="T1897" s="47" t="s">
        <v>4284</v>
      </c>
      <c r="U1897" s="47" t="s">
        <v>4115</v>
      </c>
      <c r="V1897" s="56">
        <v>1.0762096774193548E-3</v>
      </c>
      <c r="W1897" s="13"/>
      <c r="X1897" s="34">
        <v>1893</v>
      </c>
      <c r="Y1897" s="34" t="s">
        <v>2248</v>
      </c>
      <c r="Z1897" s="34" t="s">
        <v>4559</v>
      </c>
      <c r="AA1897" s="35">
        <v>2.9167338709677422E-2</v>
      </c>
      <c r="AB1897" s="13"/>
      <c r="AC1897" s="34">
        <v>1893</v>
      </c>
      <c r="AD1897" s="34" t="s">
        <v>4573</v>
      </c>
      <c r="AE1897" s="34" t="s">
        <v>3885</v>
      </c>
      <c r="AF1897" s="35">
        <v>3.0504032258064521E-4</v>
      </c>
    </row>
    <row r="1898" spans="19:32" x14ac:dyDescent="0.35">
      <c r="S1898" s="47">
        <v>1894</v>
      </c>
      <c r="T1898" s="47" t="s">
        <v>4284</v>
      </c>
      <c r="U1898" s="47" t="s">
        <v>4112</v>
      </c>
      <c r="V1898" s="56">
        <v>8.5000000000000006E-4</v>
      </c>
      <c r="W1898" s="13"/>
      <c r="X1898" s="34">
        <v>1894</v>
      </c>
      <c r="Y1898" s="34" t="s">
        <v>2248</v>
      </c>
      <c r="Z1898" s="34" t="s">
        <v>5247</v>
      </c>
      <c r="AA1898" s="35">
        <v>1.0590725806451613E-4</v>
      </c>
      <c r="AB1898" s="13"/>
      <c r="AC1898" s="34">
        <v>1894</v>
      </c>
      <c r="AD1898" s="34" t="s">
        <v>4573</v>
      </c>
      <c r="AE1898" s="34" t="s">
        <v>3883</v>
      </c>
      <c r="AF1898" s="35">
        <v>4.1471774193548391E-4</v>
      </c>
    </row>
    <row r="1899" spans="19:32" x14ac:dyDescent="0.35">
      <c r="S1899" s="47">
        <v>1895</v>
      </c>
      <c r="T1899" s="47" t="s">
        <v>4284</v>
      </c>
      <c r="U1899" s="47" t="s">
        <v>4110</v>
      </c>
      <c r="V1899" s="56">
        <v>8.5000000000000006E-5</v>
      </c>
      <c r="W1899" s="13"/>
      <c r="X1899" s="47">
        <v>1895</v>
      </c>
      <c r="Y1899" s="47" t="s">
        <v>2248</v>
      </c>
      <c r="Z1899" s="47" t="s">
        <v>4558</v>
      </c>
      <c r="AA1899" s="48">
        <v>8.5342741935483871E-3</v>
      </c>
      <c r="AB1899" s="13"/>
      <c r="AC1899" s="34">
        <v>1895</v>
      </c>
      <c r="AD1899" s="34" t="s">
        <v>4573</v>
      </c>
      <c r="AE1899" s="34" t="s">
        <v>3880</v>
      </c>
      <c r="AF1899" s="35">
        <v>2.0975806451612906E-2</v>
      </c>
    </row>
    <row r="1900" spans="19:32" x14ac:dyDescent="0.35">
      <c r="S1900" s="36">
        <v>1896</v>
      </c>
      <c r="T1900" s="36" t="s">
        <v>4284</v>
      </c>
      <c r="U1900" s="36" t="s">
        <v>5246</v>
      </c>
      <c r="V1900" s="37">
        <v>0.22577</v>
      </c>
      <c r="W1900" s="13"/>
      <c r="X1900" s="34">
        <v>1896</v>
      </c>
      <c r="Y1900" s="34" t="s">
        <v>2248</v>
      </c>
      <c r="Z1900" s="34" t="s">
        <v>4557</v>
      </c>
      <c r="AA1900" s="35">
        <v>1.7411290322580646E-3</v>
      </c>
      <c r="AB1900" s="13"/>
      <c r="AC1900" s="34">
        <v>1896</v>
      </c>
      <c r="AD1900" s="34" t="s">
        <v>4573</v>
      </c>
      <c r="AE1900" s="34" t="s">
        <v>3878</v>
      </c>
      <c r="AF1900" s="35">
        <v>2.7556451612903228E-3</v>
      </c>
    </row>
    <row r="1901" spans="19:32" x14ac:dyDescent="0.35">
      <c r="S1901" s="34">
        <v>1897</v>
      </c>
      <c r="T1901" s="34" t="s">
        <v>4284</v>
      </c>
      <c r="U1901" s="34" t="s">
        <v>4107</v>
      </c>
      <c r="V1901" s="35">
        <v>3.1189516129032259E-4</v>
      </c>
      <c r="W1901" s="13"/>
      <c r="X1901" s="47">
        <v>1897</v>
      </c>
      <c r="Y1901" s="47" t="s">
        <v>2248</v>
      </c>
      <c r="Z1901" s="47" t="s">
        <v>4556</v>
      </c>
      <c r="AA1901" s="48">
        <v>2.7830645161290328E-3</v>
      </c>
      <c r="AB1901" s="13"/>
      <c r="AC1901" s="34">
        <v>1897</v>
      </c>
      <c r="AD1901" s="34" t="s">
        <v>4573</v>
      </c>
      <c r="AE1901" s="34" t="s">
        <v>3875</v>
      </c>
      <c r="AF1901" s="35">
        <v>4.0786290322580646E-3</v>
      </c>
    </row>
    <row r="1902" spans="19:32" x14ac:dyDescent="0.35">
      <c r="S1902" s="47">
        <v>1898</v>
      </c>
      <c r="T1902" s="47" t="s">
        <v>4284</v>
      </c>
      <c r="U1902" s="47" t="s">
        <v>4106</v>
      </c>
      <c r="V1902" s="56">
        <v>3.9758064516129036E-8</v>
      </c>
      <c r="W1902" s="13"/>
      <c r="X1902" s="34">
        <v>1898</v>
      </c>
      <c r="Y1902" s="34" t="s">
        <v>2248</v>
      </c>
      <c r="Z1902" s="34" t="s">
        <v>5245</v>
      </c>
      <c r="AA1902" s="35">
        <v>1.0864919354838711E-3</v>
      </c>
      <c r="AB1902" s="13"/>
      <c r="AC1902" s="34">
        <v>1898</v>
      </c>
      <c r="AD1902" s="34" t="s">
        <v>4573</v>
      </c>
      <c r="AE1902" s="34" t="s">
        <v>3059</v>
      </c>
      <c r="AF1902" s="35">
        <v>2.8961693548387095E-4</v>
      </c>
    </row>
    <row r="1903" spans="19:32" x14ac:dyDescent="0.35">
      <c r="S1903" s="36">
        <v>1899</v>
      </c>
      <c r="T1903" s="36" t="s">
        <v>4284</v>
      </c>
      <c r="U1903" s="36" t="s">
        <v>5244</v>
      </c>
      <c r="V1903" s="37">
        <v>1.70665</v>
      </c>
      <c r="W1903" s="13"/>
      <c r="X1903" s="47">
        <v>1899</v>
      </c>
      <c r="Y1903" s="47" t="s">
        <v>2248</v>
      </c>
      <c r="Z1903" s="47" t="s">
        <v>4555</v>
      </c>
      <c r="AA1903" s="48">
        <v>4.1471774193548391E-4</v>
      </c>
      <c r="AB1903" s="13"/>
      <c r="AC1903" s="47">
        <v>1899</v>
      </c>
      <c r="AD1903" s="47" t="s">
        <v>4573</v>
      </c>
      <c r="AE1903" s="47" t="s">
        <v>3059</v>
      </c>
      <c r="AF1903" s="48">
        <v>2.5023999999999998E-2</v>
      </c>
    </row>
    <row r="1904" spans="19:32" x14ac:dyDescent="0.35">
      <c r="S1904" s="34">
        <v>1900</v>
      </c>
      <c r="T1904" s="34" t="s">
        <v>4284</v>
      </c>
      <c r="U1904" s="34" t="s">
        <v>3136</v>
      </c>
      <c r="V1904" s="35">
        <v>9.9052419354838716E-6</v>
      </c>
      <c r="W1904" s="13"/>
      <c r="X1904" s="47">
        <v>1900</v>
      </c>
      <c r="Y1904" s="47" t="s">
        <v>2248</v>
      </c>
      <c r="Z1904" s="47" t="s">
        <v>3272</v>
      </c>
      <c r="AA1904" s="48">
        <v>0</v>
      </c>
      <c r="AB1904" s="13"/>
      <c r="AC1904" s="34">
        <v>1900</v>
      </c>
      <c r="AD1904" s="34" t="s">
        <v>4573</v>
      </c>
      <c r="AE1904" s="34" t="s">
        <v>3873</v>
      </c>
      <c r="AF1904" s="35">
        <v>1.1618951612903227E-3</v>
      </c>
    </row>
    <row r="1905" spans="19:32" x14ac:dyDescent="0.35">
      <c r="S1905" s="47">
        <v>1901</v>
      </c>
      <c r="T1905" s="47" t="s">
        <v>4284</v>
      </c>
      <c r="U1905" s="47" t="s">
        <v>3136</v>
      </c>
      <c r="V1905" s="48">
        <v>0</v>
      </c>
      <c r="W1905" s="13"/>
      <c r="X1905" s="34">
        <v>1901</v>
      </c>
      <c r="Y1905" s="34" t="s">
        <v>2248</v>
      </c>
      <c r="Z1905" s="34" t="s">
        <v>5243</v>
      </c>
      <c r="AA1905" s="35">
        <v>5.1068548387096779</v>
      </c>
      <c r="AB1905" s="13"/>
      <c r="AC1905" s="34">
        <v>1901</v>
      </c>
      <c r="AD1905" s="34" t="s">
        <v>4573</v>
      </c>
      <c r="AE1905" s="34" t="s">
        <v>3872</v>
      </c>
      <c r="AF1905" s="35">
        <v>1.7959677419354839E-2</v>
      </c>
    </row>
    <row r="1906" spans="19:32" x14ac:dyDescent="0.35">
      <c r="S1906" s="47">
        <v>1902</v>
      </c>
      <c r="T1906" s="47" t="s">
        <v>4284</v>
      </c>
      <c r="U1906" s="47" t="s">
        <v>3134</v>
      </c>
      <c r="V1906" s="56">
        <v>2.0804435483870971E-4</v>
      </c>
      <c r="W1906" s="13"/>
      <c r="X1906" s="47">
        <v>1902</v>
      </c>
      <c r="Y1906" s="47" t="s">
        <v>2248</v>
      </c>
      <c r="Z1906" s="47" t="s">
        <v>4553</v>
      </c>
      <c r="AA1906" s="48">
        <v>1.5903225806451614E-3</v>
      </c>
      <c r="AB1906" s="13"/>
      <c r="AC1906" s="34">
        <v>1902</v>
      </c>
      <c r="AD1906" s="34" t="s">
        <v>4573</v>
      </c>
      <c r="AE1906" s="34" t="s">
        <v>3869</v>
      </c>
      <c r="AF1906" s="35">
        <v>3.941532258064516E-5</v>
      </c>
    </row>
    <row r="1907" spans="19:32" x14ac:dyDescent="0.35">
      <c r="S1907" s="47">
        <v>1903</v>
      </c>
      <c r="T1907" s="47" t="s">
        <v>4284</v>
      </c>
      <c r="U1907" s="47" t="s">
        <v>3134</v>
      </c>
      <c r="V1907" s="48">
        <v>0.16928000000000001</v>
      </c>
      <c r="W1907" s="13"/>
      <c r="X1907" s="47">
        <v>1903</v>
      </c>
      <c r="Y1907" s="47" t="s">
        <v>2248</v>
      </c>
      <c r="Z1907" s="47" t="s">
        <v>4552</v>
      </c>
      <c r="AA1907" s="48">
        <v>5.7923387096774194E-3</v>
      </c>
      <c r="AB1907" s="13"/>
      <c r="AC1907" s="47">
        <v>1903</v>
      </c>
      <c r="AD1907" s="47" t="s">
        <v>4573</v>
      </c>
      <c r="AE1907" s="47" t="s">
        <v>3058</v>
      </c>
      <c r="AF1907" s="48">
        <v>0.95679999999999998</v>
      </c>
    </row>
    <row r="1908" spans="19:32" x14ac:dyDescent="0.35">
      <c r="S1908" s="34">
        <v>1904</v>
      </c>
      <c r="T1908" s="34" t="s">
        <v>4284</v>
      </c>
      <c r="U1908" s="34" t="s">
        <v>4100</v>
      </c>
      <c r="V1908" s="35">
        <v>5.0725806451612911E-4</v>
      </c>
      <c r="W1908" s="13"/>
      <c r="X1908" s="34">
        <v>1904</v>
      </c>
      <c r="Y1908" s="34" t="s">
        <v>2248</v>
      </c>
      <c r="Z1908" s="34" t="s">
        <v>5242</v>
      </c>
      <c r="AA1908" s="35">
        <v>2.1181451612903228E-5</v>
      </c>
      <c r="AB1908" s="13"/>
      <c r="AC1908" s="34">
        <v>1904</v>
      </c>
      <c r="AD1908" s="34" t="s">
        <v>4573</v>
      </c>
      <c r="AE1908" s="34" t="s">
        <v>3868</v>
      </c>
      <c r="AF1908" s="35">
        <v>3.7701612903225808E-3</v>
      </c>
    </row>
    <row r="1909" spans="19:32" x14ac:dyDescent="0.35">
      <c r="S1909" s="47">
        <v>1905</v>
      </c>
      <c r="T1909" s="47" t="s">
        <v>4284</v>
      </c>
      <c r="U1909" s="47" t="s">
        <v>3133</v>
      </c>
      <c r="V1909" s="48">
        <v>4.5631999999999999E-2</v>
      </c>
      <c r="W1909" s="13"/>
      <c r="X1909" s="47">
        <v>1905</v>
      </c>
      <c r="Y1909" s="47" t="s">
        <v>2248</v>
      </c>
      <c r="Z1909" s="47" t="s">
        <v>3271</v>
      </c>
      <c r="AA1909" s="48">
        <v>7.4335999999999999E-2</v>
      </c>
      <c r="AB1909" s="13"/>
      <c r="AC1909" s="34">
        <v>1905</v>
      </c>
      <c r="AD1909" s="34" t="s">
        <v>4573</v>
      </c>
      <c r="AE1909" s="34" t="s">
        <v>3867</v>
      </c>
      <c r="AF1909" s="35">
        <v>3.2903225806451615E-2</v>
      </c>
    </row>
    <row r="1910" spans="19:32" x14ac:dyDescent="0.35">
      <c r="S1910" s="47">
        <v>1906</v>
      </c>
      <c r="T1910" s="47" t="s">
        <v>4284</v>
      </c>
      <c r="U1910" s="47" t="s">
        <v>3131</v>
      </c>
      <c r="V1910" s="48">
        <v>3.8823999999999997E-2</v>
      </c>
      <c r="W1910" s="13"/>
      <c r="X1910" s="34">
        <v>1906</v>
      </c>
      <c r="Y1910" s="34" t="s">
        <v>2248</v>
      </c>
      <c r="Z1910" s="34" t="s">
        <v>3271</v>
      </c>
      <c r="AA1910" s="35">
        <v>5.5866935483870972E-3</v>
      </c>
      <c r="AB1910" s="13"/>
      <c r="AC1910" s="34">
        <v>1906</v>
      </c>
      <c r="AD1910" s="34" t="s">
        <v>4573</v>
      </c>
      <c r="AE1910" s="34" t="s">
        <v>3056</v>
      </c>
      <c r="AF1910" s="35">
        <v>1.0727822580645161E-3</v>
      </c>
    </row>
    <row r="1911" spans="19:32" x14ac:dyDescent="0.35">
      <c r="S1911" s="47">
        <v>1907</v>
      </c>
      <c r="T1911" s="47" t="s">
        <v>4284</v>
      </c>
      <c r="U1911" s="47" t="s">
        <v>4098</v>
      </c>
      <c r="V1911" s="56">
        <v>1.0830645161290324E-5</v>
      </c>
      <c r="W1911" s="13"/>
      <c r="X1911" s="47">
        <v>1907</v>
      </c>
      <c r="Y1911" s="47" t="s">
        <v>2248</v>
      </c>
      <c r="Z1911" s="47" t="s">
        <v>3270</v>
      </c>
      <c r="AA1911" s="48">
        <v>0</v>
      </c>
      <c r="AB1911" s="13"/>
      <c r="AC1911" s="47">
        <v>1907</v>
      </c>
      <c r="AD1911" s="47" t="s">
        <v>4573</v>
      </c>
      <c r="AE1911" s="47" t="s">
        <v>3056</v>
      </c>
      <c r="AF1911" s="48">
        <v>6.9276000000000004E-2</v>
      </c>
    </row>
    <row r="1912" spans="19:32" x14ac:dyDescent="0.35">
      <c r="S1912" s="47">
        <v>1908</v>
      </c>
      <c r="T1912" s="47" t="s">
        <v>4284</v>
      </c>
      <c r="U1912" s="47" t="s">
        <v>4095</v>
      </c>
      <c r="V1912" s="56">
        <v>1.3949596774193549E-6</v>
      </c>
      <c r="W1912" s="13"/>
      <c r="X1912" s="34">
        <v>1908</v>
      </c>
      <c r="Y1912" s="34" t="s">
        <v>2248</v>
      </c>
      <c r="Z1912" s="34" t="s">
        <v>5241</v>
      </c>
      <c r="AA1912" s="35">
        <v>1.7651209677419356E-4</v>
      </c>
      <c r="AB1912" s="13"/>
      <c r="AC1912" s="47">
        <v>1908</v>
      </c>
      <c r="AD1912" s="47" t="s">
        <v>4573</v>
      </c>
      <c r="AE1912" s="47" t="s">
        <v>3055</v>
      </c>
      <c r="AF1912" s="48">
        <v>0</v>
      </c>
    </row>
    <row r="1913" spans="19:32" x14ac:dyDescent="0.35">
      <c r="S1913" s="47">
        <v>1909</v>
      </c>
      <c r="T1913" s="47" t="s">
        <v>4284</v>
      </c>
      <c r="U1913" s="47" t="s">
        <v>4091</v>
      </c>
      <c r="V1913" s="56">
        <v>7.5403225806451631E-5</v>
      </c>
      <c r="W1913" s="13"/>
      <c r="X1913" s="47">
        <v>1909</v>
      </c>
      <c r="Y1913" s="47" t="s">
        <v>2248</v>
      </c>
      <c r="Z1913" s="47" t="s">
        <v>3268</v>
      </c>
      <c r="AA1913" s="48">
        <v>0</v>
      </c>
      <c r="AB1913" s="13"/>
      <c r="AC1913" s="34">
        <v>1909</v>
      </c>
      <c r="AD1913" s="34" t="s">
        <v>4573</v>
      </c>
      <c r="AE1913" s="34" t="s">
        <v>3862</v>
      </c>
      <c r="AF1913" s="35">
        <v>1.0179435483870969E-3</v>
      </c>
    </row>
    <row r="1914" spans="19:32" x14ac:dyDescent="0.35">
      <c r="S1914" s="47">
        <v>1910</v>
      </c>
      <c r="T1914" s="47" t="s">
        <v>4284</v>
      </c>
      <c r="U1914" s="47" t="s">
        <v>3130</v>
      </c>
      <c r="V1914" s="48">
        <v>12.512</v>
      </c>
      <c r="W1914" s="13"/>
      <c r="X1914" s="47">
        <v>1910</v>
      </c>
      <c r="Y1914" s="47" t="s">
        <v>2248</v>
      </c>
      <c r="Z1914" s="47" t="s">
        <v>4551</v>
      </c>
      <c r="AA1914" s="48">
        <v>1.8542338709677422E-4</v>
      </c>
      <c r="AB1914" s="13"/>
      <c r="AC1914" s="47">
        <v>1910</v>
      </c>
      <c r="AD1914" s="47" t="s">
        <v>4573</v>
      </c>
      <c r="AE1914" s="47" t="s">
        <v>3054</v>
      </c>
      <c r="AF1914" s="48">
        <v>0.58419999999999994</v>
      </c>
    </row>
    <row r="1915" spans="19:32" x14ac:dyDescent="0.35">
      <c r="S1915" s="47">
        <v>1911</v>
      </c>
      <c r="T1915" s="47" t="s">
        <v>4284</v>
      </c>
      <c r="U1915" s="47" t="s">
        <v>4090</v>
      </c>
      <c r="V1915" s="56">
        <v>2.7213709677419356E-2</v>
      </c>
      <c r="W1915" s="13"/>
      <c r="X1915" s="34">
        <v>1911</v>
      </c>
      <c r="Y1915" s="34" t="s">
        <v>2248</v>
      </c>
      <c r="Z1915" s="34" t="s">
        <v>5240</v>
      </c>
      <c r="AA1915" s="35">
        <v>2.1935483870967744E-3</v>
      </c>
      <c r="AB1915" s="13"/>
      <c r="AC1915" s="47">
        <v>1911</v>
      </c>
      <c r="AD1915" s="47" t="s">
        <v>4573</v>
      </c>
      <c r="AE1915" s="47" t="s">
        <v>3053</v>
      </c>
      <c r="AF1915" s="48">
        <v>1.3892</v>
      </c>
    </row>
    <row r="1916" spans="19:32" x14ac:dyDescent="0.35">
      <c r="S1916" s="34">
        <v>1912</v>
      </c>
      <c r="T1916" s="34" t="s">
        <v>4284</v>
      </c>
      <c r="U1916" s="34" t="s">
        <v>4088</v>
      </c>
      <c r="V1916" s="35">
        <v>0.63064516129032266</v>
      </c>
      <c r="W1916" s="13"/>
      <c r="X1916" s="34">
        <v>1912</v>
      </c>
      <c r="Y1916" s="34" t="s">
        <v>2248</v>
      </c>
      <c r="Z1916" s="34" t="s">
        <v>4550</v>
      </c>
      <c r="AA1916" s="35">
        <v>0.72661290322580652</v>
      </c>
      <c r="AB1916" s="13"/>
      <c r="AC1916" s="34">
        <v>1912</v>
      </c>
      <c r="AD1916" s="34" t="s">
        <v>4573</v>
      </c>
      <c r="AE1916" s="34" t="s">
        <v>3860</v>
      </c>
      <c r="AF1916" s="35">
        <v>6.8548387096774202E-4</v>
      </c>
    </row>
    <row r="1917" spans="19:32" x14ac:dyDescent="0.35">
      <c r="S1917" s="47">
        <v>1913</v>
      </c>
      <c r="T1917" s="47" t="s">
        <v>4284</v>
      </c>
      <c r="U1917" s="47" t="s">
        <v>4085</v>
      </c>
      <c r="V1917" s="56">
        <v>1.8131048387096775E-4</v>
      </c>
      <c r="W1917" s="13"/>
      <c r="X1917" s="47">
        <v>1913</v>
      </c>
      <c r="Y1917" s="47" t="s">
        <v>2248</v>
      </c>
      <c r="Z1917" s="47" t="s">
        <v>4549</v>
      </c>
      <c r="AA1917" s="48">
        <v>0.10110887096774195</v>
      </c>
      <c r="AB1917" s="13"/>
      <c r="AC1917" s="34">
        <v>1913</v>
      </c>
      <c r="AD1917" s="34" t="s">
        <v>4573</v>
      </c>
      <c r="AE1917" s="34" t="s">
        <v>3051</v>
      </c>
      <c r="AF1917" s="35">
        <v>2.0804435483870971E-2</v>
      </c>
    </row>
    <row r="1918" spans="19:32" x14ac:dyDescent="0.35">
      <c r="S1918" s="34">
        <v>1914</v>
      </c>
      <c r="T1918" s="34" t="s">
        <v>4284</v>
      </c>
      <c r="U1918" s="34" t="s">
        <v>4083</v>
      </c>
      <c r="V1918" s="35">
        <v>3.9758064516129036E-4</v>
      </c>
      <c r="W1918" s="13"/>
      <c r="X1918" s="34">
        <v>1914</v>
      </c>
      <c r="Y1918" s="34" t="s">
        <v>2248</v>
      </c>
      <c r="Z1918" s="34" t="s">
        <v>5239</v>
      </c>
      <c r="AA1918" s="35">
        <v>8.362903225806452E-8</v>
      </c>
      <c r="AB1918" s="13"/>
      <c r="AC1918" s="47">
        <v>1914</v>
      </c>
      <c r="AD1918" s="47" t="s">
        <v>4573</v>
      </c>
      <c r="AE1918" s="47" t="s">
        <v>3051</v>
      </c>
      <c r="AF1918" s="48">
        <v>0.45632</v>
      </c>
    </row>
    <row r="1919" spans="19:32" x14ac:dyDescent="0.35">
      <c r="S1919" s="47">
        <v>1915</v>
      </c>
      <c r="T1919" s="47" t="s">
        <v>4284</v>
      </c>
      <c r="U1919" s="47" t="s">
        <v>4081</v>
      </c>
      <c r="V1919" s="56">
        <v>3.7016129032258069</v>
      </c>
      <c r="W1919" s="13"/>
      <c r="X1919" s="34">
        <v>1915</v>
      </c>
      <c r="Y1919" s="34" t="s">
        <v>2248</v>
      </c>
      <c r="Z1919" s="34" t="s">
        <v>4548</v>
      </c>
      <c r="AA1919" s="35">
        <v>2.2620967741935484E-2</v>
      </c>
      <c r="AB1919" s="13"/>
      <c r="AC1919" s="34">
        <v>1915</v>
      </c>
      <c r="AD1919" s="34" t="s">
        <v>4573</v>
      </c>
      <c r="AE1919" s="34" t="s">
        <v>3854</v>
      </c>
      <c r="AF1919" s="35">
        <v>2.7145161290322583E-2</v>
      </c>
    </row>
    <row r="1920" spans="19:32" x14ac:dyDescent="0.35">
      <c r="S1920" s="34">
        <v>1916</v>
      </c>
      <c r="T1920" s="34" t="s">
        <v>4284</v>
      </c>
      <c r="U1920" s="34" t="s">
        <v>4078</v>
      </c>
      <c r="V1920" s="35">
        <v>4.1129032258064518E-5</v>
      </c>
      <c r="W1920" s="13"/>
      <c r="X1920" s="47">
        <v>1916</v>
      </c>
      <c r="Y1920" s="47" t="s">
        <v>2248</v>
      </c>
      <c r="Z1920" s="47" t="s">
        <v>3267</v>
      </c>
      <c r="AA1920" s="48">
        <v>0</v>
      </c>
      <c r="AB1920" s="13"/>
      <c r="AC1920" s="34">
        <v>1916</v>
      </c>
      <c r="AD1920" s="34" t="s">
        <v>4573</v>
      </c>
      <c r="AE1920" s="34" t="s">
        <v>3050</v>
      </c>
      <c r="AF1920" s="35">
        <v>2.8447580645161292E-3</v>
      </c>
    </row>
    <row r="1921" spans="19:32" x14ac:dyDescent="0.35">
      <c r="S1921" s="47">
        <v>1917</v>
      </c>
      <c r="T1921" s="47" t="s">
        <v>4284</v>
      </c>
      <c r="U1921" s="47" t="s">
        <v>4074</v>
      </c>
      <c r="V1921" s="56">
        <v>3.7016129032258069</v>
      </c>
      <c r="W1921" s="13"/>
      <c r="X1921" s="34">
        <v>1917</v>
      </c>
      <c r="Y1921" s="34" t="s">
        <v>2248</v>
      </c>
      <c r="Z1921" s="34" t="s">
        <v>5238</v>
      </c>
      <c r="AA1921" s="35">
        <v>1.6006048387096777E-2</v>
      </c>
      <c r="AB1921" s="13"/>
      <c r="AC1921" s="47">
        <v>1917</v>
      </c>
      <c r="AD1921" s="47" t="s">
        <v>4573</v>
      </c>
      <c r="AE1921" s="47" t="s">
        <v>3050</v>
      </c>
      <c r="AF1921" s="48">
        <v>3.5971999999999997E-2</v>
      </c>
    </row>
    <row r="1922" spans="19:32" x14ac:dyDescent="0.35">
      <c r="S1922" s="47">
        <v>1918</v>
      </c>
      <c r="T1922" s="47" t="s">
        <v>4284</v>
      </c>
      <c r="U1922" s="47" t="s">
        <v>4072</v>
      </c>
      <c r="V1922" s="56">
        <v>4.6955645161290326E-2</v>
      </c>
      <c r="W1922" s="13"/>
      <c r="X1922" s="47">
        <v>1918</v>
      </c>
      <c r="Y1922" s="47" t="s">
        <v>2248</v>
      </c>
      <c r="Z1922" s="47" t="s">
        <v>3266</v>
      </c>
      <c r="AA1922" s="48">
        <v>0.21988000000000002</v>
      </c>
      <c r="AB1922" s="13"/>
      <c r="AC1922" s="34">
        <v>1918</v>
      </c>
      <c r="AD1922" s="34" t="s">
        <v>4573</v>
      </c>
      <c r="AE1922" s="34" t="s">
        <v>3847</v>
      </c>
      <c r="AF1922" s="35">
        <v>4.6612903225806454E-2</v>
      </c>
    </row>
    <row r="1923" spans="19:32" x14ac:dyDescent="0.35">
      <c r="S1923" s="47">
        <v>1919</v>
      </c>
      <c r="T1923" s="47" t="s">
        <v>4284</v>
      </c>
      <c r="U1923" s="47" t="s">
        <v>4070</v>
      </c>
      <c r="V1923" s="56">
        <v>2.2381048387096778E-4</v>
      </c>
      <c r="W1923" s="13"/>
      <c r="X1923" s="47">
        <v>1919</v>
      </c>
      <c r="Y1923" s="47" t="s">
        <v>2248</v>
      </c>
      <c r="Z1923" s="47" t="s">
        <v>3266</v>
      </c>
      <c r="AA1923" s="48">
        <v>1.5423387096774196E-3</v>
      </c>
      <c r="AB1923" s="13"/>
      <c r="AC1923" s="47">
        <v>1919</v>
      </c>
      <c r="AD1923" s="47" t="s">
        <v>4573</v>
      </c>
      <c r="AE1923" s="47" t="s">
        <v>3048</v>
      </c>
      <c r="AF1923" s="48">
        <v>0</v>
      </c>
    </row>
    <row r="1924" spans="19:32" x14ac:dyDescent="0.35">
      <c r="S1924" s="47">
        <v>1920</v>
      </c>
      <c r="T1924" s="47" t="s">
        <v>4284</v>
      </c>
      <c r="U1924" s="47" t="s">
        <v>3128</v>
      </c>
      <c r="V1924" s="56">
        <v>1.5012096774193549E-3</v>
      </c>
      <c r="W1924" s="13"/>
      <c r="X1924" s="47">
        <v>1920</v>
      </c>
      <c r="Y1924" s="47" t="s">
        <v>2248</v>
      </c>
      <c r="Z1924" s="47" t="s">
        <v>3264</v>
      </c>
      <c r="AA1924" s="48">
        <v>0</v>
      </c>
      <c r="AB1924" s="13"/>
      <c r="AC1924" s="34">
        <v>1920</v>
      </c>
      <c r="AD1924" s="34" t="s">
        <v>4573</v>
      </c>
      <c r="AE1924" s="34" t="s">
        <v>3841</v>
      </c>
      <c r="AF1924" s="35">
        <v>1.652016129032258E-2</v>
      </c>
    </row>
    <row r="1925" spans="19:32" x14ac:dyDescent="0.35">
      <c r="S1925" s="47">
        <v>1921</v>
      </c>
      <c r="T1925" s="47" t="s">
        <v>4284</v>
      </c>
      <c r="U1925" s="47" t="s">
        <v>3128</v>
      </c>
      <c r="V1925" s="48">
        <v>0</v>
      </c>
      <c r="W1925" s="13"/>
      <c r="X1925" s="34">
        <v>1921</v>
      </c>
      <c r="Y1925" s="34" t="s">
        <v>2248</v>
      </c>
      <c r="Z1925" s="34" t="s">
        <v>5237</v>
      </c>
      <c r="AA1925" s="35">
        <v>6.6491935483870975E-5</v>
      </c>
      <c r="AB1925" s="13"/>
      <c r="AC1925" s="34">
        <v>1921</v>
      </c>
      <c r="AD1925" s="34" t="s">
        <v>4573</v>
      </c>
      <c r="AE1925" s="34" t="s">
        <v>3046</v>
      </c>
      <c r="AF1925" s="35">
        <v>107.62096774193549</v>
      </c>
    </row>
    <row r="1926" spans="19:32" x14ac:dyDescent="0.35">
      <c r="S1926" s="34">
        <v>1922</v>
      </c>
      <c r="T1926" s="34" t="s">
        <v>4284</v>
      </c>
      <c r="U1926" s="34" t="s">
        <v>4065</v>
      </c>
      <c r="V1926" s="35">
        <v>0.14532258064516129</v>
      </c>
      <c r="W1926" s="13"/>
      <c r="X1926" s="47">
        <v>1922</v>
      </c>
      <c r="Y1926" s="47" t="s">
        <v>2248</v>
      </c>
      <c r="Z1926" s="47" t="s">
        <v>4547</v>
      </c>
      <c r="AA1926" s="48">
        <v>3.5645161290322587E-4</v>
      </c>
      <c r="AB1926" s="13"/>
      <c r="AC1926" s="47">
        <v>1922</v>
      </c>
      <c r="AD1926" s="47" t="s">
        <v>4573</v>
      </c>
      <c r="AE1926" s="47" t="s">
        <v>3046</v>
      </c>
      <c r="AF1926" s="48">
        <v>635.72</v>
      </c>
    </row>
    <row r="1927" spans="19:32" x14ac:dyDescent="0.35">
      <c r="S1927" s="47">
        <v>1923</v>
      </c>
      <c r="T1927" s="47" t="s">
        <v>4284</v>
      </c>
      <c r="U1927" s="47" t="s">
        <v>4064</v>
      </c>
      <c r="V1927" s="56">
        <v>2.0735887096774194E-2</v>
      </c>
      <c r="W1927" s="13"/>
      <c r="X1927" s="47">
        <v>1923</v>
      </c>
      <c r="Y1927" s="47" t="s">
        <v>2248</v>
      </c>
      <c r="Z1927" s="47" t="s">
        <v>4546</v>
      </c>
      <c r="AA1927" s="48">
        <v>2.1627016129032259E-2</v>
      </c>
      <c r="AB1927" s="13"/>
      <c r="AC1927" s="34">
        <v>1923</v>
      </c>
      <c r="AD1927" s="34" t="s">
        <v>4573</v>
      </c>
      <c r="AE1927" s="34" t="s">
        <v>3837</v>
      </c>
      <c r="AF1927" s="35">
        <v>0.16451612903225807</v>
      </c>
    </row>
    <row r="1928" spans="19:32" x14ac:dyDescent="0.35">
      <c r="S1928" s="30">
        <v>1924</v>
      </c>
      <c r="T1928" s="30" t="s">
        <v>4284</v>
      </c>
      <c r="U1928" s="30" t="s">
        <v>5236</v>
      </c>
      <c r="V1928" s="31">
        <v>30.740000000000002</v>
      </c>
      <c r="W1928" s="13"/>
      <c r="X1928" s="34">
        <v>1924</v>
      </c>
      <c r="Y1928" s="34" t="s">
        <v>2248</v>
      </c>
      <c r="Z1928" s="34" t="s">
        <v>5235</v>
      </c>
      <c r="AA1928" s="35">
        <v>1.0693548387096775E-3</v>
      </c>
      <c r="AB1928" s="13"/>
      <c r="AC1928" s="34">
        <v>1924</v>
      </c>
      <c r="AD1928" s="34" t="s">
        <v>4573</v>
      </c>
      <c r="AE1928" s="34" t="s">
        <v>3834</v>
      </c>
      <c r="AF1928" s="35">
        <v>7.1975806451612909</v>
      </c>
    </row>
    <row r="1929" spans="19:32" x14ac:dyDescent="0.35">
      <c r="S1929" s="34">
        <v>1925</v>
      </c>
      <c r="T1929" s="34" t="s">
        <v>4284</v>
      </c>
      <c r="U1929" s="34" t="s">
        <v>4062</v>
      </c>
      <c r="V1929" s="35">
        <v>0.16622983870967742</v>
      </c>
      <c r="W1929" s="17"/>
      <c r="X1929" s="47">
        <v>1925</v>
      </c>
      <c r="Y1929" s="47" t="s">
        <v>2248</v>
      </c>
      <c r="Z1929" s="47" t="s">
        <v>3263</v>
      </c>
      <c r="AA1929" s="48">
        <v>55.291999999999994</v>
      </c>
      <c r="AB1929" s="13"/>
      <c r="AC1929" s="47">
        <v>1925</v>
      </c>
      <c r="AD1929" s="47" t="s">
        <v>4573</v>
      </c>
      <c r="AE1929" s="47" t="s">
        <v>3045</v>
      </c>
      <c r="AF1929" s="48">
        <v>2.2171999999999996</v>
      </c>
    </row>
    <row r="1930" spans="19:32" x14ac:dyDescent="0.35">
      <c r="S1930" s="47">
        <v>1926</v>
      </c>
      <c r="T1930" s="47" t="s">
        <v>4284</v>
      </c>
      <c r="U1930" s="47" t="s">
        <v>3127</v>
      </c>
      <c r="V1930" s="56">
        <v>8.5000000000000006E-4</v>
      </c>
      <c r="W1930" s="17"/>
      <c r="X1930" s="47">
        <v>1926</v>
      </c>
      <c r="Y1930" s="47" t="s">
        <v>2248</v>
      </c>
      <c r="Z1930" s="47" t="s">
        <v>4545</v>
      </c>
      <c r="AA1930" s="48">
        <v>0.46955645161290327</v>
      </c>
      <c r="AB1930" s="13"/>
      <c r="AC1930" s="47">
        <v>1926</v>
      </c>
      <c r="AD1930" s="47" t="s">
        <v>4573</v>
      </c>
      <c r="AE1930" s="47" t="s">
        <v>3043</v>
      </c>
      <c r="AF1930" s="48">
        <v>8.2984000000000009</v>
      </c>
    </row>
    <row r="1931" spans="19:32" x14ac:dyDescent="0.35">
      <c r="S1931" s="47">
        <v>1927</v>
      </c>
      <c r="T1931" s="47" t="s">
        <v>4284</v>
      </c>
      <c r="U1931" s="47" t="s">
        <v>3127</v>
      </c>
      <c r="V1931" s="48">
        <v>30.268000000000001</v>
      </c>
      <c r="W1931" s="17"/>
      <c r="X1931" s="34">
        <v>1927</v>
      </c>
      <c r="Y1931" s="34" t="s">
        <v>2248</v>
      </c>
      <c r="Z1931" s="34" t="s">
        <v>4544</v>
      </c>
      <c r="AA1931" s="35">
        <v>1.2201612903225809E-3</v>
      </c>
      <c r="AB1931" s="13"/>
      <c r="AC1931" s="34">
        <v>1927</v>
      </c>
      <c r="AD1931" s="34" t="s">
        <v>4573</v>
      </c>
      <c r="AE1931" s="34" t="s">
        <v>3831</v>
      </c>
      <c r="AF1931" s="35">
        <v>0.1346975806451613</v>
      </c>
    </row>
    <row r="1932" spans="19:32" x14ac:dyDescent="0.35">
      <c r="S1932" s="34">
        <v>1928</v>
      </c>
      <c r="T1932" s="34" t="s">
        <v>4284</v>
      </c>
      <c r="U1932" s="34" t="s">
        <v>4060</v>
      </c>
      <c r="V1932" s="35">
        <v>1.4086693548387097</v>
      </c>
      <c r="W1932" s="13"/>
      <c r="X1932" s="34">
        <v>1928</v>
      </c>
      <c r="Y1932" s="34" t="s">
        <v>2248</v>
      </c>
      <c r="Z1932" s="34" t="s">
        <v>5234</v>
      </c>
      <c r="AA1932" s="35">
        <v>3.3451612903225807E-5</v>
      </c>
      <c r="AB1932" s="13"/>
      <c r="AC1932" s="34">
        <v>1928</v>
      </c>
      <c r="AD1932" s="34" t="s">
        <v>4573</v>
      </c>
      <c r="AE1932" s="34" t="s">
        <v>3827</v>
      </c>
      <c r="AF1932" s="35">
        <v>1.7514112903225808E-2</v>
      </c>
    </row>
    <row r="1933" spans="19:32" x14ac:dyDescent="0.35">
      <c r="S1933" s="47">
        <v>1929</v>
      </c>
      <c r="T1933" s="47" t="s">
        <v>4284</v>
      </c>
      <c r="U1933" s="47" t="s">
        <v>4058</v>
      </c>
      <c r="V1933" s="56">
        <v>0.19639112903225808</v>
      </c>
      <c r="W1933" s="13"/>
      <c r="X1933" s="47">
        <v>1929</v>
      </c>
      <c r="Y1933" s="47" t="s">
        <v>2248</v>
      </c>
      <c r="Z1933" s="47" t="s">
        <v>4543</v>
      </c>
      <c r="AA1933" s="48">
        <v>4.4899193548387104E-2</v>
      </c>
      <c r="AB1933" s="13"/>
      <c r="AC1933" s="34">
        <v>1929</v>
      </c>
      <c r="AD1933" s="34" t="s">
        <v>4573</v>
      </c>
      <c r="AE1933" s="34" t="s">
        <v>3824</v>
      </c>
      <c r="AF1933" s="35">
        <v>7.2661290322580649</v>
      </c>
    </row>
    <row r="1934" spans="19:32" x14ac:dyDescent="0.35">
      <c r="S1934" s="47">
        <v>1930</v>
      </c>
      <c r="T1934" s="47" t="s">
        <v>4284</v>
      </c>
      <c r="U1934" s="47" t="s">
        <v>4057</v>
      </c>
      <c r="V1934" s="56">
        <v>2.5157258064516133E-4</v>
      </c>
      <c r="W1934" s="13"/>
      <c r="X1934" s="47">
        <v>1930</v>
      </c>
      <c r="Y1934" s="47" t="s">
        <v>2248</v>
      </c>
      <c r="Z1934" s="47" t="s">
        <v>3261</v>
      </c>
      <c r="AA1934" s="48">
        <v>0</v>
      </c>
      <c r="AB1934" s="13"/>
      <c r="AC1934" s="34">
        <v>1930</v>
      </c>
      <c r="AD1934" s="34" t="s">
        <v>4573</v>
      </c>
      <c r="AE1934" s="34" t="s">
        <v>3821</v>
      </c>
      <c r="AF1934" s="35">
        <v>0.5175403225806452</v>
      </c>
    </row>
    <row r="1935" spans="19:32" x14ac:dyDescent="0.35">
      <c r="S1935" s="47">
        <v>1931</v>
      </c>
      <c r="T1935" s="47" t="s">
        <v>4284</v>
      </c>
      <c r="U1935" s="47" t="s">
        <v>3126</v>
      </c>
      <c r="V1935" s="56">
        <v>0.17754032258064517</v>
      </c>
      <c r="W1935" s="13"/>
      <c r="X1935" s="34">
        <v>1931</v>
      </c>
      <c r="Y1935" s="34" t="s">
        <v>2248</v>
      </c>
      <c r="Z1935" s="34" t="s">
        <v>5233</v>
      </c>
      <c r="AA1935" s="35">
        <v>4.318548387096775E-3</v>
      </c>
      <c r="AB1935" s="13"/>
      <c r="AC1935" s="34">
        <v>1931</v>
      </c>
      <c r="AD1935" s="34" t="s">
        <v>4573</v>
      </c>
      <c r="AE1935" s="34" t="s">
        <v>3042</v>
      </c>
      <c r="AF1935" s="35">
        <v>0.24985887096774195</v>
      </c>
    </row>
    <row r="1936" spans="19:32" x14ac:dyDescent="0.35">
      <c r="S1936" s="47">
        <v>1932</v>
      </c>
      <c r="T1936" s="47" t="s">
        <v>4284</v>
      </c>
      <c r="U1936" s="47" t="s">
        <v>3126</v>
      </c>
      <c r="V1936" s="48">
        <v>0</v>
      </c>
      <c r="W1936" s="13"/>
      <c r="X1936" s="34">
        <v>1932</v>
      </c>
      <c r="Y1936" s="34" t="s">
        <v>2248</v>
      </c>
      <c r="Z1936" s="34" t="s">
        <v>3261</v>
      </c>
      <c r="AA1936" s="35">
        <v>3.495967741935484E-3</v>
      </c>
      <c r="AB1936" s="13"/>
      <c r="AC1936" s="47">
        <v>1932</v>
      </c>
      <c r="AD1936" s="47" t="s">
        <v>4573</v>
      </c>
      <c r="AE1936" s="47" t="s">
        <v>3042</v>
      </c>
      <c r="AF1936" s="48">
        <v>0</v>
      </c>
    </row>
    <row r="1937" spans="19:32" x14ac:dyDescent="0.35">
      <c r="S1937" s="47">
        <v>1933</v>
      </c>
      <c r="T1937" s="47" t="s">
        <v>4284</v>
      </c>
      <c r="U1937" s="47" t="s">
        <v>4056</v>
      </c>
      <c r="V1937" s="56">
        <v>1.3949596774193549</v>
      </c>
      <c r="W1937" s="13"/>
      <c r="X1937" s="47">
        <v>1933</v>
      </c>
      <c r="Y1937" s="47" t="s">
        <v>2248</v>
      </c>
      <c r="Z1937" s="47" t="s">
        <v>3260</v>
      </c>
      <c r="AA1937" s="48">
        <v>0</v>
      </c>
      <c r="AB1937" s="13"/>
      <c r="AC1937" s="34">
        <v>1933</v>
      </c>
      <c r="AD1937" s="34" t="s">
        <v>4573</v>
      </c>
      <c r="AE1937" s="34" t="s">
        <v>3815</v>
      </c>
      <c r="AF1937" s="35">
        <v>7.1290322580645174E-4</v>
      </c>
    </row>
    <row r="1938" spans="19:32" x14ac:dyDescent="0.35">
      <c r="S1938" s="34">
        <v>1934</v>
      </c>
      <c r="T1938" s="34" t="s">
        <v>4284</v>
      </c>
      <c r="U1938" s="34" t="s">
        <v>4054</v>
      </c>
      <c r="V1938" s="35">
        <v>0.5209677419354839</v>
      </c>
      <c r="W1938" s="13"/>
      <c r="X1938" s="47">
        <v>1934</v>
      </c>
      <c r="Y1938" s="47" t="s">
        <v>2248</v>
      </c>
      <c r="Z1938" s="47" t="s">
        <v>3260</v>
      </c>
      <c r="AA1938" s="48">
        <v>1.9947580645161292E-2</v>
      </c>
      <c r="AB1938" s="13"/>
      <c r="AC1938" s="34">
        <v>1934</v>
      </c>
      <c r="AD1938" s="34" t="s">
        <v>4573</v>
      </c>
      <c r="AE1938" s="34" t="s">
        <v>3811</v>
      </c>
      <c r="AF1938" s="35">
        <v>1.72741935483871E-2</v>
      </c>
    </row>
    <row r="1939" spans="19:32" x14ac:dyDescent="0.35">
      <c r="S1939" s="47">
        <v>1935</v>
      </c>
      <c r="T1939" s="47" t="s">
        <v>4284</v>
      </c>
      <c r="U1939" s="47" t="s">
        <v>4050</v>
      </c>
      <c r="V1939" s="56">
        <v>3.0264112903225811E-6</v>
      </c>
      <c r="W1939" s="13"/>
      <c r="X1939" s="34">
        <v>1935</v>
      </c>
      <c r="Y1939" s="34" t="s">
        <v>2248</v>
      </c>
      <c r="Z1939" s="34" t="s">
        <v>5232</v>
      </c>
      <c r="AA1939" s="35">
        <v>2.3649193548387099E-2</v>
      </c>
      <c r="AB1939" s="13"/>
      <c r="AC1939" s="47">
        <v>1935</v>
      </c>
      <c r="AD1939" s="47" t="s">
        <v>4573</v>
      </c>
      <c r="AE1939" s="47" t="s">
        <v>3040</v>
      </c>
      <c r="AF1939" s="48">
        <v>0</v>
      </c>
    </row>
    <row r="1940" spans="19:32" x14ac:dyDescent="0.35">
      <c r="S1940" s="34">
        <v>1936</v>
      </c>
      <c r="T1940" s="34" t="s">
        <v>4284</v>
      </c>
      <c r="U1940" s="34" t="s">
        <v>4049</v>
      </c>
      <c r="V1940" s="35">
        <v>8.8084677419354846E-7</v>
      </c>
      <c r="W1940" s="13"/>
      <c r="X1940" s="34">
        <v>1936</v>
      </c>
      <c r="Y1940" s="34" t="s">
        <v>2248</v>
      </c>
      <c r="Z1940" s="34" t="s">
        <v>4542</v>
      </c>
      <c r="AA1940" s="35">
        <v>1.0110887096774194E-2</v>
      </c>
      <c r="AB1940" s="13"/>
      <c r="AC1940" s="34">
        <v>1936</v>
      </c>
      <c r="AD1940" s="34" t="s">
        <v>4573</v>
      </c>
      <c r="AE1940" s="34" t="s">
        <v>3809</v>
      </c>
      <c r="AF1940" s="35">
        <v>2.0118951612903228E-4</v>
      </c>
    </row>
    <row r="1941" spans="19:32" x14ac:dyDescent="0.35">
      <c r="S1941" s="47">
        <v>1937</v>
      </c>
      <c r="T1941" s="47" t="s">
        <v>4284</v>
      </c>
      <c r="U1941" s="47" t="s">
        <v>4048</v>
      </c>
      <c r="V1941" s="56">
        <v>1.1790322580645162E-3</v>
      </c>
      <c r="W1941" s="13"/>
      <c r="X1941" s="47">
        <v>1937</v>
      </c>
      <c r="Y1941" s="47" t="s">
        <v>2248</v>
      </c>
      <c r="Z1941" s="47" t="s">
        <v>4541</v>
      </c>
      <c r="AA1941" s="48">
        <v>5.8951612903225814E-3</v>
      </c>
      <c r="AB1941" s="13"/>
      <c r="AC1941" s="34">
        <v>1937</v>
      </c>
      <c r="AD1941" s="34" t="s">
        <v>4573</v>
      </c>
      <c r="AE1941" s="34" t="s">
        <v>3039</v>
      </c>
      <c r="AF1941" s="35">
        <v>2.2312500000000002E-2</v>
      </c>
    </row>
    <row r="1942" spans="19:32" x14ac:dyDescent="0.35">
      <c r="S1942" s="34">
        <v>1938</v>
      </c>
      <c r="T1942" s="34" t="s">
        <v>4284</v>
      </c>
      <c r="U1942" s="34" t="s">
        <v>3124</v>
      </c>
      <c r="V1942" s="35">
        <v>5.5524193548387099E-2</v>
      </c>
      <c r="W1942" s="13"/>
      <c r="X1942" s="34">
        <v>1938</v>
      </c>
      <c r="Y1942" s="34" t="s">
        <v>2248</v>
      </c>
      <c r="Z1942" s="34" t="s">
        <v>5231</v>
      </c>
      <c r="AA1942" s="35">
        <v>1.0042338709677421E-2</v>
      </c>
      <c r="AB1942" s="13"/>
      <c r="AC1942" s="47">
        <v>1938</v>
      </c>
      <c r="AD1942" s="47" t="s">
        <v>4573</v>
      </c>
      <c r="AE1942" s="47" t="s">
        <v>3039</v>
      </c>
      <c r="AF1942" s="48">
        <v>8.3535999999999999E-2</v>
      </c>
    </row>
    <row r="1943" spans="19:32" x14ac:dyDescent="0.35">
      <c r="S1943" s="47">
        <v>1939</v>
      </c>
      <c r="T1943" s="47" t="s">
        <v>4284</v>
      </c>
      <c r="U1943" s="47" t="s">
        <v>3124</v>
      </c>
      <c r="V1943" s="48">
        <v>0</v>
      </c>
      <c r="W1943" s="13"/>
      <c r="X1943" s="47">
        <v>1939</v>
      </c>
      <c r="Y1943" s="47" t="s">
        <v>2248</v>
      </c>
      <c r="Z1943" s="47" t="s">
        <v>3259</v>
      </c>
      <c r="AA1943" s="48">
        <v>41.676000000000002</v>
      </c>
      <c r="AB1943" s="13"/>
      <c r="AC1943" s="34">
        <v>1939</v>
      </c>
      <c r="AD1943" s="34" t="s">
        <v>4573</v>
      </c>
      <c r="AE1943" s="34" t="s">
        <v>3804</v>
      </c>
      <c r="AF1943" s="35">
        <v>1.974193548387097E-3</v>
      </c>
    </row>
    <row r="1944" spans="19:32" x14ac:dyDescent="0.35">
      <c r="S1944" s="47">
        <v>1940</v>
      </c>
      <c r="T1944" s="47" t="s">
        <v>4284</v>
      </c>
      <c r="U1944" s="47" t="s">
        <v>3123</v>
      </c>
      <c r="V1944" s="56">
        <v>8.2258064516129039</v>
      </c>
      <c r="W1944" s="13"/>
      <c r="X1944" s="47">
        <v>1940</v>
      </c>
      <c r="Y1944" s="47" t="s">
        <v>2248</v>
      </c>
      <c r="Z1944" s="47" t="s">
        <v>3259</v>
      </c>
      <c r="AA1944" s="48">
        <v>1.7205645161290323E-2</v>
      </c>
      <c r="AB1944" s="13"/>
      <c r="AC1944" s="34">
        <v>1940</v>
      </c>
      <c r="AD1944" s="34" t="s">
        <v>4573</v>
      </c>
      <c r="AE1944" s="34" t="s">
        <v>3800</v>
      </c>
      <c r="AF1944" s="35">
        <v>1.3881048387096775E-2</v>
      </c>
    </row>
    <row r="1945" spans="19:32" x14ac:dyDescent="0.35">
      <c r="S1945" s="47">
        <v>1941</v>
      </c>
      <c r="T1945" s="47" t="s">
        <v>4284</v>
      </c>
      <c r="U1945" s="47" t="s">
        <v>3123</v>
      </c>
      <c r="V1945" s="48">
        <v>32660000</v>
      </c>
      <c r="W1945" s="13"/>
      <c r="X1945" s="34">
        <v>1941</v>
      </c>
      <c r="Y1945" s="34" t="s">
        <v>2248</v>
      </c>
      <c r="Z1945" s="34" t="s">
        <v>5230</v>
      </c>
      <c r="AA1945" s="35">
        <v>0.79516129032258076</v>
      </c>
      <c r="AB1945" s="13"/>
      <c r="AC1945" s="47">
        <v>1941</v>
      </c>
      <c r="AD1945" s="47" t="s">
        <v>4573</v>
      </c>
      <c r="AE1945" s="47" t="s">
        <v>3037</v>
      </c>
      <c r="AF1945" s="48">
        <v>0</v>
      </c>
    </row>
    <row r="1946" spans="19:32" x14ac:dyDescent="0.35">
      <c r="S1946" s="47">
        <v>1942</v>
      </c>
      <c r="T1946" s="47" t="s">
        <v>4284</v>
      </c>
      <c r="U1946" s="47" t="s">
        <v>4045</v>
      </c>
      <c r="V1946" s="56">
        <v>6.5806451612903236E-9</v>
      </c>
      <c r="W1946" s="13"/>
      <c r="X1946" s="47">
        <v>1942</v>
      </c>
      <c r="Y1946" s="47" t="s">
        <v>2248</v>
      </c>
      <c r="Z1946" s="47" t="s">
        <v>4540</v>
      </c>
      <c r="AA1946" s="48">
        <v>8.0544354838709684E-2</v>
      </c>
      <c r="AB1946" s="13"/>
      <c r="AC1946" s="34">
        <v>1942</v>
      </c>
      <c r="AD1946" s="34" t="s">
        <v>4573</v>
      </c>
      <c r="AE1946" s="34" t="s">
        <v>3797</v>
      </c>
      <c r="AF1946" s="35">
        <v>0.11481854838709678</v>
      </c>
    </row>
    <row r="1947" spans="19:32" x14ac:dyDescent="0.35">
      <c r="S1947" s="47">
        <v>1943</v>
      </c>
      <c r="T1947" s="47" t="s">
        <v>4284</v>
      </c>
      <c r="U1947" s="47" t="s">
        <v>4043</v>
      </c>
      <c r="V1947" s="56">
        <v>5.2096774193548386E-4</v>
      </c>
      <c r="W1947" s="17"/>
      <c r="X1947" s="47">
        <v>1943</v>
      </c>
      <c r="Y1947" s="47" t="s">
        <v>2248</v>
      </c>
      <c r="Z1947" s="47" t="s">
        <v>4539</v>
      </c>
      <c r="AA1947" s="48">
        <v>1.0659274193548387E-2</v>
      </c>
      <c r="AB1947" s="13"/>
      <c r="AC1947" s="34">
        <v>1943</v>
      </c>
      <c r="AD1947" s="34" t="s">
        <v>4573</v>
      </c>
      <c r="AE1947" s="34" t="s">
        <v>3795</v>
      </c>
      <c r="AF1947" s="35">
        <v>1.655443548387097E-2</v>
      </c>
    </row>
    <row r="1948" spans="19:32" x14ac:dyDescent="0.35">
      <c r="S1948" s="47">
        <v>1944</v>
      </c>
      <c r="T1948" s="47" t="s">
        <v>4284</v>
      </c>
      <c r="U1948" s="47" t="s">
        <v>4042</v>
      </c>
      <c r="V1948" s="56">
        <v>5.3125000000000004E-3</v>
      </c>
      <c r="W1948" s="17"/>
      <c r="X1948" s="34">
        <v>1944</v>
      </c>
      <c r="Y1948" s="34" t="s">
        <v>2248</v>
      </c>
      <c r="Z1948" s="34" t="s">
        <v>5229</v>
      </c>
      <c r="AA1948" s="35">
        <v>1.7479838709677419E-4</v>
      </c>
      <c r="AB1948" s="13"/>
      <c r="AC1948" s="34">
        <v>1944</v>
      </c>
      <c r="AD1948" s="34" t="s">
        <v>4573</v>
      </c>
      <c r="AE1948" s="34" t="s">
        <v>3790</v>
      </c>
      <c r="AF1948" s="35">
        <v>1.3332661290322581E-2</v>
      </c>
    </row>
    <row r="1949" spans="19:32" x14ac:dyDescent="0.35">
      <c r="S1949" s="34">
        <v>1945</v>
      </c>
      <c r="T1949" s="34" t="s">
        <v>4284</v>
      </c>
      <c r="U1949" s="34" t="s">
        <v>4039</v>
      </c>
      <c r="V1949" s="35">
        <v>2.5191532258064515E-4</v>
      </c>
      <c r="W1949" s="17"/>
      <c r="X1949" s="34">
        <v>1945</v>
      </c>
      <c r="Y1949" s="34" t="s">
        <v>2248</v>
      </c>
      <c r="Z1949" s="34" t="s">
        <v>4538</v>
      </c>
      <c r="AA1949" s="35">
        <v>1.360685483870968E-3</v>
      </c>
      <c r="AB1949" s="13"/>
      <c r="AC1949" s="34">
        <v>1945</v>
      </c>
      <c r="AD1949" s="34" t="s">
        <v>4573</v>
      </c>
      <c r="AE1949" s="34" t="s">
        <v>3787</v>
      </c>
      <c r="AF1949" s="35">
        <v>0.33383064516129035</v>
      </c>
    </row>
    <row r="1950" spans="19:32" x14ac:dyDescent="0.35">
      <c r="S1950" s="47">
        <v>1946</v>
      </c>
      <c r="T1950" s="47" t="s">
        <v>4284</v>
      </c>
      <c r="U1950" s="47" t="s">
        <v>4036</v>
      </c>
      <c r="V1950" s="56">
        <v>9.5282258064516137E-2</v>
      </c>
      <c r="W1950" s="13"/>
      <c r="X1950" s="47">
        <v>1946</v>
      </c>
      <c r="Y1950" s="47" t="s">
        <v>2248</v>
      </c>
      <c r="Z1950" s="47" t="s">
        <v>4537</v>
      </c>
      <c r="AA1950" s="48">
        <v>1.1550403225806453E-5</v>
      </c>
      <c r="AB1950" s="13"/>
      <c r="AC1950" s="34">
        <v>1946</v>
      </c>
      <c r="AD1950" s="34" t="s">
        <v>4573</v>
      </c>
      <c r="AE1950" s="34" t="s">
        <v>3784</v>
      </c>
      <c r="AF1950" s="35">
        <v>7.5403225806451623E-4</v>
      </c>
    </row>
    <row r="1951" spans="19:32" x14ac:dyDescent="0.35">
      <c r="S1951" s="34">
        <v>1947</v>
      </c>
      <c r="T1951" s="34" t="s">
        <v>4284</v>
      </c>
      <c r="U1951" s="34" t="s">
        <v>4033</v>
      </c>
      <c r="V1951" s="35">
        <v>1.5971774193548389E-4</v>
      </c>
      <c r="W1951" s="13"/>
      <c r="X1951" s="47">
        <v>1947</v>
      </c>
      <c r="Y1951" s="47" t="s">
        <v>2248</v>
      </c>
      <c r="Z1951" s="47" t="s">
        <v>3258</v>
      </c>
      <c r="AA1951" s="48">
        <v>1.748</v>
      </c>
      <c r="AB1951" s="13"/>
      <c r="AC1951" s="34">
        <v>1947</v>
      </c>
      <c r="AD1951" s="34" t="s">
        <v>4573</v>
      </c>
      <c r="AE1951" s="34" t="s">
        <v>3781</v>
      </c>
      <c r="AF1951" s="35">
        <v>0.93911290322580654</v>
      </c>
    </row>
    <row r="1952" spans="19:32" x14ac:dyDescent="0.35">
      <c r="S1952" s="47">
        <v>1948</v>
      </c>
      <c r="T1952" s="47" t="s">
        <v>4284</v>
      </c>
      <c r="U1952" s="47" t="s">
        <v>3121</v>
      </c>
      <c r="V1952" s="48">
        <v>0</v>
      </c>
      <c r="W1952" s="13"/>
      <c r="X1952" s="34">
        <v>1948</v>
      </c>
      <c r="Y1952" s="34" t="s">
        <v>2248</v>
      </c>
      <c r="Z1952" s="34" t="s">
        <v>5228</v>
      </c>
      <c r="AA1952" s="35">
        <v>1.8405241935483874E-2</v>
      </c>
      <c r="AB1952" s="13"/>
      <c r="AC1952" s="47">
        <v>1948</v>
      </c>
      <c r="AD1952" s="47" t="s">
        <v>4573</v>
      </c>
      <c r="AE1952" s="47" t="s">
        <v>3035</v>
      </c>
      <c r="AF1952" s="48">
        <v>112.24</v>
      </c>
    </row>
    <row r="1953" spans="19:32" x14ac:dyDescent="0.35">
      <c r="S1953" s="47">
        <v>1949</v>
      </c>
      <c r="T1953" s="47" t="s">
        <v>4284</v>
      </c>
      <c r="U1953" s="47" t="s">
        <v>4032</v>
      </c>
      <c r="V1953" s="56">
        <v>1.7274193548387099E-3</v>
      </c>
      <c r="W1953" s="13"/>
      <c r="X1953" s="34">
        <v>1949</v>
      </c>
      <c r="Y1953" s="34" t="s">
        <v>2248</v>
      </c>
      <c r="Z1953" s="34" t="s">
        <v>4536</v>
      </c>
      <c r="AA1953" s="35">
        <v>0.11756048387096775</v>
      </c>
      <c r="AB1953" s="13"/>
      <c r="AC1953" s="34">
        <v>1949</v>
      </c>
      <c r="AD1953" s="34" t="s">
        <v>4573</v>
      </c>
      <c r="AE1953" s="34" t="s">
        <v>3777</v>
      </c>
      <c r="AF1953" s="35">
        <v>53.125000000000007</v>
      </c>
    </row>
    <row r="1954" spans="19:32" x14ac:dyDescent="0.35">
      <c r="S1954" s="34">
        <v>1950</v>
      </c>
      <c r="T1954" s="34" t="s">
        <v>4284</v>
      </c>
      <c r="U1954" s="34" t="s">
        <v>4029</v>
      </c>
      <c r="V1954" s="35">
        <v>0.21352822580645162</v>
      </c>
      <c r="W1954" s="13"/>
      <c r="X1954" s="47">
        <v>1950</v>
      </c>
      <c r="Y1954" s="47" t="s">
        <v>2248</v>
      </c>
      <c r="Z1954" s="47" t="s">
        <v>4535</v>
      </c>
      <c r="AA1954" s="48">
        <v>1.3092741935483871</v>
      </c>
      <c r="AB1954" s="13"/>
      <c r="AC1954" s="34">
        <v>1950</v>
      </c>
      <c r="AD1954" s="34" t="s">
        <v>4573</v>
      </c>
      <c r="AE1954" s="34" t="s">
        <v>3772</v>
      </c>
      <c r="AF1954" s="35">
        <v>1.3572580645161293E-3</v>
      </c>
    </row>
    <row r="1955" spans="19:32" x14ac:dyDescent="0.35">
      <c r="S1955" s="47">
        <v>1951</v>
      </c>
      <c r="T1955" s="47" t="s">
        <v>4284</v>
      </c>
      <c r="U1955" s="47" t="s">
        <v>4027</v>
      </c>
      <c r="V1955" s="56">
        <v>27.487903225806456</v>
      </c>
      <c r="W1955" s="13"/>
      <c r="X1955" s="34">
        <v>1951</v>
      </c>
      <c r="Y1955" s="34" t="s">
        <v>2248</v>
      </c>
      <c r="Z1955" s="34" t="s">
        <v>5227</v>
      </c>
      <c r="AA1955" s="35">
        <v>5.6895161290322594E-4</v>
      </c>
      <c r="AB1955" s="13"/>
      <c r="AC1955" s="34">
        <v>1951</v>
      </c>
      <c r="AD1955" s="34" t="s">
        <v>4573</v>
      </c>
      <c r="AE1955" s="34" t="s">
        <v>3769</v>
      </c>
      <c r="AF1955" s="35">
        <v>2.2723790322580646E-4</v>
      </c>
    </row>
    <row r="1956" spans="19:32" x14ac:dyDescent="0.35">
      <c r="S1956" s="34">
        <v>1952</v>
      </c>
      <c r="T1956" s="34" t="s">
        <v>4284</v>
      </c>
      <c r="U1956" s="34" t="s">
        <v>4025</v>
      </c>
      <c r="V1956" s="35">
        <v>3.3245967741935483E-4</v>
      </c>
      <c r="W1956" s="13"/>
      <c r="X1956" s="47">
        <v>1952</v>
      </c>
      <c r="Y1956" s="47" t="s">
        <v>2248</v>
      </c>
      <c r="Z1956" s="47" t="s">
        <v>3257</v>
      </c>
      <c r="AA1956" s="48">
        <v>0</v>
      </c>
      <c r="AB1956" s="13"/>
      <c r="AC1956" s="34">
        <v>1952</v>
      </c>
      <c r="AD1956" s="34" t="s">
        <v>4573</v>
      </c>
      <c r="AE1956" s="34" t="s">
        <v>3034</v>
      </c>
      <c r="AF1956" s="35">
        <v>4.215725806451613</v>
      </c>
    </row>
    <row r="1957" spans="19:32" x14ac:dyDescent="0.35">
      <c r="S1957" s="34">
        <v>1953</v>
      </c>
      <c r="T1957" s="34" t="s">
        <v>4284</v>
      </c>
      <c r="U1957" s="34" t="s">
        <v>4021</v>
      </c>
      <c r="V1957" s="35">
        <v>7.574596774193549E-3</v>
      </c>
      <c r="W1957" s="13"/>
      <c r="X1957" s="34">
        <v>1953</v>
      </c>
      <c r="Y1957" s="34" t="s">
        <v>2248</v>
      </c>
      <c r="Z1957" s="34" t="s">
        <v>3257</v>
      </c>
      <c r="AA1957" s="35">
        <v>1.6177419354838712E-2</v>
      </c>
      <c r="AB1957" s="13"/>
      <c r="AC1957" s="47">
        <v>1953</v>
      </c>
      <c r="AD1957" s="47" t="s">
        <v>4573</v>
      </c>
      <c r="AE1957" s="47" t="s">
        <v>3034</v>
      </c>
      <c r="AF1957" s="48">
        <v>0</v>
      </c>
    </row>
    <row r="1958" spans="19:32" x14ac:dyDescent="0.35">
      <c r="S1958" s="34">
        <v>1954</v>
      </c>
      <c r="T1958" s="34" t="s">
        <v>4284</v>
      </c>
      <c r="U1958" s="34" t="s">
        <v>4020</v>
      </c>
      <c r="V1958" s="35">
        <v>2.7316532258064516E-4</v>
      </c>
      <c r="W1958" s="13"/>
      <c r="X1958" s="47">
        <v>1954</v>
      </c>
      <c r="Y1958" s="47" t="s">
        <v>2248</v>
      </c>
      <c r="Z1958" s="47" t="s">
        <v>4534</v>
      </c>
      <c r="AA1958" s="48">
        <v>0.17102822580645163</v>
      </c>
      <c r="AB1958" s="13"/>
      <c r="AC1958" s="34">
        <v>1954</v>
      </c>
      <c r="AD1958" s="34" t="s">
        <v>4573</v>
      </c>
      <c r="AE1958" s="34" t="s">
        <v>3761</v>
      </c>
      <c r="AF1958" s="35">
        <v>1.7891129032258067E-3</v>
      </c>
    </row>
    <row r="1959" spans="19:32" x14ac:dyDescent="0.35">
      <c r="S1959" s="47">
        <v>1955</v>
      </c>
      <c r="T1959" s="47" t="s">
        <v>4284</v>
      </c>
      <c r="U1959" s="47" t="s">
        <v>3120</v>
      </c>
      <c r="V1959" s="48">
        <v>0</v>
      </c>
      <c r="W1959" s="13"/>
      <c r="X1959" s="34">
        <v>1955</v>
      </c>
      <c r="Y1959" s="34" t="s">
        <v>2248</v>
      </c>
      <c r="Z1959" s="34" t="s">
        <v>5226</v>
      </c>
      <c r="AA1959" s="35">
        <v>3.5302419354838716E-2</v>
      </c>
      <c r="AB1959" s="13"/>
      <c r="AC1959" s="34">
        <v>1955</v>
      </c>
      <c r="AD1959" s="34" t="s">
        <v>4573</v>
      </c>
      <c r="AE1959" s="34" t="s">
        <v>3756</v>
      </c>
      <c r="AF1959" s="35">
        <v>1.3401209677419356E-2</v>
      </c>
    </row>
    <row r="1960" spans="19:32" x14ac:dyDescent="0.35">
      <c r="S1960" s="34">
        <v>1956</v>
      </c>
      <c r="T1960" s="34" t="s">
        <v>4284</v>
      </c>
      <c r="U1960" s="34" t="s">
        <v>4019</v>
      </c>
      <c r="V1960" s="35">
        <v>2.172983870967742E-4</v>
      </c>
      <c r="W1960" s="13"/>
      <c r="X1960" s="47">
        <v>1956</v>
      </c>
      <c r="Y1960" s="47" t="s">
        <v>2248</v>
      </c>
      <c r="Z1960" s="47" t="s">
        <v>4533</v>
      </c>
      <c r="AA1960" s="48">
        <v>2.0118951612903228E-2</v>
      </c>
      <c r="AB1960" s="13"/>
      <c r="AC1960" s="34">
        <v>1956</v>
      </c>
      <c r="AD1960" s="34" t="s">
        <v>4573</v>
      </c>
      <c r="AE1960" s="34" t="s">
        <v>3032</v>
      </c>
      <c r="AF1960" s="35">
        <v>4.7298387096774191E-5</v>
      </c>
    </row>
    <row r="1961" spans="19:32" x14ac:dyDescent="0.35">
      <c r="S1961" s="47">
        <v>1957</v>
      </c>
      <c r="T1961" s="47" t="s">
        <v>4284</v>
      </c>
      <c r="U1961" s="47" t="s">
        <v>3118</v>
      </c>
      <c r="V1961" s="48">
        <v>0.55476000000000003</v>
      </c>
      <c r="W1961" s="13"/>
      <c r="X1961" s="47">
        <v>1957</v>
      </c>
      <c r="Y1961" s="47" t="s">
        <v>2248</v>
      </c>
      <c r="Z1961" s="47" t="s">
        <v>3255</v>
      </c>
      <c r="AA1961" s="48">
        <v>0</v>
      </c>
      <c r="AB1961" s="13"/>
      <c r="AC1961" s="47">
        <v>1957</v>
      </c>
      <c r="AD1961" s="47" t="s">
        <v>4573</v>
      </c>
      <c r="AE1961" s="47" t="s">
        <v>3032</v>
      </c>
      <c r="AF1961" s="48">
        <v>0</v>
      </c>
    </row>
    <row r="1962" spans="19:32" x14ac:dyDescent="0.35">
      <c r="S1962" s="34">
        <v>1958</v>
      </c>
      <c r="T1962" s="34" t="s">
        <v>4284</v>
      </c>
      <c r="U1962" s="34" t="s">
        <v>4016</v>
      </c>
      <c r="V1962" s="35">
        <v>0.16897177419354839</v>
      </c>
      <c r="W1962" s="13"/>
      <c r="X1962" s="34">
        <v>1958</v>
      </c>
      <c r="Y1962" s="34" t="s">
        <v>2248</v>
      </c>
      <c r="Z1962" s="34" t="s">
        <v>5225</v>
      </c>
      <c r="AA1962" s="35">
        <v>2.5054435483870971E-2</v>
      </c>
      <c r="AB1962" s="13"/>
      <c r="AC1962" s="34">
        <v>1958</v>
      </c>
      <c r="AD1962" s="34" t="s">
        <v>4573</v>
      </c>
      <c r="AE1962" s="34" t="s">
        <v>3748</v>
      </c>
      <c r="AF1962" s="35">
        <v>7.6431451612903236E-3</v>
      </c>
    </row>
    <row r="1963" spans="19:32" x14ac:dyDescent="0.35">
      <c r="S1963" s="34">
        <v>1959</v>
      </c>
      <c r="T1963" s="34" t="s">
        <v>4284</v>
      </c>
      <c r="U1963" s="34" t="s">
        <v>4015</v>
      </c>
      <c r="V1963" s="35">
        <v>0.64778225806451617</v>
      </c>
      <c r="W1963" s="13"/>
      <c r="X1963" s="47">
        <v>1959</v>
      </c>
      <c r="Y1963" s="47" t="s">
        <v>2248</v>
      </c>
      <c r="Z1963" s="47" t="s">
        <v>4532</v>
      </c>
      <c r="AA1963" s="48">
        <v>4.8326612903225813E-3</v>
      </c>
      <c r="AB1963" s="13"/>
      <c r="AC1963" s="34">
        <v>1959</v>
      </c>
      <c r="AD1963" s="34" t="s">
        <v>4573</v>
      </c>
      <c r="AE1963" s="34" t="s">
        <v>3744</v>
      </c>
      <c r="AF1963" s="35">
        <v>0.13401209677419357</v>
      </c>
    </row>
    <row r="1964" spans="19:32" x14ac:dyDescent="0.35">
      <c r="S1964" s="34">
        <v>1960</v>
      </c>
      <c r="T1964" s="34" t="s">
        <v>4284</v>
      </c>
      <c r="U1964" s="34" t="s">
        <v>4012</v>
      </c>
      <c r="V1964" s="35">
        <v>7.4375000000000005E-3</v>
      </c>
      <c r="W1964" s="13"/>
      <c r="X1964" s="47">
        <v>1960</v>
      </c>
      <c r="Y1964" s="47" t="s">
        <v>2248</v>
      </c>
      <c r="Z1964" s="47" t="s">
        <v>3254</v>
      </c>
      <c r="AA1964" s="48">
        <v>0</v>
      </c>
      <c r="AB1964" s="13"/>
      <c r="AC1964" s="34">
        <v>1960</v>
      </c>
      <c r="AD1964" s="34" t="s">
        <v>4573</v>
      </c>
      <c r="AE1964" s="34" t="s">
        <v>3031</v>
      </c>
      <c r="AF1964" s="35">
        <v>8.0201612903225809E-4</v>
      </c>
    </row>
    <row r="1965" spans="19:32" x14ac:dyDescent="0.35">
      <c r="S1965" s="34">
        <v>1961</v>
      </c>
      <c r="T1965" s="34" t="s">
        <v>4284</v>
      </c>
      <c r="U1965" s="34" t="s">
        <v>4009</v>
      </c>
      <c r="V1965" s="35">
        <v>5.0725806451612909E-3</v>
      </c>
      <c r="W1965" s="13"/>
      <c r="X1965" s="47">
        <v>1961</v>
      </c>
      <c r="Y1965" s="47" t="s">
        <v>2248</v>
      </c>
      <c r="Z1965" s="47" t="s">
        <v>3254</v>
      </c>
      <c r="AA1965" s="48">
        <v>9.8709677419354849E-4</v>
      </c>
      <c r="AB1965" s="13"/>
      <c r="AC1965" s="47">
        <v>1961</v>
      </c>
      <c r="AD1965" s="47" t="s">
        <v>4573</v>
      </c>
      <c r="AE1965" s="47" t="s">
        <v>3031</v>
      </c>
      <c r="AF1965" s="48">
        <v>1.4536</v>
      </c>
    </row>
    <row r="1966" spans="19:32" x14ac:dyDescent="0.35">
      <c r="S1966" s="34">
        <v>1962</v>
      </c>
      <c r="T1966" s="34" t="s">
        <v>4284</v>
      </c>
      <c r="U1966" s="34" t="s">
        <v>4006</v>
      </c>
      <c r="V1966" s="35">
        <v>2.344354838709678E-3</v>
      </c>
      <c r="W1966" s="13"/>
      <c r="X1966" s="34">
        <v>1962</v>
      </c>
      <c r="Y1966" s="34" t="s">
        <v>2248</v>
      </c>
      <c r="Z1966" s="34" t="s">
        <v>5224</v>
      </c>
      <c r="AA1966" s="35">
        <v>5.175403225806452E-2</v>
      </c>
      <c r="AB1966" s="13"/>
      <c r="AC1966" s="34">
        <v>1962</v>
      </c>
      <c r="AD1966" s="34" t="s">
        <v>4573</v>
      </c>
      <c r="AE1966" s="34" t="s">
        <v>3029</v>
      </c>
      <c r="AF1966" s="35">
        <v>7.2318548387096781E-4</v>
      </c>
    </row>
    <row r="1967" spans="19:32" x14ac:dyDescent="0.35">
      <c r="S1967" s="34">
        <v>1963</v>
      </c>
      <c r="T1967" s="34" t="s">
        <v>4284</v>
      </c>
      <c r="U1967" s="34" t="s">
        <v>4004</v>
      </c>
      <c r="V1967" s="35">
        <v>4.1129032258064519E-3</v>
      </c>
      <c r="W1967" s="13"/>
      <c r="X1967" s="34">
        <v>1963</v>
      </c>
      <c r="Y1967" s="34" t="s">
        <v>2248</v>
      </c>
      <c r="Z1967" s="34" t="s">
        <v>4531</v>
      </c>
      <c r="AA1967" s="35">
        <v>1.3915322580645163E-2</v>
      </c>
      <c r="AB1967" s="13"/>
      <c r="AC1967" s="47">
        <v>1963</v>
      </c>
      <c r="AD1967" s="47" t="s">
        <v>4573</v>
      </c>
      <c r="AE1967" s="47" t="s">
        <v>3029</v>
      </c>
      <c r="AF1967" s="48">
        <v>5.0968</v>
      </c>
    </row>
    <row r="1968" spans="19:32" x14ac:dyDescent="0.35">
      <c r="S1968" s="34">
        <v>1964</v>
      </c>
      <c r="T1968" s="34" t="s">
        <v>4284</v>
      </c>
      <c r="U1968" s="34" t="s">
        <v>3116</v>
      </c>
      <c r="V1968" s="35">
        <v>2.210685483870968E-2</v>
      </c>
      <c r="W1968" s="13"/>
      <c r="X1968" s="34">
        <v>1964</v>
      </c>
      <c r="Y1968" s="34" t="s">
        <v>2248</v>
      </c>
      <c r="Z1968" s="34" t="s">
        <v>5223</v>
      </c>
      <c r="AA1968" s="35">
        <v>1.583467741935484E-3</v>
      </c>
      <c r="AB1968" s="13"/>
      <c r="AC1968" s="34">
        <v>1964</v>
      </c>
      <c r="AD1968" s="34" t="s">
        <v>4573</v>
      </c>
      <c r="AE1968" s="34" t="s">
        <v>3028</v>
      </c>
      <c r="AF1968" s="35">
        <v>6.957661290322581E-2</v>
      </c>
    </row>
    <row r="1969" spans="19:32" x14ac:dyDescent="0.35">
      <c r="S1969" s="47">
        <v>1965</v>
      </c>
      <c r="T1969" s="47" t="s">
        <v>4284</v>
      </c>
      <c r="U1969" s="47" t="s">
        <v>3116</v>
      </c>
      <c r="V1969" s="48">
        <v>0</v>
      </c>
      <c r="W1969" s="13"/>
      <c r="X1969" s="47">
        <v>1965</v>
      </c>
      <c r="Y1969" s="47" t="s">
        <v>2248</v>
      </c>
      <c r="Z1969" s="47" t="s">
        <v>3252</v>
      </c>
      <c r="AA1969" s="48">
        <v>0</v>
      </c>
      <c r="AB1969" s="13"/>
      <c r="AC1969" s="47">
        <v>1965</v>
      </c>
      <c r="AD1969" s="47" t="s">
        <v>4573</v>
      </c>
      <c r="AE1969" s="47" t="s">
        <v>3028</v>
      </c>
      <c r="AF1969" s="48">
        <v>183.08</v>
      </c>
    </row>
    <row r="1970" spans="19:32" x14ac:dyDescent="0.35">
      <c r="S1970" s="34">
        <v>1966</v>
      </c>
      <c r="T1970" s="34" t="s">
        <v>4284</v>
      </c>
      <c r="U1970" s="34" t="s">
        <v>4001</v>
      </c>
      <c r="V1970" s="35">
        <v>6.8891129032258067E-2</v>
      </c>
      <c r="W1970" s="13"/>
      <c r="X1970" s="47">
        <v>1966</v>
      </c>
      <c r="Y1970" s="47" t="s">
        <v>2248</v>
      </c>
      <c r="Z1970" s="47" t="s">
        <v>3252</v>
      </c>
      <c r="AA1970" s="48">
        <v>1.3264112903225808E-2</v>
      </c>
      <c r="AB1970" s="13"/>
      <c r="AC1970" s="34">
        <v>1966</v>
      </c>
      <c r="AD1970" s="34" t="s">
        <v>4573</v>
      </c>
      <c r="AE1970" s="34" t="s">
        <v>3728</v>
      </c>
      <c r="AF1970" s="35">
        <v>1.0796370967741937</v>
      </c>
    </row>
    <row r="1971" spans="19:32" x14ac:dyDescent="0.35">
      <c r="S1971" s="34">
        <v>1967</v>
      </c>
      <c r="T1971" s="34" t="s">
        <v>4284</v>
      </c>
      <c r="U1971" s="34" t="s">
        <v>4000</v>
      </c>
      <c r="V1971" s="35">
        <v>1.1036290322580646</v>
      </c>
      <c r="W1971" s="13"/>
      <c r="X1971" s="34">
        <v>1967</v>
      </c>
      <c r="Y1971" s="34" t="s">
        <v>2248</v>
      </c>
      <c r="Z1971" s="34" t="s">
        <v>4530</v>
      </c>
      <c r="AA1971" s="35">
        <v>1.6177419354838709E-4</v>
      </c>
      <c r="AB1971" s="13"/>
      <c r="AC1971" s="47">
        <v>1967</v>
      </c>
      <c r="AD1971" s="47" t="s">
        <v>4573</v>
      </c>
      <c r="AE1971" s="47" t="s">
        <v>3026</v>
      </c>
      <c r="AF1971" s="48">
        <v>11.224</v>
      </c>
    </row>
    <row r="1972" spans="19:32" x14ac:dyDescent="0.35">
      <c r="S1972" s="34">
        <v>1968</v>
      </c>
      <c r="T1972" s="34" t="s">
        <v>4284</v>
      </c>
      <c r="U1972" s="34" t="s">
        <v>3997</v>
      </c>
      <c r="V1972" s="35">
        <v>3.8387096774193552E-2</v>
      </c>
      <c r="W1972" s="13"/>
      <c r="X1972" s="34">
        <v>1968</v>
      </c>
      <c r="Y1972" s="34" t="s">
        <v>2248</v>
      </c>
      <c r="Z1972" s="34" t="s">
        <v>5222</v>
      </c>
      <c r="AA1972" s="35">
        <v>0.21901209677419356</v>
      </c>
      <c r="AB1972" s="13"/>
      <c r="AC1972" s="34">
        <v>1968</v>
      </c>
      <c r="AD1972" s="34" t="s">
        <v>4573</v>
      </c>
      <c r="AE1972" s="34" t="s">
        <v>3725</v>
      </c>
      <c r="AF1972" s="35">
        <v>9.2197580645161301E-3</v>
      </c>
    </row>
    <row r="1973" spans="19:32" x14ac:dyDescent="0.35">
      <c r="S1973" s="34">
        <v>1969</v>
      </c>
      <c r="T1973" s="34" t="s">
        <v>4284</v>
      </c>
      <c r="U1973" s="34" t="s">
        <v>3996</v>
      </c>
      <c r="V1973" s="35">
        <v>0.16657258064516131</v>
      </c>
      <c r="W1973" s="13"/>
      <c r="X1973" s="47">
        <v>1969</v>
      </c>
      <c r="Y1973" s="47" t="s">
        <v>2248</v>
      </c>
      <c r="Z1973" s="47" t="s">
        <v>4529</v>
      </c>
      <c r="AA1973" s="48">
        <v>5.7237903225806457E-2</v>
      </c>
      <c r="AB1973" s="13"/>
      <c r="AC1973" s="47">
        <v>1969</v>
      </c>
      <c r="AD1973" s="47" t="s">
        <v>4573</v>
      </c>
      <c r="AE1973" s="47" t="s">
        <v>3025</v>
      </c>
      <c r="AF1973" s="48">
        <v>0</v>
      </c>
    </row>
    <row r="1974" spans="19:32" x14ac:dyDescent="0.35">
      <c r="S1974" s="34">
        <v>1970</v>
      </c>
      <c r="T1974" s="34" t="s">
        <v>4284</v>
      </c>
      <c r="U1974" s="34" t="s">
        <v>3993</v>
      </c>
      <c r="V1974" s="35">
        <v>2.4506048387096777E-7</v>
      </c>
      <c r="W1974" s="13"/>
      <c r="X1974" s="47">
        <v>1970</v>
      </c>
      <c r="Y1974" s="47" t="s">
        <v>2248</v>
      </c>
      <c r="Z1974" s="47" t="s">
        <v>3251</v>
      </c>
      <c r="AA1974" s="48">
        <v>3.2660000000000002E-2</v>
      </c>
      <c r="AB1974" s="13"/>
      <c r="AC1974" s="34">
        <v>1970</v>
      </c>
      <c r="AD1974" s="34" t="s">
        <v>4573</v>
      </c>
      <c r="AE1974" s="34" t="s">
        <v>3722</v>
      </c>
      <c r="AF1974" s="35">
        <v>1.4429435483870968E-2</v>
      </c>
    </row>
    <row r="1975" spans="19:32" x14ac:dyDescent="0.35">
      <c r="S1975" s="34">
        <v>1971</v>
      </c>
      <c r="T1975" s="34" t="s">
        <v>4284</v>
      </c>
      <c r="U1975" s="34" t="s">
        <v>3115</v>
      </c>
      <c r="V1975" s="35">
        <v>0.10145161290322581</v>
      </c>
      <c r="W1975" s="13"/>
      <c r="X1975" s="34">
        <v>1971</v>
      </c>
      <c r="Y1975" s="34" t="s">
        <v>2248</v>
      </c>
      <c r="Z1975" s="34" t="s">
        <v>3251</v>
      </c>
      <c r="AA1975" s="35">
        <v>2.1078629032258065E-3</v>
      </c>
      <c r="AB1975" s="13"/>
      <c r="AC1975" s="34">
        <v>1971</v>
      </c>
      <c r="AD1975" s="34" t="s">
        <v>4573</v>
      </c>
      <c r="AE1975" s="34" t="s">
        <v>3718</v>
      </c>
      <c r="AF1975" s="35">
        <v>1.6588709677419355</v>
      </c>
    </row>
    <row r="1976" spans="19:32" x14ac:dyDescent="0.35">
      <c r="S1976" s="47">
        <v>1972</v>
      </c>
      <c r="T1976" s="47" t="s">
        <v>4284</v>
      </c>
      <c r="U1976" s="47" t="s">
        <v>3115</v>
      </c>
      <c r="V1976" s="48">
        <v>0</v>
      </c>
      <c r="W1976" s="13"/>
      <c r="X1976" s="34">
        <v>1972</v>
      </c>
      <c r="Y1976" s="34" t="s">
        <v>2248</v>
      </c>
      <c r="Z1976" s="34" t="s">
        <v>5221</v>
      </c>
      <c r="AA1976" s="35">
        <v>5.4153225806451621E-4</v>
      </c>
      <c r="AB1976" s="13"/>
      <c r="AC1976" s="34">
        <v>1972</v>
      </c>
      <c r="AD1976" s="34" t="s">
        <v>4573</v>
      </c>
      <c r="AE1976" s="34" t="s">
        <v>3712</v>
      </c>
      <c r="AF1976" s="35">
        <v>6.4435483870967749</v>
      </c>
    </row>
    <row r="1977" spans="19:32" x14ac:dyDescent="0.35">
      <c r="S1977" s="47">
        <v>1973</v>
      </c>
      <c r="T1977" s="47" t="s">
        <v>4284</v>
      </c>
      <c r="U1977" s="47" t="s">
        <v>3113</v>
      </c>
      <c r="V1977" s="48">
        <v>4.3608000000000002</v>
      </c>
      <c r="W1977" s="13"/>
      <c r="X1977" s="47">
        <v>1973</v>
      </c>
      <c r="Y1977" s="47" t="s">
        <v>2248</v>
      </c>
      <c r="Z1977" s="47" t="s">
        <v>4528</v>
      </c>
      <c r="AA1977" s="48">
        <v>2.2997983870967745E-4</v>
      </c>
      <c r="AB1977" s="13"/>
      <c r="AC1977" s="34">
        <v>1973</v>
      </c>
      <c r="AD1977" s="34" t="s">
        <v>4573</v>
      </c>
      <c r="AE1977" s="34" t="s">
        <v>3023</v>
      </c>
      <c r="AF1977" s="35">
        <v>2.4060483870967743E-2</v>
      </c>
    </row>
    <row r="1978" spans="19:32" x14ac:dyDescent="0.35">
      <c r="S1978" s="34">
        <v>1974</v>
      </c>
      <c r="T1978" s="34" t="s">
        <v>4284</v>
      </c>
      <c r="U1978" s="34" t="s">
        <v>3112</v>
      </c>
      <c r="V1978" s="35">
        <v>1.4018145161290324E-7</v>
      </c>
      <c r="W1978" s="13"/>
      <c r="X1978" s="34">
        <v>1974</v>
      </c>
      <c r="Y1978" s="34" t="s">
        <v>2248</v>
      </c>
      <c r="Z1978" s="34" t="s">
        <v>5220</v>
      </c>
      <c r="AA1978" s="35">
        <v>1.4120967741935485E-3</v>
      </c>
      <c r="AB1978" s="13"/>
      <c r="AC1978" s="47">
        <v>1974</v>
      </c>
      <c r="AD1978" s="47" t="s">
        <v>4573</v>
      </c>
      <c r="AE1978" s="47" t="s">
        <v>3023</v>
      </c>
      <c r="AF1978" s="48">
        <v>0</v>
      </c>
    </row>
    <row r="1979" spans="19:32" x14ac:dyDescent="0.35">
      <c r="S1979" s="47">
        <v>1975</v>
      </c>
      <c r="T1979" s="47" t="s">
        <v>4284</v>
      </c>
      <c r="U1979" s="47" t="s">
        <v>3112</v>
      </c>
      <c r="V1979" s="48">
        <v>3.9835999999999996E-2</v>
      </c>
      <c r="W1979" s="13"/>
      <c r="X1979" s="47">
        <v>1975</v>
      </c>
      <c r="Y1979" s="47" t="s">
        <v>2248</v>
      </c>
      <c r="Z1979" s="47" t="s">
        <v>3249</v>
      </c>
      <c r="AA1979" s="48">
        <v>0.10856</v>
      </c>
      <c r="AB1979" s="13"/>
      <c r="AC1979" s="34">
        <v>1975</v>
      </c>
      <c r="AD1979" s="34" t="s">
        <v>4573</v>
      </c>
      <c r="AE1979" s="34" t="s">
        <v>3704</v>
      </c>
      <c r="AF1979" s="35">
        <v>2.7933467741935486E-3</v>
      </c>
    </row>
    <row r="1980" spans="19:32" x14ac:dyDescent="0.35">
      <c r="S1980" s="47">
        <v>1976</v>
      </c>
      <c r="T1980" s="47" t="s">
        <v>4284</v>
      </c>
      <c r="U1980" s="47" t="s">
        <v>3111</v>
      </c>
      <c r="V1980" s="48">
        <v>0</v>
      </c>
      <c r="W1980" s="13"/>
      <c r="X1980" s="47">
        <v>1976</v>
      </c>
      <c r="Y1980" s="47" t="s">
        <v>2248</v>
      </c>
      <c r="Z1980" s="47" t="s">
        <v>3249</v>
      </c>
      <c r="AA1980" s="48">
        <v>7.0947580645161289E-5</v>
      </c>
      <c r="AB1980" s="13"/>
      <c r="AC1980" s="34">
        <v>1976</v>
      </c>
      <c r="AD1980" s="34" t="s">
        <v>4573</v>
      </c>
      <c r="AE1980" s="34" t="s">
        <v>3700</v>
      </c>
      <c r="AF1980" s="35">
        <v>6.6491935483870973E-3</v>
      </c>
    </row>
    <row r="1981" spans="19:32" x14ac:dyDescent="0.35">
      <c r="S1981" s="47">
        <v>1977</v>
      </c>
      <c r="T1981" s="47" t="s">
        <v>4284</v>
      </c>
      <c r="U1981" s="47" t="s">
        <v>3110</v>
      </c>
      <c r="V1981" s="48">
        <v>0</v>
      </c>
      <c r="W1981" s="13"/>
      <c r="X1981" s="47">
        <v>1977</v>
      </c>
      <c r="Y1981" s="47" t="s">
        <v>2248</v>
      </c>
      <c r="Z1981" s="47" t="s">
        <v>4527</v>
      </c>
      <c r="AA1981" s="48">
        <v>0.25431451612903228</v>
      </c>
      <c r="AB1981" s="13"/>
      <c r="AC1981" s="34">
        <v>1977</v>
      </c>
      <c r="AD1981" s="34" t="s">
        <v>4573</v>
      </c>
      <c r="AE1981" s="34" t="s">
        <v>3021</v>
      </c>
      <c r="AF1981" s="35">
        <v>1.8542338709677422E-3</v>
      </c>
    </row>
    <row r="1982" spans="19:32" x14ac:dyDescent="0.35">
      <c r="S1982" s="34">
        <v>1978</v>
      </c>
      <c r="T1982" s="34" t="s">
        <v>4284</v>
      </c>
      <c r="U1982" s="34" t="s">
        <v>3987</v>
      </c>
      <c r="V1982" s="35">
        <v>4.1471774193548389E-2</v>
      </c>
      <c r="W1982" s="13"/>
      <c r="X1982" s="34">
        <v>1978</v>
      </c>
      <c r="Y1982" s="34" t="s">
        <v>2248</v>
      </c>
      <c r="Z1982" s="34" t="s">
        <v>5219</v>
      </c>
      <c r="AA1982" s="35">
        <v>6.6491935483870967E-4</v>
      </c>
      <c r="AB1982" s="13"/>
      <c r="AC1982" s="47">
        <v>1978</v>
      </c>
      <c r="AD1982" s="47" t="s">
        <v>4573</v>
      </c>
      <c r="AE1982" s="47" t="s">
        <v>3021</v>
      </c>
      <c r="AF1982" s="48">
        <v>1.9595999999999999E-2</v>
      </c>
    </row>
    <row r="1983" spans="19:32" x14ac:dyDescent="0.35">
      <c r="S1983" s="34">
        <v>1979</v>
      </c>
      <c r="T1983" s="34" t="s">
        <v>4284</v>
      </c>
      <c r="U1983" s="34" t="s">
        <v>3984</v>
      </c>
      <c r="V1983" s="35">
        <v>6.6491935483870973E-2</v>
      </c>
      <c r="W1983" s="13"/>
      <c r="X1983" s="47">
        <v>1979</v>
      </c>
      <c r="Y1983" s="47" t="s">
        <v>2248</v>
      </c>
      <c r="Z1983" s="47" t="s">
        <v>3248</v>
      </c>
      <c r="AA1983" s="48">
        <v>0.88595999999999997</v>
      </c>
      <c r="AB1983" s="13"/>
      <c r="AC1983" s="34">
        <v>1979</v>
      </c>
      <c r="AD1983" s="34" t="s">
        <v>4573</v>
      </c>
      <c r="AE1983" s="34" t="s">
        <v>3020</v>
      </c>
      <c r="AF1983" s="35">
        <v>3.1566532258064518E-3</v>
      </c>
    </row>
    <row r="1984" spans="19:32" x14ac:dyDescent="0.35">
      <c r="S1984" s="36">
        <v>1980</v>
      </c>
      <c r="T1984" s="36" t="s">
        <v>4284</v>
      </c>
      <c r="U1984" s="36" t="s">
        <v>5218</v>
      </c>
      <c r="V1984" s="37">
        <v>3.2260499999999999</v>
      </c>
      <c r="W1984" s="13"/>
      <c r="X1984" s="47">
        <v>1980</v>
      </c>
      <c r="Y1984" s="47" t="s">
        <v>2248</v>
      </c>
      <c r="Z1984" s="47" t="s">
        <v>4526</v>
      </c>
      <c r="AA1984" s="48">
        <v>1.0008064516129032E-3</v>
      </c>
      <c r="AB1984" s="13"/>
      <c r="AC1984" s="47">
        <v>1980</v>
      </c>
      <c r="AD1984" s="47" t="s">
        <v>4573</v>
      </c>
      <c r="AE1984" s="47" t="s">
        <v>3020</v>
      </c>
      <c r="AF1984" s="48">
        <v>3.8640000000000001E-2</v>
      </c>
    </row>
    <row r="1985" spans="19:32" x14ac:dyDescent="0.35">
      <c r="S1985" s="34">
        <v>1981</v>
      </c>
      <c r="T1985" s="34" t="s">
        <v>4284</v>
      </c>
      <c r="U1985" s="34" t="s">
        <v>3983</v>
      </c>
      <c r="V1985" s="35">
        <v>3.0127016129032259E-4</v>
      </c>
      <c r="W1985" s="13"/>
      <c r="X1985" s="34">
        <v>1981</v>
      </c>
      <c r="Y1985" s="34" t="s">
        <v>2248</v>
      </c>
      <c r="Z1985" s="34" t="s">
        <v>5217</v>
      </c>
      <c r="AA1985" s="35">
        <v>8.5685483870967744E-4</v>
      </c>
      <c r="AB1985" s="13"/>
      <c r="AC1985" s="47">
        <v>1981</v>
      </c>
      <c r="AD1985" s="47" t="s">
        <v>4573</v>
      </c>
      <c r="AE1985" s="47" t="s">
        <v>3018</v>
      </c>
      <c r="AF1985" s="48">
        <v>8.2431999999999991E-2</v>
      </c>
    </row>
    <row r="1986" spans="19:32" x14ac:dyDescent="0.35">
      <c r="S1986" s="34">
        <v>1982</v>
      </c>
      <c r="T1986" s="34" t="s">
        <v>4284</v>
      </c>
      <c r="U1986" s="34" t="s">
        <v>3982</v>
      </c>
      <c r="V1986" s="35">
        <v>3.5302419354838717E-8</v>
      </c>
      <c r="W1986" s="13"/>
      <c r="X1986" s="47">
        <v>1982</v>
      </c>
      <c r="Y1986" s="47" t="s">
        <v>2248</v>
      </c>
      <c r="Z1986" s="47" t="s">
        <v>3246</v>
      </c>
      <c r="AA1986" s="48">
        <v>0</v>
      </c>
      <c r="AB1986" s="13"/>
      <c r="AC1986" s="47">
        <v>1982</v>
      </c>
      <c r="AD1986" s="47" t="s">
        <v>4573</v>
      </c>
      <c r="AE1986" s="47" t="s">
        <v>3017</v>
      </c>
      <c r="AF1986" s="48">
        <v>1.5640000000000001E-2</v>
      </c>
    </row>
    <row r="1987" spans="19:32" x14ac:dyDescent="0.35">
      <c r="S1987" s="34">
        <v>1983</v>
      </c>
      <c r="T1987" s="34" t="s">
        <v>4284</v>
      </c>
      <c r="U1987" s="34" t="s">
        <v>3979</v>
      </c>
      <c r="V1987" s="35">
        <v>2.4026209677419356E-7</v>
      </c>
      <c r="W1987" s="13"/>
      <c r="X1987" s="34">
        <v>1983</v>
      </c>
      <c r="Y1987" s="34" t="s">
        <v>2248</v>
      </c>
      <c r="Z1987" s="34" t="s">
        <v>3246</v>
      </c>
      <c r="AA1987" s="35">
        <v>1.9639112903225807E-2</v>
      </c>
      <c r="AB1987" s="13"/>
      <c r="AC1987" s="47">
        <v>1983</v>
      </c>
      <c r="AD1987" s="47" t="s">
        <v>4573</v>
      </c>
      <c r="AE1987" s="47" t="s">
        <v>3015</v>
      </c>
      <c r="AF1987" s="48">
        <v>7.9028000000000001E-2</v>
      </c>
    </row>
    <row r="1988" spans="19:32" x14ac:dyDescent="0.35">
      <c r="S1988" s="34">
        <v>1984</v>
      </c>
      <c r="T1988" s="34" t="s">
        <v>4284</v>
      </c>
      <c r="U1988" s="34" t="s">
        <v>3978</v>
      </c>
      <c r="V1988" s="35">
        <v>7.6088709677419361E-4</v>
      </c>
      <c r="W1988" s="13"/>
      <c r="X1988" s="34">
        <v>1984</v>
      </c>
      <c r="Y1988" s="34" t="s">
        <v>2248</v>
      </c>
      <c r="Z1988" s="34" t="s">
        <v>5216</v>
      </c>
      <c r="AA1988" s="35">
        <v>1.394959677419355E-4</v>
      </c>
      <c r="AB1988" s="13"/>
      <c r="AC1988" s="34">
        <v>1984</v>
      </c>
      <c r="AD1988" s="34" t="s">
        <v>4573</v>
      </c>
      <c r="AE1988" s="34" t="s">
        <v>3688</v>
      </c>
      <c r="AF1988" s="35">
        <v>8.3971774193548399E-2</v>
      </c>
    </row>
    <row r="1989" spans="19:32" x14ac:dyDescent="0.35">
      <c r="S1989" s="34">
        <v>1985</v>
      </c>
      <c r="T1989" s="34" t="s">
        <v>4284</v>
      </c>
      <c r="U1989" s="34" t="s">
        <v>3977</v>
      </c>
      <c r="V1989" s="35">
        <v>1.5629032258064517E-9</v>
      </c>
      <c r="W1989" s="13"/>
      <c r="X1989" s="47">
        <v>1985</v>
      </c>
      <c r="Y1989" s="47" t="s">
        <v>2248</v>
      </c>
      <c r="Z1989" s="47" t="s">
        <v>3244</v>
      </c>
      <c r="AA1989" s="48">
        <v>0.17480000000000001</v>
      </c>
      <c r="AB1989" s="13"/>
      <c r="AC1989" s="34">
        <v>1985</v>
      </c>
      <c r="AD1989" s="34" t="s">
        <v>4573</v>
      </c>
      <c r="AE1989" s="34" t="s">
        <v>3014</v>
      </c>
      <c r="AF1989" s="35">
        <v>7.7459677419354847E-2</v>
      </c>
    </row>
    <row r="1990" spans="19:32" x14ac:dyDescent="0.35">
      <c r="S1990" s="34">
        <v>1986</v>
      </c>
      <c r="T1990" s="34" t="s">
        <v>4284</v>
      </c>
      <c r="U1990" s="34" t="s">
        <v>3974</v>
      </c>
      <c r="V1990" s="35">
        <v>2.2689516129032261E-4</v>
      </c>
      <c r="W1990" s="13"/>
      <c r="X1990" s="47">
        <v>1986</v>
      </c>
      <c r="Y1990" s="47" t="s">
        <v>2248</v>
      </c>
      <c r="Z1990" s="47" t="s">
        <v>3244</v>
      </c>
      <c r="AA1990" s="48">
        <v>2.3889112903225808E-6</v>
      </c>
      <c r="AB1990" s="13"/>
      <c r="AC1990" s="47">
        <v>1986</v>
      </c>
      <c r="AD1990" s="47" t="s">
        <v>4573</v>
      </c>
      <c r="AE1990" s="47" t="s">
        <v>3014</v>
      </c>
      <c r="AF1990" s="48">
        <v>0</v>
      </c>
    </row>
    <row r="1991" spans="19:32" x14ac:dyDescent="0.35">
      <c r="S1991" s="34">
        <v>1987</v>
      </c>
      <c r="T1991" s="34" t="s">
        <v>4284</v>
      </c>
      <c r="U1991" s="34" t="s">
        <v>3972</v>
      </c>
      <c r="V1991" s="35">
        <v>3.4171370967741939E-3</v>
      </c>
      <c r="W1991" s="13"/>
      <c r="X1991" s="34">
        <v>1987</v>
      </c>
      <c r="Y1991" s="34" t="s">
        <v>2248</v>
      </c>
      <c r="Z1991" s="34" t="s">
        <v>4525</v>
      </c>
      <c r="AA1991" s="35">
        <v>2.7487903225806454E-3</v>
      </c>
      <c r="AB1991" s="13"/>
      <c r="AC1991" s="34">
        <v>1987</v>
      </c>
      <c r="AD1991" s="34" t="s">
        <v>4573</v>
      </c>
      <c r="AE1991" s="34" t="s">
        <v>3680</v>
      </c>
      <c r="AF1991" s="35">
        <v>17.822580645161292</v>
      </c>
    </row>
    <row r="1992" spans="19:32" x14ac:dyDescent="0.35">
      <c r="S1992" s="34">
        <v>1988</v>
      </c>
      <c r="T1992" s="34" t="s">
        <v>4284</v>
      </c>
      <c r="U1992" s="34" t="s">
        <v>3970</v>
      </c>
      <c r="V1992" s="35">
        <v>1.7479838709677422E-8</v>
      </c>
      <c r="W1992" s="13"/>
      <c r="X1992" s="34">
        <v>1988</v>
      </c>
      <c r="Y1992" s="34" t="s">
        <v>2248</v>
      </c>
      <c r="Z1992" s="34" t="s">
        <v>5215</v>
      </c>
      <c r="AA1992" s="35">
        <v>2.5362903225806453E-2</v>
      </c>
      <c r="AB1992" s="13"/>
      <c r="AC1992" s="34">
        <v>1988</v>
      </c>
      <c r="AD1992" s="34" t="s">
        <v>4573</v>
      </c>
      <c r="AE1992" s="34" t="s">
        <v>3676</v>
      </c>
      <c r="AF1992" s="35">
        <v>1.1858870967741937</v>
      </c>
    </row>
    <row r="1993" spans="19:32" x14ac:dyDescent="0.35">
      <c r="S1993" s="34">
        <v>1989</v>
      </c>
      <c r="T1993" s="34" t="s">
        <v>4284</v>
      </c>
      <c r="U1993" s="34" t="s">
        <v>3967</v>
      </c>
      <c r="V1993" s="35">
        <v>5.0725806451612909E-3</v>
      </c>
      <c r="W1993" s="13"/>
      <c r="X1993" s="47">
        <v>1989</v>
      </c>
      <c r="Y1993" s="47" t="s">
        <v>2248</v>
      </c>
      <c r="Z1993" s="47" t="s">
        <v>3243</v>
      </c>
      <c r="AA1993" s="48">
        <v>1.6927999999999999E-3</v>
      </c>
      <c r="AB1993" s="13"/>
      <c r="AC1993" s="34">
        <v>1989</v>
      </c>
      <c r="AD1993" s="34" t="s">
        <v>4573</v>
      </c>
      <c r="AE1993" s="34" t="s">
        <v>3672</v>
      </c>
      <c r="AF1993" s="35">
        <v>4.0100806451612909</v>
      </c>
    </row>
    <row r="1994" spans="19:32" x14ac:dyDescent="0.35">
      <c r="S1994" s="34">
        <v>1990</v>
      </c>
      <c r="T1994" s="34" t="s">
        <v>4284</v>
      </c>
      <c r="U1994" s="34" t="s">
        <v>3966</v>
      </c>
      <c r="V1994" s="35">
        <v>1.0110887096774194E-2</v>
      </c>
      <c r="W1994" s="13"/>
      <c r="X1994" s="47">
        <v>1990</v>
      </c>
      <c r="Y1994" s="47" t="s">
        <v>2248</v>
      </c>
      <c r="Z1994" s="47" t="s">
        <v>3243</v>
      </c>
      <c r="AA1994" s="48">
        <v>0.28310483870967745</v>
      </c>
      <c r="AB1994" s="13"/>
      <c r="AC1994" s="34">
        <v>1990</v>
      </c>
      <c r="AD1994" s="34" t="s">
        <v>4573</v>
      </c>
      <c r="AE1994" s="34" t="s">
        <v>3666</v>
      </c>
      <c r="AF1994" s="35">
        <v>7.4375000000000004E-6</v>
      </c>
    </row>
    <row r="1995" spans="19:32" x14ac:dyDescent="0.35">
      <c r="S1995" s="34">
        <v>1991</v>
      </c>
      <c r="T1995" s="34" t="s">
        <v>4284</v>
      </c>
      <c r="U1995" s="34" t="s">
        <v>3965</v>
      </c>
      <c r="V1995" s="35">
        <v>9.5967741935483885E-10</v>
      </c>
      <c r="W1995" s="13"/>
      <c r="X1995" s="34">
        <v>1991</v>
      </c>
      <c r="Y1995" s="34" t="s">
        <v>2248</v>
      </c>
      <c r="Z1995" s="34" t="s">
        <v>5214</v>
      </c>
      <c r="AA1995" s="35">
        <v>5.4838709677419359E-4</v>
      </c>
      <c r="AB1995" s="13"/>
      <c r="AC1995" s="34">
        <v>1991</v>
      </c>
      <c r="AD1995" s="34" t="s">
        <v>4573</v>
      </c>
      <c r="AE1995" s="34" t="s">
        <v>3662</v>
      </c>
      <c r="AF1995" s="35">
        <v>7.0947580645161299</v>
      </c>
    </row>
    <row r="1996" spans="19:32" x14ac:dyDescent="0.35">
      <c r="S1996" s="34">
        <v>1992</v>
      </c>
      <c r="T1996" s="34" t="s">
        <v>4284</v>
      </c>
      <c r="U1996" s="34" t="s">
        <v>3964</v>
      </c>
      <c r="V1996" s="35">
        <v>6.0665322580645165E-2</v>
      </c>
      <c r="W1996" s="13"/>
      <c r="X1996" s="34">
        <v>1992</v>
      </c>
      <c r="Y1996" s="34" t="s">
        <v>2248</v>
      </c>
      <c r="Z1996" s="34" t="s">
        <v>4524</v>
      </c>
      <c r="AA1996" s="35">
        <v>1.7377016129032259E-2</v>
      </c>
      <c r="AB1996" s="13"/>
      <c r="AC1996" s="34">
        <v>1992</v>
      </c>
      <c r="AD1996" s="34" t="s">
        <v>4573</v>
      </c>
      <c r="AE1996" s="34" t="s">
        <v>3659</v>
      </c>
      <c r="AF1996" s="35">
        <v>0.12133064516129033</v>
      </c>
    </row>
    <row r="1997" spans="19:32" x14ac:dyDescent="0.35">
      <c r="S1997" s="34">
        <v>1993</v>
      </c>
      <c r="T1997" s="34" t="s">
        <v>4284</v>
      </c>
      <c r="U1997" s="34" t="s">
        <v>3963</v>
      </c>
      <c r="V1997" s="35">
        <v>5.9979838709677425E-3</v>
      </c>
      <c r="W1997" s="13"/>
      <c r="X1997" s="47">
        <v>1993</v>
      </c>
      <c r="Y1997" s="47" t="s">
        <v>2248</v>
      </c>
      <c r="Z1997" s="47" t="s">
        <v>3241</v>
      </c>
      <c r="AA1997" s="48">
        <v>0</v>
      </c>
      <c r="AB1997" s="13"/>
      <c r="AC1997" s="34">
        <v>1993</v>
      </c>
      <c r="AD1997" s="34" t="s">
        <v>4573</v>
      </c>
      <c r="AE1997" s="34" t="s">
        <v>3653</v>
      </c>
      <c r="AF1997" s="35">
        <v>6.7520161290322589</v>
      </c>
    </row>
    <row r="1998" spans="19:32" x14ac:dyDescent="0.35">
      <c r="S1998" s="34">
        <v>1994</v>
      </c>
      <c r="T1998" s="34" t="s">
        <v>4284</v>
      </c>
      <c r="U1998" s="34" t="s">
        <v>3108</v>
      </c>
      <c r="V1998" s="35">
        <v>6.2036290322580647E-3</v>
      </c>
      <c r="W1998" s="13"/>
      <c r="X1998" s="34">
        <v>1994</v>
      </c>
      <c r="Y1998" s="34" t="s">
        <v>2248</v>
      </c>
      <c r="Z1998" s="34" t="s">
        <v>5213</v>
      </c>
      <c r="AA1998" s="35">
        <v>3.0504032258064518E-2</v>
      </c>
      <c r="AB1998" s="13"/>
      <c r="AC1998" s="34">
        <v>1994</v>
      </c>
      <c r="AD1998" s="34" t="s">
        <v>4573</v>
      </c>
      <c r="AE1998" s="34" t="s">
        <v>3650</v>
      </c>
      <c r="AF1998" s="35">
        <v>1.6828629032258067</v>
      </c>
    </row>
    <row r="1999" spans="19:32" x14ac:dyDescent="0.35">
      <c r="S1999" s="47">
        <v>1995</v>
      </c>
      <c r="T1999" s="47" t="s">
        <v>4284</v>
      </c>
      <c r="U1999" s="47" t="s">
        <v>3108</v>
      </c>
      <c r="V1999" s="48">
        <v>0</v>
      </c>
      <c r="W1999" s="13"/>
      <c r="X1999" s="47">
        <v>1995</v>
      </c>
      <c r="Y1999" s="47" t="s">
        <v>2248</v>
      </c>
      <c r="Z1999" s="47" t="s">
        <v>4523</v>
      </c>
      <c r="AA1999" s="48">
        <v>7.8487903225806459</v>
      </c>
      <c r="AB1999" s="13"/>
      <c r="AC1999" s="34">
        <v>1995</v>
      </c>
      <c r="AD1999" s="34" t="s">
        <v>4573</v>
      </c>
      <c r="AE1999" s="34" t="s">
        <v>3647</v>
      </c>
      <c r="AF1999" s="35">
        <v>1.9673387096774195</v>
      </c>
    </row>
    <row r="2000" spans="19:32" x14ac:dyDescent="0.35">
      <c r="S2000" s="34">
        <v>1996</v>
      </c>
      <c r="T2000" s="34" t="s">
        <v>4284</v>
      </c>
      <c r="U2000" s="34" t="s">
        <v>3107</v>
      </c>
      <c r="V2000" s="35">
        <v>6.409274193548388E-2</v>
      </c>
      <c r="W2000" s="13"/>
      <c r="X2000" s="47">
        <v>1996</v>
      </c>
      <c r="Y2000" s="47" t="s">
        <v>2248</v>
      </c>
      <c r="Z2000" s="47" t="s">
        <v>4522</v>
      </c>
      <c r="AA2000" s="48">
        <v>1.5697580645161292E-2</v>
      </c>
      <c r="AB2000" s="13"/>
      <c r="AC2000" s="34">
        <v>1996</v>
      </c>
      <c r="AD2000" s="34" t="s">
        <v>4573</v>
      </c>
      <c r="AE2000" s="34" t="s">
        <v>3641</v>
      </c>
      <c r="AF2000" s="35">
        <v>1.1310483870967742</v>
      </c>
    </row>
    <row r="2001" spans="19:32" x14ac:dyDescent="0.35">
      <c r="S2001" s="47">
        <v>1997</v>
      </c>
      <c r="T2001" s="47" t="s">
        <v>4284</v>
      </c>
      <c r="U2001" s="47" t="s">
        <v>3107</v>
      </c>
      <c r="V2001" s="48">
        <v>0</v>
      </c>
      <c r="W2001" s="13"/>
      <c r="X2001" s="47">
        <v>1997</v>
      </c>
      <c r="Y2001" s="47" t="s">
        <v>2248</v>
      </c>
      <c r="Z2001" s="47" t="s">
        <v>4521</v>
      </c>
      <c r="AA2001" s="48">
        <v>0.42842741935483875</v>
      </c>
      <c r="AB2001" s="13"/>
      <c r="AC2001" s="34">
        <v>1997</v>
      </c>
      <c r="AD2001" s="34" t="s">
        <v>4573</v>
      </c>
      <c r="AE2001" s="34" t="s">
        <v>3637</v>
      </c>
      <c r="AF2001" s="35">
        <v>2.2072580645161293</v>
      </c>
    </row>
    <row r="2002" spans="19:32" x14ac:dyDescent="0.35">
      <c r="S2002" s="47">
        <v>1998</v>
      </c>
      <c r="T2002" s="47" t="s">
        <v>4284</v>
      </c>
      <c r="U2002" s="47" t="s">
        <v>3105</v>
      </c>
      <c r="V2002" s="48">
        <v>9.4759999999999997E-2</v>
      </c>
      <c r="W2002" s="13"/>
      <c r="X2002" s="34">
        <v>1998</v>
      </c>
      <c r="Y2002" s="34" t="s">
        <v>2248</v>
      </c>
      <c r="Z2002" s="34" t="s">
        <v>5212</v>
      </c>
      <c r="AA2002" s="35">
        <v>1.6245967741935485E-2</v>
      </c>
      <c r="AB2002" s="13"/>
      <c r="AC2002" s="34">
        <v>1998</v>
      </c>
      <c r="AD2002" s="34" t="s">
        <v>4573</v>
      </c>
      <c r="AE2002" s="34" t="s">
        <v>3634</v>
      </c>
      <c r="AF2002" s="35">
        <v>3907.2580645161293</v>
      </c>
    </row>
    <row r="2003" spans="19:32" x14ac:dyDescent="0.35">
      <c r="S2003" s="47">
        <v>1999</v>
      </c>
      <c r="T2003" s="47" t="s">
        <v>4284</v>
      </c>
      <c r="U2003" s="47" t="s">
        <v>3103</v>
      </c>
      <c r="V2003" s="48">
        <v>0</v>
      </c>
      <c r="W2003" s="13"/>
      <c r="X2003" s="47">
        <v>1999</v>
      </c>
      <c r="Y2003" s="47" t="s">
        <v>2248</v>
      </c>
      <c r="Z2003" s="47" t="s">
        <v>3240</v>
      </c>
      <c r="AA2003" s="48">
        <v>0</v>
      </c>
      <c r="AB2003" s="13"/>
      <c r="AC2003" s="34">
        <v>1999</v>
      </c>
      <c r="AD2003" s="34" t="s">
        <v>4573</v>
      </c>
      <c r="AE2003" s="34" t="s">
        <v>3628</v>
      </c>
      <c r="AF2003" s="35">
        <v>3.770161290322581</v>
      </c>
    </row>
    <row r="2004" spans="19:32" x14ac:dyDescent="0.35">
      <c r="S2004" s="34">
        <v>2000</v>
      </c>
      <c r="T2004" s="34" t="s">
        <v>4284</v>
      </c>
      <c r="U2004" s="34" t="s">
        <v>3962</v>
      </c>
      <c r="V2004" s="35">
        <v>6.7862903225806457E-3</v>
      </c>
      <c r="W2004" s="13"/>
      <c r="X2004" s="47">
        <v>2000</v>
      </c>
      <c r="Y2004" s="47" t="s">
        <v>2248</v>
      </c>
      <c r="Z2004" s="47" t="s">
        <v>3238</v>
      </c>
      <c r="AA2004" s="48">
        <v>0</v>
      </c>
      <c r="AB2004" s="13"/>
      <c r="AC2004" s="34">
        <v>2000</v>
      </c>
      <c r="AD2004" s="34" t="s">
        <v>4573</v>
      </c>
      <c r="AE2004" s="34" t="s">
        <v>3012</v>
      </c>
      <c r="AF2004" s="35">
        <v>6.7520161290322589</v>
      </c>
    </row>
    <row r="2005" spans="19:32" x14ac:dyDescent="0.35">
      <c r="S2005" s="34">
        <v>2001</v>
      </c>
      <c r="T2005" s="34" t="s">
        <v>4284</v>
      </c>
      <c r="U2005" s="34" t="s">
        <v>3961</v>
      </c>
      <c r="V2005" s="35">
        <v>5.8608870967741937E-5</v>
      </c>
      <c r="W2005" s="13"/>
      <c r="X2005" s="47">
        <v>2001</v>
      </c>
      <c r="Y2005" s="47" t="s">
        <v>2248</v>
      </c>
      <c r="Z2005" s="47" t="s">
        <v>3238</v>
      </c>
      <c r="AA2005" s="48">
        <v>2.9441532258064522E-3</v>
      </c>
      <c r="AB2005" s="13"/>
      <c r="AC2005" s="47">
        <v>2001</v>
      </c>
      <c r="AD2005" s="47" t="s">
        <v>4573</v>
      </c>
      <c r="AE2005" s="47" t="s">
        <v>3012</v>
      </c>
      <c r="AF2005" s="48">
        <v>0</v>
      </c>
    </row>
    <row r="2006" spans="19:32" x14ac:dyDescent="0.35">
      <c r="S2006" s="34">
        <v>2002</v>
      </c>
      <c r="T2006" s="34" t="s">
        <v>4284</v>
      </c>
      <c r="U2006" s="34" t="s">
        <v>3960</v>
      </c>
      <c r="V2006" s="35">
        <v>6.4435483870967737E-5</v>
      </c>
      <c r="W2006" s="13"/>
      <c r="X2006" s="34">
        <v>2002</v>
      </c>
      <c r="Y2006" s="34" t="s">
        <v>2248</v>
      </c>
      <c r="Z2006" s="34" t="s">
        <v>5211</v>
      </c>
      <c r="AA2006" s="35">
        <v>1.5389112903225807E-3</v>
      </c>
      <c r="AB2006" s="13"/>
      <c r="AC2006" s="34">
        <v>2002</v>
      </c>
      <c r="AD2006" s="34" t="s">
        <v>4573</v>
      </c>
      <c r="AE2006" s="34" t="s">
        <v>3619</v>
      </c>
      <c r="AF2006" s="35">
        <v>9.0141129032258078</v>
      </c>
    </row>
    <row r="2007" spans="19:32" x14ac:dyDescent="0.35">
      <c r="S2007" s="47">
        <v>2003</v>
      </c>
      <c r="T2007" s="47" t="s">
        <v>4284</v>
      </c>
      <c r="U2007" s="47" t="s">
        <v>3102</v>
      </c>
      <c r="V2007" s="48">
        <v>0</v>
      </c>
      <c r="W2007" s="13"/>
      <c r="X2007" s="47">
        <v>2003</v>
      </c>
      <c r="Y2007" s="47" t="s">
        <v>2248</v>
      </c>
      <c r="Z2007" s="47" t="s">
        <v>3237</v>
      </c>
      <c r="AA2007" s="48">
        <v>0</v>
      </c>
      <c r="AB2007" s="13"/>
      <c r="AC2007" s="34">
        <v>2003</v>
      </c>
      <c r="AD2007" s="34" t="s">
        <v>4573</v>
      </c>
      <c r="AE2007" s="34" t="s">
        <v>3010</v>
      </c>
      <c r="AF2007" s="35">
        <v>1199.5967741935485</v>
      </c>
    </row>
    <row r="2008" spans="19:32" x14ac:dyDescent="0.35">
      <c r="S2008" s="47">
        <v>2004</v>
      </c>
      <c r="T2008" s="47" t="s">
        <v>4284</v>
      </c>
      <c r="U2008" s="47" t="s">
        <v>3100</v>
      </c>
      <c r="V2008" s="48">
        <v>0</v>
      </c>
      <c r="W2008" s="13"/>
      <c r="X2008" s="34">
        <v>2004</v>
      </c>
      <c r="Y2008" s="34" t="s">
        <v>2248</v>
      </c>
      <c r="Z2008" s="34" t="s">
        <v>3237</v>
      </c>
      <c r="AA2008" s="35">
        <v>0.24300403225806452</v>
      </c>
      <c r="AB2008" s="13"/>
      <c r="AC2008" s="47">
        <v>2004</v>
      </c>
      <c r="AD2008" s="47" t="s">
        <v>4573</v>
      </c>
      <c r="AE2008" s="47" t="s">
        <v>3010</v>
      </c>
      <c r="AF2008" s="48">
        <v>0</v>
      </c>
    </row>
    <row r="2009" spans="19:32" x14ac:dyDescent="0.35">
      <c r="S2009" s="34">
        <v>2005</v>
      </c>
      <c r="T2009" s="34" t="s">
        <v>4284</v>
      </c>
      <c r="U2009" s="34" t="s">
        <v>3959</v>
      </c>
      <c r="V2009" s="35">
        <v>1.5217741935483873E-2</v>
      </c>
      <c r="W2009" s="13"/>
      <c r="X2009" s="34">
        <v>2005</v>
      </c>
      <c r="Y2009" s="34" t="s">
        <v>2248</v>
      </c>
      <c r="Z2009" s="34" t="s">
        <v>5210</v>
      </c>
      <c r="AA2009" s="35">
        <v>6.8205645161290331E-3</v>
      </c>
      <c r="AB2009" s="13"/>
      <c r="AC2009" s="34">
        <v>2005</v>
      </c>
      <c r="AD2009" s="34" t="s">
        <v>4573</v>
      </c>
      <c r="AE2009" s="34" t="s">
        <v>3614</v>
      </c>
      <c r="AF2009" s="35">
        <v>606.6532258064517</v>
      </c>
    </row>
    <row r="2010" spans="19:32" x14ac:dyDescent="0.35">
      <c r="S2010" s="34">
        <v>2006</v>
      </c>
      <c r="T2010" s="34" t="s">
        <v>4284</v>
      </c>
      <c r="U2010" s="34" t="s">
        <v>3099</v>
      </c>
      <c r="V2010" s="35">
        <v>0.11824596774193549</v>
      </c>
      <c r="W2010" s="13"/>
      <c r="X2010" s="47">
        <v>2006</v>
      </c>
      <c r="Y2010" s="47" t="s">
        <v>2248</v>
      </c>
      <c r="Z2010" s="47" t="s">
        <v>4520</v>
      </c>
      <c r="AA2010" s="48">
        <v>6.237903225806452E-3</v>
      </c>
      <c r="AB2010" s="13"/>
      <c r="AC2010" s="34">
        <v>2006</v>
      </c>
      <c r="AD2010" s="34" t="s">
        <v>4573</v>
      </c>
      <c r="AE2010" s="34" t="s">
        <v>3009</v>
      </c>
      <c r="AF2010" s="35">
        <v>2032.4596774193551</v>
      </c>
    </row>
    <row r="2011" spans="19:32" x14ac:dyDescent="0.35">
      <c r="S2011" s="47">
        <v>2007</v>
      </c>
      <c r="T2011" s="47" t="s">
        <v>4284</v>
      </c>
      <c r="U2011" s="47" t="s">
        <v>3099</v>
      </c>
      <c r="V2011" s="48">
        <v>0</v>
      </c>
      <c r="W2011" s="13"/>
      <c r="X2011" s="34">
        <v>2007</v>
      </c>
      <c r="Y2011" s="34" t="s">
        <v>2248</v>
      </c>
      <c r="Z2011" s="34" t="s">
        <v>4519</v>
      </c>
      <c r="AA2011" s="35">
        <v>4.7641129032258069E-2</v>
      </c>
      <c r="AB2011" s="13"/>
      <c r="AC2011" s="47">
        <v>2007</v>
      </c>
      <c r="AD2011" s="47" t="s">
        <v>4573</v>
      </c>
      <c r="AE2011" s="47" t="s">
        <v>3009</v>
      </c>
      <c r="AF2011" s="48">
        <v>0</v>
      </c>
    </row>
    <row r="2012" spans="19:32" x14ac:dyDescent="0.35">
      <c r="S2012" s="34">
        <v>2008</v>
      </c>
      <c r="T2012" s="34" t="s">
        <v>4284</v>
      </c>
      <c r="U2012" s="34" t="s">
        <v>3955</v>
      </c>
      <c r="V2012" s="35">
        <v>0.10350806451612904</v>
      </c>
      <c r="W2012" s="13"/>
      <c r="X2012" s="34">
        <v>2008</v>
      </c>
      <c r="Y2012" s="34" t="s">
        <v>2248</v>
      </c>
      <c r="Z2012" s="34" t="s">
        <v>5209</v>
      </c>
      <c r="AA2012" s="35">
        <v>3.7358870967741939E-3</v>
      </c>
      <c r="AB2012" s="13"/>
      <c r="AC2012" s="34">
        <v>2008</v>
      </c>
      <c r="AD2012" s="34" t="s">
        <v>4573</v>
      </c>
      <c r="AE2012" s="34" t="s">
        <v>3608</v>
      </c>
      <c r="AF2012" s="35">
        <v>9.5625000000000002E-2</v>
      </c>
    </row>
    <row r="2013" spans="19:32" x14ac:dyDescent="0.35">
      <c r="S2013" s="34">
        <v>2009</v>
      </c>
      <c r="T2013" s="34" t="s">
        <v>4284</v>
      </c>
      <c r="U2013" s="34" t="s">
        <v>3952</v>
      </c>
      <c r="V2013" s="35">
        <v>0.26185483870967746</v>
      </c>
      <c r="W2013" s="13"/>
      <c r="X2013" s="47">
        <v>2009</v>
      </c>
      <c r="Y2013" s="47" t="s">
        <v>2248</v>
      </c>
      <c r="Z2013" s="47" t="s">
        <v>4518</v>
      </c>
      <c r="AA2013" s="48">
        <v>1.1481854838709677E-3</v>
      </c>
      <c r="AB2013" s="13"/>
      <c r="AC2013" s="34">
        <v>2009</v>
      </c>
      <c r="AD2013" s="34" t="s">
        <v>4573</v>
      </c>
      <c r="AE2013" s="34" t="s">
        <v>3007</v>
      </c>
      <c r="AF2013" s="35">
        <v>1103.6290322580646</v>
      </c>
    </row>
    <row r="2014" spans="19:32" x14ac:dyDescent="0.35">
      <c r="S2014" s="34">
        <v>2010</v>
      </c>
      <c r="T2014" s="34" t="s">
        <v>4284</v>
      </c>
      <c r="U2014" s="34" t="s">
        <v>3949</v>
      </c>
      <c r="V2014" s="35">
        <v>8.4314516129032268E-4</v>
      </c>
      <c r="W2014" s="13"/>
      <c r="X2014" s="34">
        <v>2010</v>
      </c>
      <c r="Y2014" s="34" t="s">
        <v>2248</v>
      </c>
      <c r="Z2014" s="34" t="s">
        <v>4517</v>
      </c>
      <c r="AA2014" s="35">
        <v>1.1584677419354839E-2</v>
      </c>
      <c r="AB2014" s="13"/>
      <c r="AC2014" s="47">
        <v>2010</v>
      </c>
      <c r="AD2014" s="47" t="s">
        <v>4573</v>
      </c>
      <c r="AE2014" s="47" t="s">
        <v>3007</v>
      </c>
      <c r="AF2014" s="48">
        <v>0</v>
      </c>
    </row>
    <row r="2015" spans="19:32" x14ac:dyDescent="0.35">
      <c r="S2015" s="34">
        <v>2011</v>
      </c>
      <c r="T2015" s="34" t="s">
        <v>4284</v>
      </c>
      <c r="U2015" s="34" t="s">
        <v>3097</v>
      </c>
      <c r="V2015" s="35">
        <v>4.284274193548387</v>
      </c>
      <c r="W2015" s="13"/>
      <c r="X2015" s="34">
        <v>2011</v>
      </c>
      <c r="Y2015" s="34" t="s">
        <v>2248</v>
      </c>
      <c r="Z2015" s="34" t="s">
        <v>5208</v>
      </c>
      <c r="AA2015" s="35">
        <v>6.1008064516129043E-4</v>
      </c>
      <c r="AB2015" s="13"/>
      <c r="AC2015" s="34">
        <v>2011</v>
      </c>
      <c r="AD2015" s="34" t="s">
        <v>4573</v>
      </c>
      <c r="AE2015" s="34" t="s">
        <v>3006</v>
      </c>
      <c r="AF2015" s="35">
        <v>14.566532258064518</v>
      </c>
    </row>
    <row r="2016" spans="19:32" x14ac:dyDescent="0.35">
      <c r="S2016" s="47">
        <v>2012</v>
      </c>
      <c r="T2016" s="47" t="s">
        <v>4284</v>
      </c>
      <c r="U2016" s="47" t="s">
        <v>3097</v>
      </c>
      <c r="V2016" s="48">
        <v>0</v>
      </c>
      <c r="W2016" s="13"/>
      <c r="X2016" s="47">
        <v>2012</v>
      </c>
      <c r="Y2016" s="47" t="s">
        <v>2248</v>
      </c>
      <c r="Z2016" s="47" t="s">
        <v>4516</v>
      </c>
      <c r="AA2016" s="48">
        <v>6.3750000000000005E-3</v>
      </c>
      <c r="AB2016" s="13"/>
      <c r="AC2016" s="47">
        <v>2012</v>
      </c>
      <c r="AD2016" s="47" t="s">
        <v>4573</v>
      </c>
      <c r="AE2016" s="47" t="s">
        <v>3006</v>
      </c>
      <c r="AF2016" s="48">
        <v>0</v>
      </c>
    </row>
    <row r="2017" spans="19:32" x14ac:dyDescent="0.35">
      <c r="S2017" s="34">
        <v>2013</v>
      </c>
      <c r="T2017" s="34" t="s">
        <v>4284</v>
      </c>
      <c r="U2017" s="34" t="s">
        <v>3947</v>
      </c>
      <c r="V2017" s="35">
        <v>3.5987903225806456E-4</v>
      </c>
      <c r="W2017" s="13"/>
      <c r="X2017" s="47">
        <v>2013</v>
      </c>
      <c r="Y2017" s="47" t="s">
        <v>2248</v>
      </c>
      <c r="Z2017" s="47" t="s">
        <v>3235</v>
      </c>
      <c r="AA2017" s="48">
        <v>0</v>
      </c>
      <c r="AB2017" s="13"/>
      <c r="AC2017" s="34">
        <v>2013</v>
      </c>
      <c r="AD2017" s="34" t="s">
        <v>4573</v>
      </c>
      <c r="AE2017" s="34" t="s">
        <v>3599</v>
      </c>
      <c r="AF2017" s="35">
        <v>0.27556451612903227</v>
      </c>
    </row>
    <row r="2018" spans="19:32" x14ac:dyDescent="0.35">
      <c r="S2018" s="47">
        <v>2014</v>
      </c>
      <c r="T2018" s="47" t="s">
        <v>4284</v>
      </c>
      <c r="U2018" s="47" t="s">
        <v>3096</v>
      </c>
      <c r="V2018" s="48">
        <v>202.4</v>
      </c>
      <c r="W2018" s="13"/>
      <c r="X2018" s="47">
        <v>2014</v>
      </c>
      <c r="Y2018" s="47" t="s">
        <v>2248</v>
      </c>
      <c r="Z2018" s="47" t="s">
        <v>3235</v>
      </c>
      <c r="AA2018" s="48">
        <v>8.2943548387096782E-5</v>
      </c>
      <c r="AB2018" s="13"/>
      <c r="AC2018" s="34">
        <v>2014</v>
      </c>
      <c r="AD2018" s="34" t="s">
        <v>4573</v>
      </c>
      <c r="AE2018" s="34" t="s">
        <v>3595</v>
      </c>
      <c r="AF2018" s="35">
        <v>74.375</v>
      </c>
    </row>
    <row r="2019" spans="19:32" x14ac:dyDescent="0.35">
      <c r="S2019" s="47">
        <v>2015</v>
      </c>
      <c r="T2019" s="47" t="s">
        <v>4284</v>
      </c>
      <c r="U2019" s="47" t="s">
        <v>3094</v>
      </c>
      <c r="V2019" s="48">
        <v>0</v>
      </c>
      <c r="W2019" s="13"/>
      <c r="X2019" s="34">
        <v>2015</v>
      </c>
      <c r="Y2019" s="34" t="s">
        <v>2248</v>
      </c>
      <c r="Z2019" s="34" t="s">
        <v>5207</v>
      </c>
      <c r="AA2019" s="35">
        <v>9.4939516129032258E-4</v>
      </c>
      <c r="AB2019" s="13"/>
      <c r="AC2019" s="34">
        <v>2015</v>
      </c>
      <c r="AD2019" s="34" t="s">
        <v>4573</v>
      </c>
      <c r="AE2019" s="34" t="s">
        <v>3590</v>
      </c>
      <c r="AF2019" s="35">
        <v>0.3461693548387097</v>
      </c>
    </row>
    <row r="2020" spans="19:32" x14ac:dyDescent="0.35">
      <c r="S2020" s="34">
        <v>2016</v>
      </c>
      <c r="T2020" s="34" t="s">
        <v>4284</v>
      </c>
      <c r="U2020" s="34" t="s">
        <v>3945</v>
      </c>
      <c r="V2020" s="35">
        <v>23.923387096774196</v>
      </c>
      <c r="W2020" s="13"/>
      <c r="X2020" s="47">
        <v>2016</v>
      </c>
      <c r="Y2020" s="47" t="s">
        <v>2248</v>
      </c>
      <c r="Z2020" s="47" t="s">
        <v>3233</v>
      </c>
      <c r="AA2020" s="48">
        <v>0</v>
      </c>
      <c r="AB2020" s="13"/>
      <c r="AC2020" s="47">
        <v>2016</v>
      </c>
      <c r="AD2020" s="47" t="s">
        <v>4573</v>
      </c>
      <c r="AE2020" s="47" t="s">
        <v>3004</v>
      </c>
      <c r="AF2020" s="48">
        <v>11.5</v>
      </c>
    </row>
    <row r="2021" spans="19:32" x14ac:dyDescent="0.35">
      <c r="S2021" s="34">
        <v>2017</v>
      </c>
      <c r="T2021" s="34" t="s">
        <v>4284</v>
      </c>
      <c r="U2021" s="34" t="s">
        <v>3092</v>
      </c>
      <c r="V2021" s="35">
        <v>4.2842741935483872E-4</v>
      </c>
      <c r="W2021" s="13"/>
      <c r="X2021" s="47">
        <v>2017</v>
      </c>
      <c r="Y2021" s="47" t="s">
        <v>2248</v>
      </c>
      <c r="Z2021" s="47" t="s">
        <v>3233</v>
      </c>
      <c r="AA2021" s="48">
        <v>0.13949596774193548</v>
      </c>
      <c r="AB2021" s="13"/>
      <c r="AC2021" s="34">
        <v>2017</v>
      </c>
      <c r="AD2021" s="34" t="s">
        <v>4573</v>
      </c>
      <c r="AE2021" s="34" t="s">
        <v>3584</v>
      </c>
      <c r="AF2021" s="35">
        <v>0.37016129032258066</v>
      </c>
    </row>
    <row r="2022" spans="19:32" x14ac:dyDescent="0.35">
      <c r="S2022" s="47">
        <v>2018</v>
      </c>
      <c r="T2022" s="47" t="s">
        <v>4284</v>
      </c>
      <c r="U2022" s="47" t="s">
        <v>3092</v>
      </c>
      <c r="V2022" s="48">
        <v>0.39560000000000001</v>
      </c>
      <c r="W2022" s="13"/>
      <c r="X2022" s="34">
        <v>2018</v>
      </c>
      <c r="Y2022" s="34" t="s">
        <v>2248</v>
      </c>
      <c r="Z2022" s="34" t="s">
        <v>5206</v>
      </c>
      <c r="AA2022" s="35">
        <v>2.659677419354839E-4</v>
      </c>
      <c r="AB2022" s="13"/>
      <c r="AC2022" s="34">
        <v>2018</v>
      </c>
      <c r="AD2022" s="34" t="s">
        <v>4573</v>
      </c>
      <c r="AE2022" s="34" t="s">
        <v>3580</v>
      </c>
      <c r="AF2022" s="35">
        <v>0.68548387096774199</v>
      </c>
    </row>
    <row r="2023" spans="19:32" x14ac:dyDescent="0.35">
      <c r="S2023" s="34">
        <v>2019</v>
      </c>
      <c r="T2023" s="34" t="s">
        <v>4284</v>
      </c>
      <c r="U2023" s="34" t="s">
        <v>3942</v>
      </c>
      <c r="V2023" s="35">
        <v>4.1471774193548389E-2</v>
      </c>
      <c r="W2023" s="13"/>
      <c r="X2023" s="47">
        <v>2019</v>
      </c>
      <c r="Y2023" s="47" t="s">
        <v>2248</v>
      </c>
      <c r="Z2023" s="47" t="s">
        <v>3232</v>
      </c>
      <c r="AA2023" s="48">
        <v>0</v>
      </c>
      <c r="AB2023" s="13"/>
      <c r="AC2023" s="34">
        <v>2019</v>
      </c>
      <c r="AD2023" s="34" t="s">
        <v>4573</v>
      </c>
      <c r="AE2023" s="34" t="s">
        <v>5080</v>
      </c>
      <c r="AF2023" s="35">
        <v>1.0008064516129034</v>
      </c>
    </row>
    <row r="2024" spans="19:32" x14ac:dyDescent="0.35">
      <c r="S2024" s="30">
        <v>2020</v>
      </c>
      <c r="T2024" s="30" t="s">
        <v>4284</v>
      </c>
      <c r="U2024" s="30" t="s">
        <v>5205</v>
      </c>
      <c r="V2024" s="31">
        <v>6.4960000000000004</v>
      </c>
      <c r="W2024" s="13"/>
      <c r="X2024" s="47">
        <v>2020</v>
      </c>
      <c r="Y2024" s="47" t="s">
        <v>2248</v>
      </c>
      <c r="Z2024" s="47" t="s">
        <v>3232</v>
      </c>
      <c r="AA2024" s="48">
        <v>0.13949596774193548</v>
      </c>
      <c r="AB2024" s="13"/>
      <c r="AC2024" s="34">
        <v>2020</v>
      </c>
      <c r="AD2024" s="34" t="s">
        <v>4573</v>
      </c>
      <c r="AE2024" s="34" t="s">
        <v>3571</v>
      </c>
      <c r="AF2024" s="35">
        <v>23.6491935483871</v>
      </c>
    </row>
    <row r="2025" spans="19:32" x14ac:dyDescent="0.35">
      <c r="S2025" s="34">
        <v>2021</v>
      </c>
      <c r="T2025" s="34" t="s">
        <v>4284</v>
      </c>
      <c r="U2025" s="34" t="s">
        <v>3941</v>
      </c>
      <c r="V2025" s="35">
        <v>6.4778225806451617E-5</v>
      </c>
      <c r="W2025" s="13"/>
      <c r="X2025" s="34">
        <v>2021</v>
      </c>
      <c r="Y2025" s="34" t="s">
        <v>2248</v>
      </c>
      <c r="Z2025" s="34" t="s">
        <v>5204</v>
      </c>
      <c r="AA2025" s="35">
        <v>5.758064516129033E-3</v>
      </c>
      <c r="AB2025" s="13"/>
      <c r="AC2025" s="34">
        <v>2021</v>
      </c>
      <c r="AD2025" s="34" t="s">
        <v>4573</v>
      </c>
      <c r="AE2025" s="34" t="s">
        <v>3568</v>
      </c>
      <c r="AF2025" s="35">
        <v>25.7741935483871</v>
      </c>
    </row>
    <row r="2026" spans="19:32" x14ac:dyDescent="0.35">
      <c r="S2026" s="34">
        <v>2022</v>
      </c>
      <c r="T2026" s="34" t="s">
        <v>4284</v>
      </c>
      <c r="U2026" s="34" t="s">
        <v>3940</v>
      </c>
      <c r="V2026" s="35">
        <v>2.5191532258064517E-2</v>
      </c>
      <c r="W2026" s="13"/>
      <c r="X2026" s="47">
        <v>2022</v>
      </c>
      <c r="Y2026" s="47" t="s">
        <v>2248</v>
      </c>
      <c r="Z2026" s="47" t="s">
        <v>3231</v>
      </c>
      <c r="AA2026" s="48">
        <v>4572.3999999999996</v>
      </c>
      <c r="AB2026" s="13"/>
      <c r="AC2026" s="34">
        <v>2022</v>
      </c>
      <c r="AD2026" s="34" t="s">
        <v>4573</v>
      </c>
      <c r="AE2026" s="34" t="s">
        <v>3565</v>
      </c>
      <c r="AF2026" s="35">
        <v>445.56451612903231</v>
      </c>
    </row>
    <row r="2027" spans="19:32" x14ac:dyDescent="0.35">
      <c r="S2027" s="34">
        <v>2023</v>
      </c>
      <c r="T2027" s="34" t="s">
        <v>4284</v>
      </c>
      <c r="U2027" s="34" t="s">
        <v>3091</v>
      </c>
      <c r="V2027" s="35">
        <v>1.5286290322580646E-3</v>
      </c>
      <c r="W2027" s="13"/>
      <c r="X2027" s="34">
        <v>2023</v>
      </c>
      <c r="Y2027" s="34" t="s">
        <v>2248</v>
      </c>
      <c r="Z2027" s="34" t="s">
        <v>3231</v>
      </c>
      <c r="AA2027" s="35">
        <v>1.795967741935484</v>
      </c>
      <c r="AB2027" s="13"/>
      <c r="AC2027" s="34">
        <v>2023</v>
      </c>
      <c r="AD2027" s="34" t="s">
        <v>4573</v>
      </c>
      <c r="AE2027" s="34" t="s">
        <v>3562</v>
      </c>
      <c r="AF2027" s="35">
        <v>1100.2016129032259</v>
      </c>
    </row>
    <row r="2028" spans="19:32" x14ac:dyDescent="0.35">
      <c r="S2028" s="47">
        <v>2024</v>
      </c>
      <c r="T2028" s="47" t="s">
        <v>4284</v>
      </c>
      <c r="U2028" s="47" t="s">
        <v>3091</v>
      </c>
      <c r="V2028" s="48">
        <v>0</v>
      </c>
      <c r="W2028" s="13"/>
      <c r="X2028" s="34">
        <v>2024</v>
      </c>
      <c r="Y2028" s="34" t="s">
        <v>2248</v>
      </c>
      <c r="Z2028" s="34" t="s">
        <v>5203</v>
      </c>
      <c r="AA2028" s="35">
        <v>2.3957661290322582E-6</v>
      </c>
      <c r="AB2028" s="13"/>
      <c r="AC2028" s="34">
        <v>2024</v>
      </c>
      <c r="AD2028" s="34" t="s">
        <v>4573</v>
      </c>
      <c r="AE2028" s="34" t="s">
        <v>3559</v>
      </c>
      <c r="AF2028" s="35">
        <v>3.3828629032258068</v>
      </c>
    </row>
    <row r="2029" spans="19:32" x14ac:dyDescent="0.35">
      <c r="S2029" s="34">
        <v>2025</v>
      </c>
      <c r="T2029" s="34" t="s">
        <v>4284</v>
      </c>
      <c r="U2029" s="34" t="s">
        <v>3934</v>
      </c>
      <c r="V2029" s="35">
        <v>11.82459677419355</v>
      </c>
      <c r="W2029" s="13"/>
      <c r="X2029" s="47">
        <v>2025</v>
      </c>
      <c r="Y2029" s="47" t="s">
        <v>2248</v>
      </c>
      <c r="Z2029" s="47" t="s">
        <v>3230</v>
      </c>
      <c r="AA2029" s="48">
        <v>8.7767999999999995E-3</v>
      </c>
      <c r="AB2029" s="13"/>
      <c r="AC2029" s="34">
        <v>2025</v>
      </c>
      <c r="AD2029" s="34" t="s">
        <v>4573</v>
      </c>
      <c r="AE2029" s="34" t="s">
        <v>3556</v>
      </c>
      <c r="AF2029" s="35">
        <v>5.963709677419355</v>
      </c>
    </row>
    <row r="2030" spans="19:32" x14ac:dyDescent="0.35">
      <c r="S2030" s="47">
        <v>2026</v>
      </c>
      <c r="T2030" s="47" t="s">
        <v>4284</v>
      </c>
      <c r="U2030" s="47" t="s">
        <v>3090</v>
      </c>
      <c r="V2030" s="48">
        <v>0</v>
      </c>
      <c r="W2030" s="13"/>
      <c r="X2030" s="47">
        <v>2026</v>
      </c>
      <c r="Y2030" s="47" t="s">
        <v>2248</v>
      </c>
      <c r="Z2030" s="47" t="s">
        <v>3230</v>
      </c>
      <c r="AA2030" s="48">
        <v>9.4254032258064523E-3</v>
      </c>
      <c r="AB2030" s="13"/>
      <c r="AC2030" s="34">
        <v>2026</v>
      </c>
      <c r="AD2030" s="34" t="s">
        <v>4573</v>
      </c>
      <c r="AE2030" s="34" t="s">
        <v>3551</v>
      </c>
      <c r="AF2030" s="35">
        <v>0.29681451612903226</v>
      </c>
    </row>
    <row r="2031" spans="19:32" x14ac:dyDescent="0.35">
      <c r="S2031" s="34">
        <v>2027</v>
      </c>
      <c r="T2031" s="34" t="s">
        <v>4284</v>
      </c>
      <c r="U2031" s="34" t="s">
        <v>3089</v>
      </c>
      <c r="V2031" s="35">
        <v>89.455645161290334</v>
      </c>
      <c r="W2031" s="13"/>
      <c r="X2031" s="47">
        <v>2027</v>
      </c>
      <c r="Y2031" s="47" t="s">
        <v>2248</v>
      </c>
      <c r="Z2031" s="47" t="s">
        <v>3228</v>
      </c>
      <c r="AA2031" s="48">
        <v>9.9359999999999999</v>
      </c>
      <c r="AB2031" s="13"/>
      <c r="AC2031" s="34">
        <v>2027</v>
      </c>
      <c r="AD2031" s="34" t="s">
        <v>4573</v>
      </c>
      <c r="AE2031" s="34" t="s">
        <v>3547</v>
      </c>
      <c r="AF2031" s="35">
        <v>33.006048387096776</v>
      </c>
    </row>
    <row r="2032" spans="19:32" x14ac:dyDescent="0.35">
      <c r="S2032" s="47">
        <v>2028</v>
      </c>
      <c r="T2032" s="47" t="s">
        <v>4284</v>
      </c>
      <c r="U2032" s="47" t="s">
        <v>3089</v>
      </c>
      <c r="V2032" s="48">
        <v>0</v>
      </c>
      <c r="W2032" s="13"/>
      <c r="X2032" s="34">
        <v>2028</v>
      </c>
      <c r="Y2032" s="34" t="s">
        <v>2248</v>
      </c>
      <c r="Z2032" s="34" t="s">
        <v>5202</v>
      </c>
      <c r="AA2032" s="35">
        <v>3.9072580645161292E-4</v>
      </c>
      <c r="AB2032" s="13"/>
      <c r="AC2032" s="34">
        <v>2028</v>
      </c>
      <c r="AD2032" s="34" t="s">
        <v>4573</v>
      </c>
      <c r="AE2032" s="34" t="s">
        <v>3544</v>
      </c>
      <c r="AF2032" s="35">
        <v>1.0625</v>
      </c>
    </row>
    <row r="2033" spans="19:32" x14ac:dyDescent="0.35">
      <c r="S2033" s="47">
        <v>2029</v>
      </c>
      <c r="T2033" s="47" t="s">
        <v>4284</v>
      </c>
      <c r="U2033" s="47" t="s">
        <v>3088</v>
      </c>
      <c r="V2033" s="48">
        <v>317.39999999999998</v>
      </c>
      <c r="W2033" s="13"/>
      <c r="X2033" s="47">
        <v>2029</v>
      </c>
      <c r="Y2033" s="47" t="s">
        <v>2248</v>
      </c>
      <c r="Z2033" s="47" t="s">
        <v>3227</v>
      </c>
      <c r="AA2033" s="48">
        <v>0</v>
      </c>
      <c r="AB2033" s="13"/>
      <c r="AC2033" s="34">
        <v>2029</v>
      </c>
      <c r="AD2033" s="34" t="s">
        <v>4573</v>
      </c>
      <c r="AE2033" s="34" t="s">
        <v>3541</v>
      </c>
      <c r="AF2033" s="35">
        <v>1.5903225806451615</v>
      </c>
    </row>
    <row r="2034" spans="19:32" x14ac:dyDescent="0.35">
      <c r="S2034" s="34">
        <v>2030</v>
      </c>
      <c r="T2034" s="34" t="s">
        <v>4284</v>
      </c>
      <c r="U2034" s="34" t="s">
        <v>3929</v>
      </c>
      <c r="V2034" s="35">
        <v>4.4213709677419358E-4</v>
      </c>
      <c r="W2034" s="13"/>
      <c r="X2034" s="47">
        <v>2030</v>
      </c>
      <c r="Y2034" s="47" t="s">
        <v>2248</v>
      </c>
      <c r="Z2034" s="47" t="s">
        <v>3225</v>
      </c>
      <c r="AA2034" s="48">
        <v>1.0396000000000001E-3</v>
      </c>
      <c r="AB2034" s="13"/>
      <c r="AC2034" s="34">
        <v>2030</v>
      </c>
      <c r="AD2034" s="34" t="s">
        <v>4573</v>
      </c>
      <c r="AE2034" s="34" t="s">
        <v>3538</v>
      </c>
      <c r="AF2034" s="35">
        <v>16.31451612903226</v>
      </c>
    </row>
    <row r="2035" spans="19:32" x14ac:dyDescent="0.35">
      <c r="S2035" s="34">
        <v>2031</v>
      </c>
      <c r="T2035" s="34" t="s">
        <v>4284</v>
      </c>
      <c r="U2035" s="34" t="s">
        <v>3927</v>
      </c>
      <c r="V2035" s="35">
        <v>6.237903225806452E-3</v>
      </c>
      <c r="W2035" s="13"/>
      <c r="X2035" s="47">
        <v>2031</v>
      </c>
      <c r="Y2035" s="47" t="s">
        <v>2248</v>
      </c>
      <c r="Z2035" s="47" t="s">
        <v>3224</v>
      </c>
      <c r="AA2035" s="48">
        <v>47.012</v>
      </c>
      <c r="AB2035" s="13"/>
      <c r="AC2035" s="34">
        <v>2031</v>
      </c>
      <c r="AD2035" s="34" t="s">
        <v>4573</v>
      </c>
      <c r="AE2035" s="34" t="s">
        <v>3003</v>
      </c>
      <c r="AF2035" s="35">
        <v>1.3572580645161292</v>
      </c>
    </row>
    <row r="2036" spans="19:32" x14ac:dyDescent="0.35">
      <c r="S2036" s="34">
        <v>2032</v>
      </c>
      <c r="T2036" s="34" t="s">
        <v>4284</v>
      </c>
      <c r="U2036" s="34" t="s">
        <v>3923</v>
      </c>
      <c r="V2036" s="35">
        <v>1.6177419354838711E-5</v>
      </c>
      <c r="W2036" s="13"/>
      <c r="X2036" s="34">
        <v>2032</v>
      </c>
      <c r="Y2036" s="34" t="s">
        <v>2248</v>
      </c>
      <c r="Z2036" s="34" t="s">
        <v>5201</v>
      </c>
      <c r="AA2036" s="35">
        <v>2.0804435483870971E-4</v>
      </c>
      <c r="AB2036" s="13"/>
      <c r="AC2036" s="47">
        <v>2032</v>
      </c>
      <c r="AD2036" s="47" t="s">
        <v>4573</v>
      </c>
      <c r="AE2036" s="47" t="s">
        <v>3003</v>
      </c>
      <c r="AF2036" s="48">
        <v>0</v>
      </c>
    </row>
    <row r="2037" spans="19:32" x14ac:dyDescent="0.35">
      <c r="S2037" s="36">
        <v>2033</v>
      </c>
      <c r="T2037" s="36" t="s">
        <v>4284</v>
      </c>
      <c r="U2037" s="36" t="s">
        <v>5200</v>
      </c>
      <c r="V2037" s="37">
        <v>1.1127999999999998</v>
      </c>
      <c r="W2037" s="13"/>
      <c r="X2037" s="34">
        <v>2033</v>
      </c>
      <c r="Y2037" s="34" t="s">
        <v>2248</v>
      </c>
      <c r="Z2037" s="34" t="s">
        <v>4514</v>
      </c>
      <c r="AA2037" s="35">
        <v>5.2439516129032263E-6</v>
      </c>
      <c r="AB2037" s="13"/>
      <c r="AC2037" s="34">
        <v>2033</v>
      </c>
      <c r="AD2037" s="34" t="s">
        <v>4573</v>
      </c>
      <c r="AE2037" s="34" t="s">
        <v>3002</v>
      </c>
      <c r="AF2037" s="35">
        <v>3.9072580645161294</v>
      </c>
    </row>
    <row r="2038" spans="19:32" x14ac:dyDescent="0.35">
      <c r="S2038" s="34">
        <v>2034</v>
      </c>
      <c r="T2038" s="34" t="s">
        <v>4284</v>
      </c>
      <c r="U2038" s="34" t="s">
        <v>3921</v>
      </c>
      <c r="V2038" s="35">
        <v>4.1129032258064518E-5</v>
      </c>
      <c r="W2038" s="13"/>
      <c r="X2038" s="47">
        <v>2034</v>
      </c>
      <c r="Y2038" s="47" t="s">
        <v>2248</v>
      </c>
      <c r="Z2038" s="47" t="s">
        <v>4513</v>
      </c>
      <c r="AA2038" s="48">
        <v>5.7580645161290332E-4</v>
      </c>
      <c r="AB2038" s="13"/>
      <c r="AC2038" s="47">
        <v>2034</v>
      </c>
      <c r="AD2038" s="47" t="s">
        <v>4573</v>
      </c>
      <c r="AE2038" s="47" t="s">
        <v>3002</v>
      </c>
      <c r="AF2038" s="48">
        <v>80.224000000000004</v>
      </c>
    </row>
    <row r="2039" spans="19:32" x14ac:dyDescent="0.35">
      <c r="S2039" s="30">
        <v>2035</v>
      </c>
      <c r="T2039" s="30" t="s">
        <v>4284</v>
      </c>
      <c r="U2039" s="30" t="s">
        <v>5199</v>
      </c>
      <c r="V2039" s="31">
        <v>491.84000000000003</v>
      </c>
      <c r="W2039" s="13"/>
      <c r="X2039" s="34">
        <v>2035</v>
      </c>
      <c r="Y2039" s="34" t="s">
        <v>2248</v>
      </c>
      <c r="Z2039" s="34" t="s">
        <v>5198</v>
      </c>
      <c r="AA2039" s="35">
        <v>2.1078629032258067E-4</v>
      </c>
      <c r="AB2039" s="13"/>
      <c r="AC2039" s="34">
        <v>2035</v>
      </c>
      <c r="AD2039" s="34" t="s">
        <v>4573</v>
      </c>
      <c r="AE2039" s="34" t="s">
        <v>3001</v>
      </c>
      <c r="AF2039" s="35">
        <v>0.12338709677419356</v>
      </c>
    </row>
    <row r="2040" spans="19:32" x14ac:dyDescent="0.35">
      <c r="S2040" s="34">
        <v>2036</v>
      </c>
      <c r="T2040" s="34" t="s">
        <v>4284</v>
      </c>
      <c r="U2040" s="34" t="s">
        <v>3087</v>
      </c>
      <c r="V2040" s="35">
        <v>7.7802419354838721E-5</v>
      </c>
      <c r="W2040" s="13"/>
      <c r="X2040" s="34">
        <v>2036</v>
      </c>
      <c r="Y2040" s="34" t="s">
        <v>2248</v>
      </c>
      <c r="Z2040" s="34" t="s">
        <v>4512</v>
      </c>
      <c r="AA2040" s="35">
        <v>4.5927419354838711E-2</v>
      </c>
      <c r="AB2040" s="13"/>
      <c r="AC2040" s="47">
        <v>2036</v>
      </c>
      <c r="AD2040" s="47" t="s">
        <v>4573</v>
      </c>
      <c r="AE2040" s="47" t="s">
        <v>3001</v>
      </c>
      <c r="AF2040" s="48">
        <v>6.1179999999999994</v>
      </c>
    </row>
    <row r="2041" spans="19:32" x14ac:dyDescent="0.35">
      <c r="S2041" s="47">
        <v>2037</v>
      </c>
      <c r="T2041" s="47" t="s">
        <v>4284</v>
      </c>
      <c r="U2041" s="47" t="s">
        <v>3087</v>
      </c>
      <c r="V2041" s="48">
        <v>0.49863999999999997</v>
      </c>
      <c r="W2041" s="13"/>
      <c r="X2041" s="47">
        <v>2037</v>
      </c>
      <c r="Y2041" s="47" t="s">
        <v>2248</v>
      </c>
      <c r="Z2041" s="47" t="s">
        <v>3222</v>
      </c>
      <c r="AA2041" s="48">
        <v>0</v>
      </c>
      <c r="AB2041" s="13"/>
      <c r="AC2041" s="34">
        <v>2037</v>
      </c>
      <c r="AD2041" s="34" t="s">
        <v>4573</v>
      </c>
      <c r="AE2041" s="34" t="s">
        <v>3530</v>
      </c>
      <c r="AF2041" s="35">
        <v>9.3911290322580651E-2</v>
      </c>
    </row>
    <row r="2042" spans="19:32" x14ac:dyDescent="0.35">
      <c r="S2042" s="30">
        <v>2038</v>
      </c>
      <c r="T2042" s="30" t="s">
        <v>4284</v>
      </c>
      <c r="U2042" s="30" t="s">
        <v>3086</v>
      </c>
      <c r="V2042" s="31">
        <v>150.80000000000001</v>
      </c>
      <c r="W2042" s="13"/>
      <c r="X2042" s="34">
        <v>2038</v>
      </c>
      <c r="Y2042" s="34" t="s">
        <v>2248</v>
      </c>
      <c r="Z2042" s="34" t="s">
        <v>5197</v>
      </c>
      <c r="AA2042" s="35">
        <v>2.7659274193548391E-3</v>
      </c>
      <c r="AB2042" s="13"/>
      <c r="AC2042" s="34">
        <v>2038</v>
      </c>
      <c r="AD2042" s="34" t="s">
        <v>4573</v>
      </c>
      <c r="AE2042" s="34" t="s">
        <v>3527</v>
      </c>
      <c r="AF2042" s="35">
        <v>7.4375000000000005E-4</v>
      </c>
    </row>
    <row r="2043" spans="19:32" x14ac:dyDescent="0.35">
      <c r="S2043" s="47">
        <v>2039</v>
      </c>
      <c r="T2043" s="47" t="s">
        <v>4284</v>
      </c>
      <c r="U2043" s="47" t="s">
        <v>3086</v>
      </c>
      <c r="V2043" s="48">
        <v>1.0764000000000001E-2</v>
      </c>
      <c r="W2043" s="13"/>
      <c r="X2043" s="47">
        <v>2039</v>
      </c>
      <c r="Y2043" s="47" t="s">
        <v>2248</v>
      </c>
      <c r="Z2043" s="47" t="s">
        <v>3222</v>
      </c>
      <c r="AA2043" s="48">
        <v>3.804435483870968E-4</v>
      </c>
      <c r="AB2043" s="13"/>
      <c r="AC2043" s="34">
        <v>2039</v>
      </c>
      <c r="AD2043" s="34" t="s">
        <v>4573</v>
      </c>
      <c r="AE2043" s="34" t="s">
        <v>3525</v>
      </c>
      <c r="AF2043" s="35">
        <v>3.0709677419354839E-3</v>
      </c>
    </row>
    <row r="2044" spans="19:32" x14ac:dyDescent="0.35">
      <c r="S2044" s="30">
        <v>2040</v>
      </c>
      <c r="T2044" s="30" t="s">
        <v>4284</v>
      </c>
      <c r="U2044" s="30" t="s">
        <v>5196</v>
      </c>
      <c r="V2044" s="31">
        <v>21.344000000000001</v>
      </c>
      <c r="W2044" s="13"/>
      <c r="X2044" s="47">
        <v>2040</v>
      </c>
      <c r="Y2044" s="47" t="s">
        <v>2248</v>
      </c>
      <c r="Z2044" s="47" t="s">
        <v>3221</v>
      </c>
      <c r="AA2044" s="48">
        <v>0</v>
      </c>
      <c r="AB2044" s="13"/>
      <c r="AC2044" s="34">
        <v>2040</v>
      </c>
      <c r="AD2044" s="34" t="s">
        <v>4573</v>
      </c>
      <c r="AE2044" s="34" t="s">
        <v>3522</v>
      </c>
      <c r="AF2044" s="35">
        <v>2.0838709677419357E-2</v>
      </c>
    </row>
    <row r="2045" spans="19:32" x14ac:dyDescent="0.35">
      <c r="S2045" s="30">
        <v>2041</v>
      </c>
      <c r="T2045" s="30" t="s">
        <v>4284</v>
      </c>
      <c r="U2045" s="30" t="s">
        <v>3085</v>
      </c>
      <c r="V2045" s="31">
        <v>18.560000000000002</v>
      </c>
      <c r="W2045" s="13"/>
      <c r="X2045" s="47">
        <v>2041</v>
      </c>
      <c r="Y2045" s="47" t="s">
        <v>2248</v>
      </c>
      <c r="Z2045" s="47" t="s">
        <v>3221</v>
      </c>
      <c r="AA2045" s="48">
        <v>9.7338709677419351E-5</v>
      </c>
      <c r="AB2045" s="13"/>
      <c r="AC2045" s="34">
        <v>2041</v>
      </c>
      <c r="AD2045" s="34" t="s">
        <v>4573</v>
      </c>
      <c r="AE2045" s="34" t="s">
        <v>3519</v>
      </c>
      <c r="AF2045" s="35">
        <v>0.45584677419354841</v>
      </c>
    </row>
    <row r="2046" spans="19:32" x14ac:dyDescent="0.35">
      <c r="S2046" s="36">
        <v>2042</v>
      </c>
      <c r="T2046" s="36" t="s">
        <v>4284</v>
      </c>
      <c r="U2046" s="36" t="s">
        <v>3085</v>
      </c>
      <c r="V2046" s="37">
        <v>8.131999999999999E-2</v>
      </c>
      <c r="W2046" s="13"/>
      <c r="X2046" s="34">
        <v>2042</v>
      </c>
      <c r="Y2046" s="34" t="s">
        <v>2248</v>
      </c>
      <c r="Z2046" s="34" t="s">
        <v>5195</v>
      </c>
      <c r="AA2046" s="35">
        <v>6.9919354838709677E-4</v>
      </c>
      <c r="AB2046" s="13"/>
      <c r="AC2046" s="34">
        <v>2042</v>
      </c>
      <c r="AD2046" s="34" t="s">
        <v>4573</v>
      </c>
      <c r="AE2046" s="34" t="s">
        <v>3516</v>
      </c>
      <c r="AF2046" s="35">
        <v>5.8951612903225814E-2</v>
      </c>
    </row>
    <row r="2047" spans="19:32" x14ac:dyDescent="0.35">
      <c r="S2047" s="34">
        <v>2043</v>
      </c>
      <c r="T2047" s="34" t="s">
        <v>4284</v>
      </c>
      <c r="U2047" s="34" t="s">
        <v>3085</v>
      </c>
      <c r="V2047" s="35">
        <v>6.4778225806451615E-6</v>
      </c>
      <c r="W2047" s="13"/>
      <c r="X2047" s="47">
        <v>2043</v>
      </c>
      <c r="Y2047" s="47" t="s">
        <v>2248</v>
      </c>
      <c r="Z2047" s="47" t="s">
        <v>3220</v>
      </c>
      <c r="AA2047" s="48">
        <v>0.70564000000000004</v>
      </c>
      <c r="AB2047" s="13"/>
      <c r="AC2047" s="34">
        <v>2043</v>
      </c>
      <c r="AD2047" s="34" t="s">
        <v>4573</v>
      </c>
      <c r="AE2047" s="34" t="s">
        <v>3513</v>
      </c>
      <c r="AF2047" s="35">
        <v>0.76431451612903234</v>
      </c>
    </row>
    <row r="2048" spans="19:32" x14ac:dyDescent="0.35">
      <c r="S2048" s="47">
        <v>2044</v>
      </c>
      <c r="T2048" s="47" t="s">
        <v>4284</v>
      </c>
      <c r="U2048" s="47" t="s">
        <v>3085</v>
      </c>
      <c r="V2048" s="48">
        <v>0</v>
      </c>
      <c r="W2048" s="13"/>
      <c r="X2048" s="47">
        <v>2044</v>
      </c>
      <c r="Y2048" s="47" t="s">
        <v>2248</v>
      </c>
      <c r="Z2048" s="47" t="s">
        <v>3220</v>
      </c>
      <c r="AA2048" s="48">
        <v>7.8487903225806459</v>
      </c>
      <c r="AB2048" s="13"/>
      <c r="AC2048" s="34">
        <v>2044</v>
      </c>
      <c r="AD2048" s="34" t="s">
        <v>4573</v>
      </c>
      <c r="AE2048" s="34" t="s">
        <v>3511</v>
      </c>
      <c r="AF2048" s="35">
        <v>0.71633064516129041</v>
      </c>
    </row>
    <row r="2049" spans="19:32" x14ac:dyDescent="0.35">
      <c r="S2049" s="30">
        <v>2045</v>
      </c>
      <c r="T2049" s="30" t="s">
        <v>4284</v>
      </c>
      <c r="U2049" s="30" t="s">
        <v>5194</v>
      </c>
      <c r="V2049" s="31">
        <v>556.80000000000007</v>
      </c>
      <c r="W2049" s="13"/>
      <c r="X2049" s="34">
        <v>2045</v>
      </c>
      <c r="Y2049" s="34" t="s">
        <v>2248</v>
      </c>
      <c r="Z2049" s="34" t="s">
        <v>5193</v>
      </c>
      <c r="AA2049" s="35">
        <v>3.2560483870967745E-4</v>
      </c>
      <c r="AB2049" s="13"/>
      <c r="AC2049" s="34">
        <v>2045</v>
      </c>
      <c r="AD2049" s="34" t="s">
        <v>4573</v>
      </c>
      <c r="AE2049" s="34" t="s">
        <v>3508</v>
      </c>
      <c r="AF2049" s="35">
        <v>9.973790322580646E-2</v>
      </c>
    </row>
    <row r="2050" spans="19:32" x14ac:dyDescent="0.35">
      <c r="S2050" s="30">
        <v>2046</v>
      </c>
      <c r="T2050" s="30" t="s">
        <v>4284</v>
      </c>
      <c r="U2050" s="30" t="s">
        <v>5192</v>
      </c>
      <c r="V2050" s="31">
        <v>20.068000000000001</v>
      </c>
      <c r="W2050" s="13"/>
      <c r="X2050" s="47">
        <v>2046</v>
      </c>
      <c r="Y2050" s="47" t="s">
        <v>2248</v>
      </c>
      <c r="Z2050" s="47" t="s">
        <v>4511</v>
      </c>
      <c r="AA2050" s="48">
        <v>7.0947580645161289E-5</v>
      </c>
      <c r="AB2050" s="13"/>
      <c r="AC2050" s="34">
        <v>2046</v>
      </c>
      <c r="AD2050" s="34" t="s">
        <v>4573</v>
      </c>
      <c r="AE2050" s="34" t="s">
        <v>3505</v>
      </c>
      <c r="AF2050" s="35">
        <v>0.45241935483870971</v>
      </c>
    </row>
    <row r="2051" spans="19:32" x14ac:dyDescent="0.35">
      <c r="S2051" s="34">
        <v>2047</v>
      </c>
      <c r="T2051" s="34" t="s">
        <v>4284</v>
      </c>
      <c r="U2051" s="34" t="s">
        <v>3083</v>
      </c>
      <c r="V2051" s="35">
        <v>1.6040322580645162E-4</v>
      </c>
      <c r="W2051" s="13"/>
      <c r="X2051" s="47">
        <v>2047</v>
      </c>
      <c r="Y2051" s="47" t="s">
        <v>2248</v>
      </c>
      <c r="Z2051" s="47" t="s">
        <v>3218</v>
      </c>
      <c r="AA2051" s="48">
        <v>1.7663999999999997</v>
      </c>
      <c r="AB2051" s="13"/>
      <c r="AC2051" s="34">
        <v>2047</v>
      </c>
      <c r="AD2051" s="34" t="s">
        <v>4573</v>
      </c>
      <c r="AE2051" s="34" t="s">
        <v>3502</v>
      </c>
      <c r="AF2051" s="35">
        <v>95.625000000000014</v>
      </c>
    </row>
    <row r="2052" spans="19:32" x14ac:dyDescent="0.35">
      <c r="S2052" s="47">
        <v>2048</v>
      </c>
      <c r="T2052" s="47" t="s">
        <v>4284</v>
      </c>
      <c r="U2052" s="47" t="s">
        <v>3083</v>
      </c>
      <c r="V2052" s="48">
        <v>1.0396000000000001</v>
      </c>
      <c r="W2052" s="13"/>
      <c r="X2052" s="34">
        <v>2048</v>
      </c>
      <c r="Y2052" s="34" t="s">
        <v>2248</v>
      </c>
      <c r="Z2052" s="34" t="s">
        <v>5191</v>
      </c>
      <c r="AA2052" s="35">
        <v>1.4223790322580646E-3</v>
      </c>
      <c r="AB2052" s="13"/>
      <c r="AC2052" s="34">
        <v>2048</v>
      </c>
      <c r="AD2052" s="34" t="s">
        <v>4573</v>
      </c>
      <c r="AE2052" s="34" t="s">
        <v>3500</v>
      </c>
      <c r="AF2052" s="35">
        <v>0.26802419354838714</v>
      </c>
    </row>
    <row r="2053" spans="19:32" x14ac:dyDescent="0.35">
      <c r="S2053" s="30">
        <v>2049</v>
      </c>
      <c r="T2053" s="30" t="s">
        <v>4284</v>
      </c>
      <c r="U2053" s="30" t="s">
        <v>5190</v>
      </c>
      <c r="V2053" s="31">
        <v>129.92000000000002</v>
      </c>
      <c r="W2053" s="13"/>
      <c r="X2053" s="34">
        <v>2049</v>
      </c>
      <c r="Y2053" s="34" t="s">
        <v>2248</v>
      </c>
      <c r="Z2053" s="34" t="s">
        <v>4510</v>
      </c>
      <c r="AA2053" s="35">
        <v>1.1241935483870968E-4</v>
      </c>
      <c r="AB2053" s="13"/>
      <c r="AC2053" s="34">
        <v>2049</v>
      </c>
      <c r="AD2053" s="34" t="s">
        <v>4573</v>
      </c>
      <c r="AE2053" s="34" t="s">
        <v>3497</v>
      </c>
      <c r="AF2053" s="35">
        <v>248.48790322580646</v>
      </c>
    </row>
    <row r="2054" spans="19:32" x14ac:dyDescent="0.35">
      <c r="S2054" s="30">
        <v>2050</v>
      </c>
      <c r="T2054" s="30" t="s">
        <v>4284</v>
      </c>
      <c r="U2054" s="30" t="s">
        <v>5189</v>
      </c>
      <c r="V2054" s="31">
        <v>101.036</v>
      </c>
      <c r="W2054" s="13"/>
      <c r="X2054" s="47">
        <v>2050</v>
      </c>
      <c r="Y2054" s="47" t="s">
        <v>2248</v>
      </c>
      <c r="Z2054" s="47" t="s">
        <v>3217</v>
      </c>
      <c r="AA2054" s="48">
        <v>1.3984E-2</v>
      </c>
      <c r="AB2054" s="13"/>
      <c r="AC2054" s="47">
        <v>2050</v>
      </c>
      <c r="AD2054" s="47" t="s">
        <v>4573</v>
      </c>
      <c r="AE2054" s="47" t="s">
        <v>2999</v>
      </c>
      <c r="AF2054" s="48">
        <v>10.396000000000001</v>
      </c>
    </row>
    <row r="2055" spans="19:32" x14ac:dyDescent="0.35">
      <c r="S2055" s="30">
        <v>2051</v>
      </c>
      <c r="T2055" s="30" t="s">
        <v>4284</v>
      </c>
      <c r="U2055" s="30" t="s">
        <v>5188</v>
      </c>
      <c r="V2055" s="31">
        <v>25.752000000000002</v>
      </c>
      <c r="W2055" s="13"/>
      <c r="X2055" s="34">
        <v>2051</v>
      </c>
      <c r="Y2055" s="34" t="s">
        <v>2248</v>
      </c>
      <c r="Z2055" s="34" t="s">
        <v>5187</v>
      </c>
      <c r="AA2055" s="35">
        <v>2.3923387096774196E-4</v>
      </c>
      <c r="AB2055" s="13"/>
      <c r="AC2055" s="34">
        <v>2051</v>
      </c>
      <c r="AD2055" s="34" t="s">
        <v>4573</v>
      </c>
      <c r="AE2055" s="34" t="s">
        <v>2997</v>
      </c>
      <c r="AF2055" s="35">
        <v>38.387096774193552</v>
      </c>
    </row>
    <row r="2056" spans="19:32" x14ac:dyDescent="0.35">
      <c r="S2056" s="30">
        <v>2052</v>
      </c>
      <c r="T2056" s="30" t="s">
        <v>4284</v>
      </c>
      <c r="U2056" s="30" t="s">
        <v>5186</v>
      </c>
      <c r="V2056" s="31">
        <v>27.376000000000001</v>
      </c>
      <c r="W2056" s="13"/>
      <c r="X2056" s="47">
        <v>2052</v>
      </c>
      <c r="Y2056" s="47" t="s">
        <v>2248</v>
      </c>
      <c r="Z2056" s="47" t="s">
        <v>4509</v>
      </c>
      <c r="AA2056" s="48">
        <v>9.8366935483870984E-3</v>
      </c>
      <c r="AB2056" s="13"/>
      <c r="AC2056" s="47">
        <v>2052</v>
      </c>
      <c r="AD2056" s="47" t="s">
        <v>4573</v>
      </c>
      <c r="AE2056" s="47" t="s">
        <v>2997</v>
      </c>
      <c r="AF2056" s="48">
        <v>0.21068000000000001</v>
      </c>
    </row>
    <row r="2057" spans="19:32" x14ac:dyDescent="0.35">
      <c r="S2057" s="34">
        <v>2053</v>
      </c>
      <c r="T2057" s="34" t="s">
        <v>4284</v>
      </c>
      <c r="U2057" s="34" t="s">
        <v>3081</v>
      </c>
      <c r="V2057" s="35">
        <v>1.5526209677419355E-5</v>
      </c>
      <c r="W2057" s="13"/>
      <c r="X2057" s="34">
        <v>2053</v>
      </c>
      <c r="Y2057" s="34" t="s">
        <v>2248</v>
      </c>
      <c r="Z2057" s="34" t="s">
        <v>4508</v>
      </c>
      <c r="AA2057" s="35">
        <v>1.5491935483870969E-3</v>
      </c>
      <c r="AB2057" s="13"/>
      <c r="AC2057" s="34">
        <v>2053</v>
      </c>
      <c r="AD2057" s="34" t="s">
        <v>4573</v>
      </c>
      <c r="AE2057" s="34" t="s">
        <v>2996</v>
      </c>
      <c r="AF2057" s="35">
        <v>1.3743951612903227E-2</v>
      </c>
    </row>
    <row r="2058" spans="19:32" x14ac:dyDescent="0.35">
      <c r="S2058" s="47">
        <v>2054</v>
      </c>
      <c r="T2058" s="47" t="s">
        <v>4284</v>
      </c>
      <c r="U2058" s="47" t="s">
        <v>3081</v>
      </c>
      <c r="V2058" s="48">
        <v>0.79855999999999994</v>
      </c>
      <c r="W2058" s="13"/>
      <c r="X2058" s="47">
        <v>2054</v>
      </c>
      <c r="Y2058" s="47" t="s">
        <v>2248</v>
      </c>
      <c r="Z2058" s="47" t="s">
        <v>4504</v>
      </c>
      <c r="AA2058" s="48">
        <v>1.7822580645161294E-4</v>
      </c>
      <c r="AB2058" s="13"/>
      <c r="AC2058" s="47">
        <v>2054</v>
      </c>
      <c r="AD2058" s="47" t="s">
        <v>4573</v>
      </c>
      <c r="AE2058" s="47" t="s">
        <v>2996</v>
      </c>
      <c r="AF2058" s="48">
        <v>18.675999999999998</v>
      </c>
    </row>
    <row r="2059" spans="19:32" x14ac:dyDescent="0.35">
      <c r="S2059" s="30">
        <v>2055</v>
      </c>
      <c r="T2059" s="30" t="s">
        <v>4284</v>
      </c>
      <c r="U2059" s="30" t="s">
        <v>3080</v>
      </c>
      <c r="V2059" s="31">
        <v>675.12</v>
      </c>
      <c r="W2059" s="13"/>
      <c r="X2059" s="34">
        <v>2055</v>
      </c>
      <c r="Y2059" s="34" t="s">
        <v>2248</v>
      </c>
      <c r="Z2059" s="34" t="s">
        <v>5185</v>
      </c>
      <c r="AA2059" s="35">
        <v>5.3125000000000004E-5</v>
      </c>
      <c r="AB2059" s="13"/>
      <c r="AC2059" s="34">
        <v>2055</v>
      </c>
      <c r="AD2059" s="34" t="s">
        <v>4573</v>
      </c>
      <c r="AE2059" s="34" t="s">
        <v>3490</v>
      </c>
      <c r="AF2059" s="35">
        <v>104.87903225806453</v>
      </c>
    </row>
    <row r="2060" spans="19:32" x14ac:dyDescent="0.35">
      <c r="S2060" s="47">
        <v>2056</v>
      </c>
      <c r="T2060" s="47" t="s">
        <v>4284</v>
      </c>
      <c r="U2060" s="47" t="s">
        <v>3080</v>
      </c>
      <c r="V2060" s="48">
        <v>0</v>
      </c>
      <c r="W2060" s="13"/>
      <c r="X2060" s="34">
        <v>2056</v>
      </c>
      <c r="Y2060" s="34" t="s">
        <v>2248</v>
      </c>
      <c r="Z2060" s="34" t="s">
        <v>4499</v>
      </c>
      <c r="AA2060" s="35">
        <v>4.7983870967741937E-5</v>
      </c>
      <c r="AB2060" s="13"/>
      <c r="AC2060" s="34">
        <v>2056</v>
      </c>
      <c r="AD2060" s="34" t="s">
        <v>4573</v>
      </c>
      <c r="AE2060" s="34" t="s">
        <v>2994</v>
      </c>
      <c r="AF2060" s="35">
        <v>1.0179435483870968E-2</v>
      </c>
    </row>
    <row r="2061" spans="19:32" x14ac:dyDescent="0.35">
      <c r="S2061" s="30">
        <v>2057</v>
      </c>
      <c r="T2061" s="30" t="s">
        <v>4284</v>
      </c>
      <c r="U2061" s="30" t="s">
        <v>5184</v>
      </c>
      <c r="V2061" s="31">
        <v>29.928000000000001</v>
      </c>
      <c r="W2061" s="13"/>
      <c r="X2061" s="47">
        <v>2057</v>
      </c>
      <c r="Y2061" s="47" t="s">
        <v>2248</v>
      </c>
      <c r="Z2061" s="47" t="s">
        <v>4495</v>
      </c>
      <c r="AA2061" s="48">
        <v>2.4471774193548391E-3</v>
      </c>
      <c r="AB2061" s="13"/>
      <c r="AC2061" s="47">
        <v>2057</v>
      </c>
      <c r="AD2061" s="47" t="s">
        <v>4573</v>
      </c>
      <c r="AE2061" s="47" t="s">
        <v>2994</v>
      </c>
      <c r="AF2061" s="48">
        <v>0.10764</v>
      </c>
    </row>
    <row r="2062" spans="19:32" x14ac:dyDescent="0.35">
      <c r="S2062" s="30">
        <v>2058</v>
      </c>
      <c r="T2062" s="30" t="s">
        <v>4284</v>
      </c>
      <c r="U2062" s="30" t="s">
        <v>5183</v>
      </c>
      <c r="V2062" s="31">
        <v>38.048000000000002</v>
      </c>
      <c r="W2062" s="13"/>
      <c r="X2062" s="34">
        <v>2058</v>
      </c>
      <c r="Y2062" s="34" t="s">
        <v>2248</v>
      </c>
      <c r="Z2062" s="34" t="s">
        <v>5182</v>
      </c>
      <c r="AA2062" s="35">
        <v>1.3435483870967743E-3</v>
      </c>
      <c r="AB2062" s="13"/>
      <c r="AC2062" s="34">
        <v>2058</v>
      </c>
      <c r="AD2062" s="34" t="s">
        <v>4573</v>
      </c>
      <c r="AE2062" s="34" t="s">
        <v>3486</v>
      </c>
      <c r="AF2062" s="35">
        <v>2.4094758064516133E-4</v>
      </c>
    </row>
    <row r="2063" spans="19:32" x14ac:dyDescent="0.35">
      <c r="S2063" s="47">
        <v>2059</v>
      </c>
      <c r="T2063" s="47" t="s">
        <v>4284</v>
      </c>
      <c r="U2063" s="47" t="s">
        <v>3078</v>
      </c>
      <c r="V2063" s="48">
        <v>0</v>
      </c>
      <c r="W2063" s="13"/>
      <c r="X2063" s="47">
        <v>2059</v>
      </c>
      <c r="Y2063" s="47" t="s">
        <v>2248</v>
      </c>
      <c r="Z2063" s="47" t="s">
        <v>4491</v>
      </c>
      <c r="AA2063" s="48">
        <v>2.2175403225806454</v>
      </c>
      <c r="AB2063" s="13"/>
      <c r="AC2063" s="34">
        <v>2059</v>
      </c>
      <c r="AD2063" s="34" t="s">
        <v>4573</v>
      </c>
      <c r="AE2063" s="34" t="s">
        <v>3483</v>
      </c>
      <c r="AF2063" s="35">
        <v>2.1112903225806452E-2</v>
      </c>
    </row>
    <row r="2064" spans="19:32" x14ac:dyDescent="0.35">
      <c r="S2064" s="30">
        <v>2060</v>
      </c>
      <c r="T2064" s="30" t="s">
        <v>4284</v>
      </c>
      <c r="U2064" s="30" t="s">
        <v>5181</v>
      </c>
      <c r="V2064" s="31">
        <v>39.208000000000006</v>
      </c>
      <c r="W2064" s="13"/>
      <c r="X2064" s="47">
        <v>2060</v>
      </c>
      <c r="Y2064" s="47" t="s">
        <v>2248</v>
      </c>
      <c r="Z2064" s="47" t="s">
        <v>3215</v>
      </c>
      <c r="AA2064" s="48">
        <v>0</v>
      </c>
      <c r="AB2064" s="13"/>
      <c r="AC2064" s="34">
        <v>2060</v>
      </c>
      <c r="AD2064" s="34" t="s">
        <v>4573</v>
      </c>
      <c r="AE2064" s="34" t="s">
        <v>3480</v>
      </c>
      <c r="AF2064" s="35">
        <v>0.64778225806451617</v>
      </c>
    </row>
    <row r="2065" spans="19:32" x14ac:dyDescent="0.35">
      <c r="S2065" s="30">
        <v>2061</v>
      </c>
      <c r="T2065" s="30" t="s">
        <v>4284</v>
      </c>
      <c r="U2065" s="30" t="s">
        <v>3077</v>
      </c>
      <c r="V2065" s="31">
        <v>90.712000000000003</v>
      </c>
      <c r="W2065" s="13"/>
      <c r="X2065" s="47">
        <v>2061</v>
      </c>
      <c r="Y2065" s="47" t="s">
        <v>2248</v>
      </c>
      <c r="Z2065" s="47" t="s">
        <v>3214</v>
      </c>
      <c r="AA2065" s="48">
        <v>3.0820000000000004E-2</v>
      </c>
      <c r="AB2065" s="13"/>
      <c r="AC2065" s="34">
        <v>2061</v>
      </c>
      <c r="AD2065" s="34" t="s">
        <v>4573</v>
      </c>
      <c r="AE2065" s="34" t="s">
        <v>3478</v>
      </c>
      <c r="AF2065" s="35">
        <v>1.5320564516129035E-3</v>
      </c>
    </row>
    <row r="2066" spans="19:32" x14ac:dyDescent="0.35">
      <c r="S2066" s="47">
        <v>2062</v>
      </c>
      <c r="T2066" s="47" t="s">
        <v>4284</v>
      </c>
      <c r="U2066" s="47" t="s">
        <v>3077</v>
      </c>
      <c r="V2066" s="48">
        <v>3.8364000000000002E-2</v>
      </c>
      <c r="W2066" s="13"/>
      <c r="X2066" s="34">
        <v>2062</v>
      </c>
      <c r="Y2066" s="34" t="s">
        <v>2248</v>
      </c>
      <c r="Z2066" s="34" t="s">
        <v>5180</v>
      </c>
      <c r="AA2066" s="35">
        <v>0.76431451612903234</v>
      </c>
      <c r="AB2066" s="13"/>
      <c r="AC2066" s="47">
        <v>2062</v>
      </c>
      <c r="AD2066" s="47" t="s">
        <v>4573</v>
      </c>
      <c r="AE2066" s="47" t="s">
        <v>2993</v>
      </c>
      <c r="AF2066" s="48">
        <v>2.8704000000000001</v>
      </c>
    </row>
    <row r="2067" spans="19:32" x14ac:dyDescent="0.35">
      <c r="S2067" s="30">
        <v>2063</v>
      </c>
      <c r="T2067" s="30" t="s">
        <v>4284</v>
      </c>
      <c r="U2067" s="30" t="s">
        <v>5179</v>
      </c>
      <c r="V2067" s="31">
        <v>16.007999999999999</v>
      </c>
      <c r="W2067" s="13"/>
      <c r="X2067" s="47">
        <v>2063</v>
      </c>
      <c r="Y2067" s="47" t="s">
        <v>2248</v>
      </c>
      <c r="Z2067" s="47" t="s">
        <v>4486</v>
      </c>
      <c r="AA2067" s="48">
        <v>179.59677419354841</v>
      </c>
      <c r="AB2067" s="13"/>
      <c r="AC2067" s="34">
        <v>2063</v>
      </c>
      <c r="AD2067" s="34" t="s">
        <v>4573</v>
      </c>
      <c r="AE2067" s="34" t="s">
        <v>3475</v>
      </c>
      <c r="AF2067" s="35">
        <v>2.5431451612903229E-2</v>
      </c>
    </row>
    <row r="2068" spans="19:32" x14ac:dyDescent="0.35">
      <c r="S2068" s="30">
        <v>2064</v>
      </c>
      <c r="T2068" s="30" t="s">
        <v>4284</v>
      </c>
      <c r="U2068" s="30" t="s">
        <v>5178</v>
      </c>
      <c r="V2068" s="31">
        <v>570.72</v>
      </c>
      <c r="W2068" s="13"/>
      <c r="X2068" s="47">
        <v>2064</v>
      </c>
      <c r="Y2068" s="47" t="s">
        <v>2248</v>
      </c>
      <c r="Z2068" s="47" t="s">
        <v>4482</v>
      </c>
      <c r="AA2068" s="48">
        <v>1.264717741935484E-4</v>
      </c>
      <c r="AB2068" s="13"/>
      <c r="AC2068" s="34">
        <v>2064</v>
      </c>
      <c r="AD2068" s="34" t="s">
        <v>4573</v>
      </c>
      <c r="AE2068" s="34" t="s">
        <v>3472</v>
      </c>
      <c r="AF2068" s="35">
        <v>7.8487903225806458E-3</v>
      </c>
    </row>
    <row r="2069" spans="19:32" x14ac:dyDescent="0.35">
      <c r="S2069" s="34">
        <v>2065</v>
      </c>
      <c r="T2069" s="34" t="s">
        <v>4284</v>
      </c>
      <c r="U2069" s="34" t="s">
        <v>3075</v>
      </c>
      <c r="V2069" s="35">
        <v>9.5282258064516127E-5</v>
      </c>
      <c r="W2069" s="13"/>
      <c r="X2069" s="34">
        <v>2065</v>
      </c>
      <c r="Y2069" s="34" t="s">
        <v>2248</v>
      </c>
      <c r="Z2069" s="34" t="s">
        <v>5177</v>
      </c>
      <c r="AA2069" s="35">
        <v>4.3528225806451615E-4</v>
      </c>
      <c r="AB2069" s="13"/>
      <c r="AC2069" s="34">
        <v>2065</v>
      </c>
      <c r="AD2069" s="34" t="s">
        <v>4573</v>
      </c>
      <c r="AE2069" s="34" t="s">
        <v>2992</v>
      </c>
      <c r="AF2069" s="35">
        <v>5.1068548387096777E-2</v>
      </c>
    </row>
    <row r="2070" spans="19:32" x14ac:dyDescent="0.35">
      <c r="S2070" s="47">
        <v>2066</v>
      </c>
      <c r="T2070" s="47" t="s">
        <v>4284</v>
      </c>
      <c r="U2070" s="47" t="s">
        <v>3075</v>
      </c>
      <c r="V2070" s="48">
        <v>14.719999999999999</v>
      </c>
      <c r="W2070" s="13"/>
      <c r="X2070" s="47">
        <v>2066</v>
      </c>
      <c r="Y2070" s="47" t="s">
        <v>2248</v>
      </c>
      <c r="Z2070" s="47" t="s">
        <v>3212</v>
      </c>
      <c r="AA2070" s="48">
        <v>0</v>
      </c>
      <c r="AB2070" s="13"/>
      <c r="AC2070" s="47">
        <v>2066</v>
      </c>
      <c r="AD2070" s="47" t="s">
        <v>4573</v>
      </c>
      <c r="AE2070" s="47" t="s">
        <v>2992</v>
      </c>
      <c r="AF2070" s="48">
        <v>2.3460000000000002E-2</v>
      </c>
    </row>
    <row r="2071" spans="19:32" x14ac:dyDescent="0.35">
      <c r="S2071" s="30">
        <v>2067</v>
      </c>
      <c r="T2071" s="30" t="s">
        <v>4284</v>
      </c>
      <c r="U2071" s="30" t="s">
        <v>5176</v>
      </c>
      <c r="V2071" s="31">
        <v>170.52</v>
      </c>
      <c r="W2071" s="13"/>
      <c r="X2071" s="34">
        <v>2067</v>
      </c>
      <c r="Y2071" s="34" t="s">
        <v>2248</v>
      </c>
      <c r="Z2071" s="34" t="s">
        <v>3212</v>
      </c>
      <c r="AA2071" s="35">
        <v>0.11344758064516131</v>
      </c>
      <c r="AB2071" s="13"/>
      <c r="AC2071" s="34">
        <v>2067</v>
      </c>
      <c r="AD2071" s="34" t="s">
        <v>4573</v>
      </c>
      <c r="AE2071" s="34" t="s">
        <v>3468</v>
      </c>
      <c r="AF2071" s="35">
        <v>712.9032258064517</v>
      </c>
    </row>
    <row r="2072" spans="19:32" x14ac:dyDescent="0.35">
      <c r="S2072" s="30">
        <v>2068</v>
      </c>
      <c r="T2072" s="30" t="s">
        <v>4284</v>
      </c>
      <c r="U2072" s="30" t="s">
        <v>3074</v>
      </c>
      <c r="V2072" s="31">
        <v>0.10416800000000001</v>
      </c>
      <c r="W2072" s="13"/>
      <c r="X2072" s="34">
        <v>2068</v>
      </c>
      <c r="Y2072" s="34" t="s">
        <v>2248</v>
      </c>
      <c r="Z2072" s="34" t="s">
        <v>5175</v>
      </c>
      <c r="AA2072" s="35">
        <v>1.8679435483870969E-4</v>
      </c>
      <c r="AB2072" s="13"/>
      <c r="AC2072" s="34">
        <v>2068</v>
      </c>
      <c r="AD2072" s="34" t="s">
        <v>4573</v>
      </c>
      <c r="AE2072" s="34" t="s">
        <v>3465</v>
      </c>
      <c r="AF2072" s="35">
        <v>0.19707661290322581</v>
      </c>
    </row>
    <row r="2073" spans="19:32" x14ac:dyDescent="0.35">
      <c r="S2073" s="34">
        <v>2069</v>
      </c>
      <c r="T2073" s="34" t="s">
        <v>4284</v>
      </c>
      <c r="U2073" s="34" t="s">
        <v>3074</v>
      </c>
      <c r="V2073" s="35">
        <v>4.1814516129032259E-6</v>
      </c>
      <c r="W2073" s="13"/>
      <c r="X2073" s="47">
        <v>2069</v>
      </c>
      <c r="Y2073" s="47" t="s">
        <v>2248</v>
      </c>
      <c r="Z2073" s="47" t="s">
        <v>3210</v>
      </c>
      <c r="AA2073" s="48">
        <v>0.24196000000000001</v>
      </c>
      <c r="AB2073" s="13"/>
      <c r="AC2073" s="34">
        <v>2069</v>
      </c>
      <c r="AD2073" s="34" t="s">
        <v>4573</v>
      </c>
      <c r="AE2073" s="34" t="s">
        <v>3462</v>
      </c>
      <c r="AF2073" s="35">
        <v>1.1790322580645163</v>
      </c>
    </row>
    <row r="2074" spans="19:32" x14ac:dyDescent="0.35">
      <c r="S2074" s="47">
        <v>2070</v>
      </c>
      <c r="T2074" s="47" t="s">
        <v>4284</v>
      </c>
      <c r="U2074" s="47" t="s">
        <v>3074</v>
      </c>
      <c r="V2074" s="48">
        <v>0.31464000000000003</v>
      </c>
      <c r="W2074" s="13"/>
      <c r="X2074" s="47">
        <v>2070</v>
      </c>
      <c r="Y2074" s="47" t="s">
        <v>2248</v>
      </c>
      <c r="Z2074" s="47" t="s">
        <v>3210</v>
      </c>
      <c r="AA2074" s="48">
        <v>5.8608870967741941E-3</v>
      </c>
      <c r="AB2074" s="13"/>
      <c r="AC2074" s="34">
        <v>2070</v>
      </c>
      <c r="AD2074" s="34" t="s">
        <v>4573</v>
      </c>
      <c r="AE2074" s="34" t="s">
        <v>3459</v>
      </c>
      <c r="AF2074" s="35">
        <v>3.2800403225806455E-3</v>
      </c>
    </row>
    <row r="2075" spans="19:32" x14ac:dyDescent="0.35">
      <c r="S2075" s="30">
        <v>2071</v>
      </c>
      <c r="T2075" s="30" t="s">
        <v>4284</v>
      </c>
      <c r="U2075" s="30" t="s">
        <v>5174</v>
      </c>
      <c r="V2075" s="31">
        <v>996.44</v>
      </c>
      <c r="W2075" s="13"/>
      <c r="X2075" s="34">
        <v>2071</v>
      </c>
      <c r="Y2075" s="34" t="s">
        <v>2248</v>
      </c>
      <c r="Z2075" s="34" t="s">
        <v>4470</v>
      </c>
      <c r="AA2075" s="35">
        <v>1.4189516129032259E-3</v>
      </c>
      <c r="AB2075" s="13"/>
      <c r="AC2075" s="34">
        <v>2071</v>
      </c>
      <c r="AD2075" s="34" t="s">
        <v>4573</v>
      </c>
      <c r="AE2075" s="34" t="s">
        <v>3456</v>
      </c>
      <c r="AF2075" s="35">
        <v>7.9173387096774205E-3</v>
      </c>
    </row>
    <row r="2076" spans="19:32" x14ac:dyDescent="0.35">
      <c r="S2076" s="30">
        <v>2072</v>
      </c>
      <c r="T2076" s="30" t="s">
        <v>4284</v>
      </c>
      <c r="U2076" s="30" t="s">
        <v>5173</v>
      </c>
      <c r="V2076" s="31">
        <v>42.92</v>
      </c>
      <c r="W2076" s="13"/>
      <c r="X2076" s="34">
        <v>2072</v>
      </c>
      <c r="Y2076" s="34" t="s">
        <v>2248</v>
      </c>
      <c r="Z2076" s="34" t="s">
        <v>5172</v>
      </c>
      <c r="AA2076" s="35">
        <v>9.9737903225806455E-4</v>
      </c>
      <c r="AB2076" s="13"/>
      <c r="AC2076" s="34">
        <v>2072</v>
      </c>
      <c r="AD2076" s="34" t="s">
        <v>4573</v>
      </c>
      <c r="AE2076" s="34" t="s">
        <v>3454</v>
      </c>
      <c r="AF2076" s="35">
        <v>3.1532258064516129E-2</v>
      </c>
    </row>
    <row r="2077" spans="19:32" x14ac:dyDescent="0.35">
      <c r="S2077" s="30">
        <v>2073</v>
      </c>
      <c r="T2077" s="30" t="s">
        <v>4284</v>
      </c>
      <c r="U2077" s="30" t="s">
        <v>5171</v>
      </c>
      <c r="V2077" s="31">
        <v>1.8560000000000001</v>
      </c>
      <c r="W2077" s="13"/>
      <c r="X2077" s="47">
        <v>2073</v>
      </c>
      <c r="Y2077" s="47" t="s">
        <v>2248</v>
      </c>
      <c r="Z2077" s="47" t="s">
        <v>4466</v>
      </c>
      <c r="AA2077" s="48">
        <v>1.264717741935484E-3</v>
      </c>
      <c r="AB2077" s="13"/>
      <c r="AC2077" s="34">
        <v>2073</v>
      </c>
      <c r="AD2077" s="34" t="s">
        <v>4573</v>
      </c>
      <c r="AE2077" s="34" t="s">
        <v>2991</v>
      </c>
      <c r="AF2077" s="35">
        <v>1.6211693548387096E-3</v>
      </c>
    </row>
    <row r="2078" spans="19:32" x14ac:dyDescent="0.35">
      <c r="S2078" s="30">
        <v>2074</v>
      </c>
      <c r="T2078" s="30" t="s">
        <v>4284</v>
      </c>
      <c r="U2078" s="30" t="s">
        <v>5170</v>
      </c>
      <c r="V2078" s="31">
        <v>229.68</v>
      </c>
      <c r="W2078" s="13"/>
      <c r="X2078" s="47">
        <v>2074</v>
      </c>
      <c r="Y2078" s="47" t="s">
        <v>2248</v>
      </c>
      <c r="Z2078" s="47" t="s">
        <v>3209</v>
      </c>
      <c r="AA2078" s="48">
        <v>0.97520000000000007</v>
      </c>
      <c r="AB2078" s="13"/>
      <c r="AC2078" s="47">
        <v>2074</v>
      </c>
      <c r="AD2078" s="47" t="s">
        <v>4573</v>
      </c>
      <c r="AE2078" s="47" t="s">
        <v>2991</v>
      </c>
      <c r="AF2078" s="48">
        <v>22.263999999999999</v>
      </c>
    </row>
    <row r="2079" spans="19:32" x14ac:dyDescent="0.35">
      <c r="S2079" s="30">
        <v>2075</v>
      </c>
      <c r="T2079" s="30" t="s">
        <v>4284</v>
      </c>
      <c r="U2079" s="30" t="s">
        <v>3073</v>
      </c>
      <c r="V2079" s="31">
        <v>56.956000000000003</v>
      </c>
      <c r="W2079" s="13"/>
      <c r="X2079" s="34">
        <v>2075</v>
      </c>
      <c r="Y2079" s="34" t="s">
        <v>2248</v>
      </c>
      <c r="Z2079" s="34" t="s">
        <v>5169</v>
      </c>
      <c r="AA2079" s="35">
        <v>5.1754032258064519E-5</v>
      </c>
      <c r="AB2079" s="13"/>
      <c r="AC2079" s="34">
        <v>2075</v>
      </c>
      <c r="AD2079" s="34" t="s">
        <v>4573</v>
      </c>
      <c r="AE2079" s="34" t="s">
        <v>3449</v>
      </c>
      <c r="AF2079" s="35">
        <v>1.9262096774193551E-3</v>
      </c>
    </row>
    <row r="2080" spans="19:32" x14ac:dyDescent="0.35">
      <c r="S2080" s="47">
        <v>2076</v>
      </c>
      <c r="T2080" s="47" t="s">
        <v>4284</v>
      </c>
      <c r="U2080" s="47" t="s">
        <v>3073</v>
      </c>
      <c r="V2080" s="48">
        <v>0</v>
      </c>
      <c r="W2080" s="13"/>
      <c r="X2080" s="34">
        <v>2076</v>
      </c>
      <c r="Y2080" s="34" t="s">
        <v>2248</v>
      </c>
      <c r="Z2080" s="34" t="s">
        <v>4462</v>
      </c>
      <c r="AA2080" s="35">
        <v>1.4258064516129033E-5</v>
      </c>
      <c r="AB2080" s="13"/>
      <c r="AC2080" s="34">
        <v>2076</v>
      </c>
      <c r="AD2080" s="34" t="s">
        <v>4573</v>
      </c>
      <c r="AE2080" s="34" t="s">
        <v>2989</v>
      </c>
      <c r="AF2080" s="35">
        <v>5.895161290322581E-5</v>
      </c>
    </row>
    <row r="2081" spans="19:32" x14ac:dyDescent="0.35">
      <c r="S2081" s="30">
        <v>2077</v>
      </c>
      <c r="T2081" s="30" t="s">
        <v>4284</v>
      </c>
      <c r="U2081" s="30" t="s">
        <v>5168</v>
      </c>
      <c r="V2081" s="31">
        <v>6.7280000000000006</v>
      </c>
      <c r="W2081" s="13"/>
      <c r="X2081" s="47">
        <v>2077</v>
      </c>
      <c r="Y2081" s="47" t="s">
        <v>2248</v>
      </c>
      <c r="Z2081" s="47" t="s">
        <v>4457</v>
      </c>
      <c r="AA2081" s="48">
        <v>1.9639112903225807E-2</v>
      </c>
      <c r="AB2081" s="13"/>
      <c r="AC2081" s="47">
        <v>2077</v>
      </c>
      <c r="AD2081" s="47" t="s">
        <v>4573</v>
      </c>
      <c r="AE2081" s="47" t="s">
        <v>2989</v>
      </c>
      <c r="AF2081" s="48">
        <v>3.2936E-2</v>
      </c>
    </row>
    <row r="2082" spans="19:32" x14ac:dyDescent="0.35">
      <c r="S2082" s="30">
        <v>2078</v>
      </c>
      <c r="T2082" s="30" t="s">
        <v>4284</v>
      </c>
      <c r="U2082" s="30" t="s">
        <v>3072</v>
      </c>
      <c r="V2082" s="31">
        <v>9.1639999999999997</v>
      </c>
      <c r="W2082" s="13"/>
      <c r="X2082" s="47">
        <v>2078</v>
      </c>
      <c r="Y2082" s="47" t="s">
        <v>2248</v>
      </c>
      <c r="Z2082" s="47" t="s">
        <v>4453</v>
      </c>
      <c r="AA2082" s="48">
        <v>3.8729838709677424E-3</v>
      </c>
      <c r="AB2082" s="13"/>
      <c r="AC2082" s="34">
        <v>2078</v>
      </c>
      <c r="AD2082" s="34" t="s">
        <v>4573</v>
      </c>
      <c r="AE2082" s="34" t="s">
        <v>3445</v>
      </c>
      <c r="AF2082" s="35">
        <v>2.8036290322580646</v>
      </c>
    </row>
    <row r="2083" spans="19:32" x14ac:dyDescent="0.35">
      <c r="S2083" s="34">
        <v>2079</v>
      </c>
      <c r="T2083" s="34" t="s">
        <v>4284</v>
      </c>
      <c r="U2083" s="34" t="s">
        <v>3072</v>
      </c>
      <c r="V2083" s="35">
        <v>1.1618951612903228E-5</v>
      </c>
      <c r="W2083" s="13"/>
      <c r="X2083" s="34">
        <v>2079</v>
      </c>
      <c r="Y2083" s="34" t="s">
        <v>2248</v>
      </c>
      <c r="Z2083" s="34" t="s">
        <v>5167</v>
      </c>
      <c r="AA2083" s="35">
        <v>2.3203629032258069E-5</v>
      </c>
      <c r="AB2083" s="13"/>
      <c r="AC2083" s="34">
        <v>2079</v>
      </c>
      <c r="AD2083" s="34" t="s">
        <v>4573</v>
      </c>
      <c r="AE2083" s="34" t="s">
        <v>2987</v>
      </c>
      <c r="AF2083" s="35">
        <v>1.3298387096774195E-2</v>
      </c>
    </row>
    <row r="2084" spans="19:32" x14ac:dyDescent="0.35">
      <c r="S2084" s="47">
        <v>2080</v>
      </c>
      <c r="T2084" s="47" t="s">
        <v>4284</v>
      </c>
      <c r="U2084" s="47" t="s">
        <v>3072</v>
      </c>
      <c r="V2084" s="48">
        <v>3.6248000000000002E-2</v>
      </c>
      <c r="W2084" s="13"/>
      <c r="X2084" s="47">
        <v>2080</v>
      </c>
      <c r="Y2084" s="47" t="s">
        <v>2248</v>
      </c>
      <c r="Z2084" s="47" t="s">
        <v>3207</v>
      </c>
      <c r="AA2084" s="48">
        <v>0</v>
      </c>
      <c r="AB2084" s="13"/>
      <c r="AC2084" s="47">
        <v>2080</v>
      </c>
      <c r="AD2084" s="47" t="s">
        <v>4573</v>
      </c>
      <c r="AE2084" s="47" t="s">
        <v>2987</v>
      </c>
      <c r="AF2084" s="48">
        <v>0.30176000000000003</v>
      </c>
    </row>
    <row r="2085" spans="19:32" x14ac:dyDescent="0.35">
      <c r="S2085" s="30">
        <v>2081</v>
      </c>
      <c r="T2085" s="30" t="s">
        <v>4284</v>
      </c>
      <c r="U2085" s="30" t="s">
        <v>3071</v>
      </c>
      <c r="V2085" s="31">
        <v>61.132000000000005</v>
      </c>
      <c r="W2085" s="13"/>
      <c r="X2085" s="47">
        <v>2081</v>
      </c>
      <c r="Y2085" s="47" t="s">
        <v>2248</v>
      </c>
      <c r="Z2085" s="47" t="s">
        <v>3207</v>
      </c>
      <c r="AA2085" s="48">
        <v>0.19125</v>
      </c>
      <c r="AB2085" s="13"/>
      <c r="AC2085" s="47">
        <v>2081</v>
      </c>
      <c r="AD2085" s="47" t="s">
        <v>4573</v>
      </c>
      <c r="AE2085" s="47" t="s">
        <v>2986</v>
      </c>
      <c r="AF2085" s="48">
        <v>0.29808000000000001</v>
      </c>
    </row>
    <row r="2086" spans="19:32" x14ac:dyDescent="0.35">
      <c r="S2086" s="47">
        <v>2082</v>
      </c>
      <c r="T2086" s="47" t="s">
        <v>4284</v>
      </c>
      <c r="U2086" s="47" t="s">
        <v>3071</v>
      </c>
      <c r="V2086" s="48">
        <v>0</v>
      </c>
      <c r="W2086" s="13"/>
      <c r="X2086" s="34">
        <v>2082</v>
      </c>
      <c r="Y2086" s="34" t="s">
        <v>2248</v>
      </c>
      <c r="Z2086" s="34" t="s">
        <v>5166</v>
      </c>
      <c r="AA2086" s="35">
        <v>1.4875000000000001E-5</v>
      </c>
      <c r="AB2086" s="13"/>
      <c r="AC2086" s="34">
        <v>2082</v>
      </c>
      <c r="AD2086" s="34" t="s">
        <v>4573</v>
      </c>
      <c r="AE2086" s="34" t="s">
        <v>3440</v>
      </c>
      <c r="AF2086" s="35">
        <v>1.6965725806451614E-3</v>
      </c>
    </row>
    <row r="2087" spans="19:32" x14ac:dyDescent="0.35">
      <c r="S2087" s="47">
        <v>2083</v>
      </c>
      <c r="T2087" s="47" t="s">
        <v>4284</v>
      </c>
      <c r="U2087" s="47" t="s">
        <v>3069</v>
      </c>
      <c r="V2087" s="48">
        <v>1.5731999999999999</v>
      </c>
      <c r="W2087" s="13"/>
      <c r="X2087" s="47">
        <v>2083</v>
      </c>
      <c r="Y2087" s="47" t="s">
        <v>2248</v>
      </c>
      <c r="Z2087" s="47" t="s">
        <v>4443</v>
      </c>
      <c r="AA2087" s="48">
        <v>6.1008064516129041E-5</v>
      </c>
      <c r="AB2087" s="13"/>
      <c r="AC2087" s="47">
        <v>2083</v>
      </c>
      <c r="AD2087" s="47" t="s">
        <v>4573</v>
      </c>
      <c r="AE2087" s="47" t="s">
        <v>2984</v>
      </c>
      <c r="AF2087" s="48">
        <v>2.8704000000000001</v>
      </c>
    </row>
    <row r="2088" spans="19:32" x14ac:dyDescent="0.35">
      <c r="S2088" s="30">
        <v>2084</v>
      </c>
      <c r="T2088" s="30" t="s">
        <v>4284</v>
      </c>
      <c r="U2088" s="30" t="s">
        <v>5165</v>
      </c>
      <c r="V2088" s="31">
        <v>14.152000000000001</v>
      </c>
      <c r="W2088" s="13"/>
      <c r="X2088" s="34">
        <v>2084</v>
      </c>
      <c r="Y2088" s="34" t="s">
        <v>2248</v>
      </c>
      <c r="Z2088" s="34" t="s">
        <v>4437</v>
      </c>
      <c r="AA2088" s="35">
        <v>9.1512096774193554E-3</v>
      </c>
      <c r="AB2088" s="13"/>
      <c r="AC2088" s="47">
        <v>2084</v>
      </c>
      <c r="AD2088" s="47" t="s">
        <v>4573</v>
      </c>
      <c r="AE2088" s="47" t="s">
        <v>2983</v>
      </c>
      <c r="AF2088" s="48">
        <v>0</v>
      </c>
    </row>
    <row r="2089" spans="19:32" x14ac:dyDescent="0.35">
      <c r="S2089" s="47">
        <v>2085</v>
      </c>
      <c r="T2089" s="47" t="s">
        <v>4284</v>
      </c>
      <c r="U2089" s="47" t="s">
        <v>3068</v>
      </c>
      <c r="V2089" s="48">
        <v>0.16836000000000001</v>
      </c>
      <c r="W2089" s="13"/>
      <c r="X2089" s="34">
        <v>2085</v>
      </c>
      <c r="Y2089" s="34" t="s">
        <v>2248</v>
      </c>
      <c r="Z2089" s="34" t="s">
        <v>5164</v>
      </c>
      <c r="AA2089" s="35">
        <v>1.1687500000000001E-4</v>
      </c>
      <c r="AB2089" s="13"/>
      <c r="AC2089" s="34">
        <v>2085</v>
      </c>
      <c r="AD2089" s="34" t="s">
        <v>4573</v>
      </c>
      <c r="AE2089" s="34" t="s">
        <v>3437</v>
      </c>
      <c r="AF2089" s="35">
        <v>0.1110483870967742</v>
      </c>
    </row>
    <row r="2090" spans="19:32" x14ac:dyDescent="0.35">
      <c r="S2090" s="47">
        <v>2086</v>
      </c>
      <c r="T2090" s="47" t="s">
        <v>4284</v>
      </c>
      <c r="U2090" s="47" t="s">
        <v>3066</v>
      </c>
      <c r="V2090" s="48">
        <v>2.3643999999999998E-2</v>
      </c>
      <c r="W2090" s="13"/>
      <c r="X2090" s="47">
        <v>2086</v>
      </c>
      <c r="Y2090" s="47" t="s">
        <v>2248</v>
      </c>
      <c r="Z2090" s="47" t="s">
        <v>4432</v>
      </c>
      <c r="AA2090" s="48">
        <v>1.3572580645161292E-6</v>
      </c>
      <c r="AB2090" s="13"/>
      <c r="AC2090" s="47">
        <v>2086</v>
      </c>
      <c r="AD2090" s="47" t="s">
        <v>4573</v>
      </c>
      <c r="AE2090" s="47" t="s">
        <v>2981</v>
      </c>
      <c r="AF2090" s="48">
        <v>0</v>
      </c>
    </row>
    <row r="2091" spans="19:32" x14ac:dyDescent="0.35">
      <c r="S2091" s="30">
        <v>2087</v>
      </c>
      <c r="T2091" s="30" t="s">
        <v>4284</v>
      </c>
      <c r="U2091" s="30" t="s">
        <v>5163</v>
      </c>
      <c r="V2091" s="31">
        <v>889.72</v>
      </c>
      <c r="W2091" s="13"/>
      <c r="X2091" s="47">
        <v>2087</v>
      </c>
      <c r="Y2091" s="47" t="s">
        <v>2248</v>
      </c>
      <c r="Z2091" s="47" t="s">
        <v>3206</v>
      </c>
      <c r="AA2091" s="48">
        <v>1.6652</v>
      </c>
      <c r="AB2091" s="13"/>
      <c r="AC2091" s="34">
        <v>2087</v>
      </c>
      <c r="AD2091" s="34" t="s">
        <v>4573</v>
      </c>
      <c r="AE2091" s="34" t="s">
        <v>3434</v>
      </c>
      <c r="AF2091" s="35">
        <v>1.9810483870967743E-2</v>
      </c>
    </row>
    <row r="2092" spans="19:32" x14ac:dyDescent="0.35">
      <c r="S2092" s="34">
        <v>2088</v>
      </c>
      <c r="T2092" s="34" t="s">
        <v>4284</v>
      </c>
      <c r="U2092" s="34" t="s">
        <v>3906</v>
      </c>
      <c r="V2092" s="35">
        <v>2.5191532258064516E-6</v>
      </c>
      <c r="W2092" s="13"/>
      <c r="X2092" s="34">
        <v>2088</v>
      </c>
      <c r="Y2092" s="34" t="s">
        <v>2248</v>
      </c>
      <c r="Z2092" s="34" t="s">
        <v>5162</v>
      </c>
      <c r="AA2092" s="35">
        <v>4.2842741935483874E-6</v>
      </c>
      <c r="AB2092" s="13"/>
      <c r="AC2092" s="47">
        <v>2088</v>
      </c>
      <c r="AD2092" s="47" t="s">
        <v>4573</v>
      </c>
      <c r="AE2092" s="47" t="s">
        <v>2980</v>
      </c>
      <c r="AF2092" s="48">
        <v>28.796000000000003</v>
      </c>
    </row>
    <row r="2093" spans="19:32" x14ac:dyDescent="0.35">
      <c r="S2093" s="30">
        <v>2089</v>
      </c>
      <c r="T2093" s="30" t="s">
        <v>4284</v>
      </c>
      <c r="U2093" s="30" t="s">
        <v>5161</v>
      </c>
      <c r="V2093" s="31">
        <v>0.46400000000000002</v>
      </c>
      <c r="W2093" s="13"/>
      <c r="X2093" s="47">
        <v>2089</v>
      </c>
      <c r="Y2093" s="47" t="s">
        <v>2248</v>
      </c>
      <c r="Z2093" s="47" t="s">
        <v>3204</v>
      </c>
      <c r="AA2093" s="48">
        <v>0</v>
      </c>
      <c r="AB2093" s="13"/>
      <c r="AC2093" s="47">
        <v>2089</v>
      </c>
      <c r="AD2093" s="47" t="s">
        <v>4573</v>
      </c>
      <c r="AE2093" s="47" t="s">
        <v>2978</v>
      </c>
      <c r="AF2093" s="48">
        <v>9.66</v>
      </c>
    </row>
    <row r="2094" spans="19:32" x14ac:dyDescent="0.35">
      <c r="S2094" s="34">
        <v>2090</v>
      </c>
      <c r="T2094" s="34" t="s">
        <v>4284</v>
      </c>
      <c r="U2094" s="34" t="s">
        <v>3065</v>
      </c>
      <c r="V2094" s="35">
        <v>4.9697580645161293E-4</v>
      </c>
      <c r="W2094" s="13"/>
      <c r="X2094" s="34">
        <v>2090</v>
      </c>
      <c r="Y2094" s="34" t="s">
        <v>2248</v>
      </c>
      <c r="Z2094" s="34" t="s">
        <v>3204</v>
      </c>
      <c r="AA2094" s="35">
        <v>1.3058467741935485E-4</v>
      </c>
      <c r="AB2094" s="13"/>
      <c r="AC2094" s="34">
        <v>2090</v>
      </c>
      <c r="AD2094" s="34" t="s">
        <v>4573</v>
      </c>
      <c r="AE2094" s="34" t="s">
        <v>2977</v>
      </c>
      <c r="AF2094" s="35">
        <v>9.6995967741935488E-2</v>
      </c>
    </row>
    <row r="2095" spans="19:32" x14ac:dyDescent="0.35">
      <c r="S2095" s="47">
        <v>2091</v>
      </c>
      <c r="T2095" s="47" t="s">
        <v>4284</v>
      </c>
      <c r="U2095" s="47" t="s">
        <v>3065</v>
      </c>
      <c r="V2095" s="48">
        <v>1.0211999999999999</v>
      </c>
      <c r="W2095" s="13"/>
      <c r="X2095" s="47">
        <v>2091</v>
      </c>
      <c r="Y2095" s="47" t="s">
        <v>2248</v>
      </c>
      <c r="Z2095" s="47" t="s">
        <v>4420</v>
      </c>
      <c r="AA2095" s="48">
        <v>2.2209677419354839E-3</v>
      </c>
      <c r="AB2095" s="13"/>
      <c r="AC2095" s="47">
        <v>2091</v>
      </c>
      <c r="AD2095" s="47" t="s">
        <v>4573</v>
      </c>
      <c r="AE2095" s="47" t="s">
        <v>2977</v>
      </c>
      <c r="AF2095" s="48">
        <v>0</v>
      </c>
    </row>
    <row r="2096" spans="19:32" x14ac:dyDescent="0.35">
      <c r="S2096" s="30">
        <v>2092</v>
      </c>
      <c r="T2096" s="30" t="s">
        <v>4284</v>
      </c>
      <c r="U2096" s="30" t="s">
        <v>5160</v>
      </c>
      <c r="V2096" s="31">
        <v>1287.6000000000001</v>
      </c>
      <c r="W2096" s="13"/>
      <c r="X2096" s="34">
        <v>2092</v>
      </c>
      <c r="Y2096" s="34" t="s">
        <v>2248</v>
      </c>
      <c r="Z2096" s="34" t="s">
        <v>5159</v>
      </c>
      <c r="AA2096" s="35">
        <v>2.5602822580645163E-5</v>
      </c>
      <c r="AB2096" s="13"/>
      <c r="AC2096" s="34">
        <v>2092</v>
      </c>
      <c r="AD2096" s="34" t="s">
        <v>4573</v>
      </c>
      <c r="AE2096" s="34" t="s">
        <v>2975</v>
      </c>
      <c r="AF2096" s="35">
        <v>7.3004032258064522E-6</v>
      </c>
    </row>
    <row r="2097" spans="19:32" x14ac:dyDescent="0.35">
      <c r="S2097" s="34">
        <v>2093</v>
      </c>
      <c r="T2097" s="34" t="s">
        <v>4284</v>
      </c>
      <c r="U2097" s="34" t="s">
        <v>3064</v>
      </c>
      <c r="V2097" s="35">
        <v>1.7891129032258064E-4</v>
      </c>
      <c r="W2097" s="13"/>
      <c r="X2097" s="47">
        <v>2093</v>
      </c>
      <c r="Y2097" s="47" t="s">
        <v>2248</v>
      </c>
      <c r="Z2097" s="47" t="s">
        <v>3203</v>
      </c>
      <c r="AA2097" s="48">
        <v>0.70748</v>
      </c>
      <c r="AB2097" s="13"/>
      <c r="AC2097" s="47">
        <v>2093</v>
      </c>
      <c r="AD2097" s="47" t="s">
        <v>4573</v>
      </c>
      <c r="AE2097" s="47" t="s">
        <v>2975</v>
      </c>
      <c r="AF2097" s="48">
        <v>0</v>
      </c>
    </row>
    <row r="2098" spans="19:32" x14ac:dyDescent="0.35">
      <c r="S2098" s="47">
        <v>2094</v>
      </c>
      <c r="T2098" s="47" t="s">
        <v>4284</v>
      </c>
      <c r="U2098" s="47" t="s">
        <v>3064</v>
      </c>
      <c r="V2098" s="48">
        <v>1.6468</v>
      </c>
      <c r="W2098" s="13"/>
      <c r="X2098" s="34">
        <v>2094</v>
      </c>
      <c r="Y2098" s="34" t="s">
        <v>2248</v>
      </c>
      <c r="Z2098" s="34" t="s">
        <v>3203</v>
      </c>
      <c r="AA2098" s="35">
        <v>6.0322580645161293E-2</v>
      </c>
      <c r="AB2098" s="13"/>
      <c r="AC2098" s="34">
        <v>2094</v>
      </c>
      <c r="AD2098" s="34" t="s">
        <v>4573</v>
      </c>
      <c r="AE2098" s="34" t="s">
        <v>2973</v>
      </c>
      <c r="AF2098" s="35">
        <v>7.0604838709677426E-3</v>
      </c>
    </row>
    <row r="2099" spans="19:32" x14ac:dyDescent="0.35">
      <c r="S2099" s="30">
        <v>2095</v>
      </c>
      <c r="T2099" s="30" t="s">
        <v>4284</v>
      </c>
      <c r="U2099" s="30" t="s">
        <v>5158</v>
      </c>
      <c r="V2099" s="31">
        <v>367.72</v>
      </c>
      <c r="W2099" s="13"/>
      <c r="X2099" s="34">
        <v>2095</v>
      </c>
      <c r="Y2099" s="34" t="s">
        <v>2248</v>
      </c>
      <c r="Z2099" s="34" t="s">
        <v>5157</v>
      </c>
      <c r="AA2099" s="35">
        <v>1.1756048387096775E-4</v>
      </c>
      <c r="AB2099" s="13"/>
      <c r="AC2099" s="47">
        <v>2095</v>
      </c>
      <c r="AD2099" s="47" t="s">
        <v>4573</v>
      </c>
      <c r="AE2099" s="47" t="s">
        <v>2973</v>
      </c>
      <c r="AF2099" s="48">
        <v>9.3840000000000003</v>
      </c>
    </row>
    <row r="2100" spans="19:32" x14ac:dyDescent="0.35">
      <c r="S2100" s="34">
        <v>2096</v>
      </c>
      <c r="T2100" s="34" t="s">
        <v>4284</v>
      </c>
      <c r="U2100" s="34" t="s">
        <v>3900</v>
      </c>
      <c r="V2100" s="35">
        <v>6.0322580645161295E-5</v>
      </c>
      <c r="W2100" s="13"/>
      <c r="X2100" s="47">
        <v>2096</v>
      </c>
      <c r="Y2100" s="47" t="s">
        <v>2248</v>
      </c>
      <c r="Z2100" s="47" t="s">
        <v>4415</v>
      </c>
      <c r="AA2100" s="48">
        <v>5.5524193548387099E-3</v>
      </c>
      <c r="AB2100" s="13"/>
      <c r="AC2100" s="47">
        <v>2096</v>
      </c>
      <c r="AD2100" s="47" t="s">
        <v>4573</v>
      </c>
      <c r="AE2100" s="47" t="s">
        <v>2972</v>
      </c>
      <c r="AF2100" s="48">
        <v>0</v>
      </c>
    </row>
    <row r="2101" spans="19:32" x14ac:dyDescent="0.35">
      <c r="S2101" s="47">
        <v>2097</v>
      </c>
      <c r="T2101" s="47" t="s">
        <v>4284</v>
      </c>
      <c r="U2101" s="47" t="s">
        <v>3063</v>
      </c>
      <c r="V2101" s="48">
        <v>5060</v>
      </c>
      <c r="W2101" s="13"/>
      <c r="X2101" s="47">
        <v>2097</v>
      </c>
      <c r="Y2101" s="47" t="s">
        <v>2248</v>
      </c>
      <c r="Z2101" s="47" t="s">
        <v>4413</v>
      </c>
      <c r="AA2101" s="48">
        <v>1.6862903225806454E-3</v>
      </c>
      <c r="AB2101" s="13"/>
      <c r="AC2101" s="47">
        <v>2097</v>
      </c>
      <c r="AD2101" s="47" t="s">
        <v>4573</v>
      </c>
      <c r="AE2101" s="47" t="s">
        <v>2970</v>
      </c>
      <c r="AF2101" s="48">
        <v>9.8440000000000008E-4</v>
      </c>
    </row>
    <row r="2102" spans="19:32" x14ac:dyDescent="0.35">
      <c r="S2102" s="57">
        <v>2098</v>
      </c>
      <c r="T2102" s="57" t="s">
        <v>4284</v>
      </c>
      <c r="U2102" s="58" t="s">
        <v>3061</v>
      </c>
      <c r="V2102" s="59">
        <v>3.6059000000000001</v>
      </c>
      <c r="W2102" s="13"/>
      <c r="X2102" s="34">
        <v>2098</v>
      </c>
      <c r="Y2102" s="34" t="s">
        <v>2248</v>
      </c>
      <c r="Z2102" s="34" t="s">
        <v>5156</v>
      </c>
      <c r="AA2102" s="35">
        <v>1.6143145161290324E-5</v>
      </c>
      <c r="AB2102" s="13"/>
      <c r="AC2102" s="34">
        <v>2098</v>
      </c>
      <c r="AD2102" s="34" t="s">
        <v>4573</v>
      </c>
      <c r="AE2102" s="34" t="s">
        <v>3426</v>
      </c>
      <c r="AF2102" s="35">
        <v>4.8669354838709681E-4</v>
      </c>
    </row>
    <row r="2103" spans="19:32" x14ac:dyDescent="0.35">
      <c r="S2103" s="34">
        <v>2099</v>
      </c>
      <c r="T2103" s="34" t="s">
        <v>4284</v>
      </c>
      <c r="U2103" s="34" t="s">
        <v>3061</v>
      </c>
      <c r="V2103" s="35">
        <v>4.2157258064516133E-6</v>
      </c>
      <c r="W2103" s="13"/>
      <c r="X2103" s="47">
        <v>2099</v>
      </c>
      <c r="Y2103" s="47" t="s">
        <v>2248</v>
      </c>
      <c r="Z2103" s="47" t="s">
        <v>4412</v>
      </c>
      <c r="AA2103" s="48">
        <v>1.0350806451612904E-4</v>
      </c>
      <c r="AB2103" s="13"/>
      <c r="AC2103" s="34">
        <v>2099</v>
      </c>
      <c r="AD2103" s="34" t="s">
        <v>4573</v>
      </c>
      <c r="AE2103" s="34" t="s">
        <v>3424</v>
      </c>
      <c r="AF2103" s="35">
        <v>1.6828629032258067E-4</v>
      </c>
    </row>
    <row r="2104" spans="19:32" x14ac:dyDescent="0.35">
      <c r="S2104" s="47">
        <v>2100</v>
      </c>
      <c r="T2104" s="47" t="s">
        <v>4284</v>
      </c>
      <c r="U2104" s="47" t="s">
        <v>3061</v>
      </c>
      <c r="V2104" s="48">
        <v>1.9228000000000001E-3</v>
      </c>
      <c r="W2104" s="13"/>
      <c r="X2104" s="47">
        <v>2100</v>
      </c>
      <c r="Y2104" s="47" t="s">
        <v>2248</v>
      </c>
      <c r="Z2104" s="47" t="s">
        <v>4410</v>
      </c>
      <c r="AA2104" s="48">
        <v>6.6834677419354838E-2</v>
      </c>
      <c r="AB2104" s="13"/>
      <c r="AC2104" s="34">
        <v>2100</v>
      </c>
      <c r="AD2104" s="34" t="s">
        <v>4573</v>
      </c>
      <c r="AE2104" s="34" t="s">
        <v>3421</v>
      </c>
      <c r="AF2104" s="35">
        <v>5.5866935483870977E-4</v>
      </c>
    </row>
    <row r="2105" spans="19:32" x14ac:dyDescent="0.35">
      <c r="S2105" s="34">
        <v>2101</v>
      </c>
      <c r="T2105" s="34" t="s">
        <v>4284</v>
      </c>
      <c r="U2105" s="34" t="s">
        <v>3896</v>
      </c>
      <c r="V2105" s="35">
        <v>2.7590725806451619E-4</v>
      </c>
      <c r="W2105" s="13"/>
      <c r="X2105" s="34">
        <v>2101</v>
      </c>
      <c r="Y2105" s="34" t="s">
        <v>2248</v>
      </c>
      <c r="Z2105" s="34" t="s">
        <v>4408</v>
      </c>
      <c r="AA2105" s="35">
        <v>7.8145161290322585E-4</v>
      </c>
      <c r="AB2105" s="13"/>
      <c r="AC2105" s="34">
        <v>2101</v>
      </c>
      <c r="AD2105" s="34" t="s">
        <v>4573</v>
      </c>
      <c r="AE2105" s="34" t="s">
        <v>3418</v>
      </c>
      <c r="AF2105" s="35">
        <v>1.3538306451612904E-3</v>
      </c>
    </row>
    <row r="2106" spans="19:32" x14ac:dyDescent="0.35">
      <c r="S2106" s="34">
        <v>2102</v>
      </c>
      <c r="T2106" s="34" t="s">
        <v>4284</v>
      </c>
      <c r="U2106" s="34" t="s">
        <v>3893</v>
      </c>
      <c r="V2106" s="35">
        <v>3.7701612903225815E-5</v>
      </c>
      <c r="W2106" s="13"/>
      <c r="X2106" s="34">
        <v>2102</v>
      </c>
      <c r="Y2106" s="34" t="s">
        <v>2248</v>
      </c>
      <c r="Z2106" s="34" t="s">
        <v>5155</v>
      </c>
      <c r="AA2106" s="35">
        <v>2.5225806451612902E-3</v>
      </c>
      <c r="AB2106" s="13"/>
      <c r="AC2106" s="34">
        <v>2102</v>
      </c>
      <c r="AD2106" s="34" t="s">
        <v>4573</v>
      </c>
      <c r="AE2106" s="34" t="s">
        <v>3415</v>
      </c>
      <c r="AF2106" s="35">
        <v>1.2098790322580646E-3</v>
      </c>
    </row>
    <row r="2107" spans="19:32" x14ac:dyDescent="0.35">
      <c r="S2107" s="34">
        <v>2103</v>
      </c>
      <c r="T2107" s="34" t="s">
        <v>4284</v>
      </c>
      <c r="U2107" s="34" t="s">
        <v>3891</v>
      </c>
      <c r="V2107" s="35">
        <v>4.1471774193548393E-6</v>
      </c>
      <c r="W2107" s="13"/>
      <c r="X2107" s="47">
        <v>2103</v>
      </c>
      <c r="Y2107" s="47" t="s">
        <v>2248</v>
      </c>
      <c r="Z2107" s="47" t="s">
        <v>4406</v>
      </c>
      <c r="AA2107" s="48">
        <v>9.116935483870969E-3</v>
      </c>
      <c r="AB2107" s="13"/>
      <c r="AC2107" s="34">
        <v>2103</v>
      </c>
      <c r="AD2107" s="34" t="s">
        <v>4573</v>
      </c>
      <c r="AE2107" s="34" t="s">
        <v>3412</v>
      </c>
      <c r="AF2107" s="35">
        <v>1.1002016129032259E-2</v>
      </c>
    </row>
    <row r="2108" spans="19:32" x14ac:dyDescent="0.35">
      <c r="S2108" s="34">
        <v>2104</v>
      </c>
      <c r="T2108" s="34" t="s">
        <v>4284</v>
      </c>
      <c r="U2108" s="34" t="s">
        <v>3888</v>
      </c>
      <c r="V2108" s="35">
        <v>2.268951612903226E-6</v>
      </c>
      <c r="W2108" s="13"/>
      <c r="X2108" s="47">
        <v>2104</v>
      </c>
      <c r="Y2108" s="47" t="s">
        <v>2248</v>
      </c>
      <c r="Z2108" s="47" t="s">
        <v>3202</v>
      </c>
      <c r="AA2108" s="48">
        <v>7.1668000000000003</v>
      </c>
      <c r="AB2108" s="13"/>
      <c r="AC2108" s="47">
        <v>2104</v>
      </c>
      <c r="AD2108" s="47" t="s">
        <v>4573</v>
      </c>
      <c r="AE2108" s="47" t="s">
        <v>2969</v>
      </c>
      <c r="AF2108" s="48">
        <v>17.112000000000002</v>
      </c>
    </row>
    <row r="2109" spans="19:32" x14ac:dyDescent="0.35">
      <c r="S2109" s="34">
        <v>2105</v>
      </c>
      <c r="T2109" s="34" t="s">
        <v>4284</v>
      </c>
      <c r="U2109" s="34" t="s">
        <v>3885</v>
      </c>
      <c r="V2109" s="35">
        <v>2.3272177419354843E-5</v>
      </c>
      <c r="W2109" s="13"/>
      <c r="X2109" s="34">
        <v>2105</v>
      </c>
      <c r="Y2109" s="34" t="s">
        <v>2248</v>
      </c>
      <c r="Z2109" s="34" t="s">
        <v>5154</v>
      </c>
      <c r="AA2109" s="35">
        <v>9.2883064516129045E-4</v>
      </c>
      <c r="AB2109" s="13"/>
      <c r="AC2109" s="34">
        <v>2105</v>
      </c>
      <c r="AD2109" s="34" t="s">
        <v>4573</v>
      </c>
      <c r="AE2109" s="34" t="s">
        <v>3410</v>
      </c>
      <c r="AF2109" s="35">
        <v>2.3100806451612905E-2</v>
      </c>
    </row>
    <row r="2110" spans="19:32" x14ac:dyDescent="0.35">
      <c r="S2110" s="34">
        <v>2106</v>
      </c>
      <c r="T2110" s="34" t="s">
        <v>4284</v>
      </c>
      <c r="U2110" s="34" t="s">
        <v>3883</v>
      </c>
      <c r="V2110" s="35">
        <v>4.8669354838709676E-6</v>
      </c>
      <c r="W2110" s="13"/>
      <c r="X2110" s="34">
        <v>2106</v>
      </c>
      <c r="Y2110" s="34" t="s">
        <v>2248</v>
      </c>
      <c r="Z2110" s="34" t="s">
        <v>4405</v>
      </c>
      <c r="AA2110" s="35">
        <v>4.2842741935483876E-7</v>
      </c>
      <c r="AB2110" s="13"/>
      <c r="AC2110" s="34">
        <v>2106</v>
      </c>
      <c r="AD2110" s="34" t="s">
        <v>4573</v>
      </c>
      <c r="AE2110" s="34" t="s">
        <v>3407</v>
      </c>
      <c r="AF2110" s="35">
        <v>1.5629032258064517E-3</v>
      </c>
    </row>
    <row r="2111" spans="19:32" x14ac:dyDescent="0.35">
      <c r="S2111" s="34">
        <v>2107</v>
      </c>
      <c r="T2111" s="34" t="s">
        <v>4284</v>
      </c>
      <c r="U2111" s="34" t="s">
        <v>3880</v>
      </c>
      <c r="V2111" s="35">
        <v>6.5806451612903229E-4</v>
      </c>
      <c r="W2111" s="13"/>
      <c r="X2111" s="47">
        <v>2107</v>
      </c>
      <c r="Y2111" s="47" t="s">
        <v>2248</v>
      </c>
      <c r="Z2111" s="47" t="s">
        <v>4404</v>
      </c>
      <c r="AA2111" s="48">
        <v>1.370967741935484E-4</v>
      </c>
      <c r="AB2111" s="13"/>
      <c r="AC2111" s="34">
        <v>2107</v>
      </c>
      <c r="AD2111" s="34" t="s">
        <v>4573</v>
      </c>
      <c r="AE2111" s="34" t="s">
        <v>3404</v>
      </c>
      <c r="AF2111" s="35">
        <v>0.10316532258064517</v>
      </c>
    </row>
    <row r="2112" spans="19:32" x14ac:dyDescent="0.35">
      <c r="S2112" s="34">
        <v>2108</v>
      </c>
      <c r="T2112" s="34" t="s">
        <v>4284</v>
      </c>
      <c r="U2112" s="34" t="s">
        <v>3878</v>
      </c>
      <c r="V2112" s="35">
        <v>2.1010080645161292E-5</v>
      </c>
      <c r="W2112" s="13"/>
      <c r="X2112" s="34">
        <v>2108</v>
      </c>
      <c r="Y2112" s="34" t="s">
        <v>2248</v>
      </c>
      <c r="Z2112" s="34" t="s">
        <v>4403</v>
      </c>
      <c r="AA2112" s="35">
        <v>1.4463709677419356E-4</v>
      </c>
      <c r="AB2112" s="13"/>
      <c r="AC2112" s="47">
        <v>2108</v>
      </c>
      <c r="AD2112" s="47" t="s">
        <v>4573</v>
      </c>
      <c r="AE2112" s="47" t="s">
        <v>2967</v>
      </c>
      <c r="AF2112" s="48">
        <v>28.336000000000002</v>
      </c>
    </row>
    <row r="2113" spans="19:32" x14ac:dyDescent="0.35">
      <c r="S2113" s="30">
        <v>2109</v>
      </c>
      <c r="T2113" s="30" t="s">
        <v>4284</v>
      </c>
      <c r="U2113" s="30" t="s">
        <v>3875</v>
      </c>
      <c r="V2113" s="31">
        <v>2.3200000000000003</v>
      </c>
      <c r="W2113" s="13"/>
      <c r="X2113" s="34">
        <v>2109</v>
      </c>
      <c r="Y2113" s="34" t="s">
        <v>2248</v>
      </c>
      <c r="Z2113" s="34" t="s">
        <v>5153</v>
      </c>
      <c r="AA2113" s="35">
        <v>3.4616935483870973E-2</v>
      </c>
      <c r="AB2113" s="13"/>
      <c r="AC2113" s="34">
        <v>2109</v>
      </c>
      <c r="AD2113" s="34" t="s">
        <v>4573</v>
      </c>
      <c r="AE2113" s="34" t="s">
        <v>3401</v>
      </c>
      <c r="AF2113" s="35">
        <v>1.216733870967742</v>
      </c>
    </row>
    <row r="2114" spans="19:32" x14ac:dyDescent="0.35">
      <c r="S2114" s="34">
        <v>2110</v>
      </c>
      <c r="T2114" s="34" t="s">
        <v>4284</v>
      </c>
      <c r="U2114" s="34" t="s">
        <v>3875</v>
      </c>
      <c r="V2114" s="35">
        <v>1.93991935483871E-4</v>
      </c>
      <c r="W2114" s="13"/>
      <c r="X2114" s="47">
        <v>2110</v>
      </c>
      <c r="Y2114" s="47" t="s">
        <v>2248</v>
      </c>
      <c r="Z2114" s="47" t="s">
        <v>4402</v>
      </c>
      <c r="AA2114" s="48">
        <v>1.0145161290322581E-4</v>
      </c>
      <c r="AB2114" s="13"/>
      <c r="AC2114" s="34">
        <v>2110</v>
      </c>
      <c r="AD2114" s="34" t="s">
        <v>4573</v>
      </c>
      <c r="AE2114" s="34" t="s">
        <v>3399</v>
      </c>
      <c r="AF2114" s="35">
        <v>5.4495967741935489</v>
      </c>
    </row>
    <row r="2115" spans="19:32" x14ac:dyDescent="0.35">
      <c r="S2115" s="30">
        <v>2111</v>
      </c>
      <c r="T2115" s="30" t="s">
        <v>4284</v>
      </c>
      <c r="U2115" s="30" t="s">
        <v>5152</v>
      </c>
      <c r="V2115" s="31">
        <v>0.34800000000000003</v>
      </c>
      <c r="W2115" s="13"/>
      <c r="X2115" s="47">
        <v>2111</v>
      </c>
      <c r="Y2115" s="47" t="s">
        <v>2248</v>
      </c>
      <c r="Z2115" s="47" t="s">
        <v>4401</v>
      </c>
      <c r="AA2115" s="56">
        <v>3.2526209677419359E-7</v>
      </c>
      <c r="AB2115" s="13"/>
      <c r="AC2115" s="34">
        <v>2111</v>
      </c>
      <c r="AD2115" s="34" t="s">
        <v>4573</v>
      </c>
      <c r="AE2115" s="34" t="s">
        <v>3396</v>
      </c>
      <c r="AF2115" s="35">
        <v>2.7385080645161296E-3</v>
      </c>
    </row>
    <row r="2116" spans="19:32" x14ac:dyDescent="0.35">
      <c r="S2116" s="58">
        <v>2112</v>
      </c>
      <c r="T2116" s="58" t="s">
        <v>4284</v>
      </c>
      <c r="U2116" s="36" t="s">
        <v>3059</v>
      </c>
      <c r="V2116" s="37">
        <v>4.3655999999999997</v>
      </c>
      <c r="W2116" s="13"/>
      <c r="X2116" s="34">
        <v>2112</v>
      </c>
      <c r="Y2116" s="34" t="s">
        <v>2248</v>
      </c>
      <c r="Z2116" s="34" t="s">
        <v>5151</v>
      </c>
      <c r="AA2116" s="35">
        <v>1.5149193548387098E-3</v>
      </c>
      <c r="AB2116" s="13"/>
      <c r="AC2116" s="34">
        <v>2112</v>
      </c>
      <c r="AD2116" s="34" t="s">
        <v>4573</v>
      </c>
      <c r="AE2116" s="34" t="s">
        <v>3393</v>
      </c>
      <c r="AF2116" s="35">
        <v>0.43185483870967745</v>
      </c>
    </row>
    <row r="2117" spans="19:32" x14ac:dyDescent="0.35">
      <c r="S2117" s="34">
        <v>2113</v>
      </c>
      <c r="T2117" s="34" t="s">
        <v>4284</v>
      </c>
      <c r="U2117" s="34" t="s">
        <v>3059</v>
      </c>
      <c r="V2117" s="35">
        <v>4.8326612903225809E-6</v>
      </c>
      <c r="W2117" s="13"/>
      <c r="X2117" s="47">
        <v>2113</v>
      </c>
      <c r="Y2117" s="47" t="s">
        <v>2248</v>
      </c>
      <c r="Z2117" s="47" t="s">
        <v>4400</v>
      </c>
      <c r="AA2117" s="56">
        <v>6.3064516129032272E-5</v>
      </c>
      <c r="AB2117" s="13"/>
      <c r="AC2117" s="34">
        <v>2113</v>
      </c>
      <c r="AD2117" s="34" t="s">
        <v>4573</v>
      </c>
      <c r="AE2117" s="34" t="s">
        <v>3390</v>
      </c>
      <c r="AF2117" s="35">
        <v>3.1669354838709682E-2</v>
      </c>
    </row>
    <row r="2118" spans="19:32" x14ac:dyDescent="0.35">
      <c r="S2118" s="47">
        <v>2114</v>
      </c>
      <c r="T2118" s="47" t="s">
        <v>4284</v>
      </c>
      <c r="U2118" s="47" t="s">
        <v>3059</v>
      </c>
      <c r="V2118" s="48">
        <v>1.5271999999999999E-2</v>
      </c>
      <c r="W2118" s="13"/>
      <c r="X2118" s="47">
        <v>2114</v>
      </c>
      <c r="Y2118" s="47" t="s">
        <v>2248</v>
      </c>
      <c r="Z2118" s="47" t="s">
        <v>4399</v>
      </c>
      <c r="AA2118" s="56">
        <v>2.5294354838709679E-6</v>
      </c>
      <c r="AB2118" s="13"/>
      <c r="AC2118" s="47">
        <v>2114</v>
      </c>
      <c r="AD2118" s="47" t="s">
        <v>4573</v>
      </c>
      <c r="AE2118" s="47" t="s">
        <v>2966</v>
      </c>
      <c r="AF2118" s="48">
        <v>1.7756000000000001</v>
      </c>
    </row>
    <row r="2119" spans="19:32" x14ac:dyDescent="0.35">
      <c r="S2119" s="36">
        <v>2115</v>
      </c>
      <c r="T2119" s="36" t="s">
        <v>4284</v>
      </c>
      <c r="U2119" s="36" t="s">
        <v>3873</v>
      </c>
      <c r="V2119" s="37">
        <v>3.4882</v>
      </c>
      <c r="W2119" s="13"/>
      <c r="X2119" s="34">
        <v>2115</v>
      </c>
      <c r="Y2119" s="34" t="s">
        <v>2248</v>
      </c>
      <c r="Z2119" s="34" t="s">
        <v>5150</v>
      </c>
      <c r="AA2119" s="35">
        <v>4.6612903225806456E-3</v>
      </c>
      <c r="AB2119" s="13"/>
      <c r="AC2119" s="47">
        <v>2115</v>
      </c>
      <c r="AD2119" s="47" t="s">
        <v>4573</v>
      </c>
      <c r="AE2119" s="47" t="s">
        <v>2964</v>
      </c>
      <c r="AF2119" s="48">
        <v>0</v>
      </c>
    </row>
    <row r="2120" spans="19:32" x14ac:dyDescent="0.35">
      <c r="S2120" s="34">
        <v>2116</v>
      </c>
      <c r="T2120" s="34" t="s">
        <v>4284</v>
      </c>
      <c r="U2120" s="34" t="s">
        <v>3873</v>
      </c>
      <c r="V2120" s="35">
        <v>5.6552419354838713E-5</v>
      </c>
      <c r="W2120" s="13"/>
      <c r="X2120" s="34">
        <v>2116</v>
      </c>
      <c r="Y2120" s="34" t="s">
        <v>2248</v>
      </c>
      <c r="Z2120" s="34" t="s">
        <v>4398</v>
      </c>
      <c r="AA2120" s="35">
        <v>2.8516129032258066E-5</v>
      </c>
      <c r="AB2120" s="13"/>
      <c r="AC2120" s="47">
        <v>2116</v>
      </c>
      <c r="AD2120" s="47" t="s">
        <v>4573</v>
      </c>
      <c r="AE2120" s="47" t="s">
        <v>2962</v>
      </c>
      <c r="AF2120" s="48">
        <v>8.6204000000000003E-2</v>
      </c>
    </row>
    <row r="2121" spans="19:32" x14ac:dyDescent="0.35">
      <c r="S2121" s="30">
        <v>2117</v>
      </c>
      <c r="T2121" s="30" t="s">
        <v>4284</v>
      </c>
      <c r="U2121" s="30" t="s">
        <v>5149</v>
      </c>
      <c r="V2121" s="31">
        <v>0.10208</v>
      </c>
      <c r="W2121" s="13"/>
      <c r="X2121" s="47">
        <v>2117</v>
      </c>
      <c r="Y2121" s="47" t="s">
        <v>2248</v>
      </c>
      <c r="Z2121" s="47" t="s">
        <v>4397</v>
      </c>
      <c r="AA2121" s="56">
        <v>3.7358870967741943E-5</v>
      </c>
      <c r="AB2121" s="13"/>
      <c r="AC2121" s="34">
        <v>2117</v>
      </c>
      <c r="AD2121" s="34" t="s">
        <v>4573</v>
      </c>
      <c r="AE2121" s="34" t="s">
        <v>2961</v>
      </c>
      <c r="AF2121" s="35">
        <v>4.627016129032258</v>
      </c>
    </row>
    <row r="2122" spans="19:32" x14ac:dyDescent="0.35">
      <c r="S2122" s="34">
        <v>2118</v>
      </c>
      <c r="T2122" s="34" t="s">
        <v>4284</v>
      </c>
      <c r="U2122" s="34" t="s">
        <v>3872</v>
      </c>
      <c r="V2122" s="35">
        <v>5.2096774193548386E-4</v>
      </c>
      <c r="W2122" s="13"/>
      <c r="X2122" s="34">
        <v>2118</v>
      </c>
      <c r="Y2122" s="34" t="s">
        <v>2248</v>
      </c>
      <c r="Z2122" s="34" t="s">
        <v>4396</v>
      </c>
      <c r="AA2122" s="35">
        <v>9.6653225806451619E-5</v>
      </c>
      <c r="AB2122" s="13"/>
      <c r="AC2122" s="47">
        <v>2118</v>
      </c>
      <c r="AD2122" s="47" t="s">
        <v>4573</v>
      </c>
      <c r="AE2122" s="47" t="s">
        <v>2961</v>
      </c>
      <c r="AF2122" s="48">
        <v>1692.8</v>
      </c>
    </row>
    <row r="2123" spans="19:32" x14ac:dyDescent="0.35">
      <c r="S2123" s="36">
        <v>2119</v>
      </c>
      <c r="T2123" s="36" t="s">
        <v>4284</v>
      </c>
      <c r="U2123" s="36" t="s">
        <v>3869</v>
      </c>
      <c r="V2123" s="37">
        <v>2.7766500000000001</v>
      </c>
      <c r="W2123" s="13"/>
      <c r="X2123" s="34">
        <v>2119</v>
      </c>
      <c r="Y2123" s="34" t="s">
        <v>2248</v>
      </c>
      <c r="Z2123" s="34" t="s">
        <v>5148</v>
      </c>
      <c r="AA2123" s="35">
        <v>4.0786290322580646E-3</v>
      </c>
      <c r="AB2123" s="13"/>
      <c r="AC2123" s="34">
        <v>2119</v>
      </c>
      <c r="AD2123" s="34" t="s">
        <v>4573</v>
      </c>
      <c r="AE2123" s="34" t="s">
        <v>2959</v>
      </c>
      <c r="AF2123" s="35">
        <v>21.72983870967742</v>
      </c>
    </row>
    <row r="2124" spans="19:32" x14ac:dyDescent="0.35">
      <c r="S2124" s="34">
        <v>2120</v>
      </c>
      <c r="T2124" s="34" t="s">
        <v>4284</v>
      </c>
      <c r="U2124" s="34" t="s">
        <v>3869</v>
      </c>
      <c r="V2124" s="35">
        <v>2.7316532258064517E-6</v>
      </c>
      <c r="W2124" s="13"/>
      <c r="X2124" s="47">
        <v>2120</v>
      </c>
      <c r="Y2124" s="47" t="s">
        <v>2248</v>
      </c>
      <c r="Z2124" s="47" t="s">
        <v>4395</v>
      </c>
      <c r="AA2124" s="56">
        <v>1.9330645161290325E-6</v>
      </c>
      <c r="AB2124" s="13"/>
      <c r="AC2124" s="47">
        <v>2120</v>
      </c>
      <c r="AD2124" s="47" t="s">
        <v>4573</v>
      </c>
      <c r="AE2124" s="47" t="s">
        <v>2959</v>
      </c>
      <c r="AF2124" s="48">
        <v>56856</v>
      </c>
    </row>
    <row r="2125" spans="19:32" x14ac:dyDescent="0.35">
      <c r="S2125" s="47">
        <v>2121</v>
      </c>
      <c r="T2125" s="47" t="s">
        <v>4284</v>
      </c>
      <c r="U2125" s="47" t="s">
        <v>3058</v>
      </c>
      <c r="V2125" s="48">
        <v>0.85376000000000007</v>
      </c>
      <c r="W2125" s="13"/>
      <c r="X2125" s="34">
        <v>2121</v>
      </c>
      <c r="Y2125" s="34" t="s">
        <v>2248</v>
      </c>
      <c r="Z2125" s="34" t="s">
        <v>4394</v>
      </c>
      <c r="AA2125" s="35">
        <v>5.106854838709678E-5</v>
      </c>
      <c r="AB2125" s="13"/>
      <c r="AC2125" s="34">
        <v>2121</v>
      </c>
      <c r="AD2125" s="34" t="s">
        <v>4573</v>
      </c>
      <c r="AE2125" s="34" t="s">
        <v>3384</v>
      </c>
      <c r="AF2125" s="35">
        <v>2.810483870967742</v>
      </c>
    </row>
    <row r="2126" spans="19:32" x14ac:dyDescent="0.35">
      <c r="S2126" s="34">
        <v>2122</v>
      </c>
      <c r="T2126" s="34" t="s">
        <v>4284</v>
      </c>
      <c r="U2126" s="34" t="s">
        <v>3868</v>
      </c>
      <c r="V2126" s="35">
        <v>4.215725806451613E-5</v>
      </c>
      <c r="W2126" s="13"/>
      <c r="X2126" s="34">
        <v>2122</v>
      </c>
      <c r="Y2126" s="34" t="s">
        <v>2248</v>
      </c>
      <c r="Z2126" s="34" t="s">
        <v>3586</v>
      </c>
      <c r="AA2126" s="35">
        <v>3.838709677419355E-3</v>
      </c>
      <c r="AB2126" s="13"/>
      <c r="AC2126" s="34">
        <v>2122</v>
      </c>
      <c r="AD2126" s="34" t="s">
        <v>4573</v>
      </c>
      <c r="AE2126" s="34" t="s">
        <v>3381</v>
      </c>
      <c r="AF2126" s="35">
        <v>1.8199596774193548E-4</v>
      </c>
    </row>
    <row r="2127" spans="19:32" x14ac:dyDescent="0.35">
      <c r="S2127" s="34">
        <v>2123</v>
      </c>
      <c r="T2127" s="34" t="s">
        <v>4284</v>
      </c>
      <c r="U2127" s="34" t="s">
        <v>3867</v>
      </c>
      <c r="V2127" s="35">
        <v>8.2943548387096782E-4</v>
      </c>
      <c r="W2127" s="13"/>
      <c r="X2127" s="47">
        <v>2123</v>
      </c>
      <c r="Y2127" s="47" t="s">
        <v>2248</v>
      </c>
      <c r="Z2127" s="47" t="s">
        <v>4393</v>
      </c>
      <c r="AA2127" s="56">
        <v>1.0419354838709678E-5</v>
      </c>
      <c r="AB2127" s="13"/>
      <c r="AC2127" s="34">
        <v>2123</v>
      </c>
      <c r="AD2127" s="34" t="s">
        <v>4573</v>
      </c>
      <c r="AE2127" s="34" t="s">
        <v>3378</v>
      </c>
      <c r="AF2127" s="35">
        <v>3.064112903225807E-3</v>
      </c>
    </row>
    <row r="2128" spans="19:32" x14ac:dyDescent="0.35">
      <c r="S2128" s="60">
        <v>2124</v>
      </c>
      <c r="T2128" s="60" t="s">
        <v>4284</v>
      </c>
      <c r="U2128" s="60" t="s">
        <v>5147</v>
      </c>
      <c r="V2128" s="61">
        <v>9.0414999999999992</v>
      </c>
      <c r="W2128" s="13"/>
      <c r="X2128" s="47">
        <v>2124</v>
      </c>
      <c r="Y2128" s="47" t="s">
        <v>2248</v>
      </c>
      <c r="Z2128" s="47" t="s">
        <v>4392</v>
      </c>
      <c r="AA2128" s="56">
        <v>2.3066532258064519E-5</v>
      </c>
      <c r="AB2128" s="13"/>
      <c r="AC2128" s="34">
        <v>2124</v>
      </c>
      <c r="AD2128" s="34" t="s">
        <v>4573</v>
      </c>
      <c r="AE2128" s="34" t="s">
        <v>3376</v>
      </c>
      <c r="AF2128" s="35">
        <v>7.6431451612903236E-3</v>
      </c>
    </row>
    <row r="2129" spans="19:32" x14ac:dyDescent="0.35">
      <c r="S2129" s="30">
        <v>2125</v>
      </c>
      <c r="T2129" s="30" t="s">
        <v>4284</v>
      </c>
      <c r="U2129" s="30" t="s">
        <v>5146</v>
      </c>
      <c r="V2129" s="31">
        <v>2.4244000000000002E-2</v>
      </c>
      <c r="W2129" s="13"/>
      <c r="X2129" s="34">
        <v>2125</v>
      </c>
      <c r="Y2129" s="34" t="s">
        <v>2248</v>
      </c>
      <c r="Z2129" s="34" t="s">
        <v>5145</v>
      </c>
      <c r="AA2129" s="35">
        <v>6.2036290322580647E-3</v>
      </c>
      <c r="AB2129" s="13"/>
      <c r="AC2129" s="34">
        <v>2125</v>
      </c>
      <c r="AD2129" s="34" t="s">
        <v>4573</v>
      </c>
      <c r="AE2129" s="34" t="s">
        <v>3373</v>
      </c>
      <c r="AF2129" s="35">
        <v>2.467741935483871</v>
      </c>
    </row>
    <row r="2130" spans="19:32" x14ac:dyDescent="0.35">
      <c r="S2130" s="34">
        <v>2126</v>
      </c>
      <c r="T2130" s="34" t="s">
        <v>4284</v>
      </c>
      <c r="U2130" s="34" t="s">
        <v>3056</v>
      </c>
      <c r="V2130" s="35">
        <v>3.4274193548387101E-8</v>
      </c>
      <c r="W2130" s="13"/>
      <c r="X2130" s="47">
        <v>2126</v>
      </c>
      <c r="Y2130" s="47" t="s">
        <v>2248</v>
      </c>
      <c r="Z2130" s="47" t="s">
        <v>4391</v>
      </c>
      <c r="AA2130" s="56">
        <v>6.8205645161290328E-6</v>
      </c>
      <c r="AB2130" s="13"/>
      <c r="AC2130" s="34">
        <v>2126</v>
      </c>
      <c r="AD2130" s="34" t="s">
        <v>4573</v>
      </c>
      <c r="AE2130" s="34" t="s">
        <v>2958</v>
      </c>
      <c r="AF2130" s="35">
        <v>2.2483870967741938E-2</v>
      </c>
    </row>
    <row r="2131" spans="19:32" x14ac:dyDescent="0.35">
      <c r="S2131" s="47">
        <v>2127</v>
      </c>
      <c r="T2131" s="47" t="s">
        <v>4284</v>
      </c>
      <c r="U2131" s="47" t="s">
        <v>3056</v>
      </c>
      <c r="V2131" s="48">
        <v>0.71116000000000001</v>
      </c>
      <c r="W2131" s="13"/>
      <c r="X2131" s="47">
        <v>2127</v>
      </c>
      <c r="Y2131" s="47" t="s">
        <v>2248</v>
      </c>
      <c r="Z2131" s="47" t="s">
        <v>4390</v>
      </c>
      <c r="AA2131" s="56">
        <v>1.0487903225806453E-4</v>
      </c>
      <c r="AB2131" s="13"/>
      <c r="AC2131" s="47">
        <v>2127</v>
      </c>
      <c r="AD2131" s="47" t="s">
        <v>4573</v>
      </c>
      <c r="AE2131" s="47" t="s">
        <v>2958</v>
      </c>
      <c r="AF2131" s="48">
        <v>0</v>
      </c>
    </row>
    <row r="2132" spans="19:32" x14ac:dyDescent="0.35">
      <c r="S2132" s="30">
        <v>2128</v>
      </c>
      <c r="T2132" s="30" t="s">
        <v>4284</v>
      </c>
      <c r="U2132" s="30" t="s">
        <v>3055</v>
      </c>
      <c r="V2132" s="31">
        <v>4.8952000000000006E-3</v>
      </c>
      <c r="W2132" s="13"/>
      <c r="X2132" s="34">
        <v>2128</v>
      </c>
      <c r="Y2132" s="34" t="s">
        <v>2248</v>
      </c>
      <c r="Z2132" s="34" t="s">
        <v>5144</v>
      </c>
      <c r="AA2132" s="35">
        <v>2.3100806451612906E-5</v>
      </c>
      <c r="AB2132" s="13"/>
      <c r="AC2132" s="47">
        <v>2128</v>
      </c>
      <c r="AD2132" s="47" t="s">
        <v>4573</v>
      </c>
      <c r="AE2132" s="47" t="s">
        <v>2956</v>
      </c>
      <c r="AF2132" s="48">
        <v>8.4456000000000007</v>
      </c>
    </row>
    <row r="2133" spans="19:32" x14ac:dyDescent="0.35">
      <c r="S2133" s="47">
        <v>2129</v>
      </c>
      <c r="T2133" s="47" t="s">
        <v>4284</v>
      </c>
      <c r="U2133" s="47" t="s">
        <v>3055</v>
      </c>
      <c r="V2133" s="48">
        <v>0</v>
      </c>
      <c r="W2133" s="13"/>
      <c r="X2133" s="47">
        <v>2129</v>
      </c>
      <c r="Y2133" s="47" t="s">
        <v>2248</v>
      </c>
      <c r="Z2133" s="47" t="s">
        <v>3201</v>
      </c>
      <c r="AA2133" s="48">
        <v>3.0175999999999998E-4</v>
      </c>
      <c r="AB2133" s="13"/>
      <c r="AC2133" s="34">
        <v>2129</v>
      </c>
      <c r="AD2133" s="34" t="s">
        <v>4573</v>
      </c>
      <c r="AE2133" s="34" t="s">
        <v>2955</v>
      </c>
      <c r="AF2133" s="35">
        <v>4.7983870967741939</v>
      </c>
    </row>
    <row r="2134" spans="19:32" x14ac:dyDescent="0.35">
      <c r="S2134" s="34">
        <v>2130</v>
      </c>
      <c r="T2134" s="34" t="s">
        <v>4284</v>
      </c>
      <c r="U2134" s="34" t="s">
        <v>3862</v>
      </c>
      <c r="V2134" s="35">
        <v>6.4435483870967745E-7</v>
      </c>
      <c r="W2134" s="13"/>
      <c r="X2134" s="34">
        <v>2130</v>
      </c>
      <c r="Y2134" s="34" t="s">
        <v>2248</v>
      </c>
      <c r="Z2134" s="34" t="s">
        <v>4388</v>
      </c>
      <c r="AA2134" s="35">
        <v>1.607459677419355E-4</v>
      </c>
      <c r="AB2134" s="13"/>
      <c r="AC2134" s="47">
        <v>2130</v>
      </c>
      <c r="AD2134" s="47" t="s">
        <v>4573</v>
      </c>
      <c r="AE2134" s="47" t="s">
        <v>2955</v>
      </c>
      <c r="AF2134" s="48">
        <v>61.272000000000006</v>
      </c>
    </row>
    <row r="2135" spans="19:32" x14ac:dyDescent="0.35">
      <c r="S2135" s="47">
        <v>2131</v>
      </c>
      <c r="T2135" s="47" t="s">
        <v>4284</v>
      </c>
      <c r="U2135" s="47" t="s">
        <v>3054</v>
      </c>
      <c r="V2135" s="48">
        <v>0.79120000000000001</v>
      </c>
      <c r="W2135" s="13"/>
      <c r="X2135" s="34">
        <v>2131</v>
      </c>
      <c r="Y2135" s="34" t="s">
        <v>2248</v>
      </c>
      <c r="Z2135" s="34" t="s">
        <v>5143</v>
      </c>
      <c r="AA2135" s="35">
        <v>4.4213709677419358E-4</v>
      </c>
      <c r="AB2135" s="13"/>
      <c r="AC2135" s="34">
        <v>2131</v>
      </c>
      <c r="AD2135" s="34" t="s">
        <v>4573</v>
      </c>
      <c r="AE2135" s="34" t="s">
        <v>2953</v>
      </c>
      <c r="AF2135" s="35">
        <v>102.13709677419355</v>
      </c>
    </row>
    <row r="2136" spans="19:32" x14ac:dyDescent="0.35">
      <c r="S2136" s="47">
        <v>2132</v>
      </c>
      <c r="T2136" s="47" t="s">
        <v>4284</v>
      </c>
      <c r="U2136" s="47" t="s">
        <v>3053</v>
      </c>
      <c r="V2136" s="48">
        <v>2.4563999999999999</v>
      </c>
      <c r="W2136" s="13"/>
      <c r="X2136" s="47">
        <v>2132</v>
      </c>
      <c r="Y2136" s="47" t="s">
        <v>2248</v>
      </c>
      <c r="Z2136" s="47" t="s">
        <v>4385</v>
      </c>
      <c r="AA2136" s="56">
        <v>1.8370967741935488E-4</v>
      </c>
      <c r="AB2136" s="13"/>
      <c r="AC2136" s="47">
        <v>2132</v>
      </c>
      <c r="AD2136" s="47" t="s">
        <v>4573</v>
      </c>
      <c r="AE2136" s="47" t="s">
        <v>2953</v>
      </c>
      <c r="AF2136" s="48">
        <v>0</v>
      </c>
    </row>
    <row r="2137" spans="19:32" x14ac:dyDescent="0.35">
      <c r="S2137" s="62">
        <v>2133</v>
      </c>
      <c r="T2137" s="62" t="s">
        <v>4284</v>
      </c>
      <c r="U2137" s="62" t="s">
        <v>5142</v>
      </c>
      <c r="V2137" s="63">
        <v>4.03925</v>
      </c>
      <c r="W2137" s="13"/>
      <c r="X2137" s="34">
        <v>2133</v>
      </c>
      <c r="Y2137" s="34" t="s">
        <v>2248</v>
      </c>
      <c r="Z2137" s="34" t="s">
        <v>4382</v>
      </c>
      <c r="AA2137" s="35">
        <v>7.7459677419354842E-5</v>
      </c>
      <c r="AB2137" s="13"/>
      <c r="AC2137" s="34">
        <v>2133</v>
      </c>
      <c r="AD2137" s="34" t="s">
        <v>4573</v>
      </c>
      <c r="AE2137" s="34" t="s">
        <v>3365</v>
      </c>
      <c r="AF2137" s="35">
        <v>4.8669354838709683E-2</v>
      </c>
    </row>
    <row r="2138" spans="19:32" x14ac:dyDescent="0.35">
      <c r="S2138" s="36">
        <v>2134</v>
      </c>
      <c r="T2138" s="36" t="s">
        <v>4284</v>
      </c>
      <c r="U2138" s="36" t="s">
        <v>3860</v>
      </c>
      <c r="V2138" s="37">
        <v>3.5417000000000001</v>
      </c>
      <c r="W2138" s="13"/>
      <c r="X2138" s="34">
        <v>2134</v>
      </c>
      <c r="Y2138" s="34" t="s">
        <v>2248</v>
      </c>
      <c r="Z2138" s="34" t="s">
        <v>5141</v>
      </c>
      <c r="AA2138" s="35">
        <v>1.1790322580645161E-5</v>
      </c>
      <c r="AB2138" s="13"/>
      <c r="AC2138" s="34">
        <v>2134</v>
      </c>
      <c r="AD2138" s="34" t="s">
        <v>4573</v>
      </c>
      <c r="AE2138" s="34" t="s">
        <v>3362</v>
      </c>
      <c r="AF2138" s="35">
        <v>5.8608870967741941E-3</v>
      </c>
    </row>
    <row r="2139" spans="19:32" x14ac:dyDescent="0.35">
      <c r="S2139" s="34">
        <v>2135</v>
      </c>
      <c r="T2139" s="34" t="s">
        <v>4284</v>
      </c>
      <c r="U2139" s="34" t="s">
        <v>3860</v>
      </c>
      <c r="V2139" s="35">
        <v>4.3528225806451612E-7</v>
      </c>
      <c r="W2139" s="13"/>
      <c r="X2139" s="47">
        <v>2135</v>
      </c>
      <c r="Y2139" s="47" t="s">
        <v>2248</v>
      </c>
      <c r="Z2139" s="47" t="s">
        <v>3200</v>
      </c>
      <c r="AA2139" s="48">
        <v>0</v>
      </c>
      <c r="AB2139" s="13"/>
      <c r="AC2139" s="34">
        <v>2135</v>
      </c>
      <c r="AD2139" s="34" t="s">
        <v>4573</v>
      </c>
      <c r="AE2139" s="34" t="s">
        <v>2952</v>
      </c>
      <c r="AF2139" s="35">
        <v>3.369153225806452E-5</v>
      </c>
    </row>
    <row r="2140" spans="19:32" x14ac:dyDescent="0.35">
      <c r="S2140" s="36">
        <v>2136</v>
      </c>
      <c r="T2140" s="36" t="s">
        <v>4284</v>
      </c>
      <c r="U2140" s="36" t="s">
        <v>3051</v>
      </c>
      <c r="V2140" s="37">
        <v>0.26214999999999999</v>
      </c>
      <c r="W2140" s="13"/>
      <c r="X2140" s="47">
        <v>2136</v>
      </c>
      <c r="Y2140" s="47" t="s">
        <v>2248</v>
      </c>
      <c r="Z2140" s="47" t="s">
        <v>3200</v>
      </c>
      <c r="AA2140" s="56">
        <v>4.524193548387097E-4</v>
      </c>
      <c r="AB2140" s="13"/>
      <c r="AC2140" s="47">
        <v>2136</v>
      </c>
      <c r="AD2140" s="47" t="s">
        <v>4573</v>
      </c>
      <c r="AE2140" s="47" t="s">
        <v>2952</v>
      </c>
      <c r="AF2140" s="48">
        <v>0</v>
      </c>
    </row>
    <row r="2141" spans="19:32" x14ac:dyDescent="0.35">
      <c r="S2141" s="34">
        <v>2137</v>
      </c>
      <c r="T2141" s="34" t="s">
        <v>4284</v>
      </c>
      <c r="U2141" s="34" t="s">
        <v>3051</v>
      </c>
      <c r="V2141" s="35">
        <v>2.2004032258064517E-5</v>
      </c>
      <c r="W2141" s="13"/>
      <c r="X2141" s="34">
        <v>2137</v>
      </c>
      <c r="Y2141" s="34" t="s">
        <v>2248</v>
      </c>
      <c r="Z2141" s="34" t="s">
        <v>4379</v>
      </c>
      <c r="AA2141" s="35">
        <v>4.4213709677419358E-4</v>
      </c>
      <c r="AB2141" s="13"/>
      <c r="AC2141" s="34">
        <v>2137</v>
      </c>
      <c r="AD2141" s="34" t="s">
        <v>4573</v>
      </c>
      <c r="AE2141" s="34" t="s">
        <v>2950</v>
      </c>
      <c r="AF2141" s="35">
        <v>1.0556451612903228E-4</v>
      </c>
    </row>
    <row r="2142" spans="19:32" x14ac:dyDescent="0.35">
      <c r="S2142" s="47">
        <v>2138</v>
      </c>
      <c r="T2142" s="47" t="s">
        <v>4284</v>
      </c>
      <c r="U2142" s="47" t="s">
        <v>3051</v>
      </c>
      <c r="V2142" s="48">
        <v>0.25851999999999997</v>
      </c>
      <c r="W2142" s="13"/>
      <c r="X2142" s="34">
        <v>2138</v>
      </c>
      <c r="Y2142" s="34" t="s">
        <v>2248</v>
      </c>
      <c r="Z2142" s="34" t="s">
        <v>5140</v>
      </c>
      <c r="AA2142" s="35">
        <v>3.084677419354839E-4</v>
      </c>
      <c r="AB2142" s="13"/>
      <c r="AC2142" s="47">
        <v>2138</v>
      </c>
      <c r="AD2142" s="47" t="s">
        <v>4573</v>
      </c>
      <c r="AE2142" s="47" t="s">
        <v>2950</v>
      </c>
      <c r="AF2142" s="48">
        <v>1196</v>
      </c>
    </row>
    <row r="2143" spans="19:32" x14ac:dyDescent="0.35">
      <c r="S2143" s="34">
        <v>2139</v>
      </c>
      <c r="T2143" s="34" t="s">
        <v>4284</v>
      </c>
      <c r="U2143" s="34" t="s">
        <v>3854</v>
      </c>
      <c r="V2143" s="35">
        <v>2.9681451612903225E-6</v>
      </c>
      <c r="W2143" s="13"/>
      <c r="X2143" s="47">
        <v>2139</v>
      </c>
      <c r="Y2143" s="47" t="s">
        <v>2248</v>
      </c>
      <c r="Z2143" s="47" t="s">
        <v>4377</v>
      </c>
      <c r="AA2143" s="56">
        <v>7.7802419354838725E-6</v>
      </c>
      <c r="AB2143" s="13"/>
      <c r="AC2143" s="34">
        <v>2139</v>
      </c>
      <c r="AD2143" s="34" t="s">
        <v>4573</v>
      </c>
      <c r="AE2143" s="34" t="s">
        <v>3356</v>
      </c>
      <c r="AF2143" s="35">
        <v>6.3750000000000005E-3</v>
      </c>
    </row>
    <row r="2144" spans="19:32" x14ac:dyDescent="0.35">
      <c r="S2144" s="36">
        <v>2140</v>
      </c>
      <c r="T2144" s="36" t="s">
        <v>4284</v>
      </c>
      <c r="U2144" s="36" t="s">
        <v>3050</v>
      </c>
      <c r="V2144" s="37">
        <v>2.9371499999999999</v>
      </c>
      <c r="W2144" s="13"/>
      <c r="X2144" s="47">
        <v>2140</v>
      </c>
      <c r="Y2144" s="47" t="s">
        <v>2248</v>
      </c>
      <c r="Z2144" s="47" t="s">
        <v>3199</v>
      </c>
      <c r="AA2144" s="48">
        <v>3.1739999999999997E-3</v>
      </c>
      <c r="AB2144" s="13"/>
      <c r="AC2144" s="47">
        <v>2140</v>
      </c>
      <c r="AD2144" s="47" t="s">
        <v>4573</v>
      </c>
      <c r="AE2144" s="47" t="s">
        <v>2948</v>
      </c>
      <c r="AF2144" s="48">
        <v>3.7811999999999998E-2</v>
      </c>
    </row>
    <row r="2145" spans="19:32" x14ac:dyDescent="0.35">
      <c r="S2145" s="34">
        <v>2141</v>
      </c>
      <c r="T2145" s="34" t="s">
        <v>4284</v>
      </c>
      <c r="U2145" s="34" t="s">
        <v>3050</v>
      </c>
      <c r="V2145" s="35">
        <v>7.0262096774193552E-7</v>
      </c>
      <c r="W2145" s="13"/>
      <c r="X2145" s="34">
        <v>2141</v>
      </c>
      <c r="Y2145" s="34" t="s">
        <v>2248</v>
      </c>
      <c r="Z2145" s="34" t="s">
        <v>5139</v>
      </c>
      <c r="AA2145" s="35">
        <v>2.0358870967741938E-3</v>
      </c>
      <c r="AB2145" s="13"/>
      <c r="AC2145" s="34">
        <v>2141</v>
      </c>
      <c r="AD2145" s="34" t="s">
        <v>4573</v>
      </c>
      <c r="AE2145" s="34" t="s">
        <v>2947</v>
      </c>
      <c r="AF2145" s="35">
        <v>2.210685483870968E-3</v>
      </c>
    </row>
    <row r="2146" spans="19:32" x14ac:dyDescent="0.35">
      <c r="S2146" s="47">
        <v>2142</v>
      </c>
      <c r="T2146" s="47" t="s">
        <v>4284</v>
      </c>
      <c r="U2146" s="47" t="s">
        <v>3050</v>
      </c>
      <c r="V2146" s="48">
        <v>2.53E-2</v>
      </c>
      <c r="W2146" s="13"/>
      <c r="X2146" s="47">
        <v>2142</v>
      </c>
      <c r="Y2146" s="47" t="s">
        <v>2248</v>
      </c>
      <c r="Z2146" s="47" t="s">
        <v>4374</v>
      </c>
      <c r="AA2146" s="56">
        <v>0.26151209677419357</v>
      </c>
      <c r="AB2146" s="13"/>
      <c r="AC2146" s="47">
        <v>2142</v>
      </c>
      <c r="AD2146" s="47" t="s">
        <v>4573</v>
      </c>
      <c r="AE2146" s="47" t="s">
        <v>2947</v>
      </c>
      <c r="AF2146" s="48">
        <v>1.6191999999999999E-3</v>
      </c>
    </row>
    <row r="2147" spans="19:32" x14ac:dyDescent="0.35">
      <c r="S2147" s="34">
        <v>2143</v>
      </c>
      <c r="T2147" s="34" t="s">
        <v>4284</v>
      </c>
      <c r="U2147" s="34" t="s">
        <v>3847</v>
      </c>
      <c r="V2147" s="35">
        <v>3.8044354838709681E-3</v>
      </c>
      <c r="W2147" s="13"/>
      <c r="X2147" s="47">
        <v>2143</v>
      </c>
      <c r="Y2147" s="47" t="s">
        <v>2248</v>
      </c>
      <c r="Z2147" s="47" t="s">
        <v>4373</v>
      </c>
      <c r="AA2147" s="56">
        <v>1.3641129032258066E-5</v>
      </c>
      <c r="AB2147" s="13"/>
      <c r="AC2147" s="47">
        <v>2143</v>
      </c>
      <c r="AD2147" s="47" t="s">
        <v>4573</v>
      </c>
      <c r="AE2147" s="47" t="s">
        <v>2946</v>
      </c>
      <c r="AF2147" s="48">
        <v>0</v>
      </c>
    </row>
    <row r="2148" spans="19:32" x14ac:dyDescent="0.35">
      <c r="S2148" s="30">
        <v>2144</v>
      </c>
      <c r="T2148" s="30" t="s">
        <v>4284</v>
      </c>
      <c r="U2148" s="30" t="s">
        <v>5138</v>
      </c>
      <c r="V2148" s="31">
        <v>60.668000000000006</v>
      </c>
      <c r="W2148" s="13"/>
      <c r="X2148" s="34">
        <v>2144</v>
      </c>
      <c r="Y2148" s="34" t="s">
        <v>2248</v>
      </c>
      <c r="Z2148" s="34" t="s">
        <v>5137</v>
      </c>
      <c r="AA2148" s="35">
        <v>1.5800403225806454E-6</v>
      </c>
      <c r="AB2148" s="13"/>
      <c r="AC2148" s="34">
        <v>2144</v>
      </c>
      <c r="AD2148" s="34" t="s">
        <v>4573</v>
      </c>
      <c r="AE2148" s="34" t="s">
        <v>3351</v>
      </c>
      <c r="AF2148" s="35">
        <v>8.5342741935483875E-4</v>
      </c>
    </row>
    <row r="2149" spans="19:32" x14ac:dyDescent="0.35">
      <c r="S2149" s="30">
        <v>2145</v>
      </c>
      <c r="T2149" s="30" t="s">
        <v>4284</v>
      </c>
      <c r="U2149" s="30" t="s">
        <v>5136</v>
      </c>
      <c r="V2149" s="31">
        <v>99.064000000000007</v>
      </c>
      <c r="W2149" s="13"/>
      <c r="X2149" s="47">
        <v>2145</v>
      </c>
      <c r="Y2149" s="47" t="s">
        <v>2248</v>
      </c>
      <c r="Z2149" s="47" t="s">
        <v>4370</v>
      </c>
      <c r="AA2149" s="56">
        <v>1.2784274193548388E-6</v>
      </c>
      <c r="AB2149" s="13"/>
      <c r="AC2149" s="34">
        <v>2145</v>
      </c>
      <c r="AD2149" s="34" t="s">
        <v>4573</v>
      </c>
      <c r="AE2149" s="34" t="s">
        <v>3348</v>
      </c>
      <c r="AF2149" s="35">
        <v>2.7590725806451614E-2</v>
      </c>
    </row>
    <row r="2150" spans="19:32" x14ac:dyDescent="0.35">
      <c r="S2150" s="30">
        <v>2146</v>
      </c>
      <c r="T2150" s="30" t="s">
        <v>4284</v>
      </c>
      <c r="U2150" s="30" t="s">
        <v>5135</v>
      </c>
      <c r="V2150" s="31">
        <v>103.12400000000001</v>
      </c>
      <c r="W2150" s="13"/>
      <c r="X2150" s="34">
        <v>2146</v>
      </c>
      <c r="Y2150" s="34" t="s">
        <v>2248</v>
      </c>
      <c r="Z2150" s="34" t="s">
        <v>4368</v>
      </c>
      <c r="AA2150" s="35">
        <v>3.2252016129032264E-6</v>
      </c>
      <c r="AB2150" s="13"/>
      <c r="AC2150" s="34">
        <v>2146</v>
      </c>
      <c r="AD2150" s="34" t="s">
        <v>4573</v>
      </c>
      <c r="AE2150" s="34" t="s">
        <v>3346</v>
      </c>
      <c r="AF2150" s="35">
        <v>2.0358870967741938E-3</v>
      </c>
    </row>
    <row r="2151" spans="19:32" x14ac:dyDescent="0.35">
      <c r="S2151" s="30">
        <v>2147</v>
      </c>
      <c r="T2151" s="30" t="s">
        <v>4284</v>
      </c>
      <c r="U2151" s="30" t="s">
        <v>5134</v>
      </c>
      <c r="V2151" s="31">
        <v>34.916000000000004</v>
      </c>
      <c r="W2151" s="13"/>
      <c r="X2151" s="47">
        <v>2147</v>
      </c>
      <c r="Y2151" s="47" t="s">
        <v>2248</v>
      </c>
      <c r="Z2151" s="47" t="s">
        <v>4367</v>
      </c>
      <c r="AA2151" s="56">
        <v>3.633064516129033E-5</v>
      </c>
      <c r="AB2151" s="13"/>
      <c r="AC2151" s="34">
        <v>2147</v>
      </c>
      <c r="AD2151" s="34" t="s">
        <v>4573</v>
      </c>
      <c r="AE2151" s="34" t="s">
        <v>3343</v>
      </c>
      <c r="AF2151" s="35">
        <v>2.7659274193548391E-3</v>
      </c>
    </row>
    <row r="2152" spans="19:32" x14ac:dyDescent="0.35">
      <c r="S2152" s="30">
        <v>2148</v>
      </c>
      <c r="T2152" s="30" t="s">
        <v>4284</v>
      </c>
      <c r="U2152" s="30" t="s">
        <v>5133</v>
      </c>
      <c r="V2152" s="31">
        <v>44.892000000000003</v>
      </c>
      <c r="W2152" s="13"/>
      <c r="X2152" s="34">
        <v>2148</v>
      </c>
      <c r="Y2152" s="34" t="s">
        <v>2248</v>
      </c>
      <c r="Z2152" s="34" t="s">
        <v>5132</v>
      </c>
      <c r="AA2152" s="35">
        <v>2.6631048387096779E-5</v>
      </c>
      <c r="AB2152" s="13"/>
      <c r="AC2152" s="34">
        <v>2148</v>
      </c>
      <c r="AD2152" s="34" t="s">
        <v>4573</v>
      </c>
      <c r="AE2152" s="34" t="s">
        <v>2945</v>
      </c>
      <c r="AF2152" s="35">
        <v>9.2883064516129047E-3</v>
      </c>
    </row>
    <row r="2153" spans="19:32" x14ac:dyDescent="0.35">
      <c r="S2153" s="30">
        <v>2149</v>
      </c>
      <c r="T2153" s="30" t="s">
        <v>4284</v>
      </c>
      <c r="U2153" s="30" t="s">
        <v>5131</v>
      </c>
      <c r="V2153" s="31">
        <v>47.908000000000001</v>
      </c>
      <c r="W2153" s="13"/>
      <c r="X2153" s="34">
        <v>2149</v>
      </c>
      <c r="Y2153" s="34" t="s">
        <v>2248</v>
      </c>
      <c r="Z2153" s="34" t="s">
        <v>4364</v>
      </c>
      <c r="AA2153" s="35">
        <v>5.1754032258064518E-7</v>
      </c>
      <c r="AB2153" s="13"/>
      <c r="AC2153" s="47">
        <v>2149</v>
      </c>
      <c r="AD2153" s="47" t="s">
        <v>4573</v>
      </c>
      <c r="AE2153" s="47" t="s">
        <v>2945</v>
      </c>
      <c r="AF2153" s="48">
        <v>2.1343999999999998E-2</v>
      </c>
    </row>
    <row r="2154" spans="19:32" x14ac:dyDescent="0.35">
      <c r="S2154" s="30">
        <v>2150</v>
      </c>
      <c r="T2154" s="30" t="s">
        <v>4284</v>
      </c>
      <c r="U2154" s="30" t="s">
        <v>5130</v>
      </c>
      <c r="V2154" s="31">
        <v>83.404000000000011</v>
      </c>
      <c r="W2154" s="13"/>
      <c r="X2154" s="47">
        <v>2150</v>
      </c>
      <c r="Y2154" s="47" t="s">
        <v>2248</v>
      </c>
      <c r="Z2154" s="47" t="s">
        <v>3198</v>
      </c>
      <c r="AA2154" s="48">
        <v>0</v>
      </c>
      <c r="AB2154" s="13"/>
      <c r="AC2154" s="34">
        <v>2150</v>
      </c>
      <c r="AD2154" s="34" t="s">
        <v>4573</v>
      </c>
      <c r="AE2154" s="34" t="s">
        <v>3338</v>
      </c>
      <c r="AF2154" s="35">
        <v>4.0443548387096779</v>
      </c>
    </row>
    <row r="2155" spans="19:32" x14ac:dyDescent="0.35">
      <c r="S2155" s="30">
        <v>2151</v>
      </c>
      <c r="T2155" s="30" t="s">
        <v>4284</v>
      </c>
      <c r="U2155" s="30" t="s">
        <v>5129</v>
      </c>
      <c r="V2155" s="31">
        <v>51.736000000000004</v>
      </c>
      <c r="W2155" s="13"/>
      <c r="X2155" s="47">
        <v>2151</v>
      </c>
      <c r="Y2155" s="47" t="s">
        <v>2248</v>
      </c>
      <c r="Z2155" s="47" t="s">
        <v>3198</v>
      </c>
      <c r="AA2155" s="56">
        <v>4.1814516129032265E-3</v>
      </c>
      <c r="AB2155" s="13"/>
      <c r="AC2155" s="34">
        <v>2151</v>
      </c>
      <c r="AD2155" s="34" t="s">
        <v>4573</v>
      </c>
      <c r="AE2155" s="34" t="s">
        <v>3335</v>
      </c>
      <c r="AF2155" s="35">
        <v>1.4292338709677422E-3</v>
      </c>
    </row>
    <row r="2156" spans="19:32" x14ac:dyDescent="0.35">
      <c r="S2156" s="30">
        <v>2152</v>
      </c>
      <c r="T2156" s="30" t="s">
        <v>4284</v>
      </c>
      <c r="U2156" s="30" t="s">
        <v>5128</v>
      </c>
      <c r="V2156" s="31">
        <v>143.84</v>
      </c>
      <c r="W2156" s="13"/>
      <c r="X2156" s="34">
        <v>2152</v>
      </c>
      <c r="Y2156" s="34" t="s">
        <v>2248</v>
      </c>
      <c r="Z2156" s="34" t="s">
        <v>5127</v>
      </c>
      <c r="AA2156" s="35">
        <v>5.9637096774193545E-4</v>
      </c>
      <c r="AB2156" s="13"/>
      <c r="AC2156" s="34">
        <v>2152</v>
      </c>
      <c r="AD2156" s="34" t="s">
        <v>4573</v>
      </c>
      <c r="AE2156" s="34" t="s">
        <v>3333</v>
      </c>
      <c r="AF2156" s="35">
        <v>0.41471774193548389</v>
      </c>
    </row>
    <row r="2157" spans="19:32" x14ac:dyDescent="0.35">
      <c r="S2157" s="30">
        <v>2153</v>
      </c>
      <c r="T2157" s="30" t="s">
        <v>4284</v>
      </c>
      <c r="U2157" s="30" t="s">
        <v>5126</v>
      </c>
      <c r="V2157" s="31">
        <v>113.56400000000001</v>
      </c>
      <c r="W2157" s="13"/>
      <c r="X2157" s="34">
        <v>2153</v>
      </c>
      <c r="Y2157" s="34" t="s">
        <v>2248</v>
      </c>
      <c r="Z2157" s="34" t="s">
        <v>4359</v>
      </c>
      <c r="AA2157" s="35">
        <v>2.1935483870967745E-6</v>
      </c>
      <c r="AB2157" s="13"/>
      <c r="AC2157" s="34">
        <v>2153</v>
      </c>
      <c r="AD2157" s="34" t="s">
        <v>4573</v>
      </c>
      <c r="AE2157" s="34" t="s">
        <v>3330</v>
      </c>
      <c r="AF2157" s="35">
        <v>5.963709677419355</v>
      </c>
    </row>
    <row r="2158" spans="19:32" x14ac:dyDescent="0.35">
      <c r="S2158" s="30">
        <v>2154</v>
      </c>
      <c r="T2158" s="30" t="s">
        <v>4284</v>
      </c>
      <c r="U2158" s="30" t="s">
        <v>5125</v>
      </c>
      <c r="V2158" s="31">
        <v>0.10764800000000001</v>
      </c>
      <c r="W2158" s="13"/>
      <c r="X2158" s="34">
        <v>2154</v>
      </c>
      <c r="Y2158" s="34" t="s">
        <v>2248</v>
      </c>
      <c r="Z2158" s="34" t="s">
        <v>5124</v>
      </c>
      <c r="AA2158" s="35">
        <v>1.3229838709677421E-5</v>
      </c>
      <c r="AB2158" s="13"/>
      <c r="AC2158" s="34">
        <v>2154</v>
      </c>
      <c r="AD2158" s="34" t="s">
        <v>4573</v>
      </c>
      <c r="AE2158" s="34" t="s">
        <v>3327</v>
      </c>
      <c r="AF2158" s="35">
        <v>3.1395161290322583E-2</v>
      </c>
    </row>
    <row r="2159" spans="19:32" x14ac:dyDescent="0.35">
      <c r="S2159" s="30">
        <v>2155</v>
      </c>
      <c r="T2159" s="30" t="s">
        <v>4284</v>
      </c>
      <c r="U2159" s="30" t="s">
        <v>3048</v>
      </c>
      <c r="V2159" s="31">
        <v>67.628</v>
      </c>
      <c r="W2159" s="13"/>
      <c r="X2159" s="47">
        <v>2155</v>
      </c>
      <c r="Y2159" s="47" t="s">
        <v>2248</v>
      </c>
      <c r="Z2159" s="47" t="s">
        <v>4356</v>
      </c>
      <c r="AA2159" s="56">
        <v>1.2784274193548388E-5</v>
      </c>
      <c r="AB2159" s="13"/>
      <c r="AC2159" s="34">
        <v>2155</v>
      </c>
      <c r="AD2159" s="34" t="s">
        <v>4573</v>
      </c>
      <c r="AE2159" s="34" t="s">
        <v>2944</v>
      </c>
      <c r="AF2159" s="35">
        <v>0.95282258064516134</v>
      </c>
    </row>
    <row r="2160" spans="19:32" x14ac:dyDescent="0.35">
      <c r="S2160" s="47">
        <v>2156</v>
      </c>
      <c r="T2160" s="47" t="s">
        <v>4284</v>
      </c>
      <c r="U2160" s="47" t="s">
        <v>3048</v>
      </c>
      <c r="V2160" s="48">
        <v>0</v>
      </c>
      <c r="W2160" s="13"/>
      <c r="X2160" s="47">
        <v>2156</v>
      </c>
      <c r="Y2160" s="47" t="s">
        <v>2248</v>
      </c>
      <c r="Z2160" s="47" t="s">
        <v>4353</v>
      </c>
      <c r="AA2160" s="56">
        <v>5.6895161290322579E-5</v>
      </c>
      <c r="AB2160" s="13"/>
      <c r="AC2160" s="47">
        <v>2156</v>
      </c>
      <c r="AD2160" s="47" t="s">
        <v>4573</v>
      </c>
      <c r="AE2160" s="47" t="s">
        <v>2944</v>
      </c>
      <c r="AF2160" s="48">
        <v>24.84</v>
      </c>
    </row>
    <row r="2161" spans="19:32" x14ac:dyDescent="0.35">
      <c r="S2161" s="30">
        <v>2157</v>
      </c>
      <c r="T2161" s="30" t="s">
        <v>4284</v>
      </c>
      <c r="U2161" s="30" t="s">
        <v>5123</v>
      </c>
      <c r="V2161" s="31">
        <v>1.9720000000000002</v>
      </c>
      <c r="W2161" s="13"/>
      <c r="X2161" s="47">
        <v>2157</v>
      </c>
      <c r="Y2161" s="47" t="s">
        <v>2248</v>
      </c>
      <c r="Z2161" s="47" t="s">
        <v>4351</v>
      </c>
      <c r="AA2161" s="56">
        <v>5.0040322580645161E-5</v>
      </c>
      <c r="AB2161" s="13"/>
      <c r="AC2161" s="47">
        <v>2157</v>
      </c>
      <c r="AD2161" s="47" t="s">
        <v>4573</v>
      </c>
      <c r="AE2161" s="47" t="s">
        <v>2943</v>
      </c>
      <c r="AF2161" s="48">
        <v>9.66</v>
      </c>
    </row>
    <row r="2162" spans="19:32" x14ac:dyDescent="0.35">
      <c r="S2162" s="30">
        <v>2158</v>
      </c>
      <c r="T2162" s="30" t="s">
        <v>4284</v>
      </c>
      <c r="U2162" s="30" t="s">
        <v>5122</v>
      </c>
      <c r="V2162" s="31">
        <v>644.96</v>
      </c>
      <c r="W2162" s="13"/>
      <c r="X2162" s="34">
        <v>2158</v>
      </c>
      <c r="Y2162" s="34" t="s">
        <v>2248</v>
      </c>
      <c r="Z2162" s="34" t="s">
        <v>5121</v>
      </c>
      <c r="AA2162" s="35">
        <v>2.6391129032258069E-5</v>
      </c>
      <c r="AB2162" s="13"/>
      <c r="AC2162" s="34">
        <v>2158</v>
      </c>
      <c r="AD2162" s="34" t="s">
        <v>4573</v>
      </c>
      <c r="AE2162" s="34" t="s">
        <v>2942</v>
      </c>
      <c r="AF2162" s="35">
        <v>5.5524193548387099E-2</v>
      </c>
    </row>
    <row r="2163" spans="19:32" x14ac:dyDescent="0.35">
      <c r="S2163" s="30">
        <v>2159</v>
      </c>
      <c r="T2163" s="30" t="s">
        <v>4284</v>
      </c>
      <c r="U2163" s="30" t="s">
        <v>5120</v>
      </c>
      <c r="V2163" s="31">
        <v>207.64000000000001</v>
      </c>
      <c r="W2163" s="13"/>
      <c r="X2163" s="47">
        <v>2159</v>
      </c>
      <c r="Y2163" s="47" t="s">
        <v>2248</v>
      </c>
      <c r="Z2163" s="47" t="s">
        <v>3196</v>
      </c>
      <c r="AA2163" s="48">
        <v>0.22908000000000001</v>
      </c>
      <c r="AB2163" s="13"/>
      <c r="AC2163" s="47">
        <v>2159</v>
      </c>
      <c r="AD2163" s="47" t="s">
        <v>4573</v>
      </c>
      <c r="AE2163" s="47" t="s">
        <v>2942</v>
      </c>
      <c r="AF2163" s="48">
        <v>15.731999999999999</v>
      </c>
    </row>
    <row r="2164" spans="19:32" x14ac:dyDescent="0.35">
      <c r="S2164" s="30">
        <v>2160</v>
      </c>
      <c r="T2164" s="30" t="s">
        <v>4284</v>
      </c>
      <c r="U2164" s="30" t="s">
        <v>5119</v>
      </c>
      <c r="V2164" s="31">
        <v>75.864000000000004</v>
      </c>
      <c r="W2164" s="13"/>
      <c r="X2164" s="47">
        <v>2160</v>
      </c>
      <c r="Y2164" s="47" t="s">
        <v>2248</v>
      </c>
      <c r="Z2164" s="47" t="s">
        <v>3195</v>
      </c>
      <c r="AA2164" s="48">
        <v>1.012</v>
      </c>
      <c r="AB2164" s="13"/>
      <c r="AC2164" s="47">
        <v>2160</v>
      </c>
      <c r="AD2164" s="47" t="s">
        <v>4573</v>
      </c>
      <c r="AE2164" s="47" t="s">
        <v>2941</v>
      </c>
      <c r="AF2164" s="48">
        <v>0.85007999999999995</v>
      </c>
    </row>
    <row r="2165" spans="19:32" x14ac:dyDescent="0.35">
      <c r="S2165" s="30">
        <v>2161</v>
      </c>
      <c r="T2165" s="30" t="s">
        <v>4284</v>
      </c>
      <c r="U2165" s="30" t="s">
        <v>5118</v>
      </c>
      <c r="V2165" s="31">
        <v>96.048000000000002</v>
      </c>
      <c r="W2165" s="13"/>
      <c r="X2165" s="34">
        <v>2161</v>
      </c>
      <c r="Y2165" s="34" t="s">
        <v>2248</v>
      </c>
      <c r="Z2165" s="34" t="s">
        <v>5117</v>
      </c>
      <c r="AA2165" s="35">
        <v>1.7548387096774196E-3</v>
      </c>
      <c r="AB2165" s="13"/>
      <c r="AC2165" s="47">
        <v>2161</v>
      </c>
      <c r="AD2165" s="47" t="s">
        <v>4573</v>
      </c>
      <c r="AE2165" s="47" t="s">
        <v>2940</v>
      </c>
      <c r="AF2165" s="48">
        <v>0.11039999999999998</v>
      </c>
    </row>
    <row r="2166" spans="19:32" x14ac:dyDescent="0.35">
      <c r="S2166" s="30">
        <v>2162</v>
      </c>
      <c r="T2166" s="30" t="s">
        <v>4284</v>
      </c>
      <c r="U2166" s="30" t="s">
        <v>5116</v>
      </c>
      <c r="V2166" s="31">
        <v>94.192000000000007</v>
      </c>
      <c r="W2166" s="13"/>
      <c r="X2166" s="47">
        <v>2162</v>
      </c>
      <c r="Y2166" s="47" t="s">
        <v>2248</v>
      </c>
      <c r="Z2166" s="47" t="s">
        <v>4350</v>
      </c>
      <c r="AA2166" s="56">
        <v>1.405241935483871E-5</v>
      </c>
      <c r="AB2166" s="13"/>
      <c r="AC2166" s="47">
        <v>2162</v>
      </c>
      <c r="AD2166" s="47" t="s">
        <v>4573</v>
      </c>
      <c r="AE2166" s="47" t="s">
        <v>2938</v>
      </c>
      <c r="AF2166" s="48">
        <v>644</v>
      </c>
    </row>
    <row r="2167" spans="19:32" x14ac:dyDescent="0.35">
      <c r="S2167" s="30">
        <v>2163</v>
      </c>
      <c r="T2167" s="30" t="s">
        <v>4284</v>
      </c>
      <c r="U2167" s="30" t="s">
        <v>5115</v>
      </c>
      <c r="V2167" s="31">
        <v>72.731999999999999</v>
      </c>
      <c r="W2167" s="13"/>
      <c r="X2167" s="34">
        <v>2163</v>
      </c>
      <c r="Y2167" s="34" t="s">
        <v>2248</v>
      </c>
      <c r="Z2167" s="34" t="s">
        <v>4347</v>
      </c>
      <c r="AA2167" s="35">
        <v>0.83971774193548399</v>
      </c>
      <c r="AB2167" s="13"/>
      <c r="AC2167" s="34">
        <v>2163</v>
      </c>
      <c r="AD2167" s="34" t="s">
        <v>4573</v>
      </c>
      <c r="AE2167" s="34" t="s">
        <v>2937</v>
      </c>
      <c r="AF2167" s="35">
        <v>0.27727822580645162</v>
      </c>
    </row>
    <row r="2168" spans="19:32" x14ac:dyDescent="0.35">
      <c r="S2168" s="30">
        <v>2164</v>
      </c>
      <c r="T2168" s="30" t="s">
        <v>4284</v>
      </c>
      <c r="U2168" s="30" t="s">
        <v>5114</v>
      </c>
      <c r="V2168" s="31">
        <v>3.3640000000000003</v>
      </c>
      <c r="W2168" s="13"/>
      <c r="X2168" s="47">
        <v>2164</v>
      </c>
      <c r="Y2168" s="47" t="s">
        <v>2248</v>
      </c>
      <c r="Z2168" s="47" t="s">
        <v>4346</v>
      </c>
      <c r="AA2168" s="56">
        <v>2.6905241935483874E-2</v>
      </c>
      <c r="AB2168" s="13"/>
      <c r="AC2168" s="47">
        <v>2164</v>
      </c>
      <c r="AD2168" s="47" t="s">
        <v>4573</v>
      </c>
      <c r="AE2168" s="47" t="s">
        <v>2937</v>
      </c>
      <c r="AF2168" s="48">
        <v>10.119999999999999</v>
      </c>
    </row>
    <row r="2169" spans="19:32" x14ac:dyDescent="0.35">
      <c r="S2169" s="30">
        <v>2165</v>
      </c>
      <c r="T2169" s="30" t="s">
        <v>4284</v>
      </c>
      <c r="U2169" s="30" t="s">
        <v>5113</v>
      </c>
      <c r="V2169" s="31">
        <v>5.1040000000000001</v>
      </c>
      <c r="W2169" s="13"/>
      <c r="X2169" s="34">
        <v>2165</v>
      </c>
      <c r="Y2169" s="34" t="s">
        <v>2248</v>
      </c>
      <c r="Z2169" s="34" t="s">
        <v>5112</v>
      </c>
      <c r="AA2169" s="35">
        <v>2.3820564516129034E-4</v>
      </c>
      <c r="AB2169" s="13"/>
      <c r="AC2169" s="47">
        <v>2165</v>
      </c>
      <c r="AD2169" s="47" t="s">
        <v>4573</v>
      </c>
      <c r="AE2169" s="47" t="s">
        <v>2935</v>
      </c>
      <c r="AF2169" s="48">
        <v>0.46460000000000001</v>
      </c>
    </row>
    <row r="2170" spans="19:32" x14ac:dyDescent="0.35">
      <c r="S2170" s="30">
        <v>2166</v>
      </c>
      <c r="T2170" s="30" t="s">
        <v>4284</v>
      </c>
      <c r="U2170" s="30" t="s">
        <v>5111</v>
      </c>
      <c r="V2170" s="31">
        <v>7.54</v>
      </c>
      <c r="W2170" s="13"/>
      <c r="X2170" s="34">
        <v>2166</v>
      </c>
      <c r="Y2170" s="34" t="s">
        <v>2248</v>
      </c>
      <c r="Z2170" s="34" t="s">
        <v>4344</v>
      </c>
      <c r="AA2170" s="35">
        <v>2.0050403225806454E-3</v>
      </c>
      <c r="AB2170" s="13"/>
      <c r="AC2170" s="47">
        <v>2166</v>
      </c>
      <c r="AD2170" s="47" t="s">
        <v>4573</v>
      </c>
      <c r="AE2170" s="47" t="s">
        <v>2934</v>
      </c>
      <c r="AF2170" s="48">
        <v>1.4352</v>
      </c>
    </row>
    <row r="2171" spans="19:32" x14ac:dyDescent="0.35">
      <c r="S2171" s="30">
        <v>2167</v>
      </c>
      <c r="T2171" s="30" t="s">
        <v>4284</v>
      </c>
      <c r="U2171" s="30" t="s">
        <v>5110</v>
      </c>
      <c r="V2171" s="31">
        <v>6.6120000000000001</v>
      </c>
      <c r="W2171" s="13"/>
      <c r="X2171" s="47">
        <v>2167</v>
      </c>
      <c r="Y2171" s="47" t="s">
        <v>2248</v>
      </c>
      <c r="Z2171" s="47" t="s">
        <v>4341</v>
      </c>
      <c r="AA2171" s="56">
        <v>2.6356854838709681E-3</v>
      </c>
      <c r="AB2171" s="13"/>
      <c r="AC2171" s="47">
        <v>2167</v>
      </c>
      <c r="AD2171" s="47" t="s">
        <v>4573</v>
      </c>
      <c r="AE2171" s="47" t="s">
        <v>2932</v>
      </c>
      <c r="AF2171" s="48">
        <v>184</v>
      </c>
    </row>
    <row r="2172" spans="19:32" x14ac:dyDescent="0.35">
      <c r="S2172" s="30">
        <v>2168</v>
      </c>
      <c r="T2172" s="30" t="s">
        <v>4284</v>
      </c>
      <c r="U2172" s="30" t="s">
        <v>5109</v>
      </c>
      <c r="V2172" s="31">
        <v>1438.4</v>
      </c>
      <c r="W2172" s="13"/>
      <c r="X2172" s="34">
        <v>2168</v>
      </c>
      <c r="Y2172" s="34" t="s">
        <v>2248</v>
      </c>
      <c r="Z2172" s="34" t="s">
        <v>5108</v>
      </c>
      <c r="AA2172" s="35">
        <v>1.4703629032258064E-3</v>
      </c>
      <c r="AB2172" s="13"/>
      <c r="AC2172" s="34">
        <v>2168</v>
      </c>
      <c r="AD2172" s="34" t="s">
        <v>4573</v>
      </c>
      <c r="AE2172" s="34" t="s">
        <v>2931</v>
      </c>
      <c r="AF2172" s="35">
        <v>2.5225806451612902E-3</v>
      </c>
    </row>
    <row r="2173" spans="19:32" x14ac:dyDescent="0.35">
      <c r="S2173" s="34">
        <v>2169</v>
      </c>
      <c r="T2173" s="34" t="s">
        <v>4284</v>
      </c>
      <c r="U2173" s="34" t="s">
        <v>3841</v>
      </c>
      <c r="V2173" s="35">
        <v>2.4334677419354839E-3</v>
      </c>
      <c r="W2173" s="13"/>
      <c r="X2173" s="34">
        <v>2169</v>
      </c>
      <c r="Y2173" s="34" t="s">
        <v>2248</v>
      </c>
      <c r="Z2173" s="34" t="s">
        <v>4340</v>
      </c>
      <c r="AA2173" s="35">
        <v>1.6965725806451615E-2</v>
      </c>
      <c r="AB2173" s="13"/>
      <c r="AC2173" s="47">
        <v>2169</v>
      </c>
      <c r="AD2173" s="47" t="s">
        <v>4573</v>
      </c>
      <c r="AE2173" s="47" t="s">
        <v>2931</v>
      </c>
      <c r="AF2173" s="48">
        <v>0.32935999999999999</v>
      </c>
    </row>
    <row r="2174" spans="19:32" x14ac:dyDescent="0.35">
      <c r="S2174" s="34">
        <v>2170</v>
      </c>
      <c r="T2174" s="34" t="s">
        <v>4284</v>
      </c>
      <c r="U2174" s="34" t="s">
        <v>3046</v>
      </c>
      <c r="V2174" s="35">
        <v>1.4292338709677421</v>
      </c>
      <c r="W2174" s="13"/>
      <c r="X2174" s="47">
        <v>2170</v>
      </c>
      <c r="Y2174" s="47" t="s">
        <v>2248</v>
      </c>
      <c r="Z2174" s="47" t="s">
        <v>4336</v>
      </c>
      <c r="AA2174" s="56">
        <v>0.45927419354838711</v>
      </c>
      <c r="AB2174" s="13"/>
      <c r="AC2174" s="47">
        <v>2170</v>
      </c>
      <c r="AD2174" s="47" t="s">
        <v>4573</v>
      </c>
      <c r="AE2174" s="47" t="s">
        <v>2930</v>
      </c>
      <c r="AF2174" s="48">
        <v>2.0148000000000001</v>
      </c>
    </row>
    <row r="2175" spans="19:32" x14ac:dyDescent="0.35">
      <c r="S2175" s="47">
        <v>2171</v>
      </c>
      <c r="T2175" s="47" t="s">
        <v>4284</v>
      </c>
      <c r="U2175" s="47" t="s">
        <v>3046</v>
      </c>
      <c r="V2175" s="48">
        <v>188.6</v>
      </c>
      <c r="W2175" s="13"/>
      <c r="X2175" s="34">
        <v>2171</v>
      </c>
      <c r="Y2175" s="34" t="s">
        <v>2248</v>
      </c>
      <c r="Z2175" s="34" t="s">
        <v>5107</v>
      </c>
      <c r="AA2175" s="35">
        <v>2.3889112903225805E-5</v>
      </c>
      <c r="AB2175" s="13"/>
      <c r="AC2175" s="34">
        <v>2171</v>
      </c>
      <c r="AD2175" s="34" t="s">
        <v>4573</v>
      </c>
      <c r="AE2175" s="34" t="s">
        <v>2928</v>
      </c>
      <c r="AF2175" s="35">
        <v>0.39072580645161292</v>
      </c>
    </row>
    <row r="2176" spans="19:32" x14ac:dyDescent="0.35">
      <c r="S2176" s="34">
        <v>2172</v>
      </c>
      <c r="T2176" s="34" t="s">
        <v>4284</v>
      </c>
      <c r="U2176" s="34" t="s">
        <v>3837</v>
      </c>
      <c r="V2176" s="35">
        <v>4.5584677419354845E-3</v>
      </c>
      <c r="W2176" s="13"/>
      <c r="X2176" s="47">
        <v>2172</v>
      </c>
      <c r="Y2176" s="47" t="s">
        <v>2248</v>
      </c>
      <c r="Z2176" s="47" t="s">
        <v>4333</v>
      </c>
      <c r="AA2176" s="56">
        <v>2.0598790322580648E-3</v>
      </c>
      <c r="AB2176" s="13"/>
      <c r="AC2176" s="47">
        <v>2172</v>
      </c>
      <c r="AD2176" s="47" t="s">
        <v>4573</v>
      </c>
      <c r="AE2176" s="47" t="s">
        <v>2928</v>
      </c>
      <c r="AF2176" s="48">
        <v>9.4759999999999991</v>
      </c>
    </row>
    <row r="2177" spans="19:32" x14ac:dyDescent="0.35">
      <c r="S2177" s="34">
        <v>2173</v>
      </c>
      <c r="T2177" s="34" t="s">
        <v>4284</v>
      </c>
      <c r="U2177" s="34" t="s">
        <v>3834</v>
      </c>
      <c r="V2177" s="35">
        <v>2.1284274193548388E-2</v>
      </c>
      <c r="W2177" s="13"/>
      <c r="X2177" s="47">
        <v>2173</v>
      </c>
      <c r="Y2177" s="47" t="s">
        <v>2248</v>
      </c>
      <c r="Z2177" s="47" t="s">
        <v>4330</v>
      </c>
      <c r="AA2177" s="56">
        <v>1.4326612903225807E-2</v>
      </c>
      <c r="AB2177" s="13"/>
      <c r="AC2177" s="47">
        <v>2173</v>
      </c>
      <c r="AD2177" s="47" t="s">
        <v>4573</v>
      </c>
      <c r="AE2177" s="47" t="s">
        <v>2927</v>
      </c>
      <c r="AF2177" s="48">
        <v>7.4611999999999998</v>
      </c>
    </row>
    <row r="2178" spans="19:32" x14ac:dyDescent="0.35">
      <c r="S2178" s="47">
        <v>2174</v>
      </c>
      <c r="T2178" s="47" t="s">
        <v>4284</v>
      </c>
      <c r="U2178" s="47" t="s">
        <v>3045</v>
      </c>
      <c r="V2178" s="48">
        <v>1.9872000000000001</v>
      </c>
      <c r="W2178" s="13"/>
      <c r="X2178" s="47">
        <v>2174</v>
      </c>
      <c r="Y2178" s="47" t="s">
        <v>2248</v>
      </c>
      <c r="Z2178" s="47" t="s">
        <v>4327</v>
      </c>
      <c r="AA2178" s="56">
        <v>8.1229838709677427E-3</v>
      </c>
      <c r="AB2178" s="13"/>
      <c r="AC2178" s="47">
        <v>2174</v>
      </c>
      <c r="AD2178" s="47" t="s">
        <v>4573</v>
      </c>
      <c r="AE2178" s="47" t="s">
        <v>2925</v>
      </c>
      <c r="AF2178" s="48">
        <v>2.254</v>
      </c>
    </row>
    <row r="2179" spans="19:32" x14ac:dyDescent="0.35">
      <c r="S2179" s="47">
        <v>2175</v>
      </c>
      <c r="T2179" s="47" t="s">
        <v>4284</v>
      </c>
      <c r="U2179" s="47" t="s">
        <v>3043</v>
      </c>
      <c r="V2179" s="48">
        <v>8.5652000000000008</v>
      </c>
      <c r="W2179" s="13"/>
      <c r="X2179" s="34">
        <v>2175</v>
      </c>
      <c r="Y2179" s="34" t="s">
        <v>2248</v>
      </c>
      <c r="Z2179" s="34" t="s">
        <v>5106</v>
      </c>
      <c r="AA2179" s="35">
        <v>2.4163306451612903E-4</v>
      </c>
      <c r="AB2179" s="13"/>
      <c r="AC2179" s="47">
        <v>2175</v>
      </c>
      <c r="AD2179" s="47" t="s">
        <v>4573</v>
      </c>
      <c r="AE2179" s="47" t="s">
        <v>2924</v>
      </c>
      <c r="AF2179" s="48">
        <v>52.624000000000002</v>
      </c>
    </row>
    <row r="2180" spans="19:32" x14ac:dyDescent="0.35">
      <c r="S2180" s="34">
        <v>2176</v>
      </c>
      <c r="T2180" s="34" t="s">
        <v>4284</v>
      </c>
      <c r="U2180" s="34" t="s">
        <v>3831</v>
      </c>
      <c r="V2180" s="35">
        <v>2.1558467741935486E-3</v>
      </c>
      <c r="W2180" s="13"/>
      <c r="X2180" s="34">
        <v>2176</v>
      </c>
      <c r="Y2180" s="34" t="s">
        <v>2248</v>
      </c>
      <c r="Z2180" s="34" t="s">
        <v>4324</v>
      </c>
      <c r="AA2180" s="35">
        <v>7.7802419354838712E-3</v>
      </c>
      <c r="AB2180" s="13"/>
      <c r="AC2180" s="47">
        <v>2176</v>
      </c>
      <c r="AD2180" s="47" t="s">
        <v>4573</v>
      </c>
      <c r="AE2180" s="47" t="s">
        <v>2922</v>
      </c>
      <c r="AF2180" s="48">
        <v>6.9</v>
      </c>
    </row>
    <row r="2181" spans="19:32" x14ac:dyDescent="0.35">
      <c r="S2181" s="34">
        <v>2177</v>
      </c>
      <c r="T2181" s="34" t="s">
        <v>4284</v>
      </c>
      <c r="U2181" s="34" t="s">
        <v>3827</v>
      </c>
      <c r="V2181" s="35">
        <v>4.6955645161290326E-4</v>
      </c>
      <c r="W2181" s="13"/>
      <c r="X2181" s="47">
        <v>2177</v>
      </c>
      <c r="Y2181" s="47" t="s">
        <v>2248</v>
      </c>
      <c r="Z2181" s="47" t="s">
        <v>4319</v>
      </c>
      <c r="AA2181" s="56">
        <v>7.8830645161290323E-3</v>
      </c>
      <c r="AB2181" s="13"/>
      <c r="AC2181" s="47">
        <v>2177</v>
      </c>
      <c r="AD2181" s="47" t="s">
        <v>4573</v>
      </c>
      <c r="AE2181" s="47" t="s">
        <v>2921</v>
      </c>
      <c r="AF2181" s="48">
        <v>1.0304</v>
      </c>
    </row>
    <row r="2182" spans="19:32" x14ac:dyDescent="0.35">
      <c r="S2182" s="34">
        <v>2178</v>
      </c>
      <c r="T2182" s="34" t="s">
        <v>4284</v>
      </c>
      <c r="U2182" s="34" t="s">
        <v>3824</v>
      </c>
      <c r="V2182" s="35">
        <v>9.2883064516129044E-2</v>
      </c>
      <c r="W2182" s="13"/>
      <c r="X2182" s="34">
        <v>2178</v>
      </c>
      <c r="Y2182" s="34" t="s">
        <v>2248</v>
      </c>
      <c r="Z2182" s="34" t="s">
        <v>5105</v>
      </c>
      <c r="AA2182" s="35">
        <v>5.3125000000000004E-4</v>
      </c>
      <c r="AB2182" s="13"/>
      <c r="AC2182" s="47">
        <v>2178</v>
      </c>
      <c r="AD2182" s="47" t="s">
        <v>4573</v>
      </c>
      <c r="AE2182" s="47" t="s">
        <v>2919</v>
      </c>
      <c r="AF2182" s="48">
        <v>10.488</v>
      </c>
    </row>
    <row r="2183" spans="19:32" x14ac:dyDescent="0.35">
      <c r="S2183" s="34">
        <v>2179</v>
      </c>
      <c r="T2183" s="34" t="s">
        <v>4284</v>
      </c>
      <c r="U2183" s="34" t="s">
        <v>3821</v>
      </c>
      <c r="V2183" s="35">
        <v>1.8816532258064517E-3</v>
      </c>
      <c r="W2183" s="13"/>
      <c r="X2183" s="34">
        <v>2179</v>
      </c>
      <c r="Y2183" s="34" t="s">
        <v>2248</v>
      </c>
      <c r="Z2183" s="34" t="s">
        <v>4317</v>
      </c>
      <c r="AA2183" s="35">
        <v>3.5645161290322587E-4</v>
      </c>
      <c r="AB2183" s="13"/>
      <c r="AC2183" s="47">
        <v>2179</v>
      </c>
      <c r="AD2183" s="47" t="s">
        <v>4573</v>
      </c>
      <c r="AE2183" s="47" t="s">
        <v>2918</v>
      </c>
      <c r="AF2183" s="48">
        <v>0.44528000000000006</v>
      </c>
    </row>
    <row r="2184" spans="19:32" x14ac:dyDescent="0.35">
      <c r="S2184" s="34">
        <v>2180</v>
      </c>
      <c r="T2184" s="34" t="s">
        <v>4284</v>
      </c>
      <c r="U2184" s="34" t="s">
        <v>3042</v>
      </c>
      <c r="V2184" s="35">
        <v>7.5745967741935492E-4</v>
      </c>
      <c r="W2184" s="13"/>
      <c r="X2184" s="47">
        <v>2180</v>
      </c>
      <c r="Y2184" s="47" t="s">
        <v>2248</v>
      </c>
      <c r="Z2184" s="47" t="s">
        <v>3193</v>
      </c>
      <c r="AA2184" s="48">
        <v>3.6708000000000004E-4</v>
      </c>
      <c r="AB2184" s="13"/>
      <c r="AC2184" s="47">
        <v>2180</v>
      </c>
      <c r="AD2184" s="47" t="s">
        <v>4573</v>
      </c>
      <c r="AE2184" s="47" t="s">
        <v>2917</v>
      </c>
      <c r="AF2184" s="48">
        <v>0</v>
      </c>
    </row>
    <row r="2185" spans="19:32" x14ac:dyDescent="0.35">
      <c r="S2185" s="47">
        <v>2181</v>
      </c>
      <c r="T2185" s="47" t="s">
        <v>4284</v>
      </c>
      <c r="U2185" s="47" t="s">
        <v>3042</v>
      </c>
      <c r="V2185" s="48">
        <v>0</v>
      </c>
      <c r="W2185" s="13"/>
      <c r="X2185" s="47">
        <v>2181</v>
      </c>
      <c r="Y2185" s="47" t="s">
        <v>2248</v>
      </c>
      <c r="Z2185" s="47" t="s">
        <v>3193</v>
      </c>
      <c r="AA2185" s="56">
        <v>1.9879032258064516E-5</v>
      </c>
      <c r="AB2185" s="13"/>
      <c r="AC2185" s="47">
        <v>2181</v>
      </c>
      <c r="AD2185" s="47" t="s">
        <v>4573</v>
      </c>
      <c r="AE2185" s="47" t="s">
        <v>2915</v>
      </c>
      <c r="AF2185" s="48">
        <v>0</v>
      </c>
    </row>
    <row r="2186" spans="19:32" x14ac:dyDescent="0.35">
      <c r="S2186" s="34">
        <v>2182</v>
      </c>
      <c r="T2186" s="34" t="s">
        <v>4284</v>
      </c>
      <c r="U2186" s="34" t="s">
        <v>3815</v>
      </c>
      <c r="V2186" s="35">
        <v>6.6491935483870975E-5</v>
      </c>
      <c r="W2186" s="13"/>
      <c r="X2186" s="34">
        <v>2182</v>
      </c>
      <c r="Y2186" s="34" t="s">
        <v>2248</v>
      </c>
      <c r="Z2186" s="34" t="s">
        <v>5104</v>
      </c>
      <c r="AA2186" s="35">
        <v>3.0538306451612904E-2</v>
      </c>
      <c r="AB2186" s="13"/>
      <c r="AC2186" s="47">
        <v>2182</v>
      </c>
      <c r="AD2186" s="47" t="s">
        <v>4573</v>
      </c>
      <c r="AE2186" s="47" t="s">
        <v>2914</v>
      </c>
      <c r="AF2186" s="48">
        <v>0</v>
      </c>
    </row>
    <row r="2187" spans="19:32" x14ac:dyDescent="0.35">
      <c r="S2187" s="34">
        <v>2183</v>
      </c>
      <c r="T2187" s="34" t="s">
        <v>4284</v>
      </c>
      <c r="U2187" s="34" t="s">
        <v>3811</v>
      </c>
      <c r="V2187" s="35">
        <v>1.2544354838709678E-4</v>
      </c>
      <c r="W2187" s="13"/>
      <c r="X2187" s="34">
        <v>2183</v>
      </c>
      <c r="Y2187" s="34" t="s">
        <v>2248</v>
      </c>
      <c r="Z2187" s="34" t="s">
        <v>4314</v>
      </c>
      <c r="AA2187" s="35">
        <v>2.9133064516129035E-4</v>
      </c>
      <c r="AB2187" s="13"/>
      <c r="AC2187" s="34">
        <v>2183</v>
      </c>
      <c r="AD2187" s="34" t="s">
        <v>4573</v>
      </c>
      <c r="AE2187" s="34" t="s">
        <v>2912</v>
      </c>
      <c r="AF2187" s="35">
        <v>1.3092741935483871</v>
      </c>
    </row>
    <row r="2188" spans="19:32" x14ac:dyDescent="0.35">
      <c r="S2188" s="47">
        <v>2184</v>
      </c>
      <c r="T2188" s="47" t="s">
        <v>4284</v>
      </c>
      <c r="U2188" s="47" t="s">
        <v>3040</v>
      </c>
      <c r="V2188" s="48">
        <v>0</v>
      </c>
      <c r="W2188" s="13"/>
      <c r="X2188" s="47">
        <v>2184</v>
      </c>
      <c r="Y2188" s="47" t="s">
        <v>2248</v>
      </c>
      <c r="Z2188" s="47" t="s">
        <v>4310</v>
      </c>
      <c r="AA2188" s="56">
        <v>1.9536290322580648E-3</v>
      </c>
      <c r="AB2188" s="13"/>
      <c r="AC2188" s="47">
        <v>2184</v>
      </c>
      <c r="AD2188" s="47" t="s">
        <v>4573</v>
      </c>
      <c r="AE2188" s="47" t="s">
        <v>2912</v>
      </c>
      <c r="AF2188" s="48">
        <v>0.49863999999999997</v>
      </c>
    </row>
    <row r="2189" spans="19:32" x14ac:dyDescent="0.35">
      <c r="S2189" s="36">
        <v>2185</v>
      </c>
      <c r="T2189" s="36" t="s">
        <v>4284</v>
      </c>
      <c r="U2189" s="36" t="s">
        <v>3809</v>
      </c>
      <c r="V2189" s="37">
        <v>1.8885499999999997</v>
      </c>
      <c r="W2189" s="13"/>
      <c r="X2189" s="34">
        <v>2185</v>
      </c>
      <c r="Y2189" s="34" t="s">
        <v>2248</v>
      </c>
      <c r="Z2189" s="34" t="s">
        <v>5103</v>
      </c>
      <c r="AA2189" s="35">
        <v>1.7959677419354839E-2</v>
      </c>
      <c r="AB2189" s="13"/>
      <c r="AC2189" s="34">
        <v>2185</v>
      </c>
      <c r="AD2189" s="34" t="s">
        <v>4573</v>
      </c>
      <c r="AE2189" s="34" t="s">
        <v>3314</v>
      </c>
      <c r="AF2189" s="35">
        <v>1.7514112903225809E-3</v>
      </c>
    </row>
    <row r="2190" spans="19:32" x14ac:dyDescent="0.35">
      <c r="S2190" s="34">
        <v>2186</v>
      </c>
      <c r="T2190" s="34" t="s">
        <v>4284</v>
      </c>
      <c r="U2190" s="34" t="s">
        <v>3809</v>
      </c>
      <c r="V2190" s="35">
        <v>2.9338709677419354E-6</v>
      </c>
      <c r="W2190" s="13"/>
      <c r="X2190" s="47">
        <v>2186</v>
      </c>
      <c r="Y2190" s="47" t="s">
        <v>2248</v>
      </c>
      <c r="Z2190" s="47" t="s">
        <v>3192</v>
      </c>
      <c r="AA2190" s="48">
        <v>229.07999999999998</v>
      </c>
      <c r="AB2190" s="13"/>
      <c r="AC2190" s="34">
        <v>2186</v>
      </c>
      <c r="AD2190" s="34" t="s">
        <v>4573</v>
      </c>
      <c r="AE2190" s="34" t="s">
        <v>3311</v>
      </c>
      <c r="AF2190" s="35">
        <v>1.3846774193548388E-2</v>
      </c>
    </row>
    <row r="2191" spans="19:32" x14ac:dyDescent="0.35">
      <c r="S2191" s="34">
        <v>2187</v>
      </c>
      <c r="T2191" s="34" t="s">
        <v>4284</v>
      </c>
      <c r="U2191" s="34" t="s">
        <v>3039</v>
      </c>
      <c r="V2191" s="35">
        <v>3.1669354838709683E-5</v>
      </c>
      <c r="W2191" s="13"/>
      <c r="X2191" s="47">
        <v>2187</v>
      </c>
      <c r="Y2191" s="47" t="s">
        <v>2248</v>
      </c>
      <c r="Z2191" s="47" t="s">
        <v>3192</v>
      </c>
      <c r="AA2191" s="56">
        <v>0.67520161290322589</v>
      </c>
      <c r="AB2191" s="13"/>
      <c r="AC2191" s="34">
        <v>2187</v>
      </c>
      <c r="AD2191" s="34" t="s">
        <v>4573</v>
      </c>
      <c r="AE2191" s="34" t="s">
        <v>3308</v>
      </c>
      <c r="AF2191" s="35">
        <v>0.14532258064516129</v>
      </c>
    </row>
    <row r="2192" spans="19:32" x14ac:dyDescent="0.35">
      <c r="S2192" s="47">
        <v>2188</v>
      </c>
      <c r="T2192" s="47" t="s">
        <v>4284</v>
      </c>
      <c r="U2192" s="47" t="s">
        <v>3039</v>
      </c>
      <c r="V2192" s="48">
        <v>2.1987999999999999E-4</v>
      </c>
      <c r="W2192" s="13"/>
      <c r="X2192" s="34">
        <v>2188</v>
      </c>
      <c r="Y2192" s="34" t="s">
        <v>2248</v>
      </c>
      <c r="Z2192" s="34" t="s">
        <v>5102</v>
      </c>
      <c r="AA2192" s="35">
        <v>1.9193548387096775E-4</v>
      </c>
      <c r="AB2192" s="13"/>
      <c r="AC2192" s="34">
        <v>2188</v>
      </c>
      <c r="AD2192" s="34" t="s">
        <v>4573</v>
      </c>
      <c r="AE2192" s="34" t="s">
        <v>2911</v>
      </c>
      <c r="AF2192" s="35">
        <v>7.9858870967741934E-3</v>
      </c>
    </row>
    <row r="2193" spans="19:32" x14ac:dyDescent="0.35">
      <c r="S2193" s="34">
        <v>2189</v>
      </c>
      <c r="T2193" s="34" t="s">
        <v>4284</v>
      </c>
      <c r="U2193" s="34" t="s">
        <v>3804</v>
      </c>
      <c r="V2193" s="35">
        <v>2.6151209677419357E-6</v>
      </c>
      <c r="W2193" s="13"/>
      <c r="X2193" s="47">
        <v>2189</v>
      </c>
      <c r="Y2193" s="47" t="s">
        <v>2248</v>
      </c>
      <c r="Z2193" s="47" t="s">
        <v>3190</v>
      </c>
      <c r="AA2193" s="48">
        <v>20.056000000000001</v>
      </c>
      <c r="AB2193" s="13"/>
      <c r="AC2193" s="47">
        <v>2189</v>
      </c>
      <c r="AD2193" s="47" t="s">
        <v>4573</v>
      </c>
      <c r="AE2193" s="47" t="s">
        <v>2911</v>
      </c>
      <c r="AF2193" s="48">
        <v>0</v>
      </c>
    </row>
    <row r="2194" spans="19:32" x14ac:dyDescent="0.35">
      <c r="S2194" s="34">
        <v>2190</v>
      </c>
      <c r="T2194" s="34" t="s">
        <v>4284</v>
      </c>
      <c r="U2194" s="34" t="s">
        <v>3800</v>
      </c>
      <c r="V2194" s="35">
        <v>2.0324596774193548E-4</v>
      </c>
      <c r="W2194" s="13"/>
      <c r="X2194" s="47">
        <v>2190</v>
      </c>
      <c r="Y2194" s="47" t="s">
        <v>2248</v>
      </c>
      <c r="Z2194" s="47" t="s">
        <v>3190</v>
      </c>
      <c r="AA2194" s="56">
        <v>8.8770161290322586E-3</v>
      </c>
      <c r="AB2194" s="13"/>
      <c r="AC2194" s="34">
        <v>2190</v>
      </c>
      <c r="AD2194" s="34" t="s">
        <v>4573</v>
      </c>
      <c r="AE2194" s="34" t="s">
        <v>3304</v>
      </c>
      <c r="AF2194" s="35">
        <v>0.55866935483870972</v>
      </c>
    </row>
    <row r="2195" spans="19:32" x14ac:dyDescent="0.35">
      <c r="S2195" s="47">
        <v>2191</v>
      </c>
      <c r="T2195" s="47" t="s">
        <v>4284</v>
      </c>
      <c r="U2195" s="47" t="s">
        <v>3037</v>
      </c>
      <c r="V2195" s="48">
        <v>0</v>
      </c>
      <c r="W2195" s="13"/>
      <c r="X2195" s="34">
        <v>2191</v>
      </c>
      <c r="Y2195" s="34" t="s">
        <v>2248</v>
      </c>
      <c r="Z2195" s="34" t="s">
        <v>3582</v>
      </c>
      <c r="AA2195" s="35">
        <v>0.25294354838709682</v>
      </c>
      <c r="AB2195" s="13"/>
      <c r="AC2195" s="34">
        <v>2191</v>
      </c>
      <c r="AD2195" s="34" t="s">
        <v>4573</v>
      </c>
      <c r="AE2195" s="34" t="s">
        <v>3301</v>
      </c>
      <c r="AF2195" s="35">
        <v>7.6088709677419363E-3</v>
      </c>
    </row>
    <row r="2196" spans="19:32" x14ac:dyDescent="0.35">
      <c r="S2196" s="34">
        <v>2192</v>
      </c>
      <c r="T2196" s="34" t="s">
        <v>4284</v>
      </c>
      <c r="U2196" s="34" t="s">
        <v>3797</v>
      </c>
      <c r="V2196" s="35">
        <v>3.0161290322580649E-3</v>
      </c>
      <c r="W2196" s="13"/>
      <c r="X2196" s="47">
        <v>2192</v>
      </c>
      <c r="Y2196" s="47" t="s">
        <v>2248</v>
      </c>
      <c r="Z2196" s="47" t="s">
        <v>3189</v>
      </c>
      <c r="AA2196" s="48">
        <v>12.328000000000001</v>
      </c>
      <c r="AB2196" s="13"/>
      <c r="AC2196" s="34">
        <v>2192</v>
      </c>
      <c r="AD2196" s="34" t="s">
        <v>4573</v>
      </c>
      <c r="AE2196" s="34" t="s">
        <v>3298</v>
      </c>
      <c r="AF2196" s="35">
        <v>0.1713709677419355</v>
      </c>
    </row>
    <row r="2197" spans="19:32" x14ac:dyDescent="0.35">
      <c r="S2197" s="34">
        <v>2193</v>
      </c>
      <c r="T2197" s="34" t="s">
        <v>4284</v>
      </c>
      <c r="U2197" s="34" t="s">
        <v>3795</v>
      </c>
      <c r="V2197" s="35">
        <v>1.963911290322581E-4</v>
      </c>
      <c r="W2197" s="13"/>
      <c r="X2197" s="47">
        <v>2193</v>
      </c>
      <c r="Y2197" s="47" t="s">
        <v>2248</v>
      </c>
      <c r="Z2197" s="47" t="s">
        <v>3189</v>
      </c>
      <c r="AA2197" s="56">
        <v>0.14737903225806454</v>
      </c>
      <c r="AB2197" s="13"/>
      <c r="AC2197" s="34">
        <v>2193</v>
      </c>
      <c r="AD2197" s="34" t="s">
        <v>4573</v>
      </c>
      <c r="AE2197" s="34" t="s">
        <v>3295</v>
      </c>
      <c r="AF2197" s="35">
        <v>3.8044354838709681E-2</v>
      </c>
    </row>
    <row r="2198" spans="19:32" x14ac:dyDescent="0.35">
      <c r="S2198" s="34">
        <v>2194</v>
      </c>
      <c r="T2198" s="34" t="s">
        <v>4284</v>
      </c>
      <c r="U2198" s="34" t="s">
        <v>3790</v>
      </c>
      <c r="V2198" s="35">
        <v>2.505443548387097E-5</v>
      </c>
      <c r="W2198" s="13"/>
      <c r="X2198" s="47">
        <v>2194</v>
      </c>
      <c r="Y2198" s="47" t="s">
        <v>2248</v>
      </c>
      <c r="Z2198" s="47" t="s">
        <v>3188</v>
      </c>
      <c r="AA2198" s="48">
        <v>5.6212000000000001E-7</v>
      </c>
      <c r="AB2198" s="13"/>
      <c r="AC2198" s="34">
        <v>2194</v>
      </c>
      <c r="AD2198" s="34" t="s">
        <v>4573</v>
      </c>
      <c r="AE2198" s="34" t="s">
        <v>3292</v>
      </c>
      <c r="AF2198" s="35">
        <v>0.5346774193548387</v>
      </c>
    </row>
    <row r="2199" spans="19:32" x14ac:dyDescent="0.35">
      <c r="S2199" s="34">
        <v>2195</v>
      </c>
      <c r="T2199" s="34" t="s">
        <v>4284</v>
      </c>
      <c r="U2199" s="34" t="s">
        <v>3787</v>
      </c>
      <c r="V2199" s="35">
        <v>4.6270161290322583E-3</v>
      </c>
      <c r="W2199" s="13"/>
      <c r="X2199" s="34">
        <v>2195</v>
      </c>
      <c r="Y2199" s="34" t="s">
        <v>2248</v>
      </c>
      <c r="Z2199" s="34" t="s">
        <v>5101</v>
      </c>
      <c r="AA2199" s="35">
        <v>9.5282258064516127E-5</v>
      </c>
      <c r="AB2199" s="13"/>
      <c r="AC2199" s="34">
        <v>2195</v>
      </c>
      <c r="AD2199" s="34" t="s">
        <v>4573</v>
      </c>
      <c r="AE2199" s="34" t="s">
        <v>3290</v>
      </c>
      <c r="AF2199" s="35">
        <v>4.010080645161291E-2</v>
      </c>
    </row>
    <row r="2200" spans="19:32" x14ac:dyDescent="0.35">
      <c r="S2200" s="34">
        <v>2196</v>
      </c>
      <c r="T2200" s="34" t="s">
        <v>4284</v>
      </c>
      <c r="U2200" s="34" t="s">
        <v>3784</v>
      </c>
      <c r="V2200" s="35">
        <v>7.0262096774193543E-5</v>
      </c>
      <c r="W2200" s="13"/>
      <c r="X2200" s="34">
        <v>2196</v>
      </c>
      <c r="Y2200" s="34" t="s">
        <v>2248</v>
      </c>
      <c r="Z2200" s="34" t="s">
        <v>4302</v>
      </c>
      <c r="AA2200" s="35">
        <v>8.9112903225806461E-6</v>
      </c>
      <c r="AB2200" s="13"/>
      <c r="AC2200" s="34">
        <v>2196</v>
      </c>
      <c r="AD2200" s="34" t="s">
        <v>4573</v>
      </c>
      <c r="AE2200" s="34" t="s">
        <v>3287</v>
      </c>
      <c r="AF2200" s="35">
        <v>0.10967741935483871</v>
      </c>
    </row>
    <row r="2201" spans="19:32" x14ac:dyDescent="0.35">
      <c r="S2201" s="34">
        <v>2197</v>
      </c>
      <c r="T2201" s="34" t="s">
        <v>4284</v>
      </c>
      <c r="U2201" s="34" t="s">
        <v>3781</v>
      </c>
      <c r="V2201" s="35">
        <v>5.8951612903225814E-2</v>
      </c>
      <c r="W2201" s="13"/>
      <c r="X2201" s="47">
        <v>2197</v>
      </c>
      <c r="Y2201" s="47" t="s">
        <v>2248</v>
      </c>
      <c r="Z2201" s="47" t="s">
        <v>4300</v>
      </c>
      <c r="AA2201" s="56">
        <v>1.676008064516129E-5</v>
      </c>
      <c r="AB2201" s="13"/>
      <c r="AC2201" s="34">
        <v>2197</v>
      </c>
      <c r="AD2201" s="34" t="s">
        <v>4573</v>
      </c>
      <c r="AE2201" s="34" t="s">
        <v>3284</v>
      </c>
      <c r="AF2201" s="35">
        <v>6.3064516129032267E-3</v>
      </c>
    </row>
    <row r="2202" spans="19:32" x14ac:dyDescent="0.35">
      <c r="S2202" s="47">
        <v>2198</v>
      </c>
      <c r="T2202" s="47" t="s">
        <v>4284</v>
      </c>
      <c r="U2202" s="47" t="s">
        <v>3035</v>
      </c>
      <c r="V2202" s="48">
        <v>56.672000000000004</v>
      </c>
      <c r="W2202" s="13"/>
      <c r="X2202" s="34">
        <v>2198</v>
      </c>
      <c r="Y2202" s="34" t="s">
        <v>2248</v>
      </c>
      <c r="Z2202" s="34" t="s">
        <v>5100</v>
      </c>
      <c r="AA2202" s="35">
        <v>0.15354838709677421</v>
      </c>
      <c r="AB2202" s="13"/>
      <c r="AC2202" s="34">
        <v>2198</v>
      </c>
      <c r="AD2202" s="34" t="s">
        <v>4573</v>
      </c>
      <c r="AE2202" s="34" t="s">
        <v>3281</v>
      </c>
      <c r="AF2202" s="35">
        <v>9.9052419354838713E-3</v>
      </c>
    </row>
    <row r="2203" spans="19:32" x14ac:dyDescent="0.35">
      <c r="S2203" s="34">
        <v>2199</v>
      </c>
      <c r="T2203" s="34" t="s">
        <v>4284</v>
      </c>
      <c r="U2203" s="34" t="s">
        <v>3777</v>
      </c>
      <c r="V2203" s="35">
        <v>0.37701612903225812</v>
      </c>
      <c r="W2203" s="13"/>
      <c r="X2203" s="34">
        <v>2199</v>
      </c>
      <c r="Y2203" s="34" t="s">
        <v>2248</v>
      </c>
      <c r="Z2203" s="34" t="s">
        <v>4299</v>
      </c>
      <c r="AA2203" s="35">
        <v>1.7274193548387099E-6</v>
      </c>
      <c r="AB2203" s="13"/>
      <c r="AC2203" s="34">
        <v>2199</v>
      </c>
      <c r="AD2203" s="34" t="s">
        <v>4573</v>
      </c>
      <c r="AE2203" s="34" t="s">
        <v>3279</v>
      </c>
      <c r="AF2203" s="35">
        <v>7.7116935483870974E-3</v>
      </c>
    </row>
    <row r="2204" spans="19:32" x14ac:dyDescent="0.35">
      <c r="S2204" s="34">
        <v>2200</v>
      </c>
      <c r="T2204" s="34" t="s">
        <v>4284</v>
      </c>
      <c r="U2204" s="34" t="s">
        <v>3772</v>
      </c>
      <c r="V2204" s="35">
        <v>6.3064516129032272E-5</v>
      </c>
      <c r="W2204" s="13"/>
      <c r="X2204" s="34">
        <v>2200</v>
      </c>
      <c r="Y2204" s="34" t="s">
        <v>2248</v>
      </c>
      <c r="Z2204" s="34" t="s">
        <v>5099</v>
      </c>
      <c r="AA2204" s="35">
        <v>2.9475806451612905E-5</v>
      </c>
      <c r="AB2204" s="13"/>
      <c r="AC2204" s="47">
        <v>2200</v>
      </c>
      <c r="AD2204" s="47" t="s">
        <v>4573</v>
      </c>
      <c r="AE2204" s="47" t="s">
        <v>2909</v>
      </c>
      <c r="AF2204" s="48">
        <v>1554.8000000000002</v>
      </c>
    </row>
    <row r="2205" spans="19:32" x14ac:dyDescent="0.35">
      <c r="S2205" s="34">
        <v>2201</v>
      </c>
      <c r="T2205" s="34" t="s">
        <v>4284</v>
      </c>
      <c r="U2205" s="34" t="s">
        <v>3769</v>
      </c>
      <c r="V2205" s="35">
        <v>1.1173387096774195E-8</v>
      </c>
      <c r="W2205" s="13"/>
      <c r="X2205" s="47">
        <v>2201</v>
      </c>
      <c r="Y2205" s="47" t="s">
        <v>2248</v>
      </c>
      <c r="Z2205" s="47" t="s">
        <v>4297</v>
      </c>
      <c r="AA2205" s="56">
        <v>2.553427419354839E-4</v>
      </c>
      <c r="AB2205" s="13"/>
      <c r="AC2205" s="34">
        <v>2201</v>
      </c>
      <c r="AD2205" s="34" t="s">
        <v>4573</v>
      </c>
      <c r="AE2205" s="34" t="s">
        <v>2908</v>
      </c>
      <c r="AF2205" s="35">
        <v>0.20256048387096776</v>
      </c>
    </row>
    <row r="2206" spans="19:32" x14ac:dyDescent="0.35">
      <c r="S2206" s="34">
        <v>2202</v>
      </c>
      <c r="T2206" s="34" t="s">
        <v>4284</v>
      </c>
      <c r="U2206" s="34" t="s">
        <v>3034</v>
      </c>
      <c r="V2206" s="35">
        <v>5.4838709677419356E-2</v>
      </c>
      <c r="W2206" s="13"/>
      <c r="X2206" s="34">
        <v>2202</v>
      </c>
      <c r="Y2206" s="34" t="s">
        <v>2248</v>
      </c>
      <c r="Z2206" s="34" t="s">
        <v>4293</v>
      </c>
      <c r="AA2206" s="35">
        <v>1.1241935483870968E-7</v>
      </c>
      <c r="AB2206" s="13"/>
      <c r="AC2206" s="47">
        <v>2202</v>
      </c>
      <c r="AD2206" s="47" t="s">
        <v>4573</v>
      </c>
      <c r="AE2206" s="47" t="s">
        <v>2908</v>
      </c>
      <c r="AF2206" s="48">
        <v>0</v>
      </c>
    </row>
    <row r="2207" spans="19:32" x14ac:dyDescent="0.35">
      <c r="S2207" s="47">
        <v>2203</v>
      </c>
      <c r="T2207" s="47" t="s">
        <v>4284</v>
      </c>
      <c r="U2207" s="47" t="s">
        <v>3034</v>
      </c>
      <c r="V2207" s="48">
        <v>0</v>
      </c>
      <c r="W2207" s="13"/>
      <c r="X2207" s="34">
        <v>2203</v>
      </c>
      <c r="Y2207" s="34" t="s">
        <v>2248</v>
      </c>
      <c r="Z2207" s="34" t="s">
        <v>5098</v>
      </c>
      <c r="AA2207" s="35">
        <v>2.0735887096774196E-3</v>
      </c>
      <c r="AB2207" s="13"/>
      <c r="AC2207" s="34">
        <v>2203</v>
      </c>
      <c r="AD2207" s="34" t="s">
        <v>4573</v>
      </c>
      <c r="AE2207" s="34" t="s">
        <v>3274</v>
      </c>
      <c r="AF2207" s="35">
        <v>9.8709677419354852E-2</v>
      </c>
    </row>
    <row r="2208" spans="19:32" x14ac:dyDescent="0.35">
      <c r="S2208" s="34">
        <v>2204</v>
      </c>
      <c r="T2208" s="34" t="s">
        <v>4284</v>
      </c>
      <c r="U2208" s="34" t="s">
        <v>3761</v>
      </c>
      <c r="V2208" s="35">
        <v>3.1875000000000002E-5</v>
      </c>
      <c r="W2208" s="13"/>
      <c r="X2208" s="47">
        <v>2204</v>
      </c>
      <c r="Y2208" s="47" t="s">
        <v>2248</v>
      </c>
      <c r="Z2208" s="47" t="s">
        <v>4290</v>
      </c>
      <c r="AA2208" s="56">
        <v>1.4909274193548388E-3</v>
      </c>
      <c r="AB2208" s="13"/>
      <c r="AC2208" s="34">
        <v>2204</v>
      </c>
      <c r="AD2208" s="34" t="s">
        <v>4573</v>
      </c>
      <c r="AE2208" s="34" t="s">
        <v>2906</v>
      </c>
      <c r="AF2208" s="35">
        <v>3.1497983870967743E-2</v>
      </c>
    </row>
    <row r="2209" spans="19:32" x14ac:dyDescent="0.35">
      <c r="S2209" s="34">
        <v>2205</v>
      </c>
      <c r="T2209" s="34" t="s">
        <v>4284</v>
      </c>
      <c r="U2209" s="34" t="s">
        <v>3756</v>
      </c>
      <c r="V2209" s="35">
        <v>2.2004032258064518E-4</v>
      </c>
      <c r="W2209" s="13"/>
      <c r="X2209" s="47">
        <v>2205</v>
      </c>
      <c r="Y2209" s="47" t="s">
        <v>2248</v>
      </c>
      <c r="Z2209" s="47" t="s">
        <v>4288</v>
      </c>
      <c r="AA2209" s="56">
        <v>3.42741935483871E-7</v>
      </c>
      <c r="AB2209" s="13"/>
      <c r="AC2209" s="47">
        <v>2205</v>
      </c>
      <c r="AD2209" s="47" t="s">
        <v>4573</v>
      </c>
      <c r="AE2209" s="47" t="s">
        <v>2906</v>
      </c>
      <c r="AF2209" s="48">
        <v>0</v>
      </c>
    </row>
    <row r="2210" spans="19:32" x14ac:dyDescent="0.35">
      <c r="S2210" s="36">
        <v>2206</v>
      </c>
      <c r="T2210" s="36" t="s">
        <v>4284</v>
      </c>
      <c r="U2210" s="36" t="s">
        <v>3032</v>
      </c>
      <c r="V2210" s="37">
        <v>3.3704999999999998</v>
      </c>
      <c r="W2210" s="13"/>
      <c r="X2210" s="34">
        <v>2206</v>
      </c>
      <c r="Y2210" s="34" t="s">
        <v>2248</v>
      </c>
      <c r="Z2210" s="34" t="s">
        <v>5097</v>
      </c>
      <c r="AA2210" s="35">
        <v>5.0040322580645162E-3</v>
      </c>
      <c r="AB2210" s="13"/>
      <c r="AC2210" s="47">
        <v>2206</v>
      </c>
      <c r="AD2210" s="47" t="s">
        <v>4573</v>
      </c>
      <c r="AE2210" s="47" t="s">
        <v>2904</v>
      </c>
      <c r="AF2210" s="48">
        <v>600.76</v>
      </c>
    </row>
    <row r="2211" spans="19:32" x14ac:dyDescent="0.35">
      <c r="S2211" s="34">
        <v>2207</v>
      </c>
      <c r="T2211" s="34" t="s">
        <v>4284</v>
      </c>
      <c r="U2211" s="34" t="s">
        <v>3032</v>
      </c>
      <c r="V2211" s="35">
        <v>6.3064516129032259E-6</v>
      </c>
      <c r="W2211" s="13"/>
      <c r="X2211" s="47">
        <v>2207</v>
      </c>
      <c r="Y2211" s="47" t="s">
        <v>2248</v>
      </c>
      <c r="Z2211" s="47" t="s">
        <v>3186</v>
      </c>
      <c r="AA2211" s="48">
        <v>0</v>
      </c>
      <c r="AB2211" s="13"/>
      <c r="AC2211" s="34">
        <v>2207</v>
      </c>
      <c r="AD2211" s="34" t="s">
        <v>4573</v>
      </c>
      <c r="AE2211" s="34" t="s">
        <v>3269</v>
      </c>
      <c r="AF2211" s="35">
        <v>5.3467741935483879</v>
      </c>
    </row>
    <row r="2212" spans="19:32" x14ac:dyDescent="0.35">
      <c r="S2212" s="47">
        <v>2208</v>
      </c>
      <c r="T2212" s="47" t="s">
        <v>4284</v>
      </c>
      <c r="U2212" s="47" t="s">
        <v>3032</v>
      </c>
      <c r="V2212" s="48">
        <v>0</v>
      </c>
      <c r="W2212" s="13"/>
      <c r="X2212" s="47">
        <v>2208</v>
      </c>
      <c r="Y2212" s="47" t="s">
        <v>2248</v>
      </c>
      <c r="Z2212" s="47" t="s">
        <v>3186</v>
      </c>
      <c r="AA2212" s="56">
        <v>3.9072580645161292E-4</v>
      </c>
      <c r="AB2212" s="13"/>
      <c r="AC2212" s="34">
        <v>2208</v>
      </c>
      <c r="AD2212" s="34" t="s">
        <v>4573</v>
      </c>
      <c r="AE2212" s="34" t="s">
        <v>2903</v>
      </c>
      <c r="AF2212" s="35">
        <v>1.0590725806451614E-3</v>
      </c>
    </row>
    <row r="2213" spans="19:32" x14ac:dyDescent="0.35">
      <c r="S2213" s="34">
        <v>2209</v>
      </c>
      <c r="T2213" s="34" t="s">
        <v>4284</v>
      </c>
      <c r="U2213" s="34" t="s">
        <v>3748</v>
      </c>
      <c r="V2213" s="35">
        <v>1.3127016129032259E-3</v>
      </c>
      <c r="W2213" s="13"/>
      <c r="X2213" s="47">
        <v>2209</v>
      </c>
      <c r="Y2213" s="47" t="s">
        <v>2248</v>
      </c>
      <c r="Z2213" s="47" t="s">
        <v>3185</v>
      </c>
      <c r="AA2213" s="48">
        <v>0</v>
      </c>
      <c r="AB2213" s="13"/>
      <c r="AC2213" s="47">
        <v>2209</v>
      </c>
      <c r="AD2213" s="47" t="s">
        <v>4573</v>
      </c>
      <c r="AE2213" s="47" t="s">
        <v>2903</v>
      </c>
      <c r="AF2213" s="48">
        <v>0</v>
      </c>
    </row>
    <row r="2214" spans="19:32" x14ac:dyDescent="0.35">
      <c r="S2214" s="34">
        <v>2210</v>
      </c>
      <c r="T2214" s="34" t="s">
        <v>4284</v>
      </c>
      <c r="U2214" s="34" t="s">
        <v>3744</v>
      </c>
      <c r="V2214" s="35">
        <v>1.4977822580645162E-2</v>
      </c>
      <c r="W2214" s="13"/>
      <c r="X2214" s="34">
        <v>2210</v>
      </c>
      <c r="Y2214" s="34" t="s">
        <v>2248</v>
      </c>
      <c r="Z2214" s="34" t="s">
        <v>5096</v>
      </c>
      <c r="AA2214" s="35">
        <v>1.2784274193548388E-3</v>
      </c>
      <c r="AB2214" s="13"/>
      <c r="AC2214" s="34">
        <v>2210</v>
      </c>
      <c r="AD2214" s="34" t="s">
        <v>4573</v>
      </c>
      <c r="AE2214" s="34" t="s">
        <v>3265</v>
      </c>
      <c r="AF2214" s="35">
        <v>6.2379032258064518E-4</v>
      </c>
    </row>
    <row r="2215" spans="19:32" x14ac:dyDescent="0.35">
      <c r="S2215" s="34">
        <v>2211</v>
      </c>
      <c r="T2215" s="34" t="s">
        <v>4284</v>
      </c>
      <c r="U2215" s="34" t="s">
        <v>3031</v>
      </c>
      <c r="V2215" s="35">
        <v>2.2175403225806454E-5</v>
      </c>
      <c r="W2215" s="13"/>
      <c r="X2215" s="47">
        <v>2211</v>
      </c>
      <c r="Y2215" s="47" t="s">
        <v>2248</v>
      </c>
      <c r="Z2215" s="47" t="s">
        <v>3183</v>
      </c>
      <c r="AA2215" s="48">
        <v>9.1355999999999993E-2</v>
      </c>
      <c r="AB2215" s="13"/>
      <c r="AC2215" s="47">
        <v>2211</v>
      </c>
      <c r="AD2215" s="47" t="s">
        <v>4573</v>
      </c>
      <c r="AE2215" s="47" t="s">
        <v>2901</v>
      </c>
      <c r="AF2215" s="48">
        <v>0.53452</v>
      </c>
    </row>
    <row r="2216" spans="19:32" x14ac:dyDescent="0.35">
      <c r="S2216" s="47">
        <v>2212</v>
      </c>
      <c r="T2216" s="47" t="s">
        <v>4284</v>
      </c>
      <c r="U2216" s="47" t="s">
        <v>3031</v>
      </c>
      <c r="V2216" s="48">
        <v>0.59799999999999998</v>
      </c>
      <c r="W2216" s="13"/>
      <c r="X2216" s="47">
        <v>2212</v>
      </c>
      <c r="Y2216" s="47" t="s">
        <v>2248</v>
      </c>
      <c r="Z2216" s="47" t="s">
        <v>4282</v>
      </c>
      <c r="AA2216" s="56">
        <v>8.362903225806452E-2</v>
      </c>
      <c r="AB2216" s="13"/>
      <c r="AC2216" s="47">
        <v>2212</v>
      </c>
      <c r="AD2216" s="47" t="s">
        <v>4573</v>
      </c>
      <c r="AE2216" s="47" t="s">
        <v>2900</v>
      </c>
      <c r="AF2216" s="48">
        <v>0</v>
      </c>
    </row>
    <row r="2217" spans="19:32" x14ac:dyDescent="0.35">
      <c r="S2217" s="34">
        <v>2213</v>
      </c>
      <c r="T2217" s="34" t="s">
        <v>4284</v>
      </c>
      <c r="U2217" s="34" t="s">
        <v>3029</v>
      </c>
      <c r="V2217" s="35">
        <v>9.0826612903225826E-6</v>
      </c>
      <c r="W2217" s="13"/>
      <c r="X2217" s="34">
        <v>2213</v>
      </c>
      <c r="Y2217" s="34" t="s">
        <v>2248</v>
      </c>
      <c r="Z2217" s="34" t="s">
        <v>5095</v>
      </c>
      <c r="AA2217" s="35">
        <v>5.6552419354838713E-5</v>
      </c>
      <c r="AB2217" s="13"/>
      <c r="AC2217" s="34">
        <v>2213</v>
      </c>
      <c r="AD2217" s="34" t="s">
        <v>4573</v>
      </c>
      <c r="AE2217" s="34" t="s">
        <v>3262</v>
      </c>
      <c r="AF2217" s="35">
        <v>4.7641129032258069</v>
      </c>
    </row>
    <row r="2218" spans="19:32" x14ac:dyDescent="0.35">
      <c r="S2218" s="47">
        <v>2214</v>
      </c>
      <c r="T2218" s="47" t="s">
        <v>4284</v>
      </c>
      <c r="U2218" s="47" t="s">
        <v>3029</v>
      </c>
      <c r="V2218" s="48">
        <v>1.9227999999999998</v>
      </c>
      <c r="W2218" s="13"/>
      <c r="X2218" s="47">
        <v>2214</v>
      </c>
      <c r="Y2218" s="47" t="s">
        <v>2248</v>
      </c>
      <c r="Z2218" s="47" t="s">
        <v>3182</v>
      </c>
      <c r="AA2218" s="48">
        <v>0</v>
      </c>
      <c r="AB2218" s="13"/>
      <c r="AC2218" s="34">
        <v>2214</v>
      </c>
      <c r="AD2218" s="34" t="s">
        <v>4573</v>
      </c>
      <c r="AE2218" s="34" t="s">
        <v>2898</v>
      </c>
      <c r="AF2218" s="35">
        <v>0.10008064516129032</v>
      </c>
    </row>
    <row r="2219" spans="19:32" x14ac:dyDescent="0.35">
      <c r="S2219" s="34">
        <v>2215</v>
      </c>
      <c r="T2219" s="34" t="s">
        <v>4284</v>
      </c>
      <c r="U2219" s="34" t="s">
        <v>3028</v>
      </c>
      <c r="V2219" s="35">
        <v>2.2209677419354839E-3</v>
      </c>
      <c r="W2219" s="13"/>
      <c r="X2219" s="34">
        <v>2215</v>
      </c>
      <c r="Y2219" s="34" t="s">
        <v>2248</v>
      </c>
      <c r="Z2219" s="34" t="s">
        <v>3182</v>
      </c>
      <c r="AA2219" s="35">
        <v>2.7282258064516132E-2</v>
      </c>
      <c r="AB2219" s="13"/>
      <c r="AC2219" s="47">
        <v>2215</v>
      </c>
      <c r="AD2219" s="47" t="s">
        <v>4573</v>
      </c>
      <c r="AE2219" s="47" t="s">
        <v>2898</v>
      </c>
      <c r="AF2219" s="48">
        <v>0</v>
      </c>
    </row>
    <row r="2220" spans="19:32" x14ac:dyDescent="0.35">
      <c r="S2220" s="47">
        <v>2216</v>
      </c>
      <c r="T2220" s="47" t="s">
        <v>4284</v>
      </c>
      <c r="U2220" s="47" t="s">
        <v>3028</v>
      </c>
      <c r="V2220" s="48">
        <v>67.804000000000002</v>
      </c>
      <c r="W2220" s="13"/>
      <c r="X2220" s="47">
        <v>2216</v>
      </c>
      <c r="Y2220" s="47" t="s">
        <v>2248</v>
      </c>
      <c r="Z2220" s="47" t="s">
        <v>4277</v>
      </c>
      <c r="AA2220" s="56">
        <v>3.5645161290322587E-4</v>
      </c>
      <c r="AB2220" s="13"/>
      <c r="AC2220" s="34">
        <v>2216</v>
      </c>
      <c r="AD2220" s="34" t="s">
        <v>4573</v>
      </c>
      <c r="AE2220" s="34" t="s">
        <v>2897</v>
      </c>
      <c r="AF2220" s="35">
        <v>8.2258064516129033E-4</v>
      </c>
    </row>
    <row r="2221" spans="19:32" x14ac:dyDescent="0.35">
      <c r="S2221" s="34">
        <v>2217</v>
      </c>
      <c r="T2221" s="34" t="s">
        <v>4284</v>
      </c>
      <c r="U2221" s="34" t="s">
        <v>3728</v>
      </c>
      <c r="V2221" s="35">
        <v>6.512096774193549E-6</v>
      </c>
      <c r="W2221" s="13"/>
      <c r="X2221" s="34">
        <v>2217</v>
      </c>
      <c r="Y2221" s="34" t="s">
        <v>2248</v>
      </c>
      <c r="Z2221" s="34" t="s">
        <v>5094</v>
      </c>
      <c r="AA2221" s="35">
        <v>3.190927419354839E-4</v>
      </c>
      <c r="AB2221" s="13"/>
      <c r="AC2221" s="47">
        <v>2217</v>
      </c>
      <c r="AD2221" s="47" t="s">
        <v>4573</v>
      </c>
      <c r="AE2221" s="47" t="s">
        <v>2897</v>
      </c>
      <c r="AF2221" s="48">
        <v>0</v>
      </c>
    </row>
    <row r="2222" spans="19:32" x14ac:dyDescent="0.35">
      <c r="S2222" s="47">
        <v>2218</v>
      </c>
      <c r="T2222" s="47" t="s">
        <v>4284</v>
      </c>
      <c r="U2222" s="47" t="s">
        <v>3026</v>
      </c>
      <c r="V2222" s="48">
        <v>17.204000000000001</v>
      </c>
      <c r="W2222" s="13"/>
      <c r="X2222" s="34">
        <v>2218</v>
      </c>
      <c r="Y2222" s="34" t="s">
        <v>2248</v>
      </c>
      <c r="Z2222" s="34" t="s">
        <v>4274</v>
      </c>
      <c r="AA2222" s="35">
        <v>1.6074596774193549E-3</v>
      </c>
      <c r="AB2222" s="13"/>
      <c r="AC2222" s="34">
        <v>2218</v>
      </c>
      <c r="AD2222" s="34" t="s">
        <v>4573</v>
      </c>
      <c r="AE2222" s="34" t="s">
        <v>3256</v>
      </c>
      <c r="AF2222" s="35">
        <v>0.67862903225806459</v>
      </c>
    </row>
    <row r="2223" spans="19:32" x14ac:dyDescent="0.35">
      <c r="S2223" s="36">
        <v>2219</v>
      </c>
      <c r="T2223" s="36" t="s">
        <v>4284</v>
      </c>
      <c r="U2223" s="36" t="s">
        <v>5093</v>
      </c>
      <c r="V2223" s="37">
        <v>0.77039999999999986</v>
      </c>
      <c r="W2223" s="13"/>
      <c r="X2223" s="47">
        <v>2219</v>
      </c>
      <c r="Y2223" s="47" t="s">
        <v>2248</v>
      </c>
      <c r="Z2223" s="47" t="s">
        <v>3180</v>
      </c>
      <c r="AA2223" s="48">
        <v>0</v>
      </c>
      <c r="AB2223" s="13"/>
      <c r="AC2223" s="34">
        <v>2219</v>
      </c>
      <c r="AD2223" s="34" t="s">
        <v>4573</v>
      </c>
      <c r="AE2223" s="34" t="s">
        <v>3253</v>
      </c>
      <c r="AF2223" s="35">
        <v>8.6028225806451614E-2</v>
      </c>
    </row>
    <row r="2224" spans="19:32" x14ac:dyDescent="0.35">
      <c r="S2224" s="34">
        <v>2220</v>
      </c>
      <c r="T2224" s="34" t="s">
        <v>4284</v>
      </c>
      <c r="U2224" s="34" t="s">
        <v>3725</v>
      </c>
      <c r="V2224" s="35">
        <v>9.3225806451612916E-5</v>
      </c>
      <c r="W2224" s="13"/>
      <c r="X2224" s="34">
        <v>2220</v>
      </c>
      <c r="Y2224" s="34" t="s">
        <v>2248</v>
      </c>
      <c r="Z2224" s="34" t="s">
        <v>5092</v>
      </c>
      <c r="AA2224" s="35">
        <v>2.9510080645161293E-2</v>
      </c>
      <c r="AB2224" s="13"/>
      <c r="AC2224" s="34">
        <v>2220</v>
      </c>
      <c r="AD2224" s="34" t="s">
        <v>4573</v>
      </c>
      <c r="AE2224" s="34" t="s">
        <v>3250</v>
      </c>
      <c r="AF2224" s="35">
        <v>2.1352822580645161</v>
      </c>
    </row>
    <row r="2225" spans="19:32" x14ac:dyDescent="0.35">
      <c r="S2225" s="47">
        <v>2221</v>
      </c>
      <c r="T2225" s="47" t="s">
        <v>4284</v>
      </c>
      <c r="U2225" s="47" t="s">
        <v>3025</v>
      </c>
      <c r="V2225" s="48">
        <v>0</v>
      </c>
      <c r="W2225" s="13"/>
      <c r="X2225" s="47">
        <v>2221</v>
      </c>
      <c r="Y2225" s="47" t="s">
        <v>2248</v>
      </c>
      <c r="Z2225" s="47" t="s">
        <v>4271</v>
      </c>
      <c r="AA2225" s="56">
        <v>0.24300403225806452</v>
      </c>
      <c r="AB2225" s="13"/>
      <c r="AC2225" s="34">
        <v>2221</v>
      </c>
      <c r="AD2225" s="34" t="s">
        <v>4573</v>
      </c>
      <c r="AE2225" s="34" t="s">
        <v>3247</v>
      </c>
      <c r="AF2225" s="35">
        <v>2.7110887096774196E-2</v>
      </c>
    </row>
    <row r="2226" spans="19:32" x14ac:dyDescent="0.35">
      <c r="S2226" s="34">
        <v>2222</v>
      </c>
      <c r="T2226" s="34" t="s">
        <v>4284</v>
      </c>
      <c r="U2226" s="34" t="s">
        <v>3722</v>
      </c>
      <c r="V2226" s="35">
        <v>4.6955645161290331E-5</v>
      </c>
      <c r="W2226" s="13"/>
      <c r="X2226" s="34">
        <v>2222</v>
      </c>
      <c r="Y2226" s="34" t="s">
        <v>2248</v>
      </c>
      <c r="Z2226" s="34" t="s">
        <v>4267</v>
      </c>
      <c r="AA2226" s="35">
        <v>4.0786290322580646E-3</v>
      </c>
      <c r="AB2226" s="13"/>
      <c r="AC2226" s="34">
        <v>2222</v>
      </c>
      <c r="AD2226" s="34" t="s">
        <v>4573</v>
      </c>
      <c r="AE2226" s="34" t="s">
        <v>3245</v>
      </c>
      <c r="AF2226" s="35">
        <v>70.947580645161295</v>
      </c>
    </row>
    <row r="2227" spans="19:32" x14ac:dyDescent="0.35">
      <c r="S2227" s="34">
        <v>2223</v>
      </c>
      <c r="T2227" s="34" t="s">
        <v>4284</v>
      </c>
      <c r="U2227" s="34" t="s">
        <v>3718</v>
      </c>
      <c r="V2227" s="35">
        <v>3.9758064516129038E-2</v>
      </c>
      <c r="W2227" s="13"/>
      <c r="X2227" s="34">
        <v>2223</v>
      </c>
      <c r="Y2227" s="34" t="s">
        <v>2248</v>
      </c>
      <c r="Z2227" s="34" t="s">
        <v>5091</v>
      </c>
      <c r="AA2227" s="35">
        <v>4.8326612903225813E-3</v>
      </c>
      <c r="AB2227" s="13"/>
      <c r="AC2227" s="34">
        <v>2223</v>
      </c>
      <c r="AD2227" s="34" t="s">
        <v>4573</v>
      </c>
      <c r="AE2227" s="34" t="s">
        <v>3242</v>
      </c>
      <c r="AF2227" s="35">
        <v>11.82459677419355</v>
      </c>
    </row>
    <row r="2228" spans="19:32" x14ac:dyDescent="0.35">
      <c r="S2228" s="34">
        <v>2224</v>
      </c>
      <c r="T2228" s="34" t="s">
        <v>4284</v>
      </c>
      <c r="U2228" s="34" t="s">
        <v>3712</v>
      </c>
      <c r="V2228" s="35">
        <v>3.9415322580645167E-2</v>
      </c>
      <c r="W2228" s="13"/>
      <c r="X2228" s="47">
        <v>2224</v>
      </c>
      <c r="Y2228" s="47" t="s">
        <v>2248</v>
      </c>
      <c r="Z2228" s="47" t="s">
        <v>4264</v>
      </c>
      <c r="AA2228" s="56">
        <v>4.1471774193548392E-3</v>
      </c>
      <c r="AB2228" s="13"/>
      <c r="AC2228" s="34">
        <v>2224</v>
      </c>
      <c r="AD2228" s="34" t="s">
        <v>4573</v>
      </c>
      <c r="AE2228" s="34" t="s">
        <v>3239</v>
      </c>
      <c r="AF2228" s="35">
        <v>0.45927419354838711</v>
      </c>
    </row>
    <row r="2229" spans="19:32" x14ac:dyDescent="0.35">
      <c r="S2229" s="34">
        <v>2225</v>
      </c>
      <c r="T2229" s="34" t="s">
        <v>4284</v>
      </c>
      <c r="U2229" s="34" t="s">
        <v>3023</v>
      </c>
      <c r="V2229" s="35">
        <v>1.0282258064516129E-4</v>
      </c>
      <c r="W2229" s="13"/>
      <c r="X2229" s="47">
        <v>2225</v>
      </c>
      <c r="Y2229" s="47" t="s">
        <v>2248</v>
      </c>
      <c r="Z2229" s="47" t="s">
        <v>3179</v>
      </c>
      <c r="AA2229" s="48">
        <v>0</v>
      </c>
      <c r="AB2229" s="13"/>
      <c r="AC2229" s="34">
        <v>2225</v>
      </c>
      <c r="AD2229" s="34" t="s">
        <v>4573</v>
      </c>
      <c r="AE2229" s="34" t="s">
        <v>3236</v>
      </c>
      <c r="AF2229" s="35">
        <v>11.82459677419355</v>
      </c>
    </row>
    <row r="2230" spans="19:32" x14ac:dyDescent="0.35">
      <c r="S2230" s="47">
        <v>2226</v>
      </c>
      <c r="T2230" s="47" t="s">
        <v>4284</v>
      </c>
      <c r="U2230" s="47" t="s">
        <v>3023</v>
      </c>
      <c r="V2230" s="48">
        <v>0</v>
      </c>
      <c r="W2230" s="13"/>
      <c r="X2230" s="47">
        <v>2226</v>
      </c>
      <c r="Y2230" s="47" t="s">
        <v>2248</v>
      </c>
      <c r="Z2230" s="47" t="s">
        <v>3178</v>
      </c>
      <c r="AA2230" s="48">
        <v>0.47472000000000003</v>
      </c>
      <c r="AB2230" s="13"/>
      <c r="AC2230" s="34">
        <v>2226</v>
      </c>
      <c r="AD2230" s="34" t="s">
        <v>4573</v>
      </c>
      <c r="AE2230" s="34" t="s">
        <v>3234</v>
      </c>
      <c r="AF2230" s="35">
        <v>1.3024193548387098E-3</v>
      </c>
    </row>
    <row r="2231" spans="19:32" x14ac:dyDescent="0.35">
      <c r="S2231" s="34">
        <v>2227</v>
      </c>
      <c r="T2231" s="34" t="s">
        <v>4284</v>
      </c>
      <c r="U2231" s="34" t="s">
        <v>3704</v>
      </c>
      <c r="V2231" s="35">
        <v>1.7925403225806455E-4</v>
      </c>
      <c r="W2231" s="13"/>
      <c r="X2231" s="34">
        <v>2227</v>
      </c>
      <c r="Y2231" s="34" t="s">
        <v>2248</v>
      </c>
      <c r="Z2231" s="34" t="s">
        <v>5090</v>
      </c>
      <c r="AA2231" s="35">
        <v>6.1350806451612909E-3</v>
      </c>
      <c r="AB2231" s="13"/>
      <c r="AC2231" s="34">
        <v>2227</v>
      </c>
      <c r="AD2231" s="34" t="s">
        <v>4573</v>
      </c>
      <c r="AE2231" s="34" t="s">
        <v>2896</v>
      </c>
      <c r="AF2231" s="35">
        <v>5.586693548387097</v>
      </c>
    </row>
    <row r="2232" spans="19:32" x14ac:dyDescent="0.35">
      <c r="S2232" s="34">
        <v>2228</v>
      </c>
      <c r="T2232" s="34" t="s">
        <v>4284</v>
      </c>
      <c r="U2232" s="34" t="s">
        <v>3700</v>
      </c>
      <c r="V2232" s="35">
        <v>8.9112903225806468E-5</v>
      </c>
      <c r="W2232" s="13"/>
      <c r="X2232" s="47">
        <v>2228</v>
      </c>
      <c r="Y2232" s="47" t="s">
        <v>2248</v>
      </c>
      <c r="Z2232" s="47" t="s">
        <v>4260</v>
      </c>
      <c r="AA2232" s="56">
        <v>1.1584677419354838E-3</v>
      </c>
      <c r="AB2232" s="13"/>
      <c r="AC2232" s="47">
        <v>2228</v>
      </c>
      <c r="AD2232" s="47" t="s">
        <v>4573</v>
      </c>
      <c r="AE2232" s="47" t="s">
        <v>2896</v>
      </c>
      <c r="AF2232" s="48">
        <v>0</v>
      </c>
    </row>
    <row r="2233" spans="19:32" x14ac:dyDescent="0.35">
      <c r="S2233" s="34">
        <v>2229</v>
      </c>
      <c r="T2233" s="34" t="s">
        <v>4284</v>
      </c>
      <c r="U2233" s="34" t="s">
        <v>3021</v>
      </c>
      <c r="V2233" s="35">
        <v>5.826612903225807E-4</v>
      </c>
      <c r="W2233" s="13"/>
      <c r="X2233" s="47">
        <v>2229</v>
      </c>
      <c r="Y2233" s="47" t="s">
        <v>2248</v>
      </c>
      <c r="Z2233" s="47" t="s">
        <v>3176</v>
      </c>
      <c r="AA2233" s="48">
        <v>0.17019999999999999</v>
      </c>
      <c r="AB2233" s="13"/>
      <c r="AC2233" s="47">
        <v>2229</v>
      </c>
      <c r="AD2233" s="47" t="s">
        <v>4573</v>
      </c>
      <c r="AE2233" s="47" t="s">
        <v>2894</v>
      </c>
      <c r="AF2233" s="48">
        <v>2.6403999999999998E-3</v>
      </c>
    </row>
    <row r="2234" spans="19:32" x14ac:dyDescent="0.35">
      <c r="S2234" s="47">
        <v>2230</v>
      </c>
      <c r="T2234" s="47" t="s">
        <v>4284</v>
      </c>
      <c r="U2234" s="47" t="s">
        <v>3021</v>
      </c>
      <c r="V2234" s="48">
        <v>3.1188E-2</v>
      </c>
      <c r="W2234" s="13"/>
      <c r="X2234" s="34">
        <v>2230</v>
      </c>
      <c r="Y2234" s="34" t="s">
        <v>2248</v>
      </c>
      <c r="Z2234" s="34" t="s">
        <v>5089</v>
      </c>
      <c r="AA2234" s="35">
        <v>9.425403225806453E-2</v>
      </c>
      <c r="AB2234" s="13"/>
      <c r="AC2234" s="34">
        <v>2230</v>
      </c>
      <c r="AD2234" s="34" t="s">
        <v>4573</v>
      </c>
      <c r="AE2234" s="34" t="s">
        <v>3229</v>
      </c>
      <c r="AF2234" s="35">
        <v>3.7701612903225811E-4</v>
      </c>
    </row>
    <row r="2235" spans="19:32" x14ac:dyDescent="0.35">
      <c r="S2235" s="34">
        <v>2231</v>
      </c>
      <c r="T2235" s="34" t="s">
        <v>4284</v>
      </c>
      <c r="U2235" s="34" t="s">
        <v>3020</v>
      </c>
      <c r="V2235" s="35">
        <v>1.0590725806451614E-3</v>
      </c>
      <c r="W2235" s="13"/>
      <c r="X2235" s="47">
        <v>2231</v>
      </c>
      <c r="Y2235" s="47" t="s">
        <v>2248</v>
      </c>
      <c r="Z2235" s="47" t="s">
        <v>3176</v>
      </c>
      <c r="AA2235" s="56">
        <v>6.4092741935483873E-4</v>
      </c>
      <c r="AB2235" s="13"/>
      <c r="AC2235" s="34">
        <v>2231</v>
      </c>
      <c r="AD2235" s="34" t="s">
        <v>4573</v>
      </c>
      <c r="AE2235" s="34" t="s">
        <v>3226</v>
      </c>
      <c r="AF2235" s="35">
        <v>6.6149193548387109E-2</v>
      </c>
    </row>
    <row r="2236" spans="19:32" x14ac:dyDescent="0.35">
      <c r="S2236" s="47">
        <v>2232</v>
      </c>
      <c r="T2236" s="47" t="s">
        <v>4284</v>
      </c>
      <c r="U2236" s="47" t="s">
        <v>3020</v>
      </c>
      <c r="V2236" s="48">
        <v>3.8455999999999997E-2</v>
      </c>
      <c r="W2236" s="13"/>
      <c r="X2236" s="47">
        <v>2232</v>
      </c>
      <c r="Y2236" s="47" t="s">
        <v>2248</v>
      </c>
      <c r="Z2236" s="47" t="s">
        <v>4256</v>
      </c>
      <c r="AA2236" s="56">
        <v>1.0556451612903226E-5</v>
      </c>
      <c r="AB2236" s="13"/>
      <c r="AC2236" s="34">
        <v>2232</v>
      </c>
      <c r="AD2236" s="34" t="s">
        <v>4573</v>
      </c>
      <c r="AE2236" s="34" t="s">
        <v>3223</v>
      </c>
      <c r="AF2236" s="35">
        <v>2.8447580645161297E-4</v>
      </c>
    </row>
    <row r="2237" spans="19:32" x14ac:dyDescent="0.35">
      <c r="S2237" s="47">
        <v>2233</v>
      </c>
      <c r="T2237" s="47" t="s">
        <v>4284</v>
      </c>
      <c r="U2237" s="47" t="s">
        <v>3018</v>
      </c>
      <c r="V2237" s="48">
        <v>0.12695999999999999</v>
      </c>
      <c r="W2237" s="13"/>
      <c r="X2237" s="34">
        <v>2233</v>
      </c>
      <c r="Y2237" s="34" t="s">
        <v>2248</v>
      </c>
      <c r="Z2237" s="34" t="s">
        <v>5088</v>
      </c>
      <c r="AA2237" s="35">
        <v>5.7923387096774198E-5</v>
      </c>
      <c r="AB2237" s="13"/>
      <c r="AC2237" s="34">
        <v>2233</v>
      </c>
      <c r="AD2237" s="34" t="s">
        <v>4573</v>
      </c>
      <c r="AE2237" s="34" t="s">
        <v>2893</v>
      </c>
      <c r="AF2237" s="35">
        <v>1.7891129032258067E-3</v>
      </c>
    </row>
    <row r="2238" spans="19:32" x14ac:dyDescent="0.35">
      <c r="S2238" s="47">
        <v>2234</v>
      </c>
      <c r="T2238" s="47" t="s">
        <v>4284</v>
      </c>
      <c r="U2238" s="47" t="s">
        <v>3017</v>
      </c>
      <c r="V2238" s="48">
        <v>2.7415999999999999E-2</v>
      </c>
      <c r="W2238" s="13"/>
      <c r="X2238" s="47">
        <v>2234</v>
      </c>
      <c r="Y2238" s="47" t="s">
        <v>2248</v>
      </c>
      <c r="Z2238" s="47" t="s">
        <v>3175</v>
      </c>
      <c r="AA2238" s="48">
        <v>0</v>
      </c>
      <c r="AB2238" s="13"/>
      <c r="AC2238" s="47">
        <v>2234</v>
      </c>
      <c r="AD2238" s="47" t="s">
        <v>4573</v>
      </c>
      <c r="AE2238" s="47" t="s">
        <v>2893</v>
      </c>
      <c r="AF2238" s="48">
        <v>0</v>
      </c>
    </row>
    <row r="2239" spans="19:32" x14ac:dyDescent="0.35">
      <c r="S2239" s="47">
        <v>2235</v>
      </c>
      <c r="T2239" s="47" t="s">
        <v>4284</v>
      </c>
      <c r="U2239" s="47" t="s">
        <v>3015</v>
      </c>
      <c r="V2239" s="48">
        <v>7.3599999999999999E-2</v>
      </c>
      <c r="W2239" s="13"/>
      <c r="X2239" s="34">
        <v>2235</v>
      </c>
      <c r="Y2239" s="34" t="s">
        <v>2248</v>
      </c>
      <c r="Z2239" s="34" t="s">
        <v>3175</v>
      </c>
      <c r="AA2239" s="35">
        <v>2.0427419354838712E-3</v>
      </c>
      <c r="AB2239" s="13"/>
      <c r="AC2239" s="34">
        <v>2235</v>
      </c>
      <c r="AD2239" s="34" t="s">
        <v>4573</v>
      </c>
      <c r="AE2239" s="34" t="s">
        <v>3219</v>
      </c>
      <c r="AF2239" s="35">
        <v>1.3949596774193551E-3</v>
      </c>
    </row>
    <row r="2240" spans="19:32" x14ac:dyDescent="0.35">
      <c r="S2240" s="34">
        <v>2236</v>
      </c>
      <c r="T2240" s="34" t="s">
        <v>4284</v>
      </c>
      <c r="U2240" s="34" t="s">
        <v>3688</v>
      </c>
      <c r="V2240" s="35">
        <v>1.6211693548387099E-2</v>
      </c>
      <c r="W2240" s="13"/>
      <c r="X2240" s="47">
        <v>2236</v>
      </c>
      <c r="Y2240" s="47" t="s">
        <v>2248</v>
      </c>
      <c r="Z2240" s="47" t="s">
        <v>3173</v>
      </c>
      <c r="AA2240" s="48">
        <v>0</v>
      </c>
      <c r="AB2240" s="13"/>
      <c r="AC2240" s="34">
        <v>2236</v>
      </c>
      <c r="AD2240" s="34" t="s">
        <v>4573</v>
      </c>
      <c r="AE2240" s="34" t="s">
        <v>3216</v>
      </c>
      <c r="AF2240" s="35">
        <v>5.6552419354838714E-2</v>
      </c>
    </row>
    <row r="2241" spans="19:32" x14ac:dyDescent="0.35">
      <c r="S2241" s="34">
        <v>2237</v>
      </c>
      <c r="T2241" s="34" t="s">
        <v>4284</v>
      </c>
      <c r="U2241" s="34" t="s">
        <v>3014</v>
      </c>
      <c r="V2241" s="35">
        <v>2.5122983870967744E-3</v>
      </c>
      <c r="W2241" s="13"/>
      <c r="X2241" s="34">
        <v>2237</v>
      </c>
      <c r="Y2241" s="34" t="s">
        <v>2248</v>
      </c>
      <c r="Z2241" s="34" t="s">
        <v>5087</v>
      </c>
      <c r="AA2241" s="35">
        <v>2.9612903225806453E-2</v>
      </c>
      <c r="AB2241" s="13"/>
      <c r="AC2241" s="34">
        <v>2237</v>
      </c>
      <c r="AD2241" s="34" t="s">
        <v>4573</v>
      </c>
      <c r="AE2241" s="34" t="s">
        <v>3213</v>
      </c>
      <c r="AF2241" s="35">
        <v>0.37701612903225812</v>
      </c>
    </row>
    <row r="2242" spans="19:32" x14ac:dyDescent="0.35">
      <c r="S2242" s="47">
        <v>2238</v>
      </c>
      <c r="T2242" s="47" t="s">
        <v>4284</v>
      </c>
      <c r="U2242" s="47" t="s">
        <v>3014</v>
      </c>
      <c r="V2242" s="48">
        <v>0</v>
      </c>
      <c r="W2242" s="13"/>
      <c r="X2242" s="47">
        <v>2238</v>
      </c>
      <c r="Y2242" s="47" t="s">
        <v>2248</v>
      </c>
      <c r="Z2242" s="47" t="s">
        <v>3172</v>
      </c>
      <c r="AA2242" s="48">
        <v>0</v>
      </c>
      <c r="AB2242" s="13"/>
      <c r="AC2242" s="34">
        <v>2238</v>
      </c>
      <c r="AD2242" s="34" t="s">
        <v>4573</v>
      </c>
      <c r="AE2242" s="34" t="s">
        <v>3211</v>
      </c>
      <c r="AF2242" s="35">
        <v>41.814516129032263</v>
      </c>
    </row>
    <row r="2243" spans="19:32" x14ac:dyDescent="0.35">
      <c r="S2243" s="34">
        <v>2239</v>
      </c>
      <c r="T2243" s="34" t="s">
        <v>4284</v>
      </c>
      <c r="U2243" s="34" t="s">
        <v>3680</v>
      </c>
      <c r="V2243" s="35">
        <v>0.20187500000000003</v>
      </c>
      <c r="W2243" s="13"/>
      <c r="X2243" s="47">
        <v>2239</v>
      </c>
      <c r="Y2243" s="47" t="s">
        <v>2248</v>
      </c>
      <c r="Z2243" s="47" t="s">
        <v>3172</v>
      </c>
      <c r="AA2243" s="56">
        <v>5.5181451612903228E-2</v>
      </c>
      <c r="AB2243" s="13"/>
      <c r="AC2243" s="34">
        <v>2239</v>
      </c>
      <c r="AD2243" s="34" t="s">
        <v>4573</v>
      </c>
      <c r="AE2243" s="34" t="s">
        <v>3208</v>
      </c>
      <c r="AF2243" s="35">
        <v>13.94959677419355</v>
      </c>
    </row>
    <row r="2244" spans="19:32" x14ac:dyDescent="0.35">
      <c r="S2244" s="34">
        <v>2240</v>
      </c>
      <c r="T2244" s="34" t="s">
        <v>4284</v>
      </c>
      <c r="U2244" s="34" t="s">
        <v>3676</v>
      </c>
      <c r="V2244" s="35">
        <v>5.2439516129032263E-2</v>
      </c>
      <c r="W2244" s="13"/>
      <c r="X2244" s="34">
        <v>2240</v>
      </c>
      <c r="Y2244" s="34" t="s">
        <v>2248</v>
      </c>
      <c r="Z2244" s="34" t="s">
        <v>3573</v>
      </c>
      <c r="AA2244" s="35">
        <v>1.5629032258064517E-3</v>
      </c>
      <c r="AB2244" s="13"/>
      <c r="AC2244" s="34">
        <v>2240</v>
      </c>
      <c r="AD2244" s="34" t="s">
        <v>4573</v>
      </c>
      <c r="AE2244" s="34" t="s">
        <v>3205</v>
      </c>
      <c r="AF2244" s="35">
        <v>3.7358870967741938E-2</v>
      </c>
    </row>
    <row r="2245" spans="19:32" x14ac:dyDescent="0.35">
      <c r="S2245" s="34">
        <v>2241</v>
      </c>
      <c r="T2245" s="34" t="s">
        <v>4284</v>
      </c>
      <c r="U2245" s="34" t="s">
        <v>3672</v>
      </c>
      <c r="V2245" s="35">
        <v>0.11379032258064517</v>
      </c>
      <c r="W2245" s="13"/>
      <c r="X2245" s="34">
        <v>2241</v>
      </c>
      <c r="Y2245" s="34" t="s">
        <v>2248</v>
      </c>
      <c r="Z2245" s="34" t="s">
        <v>4250</v>
      </c>
      <c r="AA2245" s="35">
        <v>0.25911290322580649</v>
      </c>
      <c r="AB2245" s="13"/>
      <c r="AC2245" s="34">
        <v>2241</v>
      </c>
      <c r="AD2245" s="34" t="s">
        <v>4573</v>
      </c>
      <c r="AE2245" s="34" t="s">
        <v>2891</v>
      </c>
      <c r="AF2245" s="35">
        <v>0.68548387096774199</v>
      </c>
    </row>
    <row r="2246" spans="19:32" x14ac:dyDescent="0.35">
      <c r="S2246" s="34">
        <v>2242</v>
      </c>
      <c r="T2246" s="34" t="s">
        <v>4284</v>
      </c>
      <c r="U2246" s="34" t="s">
        <v>3666</v>
      </c>
      <c r="V2246" s="35">
        <v>1.9879032258064516E-7</v>
      </c>
      <c r="W2246" s="13"/>
      <c r="X2246" s="47">
        <v>2242</v>
      </c>
      <c r="Y2246" s="47" t="s">
        <v>2248</v>
      </c>
      <c r="Z2246" s="47" t="s">
        <v>3170</v>
      </c>
      <c r="AA2246" s="48">
        <v>18.492000000000001</v>
      </c>
      <c r="AB2246" s="13"/>
      <c r="AC2246" s="47">
        <v>2242</v>
      </c>
      <c r="AD2246" s="47" t="s">
        <v>4573</v>
      </c>
      <c r="AE2246" s="47" t="s">
        <v>2891</v>
      </c>
      <c r="AF2246" s="48">
        <v>0</v>
      </c>
    </row>
    <row r="2247" spans="19:32" x14ac:dyDescent="0.35">
      <c r="S2247" s="34">
        <v>2243</v>
      </c>
      <c r="T2247" s="34" t="s">
        <v>4284</v>
      </c>
      <c r="U2247" s="34" t="s">
        <v>3662</v>
      </c>
      <c r="V2247" s="35">
        <v>0.21558467741935486</v>
      </c>
      <c r="W2247" s="13"/>
      <c r="X2247" s="47">
        <v>2243</v>
      </c>
      <c r="Y2247" s="47" t="s">
        <v>2248</v>
      </c>
      <c r="Z2247" s="47" t="s">
        <v>3170</v>
      </c>
      <c r="AA2247" s="56">
        <v>3.2766129032258068E-4</v>
      </c>
      <c r="AB2247" s="13"/>
      <c r="AC2247" s="47">
        <v>2243</v>
      </c>
      <c r="AD2247" s="47" t="s">
        <v>4573</v>
      </c>
      <c r="AE2247" s="47" t="s">
        <v>2890</v>
      </c>
      <c r="AF2247" s="48">
        <v>1.242</v>
      </c>
    </row>
    <row r="2248" spans="19:32" x14ac:dyDescent="0.35">
      <c r="S2248" s="34">
        <v>2244</v>
      </c>
      <c r="T2248" s="34" t="s">
        <v>4284</v>
      </c>
      <c r="U2248" s="34" t="s">
        <v>3659</v>
      </c>
      <c r="V2248" s="35">
        <v>1.9707661290322581E-3</v>
      </c>
      <c r="W2248" s="13"/>
      <c r="X2248" s="34">
        <v>2244</v>
      </c>
      <c r="Y2248" s="34" t="s">
        <v>2248</v>
      </c>
      <c r="Z2248" s="34" t="s">
        <v>5086</v>
      </c>
      <c r="AA2248" s="35">
        <v>8.6370967741935498E-5</v>
      </c>
      <c r="AB2248" s="13"/>
      <c r="AC2248" s="34">
        <v>2244</v>
      </c>
      <c r="AD2248" s="34" t="s">
        <v>4573</v>
      </c>
      <c r="AE2248" s="34" t="s">
        <v>2888</v>
      </c>
      <c r="AF2248" s="35">
        <v>1.4086693548387098E-3</v>
      </c>
    </row>
    <row r="2249" spans="19:32" x14ac:dyDescent="0.35">
      <c r="S2249" s="34">
        <v>2245</v>
      </c>
      <c r="T2249" s="34" t="s">
        <v>4284</v>
      </c>
      <c r="U2249" s="34" t="s">
        <v>3653</v>
      </c>
      <c r="V2249" s="35">
        <v>4.1129032258064517E-2</v>
      </c>
      <c r="W2249" s="13"/>
      <c r="X2249" s="47">
        <v>2245</v>
      </c>
      <c r="Y2249" s="47" t="s">
        <v>2248</v>
      </c>
      <c r="Z2249" s="47" t="s">
        <v>3169</v>
      </c>
      <c r="AA2249" s="48">
        <v>1.61E-6</v>
      </c>
      <c r="AB2249" s="13"/>
      <c r="AC2249" s="47">
        <v>2245</v>
      </c>
      <c r="AD2249" s="47" t="s">
        <v>4573</v>
      </c>
      <c r="AE2249" s="47" t="s">
        <v>2888</v>
      </c>
      <c r="AF2249" s="48">
        <v>5.6580000000000004</v>
      </c>
    </row>
    <row r="2250" spans="19:32" x14ac:dyDescent="0.35">
      <c r="S2250" s="34">
        <v>2246</v>
      </c>
      <c r="T2250" s="34" t="s">
        <v>4284</v>
      </c>
      <c r="U2250" s="34" t="s">
        <v>3650</v>
      </c>
      <c r="V2250" s="35">
        <v>2.340927419354839E-2</v>
      </c>
      <c r="W2250" s="13"/>
      <c r="X2250" s="34">
        <v>2246</v>
      </c>
      <c r="Y2250" s="34" t="s">
        <v>2248</v>
      </c>
      <c r="Z2250" s="34" t="s">
        <v>4248</v>
      </c>
      <c r="AA2250" s="35">
        <v>1.004233870967742E-4</v>
      </c>
      <c r="AB2250" s="13"/>
      <c r="AC2250" s="34">
        <v>2246</v>
      </c>
      <c r="AD2250" s="34" t="s">
        <v>4573</v>
      </c>
      <c r="AE2250" s="34" t="s">
        <v>2887</v>
      </c>
      <c r="AF2250" s="35">
        <v>2.1901209677419357E-4</v>
      </c>
    </row>
    <row r="2251" spans="19:32" x14ac:dyDescent="0.35">
      <c r="S2251" s="34">
        <v>2247</v>
      </c>
      <c r="T2251" s="34" t="s">
        <v>4284</v>
      </c>
      <c r="U2251" s="34" t="s">
        <v>3647</v>
      </c>
      <c r="V2251" s="35">
        <v>2.7350806451612905E-2</v>
      </c>
      <c r="W2251" s="13"/>
      <c r="X2251" s="34">
        <v>2247</v>
      </c>
      <c r="Y2251" s="34" t="s">
        <v>2248</v>
      </c>
      <c r="Z2251" s="34" t="s">
        <v>5085</v>
      </c>
      <c r="AA2251" s="35">
        <v>5.3810483870967742E-4</v>
      </c>
      <c r="AB2251" s="13"/>
      <c r="AC2251" s="47">
        <v>2247</v>
      </c>
      <c r="AD2251" s="47" t="s">
        <v>4573</v>
      </c>
      <c r="AE2251" s="47" t="s">
        <v>2887</v>
      </c>
      <c r="AF2251" s="48">
        <v>0</v>
      </c>
    </row>
    <row r="2252" spans="19:32" x14ac:dyDescent="0.35">
      <c r="S2252" s="34">
        <v>2248</v>
      </c>
      <c r="T2252" s="34" t="s">
        <v>4284</v>
      </c>
      <c r="U2252" s="34" t="s">
        <v>3641</v>
      </c>
      <c r="V2252" s="35">
        <v>1.4120967741935485E-2</v>
      </c>
      <c r="W2252" s="13"/>
      <c r="X2252" s="47">
        <v>2248</v>
      </c>
      <c r="Y2252" s="47" t="s">
        <v>2248</v>
      </c>
      <c r="Z2252" s="47" t="s">
        <v>4245</v>
      </c>
      <c r="AA2252" s="56">
        <v>1233.8709677419356</v>
      </c>
      <c r="AB2252" s="13"/>
      <c r="AC2252" s="34">
        <v>2248</v>
      </c>
      <c r="AD2252" s="34" t="s">
        <v>4573</v>
      </c>
      <c r="AE2252" s="34" t="s">
        <v>3197</v>
      </c>
      <c r="AF2252" s="35">
        <v>3.6330645161290323E-2</v>
      </c>
    </row>
    <row r="2253" spans="19:32" x14ac:dyDescent="0.35">
      <c r="S2253" s="34">
        <v>2249</v>
      </c>
      <c r="T2253" s="34" t="s">
        <v>4284</v>
      </c>
      <c r="U2253" s="34" t="s">
        <v>3637</v>
      </c>
      <c r="V2253" s="35">
        <v>6.2036290322580651E-2</v>
      </c>
      <c r="W2253" s="13"/>
      <c r="X2253" s="47">
        <v>2249</v>
      </c>
      <c r="Y2253" s="47" t="s">
        <v>2248</v>
      </c>
      <c r="Z2253" s="47" t="s">
        <v>3167</v>
      </c>
      <c r="AA2253" s="48">
        <v>0</v>
      </c>
      <c r="AB2253" s="13"/>
      <c r="AC2253" s="34">
        <v>2249</v>
      </c>
      <c r="AD2253" s="34" t="s">
        <v>4573</v>
      </c>
      <c r="AE2253" s="34" t="s">
        <v>3194</v>
      </c>
      <c r="AF2253" s="35">
        <v>0.74375000000000002</v>
      </c>
    </row>
    <row r="2254" spans="19:32" x14ac:dyDescent="0.35">
      <c r="S2254" s="34">
        <v>2250</v>
      </c>
      <c r="T2254" s="34" t="s">
        <v>4284</v>
      </c>
      <c r="U2254" s="34" t="s">
        <v>3634</v>
      </c>
      <c r="V2254" s="35">
        <v>30.675403225806456</v>
      </c>
      <c r="W2254" s="13"/>
      <c r="X2254" s="34">
        <v>2250</v>
      </c>
      <c r="Y2254" s="34" t="s">
        <v>2248</v>
      </c>
      <c r="Z2254" s="34" t="s">
        <v>3570</v>
      </c>
      <c r="AA2254" s="35">
        <v>2.7385080645161296E-3</v>
      </c>
      <c r="AB2254" s="13"/>
      <c r="AC2254" s="34">
        <v>2250</v>
      </c>
      <c r="AD2254" s="34" t="s">
        <v>4573</v>
      </c>
      <c r="AE2254" s="34" t="s">
        <v>3191</v>
      </c>
      <c r="AF2254" s="35">
        <v>4.6612903225806456E-3</v>
      </c>
    </row>
    <row r="2255" spans="19:32" x14ac:dyDescent="0.35">
      <c r="S2255" s="34">
        <v>2251</v>
      </c>
      <c r="T2255" s="34" t="s">
        <v>4284</v>
      </c>
      <c r="U2255" s="34" t="s">
        <v>3628</v>
      </c>
      <c r="V2255" s="35">
        <v>4.2500000000000003E-2</v>
      </c>
      <c r="W2255" s="13"/>
      <c r="X2255" s="47">
        <v>2251</v>
      </c>
      <c r="Y2255" s="47" t="s">
        <v>2248</v>
      </c>
      <c r="Z2255" s="47" t="s">
        <v>4243</v>
      </c>
      <c r="AA2255" s="56">
        <v>9.5625000000000007E-4</v>
      </c>
      <c r="AB2255" s="13"/>
      <c r="AC2255" s="34">
        <v>2251</v>
      </c>
      <c r="AD2255" s="34" t="s">
        <v>4573</v>
      </c>
      <c r="AE2255" s="34" t="s">
        <v>2885</v>
      </c>
      <c r="AF2255" s="35">
        <v>3.5645161290322582E-3</v>
      </c>
    </row>
    <row r="2256" spans="19:32" x14ac:dyDescent="0.35">
      <c r="S2256" s="34">
        <v>2252</v>
      </c>
      <c r="T2256" s="34" t="s">
        <v>4284</v>
      </c>
      <c r="U2256" s="34" t="s">
        <v>3012</v>
      </c>
      <c r="V2256" s="35">
        <v>3.2903225806451615E-2</v>
      </c>
      <c r="W2256" s="13"/>
      <c r="X2256" s="47">
        <v>2252</v>
      </c>
      <c r="Y2256" s="47" t="s">
        <v>2248</v>
      </c>
      <c r="Z2256" s="47" t="s">
        <v>4241</v>
      </c>
      <c r="AA2256" s="56">
        <v>0.3530241935483871</v>
      </c>
      <c r="AB2256" s="13"/>
      <c r="AC2256" s="47">
        <v>2252</v>
      </c>
      <c r="AD2256" s="47" t="s">
        <v>4573</v>
      </c>
      <c r="AE2256" s="47" t="s">
        <v>2885</v>
      </c>
      <c r="AF2256" s="48">
        <v>4.1307999999999997E-2</v>
      </c>
    </row>
    <row r="2257" spans="19:32" x14ac:dyDescent="0.35">
      <c r="S2257" s="47">
        <v>2253</v>
      </c>
      <c r="T2257" s="47" t="s">
        <v>4284</v>
      </c>
      <c r="U2257" s="47" t="s">
        <v>3012</v>
      </c>
      <c r="V2257" s="48">
        <v>0</v>
      </c>
      <c r="W2257" s="13"/>
      <c r="X2257" s="47">
        <v>2253</v>
      </c>
      <c r="Y2257" s="47" t="s">
        <v>2248</v>
      </c>
      <c r="Z2257" s="47" t="s">
        <v>4237</v>
      </c>
      <c r="AA2257" s="56">
        <v>4.8669354838709683E-2</v>
      </c>
      <c r="AB2257" s="13"/>
      <c r="AC2257" s="34">
        <v>2253</v>
      </c>
      <c r="AD2257" s="34" t="s">
        <v>4573</v>
      </c>
      <c r="AE2257" s="34" t="s">
        <v>3187</v>
      </c>
      <c r="AF2257" s="35">
        <v>1.501209677419355E-2</v>
      </c>
    </row>
    <row r="2258" spans="19:32" x14ac:dyDescent="0.35">
      <c r="S2258" s="34">
        <v>2254</v>
      </c>
      <c r="T2258" s="34" t="s">
        <v>4284</v>
      </c>
      <c r="U2258" s="34" t="s">
        <v>3619</v>
      </c>
      <c r="V2258" s="35">
        <v>0.10796370967741936</v>
      </c>
      <c r="W2258" s="13"/>
      <c r="X2258" s="34">
        <v>2254</v>
      </c>
      <c r="Y2258" s="34" t="s">
        <v>2248</v>
      </c>
      <c r="Z2258" s="34" t="s">
        <v>5084</v>
      </c>
      <c r="AA2258" s="35">
        <v>7.6088709677419363E-5</v>
      </c>
      <c r="AB2258" s="13"/>
      <c r="AC2258" s="34">
        <v>2254</v>
      </c>
      <c r="AD2258" s="34" t="s">
        <v>4573</v>
      </c>
      <c r="AE2258" s="34" t="s">
        <v>3184</v>
      </c>
      <c r="AF2258" s="35">
        <v>4.5241935483870973E-5</v>
      </c>
    </row>
    <row r="2259" spans="19:32" x14ac:dyDescent="0.35">
      <c r="S2259" s="34">
        <v>2255</v>
      </c>
      <c r="T2259" s="34" t="s">
        <v>4284</v>
      </c>
      <c r="U2259" s="34" t="s">
        <v>3010</v>
      </c>
      <c r="V2259" s="35">
        <v>239.91935483870969</v>
      </c>
      <c r="W2259" s="13"/>
      <c r="X2259" s="34">
        <v>2255</v>
      </c>
      <c r="Y2259" s="34" t="s">
        <v>2248</v>
      </c>
      <c r="Z2259" s="34" t="s">
        <v>4235</v>
      </c>
      <c r="AA2259" s="35">
        <v>8.8770161290322588E-5</v>
      </c>
      <c r="AB2259" s="13"/>
      <c r="AC2259" s="34">
        <v>2255</v>
      </c>
      <c r="AD2259" s="34" t="s">
        <v>4573</v>
      </c>
      <c r="AE2259" s="34" t="s">
        <v>3181</v>
      </c>
      <c r="AF2259" s="35">
        <v>2.6973790322580649</v>
      </c>
    </row>
    <row r="2260" spans="19:32" x14ac:dyDescent="0.35">
      <c r="S2260" s="47">
        <v>2256</v>
      </c>
      <c r="T2260" s="47" t="s">
        <v>4284</v>
      </c>
      <c r="U2260" s="47" t="s">
        <v>3010</v>
      </c>
      <c r="V2260" s="48">
        <v>0</v>
      </c>
      <c r="W2260" s="13"/>
      <c r="X2260" s="47">
        <v>2256</v>
      </c>
      <c r="Y2260" s="47" t="s">
        <v>2248</v>
      </c>
      <c r="Z2260" s="47" t="s">
        <v>4232</v>
      </c>
      <c r="AA2260" s="56">
        <v>1.7754032258064517E-3</v>
      </c>
      <c r="AB2260" s="13"/>
      <c r="AC2260" s="34">
        <v>2256</v>
      </c>
      <c r="AD2260" s="34" t="s">
        <v>4573</v>
      </c>
      <c r="AE2260" s="34" t="s">
        <v>2884</v>
      </c>
      <c r="AF2260" s="35">
        <v>6.9233870967741939E-4</v>
      </c>
    </row>
    <row r="2261" spans="19:32" x14ac:dyDescent="0.35">
      <c r="S2261" s="34">
        <v>2257</v>
      </c>
      <c r="T2261" s="34" t="s">
        <v>4284</v>
      </c>
      <c r="U2261" s="34" t="s">
        <v>3614</v>
      </c>
      <c r="V2261" s="35">
        <v>9.4596774193548399</v>
      </c>
      <c r="W2261" s="13"/>
      <c r="X2261" s="34">
        <v>2257</v>
      </c>
      <c r="Y2261" s="34" t="s">
        <v>2248</v>
      </c>
      <c r="Z2261" s="34" t="s">
        <v>3561</v>
      </c>
      <c r="AA2261" s="35">
        <v>2.7213709677419358E-5</v>
      </c>
      <c r="AB2261" s="13"/>
      <c r="AC2261" s="47">
        <v>2257</v>
      </c>
      <c r="AD2261" s="47" t="s">
        <v>4573</v>
      </c>
      <c r="AE2261" s="47" t="s">
        <v>2884</v>
      </c>
      <c r="AF2261" s="48">
        <v>6.1824000000000004E-2</v>
      </c>
    </row>
    <row r="2262" spans="19:32" x14ac:dyDescent="0.35">
      <c r="S2262" s="34">
        <v>2258</v>
      </c>
      <c r="T2262" s="34" t="s">
        <v>4284</v>
      </c>
      <c r="U2262" s="34" t="s">
        <v>3009</v>
      </c>
      <c r="V2262" s="35">
        <v>53.467741935483872</v>
      </c>
      <c r="W2262" s="13"/>
      <c r="X2262" s="34">
        <v>2258</v>
      </c>
      <c r="Y2262" s="34" t="s">
        <v>2248</v>
      </c>
      <c r="Z2262" s="34" t="s">
        <v>4229</v>
      </c>
      <c r="AA2262" s="35">
        <v>6.2036290322580647E-5</v>
      </c>
      <c r="AB2262" s="13"/>
      <c r="AC2262" s="34">
        <v>2258</v>
      </c>
      <c r="AD2262" s="34" t="s">
        <v>4573</v>
      </c>
      <c r="AE2262" s="34" t="s">
        <v>3177</v>
      </c>
      <c r="AF2262" s="35">
        <v>0.42157258064516134</v>
      </c>
    </row>
    <row r="2263" spans="19:32" x14ac:dyDescent="0.35">
      <c r="S2263" s="47">
        <v>2259</v>
      </c>
      <c r="T2263" s="47" t="s">
        <v>4284</v>
      </c>
      <c r="U2263" s="47" t="s">
        <v>3009</v>
      </c>
      <c r="V2263" s="48">
        <v>0</v>
      </c>
      <c r="W2263" s="13"/>
      <c r="X2263" s="47">
        <v>2259</v>
      </c>
      <c r="Y2263" s="47" t="s">
        <v>2248</v>
      </c>
      <c r="Z2263" s="47" t="s">
        <v>4228</v>
      </c>
      <c r="AA2263" s="56">
        <v>3.4137096774193549E-6</v>
      </c>
      <c r="AB2263" s="13"/>
      <c r="AC2263" s="34">
        <v>2259</v>
      </c>
      <c r="AD2263" s="34" t="s">
        <v>4573</v>
      </c>
      <c r="AE2263" s="34" t="s">
        <v>3174</v>
      </c>
      <c r="AF2263" s="35">
        <v>0.37701612903225812</v>
      </c>
    </row>
    <row r="2264" spans="19:32" x14ac:dyDescent="0.35">
      <c r="S2264" s="34">
        <v>2260</v>
      </c>
      <c r="T2264" s="34" t="s">
        <v>4284</v>
      </c>
      <c r="U2264" s="34" t="s">
        <v>3608</v>
      </c>
      <c r="V2264" s="35">
        <v>4.5584677419354845E-3</v>
      </c>
      <c r="W2264" s="13"/>
      <c r="X2264" s="34">
        <v>2260</v>
      </c>
      <c r="Y2264" s="34" t="s">
        <v>2248</v>
      </c>
      <c r="Z2264" s="34" t="s">
        <v>5083</v>
      </c>
      <c r="AA2264" s="35">
        <v>4.6270161290322585E-5</v>
      </c>
      <c r="AB2264" s="13"/>
      <c r="AC2264" s="34">
        <v>2260</v>
      </c>
      <c r="AD2264" s="34" t="s">
        <v>4573</v>
      </c>
      <c r="AE2264" s="34" t="s">
        <v>3171</v>
      </c>
      <c r="AF2264" s="35">
        <v>1.1618951612903228</v>
      </c>
    </row>
    <row r="2265" spans="19:32" x14ac:dyDescent="0.35">
      <c r="S2265" s="34">
        <v>2261</v>
      </c>
      <c r="T2265" s="34" t="s">
        <v>4284</v>
      </c>
      <c r="U2265" s="34" t="s">
        <v>3007</v>
      </c>
      <c r="V2265" s="35">
        <v>19.913306451612904</v>
      </c>
      <c r="W2265" s="13"/>
      <c r="X2265" s="47">
        <v>2261</v>
      </c>
      <c r="Y2265" s="47" t="s">
        <v>2248</v>
      </c>
      <c r="Z2265" s="47" t="s">
        <v>3165</v>
      </c>
      <c r="AA2265" s="48">
        <v>0</v>
      </c>
      <c r="AB2265" s="13"/>
      <c r="AC2265" s="34">
        <v>2261</v>
      </c>
      <c r="AD2265" s="34" t="s">
        <v>4573</v>
      </c>
      <c r="AE2265" s="34" t="s">
        <v>3168</v>
      </c>
      <c r="AF2265" s="35">
        <v>3.1635080645161292E-4</v>
      </c>
    </row>
    <row r="2266" spans="19:32" x14ac:dyDescent="0.35">
      <c r="S2266" s="47">
        <v>2262</v>
      </c>
      <c r="T2266" s="47" t="s">
        <v>4284</v>
      </c>
      <c r="U2266" s="47" t="s">
        <v>3007</v>
      </c>
      <c r="V2266" s="48">
        <v>0</v>
      </c>
      <c r="W2266" s="13"/>
      <c r="X2266" s="34">
        <v>2262</v>
      </c>
      <c r="Y2266" s="34" t="s">
        <v>2248</v>
      </c>
      <c r="Z2266" s="34" t="s">
        <v>4227</v>
      </c>
      <c r="AA2266" s="35">
        <v>4.3870967741935482E-9</v>
      </c>
      <c r="AB2266" s="13"/>
      <c r="AC2266" s="34">
        <v>2262</v>
      </c>
      <c r="AD2266" s="34" t="s">
        <v>4573</v>
      </c>
      <c r="AE2266" s="34" t="s">
        <v>3166</v>
      </c>
      <c r="AF2266" s="35">
        <v>1.7891129032258066E-2</v>
      </c>
    </row>
    <row r="2267" spans="19:32" x14ac:dyDescent="0.35">
      <c r="S2267" s="34">
        <v>2263</v>
      </c>
      <c r="T2267" s="34" t="s">
        <v>4284</v>
      </c>
      <c r="U2267" s="34" t="s">
        <v>3006</v>
      </c>
      <c r="V2267" s="35">
        <v>0.37701612903225812</v>
      </c>
      <c r="W2267" s="13"/>
      <c r="X2267" s="47">
        <v>2263</v>
      </c>
      <c r="Y2267" s="47" t="s">
        <v>2248</v>
      </c>
      <c r="Z2267" s="47" t="s">
        <v>4225</v>
      </c>
      <c r="AA2267" s="56">
        <v>1.8953629032258068E-5</v>
      </c>
      <c r="AB2267" s="13"/>
      <c r="AC2267" s="34">
        <v>2263</v>
      </c>
      <c r="AD2267" s="34" t="s">
        <v>4573</v>
      </c>
      <c r="AE2267" s="34" t="s">
        <v>3163</v>
      </c>
      <c r="AF2267" s="35">
        <v>3.8729838709677424E-3</v>
      </c>
    </row>
    <row r="2268" spans="19:32" x14ac:dyDescent="0.35">
      <c r="S2268" s="47">
        <v>2264</v>
      </c>
      <c r="T2268" s="47" t="s">
        <v>4284</v>
      </c>
      <c r="U2268" s="47" t="s">
        <v>3006</v>
      </c>
      <c r="V2268" s="48">
        <v>0</v>
      </c>
      <c r="W2268" s="13"/>
      <c r="X2268" s="34">
        <v>2264</v>
      </c>
      <c r="Y2268" s="34" t="s">
        <v>2248</v>
      </c>
      <c r="Z2268" s="34" t="s">
        <v>5082</v>
      </c>
      <c r="AA2268" s="35">
        <v>3.2423387096774193E-3</v>
      </c>
      <c r="AB2268" s="13"/>
      <c r="AC2268" s="34">
        <v>2264</v>
      </c>
      <c r="AD2268" s="34" t="s">
        <v>4573</v>
      </c>
      <c r="AE2268" s="34" t="s">
        <v>3160</v>
      </c>
      <c r="AF2268" s="35">
        <v>7.7802419354838721E-5</v>
      </c>
    </row>
    <row r="2269" spans="19:32" x14ac:dyDescent="0.35">
      <c r="S2269" s="34">
        <v>2265</v>
      </c>
      <c r="T2269" s="34" t="s">
        <v>4284</v>
      </c>
      <c r="U2269" s="34" t="s">
        <v>3599</v>
      </c>
      <c r="V2269" s="35">
        <v>5.5524193548387099E-2</v>
      </c>
      <c r="W2269" s="13"/>
      <c r="X2269" s="47">
        <v>2265</v>
      </c>
      <c r="Y2269" s="47" t="s">
        <v>2248</v>
      </c>
      <c r="Z2269" s="47" t="s">
        <v>4222</v>
      </c>
      <c r="AA2269" s="56">
        <v>9.5282258064516138E-4</v>
      </c>
      <c r="AB2269" s="13"/>
      <c r="AC2269" s="34">
        <v>2265</v>
      </c>
      <c r="AD2269" s="34" t="s">
        <v>4573</v>
      </c>
      <c r="AE2269" s="34" t="s">
        <v>3157</v>
      </c>
      <c r="AF2269" s="35">
        <v>0.93568548387096784</v>
      </c>
    </row>
    <row r="2270" spans="19:32" x14ac:dyDescent="0.35">
      <c r="S2270" s="34">
        <v>2266</v>
      </c>
      <c r="T2270" s="34" t="s">
        <v>4284</v>
      </c>
      <c r="U2270" s="34" t="s">
        <v>3595</v>
      </c>
      <c r="V2270" s="35">
        <v>0.85000000000000009</v>
      </c>
      <c r="W2270" s="13"/>
      <c r="X2270" s="47">
        <v>2266</v>
      </c>
      <c r="Y2270" s="47" t="s">
        <v>2248</v>
      </c>
      <c r="Z2270" s="47" t="s">
        <v>4220</v>
      </c>
      <c r="AA2270" s="56">
        <v>0.10625000000000001</v>
      </c>
      <c r="AB2270" s="13"/>
      <c r="AC2270" s="34">
        <v>2266</v>
      </c>
      <c r="AD2270" s="34" t="s">
        <v>4573</v>
      </c>
      <c r="AE2270" s="34" t="s">
        <v>3154</v>
      </c>
      <c r="AF2270" s="35">
        <v>5.3467741935483877E-3</v>
      </c>
    </row>
    <row r="2271" spans="19:32" x14ac:dyDescent="0.35">
      <c r="S2271" s="34">
        <v>2267</v>
      </c>
      <c r="T2271" s="34" t="s">
        <v>4284</v>
      </c>
      <c r="U2271" s="34" t="s">
        <v>3590</v>
      </c>
      <c r="V2271" s="35">
        <v>1.5663306451612905E-2</v>
      </c>
      <c r="W2271" s="13"/>
      <c r="X2271" s="34">
        <v>2267</v>
      </c>
      <c r="Y2271" s="34" t="s">
        <v>2248</v>
      </c>
      <c r="Z2271" s="34" t="s">
        <v>5081</v>
      </c>
      <c r="AA2271" s="35">
        <v>3.5987903225806455E-3</v>
      </c>
      <c r="AB2271" s="13"/>
      <c r="AC2271" s="34">
        <v>2267</v>
      </c>
      <c r="AD2271" s="34" t="s">
        <v>4573</v>
      </c>
      <c r="AE2271" s="34" t="s">
        <v>3152</v>
      </c>
      <c r="AF2271" s="35">
        <v>2.2723790322580647E-2</v>
      </c>
    </row>
    <row r="2272" spans="19:32" x14ac:dyDescent="0.35">
      <c r="S2272" s="47">
        <v>2268</v>
      </c>
      <c r="T2272" s="47" t="s">
        <v>4284</v>
      </c>
      <c r="U2272" s="47" t="s">
        <v>3004</v>
      </c>
      <c r="V2272" s="48">
        <v>18.584</v>
      </c>
      <c r="W2272" s="13"/>
      <c r="X2272" s="47">
        <v>2268</v>
      </c>
      <c r="Y2272" s="47" t="s">
        <v>2248</v>
      </c>
      <c r="Z2272" s="47" t="s">
        <v>4219</v>
      </c>
      <c r="AA2272" s="56">
        <v>1.0110887096774195E-3</v>
      </c>
      <c r="AB2272" s="13"/>
      <c r="AC2272" s="34">
        <v>2268</v>
      </c>
      <c r="AD2272" s="34" t="s">
        <v>4573</v>
      </c>
      <c r="AE2272" s="34" t="s">
        <v>3149</v>
      </c>
      <c r="AF2272" s="35">
        <v>3.9758064516129035</v>
      </c>
    </row>
    <row r="2273" spans="19:32" x14ac:dyDescent="0.35">
      <c r="S2273" s="34">
        <v>2269</v>
      </c>
      <c r="T2273" s="34" t="s">
        <v>4284</v>
      </c>
      <c r="U2273" s="34" t="s">
        <v>3584</v>
      </c>
      <c r="V2273" s="35">
        <v>4.4899193548387098E-3</v>
      </c>
      <c r="W2273" s="13"/>
      <c r="X2273" s="34">
        <v>2269</v>
      </c>
      <c r="Y2273" s="34" t="s">
        <v>2248</v>
      </c>
      <c r="Z2273" s="34" t="s">
        <v>4216</v>
      </c>
      <c r="AA2273" s="35">
        <v>2.7590725806451617E-5</v>
      </c>
      <c r="AB2273" s="13"/>
      <c r="AC2273" s="34">
        <v>2269</v>
      </c>
      <c r="AD2273" s="34" t="s">
        <v>4573</v>
      </c>
      <c r="AE2273" s="34" t="s">
        <v>3146</v>
      </c>
      <c r="AF2273" s="35">
        <v>1.4497983870967743E-2</v>
      </c>
    </row>
    <row r="2274" spans="19:32" x14ac:dyDescent="0.35">
      <c r="S2274" s="34">
        <v>2270</v>
      </c>
      <c r="T2274" s="34" t="s">
        <v>4284</v>
      </c>
      <c r="U2274" s="34" t="s">
        <v>3580</v>
      </c>
      <c r="V2274" s="35">
        <v>8.2943548387096784E-3</v>
      </c>
      <c r="W2274" s="13"/>
      <c r="X2274" s="47">
        <v>2270</v>
      </c>
      <c r="Y2274" s="47" t="s">
        <v>2248</v>
      </c>
      <c r="Z2274" s="47" t="s">
        <v>4215</v>
      </c>
      <c r="AA2274" s="56">
        <v>1.6897177419354838E-3</v>
      </c>
      <c r="AB2274" s="13"/>
      <c r="AC2274" s="47">
        <v>2270</v>
      </c>
      <c r="AD2274" s="47" t="s">
        <v>4573</v>
      </c>
      <c r="AE2274" s="47" t="s">
        <v>2882</v>
      </c>
      <c r="AF2274" s="48">
        <v>0</v>
      </c>
    </row>
    <row r="2275" spans="19:32" x14ac:dyDescent="0.35">
      <c r="S2275" s="34">
        <v>2271</v>
      </c>
      <c r="T2275" s="34" t="s">
        <v>4284</v>
      </c>
      <c r="U2275" s="34" t="s">
        <v>5080</v>
      </c>
      <c r="V2275" s="35">
        <v>1.206451612903226E-2</v>
      </c>
      <c r="W2275" s="13"/>
      <c r="X2275" s="34">
        <v>2271</v>
      </c>
      <c r="Y2275" s="34" t="s">
        <v>2248</v>
      </c>
      <c r="Z2275" s="34" t="s">
        <v>5079</v>
      </c>
      <c r="AA2275" s="35">
        <v>0.27110887096774194</v>
      </c>
      <c r="AB2275" s="13"/>
      <c r="AC2275" s="34">
        <v>2271</v>
      </c>
      <c r="AD2275" s="34" t="s">
        <v>4573</v>
      </c>
      <c r="AE2275" s="34" t="s">
        <v>3143</v>
      </c>
      <c r="AF2275" s="35">
        <v>7.4032258064516132E-2</v>
      </c>
    </row>
    <row r="2276" spans="19:32" x14ac:dyDescent="0.35">
      <c r="S2276" s="34">
        <v>2272</v>
      </c>
      <c r="T2276" s="34" t="s">
        <v>4284</v>
      </c>
      <c r="U2276" s="34" t="s">
        <v>3571</v>
      </c>
      <c r="V2276" s="35">
        <v>0.81229838709677427</v>
      </c>
      <c r="W2276" s="13"/>
      <c r="X2276" s="47">
        <v>2272</v>
      </c>
      <c r="Y2276" s="47" t="s">
        <v>2248</v>
      </c>
      <c r="Z2276" s="47" t="s">
        <v>3164</v>
      </c>
      <c r="AA2276" s="48">
        <v>0</v>
      </c>
      <c r="AB2276" s="13"/>
      <c r="AC2276" s="34">
        <v>2272</v>
      </c>
      <c r="AD2276" s="34" t="s">
        <v>4573</v>
      </c>
      <c r="AE2276" s="34" t="s">
        <v>3141</v>
      </c>
      <c r="AF2276" s="35">
        <v>0.28756048387096778</v>
      </c>
    </row>
    <row r="2277" spans="19:32" x14ac:dyDescent="0.35">
      <c r="S2277" s="34">
        <v>2273</v>
      </c>
      <c r="T2277" s="34" t="s">
        <v>4284</v>
      </c>
      <c r="U2277" s="34" t="s">
        <v>3568</v>
      </c>
      <c r="V2277" s="35">
        <v>0.15868951612903226</v>
      </c>
      <c r="W2277" s="13"/>
      <c r="X2277" s="34">
        <v>2273</v>
      </c>
      <c r="Y2277" s="34" t="s">
        <v>2248</v>
      </c>
      <c r="Z2277" s="34" t="s">
        <v>3164</v>
      </c>
      <c r="AA2277" s="35">
        <v>0.19639112903225808</v>
      </c>
      <c r="AB2277" s="13"/>
      <c r="AC2277" s="34">
        <v>2273</v>
      </c>
      <c r="AD2277" s="34" t="s">
        <v>4573</v>
      </c>
      <c r="AE2277" s="34" t="s">
        <v>3138</v>
      </c>
      <c r="AF2277" s="35">
        <v>2.0290322580645163E-4</v>
      </c>
    </row>
    <row r="2278" spans="19:32" x14ac:dyDescent="0.35">
      <c r="S2278" s="34">
        <v>2274</v>
      </c>
      <c r="T2278" s="34" t="s">
        <v>4284</v>
      </c>
      <c r="U2278" s="34" t="s">
        <v>3565</v>
      </c>
      <c r="V2278" s="35">
        <v>4.215725806451613</v>
      </c>
      <c r="W2278" s="13"/>
      <c r="X2278" s="34">
        <v>2274</v>
      </c>
      <c r="Y2278" s="34" t="s">
        <v>2248</v>
      </c>
      <c r="Z2278" s="34" t="s">
        <v>5078</v>
      </c>
      <c r="AA2278" s="35">
        <v>1.1310483870967743E-4</v>
      </c>
      <c r="AB2278" s="13"/>
      <c r="AC2278" s="34">
        <v>2274</v>
      </c>
      <c r="AD2278" s="34" t="s">
        <v>4573</v>
      </c>
      <c r="AE2278" s="34" t="s">
        <v>3135</v>
      </c>
      <c r="AF2278" s="35">
        <v>1.867943548387097</v>
      </c>
    </row>
    <row r="2279" spans="19:32" x14ac:dyDescent="0.35">
      <c r="S2279" s="34">
        <v>2275</v>
      </c>
      <c r="T2279" s="34" t="s">
        <v>4284</v>
      </c>
      <c r="U2279" s="34" t="s">
        <v>3562</v>
      </c>
      <c r="V2279" s="35">
        <v>12.715725806451614</v>
      </c>
      <c r="W2279" s="13"/>
      <c r="X2279" s="47">
        <v>2275</v>
      </c>
      <c r="Y2279" s="47" t="s">
        <v>2248</v>
      </c>
      <c r="Z2279" s="47" t="s">
        <v>4211</v>
      </c>
      <c r="AA2279" s="56">
        <v>7.0262096774193553E-3</v>
      </c>
      <c r="AB2279" s="13"/>
      <c r="AC2279" s="34">
        <v>2275</v>
      </c>
      <c r="AD2279" s="34" t="s">
        <v>4573</v>
      </c>
      <c r="AE2279" s="34" t="s">
        <v>3132</v>
      </c>
      <c r="AF2279" s="35">
        <v>1.7034274193548389</v>
      </c>
    </row>
    <row r="2280" spans="19:32" x14ac:dyDescent="0.35">
      <c r="S2280" s="34">
        <v>2276</v>
      </c>
      <c r="T2280" s="34" t="s">
        <v>4284</v>
      </c>
      <c r="U2280" s="34" t="s">
        <v>3559</v>
      </c>
      <c r="V2280" s="35">
        <v>4.3528225806451618E-2</v>
      </c>
      <c r="W2280" s="13"/>
      <c r="X2280" s="47">
        <v>2276</v>
      </c>
      <c r="Y2280" s="47" t="s">
        <v>2248</v>
      </c>
      <c r="Z2280" s="47" t="s">
        <v>3162</v>
      </c>
      <c r="AA2280" s="48">
        <v>0</v>
      </c>
      <c r="AB2280" s="13"/>
      <c r="AC2280" s="34">
        <v>2276</v>
      </c>
      <c r="AD2280" s="34" t="s">
        <v>4573</v>
      </c>
      <c r="AE2280" s="34" t="s">
        <v>3129</v>
      </c>
      <c r="AF2280" s="35">
        <v>0.60665322580645165</v>
      </c>
    </row>
    <row r="2281" spans="19:32" x14ac:dyDescent="0.35">
      <c r="S2281" s="34">
        <v>2277</v>
      </c>
      <c r="T2281" s="34" t="s">
        <v>4284</v>
      </c>
      <c r="U2281" s="34" t="s">
        <v>3556</v>
      </c>
      <c r="V2281" s="35">
        <v>0.13949596774193548</v>
      </c>
      <c r="W2281" s="13"/>
      <c r="X2281" s="34">
        <v>2277</v>
      </c>
      <c r="Y2281" s="34" t="s">
        <v>2248</v>
      </c>
      <c r="Z2281" s="34" t="s">
        <v>3162</v>
      </c>
      <c r="AA2281" s="35">
        <v>3.7701612903225811E-4</v>
      </c>
      <c r="AB2281" s="13"/>
      <c r="AC2281" s="47">
        <v>2277</v>
      </c>
      <c r="AD2281" s="47" t="s">
        <v>4573</v>
      </c>
      <c r="AE2281" s="47" t="s">
        <v>2880</v>
      </c>
      <c r="AF2281" s="48">
        <v>0</v>
      </c>
    </row>
    <row r="2282" spans="19:32" x14ac:dyDescent="0.35">
      <c r="S2282" s="34">
        <v>2278</v>
      </c>
      <c r="T2282" s="34" t="s">
        <v>4284</v>
      </c>
      <c r="U2282" s="34" t="s">
        <v>3551</v>
      </c>
      <c r="V2282" s="35">
        <v>1.7034274193548388E-2</v>
      </c>
      <c r="W2282" s="13"/>
      <c r="X2282" s="34">
        <v>2278</v>
      </c>
      <c r="Y2282" s="34" t="s">
        <v>2248</v>
      </c>
      <c r="Z2282" s="34" t="s">
        <v>5077</v>
      </c>
      <c r="AA2282" s="35">
        <v>6.3064516129032267E-3</v>
      </c>
      <c r="AB2282" s="13"/>
      <c r="AC2282" s="47">
        <v>2278</v>
      </c>
      <c r="AD2282" s="47" t="s">
        <v>4573</v>
      </c>
      <c r="AE2282" s="47" t="s">
        <v>2879</v>
      </c>
      <c r="AF2282" s="48">
        <v>0</v>
      </c>
    </row>
    <row r="2283" spans="19:32" x14ac:dyDescent="0.35">
      <c r="S2283" s="34">
        <v>2279</v>
      </c>
      <c r="T2283" s="34" t="s">
        <v>4284</v>
      </c>
      <c r="U2283" s="34" t="s">
        <v>3547</v>
      </c>
      <c r="V2283" s="35">
        <v>0.30024193548387101</v>
      </c>
      <c r="W2283" s="13"/>
      <c r="X2283" s="47">
        <v>2279</v>
      </c>
      <c r="Y2283" s="47" t="s">
        <v>2248</v>
      </c>
      <c r="Z2283" s="47" t="s">
        <v>3161</v>
      </c>
      <c r="AA2283" s="48">
        <v>0.20884</v>
      </c>
      <c r="AB2283" s="13"/>
      <c r="AC2283" s="34">
        <v>2279</v>
      </c>
      <c r="AD2283" s="34" t="s">
        <v>4573</v>
      </c>
      <c r="AE2283" s="34" t="s">
        <v>2877</v>
      </c>
      <c r="AF2283" s="35">
        <v>40.786290322580648</v>
      </c>
    </row>
    <row r="2284" spans="19:32" x14ac:dyDescent="0.35">
      <c r="S2284" s="34">
        <v>2280</v>
      </c>
      <c r="T2284" s="34" t="s">
        <v>4284</v>
      </c>
      <c r="U2284" s="34" t="s">
        <v>3544</v>
      </c>
      <c r="V2284" s="35">
        <v>0.10076612903225807</v>
      </c>
      <c r="W2284" s="13"/>
      <c r="X2284" s="47">
        <v>2280</v>
      </c>
      <c r="Y2284" s="47" t="s">
        <v>2248</v>
      </c>
      <c r="Z2284" s="47" t="s">
        <v>3161</v>
      </c>
      <c r="AA2284" s="56">
        <v>0.23957661290322582</v>
      </c>
      <c r="AB2284" s="13"/>
      <c r="AC2284" s="47">
        <v>2280</v>
      </c>
      <c r="AD2284" s="47" t="s">
        <v>4573</v>
      </c>
      <c r="AE2284" s="47" t="s">
        <v>2877</v>
      </c>
      <c r="AF2284" s="48">
        <v>3385.6</v>
      </c>
    </row>
    <row r="2285" spans="19:32" x14ac:dyDescent="0.35">
      <c r="S2285" s="34">
        <v>2281</v>
      </c>
      <c r="T2285" s="34" t="s">
        <v>4284</v>
      </c>
      <c r="U2285" s="34" t="s">
        <v>3541</v>
      </c>
      <c r="V2285" s="35">
        <v>3.3177419354838714E-2</v>
      </c>
      <c r="W2285" s="13"/>
      <c r="X2285" s="34">
        <v>2281</v>
      </c>
      <c r="Y2285" s="34" t="s">
        <v>2248</v>
      </c>
      <c r="Z2285" s="34" t="s">
        <v>5076</v>
      </c>
      <c r="AA2285" s="35">
        <v>0.22243951612903229</v>
      </c>
      <c r="AB2285" s="13"/>
      <c r="AC2285" s="47">
        <v>2281</v>
      </c>
      <c r="AD2285" s="47" t="s">
        <v>4573</v>
      </c>
      <c r="AE2285" s="47" t="s">
        <v>2876</v>
      </c>
      <c r="AF2285" s="48">
        <v>0</v>
      </c>
    </row>
    <row r="2286" spans="19:32" x14ac:dyDescent="0.35">
      <c r="S2286" s="34">
        <v>2282</v>
      </c>
      <c r="T2286" s="34" t="s">
        <v>4284</v>
      </c>
      <c r="U2286" s="34" t="s">
        <v>3538</v>
      </c>
      <c r="V2286" s="35">
        <v>0.1158467741935484</v>
      </c>
      <c r="W2286" s="13"/>
      <c r="X2286" s="47">
        <v>2282</v>
      </c>
      <c r="Y2286" s="47" t="s">
        <v>2248</v>
      </c>
      <c r="Z2286" s="47" t="s">
        <v>3159</v>
      </c>
      <c r="AA2286" s="48">
        <v>0</v>
      </c>
      <c r="AB2286" s="13"/>
      <c r="AC2286" s="36">
        <v>2282</v>
      </c>
      <c r="AD2286" s="36" t="s">
        <v>4573</v>
      </c>
      <c r="AE2286" s="36" t="s">
        <v>4984</v>
      </c>
      <c r="AF2286" s="37">
        <v>4.7</v>
      </c>
    </row>
    <row r="2287" spans="19:32" x14ac:dyDescent="0.35">
      <c r="S2287" s="34">
        <v>2283</v>
      </c>
      <c r="T2287" s="34" t="s">
        <v>4284</v>
      </c>
      <c r="U2287" s="34" t="s">
        <v>3003</v>
      </c>
      <c r="V2287" s="35">
        <v>0.13264112903225808</v>
      </c>
      <c r="W2287" s="13"/>
      <c r="X2287" s="47">
        <v>2283</v>
      </c>
      <c r="Y2287" s="47" t="s">
        <v>2248</v>
      </c>
      <c r="Z2287" s="47" t="s">
        <v>3159</v>
      </c>
      <c r="AA2287" s="56">
        <v>5.1411290322580646E-3</v>
      </c>
      <c r="AB2287" s="13"/>
      <c r="AC2287" s="34">
        <v>2283</v>
      </c>
      <c r="AD2287" s="34" t="s">
        <v>4573</v>
      </c>
      <c r="AE2287" s="34" t="s">
        <v>3125</v>
      </c>
      <c r="AF2287" s="35">
        <v>5.620967741935484</v>
      </c>
    </row>
    <row r="2288" spans="19:32" x14ac:dyDescent="0.35">
      <c r="S2288" s="47">
        <v>2284</v>
      </c>
      <c r="T2288" s="47" t="s">
        <v>4284</v>
      </c>
      <c r="U2288" s="47" t="s">
        <v>3003</v>
      </c>
      <c r="V2288" s="48">
        <v>0</v>
      </c>
      <c r="W2288" s="13"/>
      <c r="X2288" s="34">
        <v>2284</v>
      </c>
      <c r="Y2288" s="34" t="s">
        <v>2248</v>
      </c>
      <c r="Z2288" s="34" t="s">
        <v>5075</v>
      </c>
      <c r="AA2288" s="35">
        <v>5.4495967741935492E-2</v>
      </c>
      <c r="AB2288" s="13"/>
      <c r="AC2288" s="34">
        <v>2284</v>
      </c>
      <c r="AD2288" s="34" t="s">
        <v>4573</v>
      </c>
      <c r="AE2288" s="34" t="s">
        <v>3122</v>
      </c>
      <c r="AF2288" s="35">
        <v>2.8344758064516133E-3</v>
      </c>
    </row>
    <row r="2289" spans="19:32" x14ac:dyDescent="0.35">
      <c r="S2289" s="34">
        <v>2285</v>
      </c>
      <c r="T2289" s="34" t="s">
        <v>4284</v>
      </c>
      <c r="U2289" s="34" t="s">
        <v>3002</v>
      </c>
      <c r="V2289" s="35">
        <v>2.279233870967742E-2</v>
      </c>
      <c r="W2289" s="13"/>
      <c r="X2289" s="47">
        <v>2285</v>
      </c>
      <c r="Y2289" s="47" t="s">
        <v>2248</v>
      </c>
      <c r="Z2289" s="47" t="s">
        <v>4209</v>
      </c>
      <c r="AA2289" s="56">
        <v>1.5697580645161291E-3</v>
      </c>
      <c r="AB2289" s="13"/>
      <c r="AC2289" s="47">
        <v>2285</v>
      </c>
      <c r="AD2289" s="47" t="s">
        <v>4573</v>
      </c>
      <c r="AE2289" s="47" t="s">
        <v>2874</v>
      </c>
      <c r="AF2289" s="48">
        <v>18.675999999999998</v>
      </c>
    </row>
    <row r="2290" spans="19:32" x14ac:dyDescent="0.35">
      <c r="S2290" s="47">
        <v>2286</v>
      </c>
      <c r="T2290" s="47" t="s">
        <v>4284</v>
      </c>
      <c r="U2290" s="47" t="s">
        <v>3002</v>
      </c>
      <c r="V2290" s="48">
        <v>4.8576000000000006</v>
      </c>
      <c r="W2290" s="13"/>
      <c r="X2290" s="47">
        <v>2286</v>
      </c>
      <c r="Y2290" s="47" t="s">
        <v>2248</v>
      </c>
      <c r="Z2290" s="47" t="s">
        <v>3158</v>
      </c>
      <c r="AA2290" s="48">
        <v>2.0331999999999999</v>
      </c>
      <c r="AB2290" s="13"/>
      <c r="AC2290" s="34">
        <v>2286</v>
      </c>
      <c r="AD2290" s="34" t="s">
        <v>4573</v>
      </c>
      <c r="AE2290" s="34" t="s">
        <v>3119</v>
      </c>
      <c r="AF2290" s="35">
        <v>1.4909274193548388E-3</v>
      </c>
    </row>
    <row r="2291" spans="19:32" x14ac:dyDescent="0.35">
      <c r="S2291" s="34">
        <v>2287</v>
      </c>
      <c r="T2291" s="34" t="s">
        <v>4284</v>
      </c>
      <c r="U2291" s="34" t="s">
        <v>3001</v>
      </c>
      <c r="V2291" s="35">
        <v>5.0725806451612911E-4</v>
      </c>
      <c r="W2291" s="13"/>
      <c r="X2291" s="47">
        <v>2287</v>
      </c>
      <c r="Y2291" s="47" t="s">
        <v>2248</v>
      </c>
      <c r="Z2291" s="47" t="s">
        <v>3158</v>
      </c>
      <c r="AA2291" s="56">
        <v>7.1975806451612903E-2</v>
      </c>
      <c r="AB2291" s="13"/>
      <c r="AC2291" s="34">
        <v>2287</v>
      </c>
      <c r="AD2291" s="34" t="s">
        <v>4573</v>
      </c>
      <c r="AE2291" s="34" t="s">
        <v>3117</v>
      </c>
      <c r="AF2291" s="35">
        <v>4764.1129032258068</v>
      </c>
    </row>
    <row r="2292" spans="19:32" x14ac:dyDescent="0.35">
      <c r="S2292" s="47">
        <v>2288</v>
      </c>
      <c r="T2292" s="47" t="s">
        <v>4284</v>
      </c>
      <c r="U2292" s="47" t="s">
        <v>3001</v>
      </c>
      <c r="V2292" s="48">
        <v>1.4168000000000001</v>
      </c>
      <c r="W2292" s="13"/>
      <c r="X2292" s="34">
        <v>2288</v>
      </c>
      <c r="Y2292" s="34" t="s">
        <v>2248</v>
      </c>
      <c r="Z2292" s="34" t="s">
        <v>5074</v>
      </c>
      <c r="AA2292" s="35">
        <v>0.18610887096774195</v>
      </c>
      <c r="AB2292" s="13"/>
      <c r="AC2292" s="34">
        <v>2288</v>
      </c>
      <c r="AD2292" s="34" t="s">
        <v>4573</v>
      </c>
      <c r="AE2292" s="34" t="s">
        <v>3114</v>
      </c>
      <c r="AF2292" s="35">
        <v>1.0453629032258064E-5</v>
      </c>
    </row>
    <row r="2293" spans="19:32" x14ac:dyDescent="0.35">
      <c r="S2293" s="34">
        <v>2289</v>
      </c>
      <c r="T2293" s="34" t="s">
        <v>4284</v>
      </c>
      <c r="U2293" s="34" t="s">
        <v>3530</v>
      </c>
      <c r="V2293" s="35">
        <v>1.6074596774193549E-3</v>
      </c>
      <c r="W2293" s="13"/>
      <c r="X2293" s="34">
        <v>2289</v>
      </c>
      <c r="Y2293" s="34" t="s">
        <v>2248</v>
      </c>
      <c r="Z2293" s="34" t="s">
        <v>4205</v>
      </c>
      <c r="AA2293" s="35">
        <v>7.6774193548387101E-3</v>
      </c>
      <c r="AB2293" s="13"/>
      <c r="AC2293" s="47">
        <v>2289</v>
      </c>
      <c r="AD2293" s="47" t="s">
        <v>4573</v>
      </c>
      <c r="AE2293" s="47" t="s">
        <v>2873</v>
      </c>
      <c r="AF2293" s="48">
        <v>278.76</v>
      </c>
    </row>
    <row r="2294" spans="19:32" x14ac:dyDescent="0.35">
      <c r="S2294" s="34">
        <v>2290</v>
      </c>
      <c r="T2294" s="34" t="s">
        <v>4284</v>
      </c>
      <c r="U2294" s="34" t="s">
        <v>3527</v>
      </c>
      <c r="V2294" s="35">
        <v>2.1901209677419357E-4</v>
      </c>
      <c r="W2294" s="13"/>
      <c r="X2294" s="47">
        <v>2290</v>
      </c>
      <c r="Y2294" s="47" t="s">
        <v>2248</v>
      </c>
      <c r="Z2294" s="47" t="s">
        <v>4204</v>
      </c>
      <c r="AA2294" s="56">
        <v>4.9697580645161298E-2</v>
      </c>
      <c r="AB2294" s="13"/>
      <c r="AC2294" s="47">
        <v>2290</v>
      </c>
      <c r="AD2294" s="47" t="s">
        <v>4573</v>
      </c>
      <c r="AE2294" s="47" t="s">
        <v>2871</v>
      </c>
      <c r="AF2294" s="48">
        <v>0</v>
      </c>
    </row>
    <row r="2295" spans="19:32" x14ac:dyDescent="0.35">
      <c r="S2295" s="30">
        <v>2291</v>
      </c>
      <c r="T2295" s="30" t="s">
        <v>4284</v>
      </c>
      <c r="U2295" s="30" t="s">
        <v>5073</v>
      </c>
      <c r="V2295" s="31">
        <v>3.1320000000000001</v>
      </c>
      <c r="W2295" s="13"/>
      <c r="X2295" s="34">
        <v>2291</v>
      </c>
      <c r="Y2295" s="34" t="s">
        <v>2248</v>
      </c>
      <c r="Z2295" s="34" t="s">
        <v>5072</v>
      </c>
      <c r="AA2295" s="35">
        <v>9.5967741935483873E-5</v>
      </c>
      <c r="AB2295" s="13"/>
      <c r="AC2295" s="34">
        <v>2291</v>
      </c>
      <c r="AD2295" s="34" t="s">
        <v>4573</v>
      </c>
      <c r="AE2295" s="34" t="s">
        <v>2869</v>
      </c>
      <c r="AF2295" s="35">
        <v>2.3614919354838712E-2</v>
      </c>
    </row>
    <row r="2296" spans="19:32" x14ac:dyDescent="0.35">
      <c r="S2296" s="30">
        <v>2292</v>
      </c>
      <c r="T2296" s="30" t="s">
        <v>4284</v>
      </c>
      <c r="U2296" s="30" t="s">
        <v>5071</v>
      </c>
      <c r="V2296" s="31">
        <v>11.020000000000001</v>
      </c>
      <c r="W2296" s="13"/>
      <c r="X2296" s="34">
        <v>2292</v>
      </c>
      <c r="Y2296" s="34" t="s">
        <v>2248</v>
      </c>
      <c r="Z2296" s="34" t="s">
        <v>4203</v>
      </c>
      <c r="AA2296" s="35">
        <v>3.2149193548387101E-4</v>
      </c>
      <c r="AB2296" s="13"/>
      <c r="AC2296" s="47">
        <v>2292</v>
      </c>
      <c r="AD2296" s="47" t="s">
        <v>4573</v>
      </c>
      <c r="AE2296" s="47" t="s">
        <v>2869</v>
      </c>
      <c r="AF2296" s="48">
        <v>0.13247999999999999</v>
      </c>
    </row>
    <row r="2297" spans="19:32" x14ac:dyDescent="0.35">
      <c r="S2297" s="34">
        <v>2293</v>
      </c>
      <c r="T2297" s="34" t="s">
        <v>4284</v>
      </c>
      <c r="U2297" s="34" t="s">
        <v>3525</v>
      </c>
      <c r="V2297" s="35">
        <v>2.8961693548387095E-4</v>
      </c>
      <c r="W2297" s="13"/>
      <c r="X2297" s="47">
        <v>2293</v>
      </c>
      <c r="Y2297" s="47" t="s">
        <v>2248</v>
      </c>
      <c r="Z2297" s="47" t="s">
        <v>4201</v>
      </c>
      <c r="AA2297" s="56">
        <v>1.1070564516129034E-5</v>
      </c>
      <c r="AB2297" s="13"/>
      <c r="AC2297" s="47">
        <v>2293</v>
      </c>
      <c r="AD2297" s="47" t="s">
        <v>4573</v>
      </c>
      <c r="AE2297" s="47" t="s">
        <v>2868</v>
      </c>
      <c r="AF2297" s="48">
        <v>0</v>
      </c>
    </row>
    <row r="2298" spans="19:32" x14ac:dyDescent="0.35">
      <c r="S2298" s="34">
        <v>2294</v>
      </c>
      <c r="T2298" s="34" t="s">
        <v>4284</v>
      </c>
      <c r="U2298" s="34" t="s">
        <v>3522</v>
      </c>
      <c r="V2298" s="35">
        <v>2.1250000000000002E-5</v>
      </c>
      <c r="W2298" s="13"/>
      <c r="X2298" s="34">
        <v>2294</v>
      </c>
      <c r="Y2298" s="34" t="s">
        <v>2248</v>
      </c>
      <c r="Z2298" s="34" t="s">
        <v>5070</v>
      </c>
      <c r="AA2298" s="35">
        <v>2.8893145161290323E-3</v>
      </c>
      <c r="AB2298" s="13"/>
      <c r="AC2298" s="34">
        <v>2294</v>
      </c>
      <c r="AD2298" s="34" t="s">
        <v>4573</v>
      </c>
      <c r="AE2298" s="34" t="s">
        <v>3109</v>
      </c>
      <c r="AF2298" s="35">
        <v>2.0495967741935486</v>
      </c>
    </row>
    <row r="2299" spans="19:32" x14ac:dyDescent="0.35">
      <c r="S2299" s="34">
        <v>2295</v>
      </c>
      <c r="T2299" s="34" t="s">
        <v>4284</v>
      </c>
      <c r="U2299" s="34" t="s">
        <v>3519</v>
      </c>
      <c r="V2299" s="35">
        <v>2.9647177419354839E-2</v>
      </c>
      <c r="W2299" s="13"/>
      <c r="X2299" s="34">
        <v>2295</v>
      </c>
      <c r="Y2299" s="34" t="s">
        <v>2248</v>
      </c>
      <c r="Z2299" s="34" t="s">
        <v>4200</v>
      </c>
      <c r="AA2299" s="35">
        <v>4.4213709677419358E-4</v>
      </c>
      <c r="AB2299" s="13"/>
      <c r="AC2299" s="34">
        <v>2295</v>
      </c>
      <c r="AD2299" s="34" t="s">
        <v>4573</v>
      </c>
      <c r="AE2299" s="34" t="s">
        <v>3106</v>
      </c>
      <c r="AF2299" s="35">
        <v>1.1413306451612903</v>
      </c>
    </row>
    <row r="2300" spans="19:32" x14ac:dyDescent="0.35">
      <c r="S2300" s="30">
        <v>2296</v>
      </c>
      <c r="T2300" s="30" t="s">
        <v>4284</v>
      </c>
      <c r="U2300" s="30" t="s">
        <v>5069</v>
      </c>
      <c r="V2300" s="31">
        <v>6.2871999999999997E-3</v>
      </c>
      <c r="W2300" s="13"/>
      <c r="X2300" s="47">
        <v>2296</v>
      </c>
      <c r="Y2300" s="47" t="s">
        <v>2248</v>
      </c>
      <c r="Z2300" s="47" t="s">
        <v>3156</v>
      </c>
      <c r="AA2300" s="48">
        <v>0</v>
      </c>
      <c r="AB2300" s="13"/>
      <c r="AC2300" s="34">
        <v>2296</v>
      </c>
      <c r="AD2300" s="34" t="s">
        <v>4573</v>
      </c>
      <c r="AE2300" s="34" t="s">
        <v>3104</v>
      </c>
      <c r="AF2300" s="35">
        <v>6.5463709677419366E-2</v>
      </c>
    </row>
    <row r="2301" spans="19:32" x14ac:dyDescent="0.35">
      <c r="S2301" s="34">
        <v>2297</v>
      </c>
      <c r="T2301" s="34" t="s">
        <v>4284</v>
      </c>
      <c r="U2301" s="34" t="s">
        <v>3516</v>
      </c>
      <c r="V2301" s="35">
        <v>1.3812500000000001E-3</v>
      </c>
      <c r="W2301" s="13"/>
      <c r="X2301" s="34">
        <v>2297</v>
      </c>
      <c r="Y2301" s="34" t="s">
        <v>2248</v>
      </c>
      <c r="Z2301" s="34" t="s">
        <v>5068</v>
      </c>
      <c r="AA2301" s="35">
        <v>7.5745967741935484E-5</v>
      </c>
      <c r="AB2301" s="13"/>
      <c r="AC2301" s="34">
        <v>2297</v>
      </c>
      <c r="AD2301" s="34" t="s">
        <v>4573</v>
      </c>
      <c r="AE2301" s="34" t="s">
        <v>3101</v>
      </c>
      <c r="AF2301" s="35">
        <v>0.49012096774193553</v>
      </c>
    </row>
    <row r="2302" spans="19:32" x14ac:dyDescent="0.35">
      <c r="S2302" s="34">
        <v>2298</v>
      </c>
      <c r="T2302" s="34" t="s">
        <v>4284</v>
      </c>
      <c r="U2302" s="34" t="s">
        <v>3513</v>
      </c>
      <c r="V2302" s="35">
        <v>1.0967741935483872E-2</v>
      </c>
      <c r="W2302" s="13"/>
      <c r="X2302" s="47">
        <v>2298</v>
      </c>
      <c r="Y2302" s="47" t="s">
        <v>2248</v>
      </c>
      <c r="Z2302" s="47" t="s">
        <v>3155</v>
      </c>
      <c r="AA2302" s="48">
        <v>245.64</v>
      </c>
      <c r="AB2302" s="13"/>
      <c r="AC2302" s="34">
        <v>2298</v>
      </c>
      <c r="AD2302" s="34" t="s">
        <v>4573</v>
      </c>
      <c r="AE2302" s="34" t="s">
        <v>3098</v>
      </c>
      <c r="AF2302" s="35">
        <v>9.2883064516129047E-3</v>
      </c>
    </row>
    <row r="2303" spans="19:32" x14ac:dyDescent="0.35">
      <c r="S2303" s="34">
        <v>2299</v>
      </c>
      <c r="T2303" s="34" t="s">
        <v>4284</v>
      </c>
      <c r="U2303" s="34" t="s">
        <v>3511</v>
      </c>
      <c r="V2303" s="35">
        <v>2.2004032258064517E-2</v>
      </c>
      <c r="W2303" s="13"/>
      <c r="X2303" s="47">
        <v>2299</v>
      </c>
      <c r="Y2303" s="47" t="s">
        <v>2248</v>
      </c>
      <c r="Z2303" s="47" t="s">
        <v>3155</v>
      </c>
      <c r="AA2303" s="56">
        <v>0.54153225806451621</v>
      </c>
      <c r="AB2303" s="13"/>
      <c r="AC2303" s="34">
        <v>2299</v>
      </c>
      <c r="AD2303" s="34" t="s">
        <v>4573</v>
      </c>
      <c r="AE2303" s="34" t="s">
        <v>3095</v>
      </c>
      <c r="AF2303" s="35">
        <v>4.1814516129032265E-3</v>
      </c>
    </row>
    <row r="2304" spans="19:32" x14ac:dyDescent="0.35">
      <c r="S2304" s="34">
        <v>2300</v>
      </c>
      <c r="T2304" s="34" t="s">
        <v>4284</v>
      </c>
      <c r="U2304" s="34" t="s">
        <v>3508</v>
      </c>
      <c r="V2304" s="35">
        <v>4.798387096774194E-3</v>
      </c>
      <c r="W2304" s="13"/>
      <c r="X2304" s="47">
        <v>2300</v>
      </c>
      <c r="Y2304" s="47" t="s">
        <v>2248</v>
      </c>
      <c r="Z2304" s="47" t="s">
        <v>4198</v>
      </c>
      <c r="AA2304" s="56">
        <v>1.5423387096774196E-3</v>
      </c>
      <c r="AB2304" s="13"/>
      <c r="AC2304" s="34">
        <v>2300</v>
      </c>
      <c r="AD2304" s="34" t="s">
        <v>4573</v>
      </c>
      <c r="AE2304" s="34" t="s">
        <v>3093</v>
      </c>
      <c r="AF2304" s="35">
        <v>1.1379032258064517E-2</v>
      </c>
    </row>
    <row r="2305" spans="19:32" x14ac:dyDescent="0.35">
      <c r="S2305" s="34">
        <v>2301</v>
      </c>
      <c r="T2305" s="34" t="s">
        <v>4284</v>
      </c>
      <c r="U2305" s="34" t="s">
        <v>3505</v>
      </c>
      <c r="V2305" s="35">
        <v>6.6491935483870973E-3</v>
      </c>
      <c r="W2305" s="13"/>
      <c r="X2305" s="34">
        <v>2301</v>
      </c>
      <c r="Y2305" s="34" t="s">
        <v>2248</v>
      </c>
      <c r="Z2305" s="34" t="s">
        <v>5067</v>
      </c>
      <c r="AA2305" s="35">
        <v>1.0933467741935485E-12</v>
      </c>
      <c r="AB2305" s="13"/>
      <c r="AC2305" s="34">
        <v>2301</v>
      </c>
      <c r="AD2305" s="34" t="s">
        <v>4573</v>
      </c>
      <c r="AE2305" s="34" t="s">
        <v>2866</v>
      </c>
      <c r="AF2305" s="35">
        <v>9.9052419354838719</v>
      </c>
    </row>
    <row r="2306" spans="19:32" x14ac:dyDescent="0.35">
      <c r="S2306" s="34">
        <v>2302</v>
      </c>
      <c r="T2306" s="34" t="s">
        <v>4284</v>
      </c>
      <c r="U2306" s="34" t="s">
        <v>3502</v>
      </c>
      <c r="V2306" s="35">
        <v>1.3641129032258066</v>
      </c>
      <c r="W2306" s="13"/>
      <c r="X2306" s="47">
        <v>2302</v>
      </c>
      <c r="Y2306" s="47" t="s">
        <v>2248</v>
      </c>
      <c r="Z2306" s="47" t="s">
        <v>4196</v>
      </c>
      <c r="AA2306" s="56">
        <v>1.4772177419354839E-5</v>
      </c>
      <c r="AB2306" s="13"/>
      <c r="AC2306" s="47">
        <v>2302</v>
      </c>
      <c r="AD2306" s="47" t="s">
        <v>4573</v>
      </c>
      <c r="AE2306" s="47" t="s">
        <v>2866</v>
      </c>
      <c r="AF2306" s="48">
        <v>26.312000000000001</v>
      </c>
    </row>
    <row r="2307" spans="19:32" x14ac:dyDescent="0.35">
      <c r="S2307" s="34">
        <v>2303</v>
      </c>
      <c r="T2307" s="34" t="s">
        <v>4284</v>
      </c>
      <c r="U2307" s="34" t="s">
        <v>3500</v>
      </c>
      <c r="V2307" s="35">
        <v>3.5302419354838713E-3</v>
      </c>
      <c r="W2307" s="13"/>
      <c r="X2307" s="47">
        <v>2303</v>
      </c>
      <c r="Y2307" s="47" t="s">
        <v>2248</v>
      </c>
      <c r="Z2307" s="47" t="s">
        <v>4195</v>
      </c>
      <c r="AA2307" s="56">
        <v>1.182459677419355E-4</v>
      </c>
      <c r="AB2307" s="13"/>
      <c r="AC2307" s="34">
        <v>2303</v>
      </c>
      <c r="AD2307" s="34" t="s">
        <v>4573</v>
      </c>
      <c r="AE2307" s="34" t="s">
        <v>2865</v>
      </c>
      <c r="AF2307" s="35">
        <v>0.56552419354838712</v>
      </c>
    </row>
    <row r="2308" spans="19:32" x14ac:dyDescent="0.35">
      <c r="S2308" s="34">
        <v>2304</v>
      </c>
      <c r="T2308" s="34" t="s">
        <v>4284</v>
      </c>
      <c r="U2308" s="34" t="s">
        <v>3497</v>
      </c>
      <c r="V2308" s="35">
        <v>1.7891129032258066</v>
      </c>
      <c r="W2308" s="13"/>
      <c r="X2308" s="34">
        <v>2304</v>
      </c>
      <c r="Y2308" s="34" t="s">
        <v>2248</v>
      </c>
      <c r="Z2308" s="34" t="s">
        <v>5066</v>
      </c>
      <c r="AA2308" s="35">
        <v>3.0743951612903232E-4</v>
      </c>
      <c r="AB2308" s="13"/>
      <c r="AC2308" s="47">
        <v>2304</v>
      </c>
      <c r="AD2308" s="47" t="s">
        <v>4573</v>
      </c>
      <c r="AE2308" s="47" t="s">
        <v>2865</v>
      </c>
      <c r="AF2308" s="48">
        <v>137.07999999999998</v>
      </c>
    </row>
    <row r="2309" spans="19:32" x14ac:dyDescent="0.35">
      <c r="S2309" s="47">
        <v>2305</v>
      </c>
      <c r="T2309" s="47" t="s">
        <v>4284</v>
      </c>
      <c r="U2309" s="47" t="s">
        <v>2999</v>
      </c>
      <c r="V2309" s="48">
        <v>4.968</v>
      </c>
      <c r="W2309" s="13"/>
      <c r="X2309" s="34">
        <v>2305</v>
      </c>
      <c r="Y2309" s="34" t="s">
        <v>2248</v>
      </c>
      <c r="Z2309" s="34" t="s">
        <v>4192</v>
      </c>
      <c r="AA2309" s="35">
        <v>7.4717741935483878E-6</v>
      </c>
      <c r="AB2309" s="13"/>
      <c r="AC2309" s="34">
        <v>2305</v>
      </c>
      <c r="AD2309" s="34" t="s">
        <v>4573</v>
      </c>
      <c r="AE2309" s="34" t="s">
        <v>2863</v>
      </c>
      <c r="AF2309" s="35">
        <v>0.90826612903225812</v>
      </c>
    </row>
    <row r="2310" spans="19:32" x14ac:dyDescent="0.35">
      <c r="S2310" s="34">
        <v>2306</v>
      </c>
      <c r="T2310" s="34" t="s">
        <v>4284</v>
      </c>
      <c r="U2310" s="34" t="s">
        <v>2997</v>
      </c>
      <c r="V2310" s="35">
        <v>0.72318548387096782</v>
      </c>
      <c r="W2310" s="13"/>
      <c r="X2310" s="47">
        <v>2306</v>
      </c>
      <c r="Y2310" s="47" t="s">
        <v>2248</v>
      </c>
      <c r="Z2310" s="47" t="s">
        <v>3153</v>
      </c>
      <c r="AA2310" s="48">
        <v>0</v>
      </c>
      <c r="AB2310" s="13"/>
      <c r="AC2310" s="47">
        <v>2306</v>
      </c>
      <c r="AD2310" s="47" t="s">
        <v>4573</v>
      </c>
      <c r="AE2310" s="47" t="s">
        <v>2863</v>
      </c>
      <c r="AF2310" s="48">
        <v>32.475999999999999</v>
      </c>
    </row>
    <row r="2311" spans="19:32" x14ac:dyDescent="0.35">
      <c r="S2311" s="47">
        <v>2307</v>
      </c>
      <c r="T2311" s="47" t="s">
        <v>4284</v>
      </c>
      <c r="U2311" s="47" t="s">
        <v>2997</v>
      </c>
      <c r="V2311" s="48">
        <v>5.1336E-2</v>
      </c>
      <c r="W2311" s="13"/>
      <c r="X2311" s="47">
        <v>2307</v>
      </c>
      <c r="Y2311" s="47" t="s">
        <v>2248</v>
      </c>
      <c r="Z2311" s="47" t="s">
        <v>3153</v>
      </c>
      <c r="AA2311" s="56">
        <v>2.3786290322580649E-3</v>
      </c>
      <c r="AB2311" s="13"/>
      <c r="AC2311" s="34">
        <v>2307</v>
      </c>
      <c r="AD2311" s="34" t="s">
        <v>4573</v>
      </c>
      <c r="AE2311" s="34" t="s">
        <v>3084</v>
      </c>
      <c r="AF2311" s="35">
        <v>6.8205645161290329</v>
      </c>
    </row>
    <row r="2312" spans="19:32" x14ac:dyDescent="0.35">
      <c r="S2312" s="34">
        <v>2308</v>
      </c>
      <c r="T2312" s="34" t="s">
        <v>4284</v>
      </c>
      <c r="U2312" s="34" t="s">
        <v>2996</v>
      </c>
      <c r="V2312" s="35">
        <v>1.8987903225806452E-3</v>
      </c>
      <c r="W2312" s="13"/>
      <c r="X2312" s="34">
        <v>2308</v>
      </c>
      <c r="Y2312" s="34" t="s">
        <v>2248</v>
      </c>
      <c r="Z2312" s="34" t="s">
        <v>5065</v>
      </c>
      <c r="AA2312" s="35">
        <v>4.5927419354838714E-4</v>
      </c>
      <c r="AB2312" s="13"/>
      <c r="AC2312" s="47">
        <v>2308</v>
      </c>
      <c r="AD2312" s="47" t="s">
        <v>4573</v>
      </c>
      <c r="AE2312" s="47" t="s">
        <v>2862</v>
      </c>
      <c r="AF2312" s="48">
        <v>0</v>
      </c>
    </row>
    <row r="2313" spans="19:32" x14ac:dyDescent="0.35">
      <c r="S2313" s="47">
        <v>2309</v>
      </c>
      <c r="T2313" s="47" t="s">
        <v>4284</v>
      </c>
      <c r="U2313" s="47" t="s">
        <v>2996</v>
      </c>
      <c r="V2313" s="48">
        <v>12.052</v>
      </c>
      <c r="W2313" s="13"/>
      <c r="X2313" s="34">
        <v>2309</v>
      </c>
      <c r="Y2313" s="34" t="s">
        <v>2248</v>
      </c>
      <c r="Z2313" s="34" t="s">
        <v>4187</v>
      </c>
      <c r="AA2313" s="35">
        <v>5.6895161290322594E-4</v>
      </c>
      <c r="AB2313" s="13"/>
      <c r="AC2313" s="34">
        <v>2309</v>
      </c>
      <c r="AD2313" s="34" t="s">
        <v>4573</v>
      </c>
      <c r="AE2313" s="34" t="s">
        <v>3082</v>
      </c>
      <c r="AF2313" s="35">
        <v>9.9395161290322586E-4</v>
      </c>
    </row>
    <row r="2314" spans="19:32" x14ac:dyDescent="0.35">
      <c r="S2314" s="34">
        <v>2310</v>
      </c>
      <c r="T2314" s="34" t="s">
        <v>4284</v>
      </c>
      <c r="U2314" s="34" t="s">
        <v>3490</v>
      </c>
      <c r="V2314" s="35">
        <v>0.22552419354838713</v>
      </c>
      <c r="W2314" s="13"/>
      <c r="X2314" s="47">
        <v>2310</v>
      </c>
      <c r="Y2314" s="47" t="s">
        <v>2248</v>
      </c>
      <c r="Z2314" s="47" t="s">
        <v>4186</v>
      </c>
      <c r="AA2314" s="56">
        <v>4.1471774193548391E-4</v>
      </c>
      <c r="AB2314" s="13"/>
      <c r="AC2314" s="34">
        <v>2310</v>
      </c>
      <c r="AD2314" s="34" t="s">
        <v>4573</v>
      </c>
      <c r="AE2314" s="34" t="s">
        <v>3079</v>
      </c>
      <c r="AF2314" s="35">
        <v>0.26493951612903227</v>
      </c>
    </row>
    <row r="2315" spans="19:32" x14ac:dyDescent="0.35">
      <c r="S2315" s="36">
        <v>2311</v>
      </c>
      <c r="T2315" s="36" t="s">
        <v>4284</v>
      </c>
      <c r="U2315" s="36" t="s">
        <v>2994</v>
      </c>
      <c r="V2315" s="37">
        <v>4.6919499999999994</v>
      </c>
      <c r="W2315" s="13"/>
      <c r="X2315" s="34">
        <v>2311</v>
      </c>
      <c r="Y2315" s="34" t="s">
        <v>2248</v>
      </c>
      <c r="Z2315" s="34" t="s">
        <v>5064</v>
      </c>
      <c r="AA2315" s="35">
        <v>2.6493951612903228E-3</v>
      </c>
      <c r="AB2315" s="13"/>
      <c r="AC2315" s="47">
        <v>2311</v>
      </c>
      <c r="AD2315" s="47" t="s">
        <v>4573</v>
      </c>
      <c r="AE2315" s="47" t="s">
        <v>2860</v>
      </c>
      <c r="AF2315" s="48">
        <v>0</v>
      </c>
    </row>
    <row r="2316" spans="19:32" x14ac:dyDescent="0.35">
      <c r="S2316" s="34">
        <v>2312</v>
      </c>
      <c r="T2316" s="34" t="s">
        <v>4284</v>
      </c>
      <c r="U2316" s="34" t="s">
        <v>2994</v>
      </c>
      <c r="V2316" s="35">
        <v>5.0383064516129031E-4</v>
      </c>
      <c r="W2316" s="13"/>
      <c r="X2316" s="34">
        <v>2312</v>
      </c>
      <c r="Y2316" s="34" t="s">
        <v>2248</v>
      </c>
      <c r="Z2316" s="34" t="s">
        <v>4182</v>
      </c>
      <c r="AA2316" s="35">
        <v>9.0483870967741941E-4</v>
      </c>
      <c r="AB2316" s="13"/>
      <c r="AC2316" s="47">
        <v>2312</v>
      </c>
      <c r="AD2316" s="47" t="s">
        <v>4573</v>
      </c>
      <c r="AE2316" s="47" t="s">
        <v>2858</v>
      </c>
      <c r="AF2316" s="48">
        <v>0.47195999999999999</v>
      </c>
    </row>
    <row r="2317" spans="19:32" x14ac:dyDescent="0.35">
      <c r="S2317" s="47">
        <v>2313</v>
      </c>
      <c r="T2317" s="47" t="s">
        <v>4284</v>
      </c>
      <c r="U2317" s="47" t="s">
        <v>2994</v>
      </c>
      <c r="V2317" s="48">
        <v>12.144</v>
      </c>
      <c r="W2317" s="13"/>
      <c r="X2317" s="47">
        <v>2313</v>
      </c>
      <c r="Y2317" s="47" t="s">
        <v>2248</v>
      </c>
      <c r="Z2317" s="47" t="s">
        <v>4179</v>
      </c>
      <c r="AA2317" s="56">
        <v>9.6310483870967757E-7</v>
      </c>
      <c r="AB2317" s="13"/>
      <c r="AC2317" s="47">
        <v>2313</v>
      </c>
      <c r="AD2317" s="47" t="s">
        <v>4573</v>
      </c>
      <c r="AE2317" s="47" t="s">
        <v>2857</v>
      </c>
      <c r="AF2317" s="48">
        <v>881.36</v>
      </c>
    </row>
    <row r="2318" spans="19:32" x14ac:dyDescent="0.35">
      <c r="S2318" s="34">
        <v>2314</v>
      </c>
      <c r="T2318" s="34" t="s">
        <v>4284</v>
      </c>
      <c r="U2318" s="34" t="s">
        <v>3486</v>
      </c>
      <c r="V2318" s="35">
        <v>5.106854838709678E-5</v>
      </c>
      <c r="W2318" s="13"/>
      <c r="X2318" s="34">
        <v>2314</v>
      </c>
      <c r="Y2318" s="34" t="s">
        <v>2248</v>
      </c>
      <c r="Z2318" s="34" t="s">
        <v>5063</v>
      </c>
      <c r="AA2318" s="35">
        <v>1.7102822580645163</v>
      </c>
      <c r="AB2318" s="13"/>
      <c r="AC2318" s="34">
        <v>2314</v>
      </c>
      <c r="AD2318" s="34" t="s">
        <v>4573</v>
      </c>
      <c r="AE2318" s="34" t="s">
        <v>3076</v>
      </c>
      <c r="AF2318" s="35">
        <v>0.16108870967741937</v>
      </c>
    </row>
    <row r="2319" spans="19:32" x14ac:dyDescent="0.35">
      <c r="S2319" s="34">
        <v>2315</v>
      </c>
      <c r="T2319" s="34" t="s">
        <v>4284</v>
      </c>
      <c r="U2319" s="34" t="s">
        <v>3483</v>
      </c>
      <c r="V2319" s="35">
        <v>8.2943548387096782E-4</v>
      </c>
      <c r="W2319" s="13"/>
      <c r="X2319" s="47">
        <v>2315</v>
      </c>
      <c r="Y2319" s="47" t="s">
        <v>2248</v>
      </c>
      <c r="Z2319" s="47" t="s">
        <v>3151</v>
      </c>
      <c r="AA2319" s="48">
        <v>0</v>
      </c>
      <c r="AB2319" s="13"/>
      <c r="AC2319" s="34">
        <v>2315</v>
      </c>
      <c r="AD2319" s="34" t="s">
        <v>4573</v>
      </c>
      <c r="AE2319" s="34" t="s">
        <v>2855</v>
      </c>
      <c r="AF2319" s="35">
        <v>14.703629032258066</v>
      </c>
    </row>
    <row r="2320" spans="19:32" x14ac:dyDescent="0.35">
      <c r="S2320" s="30">
        <v>2316</v>
      </c>
      <c r="T2320" s="30" t="s">
        <v>4284</v>
      </c>
      <c r="U2320" s="30" t="s">
        <v>5062</v>
      </c>
      <c r="V2320" s="31">
        <v>38.628</v>
      </c>
      <c r="W2320" s="13"/>
      <c r="X2320" s="47">
        <v>2316</v>
      </c>
      <c r="Y2320" s="47" t="s">
        <v>2248</v>
      </c>
      <c r="Z2320" s="47" t="s">
        <v>3151</v>
      </c>
      <c r="AA2320" s="56">
        <v>0.14635080645161291</v>
      </c>
      <c r="AB2320" s="13"/>
      <c r="AC2320" s="47">
        <v>2316</v>
      </c>
      <c r="AD2320" s="47" t="s">
        <v>4573</v>
      </c>
      <c r="AE2320" s="47" t="s">
        <v>2855</v>
      </c>
      <c r="AF2320" s="48">
        <v>0</v>
      </c>
    </row>
    <row r="2321" spans="19:32" x14ac:dyDescent="0.35">
      <c r="S2321" s="30">
        <v>2317</v>
      </c>
      <c r="T2321" s="30" t="s">
        <v>4284</v>
      </c>
      <c r="U2321" s="30" t="s">
        <v>5061</v>
      </c>
      <c r="V2321" s="31">
        <v>54.52</v>
      </c>
      <c r="W2321" s="13"/>
      <c r="X2321" s="34">
        <v>2317</v>
      </c>
      <c r="Y2321" s="34" t="s">
        <v>2248</v>
      </c>
      <c r="Z2321" s="34" t="s">
        <v>3557</v>
      </c>
      <c r="AA2321" s="35">
        <v>6.4092741935483873E-4</v>
      </c>
      <c r="AB2321" s="13"/>
      <c r="AC2321" s="34">
        <v>2317</v>
      </c>
      <c r="AD2321" s="34" t="s">
        <v>4573</v>
      </c>
      <c r="AE2321" s="34" t="s">
        <v>2854</v>
      </c>
      <c r="AF2321" s="35">
        <v>2.1318548387096774</v>
      </c>
    </row>
    <row r="2322" spans="19:32" x14ac:dyDescent="0.35">
      <c r="S2322" s="30">
        <v>2318</v>
      </c>
      <c r="T2322" s="30" t="s">
        <v>4284</v>
      </c>
      <c r="U2322" s="30" t="s">
        <v>5060</v>
      </c>
      <c r="V2322" s="31">
        <v>3.8280000000000003</v>
      </c>
      <c r="W2322" s="13"/>
      <c r="X2322" s="47">
        <v>2318</v>
      </c>
      <c r="Y2322" s="47" t="s">
        <v>2248</v>
      </c>
      <c r="Z2322" s="47" t="s">
        <v>3150</v>
      </c>
      <c r="AA2322" s="48">
        <v>4.1492000000000005E-3</v>
      </c>
      <c r="AB2322" s="13"/>
      <c r="AC2322" s="47">
        <v>2318</v>
      </c>
      <c r="AD2322" s="47" t="s">
        <v>4573</v>
      </c>
      <c r="AE2322" s="47" t="s">
        <v>2854</v>
      </c>
      <c r="AF2322" s="48">
        <v>0</v>
      </c>
    </row>
    <row r="2323" spans="19:32" x14ac:dyDescent="0.35">
      <c r="S2323" s="30">
        <v>2319</v>
      </c>
      <c r="T2323" s="30" t="s">
        <v>4284</v>
      </c>
      <c r="U2323" s="30" t="s">
        <v>5059</v>
      </c>
      <c r="V2323" s="31">
        <v>1.9720000000000002</v>
      </c>
      <c r="W2323" s="13"/>
      <c r="X2323" s="47">
        <v>2319</v>
      </c>
      <c r="Y2323" s="47" t="s">
        <v>2248</v>
      </c>
      <c r="Z2323" s="47" t="s">
        <v>3150</v>
      </c>
      <c r="AA2323" s="56">
        <v>7.026209677419355E-6</v>
      </c>
      <c r="AB2323" s="13"/>
      <c r="AC2323" s="34">
        <v>2319</v>
      </c>
      <c r="AD2323" s="34" t="s">
        <v>4573</v>
      </c>
      <c r="AE2323" s="34" t="s">
        <v>3070</v>
      </c>
      <c r="AF2323" s="35">
        <v>5.4838709677419361E-3</v>
      </c>
    </row>
    <row r="2324" spans="19:32" x14ac:dyDescent="0.35">
      <c r="S2324" s="30">
        <v>2320</v>
      </c>
      <c r="T2324" s="30" t="s">
        <v>4284</v>
      </c>
      <c r="U2324" s="30" t="s">
        <v>5058</v>
      </c>
      <c r="V2324" s="31">
        <v>45.472000000000001</v>
      </c>
      <c r="W2324" s="13"/>
      <c r="X2324" s="47">
        <v>2320</v>
      </c>
      <c r="Y2324" s="47" t="s">
        <v>2248</v>
      </c>
      <c r="Z2324" s="47" t="s">
        <v>4177</v>
      </c>
      <c r="AA2324" s="56">
        <v>6.3750000000000005E-4</v>
      </c>
      <c r="AB2324" s="13"/>
      <c r="AC2324" s="34">
        <v>2320</v>
      </c>
      <c r="AD2324" s="34" t="s">
        <v>4573</v>
      </c>
      <c r="AE2324" s="34" t="s">
        <v>3067</v>
      </c>
      <c r="AF2324" s="35">
        <v>2.0633064516129033E-3</v>
      </c>
    </row>
    <row r="2325" spans="19:32" x14ac:dyDescent="0.35">
      <c r="S2325" s="30">
        <v>2321</v>
      </c>
      <c r="T2325" s="30" t="s">
        <v>4284</v>
      </c>
      <c r="U2325" s="30" t="s">
        <v>5057</v>
      </c>
      <c r="V2325" s="31">
        <v>67.28</v>
      </c>
      <c r="W2325" s="13"/>
      <c r="X2325" s="34">
        <v>2321</v>
      </c>
      <c r="Y2325" s="34" t="s">
        <v>2248</v>
      </c>
      <c r="Z2325" s="34" t="s">
        <v>3549</v>
      </c>
      <c r="AA2325" s="35">
        <v>1.5012096774193549E-3</v>
      </c>
      <c r="AB2325" s="13"/>
      <c r="AC2325" s="34">
        <v>2321</v>
      </c>
      <c r="AD2325" s="34" t="s">
        <v>4573</v>
      </c>
      <c r="AE2325" s="34" t="s">
        <v>2853</v>
      </c>
      <c r="AF2325" s="35">
        <v>6.237903225806452E-3</v>
      </c>
    </row>
    <row r="2326" spans="19:32" x14ac:dyDescent="0.35">
      <c r="S2326" s="30">
        <v>2322</v>
      </c>
      <c r="T2326" s="30" t="s">
        <v>4284</v>
      </c>
      <c r="U2326" s="30" t="s">
        <v>5056</v>
      </c>
      <c r="V2326" s="31">
        <v>43.616</v>
      </c>
      <c r="W2326" s="13"/>
      <c r="X2326" s="34">
        <v>2322</v>
      </c>
      <c r="Y2326" s="34" t="s">
        <v>2248</v>
      </c>
      <c r="Z2326" s="34" t="s">
        <v>4176</v>
      </c>
      <c r="AA2326" s="35">
        <v>1.2201612903225808E-4</v>
      </c>
      <c r="AB2326" s="13"/>
      <c r="AC2326" s="47">
        <v>2322</v>
      </c>
      <c r="AD2326" s="47" t="s">
        <v>4573</v>
      </c>
      <c r="AE2326" s="47" t="s">
        <v>2853</v>
      </c>
      <c r="AF2326" s="48">
        <v>0</v>
      </c>
    </row>
    <row r="2327" spans="19:32" x14ac:dyDescent="0.35">
      <c r="S2327" s="30">
        <v>2323</v>
      </c>
      <c r="T2327" s="30" t="s">
        <v>4284</v>
      </c>
      <c r="U2327" s="30" t="s">
        <v>5055</v>
      </c>
      <c r="V2327" s="31">
        <v>68.207999999999998</v>
      </c>
      <c r="W2327" s="13"/>
      <c r="X2327" s="47">
        <v>2323</v>
      </c>
      <c r="Y2327" s="47" t="s">
        <v>2248</v>
      </c>
      <c r="Z2327" s="47" t="s">
        <v>4175</v>
      </c>
      <c r="AA2327" s="56">
        <v>2.6939516129032259E-4</v>
      </c>
      <c r="AB2327" s="13"/>
      <c r="AC2327" s="47">
        <v>2323</v>
      </c>
      <c r="AD2327" s="47" t="s">
        <v>4573</v>
      </c>
      <c r="AE2327" s="47" t="s">
        <v>2852</v>
      </c>
      <c r="AF2327" s="48">
        <v>5.2072000000000003</v>
      </c>
    </row>
    <row r="2328" spans="19:32" x14ac:dyDescent="0.35">
      <c r="S2328" s="34">
        <v>2324</v>
      </c>
      <c r="T2328" s="34" t="s">
        <v>4284</v>
      </c>
      <c r="U2328" s="34" t="s">
        <v>3480</v>
      </c>
      <c r="V2328" s="35">
        <v>3.564516129032258E-2</v>
      </c>
      <c r="W2328" s="13"/>
      <c r="X2328" s="34">
        <v>2324</v>
      </c>
      <c r="Y2328" s="34" t="s">
        <v>2248</v>
      </c>
      <c r="Z2328" s="34" t="s">
        <v>3546</v>
      </c>
      <c r="AA2328" s="35">
        <v>2.9475806451612904E-4</v>
      </c>
      <c r="AB2328" s="13"/>
      <c r="AC2328" s="34">
        <v>2324</v>
      </c>
      <c r="AD2328" s="34" t="s">
        <v>4573</v>
      </c>
      <c r="AE2328" s="34" t="s">
        <v>3062</v>
      </c>
      <c r="AF2328" s="35">
        <v>1.9364919354838712E-3</v>
      </c>
    </row>
    <row r="2329" spans="19:32" x14ac:dyDescent="0.35">
      <c r="S2329" s="36">
        <v>2325</v>
      </c>
      <c r="T2329" s="36" t="s">
        <v>4284</v>
      </c>
      <c r="U2329" s="36" t="s">
        <v>3478</v>
      </c>
      <c r="V2329" s="37">
        <v>0.289435</v>
      </c>
      <c r="W2329" s="13"/>
      <c r="X2329" s="34">
        <v>2325</v>
      </c>
      <c r="Y2329" s="34" t="s">
        <v>2248</v>
      </c>
      <c r="Z2329" s="34" t="s">
        <v>4174</v>
      </c>
      <c r="AA2329" s="35">
        <v>2.4403225806451616E-4</v>
      </c>
      <c r="AB2329" s="13"/>
      <c r="AC2329" s="34">
        <v>2325</v>
      </c>
      <c r="AD2329" s="34" t="s">
        <v>4573</v>
      </c>
      <c r="AE2329" s="34" t="s">
        <v>3060</v>
      </c>
      <c r="AF2329" s="35">
        <v>0.44556451612903231</v>
      </c>
    </row>
    <row r="2330" spans="19:32" x14ac:dyDescent="0.35">
      <c r="S2330" s="34">
        <v>2326</v>
      </c>
      <c r="T2330" s="34" t="s">
        <v>4284</v>
      </c>
      <c r="U2330" s="34" t="s">
        <v>3478</v>
      </c>
      <c r="V2330" s="35">
        <v>7.1290322580645169E-5</v>
      </c>
      <c r="W2330" s="13"/>
      <c r="X2330" s="47">
        <v>2326</v>
      </c>
      <c r="Y2330" s="47" t="s">
        <v>2248</v>
      </c>
      <c r="Z2330" s="47" t="s">
        <v>4172</v>
      </c>
      <c r="AA2330" s="56">
        <v>1.7239919354838709E-3</v>
      </c>
      <c r="AB2330" s="13"/>
      <c r="AC2330" s="34">
        <v>2326</v>
      </c>
      <c r="AD2330" s="34" t="s">
        <v>4573</v>
      </c>
      <c r="AE2330" s="34" t="s">
        <v>3057</v>
      </c>
      <c r="AF2330" s="35">
        <v>1.8028225806451614</v>
      </c>
    </row>
    <row r="2331" spans="19:32" x14ac:dyDescent="0.35">
      <c r="S2331" s="47">
        <v>2327</v>
      </c>
      <c r="T2331" s="47" t="s">
        <v>4284</v>
      </c>
      <c r="U2331" s="47" t="s">
        <v>2993</v>
      </c>
      <c r="V2331" s="48">
        <v>7.8292000000000002</v>
      </c>
      <c r="W2331" s="13"/>
      <c r="X2331" s="34">
        <v>2327</v>
      </c>
      <c r="Y2331" s="34" t="s">
        <v>2248</v>
      </c>
      <c r="Z2331" s="34" t="s">
        <v>5054</v>
      </c>
      <c r="AA2331" s="35">
        <v>9.1512096774193558E-4</v>
      </c>
      <c r="AB2331" s="13"/>
      <c r="AC2331" s="34">
        <v>2327</v>
      </c>
      <c r="AD2331" s="34" t="s">
        <v>4573</v>
      </c>
      <c r="AE2331" s="34" t="s">
        <v>2850</v>
      </c>
      <c r="AF2331" s="35">
        <v>2.3580645161290326</v>
      </c>
    </row>
    <row r="2332" spans="19:32" x14ac:dyDescent="0.35">
      <c r="S2332" s="34">
        <v>2328</v>
      </c>
      <c r="T2332" s="34" t="s">
        <v>4284</v>
      </c>
      <c r="U2332" s="34" t="s">
        <v>3475</v>
      </c>
      <c r="V2332" s="35">
        <v>5.2782258064516135E-4</v>
      </c>
      <c r="W2332" s="13"/>
      <c r="X2332" s="47">
        <v>2328</v>
      </c>
      <c r="Y2332" s="47" t="s">
        <v>2248</v>
      </c>
      <c r="Z2332" s="47" t="s">
        <v>3148</v>
      </c>
      <c r="AA2332" s="48">
        <v>58.696000000000005</v>
      </c>
      <c r="AB2332" s="13"/>
      <c r="AC2332" s="47">
        <v>2328</v>
      </c>
      <c r="AD2332" s="47" t="s">
        <v>4573</v>
      </c>
      <c r="AE2332" s="47" t="s">
        <v>2850</v>
      </c>
      <c r="AF2332" s="48">
        <v>0.54648000000000008</v>
      </c>
    </row>
    <row r="2333" spans="19:32" x14ac:dyDescent="0.35">
      <c r="S2333" s="34">
        <v>2329</v>
      </c>
      <c r="T2333" s="34" t="s">
        <v>4284</v>
      </c>
      <c r="U2333" s="34" t="s">
        <v>3472</v>
      </c>
      <c r="V2333" s="35">
        <v>3.0401209677419352E-4</v>
      </c>
      <c r="W2333" s="13"/>
      <c r="X2333" s="34">
        <v>2329</v>
      </c>
      <c r="Y2333" s="34" t="s">
        <v>2248</v>
      </c>
      <c r="Z2333" s="34" t="s">
        <v>3148</v>
      </c>
      <c r="AA2333" s="35">
        <v>1.7445564516129032E-2</v>
      </c>
      <c r="AB2333" s="13"/>
      <c r="AC2333" s="34">
        <v>2329</v>
      </c>
      <c r="AD2333" s="34" t="s">
        <v>4573</v>
      </c>
      <c r="AE2333" s="34" t="s">
        <v>3052</v>
      </c>
      <c r="AF2333" s="35">
        <v>0.56209677419354842</v>
      </c>
    </row>
    <row r="2334" spans="19:32" x14ac:dyDescent="0.35">
      <c r="S2334" s="34">
        <v>2330</v>
      </c>
      <c r="T2334" s="34" t="s">
        <v>4284</v>
      </c>
      <c r="U2334" s="34" t="s">
        <v>2992</v>
      </c>
      <c r="V2334" s="35">
        <v>6.169354838709678E-4</v>
      </c>
      <c r="W2334" s="13"/>
      <c r="X2334" s="47">
        <v>2330</v>
      </c>
      <c r="Y2334" s="47" t="s">
        <v>2248</v>
      </c>
      <c r="Z2334" s="47" t="s">
        <v>4169</v>
      </c>
      <c r="AA2334" s="56">
        <v>1.0179435483870969E-3</v>
      </c>
      <c r="AB2334" s="13"/>
      <c r="AC2334" s="47">
        <v>2330</v>
      </c>
      <c r="AD2334" s="47" t="s">
        <v>4573</v>
      </c>
      <c r="AE2334" s="47" t="s">
        <v>2849</v>
      </c>
      <c r="AF2334" s="48">
        <v>0</v>
      </c>
    </row>
    <row r="2335" spans="19:32" x14ac:dyDescent="0.35">
      <c r="S2335" s="47">
        <v>2331</v>
      </c>
      <c r="T2335" s="47" t="s">
        <v>4284</v>
      </c>
      <c r="U2335" s="47" t="s">
        <v>2992</v>
      </c>
      <c r="V2335" s="48">
        <v>8.7583999999999995E-3</v>
      </c>
      <c r="W2335" s="13"/>
      <c r="X2335" s="34">
        <v>2331</v>
      </c>
      <c r="Y2335" s="34" t="s">
        <v>2248</v>
      </c>
      <c r="Z2335" s="34" t="s">
        <v>3545</v>
      </c>
      <c r="AA2335" s="35">
        <v>1.4292338709677422E-3</v>
      </c>
      <c r="AB2335" s="13"/>
      <c r="AC2335" s="34">
        <v>2331</v>
      </c>
      <c r="AD2335" s="34" t="s">
        <v>4573</v>
      </c>
      <c r="AE2335" s="34" t="s">
        <v>3049</v>
      </c>
      <c r="AF2335" s="35">
        <v>1.4120967741935485E-2</v>
      </c>
    </row>
    <row r="2336" spans="19:32" x14ac:dyDescent="0.35">
      <c r="S2336" s="34">
        <v>2332</v>
      </c>
      <c r="T2336" s="34" t="s">
        <v>4284</v>
      </c>
      <c r="U2336" s="34" t="s">
        <v>3468</v>
      </c>
      <c r="V2336" s="35">
        <v>105.56451612903227</v>
      </c>
      <c r="W2336" s="13"/>
      <c r="X2336" s="47">
        <v>2332</v>
      </c>
      <c r="Y2336" s="47" t="s">
        <v>2248</v>
      </c>
      <c r="Z2336" s="47" t="s">
        <v>4167</v>
      </c>
      <c r="AA2336" s="56">
        <v>5.0040322580645162E-2</v>
      </c>
      <c r="AB2336" s="13"/>
      <c r="AC2336" s="34">
        <v>2332</v>
      </c>
      <c r="AD2336" s="34" t="s">
        <v>4573</v>
      </c>
      <c r="AE2336" s="34" t="s">
        <v>3047</v>
      </c>
      <c r="AF2336" s="35">
        <v>2.8995967741935486E-2</v>
      </c>
    </row>
    <row r="2337" spans="19:32" x14ac:dyDescent="0.35">
      <c r="S2337" s="34">
        <v>2333</v>
      </c>
      <c r="T2337" s="34" t="s">
        <v>4284</v>
      </c>
      <c r="U2337" s="34" t="s">
        <v>3465</v>
      </c>
      <c r="V2337" s="35">
        <v>2.135282258064516E-3</v>
      </c>
      <c r="W2337" s="13"/>
      <c r="X2337" s="47">
        <v>2333</v>
      </c>
      <c r="Y2337" s="47" t="s">
        <v>2248</v>
      </c>
      <c r="Z2337" s="47" t="s">
        <v>4163</v>
      </c>
      <c r="AA2337" s="56">
        <v>7.3004032258064521E-3</v>
      </c>
      <c r="AB2337" s="13"/>
      <c r="AC2337" s="34">
        <v>2333</v>
      </c>
      <c r="AD2337" s="34" t="s">
        <v>4573</v>
      </c>
      <c r="AE2337" s="34" t="s">
        <v>3044</v>
      </c>
      <c r="AF2337" s="35">
        <v>2.3100806451612905E-2</v>
      </c>
    </row>
    <row r="2338" spans="19:32" x14ac:dyDescent="0.35">
      <c r="S2338" s="34">
        <v>2334</v>
      </c>
      <c r="T2338" s="34" t="s">
        <v>4284</v>
      </c>
      <c r="U2338" s="34" t="s">
        <v>3462</v>
      </c>
      <c r="V2338" s="35">
        <v>2.0050403225806455E-2</v>
      </c>
      <c r="W2338" s="13"/>
      <c r="X2338" s="34">
        <v>2334</v>
      </c>
      <c r="Y2338" s="34" t="s">
        <v>2248</v>
      </c>
      <c r="Z2338" s="34" t="s">
        <v>3543</v>
      </c>
      <c r="AA2338" s="35">
        <v>1.3298387096774195E-2</v>
      </c>
      <c r="AB2338" s="13"/>
      <c r="AC2338" s="34">
        <v>2334</v>
      </c>
      <c r="AD2338" s="34" t="s">
        <v>4573</v>
      </c>
      <c r="AE2338" s="34" t="s">
        <v>3041</v>
      </c>
      <c r="AF2338" s="35">
        <v>1.2544354838709679E-2</v>
      </c>
    </row>
    <row r="2339" spans="19:32" x14ac:dyDescent="0.35">
      <c r="S2339" s="34">
        <v>2335</v>
      </c>
      <c r="T2339" s="34" t="s">
        <v>4284</v>
      </c>
      <c r="U2339" s="34" t="s">
        <v>3459</v>
      </c>
      <c r="V2339" s="35">
        <v>1.93991935483871E-4</v>
      </c>
      <c r="W2339" s="13"/>
      <c r="X2339" s="47">
        <v>2335</v>
      </c>
      <c r="Y2339" s="47" t="s">
        <v>2248</v>
      </c>
      <c r="Z2339" s="47" t="s">
        <v>4160</v>
      </c>
      <c r="AA2339" s="56">
        <v>1.7102822580645163E-5</v>
      </c>
      <c r="AB2339" s="13"/>
      <c r="AC2339" s="34">
        <v>2335</v>
      </c>
      <c r="AD2339" s="34" t="s">
        <v>4573</v>
      </c>
      <c r="AE2339" s="34" t="s">
        <v>3038</v>
      </c>
      <c r="AF2339" s="35">
        <v>3.1977822580645161E-3</v>
      </c>
    </row>
    <row r="2340" spans="19:32" x14ac:dyDescent="0.35">
      <c r="S2340" s="34">
        <v>2336</v>
      </c>
      <c r="T2340" s="34" t="s">
        <v>4284</v>
      </c>
      <c r="U2340" s="34" t="s">
        <v>3456</v>
      </c>
      <c r="V2340" s="35">
        <v>1.5629032258064515E-4</v>
      </c>
      <c r="W2340" s="13"/>
      <c r="X2340" s="34">
        <v>2336</v>
      </c>
      <c r="Y2340" s="34" t="s">
        <v>2248</v>
      </c>
      <c r="Z2340" s="34" t="s">
        <v>4157</v>
      </c>
      <c r="AA2340" s="35">
        <v>4.9697580645161298E-2</v>
      </c>
      <c r="AB2340" s="13"/>
      <c r="AC2340" s="34">
        <v>2336</v>
      </c>
      <c r="AD2340" s="34" t="s">
        <v>4573</v>
      </c>
      <c r="AE2340" s="34" t="s">
        <v>3036</v>
      </c>
      <c r="AF2340" s="35">
        <v>2.9338709677419358E-2</v>
      </c>
    </row>
    <row r="2341" spans="19:32" x14ac:dyDescent="0.35">
      <c r="S2341" s="34">
        <v>2337</v>
      </c>
      <c r="T2341" s="34" t="s">
        <v>4284</v>
      </c>
      <c r="U2341" s="34" t="s">
        <v>3454</v>
      </c>
      <c r="V2341" s="35">
        <v>6.169354838709678E-4</v>
      </c>
      <c r="W2341" s="13"/>
      <c r="X2341" s="47">
        <v>2337</v>
      </c>
      <c r="Y2341" s="47" t="s">
        <v>2248</v>
      </c>
      <c r="Z2341" s="47" t="s">
        <v>4153</v>
      </c>
      <c r="AA2341" s="56">
        <v>8.6028225806451624E-4</v>
      </c>
      <c r="AB2341" s="13"/>
      <c r="AC2341" s="34">
        <v>2337</v>
      </c>
      <c r="AD2341" s="34" t="s">
        <v>4573</v>
      </c>
      <c r="AE2341" s="34" t="s">
        <v>3033</v>
      </c>
      <c r="AF2341" s="35">
        <v>8.9798387096774207E-2</v>
      </c>
    </row>
    <row r="2342" spans="19:32" x14ac:dyDescent="0.35">
      <c r="S2342" s="34">
        <v>2338</v>
      </c>
      <c r="T2342" s="34" t="s">
        <v>4284</v>
      </c>
      <c r="U2342" s="34" t="s">
        <v>2991</v>
      </c>
      <c r="V2342" s="35">
        <v>8.1229838709677424E-8</v>
      </c>
      <c r="W2342" s="13"/>
      <c r="X2342" s="34">
        <v>2338</v>
      </c>
      <c r="Y2342" s="34" t="s">
        <v>2248</v>
      </c>
      <c r="Z2342" s="34" t="s">
        <v>5053</v>
      </c>
      <c r="AA2342" s="35">
        <v>3.3451612903225808E-3</v>
      </c>
      <c r="AB2342" s="13"/>
      <c r="AC2342" s="34">
        <v>2338</v>
      </c>
      <c r="AD2342" s="34" t="s">
        <v>4573</v>
      </c>
      <c r="AE2342" s="34" t="s">
        <v>3030</v>
      </c>
      <c r="AF2342" s="35">
        <v>6.6834677419354838E-2</v>
      </c>
    </row>
    <row r="2343" spans="19:32" x14ac:dyDescent="0.35">
      <c r="S2343" s="47">
        <v>2339</v>
      </c>
      <c r="T2343" s="47" t="s">
        <v>4284</v>
      </c>
      <c r="U2343" s="47" t="s">
        <v>2991</v>
      </c>
      <c r="V2343" s="48">
        <v>29.439999999999998</v>
      </c>
      <c r="W2343" s="13"/>
      <c r="X2343" s="47">
        <v>2339</v>
      </c>
      <c r="Y2343" s="47" t="s">
        <v>2248</v>
      </c>
      <c r="Z2343" s="47" t="s">
        <v>3147</v>
      </c>
      <c r="AA2343" s="48">
        <v>3.3855999999999997E-2</v>
      </c>
      <c r="AB2343" s="13"/>
      <c r="AC2343" s="34">
        <v>2339</v>
      </c>
      <c r="AD2343" s="34" t="s">
        <v>4573</v>
      </c>
      <c r="AE2343" s="34" t="s">
        <v>3027</v>
      </c>
      <c r="AF2343" s="35">
        <v>0.24883064516129033</v>
      </c>
    </row>
    <row r="2344" spans="19:32" x14ac:dyDescent="0.35">
      <c r="S2344" s="34">
        <v>2340</v>
      </c>
      <c r="T2344" s="34" t="s">
        <v>4284</v>
      </c>
      <c r="U2344" s="34" t="s">
        <v>3449</v>
      </c>
      <c r="V2344" s="35">
        <v>4.1471774193548388E-8</v>
      </c>
      <c r="W2344" s="13"/>
      <c r="X2344" s="47">
        <v>2340</v>
      </c>
      <c r="Y2344" s="47" t="s">
        <v>2248</v>
      </c>
      <c r="Z2344" s="47" t="s">
        <v>3145</v>
      </c>
      <c r="AA2344" s="48">
        <v>7.1392000000000007</v>
      </c>
      <c r="AB2344" s="13"/>
      <c r="AC2344" s="34">
        <v>2340</v>
      </c>
      <c r="AD2344" s="34" t="s">
        <v>4573</v>
      </c>
      <c r="AE2344" s="34" t="s">
        <v>3024</v>
      </c>
      <c r="AF2344" s="35">
        <v>0.17822580645161293</v>
      </c>
    </row>
    <row r="2345" spans="19:32" x14ac:dyDescent="0.35">
      <c r="S2345" s="34">
        <v>2341</v>
      </c>
      <c r="T2345" s="34" t="s">
        <v>4284</v>
      </c>
      <c r="U2345" s="34" t="s">
        <v>2989</v>
      </c>
      <c r="V2345" s="35">
        <v>2.872177419354839E-7</v>
      </c>
      <c r="W2345" s="13"/>
      <c r="X2345" s="34">
        <v>2341</v>
      </c>
      <c r="Y2345" s="34" t="s">
        <v>2248</v>
      </c>
      <c r="Z2345" s="34" t="s">
        <v>3542</v>
      </c>
      <c r="AA2345" s="35">
        <v>3.0298387096774198E-5</v>
      </c>
      <c r="AB2345" s="13"/>
      <c r="AC2345" s="34">
        <v>2341</v>
      </c>
      <c r="AD2345" s="34" t="s">
        <v>4573</v>
      </c>
      <c r="AE2345" s="34" t="s">
        <v>3022</v>
      </c>
      <c r="AF2345" s="35">
        <v>2.6151209677419358E-2</v>
      </c>
    </row>
    <row r="2346" spans="19:32" x14ac:dyDescent="0.35">
      <c r="S2346" s="47">
        <v>2342</v>
      </c>
      <c r="T2346" s="47" t="s">
        <v>4284</v>
      </c>
      <c r="U2346" s="47" t="s">
        <v>2989</v>
      </c>
      <c r="V2346" s="48">
        <v>3.2568E-2</v>
      </c>
      <c r="W2346" s="13"/>
      <c r="X2346" s="34">
        <v>2342</v>
      </c>
      <c r="Y2346" s="34" t="s">
        <v>2248</v>
      </c>
      <c r="Z2346" s="34" t="s">
        <v>4151</v>
      </c>
      <c r="AA2346" s="35">
        <v>3.7016129032258069E-7</v>
      </c>
      <c r="AB2346" s="13"/>
      <c r="AC2346" s="34">
        <v>2342</v>
      </c>
      <c r="AD2346" s="34" t="s">
        <v>4573</v>
      </c>
      <c r="AE2346" s="34" t="s">
        <v>3019</v>
      </c>
      <c r="AF2346" s="35">
        <v>3.4274193548387101E-2</v>
      </c>
    </row>
    <row r="2347" spans="19:32" x14ac:dyDescent="0.35">
      <c r="S2347" s="34">
        <v>2343</v>
      </c>
      <c r="T2347" s="34" t="s">
        <v>4284</v>
      </c>
      <c r="U2347" s="34" t="s">
        <v>3445</v>
      </c>
      <c r="V2347" s="35">
        <v>0.27899193548387097</v>
      </c>
      <c r="W2347" s="13"/>
      <c r="X2347" s="47">
        <v>2343</v>
      </c>
      <c r="Y2347" s="47" t="s">
        <v>2248</v>
      </c>
      <c r="Z2347" s="47" t="s">
        <v>3144</v>
      </c>
      <c r="AA2347" s="48">
        <v>1.0580000000000001E-2</v>
      </c>
      <c r="AB2347" s="13"/>
      <c r="AC2347" s="34">
        <v>2343</v>
      </c>
      <c r="AD2347" s="34" t="s">
        <v>4573</v>
      </c>
      <c r="AE2347" s="34" t="s">
        <v>3016</v>
      </c>
      <c r="AF2347" s="35">
        <v>3.7358870967741939E-3</v>
      </c>
    </row>
    <row r="2348" spans="19:32" x14ac:dyDescent="0.35">
      <c r="S2348" s="34">
        <v>2344</v>
      </c>
      <c r="T2348" s="34" t="s">
        <v>4284</v>
      </c>
      <c r="U2348" s="34" t="s">
        <v>2987</v>
      </c>
      <c r="V2348" s="35">
        <v>7.883064516129032E-5</v>
      </c>
      <c r="W2348" s="13"/>
      <c r="X2348" s="34">
        <v>2344</v>
      </c>
      <c r="Y2348" s="34" t="s">
        <v>2248</v>
      </c>
      <c r="Z2348" s="34" t="s">
        <v>5052</v>
      </c>
      <c r="AA2348" s="35">
        <v>1.7171370967741938E-3</v>
      </c>
      <c r="AB2348" s="13"/>
      <c r="AC2348" s="34">
        <v>2344</v>
      </c>
      <c r="AD2348" s="34" t="s">
        <v>4573</v>
      </c>
      <c r="AE2348" s="34" t="s">
        <v>3013</v>
      </c>
      <c r="AF2348" s="35">
        <v>0.57580645161290323</v>
      </c>
    </row>
    <row r="2349" spans="19:32" x14ac:dyDescent="0.35">
      <c r="S2349" s="47">
        <v>2345</v>
      </c>
      <c r="T2349" s="47" t="s">
        <v>4284</v>
      </c>
      <c r="U2349" s="47" t="s">
        <v>2987</v>
      </c>
      <c r="V2349" s="48">
        <v>4.4435999999999998E-3</v>
      </c>
      <c r="W2349" s="13"/>
      <c r="X2349" s="47">
        <v>2345</v>
      </c>
      <c r="Y2349" s="47" t="s">
        <v>2248</v>
      </c>
      <c r="Z2349" s="47" t="s">
        <v>4147</v>
      </c>
      <c r="AA2349" s="56">
        <v>5.0383064516129034E-5</v>
      </c>
      <c r="AB2349" s="13"/>
      <c r="AC2349" s="34">
        <v>2345</v>
      </c>
      <c r="AD2349" s="34" t="s">
        <v>4573</v>
      </c>
      <c r="AE2349" s="34" t="s">
        <v>3011</v>
      </c>
      <c r="AF2349" s="35">
        <v>1.3435483870967742E-2</v>
      </c>
    </row>
    <row r="2350" spans="19:32" x14ac:dyDescent="0.35">
      <c r="S2350" s="47">
        <v>2346</v>
      </c>
      <c r="T2350" s="47" t="s">
        <v>4284</v>
      </c>
      <c r="U2350" s="47" t="s">
        <v>2986</v>
      </c>
      <c r="V2350" s="48">
        <v>8.7676000000000004E-2</v>
      </c>
      <c r="W2350" s="13"/>
      <c r="X2350" s="34">
        <v>2346</v>
      </c>
      <c r="Y2350" s="34" t="s">
        <v>2248</v>
      </c>
      <c r="Z2350" s="34" t="s">
        <v>4146</v>
      </c>
      <c r="AA2350" s="35">
        <v>1.2201612903225808E-6</v>
      </c>
      <c r="AB2350" s="13"/>
      <c r="AC2350" s="34">
        <v>2346</v>
      </c>
      <c r="AD2350" s="34" t="s">
        <v>4573</v>
      </c>
      <c r="AE2350" s="34" t="s">
        <v>4971</v>
      </c>
      <c r="AF2350" s="35">
        <v>1.4463709677419357E-2</v>
      </c>
    </row>
    <row r="2351" spans="19:32" x14ac:dyDescent="0.35">
      <c r="S2351" s="34">
        <v>2347</v>
      </c>
      <c r="T2351" s="34" t="s">
        <v>4284</v>
      </c>
      <c r="U2351" s="34" t="s">
        <v>3440</v>
      </c>
      <c r="V2351" s="35">
        <v>2.0461693548387099E-5</v>
      </c>
      <c r="W2351" s="13"/>
      <c r="X2351" s="47">
        <v>2347</v>
      </c>
      <c r="Y2351" s="47" t="s">
        <v>2248</v>
      </c>
      <c r="Z2351" s="47" t="s">
        <v>4145</v>
      </c>
      <c r="AA2351" s="56">
        <v>4.3870967741935489E-4</v>
      </c>
      <c r="AB2351" s="13"/>
      <c r="AC2351" s="34">
        <v>2347</v>
      </c>
      <c r="AD2351" s="34" t="s">
        <v>4573</v>
      </c>
      <c r="AE2351" s="34" t="s">
        <v>3005</v>
      </c>
      <c r="AF2351" s="35">
        <v>1.1721774193548389</v>
      </c>
    </row>
    <row r="2352" spans="19:32" x14ac:dyDescent="0.35">
      <c r="S2352" s="47">
        <v>2348</v>
      </c>
      <c r="T2352" s="47" t="s">
        <v>4284</v>
      </c>
      <c r="U2352" s="47" t="s">
        <v>2984</v>
      </c>
      <c r="V2352" s="48">
        <v>0.23275999999999999</v>
      </c>
      <c r="W2352" s="13"/>
      <c r="X2352" s="34">
        <v>2348</v>
      </c>
      <c r="Y2352" s="34" t="s">
        <v>2248</v>
      </c>
      <c r="Z2352" s="34" t="s">
        <v>3537</v>
      </c>
      <c r="AA2352" s="35">
        <v>2.8858870967741936E-5</v>
      </c>
      <c r="AB2352" s="13"/>
      <c r="AC2352" s="34">
        <v>2348</v>
      </c>
      <c r="AD2352" s="34" t="s">
        <v>4573</v>
      </c>
      <c r="AE2352" s="34" t="s">
        <v>2847</v>
      </c>
      <c r="AF2352" s="35">
        <v>8.9455645161290334E-4</v>
      </c>
    </row>
    <row r="2353" spans="19:32" x14ac:dyDescent="0.35">
      <c r="S2353" s="47">
        <v>2349</v>
      </c>
      <c r="T2353" s="47" t="s">
        <v>4284</v>
      </c>
      <c r="U2353" s="47" t="s">
        <v>2983</v>
      </c>
      <c r="V2353" s="48">
        <v>0</v>
      </c>
      <c r="W2353" s="13"/>
      <c r="X2353" s="47">
        <v>2349</v>
      </c>
      <c r="Y2353" s="47" t="s">
        <v>2248</v>
      </c>
      <c r="Z2353" s="47" t="s">
        <v>4143</v>
      </c>
      <c r="AA2353" s="56">
        <v>5.8266129032258064E-8</v>
      </c>
      <c r="AB2353" s="13"/>
      <c r="AC2353" s="47">
        <v>2349</v>
      </c>
      <c r="AD2353" s="47" t="s">
        <v>4573</v>
      </c>
      <c r="AE2353" s="47" t="s">
        <v>2847</v>
      </c>
      <c r="AF2353" s="48">
        <v>0.1196</v>
      </c>
    </row>
    <row r="2354" spans="19:32" x14ac:dyDescent="0.35">
      <c r="S2354" s="34">
        <v>2350</v>
      </c>
      <c r="T2354" s="34" t="s">
        <v>4284</v>
      </c>
      <c r="U2354" s="34" t="s">
        <v>3437</v>
      </c>
      <c r="V2354" s="35">
        <v>1.2750000000000001E-4</v>
      </c>
      <c r="W2354" s="13"/>
      <c r="X2354" s="47">
        <v>2350</v>
      </c>
      <c r="Y2354" s="47" t="s">
        <v>2248</v>
      </c>
      <c r="Z2354" s="47" t="s">
        <v>3142</v>
      </c>
      <c r="AA2354" s="48">
        <v>0</v>
      </c>
      <c r="AB2354" s="13"/>
      <c r="AC2354" s="47">
        <v>2350</v>
      </c>
      <c r="AD2354" s="47" t="s">
        <v>4573</v>
      </c>
      <c r="AE2354" s="47" t="s">
        <v>2845</v>
      </c>
      <c r="AF2354" s="48">
        <v>0</v>
      </c>
    </row>
    <row r="2355" spans="19:32" x14ac:dyDescent="0.35">
      <c r="S2355" s="47">
        <v>2351</v>
      </c>
      <c r="T2355" s="47" t="s">
        <v>4284</v>
      </c>
      <c r="U2355" s="47" t="s">
        <v>2981</v>
      </c>
      <c r="V2355" s="48">
        <v>0</v>
      </c>
      <c r="W2355" s="13"/>
      <c r="X2355" s="34">
        <v>2351</v>
      </c>
      <c r="Y2355" s="34" t="s">
        <v>2248</v>
      </c>
      <c r="Z2355" s="34" t="s">
        <v>3535</v>
      </c>
      <c r="AA2355" s="35">
        <v>5.106854838709678E-4</v>
      </c>
      <c r="AB2355" s="13"/>
      <c r="AC2355" s="47">
        <v>2351</v>
      </c>
      <c r="AD2355" s="47" t="s">
        <v>4573</v>
      </c>
      <c r="AE2355" s="47" t="s">
        <v>2844</v>
      </c>
      <c r="AF2355" s="48">
        <v>0</v>
      </c>
    </row>
    <row r="2356" spans="19:32" x14ac:dyDescent="0.35">
      <c r="S2356" s="34">
        <v>2352</v>
      </c>
      <c r="T2356" s="34" t="s">
        <v>4284</v>
      </c>
      <c r="U2356" s="34" t="s">
        <v>3434</v>
      </c>
      <c r="V2356" s="35">
        <v>3.3040322580645166E-4</v>
      </c>
      <c r="W2356" s="13"/>
      <c r="X2356" s="47">
        <v>2352</v>
      </c>
      <c r="Y2356" s="47" t="s">
        <v>2248</v>
      </c>
      <c r="Z2356" s="47" t="s">
        <v>3142</v>
      </c>
      <c r="AA2356" s="56">
        <v>3.770161290322581E-6</v>
      </c>
      <c r="AB2356" s="13"/>
      <c r="AC2356" s="34">
        <v>2352</v>
      </c>
      <c r="AD2356" s="34" t="s">
        <v>4573</v>
      </c>
      <c r="AE2356" s="34" t="s">
        <v>3000</v>
      </c>
      <c r="AF2356" s="35">
        <v>1.6485887096774194E-2</v>
      </c>
    </row>
    <row r="2357" spans="19:32" x14ac:dyDescent="0.35">
      <c r="S2357" s="47">
        <v>2353</v>
      </c>
      <c r="T2357" s="47" t="s">
        <v>4284</v>
      </c>
      <c r="U2357" s="47" t="s">
        <v>2980</v>
      </c>
      <c r="V2357" s="48">
        <v>8.1052</v>
      </c>
      <c r="W2357" s="13"/>
      <c r="X2357" s="47">
        <v>2353</v>
      </c>
      <c r="Y2357" s="47" t="s">
        <v>2248</v>
      </c>
      <c r="Z2357" s="47" t="s">
        <v>4141</v>
      </c>
      <c r="AA2357" s="56">
        <v>3.4959677419354838E-6</v>
      </c>
      <c r="AB2357" s="13"/>
      <c r="AC2357" s="34">
        <v>2353</v>
      </c>
      <c r="AD2357" s="34" t="s">
        <v>4573</v>
      </c>
      <c r="AE2357" s="34" t="s">
        <v>2998</v>
      </c>
      <c r="AF2357" s="35">
        <v>2.7350806451612905E-2</v>
      </c>
    </row>
    <row r="2358" spans="19:32" x14ac:dyDescent="0.35">
      <c r="S2358" s="47">
        <v>2354</v>
      </c>
      <c r="T2358" s="47" t="s">
        <v>4284</v>
      </c>
      <c r="U2358" s="47" t="s">
        <v>2978</v>
      </c>
      <c r="V2358" s="48">
        <v>1.9780000000000002</v>
      </c>
      <c r="W2358" s="13"/>
      <c r="X2358" s="34">
        <v>2354</v>
      </c>
      <c r="Y2358" s="34" t="s">
        <v>2248</v>
      </c>
      <c r="Z2358" s="34" t="s">
        <v>5051</v>
      </c>
      <c r="AA2358" s="35">
        <v>9.425403225806452E-4</v>
      </c>
      <c r="AB2358" s="13"/>
      <c r="AC2358" s="34">
        <v>2354</v>
      </c>
      <c r="AD2358" s="34" t="s">
        <v>4573</v>
      </c>
      <c r="AE2358" s="34" t="s">
        <v>2995</v>
      </c>
      <c r="AF2358" s="35">
        <v>1.3127016129032259E-2</v>
      </c>
    </row>
    <row r="2359" spans="19:32" x14ac:dyDescent="0.35">
      <c r="S2359" s="34">
        <v>2355</v>
      </c>
      <c r="T2359" s="34" t="s">
        <v>4284</v>
      </c>
      <c r="U2359" s="34" t="s">
        <v>2977</v>
      </c>
      <c r="V2359" s="35">
        <v>2.0872983870967744E-3</v>
      </c>
      <c r="W2359" s="13"/>
      <c r="X2359" s="34">
        <v>2355</v>
      </c>
      <c r="Y2359" s="34" t="s">
        <v>2248</v>
      </c>
      <c r="Z2359" s="34" t="s">
        <v>4139</v>
      </c>
      <c r="AA2359" s="35">
        <v>5.0383064516129034E-5</v>
      </c>
      <c r="AB2359" s="13"/>
      <c r="AC2359" s="34">
        <v>2355</v>
      </c>
      <c r="AD2359" s="34" t="s">
        <v>4573</v>
      </c>
      <c r="AE2359" s="34" t="s">
        <v>2842</v>
      </c>
      <c r="AF2359" s="35">
        <v>0.75745967741935494</v>
      </c>
    </row>
    <row r="2360" spans="19:32" x14ac:dyDescent="0.35">
      <c r="S2360" s="47">
        <v>2356</v>
      </c>
      <c r="T2360" s="47" t="s">
        <v>4284</v>
      </c>
      <c r="U2360" s="47" t="s">
        <v>2977</v>
      </c>
      <c r="V2360" s="48">
        <v>0</v>
      </c>
      <c r="W2360" s="13"/>
      <c r="X2360" s="47">
        <v>2356</v>
      </c>
      <c r="Y2360" s="47" t="s">
        <v>2248</v>
      </c>
      <c r="Z2360" s="47" t="s">
        <v>4136</v>
      </c>
      <c r="AA2360" s="56">
        <v>7.0604838709677431E-2</v>
      </c>
      <c r="AB2360" s="13"/>
      <c r="AC2360" s="47">
        <v>2356</v>
      </c>
      <c r="AD2360" s="47" t="s">
        <v>4573</v>
      </c>
      <c r="AE2360" s="47" t="s">
        <v>2842</v>
      </c>
      <c r="AF2360" s="48">
        <v>139.84</v>
      </c>
    </row>
    <row r="2361" spans="19:32" x14ac:dyDescent="0.35">
      <c r="S2361" s="34">
        <v>2357</v>
      </c>
      <c r="T2361" s="34" t="s">
        <v>4284</v>
      </c>
      <c r="U2361" s="34" t="s">
        <v>2975</v>
      </c>
      <c r="V2361" s="35">
        <v>6.1693548387096771E-7</v>
      </c>
      <c r="W2361" s="13"/>
      <c r="X2361" s="34">
        <v>2357</v>
      </c>
      <c r="Y2361" s="34" t="s">
        <v>2248</v>
      </c>
      <c r="Z2361" s="34" t="s">
        <v>4134</v>
      </c>
      <c r="AA2361" s="35">
        <v>4.6955645161290327E-7</v>
      </c>
      <c r="AB2361" s="13"/>
      <c r="AC2361" s="34">
        <v>2357</v>
      </c>
      <c r="AD2361" s="34" t="s">
        <v>4573</v>
      </c>
      <c r="AE2361" s="34" t="s">
        <v>2990</v>
      </c>
      <c r="AF2361" s="35">
        <v>1.8610887096774194E-3</v>
      </c>
    </row>
    <row r="2362" spans="19:32" x14ac:dyDescent="0.35">
      <c r="S2362" s="47">
        <v>2358</v>
      </c>
      <c r="T2362" s="47" t="s">
        <v>4284</v>
      </c>
      <c r="U2362" s="47" t="s">
        <v>2975</v>
      </c>
      <c r="V2362" s="48">
        <v>0</v>
      </c>
      <c r="W2362" s="13"/>
      <c r="X2362" s="34">
        <v>2358</v>
      </c>
      <c r="Y2362" s="34" t="s">
        <v>2248</v>
      </c>
      <c r="Z2362" s="34" t="s">
        <v>5050</v>
      </c>
      <c r="AA2362" s="35">
        <v>1.4600806451612904E-5</v>
      </c>
      <c r="AB2362" s="13"/>
      <c r="AC2362" s="47">
        <v>2358</v>
      </c>
      <c r="AD2362" s="47" t="s">
        <v>4573</v>
      </c>
      <c r="AE2362" s="47" t="s">
        <v>2841</v>
      </c>
      <c r="AF2362" s="48">
        <v>0</v>
      </c>
    </row>
    <row r="2363" spans="19:32" x14ac:dyDescent="0.35">
      <c r="S2363" s="34">
        <v>2359</v>
      </c>
      <c r="T2363" s="34" t="s">
        <v>4284</v>
      </c>
      <c r="U2363" s="34" t="s">
        <v>2973</v>
      </c>
      <c r="V2363" s="35">
        <v>6.5120967741935491E-4</v>
      </c>
      <c r="W2363" s="13"/>
      <c r="X2363" s="47">
        <v>2359</v>
      </c>
      <c r="Y2363" s="47" t="s">
        <v>2248</v>
      </c>
      <c r="Z2363" s="47" t="s">
        <v>4133</v>
      </c>
      <c r="AA2363" s="56">
        <v>3.3828629032258067E-7</v>
      </c>
      <c r="AB2363" s="13"/>
      <c r="AC2363" s="47">
        <v>2359</v>
      </c>
      <c r="AD2363" s="47" t="s">
        <v>4573</v>
      </c>
      <c r="AE2363" s="47" t="s">
        <v>2839</v>
      </c>
      <c r="AF2363" s="48">
        <v>0.17111999999999999</v>
      </c>
    </row>
    <row r="2364" spans="19:32" x14ac:dyDescent="0.35">
      <c r="S2364" s="47">
        <v>2360</v>
      </c>
      <c r="T2364" s="47" t="s">
        <v>4284</v>
      </c>
      <c r="U2364" s="47" t="s">
        <v>2973</v>
      </c>
      <c r="V2364" s="48">
        <v>6.0076000000000001</v>
      </c>
      <c r="W2364" s="13"/>
      <c r="X2364" s="34">
        <v>2360</v>
      </c>
      <c r="Y2364" s="34" t="s">
        <v>2248</v>
      </c>
      <c r="Z2364" s="34" t="s">
        <v>4130</v>
      </c>
      <c r="AA2364" s="35">
        <v>6.7177419354838716E-2</v>
      </c>
      <c r="AB2364" s="13"/>
      <c r="AC2364" s="34">
        <v>2360</v>
      </c>
      <c r="AD2364" s="34" t="s">
        <v>4573</v>
      </c>
      <c r="AE2364" s="34" t="s">
        <v>2988</v>
      </c>
      <c r="AF2364" s="35">
        <v>0.19467741935483873</v>
      </c>
    </row>
    <row r="2365" spans="19:32" x14ac:dyDescent="0.35">
      <c r="S2365" s="47">
        <v>2361</v>
      </c>
      <c r="T2365" s="47" t="s">
        <v>4284</v>
      </c>
      <c r="U2365" s="47" t="s">
        <v>2972</v>
      </c>
      <c r="V2365" s="48">
        <v>0</v>
      </c>
      <c r="W2365" s="13"/>
      <c r="X2365" s="34">
        <v>2361</v>
      </c>
      <c r="Y2365" s="34" t="s">
        <v>2248</v>
      </c>
      <c r="Z2365" s="34" t="s">
        <v>5049</v>
      </c>
      <c r="AA2365" s="35">
        <v>2.4985887096774195E-2</v>
      </c>
      <c r="AB2365" s="13"/>
      <c r="AC2365" s="34">
        <v>2361</v>
      </c>
      <c r="AD2365" s="34" t="s">
        <v>4573</v>
      </c>
      <c r="AE2365" s="34" t="s">
        <v>2985</v>
      </c>
      <c r="AF2365" s="35">
        <v>3.2766129032258069E-2</v>
      </c>
    </row>
    <row r="2366" spans="19:32" x14ac:dyDescent="0.35">
      <c r="S2366" s="47">
        <v>2362</v>
      </c>
      <c r="T2366" s="47" t="s">
        <v>4284</v>
      </c>
      <c r="U2366" s="47" t="s">
        <v>2970</v>
      </c>
      <c r="V2366" s="48">
        <v>2.6219999999999998E-3</v>
      </c>
      <c r="W2366" s="13"/>
      <c r="X2366" s="47">
        <v>2362</v>
      </c>
      <c r="Y2366" s="47" t="s">
        <v>2248</v>
      </c>
      <c r="Z2366" s="47" t="s">
        <v>3140</v>
      </c>
      <c r="AA2366" s="48">
        <v>0</v>
      </c>
      <c r="AB2366" s="13"/>
      <c r="AC2366" s="34">
        <v>2362</v>
      </c>
      <c r="AD2366" s="34" t="s">
        <v>4573</v>
      </c>
      <c r="AE2366" s="34" t="s">
        <v>2982</v>
      </c>
      <c r="AF2366" s="35">
        <v>7.4032258064516132E-2</v>
      </c>
    </row>
    <row r="2367" spans="19:32" x14ac:dyDescent="0.35">
      <c r="S2367" s="34">
        <v>2363</v>
      </c>
      <c r="T2367" s="34" t="s">
        <v>4284</v>
      </c>
      <c r="U2367" s="34" t="s">
        <v>3426</v>
      </c>
      <c r="V2367" s="35">
        <v>2.9338709677419355E-5</v>
      </c>
      <c r="W2367" s="13"/>
      <c r="X2367" s="47">
        <v>2363</v>
      </c>
      <c r="Y2367" s="47" t="s">
        <v>2248</v>
      </c>
      <c r="Z2367" s="47" t="s">
        <v>4126</v>
      </c>
      <c r="AA2367" s="56">
        <v>4.4556451612903225E-3</v>
      </c>
      <c r="AB2367" s="13"/>
      <c r="AC2367" s="34">
        <v>2363</v>
      </c>
      <c r="AD2367" s="34" t="s">
        <v>4573</v>
      </c>
      <c r="AE2367" s="34" t="s">
        <v>2979</v>
      </c>
      <c r="AF2367" s="35">
        <v>8.431451612903226E-3</v>
      </c>
    </row>
    <row r="2368" spans="19:32" x14ac:dyDescent="0.35">
      <c r="S2368" s="34">
        <v>2364</v>
      </c>
      <c r="T2368" s="34" t="s">
        <v>4284</v>
      </c>
      <c r="U2368" s="34" t="s">
        <v>3424</v>
      </c>
      <c r="V2368" s="35">
        <v>4.5927419354838712E-6</v>
      </c>
      <c r="W2368" s="13"/>
      <c r="X2368" s="34">
        <v>2364</v>
      </c>
      <c r="Y2368" s="34" t="s">
        <v>2248</v>
      </c>
      <c r="Z2368" s="34" t="s">
        <v>5048</v>
      </c>
      <c r="AA2368" s="35">
        <v>4.5927419354838714E-4</v>
      </c>
      <c r="AB2368" s="13"/>
      <c r="AC2368" s="34">
        <v>2364</v>
      </c>
      <c r="AD2368" s="34" t="s">
        <v>4573</v>
      </c>
      <c r="AE2368" s="34" t="s">
        <v>2976</v>
      </c>
      <c r="AF2368" s="35">
        <v>1.7034274193548388E-2</v>
      </c>
    </row>
    <row r="2369" spans="19:32" x14ac:dyDescent="0.35">
      <c r="S2369" s="34">
        <v>2365</v>
      </c>
      <c r="T2369" s="34" t="s">
        <v>4284</v>
      </c>
      <c r="U2369" s="34" t="s">
        <v>3421</v>
      </c>
      <c r="V2369" s="35">
        <v>1.5183467741935485E-5</v>
      </c>
      <c r="W2369" s="13"/>
      <c r="X2369" s="47">
        <v>2365</v>
      </c>
      <c r="Y2369" s="47" t="s">
        <v>2248</v>
      </c>
      <c r="Z2369" s="47" t="s">
        <v>4124</v>
      </c>
      <c r="AA2369" s="56">
        <v>7.3004032258064521E-3</v>
      </c>
      <c r="AB2369" s="13"/>
      <c r="AC2369" s="34">
        <v>2365</v>
      </c>
      <c r="AD2369" s="34" t="s">
        <v>4573</v>
      </c>
      <c r="AE2369" s="34" t="s">
        <v>2974</v>
      </c>
      <c r="AF2369" s="35">
        <v>1.9056451612903227</v>
      </c>
    </row>
    <row r="2370" spans="19:32" x14ac:dyDescent="0.35">
      <c r="S2370" s="34">
        <v>2366</v>
      </c>
      <c r="T2370" s="34" t="s">
        <v>4284</v>
      </c>
      <c r="U2370" s="34" t="s">
        <v>3418</v>
      </c>
      <c r="V2370" s="35">
        <v>1.5937500000000001E-4</v>
      </c>
      <c r="W2370" s="13"/>
      <c r="X2370" s="47">
        <v>2366</v>
      </c>
      <c r="Y2370" s="47" t="s">
        <v>2248</v>
      </c>
      <c r="Z2370" s="47" t="s">
        <v>4123</v>
      </c>
      <c r="AA2370" s="56">
        <v>0.19639112903225808</v>
      </c>
      <c r="AB2370" s="13"/>
      <c r="AC2370" s="34">
        <v>2366</v>
      </c>
      <c r="AD2370" s="34" t="s">
        <v>4573</v>
      </c>
      <c r="AE2370" s="34" t="s">
        <v>2971</v>
      </c>
      <c r="AF2370" s="35">
        <v>0.2553427419354839</v>
      </c>
    </row>
    <row r="2371" spans="19:32" x14ac:dyDescent="0.35">
      <c r="S2371" s="34">
        <v>2367</v>
      </c>
      <c r="T2371" s="34" t="s">
        <v>4284</v>
      </c>
      <c r="U2371" s="34" t="s">
        <v>3415</v>
      </c>
      <c r="V2371" s="35">
        <v>1.6417338709677422E-4</v>
      </c>
      <c r="W2371" s="13"/>
      <c r="X2371" s="47">
        <v>2367</v>
      </c>
      <c r="Y2371" s="47" t="s">
        <v>2248</v>
      </c>
      <c r="Z2371" s="47" t="s">
        <v>4121</v>
      </c>
      <c r="AA2371" s="56">
        <v>3.7358870967741938E-2</v>
      </c>
      <c r="AB2371" s="13"/>
      <c r="AC2371" s="47">
        <v>2367</v>
      </c>
      <c r="AD2371" s="47" t="s">
        <v>4573</v>
      </c>
      <c r="AE2371" s="47" t="s">
        <v>2838</v>
      </c>
      <c r="AF2371" s="48">
        <v>19.32</v>
      </c>
    </row>
    <row r="2372" spans="19:32" x14ac:dyDescent="0.35">
      <c r="S2372" s="34">
        <v>2368</v>
      </c>
      <c r="T2372" s="34" t="s">
        <v>4284</v>
      </c>
      <c r="U2372" s="34" t="s">
        <v>3412</v>
      </c>
      <c r="V2372" s="35">
        <v>3.6673387096774194E-4</v>
      </c>
      <c r="W2372" s="13"/>
      <c r="X2372" s="34">
        <v>2368</v>
      </c>
      <c r="Y2372" s="34" t="s">
        <v>2248</v>
      </c>
      <c r="Z2372" s="34" t="s">
        <v>5047</v>
      </c>
      <c r="AA2372" s="35">
        <v>3.8729838709677424E-3</v>
      </c>
      <c r="AB2372" s="13"/>
      <c r="AC2372" s="34">
        <v>2368</v>
      </c>
      <c r="AD2372" s="34" t="s">
        <v>4573</v>
      </c>
      <c r="AE2372" s="34" t="s">
        <v>2968</v>
      </c>
      <c r="AF2372" s="35">
        <v>0.53125</v>
      </c>
    </row>
    <row r="2373" spans="19:32" x14ac:dyDescent="0.35">
      <c r="S2373" s="47">
        <v>2369</v>
      </c>
      <c r="T2373" s="47" t="s">
        <v>4284</v>
      </c>
      <c r="U2373" s="47" t="s">
        <v>2969</v>
      </c>
      <c r="V2373" s="48">
        <v>1.9412</v>
      </c>
      <c r="W2373" s="13"/>
      <c r="X2373" s="34">
        <v>2369</v>
      </c>
      <c r="Y2373" s="34" t="s">
        <v>2248</v>
      </c>
      <c r="Z2373" s="34" t="s">
        <v>4120</v>
      </c>
      <c r="AA2373" s="35">
        <v>5.3810483870967745E-6</v>
      </c>
      <c r="AB2373" s="13"/>
      <c r="AC2373" s="34">
        <v>2369</v>
      </c>
      <c r="AD2373" s="34" t="s">
        <v>4573</v>
      </c>
      <c r="AE2373" s="34" t="s">
        <v>2965</v>
      </c>
      <c r="AF2373" s="35">
        <v>8.8770161290322586E-3</v>
      </c>
    </row>
    <row r="2374" spans="19:32" x14ac:dyDescent="0.35">
      <c r="S2374" s="34">
        <v>2370</v>
      </c>
      <c r="T2374" s="34" t="s">
        <v>4284</v>
      </c>
      <c r="U2374" s="34" t="s">
        <v>3410</v>
      </c>
      <c r="V2374" s="35">
        <v>2.7110887096774199E-4</v>
      </c>
      <c r="W2374" s="13"/>
      <c r="X2374" s="47">
        <v>2370</v>
      </c>
      <c r="Y2374" s="47" t="s">
        <v>2248</v>
      </c>
      <c r="Z2374" s="47" t="s">
        <v>3139</v>
      </c>
      <c r="AA2374" s="48">
        <v>0</v>
      </c>
      <c r="AB2374" s="13"/>
      <c r="AC2374" s="34">
        <v>2370</v>
      </c>
      <c r="AD2374" s="34" t="s">
        <v>4573</v>
      </c>
      <c r="AE2374" s="34" t="s">
        <v>2963</v>
      </c>
      <c r="AF2374" s="35">
        <v>6.0322580645161305E-4</v>
      </c>
    </row>
    <row r="2375" spans="19:32" x14ac:dyDescent="0.35">
      <c r="S2375" s="34">
        <v>2371</v>
      </c>
      <c r="T2375" s="34" t="s">
        <v>4284</v>
      </c>
      <c r="U2375" s="34" t="s">
        <v>3407</v>
      </c>
      <c r="V2375" s="35">
        <v>9.8366935483870977E-5</v>
      </c>
      <c r="W2375" s="13"/>
      <c r="X2375" s="34">
        <v>2371</v>
      </c>
      <c r="Y2375" s="34" t="s">
        <v>2248</v>
      </c>
      <c r="Z2375" s="34" t="s">
        <v>5046</v>
      </c>
      <c r="AA2375" s="35">
        <v>7.985887096774194E-4</v>
      </c>
      <c r="AB2375" s="13"/>
      <c r="AC2375" s="34">
        <v>2371</v>
      </c>
      <c r="AD2375" s="34" t="s">
        <v>4573</v>
      </c>
      <c r="AE2375" s="34" t="s">
        <v>2960</v>
      </c>
      <c r="AF2375" s="35">
        <v>1.2338709677419357E-2</v>
      </c>
    </row>
    <row r="2376" spans="19:32" x14ac:dyDescent="0.35">
      <c r="S2376" s="34">
        <v>2372</v>
      </c>
      <c r="T2376" s="34" t="s">
        <v>4284</v>
      </c>
      <c r="U2376" s="34" t="s">
        <v>3404</v>
      </c>
      <c r="V2376" s="35">
        <v>2.7042338709677423E-3</v>
      </c>
      <c r="W2376" s="13"/>
      <c r="X2376" s="47">
        <v>2372</v>
      </c>
      <c r="Y2376" s="47" t="s">
        <v>2248</v>
      </c>
      <c r="Z2376" s="47" t="s">
        <v>3139</v>
      </c>
      <c r="AA2376" s="56">
        <v>4.2842741935483875E-2</v>
      </c>
      <c r="AB2376" s="13"/>
      <c r="AC2376" s="34">
        <v>2372</v>
      </c>
      <c r="AD2376" s="34" t="s">
        <v>4573</v>
      </c>
      <c r="AE2376" s="34" t="s">
        <v>2957</v>
      </c>
      <c r="AF2376" s="35">
        <v>2.4300403225806454E-3</v>
      </c>
    </row>
    <row r="2377" spans="19:32" x14ac:dyDescent="0.35">
      <c r="S2377" s="47">
        <v>2373</v>
      </c>
      <c r="T2377" s="47" t="s">
        <v>4284</v>
      </c>
      <c r="U2377" s="47" t="s">
        <v>2967</v>
      </c>
      <c r="V2377" s="48">
        <v>11.776</v>
      </c>
      <c r="W2377" s="13"/>
      <c r="X2377" s="34">
        <v>2373</v>
      </c>
      <c r="Y2377" s="34" t="s">
        <v>2248</v>
      </c>
      <c r="Z2377" s="34" t="s">
        <v>4118</v>
      </c>
      <c r="AA2377" s="35">
        <v>5.0725806451612909E-3</v>
      </c>
      <c r="AB2377" s="13"/>
      <c r="AC2377" s="47">
        <v>2373</v>
      </c>
      <c r="AD2377" s="47" t="s">
        <v>4573</v>
      </c>
      <c r="AE2377" s="47" t="s">
        <v>2836</v>
      </c>
      <c r="AF2377" s="48">
        <v>0</v>
      </c>
    </row>
    <row r="2378" spans="19:32" x14ac:dyDescent="0.35">
      <c r="S2378" s="34">
        <v>2374</v>
      </c>
      <c r="T2378" s="34" t="s">
        <v>4284</v>
      </c>
      <c r="U2378" s="34" t="s">
        <v>3401</v>
      </c>
      <c r="V2378" s="35">
        <v>7.129032258064516E-2</v>
      </c>
      <c r="W2378" s="13"/>
      <c r="X2378" s="34">
        <v>2374</v>
      </c>
      <c r="Y2378" s="34" t="s">
        <v>2248</v>
      </c>
      <c r="Z2378" s="34" t="s">
        <v>3531</v>
      </c>
      <c r="AA2378" s="35">
        <v>2.1250000000000002E-4</v>
      </c>
      <c r="AB2378" s="13"/>
      <c r="AC2378" s="34">
        <v>2374</v>
      </c>
      <c r="AD2378" s="34" t="s">
        <v>4573</v>
      </c>
      <c r="AE2378" s="34" t="s">
        <v>2954</v>
      </c>
      <c r="AF2378" s="35">
        <v>0.64778225806451617</v>
      </c>
    </row>
    <row r="2379" spans="19:32" x14ac:dyDescent="0.35">
      <c r="S2379" s="34">
        <v>2375</v>
      </c>
      <c r="T2379" s="34" t="s">
        <v>4284</v>
      </c>
      <c r="U2379" s="34" t="s">
        <v>3399</v>
      </c>
      <c r="V2379" s="35">
        <v>7.7116935483870969E-2</v>
      </c>
      <c r="W2379" s="13"/>
      <c r="X2379" s="47">
        <v>2375</v>
      </c>
      <c r="Y2379" s="47" t="s">
        <v>2248</v>
      </c>
      <c r="Z2379" s="47" t="s">
        <v>3137</v>
      </c>
      <c r="AA2379" s="48">
        <v>1.6927999999999999E-2</v>
      </c>
      <c r="AB2379" s="13"/>
      <c r="AC2379" s="34">
        <v>2375</v>
      </c>
      <c r="AD2379" s="34" t="s">
        <v>4573</v>
      </c>
      <c r="AE2379" s="34" t="s">
        <v>2951</v>
      </c>
      <c r="AF2379" s="35">
        <v>0.34068548387096775</v>
      </c>
    </row>
    <row r="2380" spans="19:32" x14ac:dyDescent="0.35">
      <c r="S2380" s="30">
        <v>2376</v>
      </c>
      <c r="T2380" s="30" t="s">
        <v>4284</v>
      </c>
      <c r="U2380" s="30" t="s">
        <v>3396</v>
      </c>
      <c r="V2380" s="31">
        <v>4.7560000000000002</v>
      </c>
      <c r="W2380" s="13"/>
      <c r="X2380" s="47">
        <v>2376</v>
      </c>
      <c r="Y2380" s="47" t="s">
        <v>2248</v>
      </c>
      <c r="Z2380" s="47" t="s">
        <v>3137</v>
      </c>
      <c r="AA2380" s="56">
        <v>3.0881048387096776E-3</v>
      </c>
      <c r="AB2380" s="13"/>
      <c r="AC2380" s="47">
        <v>2376</v>
      </c>
      <c r="AD2380" s="47" t="s">
        <v>4573</v>
      </c>
      <c r="AE2380" s="47" t="s">
        <v>2834</v>
      </c>
      <c r="AF2380" s="48">
        <v>0</v>
      </c>
    </row>
    <row r="2381" spans="19:32" x14ac:dyDescent="0.35">
      <c r="S2381" s="34">
        <v>2377</v>
      </c>
      <c r="T2381" s="34" t="s">
        <v>4284</v>
      </c>
      <c r="U2381" s="34" t="s">
        <v>3396</v>
      </c>
      <c r="V2381" s="35">
        <v>7.4375000000000004E-6</v>
      </c>
      <c r="W2381" s="13"/>
      <c r="X2381" s="34">
        <v>2377</v>
      </c>
      <c r="Y2381" s="34" t="s">
        <v>2248</v>
      </c>
      <c r="Z2381" s="34" t="s">
        <v>4115</v>
      </c>
      <c r="AA2381" s="35">
        <v>3.7016129032258066E-3</v>
      </c>
      <c r="AB2381" s="13"/>
      <c r="AC2381" s="34">
        <v>2377</v>
      </c>
      <c r="AD2381" s="34" t="s">
        <v>4573</v>
      </c>
      <c r="AE2381" s="34" t="s">
        <v>2949</v>
      </c>
      <c r="AF2381" s="35">
        <v>4.9354838709677424E-3</v>
      </c>
    </row>
    <row r="2382" spans="19:32" x14ac:dyDescent="0.35">
      <c r="S2382" s="34">
        <v>2378</v>
      </c>
      <c r="T2382" s="34" t="s">
        <v>4284</v>
      </c>
      <c r="U2382" s="34" t="s">
        <v>3393</v>
      </c>
      <c r="V2382" s="35">
        <v>1.1447580645161291E-2</v>
      </c>
      <c r="W2382" s="13"/>
      <c r="X2382" s="34">
        <v>2378</v>
      </c>
      <c r="Y2382" s="34" t="s">
        <v>2248</v>
      </c>
      <c r="Z2382" s="34" t="s">
        <v>5045</v>
      </c>
      <c r="AA2382" s="35">
        <v>1.5766129032258068E-5</v>
      </c>
      <c r="AB2382" s="13"/>
      <c r="AC2382" s="34">
        <v>2378</v>
      </c>
      <c r="AD2382" s="34" t="s">
        <v>4573</v>
      </c>
      <c r="AE2382" s="34" t="s">
        <v>2833</v>
      </c>
      <c r="AF2382" s="35">
        <v>5.4495967741935492E-2</v>
      </c>
    </row>
    <row r="2383" spans="19:32" x14ac:dyDescent="0.35">
      <c r="S2383" s="34">
        <v>2379</v>
      </c>
      <c r="T2383" s="34" t="s">
        <v>4284</v>
      </c>
      <c r="U2383" s="34" t="s">
        <v>3390</v>
      </c>
      <c r="V2383" s="35">
        <v>3.1875000000000002E-4</v>
      </c>
      <c r="W2383" s="13"/>
      <c r="X2383" s="47">
        <v>2379</v>
      </c>
      <c r="Y2383" s="47" t="s">
        <v>2248</v>
      </c>
      <c r="Z2383" s="47" t="s">
        <v>4112</v>
      </c>
      <c r="AA2383" s="56">
        <v>2.0633064516129032E-4</v>
      </c>
      <c r="AB2383" s="13"/>
      <c r="AC2383" s="47">
        <v>2379</v>
      </c>
      <c r="AD2383" s="47" t="s">
        <v>4573</v>
      </c>
      <c r="AE2383" s="47" t="s">
        <v>2833</v>
      </c>
      <c r="AF2383" s="48">
        <v>0</v>
      </c>
    </row>
    <row r="2384" spans="19:32" x14ac:dyDescent="0.35">
      <c r="S2384" s="47">
        <v>2380</v>
      </c>
      <c r="T2384" s="47" t="s">
        <v>4284</v>
      </c>
      <c r="U2384" s="47" t="s">
        <v>2966</v>
      </c>
      <c r="V2384" s="48">
        <v>1.6284000000000001</v>
      </c>
      <c r="W2384" s="13"/>
      <c r="X2384" s="47">
        <v>2380</v>
      </c>
      <c r="Y2384" s="47" t="s">
        <v>2248</v>
      </c>
      <c r="Z2384" s="47" t="s">
        <v>4110</v>
      </c>
      <c r="AA2384" s="56">
        <v>2.4266129032258065E-3</v>
      </c>
      <c r="AB2384" s="13"/>
      <c r="AC2384" s="34">
        <v>2380</v>
      </c>
      <c r="AD2384" s="34" t="s">
        <v>4573</v>
      </c>
      <c r="AE2384" s="34" t="s">
        <v>2831</v>
      </c>
      <c r="AF2384" s="35">
        <v>7.3689516129032268E-4</v>
      </c>
    </row>
    <row r="2385" spans="19:32" x14ac:dyDescent="0.35">
      <c r="S2385" s="47">
        <v>2381</v>
      </c>
      <c r="T2385" s="47" t="s">
        <v>4284</v>
      </c>
      <c r="U2385" s="47" t="s">
        <v>2964</v>
      </c>
      <c r="V2385" s="48">
        <v>0</v>
      </c>
      <c r="W2385" s="13"/>
      <c r="X2385" s="34">
        <v>2381</v>
      </c>
      <c r="Y2385" s="34" t="s">
        <v>2248</v>
      </c>
      <c r="Z2385" s="34" t="s">
        <v>5044</v>
      </c>
      <c r="AA2385" s="35">
        <v>5.0383064516129034E-5</v>
      </c>
      <c r="AB2385" s="13"/>
      <c r="AC2385" s="47">
        <v>2381</v>
      </c>
      <c r="AD2385" s="47" t="s">
        <v>4573</v>
      </c>
      <c r="AE2385" s="47" t="s">
        <v>2831</v>
      </c>
      <c r="AF2385" s="48">
        <v>1.1867999999999999</v>
      </c>
    </row>
    <row r="2386" spans="19:32" x14ac:dyDescent="0.35">
      <c r="S2386" s="47">
        <v>2382</v>
      </c>
      <c r="T2386" s="47" t="s">
        <v>4284</v>
      </c>
      <c r="U2386" s="47" t="s">
        <v>2962</v>
      </c>
      <c r="V2386" s="48">
        <v>0.19688</v>
      </c>
      <c r="W2386" s="13"/>
      <c r="X2386" s="47">
        <v>2382</v>
      </c>
      <c r="Y2386" s="47" t="s">
        <v>2248</v>
      </c>
      <c r="Z2386" s="47" t="s">
        <v>4107</v>
      </c>
      <c r="AA2386" s="56">
        <v>1.6828629032258065E-2</v>
      </c>
      <c r="AB2386" s="13"/>
      <c r="AC2386" s="47">
        <v>2382</v>
      </c>
      <c r="AD2386" s="47" t="s">
        <v>4573</v>
      </c>
      <c r="AE2386" s="47" t="s">
        <v>2830</v>
      </c>
      <c r="AF2386" s="48">
        <v>0</v>
      </c>
    </row>
    <row r="2387" spans="19:32" x14ac:dyDescent="0.35">
      <c r="S2387" s="34">
        <v>2383</v>
      </c>
      <c r="T2387" s="34" t="s">
        <v>4284</v>
      </c>
      <c r="U2387" s="34" t="s">
        <v>2961</v>
      </c>
      <c r="V2387" s="35">
        <v>2.2552419354838712E-3</v>
      </c>
      <c r="W2387" s="13"/>
      <c r="X2387" s="47">
        <v>2383</v>
      </c>
      <c r="Y2387" s="47" t="s">
        <v>2248</v>
      </c>
      <c r="Z2387" s="47" t="s">
        <v>4106</v>
      </c>
      <c r="AA2387" s="56">
        <v>1.3264112903225807E-10</v>
      </c>
      <c r="AB2387" s="13"/>
      <c r="AC2387" s="47">
        <v>2383</v>
      </c>
      <c r="AD2387" s="47" t="s">
        <v>4573</v>
      </c>
      <c r="AE2387" s="47" t="s">
        <v>2829</v>
      </c>
      <c r="AF2387" s="48">
        <v>1.4812000000000001</v>
      </c>
    </row>
    <row r="2388" spans="19:32" x14ac:dyDescent="0.35">
      <c r="S2388" s="47">
        <v>2384</v>
      </c>
      <c r="T2388" s="47" t="s">
        <v>4284</v>
      </c>
      <c r="U2388" s="47" t="s">
        <v>2961</v>
      </c>
      <c r="V2388" s="48">
        <v>29.072000000000003</v>
      </c>
      <c r="W2388" s="13"/>
      <c r="X2388" s="34">
        <v>2384</v>
      </c>
      <c r="Y2388" s="34" t="s">
        <v>2248</v>
      </c>
      <c r="Z2388" s="34" t="s">
        <v>5043</v>
      </c>
      <c r="AA2388" s="35">
        <v>3.2971774193548385E-4</v>
      </c>
      <c r="AB2388" s="13"/>
      <c r="AC2388" s="34">
        <v>2384</v>
      </c>
      <c r="AD2388" s="34" t="s">
        <v>4573</v>
      </c>
      <c r="AE2388" s="34" t="s">
        <v>2828</v>
      </c>
      <c r="AF2388" s="35">
        <v>3.7016129032258066E-3</v>
      </c>
    </row>
    <row r="2389" spans="19:32" x14ac:dyDescent="0.35">
      <c r="S2389" s="34">
        <v>2385</v>
      </c>
      <c r="T2389" s="34" t="s">
        <v>4284</v>
      </c>
      <c r="U2389" s="34" t="s">
        <v>2959</v>
      </c>
      <c r="V2389" s="35">
        <v>0.25808467741935487</v>
      </c>
      <c r="W2389" s="13"/>
      <c r="X2389" s="47">
        <v>2385</v>
      </c>
      <c r="Y2389" s="47" t="s">
        <v>2248</v>
      </c>
      <c r="Z2389" s="47" t="s">
        <v>3136</v>
      </c>
      <c r="AA2389" s="48">
        <v>0</v>
      </c>
      <c r="AB2389" s="13"/>
      <c r="AC2389" s="47">
        <v>2385</v>
      </c>
      <c r="AD2389" s="47" t="s">
        <v>4573</v>
      </c>
      <c r="AE2389" s="47" t="s">
        <v>2828</v>
      </c>
      <c r="AF2389" s="48">
        <v>0.34867999999999999</v>
      </c>
    </row>
    <row r="2390" spans="19:32" x14ac:dyDescent="0.35">
      <c r="S2390" s="47">
        <v>2386</v>
      </c>
      <c r="T2390" s="47" t="s">
        <v>4284</v>
      </c>
      <c r="U2390" s="47" t="s">
        <v>2959</v>
      </c>
      <c r="V2390" s="48">
        <v>1600.8</v>
      </c>
      <c r="W2390" s="13"/>
      <c r="X2390" s="34">
        <v>2386</v>
      </c>
      <c r="Y2390" s="34" t="s">
        <v>2248</v>
      </c>
      <c r="Z2390" s="34" t="s">
        <v>3136</v>
      </c>
      <c r="AA2390" s="35">
        <v>3.4034274193548386E-5</v>
      </c>
      <c r="AB2390" s="13"/>
      <c r="AC2390" s="34">
        <v>2386</v>
      </c>
      <c r="AD2390" s="34" t="s">
        <v>4573</v>
      </c>
      <c r="AE2390" s="34" t="s">
        <v>2826</v>
      </c>
      <c r="AF2390" s="35">
        <v>5.0040322580645162E-4</v>
      </c>
    </row>
    <row r="2391" spans="19:32" x14ac:dyDescent="0.35">
      <c r="S2391" s="34">
        <v>2387</v>
      </c>
      <c r="T2391" s="34" t="s">
        <v>4284</v>
      </c>
      <c r="U2391" s="34" t="s">
        <v>3384</v>
      </c>
      <c r="V2391" s="35">
        <v>2.0427419354838712E-4</v>
      </c>
      <c r="W2391" s="13"/>
      <c r="X2391" s="34">
        <v>2387</v>
      </c>
      <c r="Y2391" s="34" t="s">
        <v>2248</v>
      </c>
      <c r="Z2391" s="34" t="s">
        <v>5042</v>
      </c>
      <c r="AA2391" s="35">
        <v>3.8387096774193552E-2</v>
      </c>
      <c r="AB2391" s="13"/>
      <c r="AC2391" s="47">
        <v>2387</v>
      </c>
      <c r="AD2391" s="47" t="s">
        <v>4573</v>
      </c>
      <c r="AE2391" s="47" t="s">
        <v>2826</v>
      </c>
      <c r="AF2391" s="48">
        <v>5.3544000000000001E-2</v>
      </c>
    </row>
    <row r="2392" spans="19:32" x14ac:dyDescent="0.35">
      <c r="S2392" s="36">
        <v>2388</v>
      </c>
      <c r="T2392" s="36" t="s">
        <v>4284</v>
      </c>
      <c r="U2392" s="36" t="s">
        <v>3381</v>
      </c>
      <c r="V2392" s="37">
        <v>4.4618999999999991</v>
      </c>
      <c r="W2392" s="13"/>
      <c r="X2392" s="47">
        <v>2388</v>
      </c>
      <c r="Y2392" s="47" t="s">
        <v>2248</v>
      </c>
      <c r="Z2392" s="47" t="s">
        <v>3134</v>
      </c>
      <c r="AA2392" s="48">
        <v>9.3840000000000007E-2</v>
      </c>
      <c r="AB2392" s="13"/>
      <c r="AC2392" s="47">
        <v>2388</v>
      </c>
      <c r="AD2392" s="47" t="s">
        <v>4573</v>
      </c>
      <c r="AE2392" s="47" t="s">
        <v>2825</v>
      </c>
      <c r="AF2392" s="48">
        <v>0</v>
      </c>
    </row>
    <row r="2393" spans="19:32" x14ac:dyDescent="0.35">
      <c r="S2393" s="34">
        <v>2389</v>
      </c>
      <c r="T2393" s="34" t="s">
        <v>4284</v>
      </c>
      <c r="U2393" s="34" t="s">
        <v>3381</v>
      </c>
      <c r="V2393" s="35">
        <v>9.5967741935483885E-10</v>
      </c>
      <c r="W2393" s="13"/>
      <c r="X2393" s="47">
        <v>2389</v>
      </c>
      <c r="Y2393" s="47" t="s">
        <v>2248</v>
      </c>
      <c r="Z2393" s="47" t="s">
        <v>3134</v>
      </c>
      <c r="AA2393" s="56">
        <v>7.7116935483870978E-4</v>
      </c>
      <c r="AB2393" s="13"/>
      <c r="AC2393" s="34">
        <v>2389</v>
      </c>
      <c r="AD2393" s="34" t="s">
        <v>4573</v>
      </c>
      <c r="AE2393" s="34" t="s">
        <v>2939</v>
      </c>
      <c r="AF2393" s="35">
        <v>2.296370967741936E-5</v>
      </c>
    </row>
    <row r="2394" spans="19:32" x14ac:dyDescent="0.35">
      <c r="S2394" s="34">
        <v>2390</v>
      </c>
      <c r="T2394" s="34" t="s">
        <v>4284</v>
      </c>
      <c r="U2394" s="34" t="s">
        <v>3378</v>
      </c>
      <c r="V2394" s="35">
        <v>1.3401209677419356E-4</v>
      </c>
      <c r="W2394" s="13"/>
      <c r="X2394" s="34">
        <v>2390</v>
      </c>
      <c r="Y2394" s="34" t="s">
        <v>2248</v>
      </c>
      <c r="Z2394" s="34" t="s">
        <v>4100</v>
      </c>
      <c r="AA2394" s="35">
        <v>1.2818548387096775E-3</v>
      </c>
      <c r="AB2394" s="13"/>
      <c r="AC2394" s="34">
        <v>2390</v>
      </c>
      <c r="AD2394" s="34" t="s">
        <v>4573</v>
      </c>
      <c r="AE2394" s="34" t="s">
        <v>2936</v>
      </c>
      <c r="AF2394" s="35">
        <v>3.1223790322580647E-4</v>
      </c>
    </row>
    <row r="2395" spans="19:32" x14ac:dyDescent="0.35">
      <c r="S2395" s="30">
        <v>2391</v>
      </c>
      <c r="T2395" s="30" t="s">
        <v>4284</v>
      </c>
      <c r="U2395" s="30" t="s">
        <v>5041</v>
      </c>
      <c r="V2395" s="31">
        <v>4.9416000000000002E-2</v>
      </c>
      <c r="W2395" s="13"/>
      <c r="X2395" s="34">
        <v>2391</v>
      </c>
      <c r="Y2395" s="34" t="s">
        <v>2248</v>
      </c>
      <c r="Z2395" s="34" t="s">
        <v>5040</v>
      </c>
      <c r="AA2395" s="35">
        <v>4.0443548387096779E-4</v>
      </c>
      <c r="AB2395" s="13"/>
      <c r="AC2395" s="34">
        <v>2391</v>
      </c>
      <c r="AD2395" s="34" t="s">
        <v>4573</v>
      </c>
      <c r="AE2395" s="34" t="s">
        <v>2933</v>
      </c>
      <c r="AF2395" s="35">
        <v>6.8548387096774199</v>
      </c>
    </row>
    <row r="2396" spans="19:32" x14ac:dyDescent="0.35">
      <c r="S2396" s="34">
        <v>2392</v>
      </c>
      <c r="T2396" s="34" t="s">
        <v>4284</v>
      </c>
      <c r="U2396" s="34" t="s">
        <v>3376</v>
      </c>
      <c r="V2396" s="35">
        <v>4.181451612903226E-8</v>
      </c>
      <c r="W2396" s="13"/>
      <c r="X2396" s="47">
        <v>2392</v>
      </c>
      <c r="Y2396" s="47" t="s">
        <v>2248</v>
      </c>
      <c r="Z2396" s="47" t="s">
        <v>3133</v>
      </c>
      <c r="AA2396" s="48">
        <v>2.0516E-2</v>
      </c>
      <c r="AB2396" s="13"/>
      <c r="AC2396" s="34">
        <v>2392</v>
      </c>
      <c r="AD2396" s="34" t="s">
        <v>4573</v>
      </c>
      <c r="AE2396" s="34" t="s">
        <v>2823</v>
      </c>
      <c r="AF2396" s="35">
        <v>2.2415322580645164E-3</v>
      </c>
    </row>
    <row r="2397" spans="19:32" x14ac:dyDescent="0.35">
      <c r="S2397" s="34">
        <v>2393</v>
      </c>
      <c r="T2397" s="34" t="s">
        <v>4284</v>
      </c>
      <c r="U2397" s="34" t="s">
        <v>3373</v>
      </c>
      <c r="V2397" s="35">
        <v>2.0975806451612906E-2</v>
      </c>
      <c r="W2397" s="13"/>
      <c r="X2397" s="47">
        <v>2393</v>
      </c>
      <c r="Y2397" s="47" t="s">
        <v>2248</v>
      </c>
      <c r="Z2397" s="47" t="s">
        <v>3131</v>
      </c>
      <c r="AA2397" s="48">
        <v>2.2447999999999999E-2</v>
      </c>
      <c r="AB2397" s="13"/>
      <c r="AC2397" s="47">
        <v>2393</v>
      </c>
      <c r="AD2397" s="47" t="s">
        <v>4573</v>
      </c>
      <c r="AE2397" s="47" t="s">
        <v>2823</v>
      </c>
      <c r="AF2397" s="48">
        <v>1.9412</v>
      </c>
    </row>
    <row r="2398" spans="19:32" x14ac:dyDescent="0.35">
      <c r="S2398" s="34">
        <v>2394</v>
      </c>
      <c r="T2398" s="34" t="s">
        <v>4284</v>
      </c>
      <c r="U2398" s="34" t="s">
        <v>2958</v>
      </c>
      <c r="V2398" s="35">
        <v>3.2252016129032259E-4</v>
      </c>
      <c r="W2398" s="13"/>
      <c r="X2398" s="34">
        <v>2394</v>
      </c>
      <c r="Y2398" s="34" t="s">
        <v>2248</v>
      </c>
      <c r="Z2398" s="34" t="s">
        <v>5039</v>
      </c>
      <c r="AA2398" s="35">
        <v>2.1661290322580649E-4</v>
      </c>
      <c r="AB2398" s="13"/>
      <c r="AC2398" s="47">
        <v>2394</v>
      </c>
      <c r="AD2398" s="47" t="s">
        <v>4573</v>
      </c>
      <c r="AE2398" s="47" t="s">
        <v>2821</v>
      </c>
      <c r="AF2398" s="48">
        <v>44.436</v>
      </c>
    </row>
    <row r="2399" spans="19:32" x14ac:dyDescent="0.35">
      <c r="S2399" s="47">
        <v>2395</v>
      </c>
      <c r="T2399" s="47" t="s">
        <v>4284</v>
      </c>
      <c r="U2399" s="47" t="s">
        <v>2958</v>
      </c>
      <c r="V2399" s="48">
        <v>0</v>
      </c>
      <c r="W2399" s="13"/>
      <c r="X2399" s="47">
        <v>2395</v>
      </c>
      <c r="Y2399" s="47" t="s">
        <v>2248</v>
      </c>
      <c r="Z2399" s="47" t="s">
        <v>4098</v>
      </c>
      <c r="AA2399" s="56">
        <v>5.6209677419354835E-4</v>
      </c>
      <c r="AB2399" s="13"/>
      <c r="AC2399" s="47">
        <v>2395</v>
      </c>
      <c r="AD2399" s="47" t="s">
        <v>4573</v>
      </c>
      <c r="AE2399" s="47" t="s">
        <v>2820</v>
      </c>
      <c r="AF2399" s="48">
        <v>0</v>
      </c>
    </row>
    <row r="2400" spans="19:32" x14ac:dyDescent="0.35">
      <c r="S2400" s="47">
        <v>2396</v>
      </c>
      <c r="T2400" s="47" t="s">
        <v>4284</v>
      </c>
      <c r="U2400" s="47" t="s">
        <v>2956</v>
      </c>
      <c r="V2400" s="48">
        <v>8.1511999999999993</v>
      </c>
      <c r="W2400" s="13"/>
      <c r="X2400" s="34">
        <v>2396</v>
      </c>
      <c r="Y2400" s="34" t="s">
        <v>2248</v>
      </c>
      <c r="Z2400" s="34" t="s">
        <v>4095</v>
      </c>
      <c r="AA2400" s="35">
        <v>9.2540322580645174E-6</v>
      </c>
      <c r="AB2400" s="13"/>
      <c r="AC2400" s="34">
        <v>2396</v>
      </c>
      <c r="AD2400" s="34" t="s">
        <v>4573</v>
      </c>
      <c r="AE2400" s="34" t="s">
        <v>2929</v>
      </c>
      <c r="AF2400" s="35">
        <v>3.5302419354838713E-3</v>
      </c>
    </row>
    <row r="2401" spans="19:32" x14ac:dyDescent="0.35">
      <c r="S2401" s="34">
        <v>2397</v>
      </c>
      <c r="T2401" s="34" t="s">
        <v>4284</v>
      </c>
      <c r="U2401" s="34" t="s">
        <v>2955</v>
      </c>
      <c r="V2401" s="35">
        <v>0.20838709677419356</v>
      </c>
      <c r="W2401" s="13"/>
      <c r="X2401" s="34">
        <v>2397</v>
      </c>
      <c r="Y2401" s="34" t="s">
        <v>2248</v>
      </c>
      <c r="Z2401" s="34" t="s">
        <v>5038</v>
      </c>
      <c r="AA2401" s="35">
        <v>3.3417338709677419E-2</v>
      </c>
      <c r="AB2401" s="13"/>
      <c r="AC2401" s="47">
        <v>2397</v>
      </c>
      <c r="AD2401" s="47" t="s">
        <v>4573</v>
      </c>
      <c r="AE2401" s="47" t="s">
        <v>2818</v>
      </c>
      <c r="AF2401" s="48">
        <v>2.3092000000000001</v>
      </c>
    </row>
    <row r="2402" spans="19:32" x14ac:dyDescent="0.35">
      <c r="S2402" s="47">
        <v>2398</v>
      </c>
      <c r="T2402" s="47" t="s">
        <v>4284</v>
      </c>
      <c r="U2402" s="47" t="s">
        <v>2955</v>
      </c>
      <c r="V2402" s="48">
        <v>29.623999999999995</v>
      </c>
      <c r="W2402" s="13"/>
      <c r="X2402" s="47">
        <v>2398</v>
      </c>
      <c r="Y2402" s="47" t="s">
        <v>2248</v>
      </c>
      <c r="Z2402" s="47" t="s">
        <v>4091</v>
      </c>
      <c r="AA2402" s="56">
        <v>5.2096774193548388E-6</v>
      </c>
      <c r="AB2402" s="13"/>
      <c r="AC2402" s="34">
        <v>2398</v>
      </c>
      <c r="AD2402" s="34" t="s">
        <v>4573</v>
      </c>
      <c r="AE2402" s="34" t="s">
        <v>2926</v>
      </c>
      <c r="AF2402" s="35">
        <v>9.0483870967741946E-5</v>
      </c>
    </row>
    <row r="2403" spans="19:32" x14ac:dyDescent="0.35">
      <c r="S2403" s="34">
        <v>2399</v>
      </c>
      <c r="T2403" s="34" t="s">
        <v>4284</v>
      </c>
      <c r="U2403" s="34" t="s">
        <v>2953</v>
      </c>
      <c r="V2403" s="35">
        <v>2.7282258064516132</v>
      </c>
      <c r="W2403" s="13"/>
      <c r="X2403" s="47">
        <v>2399</v>
      </c>
      <c r="Y2403" s="47" t="s">
        <v>2248</v>
      </c>
      <c r="Z2403" s="47" t="s">
        <v>3130</v>
      </c>
      <c r="AA2403" s="48">
        <v>8.2155999999999985</v>
      </c>
      <c r="AB2403" s="13"/>
      <c r="AC2403" s="34">
        <v>2399</v>
      </c>
      <c r="AD2403" s="34" t="s">
        <v>4573</v>
      </c>
      <c r="AE2403" s="34" t="s">
        <v>2923</v>
      </c>
      <c r="AF2403" s="35">
        <v>1.134475806451613E-2</v>
      </c>
    </row>
    <row r="2404" spans="19:32" x14ac:dyDescent="0.35">
      <c r="S2404" s="47">
        <v>2400</v>
      </c>
      <c r="T2404" s="47" t="s">
        <v>4284</v>
      </c>
      <c r="U2404" s="47" t="s">
        <v>2953</v>
      </c>
      <c r="V2404" s="48">
        <v>0</v>
      </c>
      <c r="W2404" s="13"/>
      <c r="X2404" s="47">
        <v>2400</v>
      </c>
      <c r="Y2404" s="47" t="s">
        <v>2248</v>
      </c>
      <c r="Z2404" s="47" t="s">
        <v>4090</v>
      </c>
      <c r="AA2404" s="56">
        <v>0.19673387096774195</v>
      </c>
      <c r="AB2404" s="13"/>
      <c r="AC2404" s="34">
        <v>2400</v>
      </c>
      <c r="AD2404" s="34" t="s">
        <v>4573</v>
      </c>
      <c r="AE2404" s="34" t="s">
        <v>2920</v>
      </c>
      <c r="AF2404" s="35">
        <v>1.3983870967741935E-3</v>
      </c>
    </row>
    <row r="2405" spans="19:32" x14ac:dyDescent="0.35">
      <c r="S2405" s="34">
        <v>2401</v>
      </c>
      <c r="T2405" s="34" t="s">
        <v>4284</v>
      </c>
      <c r="U2405" s="34" t="s">
        <v>3365</v>
      </c>
      <c r="V2405" s="35">
        <v>1.2098790322580646E-3</v>
      </c>
      <c r="W2405" s="13"/>
      <c r="X2405" s="34">
        <v>2401</v>
      </c>
      <c r="Y2405" s="34" t="s">
        <v>2248</v>
      </c>
      <c r="Z2405" s="34" t="s">
        <v>5037</v>
      </c>
      <c r="AA2405" s="35">
        <v>8.8770161290322595E-6</v>
      </c>
      <c r="AB2405" s="13"/>
      <c r="AC2405" s="47">
        <v>2401</v>
      </c>
      <c r="AD2405" s="47" t="s">
        <v>4573</v>
      </c>
      <c r="AE2405" s="47" t="s">
        <v>2817</v>
      </c>
      <c r="AF2405" s="48">
        <v>0</v>
      </c>
    </row>
    <row r="2406" spans="19:32" x14ac:dyDescent="0.35">
      <c r="S2406" s="34">
        <v>2402</v>
      </c>
      <c r="T2406" s="34" t="s">
        <v>4284</v>
      </c>
      <c r="U2406" s="34" t="s">
        <v>3362</v>
      </c>
      <c r="V2406" s="35">
        <v>7.0262096774193543E-5</v>
      </c>
      <c r="W2406" s="13"/>
      <c r="X2406" s="47">
        <v>2402</v>
      </c>
      <c r="Y2406" s="47" t="s">
        <v>2248</v>
      </c>
      <c r="Z2406" s="47" t="s">
        <v>4088</v>
      </c>
      <c r="AA2406" s="56">
        <v>4.3185483870967749</v>
      </c>
      <c r="AB2406" s="13"/>
      <c r="AC2406" s="47">
        <v>2402</v>
      </c>
      <c r="AD2406" s="47" t="s">
        <v>4573</v>
      </c>
      <c r="AE2406" s="47" t="s">
        <v>2816</v>
      </c>
      <c r="AF2406" s="48">
        <v>12.972000000000001</v>
      </c>
    </row>
    <row r="2407" spans="19:32" x14ac:dyDescent="0.35">
      <c r="S2407" s="34">
        <v>2403</v>
      </c>
      <c r="T2407" s="34" t="s">
        <v>4284</v>
      </c>
      <c r="U2407" s="34" t="s">
        <v>2952</v>
      </c>
      <c r="V2407" s="35">
        <v>8.5000000000000001E-7</v>
      </c>
      <c r="W2407" s="13"/>
      <c r="X2407" s="47">
        <v>2403</v>
      </c>
      <c r="Y2407" s="47" t="s">
        <v>2248</v>
      </c>
      <c r="Z2407" s="47" t="s">
        <v>4085</v>
      </c>
      <c r="AA2407" s="56">
        <v>1.2475806451612904E-3</v>
      </c>
      <c r="AB2407" s="13"/>
      <c r="AC2407" s="34">
        <v>2403</v>
      </c>
      <c r="AD2407" s="34" t="s">
        <v>4573</v>
      </c>
      <c r="AE2407" s="34" t="s">
        <v>2815</v>
      </c>
      <c r="AF2407" s="35">
        <v>5.4838709677419359</v>
      </c>
    </row>
    <row r="2408" spans="19:32" x14ac:dyDescent="0.35">
      <c r="S2408" s="47">
        <v>2404</v>
      </c>
      <c r="T2408" s="47" t="s">
        <v>4284</v>
      </c>
      <c r="U2408" s="47" t="s">
        <v>2952</v>
      </c>
      <c r="V2408" s="48">
        <v>0</v>
      </c>
      <c r="W2408" s="13"/>
      <c r="X2408" s="34">
        <v>2404</v>
      </c>
      <c r="Y2408" s="34" t="s">
        <v>2248</v>
      </c>
      <c r="Z2408" s="34" t="s">
        <v>3528</v>
      </c>
      <c r="AA2408" s="35">
        <v>7.1633064516129035E-5</v>
      </c>
      <c r="AB2408" s="13"/>
      <c r="AC2408" s="47">
        <v>2404</v>
      </c>
      <c r="AD2408" s="47" t="s">
        <v>4573</v>
      </c>
      <c r="AE2408" s="47" t="s">
        <v>2815</v>
      </c>
      <c r="AF2408" s="48">
        <v>26.220000000000002</v>
      </c>
    </row>
    <row r="2409" spans="19:32" x14ac:dyDescent="0.35">
      <c r="S2409" s="34">
        <v>2405</v>
      </c>
      <c r="T2409" s="34" t="s">
        <v>4284</v>
      </c>
      <c r="U2409" s="34" t="s">
        <v>2950</v>
      </c>
      <c r="V2409" s="35">
        <v>1.9090725806451614E-6</v>
      </c>
      <c r="W2409" s="13"/>
      <c r="X2409" s="34">
        <v>2405</v>
      </c>
      <c r="Y2409" s="34" t="s">
        <v>2248</v>
      </c>
      <c r="Z2409" s="34" t="s">
        <v>4083</v>
      </c>
      <c r="AA2409" s="35">
        <v>2.4334677419354838E-6</v>
      </c>
      <c r="AB2409" s="13"/>
      <c r="AC2409" s="47">
        <v>2405</v>
      </c>
      <c r="AD2409" s="47" t="s">
        <v>4573</v>
      </c>
      <c r="AE2409" s="47" t="s">
        <v>2813</v>
      </c>
      <c r="AF2409" s="48">
        <v>36.155999999999999</v>
      </c>
    </row>
    <row r="2410" spans="19:32" x14ac:dyDescent="0.35">
      <c r="S2410" s="47">
        <v>2406</v>
      </c>
      <c r="T2410" s="47" t="s">
        <v>4284</v>
      </c>
      <c r="U2410" s="47" t="s">
        <v>2950</v>
      </c>
      <c r="V2410" s="48">
        <v>487.59999999999997</v>
      </c>
      <c r="W2410" s="13"/>
      <c r="X2410" s="47">
        <v>2406</v>
      </c>
      <c r="Y2410" s="47" t="s">
        <v>2248</v>
      </c>
      <c r="Z2410" s="47" t="s">
        <v>4081</v>
      </c>
      <c r="AA2410" s="56">
        <v>18.816532258064516</v>
      </c>
      <c r="AB2410" s="13"/>
      <c r="AC2410" s="34">
        <v>2406</v>
      </c>
      <c r="AD2410" s="34" t="s">
        <v>4573</v>
      </c>
      <c r="AE2410" s="34" t="s">
        <v>2916</v>
      </c>
      <c r="AF2410" s="35">
        <v>6.2036290322580649</v>
      </c>
    </row>
    <row r="2411" spans="19:32" x14ac:dyDescent="0.35">
      <c r="S2411" s="34">
        <v>2407</v>
      </c>
      <c r="T2411" s="34" t="s">
        <v>4284</v>
      </c>
      <c r="U2411" s="34" t="s">
        <v>3356</v>
      </c>
      <c r="V2411" s="35">
        <v>7.1290322580645166E-6</v>
      </c>
      <c r="W2411" s="13"/>
      <c r="X2411" s="34">
        <v>2407</v>
      </c>
      <c r="Y2411" s="34" t="s">
        <v>2248</v>
      </c>
      <c r="Z2411" s="34" t="s">
        <v>4078</v>
      </c>
      <c r="AA2411" s="35">
        <v>5.4153225806451623E-5</v>
      </c>
      <c r="AB2411" s="13"/>
      <c r="AC2411" s="34">
        <v>2407</v>
      </c>
      <c r="AD2411" s="34" t="s">
        <v>4573</v>
      </c>
      <c r="AE2411" s="34" t="s">
        <v>2913</v>
      </c>
      <c r="AF2411" s="35">
        <v>2.4403225806451617E-3</v>
      </c>
    </row>
    <row r="2412" spans="19:32" x14ac:dyDescent="0.35">
      <c r="S2412" s="47">
        <v>2408</v>
      </c>
      <c r="T2412" s="47" t="s">
        <v>4284</v>
      </c>
      <c r="U2412" s="47" t="s">
        <v>2948</v>
      </c>
      <c r="V2412" s="48">
        <v>6.2468000000000003E-2</v>
      </c>
      <c r="W2412" s="13"/>
      <c r="X2412" s="34">
        <v>2408</v>
      </c>
      <c r="Y2412" s="34" t="s">
        <v>2248</v>
      </c>
      <c r="Z2412" s="34" t="s">
        <v>5036</v>
      </c>
      <c r="AA2412" s="35">
        <v>1.9776209677419354E-4</v>
      </c>
      <c r="AB2412" s="13"/>
      <c r="AC2412" s="34">
        <v>2408</v>
      </c>
      <c r="AD2412" s="34" t="s">
        <v>4573</v>
      </c>
      <c r="AE2412" s="34" t="s">
        <v>2910</v>
      </c>
      <c r="AF2412" s="35">
        <v>0.99052419354838717</v>
      </c>
    </row>
    <row r="2413" spans="19:32" x14ac:dyDescent="0.35">
      <c r="S2413" s="36">
        <v>2409</v>
      </c>
      <c r="T2413" s="36" t="s">
        <v>4284</v>
      </c>
      <c r="U2413" s="36" t="s">
        <v>2947</v>
      </c>
      <c r="V2413" s="37">
        <v>4.3548999999999998</v>
      </c>
      <c r="W2413" s="13"/>
      <c r="X2413" s="47">
        <v>2409</v>
      </c>
      <c r="Y2413" s="47" t="s">
        <v>2248</v>
      </c>
      <c r="Z2413" s="47" t="s">
        <v>4074</v>
      </c>
      <c r="AA2413" s="56">
        <v>42.842741935483872</v>
      </c>
      <c r="AB2413" s="13"/>
      <c r="AC2413" s="34">
        <v>2409</v>
      </c>
      <c r="AD2413" s="34" t="s">
        <v>4573</v>
      </c>
      <c r="AE2413" s="34" t="s">
        <v>2907</v>
      </c>
      <c r="AF2413" s="35">
        <v>0.27487903225806454</v>
      </c>
    </row>
    <row r="2414" spans="19:32" x14ac:dyDescent="0.35">
      <c r="S2414" s="34">
        <v>2410</v>
      </c>
      <c r="T2414" s="34" t="s">
        <v>4284</v>
      </c>
      <c r="U2414" s="34" t="s">
        <v>2947</v>
      </c>
      <c r="V2414" s="35">
        <v>7.6774193548387108E-9</v>
      </c>
      <c r="W2414" s="13"/>
      <c r="X2414" s="34">
        <v>2410</v>
      </c>
      <c r="Y2414" s="34" t="s">
        <v>2248</v>
      </c>
      <c r="Z2414" s="34" t="s">
        <v>4072</v>
      </c>
      <c r="AA2414" s="35">
        <v>9.3911290322580658E-3</v>
      </c>
      <c r="AB2414" s="13"/>
      <c r="AC2414" s="34">
        <v>2410</v>
      </c>
      <c r="AD2414" s="34" t="s">
        <v>4573</v>
      </c>
      <c r="AE2414" s="34" t="s">
        <v>2905</v>
      </c>
      <c r="AF2414" s="35">
        <v>8.4657258064516142E-2</v>
      </c>
    </row>
    <row r="2415" spans="19:32" x14ac:dyDescent="0.35">
      <c r="S2415" s="47">
        <v>2411</v>
      </c>
      <c r="T2415" s="47" t="s">
        <v>4284</v>
      </c>
      <c r="U2415" s="47" t="s">
        <v>2947</v>
      </c>
      <c r="V2415" s="48">
        <v>8.8135999999999998E-4</v>
      </c>
      <c r="W2415" s="13"/>
      <c r="X2415" s="34">
        <v>2411</v>
      </c>
      <c r="Y2415" s="34" t="s">
        <v>2248</v>
      </c>
      <c r="Z2415" s="34" t="s">
        <v>5035</v>
      </c>
      <c r="AA2415" s="35">
        <v>9.9052419354838717E-4</v>
      </c>
      <c r="AB2415" s="13"/>
      <c r="AC2415" s="47">
        <v>2411</v>
      </c>
      <c r="AD2415" s="47" t="s">
        <v>4573</v>
      </c>
      <c r="AE2415" s="47" t="s">
        <v>2811</v>
      </c>
      <c r="AF2415" s="48">
        <v>0</v>
      </c>
    </row>
    <row r="2416" spans="19:32" x14ac:dyDescent="0.35">
      <c r="S2416" s="36">
        <v>2412</v>
      </c>
      <c r="T2416" s="36" t="s">
        <v>4284</v>
      </c>
      <c r="U2416" s="36" t="s">
        <v>5034</v>
      </c>
      <c r="V2416" s="37">
        <v>3.7128999999999994</v>
      </c>
      <c r="W2416" s="13"/>
      <c r="X2416" s="47">
        <v>2412</v>
      </c>
      <c r="Y2416" s="47" t="s">
        <v>2248</v>
      </c>
      <c r="Z2416" s="47" t="s">
        <v>4070</v>
      </c>
      <c r="AA2416" s="56">
        <v>6.5806451612903229E-4</v>
      </c>
      <c r="AB2416" s="13"/>
      <c r="AC2416" s="34">
        <v>2412</v>
      </c>
      <c r="AD2416" s="34" t="s">
        <v>4573</v>
      </c>
      <c r="AE2416" s="34" t="s">
        <v>2902</v>
      </c>
      <c r="AF2416" s="35">
        <v>2.3237903225806455E-4</v>
      </c>
    </row>
    <row r="2417" spans="19:32" x14ac:dyDescent="0.35">
      <c r="S2417" s="36">
        <v>2413</v>
      </c>
      <c r="T2417" s="36" t="s">
        <v>4284</v>
      </c>
      <c r="U2417" s="36" t="s">
        <v>5033</v>
      </c>
      <c r="V2417" s="37">
        <v>3.2902499999999999</v>
      </c>
      <c r="W2417" s="13"/>
      <c r="X2417" s="47">
        <v>2413</v>
      </c>
      <c r="Y2417" s="47" t="s">
        <v>2248</v>
      </c>
      <c r="Z2417" s="47" t="s">
        <v>3128</v>
      </c>
      <c r="AA2417" s="48">
        <v>0</v>
      </c>
      <c r="AB2417" s="13"/>
      <c r="AC2417" s="34">
        <v>2413</v>
      </c>
      <c r="AD2417" s="34" t="s">
        <v>4573</v>
      </c>
      <c r="AE2417" s="34" t="s">
        <v>2899</v>
      </c>
      <c r="AF2417" s="35">
        <v>2.292943548387097E-3</v>
      </c>
    </row>
    <row r="2418" spans="19:32" x14ac:dyDescent="0.35">
      <c r="S2418" s="30">
        <v>2414</v>
      </c>
      <c r="T2418" s="30" t="s">
        <v>4284</v>
      </c>
      <c r="U2418" s="30" t="s">
        <v>5032</v>
      </c>
      <c r="V2418" s="31">
        <v>917.56000000000006</v>
      </c>
      <c r="W2418" s="13"/>
      <c r="X2418" s="34">
        <v>2414</v>
      </c>
      <c r="Y2418" s="34" t="s">
        <v>2248</v>
      </c>
      <c r="Z2418" s="34" t="s">
        <v>5031</v>
      </c>
      <c r="AA2418" s="35">
        <v>8.8084677419354848E-4</v>
      </c>
      <c r="AB2418" s="13"/>
      <c r="AC2418" s="34">
        <v>2414</v>
      </c>
      <c r="AD2418" s="34" t="s">
        <v>4573</v>
      </c>
      <c r="AE2418" s="34" t="s">
        <v>2810</v>
      </c>
      <c r="AF2418" s="35">
        <v>42.5</v>
      </c>
    </row>
    <row r="2419" spans="19:32" x14ac:dyDescent="0.35">
      <c r="S2419" s="47">
        <v>2415</v>
      </c>
      <c r="T2419" s="47" t="s">
        <v>4284</v>
      </c>
      <c r="U2419" s="47" t="s">
        <v>2946</v>
      </c>
      <c r="V2419" s="48">
        <v>0</v>
      </c>
      <c r="W2419" s="13"/>
      <c r="X2419" s="47">
        <v>2415</v>
      </c>
      <c r="Y2419" s="47" t="s">
        <v>2248</v>
      </c>
      <c r="Z2419" s="47" t="s">
        <v>3128</v>
      </c>
      <c r="AA2419" s="56">
        <v>0.25705645161290325</v>
      </c>
      <c r="AB2419" s="13"/>
      <c r="AC2419" s="47">
        <v>2415</v>
      </c>
      <c r="AD2419" s="47" t="s">
        <v>4573</v>
      </c>
      <c r="AE2419" s="47" t="s">
        <v>2810</v>
      </c>
      <c r="AF2419" s="48">
        <v>0</v>
      </c>
    </row>
    <row r="2420" spans="19:32" x14ac:dyDescent="0.35">
      <c r="S2420" s="34">
        <v>2416</v>
      </c>
      <c r="T2420" s="34" t="s">
        <v>4284</v>
      </c>
      <c r="U2420" s="34" t="s">
        <v>3351</v>
      </c>
      <c r="V2420" s="35">
        <v>5.9294354838709683E-5</v>
      </c>
      <c r="W2420" s="13"/>
      <c r="X2420" s="47">
        <v>2416</v>
      </c>
      <c r="Y2420" s="47" t="s">
        <v>2248</v>
      </c>
      <c r="Z2420" s="47" t="s">
        <v>4065</v>
      </c>
      <c r="AA2420" s="56">
        <v>0.11447580645161291</v>
      </c>
      <c r="AB2420" s="13"/>
      <c r="AC2420" s="34">
        <v>2416</v>
      </c>
      <c r="AD2420" s="34" t="s">
        <v>4573</v>
      </c>
      <c r="AE2420" s="34" t="s">
        <v>2895</v>
      </c>
      <c r="AF2420" s="35">
        <v>1.7171370967741937</v>
      </c>
    </row>
    <row r="2421" spans="19:32" x14ac:dyDescent="0.35">
      <c r="S2421" s="34">
        <v>2417</v>
      </c>
      <c r="T2421" s="34" t="s">
        <v>4284</v>
      </c>
      <c r="U2421" s="34" t="s">
        <v>3348</v>
      </c>
      <c r="V2421" s="35">
        <v>5.8608870967741937E-5</v>
      </c>
      <c r="W2421" s="13"/>
      <c r="X2421" s="47">
        <v>2417</v>
      </c>
      <c r="Y2421" s="47" t="s">
        <v>2248</v>
      </c>
      <c r="Z2421" s="47" t="s">
        <v>4064</v>
      </c>
      <c r="AA2421" s="56">
        <v>4.9012096774193551E-3</v>
      </c>
      <c r="AB2421" s="13"/>
      <c r="AC2421" s="34">
        <v>2417</v>
      </c>
      <c r="AD2421" s="34" t="s">
        <v>4573</v>
      </c>
      <c r="AE2421" s="34" t="s">
        <v>2892</v>
      </c>
      <c r="AF2421" s="35">
        <v>3.7358870967741939E-3</v>
      </c>
    </row>
    <row r="2422" spans="19:32" x14ac:dyDescent="0.35">
      <c r="S2422" s="34">
        <v>2418</v>
      </c>
      <c r="T2422" s="34" t="s">
        <v>4284</v>
      </c>
      <c r="U2422" s="34" t="s">
        <v>3346</v>
      </c>
      <c r="V2422" s="35">
        <v>1.1413306451612904E-4</v>
      </c>
      <c r="W2422" s="13"/>
      <c r="X2422" s="34">
        <v>2418</v>
      </c>
      <c r="Y2422" s="34" t="s">
        <v>2248</v>
      </c>
      <c r="Z2422" s="34" t="s">
        <v>5030</v>
      </c>
      <c r="AA2422" s="35">
        <v>2.7625000000000002E-3</v>
      </c>
      <c r="AB2422" s="13"/>
      <c r="AC2422" s="34">
        <v>2418</v>
      </c>
      <c r="AD2422" s="34" t="s">
        <v>4573</v>
      </c>
      <c r="AE2422" s="34" t="s">
        <v>2889</v>
      </c>
      <c r="AF2422" s="35">
        <v>0.13641129032258065</v>
      </c>
    </row>
    <row r="2423" spans="19:32" x14ac:dyDescent="0.35">
      <c r="S2423" s="34">
        <v>2419</v>
      </c>
      <c r="T2423" s="34" t="s">
        <v>4284</v>
      </c>
      <c r="U2423" s="34" t="s">
        <v>3343</v>
      </c>
      <c r="V2423" s="35">
        <v>8.705645161290323E-5</v>
      </c>
      <c r="W2423" s="13"/>
      <c r="X2423" s="34">
        <v>2419</v>
      </c>
      <c r="Y2423" s="34" t="s">
        <v>2248</v>
      </c>
      <c r="Z2423" s="34" t="s">
        <v>4062</v>
      </c>
      <c r="AA2423" s="35">
        <v>0.20564516129032259</v>
      </c>
      <c r="AB2423" s="13"/>
      <c r="AC2423" s="47">
        <v>2419</v>
      </c>
      <c r="AD2423" s="47" t="s">
        <v>4573</v>
      </c>
      <c r="AE2423" s="47" t="s">
        <v>2808</v>
      </c>
      <c r="AF2423" s="48">
        <v>0</v>
      </c>
    </row>
    <row r="2424" spans="19:32" x14ac:dyDescent="0.35">
      <c r="S2424" s="34">
        <v>2420</v>
      </c>
      <c r="T2424" s="34" t="s">
        <v>4284</v>
      </c>
      <c r="U2424" s="34" t="s">
        <v>2945</v>
      </c>
      <c r="V2424" s="35">
        <v>6.7862903225806453E-5</v>
      </c>
      <c r="W2424" s="13"/>
      <c r="X2424" s="34">
        <v>2420</v>
      </c>
      <c r="Y2424" s="34" t="s">
        <v>2248</v>
      </c>
      <c r="Z2424" s="34" t="s">
        <v>5029</v>
      </c>
      <c r="AA2424" s="35">
        <v>1.6760080645161293E-2</v>
      </c>
      <c r="AB2424" s="13"/>
      <c r="AC2424" s="34">
        <v>2420</v>
      </c>
      <c r="AD2424" s="34" t="s">
        <v>4573</v>
      </c>
      <c r="AE2424" s="34" t="s">
        <v>2886</v>
      </c>
      <c r="AF2424" s="35">
        <v>1.5834677419354841E-2</v>
      </c>
    </row>
    <row r="2425" spans="19:32" x14ac:dyDescent="0.35">
      <c r="S2425" s="47">
        <v>2421</v>
      </c>
      <c r="T2425" s="47" t="s">
        <v>4284</v>
      </c>
      <c r="U2425" s="47" t="s">
        <v>2945</v>
      </c>
      <c r="V2425" s="48">
        <v>1.5640000000000001E-2</v>
      </c>
      <c r="W2425" s="13"/>
      <c r="X2425" s="47">
        <v>2421</v>
      </c>
      <c r="Y2425" s="47" t="s">
        <v>2248</v>
      </c>
      <c r="Z2425" s="47" t="s">
        <v>3127</v>
      </c>
      <c r="AA2425" s="48">
        <v>26.036000000000001</v>
      </c>
      <c r="AB2425" s="13"/>
      <c r="AC2425" s="34">
        <v>2421</v>
      </c>
      <c r="AD2425" s="34" t="s">
        <v>4573</v>
      </c>
      <c r="AE2425" s="34" t="s">
        <v>2883</v>
      </c>
      <c r="AF2425" s="35">
        <v>2.5465725806451615E-2</v>
      </c>
    </row>
    <row r="2426" spans="19:32" x14ac:dyDescent="0.35">
      <c r="S2426" s="34">
        <v>2422</v>
      </c>
      <c r="T2426" s="34" t="s">
        <v>4284</v>
      </c>
      <c r="U2426" s="34" t="s">
        <v>3338</v>
      </c>
      <c r="V2426" s="35">
        <v>0.11036290322580646</v>
      </c>
      <c r="W2426" s="13"/>
      <c r="X2426" s="47">
        <v>2422</v>
      </c>
      <c r="Y2426" s="47" t="s">
        <v>2248</v>
      </c>
      <c r="Z2426" s="47" t="s">
        <v>3127</v>
      </c>
      <c r="AA2426" s="56">
        <v>4.8326612903225813E-3</v>
      </c>
      <c r="AB2426" s="13"/>
      <c r="AC2426" s="34">
        <v>2422</v>
      </c>
      <c r="AD2426" s="34" t="s">
        <v>4573</v>
      </c>
      <c r="AE2426" s="34" t="s">
        <v>2881</v>
      </c>
      <c r="AF2426" s="35">
        <v>4.1129032258064517E-2</v>
      </c>
    </row>
    <row r="2427" spans="19:32" x14ac:dyDescent="0.35">
      <c r="S2427" s="34">
        <v>2423</v>
      </c>
      <c r="T2427" s="34" t="s">
        <v>4284</v>
      </c>
      <c r="U2427" s="34" t="s">
        <v>3335</v>
      </c>
      <c r="V2427" s="35">
        <v>3.9072580645161299E-9</v>
      </c>
      <c r="W2427" s="13"/>
      <c r="X2427" s="34">
        <v>2423</v>
      </c>
      <c r="Y2427" s="34" t="s">
        <v>2248</v>
      </c>
      <c r="Z2427" s="34" t="s">
        <v>4060</v>
      </c>
      <c r="AA2427" s="35">
        <v>0.873991935483871</v>
      </c>
      <c r="AB2427" s="13"/>
      <c r="AC2427" s="34">
        <v>2423</v>
      </c>
      <c r="AD2427" s="34" t="s">
        <v>4573</v>
      </c>
      <c r="AE2427" s="34" t="s">
        <v>2878</v>
      </c>
      <c r="AF2427" s="35">
        <v>5.2439516129032266E-4</v>
      </c>
    </row>
    <row r="2428" spans="19:32" x14ac:dyDescent="0.35">
      <c r="S2428" s="34">
        <v>2424</v>
      </c>
      <c r="T2428" s="34" t="s">
        <v>4284</v>
      </c>
      <c r="U2428" s="34" t="s">
        <v>3333</v>
      </c>
      <c r="V2428" s="35">
        <v>5.7923387096774194E-3</v>
      </c>
      <c r="W2428" s="13"/>
      <c r="X2428" s="34">
        <v>2424</v>
      </c>
      <c r="Y2428" s="34" t="s">
        <v>2248</v>
      </c>
      <c r="Z2428" s="34" t="s">
        <v>5028</v>
      </c>
      <c r="AA2428" s="35">
        <v>0.20358870967741938</v>
      </c>
      <c r="AB2428" s="13"/>
      <c r="AC2428" s="34">
        <v>2424</v>
      </c>
      <c r="AD2428" s="34" t="s">
        <v>4573</v>
      </c>
      <c r="AE2428" s="34" t="s">
        <v>2875</v>
      </c>
      <c r="AF2428" s="35">
        <v>2.3135080645161291E-2</v>
      </c>
    </row>
    <row r="2429" spans="19:32" x14ac:dyDescent="0.35">
      <c r="S2429" s="30">
        <v>2425</v>
      </c>
      <c r="T2429" s="30" t="s">
        <v>4284</v>
      </c>
      <c r="U2429" s="30" t="s">
        <v>5027</v>
      </c>
      <c r="V2429" s="31">
        <v>748.2</v>
      </c>
      <c r="W2429" s="13"/>
      <c r="X2429" s="47">
        <v>2425</v>
      </c>
      <c r="Y2429" s="47" t="s">
        <v>2248</v>
      </c>
      <c r="Z2429" s="47" t="s">
        <v>4058</v>
      </c>
      <c r="AA2429" s="56">
        <v>2.1421370967741936E-4</v>
      </c>
      <c r="AB2429" s="13"/>
      <c r="AC2429" s="34">
        <v>2425</v>
      </c>
      <c r="AD2429" s="34" t="s">
        <v>4573</v>
      </c>
      <c r="AE2429" s="34" t="s">
        <v>2872</v>
      </c>
      <c r="AF2429" s="35">
        <v>2.9441532258064517E-2</v>
      </c>
    </row>
    <row r="2430" spans="19:32" x14ac:dyDescent="0.35">
      <c r="S2430" s="30">
        <v>2426</v>
      </c>
      <c r="T2430" s="30" t="s">
        <v>4284</v>
      </c>
      <c r="U2430" s="30" t="s">
        <v>5026</v>
      </c>
      <c r="V2430" s="31">
        <v>620.6</v>
      </c>
      <c r="W2430" s="13"/>
      <c r="X2430" s="34">
        <v>2426</v>
      </c>
      <c r="Y2430" s="34" t="s">
        <v>2248</v>
      </c>
      <c r="Z2430" s="34" t="s">
        <v>4057</v>
      </c>
      <c r="AA2430" s="35">
        <v>1.5903225806451615E-5</v>
      </c>
      <c r="AB2430" s="13"/>
      <c r="AC2430" s="47">
        <v>2426</v>
      </c>
      <c r="AD2430" s="47" t="s">
        <v>4573</v>
      </c>
      <c r="AE2430" s="47" t="s">
        <v>2807</v>
      </c>
      <c r="AF2430" s="48">
        <v>0.7268</v>
      </c>
    </row>
    <row r="2431" spans="19:32" x14ac:dyDescent="0.35">
      <c r="S2431" s="30">
        <v>2427</v>
      </c>
      <c r="T2431" s="30" t="s">
        <v>4284</v>
      </c>
      <c r="U2431" s="30" t="s">
        <v>5025</v>
      </c>
      <c r="V2431" s="31">
        <v>0.11600000000000001</v>
      </c>
      <c r="W2431" s="13"/>
      <c r="X2431" s="34">
        <v>2427</v>
      </c>
      <c r="Y2431" s="34" t="s">
        <v>2248</v>
      </c>
      <c r="Z2431" s="34" t="s">
        <v>5024</v>
      </c>
      <c r="AA2431" s="35">
        <v>3.4959677419354839E-4</v>
      </c>
      <c r="AB2431" s="13"/>
      <c r="AC2431" s="34">
        <v>2427</v>
      </c>
      <c r="AD2431" s="34" t="s">
        <v>4573</v>
      </c>
      <c r="AE2431" s="34" t="s">
        <v>2870</v>
      </c>
      <c r="AF2431" s="35">
        <v>3.7701612903225808E-3</v>
      </c>
    </row>
    <row r="2432" spans="19:32" x14ac:dyDescent="0.35">
      <c r="S2432" s="30">
        <v>2428</v>
      </c>
      <c r="T2432" s="30" t="s">
        <v>4284</v>
      </c>
      <c r="U2432" s="30" t="s">
        <v>5023</v>
      </c>
      <c r="V2432" s="31">
        <v>356.12</v>
      </c>
      <c r="W2432" s="13"/>
      <c r="X2432" s="47">
        <v>2428</v>
      </c>
      <c r="Y2432" s="47" t="s">
        <v>2248</v>
      </c>
      <c r="Z2432" s="47" t="s">
        <v>3126</v>
      </c>
      <c r="AA2432" s="48">
        <v>0</v>
      </c>
      <c r="AB2432" s="13"/>
      <c r="AC2432" s="34">
        <v>2428</v>
      </c>
      <c r="AD2432" s="34" t="s">
        <v>4573</v>
      </c>
      <c r="AE2432" s="34" t="s">
        <v>2867</v>
      </c>
      <c r="AF2432" s="35">
        <v>0.1442943548387097</v>
      </c>
    </row>
    <row r="2433" spans="19:32" x14ac:dyDescent="0.35">
      <c r="S2433" s="30">
        <v>2429</v>
      </c>
      <c r="T2433" s="30" t="s">
        <v>4284</v>
      </c>
      <c r="U2433" s="30" t="s">
        <v>5022</v>
      </c>
      <c r="V2433" s="31">
        <v>107.76400000000001</v>
      </c>
      <c r="W2433" s="13"/>
      <c r="X2433" s="47">
        <v>2429</v>
      </c>
      <c r="Y2433" s="47" t="s">
        <v>2248</v>
      </c>
      <c r="Z2433" s="47" t="s">
        <v>3126</v>
      </c>
      <c r="AA2433" s="56">
        <v>4.4899193548387104E-2</v>
      </c>
      <c r="AB2433" s="13"/>
      <c r="AC2433" s="34">
        <v>2429</v>
      </c>
      <c r="AD2433" s="34" t="s">
        <v>4573</v>
      </c>
      <c r="AE2433" s="34" t="s">
        <v>2864</v>
      </c>
      <c r="AF2433" s="35">
        <v>5.381048387096775E-5</v>
      </c>
    </row>
    <row r="2434" spans="19:32" x14ac:dyDescent="0.35">
      <c r="S2434" s="30">
        <v>2430</v>
      </c>
      <c r="T2434" s="30" t="s">
        <v>4284</v>
      </c>
      <c r="U2434" s="30" t="s">
        <v>5021</v>
      </c>
      <c r="V2434" s="31">
        <v>337.56</v>
      </c>
      <c r="W2434" s="13"/>
      <c r="X2434" s="47">
        <v>2430</v>
      </c>
      <c r="Y2434" s="47" t="s">
        <v>2248</v>
      </c>
      <c r="Z2434" s="47" t="s">
        <v>4056</v>
      </c>
      <c r="AA2434" s="56">
        <v>1.1618951612903228</v>
      </c>
      <c r="AB2434" s="13"/>
      <c r="AC2434" s="34">
        <v>2430</v>
      </c>
      <c r="AD2434" s="34" t="s">
        <v>4573</v>
      </c>
      <c r="AE2434" s="34" t="s">
        <v>2861</v>
      </c>
      <c r="AF2434" s="35">
        <v>6.0322580645161305E-4</v>
      </c>
    </row>
    <row r="2435" spans="19:32" x14ac:dyDescent="0.35">
      <c r="S2435" s="30">
        <v>2431</v>
      </c>
      <c r="T2435" s="30" t="s">
        <v>4284</v>
      </c>
      <c r="U2435" s="30" t="s">
        <v>5020</v>
      </c>
      <c r="V2435" s="31">
        <v>327.12</v>
      </c>
      <c r="W2435" s="13"/>
      <c r="X2435" s="34">
        <v>2431</v>
      </c>
      <c r="Y2435" s="34" t="s">
        <v>2248</v>
      </c>
      <c r="Z2435" s="34" t="s">
        <v>5019</v>
      </c>
      <c r="AA2435" s="35">
        <v>2.4540322580645164E-2</v>
      </c>
      <c r="AB2435" s="13"/>
      <c r="AC2435" s="34">
        <v>2431</v>
      </c>
      <c r="AD2435" s="34" t="s">
        <v>4573</v>
      </c>
      <c r="AE2435" s="34" t="s">
        <v>2859</v>
      </c>
      <c r="AF2435" s="35">
        <v>1.9193548387096775</v>
      </c>
    </row>
    <row r="2436" spans="19:32" x14ac:dyDescent="0.35">
      <c r="S2436" s="30">
        <v>2432</v>
      </c>
      <c r="T2436" s="30" t="s">
        <v>4284</v>
      </c>
      <c r="U2436" s="30" t="s">
        <v>5018</v>
      </c>
      <c r="V2436" s="31">
        <v>316.68</v>
      </c>
      <c r="W2436" s="13"/>
      <c r="X2436" s="47">
        <v>2432</v>
      </c>
      <c r="Y2436" s="47" t="s">
        <v>2248</v>
      </c>
      <c r="Z2436" s="47" t="s">
        <v>4054</v>
      </c>
      <c r="AA2436" s="56">
        <v>5.963709677419355E-2</v>
      </c>
      <c r="AB2436" s="13"/>
      <c r="AC2436" s="34">
        <v>2432</v>
      </c>
      <c r="AD2436" s="34" t="s">
        <v>4573</v>
      </c>
      <c r="AE2436" s="34" t="s">
        <v>2856</v>
      </c>
      <c r="AF2436" s="35">
        <v>5.106854838709678E-4</v>
      </c>
    </row>
    <row r="2437" spans="19:32" x14ac:dyDescent="0.35">
      <c r="S2437" s="30">
        <v>2433</v>
      </c>
      <c r="T2437" s="30" t="s">
        <v>4284</v>
      </c>
      <c r="U2437" s="30" t="s">
        <v>5017</v>
      </c>
      <c r="V2437" s="31">
        <v>330.6</v>
      </c>
      <c r="W2437" s="13"/>
      <c r="X2437" s="47">
        <v>2433</v>
      </c>
      <c r="Y2437" s="47" t="s">
        <v>2248</v>
      </c>
      <c r="Z2437" s="47" t="s">
        <v>4050</v>
      </c>
      <c r="AA2437" s="56">
        <v>5.5181451612903235E-5</v>
      </c>
      <c r="AB2437" s="13"/>
      <c r="AC2437" s="47">
        <v>2433</v>
      </c>
      <c r="AD2437" s="47" t="s">
        <v>4573</v>
      </c>
      <c r="AE2437" s="47" t="s">
        <v>2805</v>
      </c>
      <c r="AF2437" s="48">
        <v>103.03999999999999</v>
      </c>
    </row>
    <row r="2438" spans="19:32" x14ac:dyDescent="0.35">
      <c r="S2438" s="34">
        <v>2434</v>
      </c>
      <c r="T2438" s="34" t="s">
        <v>4284</v>
      </c>
      <c r="U2438" s="34" t="s">
        <v>3330</v>
      </c>
      <c r="V2438" s="35">
        <v>4.3185483870967746E-2</v>
      </c>
      <c r="W2438" s="13"/>
      <c r="X2438" s="34">
        <v>2434</v>
      </c>
      <c r="Y2438" s="34" t="s">
        <v>2248</v>
      </c>
      <c r="Z2438" s="34" t="s">
        <v>3520</v>
      </c>
      <c r="AA2438" s="35">
        <v>0.14703629032258064</v>
      </c>
      <c r="AB2438" s="13"/>
      <c r="AC2438" s="34">
        <v>2434</v>
      </c>
      <c r="AD2438" s="34" t="s">
        <v>4573</v>
      </c>
      <c r="AE2438" s="34" t="s">
        <v>2804</v>
      </c>
      <c r="AF2438" s="35">
        <v>4.7983870967741938E-4</v>
      </c>
    </row>
    <row r="2439" spans="19:32" x14ac:dyDescent="0.35">
      <c r="S2439" s="34">
        <v>2435</v>
      </c>
      <c r="T2439" s="34" t="s">
        <v>4284</v>
      </c>
      <c r="U2439" s="34" t="s">
        <v>3327</v>
      </c>
      <c r="V2439" s="35">
        <v>8.4657258064516137E-4</v>
      </c>
      <c r="W2439" s="13"/>
      <c r="X2439" s="34">
        <v>2435</v>
      </c>
      <c r="Y2439" s="34" t="s">
        <v>2248</v>
      </c>
      <c r="Z2439" s="34" t="s">
        <v>4049</v>
      </c>
      <c r="AA2439" s="35">
        <v>6.7520161290322587E-5</v>
      </c>
      <c r="AB2439" s="13"/>
      <c r="AC2439" s="47">
        <v>2435</v>
      </c>
      <c r="AD2439" s="47" t="s">
        <v>4573</v>
      </c>
      <c r="AE2439" s="47" t="s">
        <v>2804</v>
      </c>
      <c r="AF2439" s="48">
        <v>0</v>
      </c>
    </row>
    <row r="2440" spans="19:32" x14ac:dyDescent="0.35">
      <c r="S2440" s="34">
        <v>2436</v>
      </c>
      <c r="T2440" s="34" t="s">
        <v>4284</v>
      </c>
      <c r="U2440" s="34" t="s">
        <v>2944</v>
      </c>
      <c r="V2440" s="35">
        <v>8.191532258064517E-2</v>
      </c>
      <c r="W2440" s="13"/>
      <c r="X2440" s="47">
        <v>2436</v>
      </c>
      <c r="Y2440" s="47" t="s">
        <v>2248</v>
      </c>
      <c r="Z2440" s="47" t="s">
        <v>4048</v>
      </c>
      <c r="AA2440" s="56">
        <v>6.4435483870967753E-4</v>
      </c>
      <c r="AB2440" s="13"/>
      <c r="AC2440" s="34">
        <v>2436</v>
      </c>
      <c r="AD2440" s="34" t="s">
        <v>4573</v>
      </c>
      <c r="AE2440" s="34" t="s">
        <v>2851</v>
      </c>
      <c r="AF2440" s="35">
        <v>5.415322580645162E-2</v>
      </c>
    </row>
    <row r="2441" spans="19:32" x14ac:dyDescent="0.35">
      <c r="S2441" s="47">
        <v>2437</v>
      </c>
      <c r="T2441" s="47" t="s">
        <v>4284</v>
      </c>
      <c r="U2441" s="47" t="s">
        <v>2944</v>
      </c>
      <c r="V2441" s="48">
        <v>48.76</v>
      </c>
      <c r="W2441" s="13"/>
      <c r="X2441" s="34">
        <v>2437</v>
      </c>
      <c r="Y2441" s="34" t="s">
        <v>2248</v>
      </c>
      <c r="Z2441" s="34" t="s">
        <v>3518</v>
      </c>
      <c r="AA2441" s="35">
        <v>6.2721774193548398E-4</v>
      </c>
      <c r="AB2441" s="13"/>
      <c r="AC2441" s="34">
        <v>2437</v>
      </c>
      <c r="AD2441" s="34" t="s">
        <v>4573</v>
      </c>
      <c r="AE2441" s="34" t="s">
        <v>2848</v>
      </c>
      <c r="AF2441" s="35">
        <v>6.4092741935483879</v>
      </c>
    </row>
    <row r="2442" spans="19:32" x14ac:dyDescent="0.35">
      <c r="S2442" s="47">
        <v>2438</v>
      </c>
      <c r="T2442" s="47" t="s">
        <v>4284</v>
      </c>
      <c r="U2442" s="47" t="s">
        <v>2943</v>
      </c>
      <c r="V2442" s="48">
        <v>45.631999999999998</v>
      </c>
      <c r="W2442" s="13"/>
      <c r="X2442" s="47">
        <v>2438</v>
      </c>
      <c r="Y2442" s="47" t="s">
        <v>2248</v>
      </c>
      <c r="Z2442" s="47" t="s">
        <v>3124</v>
      </c>
      <c r="AA2442" s="48">
        <v>0</v>
      </c>
      <c r="AB2442" s="13"/>
      <c r="AC2442" s="34">
        <v>2438</v>
      </c>
      <c r="AD2442" s="34" t="s">
        <v>4573</v>
      </c>
      <c r="AE2442" s="34" t="s">
        <v>2846</v>
      </c>
      <c r="AF2442" s="35">
        <v>1.9947580645161292E-2</v>
      </c>
    </row>
    <row r="2443" spans="19:32" x14ac:dyDescent="0.35">
      <c r="S2443" s="34">
        <v>2439</v>
      </c>
      <c r="T2443" s="34" t="s">
        <v>4284</v>
      </c>
      <c r="U2443" s="34" t="s">
        <v>2942</v>
      </c>
      <c r="V2443" s="35">
        <v>2.6699596774193554E-3</v>
      </c>
      <c r="W2443" s="13"/>
      <c r="X2443" s="34">
        <v>2439</v>
      </c>
      <c r="Y2443" s="34" t="s">
        <v>2248</v>
      </c>
      <c r="Z2443" s="34" t="s">
        <v>3124</v>
      </c>
      <c r="AA2443" s="35">
        <v>8.8770161290322586E-2</v>
      </c>
      <c r="AB2443" s="13"/>
      <c r="AC2443" s="34">
        <v>2439</v>
      </c>
      <c r="AD2443" s="34" t="s">
        <v>4573</v>
      </c>
      <c r="AE2443" s="34" t="s">
        <v>2843</v>
      </c>
      <c r="AF2443" s="35">
        <v>3.804435483870968E-4</v>
      </c>
    </row>
    <row r="2444" spans="19:32" x14ac:dyDescent="0.35">
      <c r="S2444" s="47">
        <v>2440</v>
      </c>
      <c r="T2444" s="47" t="s">
        <v>4284</v>
      </c>
      <c r="U2444" s="47" t="s">
        <v>2942</v>
      </c>
      <c r="V2444" s="48">
        <v>7.1392000000000007</v>
      </c>
      <c r="W2444" s="13"/>
      <c r="X2444" s="34">
        <v>2440</v>
      </c>
      <c r="Y2444" s="34" t="s">
        <v>2248</v>
      </c>
      <c r="Z2444" s="34" t="s">
        <v>3517</v>
      </c>
      <c r="AA2444" s="35">
        <v>5.826612903225807E-4</v>
      </c>
      <c r="AB2444" s="13"/>
      <c r="AC2444" s="34">
        <v>2440</v>
      </c>
      <c r="AD2444" s="34" t="s">
        <v>4573</v>
      </c>
      <c r="AE2444" s="34" t="s">
        <v>2840</v>
      </c>
      <c r="AF2444" s="35">
        <v>2.6493951612903226E-2</v>
      </c>
    </row>
    <row r="2445" spans="19:32" x14ac:dyDescent="0.35">
      <c r="S2445" s="47">
        <v>2441</v>
      </c>
      <c r="T2445" s="47" t="s">
        <v>4284</v>
      </c>
      <c r="U2445" s="47" t="s">
        <v>2941</v>
      </c>
      <c r="V2445" s="48">
        <v>0.48116000000000003</v>
      </c>
      <c r="W2445" s="13"/>
      <c r="X2445" s="47">
        <v>2441</v>
      </c>
      <c r="Y2445" s="47" t="s">
        <v>2248</v>
      </c>
      <c r="Z2445" s="47" t="s">
        <v>3123</v>
      </c>
      <c r="AA2445" s="48">
        <v>14352000</v>
      </c>
      <c r="AB2445" s="13"/>
      <c r="AC2445" s="47">
        <v>2441</v>
      </c>
      <c r="AD2445" s="47" t="s">
        <v>4573</v>
      </c>
      <c r="AE2445" s="47" t="s">
        <v>2803</v>
      </c>
      <c r="AF2445" s="48">
        <v>0</v>
      </c>
    </row>
    <row r="2446" spans="19:32" x14ac:dyDescent="0.35">
      <c r="S2446" s="47">
        <v>2442</v>
      </c>
      <c r="T2446" s="47" t="s">
        <v>4284</v>
      </c>
      <c r="U2446" s="47" t="s">
        <v>2940</v>
      </c>
      <c r="V2446" s="48">
        <v>0.30176000000000003</v>
      </c>
      <c r="W2446" s="13"/>
      <c r="X2446" s="47">
        <v>2442</v>
      </c>
      <c r="Y2446" s="47" t="s">
        <v>2248</v>
      </c>
      <c r="Z2446" s="47" t="s">
        <v>3123</v>
      </c>
      <c r="AA2446" s="56">
        <v>12.372983870967744</v>
      </c>
      <c r="AB2446" s="13"/>
      <c r="AC2446" s="34">
        <v>2442</v>
      </c>
      <c r="AD2446" s="34" t="s">
        <v>4573</v>
      </c>
      <c r="AE2446" s="34" t="s">
        <v>2837</v>
      </c>
      <c r="AF2446" s="35">
        <v>2.7556451612903228E-3</v>
      </c>
    </row>
    <row r="2447" spans="19:32" x14ac:dyDescent="0.35">
      <c r="S2447" s="47">
        <v>2443</v>
      </c>
      <c r="T2447" s="47" t="s">
        <v>4284</v>
      </c>
      <c r="U2447" s="47" t="s">
        <v>2938</v>
      </c>
      <c r="V2447" s="48">
        <v>2456.4</v>
      </c>
      <c r="W2447" s="13"/>
      <c r="X2447" s="34">
        <v>2443</v>
      </c>
      <c r="Y2447" s="34" t="s">
        <v>2248</v>
      </c>
      <c r="Z2447" s="34" t="s">
        <v>4045</v>
      </c>
      <c r="AA2447" s="35">
        <v>8.8770161290322587E-7</v>
      </c>
      <c r="AB2447" s="13"/>
      <c r="AC2447" s="47">
        <v>2443</v>
      </c>
      <c r="AD2447" s="47" t="s">
        <v>4573</v>
      </c>
      <c r="AE2447" s="47" t="s">
        <v>2802</v>
      </c>
      <c r="AF2447" s="48">
        <v>7.350799999999999E-2</v>
      </c>
    </row>
    <row r="2448" spans="19:32" x14ac:dyDescent="0.35">
      <c r="S2448" s="34">
        <v>2444</v>
      </c>
      <c r="T2448" s="34" t="s">
        <v>4284</v>
      </c>
      <c r="U2448" s="34" t="s">
        <v>2937</v>
      </c>
      <c r="V2448" s="35">
        <v>1.8473790322580646E-3</v>
      </c>
      <c r="W2448" s="13"/>
      <c r="X2448" s="34">
        <v>2444</v>
      </c>
      <c r="Y2448" s="34" t="s">
        <v>2248</v>
      </c>
      <c r="Z2448" s="34" t="s">
        <v>3515</v>
      </c>
      <c r="AA2448" s="35">
        <v>1.891935483870968E-3</v>
      </c>
      <c r="AB2448" s="13"/>
      <c r="AC2448" s="34">
        <v>2444</v>
      </c>
      <c r="AD2448" s="34" t="s">
        <v>4573</v>
      </c>
      <c r="AE2448" s="34" t="s">
        <v>2835</v>
      </c>
      <c r="AF2448" s="35">
        <v>3.0983870967741939E-3</v>
      </c>
    </row>
    <row r="2449" spans="19:32" x14ac:dyDescent="0.35">
      <c r="S2449" s="47">
        <v>2445</v>
      </c>
      <c r="T2449" s="47" t="s">
        <v>4284</v>
      </c>
      <c r="U2449" s="47" t="s">
        <v>2937</v>
      </c>
      <c r="V2449" s="48">
        <v>3.6983999999999995</v>
      </c>
      <c r="W2449" s="13"/>
      <c r="X2449" s="47">
        <v>2445</v>
      </c>
      <c r="Y2449" s="47" t="s">
        <v>2248</v>
      </c>
      <c r="Z2449" s="47" t="s">
        <v>4043</v>
      </c>
      <c r="AA2449" s="56">
        <v>7.3689516129032268E-4</v>
      </c>
      <c r="AB2449" s="13"/>
      <c r="AC2449" s="34">
        <v>2445</v>
      </c>
      <c r="AD2449" s="34" t="s">
        <v>4573</v>
      </c>
      <c r="AE2449" s="34" t="s">
        <v>2832</v>
      </c>
      <c r="AF2449" s="35">
        <v>7.4717741935483879</v>
      </c>
    </row>
    <row r="2450" spans="19:32" x14ac:dyDescent="0.35">
      <c r="S2450" s="47">
        <v>2446</v>
      </c>
      <c r="T2450" s="47" t="s">
        <v>4284</v>
      </c>
      <c r="U2450" s="47" t="s">
        <v>2935</v>
      </c>
      <c r="V2450" s="48">
        <v>0.65595999999999999</v>
      </c>
      <c r="W2450" s="13"/>
      <c r="X2450" s="47">
        <v>2446</v>
      </c>
      <c r="Y2450" s="47" t="s">
        <v>2248</v>
      </c>
      <c r="Z2450" s="47" t="s">
        <v>4042</v>
      </c>
      <c r="AA2450" s="56">
        <v>6.4435483870967751E-3</v>
      </c>
      <c r="AB2450" s="13"/>
      <c r="AC2450" s="34">
        <v>2446</v>
      </c>
      <c r="AD2450" s="34" t="s">
        <v>4573</v>
      </c>
      <c r="AE2450" s="34" t="s">
        <v>2800</v>
      </c>
      <c r="AF2450" s="35">
        <v>0.11550403225806452</v>
      </c>
    </row>
    <row r="2451" spans="19:32" x14ac:dyDescent="0.35">
      <c r="S2451" s="47">
        <v>2447</v>
      </c>
      <c r="T2451" s="47" t="s">
        <v>4284</v>
      </c>
      <c r="U2451" s="47" t="s">
        <v>2934</v>
      </c>
      <c r="V2451" s="48">
        <v>1.6927999999999999</v>
      </c>
      <c r="W2451" s="13"/>
      <c r="X2451" s="47">
        <v>2447</v>
      </c>
      <c r="Y2451" s="47" t="s">
        <v>2248</v>
      </c>
      <c r="Z2451" s="47" t="s">
        <v>4039</v>
      </c>
      <c r="AA2451" s="56">
        <v>4.1471774193548391E-4</v>
      </c>
      <c r="AB2451" s="13"/>
      <c r="AC2451" s="47">
        <v>2447</v>
      </c>
      <c r="AD2451" s="47" t="s">
        <v>4573</v>
      </c>
      <c r="AE2451" s="47" t="s">
        <v>2800</v>
      </c>
      <c r="AF2451" s="48">
        <v>8.1971999999999987</v>
      </c>
    </row>
    <row r="2452" spans="19:32" x14ac:dyDescent="0.35">
      <c r="S2452" s="47">
        <v>2448</v>
      </c>
      <c r="T2452" s="47" t="s">
        <v>4284</v>
      </c>
      <c r="U2452" s="47" t="s">
        <v>2932</v>
      </c>
      <c r="V2452" s="48">
        <v>113.16000000000001</v>
      </c>
      <c r="W2452" s="13"/>
      <c r="X2452" s="34">
        <v>2448</v>
      </c>
      <c r="Y2452" s="34" t="s">
        <v>2248</v>
      </c>
      <c r="Z2452" s="34" t="s">
        <v>3512</v>
      </c>
      <c r="AA2452" s="35">
        <v>1.4977822580645163E-6</v>
      </c>
      <c r="AB2452" s="13"/>
      <c r="AC2452" s="47">
        <v>2448</v>
      </c>
      <c r="AD2452" s="47" t="s">
        <v>4573</v>
      </c>
      <c r="AE2452" s="47" t="s">
        <v>2798</v>
      </c>
      <c r="AF2452" s="48">
        <v>0</v>
      </c>
    </row>
    <row r="2453" spans="19:32" x14ac:dyDescent="0.35">
      <c r="S2453" s="34">
        <v>2449</v>
      </c>
      <c r="T2453" s="34" t="s">
        <v>4284</v>
      </c>
      <c r="U2453" s="34" t="s">
        <v>2931</v>
      </c>
      <c r="V2453" s="35">
        <v>5.7237903225806452E-4</v>
      </c>
      <c r="W2453" s="13"/>
      <c r="X2453" s="47">
        <v>2449</v>
      </c>
      <c r="Y2453" s="47" t="s">
        <v>2248</v>
      </c>
      <c r="Z2453" s="47" t="s">
        <v>4036</v>
      </c>
      <c r="AA2453" s="56">
        <v>2.0872983870967744E-2</v>
      </c>
      <c r="AB2453" s="13"/>
      <c r="AC2453" s="34">
        <v>2449</v>
      </c>
      <c r="AD2453" s="34" t="s">
        <v>4573</v>
      </c>
      <c r="AE2453" s="34" t="s">
        <v>2827</v>
      </c>
      <c r="AF2453" s="35">
        <v>0.58266129032258074</v>
      </c>
    </row>
    <row r="2454" spans="19:32" x14ac:dyDescent="0.35">
      <c r="S2454" s="47">
        <v>2450</v>
      </c>
      <c r="T2454" s="47" t="s">
        <v>4284</v>
      </c>
      <c r="U2454" s="47" t="s">
        <v>2931</v>
      </c>
      <c r="V2454" s="48">
        <v>1.2144000000000001</v>
      </c>
      <c r="W2454" s="13"/>
      <c r="X2454" s="34">
        <v>2450</v>
      </c>
      <c r="Y2454" s="34" t="s">
        <v>2248</v>
      </c>
      <c r="Z2454" s="34" t="s">
        <v>4033</v>
      </c>
      <c r="AA2454" s="35">
        <v>7.0604838709677426E-4</v>
      </c>
      <c r="AB2454" s="13"/>
      <c r="AC2454" s="34">
        <v>2450</v>
      </c>
      <c r="AD2454" s="34" t="s">
        <v>4573</v>
      </c>
      <c r="AE2454" s="34" t="s">
        <v>2824</v>
      </c>
      <c r="AF2454" s="35">
        <v>16.657258064516132</v>
      </c>
    </row>
    <row r="2455" spans="19:32" x14ac:dyDescent="0.35">
      <c r="S2455" s="47">
        <v>2451</v>
      </c>
      <c r="T2455" s="47" t="s">
        <v>4284</v>
      </c>
      <c r="U2455" s="47" t="s">
        <v>2930</v>
      </c>
      <c r="V2455" s="48">
        <v>1.8308</v>
      </c>
      <c r="W2455" s="13"/>
      <c r="X2455" s="34">
        <v>2451</v>
      </c>
      <c r="Y2455" s="34" t="s">
        <v>2248</v>
      </c>
      <c r="Z2455" s="34" t="s">
        <v>5016</v>
      </c>
      <c r="AA2455" s="35">
        <v>2.4403225806451616E-4</v>
      </c>
      <c r="AB2455" s="13"/>
      <c r="AC2455" s="47">
        <v>2451</v>
      </c>
      <c r="AD2455" s="47" t="s">
        <v>4573</v>
      </c>
      <c r="AE2455" s="47" t="s">
        <v>2797</v>
      </c>
      <c r="AF2455" s="48">
        <v>2.3000000000000003</v>
      </c>
    </row>
    <row r="2456" spans="19:32" x14ac:dyDescent="0.35">
      <c r="S2456" s="34">
        <v>2452</v>
      </c>
      <c r="T2456" s="34" t="s">
        <v>4284</v>
      </c>
      <c r="U2456" s="34" t="s">
        <v>2928</v>
      </c>
      <c r="V2456" s="35">
        <v>5.5524193548387099E-3</v>
      </c>
      <c r="W2456" s="13"/>
      <c r="X2456" s="47">
        <v>2452</v>
      </c>
      <c r="Y2456" s="47" t="s">
        <v>2248</v>
      </c>
      <c r="Z2456" s="47" t="s">
        <v>3121</v>
      </c>
      <c r="AA2456" s="48">
        <v>0</v>
      </c>
      <c r="AB2456" s="13"/>
      <c r="AC2456" s="34">
        <v>2452</v>
      </c>
      <c r="AD2456" s="34" t="s">
        <v>4573</v>
      </c>
      <c r="AE2456" s="34" t="s">
        <v>2822</v>
      </c>
      <c r="AF2456" s="35">
        <v>2.0358870967741936E-2</v>
      </c>
    </row>
    <row r="2457" spans="19:32" x14ac:dyDescent="0.35">
      <c r="S2457" s="47">
        <v>2453</v>
      </c>
      <c r="T2457" s="47" t="s">
        <v>4284</v>
      </c>
      <c r="U2457" s="47" t="s">
        <v>2928</v>
      </c>
      <c r="V2457" s="48">
        <v>2.5944000000000003</v>
      </c>
      <c r="W2457" s="13"/>
      <c r="X2457" s="47">
        <v>2453</v>
      </c>
      <c r="Y2457" s="47" t="s">
        <v>2248</v>
      </c>
      <c r="Z2457" s="47" t="s">
        <v>4032</v>
      </c>
      <c r="AA2457" s="56">
        <v>2.6631048387096776E-2</v>
      </c>
      <c r="AB2457" s="13"/>
      <c r="AC2457" s="47">
        <v>2453</v>
      </c>
      <c r="AD2457" s="47" t="s">
        <v>4573</v>
      </c>
      <c r="AE2457" s="47" t="s">
        <v>2796</v>
      </c>
      <c r="AF2457" s="48">
        <v>0.33119999999999999</v>
      </c>
    </row>
    <row r="2458" spans="19:32" x14ac:dyDescent="0.35">
      <c r="S2458" s="47">
        <v>2454</v>
      </c>
      <c r="T2458" s="47" t="s">
        <v>4284</v>
      </c>
      <c r="U2458" s="47" t="s">
        <v>2927</v>
      </c>
      <c r="V2458" s="48">
        <v>11.040000000000001</v>
      </c>
      <c r="W2458" s="13"/>
      <c r="X2458" s="34">
        <v>2454</v>
      </c>
      <c r="Y2458" s="34" t="s">
        <v>2248</v>
      </c>
      <c r="Z2458" s="34" t="s">
        <v>5015</v>
      </c>
      <c r="AA2458" s="35">
        <v>2.8858870967741937E-4</v>
      </c>
      <c r="AB2458" s="13"/>
      <c r="AC2458" s="34">
        <v>2454</v>
      </c>
      <c r="AD2458" s="34" t="s">
        <v>4573</v>
      </c>
      <c r="AE2458" s="34" t="s">
        <v>2819</v>
      </c>
      <c r="AF2458" s="35">
        <v>1.7925403225806453</v>
      </c>
    </row>
    <row r="2459" spans="19:32" x14ac:dyDescent="0.35">
      <c r="S2459" s="47">
        <v>2455</v>
      </c>
      <c r="T2459" s="47" t="s">
        <v>4284</v>
      </c>
      <c r="U2459" s="47" t="s">
        <v>2925</v>
      </c>
      <c r="V2459" s="48">
        <v>1.5271999999999999</v>
      </c>
      <c r="W2459" s="13"/>
      <c r="X2459" s="34">
        <v>2455</v>
      </c>
      <c r="Y2459" s="34" t="s">
        <v>2248</v>
      </c>
      <c r="Z2459" s="34" t="s">
        <v>4029</v>
      </c>
      <c r="AA2459" s="35">
        <v>6.2379032258064522E-2</v>
      </c>
      <c r="AB2459" s="13"/>
      <c r="AC2459" s="34">
        <v>2455</v>
      </c>
      <c r="AD2459" s="34" t="s">
        <v>4573</v>
      </c>
      <c r="AE2459" s="34" t="s">
        <v>2795</v>
      </c>
      <c r="AF2459" s="35">
        <v>7.0262096774193553E-2</v>
      </c>
    </row>
    <row r="2460" spans="19:32" x14ac:dyDescent="0.35">
      <c r="S2460" s="47">
        <v>2456</v>
      </c>
      <c r="T2460" s="47" t="s">
        <v>4284</v>
      </c>
      <c r="U2460" s="47" t="s">
        <v>2924</v>
      </c>
      <c r="V2460" s="48">
        <v>25.391999999999999</v>
      </c>
      <c r="W2460" s="13"/>
      <c r="X2460" s="34">
        <v>2456</v>
      </c>
      <c r="Y2460" s="34" t="s">
        <v>2248</v>
      </c>
      <c r="Z2460" s="34" t="s">
        <v>4027</v>
      </c>
      <c r="AA2460" s="35">
        <v>153.54838709677421</v>
      </c>
      <c r="AB2460" s="13"/>
      <c r="AC2460" s="47">
        <v>2456</v>
      </c>
      <c r="AD2460" s="47" t="s">
        <v>4573</v>
      </c>
      <c r="AE2460" s="47" t="s">
        <v>2795</v>
      </c>
      <c r="AF2460" s="48">
        <v>0</v>
      </c>
    </row>
    <row r="2461" spans="19:32" x14ac:dyDescent="0.35">
      <c r="S2461" s="47">
        <v>2457</v>
      </c>
      <c r="T2461" s="47" t="s">
        <v>4284</v>
      </c>
      <c r="U2461" s="47" t="s">
        <v>2922</v>
      </c>
      <c r="V2461" s="48">
        <v>3.0728</v>
      </c>
      <c r="W2461" s="13"/>
      <c r="X2461" s="34">
        <v>2457</v>
      </c>
      <c r="Y2461" s="34" t="s">
        <v>2248</v>
      </c>
      <c r="Z2461" s="34" t="s">
        <v>4025</v>
      </c>
      <c r="AA2461" s="35">
        <v>7.4032258064516136E-4</v>
      </c>
      <c r="AB2461" s="13"/>
      <c r="AC2461" s="34">
        <v>2457</v>
      </c>
      <c r="AD2461" s="34" t="s">
        <v>4573</v>
      </c>
      <c r="AE2461" s="34" t="s">
        <v>2814</v>
      </c>
      <c r="AF2461" s="35">
        <v>4.5927419354838711E-2</v>
      </c>
    </row>
    <row r="2462" spans="19:32" x14ac:dyDescent="0.35">
      <c r="S2462" s="47">
        <v>2458</v>
      </c>
      <c r="T2462" s="47" t="s">
        <v>4284</v>
      </c>
      <c r="U2462" s="47" t="s">
        <v>2921</v>
      </c>
      <c r="V2462" s="48">
        <v>1.3156000000000001</v>
      </c>
      <c r="W2462" s="13"/>
      <c r="X2462" s="34">
        <v>2458</v>
      </c>
      <c r="Y2462" s="34" t="s">
        <v>2248</v>
      </c>
      <c r="Z2462" s="34" t="s">
        <v>5014</v>
      </c>
      <c r="AA2462" s="35">
        <v>8.7056451612903235E-2</v>
      </c>
      <c r="AB2462" s="13"/>
      <c r="AC2462" s="34">
        <v>2458</v>
      </c>
      <c r="AD2462" s="34" t="s">
        <v>4573</v>
      </c>
      <c r="AE2462" s="34" t="s">
        <v>2812</v>
      </c>
      <c r="AF2462" s="35">
        <v>2.2963709677419355</v>
      </c>
    </row>
    <row r="2463" spans="19:32" x14ac:dyDescent="0.35">
      <c r="S2463" s="47">
        <v>2459</v>
      </c>
      <c r="T2463" s="47" t="s">
        <v>4284</v>
      </c>
      <c r="U2463" s="47" t="s">
        <v>2919</v>
      </c>
      <c r="V2463" s="48">
        <v>18.400000000000002</v>
      </c>
      <c r="W2463" s="13"/>
      <c r="X2463" s="34">
        <v>2459</v>
      </c>
      <c r="Y2463" s="34" t="s">
        <v>2248</v>
      </c>
      <c r="Z2463" s="34" t="s">
        <v>4021</v>
      </c>
      <c r="AA2463" s="35">
        <v>4.1471774193548392E-3</v>
      </c>
      <c r="AB2463" s="13"/>
      <c r="AC2463" s="34">
        <v>2459</v>
      </c>
      <c r="AD2463" s="34" t="s">
        <v>4573</v>
      </c>
      <c r="AE2463" s="34" t="s">
        <v>2809</v>
      </c>
      <c r="AF2463" s="35">
        <v>3.9072580645161294</v>
      </c>
    </row>
    <row r="2464" spans="19:32" x14ac:dyDescent="0.35">
      <c r="S2464" s="47">
        <v>2460</v>
      </c>
      <c r="T2464" s="47" t="s">
        <v>4284</v>
      </c>
      <c r="U2464" s="47" t="s">
        <v>2918</v>
      </c>
      <c r="V2464" s="48">
        <v>0.52991999999999995</v>
      </c>
      <c r="W2464" s="13"/>
      <c r="X2464" s="34">
        <v>2460</v>
      </c>
      <c r="Y2464" s="34" t="s">
        <v>2248</v>
      </c>
      <c r="Z2464" s="34" t="s">
        <v>4020</v>
      </c>
      <c r="AA2464" s="35">
        <v>4.7641129032258069E-6</v>
      </c>
      <c r="AB2464" s="13"/>
      <c r="AC2464" s="34">
        <v>2460</v>
      </c>
      <c r="AD2464" s="34" t="s">
        <v>4573</v>
      </c>
      <c r="AE2464" s="34" t="s">
        <v>2806</v>
      </c>
      <c r="AF2464" s="35">
        <v>0.25020161290322585</v>
      </c>
    </row>
    <row r="2465" spans="19:32" x14ac:dyDescent="0.35">
      <c r="S2465" s="47">
        <v>2461</v>
      </c>
      <c r="T2465" s="47" t="s">
        <v>4284</v>
      </c>
      <c r="U2465" s="47" t="s">
        <v>2917</v>
      </c>
      <c r="V2465" s="48">
        <v>0</v>
      </c>
      <c r="W2465" s="13"/>
      <c r="X2465" s="34">
        <v>2461</v>
      </c>
      <c r="Y2465" s="34" t="s">
        <v>2248</v>
      </c>
      <c r="Z2465" s="34" t="s">
        <v>3507</v>
      </c>
      <c r="AA2465" s="35">
        <v>0.46955645161290327</v>
      </c>
      <c r="AB2465" s="13"/>
      <c r="AC2465" s="34">
        <v>2461</v>
      </c>
      <c r="AD2465" s="34" t="s">
        <v>4573</v>
      </c>
      <c r="AE2465" s="34" t="s">
        <v>2793</v>
      </c>
      <c r="AF2465" s="35">
        <v>0.12064516129032259</v>
      </c>
    </row>
    <row r="2466" spans="19:32" x14ac:dyDescent="0.35">
      <c r="S2466" s="47">
        <v>2462</v>
      </c>
      <c r="T2466" s="47" t="s">
        <v>4284</v>
      </c>
      <c r="U2466" s="47" t="s">
        <v>2915</v>
      </c>
      <c r="V2466" s="48">
        <v>0</v>
      </c>
      <c r="W2466" s="13"/>
      <c r="X2466" s="47">
        <v>2462</v>
      </c>
      <c r="Y2466" s="47" t="s">
        <v>2248</v>
      </c>
      <c r="Z2466" s="47" t="s">
        <v>3120</v>
      </c>
      <c r="AA2466" s="48">
        <v>0</v>
      </c>
      <c r="AB2466" s="13"/>
      <c r="AC2466" s="47">
        <v>2462</v>
      </c>
      <c r="AD2466" s="47" t="s">
        <v>4573</v>
      </c>
      <c r="AE2466" s="47" t="s">
        <v>2793</v>
      </c>
      <c r="AF2466" s="48">
        <v>0</v>
      </c>
    </row>
    <row r="2467" spans="19:32" x14ac:dyDescent="0.35">
      <c r="S2467" s="47">
        <v>2463</v>
      </c>
      <c r="T2467" s="47" t="s">
        <v>4284</v>
      </c>
      <c r="U2467" s="47" t="s">
        <v>2914</v>
      </c>
      <c r="V2467" s="48">
        <v>0</v>
      </c>
      <c r="W2467" s="13"/>
      <c r="X2467" s="34">
        <v>2463</v>
      </c>
      <c r="Y2467" s="34" t="s">
        <v>2248</v>
      </c>
      <c r="Z2467" s="34" t="s">
        <v>4019</v>
      </c>
      <c r="AA2467" s="35">
        <v>1.0042338709677419E-3</v>
      </c>
      <c r="AB2467" s="13"/>
      <c r="AC2467" s="34">
        <v>2463</v>
      </c>
      <c r="AD2467" s="34" t="s">
        <v>4573</v>
      </c>
      <c r="AE2467" s="34" t="s">
        <v>2801</v>
      </c>
      <c r="AF2467" s="35">
        <v>4.2842741935483876E-3</v>
      </c>
    </row>
    <row r="2468" spans="19:32" x14ac:dyDescent="0.35">
      <c r="S2468" s="34">
        <v>2464</v>
      </c>
      <c r="T2468" s="34" t="s">
        <v>4284</v>
      </c>
      <c r="U2468" s="34" t="s">
        <v>2912</v>
      </c>
      <c r="V2468" s="35">
        <v>6.8205645161290324E-2</v>
      </c>
      <c r="W2468" s="13"/>
      <c r="X2468" s="34">
        <v>2464</v>
      </c>
      <c r="Y2468" s="34" t="s">
        <v>2248</v>
      </c>
      <c r="Z2468" s="34" t="s">
        <v>5013</v>
      </c>
      <c r="AA2468" s="35">
        <v>4.7298387096774197E-2</v>
      </c>
      <c r="AB2468" s="13"/>
      <c r="AC2468" s="34">
        <v>2464</v>
      </c>
      <c r="AD2468" s="34" t="s">
        <v>4573</v>
      </c>
      <c r="AE2468" s="34" t="s">
        <v>2799</v>
      </c>
      <c r="AF2468" s="35">
        <v>0.32457661290322581</v>
      </c>
    </row>
    <row r="2469" spans="19:32" x14ac:dyDescent="0.35">
      <c r="S2469" s="47">
        <v>2465</v>
      </c>
      <c r="T2469" s="47" t="s">
        <v>4284</v>
      </c>
      <c r="U2469" s="47" t="s">
        <v>2912</v>
      </c>
      <c r="V2469" s="48">
        <v>0.97520000000000007</v>
      </c>
      <c r="W2469" s="13"/>
      <c r="X2469" s="47">
        <v>2465</v>
      </c>
      <c r="Y2469" s="47" t="s">
        <v>2248</v>
      </c>
      <c r="Z2469" s="47" t="s">
        <v>3118</v>
      </c>
      <c r="AA2469" s="48">
        <v>0.10212</v>
      </c>
      <c r="AB2469" s="13"/>
      <c r="AC2469" s="34">
        <v>2465</v>
      </c>
      <c r="AD2469" s="34" t="s">
        <v>4573</v>
      </c>
      <c r="AE2469" s="34" t="s">
        <v>2792</v>
      </c>
      <c r="AF2469" s="35">
        <v>5.5181451612903226E-3</v>
      </c>
    </row>
    <row r="2470" spans="19:32" x14ac:dyDescent="0.35">
      <c r="S2470" s="34">
        <v>2466</v>
      </c>
      <c r="T2470" s="34" t="s">
        <v>4284</v>
      </c>
      <c r="U2470" s="34" t="s">
        <v>3314</v>
      </c>
      <c r="V2470" s="35">
        <v>3.7701612903225811E-4</v>
      </c>
      <c r="W2470" s="13"/>
      <c r="X2470" s="34">
        <v>2466</v>
      </c>
      <c r="Y2470" s="34" t="s">
        <v>2248</v>
      </c>
      <c r="Z2470" s="34" t="s">
        <v>4016</v>
      </c>
      <c r="AA2470" s="35">
        <v>0.16657258064516131</v>
      </c>
      <c r="AB2470" s="13"/>
      <c r="AC2470" s="47">
        <v>2466</v>
      </c>
      <c r="AD2470" s="47" t="s">
        <v>4573</v>
      </c>
      <c r="AE2470" s="47" t="s">
        <v>2792</v>
      </c>
      <c r="AF2470" s="56">
        <v>0.30360000000000004</v>
      </c>
    </row>
    <row r="2471" spans="19:32" x14ac:dyDescent="0.35">
      <c r="S2471" s="34">
        <v>2467</v>
      </c>
      <c r="T2471" s="34" t="s">
        <v>4284</v>
      </c>
      <c r="U2471" s="34" t="s">
        <v>3311</v>
      </c>
      <c r="V2471" s="35">
        <v>2.0667338709677422E-4</v>
      </c>
      <c r="W2471" s="13"/>
      <c r="X2471" s="34">
        <v>2467</v>
      </c>
      <c r="Y2471" s="34" t="s">
        <v>2248</v>
      </c>
      <c r="Z2471" s="34" t="s">
        <v>4015</v>
      </c>
      <c r="AA2471" s="35">
        <v>2.5122983870967746</v>
      </c>
      <c r="AB2471" s="13"/>
      <c r="AC2471" s="34">
        <v>2467</v>
      </c>
      <c r="AD2471" s="34" t="s">
        <v>4573</v>
      </c>
      <c r="AE2471" s="34" t="s">
        <v>2794</v>
      </c>
      <c r="AF2471" s="35">
        <v>0.73004032258064522</v>
      </c>
    </row>
    <row r="2472" spans="19:32" x14ac:dyDescent="0.35">
      <c r="S2472" s="34">
        <v>2468</v>
      </c>
      <c r="T2472" s="34" t="s">
        <v>4284</v>
      </c>
      <c r="U2472" s="34" t="s">
        <v>3308</v>
      </c>
      <c r="V2472" s="35">
        <v>1.6143145161290325E-3</v>
      </c>
      <c r="W2472" s="13"/>
      <c r="X2472" s="34">
        <v>2468</v>
      </c>
      <c r="Y2472" s="34" t="s">
        <v>2248</v>
      </c>
      <c r="Z2472" s="34" t="s">
        <v>5012</v>
      </c>
      <c r="AA2472" s="35">
        <v>7.4375000000000004E-6</v>
      </c>
      <c r="AB2472" s="13"/>
      <c r="AC2472" s="34">
        <v>2468</v>
      </c>
      <c r="AD2472" s="34" t="s">
        <v>4573</v>
      </c>
      <c r="AE2472" s="34" t="s">
        <v>2791</v>
      </c>
      <c r="AF2472" s="35">
        <v>8.2600806451612918</v>
      </c>
    </row>
    <row r="2473" spans="19:32" x14ac:dyDescent="0.35">
      <c r="S2473" s="34">
        <v>2469</v>
      </c>
      <c r="T2473" s="34" t="s">
        <v>4284</v>
      </c>
      <c r="U2473" s="34" t="s">
        <v>2911</v>
      </c>
      <c r="V2473" s="35">
        <v>2.1661290322580649E-4</v>
      </c>
      <c r="W2473" s="13"/>
      <c r="X2473" s="34">
        <v>2469</v>
      </c>
      <c r="Y2473" s="34" t="s">
        <v>2248</v>
      </c>
      <c r="Z2473" s="34" t="s">
        <v>4012</v>
      </c>
      <c r="AA2473" s="35">
        <v>9.3568548387096776E-3</v>
      </c>
      <c r="AB2473" s="13"/>
      <c r="AC2473" s="34">
        <v>2469</v>
      </c>
      <c r="AD2473" s="34" t="s">
        <v>4573</v>
      </c>
      <c r="AE2473" s="34" t="s">
        <v>2790</v>
      </c>
      <c r="AF2473" s="35">
        <v>1.7788306451612905</v>
      </c>
    </row>
    <row r="2474" spans="19:32" x14ac:dyDescent="0.35">
      <c r="S2474" s="47">
        <v>2470</v>
      </c>
      <c r="T2474" s="47" t="s">
        <v>4284</v>
      </c>
      <c r="U2474" s="47" t="s">
        <v>2911</v>
      </c>
      <c r="V2474" s="48">
        <v>0</v>
      </c>
      <c r="W2474" s="13"/>
      <c r="X2474" s="34">
        <v>2470</v>
      </c>
      <c r="Y2474" s="34" t="s">
        <v>2248</v>
      </c>
      <c r="Z2474" s="34" t="s">
        <v>4009</v>
      </c>
      <c r="AA2474" s="35">
        <v>6.8548387096774195E-3</v>
      </c>
      <c r="AB2474" s="13"/>
      <c r="AC2474" s="47">
        <v>2470</v>
      </c>
      <c r="AD2474" s="47" t="s">
        <v>4573</v>
      </c>
      <c r="AE2474" s="47" t="s">
        <v>2790</v>
      </c>
      <c r="AF2474" s="56">
        <v>0</v>
      </c>
    </row>
    <row r="2475" spans="19:32" x14ac:dyDescent="0.35">
      <c r="S2475" s="34">
        <v>2471</v>
      </c>
      <c r="T2475" s="34" t="s">
        <v>4284</v>
      </c>
      <c r="U2475" s="34" t="s">
        <v>3304</v>
      </c>
      <c r="V2475" s="35">
        <v>6.1693548387096783E-3</v>
      </c>
      <c r="W2475" s="13"/>
      <c r="X2475" s="34">
        <v>2471</v>
      </c>
      <c r="Y2475" s="34" t="s">
        <v>2248</v>
      </c>
      <c r="Z2475" s="34" t="s">
        <v>5011</v>
      </c>
      <c r="AA2475" s="35">
        <v>2.2209677419354841E-6</v>
      </c>
      <c r="AB2475" s="13"/>
      <c r="AC2475" s="34">
        <v>2471</v>
      </c>
      <c r="AD2475" s="34" t="s">
        <v>4573</v>
      </c>
      <c r="AE2475" s="34" t="s">
        <v>2788</v>
      </c>
      <c r="AF2475" s="35">
        <v>5.6895161290322594E-4</v>
      </c>
    </row>
    <row r="2476" spans="19:32" x14ac:dyDescent="0.35">
      <c r="S2476" s="34">
        <v>2472</v>
      </c>
      <c r="T2476" s="34" t="s">
        <v>4284</v>
      </c>
      <c r="U2476" s="34" t="s">
        <v>3301</v>
      </c>
      <c r="V2476" s="35">
        <v>2.872177419354839E-4</v>
      </c>
      <c r="W2476" s="13"/>
      <c r="X2476" s="34">
        <v>2472</v>
      </c>
      <c r="Y2476" s="34" t="s">
        <v>2248</v>
      </c>
      <c r="Z2476" s="34" t="s">
        <v>4006</v>
      </c>
      <c r="AA2476" s="35">
        <v>8.054435483870968E-3</v>
      </c>
      <c r="AB2476" s="13"/>
      <c r="AC2476" s="34">
        <v>2472</v>
      </c>
      <c r="AD2476" s="34" t="s">
        <v>4573</v>
      </c>
      <c r="AE2476" s="34" t="s">
        <v>2785</v>
      </c>
      <c r="AF2476" s="35">
        <v>8.1915322580645173E-3</v>
      </c>
    </row>
    <row r="2477" spans="19:32" x14ac:dyDescent="0.35">
      <c r="S2477" s="34">
        <v>2473</v>
      </c>
      <c r="T2477" s="34" t="s">
        <v>4284</v>
      </c>
      <c r="U2477" s="34" t="s">
        <v>3298</v>
      </c>
      <c r="V2477" s="35">
        <v>1.723991935483871E-2</v>
      </c>
      <c r="W2477" s="13"/>
      <c r="X2477" s="34">
        <v>2473</v>
      </c>
      <c r="Y2477" s="34" t="s">
        <v>2248</v>
      </c>
      <c r="Z2477" s="34" t="s">
        <v>4004</v>
      </c>
      <c r="AA2477" s="35">
        <v>5.758064516129033E-3</v>
      </c>
      <c r="AB2477" s="13"/>
      <c r="AC2477" s="34">
        <v>2473</v>
      </c>
      <c r="AD2477" s="34" t="s">
        <v>4573</v>
      </c>
      <c r="AE2477" s="34" t="s">
        <v>2782</v>
      </c>
      <c r="AF2477" s="35">
        <v>5.8951612903225814E-2</v>
      </c>
    </row>
    <row r="2478" spans="19:32" x14ac:dyDescent="0.35">
      <c r="S2478" s="34">
        <v>2474</v>
      </c>
      <c r="T2478" s="34" t="s">
        <v>4284</v>
      </c>
      <c r="U2478" s="34" t="s">
        <v>3295</v>
      </c>
      <c r="V2478" s="35">
        <v>1.0693548387096775E-3</v>
      </c>
      <c r="W2478" s="13"/>
      <c r="X2478" s="34">
        <v>2474</v>
      </c>
      <c r="Y2478" s="34" t="s">
        <v>2248</v>
      </c>
      <c r="Z2478" s="34" t="s">
        <v>5010</v>
      </c>
      <c r="AA2478" s="35">
        <v>7.2318548387096783E-3</v>
      </c>
      <c r="AB2478" s="13"/>
      <c r="AC2478" s="47">
        <v>2474</v>
      </c>
      <c r="AD2478" s="47" t="s">
        <v>4573</v>
      </c>
      <c r="AE2478" s="47" t="s">
        <v>2782</v>
      </c>
      <c r="AF2478" s="56">
        <v>1499.6</v>
      </c>
    </row>
    <row r="2479" spans="19:32" x14ac:dyDescent="0.35">
      <c r="S2479" s="34">
        <v>2475</v>
      </c>
      <c r="T2479" s="34" t="s">
        <v>4284</v>
      </c>
      <c r="U2479" s="34" t="s">
        <v>3292</v>
      </c>
      <c r="V2479" s="35">
        <v>0.14532258064516129</v>
      </c>
      <c r="W2479" s="13"/>
      <c r="X2479" s="47">
        <v>2475</v>
      </c>
      <c r="Y2479" s="47" t="s">
        <v>2248</v>
      </c>
      <c r="Z2479" s="47" t="s">
        <v>3116</v>
      </c>
      <c r="AA2479" s="48">
        <v>0</v>
      </c>
      <c r="AB2479" s="13"/>
      <c r="AC2479" s="47">
        <v>2475</v>
      </c>
      <c r="AD2479" s="47" t="s">
        <v>4573</v>
      </c>
      <c r="AE2479" s="47" t="s">
        <v>2789</v>
      </c>
      <c r="AF2479" s="56">
        <v>122360</v>
      </c>
    </row>
    <row r="2480" spans="19:32" x14ac:dyDescent="0.35">
      <c r="S2480" s="34">
        <v>2476</v>
      </c>
      <c r="T2480" s="34" t="s">
        <v>4284</v>
      </c>
      <c r="U2480" s="34" t="s">
        <v>3290</v>
      </c>
      <c r="V2480" s="35">
        <v>4.215725806451613E-3</v>
      </c>
      <c r="W2480" s="13"/>
      <c r="X2480" s="34">
        <v>2476</v>
      </c>
      <c r="Y2480" s="34" t="s">
        <v>2248</v>
      </c>
      <c r="Z2480" s="34" t="s">
        <v>3116</v>
      </c>
      <c r="AA2480" s="35">
        <v>8.6713709677419357E-2</v>
      </c>
      <c r="AB2480" s="13"/>
      <c r="AC2480" s="47">
        <v>2476</v>
      </c>
      <c r="AD2480" s="47" t="s">
        <v>4573</v>
      </c>
      <c r="AE2480" s="47" t="s">
        <v>2787</v>
      </c>
      <c r="AF2480" s="56">
        <v>0</v>
      </c>
    </row>
    <row r="2481" spans="19:32" x14ac:dyDescent="0.35">
      <c r="S2481" s="34">
        <v>2477</v>
      </c>
      <c r="T2481" s="34" t="s">
        <v>4284</v>
      </c>
      <c r="U2481" s="34" t="s">
        <v>3287</v>
      </c>
      <c r="V2481" s="35">
        <v>2.210685483870968E-2</v>
      </c>
      <c r="W2481" s="13"/>
      <c r="X2481" s="34">
        <v>2477</v>
      </c>
      <c r="Y2481" s="34" t="s">
        <v>2248</v>
      </c>
      <c r="Z2481" s="34" t="s">
        <v>4001</v>
      </c>
      <c r="AA2481" s="35">
        <v>0.10659274193548388</v>
      </c>
      <c r="AB2481" s="13"/>
      <c r="AC2481" s="34">
        <v>2477</v>
      </c>
      <c r="AD2481" s="34" t="s">
        <v>4573</v>
      </c>
      <c r="AE2481" s="34" t="s">
        <v>2780</v>
      </c>
      <c r="AF2481" s="35">
        <v>6.9233870967741939</v>
      </c>
    </row>
    <row r="2482" spans="19:32" x14ac:dyDescent="0.35">
      <c r="S2482" s="34">
        <v>2478</v>
      </c>
      <c r="T2482" s="34" t="s">
        <v>4284</v>
      </c>
      <c r="U2482" s="34" t="s">
        <v>3284</v>
      </c>
      <c r="V2482" s="35">
        <v>1.0796370967741937E-4</v>
      </c>
      <c r="W2482" s="13"/>
      <c r="X2482" s="34">
        <v>2478</v>
      </c>
      <c r="Y2482" s="34" t="s">
        <v>2248</v>
      </c>
      <c r="Z2482" s="34" t="s">
        <v>3503</v>
      </c>
      <c r="AA2482" s="35">
        <v>2.1215725806451615E-2</v>
      </c>
      <c r="AB2482" s="13"/>
      <c r="AC2482" s="34">
        <v>2478</v>
      </c>
      <c r="AD2482" s="34" t="s">
        <v>4573</v>
      </c>
      <c r="AE2482" s="34" t="s">
        <v>2779</v>
      </c>
      <c r="AF2482" s="35">
        <v>1.206451612903226E-2</v>
      </c>
    </row>
    <row r="2483" spans="19:32" x14ac:dyDescent="0.35">
      <c r="S2483" s="34">
        <v>2479</v>
      </c>
      <c r="T2483" s="34" t="s">
        <v>4284</v>
      </c>
      <c r="U2483" s="34" t="s">
        <v>3281</v>
      </c>
      <c r="V2483" s="35">
        <v>3.2766129032258068E-5</v>
      </c>
      <c r="W2483" s="13"/>
      <c r="X2483" s="34">
        <v>2479</v>
      </c>
      <c r="Y2483" s="34" t="s">
        <v>2248</v>
      </c>
      <c r="Z2483" s="34" t="s">
        <v>4000</v>
      </c>
      <c r="AA2483" s="35">
        <v>11.207661290322582</v>
      </c>
      <c r="AB2483" s="13"/>
      <c r="AC2483" s="34">
        <v>2479</v>
      </c>
      <c r="AD2483" s="34" t="s">
        <v>4573</v>
      </c>
      <c r="AE2483" s="34" t="s">
        <v>2776</v>
      </c>
      <c r="AF2483" s="35">
        <v>0.20975806451612905</v>
      </c>
    </row>
    <row r="2484" spans="19:32" x14ac:dyDescent="0.35">
      <c r="S2484" s="34">
        <v>2480</v>
      </c>
      <c r="T2484" s="34" t="s">
        <v>4284</v>
      </c>
      <c r="U2484" s="34" t="s">
        <v>3279</v>
      </c>
      <c r="V2484" s="35">
        <v>1.3161290322580646E-4</v>
      </c>
      <c r="W2484" s="13"/>
      <c r="X2484" s="34">
        <v>2480</v>
      </c>
      <c r="Y2484" s="34" t="s">
        <v>2248</v>
      </c>
      <c r="Z2484" s="34" t="s">
        <v>3997</v>
      </c>
      <c r="AA2484" s="35">
        <v>4.8669354838709683E-2</v>
      </c>
      <c r="AB2484" s="13"/>
      <c r="AC2484" s="34">
        <v>2480</v>
      </c>
      <c r="AD2484" s="34" t="s">
        <v>4573</v>
      </c>
      <c r="AE2484" s="34" t="s">
        <v>2774</v>
      </c>
      <c r="AF2484" s="35">
        <v>0.20667338709677421</v>
      </c>
    </row>
    <row r="2485" spans="19:32" x14ac:dyDescent="0.35">
      <c r="S2485" s="47">
        <v>2481</v>
      </c>
      <c r="T2485" s="47" t="s">
        <v>4284</v>
      </c>
      <c r="U2485" s="47" t="s">
        <v>2909</v>
      </c>
      <c r="V2485" s="48">
        <v>385.48</v>
      </c>
      <c r="W2485" s="13"/>
      <c r="X2485" s="34">
        <v>2481</v>
      </c>
      <c r="Y2485" s="34" t="s">
        <v>2248</v>
      </c>
      <c r="Z2485" s="34" t="s">
        <v>5009</v>
      </c>
      <c r="AA2485" s="35">
        <v>0.26802419354838714</v>
      </c>
      <c r="AB2485" s="13"/>
      <c r="AC2485" s="34">
        <v>2481</v>
      </c>
      <c r="AD2485" s="34" t="s">
        <v>4573</v>
      </c>
      <c r="AE2485" s="34" t="s">
        <v>2772</v>
      </c>
      <c r="AF2485" s="35">
        <v>1.0110887096774194E-2</v>
      </c>
    </row>
    <row r="2486" spans="19:32" x14ac:dyDescent="0.35">
      <c r="S2486" s="34">
        <v>2482</v>
      </c>
      <c r="T2486" s="34" t="s">
        <v>4284</v>
      </c>
      <c r="U2486" s="34" t="s">
        <v>2908</v>
      </c>
      <c r="V2486" s="35">
        <v>1.0830645161290324E-3</v>
      </c>
      <c r="W2486" s="13"/>
      <c r="X2486" s="34">
        <v>2482</v>
      </c>
      <c r="Y2486" s="34" t="s">
        <v>2248</v>
      </c>
      <c r="Z2486" s="34" t="s">
        <v>3996</v>
      </c>
      <c r="AA2486" s="35">
        <v>0.11824596774193549</v>
      </c>
      <c r="AB2486" s="13"/>
      <c r="AC2486" s="47">
        <v>2482</v>
      </c>
      <c r="AD2486" s="47" t="s">
        <v>4573</v>
      </c>
      <c r="AE2486" s="47" t="s">
        <v>2786</v>
      </c>
      <c r="AF2486" s="56">
        <v>125.12</v>
      </c>
    </row>
    <row r="2487" spans="19:32" x14ac:dyDescent="0.35">
      <c r="S2487" s="47">
        <v>2483</v>
      </c>
      <c r="T2487" s="47" t="s">
        <v>4284</v>
      </c>
      <c r="U2487" s="47" t="s">
        <v>2908</v>
      </c>
      <c r="V2487" s="48">
        <v>0</v>
      </c>
      <c r="W2487" s="13"/>
      <c r="X2487" s="34">
        <v>2483</v>
      </c>
      <c r="Y2487" s="34" t="s">
        <v>2248</v>
      </c>
      <c r="Z2487" s="34" t="s">
        <v>3993</v>
      </c>
      <c r="AA2487" s="35">
        <v>3.2697580645161292E-10</v>
      </c>
      <c r="AB2487" s="13"/>
      <c r="AC2487" s="34">
        <v>2483</v>
      </c>
      <c r="AD2487" s="34" t="s">
        <v>4573</v>
      </c>
      <c r="AE2487" s="34" t="s">
        <v>2770</v>
      </c>
      <c r="AF2487" s="35">
        <v>0.22243951612903229</v>
      </c>
    </row>
    <row r="2488" spans="19:32" x14ac:dyDescent="0.35">
      <c r="S2488" s="34">
        <v>2484</v>
      </c>
      <c r="T2488" s="34" t="s">
        <v>4284</v>
      </c>
      <c r="U2488" s="34" t="s">
        <v>3274</v>
      </c>
      <c r="V2488" s="35">
        <v>4.1471774193548392E-3</v>
      </c>
      <c r="W2488" s="13"/>
      <c r="X2488" s="34">
        <v>2484</v>
      </c>
      <c r="Y2488" s="34" t="s">
        <v>2248</v>
      </c>
      <c r="Z2488" s="34" t="s">
        <v>5008</v>
      </c>
      <c r="AA2488" s="35">
        <v>8.1572580645161291E-2</v>
      </c>
      <c r="AB2488" s="13"/>
      <c r="AC2488" s="34">
        <v>2484</v>
      </c>
      <c r="AD2488" s="34" t="s">
        <v>4573</v>
      </c>
      <c r="AE2488" s="34" t="s">
        <v>2767</v>
      </c>
      <c r="AF2488" s="35">
        <v>2.1455645161290323E-3</v>
      </c>
    </row>
    <row r="2489" spans="19:32" x14ac:dyDescent="0.35">
      <c r="S2489" s="34">
        <v>2485</v>
      </c>
      <c r="T2489" s="34" t="s">
        <v>4284</v>
      </c>
      <c r="U2489" s="34" t="s">
        <v>2906</v>
      </c>
      <c r="V2489" s="35">
        <v>5.1754032258064517E-4</v>
      </c>
      <c r="W2489" s="13"/>
      <c r="X2489" s="47">
        <v>2485</v>
      </c>
      <c r="Y2489" s="47" t="s">
        <v>2248</v>
      </c>
      <c r="Z2489" s="47" t="s">
        <v>3115</v>
      </c>
      <c r="AA2489" s="48">
        <v>0</v>
      </c>
      <c r="AB2489" s="13"/>
      <c r="AC2489" s="34">
        <v>2485</v>
      </c>
      <c r="AD2489" s="34" t="s">
        <v>4573</v>
      </c>
      <c r="AE2489" s="34" t="s">
        <v>2764</v>
      </c>
      <c r="AF2489" s="35">
        <v>0.66149193548387097</v>
      </c>
    </row>
    <row r="2490" spans="19:32" x14ac:dyDescent="0.35">
      <c r="S2490" s="47">
        <v>2486</v>
      </c>
      <c r="T2490" s="47" t="s">
        <v>4284</v>
      </c>
      <c r="U2490" s="47" t="s">
        <v>2906</v>
      </c>
      <c r="V2490" s="48">
        <v>0</v>
      </c>
      <c r="W2490" s="13"/>
      <c r="X2490" s="34">
        <v>2486</v>
      </c>
      <c r="Y2490" s="34" t="s">
        <v>2248</v>
      </c>
      <c r="Z2490" s="34" t="s">
        <v>3115</v>
      </c>
      <c r="AA2490" s="35">
        <v>0.15903225806451615</v>
      </c>
      <c r="AB2490" s="13"/>
      <c r="AC2490" s="34">
        <v>2486</v>
      </c>
      <c r="AD2490" s="34" t="s">
        <v>4573</v>
      </c>
      <c r="AE2490" s="34" t="s">
        <v>2762</v>
      </c>
      <c r="AF2490" s="35">
        <v>5.0383064516129035E-3</v>
      </c>
    </row>
    <row r="2491" spans="19:32" x14ac:dyDescent="0.35">
      <c r="S2491" s="47">
        <v>2487</v>
      </c>
      <c r="T2491" s="47" t="s">
        <v>4284</v>
      </c>
      <c r="U2491" s="47" t="s">
        <v>2904</v>
      </c>
      <c r="V2491" s="48">
        <v>30.360000000000003</v>
      </c>
      <c r="W2491" s="13"/>
      <c r="X2491" s="47">
        <v>2487</v>
      </c>
      <c r="Y2491" s="47" t="s">
        <v>2248</v>
      </c>
      <c r="Z2491" s="47" t="s">
        <v>3113</v>
      </c>
      <c r="AA2491" s="48">
        <v>1.3615999999999999</v>
      </c>
      <c r="AB2491" s="13"/>
      <c r="AC2491" s="34">
        <v>2487</v>
      </c>
      <c r="AD2491" s="34" t="s">
        <v>4573</v>
      </c>
      <c r="AE2491" s="34" t="s">
        <v>2759</v>
      </c>
      <c r="AF2491" s="35">
        <v>4.2500000000000003E-3</v>
      </c>
    </row>
    <row r="2492" spans="19:32" x14ac:dyDescent="0.35">
      <c r="S2492" s="34">
        <v>2488</v>
      </c>
      <c r="T2492" s="34" t="s">
        <v>4284</v>
      </c>
      <c r="U2492" s="34" t="s">
        <v>3269</v>
      </c>
      <c r="V2492" s="35">
        <v>7.2661290322580646E-2</v>
      </c>
      <c r="W2492" s="13"/>
      <c r="X2492" s="34">
        <v>2488</v>
      </c>
      <c r="Y2492" s="34" t="s">
        <v>2248</v>
      </c>
      <c r="Z2492" s="34" t="s">
        <v>3501</v>
      </c>
      <c r="AA2492" s="35">
        <v>2.0598790322580648E-2</v>
      </c>
      <c r="AB2492" s="13"/>
      <c r="AC2492" s="34">
        <v>2488</v>
      </c>
      <c r="AD2492" s="34" t="s">
        <v>4573</v>
      </c>
      <c r="AE2492" s="34" t="s">
        <v>2758</v>
      </c>
      <c r="AF2492" s="35">
        <v>1.5629032258064517E-3</v>
      </c>
    </row>
    <row r="2493" spans="19:32" x14ac:dyDescent="0.35">
      <c r="S2493" s="34">
        <v>2489</v>
      </c>
      <c r="T2493" s="34" t="s">
        <v>4284</v>
      </c>
      <c r="U2493" s="34" t="s">
        <v>2903</v>
      </c>
      <c r="V2493" s="35">
        <v>1.6245967741935485E-4</v>
      </c>
      <c r="W2493" s="13"/>
      <c r="X2493" s="47">
        <v>2489</v>
      </c>
      <c r="Y2493" s="47" t="s">
        <v>2248</v>
      </c>
      <c r="Z2493" s="47" t="s">
        <v>3112</v>
      </c>
      <c r="AA2493" s="48">
        <v>6.5044000000000007E-4</v>
      </c>
      <c r="AB2493" s="13"/>
      <c r="AC2493" s="47">
        <v>2489</v>
      </c>
      <c r="AD2493" s="47" t="s">
        <v>4573</v>
      </c>
      <c r="AE2493" s="47" t="s">
        <v>2784</v>
      </c>
      <c r="AF2493" s="56">
        <v>0</v>
      </c>
    </row>
    <row r="2494" spans="19:32" x14ac:dyDescent="0.35">
      <c r="S2494" s="47">
        <v>2490</v>
      </c>
      <c r="T2494" s="47" t="s">
        <v>4284</v>
      </c>
      <c r="U2494" s="47" t="s">
        <v>2903</v>
      </c>
      <c r="V2494" s="48">
        <v>0</v>
      </c>
      <c r="W2494" s="13"/>
      <c r="X2494" s="34">
        <v>2490</v>
      </c>
      <c r="Y2494" s="34" t="s">
        <v>2248</v>
      </c>
      <c r="Z2494" s="34" t="s">
        <v>3112</v>
      </c>
      <c r="AA2494" s="35">
        <v>7.7802419354838725E-6</v>
      </c>
      <c r="AB2494" s="13"/>
      <c r="AC2494" s="47">
        <v>2490</v>
      </c>
      <c r="AD2494" s="47" t="s">
        <v>4573</v>
      </c>
      <c r="AE2494" s="47" t="s">
        <v>2783</v>
      </c>
      <c r="AF2494" s="56">
        <v>0.94760000000000011</v>
      </c>
    </row>
    <row r="2495" spans="19:32" x14ac:dyDescent="0.35">
      <c r="S2495" s="34">
        <v>2491</v>
      </c>
      <c r="T2495" s="34" t="s">
        <v>4284</v>
      </c>
      <c r="U2495" s="34" t="s">
        <v>3265</v>
      </c>
      <c r="V2495" s="35">
        <v>3.0127016129032261E-5</v>
      </c>
      <c r="W2495" s="13"/>
      <c r="X2495" s="34">
        <v>2491</v>
      </c>
      <c r="Y2495" s="34" t="s">
        <v>2248</v>
      </c>
      <c r="Z2495" s="34" t="s">
        <v>5007</v>
      </c>
      <c r="AA2495" s="35">
        <v>1.8953629032258067E-2</v>
      </c>
      <c r="AB2495" s="13"/>
      <c r="AC2495" s="34">
        <v>2491</v>
      </c>
      <c r="AD2495" s="34" t="s">
        <v>4573</v>
      </c>
      <c r="AE2495" s="34" t="s">
        <v>2757</v>
      </c>
      <c r="AF2495" s="35">
        <v>1.5868951612903227E-2</v>
      </c>
    </row>
    <row r="2496" spans="19:32" x14ac:dyDescent="0.35">
      <c r="S2496" s="47">
        <v>2492</v>
      </c>
      <c r="T2496" s="47" t="s">
        <v>4284</v>
      </c>
      <c r="U2496" s="47" t="s">
        <v>2901</v>
      </c>
      <c r="V2496" s="48">
        <v>0.75439999999999996</v>
      </c>
      <c r="W2496" s="13"/>
      <c r="X2496" s="47">
        <v>2492</v>
      </c>
      <c r="Y2496" s="47" t="s">
        <v>2248</v>
      </c>
      <c r="Z2496" s="47" t="s">
        <v>3111</v>
      </c>
      <c r="AA2496" s="48">
        <v>0</v>
      </c>
      <c r="AB2496" s="13"/>
      <c r="AC2496" s="34">
        <v>2492</v>
      </c>
      <c r="AD2496" s="34" t="s">
        <v>4573</v>
      </c>
      <c r="AE2496" s="34" t="s">
        <v>2755</v>
      </c>
      <c r="AF2496" s="35">
        <v>2.1969758064516131E-2</v>
      </c>
    </row>
    <row r="2497" spans="19:32" x14ac:dyDescent="0.35">
      <c r="S2497" s="47">
        <v>2493</v>
      </c>
      <c r="T2497" s="47" t="s">
        <v>4284</v>
      </c>
      <c r="U2497" s="47" t="s">
        <v>2900</v>
      </c>
      <c r="V2497" s="48">
        <v>0</v>
      </c>
      <c r="W2497" s="13"/>
      <c r="X2497" s="47">
        <v>2493</v>
      </c>
      <c r="Y2497" s="47" t="s">
        <v>2248</v>
      </c>
      <c r="Z2497" s="47" t="s">
        <v>3110</v>
      </c>
      <c r="AA2497" s="48">
        <v>0</v>
      </c>
      <c r="AB2497" s="13"/>
      <c r="AC2497" s="47">
        <v>2493</v>
      </c>
      <c r="AD2497" s="47" t="s">
        <v>4573</v>
      </c>
      <c r="AE2497" s="47" t="s">
        <v>2755</v>
      </c>
      <c r="AF2497" s="56">
        <v>0</v>
      </c>
    </row>
    <row r="2498" spans="19:32" x14ac:dyDescent="0.35">
      <c r="S2498" s="34">
        <v>2494</v>
      </c>
      <c r="T2498" s="34" t="s">
        <v>4284</v>
      </c>
      <c r="U2498" s="34" t="s">
        <v>3262</v>
      </c>
      <c r="V2498" s="35">
        <v>2.1798387096774195E-2</v>
      </c>
      <c r="W2498" s="13"/>
      <c r="X2498" s="34">
        <v>2494</v>
      </c>
      <c r="Y2498" s="34" t="s">
        <v>2248</v>
      </c>
      <c r="Z2498" s="34" t="s">
        <v>3987</v>
      </c>
      <c r="AA2498" s="35">
        <v>0.21215725806451616</v>
      </c>
      <c r="AB2498" s="13"/>
      <c r="AC2498" s="47">
        <v>2494</v>
      </c>
      <c r="AD2498" s="47" t="s">
        <v>4573</v>
      </c>
      <c r="AE2498" s="47" t="s">
        <v>2781</v>
      </c>
      <c r="AF2498" s="56">
        <v>0</v>
      </c>
    </row>
    <row r="2499" spans="19:32" x14ac:dyDescent="0.35">
      <c r="S2499" s="34">
        <v>2495</v>
      </c>
      <c r="T2499" s="34" t="s">
        <v>4284</v>
      </c>
      <c r="U2499" s="34" t="s">
        <v>2898</v>
      </c>
      <c r="V2499" s="35">
        <v>1.8850806451612904E-3</v>
      </c>
      <c r="W2499" s="13"/>
      <c r="X2499" s="34">
        <v>2495</v>
      </c>
      <c r="Y2499" s="34" t="s">
        <v>2248</v>
      </c>
      <c r="Z2499" s="34" t="s">
        <v>5006</v>
      </c>
      <c r="AA2499" s="35">
        <v>1.1002016129032259E-2</v>
      </c>
      <c r="AB2499" s="13"/>
      <c r="AC2499" s="34">
        <v>2495</v>
      </c>
      <c r="AD2499" s="34" t="s">
        <v>4573</v>
      </c>
      <c r="AE2499" s="34" t="s">
        <v>2753</v>
      </c>
      <c r="AF2499" s="35">
        <v>4.2842741935483875E-2</v>
      </c>
    </row>
    <row r="2500" spans="19:32" x14ac:dyDescent="0.35">
      <c r="S2500" s="47">
        <v>2496</v>
      </c>
      <c r="T2500" s="47" t="s">
        <v>4284</v>
      </c>
      <c r="U2500" s="47" t="s">
        <v>2898</v>
      </c>
      <c r="V2500" s="48">
        <v>0</v>
      </c>
      <c r="W2500" s="13"/>
      <c r="X2500" s="34">
        <v>2496</v>
      </c>
      <c r="Y2500" s="34" t="s">
        <v>2248</v>
      </c>
      <c r="Z2500" s="34" t="s">
        <v>3984</v>
      </c>
      <c r="AA2500" s="35">
        <v>3.32116935483871E-2</v>
      </c>
      <c r="AB2500" s="13"/>
      <c r="AC2500" s="34">
        <v>2496</v>
      </c>
      <c r="AD2500" s="34" t="s">
        <v>4573</v>
      </c>
      <c r="AE2500" s="34" t="s">
        <v>2752</v>
      </c>
      <c r="AF2500" s="35">
        <v>7.1975806451612903E-2</v>
      </c>
    </row>
    <row r="2501" spans="19:32" x14ac:dyDescent="0.35">
      <c r="S2501" s="34">
        <v>2497</v>
      </c>
      <c r="T2501" s="34" t="s">
        <v>4284</v>
      </c>
      <c r="U2501" s="34" t="s">
        <v>2897</v>
      </c>
      <c r="V2501" s="35">
        <v>2.5054435483870969E-4</v>
      </c>
      <c r="W2501" s="13"/>
      <c r="X2501" s="34">
        <v>2497</v>
      </c>
      <c r="Y2501" s="34" t="s">
        <v>2248</v>
      </c>
      <c r="Z2501" s="34" t="s">
        <v>3983</v>
      </c>
      <c r="AA2501" s="35">
        <v>1.1207661290322581E-4</v>
      </c>
      <c r="AB2501" s="13"/>
      <c r="AC2501" s="34">
        <v>2497</v>
      </c>
      <c r="AD2501" s="34" t="s">
        <v>4573</v>
      </c>
      <c r="AE2501" s="34" t="s">
        <v>2751</v>
      </c>
      <c r="AF2501" s="35">
        <v>2.0016129032258065E-2</v>
      </c>
    </row>
    <row r="2502" spans="19:32" x14ac:dyDescent="0.35">
      <c r="S2502" s="47">
        <v>2498</v>
      </c>
      <c r="T2502" s="47" t="s">
        <v>4284</v>
      </c>
      <c r="U2502" s="47" t="s">
        <v>2897</v>
      </c>
      <c r="V2502" s="48">
        <v>0</v>
      </c>
      <c r="W2502" s="13"/>
      <c r="X2502" s="34">
        <v>2498</v>
      </c>
      <c r="Y2502" s="34" t="s">
        <v>2248</v>
      </c>
      <c r="Z2502" s="34" t="s">
        <v>5005</v>
      </c>
      <c r="AA2502" s="35">
        <v>1.9193548387096777E-9</v>
      </c>
      <c r="AB2502" s="13"/>
      <c r="AC2502" s="34">
        <v>2498</v>
      </c>
      <c r="AD2502" s="34" t="s">
        <v>4573</v>
      </c>
      <c r="AE2502" s="34" t="s">
        <v>2748</v>
      </c>
      <c r="AF2502" s="35">
        <v>1.264717741935484E-2</v>
      </c>
    </row>
    <row r="2503" spans="19:32" x14ac:dyDescent="0.35">
      <c r="S2503" s="34">
        <v>2499</v>
      </c>
      <c r="T2503" s="34" t="s">
        <v>4284</v>
      </c>
      <c r="U2503" s="34" t="s">
        <v>3256</v>
      </c>
      <c r="V2503" s="35">
        <v>2.6733870967741939E-2</v>
      </c>
      <c r="W2503" s="13"/>
      <c r="X2503" s="34">
        <v>2499</v>
      </c>
      <c r="Y2503" s="34" t="s">
        <v>2248</v>
      </c>
      <c r="Z2503" s="34" t="s">
        <v>3982</v>
      </c>
      <c r="AA2503" s="35">
        <v>8.6028225806451616E-10</v>
      </c>
      <c r="AB2503" s="13"/>
      <c r="AC2503" s="47">
        <v>2499</v>
      </c>
      <c r="AD2503" s="47" t="s">
        <v>4573</v>
      </c>
      <c r="AE2503" s="47" t="s">
        <v>2748</v>
      </c>
      <c r="AF2503" s="56">
        <v>0</v>
      </c>
    </row>
    <row r="2504" spans="19:32" x14ac:dyDescent="0.35">
      <c r="S2504" s="34">
        <v>2500</v>
      </c>
      <c r="T2504" s="34" t="s">
        <v>4284</v>
      </c>
      <c r="U2504" s="34" t="s">
        <v>3253</v>
      </c>
      <c r="V2504" s="35">
        <v>2.3375000000000003E-2</v>
      </c>
      <c r="W2504" s="13"/>
      <c r="X2504" s="34">
        <v>2500</v>
      </c>
      <c r="Y2504" s="34" t="s">
        <v>2248</v>
      </c>
      <c r="Z2504" s="34" t="s">
        <v>3979</v>
      </c>
      <c r="AA2504" s="35">
        <v>2.4026209677419358E-8</v>
      </c>
      <c r="AB2504" s="13"/>
      <c r="AC2504" s="34">
        <v>2500</v>
      </c>
      <c r="AD2504" s="34" t="s">
        <v>4573</v>
      </c>
      <c r="AE2504" s="34" t="s">
        <v>2745</v>
      </c>
      <c r="AF2504" s="35">
        <v>1.0042338709677421E-2</v>
      </c>
    </row>
    <row r="2505" spans="19:32" x14ac:dyDescent="0.35">
      <c r="S2505" s="34">
        <v>2501</v>
      </c>
      <c r="T2505" s="34" t="s">
        <v>4284</v>
      </c>
      <c r="U2505" s="34" t="s">
        <v>3250</v>
      </c>
      <c r="V2505" s="35">
        <v>5.8608870967741943E-2</v>
      </c>
      <c r="W2505" s="13"/>
      <c r="X2505" s="34">
        <v>2501</v>
      </c>
      <c r="Y2505" s="34" t="s">
        <v>2248</v>
      </c>
      <c r="Z2505" s="34" t="s">
        <v>5004</v>
      </c>
      <c r="AA2505" s="35">
        <v>2.1764112903225807E-9</v>
      </c>
      <c r="AB2505" s="13"/>
      <c r="AC2505" s="34">
        <v>2501</v>
      </c>
      <c r="AD2505" s="34" t="s">
        <v>4573</v>
      </c>
      <c r="AE2505" s="34" t="s">
        <v>2744</v>
      </c>
      <c r="AF2505" s="35">
        <v>1.0247983870967743</v>
      </c>
    </row>
    <row r="2506" spans="19:32" x14ac:dyDescent="0.35">
      <c r="S2506" s="34">
        <v>2502</v>
      </c>
      <c r="T2506" s="34" t="s">
        <v>4284</v>
      </c>
      <c r="U2506" s="34" t="s">
        <v>3247</v>
      </c>
      <c r="V2506" s="35">
        <v>3.5645161290322585E-5</v>
      </c>
      <c r="W2506" s="13"/>
      <c r="X2506" s="34">
        <v>2502</v>
      </c>
      <c r="Y2506" s="34" t="s">
        <v>2248</v>
      </c>
      <c r="Z2506" s="34" t="s">
        <v>3978</v>
      </c>
      <c r="AA2506" s="35">
        <v>3.3245967741935483E-4</v>
      </c>
      <c r="AB2506" s="13"/>
      <c r="AC2506" s="47">
        <v>2502</v>
      </c>
      <c r="AD2506" s="47" t="s">
        <v>4573</v>
      </c>
      <c r="AE2506" s="47" t="s">
        <v>2778</v>
      </c>
      <c r="AF2506" s="56">
        <v>0</v>
      </c>
    </row>
    <row r="2507" spans="19:32" x14ac:dyDescent="0.35">
      <c r="S2507" s="34">
        <v>2503</v>
      </c>
      <c r="T2507" s="34" t="s">
        <v>4284</v>
      </c>
      <c r="U2507" s="34" t="s">
        <v>3245</v>
      </c>
      <c r="V2507" s="35">
        <v>2.8447580645161294</v>
      </c>
      <c r="W2507" s="13"/>
      <c r="X2507" s="34">
        <v>2503</v>
      </c>
      <c r="Y2507" s="34" t="s">
        <v>2248</v>
      </c>
      <c r="Z2507" s="34" t="s">
        <v>3977</v>
      </c>
      <c r="AA2507" s="35">
        <v>3.0778225806451615E-10</v>
      </c>
      <c r="AB2507" s="13"/>
      <c r="AC2507" s="34">
        <v>2503</v>
      </c>
      <c r="AD2507" s="34" t="s">
        <v>4573</v>
      </c>
      <c r="AE2507" s="34" t="s">
        <v>2742</v>
      </c>
      <c r="AF2507" s="35">
        <v>3.0572580645161294E-2</v>
      </c>
    </row>
    <row r="2508" spans="19:32" x14ac:dyDescent="0.35">
      <c r="S2508" s="34">
        <v>2504</v>
      </c>
      <c r="T2508" s="34" t="s">
        <v>4284</v>
      </c>
      <c r="U2508" s="34" t="s">
        <v>3242</v>
      </c>
      <c r="V2508" s="35">
        <v>4.455645161290323</v>
      </c>
      <c r="W2508" s="13"/>
      <c r="X2508" s="34">
        <v>2504</v>
      </c>
      <c r="Y2508" s="34" t="s">
        <v>2248</v>
      </c>
      <c r="Z2508" s="34" t="s">
        <v>5003</v>
      </c>
      <c r="AA2508" s="35">
        <v>7.3004032258064521E-3</v>
      </c>
      <c r="AB2508" s="13"/>
      <c r="AC2508" s="47">
        <v>2504</v>
      </c>
      <c r="AD2508" s="47" t="s">
        <v>4573</v>
      </c>
      <c r="AE2508" s="47" t="s">
        <v>2777</v>
      </c>
      <c r="AF2508" s="56">
        <v>4.8760000000000003</v>
      </c>
    </row>
    <row r="2509" spans="19:32" x14ac:dyDescent="0.35">
      <c r="S2509" s="34">
        <v>2505</v>
      </c>
      <c r="T2509" s="34" t="s">
        <v>4284</v>
      </c>
      <c r="U2509" s="34" t="s">
        <v>3239</v>
      </c>
      <c r="V2509" s="35">
        <v>0.17342741935483871</v>
      </c>
      <c r="W2509" s="13"/>
      <c r="X2509" s="34">
        <v>2505</v>
      </c>
      <c r="Y2509" s="34" t="s">
        <v>2248</v>
      </c>
      <c r="Z2509" s="34" t="s">
        <v>3974</v>
      </c>
      <c r="AA2509" s="35">
        <v>1.7479838709677419E-6</v>
      </c>
      <c r="AB2509" s="13"/>
      <c r="AC2509" s="34">
        <v>2505</v>
      </c>
      <c r="AD2509" s="34" t="s">
        <v>4573</v>
      </c>
      <c r="AE2509" s="34" t="s">
        <v>2741</v>
      </c>
      <c r="AF2509" s="35">
        <v>1.9056451612903227</v>
      </c>
    </row>
    <row r="2510" spans="19:32" x14ac:dyDescent="0.35">
      <c r="S2510" s="34">
        <v>2506</v>
      </c>
      <c r="T2510" s="34" t="s">
        <v>4284</v>
      </c>
      <c r="U2510" s="34" t="s">
        <v>3236</v>
      </c>
      <c r="V2510" s="35">
        <v>4.455645161290323</v>
      </c>
      <c r="W2510" s="13"/>
      <c r="X2510" s="34">
        <v>2506</v>
      </c>
      <c r="Y2510" s="34" t="s">
        <v>2248</v>
      </c>
      <c r="Z2510" s="34" t="s">
        <v>3972</v>
      </c>
      <c r="AA2510" s="35">
        <v>4.5241935483870972E-3</v>
      </c>
      <c r="AB2510" s="13"/>
      <c r="AC2510" s="47">
        <v>2506</v>
      </c>
      <c r="AD2510" s="47" t="s">
        <v>4573</v>
      </c>
      <c r="AE2510" s="47" t="s">
        <v>2741</v>
      </c>
      <c r="AF2510" s="56">
        <v>0.68540000000000001</v>
      </c>
    </row>
    <row r="2511" spans="19:32" x14ac:dyDescent="0.35">
      <c r="S2511" s="34">
        <v>2507</v>
      </c>
      <c r="T2511" s="34" t="s">
        <v>4284</v>
      </c>
      <c r="U2511" s="34" t="s">
        <v>3234</v>
      </c>
      <c r="V2511" s="35">
        <v>2.3923387096774198E-6</v>
      </c>
      <c r="W2511" s="13"/>
      <c r="X2511" s="34">
        <v>2507</v>
      </c>
      <c r="Y2511" s="34" t="s">
        <v>2248</v>
      </c>
      <c r="Z2511" s="34" t="s">
        <v>3970</v>
      </c>
      <c r="AA2511" s="35">
        <v>2.0358870967741937E-10</v>
      </c>
      <c r="AB2511" s="13"/>
      <c r="AC2511" s="34">
        <v>2507</v>
      </c>
      <c r="AD2511" s="34" t="s">
        <v>4573</v>
      </c>
      <c r="AE2511" s="34" t="s">
        <v>2739</v>
      </c>
      <c r="AF2511" s="35">
        <v>8.2600806451612902E-3</v>
      </c>
    </row>
    <row r="2512" spans="19:32" x14ac:dyDescent="0.35">
      <c r="S2512" s="34">
        <v>2508</v>
      </c>
      <c r="T2512" s="34" t="s">
        <v>4284</v>
      </c>
      <c r="U2512" s="34" t="s">
        <v>2896</v>
      </c>
      <c r="V2512" s="35">
        <v>0.11070564516129033</v>
      </c>
      <c r="W2512" s="13"/>
      <c r="X2512" s="34">
        <v>2508</v>
      </c>
      <c r="Y2512" s="34" t="s">
        <v>2248</v>
      </c>
      <c r="Z2512" s="34" t="s">
        <v>5002</v>
      </c>
      <c r="AA2512" s="35">
        <v>6.409274193548388E-2</v>
      </c>
      <c r="AB2512" s="13"/>
      <c r="AC2512" s="34">
        <v>2508</v>
      </c>
      <c r="AD2512" s="34" t="s">
        <v>4573</v>
      </c>
      <c r="AE2512" s="34" t="s">
        <v>2737</v>
      </c>
      <c r="AF2512" s="35">
        <v>1.3915322580645164E-3</v>
      </c>
    </row>
    <row r="2513" spans="19:32" x14ac:dyDescent="0.35">
      <c r="S2513" s="47">
        <v>2509</v>
      </c>
      <c r="T2513" s="47" t="s">
        <v>4284</v>
      </c>
      <c r="U2513" s="47" t="s">
        <v>2896</v>
      </c>
      <c r="V2513" s="48">
        <v>0</v>
      </c>
      <c r="W2513" s="13"/>
      <c r="X2513" s="34">
        <v>2509</v>
      </c>
      <c r="Y2513" s="34" t="s">
        <v>2248</v>
      </c>
      <c r="Z2513" s="34" t="s">
        <v>3967</v>
      </c>
      <c r="AA2513" s="35">
        <v>7.0262096774193553E-3</v>
      </c>
      <c r="AB2513" s="13"/>
      <c r="AC2513" s="47">
        <v>2509</v>
      </c>
      <c r="AD2513" s="47" t="s">
        <v>4573</v>
      </c>
      <c r="AE2513" s="47" t="s">
        <v>2775</v>
      </c>
      <c r="AF2513" s="56">
        <v>8.3996000000000013</v>
      </c>
    </row>
    <row r="2514" spans="19:32" x14ac:dyDescent="0.35">
      <c r="S2514" s="36">
        <v>2510</v>
      </c>
      <c r="T2514" s="36" t="s">
        <v>4284</v>
      </c>
      <c r="U2514" s="36" t="s">
        <v>5001</v>
      </c>
      <c r="V2514" s="37">
        <v>2.7766500000000001</v>
      </c>
      <c r="W2514" s="13"/>
      <c r="X2514" s="34">
        <v>2510</v>
      </c>
      <c r="Y2514" s="34" t="s">
        <v>2248</v>
      </c>
      <c r="Z2514" s="34" t="s">
        <v>3966</v>
      </c>
      <c r="AA2514" s="35">
        <v>1.1413306451612905E-2</v>
      </c>
      <c r="AB2514" s="13"/>
      <c r="AC2514" s="34">
        <v>2510</v>
      </c>
      <c r="AD2514" s="34" t="s">
        <v>4573</v>
      </c>
      <c r="AE2514" s="34" t="s">
        <v>2736</v>
      </c>
      <c r="AF2514" s="35">
        <v>5.0383064516129034E-2</v>
      </c>
    </row>
    <row r="2515" spans="19:32" x14ac:dyDescent="0.35">
      <c r="S2515" s="36">
        <v>2511</v>
      </c>
      <c r="T2515" s="36" t="s">
        <v>4284</v>
      </c>
      <c r="U2515" s="36" t="s">
        <v>2894</v>
      </c>
      <c r="V2515" s="37">
        <v>5.6710000000000003</v>
      </c>
      <c r="W2515" s="13"/>
      <c r="X2515" s="34">
        <v>2511</v>
      </c>
      <c r="Y2515" s="34" t="s">
        <v>2248</v>
      </c>
      <c r="Z2515" s="34" t="s">
        <v>3498</v>
      </c>
      <c r="AA2515" s="35">
        <v>5.415322580645162E-2</v>
      </c>
      <c r="AB2515" s="13"/>
      <c r="AC2515" s="34">
        <v>2511</v>
      </c>
      <c r="AD2515" s="34" t="s">
        <v>4573</v>
      </c>
      <c r="AE2515" s="34" t="s">
        <v>2734</v>
      </c>
      <c r="AF2515" s="35">
        <v>2.1969758064516131E-2</v>
      </c>
    </row>
    <row r="2516" spans="19:32" x14ac:dyDescent="0.35">
      <c r="S2516" s="47">
        <v>2512</v>
      </c>
      <c r="T2516" s="47" t="s">
        <v>4284</v>
      </c>
      <c r="U2516" s="47" t="s">
        <v>2894</v>
      </c>
      <c r="V2516" s="48">
        <v>3.1556000000000002E-3</v>
      </c>
      <c r="W2516" s="13"/>
      <c r="X2516" s="34">
        <v>2512</v>
      </c>
      <c r="Y2516" s="34" t="s">
        <v>2248</v>
      </c>
      <c r="Z2516" s="34" t="s">
        <v>3965</v>
      </c>
      <c r="AA2516" s="35">
        <v>5.1068548387096779E-12</v>
      </c>
      <c r="AB2516" s="13"/>
      <c r="AC2516" s="47">
        <v>2512</v>
      </c>
      <c r="AD2516" s="47" t="s">
        <v>4573</v>
      </c>
      <c r="AE2516" s="47" t="s">
        <v>2773</v>
      </c>
      <c r="AF2516" s="56">
        <v>0</v>
      </c>
    </row>
    <row r="2517" spans="19:32" x14ac:dyDescent="0.35">
      <c r="S2517" s="34">
        <v>2513</v>
      </c>
      <c r="T2517" s="34" t="s">
        <v>4284</v>
      </c>
      <c r="U2517" s="34" t="s">
        <v>3229</v>
      </c>
      <c r="V2517" s="35">
        <v>9.5967741935483887E-7</v>
      </c>
      <c r="W2517" s="13"/>
      <c r="X2517" s="34">
        <v>2513</v>
      </c>
      <c r="Y2517" s="34" t="s">
        <v>2248</v>
      </c>
      <c r="Z2517" s="34" t="s">
        <v>3964</v>
      </c>
      <c r="AA2517" s="35">
        <v>0.22038306451612905</v>
      </c>
      <c r="AB2517" s="13"/>
      <c r="AC2517" s="34">
        <v>2513</v>
      </c>
      <c r="AD2517" s="34" t="s">
        <v>4573</v>
      </c>
      <c r="AE2517" s="34" t="s">
        <v>2731</v>
      </c>
      <c r="AF2517" s="35">
        <v>1.6074596774193549E-3</v>
      </c>
    </row>
    <row r="2518" spans="19:32" x14ac:dyDescent="0.35">
      <c r="S2518" s="34">
        <v>2514</v>
      </c>
      <c r="T2518" s="34" t="s">
        <v>4284</v>
      </c>
      <c r="U2518" s="34" t="s">
        <v>3226</v>
      </c>
      <c r="V2518" s="35">
        <v>4.9354838709677422E-5</v>
      </c>
      <c r="W2518" s="13"/>
      <c r="X2518" s="34">
        <v>2514</v>
      </c>
      <c r="Y2518" s="34" t="s">
        <v>2248</v>
      </c>
      <c r="Z2518" s="34" t="s">
        <v>3496</v>
      </c>
      <c r="AA2518" s="35">
        <v>7.883064516129032E-5</v>
      </c>
      <c r="AB2518" s="13"/>
      <c r="AC2518" s="47">
        <v>2514</v>
      </c>
      <c r="AD2518" s="47" t="s">
        <v>4573</v>
      </c>
      <c r="AE2518" s="47" t="s">
        <v>2731</v>
      </c>
      <c r="AF2518" s="56">
        <v>0</v>
      </c>
    </row>
    <row r="2519" spans="19:32" x14ac:dyDescent="0.35">
      <c r="S2519" s="34">
        <v>2515</v>
      </c>
      <c r="T2519" s="34" t="s">
        <v>4284</v>
      </c>
      <c r="U2519" s="34" t="s">
        <v>3223</v>
      </c>
      <c r="V2519" s="35">
        <v>2.2449596774193549E-8</v>
      </c>
      <c r="W2519" s="13"/>
      <c r="X2519" s="34">
        <v>2515</v>
      </c>
      <c r="Y2519" s="34" t="s">
        <v>2248</v>
      </c>
      <c r="Z2519" s="34" t="s">
        <v>3963</v>
      </c>
      <c r="AA2519" s="35">
        <v>1.3229838709677422E-3</v>
      </c>
      <c r="AB2519" s="13"/>
      <c r="AC2519" s="34">
        <v>2515</v>
      </c>
      <c r="AD2519" s="34" t="s">
        <v>4573</v>
      </c>
      <c r="AE2519" s="34" t="s">
        <v>2728</v>
      </c>
      <c r="AF2519" s="35">
        <v>2.7316532258064519E-2</v>
      </c>
    </row>
    <row r="2520" spans="19:32" x14ac:dyDescent="0.35">
      <c r="S2520" s="36">
        <v>2516</v>
      </c>
      <c r="T2520" s="36" t="s">
        <v>4284</v>
      </c>
      <c r="U2520" s="36" t="s">
        <v>2893</v>
      </c>
      <c r="V2520" s="37">
        <v>4.6437999999999997</v>
      </c>
      <c r="W2520" s="13"/>
      <c r="X2520" s="47">
        <v>2516</v>
      </c>
      <c r="Y2520" s="47" t="s">
        <v>2248</v>
      </c>
      <c r="Z2520" s="47" t="s">
        <v>3108</v>
      </c>
      <c r="AA2520" s="48">
        <v>0</v>
      </c>
      <c r="AB2520" s="13"/>
      <c r="AC2520" s="34">
        <v>2516</v>
      </c>
      <c r="AD2520" s="34" t="s">
        <v>4573</v>
      </c>
      <c r="AE2520" s="34" t="s">
        <v>2725</v>
      </c>
      <c r="AF2520" s="35">
        <v>2.0290322580645164</v>
      </c>
    </row>
    <row r="2521" spans="19:32" x14ac:dyDescent="0.35">
      <c r="S2521" s="34">
        <v>2517</v>
      </c>
      <c r="T2521" s="34" t="s">
        <v>4284</v>
      </c>
      <c r="U2521" s="34" t="s">
        <v>2893</v>
      </c>
      <c r="V2521" s="35">
        <v>2.9475806451612903E-6</v>
      </c>
      <c r="W2521" s="13"/>
      <c r="X2521" s="34">
        <v>2517</v>
      </c>
      <c r="Y2521" s="34" t="s">
        <v>2248</v>
      </c>
      <c r="Z2521" s="34" t="s">
        <v>3108</v>
      </c>
      <c r="AA2521" s="35">
        <v>2.1455645161290324E-4</v>
      </c>
      <c r="AB2521" s="13"/>
      <c r="AC2521" s="47">
        <v>2517</v>
      </c>
      <c r="AD2521" s="47" t="s">
        <v>4573</v>
      </c>
      <c r="AE2521" s="47" t="s">
        <v>2771</v>
      </c>
      <c r="AF2521" s="56">
        <v>0</v>
      </c>
    </row>
    <row r="2522" spans="19:32" x14ac:dyDescent="0.35">
      <c r="S2522" s="47">
        <v>2518</v>
      </c>
      <c r="T2522" s="47" t="s">
        <v>4284</v>
      </c>
      <c r="U2522" s="47" t="s">
        <v>2893</v>
      </c>
      <c r="V2522" s="48">
        <v>0</v>
      </c>
      <c r="W2522" s="13"/>
      <c r="X2522" s="34">
        <v>2518</v>
      </c>
      <c r="Y2522" s="34" t="s">
        <v>2248</v>
      </c>
      <c r="Z2522" s="34" t="s">
        <v>5000</v>
      </c>
      <c r="AA2522" s="35">
        <v>6.0322580645161298E-3</v>
      </c>
      <c r="AB2522" s="13"/>
      <c r="AC2522" s="34">
        <v>2518</v>
      </c>
      <c r="AD2522" s="34" t="s">
        <v>4573</v>
      </c>
      <c r="AE2522" s="34" t="s">
        <v>2723</v>
      </c>
      <c r="AF2522" s="35">
        <v>3.8729838709677424E-2</v>
      </c>
    </row>
    <row r="2523" spans="19:32" x14ac:dyDescent="0.35">
      <c r="S2523" s="34">
        <v>2519</v>
      </c>
      <c r="T2523" s="34" t="s">
        <v>4284</v>
      </c>
      <c r="U2523" s="34" t="s">
        <v>3219</v>
      </c>
      <c r="V2523" s="35">
        <v>1.0556451612903228E-4</v>
      </c>
      <c r="W2523" s="13"/>
      <c r="X2523" s="47">
        <v>2519</v>
      </c>
      <c r="Y2523" s="47" t="s">
        <v>2248</v>
      </c>
      <c r="Z2523" s="47" t="s">
        <v>3107</v>
      </c>
      <c r="AA2523" s="48">
        <v>0</v>
      </c>
      <c r="AB2523" s="13"/>
      <c r="AC2523" s="34">
        <v>2519</v>
      </c>
      <c r="AD2523" s="34" t="s">
        <v>4573</v>
      </c>
      <c r="AE2523" s="34" t="s">
        <v>2720</v>
      </c>
      <c r="AF2523" s="35">
        <v>0.11070564516129033</v>
      </c>
    </row>
    <row r="2524" spans="19:32" x14ac:dyDescent="0.35">
      <c r="S2524" s="34">
        <v>2520</v>
      </c>
      <c r="T2524" s="34" t="s">
        <v>4284</v>
      </c>
      <c r="U2524" s="34" t="s">
        <v>3216</v>
      </c>
      <c r="V2524" s="35">
        <v>3.461693548387097E-4</v>
      </c>
      <c r="W2524" s="13"/>
      <c r="X2524" s="34">
        <v>2520</v>
      </c>
      <c r="Y2524" s="34" t="s">
        <v>2248</v>
      </c>
      <c r="Z2524" s="34" t="s">
        <v>3107</v>
      </c>
      <c r="AA2524" s="35">
        <v>0.5278225806451613</v>
      </c>
      <c r="AB2524" s="13"/>
      <c r="AC2524" s="47">
        <v>2520</v>
      </c>
      <c r="AD2524" s="47" t="s">
        <v>4573</v>
      </c>
      <c r="AE2524" s="47" t="s">
        <v>2769</v>
      </c>
      <c r="AF2524" s="56">
        <v>0</v>
      </c>
    </row>
    <row r="2525" spans="19:32" x14ac:dyDescent="0.35">
      <c r="S2525" s="34">
        <v>2521</v>
      </c>
      <c r="T2525" s="34" t="s">
        <v>4284</v>
      </c>
      <c r="U2525" s="34" t="s">
        <v>3213</v>
      </c>
      <c r="V2525" s="35">
        <v>7.8145161290322594E-3</v>
      </c>
      <c r="W2525" s="13"/>
      <c r="X2525" s="34">
        <v>2521</v>
      </c>
      <c r="Y2525" s="34" t="s">
        <v>2248</v>
      </c>
      <c r="Z2525" s="34" t="s">
        <v>4999</v>
      </c>
      <c r="AA2525" s="35">
        <v>1.5971774193548388E-5</v>
      </c>
      <c r="AB2525" s="13"/>
      <c r="AC2525" s="47">
        <v>2521</v>
      </c>
      <c r="AD2525" s="47" t="s">
        <v>4573</v>
      </c>
      <c r="AE2525" s="47" t="s">
        <v>2768</v>
      </c>
      <c r="AF2525" s="56">
        <v>20.423999999999999</v>
      </c>
    </row>
    <row r="2526" spans="19:32" x14ac:dyDescent="0.35">
      <c r="S2526" s="34">
        <v>2522</v>
      </c>
      <c r="T2526" s="34" t="s">
        <v>4284</v>
      </c>
      <c r="U2526" s="34" t="s">
        <v>3211</v>
      </c>
      <c r="V2526" s="35">
        <v>8.6370967741935492E-2</v>
      </c>
      <c r="W2526" s="13"/>
      <c r="X2526" s="47">
        <v>2522</v>
      </c>
      <c r="Y2526" s="47" t="s">
        <v>2248</v>
      </c>
      <c r="Z2526" s="47" t="s">
        <v>3105</v>
      </c>
      <c r="AA2526" s="48">
        <v>1.6284E-2</v>
      </c>
      <c r="AB2526" s="13"/>
      <c r="AC2526" s="47">
        <v>2522</v>
      </c>
      <c r="AD2526" s="47" t="s">
        <v>4573</v>
      </c>
      <c r="AE2526" s="47" t="s">
        <v>2766</v>
      </c>
      <c r="AF2526" s="56">
        <v>22.724</v>
      </c>
    </row>
    <row r="2527" spans="19:32" x14ac:dyDescent="0.35">
      <c r="S2527" s="34">
        <v>2523</v>
      </c>
      <c r="T2527" s="34" t="s">
        <v>4284</v>
      </c>
      <c r="U2527" s="34" t="s">
        <v>3208</v>
      </c>
      <c r="V2527" s="35">
        <v>0.12921370967741935</v>
      </c>
      <c r="W2527" s="13"/>
      <c r="X2527" s="47">
        <v>2523</v>
      </c>
      <c r="Y2527" s="47" t="s">
        <v>2248</v>
      </c>
      <c r="Z2527" s="47" t="s">
        <v>3103</v>
      </c>
      <c r="AA2527" s="48">
        <v>0</v>
      </c>
      <c r="AB2527" s="13"/>
      <c r="AC2527" s="47">
        <v>2523</v>
      </c>
      <c r="AD2527" s="47" t="s">
        <v>4573</v>
      </c>
      <c r="AE2527" s="47" t="s">
        <v>2765</v>
      </c>
      <c r="AF2527" s="56">
        <v>1.4443999999999999</v>
      </c>
    </row>
    <row r="2528" spans="19:32" x14ac:dyDescent="0.35">
      <c r="S2528" s="34">
        <v>2524</v>
      </c>
      <c r="T2528" s="34" t="s">
        <v>4284</v>
      </c>
      <c r="U2528" s="34" t="s">
        <v>3205</v>
      </c>
      <c r="V2528" s="35">
        <v>7.7459677419354842E-5</v>
      </c>
      <c r="W2528" s="13"/>
      <c r="X2528" s="34">
        <v>2524</v>
      </c>
      <c r="Y2528" s="34" t="s">
        <v>2248</v>
      </c>
      <c r="Z2528" s="34" t="s">
        <v>3962</v>
      </c>
      <c r="AA2528" s="35">
        <v>3.2183467741935486E-3</v>
      </c>
      <c r="AB2528" s="13"/>
      <c r="AC2528" s="47">
        <v>2524</v>
      </c>
      <c r="AD2528" s="47" t="s">
        <v>4573</v>
      </c>
      <c r="AE2528" s="47" t="s">
        <v>2763</v>
      </c>
      <c r="AF2528" s="56">
        <v>0</v>
      </c>
    </row>
    <row r="2529" spans="19:32" x14ac:dyDescent="0.35">
      <c r="S2529" s="34">
        <v>2525</v>
      </c>
      <c r="T2529" s="34" t="s">
        <v>4284</v>
      </c>
      <c r="U2529" s="34" t="s">
        <v>2891</v>
      </c>
      <c r="V2529" s="35">
        <v>2.340927419354839E-2</v>
      </c>
      <c r="W2529" s="13"/>
      <c r="X2529" s="34">
        <v>2525</v>
      </c>
      <c r="Y2529" s="34" t="s">
        <v>2248</v>
      </c>
      <c r="Z2529" s="34" t="s">
        <v>4998</v>
      </c>
      <c r="AA2529" s="35">
        <v>5.9979838709677422E-5</v>
      </c>
      <c r="AB2529" s="13"/>
      <c r="AC2529" s="34">
        <v>2525</v>
      </c>
      <c r="AD2529" s="34" t="s">
        <v>4573</v>
      </c>
      <c r="AE2529" s="34" t="s">
        <v>2717</v>
      </c>
      <c r="AF2529" s="35">
        <v>0.86713709677419359</v>
      </c>
    </row>
    <row r="2530" spans="19:32" x14ac:dyDescent="0.35">
      <c r="S2530" s="47">
        <v>2526</v>
      </c>
      <c r="T2530" s="47" t="s">
        <v>4284</v>
      </c>
      <c r="U2530" s="47" t="s">
        <v>2891</v>
      </c>
      <c r="V2530" s="48">
        <v>0</v>
      </c>
      <c r="W2530" s="13"/>
      <c r="X2530" s="34">
        <v>2526</v>
      </c>
      <c r="Y2530" s="34" t="s">
        <v>2248</v>
      </c>
      <c r="Z2530" s="34" t="s">
        <v>3961</v>
      </c>
      <c r="AA2530" s="35">
        <v>5.8608870967741949E-4</v>
      </c>
      <c r="AB2530" s="13"/>
      <c r="AC2530" s="47">
        <v>2526</v>
      </c>
      <c r="AD2530" s="47" t="s">
        <v>4573</v>
      </c>
      <c r="AE2530" s="47" t="s">
        <v>2717</v>
      </c>
      <c r="AF2530" s="56">
        <v>0</v>
      </c>
    </row>
    <row r="2531" spans="19:32" x14ac:dyDescent="0.35">
      <c r="S2531" s="47">
        <v>2527</v>
      </c>
      <c r="T2531" s="47" t="s">
        <v>4284</v>
      </c>
      <c r="U2531" s="47" t="s">
        <v>2890</v>
      </c>
      <c r="V2531" s="48">
        <v>2.4563999999999999</v>
      </c>
      <c r="W2531" s="13"/>
      <c r="X2531" s="34">
        <v>2527</v>
      </c>
      <c r="Y2531" s="34" t="s">
        <v>2248</v>
      </c>
      <c r="Z2531" s="34" t="s">
        <v>3960</v>
      </c>
      <c r="AA2531" s="35">
        <v>6.2379032258064518E-4</v>
      </c>
      <c r="AB2531" s="13"/>
      <c r="AC2531" s="47">
        <v>2527</v>
      </c>
      <c r="AD2531" s="47" t="s">
        <v>4573</v>
      </c>
      <c r="AE2531" s="47" t="s">
        <v>2761</v>
      </c>
      <c r="AF2531" s="56">
        <v>993.6</v>
      </c>
    </row>
    <row r="2532" spans="19:32" x14ac:dyDescent="0.35">
      <c r="S2532" s="34">
        <v>2528</v>
      </c>
      <c r="T2532" s="34" t="s">
        <v>4284</v>
      </c>
      <c r="U2532" s="34" t="s">
        <v>2888</v>
      </c>
      <c r="V2532" s="35">
        <v>2.5979838709677423E-4</v>
      </c>
      <c r="W2532" s="13"/>
      <c r="X2532" s="34">
        <v>2528</v>
      </c>
      <c r="Y2532" s="34" t="s">
        <v>2248</v>
      </c>
      <c r="Z2532" s="34" t="s">
        <v>4997</v>
      </c>
      <c r="AA2532" s="35">
        <v>2.2963709677419357E-4</v>
      </c>
      <c r="AB2532" s="13"/>
      <c r="AC2532" s="34">
        <v>2528</v>
      </c>
      <c r="AD2532" s="34" t="s">
        <v>4573</v>
      </c>
      <c r="AE2532" s="34" t="s">
        <v>2714</v>
      </c>
      <c r="AF2532" s="35">
        <v>2.0872983870967743</v>
      </c>
    </row>
    <row r="2533" spans="19:32" x14ac:dyDescent="0.35">
      <c r="S2533" s="47">
        <v>2529</v>
      </c>
      <c r="T2533" s="47" t="s">
        <v>4284</v>
      </c>
      <c r="U2533" s="47" t="s">
        <v>2888</v>
      </c>
      <c r="V2533" s="48">
        <v>10.028</v>
      </c>
      <c r="W2533" s="13"/>
      <c r="X2533" s="47">
        <v>2529</v>
      </c>
      <c r="Y2533" s="47" t="s">
        <v>2248</v>
      </c>
      <c r="Z2533" s="47" t="s">
        <v>3102</v>
      </c>
      <c r="AA2533" s="48">
        <v>0</v>
      </c>
      <c r="AB2533" s="13"/>
      <c r="AC2533" s="47">
        <v>2529</v>
      </c>
      <c r="AD2533" s="47" t="s">
        <v>4573</v>
      </c>
      <c r="AE2533" s="47" t="s">
        <v>2760</v>
      </c>
      <c r="AF2533" s="56">
        <v>0.43056</v>
      </c>
    </row>
    <row r="2534" spans="19:32" x14ac:dyDescent="0.35">
      <c r="S2534" s="34">
        <v>2530</v>
      </c>
      <c r="T2534" s="34" t="s">
        <v>4284</v>
      </c>
      <c r="U2534" s="34" t="s">
        <v>2887</v>
      </c>
      <c r="V2534" s="35">
        <v>2.7899193548387097E-5</v>
      </c>
      <c r="W2534" s="13"/>
      <c r="X2534" s="47">
        <v>2530</v>
      </c>
      <c r="Y2534" s="47" t="s">
        <v>2248</v>
      </c>
      <c r="Z2534" s="47" t="s">
        <v>3100</v>
      </c>
      <c r="AA2534" s="48">
        <v>0</v>
      </c>
      <c r="AB2534" s="13"/>
      <c r="AC2534" s="34">
        <v>2530</v>
      </c>
      <c r="AD2534" s="34" t="s">
        <v>4573</v>
      </c>
      <c r="AE2534" s="34" t="s">
        <v>2712</v>
      </c>
      <c r="AF2534" s="35">
        <v>7.7116935483870974E-3</v>
      </c>
    </row>
    <row r="2535" spans="19:32" x14ac:dyDescent="0.35">
      <c r="S2535" s="47">
        <v>2531</v>
      </c>
      <c r="T2535" s="47" t="s">
        <v>4284</v>
      </c>
      <c r="U2535" s="47" t="s">
        <v>2887</v>
      </c>
      <c r="V2535" s="48">
        <v>0</v>
      </c>
      <c r="W2535" s="13"/>
      <c r="X2535" s="34">
        <v>2531</v>
      </c>
      <c r="Y2535" s="34" t="s">
        <v>2248</v>
      </c>
      <c r="Z2535" s="34" t="s">
        <v>4996</v>
      </c>
      <c r="AA2535" s="35">
        <v>1.8028225806451614E-3</v>
      </c>
      <c r="AB2535" s="13"/>
      <c r="AC2535" s="34">
        <v>2531</v>
      </c>
      <c r="AD2535" s="34" t="s">
        <v>4573</v>
      </c>
      <c r="AE2535" s="34" t="s">
        <v>2709</v>
      </c>
      <c r="AF2535" s="35">
        <v>3.1086693548387098E-2</v>
      </c>
    </row>
    <row r="2536" spans="19:32" x14ac:dyDescent="0.35">
      <c r="S2536" s="34">
        <v>2532</v>
      </c>
      <c r="T2536" s="34" t="s">
        <v>4284</v>
      </c>
      <c r="U2536" s="34" t="s">
        <v>3197</v>
      </c>
      <c r="V2536" s="35">
        <v>3.3485887096774194E-4</v>
      </c>
      <c r="W2536" s="13"/>
      <c r="X2536" s="34">
        <v>2532</v>
      </c>
      <c r="Y2536" s="34" t="s">
        <v>2248</v>
      </c>
      <c r="Z2536" s="34" t="s">
        <v>3959</v>
      </c>
      <c r="AA2536" s="35">
        <v>4.318548387096775E-3</v>
      </c>
      <c r="AB2536" s="13"/>
      <c r="AC2536" s="47">
        <v>2532</v>
      </c>
      <c r="AD2536" s="47" t="s">
        <v>4573</v>
      </c>
      <c r="AE2536" s="47" t="s">
        <v>2709</v>
      </c>
      <c r="AF2536" s="56">
        <v>0.62284000000000006</v>
      </c>
    </row>
    <row r="2537" spans="19:32" x14ac:dyDescent="0.35">
      <c r="S2537" s="34">
        <v>2533</v>
      </c>
      <c r="T2537" s="34" t="s">
        <v>4284</v>
      </c>
      <c r="U2537" s="34" t="s">
        <v>3194</v>
      </c>
      <c r="V2537" s="35">
        <v>4.2500000000000003E-3</v>
      </c>
      <c r="W2537" s="13"/>
      <c r="X2537" s="47">
        <v>2533</v>
      </c>
      <c r="Y2537" s="47" t="s">
        <v>2248</v>
      </c>
      <c r="Z2537" s="47" t="s">
        <v>3099</v>
      </c>
      <c r="AA2537" s="48">
        <v>0</v>
      </c>
      <c r="AB2537" s="13"/>
      <c r="AC2537" s="34">
        <v>2533</v>
      </c>
      <c r="AD2537" s="34" t="s">
        <v>4573</v>
      </c>
      <c r="AE2537" s="34" t="s">
        <v>2706</v>
      </c>
      <c r="AF2537" s="35">
        <v>1.3983870967741936E-2</v>
      </c>
    </row>
    <row r="2538" spans="19:32" x14ac:dyDescent="0.35">
      <c r="S2538" s="34">
        <v>2534</v>
      </c>
      <c r="T2538" s="34" t="s">
        <v>4284</v>
      </c>
      <c r="U2538" s="34" t="s">
        <v>3191</v>
      </c>
      <c r="V2538" s="35">
        <v>1.994758064516129E-5</v>
      </c>
      <c r="W2538" s="13"/>
      <c r="X2538" s="34">
        <v>2534</v>
      </c>
      <c r="Y2538" s="34" t="s">
        <v>2248</v>
      </c>
      <c r="Z2538" s="34" t="s">
        <v>3099</v>
      </c>
      <c r="AA2538" s="35">
        <v>4.558467741935484E-2</v>
      </c>
      <c r="AB2538" s="13"/>
      <c r="AC2538" s="34">
        <v>2534</v>
      </c>
      <c r="AD2538" s="34" t="s">
        <v>4573</v>
      </c>
      <c r="AE2538" s="34" t="s">
        <v>2703</v>
      </c>
      <c r="AF2538" s="35">
        <v>9.9052419354838717E-2</v>
      </c>
    </row>
    <row r="2539" spans="19:32" x14ac:dyDescent="0.35">
      <c r="S2539" s="36">
        <v>2535</v>
      </c>
      <c r="T2539" s="36" t="s">
        <v>4284</v>
      </c>
      <c r="U2539" s="36" t="s">
        <v>4995</v>
      </c>
      <c r="V2539" s="37">
        <v>3.6594000000000002</v>
      </c>
      <c r="W2539" s="13"/>
      <c r="X2539" s="34">
        <v>2535</v>
      </c>
      <c r="Y2539" s="34" t="s">
        <v>2248</v>
      </c>
      <c r="Z2539" s="34" t="s">
        <v>4994</v>
      </c>
      <c r="AA2539" s="35">
        <v>0.16280241935483872</v>
      </c>
      <c r="AB2539" s="13"/>
      <c r="AC2539" s="47">
        <v>2535</v>
      </c>
      <c r="AD2539" s="47" t="s">
        <v>4573</v>
      </c>
      <c r="AE2539" s="47" t="s">
        <v>2703</v>
      </c>
      <c r="AF2539" s="56">
        <v>1.2695999999999998</v>
      </c>
    </row>
    <row r="2540" spans="19:32" x14ac:dyDescent="0.35">
      <c r="S2540" s="34">
        <v>2536</v>
      </c>
      <c r="T2540" s="34" t="s">
        <v>4284</v>
      </c>
      <c r="U2540" s="34" t="s">
        <v>2885</v>
      </c>
      <c r="V2540" s="35">
        <v>8.9798387096774211E-6</v>
      </c>
      <c r="W2540" s="13"/>
      <c r="X2540" s="34">
        <v>2536</v>
      </c>
      <c r="Y2540" s="34" t="s">
        <v>2248</v>
      </c>
      <c r="Z2540" s="34" t="s">
        <v>3955</v>
      </c>
      <c r="AA2540" s="35">
        <v>0.14018145161290324</v>
      </c>
      <c r="AB2540" s="13"/>
      <c r="AC2540" s="34">
        <v>2536</v>
      </c>
      <c r="AD2540" s="34" t="s">
        <v>4573</v>
      </c>
      <c r="AE2540" s="34" t="s">
        <v>2700</v>
      </c>
      <c r="AF2540" s="35">
        <v>0.11447580645161291</v>
      </c>
    </row>
    <row r="2541" spans="19:32" x14ac:dyDescent="0.35">
      <c r="S2541" s="47">
        <v>2537</v>
      </c>
      <c r="T2541" s="47" t="s">
        <v>4284</v>
      </c>
      <c r="U2541" s="47" t="s">
        <v>2885</v>
      </c>
      <c r="V2541" s="48">
        <v>8.6756000000000003E-3</v>
      </c>
      <c r="W2541" s="13"/>
      <c r="X2541" s="34">
        <v>2537</v>
      </c>
      <c r="Y2541" s="34" t="s">
        <v>2248</v>
      </c>
      <c r="Z2541" s="34" t="s">
        <v>3952</v>
      </c>
      <c r="AA2541" s="35">
        <v>0.49354838709677423</v>
      </c>
      <c r="AB2541" s="13"/>
      <c r="AC2541" s="34">
        <v>2537</v>
      </c>
      <c r="AD2541" s="34" t="s">
        <v>4573</v>
      </c>
      <c r="AE2541" s="34" t="s">
        <v>2698</v>
      </c>
      <c r="AF2541" s="35">
        <v>9.1512096774193558E-2</v>
      </c>
    </row>
    <row r="2542" spans="19:32" x14ac:dyDescent="0.35">
      <c r="S2542" s="34">
        <v>2538</v>
      </c>
      <c r="T2542" s="34" t="s">
        <v>4284</v>
      </c>
      <c r="U2542" s="34" t="s">
        <v>3187</v>
      </c>
      <c r="V2542" s="35">
        <v>1.6965725806451616E-4</v>
      </c>
      <c r="W2542" s="13"/>
      <c r="X2542" s="34">
        <v>2538</v>
      </c>
      <c r="Y2542" s="34" t="s">
        <v>2248</v>
      </c>
      <c r="Z2542" s="34" t="s">
        <v>4993</v>
      </c>
      <c r="AA2542" s="35">
        <v>2.186693548387097E-3</v>
      </c>
      <c r="AB2542" s="13"/>
      <c r="AC2542" s="47">
        <v>2538</v>
      </c>
      <c r="AD2542" s="47" t="s">
        <v>4573</v>
      </c>
      <c r="AE2542" s="47" t="s">
        <v>2698</v>
      </c>
      <c r="AF2542" s="56">
        <v>0</v>
      </c>
    </row>
    <row r="2543" spans="19:32" x14ac:dyDescent="0.35">
      <c r="S2543" s="34">
        <v>2539</v>
      </c>
      <c r="T2543" s="34" t="s">
        <v>4284</v>
      </c>
      <c r="U2543" s="34" t="s">
        <v>3184</v>
      </c>
      <c r="V2543" s="35">
        <v>1.1241935483870968E-7</v>
      </c>
      <c r="W2543" s="13"/>
      <c r="X2543" s="34">
        <v>2539</v>
      </c>
      <c r="Y2543" s="34" t="s">
        <v>2248</v>
      </c>
      <c r="Z2543" s="34" t="s">
        <v>3949</v>
      </c>
      <c r="AA2543" s="35">
        <v>4.9697580645161293E-4</v>
      </c>
      <c r="AB2543" s="13"/>
      <c r="AC2543" s="34">
        <v>2539</v>
      </c>
      <c r="AD2543" s="34" t="s">
        <v>4573</v>
      </c>
      <c r="AE2543" s="34" t="s">
        <v>2695</v>
      </c>
      <c r="AF2543" s="35">
        <v>2.7727822580645165E-3</v>
      </c>
    </row>
    <row r="2544" spans="19:32" x14ac:dyDescent="0.35">
      <c r="S2544" s="34">
        <v>2540</v>
      </c>
      <c r="T2544" s="34" t="s">
        <v>4284</v>
      </c>
      <c r="U2544" s="34" t="s">
        <v>3181</v>
      </c>
      <c r="V2544" s="35">
        <v>1.6862903225806452E-2</v>
      </c>
      <c r="W2544" s="13"/>
      <c r="X2544" s="47">
        <v>2540</v>
      </c>
      <c r="Y2544" s="47" t="s">
        <v>2248</v>
      </c>
      <c r="Z2544" s="47" t="s">
        <v>3097</v>
      </c>
      <c r="AA2544" s="48">
        <v>0</v>
      </c>
      <c r="AB2544" s="13"/>
      <c r="AC2544" s="34">
        <v>2540</v>
      </c>
      <c r="AD2544" s="34" t="s">
        <v>4573</v>
      </c>
      <c r="AE2544" s="34" t="s">
        <v>2692</v>
      </c>
      <c r="AF2544" s="35">
        <v>3.9758064516129035E-3</v>
      </c>
    </row>
    <row r="2545" spans="19:32" x14ac:dyDescent="0.35">
      <c r="S2545" s="53">
        <v>2541</v>
      </c>
      <c r="T2545" s="53" t="s">
        <v>4284</v>
      </c>
      <c r="U2545" s="36" t="s">
        <v>2884</v>
      </c>
      <c r="V2545" s="37">
        <v>9.8439999999999994</v>
      </c>
      <c r="W2545" s="13"/>
      <c r="X2545" s="34">
        <v>2541</v>
      </c>
      <c r="Y2545" s="34" t="s">
        <v>2248</v>
      </c>
      <c r="Z2545" s="34" t="s">
        <v>3097</v>
      </c>
      <c r="AA2545" s="35">
        <v>22.963709677419356</v>
      </c>
      <c r="AB2545" s="13"/>
      <c r="AC2545" s="47">
        <v>2541</v>
      </c>
      <c r="AD2545" s="47" t="s">
        <v>4573</v>
      </c>
      <c r="AE2545" s="47" t="s">
        <v>2756</v>
      </c>
      <c r="AF2545" s="56">
        <v>0.57684000000000002</v>
      </c>
    </row>
    <row r="2546" spans="19:32" x14ac:dyDescent="0.35">
      <c r="S2546" s="34">
        <v>2542</v>
      </c>
      <c r="T2546" s="34" t="s">
        <v>4284</v>
      </c>
      <c r="U2546" s="34" t="s">
        <v>2884</v>
      </c>
      <c r="V2546" s="35">
        <v>2.2758064516129033E-9</v>
      </c>
      <c r="W2546" s="13"/>
      <c r="X2546" s="34">
        <v>2542</v>
      </c>
      <c r="Y2546" s="34" t="s">
        <v>2248</v>
      </c>
      <c r="Z2546" s="34" t="s">
        <v>3495</v>
      </c>
      <c r="AA2546" s="35">
        <v>2.5877016129032259E-4</v>
      </c>
      <c r="AB2546" s="13"/>
      <c r="AC2546" s="34">
        <v>2542</v>
      </c>
      <c r="AD2546" s="34" t="s">
        <v>4573</v>
      </c>
      <c r="AE2546" s="34" t="s">
        <v>2691</v>
      </c>
      <c r="AF2546" s="35">
        <v>0.13435483870967743</v>
      </c>
    </row>
    <row r="2547" spans="19:32" x14ac:dyDescent="0.35">
      <c r="S2547" s="47">
        <v>2543</v>
      </c>
      <c r="T2547" s="47" t="s">
        <v>4284</v>
      </c>
      <c r="U2547" s="47" t="s">
        <v>2884</v>
      </c>
      <c r="V2547" s="48">
        <v>6.2651999999999999E-2</v>
      </c>
      <c r="W2547" s="13"/>
      <c r="X2547" s="34">
        <v>2543</v>
      </c>
      <c r="Y2547" s="34" t="s">
        <v>2248</v>
      </c>
      <c r="Z2547" s="34" t="s">
        <v>3947</v>
      </c>
      <c r="AA2547" s="35">
        <v>2.0050403225806452E-4</v>
      </c>
      <c r="AB2547" s="13"/>
      <c r="AC2547" s="34">
        <v>2543</v>
      </c>
      <c r="AD2547" s="34" t="s">
        <v>4573</v>
      </c>
      <c r="AE2547" s="34" t="s">
        <v>2690</v>
      </c>
      <c r="AF2547" s="35">
        <v>5.8951612903225808E-4</v>
      </c>
    </row>
    <row r="2548" spans="19:32" x14ac:dyDescent="0.35">
      <c r="S2548" s="34">
        <v>2544</v>
      </c>
      <c r="T2548" s="34" t="s">
        <v>4284</v>
      </c>
      <c r="U2548" s="34" t="s">
        <v>3177</v>
      </c>
      <c r="V2548" s="35">
        <v>1.1893145161290324E-2</v>
      </c>
      <c r="W2548" s="13"/>
      <c r="X2548" s="47">
        <v>2544</v>
      </c>
      <c r="Y2548" s="47" t="s">
        <v>2248</v>
      </c>
      <c r="Z2548" s="47" t="s">
        <v>3096</v>
      </c>
      <c r="AA2548" s="48">
        <v>97.52</v>
      </c>
      <c r="AB2548" s="13"/>
      <c r="AC2548" s="34">
        <v>2544</v>
      </c>
      <c r="AD2548" s="34" t="s">
        <v>4573</v>
      </c>
      <c r="AE2548" s="34" t="s">
        <v>2687</v>
      </c>
      <c r="AF2548" s="35">
        <v>2.7522177419354839E-3</v>
      </c>
    </row>
    <row r="2549" spans="19:32" x14ac:dyDescent="0.35">
      <c r="S2549" s="34">
        <v>2545</v>
      </c>
      <c r="T2549" s="34" t="s">
        <v>4284</v>
      </c>
      <c r="U2549" s="34" t="s">
        <v>3174</v>
      </c>
      <c r="V2549" s="35">
        <v>6.9919354838709677E-4</v>
      </c>
      <c r="W2549" s="13"/>
      <c r="X2549" s="34">
        <v>2545</v>
      </c>
      <c r="Y2549" s="34" t="s">
        <v>2248</v>
      </c>
      <c r="Z2549" s="34" t="s">
        <v>4992</v>
      </c>
      <c r="AA2549" s="35">
        <v>1.182459677419355E-4</v>
      </c>
      <c r="AB2549" s="13"/>
      <c r="AC2549" s="34">
        <v>2545</v>
      </c>
      <c r="AD2549" s="34" t="s">
        <v>4573</v>
      </c>
      <c r="AE2549" s="34" t="s">
        <v>2684</v>
      </c>
      <c r="AF2549" s="35">
        <v>8.4657258064516142E-2</v>
      </c>
    </row>
    <row r="2550" spans="19:32" x14ac:dyDescent="0.35">
      <c r="S2550" s="34">
        <v>2546</v>
      </c>
      <c r="T2550" s="34" t="s">
        <v>4284</v>
      </c>
      <c r="U2550" s="34" t="s">
        <v>3171</v>
      </c>
      <c r="V2550" s="35">
        <v>2.340927419354839E-2</v>
      </c>
      <c r="W2550" s="13"/>
      <c r="X2550" s="47">
        <v>2546</v>
      </c>
      <c r="Y2550" s="47" t="s">
        <v>2248</v>
      </c>
      <c r="Z2550" s="47" t="s">
        <v>3094</v>
      </c>
      <c r="AA2550" s="48">
        <v>0</v>
      </c>
      <c r="AB2550" s="13"/>
      <c r="AC2550" s="47">
        <v>2546</v>
      </c>
      <c r="AD2550" s="47" t="s">
        <v>4573</v>
      </c>
      <c r="AE2550" s="47" t="s">
        <v>2684</v>
      </c>
      <c r="AF2550" s="56">
        <v>0</v>
      </c>
    </row>
    <row r="2551" spans="19:32" x14ac:dyDescent="0.35">
      <c r="S2551" s="36">
        <v>2547</v>
      </c>
      <c r="T2551" s="36" t="s">
        <v>4284</v>
      </c>
      <c r="U2551" s="36" t="s">
        <v>3168</v>
      </c>
      <c r="V2551" s="37">
        <v>1.9045999999999998</v>
      </c>
      <c r="W2551" s="13"/>
      <c r="X2551" s="34">
        <v>2547</v>
      </c>
      <c r="Y2551" s="34" t="s">
        <v>2248</v>
      </c>
      <c r="Z2551" s="34" t="s">
        <v>3945</v>
      </c>
      <c r="AA2551" s="35">
        <v>34</v>
      </c>
      <c r="AB2551" s="13"/>
      <c r="AC2551" s="34">
        <v>2547</v>
      </c>
      <c r="AD2551" s="34" t="s">
        <v>4573</v>
      </c>
      <c r="AE2551" s="34" t="s">
        <v>2681</v>
      </c>
      <c r="AF2551" s="35">
        <v>0.55181451612903232</v>
      </c>
    </row>
    <row r="2552" spans="19:32" x14ac:dyDescent="0.35">
      <c r="S2552" s="34">
        <v>2548</v>
      </c>
      <c r="T2552" s="34" t="s">
        <v>4284</v>
      </c>
      <c r="U2552" s="34" t="s">
        <v>3168</v>
      </c>
      <c r="V2552" s="35">
        <v>1.7582661290322582E-6</v>
      </c>
      <c r="W2552" s="13"/>
      <c r="X2552" s="34">
        <v>2548</v>
      </c>
      <c r="Y2552" s="34" t="s">
        <v>2248</v>
      </c>
      <c r="Z2552" s="34" t="s">
        <v>4991</v>
      </c>
      <c r="AA2552" s="35">
        <v>1.6417338709677421E-6</v>
      </c>
      <c r="AB2552" s="13"/>
      <c r="AC2552" s="34">
        <v>2548</v>
      </c>
      <c r="AD2552" s="34" t="s">
        <v>4573</v>
      </c>
      <c r="AE2552" s="34" t="s">
        <v>2679</v>
      </c>
      <c r="AF2552" s="35">
        <v>6.5120967741935489</v>
      </c>
    </row>
    <row r="2553" spans="19:32" x14ac:dyDescent="0.35">
      <c r="S2553" s="34">
        <v>2549</v>
      </c>
      <c r="T2553" s="34" t="s">
        <v>4284</v>
      </c>
      <c r="U2553" s="34" t="s">
        <v>3166</v>
      </c>
      <c r="V2553" s="35">
        <v>3.9415322580645162E-7</v>
      </c>
      <c r="W2553" s="13"/>
      <c r="X2553" s="47">
        <v>2549</v>
      </c>
      <c r="Y2553" s="47" t="s">
        <v>2248</v>
      </c>
      <c r="Z2553" s="47" t="s">
        <v>3092</v>
      </c>
      <c r="AA2553" s="48">
        <v>1.0855999999999999</v>
      </c>
      <c r="AB2553" s="13"/>
      <c r="AC2553" s="34">
        <v>2549</v>
      </c>
      <c r="AD2553" s="34" t="s">
        <v>4573</v>
      </c>
      <c r="AE2553" s="34" t="s">
        <v>2677</v>
      </c>
      <c r="AF2553" s="35">
        <v>1.8405241935483871</v>
      </c>
    </row>
    <row r="2554" spans="19:32" x14ac:dyDescent="0.35">
      <c r="S2554" s="34">
        <v>2550</v>
      </c>
      <c r="T2554" s="34" t="s">
        <v>4284</v>
      </c>
      <c r="U2554" s="34" t="s">
        <v>3163</v>
      </c>
      <c r="V2554" s="35">
        <v>8.2943548387096779E-7</v>
      </c>
      <c r="W2554" s="13"/>
      <c r="X2554" s="34">
        <v>2550</v>
      </c>
      <c r="Y2554" s="34" t="s">
        <v>2248</v>
      </c>
      <c r="Z2554" s="34" t="s">
        <v>3092</v>
      </c>
      <c r="AA2554" s="35">
        <v>1.9399193548387099E-3</v>
      </c>
      <c r="AB2554" s="13"/>
      <c r="AC2554" s="34">
        <v>2550</v>
      </c>
      <c r="AD2554" s="34" t="s">
        <v>4573</v>
      </c>
      <c r="AE2554" s="34" t="s">
        <v>2674</v>
      </c>
      <c r="AF2554" s="35">
        <v>2.4129032258064519E-2</v>
      </c>
    </row>
    <row r="2555" spans="19:32" x14ac:dyDescent="0.35">
      <c r="S2555" s="34">
        <v>2551</v>
      </c>
      <c r="T2555" s="34" t="s">
        <v>4284</v>
      </c>
      <c r="U2555" s="34" t="s">
        <v>3160</v>
      </c>
      <c r="V2555" s="35">
        <v>1.1276209677419356E-7</v>
      </c>
      <c r="W2555" s="13"/>
      <c r="X2555" s="34">
        <v>2551</v>
      </c>
      <c r="Y2555" s="34" t="s">
        <v>2248</v>
      </c>
      <c r="Z2555" s="34" t="s">
        <v>3942</v>
      </c>
      <c r="AA2555" s="35">
        <v>3.7358870967741938E-2</v>
      </c>
      <c r="AB2555" s="13"/>
      <c r="AC2555" s="34">
        <v>2551</v>
      </c>
      <c r="AD2555" s="34" t="s">
        <v>4573</v>
      </c>
      <c r="AE2555" s="34" t="s">
        <v>2671</v>
      </c>
      <c r="AF2555" s="35">
        <v>5.1411290322580648E-2</v>
      </c>
    </row>
    <row r="2556" spans="19:32" x14ac:dyDescent="0.35">
      <c r="S2556" s="34">
        <v>2552</v>
      </c>
      <c r="T2556" s="34" t="s">
        <v>4284</v>
      </c>
      <c r="U2556" s="34" t="s">
        <v>3157</v>
      </c>
      <c r="V2556" s="35">
        <v>2.1147177419354839E-2</v>
      </c>
      <c r="W2556" s="13"/>
      <c r="X2556" s="34">
        <v>2552</v>
      </c>
      <c r="Y2556" s="34" t="s">
        <v>2248</v>
      </c>
      <c r="Z2556" s="34" t="s">
        <v>4990</v>
      </c>
      <c r="AA2556" s="35">
        <v>0.11687500000000001</v>
      </c>
      <c r="AB2556" s="13"/>
      <c r="AC2556" s="34">
        <v>2552</v>
      </c>
      <c r="AD2556" s="34" t="s">
        <v>4573</v>
      </c>
      <c r="AE2556" s="34" t="s">
        <v>2670</v>
      </c>
      <c r="AF2556" s="35">
        <v>5.3125000000000004E-3</v>
      </c>
    </row>
    <row r="2557" spans="19:32" x14ac:dyDescent="0.35">
      <c r="S2557" s="34">
        <v>2553</v>
      </c>
      <c r="T2557" s="34" t="s">
        <v>4284</v>
      </c>
      <c r="U2557" s="34" t="s">
        <v>3154</v>
      </c>
      <c r="V2557" s="35">
        <v>8.0201612903225812E-5</v>
      </c>
      <c r="W2557" s="13"/>
      <c r="X2557" s="34">
        <v>2553</v>
      </c>
      <c r="Y2557" s="34" t="s">
        <v>2248</v>
      </c>
      <c r="Z2557" s="34" t="s">
        <v>3941</v>
      </c>
      <c r="AA2557" s="35">
        <v>6.3064516129032272E-5</v>
      </c>
      <c r="AB2557" s="13"/>
      <c r="AC2557" s="34">
        <v>2553</v>
      </c>
      <c r="AD2557" s="34" t="s">
        <v>4573</v>
      </c>
      <c r="AE2557" s="34" t="s">
        <v>2668</v>
      </c>
      <c r="AF2557" s="35">
        <v>0.15080645161290324</v>
      </c>
    </row>
    <row r="2558" spans="19:32" x14ac:dyDescent="0.35">
      <c r="S2558" s="34">
        <v>2554</v>
      </c>
      <c r="T2558" s="34" t="s">
        <v>4284</v>
      </c>
      <c r="U2558" s="34" t="s">
        <v>3152</v>
      </c>
      <c r="V2558" s="35">
        <v>3.1840725806451618E-3</v>
      </c>
      <c r="W2558" s="13"/>
      <c r="X2558" s="34">
        <v>2554</v>
      </c>
      <c r="Y2558" s="34" t="s">
        <v>2248</v>
      </c>
      <c r="Z2558" s="34" t="s">
        <v>3940</v>
      </c>
      <c r="AA2558" s="35">
        <v>8.6713709677419364E-3</v>
      </c>
      <c r="AB2558" s="13"/>
      <c r="AC2558" s="34">
        <v>2554</v>
      </c>
      <c r="AD2558" s="34" t="s">
        <v>4573</v>
      </c>
      <c r="AE2558" s="34" t="s">
        <v>2666</v>
      </c>
      <c r="AF2558" s="35">
        <v>1.4463709677419357E-2</v>
      </c>
    </row>
    <row r="2559" spans="19:32" x14ac:dyDescent="0.35">
      <c r="S2559" s="34">
        <v>2555</v>
      </c>
      <c r="T2559" s="34" t="s">
        <v>4284</v>
      </c>
      <c r="U2559" s="34" t="s">
        <v>3149</v>
      </c>
      <c r="V2559" s="35">
        <v>0.10110887096774195</v>
      </c>
      <c r="W2559" s="13"/>
      <c r="X2559" s="34">
        <v>2555</v>
      </c>
      <c r="Y2559" s="34" t="s">
        <v>2248</v>
      </c>
      <c r="Z2559" s="34" t="s">
        <v>4989</v>
      </c>
      <c r="AA2559" s="35">
        <v>94.596774193548399</v>
      </c>
      <c r="AB2559" s="13"/>
      <c r="AC2559" s="34">
        <v>2555</v>
      </c>
      <c r="AD2559" s="34" t="s">
        <v>4573</v>
      </c>
      <c r="AE2559" s="34" t="s">
        <v>2664</v>
      </c>
      <c r="AF2559" s="35">
        <v>4.4556451612903232E-2</v>
      </c>
    </row>
    <row r="2560" spans="19:32" x14ac:dyDescent="0.35">
      <c r="S2560" s="34">
        <v>2556</v>
      </c>
      <c r="T2560" s="34" t="s">
        <v>4284</v>
      </c>
      <c r="U2560" s="34" t="s">
        <v>3146</v>
      </c>
      <c r="V2560" s="35">
        <v>2.6254032258064521E-4</v>
      </c>
      <c r="W2560" s="13"/>
      <c r="X2560" s="47">
        <v>2556</v>
      </c>
      <c r="Y2560" s="47" t="s">
        <v>2248</v>
      </c>
      <c r="Z2560" s="47" t="s">
        <v>3091</v>
      </c>
      <c r="AA2560" s="48">
        <v>0</v>
      </c>
      <c r="AB2560" s="13"/>
      <c r="AC2560" s="34">
        <v>2556</v>
      </c>
      <c r="AD2560" s="34" t="s">
        <v>4573</v>
      </c>
      <c r="AE2560" s="34" t="s">
        <v>2661</v>
      </c>
      <c r="AF2560" s="35">
        <v>71.633064516129039</v>
      </c>
    </row>
    <row r="2561" spans="19:32" x14ac:dyDescent="0.35">
      <c r="S2561" s="47">
        <v>2557</v>
      </c>
      <c r="T2561" s="47" t="s">
        <v>4284</v>
      </c>
      <c r="U2561" s="47" t="s">
        <v>2882</v>
      </c>
      <c r="V2561" s="48">
        <v>0</v>
      </c>
      <c r="W2561" s="13"/>
      <c r="X2561" s="34">
        <v>2557</v>
      </c>
      <c r="Y2561" s="34" t="s">
        <v>2248</v>
      </c>
      <c r="Z2561" s="34" t="s">
        <v>3091</v>
      </c>
      <c r="AA2561" s="35">
        <v>2.186693548387097E-3</v>
      </c>
      <c r="AB2561" s="13"/>
      <c r="AC2561" s="34">
        <v>2557</v>
      </c>
      <c r="AD2561" s="34" t="s">
        <v>4573</v>
      </c>
      <c r="AE2561" s="34" t="s">
        <v>2658</v>
      </c>
      <c r="AF2561" s="35">
        <v>2.7453629032258068E-2</v>
      </c>
    </row>
    <row r="2562" spans="19:32" x14ac:dyDescent="0.35">
      <c r="S2562" s="34">
        <v>2558</v>
      </c>
      <c r="T2562" s="34" t="s">
        <v>4284</v>
      </c>
      <c r="U2562" s="34" t="s">
        <v>3143</v>
      </c>
      <c r="V2562" s="35">
        <v>1.6622983870967742E-4</v>
      </c>
      <c r="W2562" s="13"/>
      <c r="X2562" s="34">
        <v>2558</v>
      </c>
      <c r="Y2562" s="34" t="s">
        <v>2248</v>
      </c>
      <c r="Z2562" s="34" t="s">
        <v>4988</v>
      </c>
      <c r="AA2562" s="35">
        <v>1.6245967741935484E-5</v>
      </c>
      <c r="AB2562" s="13"/>
      <c r="AC2562" s="34">
        <v>2558</v>
      </c>
      <c r="AD2562" s="34" t="s">
        <v>4573</v>
      </c>
      <c r="AE2562" s="34" t="s">
        <v>2656</v>
      </c>
      <c r="AF2562" s="35">
        <v>1.134475806451613E-2</v>
      </c>
    </row>
    <row r="2563" spans="19:32" x14ac:dyDescent="0.35">
      <c r="S2563" s="34">
        <v>2559</v>
      </c>
      <c r="T2563" s="34" t="s">
        <v>4284</v>
      </c>
      <c r="U2563" s="34" t="s">
        <v>3141</v>
      </c>
      <c r="V2563" s="35">
        <v>1.8576612903225809E-3</v>
      </c>
      <c r="W2563" s="13"/>
      <c r="X2563" s="34">
        <v>2559</v>
      </c>
      <c r="Y2563" s="34" t="s">
        <v>2248</v>
      </c>
      <c r="Z2563" s="34" t="s">
        <v>3934</v>
      </c>
      <c r="AA2563" s="35">
        <v>1.4120967741935484</v>
      </c>
      <c r="AB2563" s="13"/>
      <c r="AC2563" s="47">
        <v>2559</v>
      </c>
      <c r="AD2563" s="47" t="s">
        <v>4573</v>
      </c>
      <c r="AE2563" s="47" t="s">
        <v>2754</v>
      </c>
      <c r="AF2563" s="56">
        <v>99.36</v>
      </c>
    </row>
    <row r="2564" spans="19:32" x14ac:dyDescent="0.35">
      <c r="S2564" s="34">
        <v>2560</v>
      </c>
      <c r="T2564" s="34" t="s">
        <v>4284</v>
      </c>
      <c r="U2564" s="34" t="s">
        <v>3138</v>
      </c>
      <c r="V2564" s="35">
        <v>1.288709677419355E-5</v>
      </c>
      <c r="W2564" s="13"/>
      <c r="X2564" s="47">
        <v>2560</v>
      </c>
      <c r="Y2564" s="47" t="s">
        <v>2248</v>
      </c>
      <c r="Z2564" s="47" t="s">
        <v>3090</v>
      </c>
      <c r="AA2564" s="48">
        <v>0</v>
      </c>
      <c r="AB2564" s="13"/>
      <c r="AC2564" s="34">
        <v>2560</v>
      </c>
      <c r="AD2564" s="34" t="s">
        <v>4573</v>
      </c>
      <c r="AE2564" s="34" t="s">
        <v>2653</v>
      </c>
      <c r="AF2564" s="35">
        <v>10.213709677419356</v>
      </c>
    </row>
    <row r="2565" spans="19:32" x14ac:dyDescent="0.35">
      <c r="S2565" s="34">
        <v>2561</v>
      </c>
      <c r="T2565" s="34" t="s">
        <v>4284</v>
      </c>
      <c r="U2565" s="34" t="s">
        <v>3135</v>
      </c>
      <c r="V2565" s="35">
        <v>2.1112903225806452E-2</v>
      </c>
      <c r="W2565" s="13"/>
      <c r="X2565" s="34">
        <v>2561</v>
      </c>
      <c r="Y2565" s="34" t="s">
        <v>2248</v>
      </c>
      <c r="Z2565" s="34" t="s">
        <v>4987</v>
      </c>
      <c r="AA2565" s="35">
        <v>6.1693548387096779E-2</v>
      </c>
      <c r="AB2565" s="13"/>
      <c r="AC2565" s="47">
        <v>2561</v>
      </c>
      <c r="AD2565" s="47" t="s">
        <v>4573</v>
      </c>
      <c r="AE2565" s="47" t="s">
        <v>2653</v>
      </c>
      <c r="AF2565" s="56">
        <v>109.48</v>
      </c>
    </row>
    <row r="2566" spans="19:32" x14ac:dyDescent="0.35">
      <c r="S2566" s="34">
        <v>2562</v>
      </c>
      <c r="T2566" s="34" t="s">
        <v>4284</v>
      </c>
      <c r="U2566" s="34" t="s">
        <v>3132</v>
      </c>
      <c r="V2566" s="35">
        <v>4.7298387096774197E-2</v>
      </c>
      <c r="W2566" s="13"/>
      <c r="X2566" s="47">
        <v>2562</v>
      </c>
      <c r="Y2566" s="47" t="s">
        <v>2248</v>
      </c>
      <c r="Z2566" s="47" t="s">
        <v>3089</v>
      </c>
      <c r="AA2566" s="48">
        <v>0</v>
      </c>
      <c r="AB2566" s="13"/>
      <c r="AC2566" s="34">
        <v>2562</v>
      </c>
      <c r="AD2566" s="34" t="s">
        <v>4573</v>
      </c>
      <c r="AE2566" s="34" t="s">
        <v>2650</v>
      </c>
      <c r="AF2566" s="35">
        <v>14.875000000000002</v>
      </c>
    </row>
    <row r="2567" spans="19:32" x14ac:dyDescent="0.35">
      <c r="S2567" s="34">
        <v>2563</v>
      </c>
      <c r="T2567" s="34" t="s">
        <v>4284</v>
      </c>
      <c r="U2567" s="34" t="s">
        <v>3129</v>
      </c>
      <c r="V2567" s="35">
        <v>2.1558467741935486E-3</v>
      </c>
      <c r="W2567" s="13"/>
      <c r="X2567" s="34">
        <v>2563</v>
      </c>
      <c r="Y2567" s="34" t="s">
        <v>2248</v>
      </c>
      <c r="Z2567" s="34" t="s">
        <v>3089</v>
      </c>
      <c r="AA2567" s="35">
        <v>80.201612903225808</v>
      </c>
      <c r="AB2567" s="13"/>
      <c r="AC2567" s="34">
        <v>2563</v>
      </c>
      <c r="AD2567" s="34" t="s">
        <v>4573</v>
      </c>
      <c r="AE2567" s="34" t="s">
        <v>2648</v>
      </c>
      <c r="AF2567" s="35">
        <v>5.3467741935483879</v>
      </c>
    </row>
    <row r="2568" spans="19:32" x14ac:dyDescent="0.35">
      <c r="S2568" s="47">
        <v>2564</v>
      </c>
      <c r="T2568" s="47" t="s">
        <v>4284</v>
      </c>
      <c r="U2568" s="47" t="s">
        <v>2880</v>
      </c>
      <c r="V2568" s="48">
        <v>0</v>
      </c>
      <c r="W2568" s="13"/>
      <c r="X2568" s="47">
        <v>2564</v>
      </c>
      <c r="Y2568" s="47" t="s">
        <v>2248</v>
      </c>
      <c r="Z2568" s="47" t="s">
        <v>3088</v>
      </c>
      <c r="AA2568" s="48">
        <v>1.9872000000000001E-2</v>
      </c>
      <c r="AB2568" s="13"/>
      <c r="AC2568" s="47">
        <v>2564</v>
      </c>
      <c r="AD2568" s="47" t="s">
        <v>4573</v>
      </c>
      <c r="AE2568" s="47" t="s">
        <v>2648</v>
      </c>
      <c r="AF2568" s="56">
        <v>0</v>
      </c>
    </row>
    <row r="2569" spans="19:32" x14ac:dyDescent="0.35">
      <c r="S2569" s="47">
        <v>2565</v>
      </c>
      <c r="T2569" s="47" t="s">
        <v>4284</v>
      </c>
      <c r="U2569" s="47" t="s">
        <v>2879</v>
      </c>
      <c r="V2569" s="48">
        <v>0</v>
      </c>
      <c r="W2569" s="13"/>
      <c r="X2569" s="34">
        <v>2565</v>
      </c>
      <c r="Y2569" s="34" t="s">
        <v>2248</v>
      </c>
      <c r="Z2569" s="34" t="s">
        <v>3494</v>
      </c>
      <c r="AA2569" s="35">
        <v>6.1350806451612901E-4</v>
      </c>
      <c r="AB2569" s="13"/>
      <c r="AC2569" s="34">
        <v>2565</v>
      </c>
      <c r="AD2569" s="34" t="s">
        <v>4573</v>
      </c>
      <c r="AE2569" s="34" t="s">
        <v>2646</v>
      </c>
      <c r="AF2569" s="35">
        <v>2.2278225806451616E-2</v>
      </c>
    </row>
    <row r="2570" spans="19:32" x14ac:dyDescent="0.35">
      <c r="S2570" s="34">
        <v>2566</v>
      </c>
      <c r="T2570" s="34" t="s">
        <v>4284</v>
      </c>
      <c r="U2570" s="34" t="s">
        <v>2877</v>
      </c>
      <c r="V2570" s="35">
        <v>1.5286290322580647</v>
      </c>
      <c r="W2570" s="13"/>
      <c r="X2570" s="34">
        <v>2566</v>
      </c>
      <c r="Y2570" s="34" t="s">
        <v>2248</v>
      </c>
      <c r="Z2570" s="34" t="s">
        <v>3929</v>
      </c>
      <c r="AA2570" s="35">
        <v>1.9536290322580648E-2</v>
      </c>
      <c r="AB2570" s="13"/>
      <c r="AC2570" s="34">
        <v>2566</v>
      </c>
      <c r="AD2570" s="34" t="s">
        <v>4573</v>
      </c>
      <c r="AE2570" s="34" t="s">
        <v>2644</v>
      </c>
      <c r="AF2570" s="35">
        <v>3.9415322580645165</v>
      </c>
    </row>
    <row r="2571" spans="19:32" x14ac:dyDescent="0.35">
      <c r="S2571" s="47">
        <v>2567</v>
      </c>
      <c r="T2571" s="47" t="s">
        <v>4284</v>
      </c>
      <c r="U2571" s="47" t="s">
        <v>2877</v>
      </c>
      <c r="V2571" s="48">
        <v>472.88</v>
      </c>
      <c r="W2571" s="13"/>
      <c r="X2571" s="34">
        <v>2567</v>
      </c>
      <c r="Y2571" s="34" t="s">
        <v>2248</v>
      </c>
      <c r="Z2571" s="34" t="s">
        <v>3927</v>
      </c>
      <c r="AA2571" s="35">
        <v>2.8721774193548388E-2</v>
      </c>
      <c r="AB2571" s="13"/>
      <c r="AC2571" s="47">
        <v>2567</v>
      </c>
      <c r="AD2571" s="47" t="s">
        <v>4573</v>
      </c>
      <c r="AE2571" s="47" t="s">
        <v>2644</v>
      </c>
      <c r="AF2571" s="56">
        <v>0</v>
      </c>
    </row>
    <row r="2572" spans="19:32" x14ac:dyDescent="0.35">
      <c r="S2572" s="47">
        <v>2568</v>
      </c>
      <c r="T2572" s="47" t="s">
        <v>4284</v>
      </c>
      <c r="U2572" s="47" t="s">
        <v>2876</v>
      </c>
      <c r="V2572" s="48">
        <v>0</v>
      </c>
      <c r="W2572" s="13"/>
      <c r="X2572" s="34">
        <v>2568</v>
      </c>
      <c r="Y2572" s="34" t="s">
        <v>2248</v>
      </c>
      <c r="Z2572" s="34" t="s">
        <v>4986</v>
      </c>
      <c r="AA2572" s="35">
        <v>1.4943548387096776E-2</v>
      </c>
      <c r="AB2572" s="13"/>
      <c r="AC2572" s="34">
        <v>2568</v>
      </c>
      <c r="AD2572" s="34" t="s">
        <v>4573</v>
      </c>
      <c r="AE2572" s="34" t="s">
        <v>2643</v>
      </c>
      <c r="AF2572" s="35">
        <v>0.12441532258064517</v>
      </c>
    </row>
    <row r="2573" spans="19:32" x14ac:dyDescent="0.35">
      <c r="S2573" s="30">
        <v>2569</v>
      </c>
      <c r="T2573" s="30" t="s">
        <v>4284</v>
      </c>
      <c r="U2573" s="30" t="s">
        <v>4985</v>
      </c>
      <c r="V2573" s="31">
        <v>0.11600000000000001</v>
      </c>
      <c r="W2573" s="13"/>
      <c r="X2573" s="34">
        <v>2569</v>
      </c>
      <c r="Y2573" s="34" t="s">
        <v>2248</v>
      </c>
      <c r="Z2573" s="34" t="s">
        <v>3923</v>
      </c>
      <c r="AA2573" s="35">
        <v>6.9919354838709676E-6</v>
      </c>
      <c r="AB2573" s="13"/>
      <c r="AC2573" s="34">
        <v>2569</v>
      </c>
      <c r="AD2573" s="34" t="s">
        <v>4573</v>
      </c>
      <c r="AE2573" s="34" t="s">
        <v>2640</v>
      </c>
      <c r="AF2573" s="35">
        <v>0.17993951612903228</v>
      </c>
    </row>
    <row r="2574" spans="19:32" x14ac:dyDescent="0.35">
      <c r="S2574" s="41">
        <v>2570</v>
      </c>
      <c r="T2574" s="41" t="s">
        <v>4284</v>
      </c>
      <c r="U2574" s="41" t="s">
        <v>4984</v>
      </c>
      <c r="V2574" s="42">
        <v>4.7</v>
      </c>
      <c r="W2574" s="13"/>
      <c r="X2574" s="34">
        <v>2570</v>
      </c>
      <c r="Y2574" s="34" t="s">
        <v>2248</v>
      </c>
      <c r="Z2574" s="34" t="s">
        <v>3921</v>
      </c>
      <c r="AA2574" s="35">
        <v>1.3675403225806453E-2</v>
      </c>
      <c r="AB2574" s="13"/>
      <c r="AC2574" s="34">
        <v>2570</v>
      </c>
      <c r="AD2574" s="34" t="s">
        <v>4573</v>
      </c>
      <c r="AE2574" s="34" t="s">
        <v>2639</v>
      </c>
      <c r="AF2574" s="35">
        <v>2.9167338709677419E-3</v>
      </c>
    </row>
    <row r="2575" spans="19:32" x14ac:dyDescent="0.35">
      <c r="S2575" s="44">
        <v>2571</v>
      </c>
      <c r="T2575" s="44" t="s">
        <v>4284</v>
      </c>
      <c r="U2575" s="44" t="s">
        <v>4983</v>
      </c>
      <c r="V2575" s="45">
        <v>7.2887499999999994</v>
      </c>
      <c r="W2575" s="13"/>
      <c r="X2575" s="34">
        <v>2571</v>
      </c>
      <c r="Y2575" s="34" t="s">
        <v>2248</v>
      </c>
      <c r="Z2575" s="34" t="s">
        <v>4982</v>
      </c>
      <c r="AA2575" s="35">
        <v>4.8669354838709676E-6</v>
      </c>
      <c r="AB2575" s="13"/>
      <c r="AC2575" s="47">
        <v>2571</v>
      </c>
      <c r="AD2575" s="47" t="s">
        <v>4573</v>
      </c>
      <c r="AE2575" s="47" t="s">
        <v>2639</v>
      </c>
      <c r="AF2575" s="56">
        <v>0</v>
      </c>
    </row>
    <row r="2576" spans="19:32" x14ac:dyDescent="0.35">
      <c r="S2576" s="34">
        <v>2572</v>
      </c>
      <c r="T2576" s="34" t="s">
        <v>4284</v>
      </c>
      <c r="U2576" s="34" t="s">
        <v>3125</v>
      </c>
      <c r="V2576" s="35">
        <v>8.0544354838709684E-2</v>
      </c>
      <c r="W2576" s="13"/>
      <c r="X2576" s="47">
        <v>2572</v>
      </c>
      <c r="Y2576" s="47" t="s">
        <v>2248</v>
      </c>
      <c r="Z2576" s="47" t="s">
        <v>3087</v>
      </c>
      <c r="AA2576" s="48">
        <v>0.27324000000000004</v>
      </c>
      <c r="AB2576" s="13"/>
      <c r="AC2576" s="47">
        <v>2572</v>
      </c>
      <c r="AD2576" s="47" t="s">
        <v>4573</v>
      </c>
      <c r="AE2576" s="47" t="s">
        <v>2750</v>
      </c>
      <c r="AF2576" s="56">
        <v>0.67252000000000001</v>
      </c>
    </row>
    <row r="2577" spans="19:32" x14ac:dyDescent="0.35">
      <c r="S2577" s="34">
        <v>2573</v>
      </c>
      <c r="T2577" s="34" t="s">
        <v>4284</v>
      </c>
      <c r="U2577" s="34" t="s">
        <v>3122</v>
      </c>
      <c r="V2577" s="35">
        <v>5.6209677419354842E-6</v>
      </c>
      <c r="W2577" s="13"/>
      <c r="X2577" s="34">
        <v>2573</v>
      </c>
      <c r="Y2577" s="34" t="s">
        <v>2248</v>
      </c>
      <c r="Z2577" s="34" t="s">
        <v>3087</v>
      </c>
      <c r="AA2577" s="35">
        <v>2.0941532258064518E-4</v>
      </c>
      <c r="AB2577" s="13"/>
      <c r="AC2577" s="47">
        <v>2573</v>
      </c>
      <c r="AD2577" s="47" t="s">
        <v>4573</v>
      </c>
      <c r="AE2577" s="47" t="s">
        <v>2749</v>
      </c>
      <c r="AF2577" s="56">
        <v>16.375999999999998</v>
      </c>
    </row>
    <row r="2578" spans="19:32" x14ac:dyDescent="0.35">
      <c r="S2578" s="47">
        <v>2574</v>
      </c>
      <c r="T2578" s="47" t="s">
        <v>4284</v>
      </c>
      <c r="U2578" s="47" t="s">
        <v>2874</v>
      </c>
      <c r="V2578" s="48">
        <v>3.1556000000000002</v>
      </c>
      <c r="W2578" s="13"/>
      <c r="X2578" s="34">
        <v>2574</v>
      </c>
      <c r="Y2578" s="34" t="s">
        <v>2248</v>
      </c>
      <c r="Z2578" s="34" t="s">
        <v>3492</v>
      </c>
      <c r="AA2578" s="35">
        <v>4.5584677419354845E-3</v>
      </c>
      <c r="AB2578" s="13"/>
      <c r="AC2578" s="47">
        <v>2574</v>
      </c>
      <c r="AD2578" s="47" t="s">
        <v>4573</v>
      </c>
      <c r="AE2578" s="47" t="s">
        <v>2747</v>
      </c>
      <c r="AF2578" s="56">
        <v>17.02</v>
      </c>
    </row>
    <row r="2579" spans="19:32" x14ac:dyDescent="0.35">
      <c r="S2579" s="34">
        <v>2575</v>
      </c>
      <c r="T2579" s="34" t="s">
        <v>4284</v>
      </c>
      <c r="U2579" s="34" t="s">
        <v>3119</v>
      </c>
      <c r="V2579" s="35">
        <v>4.3870967741935488E-5</v>
      </c>
      <c r="W2579" s="13"/>
      <c r="X2579" s="47">
        <v>2575</v>
      </c>
      <c r="Y2579" s="47" t="s">
        <v>2248</v>
      </c>
      <c r="Z2579" s="47" t="s">
        <v>3086</v>
      </c>
      <c r="AA2579" s="48">
        <v>9.8440000000000003E-3</v>
      </c>
      <c r="AB2579" s="13"/>
      <c r="AC2579" s="47">
        <v>2575</v>
      </c>
      <c r="AD2579" s="47" t="s">
        <v>4573</v>
      </c>
      <c r="AE2579" s="47" t="s">
        <v>2746</v>
      </c>
      <c r="AF2579" s="56">
        <v>0.65871999999999997</v>
      </c>
    </row>
    <row r="2580" spans="19:32" x14ac:dyDescent="0.35">
      <c r="S2580" s="34">
        <v>2576</v>
      </c>
      <c r="T2580" s="34" t="s">
        <v>4284</v>
      </c>
      <c r="U2580" s="34" t="s">
        <v>3117</v>
      </c>
      <c r="V2580" s="35">
        <v>38.387096774193552</v>
      </c>
      <c r="W2580" s="13"/>
      <c r="X2580" s="34">
        <v>2576</v>
      </c>
      <c r="Y2580" s="34" t="s">
        <v>2248</v>
      </c>
      <c r="Z2580" s="34" t="s">
        <v>4981</v>
      </c>
      <c r="AA2580" s="35">
        <v>1.5663306451612905E-2</v>
      </c>
      <c r="AB2580" s="13"/>
      <c r="AC2580" s="34">
        <v>2576</v>
      </c>
      <c r="AD2580" s="34" t="s">
        <v>4573</v>
      </c>
      <c r="AE2580" s="34" t="s">
        <v>2637</v>
      </c>
      <c r="AF2580" s="35">
        <v>0.91169354838709682</v>
      </c>
    </row>
    <row r="2581" spans="19:32" x14ac:dyDescent="0.35">
      <c r="S2581" s="34">
        <v>2577</v>
      </c>
      <c r="T2581" s="34" t="s">
        <v>4284</v>
      </c>
      <c r="U2581" s="34" t="s">
        <v>3114</v>
      </c>
      <c r="V2581" s="35">
        <v>3.7358870967741939E-7</v>
      </c>
      <c r="W2581" s="13"/>
      <c r="X2581" s="47">
        <v>2577</v>
      </c>
      <c r="Y2581" s="47" t="s">
        <v>2248</v>
      </c>
      <c r="Z2581" s="47" t="s">
        <v>3085</v>
      </c>
      <c r="AA2581" s="48">
        <v>0</v>
      </c>
      <c r="AB2581" s="13"/>
      <c r="AC2581" s="34">
        <v>2577</v>
      </c>
      <c r="AD2581" s="34" t="s">
        <v>4573</v>
      </c>
      <c r="AE2581" s="34" t="s">
        <v>2635</v>
      </c>
      <c r="AF2581" s="35">
        <v>0.28447580645161291</v>
      </c>
    </row>
    <row r="2582" spans="19:32" x14ac:dyDescent="0.35">
      <c r="S2582" s="47">
        <v>2578</v>
      </c>
      <c r="T2582" s="47" t="s">
        <v>4284</v>
      </c>
      <c r="U2582" s="47" t="s">
        <v>2873</v>
      </c>
      <c r="V2582" s="48">
        <v>250.24</v>
      </c>
      <c r="W2582" s="13"/>
      <c r="X2582" s="34">
        <v>2578</v>
      </c>
      <c r="Y2582" s="34" t="s">
        <v>2248</v>
      </c>
      <c r="Z2582" s="34" t="s">
        <v>3085</v>
      </c>
      <c r="AA2582" s="35">
        <v>2.1764112903225808E-5</v>
      </c>
      <c r="AB2582" s="13"/>
      <c r="AC2582" s="41">
        <v>2578</v>
      </c>
      <c r="AD2582" s="41" t="s">
        <v>4573</v>
      </c>
      <c r="AE2582" s="41" t="s">
        <v>4877</v>
      </c>
      <c r="AF2582" s="42">
        <v>4.7</v>
      </c>
    </row>
    <row r="2583" spans="19:32" x14ac:dyDescent="0.35">
      <c r="S2583" s="47">
        <v>2579</v>
      </c>
      <c r="T2583" s="47" t="s">
        <v>4284</v>
      </c>
      <c r="U2583" s="47" t="s">
        <v>2871</v>
      </c>
      <c r="V2583" s="48">
        <v>0</v>
      </c>
      <c r="W2583" s="13"/>
      <c r="X2583" s="34">
        <v>2579</v>
      </c>
      <c r="Y2583" s="34" t="s">
        <v>2248</v>
      </c>
      <c r="Z2583" s="34" t="s">
        <v>3489</v>
      </c>
      <c r="AA2583" s="35">
        <v>1.4600806451612904E-3</v>
      </c>
      <c r="AB2583" s="13"/>
      <c r="AC2583" s="41">
        <v>2579</v>
      </c>
      <c r="AD2583" s="41" t="s">
        <v>4573</v>
      </c>
      <c r="AE2583" s="43" t="s">
        <v>4876</v>
      </c>
      <c r="AF2583" s="46">
        <v>4.6059999999999999</v>
      </c>
    </row>
    <row r="2584" spans="19:32" x14ac:dyDescent="0.35">
      <c r="S2584" s="34">
        <v>2580</v>
      </c>
      <c r="T2584" s="34" t="s">
        <v>4284</v>
      </c>
      <c r="U2584" s="34" t="s">
        <v>2869</v>
      </c>
      <c r="V2584" s="35">
        <v>9.6310483870967745E-3</v>
      </c>
      <c r="W2584" s="13"/>
      <c r="X2584" s="47">
        <v>2580</v>
      </c>
      <c r="Y2584" s="47" t="s">
        <v>2248</v>
      </c>
      <c r="Z2584" s="47" t="s">
        <v>3083</v>
      </c>
      <c r="AA2584" s="48">
        <v>0.34776000000000001</v>
      </c>
      <c r="AB2584" s="13"/>
      <c r="AC2584" s="34">
        <v>2580</v>
      </c>
      <c r="AD2584" s="34" t="s">
        <v>4573</v>
      </c>
      <c r="AE2584" s="34" t="s">
        <v>2633</v>
      </c>
      <c r="AF2584" s="35">
        <v>2.7864919354838712E-3</v>
      </c>
    </row>
    <row r="2585" spans="19:32" x14ac:dyDescent="0.35">
      <c r="S2585" s="47">
        <v>2581</v>
      </c>
      <c r="T2585" s="47" t="s">
        <v>4284</v>
      </c>
      <c r="U2585" s="47" t="s">
        <v>2869</v>
      </c>
      <c r="V2585" s="48">
        <v>41.491999999999997</v>
      </c>
      <c r="W2585" s="13"/>
      <c r="X2585" s="34">
        <v>2581</v>
      </c>
      <c r="Y2585" s="34" t="s">
        <v>2248</v>
      </c>
      <c r="Z2585" s="34" t="s">
        <v>3083</v>
      </c>
      <c r="AA2585" s="35">
        <v>1.1413306451612904E-3</v>
      </c>
      <c r="AB2585" s="13"/>
      <c r="AC2585" s="47">
        <v>2581</v>
      </c>
      <c r="AD2585" s="47" t="s">
        <v>4573</v>
      </c>
      <c r="AE2585" s="47" t="s">
        <v>2633</v>
      </c>
      <c r="AF2585" s="56">
        <v>1.6927999999999999E-2</v>
      </c>
    </row>
    <row r="2586" spans="19:32" x14ac:dyDescent="0.35">
      <c r="S2586" s="47">
        <v>2582</v>
      </c>
      <c r="T2586" s="47" t="s">
        <v>4284</v>
      </c>
      <c r="U2586" s="47" t="s">
        <v>2868</v>
      </c>
      <c r="V2586" s="48">
        <v>0</v>
      </c>
      <c r="W2586" s="13"/>
      <c r="X2586" s="34">
        <v>2582</v>
      </c>
      <c r="Y2586" s="34" t="s">
        <v>2248</v>
      </c>
      <c r="Z2586" s="34" t="s">
        <v>4980</v>
      </c>
      <c r="AA2586" s="35">
        <v>0.36673387096774196</v>
      </c>
      <c r="AB2586" s="13"/>
      <c r="AC2586" s="41">
        <v>2582</v>
      </c>
      <c r="AD2586" s="41" t="s">
        <v>4573</v>
      </c>
      <c r="AE2586" s="41" t="s">
        <v>4874</v>
      </c>
      <c r="AF2586" s="42">
        <v>6.3638000000000003</v>
      </c>
    </row>
    <row r="2587" spans="19:32" x14ac:dyDescent="0.35">
      <c r="S2587" s="34">
        <v>2583</v>
      </c>
      <c r="T2587" s="34" t="s">
        <v>4284</v>
      </c>
      <c r="U2587" s="34" t="s">
        <v>3109</v>
      </c>
      <c r="V2587" s="35">
        <v>4.7298387096774197E-2</v>
      </c>
      <c r="W2587" s="13"/>
      <c r="X2587" s="47">
        <v>2583</v>
      </c>
      <c r="Y2587" s="47" t="s">
        <v>2248</v>
      </c>
      <c r="Z2587" s="47" t="s">
        <v>3081</v>
      </c>
      <c r="AA2587" s="48">
        <v>0.28612000000000004</v>
      </c>
      <c r="AB2587" s="13"/>
      <c r="AC2587" s="34">
        <v>2583</v>
      </c>
      <c r="AD2587" s="34" t="s">
        <v>4573</v>
      </c>
      <c r="AE2587" s="34" t="s">
        <v>2630</v>
      </c>
      <c r="AF2587" s="35">
        <v>1.6588709677419357E-2</v>
      </c>
    </row>
    <row r="2588" spans="19:32" x14ac:dyDescent="0.35">
      <c r="S2588" s="34">
        <v>2584</v>
      </c>
      <c r="T2588" s="34" t="s">
        <v>4284</v>
      </c>
      <c r="U2588" s="34" t="s">
        <v>3106</v>
      </c>
      <c r="V2588" s="35">
        <v>5.8266129032258068E-3</v>
      </c>
      <c r="W2588" s="13"/>
      <c r="X2588" s="34">
        <v>2584</v>
      </c>
      <c r="Y2588" s="34" t="s">
        <v>2248</v>
      </c>
      <c r="Z2588" s="34" t="s">
        <v>3081</v>
      </c>
      <c r="AA2588" s="35">
        <v>9.6310483870967753E-5</v>
      </c>
      <c r="AB2588" s="13"/>
      <c r="AC2588" s="47">
        <v>2584</v>
      </c>
      <c r="AD2588" s="47" t="s">
        <v>4573</v>
      </c>
      <c r="AE2588" s="47" t="s">
        <v>2630</v>
      </c>
      <c r="AF2588" s="56">
        <v>5.5292000000000003</v>
      </c>
    </row>
    <row r="2589" spans="19:32" x14ac:dyDescent="0.35">
      <c r="S2589" s="34">
        <v>2585</v>
      </c>
      <c r="T2589" s="34" t="s">
        <v>4284</v>
      </c>
      <c r="U2589" s="34" t="s">
        <v>3104</v>
      </c>
      <c r="V2589" s="35">
        <v>5.0383064516129031E-4</v>
      </c>
      <c r="W2589" s="13"/>
      <c r="X2589" s="34">
        <v>2585</v>
      </c>
      <c r="Y2589" s="34" t="s">
        <v>2248</v>
      </c>
      <c r="Z2589" s="34" t="s">
        <v>4979</v>
      </c>
      <c r="AA2589" s="35">
        <v>2.1421370967741938E-3</v>
      </c>
      <c r="AB2589" s="13"/>
      <c r="AC2589" s="47">
        <v>2585</v>
      </c>
      <c r="AD2589" s="47" t="s">
        <v>4573</v>
      </c>
      <c r="AE2589" s="47" t="s">
        <v>2743</v>
      </c>
      <c r="AF2589" s="56">
        <v>130.64000000000001</v>
      </c>
    </row>
    <row r="2590" spans="19:32" x14ac:dyDescent="0.35">
      <c r="S2590" s="34">
        <v>2586</v>
      </c>
      <c r="T2590" s="34" t="s">
        <v>4284</v>
      </c>
      <c r="U2590" s="34" t="s">
        <v>3101</v>
      </c>
      <c r="V2590" s="35">
        <v>0.15286290322580645</v>
      </c>
      <c r="W2590" s="13"/>
      <c r="X2590" s="47">
        <v>2586</v>
      </c>
      <c r="Y2590" s="47" t="s">
        <v>2248</v>
      </c>
      <c r="Z2590" s="47" t="s">
        <v>3080</v>
      </c>
      <c r="AA2590" s="48">
        <v>0</v>
      </c>
      <c r="AB2590" s="13"/>
      <c r="AC2590" s="34">
        <v>2586</v>
      </c>
      <c r="AD2590" s="34" t="s">
        <v>4573</v>
      </c>
      <c r="AE2590" s="34" t="s">
        <v>2628</v>
      </c>
      <c r="AF2590" s="35">
        <v>6.1350806451612909E-3</v>
      </c>
    </row>
    <row r="2591" spans="19:32" x14ac:dyDescent="0.35">
      <c r="S2591" s="34">
        <v>2587</v>
      </c>
      <c r="T2591" s="34" t="s">
        <v>4284</v>
      </c>
      <c r="U2591" s="34" t="s">
        <v>3098</v>
      </c>
      <c r="V2591" s="35">
        <v>2.9167338709677419E-3</v>
      </c>
      <c r="W2591" s="13"/>
      <c r="X2591" s="34">
        <v>2587</v>
      </c>
      <c r="Y2591" s="34" t="s">
        <v>2248</v>
      </c>
      <c r="Z2591" s="34" t="s">
        <v>4978</v>
      </c>
      <c r="AA2591" s="35">
        <v>1.3435483870967743E-3</v>
      </c>
      <c r="AB2591" s="13"/>
      <c r="AC2591" s="47">
        <v>2587</v>
      </c>
      <c r="AD2591" s="47" t="s">
        <v>4573</v>
      </c>
      <c r="AE2591" s="47" t="s">
        <v>2628</v>
      </c>
      <c r="AF2591" s="56">
        <v>0.96599999999999986</v>
      </c>
    </row>
    <row r="2592" spans="19:32" x14ac:dyDescent="0.35">
      <c r="S2592" s="34">
        <v>2588</v>
      </c>
      <c r="T2592" s="34" t="s">
        <v>4284</v>
      </c>
      <c r="U2592" s="34" t="s">
        <v>3095</v>
      </c>
      <c r="V2592" s="35">
        <v>6.9576612903225811E-8</v>
      </c>
      <c r="W2592" s="13"/>
      <c r="X2592" s="47">
        <v>2588</v>
      </c>
      <c r="Y2592" s="47" t="s">
        <v>2248</v>
      </c>
      <c r="Z2592" s="47" t="s">
        <v>3078</v>
      </c>
      <c r="AA2592" s="48">
        <v>0</v>
      </c>
      <c r="AB2592" s="13"/>
      <c r="AC2592" s="34">
        <v>2588</v>
      </c>
      <c r="AD2592" s="34" t="s">
        <v>4573</v>
      </c>
      <c r="AE2592" s="34" t="s">
        <v>2625</v>
      </c>
      <c r="AF2592" s="35">
        <v>1.5868951612903227E-2</v>
      </c>
    </row>
    <row r="2593" spans="19:32" x14ac:dyDescent="0.35">
      <c r="S2593" s="34">
        <v>2589</v>
      </c>
      <c r="T2593" s="34" t="s">
        <v>4284</v>
      </c>
      <c r="U2593" s="34" t="s">
        <v>3093</v>
      </c>
      <c r="V2593" s="35">
        <v>9.0141129032258077E-6</v>
      </c>
      <c r="W2593" s="13"/>
      <c r="X2593" s="34">
        <v>2589</v>
      </c>
      <c r="Y2593" s="34" t="s">
        <v>2248</v>
      </c>
      <c r="Z2593" s="34" t="s">
        <v>4977</v>
      </c>
      <c r="AA2593" s="35">
        <v>3.4239919354838713E-4</v>
      </c>
      <c r="AB2593" s="13"/>
      <c r="AC2593" s="47">
        <v>2589</v>
      </c>
      <c r="AD2593" s="47" t="s">
        <v>4573</v>
      </c>
      <c r="AE2593" s="47" t="s">
        <v>2625</v>
      </c>
      <c r="AF2593" s="56">
        <v>0.41768</v>
      </c>
    </row>
    <row r="2594" spans="19:32" x14ac:dyDescent="0.35">
      <c r="S2594" s="34">
        <v>2590</v>
      </c>
      <c r="T2594" s="34" t="s">
        <v>4284</v>
      </c>
      <c r="U2594" s="34" t="s">
        <v>2866</v>
      </c>
      <c r="V2594" s="35">
        <v>0.38729838709677422</v>
      </c>
      <c r="W2594" s="13"/>
      <c r="X2594" s="47">
        <v>2590</v>
      </c>
      <c r="Y2594" s="47" t="s">
        <v>2248</v>
      </c>
      <c r="Z2594" s="47" t="s">
        <v>3077</v>
      </c>
      <c r="AA2594" s="48">
        <v>3.2568E-2</v>
      </c>
      <c r="AB2594" s="13"/>
      <c r="AC2594" s="47">
        <v>2590</v>
      </c>
      <c r="AD2594" s="47" t="s">
        <v>4573</v>
      </c>
      <c r="AE2594" s="47" t="s">
        <v>2740</v>
      </c>
      <c r="AF2594" s="56">
        <v>0.52807999999999999</v>
      </c>
    </row>
    <row r="2595" spans="19:32" x14ac:dyDescent="0.35">
      <c r="S2595" s="47">
        <v>2591</v>
      </c>
      <c r="T2595" s="47" t="s">
        <v>4284</v>
      </c>
      <c r="U2595" s="47" t="s">
        <v>2866</v>
      </c>
      <c r="V2595" s="48">
        <v>7.9763999999999999</v>
      </c>
      <c r="W2595" s="13"/>
      <c r="X2595" s="47">
        <v>2591</v>
      </c>
      <c r="Y2595" s="47" t="s">
        <v>2248</v>
      </c>
      <c r="Z2595" s="47" t="s">
        <v>3075</v>
      </c>
      <c r="AA2595" s="48">
        <v>6.5596000000000005</v>
      </c>
      <c r="AB2595" s="13"/>
      <c r="AC2595" s="34">
        <v>2591</v>
      </c>
      <c r="AD2595" s="34" t="s">
        <v>4573</v>
      </c>
      <c r="AE2595" s="34" t="s">
        <v>2622</v>
      </c>
      <c r="AF2595" s="35">
        <v>2.8858870967741937E-2</v>
      </c>
    </row>
    <row r="2596" spans="19:32" x14ac:dyDescent="0.35">
      <c r="S2596" s="34">
        <v>2592</v>
      </c>
      <c r="T2596" s="34" t="s">
        <v>4284</v>
      </c>
      <c r="U2596" s="34" t="s">
        <v>2865</v>
      </c>
      <c r="V2596" s="35">
        <v>2.2723790322580647E-2</v>
      </c>
      <c r="W2596" s="13"/>
      <c r="X2596" s="34">
        <v>2592</v>
      </c>
      <c r="Y2596" s="34" t="s">
        <v>2248</v>
      </c>
      <c r="Z2596" s="34" t="s">
        <v>3075</v>
      </c>
      <c r="AA2596" s="35">
        <v>2.7316532258064518E-3</v>
      </c>
      <c r="AB2596" s="13"/>
      <c r="AC2596" s="47">
        <v>2592</v>
      </c>
      <c r="AD2596" s="47" t="s">
        <v>4573</v>
      </c>
      <c r="AE2596" s="47" t="s">
        <v>2622</v>
      </c>
      <c r="AF2596" s="56">
        <v>10.304</v>
      </c>
    </row>
    <row r="2597" spans="19:32" x14ac:dyDescent="0.35">
      <c r="S2597" s="47">
        <v>2593</v>
      </c>
      <c r="T2597" s="47" t="s">
        <v>4284</v>
      </c>
      <c r="U2597" s="47" t="s">
        <v>2865</v>
      </c>
      <c r="V2597" s="48">
        <v>64.399999999999991</v>
      </c>
      <c r="W2597" s="13"/>
      <c r="X2597" s="34">
        <v>2593</v>
      </c>
      <c r="Y2597" s="34" t="s">
        <v>2248</v>
      </c>
      <c r="Z2597" s="34" t="s">
        <v>4976</v>
      </c>
      <c r="AA2597" s="35">
        <v>2.587701612903226E-3</v>
      </c>
      <c r="AB2597" s="13"/>
      <c r="AC2597" s="36">
        <v>2593</v>
      </c>
      <c r="AD2597" s="36" t="s">
        <v>4573</v>
      </c>
      <c r="AE2597" s="36" t="s">
        <v>4760</v>
      </c>
      <c r="AF2597" s="37">
        <v>20.87</v>
      </c>
    </row>
    <row r="2598" spans="19:32" x14ac:dyDescent="0.35">
      <c r="S2598" s="34">
        <v>2594</v>
      </c>
      <c r="T2598" s="34" t="s">
        <v>4284</v>
      </c>
      <c r="U2598" s="34" t="s">
        <v>2863</v>
      </c>
      <c r="V2598" s="35">
        <v>3.9415322580645167E-2</v>
      </c>
      <c r="W2598" s="13"/>
      <c r="X2598" s="47">
        <v>2594</v>
      </c>
      <c r="Y2598" s="47" t="s">
        <v>2248</v>
      </c>
      <c r="Z2598" s="47" t="s">
        <v>3074</v>
      </c>
      <c r="AA2598" s="48">
        <v>0.21435999999999999</v>
      </c>
      <c r="AB2598" s="13"/>
      <c r="AC2598" s="34">
        <v>2594</v>
      </c>
      <c r="AD2598" s="34" t="s">
        <v>4573</v>
      </c>
      <c r="AE2598" s="34" t="s">
        <v>2619</v>
      </c>
      <c r="AF2598" s="35">
        <v>0.14223790322580646</v>
      </c>
    </row>
    <row r="2599" spans="19:32" x14ac:dyDescent="0.35">
      <c r="S2599" s="47">
        <v>2595</v>
      </c>
      <c r="T2599" s="47" t="s">
        <v>4284</v>
      </c>
      <c r="U2599" s="47" t="s">
        <v>2863</v>
      </c>
      <c r="V2599" s="48">
        <v>15.455999999999998</v>
      </c>
      <c r="W2599" s="13"/>
      <c r="X2599" s="34">
        <v>2595</v>
      </c>
      <c r="Y2599" s="34" t="s">
        <v>2248</v>
      </c>
      <c r="Z2599" s="34" t="s">
        <v>4975</v>
      </c>
      <c r="AA2599" s="35">
        <v>1.9536290322580648E-2</v>
      </c>
      <c r="AB2599" s="13"/>
      <c r="AC2599" s="47">
        <v>2595</v>
      </c>
      <c r="AD2599" s="47" t="s">
        <v>4573</v>
      </c>
      <c r="AE2599" s="47" t="s">
        <v>2619</v>
      </c>
      <c r="AF2599" s="56">
        <v>0.47564000000000001</v>
      </c>
    </row>
    <row r="2600" spans="19:32" x14ac:dyDescent="0.35">
      <c r="S2600" s="34">
        <v>2596</v>
      </c>
      <c r="T2600" s="34" t="s">
        <v>4284</v>
      </c>
      <c r="U2600" s="34" t="s">
        <v>3084</v>
      </c>
      <c r="V2600" s="35">
        <v>0.21112903225806454</v>
      </c>
      <c r="W2600" s="13"/>
      <c r="X2600" s="34">
        <v>2596</v>
      </c>
      <c r="Y2600" s="34" t="s">
        <v>2248</v>
      </c>
      <c r="Z2600" s="34" t="s">
        <v>3074</v>
      </c>
      <c r="AA2600" s="35">
        <v>4.0100806451612906E-5</v>
      </c>
      <c r="AB2600" s="13"/>
      <c r="AC2600" s="47">
        <v>2596</v>
      </c>
      <c r="AD2600" s="47" t="s">
        <v>4573</v>
      </c>
      <c r="AE2600" s="47" t="s">
        <v>2738</v>
      </c>
      <c r="AF2600" s="56">
        <v>5.0599999999999996</v>
      </c>
    </row>
    <row r="2601" spans="19:32" x14ac:dyDescent="0.35">
      <c r="S2601" s="47">
        <v>2597</v>
      </c>
      <c r="T2601" s="47" t="s">
        <v>4284</v>
      </c>
      <c r="U2601" s="47" t="s">
        <v>2862</v>
      </c>
      <c r="V2601" s="48">
        <v>0</v>
      </c>
      <c r="W2601" s="13"/>
      <c r="X2601" s="34">
        <v>2597</v>
      </c>
      <c r="Y2601" s="34" t="s">
        <v>2248</v>
      </c>
      <c r="Z2601" s="34" t="s">
        <v>3485</v>
      </c>
      <c r="AA2601" s="35">
        <v>1.8336693548387099E-3</v>
      </c>
      <c r="AB2601" s="13"/>
      <c r="AC2601" s="34">
        <v>2597</v>
      </c>
      <c r="AD2601" s="34" t="s">
        <v>4573</v>
      </c>
      <c r="AE2601" s="34" t="s">
        <v>2616</v>
      </c>
      <c r="AF2601" s="35">
        <v>1.1893145161290324E-3</v>
      </c>
    </row>
    <row r="2602" spans="19:32" x14ac:dyDescent="0.35">
      <c r="S2602" s="34">
        <v>2598</v>
      </c>
      <c r="T2602" s="34" t="s">
        <v>4284</v>
      </c>
      <c r="U2602" s="34" t="s">
        <v>3082</v>
      </c>
      <c r="V2602" s="35">
        <v>7.4032258064516139E-5</v>
      </c>
      <c r="W2602" s="13"/>
      <c r="X2602" s="47">
        <v>2598</v>
      </c>
      <c r="Y2602" s="47" t="s">
        <v>2248</v>
      </c>
      <c r="Z2602" s="47" t="s">
        <v>3073</v>
      </c>
      <c r="AA2602" s="48">
        <v>0</v>
      </c>
      <c r="AB2602" s="13"/>
      <c r="AC2602" s="47">
        <v>2598</v>
      </c>
      <c r="AD2602" s="47" t="s">
        <v>4573</v>
      </c>
      <c r="AE2602" s="47" t="s">
        <v>2616</v>
      </c>
      <c r="AF2602" s="56">
        <v>0.51059999999999994</v>
      </c>
    </row>
    <row r="2603" spans="19:32" x14ac:dyDescent="0.35">
      <c r="S2603" s="34">
        <v>2599</v>
      </c>
      <c r="T2603" s="34" t="s">
        <v>4284</v>
      </c>
      <c r="U2603" s="34" t="s">
        <v>3079</v>
      </c>
      <c r="V2603" s="35">
        <v>1.1550403225806453E-5</v>
      </c>
      <c r="W2603" s="13"/>
      <c r="X2603" s="34">
        <v>2599</v>
      </c>
      <c r="Y2603" s="34" t="s">
        <v>2248</v>
      </c>
      <c r="Z2603" s="34" t="s">
        <v>3484</v>
      </c>
      <c r="AA2603" s="35">
        <v>2.2381048387096778E-4</v>
      </c>
      <c r="AB2603" s="13"/>
      <c r="AC2603" s="34">
        <v>2599</v>
      </c>
      <c r="AD2603" s="34" t="s">
        <v>4573</v>
      </c>
      <c r="AE2603" s="34" t="s">
        <v>2614</v>
      </c>
      <c r="AF2603" s="35">
        <v>3.7358870967741938E-2</v>
      </c>
    </row>
    <row r="2604" spans="19:32" x14ac:dyDescent="0.35">
      <c r="S2604" s="47">
        <v>2600</v>
      </c>
      <c r="T2604" s="47" t="s">
        <v>4284</v>
      </c>
      <c r="U2604" s="47" t="s">
        <v>2860</v>
      </c>
      <c r="V2604" s="48">
        <v>0</v>
      </c>
      <c r="W2604" s="13"/>
      <c r="X2604" s="47">
        <v>2600</v>
      </c>
      <c r="Y2604" s="47" t="s">
        <v>2248</v>
      </c>
      <c r="Z2604" s="47" t="s">
        <v>3072</v>
      </c>
      <c r="AA2604" s="48">
        <v>2.8612000000000002E-2</v>
      </c>
      <c r="AB2604" s="13"/>
      <c r="AC2604" s="47">
        <v>2600</v>
      </c>
      <c r="AD2604" s="47" t="s">
        <v>4573</v>
      </c>
      <c r="AE2604" s="47" t="s">
        <v>2614</v>
      </c>
      <c r="AF2604" s="56">
        <v>0.27876000000000001</v>
      </c>
    </row>
    <row r="2605" spans="19:32" x14ac:dyDescent="0.35">
      <c r="S2605" s="47">
        <v>2601</v>
      </c>
      <c r="T2605" s="47" t="s">
        <v>4284</v>
      </c>
      <c r="U2605" s="47" t="s">
        <v>2858</v>
      </c>
      <c r="V2605" s="48">
        <v>0.66056000000000004</v>
      </c>
      <c r="W2605" s="13"/>
      <c r="X2605" s="34">
        <v>2601</v>
      </c>
      <c r="Y2605" s="34" t="s">
        <v>2248</v>
      </c>
      <c r="Z2605" s="34" t="s">
        <v>3072</v>
      </c>
      <c r="AA2605" s="35">
        <v>9.4939516129032261E-5</v>
      </c>
      <c r="AB2605" s="13"/>
      <c r="AC2605" s="47">
        <v>2601</v>
      </c>
      <c r="AD2605" s="47" t="s">
        <v>4573</v>
      </c>
      <c r="AE2605" s="47" t="s">
        <v>2735</v>
      </c>
      <c r="AF2605" s="56">
        <v>8.8595999999999986</v>
      </c>
    </row>
    <row r="2606" spans="19:32" x14ac:dyDescent="0.35">
      <c r="S2606" s="47">
        <v>2602</v>
      </c>
      <c r="T2606" s="47" t="s">
        <v>4284</v>
      </c>
      <c r="U2606" s="47" t="s">
        <v>2857</v>
      </c>
      <c r="V2606" s="48">
        <v>26.68</v>
      </c>
      <c r="W2606" s="13"/>
      <c r="X2606" s="34">
        <v>2602</v>
      </c>
      <c r="Y2606" s="34" t="s">
        <v>2248</v>
      </c>
      <c r="Z2606" s="34" t="s">
        <v>3481</v>
      </c>
      <c r="AA2606" s="35">
        <v>4.0443548387096781E-3</v>
      </c>
      <c r="AB2606" s="13"/>
      <c r="AC2606" s="47">
        <v>2602</v>
      </c>
      <c r="AD2606" s="47" t="s">
        <v>4573</v>
      </c>
      <c r="AE2606" s="47" t="s">
        <v>2733</v>
      </c>
      <c r="AF2606" s="56">
        <v>20.792000000000002</v>
      </c>
    </row>
    <row r="2607" spans="19:32" x14ac:dyDescent="0.35">
      <c r="S2607" s="34">
        <v>2603</v>
      </c>
      <c r="T2607" s="34" t="s">
        <v>4284</v>
      </c>
      <c r="U2607" s="34" t="s">
        <v>3076</v>
      </c>
      <c r="V2607" s="35">
        <v>1.8747983870967742E-4</v>
      </c>
      <c r="W2607" s="13"/>
      <c r="X2607" s="47">
        <v>2603</v>
      </c>
      <c r="Y2607" s="47" t="s">
        <v>2248</v>
      </c>
      <c r="Z2607" s="47" t="s">
        <v>3071</v>
      </c>
      <c r="AA2607" s="48">
        <v>0</v>
      </c>
      <c r="AB2607" s="13"/>
      <c r="AC2607" s="47">
        <v>2603</v>
      </c>
      <c r="AD2607" s="47" t="s">
        <v>4573</v>
      </c>
      <c r="AE2607" s="47" t="s">
        <v>2732</v>
      </c>
      <c r="AF2607" s="56">
        <v>11.959999999999999</v>
      </c>
    </row>
    <row r="2608" spans="19:32" x14ac:dyDescent="0.35">
      <c r="S2608" s="34">
        <v>2604</v>
      </c>
      <c r="T2608" s="34" t="s">
        <v>4284</v>
      </c>
      <c r="U2608" s="34" t="s">
        <v>2855</v>
      </c>
      <c r="V2608" s="35">
        <v>1.1550403225806452</v>
      </c>
      <c r="W2608" s="13"/>
      <c r="X2608" s="47">
        <v>2604</v>
      </c>
      <c r="Y2608" s="47" t="s">
        <v>2248</v>
      </c>
      <c r="Z2608" s="47" t="s">
        <v>3069</v>
      </c>
      <c r="AA2608" s="48">
        <v>1.3248</v>
      </c>
      <c r="AB2608" s="13"/>
      <c r="AC2608" s="47">
        <v>2604</v>
      </c>
      <c r="AD2608" s="47" t="s">
        <v>4573</v>
      </c>
      <c r="AE2608" s="47" t="s">
        <v>2730</v>
      </c>
      <c r="AF2608" s="56">
        <v>9.9359999999999999</v>
      </c>
    </row>
    <row r="2609" spans="19:32" x14ac:dyDescent="0.35">
      <c r="S2609" s="47">
        <v>2605</v>
      </c>
      <c r="T2609" s="47" t="s">
        <v>4284</v>
      </c>
      <c r="U2609" s="47" t="s">
        <v>2855</v>
      </c>
      <c r="V2609" s="48">
        <v>0</v>
      </c>
      <c r="W2609" s="13"/>
      <c r="X2609" s="34">
        <v>2605</v>
      </c>
      <c r="Y2609" s="34" t="s">
        <v>2248</v>
      </c>
      <c r="Z2609" s="34" t="s">
        <v>4974</v>
      </c>
      <c r="AA2609" s="35">
        <v>1.2715725806451614E-2</v>
      </c>
      <c r="AB2609" s="13"/>
      <c r="AC2609" s="47">
        <v>2605</v>
      </c>
      <c r="AD2609" s="47" t="s">
        <v>4573</v>
      </c>
      <c r="AE2609" s="47" t="s">
        <v>2729</v>
      </c>
      <c r="AF2609" s="56">
        <v>18.032</v>
      </c>
    </row>
    <row r="2610" spans="19:32" x14ac:dyDescent="0.35">
      <c r="S2610" s="34">
        <v>2606</v>
      </c>
      <c r="T2610" s="34" t="s">
        <v>4284</v>
      </c>
      <c r="U2610" s="34" t="s">
        <v>2854</v>
      </c>
      <c r="V2610" s="35">
        <v>2.3820564516129034E-2</v>
      </c>
      <c r="W2610" s="13"/>
      <c r="X2610" s="47">
        <v>2606</v>
      </c>
      <c r="Y2610" s="47" t="s">
        <v>2248</v>
      </c>
      <c r="Z2610" s="47" t="s">
        <v>3068</v>
      </c>
      <c r="AA2610" s="48">
        <v>7.3048000000000002E-2</v>
      </c>
      <c r="AB2610" s="13"/>
      <c r="AC2610" s="47">
        <v>2606</v>
      </c>
      <c r="AD2610" s="47" t="s">
        <v>4573</v>
      </c>
      <c r="AE2610" s="47" t="s">
        <v>2727</v>
      </c>
      <c r="AF2610" s="56">
        <v>431.48</v>
      </c>
    </row>
    <row r="2611" spans="19:32" x14ac:dyDescent="0.35">
      <c r="S2611" s="47">
        <v>2607</v>
      </c>
      <c r="T2611" s="47" t="s">
        <v>4284</v>
      </c>
      <c r="U2611" s="47" t="s">
        <v>2854</v>
      </c>
      <c r="V2611" s="48">
        <v>0</v>
      </c>
      <c r="W2611" s="13"/>
      <c r="X2611" s="47">
        <v>2607</v>
      </c>
      <c r="Y2611" s="47" t="s">
        <v>2248</v>
      </c>
      <c r="Z2611" s="47" t="s">
        <v>3066</v>
      </c>
      <c r="AA2611" s="48">
        <v>1.0212000000000001E-2</v>
      </c>
      <c r="AB2611" s="13"/>
      <c r="AC2611" s="47">
        <v>2607</v>
      </c>
      <c r="AD2611" s="47" t="s">
        <v>4573</v>
      </c>
      <c r="AE2611" s="47" t="s">
        <v>2726</v>
      </c>
      <c r="AF2611" s="56">
        <v>48.576000000000001</v>
      </c>
    </row>
    <row r="2612" spans="19:32" x14ac:dyDescent="0.35">
      <c r="S2612" s="34">
        <v>2608</v>
      </c>
      <c r="T2612" s="34" t="s">
        <v>4284</v>
      </c>
      <c r="U2612" s="34" t="s">
        <v>3070</v>
      </c>
      <c r="V2612" s="35">
        <v>3.5645161290322587E-4</v>
      </c>
      <c r="W2612" s="13"/>
      <c r="X2612" s="34">
        <v>2608</v>
      </c>
      <c r="Y2612" s="34" t="s">
        <v>2248</v>
      </c>
      <c r="Z2612" s="34" t="s">
        <v>3906</v>
      </c>
      <c r="AA2612" s="35">
        <v>2.4266129032258065E-5</v>
      </c>
      <c r="AB2612" s="13"/>
      <c r="AC2612" s="47">
        <v>2608</v>
      </c>
      <c r="AD2612" s="47" t="s">
        <v>4573</v>
      </c>
      <c r="AE2612" s="47" t="s">
        <v>2724</v>
      </c>
      <c r="AF2612" s="56">
        <v>103.03999999999999</v>
      </c>
    </row>
    <row r="2613" spans="19:32" x14ac:dyDescent="0.35">
      <c r="S2613" s="34">
        <v>2609</v>
      </c>
      <c r="T2613" s="34" t="s">
        <v>4284</v>
      </c>
      <c r="U2613" s="34" t="s">
        <v>3067</v>
      </c>
      <c r="V2613" s="35">
        <v>8.2943548387096782E-5</v>
      </c>
      <c r="W2613" s="13"/>
      <c r="X2613" s="34">
        <v>2609</v>
      </c>
      <c r="Y2613" s="34" t="s">
        <v>2248</v>
      </c>
      <c r="Z2613" s="34" t="s">
        <v>4973</v>
      </c>
      <c r="AA2613" s="35">
        <v>7.4032258064516132E-3</v>
      </c>
      <c r="AB2613" s="13"/>
      <c r="AC2613" s="47">
        <v>2609</v>
      </c>
      <c r="AD2613" s="47" t="s">
        <v>4573</v>
      </c>
      <c r="AE2613" s="47" t="s">
        <v>2722</v>
      </c>
      <c r="AF2613" s="56">
        <v>2134.4</v>
      </c>
    </row>
    <row r="2614" spans="19:32" x14ac:dyDescent="0.35">
      <c r="S2614" s="34">
        <v>2610</v>
      </c>
      <c r="T2614" s="34" t="s">
        <v>4284</v>
      </c>
      <c r="U2614" s="34" t="s">
        <v>2853</v>
      </c>
      <c r="V2614" s="35">
        <v>2.4643145161290324E-4</v>
      </c>
      <c r="W2614" s="13"/>
      <c r="X2614" s="47">
        <v>2610</v>
      </c>
      <c r="Y2614" s="47" t="s">
        <v>2248</v>
      </c>
      <c r="Z2614" s="47" t="s">
        <v>3065</v>
      </c>
      <c r="AA2614" s="48">
        <v>0.51427999999999996</v>
      </c>
      <c r="AB2614" s="13"/>
      <c r="AC2614" s="47">
        <v>2610</v>
      </c>
      <c r="AD2614" s="47" t="s">
        <v>4573</v>
      </c>
      <c r="AE2614" s="47" t="s">
        <v>2721</v>
      </c>
      <c r="AF2614" s="56">
        <v>0.93840000000000001</v>
      </c>
    </row>
    <row r="2615" spans="19:32" x14ac:dyDescent="0.35">
      <c r="S2615" s="47">
        <v>2611</v>
      </c>
      <c r="T2615" s="47" t="s">
        <v>4284</v>
      </c>
      <c r="U2615" s="47" t="s">
        <v>2853</v>
      </c>
      <c r="V2615" s="48">
        <v>0</v>
      </c>
      <c r="W2615" s="13"/>
      <c r="X2615" s="34">
        <v>2611</v>
      </c>
      <c r="Y2615" s="34" t="s">
        <v>2248</v>
      </c>
      <c r="Z2615" s="34" t="s">
        <v>3065</v>
      </c>
      <c r="AA2615" s="35">
        <v>1.0796370967741937E-3</v>
      </c>
      <c r="AB2615" s="13"/>
      <c r="AC2615" s="47">
        <v>2611</v>
      </c>
      <c r="AD2615" s="47" t="s">
        <v>4573</v>
      </c>
      <c r="AE2615" s="47" t="s">
        <v>2719</v>
      </c>
      <c r="AF2615" s="56">
        <v>586.96</v>
      </c>
    </row>
    <row r="2616" spans="19:32" x14ac:dyDescent="0.35">
      <c r="S2616" s="47">
        <v>2612</v>
      </c>
      <c r="T2616" s="47" t="s">
        <v>4284</v>
      </c>
      <c r="U2616" s="47" t="s">
        <v>2852</v>
      </c>
      <c r="V2616" s="48">
        <v>3.0084</v>
      </c>
      <c r="W2616" s="13"/>
      <c r="X2616" s="34">
        <v>2612</v>
      </c>
      <c r="Y2616" s="34" t="s">
        <v>2248</v>
      </c>
      <c r="Z2616" s="34" t="s">
        <v>3477</v>
      </c>
      <c r="AA2616" s="35">
        <v>6.9233870967741939E-4</v>
      </c>
      <c r="AB2616" s="13"/>
      <c r="AC2616" s="47">
        <v>2612</v>
      </c>
      <c r="AD2616" s="47" t="s">
        <v>4573</v>
      </c>
      <c r="AE2616" s="47" t="s">
        <v>2718</v>
      </c>
      <c r="AF2616" s="56">
        <v>1554.8000000000002</v>
      </c>
    </row>
    <row r="2617" spans="19:32" x14ac:dyDescent="0.35">
      <c r="S2617" s="34">
        <v>2613</v>
      </c>
      <c r="T2617" s="34" t="s">
        <v>4284</v>
      </c>
      <c r="U2617" s="34" t="s">
        <v>3062</v>
      </c>
      <c r="V2617" s="35">
        <v>1.8542338709677422E-4</v>
      </c>
      <c r="W2617" s="13"/>
      <c r="X2617" s="47">
        <v>2613</v>
      </c>
      <c r="Y2617" s="47" t="s">
        <v>2248</v>
      </c>
      <c r="Z2617" s="47" t="s">
        <v>3064</v>
      </c>
      <c r="AA2617" s="48">
        <v>0.95679999999999998</v>
      </c>
      <c r="AB2617" s="13"/>
      <c r="AC2617" s="47">
        <v>2613</v>
      </c>
      <c r="AD2617" s="47" t="s">
        <v>4573</v>
      </c>
      <c r="AE2617" s="47" t="s">
        <v>2716</v>
      </c>
      <c r="AF2617" s="56">
        <v>8675.5999999999985</v>
      </c>
    </row>
    <row r="2618" spans="19:32" x14ac:dyDescent="0.35">
      <c r="S2618" s="34">
        <v>2614</v>
      </c>
      <c r="T2618" s="34" t="s">
        <v>4284</v>
      </c>
      <c r="U2618" s="34" t="s">
        <v>3060</v>
      </c>
      <c r="V2618" s="35">
        <v>8.8084677419354843E-2</v>
      </c>
      <c r="W2618" s="13"/>
      <c r="X2618" s="34">
        <v>2614</v>
      </c>
      <c r="Y2618" s="34" t="s">
        <v>2248</v>
      </c>
      <c r="Z2618" s="34" t="s">
        <v>3064</v>
      </c>
      <c r="AA2618" s="35">
        <v>5.7237903225806452E-4</v>
      </c>
      <c r="AB2618" s="13"/>
      <c r="AC2618" s="47">
        <v>2614</v>
      </c>
      <c r="AD2618" s="47" t="s">
        <v>4573</v>
      </c>
      <c r="AE2618" s="47" t="s">
        <v>2715</v>
      </c>
      <c r="AF2618" s="56">
        <v>169.28</v>
      </c>
    </row>
    <row r="2619" spans="19:32" x14ac:dyDescent="0.35">
      <c r="S2619" s="34">
        <v>2615</v>
      </c>
      <c r="T2619" s="34" t="s">
        <v>4284</v>
      </c>
      <c r="U2619" s="34" t="s">
        <v>3057</v>
      </c>
      <c r="V2619" s="35">
        <v>2.210685483870968E-2</v>
      </c>
      <c r="W2619" s="13"/>
      <c r="X2619" s="34">
        <v>2615</v>
      </c>
      <c r="Y2619" s="34" t="s">
        <v>2248</v>
      </c>
      <c r="Z2619" s="34" t="s">
        <v>3476</v>
      </c>
      <c r="AA2619" s="35">
        <v>2.7110887096774196E-2</v>
      </c>
      <c r="AB2619" s="13"/>
      <c r="AC2619" s="47">
        <v>2615</v>
      </c>
      <c r="AD2619" s="47" t="s">
        <v>4573</v>
      </c>
      <c r="AE2619" s="47" t="s">
        <v>2713</v>
      </c>
      <c r="AF2619" s="56">
        <v>6.2284000000000006</v>
      </c>
    </row>
    <row r="2620" spans="19:32" x14ac:dyDescent="0.35">
      <c r="S2620" s="34">
        <v>2616</v>
      </c>
      <c r="T2620" s="34" t="s">
        <v>4284</v>
      </c>
      <c r="U2620" s="34" t="s">
        <v>2850</v>
      </c>
      <c r="V2620" s="35">
        <v>2.5945564516129033E-2</v>
      </c>
      <c r="W2620" s="13"/>
      <c r="X2620" s="34">
        <v>2616</v>
      </c>
      <c r="Y2620" s="34" t="s">
        <v>2248</v>
      </c>
      <c r="Z2620" s="34" t="s">
        <v>3900</v>
      </c>
      <c r="AA2620" s="35">
        <v>4.2842741935483872E-4</v>
      </c>
      <c r="AB2620" s="13"/>
      <c r="AC2620" s="47">
        <v>2616</v>
      </c>
      <c r="AD2620" s="47" t="s">
        <v>4573</v>
      </c>
      <c r="AE2620" s="47" t="s">
        <v>2711</v>
      </c>
      <c r="AF2620" s="56">
        <v>74.52000000000001</v>
      </c>
    </row>
    <row r="2621" spans="19:32" x14ac:dyDescent="0.35">
      <c r="S2621" s="47">
        <v>2617</v>
      </c>
      <c r="T2621" s="47" t="s">
        <v>4284</v>
      </c>
      <c r="U2621" s="47" t="s">
        <v>2850</v>
      </c>
      <c r="V2621" s="48">
        <v>6.8815999999999988E-2</v>
      </c>
      <c r="W2621" s="13"/>
      <c r="X2621" s="47">
        <v>2617</v>
      </c>
      <c r="Y2621" s="47" t="s">
        <v>2248</v>
      </c>
      <c r="Z2621" s="47" t="s">
        <v>3063</v>
      </c>
      <c r="AA2621" s="48">
        <v>316.48</v>
      </c>
      <c r="AB2621" s="13"/>
      <c r="AC2621" s="47">
        <v>2617</v>
      </c>
      <c r="AD2621" s="47" t="s">
        <v>4573</v>
      </c>
      <c r="AE2621" s="47" t="s">
        <v>2710</v>
      </c>
      <c r="AF2621" s="56">
        <v>10.396000000000001</v>
      </c>
    </row>
    <row r="2622" spans="19:32" x14ac:dyDescent="0.35">
      <c r="S2622" s="34">
        <v>2618</v>
      </c>
      <c r="T2622" s="34" t="s">
        <v>4284</v>
      </c>
      <c r="U2622" s="34" t="s">
        <v>3052</v>
      </c>
      <c r="V2622" s="35">
        <v>0.21695564516129034</v>
      </c>
      <c r="W2622" s="13"/>
      <c r="X2622" s="34">
        <v>2618</v>
      </c>
      <c r="Y2622" s="34" t="s">
        <v>2248</v>
      </c>
      <c r="Z2622" s="34" t="s">
        <v>3473</v>
      </c>
      <c r="AA2622" s="35">
        <v>6.9576612903225815E-3</v>
      </c>
      <c r="AB2622" s="13"/>
      <c r="AC2622" s="34">
        <v>2618</v>
      </c>
      <c r="AD2622" s="34" t="s">
        <v>4573</v>
      </c>
      <c r="AE2622" s="34" t="s">
        <v>2611</v>
      </c>
      <c r="AF2622" s="35">
        <v>0.63407258064516137</v>
      </c>
    </row>
    <row r="2623" spans="19:32" x14ac:dyDescent="0.35">
      <c r="S2623" s="47">
        <v>2619</v>
      </c>
      <c r="T2623" s="47" t="s">
        <v>4284</v>
      </c>
      <c r="U2623" s="47" t="s">
        <v>2849</v>
      </c>
      <c r="V2623" s="48">
        <v>0</v>
      </c>
      <c r="W2623" s="13"/>
      <c r="X2623" s="47">
        <v>2619</v>
      </c>
      <c r="Y2623" s="47" t="s">
        <v>2248</v>
      </c>
      <c r="Z2623" s="47" t="s">
        <v>3061</v>
      </c>
      <c r="AA2623" s="48">
        <v>5.7132000000000005E-4</v>
      </c>
      <c r="AB2623" s="13"/>
      <c r="AC2623" s="47">
        <v>2619</v>
      </c>
      <c r="AD2623" s="47" t="s">
        <v>4573</v>
      </c>
      <c r="AE2623" s="47" t="s">
        <v>2708</v>
      </c>
      <c r="AF2623" s="56">
        <v>0.2346</v>
      </c>
    </row>
    <row r="2624" spans="19:32" x14ac:dyDescent="0.35">
      <c r="S2624" s="34">
        <v>2620</v>
      </c>
      <c r="T2624" s="34" t="s">
        <v>4284</v>
      </c>
      <c r="U2624" s="34" t="s">
        <v>3049</v>
      </c>
      <c r="V2624" s="35">
        <v>1.0762096774193548E-3</v>
      </c>
      <c r="W2624" s="13"/>
      <c r="X2624" s="34">
        <v>2620</v>
      </c>
      <c r="Y2624" s="34" t="s">
        <v>2248</v>
      </c>
      <c r="Z2624" s="34" t="s">
        <v>3061</v>
      </c>
      <c r="AA2624" s="35">
        <v>2.0461693548387099E-5</v>
      </c>
      <c r="AB2624" s="13"/>
      <c r="AC2624" s="47">
        <v>2620</v>
      </c>
      <c r="AD2624" s="47" t="s">
        <v>4573</v>
      </c>
      <c r="AE2624" s="47" t="s">
        <v>2707</v>
      </c>
      <c r="AF2624" s="56">
        <v>0</v>
      </c>
    </row>
    <row r="2625" spans="19:32" x14ac:dyDescent="0.35">
      <c r="S2625" s="34">
        <v>2621</v>
      </c>
      <c r="T2625" s="34" t="s">
        <v>4284</v>
      </c>
      <c r="U2625" s="34" t="s">
        <v>3047</v>
      </c>
      <c r="V2625" s="35">
        <v>3.2903225806451614E-5</v>
      </c>
      <c r="W2625" s="13"/>
      <c r="X2625" s="34">
        <v>2621</v>
      </c>
      <c r="Y2625" s="34" t="s">
        <v>2248</v>
      </c>
      <c r="Z2625" s="34" t="s">
        <v>3471</v>
      </c>
      <c r="AA2625" s="35">
        <v>4.0786290322580646E-2</v>
      </c>
      <c r="AB2625" s="13"/>
      <c r="AC2625" s="34">
        <v>2621</v>
      </c>
      <c r="AD2625" s="34" t="s">
        <v>4573</v>
      </c>
      <c r="AE2625" s="34" t="s">
        <v>2608</v>
      </c>
      <c r="AF2625" s="35">
        <v>0.22518145161290323</v>
      </c>
    </row>
    <row r="2626" spans="19:32" x14ac:dyDescent="0.35">
      <c r="S2626" s="34">
        <v>2622</v>
      </c>
      <c r="T2626" s="34" t="s">
        <v>4284</v>
      </c>
      <c r="U2626" s="34" t="s">
        <v>3044</v>
      </c>
      <c r="V2626" s="35">
        <v>3.2423387096774193E-3</v>
      </c>
      <c r="W2626" s="13"/>
      <c r="X2626" s="34">
        <v>2622</v>
      </c>
      <c r="Y2626" s="34" t="s">
        <v>2248</v>
      </c>
      <c r="Z2626" s="34" t="s">
        <v>3896</v>
      </c>
      <c r="AA2626" s="35">
        <v>6.3407258064516136E-4</v>
      </c>
      <c r="AB2626" s="13"/>
      <c r="AC2626" s="34">
        <v>2622</v>
      </c>
      <c r="AD2626" s="34" t="s">
        <v>4573</v>
      </c>
      <c r="AE2626" s="34" t="s">
        <v>2605</v>
      </c>
      <c r="AF2626" s="35">
        <v>2.0530241935483873</v>
      </c>
    </row>
    <row r="2627" spans="19:32" x14ac:dyDescent="0.35">
      <c r="S2627" s="34">
        <v>2623</v>
      </c>
      <c r="T2627" s="34" t="s">
        <v>4284</v>
      </c>
      <c r="U2627" s="34" t="s">
        <v>3041</v>
      </c>
      <c r="V2627" s="35">
        <v>7.1633064516129033E-4</v>
      </c>
      <c r="W2627" s="13"/>
      <c r="X2627" s="34">
        <v>2623</v>
      </c>
      <c r="Y2627" s="34" t="s">
        <v>2248</v>
      </c>
      <c r="Z2627" s="34" t="s">
        <v>3893</v>
      </c>
      <c r="AA2627" s="35">
        <v>8.465725806451614E-5</v>
      </c>
      <c r="AB2627" s="13"/>
      <c r="AC2627" s="34">
        <v>2623</v>
      </c>
      <c r="AD2627" s="34" t="s">
        <v>4573</v>
      </c>
      <c r="AE2627" s="34" t="s">
        <v>2603</v>
      </c>
      <c r="AF2627" s="35">
        <v>12.64717741935484</v>
      </c>
    </row>
    <row r="2628" spans="19:32" x14ac:dyDescent="0.35">
      <c r="S2628" s="34">
        <v>2624</v>
      </c>
      <c r="T2628" s="34" t="s">
        <v>4284</v>
      </c>
      <c r="U2628" s="34" t="s">
        <v>3038</v>
      </c>
      <c r="V2628" s="35">
        <v>7.8487903225806454E-4</v>
      </c>
      <c r="W2628" s="13"/>
      <c r="X2628" s="34">
        <v>2624</v>
      </c>
      <c r="Y2628" s="34" t="s">
        <v>2248</v>
      </c>
      <c r="Z2628" s="34" t="s">
        <v>3469</v>
      </c>
      <c r="AA2628" s="35">
        <v>1.1241935483870968E-4</v>
      </c>
      <c r="AB2628" s="13"/>
      <c r="AC2628" s="34">
        <v>2624</v>
      </c>
      <c r="AD2628" s="34" t="s">
        <v>4573</v>
      </c>
      <c r="AE2628" s="34" t="s">
        <v>2600</v>
      </c>
      <c r="AF2628" s="35">
        <v>0.3355443548387097</v>
      </c>
    </row>
    <row r="2629" spans="19:32" x14ac:dyDescent="0.35">
      <c r="S2629" s="34">
        <v>2625</v>
      </c>
      <c r="T2629" s="34" t="s">
        <v>4284</v>
      </c>
      <c r="U2629" s="34" t="s">
        <v>3036</v>
      </c>
      <c r="V2629" s="35">
        <v>1.6006048387096777E-3</v>
      </c>
      <c r="W2629" s="13"/>
      <c r="X2629" s="34">
        <v>2625</v>
      </c>
      <c r="Y2629" s="34" t="s">
        <v>2248</v>
      </c>
      <c r="Z2629" s="34" t="s">
        <v>3891</v>
      </c>
      <c r="AA2629" s="35">
        <v>2.7762096774193554E-5</v>
      </c>
      <c r="AB2629" s="13"/>
      <c r="AC2629" s="34">
        <v>2625</v>
      </c>
      <c r="AD2629" s="34" t="s">
        <v>4573</v>
      </c>
      <c r="AE2629" s="34" t="s">
        <v>2597</v>
      </c>
      <c r="AF2629" s="35">
        <v>1.5183467741935484E-2</v>
      </c>
    </row>
    <row r="2630" spans="19:32" x14ac:dyDescent="0.35">
      <c r="S2630" s="34">
        <v>2626</v>
      </c>
      <c r="T2630" s="34" t="s">
        <v>4284</v>
      </c>
      <c r="U2630" s="34" t="s">
        <v>3033</v>
      </c>
      <c r="V2630" s="35">
        <v>5.5524193548387097E-4</v>
      </c>
      <c r="W2630" s="13"/>
      <c r="X2630" s="34">
        <v>2626</v>
      </c>
      <c r="Y2630" s="34" t="s">
        <v>2248</v>
      </c>
      <c r="Z2630" s="34" t="s">
        <v>3888</v>
      </c>
      <c r="AA2630" s="35">
        <v>1.5320564516129035E-5</v>
      </c>
      <c r="AB2630" s="13"/>
      <c r="AC2630" s="34">
        <v>2626</v>
      </c>
      <c r="AD2630" s="34" t="s">
        <v>4573</v>
      </c>
      <c r="AE2630" s="34" t="s">
        <v>2594</v>
      </c>
      <c r="AF2630" s="35">
        <v>1.665725806451613E-3</v>
      </c>
    </row>
    <row r="2631" spans="19:32" x14ac:dyDescent="0.35">
      <c r="S2631" s="34">
        <v>2627</v>
      </c>
      <c r="T2631" s="34" t="s">
        <v>4284</v>
      </c>
      <c r="U2631" s="34" t="s">
        <v>3030</v>
      </c>
      <c r="V2631" s="35">
        <v>1.360685483870968E-3</v>
      </c>
      <c r="W2631" s="13"/>
      <c r="X2631" s="34">
        <v>2627</v>
      </c>
      <c r="Y2631" s="34" t="s">
        <v>2248</v>
      </c>
      <c r="Z2631" s="34" t="s">
        <v>4972</v>
      </c>
      <c r="AA2631" s="35">
        <v>1.0899193548387098E-3</v>
      </c>
      <c r="AB2631" s="13"/>
      <c r="AC2631" s="34">
        <v>2627</v>
      </c>
      <c r="AD2631" s="34" t="s">
        <v>4573</v>
      </c>
      <c r="AE2631" s="34" t="s">
        <v>2591</v>
      </c>
      <c r="AF2631" s="35">
        <v>9.2883064516129044E-2</v>
      </c>
    </row>
    <row r="2632" spans="19:32" x14ac:dyDescent="0.35">
      <c r="S2632" s="34">
        <v>2628</v>
      </c>
      <c r="T2632" s="34" t="s">
        <v>4284</v>
      </c>
      <c r="U2632" s="34" t="s">
        <v>3027</v>
      </c>
      <c r="V2632" s="35">
        <v>4.4556451612903225E-3</v>
      </c>
      <c r="W2632" s="13"/>
      <c r="X2632" s="34">
        <v>2628</v>
      </c>
      <c r="Y2632" s="34" t="s">
        <v>2248</v>
      </c>
      <c r="Z2632" s="34" t="s">
        <v>3885</v>
      </c>
      <c r="AA2632" s="35">
        <v>9.8709677419354843E-5</v>
      </c>
      <c r="AB2632" s="13"/>
      <c r="AC2632" s="47">
        <v>2628</v>
      </c>
      <c r="AD2632" s="47" t="s">
        <v>4573</v>
      </c>
      <c r="AE2632" s="47" t="s">
        <v>2705</v>
      </c>
      <c r="AF2632" s="56">
        <v>12.788</v>
      </c>
    </row>
    <row r="2633" spans="19:32" x14ac:dyDescent="0.35">
      <c r="S2633" s="34">
        <v>2629</v>
      </c>
      <c r="T2633" s="34" t="s">
        <v>4284</v>
      </c>
      <c r="U2633" s="34" t="s">
        <v>3024</v>
      </c>
      <c r="V2633" s="35">
        <v>5.4838709677419356E-2</v>
      </c>
      <c r="W2633" s="13"/>
      <c r="X2633" s="34">
        <v>2629</v>
      </c>
      <c r="Y2633" s="34" t="s">
        <v>2248</v>
      </c>
      <c r="Z2633" s="34" t="s">
        <v>3883</v>
      </c>
      <c r="AA2633" s="35">
        <v>9.1512096774193561E-7</v>
      </c>
      <c r="AB2633" s="13"/>
      <c r="AC2633" s="47">
        <v>2629</v>
      </c>
      <c r="AD2633" s="47" t="s">
        <v>4573</v>
      </c>
      <c r="AE2633" s="47" t="s">
        <v>2704</v>
      </c>
      <c r="AF2633" s="56">
        <v>2.7600000000000002</v>
      </c>
    </row>
    <row r="2634" spans="19:32" x14ac:dyDescent="0.35">
      <c r="S2634" s="34">
        <v>2630</v>
      </c>
      <c r="T2634" s="34" t="s">
        <v>4284</v>
      </c>
      <c r="U2634" s="34" t="s">
        <v>3022</v>
      </c>
      <c r="V2634" s="35">
        <v>1.771975806451613E-4</v>
      </c>
      <c r="W2634" s="13"/>
      <c r="X2634" s="34">
        <v>2630</v>
      </c>
      <c r="Y2634" s="34" t="s">
        <v>2248</v>
      </c>
      <c r="Z2634" s="34" t="s">
        <v>3880</v>
      </c>
      <c r="AA2634" s="35">
        <v>5.2439516129032266E-3</v>
      </c>
      <c r="AB2634" s="13"/>
      <c r="AC2634" s="34">
        <v>2630</v>
      </c>
      <c r="AD2634" s="34" t="s">
        <v>4573</v>
      </c>
      <c r="AE2634" s="34" t="s">
        <v>2589</v>
      </c>
      <c r="AF2634" s="35">
        <v>6.1008064516129036E-2</v>
      </c>
    </row>
    <row r="2635" spans="19:32" x14ac:dyDescent="0.35">
      <c r="S2635" s="34">
        <v>2631</v>
      </c>
      <c r="T2635" s="34" t="s">
        <v>4284</v>
      </c>
      <c r="U2635" s="34" t="s">
        <v>3019</v>
      </c>
      <c r="V2635" s="35">
        <v>3.8729838709677421E-6</v>
      </c>
      <c r="W2635" s="13"/>
      <c r="X2635" s="34">
        <v>2631</v>
      </c>
      <c r="Y2635" s="34" t="s">
        <v>2248</v>
      </c>
      <c r="Z2635" s="34" t="s">
        <v>3467</v>
      </c>
      <c r="AA2635" s="35">
        <v>1.6485887096774194</v>
      </c>
      <c r="AB2635" s="13"/>
      <c r="AC2635" s="47">
        <v>2631</v>
      </c>
      <c r="AD2635" s="47" t="s">
        <v>4573</v>
      </c>
      <c r="AE2635" s="47" t="s">
        <v>2702</v>
      </c>
      <c r="AF2635" s="56">
        <v>75.163999999999987</v>
      </c>
    </row>
    <row r="2636" spans="19:32" x14ac:dyDescent="0.35">
      <c r="S2636" s="34">
        <v>2632</v>
      </c>
      <c r="T2636" s="34" t="s">
        <v>4284</v>
      </c>
      <c r="U2636" s="34" t="s">
        <v>3016</v>
      </c>
      <c r="V2636" s="35">
        <v>2.2826612903225808E-4</v>
      </c>
      <c r="W2636" s="13"/>
      <c r="X2636" s="34">
        <v>2632</v>
      </c>
      <c r="Y2636" s="34" t="s">
        <v>2248</v>
      </c>
      <c r="Z2636" s="34" t="s">
        <v>3878</v>
      </c>
      <c r="AA2636" s="35">
        <v>1.9502016129032261E-4</v>
      </c>
      <c r="AB2636" s="13"/>
      <c r="AC2636" s="47">
        <v>2632</v>
      </c>
      <c r="AD2636" s="47" t="s">
        <v>4573</v>
      </c>
      <c r="AE2636" s="47" t="s">
        <v>2701</v>
      </c>
      <c r="AF2636" s="56">
        <v>76.63600000000001</v>
      </c>
    </row>
    <row r="2637" spans="19:32" x14ac:dyDescent="0.35">
      <c r="S2637" s="34">
        <v>2633</v>
      </c>
      <c r="T2637" s="34" t="s">
        <v>4284</v>
      </c>
      <c r="U2637" s="34" t="s">
        <v>3013</v>
      </c>
      <c r="V2637" s="35">
        <v>9.6653225806451627E-3</v>
      </c>
      <c r="W2637" s="13"/>
      <c r="X2637" s="34">
        <v>2633</v>
      </c>
      <c r="Y2637" s="34" t="s">
        <v>2248</v>
      </c>
      <c r="Z2637" s="34" t="s">
        <v>3875</v>
      </c>
      <c r="AA2637" s="35">
        <v>8.6370967741935493E-4</v>
      </c>
      <c r="AB2637" s="13"/>
      <c r="AC2637" s="47">
        <v>2633</v>
      </c>
      <c r="AD2637" s="47" t="s">
        <v>4573</v>
      </c>
      <c r="AE2637" s="47" t="s">
        <v>2699</v>
      </c>
      <c r="AF2637" s="56">
        <v>0</v>
      </c>
    </row>
    <row r="2638" spans="19:32" x14ac:dyDescent="0.35">
      <c r="S2638" s="34">
        <v>2634</v>
      </c>
      <c r="T2638" s="34" t="s">
        <v>4284</v>
      </c>
      <c r="U2638" s="34" t="s">
        <v>3011</v>
      </c>
      <c r="V2638" s="35">
        <v>4.215725806451613E-3</v>
      </c>
      <c r="W2638" s="13"/>
      <c r="X2638" s="34">
        <v>2634</v>
      </c>
      <c r="Y2638" s="34" t="s">
        <v>2248</v>
      </c>
      <c r="Z2638" s="34" t="s">
        <v>3466</v>
      </c>
      <c r="AA2638" s="35">
        <v>2.1215725806451615E-2</v>
      </c>
      <c r="AB2638" s="13"/>
      <c r="AC2638" s="47">
        <v>2634</v>
      </c>
      <c r="AD2638" s="47" t="s">
        <v>4573</v>
      </c>
      <c r="AE2638" s="47" t="s">
        <v>2697</v>
      </c>
      <c r="AF2638" s="56">
        <v>48.76</v>
      </c>
    </row>
    <row r="2639" spans="19:32" x14ac:dyDescent="0.35">
      <c r="S2639" s="34">
        <v>2635</v>
      </c>
      <c r="T2639" s="34" t="s">
        <v>4284</v>
      </c>
      <c r="U2639" s="34" t="s">
        <v>4971</v>
      </c>
      <c r="V2639" s="35">
        <v>4.9354838709677424E-4</v>
      </c>
      <c r="W2639" s="13"/>
      <c r="X2639" s="47">
        <v>2635</v>
      </c>
      <c r="Y2639" s="47" t="s">
        <v>2248</v>
      </c>
      <c r="Z2639" s="47" t="s">
        <v>3059</v>
      </c>
      <c r="AA2639" s="48">
        <v>4.6552E-3</v>
      </c>
      <c r="AB2639" s="13"/>
      <c r="AC2639" s="47">
        <v>2635</v>
      </c>
      <c r="AD2639" s="47" t="s">
        <v>4573</v>
      </c>
      <c r="AE2639" s="47" t="s">
        <v>2696</v>
      </c>
      <c r="AF2639" s="56">
        <v>175.72</v>
      </c>
    </row>
    <row r="2640" spans="19:32" x14ac:dyDescent="0.35">
      <c r="S2640" s="34">
        <v>2636</v>
      </c>
      <c r="T2640" s="34" t="s">
        <v>4284</v>
      </c>
      <c r="U2640" s="34" t="s">
        <v>3005</v>
      </c>
      <c r="V2640" s="35">
        <v>1.3915322580645163E-2</v>
      </c>
      <c r="W2640" s="13"/>
      <c r="X2640" s="34">
        <v>2636</v>
      </c>
      <c r="Y2640" s="34" t="s">
        <v>2248</v>
      </c>
      <c r="Z2640" s="34" t="s">
        <v>3059</v>
      </c>
      <c r="AA2640" s="35">
        <v>4.7983870967741937E-5</v>
      </c>
      <c r="AB2640" s="13"/>
      <c r="AC2640" s="47">
        <v>2636</v>
      </c>
      <c r="AD2640" s="47" t="s">
        <v>4573</v>
      </c>
      <c r="AE2640" s="47" t="s">
        <v>2694</v>
      </c>
      <c r="AF2640" s="56">
        <v>50.6</v>
      </c>
    </row>
    <row r="2641" spans="19:32" x14ac:dyDescent="0.35">
      <c r="S2641" s="34">
        <v>2637</v>
      </c>
      <c r="T2641" s="34" t="s">
        <v>4284</v>
      </c>
      <c r="U2641" s="34" t="s">
        <v>2847</v>
      </c>
      <c r="V2641" s="35">
        <v>2.6973790322580647E-4</v>
      </c>
      <c r="W2641" s="13"/>
      <c r="X2641" s="34">
        <v>2637</v>
      </c>
      <c r="Y2641" s="34" t="s">
        <v>2248</v>
      </c>
      <c r="Z2641" s="34" t="s">
        <v>3464</v>
      </c>
      <c r="AA2641" s="35">
        <v>3.2766129032258067</v>
      </c>
      <c r="AB2641" s="13"/>
      <c r="AC2641" s="47">
        <v>2637</v>
      </c>
      <c r="AD2641" s="47" t="s">
        <v>4573</v>
      </c>
      <c r="AE2641" s="47" t="s">
        <v>2693</v>
      </c>
      <c r="AF2641" s="56">
        <v>12.972000000000001</v>
      </c>
    </row>
    <row r="2642" spans="19:32" x14ac:dyDescent="0.35">
      <c r="S2642" s="47">
        <v>2638</v>
      </c>
      <c r="T2642" s="47" t="s">
        <v>4284</v>
      </c>
      <c r="U2642" s="47" t="s">
        <v>2847</v>
      </c>
      <c r="V2642" s="48">
        <v>0.26679999999999998</v>
      </c>
      <c r="W2642" s="13"/>
      <c r="X2642" s="34">
        <v>2638</v>
      </c>
      <c r="Y2642" s="34" t="s">
        <v>2248</v>
      </c>
      <c r="Z2642" s="34" t="s">
        <v>3873</v>
      </c>
      <c r="AA2642" s="35">
        <v>3.1840725806451614E-4</v>
      </c>
      <c r="AB2642" s="13"/>
      <c r="AC2642" s="34">
        <v>2638</v>
      </c>
      <c r="AD2642" s="34" t="s">
        <v>4573</v>
      </c>
      <c r="AE2642" s="34" t="s">
        <v>2586</v>
      </c>
      <c r="AF2642" s="35">
        <v>1.0453629032258066E-3</v>
      </c>
    </row>
    <row r="2643" spans="19:32" x14ac:dyDescent="0.35">
      <c r="S2643" s="47">
        <v>2639</v>
      </c>
      <c r="T2643" s="47" t="s">
        <v>4284</v>
      </c>
      <c r="U2643" s="47" t="s">
        <v>2845</v>
      </c>
      <c r="V2643" s="48">
        <v>0</v>
      </c>
      <c r="W2643" s="13"/>
      <c r="X2643" s="34">
        <v>2639</v>
      </c>
      <c r="Y2643" s="34" t="s">
        <v>2248</v>
      </c>
      <c r="Z2643" s="34" t="s">
        <v>4970</v>
      </c>
      <c r="AA2643" s="35">
        <v>23.889112903225808</v>
      </c>
      <c r="AB2643" s="13"/>
      <c r="AC2643" s="47">
        <v>2639</v>
      </c>
      <c r="AD2643" s="47" t="s">
        <v>4573</v>
      </c>
      <c r="AE2643" s="47" t="s">
        <v>2586</v>
      </c>
      <c r="AF2643" s="56">
        <v>2235.6</v>
      </c>
    </row>
    <row r="2644" spans="19:32" x14ac:dyDescent="0.35">
      <c r="S2644" s="47">
        <v>2640</v>
      </c>
      <c r="T2644" s="47" t="s">
        <v>4284</v>
      </c>
      <c r="U2644" s="47" t="s">
        <v>2844</v>
      </c>
      <c r="V2644" s="48">
        <v>0</v>
      </c>
      <c r="W2644" s="13"/>
      <c r="X2644" s="34">
        <v>2640</v>
      </c>
      <c r="Y2644" s="34" t="s">
        <v>2248</v>
      </c>
      <c r="Z2644" s="34" t="s">
        <v>3872</v>
      </c>
      <c r="AA2644" s="35">
        <v>3.8729838709677424E-3</v>
      </c>
      <c r="AB2644" s="13"/>
      <c r="AC2644" s="34">
        <v>2640</v>
      </c>
      <c r="AD2644" s="34" t="s">
        <v>4573</v>
      </c>
      <c r="AE2644" s="34" t="s">
        <v>2583</v>
      </c>
      <c r="AF2644" s="35">
        <v>8.6028225806451624E-4</v>
      </c>
    </row>
    <row r="2645" spans="19:32" x14ac:dyDescent="0.35">
      <c r="S2645" s="34">
        <v>2641</v>
      </c>
      <c r="T2645" s="34" t="s">
        <v>4284</v>
      </c>
      <c r="U2645" s="34" t="s">
        <v>3000</v>
      </c>
      <c r="V2645" s="35">
        <v>7.0262096774193543E-5</v>
      </c>
      <c r="W2645" s="13"/>
      <c r="X2645" s="34">
        <v>2641</v>
      </c>
      <c r="Y2645" s="34" t="s">
        <v>2248</v>
      </c>
      <c r="Z2645" s="34" t="s">
        <v>3869</v>
      </c>
      <c r="AA2645" s="35">
        <v>1.1310483870967743E-5</v>
      </c>
      <c r="AB2645" s="13"/>
      <c r="AC2645" s="47">
        <v>2641</v>
      </c>
      <c r="AD2645" s="47" t="s">
        <v>4573</v>
      </c>
      <c r="AE2645" s="47" t="s">
        <v>2583</v>
      </c>
      <c r="AF2645" s="56">
        <v>729.56</v>
      </c>
    </row>
    <row r="2646" spans="19:32" x14ac:dyDescent="0.35">
      <c r="S2646" s="34">
        <v>2642</v>
      </c>
      <c r="T2646" s="34" t="s">
        <v>4284</v>
      </c>
      <c r="U2646" s="34" t="s">
        <v>2998</v>
      </c>
      <c r="V2646" s="35">
        <v>4.3528225806451615E-4</v>
      </c>
      <c r="W2646" s="13"/>
      <c r="X2646" s="34">
        <v>2642</v>
      </c>
      <c r="Y2646" s="34" t="s">
        <v>2248</v>
      </c>
      <c r="Z2646" s="34" t="s">
        <v>3463</v>
      </c>
      <c r="AA2646" s="35">
        <v>1.5080645161290326E-4</v>
      </c>
      <c r="AB2646" s="13"/>
      <c r="AC2646" s="34">
        <v>2642</v>
      </c>
      <c r="AD2646" s="34" t="s">
        <v>4573</v>
      </c>
      <c r="AE2646" s="34" t="s">
        <v>2580</v>
      </c>
      <c r="AF2646" s="35">
        <v>0.11276209677419356</v>
      </c>
    </row>
    <row r="2647" spans="19:32" x14ac:dyDescent="0.35">
      <c r="S2647" s="34">
        <v>2643</v>
      </c>
      <c r="T2647" s="34" t="s">
        <v>4284</v>
      </c>
      <c r="U2647" s="34" t="s">
        <v>2995</v>
      </c>
      <c r="V2647" s="35">
        <v>3.7016129032258068E-4</v>
      </c>
      <c r="W2647" s="13"/>
      <c r="X2647" s="47">
        <v>2643</v>
      </c>
      <c r="Y2647" s="47" t="s">
        <v>2248</v>
      </c>
      <c r="Z2647" s="47" t="s">
        <v>3058</v>
      </c>
      <c r="AA2647" s="48">
        <v>0.33672000000000002</v>
      </c>
      <c r="AB2647" s="13"/>
      <c r="AC2647" s="47">
        <v>2643</v>
      </c>
      <c r="AD2647" s="47" t="s">
        <v>4573</v>
      </c>
      <c r="AE2647" s="47" t="s">
        <v>2580</v>
      </c>
      <c r="AF2647" s="56">
        <v>0.57684000000000002</v>
      </c>
    </row>
    <row r="2648" spans="19:32" x14ac:dyDescent="0.35">
      <c r="S2648" s="34">
        <v>2644</v>
      </c>
      <c r="T2648" s="34" t="s">
        <v>4284</v>
      </c>
      <c r="U2648" s="34" t="s">
        <v>2842</v>
      </c>
      <c r="V2648" s="35">
        <v>0.36330645161290326</v>
      </c>
      <c r="W2648" s="13"/>
      <c r="X2648" s="34">
        <v>2644</v>
      </c>
      <c r="Y2648" s="34" t="s">
        <v>2248</v>
      </c>
      <c r="Z2648" s="34" t="s">
        <v>3868</v>
      </c>
      <c r="AA2648" s="35">
        <v>3.3554435483870971E-6</v>
      </c>
      <c r="AB2648" s="13"/>
      <c r="AC2648" s="47">
        <v>2644</v>
      </c>
      <c r="AD2648" s="47" t="s">
        <v>4573</v>
      </c>
      <c r="AE2648" s="47" t="s">
        <v>2689</v>
      </c>
      <c r="AF2648" s="56">
        <v>290.71999999999997</v>
      </c>
    </row>
    <row r="2649" spans="19:32" x14ac:dyDescent="0.35">
      <c r="S2649" s="47">
        <v>2645</v>
      </c>
      <c r="T2649" s="47" t="s">
        <v>4284</v>
      </c>
      <c r="U2649" s="47" t="s">
        <v>2842</v>
      </c>
      <c r="V2649" s="48">
        <v>9844</v>
      </c>
      <c r="W2649" s="13"/>
      <c r="X2649" s="34">
        <v>2645</v>
      </c>
      <c r="Y2649" s="34" t="s">
        <v>2248</v>
      </c>
      <c r="Z2649" s="34" t="s">
        <v>3867</v>
      </c>
      <c r="AA2649" s="35">
        <v>1.6074596774193549E-3</v>
      </c>
      <c r="AB2649" s="13"/>
      <c r="AC2649" s="47">
        <v>2645</v>
      </c>
      <c r="AD2649" s="47" t="s">
        <v>4573</v>
      </c>
      <c r="AE2649" s="47" t="s">
        <v>2688</v>
      </c>
      <c r="AF2649" s="56">
        <v>0.90527999999999997</v>
      </c>
    </row>
    <row r="2650" spans="19:32" x14ac:dyDescent="0.35">
      <c r="S2650" s="34">
        <v>2646</v>
      </c>
      <c r="T2650" s="34" t="s">
        <v>4284</v>
      </c>
      <c r="U2650" s="34" t="s">
        <v>2990</v>
      </c>
      <c r="V2650" s="35">
        <v>4.1471774193548393E-6</v>
      </c>
      <c r="W2650" s="13"/>
      <c r="X2650" s="34">
        <v>2646</v>
      </c>
      <c r="Y2650" s="34" t="s">
        <v>2248</v>
      </c>
      <c r="Z2650" s="34" t="s">
        <v>4969</v>
      </c>
      <c r="AA2650" s="35">
        <v>15.800403225806454</v>
      </c>
      <c r="AB2650" s="13"/>
      <c r="AC2650" s="47">
        <v>2646</v>
      </c>
      <c r="AD2650" s="47" t="s">
        <v>4573</v>
      </c>
      <c r="AE2650" s="47" t="s">
        <v>2686</v>
      </c>
      <c r="AF2650" s="56">
        <v>272.32</v>
      </c>
    </row>
    <row r="2651" spans="19:32" x14ac:dyDescent="0.35">
      <c r="S2651" s="47">
        <v>2647</v>
      </c>
      <c r="T2651" s="47" t="s">
        <v>4284</v>
      </c>
      <c r="U2651" s="47" t="s">
        <v>2841</v>
      </c>
      <c r="V2651" s="48">
        <v>0</v>
      </c>
      <c r="W2651" s="13"/>
      <c r="X2651" s="47">
        <v>2647</v>
      </c>
      <c r="Y2651" s="47" t="s">
        <v>2248</v>
      </c>
      <c r="Z2651" s="47" t="s">
        <v>3056</v>
      </c>
      <c r="AA2651" s="48">
        <v>7.1943999999999994E-2</v>
      </c>
      <c r="AB2651" s="13"/>
      <c r="AC2651" s="47">
        <v>2647</v>
      </c>
      <c r="AD2651" s="47" t="s">
        <v>4573</v>
      </c>
      <c r="AE2651" s="47" t="s">
        <v>2685</v>
      </c>
      <c r="AF2651" s="56">
        <v>788.44</v>
      </c>
    </row>
    <row r="2652" spans="19:32" x14ac:dyDescent="0.35">
      <c r="S2652" s="47">
        <v>2648</v>
      </c>
      <c r="T2652" s="47" t="s">
        <v>4284</v>
      </c>
      <c r="U2652" s="47" t="s">
        <v>2839</v>
      </c>
      <c r="V2652" s="48">
        <v>2.2079999999999999E-2</v>
      </c>
      <c r="W2652" s="13"/>
      <c r="X2652" s="34">
        <v>2648</v>
      </c>
      <c r="Y2652" s="34" t="s">
        <v>2248</v>
      </c>
      <c r="Z2652" s="34" t="s">
        <v>3056</v>
      </c>
      <c r="AA2652" s="35">
        <v>1.6143145161290324E-5</v>
      </c>
      <c r="AB2652" s="13"/>
      <c r="AC2652" s="47">
        <v>2648</v>
      </c>
      <c r="AD2652" s="47" t="s">
        <v>4573</v>
      </c>
      <c r="AE2652" s="47" t="s">
        <v>2683</v>
      </c>
      <c r="AF2652" s="56">
        <v>43.239999999999995</v>
      </c>
    </row>
    <row r="2653" spans="19:32" x14ac:dyDescent="0.35">
      <c r="S2653" s="34">
        <v>2649</v>
      </c>
      <c r="T2653" s="34" t="s">
        <v>4284</v>
      </c>
      <c r="U2653" s="34" t="s">
        <v>2988</v>
      </c>
      <c r="V2653" s="35">
        <v>1.5663306451612906E-3</v>
      </c>
      <c r="W2653" s="13"/>
      <c r="X2653" s="34">
        <v>2649</v>
      </c>
      <c r="Y2653" s="34" t="s">
        <v>2248</v>
      </c>
      <c r="Z2653" s="34" t="s">
        <v>3461</v>
      </c>
      <c r="AA2653" s="35">
        <v>2.0187500000000001E-2</v>
      </c>
      <c r="AB2653" s="13"/>
      <c r="AC2653" s="47">
        <v>2649</v>
      </c>
      <c r="AD2653" s="47" t="s">
        <v>4573</v>
      </c>
      <c r="AE2653" s="47" t="s">
        <v>2682</v>
      </c>
      <c r="AF2653" s="56">
        <v>8.6847999999999992</v>
      </c>
    </row>
    <row r="2654" spans="19:32" x14ac:dyDescent="0.35">
      <c r="S2654" s="34">
        <v>2650</v>
      </c>
      <c r="T2654" s="34" t="s">
        <v>4284</v>
      </c>
      <c r="U2654" s="34" t="s">
        <v>2985</v>
      </c>
      <c r="V2654" s="35">
        <v>1.6451612903225807E-3</v>
      </c>
      <c r="W2654" s="13"/>
      <c r="X2654" s="47">
        <v>2650</v>
      </c>
      <c r="Y2654" s="47" t="s">
        <v>2248</v>
      </c>
      <c r="Z2654" s="47" t="s">
        <v>3055</v>
      </c>
      <c r="AA2654" s="48">
        <v>0</v>
      </c>
      <c r="AB2654" s="13"/>
      <c r="AC2654" s="47">
        <v>2650</v>
      </c>
      <c r="AD2654" s="47" t="s">
        <v>4573</v>
      </c>
      <c r="AE2654" s="47" t="s">
        <v>2680</v>
      </c>
      <c r="AF2654" s="56">
        <v>221.72</v>
      </c>
    </row>
    <row r="2655" spans="19:32" x14ac:dyDescent="0.35">
      <c r="S2655" s="34">
        <v>2651</v>
      </c>
      <c r="T2655" s="34" t="s">
        <v>4284</v>
      </c>
      <c r="U2655" s="34" t="s">
        <v>2982</v>
      </c>
      <c r="V2655" s="35">
        <v>3.4616935483870971E-3</v>
      </c>
      <c r="W2655" s="13"/>
      <c r="X2655" s="34">
        <v>2651</v>
      </c>
      <c r="Y2655" s="34" t="s">
        <v>2248</v>
      </c>
      <c r="Z2655" s="34" t="s">
        <v>4968</v>
      </c>
      <c r="AA2655" s="35">
        <v>0.19467741935483873</v>
      </c>
      <c r="AB2655" s="13"/>
      <c r="AC2655" s="34">
        <v>2651</v>
      </c>
      <c r="AD2655" s="34" t="s">
        <v>4573</v>
      </c>
      <c r="AE2655" s="34" t="s">
        <v>2578</v>
      </c>
      <c r="AF2655" s="35">
        <v>5.4495967741935488E-3</v>
      </c>
    </row>
    <row r="2656" spans="19:32" x14ac:dyDescent="0.35">
      <c r="S2656" s="34">
        <v>2652</v>
      </c>
      <c r="T2656" s="34" t="s">
        <v>4284</v>
      </c>
      <c r="U2656" s="34" t="s">
        <v>2979</v>
      </c>
      <c r="V2656" s="35">
        <v>1.2064516129032259E-4</v>
      </c>
      <c r="W2656" s="13"/>
      <c r="X2656" s="34">
        <v>2652</v>
      </c>
      <c r="Y2656" s="34" t="s">
        <v>2248</v>
      </c>
      <c r="Z2656" s="34" t="s">
        <v>3862</v>
      </c>
      <c r="AA2656" s="35">
        <v>3.5645161290322585E-5</v>
      </c>
      <c r="AB2656" s="13"/>
      <c r="AC2656" s="47">
        <v>2652</v>
      </c>
      <c r="AD2656" s="47" t="s">
        <v>4573</v>
      </c>
      <c r="AE2656" s="47" t="s">
        <v>2578</v>
      </c>
      <c r="AF2656" s="56">
        <v>442.52</v>
      </c>
    </row>
    <row r="2657" spans="19:32" x14ac:dyDescent="0.35">
      <c r="S2657" s="34">
        <v>2653</v>
      </c>
      <c r="T2657" s="34" t="s">
        <v>4284</v>
      </c>
      <c r="U2657" s="34" t="s">
        <v>2976</v>
      </c>
      <c r="V2657" s="35">
        <v>3.9072580645161292E-4</v>
      </c>
      <c r="W2657" s="13"/>
      <c r="X2657" s="47">
        <v>2653</v>
      </c>
      <c r="Y2657" s="47" t="s">
        <v>2248</v>
      </c>
      <c r="Z2657" s="47" t="s">
        <v>3054</v>
      </c>
      <c r="AA2657" s="48">
        <v>0.11408</v>
      </c>
      <c r="AB2657" s="13"/>
      <c r="AC2657" s="47">
        <v>2653</v>
      </c>
      <c r="AD2657" s="47" t="s">
        <v>4573</v>
      </c>
      <c r="AE2657" s="47" t="s">
        <v>2678</v>
      </c>
      <c r="AF2657" s="56">
        <v>9.0436000000000014</v>
      </c>
    </row>
    <row r="2658" spans="19:32" x14ac:dyDescent="0.35">
      <c r="S2658" s="34">
        <v>2654</v>
      </c>
      <c r="T2658" s="34" t="s">
        <v>4284</v>
      </c>
      <c r="U2658" s="34" t="s">
        <v>2974</v>
      </c>
      <c r="V2658" s="35">
        <v>5.8608870967741943E-2</v>
      </c>
      <c r="W2658" s="13"/>
      <c r="X2658" s="47">
        <v>2654</v>
      </c>
      <c r="Y2658" s="47" t="s">
        <v>2248</v>
      </c>
      <c r="Z2658" s="47" t="s">
        <v>3053</v>
      </c>
      <c r="AA2658" s="48">
        <v>0.34500000000000003</v>
      </c>
      <c r="AB2658" s="13"/>
      <c r="AC2658" s="47">
        <v>2654</v>
      </c>
      <c r="AD2658" s="47" t="s">
        <v>4573</v>
      </c>
      <c r="AE2658" s="47" t="s">
        <v>2676</v>
      </c>
      <c r="AF2658" s="56">
        <v>106.72</v>
      </c>
    </row>
    <row r="2659" spans="19:32" x14ac:dyDescent="0.35">
      <c r="S2659" s="34">
        <v>2655</v>
      </c>
      <c r="T2659" s="34" t="s">
        <v>4284</v>
      </c>
      <c r="U2659" s="34" t="s">
        <v>2971</v>
      </c>
      <c r="V2659" s="35">
        <v>3.225201612903226E-3</v>
      </c>
      <c r="W2659" s="13"/>
      <c r="X2659" s="34">
        <v>2655</v>
      </c>
      <c r="Y2659" s="34" t="s">
        <v>2248</v>
      </c>
      <c r="Z2659" s="34" t="s">
        <v>4967</v>
      </c>
      <c r="AA2659" s="35">
        <v>1.0110887096774195E-3</v>
      </c>
      <c r="AB2659" s="13"/>
      <c r="AC2659" s="47">
        <v>2655</v>
      </c>
      <c r="AD2659" s="47" t="s">
        <v>4573</v>
      </c>
      <c r="AE2659" s="47" t="s">
        <v>2675</v>
      </c>
      <c r="AF2659" s="56">
        <v>15.916</v>
      </c>
    </row>
    <row r="2660" spans="19:32" x14ac:dyDescent="0.35">
      <c r="S2660" s="47">
        <v>2656</v>
      </c>
      <c r="T2660" s="47" t="s">
        <v>4284</v>
      </c>
      <c r="U2660" s="47" t="s">
        <v>2838</v>
      </c>
      <c r="V2660" s="48">
        <v>9.2919999999999998</v>
      </c>
      <c r="W2660" s="13"/>
      <c r="X2660" s="34">
        <v>2656</v>
      </c>
      <c r="Y2660" s="34" t="s">
        <v>2248</v>
      </c>
      <c r="Z2660" s="34" t="s">
        <v>3860</v>
      </c>
      <c r="AA2660" s="35">
        <v>2.4094758064516128E-5</v>
      </c>
      <c r="AB2660" s="13"/>
      <c r="AC2660" s="34">
        <v>2656</v>
      </c>
      <c r="AD2660" s="34" t="s">
        <v>4573</v>
      </c>
      <c r="AE2660" s="34" t="s">
        <v>2575</v>
      </c>
      <c r="AF2660" s="35">
        <v>0.2080443548387097</v>
      </c>
    </row>
    <row r="2661" spans="19:32" x14ac:dyDescent="0.35">
      <c r="S2661" s="34">
        <v>2657</v>
      </c>
      <c r="T2661" s="34" t="s">
        <v>4284</v>
      </c>
      <c r="U2661" s="34" t="s">
        <v>2968</v>
      </c>
      <c r="V2661" s="35">
        <v>1.0590725806451614E-2</v>
      </c>
      <c r="W2661" s="13"/>
      <c r="X2661" s="34">
        <v>2657</v>
      </c>
      <c r="Y2661" s="34" t="s">
        <v>2248</v>
      </c>
      <c r="Z2661" s="34" t="s">
        <v>4966</v>
      </c>
      <c r="AA2661" s="35">
        <v>1.2201612903225809E-3</v>
      </c>
      <c r="AB2661" s="13"/>
      <c r="AC2661" s="34">
        <v>2657</v>
      </c>
      <c r="AD2661" s="34" t="s">
        <v>4573</v>
      </c>
      <c r="AE2661" s="34" t="s">
        <v>2572</v>
      </c>
      <c r="AF2661" s="35">
        <v>3.0709677419354842</v>
      </c>
    </row>
    <row r="2662" spans="19:32" x14ac:dyDescent="0.35">
      <c r="S2662" s="34">
        <v>2658</v>
      </c>
      <c r="T2662" s="34" t="s">
        <v>4284</v>
      </c>
      <c r="U2662" s="34" t="s">
        <v>2965</v>
      </c>
      <c r="V2662" s="35">
        <v>3.3931451612903232E-4</v>
      </c>
      <c r="W2662" s="13"/>
      <c r="X2662" s="47">
        <v>2658</v>
      </c>
      <c r="Y2662" s="47" t="s">
        <v>2248</v>
      </c>
      <c r="Z2662" s="47" t="s">
        <v>3051</v>
      </c>
      <c r="AA2662" s="48">
        <v>0.1472</v>
      </c>
      <c r="AB2662" s="13"/>
      <c r="AC2662" s="34">
        <v>2658</v>
      </c>
      <c r="AD2662" s="34" t="s">
        <v>4573</v>
      </c>
      <c r="AE2662" s="34" t="s">
        <v>2569</v>
      </c>
      <c r="AF2662" s="35">
        <v>10.556451612903226</v>
      </c>
    </row>
    <row r="2663" spans="19:32" x14ac:dyDescent="0.35">
      <c r="S2663" s="34">
        <v>2659</v>
      </c>
      <c r="T2663" s="34" t="s">
        <v>4284</v>
      </c>
      <c r="U2663" s="34" t="s">
        <v>2963</v>
      </c>
      <c r="V2663" s="35">
        <v>4.3185483870967747E-7</v>
      </c>
      <c r="W2663" s="13"/>
      <c r="X2663" s="34">
        <v>2659</v>
      </c>
      <c r="Y2663" s="34" t="s">
        <v>2248</v>
      </c>
      <c r="Z2663" s="34" t="s">
        <v>3051</v>
      </c>
      <c r="AA2663" s="35">
        <v>2.9955645161290325E-4</v>
      </c>
      <c r="AB2663" s="13"/>
      <c r="AC2663" s="34">
        <v>2659</v>
      </c>
      <c r="AD2663" s="34" t="s">
        <v>4573</v>
      </c>
      <c r="AE2663" s="34" t="s">
        <v>2566</v>
      </c>
      <c r="AF2663" s="35">
        <v>0.42500000000000004</v>
      </c>
    </row>
    <row r="2664" spans="19:32" x14ac:dyDescent="0.35">
      <c r="S2664" s="34">
        <v>2660</v>
      </c>
      <c r="T2664" s="34" t="s">
        <v>4284</v>
      </c>
      <c r="U2664" s="34" t="s">
        <v>2960</v>
      </c>
      <c r="V2664" s="35">
        <v>8.122983870967742E-6</v>
      </c>
      <c r="W2664" s="13"/>
      <c r="X2664" s="34">
        <v>2660</v>
      </c>
      <c r="Y2664" s="34" t="s">
        <v>2248</v>
      </c>
      <c r="Z2664" s="34" t="s">
        <v>4965</v>
      </c>
      <c r="AA2664" s="35">
        <v>1.2989919354838711E-2</v>
      </c>
      <c r="AB2664" s="13"/>
      <c r="AC2664" s="34">
        <v>2660</v>
      </c>
      <c r="AD2664" s="34" t="s">
        <v>4573</v>
      </c>
      <c r="AE2664" s="34" t="s">
        <v>2564</v>
      </c>
      <c r="AF2664" s="35">
        <v>1.0008064516129032E-2</v>
      </c>
    </row>
    <row r="2665" spans="19:32" x14ac:dyDescent="0.35">
      <c r="S2665" s="34">
        <v>2661</v>
      </c>
      <c r="T2665" s="34" t="s">
        <v>4284</v>
      </c>
      <c r="U2665" s="34" t="s">
        <v>2957</v>
      </c>
      <c r="V2665" s="35">
        <v>1.7137096774193551E-6</v>
      </c>
      <c r="W2665" s="13"/>
      <c r="X2665" s="34">
        <v>2661</v>
      </c>
      <c r="Y2665" s="34" t="s">
        <v>2248</v>
      </c>
      <c r="Z2665" s="34" t="s">
        <v>3854</v>
      </c>
      <c r="AA2665" s="35">
        <v>1.8439516129032258E-4</v>
      </c>
      <c r="AB2665" s="13"/>
      <c r="AC2665" s="34">
        <v>2661</v>
      </c>
      <c r="AD2665" s="34" t="s">
        <v>4573</v>
      </c>
      <c r="AE2665" s="34" t="s">
        <v>2561</v>
      </c>
      <c r="AF2665" s="35">
        <v>2.4368951612903228E-2</v>
      </c>
    </row>
    <row r="2666" spans="19:32" x14ac:dyDescent="0.35">
      <c r="S2666" s="47">
        <v>2662</v>
      </c>
      <c r="T2666" s="47" t="s">
        <v>4284</v>
      </c>
      <c r="U2666" s="47" t="s">
        <v>2836</v>
      </c>
      <c r="V2666" s="48">
        <v>0</v>
      </c>
      <c r="W2666" s="13"/>
      <c r="X2666" s="47">
        <v>2662</v>
      </c>
      <c r="Y2666" s="47" t="s">
        <v>2248</v>
      </c>
      <c r="Z2666" s="47" t="s">
        <v>3050</v>
      </c>
      <c r="AA2666" s="48">
        <v>6.0995999999999993E-3</v>
      </c>
      <c r="AB2666" s="13"/>
      <c r="AC2666" s="34">
        <v>2662</v>
      </c>
      <c r="AD2666" s="34" t="s">
        <v>4573</v>
      </c>
      <c r="AE2666" s="34" t="s">
        <v>2558</v>
      </c>
      <c r="AF2666" s="35">
        <v>0.54838709677419362</v>
      </c>
    </row>
    <row r="2667" spans="19:32" x14ac:dyDescent="0.35">
      <c r="S2667" s="34">
        <v>2663</v>
      </c>
      <c r="T2667" s="34" t="s">
        <v>4284</v>
      </c>
      <c r="U2667" s="34" t="s">
        <v>2954</v>
      </c>
      <c r="V2667" s="35">
        <v>1.0556451612903226E-2</v>
      </c>
      <c r="W2667" s="13"/>
      <c r="X2667" s="34">
        <v>2663</v>
      </c>
      <c r="Y2667" s="34" t="s">
        <v>2248</v>
      </c>
      <c r="Z2667" s="34" t="s">
        <v>3050</v>
      </c>
      <c r="AA2667" s="35">
        <v>5.8608870967741937E-5</v>
      </c>
      <c r="AB2667" s="13"/>
      <c r="AC2667" s="34">
        <v>2663</v>
      </c>
      <c r="AD2667" s="34" t="s">
        <v>4573</v>
      </c>
      <c r="AE2667" s="34" t="s">
        <v>2555</v>
      </c>
      <c r="AF2667" s="35">
        <v>0.10110887096774195</v>
      </c>
    </row>
    <row r="2668" spans="19:32" x14ac:dyDescent="0.35">
      <c r="S2668" s="34">
        <v>2664</v>
      </c>
      <c r="T2668" s="34" t="s">
        <v>4284</v>
      </c>
      <c r="U2668" s="34" t="s">
        <v>2951</v>
      </c>
      <c r="V2668" s="35">
        <v>9.3225806451612912E-3</v>
      </c>
      <c r="W2668" s="13"/>
      <c r="X2668" s="34">
        <v>2664</v>
      </c>
      <c r="Y2668" s="34" t="s">
        <v>2248</v>
      </c>
      <c r="Z2668" s="34" t="s">
        <v>4964</v>
      </c>
      <c r="AA2668" s="35">
        <v>7.6431451612903236E-3</v>
      </c>
      <c r="AB2668" s="13"/>
      <c r="AC2668" s="47">
        <v>2664</v>
      </c>
      <c r="AD2668" s="47" t="s">
        <v>4573</v>
      </c>
      <c r="AE2668" s="47" t="s">
        <v>2673</v>
      </c>
      <c r="AF2668" s="56">
        <v>0</v>
      </c>
    </row>
    <row r="2669" spans="19:32" x14ac:dyDescent="0.35">
      <c r="S2669" s="30">
        <v>2665</v>
      </c>
      <c r="T2669" s="30" t="s">
        <v>4284</v>
      </c>
      <c r="U2669" s="30" t="s">
        <v>4963</v>
      </c>
      <c r="V2669" s="31">
        <v>3.5380000000000003</v>
      </c>
      <c r="W2669" s="13"/>
      <c r="X2669" s="34">
        <v>2665</v>
      </c>
      <c r="Y2669" s="34" t="s">
        <v>2248</v>
      </c>
      <c r="Z2669" s="34" t="s">
        <v>3847</v>
      </c>
      <c r="AA2669" s="35">
        <v>3.495967741935484E-3</v>
      </c>
      <c r="AB2669" s="13"/>
      <c r="AC2669" s="34">
        <v>2665</v>
      </c>
      <c r="AD2669" s="34" t="s">
        <v>4573</v>
      </c>
      <c r="AE2669" s="34" t="s">
        <v>2553</v>
      </c>
      <c r="AF2669" s="35">
        <v>1.7445564516129033</v>
      </c>
    </row>
    <row r="2670" spans="19:32" x14ac:dyDescent="0.35">
      <c r="S2670" s="36">
        <v>2666</v>
      </c>
      <c r="T2670" s="36" t="s">
        <v>4284</v>
      </c>
      <c r="U2670" s="36" t="s">
        <v>4963</v>
      </c>
      <c r="V2670" s="37">
        <v>5.4034999999999993E-2</v>
      </c>
      <c r="W2670" s="13"/>
      <c r="X2670" s="34">
        <v>2666</v>
      </c>
      <c r="Y2670" s="34" t="s">
        <v>2248</v>
      </c>
      <c r="Z2670" s="34" t="s">
        <v>3458</v>
      </c>
      <c r="AA2670" s="35">
        <v>0.50383064516129039</v>
      </c>
      <c r="AB2670" s="13"/>
      <c r="AC2670" s="47">
        <v>2666</v>
      </c>
      <c r="AD2670" s="47" t="s">
        <v>4573</v>
      </c>
      <c r="AE2670" s="47" t="s">
        <v>2672</v>
      </c>
      <c r="AF2670" s="56">
        <v>0</v>
      </c>
    </row>
    <row r="2671" spans="19:32" x14ac:dyDescent="0.35">
      <c r="S2671" s="47">
        <v>2667</v>
      </c>
      <c r="T2671" s="47" t="s">
        <v>4284</v>
      </c>
      <c r="U2671" s="47" t="s">
        <v>2834</v>
      </c>
      <c r="V2671" s="48">
        <v>0</v>
      </c>
      <c r="W2671" s="13"/>
      <c r="X2671" s="34">
        <v>2667</v>
      </c>
      <c r="Y2671" s="34" t="s">
        <v>2248</v>
      </c>
      <c r="Z2671" s="34" t="s">
        <v>3457</v>
      </c>
      <c r="AA2671" s="35">
        <v>0.27522177419354843</v>
      </c>
      <c r="AB2671" s="13"/>
      <c r="AC2671" s="34">
        <v>2667</v>
      </c>
      <c r="AD2671" s="34" t="s">
        <v>4573</v>
      </c>
      <c r="AE2671" s="34" t="s">
        <v>2550</v>
      </c>
      <c r="AF2671" s="35">
        <v>2.3032258064516133E-3</v>
      </c>
    </row>
    <row r="2672" spans="19:32" x14ac:dyDescent="0.35">
      <c r="S2672" s="30">
        <v>2668</v>
      </c>
      <c r="T2672" s="30" t="s">
        <v>4284</v>
      </c>
      <c r="U2672" s="30" t="s">
        <v>4962</v>
      </c>
      <c r="V2672" s="31">
        <v>614.80000000000007</v>
      </c>
      <c r="W2672" s="13"/>
      <c r="X2672" s="47">
        <v>2668</v>
      </c>
      <c r="Y2672" s="47" t="s">
        <v>2248</v>
      </c>
      <c r="Z2672" s="47" t="s">
        <v>3048</v>
      </c>
      <c r="AA2672" s="48">
        <v>0</v>
      </c>
      <c r="AB2672" s="13"/>
      <c r="AC2672" s="34">
        <v>2668</v>
      </c>
      <c r="AD2672" s="34" t="s">
        <v>4573</v>
      </c>
      <c r="AE2672" s="34" t="s">
        <v>2547</v>
      </c>
      <c r="AF2672" s="35">
        <v>3.3348790322580646</v>
      </c>
    </row>
    <row r="2673" spans="19:32" x14ac:dyDescent="0.35">
      <c r="S2673" s="30">
        <v>2669</v>
      </c>
      <c r="T2673" s="30" t="s">
        <v>4284</v>
      </c>
      <c r="U2673" s="30" t="s">
        <v>4961</v>
      </c>
      <c r="V2673" s="31">
        <v>3.2190000000000003</v>
      </c>
      <c r="W2673" s="13"/>
      <c r="X2673" s="34">
        <v>2669</v>
      </c>
      <c r="Y2673" s="34" t="s">
        <v>2248</v>
      </c>
      <c r="Z2673" s="34" t="s">
        <v>3455</v>
      </c>
      <c r="AA2673" s="35">
        <v>0.73004032258064522</v>
      </c>
      <c r="AB2673" s="13"/>
      <c r="AC2673" s="47">
        <v>2669</v>
      </c>
      <c r="AD2673" s="47" t="s">
        <v>4573</v>
      </c>
      <c r="AE2673" s="47" t="s">
        <v>2547</v>
      </c>
      <c r="AF2673" s="56">
        <v>0</v>
      </c>
    </row>
    <row r="2674" spans="19:32" x14ac:dyDescent="0.35">
      <c r="S2674" s="36">
        <v>2670</v>
      </c>
      <c r="T2674" s="36" t="s">
        <v>4284</v>
      </c>
      <c r="U2674" s="36" t="s">
        <v>4961</v>
      </c>
      <c r="V2674" s="37">
        <v>5.4034999999999993E-2</v>
      </c>
      <c r="W2674" s="13"/>
      <c r="X2674" s="34">
        <v>2670</v>
      </c>
      <c r="Y2674" s="34" t="s">
        <v>2248</v>
      </c>
      <c r="Z2674" s="34" t="s">
        <v>4960</v>
      </c>
      <c r="AA2674" s="35">
        <v>3.9415322580645167E-4</v>
      </c>
      <c r="AB2674" s="13"/>
      <c r="AC2674" s="34">
        <v>2670</v>
      </c>
      <c r="AD2674" s="34" t="s">
        <v>4573</v>
      </c>
      <c r="AE2674" s="34" t="s">
        <v>2544</v>
      </c>
      <c r="AF2674" s="35">
        <v>2.4608870967741937E-2</v>
      </c>
    </row>
    <row r="2675" spans="19:32" x14ac:dyDescent="0.35">
      <c r="S2675" s="34">
        <v>2671</v>
      </c>
      <c r="T2675" s="34" t="s">
        <v>4284</v>
      </c>
      <c r="U2675" s="34" t="s">
        <v>2949</v>
      </c>
      <c r="V2675" s="35">
        <v>1.1413306451612904E-4</v>
      </c>
      <c r="W2675" s="13"/>
      <c r="X2675" s="34">
        <v>2671</v>
      </c>
      <c r="Y2675" s="34" t="s">
        <v>2248</v>
      </c>
      <c r="Z2675" s="34" t="s">
        <v>3841</v>
      </c>
      <c r="AA2675" s="35">
        <v>5.758064516129033E-3</v>
      </c>
      <c r="AB2675" s="13"/>
      <c r="AC2675" s="47">
        <v>2671</v>
      </c>
      <c r="AD2675" s="47" t="s">
        <v>4573</v>
      </c>
      <c r="AE2675" s="47" t="s">
        <v>2544</v>
      </c>
      <c r="AF2675" s="56">
        <v>0</v>
      </c>
    </row>
    <row r="2676" spans="19:32" x14ac:dyDescent="0.35">
      <c r="S2676" s="30">
        <v>2672</v>
      </c>
      <c r="T2676" s="30" t="s">
        <v>4284</v>
      </c>
      <c r="U2676" s="30" t="s">
        <v>2833</v>
      </c>
      <c r="V2676" s="31">
        <v>0.23200000000000001</v>
      </c>
      <c r="W2676" s="13"/>
      <c r="X2676" s="34">
        <v>2672</v>
      </c>
      <c r="Y2676" s="34" t="s">
        <v>2248</v>
      </c>
      <c r="Z2676" s="34" t="s">
        <v>3450</v>
      </c>
      <c r="AA2676" s="35">
        <v>0.11756048387096775</v>
      </c>
      <c r="AB2676" s="13"/>
      <c r="AC2676" s="34">
        <v>2672</v>
      </c>
      <c r="AD2676" s="34" t="s">
        <v>4573</v>
      </c>
      <c r="AE2676" s="34" t="s">
        <v>2541</v>
      </c>
      <c r="AF2676" s="35">
        <v>2.7727822580645163E-2</v>
      </c>
    </row>
    <row r="2677" spans="19:32" x14ac:dyDescent="0.35">
      <c r="S2677" s="34">
        <v>2673</v>
      </c>
      <c r="T2677" s="34" t="s">
        <v>4284</v>
      </c>
      <c r="U2677" s="34" t="s">
        <v>2833</v>
      </c>
      <c r="V2677" s="35">
        <v>3.5987903225806456E-4</v>
      </c>
      <c r="W2677" s="13"/>
      <c r="X2677" s="47">
        <v>2673</v>
      </c>
      <c r="Y2677" s="47" t="s">
        <v>2248</v>
      </c>
      <c r="Z2677" s="47" t="s">
        <v>3046</v>
      </c>
      <c r="AA2677" s="48">
        <v>15.64</v>
      </c>
      <c r="AB2677" s="13"/>
      <c r="AC2677" s="47">
        <v>2673</v>
      </c>
      <c r="AD2677" s="47" t="s">
        <v>4573</v>
      </c>
      <c r="AE2677" s="47" t="s">
        <v>2669</v>
      </c>
      <c r="AF2677" s="56">
        <v>52.531999999999996</v>
      </c>
    </row>
    <row r="2678" spans="19:32" x14ac:dyDescent="0.35">
      <c r="S2678" s="47">
        <v>2674</v>
      </c>
      <c r="T2678" s="47" t="s">
        <v>4284</v>
      </c>
      <c r="U2678" s="47" t="s">
        <v>2833</v>
      </c>
      <c r="V2678" s="48">
        <v>0</v>
      </c>
      <c r="W2678" s="13"/>
      <c r="X2678" s="34">
        <v>2674</v>
      </c>
      <c r="Y2678" s="34" t="s">
        <v>2248</v>
      </c>
      <c r="Z2678" s="34" t="s">
        <v>3046</v>
      </c>
      <c r="AA2678" s="35">
        <v>2.6459677419354839</v>
      </c>
      <c r="AB2678" s="13"/>
      <c r="AC2678" s="34">
        <v>2674</v>
      </c>
      <c r="AD2678" s="34" t="s">
        <v>4573</v>
      </c>
      <c r="AE2678" s="34" t="s">
        <v>2539</v>
      </c>
      <c r="AF2678" s="35">
        <v>1.0967741935483872</v>
      </c>
    </row>
    <row r="2679" spans="19:32" x14ac:dyDescent="0.35">
      <c r="S2679" s="30">
        <v>2675</v>
      </c>
      <c r="T2679" s="30" t="s">
        <v>4284</v>
      </c>
      <c r="U2679" s="30" t="s">
        <v>4959</v>
      </c>
      <c r="V2679" s="31">
        <v>203</v>
      </c>
      <c r="W2679" s="13"/>
      <c r="X2679" s="34">
        <v>2675</v>
      </c>
      <c r="Y2679" s="34" t="s">
        <v>2248</v>
      </c>
      <c r="Z2679" s="34" t="s">
        <v>3837</v>
      </c>
      <c r="AA2679" s="35">
        <v>8.5342741935483871E-3</v>
      </c>
      <c r="AB2679" s="13"/>
      <c r="AC2679" s="34">
        <v>2675</v>
      </c>
      <c r="AD2679" s="34" t="s">
        <v>4573</v>
      </c>
      <c r="AE2679" s="34" t="s">
        <v>2536</v>
      </c>
      <c r="AF2679" s="35">
        <v>1.5114919354838711E-3</v>
      </c>
    </row>
    <row r="2680" spans="19:32" x14ac:dyDescent="0.35">
      <c r="S2680" s="34">
        <v>2676</v>
      </c>
      <c r="T2680" s="34" t="s">
        <v>4284</v>
      </c>
      <c r="U2680" s="34" t="s">
        <v>2831</v>
      </c>
      <c r="V2680" s="35">
        <v>6.580645161290323E-6</v>
      </c>
      <c r="W2680" s="13"/>
      <c r="X2680" s="34">
        <v>2676</v>
      </c>
      <c r="Y2680" s="34" t="s">
        <v>2248</v>
      </c>
      <c r="Z2680" s="34" t="s">
        <v>3448</v>
      </c>
      <c r="AA2680" s="35">
        <v>3.9072580645161295E-2</v>
      </c>
      <c r="AB2680" s="13"/>
      <c r="AC2680" s="47">
        <v>2676</v>
      </c>
      <c r="AD2680" s="47" t="s">
        <v>4573</v>
      </c>
      <c r="AE2680" s="47" t="s">
        <v>2536</v>
      </c>
      <c r="AF2680" s="56">
        <v>3.3672</v>
      </c>
    </row>
    <row r="2681" spans="19:32" x14ac:dyDescent="0.35">
      <c r="S2681" s="47">
        <v>2677</v>
      </c>
      <c r="T2681" s="47" t="s">
        <v>4284</v>
      </c>
      <c r="U2681" s="47" t="s">
        <v>2831</v>
      </c>
      <c r="V2681" s="48">
        <v>1.3248</v>
      </c>
      <c r="W2681" s="13"/>
      <c r="X2681" s="34">
        <v>2677</v>
      </c>
      <c r="Y2681" s="34" t="s">
        <v>2248</v>
      </c>
      <c r="Z2681" s="34" t="s">
        <v>3834</v>
      </c>
      <c r="AA2681" s="35">
        <v>1.5697580645161292E-2</v>
      </c>
      <c r="AB2681" s="13"/>
      <c r="AC2681" s="47">
        <v>2677</v>
      </c>
      <c r="AD2681" s="47" t="s">
        <v>4573</v>
      </c>
      <c r="AE2681" s="47" t="s">
        <v>2667</v>
      </c>
      <c r="AF2681" s="56">
        <v>0</v>
      </c>
    </row>
    <row r="2682" spans="19:32" x14ac:dyDescent="0.35">
      <c r="S2682" s="30">
        <v>2678</v>
      </c>
      <c r="T2682" s="30" t="s">
        <v>4284</v>
      </c>
      <c r="U2682" s="30" t="s">
        <v>4958</v>
      </c>
      <c r="V2682" s="31">
        <v>43.616</v>
      </c>
      <c r="W2682" s="13"/>
      <c r="X2682" s="47">
        <v>2678</v>
      </c>
      <c r="Y2682" s="47" t="s">
        <v>2248</v>
      </c>
      <c r="Z2682" s="47" t="s">
        <v>3045</v>
      </c>
      <c r="AA2682" s="48">
        <v>0.13524</v>
      </c>
      <c r="AB2682" s="13"/>
      <c r="AC2682" s="34">
        <v>2678</v>
      </c>
      <c r="AD2682" s="34" t="s">
        <v>4573</v>
      </c>
      <c r="AE2682" s="34" t="s">
        <v>2533</v>
      </c>
      <c r="AF2682" s="35">
        <v>6.7520161290322589</v>
      </c>
    </row>
    <row r="2683" spans="19:32" x14ac:dyDescent="0.35">
      <c r="S2683" s="30">
        <v>2679</v>
      </c>
      <c r="T2683" s="30" t="s">
        <v>4284</v>
      </c>
      <c r="U2683" s="30" t="s">
        <v>4957</v>
      </c>
      <c r="V2683" s="31">
        <v>729.64</v>
      </c>
      <c r="W2683" s="13"/>
      <c r="X2683" s="34">
        <v>2679</v>
      </c>
      <c r="Y2683" s="34" t="s">
        <v>2248</v>
      </c>
      <c r="Z2683" s="34" t="s">
        <v>4956</v>
      </c>
      <c r="AA2683" s="35">
        <v>8.2600806451612902E-3</v>
      </c>
      <c r="AB2683" s="13"/>
      <c r="AC2683" s="34">
        <v>2679</v>
      </c>
      <c r="AD2683" s="34" t="s">
        <v>4573</v>
      </c>
      <c r="AE2683" s="34" t="s">
        <v>2530</v>
      </c>
      <c r="AF2683" s="35">
        <v>0.13264112903225808</v>
      </c>
    </row>
    <row r="2684" spans="19:32" x14ac:dyDescent="0.35">
      <c r="S2684" s="30">
        <v>2680</v>
      </c>
      <c r="T2684" s="30" t="s">
        <v>4284</v>
      </c>
      <c r="U2684" s="30" t="s">
        <v>2830</v>
      </c>
      <c r="V2684" s="31">
        <v>204.16</v>
      </c>
      <c r="W2684" s="13"/>
      <c r="X2684" s="47">
        <v>2680</v>
      </c>
      <c r="Y2684" s="47" t="s">
        <v>2248</v>
      </c>
      <c r="Z2684" s="47" t="s">
        <v>3043</v>
      </c>
      <c r="AA2684" s="48">
        <v>2.6772</v>
      </c>
      <c r="AB2684" s="13"/>
      <c r="AC2684" s="34">
        <v>2680</v>
      </c>
      <c r="AD2684" s="34" t="s">
        <v>4573</v>
      </c>
      <c r="AE2684" s="34" t="s">
        <v>2528</v>
      </c>
      <c r="AF2684" s="35">
        <v>2.1935483870967745E-2</v>
      </c>
    </row>
    <row r="2685" spans="19:32" x14ac:dyDescent="0.35">
      <c r="S2685" s="47">
        <v>2681</v>
      </c>
      <c r="T2685" s="47" t="s">
        <v>4284</v>
      </c>
      <c r="U2685" s="47" t="s">
        <v>2830</v>
      </c>
      <c r="V2685" s="48">
        <v>0</v>
      </c>
      <c r="W2685" s="13"/>
      <c r="X2685" s="34">
        <v>2681</v>
      </c>
      <c r="Y2685" s="34" t="s">
        <v>2248</v>
      </c>
      <c r="Z2685" s="34" t="s">
        <v>3831</v>
      </c>
      <c r="AA2685" s="35">
        <v>5.3125000000000004E-3</v>
      </c>
      <c r="AB2685" s="13"/>
      <c r="AC2685" s="34">
        <v>2681</v>
      </c>
      <c r="AD2685" s="34" t="s">
        <v>4573</v>
      </c>
      <c r="AE2685" s="34" t="s">
        <v>2525</v>
      </c>
      <c r="AF2685" s="35">
        <v>9.9395161290322595E-3</v>
      </c>
    </row>
    <row r="2686" spans="19:32" x14ac:dyDescent="0.35">
      <c r="S2686" s="47">
        <v>2682</v>
      </c>
      <c r="T2686" s="47" t="s">
        <v>4284</v>
      </c>
      <c r="U2686" s="47" t="s">
        <v>2829</v>
      </c>
      <c r="V2686" s="48">
        <v>1.9412</v>
      </c>
      <c r="W2686" s="13"/>
      <c r="X2686" s="34">
        <v>2682</v>
      </c>
      <c r="Y2686" s="34" t="s">
        <v>2248</v>
      </c>
      <c r="Z2686" s="34" t="s">
        <v>4955</v>
      </c>
      <c r="AA2686" s="35">
        <v>4.6612903225806456E-3</v>
      </c>
      <c r="AB2686" s="13"/>
      <c r="AC2686" s="34">
        <v>2682</v>
      </c>
      <c r="AD2686" s="34" t="s">
        <v>4573</v>
      </c>
      <c r="AE2686" s="34" t="s">
        <v>2522</v>
      </c>
      <c r="AF2686" s="35">
        <v>2.4334677419354842E-2</v>
      </c>
    </row>
    <row r="2687" spans="19:32" x14ac:dyDescent="0.35">
      <c r="S2687" s="30">
        <v>2683</v>
      </c>
      <c r="T2687" s="30" t="s">
        <v>4284</v>
      </c>
      <c r="U2687" s="30" t="s">
        <v>4954</v>
      </c>
      <c r="V2687" s="31">
        <v>1612.4</v>
      </c>
      <c r="W2687" s="13"/>
      <c r="X2687" s="34">
        <v>2683</v>
      </c>
      <c r="Y2687" s="34" t="s">
        <v>2248</v>
      </c>
      <c r="Z2687" s="34" t="s">
        <v>3827</v>
      </c>
      <c r="AA2687" s="35">
        <v>1.8987903225806452E-3</v>
      </c>
      <c r="AB2687" s="13"/>
      <c r="AC2687" s="34">
        <v>2683</v>
      </c>
      <c r="AD2687" s="34" t="s">
        <v>4573</v>
      </c>
      <c r="AE2687" s="34" t="s">
        <v>2519</v>
      </c>
      <c r="AF2687" s="35">
        <v>3.1737903225806455E-2</v>
      </c>
    </row>
    <row r="2688" spans="19:32" x14ac:dyDescent="0.35">
      <c r="S2688" s="30">
        <v>2684</v>
      </c>
      <c r="T2688" s="30" t="s">
        <v>4284</v>
      </c>
      <c r="U2688" s="30" t="s">
        <v>4953</v>
      </c>
      <c r="V2688" s="31">
        <v>0.11600000000000001</v>
      </c>
      <c r="W2688" s="13"/>
      <c r="X2688" s="34">
        <v>2684</v>
      </c>
      <c r="Y2688" s="34" t="s">
        <v>2248</v>
      </c>
      <c r="Z2688" s="34" t="s">
        <v>3824</v>
      </c>
      <c r="AA2688" s="35">
        <v>0.47641129032258067</v>
      </c>
      <c r="AB2688" s="13"/>
      <c r="AC2688" s="34">
        <v>2684</v>
      </c>
      <c r="AD2688" s="34" t="s">
        <v>4573</v>
      </c>
      <c r="AE2688" s="34" t="s">
        <v>2516</v>
      </c>
      <c r="AF2688" s="35">
        <v>0.21764112903225807</v>
      </c>
    </row>
    <row r="2689" spans="19:32" x14ac:dyDescent="0.35">
      <c r="S2689" s="34">
        <v>2685</v>
      </c>
      <c r="T2689" s="34" t="s">
        <v>4284</v>
      </c>
      <c r="U2689" s="34" t="s">
        <v>2828</v>
      </c>
      <c r="V2689" s="35">
        <v>5.1754032258064519E-5</v>
      </c>
      <c r="W2689" s="13"/>
      <c r="X2689" s="34">
        <v>2685</v>
      </c>
      <c r="Y2689" s="34" t="s">
        <v>2248</v>
      </c>
      <c r="Z2689" s="34" t="s">
        <v>3821</v>
      </c>
      <c r="AA2689" s="35">
        <v>3.9072580645161292E-4</v>
      </c>
      <c r="AB2689" s="13"/>
      <c r="AC2689" s="47">
        <v>2685</v>
      </c>
      <c r="AD2689" s="47" t="s">
        <v>4573</v>
      </c>
      <c r="AE2689" s="47" t="s">
        <v>2516</v>
      </c>
      <c r="AF2689" s="56">
        <v>0</v>
      </c>
    </row>
    <row r="2690" spans="19:32" x14ac:dyDescent="0.35">
      <c r="S2690" s="47">
        <v>2686</v>
      </c>
      <c r="T2690" s="47" t="s">
        <v>4284</v>
      </c>
      <c r="U2690" s="47" t="s">
        <v>2828</v>
      </c>
      <c r="V2690" s="48">
        <v>0.36708000000000002</v>
      </c>
      <c r="W2690" s="13"/>
      <c r="X2690" s="34">
        <v>2686</v>
      </c>
      <c r="Y2690" s="34" t="s">
        <v>2248</v>
      </c>
      <c r="Z2690" s="34" t="s">
        <v>4952</v>
      </c>
      <c r="AA2690" s="35">
        <v>4.1814516129032265E-3</v>
      </c>
      <c r="AB2690" s="13"/>
      <c r="AC2690" s="47">
        <v>2686</v>
      </c>
      <c r="AD2690" s="47" t="s">
        <v>4573</v>
      </c>
      <c r="AE2690" s="47" t="s">
        <v>2665</v>
      </c>
      <c r="AF2690" s="56">
        <v>715.76</v>
      </c>
    </row>
    <row r="2691" spans="19:32" x14ac:dyDescent="0.35">
      <c r="S2691" s="30">
        <v>2687</v>
      </c>
      <c r="T2691" s="30" t="s">
        <v>4284</v>
      </c>
      <c r="U2691" s="30" t="s">
        <v>4951</v>
      </c>
      <c r="V2691" s="31">
        <v>26.796000000000003</v>
      </c>
      <c r="W2691" s="13"/>
      <c r="X2691" s="47">
        <v>2687</v>
      </c>
      <c r="Y2691" s="47" t="s">
        <v>2248</v>
      </c>
      <c r="Z2691" s="47" t="s">
        <v>3042</v>
      </c>
      <c r="AA2691" s="48">
        <v>0</v>
      </c>
      <c r="AB2691" s="13"/>
      <c r="AC2691" s="34">
        <v>2687</v>
      </c>
      <c r="AD2691" s="34" t="s">
        <v>4573</v>
      </c>
      <c r="AE2691" s="34" t="s">
        <v>2514</v>
      </c>
      <c r="AF2691" s="35">
        <v>2.0256048387096777E-2</v>
      </c>
    </row>
    <row r="2692" spans="19:32" x14ac:dyDescent="0.35">
      <c r="S2692" s="30">
        <v>2688</v>
      </c>
      <c r="T2692" s="30" t="s">
        <v>4284</v>
      </c>
      <c r="U2692" s="30" t="s">
        <v>2826</v>
      </c>
      <c r="V2692" s="31">
        <v>1.044</v>
      </c>
      <c r="W2692" s="13"/>
      <c r="X2692" s="34">
        <v>2688</v>
      </c>
      <c r="Y2692" s="34" t="s">
        <v>2248</v>
      </c>
      <c r="Z2692" s="34" t="s">
        <v>3042</v>
      </c>
      <c r="AA2692" s="35">
        <v>4.0443548387096781E-3</v>
      </c>
      <c r="AB2692" s="13"/>
      <c r="AC2692" s="34">
        <v>2688</v>
      </c>
      <c r="AD2692" s="34" t="s">
        <v>4573</v>
      </c>
      <c r="AE2692" s="34" t="s">
        <v>2511</v>
      </c>
      <c r="AF2692" s="35">
        <v>1.9159274193548388E-3</v>
      </c>
    </row>
    <row r="2693" spans="19:32" x14ac:dyDescent="0.35">
      <c r="S2693" s="36">
        <v>2689</v>
      </c>
      <c r="T2693" s="36" t="s">
        <v>4284</v>
      </c>
      <c r="U2693" s="58" t="s">
        <v>2826</v>
      </c>
      <c r="V2693" s="59">
        <v>0.61524999999999996</v>
      </c>
      <c r="W2693" s="13"/>
      <c r="X2693" s="34">
        <v>2689</v>
      </c>
      <c r="Y2693" s="34" t="s">
        <v>2248</v>
      </c>
      <c r="Z2693" s="34" t="s">
        <v>4950</v>
      </c>
      <c r="AA2693" s="35">
        <v>1.9913306451612906E-3</v>
      </c>
      <c r="AB2693" s="13"/>
      <c r="AC2693" s="34">
        <v>2689</v>
      </c>
      <c r="AD2693" s="34" t="s">
        <v>4573</v>
      </c>
      <c r="AE2693" s="34" t="s">
        <v>2508</v>
      </c>
      <c r="AF2693" s="35">
        <v>2.0153225806451613E-5</v>
      </c>
    </row>
    <row r="2694" spans="19:32" x14ac:dyDescent="0.35">
      <c r="S2694" s="34">
        <v>2690</v>
      </c>
      <c r="T2694" s="34" t="s">
        <v>4284</v>
      </c>
      <c r="U2694" s="34" t="s">
        <v>2826</v>
      </c>
      <c r="V2694" s="35">
        <v>2.8481854838709676E-6</v>
      </c>
      <c r="W2694" s="13"/>
      <c r="X2694" s="34">
        <v>2690</v>
      </c>
      <c r="Y2694" s="34" t="s">
        <v>2248</v>
      </c>
      <c r="Z2694" s="34" t="s">
        <v>3815</v>
      </c>
      <c r="AA2694" s="35">
        <v>1.984475806451613E-4</v>
      </c>
      <c r="AB2694" s="13"/>
      <c r="AC2694" s="47">
        <v>2690</v>
      </c>
      <c r="AD2694" s="47" t="s">
        <v>4573</v>
      </c>
      <c r="AE2694" s="47" t="s">
        <v>2663</v>
      </c>
      <c r="AF2694" s="56">
        <v>0</v>
      </c>
    </row>
    <row r="2695" spans="19:32" x14ac:dyDescent="0.35">
      <c r="S2695" s="47">
        <v>2691</v>
      </c>
      <c r="T2695" s="47" t="s">
        <v>4284</v>
      </c>
      <c r="U2695" s="47" t="s">
        <v>2826</v>
      </c>
      <c r="V2695" s="48">
        <v>5.1519999999999996E-2</v>
      </c>
      <c r="W2695" s="13"/>
      <c r="X2695" s="34">
        <v>2691</v>
      </c>
      <c r="Y2695" s="34" t="s">
        <v>2248</v>
      </c>
      <c r="Z2695" s="34" t="s">
        <v>3811</v>
      </c>
      <c r="AA2695" s="35">
        <v>2.4608870967741936E-4</v>
      </c>
      <c r="AB2695" s="13"/>
      <c r="AC2695" s="34">
        <v>2691</v>
      </c>
      <c r="AD2695" s="34" t="s">
        <v>4573</v>
      </c>
      <c r="AE2695" s="34" t="s">
        <v>2505</v>
      </c>
      <c r="AF2695" s="35">
        <v>2.964717741935484E-6</v>
      </c>
    </row>
    <row r="2696" spans="19:32" x14ac:dyDescent="0.35">
      <c r="S2696" s="30">
        <v>2692</v>
      </c>
      <c r="T2696" s="30" t="s">
        <v>4284</v>
      </c>
      <c r="U2696" s="30" t="s">
        <v>2825</v>
      </c>
      <c r="V2696" s="31">
        <v>1183.2</v>
      </c>
      <c r="W2696" s="13"/>
      <c r="X2696" s="34">
        <v>2692</v>
      </c>
      <c r="Y2696" s="34" t="s">
        <v>2248</v>
      </c>
      <c r="Z2696" s="34" t="s">
        <v>4949</v>
      </c>
      <c r="AA2696" s="35">
        <v>7.6431451612903236E-3</v>
      </c>
      <c r="AB2696" s="13"/>
      <c r="AC2696" s="34">
        <v>2692</v>
      </c>
      <c r="AD2696" s="34" t="s">
        <v>4573</v>
      </c>
      <c r="AE2696" s="34" t="s">
        <v>2503</v>
      </c>
      <c r="AF2696" s="35">
        <v>0.24745967741935485</v>
      </c>
    </row>
    <row r="2697" spans="19:32" x14ac:dyDescent="0.35">
      <c r="S2697" s="47">
        <v>2693</v>
      </c>
      <c r="T2697" s="47" t="s">
        <v>4284</v>
      </c>
      <c r="U2697" s="47" t="s">
        <v>2825</v>
      </c>
      <c r="V2697" s="48">
        <v>0</v>
      </c>
      <c r="W2697" s="13"/>
      <c r="X2697" s="47">
        <v>2693</v>
      </c>
      <c r="Y2697" s="47" t="s">
        <v>2248</v>
      </c>
      <c r="Z2697" s="47" t="s">
        <v>3040</v>
      </c>
      <c r="AA2697" s="48">
        <v>0</v>
      </c>
      <c r="AB2697" s="13"/>
      <c r="AC2697" s="34">
        <v>2693</v>
      </c>
      <c r="AD2697" s="34" t="s">
        <v>4573</v>
      </c>
      <c r="AE2697" s="34" t="s">
        <v>2500</v>
      </c>
      <c r="AF2697" s="35">
        <v>3.1395161290322582E-3</v>
      </c>
    </row>
    <row r="2698" spans="19:32" x14ac:dyDescent="0.35">
      <c r="S2698" s="30">
        <v>2694</v>
      </c>
      <c r="T2698" s="30" t="s">
        <v>4284</v>
      </c>
      <c r="U2698" s="30" t="s">
        <v>4948</v>
      </c>
      <c r="V2698" s="31">
        <v>17.167999999999999</v>
      </c>
      <c r="W2698" s="13"/>
      <c r="X2698" s="34">
        <v>2694</v>
      </c>
      <c r="Y2698" s="34" t="s">
        <v>2248</v>
      </c>
      <c r="Z2698" s="34" t="s">
        <v>3809</v>
      </c>
      <c r="AA2698" s="35">
        <v>3.0161290322580648E-5</v>
      </c>
      <c r="AB2698" s="13"/>
      <c r="AC2698" s="34">
        <v>2694</v>
      </c>
      <c r="AD2698" s="34" t="s">
        <v>4573</v>
      </c>
      <c r="AE2698" s="34" t="s">
        <v>2497</v>
      </c>
      <c r="AF2698" s="35">
        <v>18.405241935483872</v>
      </c>
    </row>
    <row r="2699" spans="19:32" x14ac:dyDescent="0.35">
      <c r="S2699" s="30">
        <v>2695</v>
      </c>
      <c r="T2699" s="30" t="s">
        <v>4284</v>
      </c>
      <c r="U2699" s="30" t="s">
        <v>4947</v>
      </c>
      <c r="V2699" s="31">
        <v>71.572000000000003</v>
      </c>
      <c r="W2699" s="13"/>
      <c r="X2699" s="34">
        <v>2695</v>
      </c>
      <c r="Y2699" s="34" t="s">
        <v>2248</v>
      </c>
      <c r="Z2699" s="34" t="s">
        <v>4946</v>
      </c>
      <c r="AA2699" s="35">
        <v>1.038508064516129E-2</v>
      </c>
      <c r="AB2699" s="13"/>
      <c r="AC2699" s="34">
        <v>2695</v>
      </c>
      <c r="AD2699" s="34" t="s">
        <v>4573</v>
      </c>
      <c r="AE2699" s="34" t="s">
        <v>2494</v>
      </c>
      <c r="AF2699" s="35">
        <v>2.5260080645161291E-3</v>
      </c>
    </row>
    <row r="2700" spans="19:32" x14ac:dyDescent="0.35">
      <c r="S2700" s="30">
        <v>2696</v>
      </c>
      <c r="T2700" s="30" t="s">
        <v>4284</v>
      </c>
      <c r="U2700" s="30" t="s">
        <v>4945</v>
      </c>
      <c r="V2700" s="31">
        <v>16.704000000000001</v>
      </c>
      <c r="W2700" s="13"/>
      <c r="X2700" s="47">
        <v>2696</v>
      </c>
      <c r="Y2700" s="47" t="s">
        <v>2248</v>
      </c>
      <c r="Z2700" s="47" t="s">
        <v>3039</v>
      </c>
      <c r="AA2700" s="48">
        <v>7.5807999999999995E-3</v>
      </c>
      <c r="AB2700" s="13"/>
      <c r="AC2700" s="34">
        <v>2696</v>
      </c>
      <c r="AD2700" s="34" t="s">
        <v>4573</v>
      </c>
      <c r="AE2700" s="34" t="s">
        <v>2491</v>
      </c>
      <c r="AF2700" s="35">
        <v>4.8326612903225812E-2</v>
      </c>
    </row>
    <row r="2701" spans="19:32" x14ac:dyDescent="0.35">
      <c r="S2701" s="30">
        <v>2697</v>
      </c>
      <c r="T2701" s="30" t="s">
        <v>4284</v>
      </c>
      <c r="U2701" s="30" t="s">
        <v>4944</v>
      </c>
      <c r="V2701" s="31">
        <v>78.532000000000011</v>
      </c>
      <c r="W2701" s="13"/>
      <c r="X2701" s="34">
        <v>2697</v>
      </c>
      <c r="Y2701" s="34" t="s">
        <v>2248</v>
      </c>
      <c r="Z2701" s="34" t="s">
        <v>3039</v>
      </c>
      <c r="AA2701" s="35">
        <v>2.0084677419354839E-3</v>
      </c>
      <c r="AB2701" s="13"/>
      <c r="AC2701" s="34">
        <v>2697</v>
      </c>
      <c r="AD2701" s="34" t="s">
        <v>4573</v>
      </c>
      <c r="AE2701" s="34" t="s">
        <v>2489</v>
      </c>
      <c r="AF2701" s="35">
        <v>2.5054435483870966E-3</v>
      </c>
    </row>
    <row r="2702" spans="19:32" x14ac:dyDescent="0.35">
      <c r="S2702" s="36">
        <v>2698</v>
      </c>
      <c r="T2702" s="36" t="s">
        <v>4284</v>
      </c>
      <c r="U2702" s="36" t="s">
        <v>2939</v>
      </c>
      <c r="V2702" s="37">
        <v>1.4819500000000001</v>
      </c>
      <c r="W2702" s="13"/>
      <c r="X2702" s="34">
        <v>2698</v>
      </c>
      <c r="Y2702" s="34" t="s">
        <v>2248</v>
      </c>
      <c r="Z2702" s="34" t="s">
        <v>3804</v>
      </c>
      <c r="AA2702" s="35">
        <v>8.5000000000000006E-5</v>
      </c>
      <c r="AB2702" s="13"/>
      <c r="AC2702" s="34">
        <v>2698</v>
      </c>
      <c r="AD2702" s="34" t="s">
        <v>4573</v>
      </c>
      <c r="AE2702" s="34" t="s">
        <v>2486</v>
      </c>
      <c r="AF2702" s="35">
        <v>4.3870967741935489E-4</v>
      </c>
    </row>
    <row r="2703" spans="19:32" x14ac:dyDescent="0.35">
      <c r="S2703" s="34">
        <v>2699</v>
      </c>
      <c r="T2703" s="34" t="s">
        <v>4284</v>
      </c>
      <c r="U2703" s="34" t="s">
        <v>2939</v>
      </c>
      <c r="V2703" s="35">
        <v>1.5457661290322582E-7</v>
      </c>
      <c r="W2703" s="13"/>
      <c r="X2703" s="34">
        <v>2699</v>
      </c>
      <c r="Y2703" s="34" t="s">
        <v>2248</v>
      </c>
      <c r="Z2703" s="34" t="s">
        <v>4943</v>
      </c>
      <c r="AA2703" s="35">
        <v>0.88084677419354851</v>
      </c>
      <c r="AB2703" s="13"/>
      <c r="AC2703" s="34">
        <v>2699</v>
      </c>
      <c r="AD2703" s="34" t="s">
        <v>4573</v>
      </c>
      <c r="AE2703" s="34" t="s">
        <v>2483</v>
      </c>
      <c r="AF2703" s="35">
        <v>1.7102822580645164E-2</v>
      </c>
    </row>
    <row r="2704" spans="19:32" x14ac:dyDescent="0.35">
      <c r="S2704" s="30">
        <v>2700</v>
      </c>
      <c r="T2704" s="30" t="s">
        <v>4284</v>
      </c>
      <c r="U2704" s="30" t="s">
        <v>4942</v>
      </c>
      <c r="V2704" s="31">
        <v>15.08</v>
      </c>
      <c r="W2704" s="13"/>
      <c r="X2704" s="34">
        <v>2700</v>
      </c>
      <c r="Y2704" s="34" t="s">
        <v>2248</v>
      </c>
      <c r="Z2704" s="34" t="s">
        <v>3800</v>
      </c>
      <c r="AA2704" s="35">
        <v>4.3185483870967746E-4</v>
      </c>
      <c r="AB2704" s="13"/>
      <c r="AC2704" s="34">
        <v>2700</v>
      </c>
      <c r="AD2704" s="34" t="s">
        <v>4573</v>
      </c>
      <c r="AE2704" s="34" t="s">
        <v>2480</v>
      </c>
      <c r="AF2704" s="35">
        <v>8.3286290322580649E-3</v>
      </c>
    </row>
    <row r="2705" spans="19:32" x14ac:dyDescent="0.35">
      <c r="S2705" s="30">
        <v>2701</v>
      </c>
      <c r="T2705" s="30" t="s">
        <v>4284</v>
      </c>
      <c r="U2705" s="30" t="s">
        <v>4941</v>
      </c>
      <c r="V2705" s="31">
        <v>1.508</v>
      </c>
      <c r="W2705" s="13"/>
      <c r="X2705" s="47">
        <v>2701</v>
      </c>
      <c r="Y2705" s="47" t="s">
        <v>2248</v>
      </c>
      <c r="Z2705" s="47" t="s">
        <v>3037</v>
      </c>
      <c r="AA2705" s="48">
        <v>0</v>
      </c>
      <c r="AB2705" s="13"/>
      <c r="AC2705" s="34">
        <v>2701</v>
      </c>
      <c r="AD2705" s="34" t="s">
        <v>4573</v>
      </c>
      <c r="AE2705" s="34" t="s">
        <v>2478</v>
      </c>
      <c r="AF2705" s="35">
        <v>2.1695564516129036</v>
      </c>
    </row>
    <row r="2706" spans="19:32" x14ac:dyDescent="0.35">
      <c r="S2706" s="30">
        <v>2702</v>
      </c>
      <c r="T2706" s="30" t="s">
        <v>4284</v>
      </c>
      <c r="U2706" s="30" t="s">
        <v>4940</v>
      </c>
      <c r="V2706" s="31">
        <v>13.456000000000001</v>
      </c>
      <c r="W2706" s="13"/>
      <c r="X2706" s="34">
        <v>2702</v>
      </c>
      <c r="Y2706" s="34" t="s">
        <v>2248</v>
      </c>
      <c r="Z2706" s="34" t="s">
        <v>3446</v>
      </c>
      <c r="AA2706" s="35">
        <v>0.24094758064516131</v>
      </c>
      <c r="AB2706" s="13"/>
      <c r="AC2706" s="34">
        <v>2702</v>
      </c>
      <c r="AD2706" s="34" t="s">
        <v>4573</v>
      </c>
      <c r="AE2706" s="34" t="s">
        <v>2475</v>
      </c>
      <c r="AF2706" s="35">
        <v>5.1411290322580648E-2</v>
      </c>
    </row>
    <row r="2707" spans="19:32" x14ac:dyDescent="0.35">
      <c r="S2707" s="30">
        <v>2703</v>
      </c>
      <c r="T2707" s="30" t="s">
        <v>4284</v>
      </c>
      <c r="U2707" s="30" t="s">
        <v>4939</v>
      </c>
      <c r="V2707" s="31">
        <v>3.5380000000000003</v>
      </c>
      <c r="W2707" s="13"/>
      <c r="X2707" s="34">
        <v>2703</v>
      </c>
      <c r="Y2707" s="34" t="s">
        <v>2248</v>
      </c>
      <c r="Z2707" s="34" t="s">
        <v>3797</v>
      </c>
      <c r="AA2707" s="35">
        <v>1.9947580645161292E-2</v>
      </c>
      <c r="AB2707" s="13"/>
      <c r="AC2707" s="34">
        <v>2703</v>
      </c>
      <c r="AD2707" s="34" t="s">
        <v>4573</v>
      </c>
      <c r="AE2707" s="34" t="s">
        <v>2472</v>
      </c>
      <c r="AF2707" s="35">
        <v>4.5927419354838709E-3</v>
      </c>
    </row>
    <row r="2708" spans="19:32" x14ac:dyDescent="0.35">
      <c r="S2708" s="36">
        <v>2704</v>
      </c>
      <c r="T2708" s="36" t="s">
        <v>4284</v>
      </c>
      <c r="U2708" s="58" t="s">
        <v>4939</v>
      </c>
      <c r="V2708" s="59">
        <v>5.4034999999999993E-2</v>
      </c>
      <c r="W2708" s="13"/>
      <c r="X2708" s="34">
        <v>2704</v>
      </c>
      <c r="Y2708" s="34" t="s">
        <v>2248</v>
      </c>
      <c r="Z2708" s="34" t="s">
        <v>3795</v>
      </c>
      <c r="AA2708" s="35">
        <v>6.3064516129032259E-6</v>
      </c>
      <c r="AB2708" s="13"/>
      <c r="AC2708" s="47">
        <v>2704</v>
      </c>
      <c r="AD2708" s="47" t="s">
        <v>4573</v>
      </c>
      <c r="AE2708" s="47" t="s">
        <v>2662</v>
      </c>
      <c r="AF2708" s="56">
        <v>0.29899999999999999</v>
      </c>
    </row>
    <row r="2709" spans="19:32" x14ac:dyDescent="0.35">
      <c r="S2709" s="30">
        <v>2705</v>
      </c>
      <c r="T2709" s="30" t="s">
        <v>4284</v>
      </c>
      <c r="U2709" s="30" t="s">
        <v>4938</v>
      </c>
      <c r="V2709" s="31">
        <v>3.5380000000000003</v>
      </c>
      <c r="W2709" s="13"/>
      <c r="X2709" s="34">
        <v>2705</v>
      </c>
      <c r="Y2709" s="34" t="s">
        <v>2248</v>
      </c>
      <c r="Z2709" s="34" t="s">
        <v>3790</v>
      </c>
      <c r="AA2709" s="35">
        <v>2.7864919354838712E-4</v>
      </c>
      <c r="AB2709" s="13"/>
      <c r="AC2709" s="34">
        <v>2705</v>
      </c>
      <c r="AD2709" s="34" t="s">
        <v>4573</v>
      </c>
      <c r="AE2709" s="34" t="s">
        <v>2469</v>
      </c>
      <c r="AF2709" s="35">
        <v>179.59677419354841</v>
      </c>
    </row>
    <row r="2710" spans="19:32" x14ac:dyDescent="0.35">
      <c r="S2710" s="58">
        <v>2706</v>
      </c>
      <c r="T2710" s="58" t="s">
        <v>4284</v>
      </c>
      <c r="U2710" s="36" t="s">
        <v>4938</v>
      </c>
      <c r="V2710" s="37">
        <v>5.4034999999999993E-2</v>
      </c>
      <c r="W2710" s="13"/>
      <c r="X2710" s="34">
        <v>2706</v>
      </c>
      <c r="Y2710" s="34" t="s">
        <v>2248</v>
      </c>
      <c r="Z2710" s="34" t="s">
        <v>4937</v>
      </c>
      <c r="AA2710" s="35">
        <v>1.4840725806451613E-4</v>
      </c>
      <c r="AB2710" s="13"/>
      <c r="AC2710" s="34">
        <v>2706</v>
      </c>
      <c r="AD2710" s="34" t="s">
        <v>4573</v>
      </c>
      <c r="AE2710" s="34" t="s">
        <v>2466</v>
      </c>
      <c r="AF2710" s="35">
        <v>2.1729838709677422E-2</v>
      </c>
    </row>
    <row r="2711" spans="19:32" x14ac:dyDescent="0.35">
      <c r="S2711" s="30">
        <v>2707</v>
      </c>
      <c r="T2711" s="30" t="s">
        <v>4284</v>
      </c>
      <c r="U2711" s="30" t="s">
        <v>2936</v>
      </c>
      <c r="V2711" s="31">
        <v>1.3920000000000001</v>
      </c>
      <c r="W2711" s="13"/>
      <c r="X2711" s="34">
        <v>2707</v>
      </c>
      <c r="Y2711" s="34" t="s">
        <v>2248</v>
      </c>
      <c r="Z2711" s="34" t="s">
        <v>3787</v>
      </c>
      <c r="AA2711" s="35">
        <v>3.2903225806451615E-2</v>
      </c>
      <c r="AB2711" s="13"/>
      <c r="AC2711" s="34">
        <v>2707</v>
      </c>
      <c r="AD2711" s="34" t="s">
        <v>4573</v>
      </c>
      <c r="AE2711" s="34" t="s">
        <v>2464</v>
      </c>
      <c r="AF2711" s="35">
        <v>8.1229838709677427E-3</v>
      </c>
    </row>
    <row r="2712" spans="19:32" x14ac:dyDescent="0.35">
      <c r="S2712" s="58">
        <v>2708</v>
      </c>
      <c r="T2712" s="58" t="s">
        <v>4284</v>
      </c>
      <c r="U2712" s="58" t="s">
        <v>2936</v>
      </c>
      <c r="V2712" s="59">
        <v>4.5207499999999991E-2</v>
      </c>
      <c r="W2712" s="13"/>
      <c r="X2712" s="34">
        <v>2708</v>
      </c>
      <c r="Y2712" s="34" t="s">
        <v>2248</v>
      </c>
      <c r="Z2712" s="34" t="s">
        <v>3784</v>
      </c>
      <c r="AA2712" s="35">
        <v>2.0975806451612906E-4</v>
      </c>
      <c r="AB2712" s="13"/>
      <c r="AC2712" s="34">
        <v>2708</v>
      </c>
      <c r="AD2712" s="34" t="s">
        <v>4573</v>
      </c>
      <c r="AE2712" s="34" t="s">
        <v>2461</v>
      </c>
      <c r="AF2712" s="35">
        <v>1.9776209677419356E-2</v>
      </c>
    </row>
    <row r="2713" spans="19:32" x14ac:dyDescent="0.35">
      <c r="S2713" s="34">
        <v>2709</v>
      </c>
      <c r="T2713" s="34" t="s">
        <v>4284</v>
      </c>
      <c r="U2713" s="34" t="s">
        <v>2936</v>
      </c>
      <c r="V2713" s="35">
        <v>1.9502016129032259E-6</v>
      </c>
      <c r="W2713" s="13"/>
      <c r="X2713" s="34">
        <v>2709</v>
      </c>
      <c r="Y2713" s="34" t="s">
        <v>2248</v>
      </c>
      <c r="Z2713" s="34" t="s">
        <v>3444</v>
      </c>
      <c r="AA2713" s="35">
        <v>6.4435483870967751E-3</v>
      </c>
      <c r="AB2713" s="13"/>
      <c r="AC2713" s="34">
        <v>2709</v>
      </c>
      <c r="AD2713" s="34" t="s">
        <v>4573</v>
      </c>
      <c r="AE2713" s="34" t="s">
        <v>2458</v>
      </c>
      <c r="AF2713" s="35">
        <v>1.5080645161290323E-2</v>
      </c>
    </row>
    <row r="2714" spans="19:32" x14ac:dyDescent="0.35">
      <c r="S2714" s="34">
        <v>2710</v>
      </c>
      <c r="T2714" s="34" t="s">
        <v>4284</v>
      </c>
      <c r="U2714" s="34" t="s">
        <v>2933</v>
      </c>
      <c r="V2714" s="35">
        <v>0.27830645161290324</v>
      </c>
      <c r="W2714" s="13"/>
      <c r="X2714" s="34">
        <v>2710</v>
      </c>
      <c r="Y2714" s="34" t="s">
        <v>2248</v>
      </c>
      <c r="Z2714" s="34" t="s">
        <v>3781</v>
      </c>
      <c r="AA2714" s="35">
        <v>0.39072580645161292</v>
      </c>
      <c r="AB2714" s="13"/>
      <c r="AC2714" s="34">
        <v>2710</v>
      </c>
      <c r="AD2714" s="34" t="s">
        <v>4573</v>
      </c>
      <c r="AE2714" s="34" t="s">
        <v>2455</v>
      </c>
      <c r="AF2714" s="35">
        <v>7.0947580645161296E-2</v>
      </c>
    </row>
    <row r="2715" spans="19:32" x14ac:dyDescent="0.35">
      <c r="S2715" s="30">
        <v>2711</v>
      </c>
      <c r="T2715" s="30" t="s">
        <v>4284</v>
      </c>
      <c r="U2715" s="30" t="s">
        <v>2823</v>
      </c>
      <c r="V2715" s="31">
        <v>200.68</v>
      </c>
      <c r="W2715" s="13"/>
      <c r="X2715" s="47">
        <v>2711</v>
      </c>
      <c r="Y2715" s="47" t="s">
        <v>2248</v>
      </c>
      <c r="Z2715" s="47" t="s">
        <v>3035</v>
      </c>
      <c r="AA2715" s="48">
        <v>22.263999999999999</v>
      </c>
      <c r="AB2715" s="13"/>
      <c r="AC2715" s="34">
        <v>2711</v>
      </c>
      <c r="AD2715" s="34" t="s">
        <v>4573</v>
      </c>
      <c r="AE2715" s="34" t="s">
        <v>2452</v>
      </c>
      <c r="AF2715" s="35">
        <v>5.5181451612903226E-3</v>
      </c>
    </row>
    <row r="2716" spans="19:32" x14ac:dyDescent="0.35">
      <c r="S2716" s="34">
        <v>2712</v>
      </c>
      <c r="T2716" s="34" t="s">
        <v>4284</v>
      </c>
      <c r="U2716" s="34" t="s">
        <v>2823</v>
      </c>
      <c r="V2716" s="35">
        <v>1.4977822580645163E-6</v>
      </c>
      <c r="W2716" s="13"/>
      <c r="X2716" s="34">
        <v>2712</v>
      </c>
      <c r="Y2716" s="34" t="s">
        <v>2248</v>
      </c>
      <c r="Z2716" s="34" t="s">
        <v>4936</v>
      </c>
      <c r="AA2716" s="35">
        <v>1.1310483870967742E-2</v>
      </c>
      <c r="AB2716" s="13"/>
      <c r="AC2716" s="34">
        <v>2712</v>
      </c>
      <c r="AD2716" s="34" t="s">
        <v>4573</v>
      </c>
      <c r="AE2716" s="34" t="s">
        <v>2449</v>
      </c>
      <c r="AF2716" s="35">
        <v>1.6177419354838712E-3</v>
      </c>
    </row>
    <row r="2717" spans="19:32" x14ac:dyDescent="0.35">
      <c r="S2717" s="47">
        <v>2713</v>
      </c>
      <c r="T2717" s="47" t="s">
        <v>4284</v>
      </c>
      <c r="U2717" s="47" t="s">
        <v>2823</v>
      </c>
      <c r="V2717" s="48">
        <v>3.1739999999999999</v>
      </c>
      <c r="W2717" s="13"/>
      <c r="X2717" s="34">
        <v>2713</v>
      </c>
      <c r="Y2717" s="34" t="s">
        <v>2248</v>
      </c>
      <c r="Z2717" s="34" t="s">
        <v>3777</v>
      </c>
      <c r="AA2717" s="35">
        <v>3.5302419354838716E-2</v>
      </c>
      <c r="AB2717" s="13"/>
      <c r="AC2717" s="47">
        <v>2713</v>
      </c>
      <c r="AD2717" s="47" t="s">
        <v>4573</v>
      </c>
      <c r="AE2717" s="47" t="s">
        <v>2660</v>
      </c>
      <c r="AF2717" s="56">
        <v>1.012</v>
      </c>
    </row>
    <row r="2718" spans="19:32" x14ac:dyDescent="0.35">
      <c r="S2718" s="30">
        <v>2714</v>
      </c>
      <c r="T2718" s="30" t="s">
        <v>4284</v>
      </c>
      <c r="U2718" s="30" t="s">
        <v>4935</v>
      </c>
      <c r="V2718" s="31">
        <v>769.08</v>
      </c>
      <c r="W2718" s="13"/>
      <c r="X2718" s="34">
        <v>2714</v>
      </c>
      <c r="Y2718" s="34" t="s">
        <v>2248</v>
      </c>
      <c r="Z2718" s="34" t="s">
        <v>3772</v>
      </c>
      <c r="AA2718" s="35">
        <v>3.166935483870968E-4</v>
      </c>
      <c r="AB2718" s="13"/>
      <c r="AC2718" s="34">
        <v>2714</v>
      </c>
      <c r="AD2718" s="34" t="s">
        <v>4573</v>
      </c>
      <c r="AE2718" s="34" t="s">
        <v>2447</v>
      </c>
      <c r="AF2718" s="35">
        <v>6.2036290322580651E-2</v>
      </c>
    </row>
    <row r="2719" spans="19:32" x14ac:dyDescent="0.35">
      <c r="S2719" s="47">
        <v>2715</v>
      </c>
      <c r="T2719" s="47" t="s">
        <v>4284</v>
      </c>
      <c r="U2719" s="47" t="s">
        <v>2821</v>
      </c>
      <c r="V2719" s="48">
        <v>44.712000000000003</v>
      </c>
      <c r="W2719" s="13"/>
      <c r="X2719" s="34">
        <v>2715</v>
      </c>
      <c r="Y2719" s="34" t="s">
        <v>2248</v>
      </c>
      <c r="Z2719" s="34" t="s">
        <v>3769</v>
      </c>
      <c r="AA2719" s="35">
        <v>8.4657258064516133E-6</v>
      </c>
      <c r="AB2719" s="13"/>
      <c r="AC2719" s="34">
        <v>2715</v>
      </c>
      <c r="AD2719" s="34" t="s">
        <v>4573</v>
      </c>
      <c r="AE2719" s="34" t="s">
        <v>2444</v>
      </c>
      <c r="AF2719" s="35">
        <v>0.19913306451612905</v>
      </c>
    </row>
    <row r="2720" spans="19:32" x14ac:dyDescent="0.35">
      <c r="S2720" s="30">
        <v>2716</v>
      </c>
      <c r="T2720" s="30" t="s">
        <v>4284</v>
      </c>
      <c r="U2720" s="30" t="s">
        <v>2820</v>
      </c>
      <c r="V2720" s="31">
        <v>540.56000000000006</v>
      </c>
      <c r="W2720" s="13"/>
      <c r="X2720" s="34">
        <v>2716</v>
      </c>
      <c r="Y2720" s="34" t="s">
        <v>2248</v>
      </c>
      <c r="Z2720" s="34" t="s">
        <v>4934</v>
      </c>
      <c r="AA2720" s="35">
        <v>0.5346774193548387</v>
      </c>
      <c r="AB2720" s="13"/>
      <c r="AC2720" s="47">
        <v>2716</v>
      </c>
      <c r="AD2720" s="47" t="s">
        <v>4573</v>
      </c>
      <c r="AE2720" s="47" t="s">
        <v>2659</v>
      </c>
      <c r="AF2720" s="56">
        <v>0.34776000000000001</v>
      </c>
    </row>
    <row r="2721" spans="19:32" x14ac:dyDescent="0.35">
      <c r="S2721" s="47">
        <v>2717</v>
      </c>
      <c r="T2721" s="47" t="s">
        <v>4284</v>
      </c>
      <c r="U2721" s="47" t="s">
        <v>2820</v>
      </c>
      <c r="V2721" s="48">
        <v>0</v>
      </c>
      <c r="W2721" s="13"/>
      <c r="X2721" s="47">
        <v>2717</v>
      </c>
      <c r="Y2721" s="47" t="s">
        <v>2248</v>
      </c>
      <c r="Z2721" s="47" t="s">
        <v>3034</v>
      </c>
      <c r="AA2721" s="48">
        <v>0</v>
      </c>
      <c r="AB2721" s="13"/>
      <c r="AC2721" s="34">
        <v>2717</v>
      </c>
      <c r="AD2721" s="34" t="s">
        <v>4573</v>
      </c>
      <c r="AE2721" s="34" t="s">
        <v>2441</v>
      </c>
      <c r="AF2721" s="35">
        <v>1.785685483870968E-2</v>
      </c>
    </row>
    <row r="2722" spans="19:32" x14ac:dyDescent="0.35">
      <c r="S2722" s="30">
        <v>2718</v>
      </c>
      <c r="T2722" s="30" t="s">
        <v>4284</v>
      </c>
      <c r="U2722" s="30" t="s">
        <v>4933</v>
      </c>
      <c r="V2722" s="31">
        <v>87.116</v>
      </c>
      <c r="W2722" s="13"/>
      <c r="X2722" s="34">
        <v>2718</v>
      </c>
      <c r="Y2722" s="34" t="s">
        <v>2248</v>
      </c>
      <c r="Z2722" s="34" t="s">
        <v>3034</v>
      </c>
      <c r="AA2722" s="35">
        <v>0.18199596774193549</v>
      </c>
      <c r="AB2722" s="13"/>
      <c r="AC2722" s="34">
        <v>2718</v>
      </c>
      <c r="AD2722" s="34" t="s">
        <v>4573</v>
      </c>
      <c r="AE2722" s="34" t="s">
        <v>2438</v>
      </c>
      <c r="AF2722" s="35">
        <v>0.39072580645161292</v>
      </c>
    </row>
    <row r="2723" spans="19:32" x14ac:dyDescent="0.35">
      <c r="S2723" s="30">
        <v>2719</v>
      </c>
      <c r="T2723" s="30" t="s">
        <v>4284</v>
      </c>
      <c r="U2723" s="30" t="s">
        <v>4932</v>
      </c>
      <c r="V2723" s="31">
        <v>1438.4</v>
      </c>
      <c r="W2723" s="13"/>
      <c r="X2723" s="34">
        <v>2719</v>
      </c>
      <c r="Y2723" s="34" t="s">
        <v>2248</v>
      </c>
      <c r="Z2723" s="34" t="s">
        <v>4931</v>
      </c>
      <c r="AA2723" s="35">
        <v>2.9989919354838713E-4</v>
      </c>
      <c r="AB2723" s="13"/>
      <c r="AC2723" s="34">
        <v>2719</v>
      </c>
      <c r="AD2723" s="34" t="s">
        <v>4573</v>
      </c>
      <c r="AE2723" s="34" t="s">
        <v>2436</v>
      </c>
      <c r="AF2723" s="35">
        <v>7.5403225806451619</v>
      </c>
    </row>
    <row r="2724" spans="19:32" x14ac:dyDescent="0.35">
      <c r="S2724" s="34">
        <v>2720</v>
      </c>
      <c r="T2724" s="34" t="s">
        <v>4284</v>
      </c>
      <c r="U2724" s="34" t="s">
        <v>2929</v>
      </c>
      <c r="V2724" s="35">
        <v>2.6014112903225811E-4</v>
      </c>
      <c r="W2724" s="13"/>
      <c r="X2724" s="34">
        <v>2720</v>
      </c>
      <c r="Y2724" s="34" t="s">
        <v>2248</v>
      </c>
      <c r="Z2724" s="34" t="s">
        <v>3761</v>
      </c>
      <c r="AA2724" s="35">
        <v>1.2887096774193549E-6</v>
      </c>
      <c r="AB2724" s="13"/>
      <c r="AC2724" s="34">
        <v>2720</v>
      </c>
      <c r="AD2724" s="34" t="s">
        <v>4573</v>
      </c>
      <c r="AE2724" s="34" t="s">
        <v>2433</v>
      </c>
      <c r="AF2724" s="35">
        <v>0.27727822580645162</v>
      </c>
    </row>
    <row r="2725" spans="19:32" x14ac:dyDescent="0.35">
      <c r="S2725" s="47">
        <v>2721</v>
      </c>
      <c r="T2725" s="47" t="s">
        <v>4284</v>
      </c>
      <c r="U2725" s="47" t="s">
        <v>2818</v>
      </c>
      <c r="V2725" s="48">
        <v>2.4380000000000002</v>
      </c>
      <c r="W2725" s="13"/>
      <c r="X2725" s="34">
        <v>2721</v>
      </c>
      <c r="Y2725" s="34" t="s">
        <v>2248</v>
      </c>
      <c r="Z2725" s="34" t="s">
        <v>3756</v>
      </c>
      <c r="AA2725" s="35">
        <v>4.4213709677419358E-4</v>
      </c>
      <c r="AB2725" s="13"/>
      <c r="AC2725" s="34">
        <v>2721</v>
      </c>
      <c r="AD2725" s="34" t="s">
        <v>4573</v>
      </c>
      <c r="AE2725" s="34" t="s">
        <v>2430</v>
      </c>
      <c r="AF2725" s="35">
        <v>0.17685483870967744</v>
      </c>
    </row>
    <row r="2726" spans="19:32" x14ac:dyDescent="0.35">
      <c r="S2726" s="57">
        <v>2722</v>
      </c>
      <c r="T2726" s="57" t="s">
        <v>4284</v>
      </c>
      <c r="U2726" s="58" t="s">
        <v>2926</v>
      </c>
      <c r="V2726" s="59">
        <v>1.2625999999999999</v>
      </c>
      <c r="W2726" s="13"/>
      <c r="X2726" s="34">
        <v>2722</v>
      </c>
      <c r="Y2726" s="34" t="s">
        <v>2248</v>
      </c>
      <c r="Z2726" s="34" t="s">
        <v>4930</v>
      </c>
      <c r="AA2726" s="35">
        <v>1.1893145161290324E-3</v>
      </c>
      <c r="AB2726" s="13"/>
      <c r="AC2726" s="47">
        <v>2722</v>
      </c>
      <c r="AD2726" s="47" t="s">
        <v>4573</v>
      </c>
      <c r="AE2726" s="47" t="s">
        <v>2657</v>
      </c>
      <c r="AF2726" s="56">
        <v>2.2079999999999999E-2</v>
      </c>
    </row>
    <row r="2727" spans="19:32" x14ac:dyDescent="0.35">
      <c r="S2727" s="34">
        <v>2723</v>
      </c>
      <c r="T2727" s="34" t="s">
        <v>4284</v>
      </c>
      <c r="U2727" s="34" t="s">
        <v>2926</v>
      </c>
      <c r="V2727" s="35">
        <v>5.5181451612903235E-6</v>
      </c>
      <c r="W2727" s="13"/>
      <c r="X2727" s="47">
        <v>2723</v>
      </c>
      <c r="Y2727" s="47" t="s">
        <v>2248</v>
      </c>
      <c r="Z2727" s="47" t="s">
        <v>3032</v>
      </c>
      <c r="AA2727" s="48">
        <v>0</v>
      </c>
      <c r="AB2727" s="13"/>
      <c r="AC2727" s="34">
        <v>2723</v>
      </c>
      <c r="AD2727" s="34" t="s">
        <v>4573</v>
      </c>
      <c r="AE2727" s="34" t="s">
        <v>2427</v>
      </c>
      <c r="AF2727" s="35">
        <v>2.3272177419354841E-2</v>
      </c>
    </row>
    <row r="2728" spans="19:32" x14ac:dyDescent="0.35">
      <c r="S2728" s="34">
        <v>2724</v>
      </c>
      <c r="T2728" s="34" t="s">
        <v>4284</v>
      </c>
      <c r="U2728" s="34" t="s">
        <v>2923</v>
      </c>
      <c r="V2728" s="35">
        <v>4.2842741935483872E-4</v>
      </c>
      <c r="W2728" s="13"/>
      <c r="X2728" s="34">
        <v>2724</v>
      </c>
      <c r="Y2728" s="34" t="s">
        <v>2248</v>
      </c>
      <c r="Z2728" s="34" t="s">
        <v>3032</v>
      </c>
      <c r="AA2728" s="35">
        <v>1.3298387096774194E-5</v>
      </c>
      <c r="AB2728" s="13"/>
      <c r="AC2728" s="47">
        <v>2724</v>
      </c>
      <c r="AD2728" s="47" t="s">
        <v>4573</v>
      </c>
      <c r="AE2728" s="47" t="s">
        <v>2655</v>
      </c>
      <c r="AF2728" s="56">
        <v>0.85283999999999993</v>
      </c>
    </row>
    <row r="2729" spans="19:32" x14ac:dyDescent="0.35">
      <c r="S2729" s="34">
        <v>2725</v>
      </c>
      <c r="T2729" s="34" t="s">
        <v>4284</v>
      </c>
      <c r="U2729" s="34" t="s">
        <v>2920</v>
      </c>
      <c r="V2729" s="35">
        <v>5.8608870967741947E-6</v>
      </c>
      <c r="W2729" s="13"/>
      <c r="X2729" s="34">
        <v>2725</v>
      </c>
      <c r="Y2729" s="34" t="s">
        <v>2248</v>
      </c>
      <c r="Z2729" s="34" t="s">
        <v>3748</v>
      </c>
      <c r="AA2729" s="35">
        <v>2.2449596774193549E-3</v>
      </c>
      <c r="AB2729" s="13"/>
      <c r="AC2729" s="47">
        <v>2725</v>
      </c>
      <c r="AD2729" s="47" t="s">
        <v>4573</v>
      </c>
      <c r="AE2729" s="47" t="s">
        <v>2654</v>
      </c>
      <c r="AF2729" s="56">
        <v>4.4619999999999997</v>
      </c>
    </row>
    <row r="2730" spans="19:32" x14ac:dyDescent="0.35">
      <c r="S2730" s="47">
        <v>2726</v>
      </c>
      <c r="T2730" s="47" t="s">
        <v>4284</v>
      </c>
      <c r="U2730" s="47" t="s">
        <v>2817</v>
      </c>
      <c r="V2730" s="48">
        <v>0</v>
      </c>
      <c r="W2730" s="13"/>
      <c r="X2730" s="34">
        <v>2726</v>
      </c>
      <c r="Y2730" s="34" t="s">
        <v>2248</v>
      </c>
      <c r="Z2730" s="34" t="s">
        <v>4929</v>
      </c>
      <c r="AA2730" s="35">
        <v>2.6733870967741939E-3</v>
      </c>
      <c r="AB2730" s="13"/>
      <c r="AC2730" s="34">
        <v>2726</v>
      </c>
      <c r="AD2730" s="34" t="s">
        <v>4573</v>
      </c>
      <c r="AE2730" s="34" t="s">
        <v>2424</v>
      </c>
      <c r="AF2730" s="35">
        <v>0.17274193548387098</v>
      </c>
    </row>
    <row r="2731" spans="19:32" x14ac:dyDescent="0.35">
      <c r="S2731" s="47">
        <v>2727</v>
      </c>
      <c r="T2731" s="47" t="s">
        <v>4284</v>
      </c>
      <c r="U2731" s="47" t="s">
        <v>2816</v>
      </c>
      <c r="V2731" s="48">
        <v>2.7047999999999996</v>
      </c>
      <c r="W2731" s="13"/>
      <c r="X2731" s="34">
        <v>2727</v>
      </c>
      <c r="Y2731" s="34" t="s">
        <v>2248</v>
      </c>
      <c r="Z2731" s="34" t="s">
        <v>3744</v>
      </c>
      <c r="AA2731" s="35">
        <v>4.3185483870967746E-2</v>
      </c>
      <c r="AB2731" s="13"/>
      <c r="AC2731" s="47">
        <v>2727</v>
      </c>
      <c r="AD2731" s="47" t="s">
        <v>4573</v>
      </c>
      <c r="AE2731" s="47" t="s">
        <v>2652</v>
      </c>
      <c r="AF2731" s="56">
        <v>23.46</v>
      </c>
    </row>
    <row r="2732" spans="19:32" x14ac:dyDescent="0.35">
      <c r="S2732" s="34">
        <v>2728</v>
      </c>
      <c r="T2732" s="34" t="s">
        <v>4284</v>
      </c>
      <c r="U2732" s="34" t="s">
        <v>2815</v>
      </c>
      <c r="V2732" s="35">
        <v>6.957661290322581E-2</v>
      </c>
      <c r="W2732" s="13"/>
      <c r="X2732" s="47">
        <v>2728</v>
      </c>
      <c r="Y2732" s="47" t="s">
        <v>2248</v>
      </c>
      <c r="Z2732" s="47" t="s">
        <v>3031</v>
      </c>
      <c r="AA2732" s="48">
        <v>0.35052</v>
      </c>
      <c r="AB2732" s="13"/>
      <c r="AC2732" s="47">
        <v>2728</v>
      </c>
      <c r="AD2732" s="47" t="s">
        <v>4573</v>
      </c>
      <c r="AE2732" s="47" t="s">
        <v>2651</v>
      </c>
      <c r="AF2732" s="56">
        <v>10.028</v>
      </c>
    </row>
    <row r="2733" spans="19:32" x14ac:dyDescent="0.35">
      <c r="S2733" s="47">
        <v>2729</v>
      </c>
      <c r="T2733" s="47" t="s">
        <v>4284</v>
      </c>
      <c r="U2733" s="47" t="s">
        <v>2815</v>
      </c>
      <c r="V2733" s="48">
        <v>3.6155999999999997</v>
      </c>
      <c r="W2733" s="13"/>
      <c r="X2733" s="34">
        <v>2729</v>
      </c>
      <c r="Y2733" s="34" t="s">
        <v>2248</v>
      </c>
      <c r="Z2733" s="34" t="s">
        <v>3438</v>
      </c>
      <c r="AA2733" s="35">
        <v>0.53810483870967751</v>
      </c>
      <c r="AB2733" s="13"/>
      <c r="AC2733" s="34">
        <v>2729</v>
      </c>
      <c r="AD2733" s="34" t="s">
        <v>4573</v>
      </c>
      <c r="AE2733" s="34" t="s">
        <v>2422</v>
      </c>
      <c r="AF2733" s="35">
        <v>5.4495967741935488E-3</v>
      </c>
    </row>
    <row r="2734" spans="19:32" x14ac:dyDescent="0.35">
      <c r="S2734" s="47">
        <v>2730</v>
      </c>
      <c r="T2734" s="47" t="s">
        <v>4284</v>
      </c>
      <c r="U2734" s="47" t="s">
        <v>2813</v>
      </c>
      <c r="V2734" s="48">
        <v>18.032</v>
      </c>
      <c r="W2734" s="13"/>
      <c r="X2734" s="34">
        <v>2730</v>
      </c>
      <c r="Y2734" s="34" t="s">
        <v>2248</v>
      </c>
      <c r="Z2734" s="34" t="s">
        <v>3031</v>
      </c>
      <c r="AA2734" s="35">
        <v>1.3435483870967741E-4</v>
      </c>
      <c r="AB2734" s="13"/>
      <c r="AC2734" s="34">
        <v>2730</v>
      </c>
      <c r="AD2734" s="34" t="s">
        <v>4573</v>
      </c>
      <c r="AE2734" s="34" t="s">
        <v>2419</v>
      </c>
      <c r="AF2734" s="35">
        <v>4.9354838709677424E-4</v>
      </c>
    </row>
    <row r="2735" spans="19:32" x14ac:dyDescent="0.35">
      <c r="S2735" s="34">
        <v>2731</v>
      </c>
      <c r="T2735" s="34" t="s">
        <v>4284</v>
      </c>
      <c r="U2735" s="34" t="s">
        <v>2916</v>
      </c>
      <c r="V2735" s="35">
        <v>0.20358870967741938</v>
      </c>
      <c r="W2735" s="13"/>
      <c r="X2735" s="47">
        <v>2731</v>
      </c>
      <c r="Y2735" s="47" t="s">
        <v>2248</v>
      </c>
      <c r="Z2735" s="47" t="s">
        <v>3029</v>
      </c>
      <c r="AA2735" s="48">
        <v>0.14168</v>
      </c>
      <c r="AB2735" s="13"/>
      <c r="AC2735" s="34">
        <v>2731</v>
      </c>
      <c r="AD2735" s="34" t="s">
        <v>4573</v>
      </c>
      <c r="AE2735" s="34" t="s">
        <v>2416</v>
      </c>
      <c r="AF2735" s="35">
        <v>2.6219758064516133E-4</v>
      </c>
    </row>
    <row r="2736" spans="19:32" x14ac:dyDescent="0.35">
      <c r="S2736" s="34">
        <v>2732</v>
      </c>
      <c r="T2736" s="34" t="s">
        <v>4284</v>
      </c>
      <c r="U2736" s="34" t="s">
        <v>2913</v>
      </c>
      <c r="V2736" s="35">
        <v>9.8024193548387097E-5</v>
      </c>
      <c r="W2736" s="13"/>
      <c r="X2736" s="34">
        <v>2732</v>
      </c>
      <c r="Y2736" s="34" t="s">
        <v>2248</v>
      </c>
      <c r="Z2736" s="34" t="s">
        <v>4928</v>
      </c>
      <c r="AA2736" s="35">
        <v>4.2500000000000003E-4</v>
      </c>
      <c r="AB2736" s="13"/>
      <c r="AC2736" s="34">
        <v>2732</v>
      </c>
      <c r="AD2736" s="34" t="s">
        <v>4573</v>
      </c>
      <c r="AE2736" s="34" t="s">
        <v>2413</v>
      </c>
      <c r="AF2736" s="35">
        <v>0.55524193548387102</v>
      </c>
    </row>
    <row r="2737" spans="19:32" x14ac:dyDescent="0.35">
      <c r="S2737" s="34">
        <v>2733</v>
      </c>
      <c r="T2737" s="34" t="s">
        <v>4284</v>
      </c>
      <c r="U2737" s="34" t="s">
        <v>2910</v>
      </c>
      <c r="V2737" s="35">
        <v>5.2096774193548391E-2</v>
      </c>
      <c r="W2737" s="13"/>
      <c r="X2737" s="34">
        <v>2733</v>
      </c>
      <c r="Y2737" s="34" t="s">
        <v>2248</v>
      </c>
      <c r="Z2737" s="34" t="s">
        <v>3029</v>
      </c>
      <c r="AA2737" s="35">
        <v>2.0050403225806453E-5</v>
      </c>
      <c r="AB2737" s="13"/>
      <c r="AC2737" s="47">
        <v>2733</v>
      </c>
      <c r="AD2737" s="47" t="s">
        <v>4573</v>
      </c>
      <c r="AE2737" s="47" t="s">
        <v>2413</v>
      </c>
      <c r="AF2737" s="56">
        <v>0</v>
      </c>
    </row>
    <row r="2738" spans="19:32" x14ac:dyDescent="0.35">
      <c r="S2738" s="34">
        <v>2734</v>
      </c>
      <c r="T2738" s="34" t="s">
        <v>4284</v>
      </c>
      <c r="U2738" s="34" t="s">
        <v>2907</v>
      </c>
      <c r="V2738" s="35">
        <v>1.0693548387096775E-3</v>
      </c>
      <c r="W2738" s="13"/>
      <c r="X2738" s="47">
        <v>2734</v>
      </c>
      <c r="Y2738" s="47" t="s">
        <v>2248</v>
      </c>
      <c r="Z2738" s="47" t="s">
        <v>3028</v>
      </c>
      <c r="AA2738" s="48">
        <v>0.31004000000000004</v>
      </c>
      <c r="AB2738" s="13"/>
      <c r="AC2738" s="47">
        <v>2734</v>
      </c>
      <c r="AD2738" s="47" t="s">
        <v>4573</v>
      </c>
      <c r="AE2738" s="47" t="s">
        <v>2649</v>
      </c>
      <c r="AF2738" s="56">
        <v>4.7563999999999993</v>
      </c>
    </row>
    <row r="2739" spans="19:32" x14ac:dyDescent="0.35">
      <c r="S2739" s="34">
        <v>2735</v>
      </c>
      <c r="T2739" s="34" t="s">
        <v>4284</v>
      </c>
      <c r="U2739" s="34" t="s">
        <v>2905</v>
      </c>
      <c r="V2739" s="35">
        <v>1.7719758064516132E-3</v>
      </c>
      <c r="W2739" s="13"/>
      <c r="X2739" s="34">
        <v>2735</v>
      </c>
      <c r="Y2739" s="34" t="s">
        <v>2248</v>
      </c>
      <c r="Z2739" s="34" t="s">
        <v>3028</v>
      </c>
      <c r="AA2739" s="35">
        <v>1.1756048387096775E-4</v>
      </c>
      <c r="AB2739" s="13"/>
      <c r="AC2739" s="47">
        <v>2735</v>
      </c>
      <c r="AD2739" s="47" t="s">
        <v>4573</v>
      </c>
      <c r="AE2739" s="47" t="s">
        <v>2647</v>
      </c>
      <c r="AF2739" s="56">
        <v>0.45079999999999998</v>
      </c>
    </row>
    <row r="2740" spans="19:32" x14ac:dyDescent="0.35">
      <c r="S2740" s="47">
        <v>2736</v>
      </c>
      <c r="T2740" s="47" t="s">
        <v>4284</v>
      </c>
      <c r="U2740" s="47" t="s">
        <v>2811</v>
      </c>
      <c r="V2740" s="48">
        <v>0</v>
      </c>
      <c r="W2740" s="13"/>
      <c r="X2740" s="34">
        <v>2736</v>
      </c>
      <c r="Y2740" s="34" t="s">
        <v>2248</v>
      </c>
      <c r="Z2740" s="34" t="s">
        <v>4927</v>
      </c>
      <c r="AA2740" s="35">
        <v>4.2842741935483875E-2</v>
      </c>
      <c r="AB2740" s="13"/>
      <c r="AC2740" s="47">
        <v>2736</v>
      </c>
      <c r="AD2740" s="47" t="s">
        <v>4573</v>
      </c>
      <c r="AE2740" s="47" t="s">
        <v>2645</v>
      </c>
      <c r="AF2740" s="56">
        <v>1.6743999999999999</v>
      </c>
    </row>
    <row r="2741" spans="19:32" x14ac:dyDescent="0.35">
      <c r="S2741" s="34">
        <v>2737</v>
      </c>
      <c r="T2741" s="34" t="s">
        <v>4284</v>
      </c>
      <c r="U2741" s="34" t="s">
        <v>2902</v>
      </c>
      <c r="V2741" s="35">
        <v>1.5012096774193549E-5</v>
      </c>
      <c r="W2741" s="13"/>
      <c r="X2741" s="34">
        <v>2737</v>
      </c>
      <c r="Y2741" s="34" t="s">
        <v>2248</v>
      </c>
      <c r="Z2741" s="34" t="s">
        <v>3728</v>
      </c>
      <c r="AA2741" s="35">
        <v>4.2500000000000003E-2</v>
      </c>
      <c r="AB2741" s="13"/>
      <c r="AC2741" s="34">
        <v>2737</v>
      </c>
      <c r="AD2741" s="34" t="s">
        <v>4573</v>
      </c>
      <c r="AE2741" s="34" t="s">
        <v>2411</v>
      </c>
      <c r="AF2741" s="35">
        <v>1.5731854838709678E-2</v>
      </c>
    </row>
    <row r="2742" spans="19:32" x14ac:dyDescent="0.35">
      <c r="S2742" s="34">
        <v>2738</v>
      </c>
      <c r="T2742" s="34" t="s">
        <v>4284</v>
      </c>
      <c r="U2742" s="34" t="s">
        <v>2899</v>
      </c>
      <c r="V2742" s="35">
        <v>2.1866935483870967E-6</v>
      </c>
      <c r="W2742" s="13"/>
      <c r="X2742" s="47">
        <v>2738</v>
      </c>
      <c r="Y2742" s="47" t="s">
        <v>2248</v>
      </c>
      <c r="Z2742" s="47" t="s">
        <v>3026</v>
      </c>
      <c r="AA2742" s="48">
        <v>3.9192</v>
      </c>
      <c r="AB2742" s="13"/>
      <c r="AC2742" s="34">
        <v>2738</v>
      </c>
      <c r="AD2742" s="34" t="s">
        <v>4573</v>
      </c>
      <c r="AE2742" s="34" t="s">
        <v>2408</v>
      </c>
      <c r="AF2742" s="35">
        <v>1.2612903225806453E-2</v>
      </c>
    </row>
    <row r="2743" spans="19:32" x14ac:dyDescent="0.35">
      <c r="S2743" s="34">
        <v>2739</v>
      </c>
      <c r="T2743" s="34" t="s">
        <v>4284</v>
      </c>
      <c r="U2743" s="34" t="s">
        <v>2810</v>
      </c>
      <c r="V2743" s="35">
        <v>0.41129032258064518</v>
      </c>
      <c r="W2743" s="13"/>
      <c r="X2743" s="34">
        <v>2739</v>
      </c>
      <c r="Y2743" s="34" t="s">
        <v>2248</v>
      </c>
      <c r="Z2743" s="34" t="s">
        <v>4926</v>
      </c>
      <c r="AA2743" s="35">
        <v>8.1572580645161295E-4</v>
      </c>
      <c r="AB2743" s="13"/>
      <c r="AC2743" s="34">
        <v>2739</v>
      </c>
      <c r="AD2743" s="34" t="s">
        <v>4573</v>
      </c>
      <c r="AE2743" s="34" t="s">
        <v>2405</v>
      </c>
      <c r="AF2743" s="35">
        <v>7.574596774193549E-3</v>
      </c>
    </row>
    <row r="2744" spans="19:32" x14ac:dyDescent="0.35">
      <c r="S2744" s="47">
        <v>2740</v>
      </c>
      <c r="T2744" s="47" t="s">
        <v>4284</v>
      </c>
      <c r="U2744" s="47" t="s">
        <v>2810</v>
      </c>
      <c r="V2744" s="48">
        <v>0</v>
      </c>
      <c r="W2744" s="13"/>
      <c r="X2744" s="34">
        <v>2740</v>
      </c>
      <c r="Y2744" s="34" t="s">
        <v>2248</v>
      </c>
      <c r="Z2744" s="34" t="s">
        <v>3725</v>
      </c>
      <c r="AA2744" s="35">
        <v>1.2544354838709678E-6</v>
      </c>
      <c r="AB2744" s="13"/>
      <c r="AC2744" s="47">
        <v>2740</v>
      </c>
      <c r="AD2744" s="47" t="s">
        <v>4573</v>
      </c>
      <c r="AE2744" s="47" t="s">
        <v>2405</v>
      </c>
      <c r="AF2744" s="56">
        <v>0.23275999999999999</v>
      </c>
    </row>
    <row r="2745" spans="19:32" x14ac:dyDescent="0.35">
      <c r="S2745" s="34">
        <v>2741</v>
      </c>
      <c r="T2745" s="34" t="s">
        <v>4284</v>
      </c>
      <c r="U2745" s="34" t="s">
        <v>2895</v>
      </c>
      <c r="V2745" s="35">
        <v>4.7641129032258069E-2</v>
      </c>
      <c r="W2745" s="13"/>
      <c r="X2745" s="47">
        <v>2741</v>
      </c>
      <c r="Y2745" s="47" t="s">
        <v>2248</v>
      </c>
      <c r="Z2745" s="47" t="s">
        <v>3025</v>
      </c>
      <c r="AA2745" s="48">
        <v>0</v>
      </c>
      <c r="AB2745" s="13"/>
      <c r="AC2745" s="34">
        <v>2741</v>
      </c>
      <c r="AD2745" s="34" t="s">
        <v>4573</v>
      </c>
      <c r="AE2745" s="34" t="s">
        <v>2402</v>
      </c>
      <c r="AF2745" s="35">
        <v>1.1276209677419356E-2</v>
      </c>
    </row>
    <row r="2746" spans="19:32" x14ac:dyDescent="0.35">
      <c r="S2746" s="34">
        <v>2742</v>
      </c>
      <c r="T2746" s="34" t="s">
        <v>4284</v>
      </c>
      <c r="U2746" s="34" t="s">
        <v>2892</v>
      </c>
      <c r="V2746" s="35">
        <v>3.633064516129033E-5</v>
      </c>
      <c r="W2746" s="13"/>
      <c r="X2746" s="34">
        <v>2742</v>
      </c>
      <c r="Y2746" s="34" t="s">
        <v>2248</v>
      </c>
      <c r="Z2746" s="34" t="s">
        <v>4925</v>
      </c>
      <c r="AA2746" s="35">
        <v>4.8326612903225813E-3</v>
      </c>
      <c r="AB2746" s="13"/>
      <c r="AC2746" s="47">
        <v>2742</v>
      </c>
      <c r="AD2746" s="47" t="s">
        <v>4573</v>
      </c>
      <c r="AE2746" s="47" t="s">
        <v>2402</v>
      </c>
      <c r="AF2746" s="56">
        <v>0.91999999999999993</v>
      </c>
    </row>
    <row r="2747" spans="19:32" x14ac:dyDescent="0.35">
      <c r="S2747" s="34">
        <v>2743</v>
      </c>
      <c r="T2747" s="34" t="s">
        <v>4284</v>
      </c>
      <c r="U2747" s="34" t="s">
        <v>2889</v>
      </c>
      <c r="V2747" s="35">
        <v>1.5320564516129035E-3</v>
      </c>
      <c r="W2747" s="13"/>
      <c r="X2747" s="34">
        <v>2743</v>
      </c>
      <c r="Y2747" s="34" t="s">
        <v>2248</v>
      </c>
      <c r="Z2747" s="34" t="s">
        <v>3722</v>
      </c>
      <c r="AA2747" s="35">
        <v>2.7008064516129032E-7</v>
      </c>
      <c r="AB2747" s="13"/>
      <c r="AC2747" s="34">
        <v>2743</v>
      </c>
      <c r="AD2747" s="34" t="s">
        <v>4573</v>
      </c>
      <c r="AE2747" s="34" t="s">
        <v>2399</v>
      </c>
      <c r="AF2747" s="35">
        <v>0.30915322580645166</v>
      </c>
    </row>
    <row r="2748" spans="19:32" x14ac:dyDescent="0.35">
      <c r="S2748" s="47">
        <v>2744</v>
      </c>
      <c r="T2748" s="47" t="s">
        <v>4284</v>
      </c>
      <c r="U2748" s="47" t="s">
        <v>2808</v>
      </c>
      <c r="V2748" s="48">
        <v>0</v>
      </c>
      <c r="W2748" s="13"/>
      <c r="X2748" s="34">
        <v>2744</v>
      </c>
      <c r="Y2748" s="34" t="s">
        <v>2248</v>
      </c>
      <c r="Z2748" s="34" t="s">
        <v>3718</v>
      </c>
      <c r="AA2748" s="35">
        <v>8.8084677419354839E-3</v>
      </c>
      <c r="AB2748" s="13"/>
      <c r="AC2748" s="34">
        <v>2744</v>
      </c>
      <c r="AD2748" s="34" t="s">
        <v>4573</v>
      </c>
      <c r="AE2748" s="34" t="s">
        <v>2397</v>
      </c>
      <c r="AF2748" s="35">
        <v>7.4717741935483879</v>
      </c>
    </row>
    <row r="2749" spans="19:32" x14ac:dyDescent="0.35">
      <c r="S2749" s="34">
        <v>2745</v>
      </c>
      <c r="T2749" s="34" t="s">
        <v>4284</v>
      </c>
      <c r="U2749" s="34" t="s">
        <v>2886</v>
      </c>
      <c r="V2749" s="35">
        <v>1.9913306451612903E-4</v>
      </c>
      <c r="W2749" s="13"/>
      <c r="X2749" s="34">
        <v>2745</v>
      </c>
      <c r="Y2749" s="34" t="s">
        <v>2248</v>
      </c>
      <c r="Z2749" s="34" t="s">
        <v>3712</v>
      </c>
      <c r="AA2749" s="35">
        <v>3.4102822580645162E-2</v>
      </c>
      <c r="AB2749" s="13"/>
      <c r="AC2749" s="47">
        <v>2745</v>
      </c>
      <c r="AD2749" s="47" t="s">
        <v>4573</v>
      </c>
      <c r="AE2749" s="47" t="s">
        <v>2397</v>
      </c>
      <c r="AF2749" s="56">
        <v>0.51796000000000009</v>
      </c>
    </row>
    <row r="2750" spans="19:32" x14ac:dyDescent="0.35">
      <c r="S2750" s="34">
        <v>2746</v>
      </c>
      <c r="T2750" s="34" t="s">
        <v>4284</v>
      </c>
      <c r="U2750" s="34" t="s">
        <v>2883</v>
      </c>
      <c r="V2750" s="35">
        <v>7.1975806451612912E-4</v>
      </c>
      <c r="W2750" s="13"/>
      <c r="X2750" s="34">
        <v>2746</v>
      </c>
      <c r="Y2750" s="34" t="s">
        <v>2248</v>
      </c>
      <c r="Z2750" s="34" t="s">
        <v>4924</v>
      </c>
      <c r="AA2750" s="35">
        <v>2.6870967741935484E-2</v>
      </c>
      <c r="AB2750" s="13"/>
      <c r="AC2750" s="34">
        <v>2746</v>
      </c>
      <c r="AD2750" s="34" t="s">
        <v>4573</v>
      </c>
      <c r="AE2750" s="34" t="s">
        <v>2394</v>
      </c>
      <c r="AF2750" s="35">
        <v>6.2379032258064522E-2</v>
      </c>
    </row>
    <row r="2751" spans="19:32" x14ac:dyDescent="0.35">
      <c r="S2751" s="34">
        <v>2747</v>
      </c>
      <c r="T2751" s="34" t="s">
        <v>4284</v>
      </c>
      <c r="U2751" s="34" t="s">
        <v>2881</v>
      </c>
      <c r="V2751" s="35">
        <v>2.666532258064516E-3</v>
      </c>
      <c r="W2751" s="13"/>
      <c r="X2751" s="47">
        <v>2747</v>
      </c>
      <c r="Y2751" s="47" t="s">
        <v>2248</v>
      </c>
      <c r="Z2751" s="47" t="s">
        <v>3023</v>
      </c>
      <c r="AA2751" s="48">
        <v>0</v>
      </c>
      <c r="AB2751" s="13"/>
      <c r="AC2751" s="34">
        <v>2747</v>
      </c>
      <c r="AD2751" s="34" t="s">
        <v>4573</v>
      </c>
      <c r="AE2751" s="34" t="s">
        <v>2391</v>
      </c>
      <c r="AF2751" s="35">
        <v>4.901209677419355</v>
      </c>
    </row>
    <row r="2752" spans="19:32" x14ac:dyDescent="0.35">
      <c r="S2752" s="58">
        <v>2748</v>
      </c>
      <c r="T2752" s="58" t="s">
        <v>4284</v>
      </c>
      <c r="U2752" s="36" t="s">
        <v>2878</v>
      </c>
      <c r="V2752" s="37">
        <v>0.53339499999999995</v>
      </c>
      <c r="W2752" s="13"/>
      <c r="X2752" s="34">
        <v>2748</v>
      </c>
      <c r="Y2752" s="34" t="s">
        <v>2248</v>
      </c>
      <c r="Z2752" s="34" t="s">
        <v>3023</v>
      </c>
      <c r="AA2752" s="35">
        <v>7.4717741935483874E-4</v>
      </c>
      <c r="AB2752" s="13"/>
      <c r="AC2752" s="34">
        <v>2748</v>
      </c>
      <c r="AD2752" s="34" t="s">
        <v>4573</v>
      </c>
      <c r="AE2752" s="34" t="s">
        <v>2388</v>
      </c>
      <c r="AF2752" s="35">
        <v>0.20564516129032259</v>
      </c>
    </row>
    <row r="2753" spans="19:32" x14ac:dyDescent="0.35">
      <c r="S2753" s="34">
        <v>2749</v>
      </c>
      <c r="T2753" s="34" t="s">
        <v>4284</v>
      </c>
      <c r="U2753" s="34" t="s">
        <v>2878</v>
      </c>
      <c r="V2753" s="35">
        <v>1.3161290322580646E-5</v>
      </c>
      <c r="W2753" s="13"/>
      <c r="X2753" s="34">
        <v>2749</v>
      </c>
      <c r="Y2753" s="34" t="s">
        <v>2248</v>
      </c>
      <c r="Z2753" s="34" t="s">
        <v>4923</v>
      </c>
      <c r="AA2753" s="35">
        <v>4.4899193548387102E-4</v>
      </c>
      <c r="AB2753" s="13"/>
      <c r="AC2753" s="34">
        <v>2749</v>
      </c>
      <c r="AD2753" s="34" t="s">
        <v>4573</v>
      </c>
      <c r="AE2753" s="34" t="s">
        <v>2386</v>
      </c>
      <c r="AF2753" s="35">
        <v>21.935483870967744</v>
      </c>
    </row>
    <row r="2754" spans="19:32" x14ac:dyDescent="0.35">
      <c r="S2754" s="34">
        <v>2750</v>
      </c>
      <c r="T2754" s="34" t="s">
        <v>4284</v>
      </c>
      <c r="U2754" s="34" t="s">
        <v>2875</v>
      </c>
      <c r="V2754" s="35">
        <v>8.2600806451612916E-5</v>
      </c>
      <c r="W2754" s="13"/>
      <c r="X2754" s="34">
        <v>2750</v>
      </c>
      <c r="Y2754" s="34" t="s">
        <v>2248</v>
      </c>
      <c r="Z2754" s="34" t="s">
        <v>3704</v>
      </c>
      <c r="AA2754" s="35">
        <v>5.2782258064516135E-4</v>
      </c>
      <c r="AB2754" s="13"/>
      <c r="AC2754" s="34">
        <v>2750</v>
      </c>
      <c r="AD2754" s="34" t="s">
        <v>4573</v>
      </c>
      <c r="AE2754" s="34" t="s">
        <v>2383</v>
      </c>
      <c r="AF2754" s="35">
        <v>2.1866935483870971</v>
      </c>
    </row>
    <row r="2755" spans="19:32" x14ac:dyDescent="0.35">
      <c r="S2755" s="34">
        <v>2751</v>
      </c>
      <c r="T2755" s="34" t="s">
        <v>4284</v>
      </c>
      <c r="U2755" s="34" t="s">
        <v>2872</v>
      </c>
      <c r="V2755" s="35">
        <v>2.0118951612903228E-4</v>
      </c>
      <c r="W2755" s="13"/>
      <c r="X2755" s="34">
        <v>2751</v>
      </c>
      <c r="Y2755" s="34" t="s">
        <v>2248</v>
      </c>
      <c r="Z2755" s="34" t="s">
        <v>3700</v>
      </c>
      <c r="AA2755" s="35">
        <v>2.4608870967741936E-4</v>
      </c>
      <c r="AB2755" s="13"/>
      <c r="AC2755" s="34">
        <v>2751</v>
      </c>
      <c r="AD2755" s="34" t="s">
        <v>4573</v>
      </c>
      <c r="AE2755" s="34" t="s">
        <v>2380</v>
      </c>
      <c r="AF2755" s="35">
        <v>7.574596774193549E-3</v>
      </c>
    </row>
    <row r="2756" spans="19:32" x14ac:dyDescent="0.35">
      <c r="S2756" s="47">
        <v>2752</v>
      </c>
      <c r="T2756" s="47" t="s">
        <v>4284</v>
      </c>
      <c r="U2756" s="47" t="s">
        <v>2807</v>
      </c>
      <c r="V2756" s="48">
        <v>0.63663999999999998</v>
      </c>
      <c r="W2756" s="13"/>
      <c r="X2756" s="34">
        <v>2752</v>
      </c>
      <c r="Y2756" s="34" t="s">
        <v>2248</v>
      </c>
      <c r="Z2756" s="34" t="s">
        <v>4922</v>
      </c>
      <c r="AA2756" s="35">
        <v>4.2842741935483875E-2</v>
      </c>
      <c r="AB2756" s="13"/>
      <c r="AC2756" s="47">
        <v>2752</v>
      </c>
      <c r="AD2756" s="47" t="s">
        <v>4573</v>
      </c>
      <c r="AE2756" s="47" t="s">
        <v>2642</v>
      </c>
      <c r="AF2756" s="56">
        <v>4.9863999999999997</v>
      </c>
    </row>
    <row r="2757" spans="19:32" x14ac:dyDescent="0.35">
      <c r="S2757" s="34">
        <v>2753</v>
      </c>
      <c r="T2757" s="34" t="s">
        <v>4284</v>
      </c>
      <c r="U2757" s="34" t="s">
        <v>2870</v>
      </c>
      <c r="V2757" s="35">
        <v>1.5491935483870968E-4</v>
      </c>
      <c r="W2757" s="13"/>
      <c r="X2757" s="47">
        <v>2753</v>
      </c>
      <c r="Y2757" s="47" t="s">
        <v>2248</v>
      </c>
      <c r="Z2757" s="47" t="s">
        <v>3021</v>
      </c>
      <c r="AA2757" s="48">
        <v>8.7492000000000004E-3</v>
      </c>
      <c r="AB2757" s="13"/>
      <c r="AC2757" s="34">
        <v>2753</v>
      </c>
      <c r="AD2757" s="34" t="s">
        <v>4573</v>
      </c>
      <c r="AE2757" s="34" t="s">
        <v>2377</v>
      </c>
      <c r="AF2757" s="35">
        <v>0.46612903225806457</v>
      </c>
    </row>
    <row r="2758" spans="19:32" x14ac:dyDescent="0.35">
      <c r="S2758" s="34">
        <v>2754</v>
      </c>
      <c r="T2758" s="34" t="s">
        <v>4284</v>
      </c>
      <c r="U2758" s="34" t="s">
        <v>2867</v>
      </c>
      <c r="V2758" s="35">
        <v>1.8850806451612906E-4</v>
      </c>
      <c r="W2758" s="13"/>
      <c r="X2758" s="34">
        <v>2754</v>
      </c>
      <c r="Y2758" s="34" t="s">
        <v>2248</v>
      </c>
      <c r="Z2758" s="34" t="s">
        <v>3021</v>
      </c>
      <c r="AA2758" s="35">
        <v>8.2600806451612913E-4</v>
      </c>
      <c r="AB2758" s="13"/>
      <c r="AC2758" s="34">
        <v>2754</v>
      </c>
      <c r="AD2758" s="34" t="s">
        <v>4573</v>
      </c>
      <c r="AE2758" s="34" t="s">
        <v>2374</v>
      </c>
      <c r="AF2758" s="35">
        <v>81.572580645161295</v>
      </c>
    </row>
    <row r="2759" spans="19:32" x14ac:dyDescent="0.35">
      <c r="S2759" s="58">
        <v>2755</v>
      </c>
      <c r="T2759" s="58" t="s">
        <v>4284</v>
      </c>
      <c r="U2759" s="36" t="s">
        <v>2864</v>
      </c>
      <c r="V2759" s="37">
        <v>3.3704999999999998</v>
      </c>
      <c r="W2759" s="13"/>
      <c r="X2759" s="34">
        <v>2755</v>
      </c>
      <c r="Y2759" s="34" t="s">
        <v>2248</v>
      </c>
      <c r="Z2759" s="34" t="s">
        <v>4921</v>
      </c>
      <c r="AA2759" s="35">
        <v>1.1139112903225807E-4</v>
      </c>
      <c r="AB2759" s="13"/>
      <c r="AC2759" s="34">
        <v>2755</v>
      </c>
      <c r="AD2759" s="34" t="s">
        <v>4573</v>
      </c>
      <c r="AE2759" s="34" t="s">
        <v>2372</v>
      </c>
      <c r="AF2759" s="35">
        <v>1.1927419354838711</v>
      </c>
    </row>
    <row r="2760" spans="19:32" x14ac:dyDescent="0.35">
      <c r="S2760" s="34">
        <v>2756</v>
      </c>
      <c r="T2760" s="34" t="s">
        <v>4284</v>
      </c>
      <c r="U2760" s="34" t="s">
        <v>2864</v>
      </c>
      <c r="V2760" s="35">
        <v>1.4155241935483874E-6</v>
      </c>
      <c r="W2760" s="13"/>
      <c r="X2760" s="47">
        <v>2756</v>
      </c>
      <c r="Y2760" s="47" t="s">
        <v>2248</v>
      </c>
      <c r="Z2760" s="47" t="s">
        <v>3020</v>
      </c>
      <c r="AA2760" s="48">
        <v>1.8584E-2</v>
      </c>
      <c r="AB2760" s="13"/>
      <c r="AC2760" s="47">
        <v>2756</v>
      </c>
      <c r="AD2760" s="47" t="s">
        <v>4573</v>
      </c>
      <c r="AE2760" s="47" t="s">
        <v>2641</v>
      </c>
      <c r="AF2760" s="56">
        <v>0</v>
      </c>
    </row>
    <row r="2761" spans="19:32" x14ac:dyDescent="0.35">
      <c r="S2761" s="57">
        <v>2757</v>
      </c>
      <c r="T2761" s="57" t="s">
        <v>4284</v>
      </c>
      <c r="U2761" s="36" t="s">
        <v>2861</v>
      </c>
      <c r="V2761" s="37">
        <v>0.24395999999999998</v>
      </c>
      <c r="W2761" s="13"/>
      <c r="X2761" s="34">
        <v>2757</v>
      </c>
      <c r="Y2761" s="34" t="s">
        <v>2248</v>
      </c>
      <c r="Z2761" s="34" t="s">
        <v>3020</v>
      </c>
      <c r="AA2761" s="35">
        <v>1.5183467741935483E-3</v>
      </c>
      <c r="AB2761" s="13"/>
      <c r="AC2761" s="34">
        <v>2757</v>
      </c>
      <c r="AD2761" s="34" t="s">
        <v>4573</v>
      </c>
      <c r="AE2761" s="34" t="s">
        <v>2369</v>
      </c>
      <c r="AF2761" s="35">
        <v>0.39758064516129038</v>
      </c>
    </row>
    <row r="2762" spans="19:32" x14ac:dyDescent="0.35">
      <c r="S2762" s="34">
        <v>2758</v>
      </c>
      <c r="T2762" s="34" t="s">
        <v>4284</v>
      </c>
      <c r="U2762" s="34" t="s">
        <v>2861</v>
      </c>
      <c r="V2762" s="35">
        <v>1.2372983870967742E-5</v>
      </c>
      <c r="W2762" s="13"/>
      <c r="X2762" s="47">
        <v>2758</v>
      </c>
      <c r="Y2762" s="47" t="s">
        <v>2248</v>
      </c>
      <c r="Z2762" s="47" t="s">
        <v>3018</v>
      </c>
      <c r="AA2762" s="48">
        <v>3.6799999999999999E-2</v>
      </c>
      <c r="AB2762" s="13"/>
      <c r="AC2762" s="34">
        <v>2758</v>
      </c>
      <c r="AD2762" s="34" t="s">
        <v>4573</v>
      </c>
      <c r="AE2762" s="34" t="s">
        <v>2366</v>
      </c>
      <c r="AF2762" s="35">
        <v>3.6330645161290323E-2</v>
      </c>
    </row>
    <row r="2763" spans="19:32" x14ac:dyDescent="0.35">
      <c r="S2763" s="34">
        <v>2759</v>
      </c>
      <c r="T2763" s="34" t="s">
        <v>4284</v>
      </c>
      <c r="U2763" s="34" t="s">
        <v>2859</v>
      </c>
      <c r="V2763" s="35">
        <v>6.9233870967741945E-2</v>
      </c>
      <c r="W2763" s="13"/>
      <c r="X2763" s="34">
        <v>2759</v>
      </c>
      <c r="Y2763" s="34" t="s">
        <v>2248</v>
      </c>
      <c r="Z2763" s="34" t="s">
        <v>4920</v>
      </c>
      <c r="AA2763" s="35">
        <v>5.2782258064516135E-4</v>
      </c>
      <c r="AB2763" s="13"/>
      <c r="AC2763" s="34">
        <v>2759</v>
      </c>
      <c r="AD2763" s="34" t="s">
        <v>4573</v>
      </c>
      <c r="AE2763" s="34" t="s">
        <v>2364</v>
      </c>
      <c r="AF2763" s="35">
        <v>24.094758064516132</v>
      </c>
    </row>
    <row r="2764" spans="19:32" x14ac:dyDescent="0.35">
      <c r="S2764" s="34">
        <v>2760</v>
      </c>
      <c r="T2764" s="34" t="s">
        <v>4284</v>
      </c>
      <c r="U2764" s="34" t="s">
        <v>2856</v>
      </c>
      <c r="V2764" s="35">
        <v>6.7862903225806453E-5</v>
      </c>
      <c r="W2764" s="13"/>
      <c r="X2764" s="47">
        <v>2760</v>
      </c>
      <c r="Y2764" s="47" t="s">
        <v>2248</v>
      </c>
      <c r="Z2764" s="47" t="s">
        <v>3017</v>
      </c>
      <c r="AA2764" s="48">
        <v>6.8907999999999999E-3</v>
      </c>
      <c r="AB2764" s="13"/>
      <c r="AC2764" s="34">
        <v>2760</v>
      </c>
      <c r="AD2764" s="34" t="s">
        <v>4573</v>
      </c>
      <c r="AE2764" s="34" t="s">
        <v>2361</v>
      </c>
      <c r="AF2764" s="35">
        <v>8.5685483870967749E-2</v>
      </c>
    </row>
    <row r="2765" spans="19:32" x14ac:dyDescent="0.35">
      <c r="S2765" s="47">
        <v>2761</v>
      </c>
      <c r="T2765" s="47" t="s">
        <v>4284</v>
      </c>
      <c r="U2765" s="47" t="s">
        <v>2805</v>
      </c>
      <c r="V2765" s="48">
        <v>39.56</v>
      </c>
      <c r="W2765" s="13"/>
      <c r="X2765" s="47">
        <v>2761</v>
      </c>
      <c r="Y2765" s="47" t="s">
        <v>2248</v>
      </c>
      <c r="Z2765" s="47" t="s">
        <v>3015</v>
      </c>
      <c r="AA2765" s="48">
        <v>1.9595999999999999E-2</v>
      </c>
      <c r="AB2765" s="13"/>
      <c r="AC2765" s="34">
        <v>2761</v>
      </c>
      <c r="AD2765" s="34" t="s">
        <v>4573</v>
      </c>
      <c r="AE2765" s="34" t="s">
        <v>2358</v>
      </c>
      <c r="AF2765" s="35">
        <v>1.7891129032258066</v>
      </c>
    </row>
    <row r="2766" spans="19:32" x14ac:dyDescent="0.35">
      <c r="S2766" s="34">
        <v>2762</v>
      </c>
      <c r="T2766" s="34" t="s">
        <v>4284</v>
      </c>
      <c r="U2766" s="34" t="s">
        <v>2804</v>
      </c>
      <c r="V2766" s="35">
        <v>4.5927419354838715E-7</v>
      </c>
      <c r="W2766" s="13"/>
      <c r="X2766" s="34">
        <v>2762</v>
      </c>
      <c r="Y2766" s="34" t="s">
        <v>2248</v>
      </c>
      <c r="Z2766" s="34" t="s">
        <v>4919</v>
      </c>
      <c r="AA2766" s="35">
        <v>2.2997983870967746E-5</v>
      </c>
      <c r="AB2766" s="13"/>
      <c r="AC2766" s="34">
        <v>2762</v>
      </c>
      <c r="AD2766" s="34" t="s">
        <v>4573</v>
      </c>
      <c r="AE2766" s="34" t="s">
        <v>2355</v>
      </c>
      <c r="AF2766" s="35">
        <v>2.2449596774193552E-2</v>
      </c>
    </row>
    <row r="2767" spans="19:32" x14ac:dyDescent="0.35">
      <c r="S2767" s="47">
        <v>2763</v>
      </c>
      <c r="T2767" s="47" t="s">
        <v>4284</v>
      </c>
      <c r="U2767" s="47" t="s">
        <v>2804</v>
      </c>
      <c r="V2767" s="48">
        <v>0</v>
      </c>
      <c r="W2767" s="13"/>
      <c r="X2767" s="34">
        <v>2763</v>
      </c>
      <c r="Y2767" s="34" t="s">
        <v>2248</v>
      </c>
      <c r="Z2767" s="34" t="s">
        <v>3688</v>
      </c>
      <c r="AA2767" s="35">
        <v>2.2243951612903226E-2</v>
      </c>
      <c r="AB2767" s="13"/>
      <c r="AC2767" s="34">
        <v>2763</v>
      </c>
      <c r="AD2767" s="34" t="s">
        <v>4573</v>
      </c>
      <c r="AE2767" s="34" t="s">
        <v>2353</v>
      </c>
      <c r="AF2767" s="35">
        <v>0.15560483870967742</v>
      </c>
    </row>
    <row r="2768" spans="19:32" x14ac:dyDescent="0.35">
      <c r="S2768" s="34">
        <v>2764</v>
      </c>
      <c r="T2768" s="34" t="s">
        <v>4284</v>
      </c>
      <c r="U2768" s="34" t="s">
        <v>2851</v>
      </c>
      <c r="V2768" s="35">
        <v>2.0221774193548386E-5</v>
      </c>
      <c r="W2768" s="13"/>
      <c r="X2768" s="47">
        <v>2764</v>
      </c>
      <c r="Y2768" s="47" t="s">
        <v>2248</v>
      </c>
      <c r="Z2768" s="47" t="s">
        <v>3014</v>
      </c>
      <c r="AA2768" s="48">
        <v>0</v>
      </c>
      <c r="AB2768" s="13"/>
      <c r="AC2768" s="34">
        <v>2764</v>
      </c>
      <c r="AD2768" s="34" t="s">
        <v>4573</v>
      </c>
      <c r="AE2768" s="34" t="s">
        <v>2350</v>
      </c>
      <c r="AF2768" s="35">
        <v>44.213709677419359</v>
      </c>
    </row>
    <row r="2769" spans="19:32" x14ac:dyDescent="0.35">
      <c r="S2769" s="34">
        <v>2765</v>
      </c>
      <c r="T2769" s="34" t="s">
        <v>4284</v>
      </c>
      <c r="U2769" s="34" t="s">
        <v>2848</v>
      </c>
      <c r="V2769" s="35">
        <v>1.0693548387096774</v>
      </c>
      <c r="W2769" s="13"/>
      <c r="X2769" s="34">
        <v>2765</v>
      </c>
      <c r="Y2769" s="34" t="s">
        <v>2248</v>
      </c>
      <c r="Z2769" s="34" t="s">
        <v>3014</v>
      </c>
      <c r="AA2769" s="35">
        <v>1.7274193548387099E-3</v>
      </c>
      <c r="AB2769" s="13"/>
      <c r="AC2769" s="34">
        <v>2765</v>
      </c>
      <c r="AD2769" s="34" t="s">
        <v>4573</v>
      </c>
      <c r="AE2769" s="34" t="s">
        <v>2347</v>
      </c>
      <c r="AF2769" s="35">
        <v>4.0786290322580649</v>
      </c>
    </row>
    <row r="2770" spans="19:32" x14ac:dyDescent="0.35">
      <c r="S2770" s="34">
        <v>2766</v>
      </c>
      <c r="T2770" s="34" t="s">
        <v>4284</v>
      </c>
      <c r="U2770" s="34" t="s">
        <v>2846</v>
      </c>
      <c r="V2770" s="35">
        <v>4.72983870967742E-4</v>
      </c>
      <c r="W2770" s="13"/>
      <c r="X2770" s="34">
        <v>2766</v>
      </c>
      <c r="Y2770" s="34" t="s">
        <v>2248</v>
      </c>
      <c r="Z2770" s="34" t="s">
        <v>4918</v>
      </c>
      <c r="AA2770" s="35">
        <v>0.26939516129032259</v>
      </c>
      <c r="AB2770" s="13"/>
      <c r="AC2770" s="34">
        <v>2766</v>
      </c>
      <c r="AD2770" s="34" t="s">
        <v>4573</v>
      </c>
      <c r="AE2770" s="34" t="s">
        <v>2344</v>
      </c>
      <c r="AF2770" s="35">
        <v>0.18028225806451614</v>
      </c>
    </row>
    <row r="2771" spans="19:32" x14ac:dyDescent="0.35">
      <c r="S2771" s="34">
        <v>2767</v>
      </c>
      <c r="T2771" s="34" t="s">
        <v>4284</v>
      </c>
      <c r="U2771" s="34" t="s">
        <v>2843</v>
      </c>
      <c r="V2771" s="35">
        <v>5.6209677419354842E-6</v>
      </c>
      <c r="W2771" s="13"/>
      <c r="X2771" s="34">
        <v>2767</v>
      </c>
      <c r="Y2771" s="34" t="s">
        <v>2248</v>
      </c>
      <c r="Z2771" s="34" t="s">
        <v>3680</v>
      </c>
      <c r="AA2771" s="35">
        <v>2.5705645161290324E-2</v>
      </c>
      <c r="AB2771" s="13"/>
      <c r="AC2771" s="34">
        <v>2767</v>
      </c>
      <c r="AD2771" s="34" t="s">
        <v>4573</v>
      </c>
      <c r="AE2771" s="34" t="s">
        <v>2341</v>
      </c>
      <c r="AF2771" s="35">
        <v>233.40725806451616</v>
      </c>
    </row>
    <row r="2772" spans="19:32" x14ac:dyDescent="0.35">
      <c r="S2772" s="30">
        <v>2768</v>
      </c>
      <c r="T2772" s="30" t="s">
        <v>4284</v>
      </c>
      <c r="U2772" s="30" t="s">
        <v>4917</v>
      </c>
      <c r="V2772" s="31">
        <v>42.108000000000004</v>
      </c>
      <c r="W2772" s="13"/>
      <c r="X2772" s="34">
        <v>2768</v>
      </c>
      <c r="Y2772" s="34" t="s">
        <v>2248</v>
      </c>
      <c r="Z2772" s="34" t="s">
        <v>3676</v>
      </c>
      <c r="AA2772" s="35">
        <v>3.5987903225806452E-2</v>
      </c>
      <c r="AB2772" s="13"/>
      <c r="AC2772" s="47">
        <v>2768</v>
      </c>
      <c r="AD2772" s="47" t="s">
        <v>4573</v>
      </c>
      <c r="AE2772" s="47" t="s">
        <v>2341</v>
      </c>
      <c r="AF2772" s="56">
        <v>0</v>
      </c>
    </row>
    <row r="2773" spans="19:32" x14ac:dyDescent="0.35">
      <c r="S2773" s="34">
        <v>2769</v>
      </c>
      <c r="T2773" s="34" t="s">
        <v>4284</v>
      </c>
      <c r="U2773" s="34" t="s">
        <v>2840</v>
      </c>
      <c r="V2773" s="35">
        <v>2.3272177419354843E-3</v>
      </c>
      <c r="W2773" s="13"/>
      <c r="X2773" s="34">
        <v>2769</v>
      </c>
      <c r="Y2773" s="34" t="s">
        <v>2248</v>
      </c>
      <c r="Z2773" s="34" t="s">
        <v>4916</v>
      </c>
      <c r="AA2773" s="35">
        <v>3.2286290322580649</v>
      </c>
      <c r="AB2773" s="13"/>
      <c r="AC2773" s="34">
        <v>2769</v>
      </c>
      <c r="AD2773" s="34" t="s">
        <v>4573</v>
      </c>
      <c r="AE2773" s="34" t="s">
        <v>2339</v>
      </c>
      <c r="AF2773" s="35">
        <v>2.2278225806451615</v>
      </c>
    </row>
    <row r="2774" spans="19:32" x14ac:dyDescent="0.35">
      <c r="S2774" s="47">
        <v>2770</v>
      </c>
      <c r="T2774" s="47" t="s">
        <v>4284</v>
      </c>
      <c r="U2774" s="47" t="s">
        <v>2803</v>
      </c>
      <c r="V2774" s="48">
        <v>0</v>
      </c>
      <c r="W2774" s="13"/>
      <c r="X2774" s="34">
        <v>2770</v>
      </c>
      <c r="Y2774" s="34" t="s">
        <v>2248</v>
      </c>
      <c r="Z2774" s="34" t="s">
        <v>3672</v>
      </c>
      <c r="AA2774" s="35">
        <v>7.9516129032258076E-2</v>
      </c>
      <c r="AB2774" s="13"/>
      <c r="AC2774" s="47">
        <v>2770</v>
      </c>
      <c r="AD2774" s="47" t="s">
        <v>4573</v>
      </c>
      <c r="AE2774" s="47" t="s">
        <v>2339</v>
      </c>
      <c r="AF2774" s="56">
        <v>0</v>
      </c>
    </row>
    <row r="2775" spans="19:32" x14ac:dyDescent="0.35">
      <c r="S2775" s="34">
        <v>2771</v>
      </c>
      <c r="T2775" s="34" t="s">
        <v>4284</v>
      </c>
      <c r="U2775" s="34" t="s">
        <v>2837</v>
      </c>
      <c r="V2775" s="35">
        <v>5.6895161290322579E-5</v>
      </c>
      <c r="W2775" s="13"/>
      <c r="X2775" s="34">
        <v>2771</v>
      </c>
      <c r="Y2775" s="34" t="s">
        <v>2248</v>
      </c>
      <c r="Z2775" s="34" t="s">
        <v>3666</v>
      </c>
      <c r="AA2775" s="35">
        <v>8.3971774193548387E-10</v>
      </c>
      <c r="AB2775" s="13"/>
      <c r="AC2775" s="34">
        <v>2771</v>
      </c>
      <c r="AD2775" s="34" t="s">
        <v>4573</v>
      </c>
      <c r="AE2775" s="34" t="s">
        <v>2336</v>
      </c>
      <c r="AF2775" s="35">
        <v>5.3125000000000006E-2</v>
      </c>
    </row>
    <row r="2776" spans="19:32" x14ac:dyDescent="0.35">
      <c r="S2776" s="47">
        <v>2772</v>
      </c>
      <c r="T2776" s="47" t="s">
        <v>4284</v>
      </c>
      <c r="U2776" s="47" t="s">
        <v>2802</v>
      </c>
      <c r="V2776" s="48">
        <v>3.3027999999999995E-2</v>
      </c>
      <c r="W2776" s="13"/>
      <c r="X2776" s="34">
        <v>2772</v>
      </c>
      <c r="Y2776" s="34" t="s">
        <v>2248</v>
      </c>
      <c r="Z2776" s="34" t="s">
        <v>4915</v>
      </c>
      <c r="AA2776" s="35">
        <v>1.360685483870968E-3</v>
      </c>
      <c r="AB2776" s="13"/>
      <c r="AC2776" s="34">
        <v>2772</v>
      </c>
      <c r="AD2776" s="34" t="s">
        <v>4573</v>
      </c>
      <c r="AE2776" s="34" t="s">
        <v>2334</v>
      </c>
      <c r="AF2776" s="35">
        <v>3.770161290322581</v>
      </c>
    </row>
    <row r="2777" spans="19:32" x14ac:dyDescent="0.35">
      <c r="S2777" s="34">
        <v>2773</v>
      </c>
      <c r="T2777" s="34" t="s">
        <v>4284</v>
      </c>
      <c r="U2777" s="34" t="s">
        <v>2835</v>
      </c>
      <c r="V2777" s="35">
        <v>1.4943548387096776E-8</v>
      </c>
      <c r="W2777" s="13"/>
      <c r="X2777" s="34">
        <v>2773</v>
      </c>
      <c r="Y2777" s="34" t="s">
        <v>2248</v>
      </c>
      <c r="Z2777" s="34" t="s">
        <v>3662</v>
      </c>
      <c r="AA2777" s="35">
        <v>8.0544354838709689E-4</v>
      </c>
      <c r="AB2777" s="13"/>
      <c r="AC2777" s="47">
        <v>2773</v>
      </c>
      <c r="AD2777" s="47" t="s">
        <v>4573</v>
      </c>
      <c r="AE2777" s="47" t="s">
        <v>2638</v>
      </c>
      <c r="AF2777" s="56">
        <v>0</v>
      </c>
    </row>
    <row r="2778" spans="19:32" x14ac:dyDescent="0.35">
      <c r="S2778" s="34">
        <v>2774</v>
      </c>
      <c r="T2778" s="34" t="s">
        <v>4284</v>
      </c>
      <c r="U2778" s="34" t="s">
        <v>2832</v>
      </c>
      <c r="V2778" s="35">
        <v>0.33794354838709678</v>
      </c>
      <c r="W2778" s="13"/>
      <c r="X2778" s="34">
        <v>2774</v>
      </c>
      <c r="Y2778" s="34" t="s">
        <v>2248</v>
      </c>
      <c r="Z2778" s="34" t="s">
        <v>3659</v>
      </c>
      <c r="AA2778" s="35">
        <v>4.0786290322580646E-3</v>
      </c>
      <c r="AB2778" s="13"/>
      <c r="AC2778" s="34">
        <v>2774</v>
      </c>
      <c r="AD2778" s="34" t="s">
        <v>4573</v>
      </c>
      <c r="AE2778" s="34" t="s">
        <v>2331</v>
      </c>
      <c r="AF2778" s="35">
        <v>1.3778225806451614E-2</v>
      </c>
    </row>
    <row r="2779" spans="19:32" x14ac:dyDescent="0.35">
      <c r="S2779" s="34">
        <v>2775</v>
      </c>
      <c r="T2779" s="34" t="s">
        <v>4284</v>
      </c>
      <c r="U2779" s="34" t="s">
        <v>2800</v>
      </c>
      <c r="V2779" s="35">
        <v>2.9064516129032264E-4</v>
      </c>
      <c r="W2779" s="13"/>
      <c r="X2779" s="34">
        <v>2775</v>
      </c>
      <c r="Y2779" s="34" t="s">
        <v>2248</v>
      </c>
      <c r="Z2779" s="34" t="s">
        <v>3653</v>
      </c>
      <c r="AA2779" s="35">
        <v>1.1207661290322581E-2</v>
      </c>
      <c r="AB2779" s="13"/>
      <c r="AC2779" s="34">
        <v>2775</v>
      </c>
      <c r="AD2779" s="34" t="s">
        <v>4573</v>
      </c>
      <c r="AE2779" s="34" t="s">
        <v>2328</v>
      </c>
      <c r="AF2779" s="35">
        <v>8.9455645161290329E-2</v>
      </c>
    </row>
    <row r="2780" spans="19:32" x14ac:dyDescent="0.35">
      <c r="S2780" s="47">
        <v>2776</v>
      </c>
      <c r="T2780" s="47" t="s">
        <v>4284</v>
      </c>
      <c r="U2780" s="47" t="s">
        <v>2800</v>
      </c>
      <c r="V2780" s="48">
        <v>1.1776</v>
      </c>
      <c r="W2780" s="13"/>
      <c r="X2780" s="34">
        <v>2776</v>
      </c>
      <c r="Y2780" s="34" t="s">
        <v>2248</v>
      </c>
      <c r="Z2780" s="34" t="s">
        <v>3436</v>
      </c>
      <c r="AA2780" s="35">
        <v>1.5491935483870969E-3</v>
      </c>
      <c r="AB2780" s="13"/>
      <c r="AC2780" s="34">
        <v>2776</v>
      </c>
      <c r="AD2780" s="34" t="s">
        <v>4573</v>
      </c>
      <c r="AE2780" s="34" t="s">
        <v>2325</v>
      </c>
      <c r="AF2780" s="35">
        <v>7.9173387096774205E-3</v>
      </c>
    </row>
    <row r="2781" spans="19:32" x14ac:dyDescent="0.35">
      <c r="S2781" s="47">
        <v>2777</v>
      </c>
      <c r="T2781" s="47" t="s">
        <v>4284</v>
      </c>
      <c r="U2781" s="47" t="s">
        <v>2798</v>
      </c>
      <c r="V2781" s="48">
        <v>0</v>
      </c>
      <c r="W2781" s="13"/>
      <c r="X2781" s="34">
        <v>2777</v>
      </c>
      <c r="Y2781" s="34" t="s">
        <v>2248</v>
      </c>
      <c r="Z2781" s="34" t="s">
        <v>3650</v>
      </c>
      <c r="AA2781" s="35">
        <v>1.9570564516129034E-4</v>
      </c>
      <c r="AB2781" s="13"/>
      <c r="AC2781" s="34">
        <v>2777</v>
      </c>
      <c r="AD2781" s="34" t="s">
        <v>4573</v>
      </c>
      <c r="AE2781" s="34" t="s">
        <v>2322</v>
      </c>
      <c r="AF2781" s="35">
        <v>4.2842741935483876E-3</v>
      </c>
    </row>
    <row r="2782" spans="19:32" x14ac:dyDescent="0.35">
      <c r="S2782" s="34">
        <v>2778</v>
      </c>
      <c r="T2782" s="34" t="s">
        <v>4284</v>
      </c>
      <c r="U2782" s="34" t="s">
        <v>2827</v>
      </c>
      <c r="V2782" s="35">
        <v>1.7719758064516131E-2</v>
      </c>
      <c r="W2782" s="13"/>
      <c r="X2782" s="34">
        <v>2778</v>
      </c>
      <c r="Y2782" s="34" t="s">
        <v>2248</v>
      </c>
      <c r="Z2782" s="34" t="s">
        <v>3647</v>
      </c>
      <c r="AA2782" s="35">
        <v>1.7719758064516132E-5</v>
      </c>
      <c r="AB2782" s="13"/>
      <c r="AC2782" s="34">
        <v>2778</v>
      </c>
      <c r="AD2782" s="34" t="s">
        <v>4573</v>
      </c>
      <c r="AE2782" s="34" t="s">
        <v>2320</v>
      </c>
      <c r="AF2782" s="35">
        <v>3.1395161290322583E-2</v>
      </c>
    </row>
    <row r="2783" spans="19:32" x14ac:dyDescent="0.35">
      <c r="S2783" s="34">
        <v>2779</v>
      </c>
      <c r="T2783" s="34" t="s">
        <v>4284</v>
      </c>
      <c r="U2783" s="34" t="s">
        <v>2824</v>
      </c>
      <c r="V2783" s="35">
        <v>3.180645161290323</v>
      </c>
      <c r="W2783" s="13"/>
      <c r="X2783" s="34">
        <v>2779</v>
      </c>
      <c r="Y2783" s="34" t="s">
        <v>2248</v>
      </c>
      <c r="Z2783" s="34" t="s">
        <v>4914</v>
      </c>
      <c r="AA2783" s="35">
        <v>3.3451612903225808E-3</v>
      </c>
      <c r="AB2783" s="13"/>
      <c r="AC2783" s="47">
        <v>2779</v>
      </c>
      <c r="AD2783" s="47" t="s">
        <v>4573</v>
      </c>
      <c r="AE2783" s="47" t="s">
        <v>2636</v>
      </c>
      <c r="AF2783" s="56">
        <v>2.3000000000000003</v>
      </c>
    </row>
    <row r="2784" spans="19:32" x14ac:dyDescent="0.35">
      <c r="S2784" s="47">
        <v>2780</v>
      </c>
      <c r="T2784" s="47" t="s">
        <v>4284</v>
      </c>
      <c r="U2784" s="47" t="s">
        <v>2797</v>
      </c>
      <c r="V2784" s="48">
        <v>1.7387999999999999</v>
      </c>
      <c r="W2784" s="13"/>
      <c r="X2784" s="34">
        <v>2780</v>
      </c>
      <c r="Y2784" s="34" t="s">
        <v>2248</v>
      </c>
      <c r="Z2784" s="34" t="s">
        <v>3641</v>
      </c>
      <c r="AA2784" s="35">
        <v>1.7788306451612904E-3</v>
      </c>
      <c r="AB2784" s="13"/>
      <c r="AC2784" s="34">
        <v>2780</v>
      </c>
      <c r="AD2784" s="34" t="s">
        <v>4573</v>
      </c>
      <c r="AE2784" s="34" t="s">
        <v>2317</v>
      </c>
      <c r="AF2784" s="35">
        <v>3.7701612903225809E-2</v>
      </c>
    </row>
    <row r="2785" spans="19:32" x14ac:dyDescent="0.35">
      <c r="S2785" s="34">
        <v>2781</v>
      </c>
      <c r="T2785" s="34" t="s">
        <v>4284</v>
      </c>
      <c r="U2785" s="34" t="s">
        <v>2822</v>
      </c>
      <c r="V2785" s="35">
        <v>5.5866935483870977E-4</v>
      </c>
      <c r="W2785" s="13"/>
      <c r="X2785" s="34">
        <v>2781</v>
      </c>
      <c r="Y2785" s="34" t="s">
        <v>2248</v>
      </c>
      <c r="Z2785" s="34" t="s">
        <v>3637</v>
      </c>
      <c r="AA2785" s="35">
        <v>8.3971774193548399E-2</v>
      </c>
      <c r="AB2785" s="13"/>
      <c r="AC2785" s="34">
        <v>2781</v>
      </c>
      <c r="AD2785" s="34" t="s">
        <v>4573</v>
      </c>
      <c r="AE2785" s="34" t="s">
        <v>2314</v>
      </c>
      <c r="AF2785" s="35">
        <v>1.2407258064516129E-2</v>
      </c>
    </row>
    <row r="2786" spans="19:32" x14ac:dyDescent="0.35">
      <c r="S2786" s="47">
        <v>2782</v>
      </c>
      <c r="T2786" s="47" t="s">
        <v>4284</v>
      </c>
      <c r="U2786" s="47" t="s">
        <v>2796</v>
      </c>
      <c r="V2786" s="48">
        <v>0.32752000000000003</v>
      </c>
      <c r="W2786" s="13"/>
      <c r="X2786" s="34">
        <v>2782</v>
      </c>
      <c r="Y2786" s="34" t="s">
        <v>2248</v>
      </c>
      <c r="Z2786" s="34" t="s">
        <v>4913</v>
      </c>
      <c r="AA2786" s="35">
        <v>1.9981854838709678E-2</v>
      </c>
      <c r="AB2786" s="13"/>
      <c r="AC2786" s="34">
        <v>2782</v>
      </c>
      <c r="AD2786" s="34" t="s">
        <v>4573</v>
      </c>
      <c r="AE2786" s="34" t="s">
        <v>2311</v>
      </c>
      <c r="AF2786" s="35">
        <v>3.3211693548387102E-3</v>
      </c>
    </row>
    <row r="2787" spans="19:32" x14ac:dyDescent="0.35">
      <c r="S2787" s="34">
        <v>2783</v>
      </c>
      <c r="T2787" s="34" t="s">
        <v>4284</v>
      </c>
      <c r="U2787" s="34" t="s">
        <v>2819</v>
      </c>
      <c r="V2787" s="35">
        <v>9.596774193548388E-3</v>
      </c>
      <c r="W2787" s="13"/>
      <c r="X2787" s="34">
        <v>2783</v>
      </c>
      <c r="Y2787" s="34" t="s">
        <v>2248</v>
      </c>
      <c r="Z2787" s="34" t="s">
        <v>3634</v>
      </c>
      <c r="AA2787" s="35">
        <v>1.7582661290322581</v>
      </c>
      <c r="AB2787" s="13"/>
      <c r="AC2787" s="34">
        <v>2783</v>
      </c>
      <c r="AD2787" s="34" t="s">
        <v>4573</v>
      </c>
      <c r="AE2787" s="34" t="s">
        <v>2309</v>
      </c>
      <c r="AF2787" s="35">
        <v>338.97177419354841</v>
      </c>
    </row>
    <row r="2788" spans="19:32" x14ac:dyDescent="0.35">
      <c r="S2788" s="34">
        <v>2784</v>
      </c>
      <c r="T2788" s="34" t="s">
        <v>4284</v>
      </c>
      <c r="U2788" s="34" t="s">
        <v>2795</v>
      </c>
      <c r="V2788" s="35">
        <v>1.333266129032258E-3</v>
      </c>
      <c r="W2788" s="13"/>
      <c r="X2788" s="34">
        <v>2784</v>
      </c>
      <c r="Y2788" s="34" t="s">
        <v>2248</v>
      </c>
      <c r="Z2788" s="34" t="s">
        <v>3628</v>
      </c>
      <c r="AA2788" s="35">
        <v>8.5000000000000006E-2</v>
      </c>
      <c r="AB2788" s="13"/>
      <c r="AC2788" s="34">
        <v>2784</v>
      </c>
      <c r="AD2788" s="34" t="s">
        <v>4573</v>
      </c>
      <c r="AE2788" s="34" t="s">
        <v>2306</v>
      </c>
      <c r="AF2788" s="35">
        <v>3.2286290322580645E-2</v>
      </c>
    </row>
    <row r="2789" spans="19:32" x14ac:dyDescent="0.35">
      <c r="S2789" s="47">
        <v>2785</v>
      </c>
      <c r="T2789" s="47" t="s">
        <v>4284</v>
      </c>
      <c r="U2789" s="47" t="s">
        <v>2795</v>
      </c>
      <c r="V2789" s="48">
        <v>0</v>
      </c>
      <c r="W2789" s="13"/>
      <c r="X2789" s="47">
        <v>2785</v>
      </c>
      <c r="Y2789" s="47" t="s">
        <v>2248</v>
      </c>
      <c r="Z2789" s="47" t="s">
        <v>3012</v>
      </c>
      <c r="AA2789" s="48">
        <v>0</v>
      </c>
      <c r="AB2789" s="13"/>
      <c r="AC2789" s="47">
        <v>2785</v>
      </c>
      <c r="AD2789" s="47" t="s">
        <v>4573</v>
      </c>
      <c r="AE2789" s="47" t="s">
        <v>2306</v>
      </c>
      <c r="AF2789" s="56">
        <v>0</v>
      </c>
    </row>
    <row r="2790" spans="19:32" x14ac:dyDescent="0.35">
      <c r="S2790" s="34">
        <v>2786</v>
      </c>
      <c r="T2790" s="34" t="s">
        <v>4284</v>
      </c>
      <c r="U2790" s="34" t="s">
        <v>2814</v>
      </c>
      <c r="V2790" s="35">
        <v>1.7651209677419356E-3</v>
      </c>
      <c r="W2790" s="13"/>
      <c r="X2790" s="34">
        <v>2786</v>
      </c>
      <c r="Y2790" s="34" t="s">
        <v>2248</v>
      </c>
      <c r="Z2790" s="34" t="s">
        <v>4912</v>
      </c>
      <c r="AA2790" s="35">
        <v>4.9354838709677424E-4</v>
      </c>
      <c r="AB2790" s="13"/>
      <c r="AC2790" s="34">
        <v>2786</v>
      </c>
      <c r="AD2790" s="34" t="s">
        <v>4573</v>
      </c>
      <c r="AE2790" s="34" t="s">
        <v>2303</v>
      </c>
      <c r="AF2790" s="35">
        <v>0.57580645161290323</v>
      </c>
    </row>
    <row r="2791" spans="19:32" x14ac:dyDescent="0.35">
      <c r="S2791" s="34">
        <v>2787</v>
      </c>
      <c r="T2791" s="34" t="s">
        <v>4284</v>
      </c>
      <c r="U2791" s="34" t="s">
        <v>2812</v>
      </c>
      <c r="V2791" s="35">
        <v>3.2423387096774198E-2</v>
      </c>
      <c r="W2791" s="13"/>
      <c r="X2791" s="34">
        <v>2787</v>
      </c>
      <c r="Y2791" s="34" t="s">
        <v>2248</v>
      </c>
      <c r="Z2791" s="34" t="s">
        <v>3012</v>
      </c>
      <c r="AA2791" s="35">
        <v>2.573991935483871E-2</v>
      </c>
      <c r="AB2791" s="13"/>
      <c r="AC2791" s="34">
        <v>2787</v>
      </c>
      <c r="AD2791" s="34" t="s">
        <v>4573</v>
      </c>
      <c r="AE2791" s="34" t="s">
        <v>2300</v>
      </c>
      <c r="AF2791" s="35">
        <v>0.11995967741935484</v>
      </c>
    </row>
    <row r="2792" spans="19:32" x14ac:dyDescent="0.35">
      <c r="S2792" s="34">
        <v>2788</v>
      </c>
      <c r="T2792" s="34" t="s">
        <v>4284</v>
      </c>
      <c r="U2792" s="34" t="s">
        <v>2809</v>
      </c>
      <c r="V2792" s="35">
        <v>5.5181451612903228E-2</v>
      </c>
      <c r="W2792" s="13"/>
      <c r="X2792" s="34">
        <v>2788</v>
      </c>
      <c r="Y2792" s="34" t="s">
        <v>2248</v>
      </c>
      <c r="Z2792" s="34" t="s">
        <v>3619</v>
      </c>
      <c r="AA2792" s="35">
        <v>8.2258064516129034E-2</v>
      </c>
      <c r="AB2792" s="13"/>
      <c r="AC2792" s="34">
        <v>2788</v>
      </c>
      <c r="AD2792" s="34" t="s">
        <v>4573</v>
      </c>
      <c r="AE2792" s="34" t="s">
        <v>2297</v>
      </c>
      <c r="AF2792" s="35">
        <v>15.697580645161292</v>
      </c>
    </row>
    <row r="2793" spans="19:32" x14ac:dyDescent="0.35">
      <c r="S2793" s="34">
        <v>2789</v>
      </c>
      <c r="T2793" s="34" t="s">
        <v>4284</v>
      </c>
      <c r="U2793" s="34" t="s">
        <v>2806</v>
      </c>
      <c r="V2793" s="35">
        <v>5.6209677419354846E-3</v>
      </c>
      <c r="W2793" s="13"/>
      <c r="X2793" s="34">
        <v>2789</v>
      </c>
      <c r="Y2793" s="34" t="s">
        <v>2248</v>
      </c>
      <c r="Z2793" s="34" t="s">
        <v>4911</v>
      </c>
      <c r="AA2793" s="35">
        <v>9.5967741935483873E-5</v>
      </c>
      <c r="AB2793" s="13"/>
      <c r="AC2793" s="34">
        <v>2789</v>
      </c>
      <c r="AD2793" s="34" t="s">
        <v>4573</v>
      </c>
      <c r="AE2793" s="34" t="s">
        <v>2295</v>
      </c>
      <c r="AF2793" s="35">
        <v>32.183467741935488</v>
      </c>
    </row>
    <row r="2794" spans="19:32" x14ac:dyDescent="0.35">
      <c r="S2794" s="34">
        <v>2790</v>
      </c>
      <c r="T2794" s="34" t="s">
        <v>4284</v>
      </c>
      <c r="U2794" s="34" t="s">
        <v>2793</v>
      </c>
      <c r="V2794" s="35">
        <v>1.5114919354838711E-3</v>
      </c>
      <c r="W2794" s="13"/>
      <c r="X2794" s="47">
        <v>2790</v>
      </c>
      <c r="Y2794" s="47" t="s">
        <v>2248</v>
      </c>
      <c r="Z2794" s="47" t="s">
        <v>3010</v>
      </c>
      <c r="AA2794" s="48">
        <v>0</v>
      </c>
      <c r="AB2794" s="13"/>
      <c r="AC2794" s="34">
        <v>2790</v>
      </c>
      <c r="AD2794" s="34" t="s">
        <v>4573</v>
      </c>
      <c r="AE2794" s="34" t="s">
        <v>2292</v>
      </c>
      <c r="AF2794" s="35">
        <v>11.00201612903226</v>
      </c>
    </row>
    <row r="2795" spans="19:32" x14ac:dyDescent="0.35">
      <c r="S2795" s="47">
        <v>2791</v>
      </c>
      <c r="T2795" s="47" t="s">
        <v>4284</v>
      </c>
      <c r="U2795" s="47" t="s">
        <v>2793</v>
      </c>
      <c r="V2795" s="48">
        <v>0</v>
      </c>
      <c r="W2795" s="13"/>
      <c r="X2795" s="34">
        <v>2791</v>
      </c>
      <c r="Y2795" s="34" t="s">
        <v>2248</v>
      </c>
      <c r="Z2795" s="34" t="s">
        <v>3010</v>
      </c>
      <c r="AA2795" s="35">
        <v>472.98387096774195</v>
      </c>
      <c r="AB2795" s="13"/>
      <c r="AC2795" s="34">
        <v>2791</v>
      </c>
      <c r="AD2795" s="34" t="s">
        <v>4573</v>
      </c>
      <c r="AE2795" s="34" t="s">
        <v>2289</v>
      </c>
      <c r="AF2795" s="35">
        <v>1.6348790322580646</v>
      </c>
    </row>
    <row r="2796" spans="19:32" x14ac:dyDescent="0.35">
      <c r="S2796" s="34">
        <v>2792</v>
      </c>
      <c r="T2796" s="34" t="s">
        <v>4284</v>
      </c>
      <c r="U2796" s="34" t="s">
        <v>2801</v>
      </c>
      <c r="V2796" s="35">
        <v>1.192741935483871E-4</v>
      </c>
      <c r="W2796" s="13"/>
      <c r="X2796" s="34">
        <v>2792</v>
      </c>
      <c r="Y2796" s="34" t="s">
        <v>2248</v>
      </c>
      <c r="Z2796" s="34" t="s">
        <v>4910</v>
      </c>
      <c r="AA2796" s="35">
        <v>9.425403225806452E-4</v>
      </c>
      <c r="AB2796" s="13"/>
      <c r="AC2796" s="34">
        <v>2792</v>
      </c>
      <c r="AD2796" s="34" t="s">
        <v>4573</v>
      </c>
      <c r="AE2796" s="34" t="s">
        <v>2286</v>
      </c>
      <c r="AF2796" s="35">
        <v>4.7983870967741939</v>
      </c>
    </row>
    <row r="2797" spans="19:32" x14ac:dyDescent="0.35">
      <c r="S2797" s="34">
        <v>2793</v>
      </c>
      <c r="T2797" s="34" t="s">
        <v>4284</v>
      </c>
      <c r="U2797" s="34" t="s">
        <v>2799</v>
      </c>
      <c r="V2797" s="35">
        <v>1.206451612903226E-2</v>
      </c>
      <c r="W2797" s="13"/>
      <c r="X2797" s="34">
        <v>2793</v>
      </c>
      <c r="Y2797" s="34" t="s">
        <v>2248</v>
      </c>
      <c r="Z2797" s="34" t="s">
        <v>3614</v>
      </c>
      <c r="AA2797" s="35">
        <v>4.0443548387096779</v>
      </c>
      <c r="AB2797" s="13"/>
      <c r="AC2797" s="34">
        <v>2793</v>
      </c>
      <c r="AD2797" s="34" t="s">
        <v>4573</v>
      </c>
      <c r="AE2797" s="34" t="s">
        <v>2284</v>
      </c>
      <c r="AF2797" s="35">
        <v>101.45161290322581</v>
      </c>
    </row>
    <row r="2798" spans="19:32" x14ac:dyDescent="0.35">
      <c r="S2798" s="34">
        <v>2794</v>
      </c>
      <c r="T2798" s="34" t="s">
        <v>4284</v>
      </c>
      <c r="U2798" s="34" t="s">
        <v>2792</v>
      </c>
      <c r="V2798" s="35">
        <v>8.4657258064516137E-4</v>
      </c>
      <c r="W2798" s="13"/>
      <c r="X2798" s="47">
        <v>2794</v>
      </c>
      <c r="Y2798" s="47" t="s">
        <v>2248</v>
      </c>
      <c r="Z2798" s="47" t="s">
        <v>3009</v>
      </c>
      <c r="AA2798" s="48">
        <v>0</v>
      </c>
      <c r="AB2798" s="13"/>
      <c r="AC2798" s="34">
        <v>2794</v>
      </c>
      <c r="AD2798" s="34" t="s">
        <v>4573</v>
      </c>
      <c r="AE2798" s="34" t="s">
        <v>2281</v>
      </c>
      <c r="AF2798" s="35">
        <v>1.0522177419354839E-5</v>
      </c>
    </row>
    <row r="2799" spans="19:32" x14ac:dyDescent="0.35">
      <c r="S2799" s="47">
        <v>2795</v>
      </c>
      <c r="T2799" s="47" t="s">
        <v>4284</v>
      </c>
      <c r="U2799" s="47" t="s">
        <v>2792</v>
      </c>
      <c r="V2799" s="48">
        <v>0.47011999999999998</v>
      </c>
      <c r="W2799" s="13"/>
      <c r="X2799" s="34">
        <v>2795</v>
      </c>
      <c r="Y2799" s="34" t="s">
        <v>2248</v>
      </c>
      <c r="Z2799" s="34" t="s">
        <v>3009</v>
      </c>
      <c r="AA2799" s="35">
        <v>42.5</v>
      </c>
      <c r="AB2799" s="13"/>
      <c r="AC2799" s="34">
        <v>2795</v>
      </c>
      <c r="AD2799" s="34" t="s">
        <v>4573</v>
      </c>
      <c r="AE2799" s="34" t="s">
        <v>2278</v>
      </c>
      <c r="AF2799" s="35">
        <v>2.597983870967742E-9</v>
      </c>
    </row>
    <row r="2800" spans="19:32" x14ac:dyDescent="0.35">
      <c r="S2800" s="34">
        <v>2796</v>
      </c>
      <c r="T2800" s="34" t="s">
        <v>4284</v>
      </c>
      <c r="U2800" s="34" t="s">
        <v>2794</v>
      </c>
      <c r="V2800" s="35">
        <v>3.7016129032258066E-2</v>
      </c>
      <c r="W2800" s="13"/>
      <c r="X2800" s="34">
        <v>2796</v>
      </c>
      <c r="Y2800" s="34" t="s">
        <v>2248</v>
      </c>
      <c r="Z2800" s="34" t="s">
        <v>4909</v>
      </c>
      <c r="AA2800" s="35">
        <v>1.3778225806451614E-2</v>
      </c>
      <c r="AB2800" s="13"/>
      <c r="AC2800" s="34">
        <v>2796</v>
      </c>
      <c r="AD2800" s="34" t="s">
        <v>4573</v>
      </c>
      <c r="AE2800" s="34" t="s">
        <v>2275</v>
      </c>
      <c r="AF2800" s="35">
        <v>8.5685483870967752E-5</v>
      </c>
    </row>
    <row r="2801" spans="19:32" x14ac:dyDescent="0.35">
      <c r="S2801" s="34">
        <v>2797</v>
      </c>
      <c r="T2801" s="34" t="s">
        <v>4284</v>
      </c>
      <c r="U2801" s="34" t="s">
        <v>2791</v>
      </c>
      <c r="V2801" s="35">
        <v>0.12372983870967742</v>
      </c>
      <c r="W2801" s="13"/>
      <c r="X2801" s="34">
        <v>2797</v>
      </c>
      <c r="Y2801" s="34" t="s">
        <v>2248</v>
      </c>
      <c r="Z2801" s="34" t="s">
        <v>3608</v>
      </c>
      <c r="AA2801" s="35">
        <v>2.3546370967741936E-2</v>
      </c>
      <c r="AB2801" s="13"/>
      <c r="AC2801" s="47">
        <v>2797</v>
      </c>
      <c r="AD2801" s="47" t="s">
        <v>4573</v>
      </c>
      <c r="AE2801" s="47" t="s">
        <v>2275</v>
      </c>
      <c r="AF2801" s="56">
        <v>0</v>
      </c>
    </row>
    <row r="2802" spans="19:32" x14ac:dyDescent="0.35">
      <c r="S2802" s="34">
        <v>2798</v>
      </c>
      <c r="T2802" s="34" t="s">
        <v>4284</v>
      </c>
      <c r="U2802" s="34" t="s">
        <v>2790</v>
      </c>
      <c r="V2802" s="35">
        <v>1.960483870967742E-2</v>
      </c>
      <c r="W2802" s="13"/>
      <c r="X2802" s="47">
        <v>2798</v>
      </c>
      <c r="Y2802" s="47" t="s">
        <v>2248</v>
      </c>
      <c r="Z2802" s="47" t="s">
        <v>3007</v>
      </c>
      <c r="AA2802" s="48">
        <v>0</v>
      </c>
      <c r="AB2802" s="13"/>
      <c r="AC2802" s="34">
        <v>2798</v>
      </c>
      <c r="AD2802" s="34" t="s">
        <v>4573</v>
      </c>
      <c r="AE2802" s="34" t="s">
        <v>2272</v>
      </c>
      <c r="AF2802" s="35">
        <v>0.12304435483870969</v>
      </c>
    </row>
    <row r="2803" spans="19:32" x14ac:dyDescent="0.35">
      <c r="S2803" s="47">
        <v>2799</v>
      </c>
      <c r="T2803" s="47" t="s">
        <v>4284</v>
      </c>
      <c r="U2803" s="47" t="s">
        <v>2790</v>
      </c>
      <c r="V2803" s="56">
        <v>0</v>
      </c>
      <c r="W2803" s="13"/>
      <c r="X2803" s="34">
        <v>2799</v>
      </c>
      <c r="Y2803" s="34" t="s">
        <v>2248</v>
      </c>
      <c r="Z2803" s="34" t="s">
        <v>3007</v>
      </c>
      <c r="AA2803" s="35">
        <v>2.1832661290322584</v>
      </c>
      <c r="AB2803" s="13"/>
      <c r="AC2803" s="34">
        <v>2799</v>
      </c>
      <c r="AD2803" s="34" t="s">
        <v>4573</v>
      </c>
      <c r="AE2803" s="34" t="s">
        <v>2270</v>
      </c>
      <c r="AF2803" s="35">
        <v>2.0633064516129035E-2</v>
      </c>
    </row>
    <row r="2804" spans="19:32" x14ac:dyDescent="0.35">
      <c r="S2804" s="34">
        <v>2800</v>
      </c>
      <c r="T2804" s="34" t="s">
        <v>4284</v>
      </c>
      <c r="U2804" s="34" t="s">
        <v>2788</v>
      </c>
      <c r="V2804" s="35">
        <v>1.0659274193548387E-5</v>
      </c>
      <c r="W2804" s="13"/>
      <c r="X2804" s="34">
        <v>2800</v>
      </c>
      <c r="Y2804" s="34" t="s">
        <v>2248</v>
      </c>
      <c r="Z2804" s="34" t="s">
        <v>4908</v>
      </c>
      <c r="AA2804" s="35">
        <v>7.9173387096774202E-4</v>
      </c>
      <c r="AB2804" s="13"/>
      <c r="AC2804" s="34">
        <v>2800</v>
      </c>
      <c r="AD2804" s="34" t="s">
        <v>4573</v>
      </c>
      <c r="AE2804" s="34" t="s">
        <v>2267</v>
      </c>
      <c r="AF2804" s="35">
        <v>6.5463709677419366E-2</v>
      </c>
    </row>
    <row r="2805" spans="19:32" x14ac:dyDescent="0.35">
      <c r="S2805" s="34">
        <v>2801</v>
      </c>
      <c r="T2805" s="34" t="s">
        <v>4284</v>
      </c>
      <c r="U2805" s="34" t="s">
        <v>2785</v>
      </c>
      <c r="V2805" s="35">
        <v>5.1411290322580649E-4</v>
      </c>
      <c r="W2805" s="13"/>
      <c r="X2805" s="47">
        <v>2801</v>
      </c>
      <c r="Y2805" s="47" t="s">
        <v>2248</v>
      </c>
      <c r="Z2805" s="47" t="s">
        <v>3006</v>
      </c>
      <c r="AA2805" s="48">
        <v>0</v>
      </c>
      <c r="AB2805" s="13"/>
      <c r="AC2805" s="34">
        <v>2801</v>
      </c>
      <c r="AD2805" s="34" t="s">
        <v>4573</v>
      </c>
      <c r="AE2805" s="34" t="s">
        <v>2264</v>
      </c>
      <c r="AF2805" s="35">
        <v>1.1241935483870969E-2</v>
      </c>
    </row>
    <row r="2806" spans="19:32" x14ac:dyDescent="0.35">
      <c r="S2806" s="34">
        <v>2802</v>
      </c>
      <c r="T2806" s="34" t="s">
        <v>4284</v>
      </c>
      <c r="U2806" s="34" t="s">
        <v>2782</v>
      </c>
      <c r="V2806" s="35">
        <v>5.2439516129032266E-4</v>
      </c>
      <c r="W2806" s="13"/>
      <c r="X2806" s="34">
        <v>2802</v>
      </c>
      <c r="Y2806" s="34" t="s">
        <v>2248</v>
      </c>
      <c r="Z2806" s="34" t="s">
        <v>3006</v>
      </c>
      <c r="AA2806" s="35">
        <v>3.9072580645161294</v>
      </c>
      <c r="AB2806" s="13"/>
      <c r="AC2806" s="47">
        <v>2802</v>
      </c>
      <c r="AD2806" s="47" t="s">
        <v>4573</v>
      </c>
      <c r="AE2806" s="47" t="s">
        <v>2634</v>
      </c>
      <c r="AF2806" s="56">
        <v>14.719999999999999</v>
      </c>
    </row>
    <row r="2807" spans="19:32" x14ac:dyDescent="0.35">
      <c r="S2807" s="47">
        <v>2803</v>
      </c>
      <c r="T2807" s="47" t="s">
        <v>4284</v>
      </c>
      <c r="U2807" s="47" t="s">
        <v>2782</v>
      </c>
      <c r="V2807" s="56">
        <v>1380</v>
      </c>
      <c r="W2807" s="13"/>
      <c r="X2807" s="34">
        <v>2803</v>
      </c>
      <c r="Y2807" s="34" t="s">
        <v>2248</v>
      </c>
      <c r="Z2807" s="34" t="s">
        <v>4907</v>
      </c>
      <c r="AA2807" s="35">
        <v>9.7338709677419362E-4</v>
      </c>
      <c r="AB2807" s="13"/>
      <c r="AC2807" s="34">
        <v>2803</v>
      </c>
      <c r="AD2807" s="34" t="s">
        <v>4573</v>
      </c>
      <c r="AE2807" s="34" t="s">
        <v>2261</v>
      </c>
      <c r="AF2807" s="35">
        <v>0.11344758064516131</v>
      </c>
    </row>
    <row r="2808" spans="19:32" x14ac:dyDescent="0.35">
      <c r="S2808" s="47">
        <v>2804</v>
      </c>
      <c r="T2808" s="47" t="s">
        <v>4284</v>
      </c>
      <c r="U2808" s="47" t="s">
        <v>2789</v>
      </c>
      <c r="V2808" s="56">
        <v>938.40000000000009</v>
      </c>
      <c r="W2808" s="13"/>
      <c r="X2808" s="34">
        <v>2804</v>
      </c>
      <c r="Y2808" s="34" t="s">
        <v>2248</v>
      </c>
      <c r="Z2808" s="34" t="s">
        <v>3599</v>
      </c>
      <c r="AA2808" s="35">
        <v>7.5060483870967754E-2</v>
      </c>
      <c r="AB2808" s="13"/>
      <c r="AC2808" s="34">
        <v>2804</v>
      </c>
      <c r="AD2808" s="34" t="s">
        <v>4573</v>
      </c>
      <c r="AE2808" s="34" t="s">
        <v>2259</v>
      </c>
      <c r="AF2808" s="35">
        <v>0.24300403225806452</v>
      </c>
    </row>
    <row r="2809" spans="19:32" x14ac:dyDescent="0.35">
      <c r="S2809" s="47">
        <v>2805</v>
      </c>
      <c r="T2809" s="47" t="s">
        <v>4284</v>
      </c>
      <c r="U2809" s="47" t="s">
        <v>2787</v>
      </c>
      <c r="V2809" s="56">
        <v>0</v>
      </c>
      <c r="W2809" s="13"/>
      <c r="X2809" s="36">
        <v>2805</v>
      </c>
      <c r="Y2809" s="36" t="s">
        <v>2248</v>
      </c>
      <c r="Z2809" s="36" t="s">
        <v>4906</v>
      </c>
      <c r="AA2809" s="37">
        <v>0.76140000000000008</v>
      </c>
      <c r="AB2809" s="13"/>
      <c r="AC2809" s="34">
        <v>2805</v>
      </c>
      <c r="AD2809" s="34" t="s">
        <v>4573</v>
      </c>
      <c r="AE2809" s="34" t="s">
        <v>2256</v>
      </c>
      <c r="AF2809" s="35">
        <v>2.7899193548387097E-5</v>
      </c>
    </row>
    <row r="2810" spans="19:32" x14ac:dyDescent="0.35">
      <c r="S2810" s="34">
        <v>2806</v>
      </c>
      <c r="T2810" s="34" t="s">
        <v>4284</v>
      </c>
      <c r="U2810" s="34" t="s">
        <v>2780</v>
      </c>
      <c r="V2810" s="35">
        <v>2.7522177419354841E-2</v>
      </c>
      <c r="W2810" s="13"/>
      <c r="X2810" s="34">
        <v>2806</v>
      </c>
      <c r="Y2810" s="34" t="s">
        <v>2248</v>
      </c>
      <c r="Z2810" s="34" t="s">
        <v>3595</v>
      </c>
      <c r="AA2810" s="35">
        <v>0.58266129032258074</v>
      </c>
      <c r="AB2810" s="13"/>
      <c r="AC2810" s="34">
        <v>2806</v>
      </c>
      <c r="AD2810" s="34" t="s">
        <v>4573</v>
      </c>
      <c r="AE2810" s="34" t="s">
        <v>2253</v>
      </c>
      <c r="AF2810" s="35">
        <v>6.6491935483870973E-2</v>
      </c>
    </row>
    <row r="2811" spans="19:32" x14ac:dyDescent="0.35">
      <c r="S2811" s="34">
        <v>2807</v>
      </c>
      <c r="T2811" s="34" t="s">
        <v>4284</v>
      </c>
      <c r="U2811" s="34" t="s">
        <v>2779</v>
      </c>
      <c r="V2811" s="35">
        <v>1.6314516129032258E-4</v>
      </c>
      <c r="W2811" s="13"/>
      <c r="X2811" s="34">
        <v>2807</v>
      </c>
      <c r="Y2811" s="34" t="s">
        <v>2248</v>
      </c>
      <c r="Z2811" s="34" t="s">
        <v>4905</v>
      </c>
      <c r="AA2811" s="35">
        <v>4.8669354838709681E-4</v>
      </c>
      <c r="AB2811" s="13"/>
      <c r="AC2811" s="34">
        <v>2807</v>
      </c>
      <c r="AD2811" s="34" t="s">
        <v>4573</v>
      </c>
      <c r="AE2811" s="34" t="s">
        <v>2250</v>
      </c>
      <c r="AF2811" s="35">
        <v>3.838709677419355E-3</v>
      </c>
    </row>
    <row r="2812" spans="19:32" x14ac:dyDescent="0.35">
      <c r="S2812" s="34">
        <v>2808</v>
      </c>
      <c r="T2812" s="34" t="s">
        <v>4284</v>
      </c>
      <c r="U2812" s="34" t="s">
        <v>2776</v>
      </c>
      <c r="V2812" s="35">
        <v>5.9637096774193552E-3</v>
      </c>
      <c r="W2812" s="13"/>
      <c r="X2812" s="34">
        <v>2808</v>
      </c>
      <c r="Y2812" s="34" t="s">
        <v>2248</v>
      </c>
      <c r="Z2812" s="34" t="s">
        <v>3590</v>
      </c>
      <c r="AA2812" s="35">
        <v>2.6322580645161291E-2</v>
      </c>
      <c r="AB2812" s="13"/>
      <c r="AC2812" s="34">
        <v>2808</v>
      </c>
      <c r="AD2812" s="34" t="s">
        <v>4573</v>
      </c>
      <c r="AE2812" s="34" t="s">
        <v>4389</v>
      </c>
      <c r="AF2812" s="35">
        <v>6.8548387096774202E-4</v>
      </c>
    </row>
    <row r="2813" spans="19:32" x14ac:dyDescent="0.35">
      <c r="S2813" s="34">
        <v>2809</v>
      </c>
      <c r="T2813" s="34" t="s">
        <v>4284</v>
      </c>
      <c r="U2813" s="34" t="s">
        <v>2774</v>
      </c>
      <c r="V2813" s="35">
        <v>1.134475806451613E-3</v>
      </c>
      <c r="W2813" s="13"/>
      <c r="X2813" s="47">
        <v>2809</v>
      </c>
      <c r="Y2813" s="47" t="s">
        <v>2248</v>
      </c>
      <c r="Z2813" s="47" t="s">
        <v>3004</v>
      </c>
      <c r="AA2813" s="48">
        <v>0.95679999999999998</v>
      </c>
      <c r="AB2813" s="13"/>
      <c r="AC2813" s="34">
        <v>2809</v>
      </c>
      <c r="AD2813" s="34" t="s">
        <v>4573</v>
      </c>
      <c r="AE2813" s="34" t="s">
        <v>4387</v>
      </c>
      <c r="AF2813" s="35">
        <v>6.7862903225806464E-4</v>
      </c>
    </row>
    <row r="2814" spans="19:32" x14ac:dyDescent="0.35">
      <c r="S2814" s="34">
        <v>2810</v>
      </c>
      <c r="T2814" s="34" t="s">
        <v>4284</v>
      </c>
      <c r="U2814" s="34" t="s">
        <v>2772</v>
      </c>
      <c r="V2814" s="35">
        <v>3.5302419354838713E-3</v>
      </c>
      <c r="W2814" s="13"/>
      <c r="X2814" s="34">
        <v>2810</v>
      </c>
      <c r="Y2814" s="34" t="s">
        <v>2248</v>
      </c>
      <c r="Z2814" s="34" t="s">
        <v>4904</v>
      </c>
      <c r="AA2814" s="35">
        <v>2.5671370967741938E-2</v>
      </c>
      <c r="AB2814" s="13"/>
      <c r="AC2814" s="34">
        <v>2810</v>
      </c>
      <c r="AD2814" s="34" t="s">
        <v>4573</v>
      </c>
      <c r="AE2814" s="34" t="s">
        <v>4386</v>
      </c>
      <c r="AF2814" s="35">
        <v>2.7145161290322583E-2</v>
      </c>
    </row>
    <row r="2815" spans="19:32" x14ac:dyDescent="0.35">
      <c r="S2815" s="47">
        <v>2811</v>
      </c>
      <c r="T2815" s="47" t="s">
        <v>4284</v>
      </c>
      <c r="U2815" s="47" t="s">
        <v>2786</v>
      </c>
      <c r="V2815" s="56">
        <v>207</v>
      </c>
      <c r="W2815" s="13"/>
      <c r="X2815" s="34">
        <v>2811</v>
      </c>
      <c r="Y2815" s="34" t="s">
        <v>2248</v>
      </c>
      <c r="Z2815" s="34" t="s">
        <v>3584</v>
      </c>
      <c r="AA2815" s="35">
        <v>7.3004032258064521E-3</v>
      </c>
      <c r="AB2815" s="13"/>
      <c r="AC2815" s="34">
        <v>2811</v>
      </c>
      <c r="AD2815" s="34" t="s">
        <v>4573</v>
      </c>
      <c r="AE2815" s="34" t="s">
        <v>4384</v>
      </c>
      <c r="AF2815" s="35">
        <v>7.4717741935483874E-4</v>
      </c>
    </row>
    <row r="2816" spans="19:32" x14ac:dyDescent="0.35">
      <c r="S2816" s="34">
        <v>2812</v>
      </c>
      <c r="T2816" s="34" t="s">
        <v>4284</v>
      </c>
      <c r="U2816" s="34" t="s">
        <v>2770</v>
      </c>
      <c r="V2816" s="35">
        <v>6.9576612903225815E-3</v>
      </c>
      <c r="W2816" s="13"/>
      <c r="X2816" s="34">
        <v>2812</v>
      </c>
      <c r="Y2816" s="34" t="s">
        <v>2248</v>
      </c>
      <c r="Z2816" s="34" t="s">
        <v>3580</v>
      </c>
      <c r="AA2816" s="35">
        <v>6.8205645161290322E-4</v>
      </c>
      <c r="AB2816" s="13"/>
      <c r="AC2816" s="34">
        <v>2812</v>
      </c>
      <c r="AD2816" s="34" t="s">
        <v>4573</v>
      </c>
      <c r="AE2816" s="34" t="s">
        <v>4383</v>
      </c>
      <c r="AF2816" s="35">
        <v>8.3286290322580656E-2</v>
      </c>
    </row>
    <row r="2817" spans="19:32" x14ac:dyDescent="0.35">
      <c r="S2817" s="34">
        <v>2813</v>
      </c>
      <c r="T2817" s="34" t="s">
        <v>4284</v>
      </c>
      <c r="U2817" s="34" t="s">
        <v>2767</v>
      </c>
      <c r="V2817" s="35">
        <v>3.701612903225807E-5</v>
      </c>
      <c r="W2817" s="13"/>
      <c r="X2817" s="34">
        <v>2813</v>
      </c>
      <c r="Y2817" s="34" t="s">
        <v>2248</v>
      </c>
      <c r="Z2817" s="34" t="s">
        <v>4903</v>
      </c>
      <c r="AA2817" s="35">
        <v>8.6028225806451614E-2</v>
      </c>
      <c r="AB2817" s="13"/>
      <c r="AC2817" s="34">
        <v>2813</v>
      </c>
      <c r="AD2817" s="34" t="s">
        <v>4573</v>
      </c>
      <c r="AE2817" s="34" t="s">
        <v>4381</v>
      </c>
      <c r="AF2817" s="35">
        <v>3.8729838709677424E-2</v>
      </c>
    </row>
    <row r="2818" spans="19:32" x14ac:dyDescent="0.35">
      <c r="S2818" s="34">
        <v>2814</v>
      </c>
      <c r="T2818" s="34" t="s">
        <v>4284</v>
      </c>
      <c r="U2818" s="34" t="s">
        <v>2764</v>
      </c>
      <c r="V2818" s="35">
        <v>3.1052419354838712E-2</v>
      </c>
      <c r="W2818" s="13"/>
      <c r="X2818" s="34">
        <v>2814</v>
      </c>
      <c r="Y2818" s="34" t="s">
        <v>2248</v>
      </c>
      <c r="Z2818" s="34" t="s">
        <v>3575</v>
      </c>
      <c r="AA2818" s="35">
        <v>3.9072580645161292E-4</v>
      </c>
      <c r="AB2818" s="13"/>
      <c r="AC2818" s="34">
        <v>2814</v>
      </c>
      <c r="AD2818" s="34" t="s">
        <v>4573</v>
      </c>
      <c r="AE2818" s="34" t="s">
        <v>4380</v>
      </c>
      <c r="AF2818" s="35">
        <v>40.443548387096776</v>
      </c>
    </row>
    <row r="2819" spans="19:32" x14ac:dyDescent="0.35">
      <c r="S2819" s="34">
        <v>2815</v>
      </c>
      <c r="T2819" s="34" t="s">
        <v>4284</v>
      </c>
      <c r="U2819" s="34" t="s">
        <v>2762</v>
      </c>
      <c r="V2819" s="35">
        <v>1.7171370967741938E-3</v>
      </c>
      <c r="W2819" s="13"/>
      <c r="X2819" s="34">
        <v>2815</v>
      </c>
      <c r="Y2819" s="34" t="s">
        <v>2248</v>
      </c>
      <c r="Z2819" s="34" t="s">
        <v>3571</v>
      </c>
      <c r="AA2819" s="35">
        <v>6.6834677419354846E-3</v>
      </c>
      <c r="AB2819" s="13"/>
      <c r="AC2819" s="47">
        <v>2815</v>
      </c>
      <c r="AD2819" s="47" t="s">
        <v>4573</v>
      </c>
      <c r="AE2819" s="47" t="s">
        <v>2632</v>
      </c>
      <c r="AF2819" s="56">
        <v>0</v>
      </c>
    </row>
    <row r="2820" spans="19:32" x14ac:dyDescent="0.35">
      <c r="S2820" s="34">
        <v>2816</v>
      </c>
      <c r="T2820" s="34" t="s">
        <v>4284</v>
      </c>
      <c r="U2820" s="34" t="s">
        <v>2759</v>
      </c>
      <c r="V2820" s="35">
        <v>4.7983870967741937E-5</v>
      </c>
      <c r="W2820" s="13"/>
      <c r="X2820" s="34">
        <v>2816</v>
      </c>
      <c r="Y2820" s="34" t="s">
        <v>2248</v>
      </c>
      <c r="Z2820" s="34" t="s">
        <v>3568</v>
      </c>
      <c r="AA2820" s="35">
        <v>0.14635080645161291</v>
      </c>
      <c r="AB2820" s="13"/>
      <c r="AC2820" s="47">
        <v>2816</v>
      </c>
      <c r="AD2820" s="47" t="s">
        <v>4573</v>
      </c>
      <c r="AE2820" s="47" t="s">
        <v>2631</v>
      </c>
      <c r="AF2820" s="56">
        <v>127.88</v>
      </c>
    </row>
    <row r="2821" spans="19:32" x14ac:dyDescent="0.35">
      <c r="S2821" s="34">
        <v>2817</v>
      </c>
      <c r="T2821" s="34" t="s">
        <v>4284</v>
      </c>
      <c r="U2821" s="34" t="s">
        <v>2758</v>
      </c>
      <c r="V2821" s="35">
        <v>1.7068548387096776E-5</v>
      </c>
      <c r="W2821" s="13"/>
      <c r="X2821" s="34">
        <v>2817</v>
      </c>
      <c r="Y2821" s="34" t="s">
        <v>2248</v>
      </c>
      <c r="Z2821" s="34" t="s">
        <v>4902</v>
      </c>
      <c r="AA2821" s="35">
        <v>1.477217741935484E-4</v>
      </c>
      <c r="AB2821" s="13"/>
      <c r="AC2821" s="34">
        <v>2817</v>
      </c>
      <c r="AD2821" s="34" t="s">
        <v>4573</v>
      </c>
      <c r="AE2821" s="34" t="s">
        <v>4378</v>
      </c>
      <c r="AF2821" s="35">
        <v>3.9758064516129038E-2</v>
      </c>
    </row>
    <row r="2822" spans="19:32" x14ac:dyDescent="0.35">
      <c r="S2822" s="47">
        <v>2818</v>
      </c>
      <c r="T2822" s="47" t="s">
        <v>4284</v>
      </c>
      <c r="U2822" s="47" t="s">
        <v>2784</v>
      </c>
      <c r="V2822" s="56">
        <v>0</v>
      </c>
      <c r="W2822" s="13"/>
      <c r="X2822" s="34">
        <v>2818</v>
      </c>
      <c r="Y2822" s="34" t="s">
        <v>2248</v>
      </c>
      <c r="Z2822" s="34" t="s">
        <v>3565</v>
      </c>
      <c r="AA2822" s="35">
        <v>0.75745967741935494</v>
      </c>
      <c r="AB2822" s="13"/>
      <c r="AC2822" s="34">
        <v>2818</v>
      </c>
      <c r="AD2822" s="34" t="s">
        <v>4573</v>
      </c>
      <c r="AE2822" s="34" t="s">
        <v>4376</v>
      </c>
      <c r="AF2822" s="35">
        <v>3.3622983870967744E-2</v>
      </c>
    </row>
    <row r="2823" spans="19:32" x14ac:dyDescent="0.35">
      <c r="S2823" s="47">
        <v>2819</v>
      </c>
      <c r="T2823" s="47" t="s">
        <v>4284</v>
      </c>
      <c r="U2823" s="47" t="s">
        <v>2783</v>
      </c>
      <c r="V2823" s="56">
        <v>0.2024</v>
      </c>
      <c r="W2823" s="13"/>
      <c r="X2823" s="34">
        <v>2819</v>
      </c>
      <c r="Y2823" s="34" t="s">
        <v>2248</v>
      </c>
      <c r="Z2823" s="34" t="s">
        <v>3562</v>
      </c>
      <c r="AA2823" s="35">
        <v>0.25397177419354838</v>
      </c>
      <c r="AB2823" s="13"/>
      <c r="AC2823" s="34">
        <v>2819</v>
      </c>
      <c r="AD2823" s="34" t="s">
        <v>4573</v>
      </c>
      <c r="AE2823" s="34" t="s">
        <v>4375</v>
      </c>
      <c r="AF2823" s="35">
        <v>1.1379032258064517E-2</v>
      </c>
    </row>
    <row r="2824" spans="19:32" x14ac:dyDescent="0.35">
      <c r="S2824" s="34">
        <v>2820</v>
      </c>
      <c r="T2824" s="34" t="s">
        <v>4284</v>
      </c>
      <c r="U2824" s="34" t="s">
        <v>2757</v>
      </c>
      <c r="V2824" s="35">
        <v>4.7641129032258069E-4</v>
      </c>
      <c r="W2824" s="13"/>
      <c r="X2824" s="34">
        <v>2820</v>
      </c>
      <c r="Y2824" s="34" t="s">
        <v>2248</v>
      </c>
      <c r="Z2824" s="34" t="s">
        <v>4901</v>
      </c>
      <c r="AA2824" s="35">
        <v>5.792338709677419E-4</v>
      </c>
      <c r="AB2824" s="13"/>
      <c r="AC2824" s="47">
        <v>2820</v>
      </c>
      <c r="AD2824" s="47" t="s">
        <v>4573</v>
      </c>
      <c r="AE2824" s="47" t="s">
        <v>2629</v>
      </c>
      <c r="AF2824" s="56">
        <v>8.8319999999999996E-2</v>
      </c>
    </row>
    <row r="2825" spans="19:32" x14ac:dyDescent="0.35">
      <c r="S2825" s="34">
        <v>2821</v>
      </c>
      <c r="T2825" s="34" t="s">
        <v>4284</v>
      </c>
      <c r="U2825" s="34" t="s">
        <v>2755</v>
      </c>
      <c r="V2825" s="35">
        <v>4.2500000000000003E-4</v>
      </c>
      <c r="W2825" s="13"/>
      <c r="X2825" s="34">
        <v>2821</v>
      </c>
      <c r="Y2825" s="34" t="s">
        <v>2248</v>
      </c>
      <c r="Z2825" s="34" t="s">
        <v>3559</v>
      </c>
      <c r="AA2825" s="35">
        <v>8.5342741935483871E-3</v>
      </c>
      <c r="AB2825" s="13"/>
      <c r="AC2825" s="34">
        <v>2821</v>
      </c>
      <c r="AD2825" s="34" t="s">
        <v>4573</v>
      </c>
      <c r="AE2825" s="34" t="s">
        <v>2627</v>
      </c>
      <c r="AF2825" s="35">
        <v>0.56209677419354842</v>
      </c>
    </row>
    <row r="2826" spans="19:32" x14ac:dyDescent="0.35">
      <c r="S2826" s="47">
        <v>2822</v>
      </c>
      <c r="T2826" s="47" t="s">
        <v>4284</v>
      </c>
      <c r="U2826" s="47" t="s">
        <v>2755</v>
      </c>
      <c r="V2826" s="56">
        <v>0</v>
      </c>
      <c r="W2826" s="13"/>
      <c r="X2826" s="34">
        <v>2822</v>
      </c>
      <c r="Y2826" s="34" t="s">
        <v>2248</v>
      </c>
      <c r="Z2826" s="34" t="s">
        <v>3556</v>
      </c>
      <c r="AA2826" s="35">
        <v>0.12201612903225807</v>
      </c>
      <c r="AB2826" s="13"/>
      <c r="AC2826" s="47">
        <v>2822</v>
      </c>
      <c r="AD2826" s="47" t="s">
        <v>4573</v>
      </c>
      <c r="AE2826" s="47" t="s">
        <v>2627</v>
      </c>
      <c r="AF2826" s="56">
        <v>31.28</v>
      </c>
    </row>
    <row r="2827" spans="19:32" x14ac:dyDescent="0.35">
      <c r="S2827" s="47">
        <v>2823</v>
      </c>
      <c r="T2827" s="47" t="s">
        <v>4284</v>
      </c>
      <c r="U2827" s="47" t="s">
        <v>2781</v>
      </c>
      <c r="V2827" s="56">
        <v>0</v>
      </c>
      <c r="W2827" s="13"/>
      <c r="X2827" s="34">
        <v>2823</v>
      </c>
      <c r="Y2827" s="34" t="s">
        <v>2248</v>
      </c>
      <c r="Z2827" s="34" t="s">
        <v>4900</v>
      </c>
      <c r="AA2827" s="35">
        <v>1.6485887096774196E-3</v>
      </c>
      <c r="AB2827" s="13"/>
      <c r="AC2827" s="34">
        <v>2823</v>
      </c>
      <c r="AD2827" s="34" t="s">
        <v>4573</v>
      </c>
      <c r="AE2827" s="34" t="s">
        <v>4372</v>
      </c>
      <c r="AF2827" s="35">
        <v>0.3495967741935484</v>
      </c>
    </row>
    <row r="2828" spans="19:32" x14ac:dyDescent="0.35">
      <c r="S2828" s="34">
        <v>2824</v>
      </c>
      <c r="T2828" s="34" t="s">
        <v>4284</v>
      </c>
      <c r="U2828" s="34" t="s">
        <v>2753</v>
      </c>
      <c r="V2828" s="35">
        <v>6.0322580645161305E-4</v>
      </c>
      <c r="W2828" s="13"/>
      <c r="X2828" s="34">
        <v>2824</v>
      </c>
      <c r="Y2828" s="34" t="s">
        <v>2248</v>
      </c>
      <c r="Z2828" s="34" t="s">
        <v>3551</v>
      </c>
      <c r="AA2828" s="35">
        <v>7.4032258064516132E-2</v>
      </c>
      <c r="AB2828" s="13"/>
      <c r="AC2828" s="34">
        <v>2824</v>
      </c>
      <c r="AD2828" s="34" t="s">
        <v>4573</v>
      </c>
      <c r="AE2828" s="34" t="s">
        <v>4371</v>
      </c>
      <c r="AF2828" s="35">
        <v>0.49697580645161293</v>
      </c>
    </row>
    <row r="2829" spans="19:32" x14ac:dyDescent="0.35">
      <c r="S2829" s="34">
        <v>2825</v>
      </c>
      <c r="T2829" s="34" t="s">
        <v>4284</v>
      </c>
      <c r="U2829" s="34" t="s">
        <v>2752</v>
      </c>
      <c r="V2829" s="35">
        <v>2.128427419354839E-4</v>
      </c>
      <c r="W2829" s="13"/>
      <c r="X2829" s="34">
        <v>2825</v>
      </c>
      <c r="Y2829" s="34" t="s">
        <v>2248</v>
      </c>
      <c r="Z2829" s="34" t="s">
        <v>3547</v>
      </c>
      <c r="AA2829" s="35">
        <v>3.8044354838709681E-3</v>
      </c>
      <c r="AB2829" s="13"/>
      <c r="AC2829" s="34">
        <v>2825</v>
      </c>
      <c r="AD2829" s="34" t="s">
        <v>4573</v>
      </c>
      <c r="AE2829" s="34" t="s">
        <v>4369</v>
      </c>
      <c r="AF2829" s="35">
        <v>3.1943548387096773E-2</v>
      </c>
    </row>
    <row r="2830" spans="19:32" x14ac:dyDescent="0.35">
      <c r="S2830" s="34">
        <v>2826</v>
      </c>
      <c r="T2830" s="34" t="s">
        <v>4284</v>
      </c>
      <c r="U2830" s="34" t="s">
        <v>2751</v>
      </c>
      <c r="V2830" s="35">
        <v>1.0693548387096775E-4</v>
      </c>
      <c r="W2830" s="13"/>
      <c r="X2830" s="34">
        <v>2826</v>
      </c>
      <c r="Y2830" s="34" t="s">
        <v>2248</v>
      </c>
      <c r="Z2830" s="34" t="s">
        <v>3544</v>
      </c>
      <c r="AA2830" s="35">
        <v>0.10213709677419355</v>
      </c>
      <c r="AB2830" s="13"/>
      <c r="AC2830" s="47">
        <v>2826</v>
      </c>
      <c r="AD2830" s="47" t="s">
        <v>4573</v>
      </c>
      <c r="AE2830" s="47" t="s">
        <v>2626</v>
      </c>
      <c r="AF2830" s="56">
        <v>2.9624000000000001</v>
      </c>
    </row>
    <row r="2831" spans="19:32" x14ac:dyDescent="0.35">
      <c r="S2831" s="34">
        <v>2827</v>
      </c>
      <c r="T2831" s="34" t="s">
        <v>4284</v>
      </c>
      <c r="U2831" s="34" t="s">
        <v>2748</v>
      </c>
      <c r="V2831" s="35">
        <v>5.9637096774193545E-4</v>
      </c>
      <c r="W2831" s="13"/>
      <c r="X2831" s="34">
        <v>2827</v>
      </c>
      <c r="Y2831" s="34" t="s">
        <v>2248</v>
      </c>
      <c r="Z2831" s="34" t="s">
        <v>4899</v>
      </c>
      <c r="AA2831" s="35">
        <v>4.8326612903225813E-3</v>
      </c>
      <c r="AB2831" s="13"/>
      <c r="AC2831" s="34">
        <v>2827</v>
      </c>
      <c r="AD2831" s="34" t="s">
        <v>4573</v>
      </c>
      <c r="AE2831" s="34" t="s">
        <v>2624</v>
      </c>
      <c r="AF2831" s="35">
        <v>2.5842741935483873</v>
      </c>
    </row>
    <row r="2832" spans="19:32" x14ac:dyDescent="0.35">
      <c r="S2832" s="47">
        <v>2828</v>
      </c>
      <c r="T2832" s="47" t="s">
        <v>4284</v>
      </c>
      <c r="U2832" s="47" t="s">
        <v>2748</v>
      </c>
      <c r="V2832" s="56">
        <v>0</v>
      </c>
      <c r="W2832" s="13"/>
      <c r="X2832" s="34">
        <v>2828</v>
      </c>
      <c r="Y2832" s="34" t="s">
        <v>2248</v>
      </c>
      <c r="Z2832" s="34" t="s">
        <v>3541</v>
      </c>
      <c r="AA2832" s="35">
        <v>3.2354838709677418E-4</v>
      </c>
      <c r="AB2832" s="13"/>
      <c r="AC2832" s="47">
        <v>2828</v>
      </c>
      <c r="AD2832" s="47" t="s">
        <v>4573</v>
      </c>
      <c r="AE2832" s="47" t="s">
        <v>2624</v>
      </c>
      <c r="AF2832" s="56">
        <v>0</v>
      </c>
    </row>
    <row r="2833" spans="19:32" x14ac:dyDescent="0.35">
      <c r="S2833" s="36">
        <v>2829</v>
      </c>
      <c r="T2833" s="36" t="s">
        <v>4284</v>
      </c>
      <c r="U2833" s="36" t="s">
        <v>2745</v>
      </c>
      <c r="V2833" s="37">
        <v>10.0045</v>
      </c>
      <c r="W2833" s="13"/>
      <c r="X2833" s="34">
        <v>2829</v>
      </c>
      <c r="Y2833" s="34" t="s">
        <v>2248</v>
      </c>
      <c r="Z2833" s="34" t="s">
        <v>3538</v>
      </c>
      <c r="AA2833" s="35">
        <v>0.50725806451612909</v>
      </c>
      <c r="AB2833" s="13"/>
      <c r="AC2833" s="47">
        <v>2829</v>
      </c>
      <c r="AD2833" s="47" t="s">
        <v>4573</v>
      </c>
      <c r="AE2833" s="47" t="s">
        <v>2623</v>
      </c>
      <c r="AF2833" s="56">
        <v>0</v>
      </c>
    </row>
    <row r="2834" spans="19:32" x14ac:dyDescent="0.35">
      <c r="S2834" s="34">
        <v>2830</v>
      </c>
      <c r="T2834" s="34" t="s">
        <v>4284</v>
      </c>
      <c r="U2834" s="34" t="s">
        <v>2745</v>
      </c>
      <c r="V2834" s="35">
        <v>6.1693548387096771E-7</v>
      </c>
      <c r="W2834" s="13"/>
      <c r="X2834" s="34">
        <v>2830</v>
      </c>
      <c r="Y2834" s="34" t="s">
        <v>2248</v>
      </c>
      <c r="Z2834" s="34" t="s">
        <v>4898</v>
      </c>
      <c r="AA2834" s="35">
        <v>4.3528225806451615E-4</v>
      </c>
      <c r="AB2834" s="13"/>
      <c r="AC2834" s="34">
        <v>2830</v>
      </c>
      <c r="AD2834" s="34" t="s">
        <v>4573</v>
      </c>
      <c r="AE2834" s="34" t="s">
        <v>4366</v>
      </c>
      <c r="AF2834" s="35">
        <v>0.19981854838709678</v>
      </c>
    </row>
    <row r="2835" spans="19:32" x14ac:dyDescent="0.35">
      <c r="S2835" s="34">
        <v>2831</v>
      </c>
      <c r="T2835" s="34" t="s">
        <v>4284</v>
      </c>
      <c r="U2835" s="34" t="s">
        <v>2744</v>
      </c>
      <c r="V2835" s="35">
        <v>3.3520161290322585E-2</v>
      </c>
      <c r="W2835" s="13"/>
      <c r="X2835" s="47">
        <v>2831</v>
      </c>
      <c r="Y2835" s="47" t="s">
        <v>2248</v>
      </c>
      <c r="Z2835" s="47" t="s">
        <v>3003</v>
      </c>
      <c r="AA2835" s="48">
        <v>0</v>
      </c>
      <c r="AB2835" s="13"/>
      <c r="AC2835" s="34">
        <v>2831</v>
      </c>
      <c r="AD2835" s="34" t="s">
        <v>4573</v>
      </c>
      <c r="AE2835" s="34" t="s">
        <v>4365</v>
      </c>
      <c r="AF2835" s="35">
        <v>1.4429435483870969</v>
      </c>
    </row>
    <row r="2836" spans="19:32" x14ac:dyDescent="0.35">
      <c r="S2836" s="47">
        <v>2832</v>
      </c>
      <c r="T2836" s="47" t="s">
        <v>4284</v>
      </c>
      <c r="U2836" s="47" t="s">
        <v>2778</v>
      </c>
      <c r="V2836" s="56">
        <v>0</v>
      </c>
      <c r="W2836" s="13"/>
      <c r="X2836" s="34">
        <v>2832</v>
      </c>
      <c r="Y2836" s="34" t="s">
        <v>2248</v>
      </c>
      <c r="Z2836" s="34" t="s">
        <v>3003</v>
      </c>
      <c r="AA2836" s="35">
        <v>0.23991935483870969</v>
      </c>
      <c r="AB2836" s="13"/>
      <c r="AC2836" s="34">
        <v>2832</v>
      </c>
      <c r="AD2836" s="34" t="s">
        <v>4573</v>
      </c>
      <c r="AE2836" s="34" t="s">
        <v>2621</v>
      </c>
      <c r="AF2836" s="35">
        <v>2.7693548387096776E-3</v>
      </c>
    </row>
    <row r="2837" spans="19:32" x14ac:dyDescent="0.35">
      <c r="S2837" s="34">
        <v>2833</v>
      </c>
      <c r="T2837" s="34" t="s">
        <v>4284</v>
      </c>
      <c r="U2837" s="34" t="s">
        <v>2742</v>
      </c>
      <c r="V2837" s="35">
        <v>2.3889112903225807E-3</v>
      </c>
      <c r="W2837" s="13"/>
      <c r="X2837" s="34">
        <v>2833</v>
      </c>
      <c r="Y2837" s="34" t="s">
        <v>2248</v>
      </c>
      <c r="Z2837" s="34" t="s">
        <v>4897</v>
      </c>
      <c r="AA2837" s="35">
        <v>4.7983870967741938E-4</v>
      </c>
      <c r="AB2837" s="13"/>
      <c r="AC2837" s="47">
        <v>2833</v>
      </c>
      <c r="AD2837" s="47" t="s">
        <v>4573</v>
      </c>
      <c r="AE2837" s="47" t="s">
        <v>2621</v>
      </c>
      <c r="AF2837" s="56">
        <v>20.884</v>
      </c>
    </row>
    <row r="2838" spans="19:32" x14ac:dyDescent="0.35">
      <c r="S2838" s="47">
        <v>2834</v>
      </c>
      <c r="T2838" s="47" t="s">
        <v>4284</v>
      </c>
      <c r="U2838" s="47" t="s">
        <v>2777</v>
      </c>
      <c r="V2838" s="56">
        <v>7.1484000000000005</v>
      </c>
      <c r="W2838" s="13"/>
      <c r="X2838" s="47">
        <v>2834</v>
      </c>
      <c r="Y2838" s="47" t="s">
        <v>2248</v>
      </c>
      <c r="Z2838" s="47" t="s">
        <v>3002</v>
      </c>
      <c r="AA2838" s="48">
        <v>0.49036000000000002</v>
      </c>
      <c r="AB2838" s="13"/>
      <c r="AC2838" s="34">
        <v>2834</v>
      </c>
      <c r="AD2838" s="34" t="s">
        <v>4573</v>
      </c>
      <c r="AE2838" s="34" t="s">
        <v>2620</v>
      </c>
      <c r="AF2838" s="35">
        <v>3.1943548387096773E-2</v>
      </c>
    </row>
    <row r="2839" spans="19:32" x14ac:dyDescent="0.35">
      <c r="S2839" s="34">
        <v>2835</v>
      </c>
      <c r="T2839" s="34" t="s">
        <v>4284</v>
      </c>
      <c r="U2839" s="34" t="s">
        <v>2741</v>
      </c>
      <c r="V2839" s="35">
        <v>0.17377016129032261</v>
      </c>
      <c r="W2839" s="13"/>
      <c r="X2839" s="34">
        <v>2835</v>
      </c>
      <c r="Y2839" s="34" t="s">
        <v>2248</v>
      </c>
      <c r="Z2839" s="34" t="s">
        <v>3002</v>
      </c>
      <c r="AA2839" s="35">
        <v>1.0727822580645162E-2</v>
      </c>
      <c r="AB2839" s="13"/>
      <c r="AC2839" s="47">
        <v>2835</v>
      </c>
      <c r="AD2839" s="47" t="s">
        <v>4573</v>
      </c>
      <c r="AE2839" s="47" t="s">
        <v>2620</v>
      </c>
      <c r="AF2839" s="56">
        <v>0</v>
      </c>
    </row>
    <row r="2840" spans="19:32" x14ac:dyDescent="0.35">
      <c r="S2840" s="47">
        <v>2836</v>
      </c>
      <c r="T2840" s="47" t="s">
        <v>4284</v>
      </c>
      <c r="U2840" s="47" t="s">
        <v>2741</v>
      </c>
      <c r="V2840" s="56">
        <v>0.88412000000000002</v>
      </c>
      <c r="W2840" s="13"/>
      <c r="X2840" s="47">
        <v>2836</v>
      </c>
      <c r="Y2840" s="47" t="s">
        <v>2248</v>
      </c>
      <c r="Z2840" s="47" t="s">
        <v>3001</v>
      </c>
      <c r="AA2840" s="48">
        <v>0.10672000000000001</v>
      </c>
      <c r="AB2840" s="13"/>
      <c r="AC2840" s="34">
        <v>2836</v>
      </c>
      <c r="AD2840" s="34" t="s">
        <v>4573</v>
      </c>
      <c r="AE2840" s="34" t="s">
        <v>4358</v>
      </c>
      <c r="AF2840" s="35">
        <v>2.9921370967741938E-2</v>
      </c>
    </row>
    <row r="2841" spans="19:32" x14ac:dyDescent="0.35">
      <c r="S2841" s="34">
        <v>2837</v>
      </c>
      <c r="T2841" s="34" t="s">
        <v>4284</v>
      </c>
      <c r="U2841" s="34" t="s">
        <v>2739</v>
      </c>
      <c r="V2841" s="35">
        <v>9.4939516129032271E-6</v>
      </c>
      <c r="W2841" s="13"/>
      <c r="X2841" s="34">
        <v>2837</v>
      </c>
      <c r="Y2841" s="34" t="s">
        <v>2248</v>
      </c>
      <c r="Z2841" s="34" t="s">
        <v>3001</v>
      </c>
      <c r="AA2841" s="35">
        <v>5.6895161290322594E-4</v>
      </c>
      <c r="AB2841" s="13"/>
      <c r="AC2841" s="47">
        <v>2837</v>
      </c>
      <c r="AD2841" s="47" t="s">
        <v>4573</v>
      </c>
      <c r="AE2841" s="47" t="s">
        <v>2618</v>
      </c>
      <c r="AF2841" s="56">
        <v>0</v>
      </c>
    </row>
    <row r="2842" spans="19:32" x14ac:dyDescent="0.35">
      <c r="S2842" s="34">
        <v>2838</v>
      </c>
      <c r="T2842" s="34" t="s">
        <v>4284</v>
      </c>
      <c r="U2842" s="34" t="s">
        <v>2737</v>
      </c>
      <c r="V2842" s="35">
        <v>2.6219758064516133E-4</v>
      </c>
      <c r="W2842" s="13"/>
      <c r="X2842" s="34">
        <v>2838</v>
      </c>
      <c r="Y2842" s="34" t="s">
        <v>2248</v>
      </c>
      <c r="Z2842" s="34" t="s">
        <v>4896</v>
      </c>
      <c r="AA2842" s="35">
        <v>7.1633064516129033E-4</v>
      </c>
      <c r="AB2842" s="13"/>
      <c r="AC2842" s="34">
        <v>2838</v>
      </c>
      <c r="AD2842" s="34" t="s">
        <v>4573</v>
      </c>
      <c r="AE2842" s="34" t="s">
        <v>4357</v>
      </c>
      <c r="AF2842" s="35">
        <v>1.2887096774193549</v>
      </c>
    </row>
    <row r="2843" spans="19:32" x14ac:dyDescent="0.35">
      <c r="S2843" s="47">
        <v>2839</v>
      </c>
      <c r="T2843" s="47" t="s">
        <v>4284</v>
      </c>
      <c r="U2843" s="47" t="s">
        <v>2775</v>
      </c>
      <c r="V2843" s="56">
        <v>12.879999999999999</v>
      </c>
      <c r="W2843" s="13"/>
      <c r="X2843" s="34">
        <v>2839</v>
      </c>
      <c r="Y2843" s="34" t="s">
        <v>2248</v>
      </c>
      <c r="Z2843" s="34" t="s">
        <v>3530</v>
      </c>
      <c r="AA2843" s="35">
        <v>7.643145161290323E-4</v>
      </c>
      <c r="AB2843" s="13"/>
      <c r="AC2843" s="34">
        <v>2839</v>
      </c>
      <c r="AD2843" s="34" t="s">
        <v>4573</v>
      </c>
      <c r="AE2843" s="34" t="s">
        <v>4354</v>
      </c>
      <c r="AF2843" s="35">
        <v>1.6211693548387098</v>
      </c>
    </row>
    <row r="2844" spans="19:32" x14ac:dyDescent="0.35">
      <c r="S2844" s="34">
        <v>2840</v>
      </c>
      <c r="T2844" s="34" t="s">
        <v>4284</v>
      </c>
      <c r="U2844" s="34" t="s">
        <v>2736</v>
      </c>
      <c r="V2844" s="35">
        <v>3.1429435483870969E-4</v>
      </c>
      <c r="W2844" s="13"/>
      <c r="X2844" s="34">
        <v>2840</v>
      </c>
      <c r="Y2844" s="34" t="s">
        <v>2248</v>
      </c>
      <c r="Z2844" s="34" t="s">
        <v>3432</v>
      </c>
      <c r="AA2844" s="35">
        <v>3.9758064516129035E-3</v>
      </c>
      <c r="AB2844" s="13"/>
      <c r="AC2844" s="34">
        <v>2840</v>
      </c>
      <c r="AD2844" s="34" t="s">
        <v>4573</v>
      </c>
      <c r="AE2844" s="34" t="s">
        <v>2617</v>
      </c>
      <c r="AF2844" s="35">
        <v>0.72318548387096782</v>
      </c>
    </row>
    <row r="2845" spans="19:32" x14ac:dyDescent="0.35">
      <c r="S2845" s="34">
        <v>2841</v>
      </c>
      <c r="T2845" s="34" t="s">
        <v>4284</v>
      </c>
      <c r="U2845" s="34" t="s">
        <v>2734</v>
      </c>
      <c r="V2845" s="35">
        <v>1.1310483870967743E-5</v>
      </c>
      <c r="W2845" s="13"/>
      <c r="X2845" s="34">
        <v>2841</v>
      </c>
      <c r="Y2845" s="34" t="s">
        <v>2248</v>
      </c>
      <c r="Z2845" s="34" t="s">
        <v>3527</v>
      </c>
      <c r="AA2845" s="35">
        <v>3.0949596774193549E-4</v>
      </c>
      <c r="AB2845" s="13"/>
      <c r="AC2845" s="47">
        <v>2841</v>
      </c>
      <c r="AD2845" s="47" t="s">
        <v>4573</v>
      </c>
      <c r="AE2845" s="47" t="s">
        <v>2617</v>
      </c>
      <c r="AF2845" s="56">
        <v>0.49588000000000004</v>
      </c>
    </row>
    <row r="2846" spans="19:32" x14ac:dyDescent="0.35">
      <c r="S2846" s="47">
        <v>2842</v>
      </c>
      <c r="T2846" s="47" t="s">
        <v>4284</v>
      </c>
      <c r="U2846" s="47" t="s">
        <v>2773</v>
      </c>
      <c r="V2846" s="56">
        <v>0</v>
      </c>
      <c r="W2846" s="13"/>
      <c r="X2846" s="34">
        <v>2842</v>
      </c>
      <c r="Y2846" s="34" t="s">
        <v>2248</v>
      </c>
      <c r="Z2846" s="34" t="s">
        <v>3525</v>
      </c>
      <c r="AA2846" s="35">
        <v>2.7385080645161292E-4</v>
      </c>
      <c r="AB2846" s="13"/>
      <c r="AC2846" s="34">
        <v>2842</v>
      </c>
      <c r="AD2846" s="34" t="s">
        <v>4573</v>
      </c>
      <c r="AE2846" s="34" t="s">
        <v>4352</v>
      </c>
      <c r="AF2846" s="35">
        <v>1.984475806451613E-12</v>
      </c>
    </row>
    <row r="2847" spans="19:32" x14ac:dyDescent="0.35">
      <c r="S2847" s="34">
        <v>2843</v>
      </c>
      <c r="T2847" s="34" t="s">
        <v>4284</v>
      </c>
      <c r="U2847" s="34" t="s">
        <v>2731</v>
      </c>
      <c r="V2847" s="35">
        <v>1.9330645161290324E-4</v>
      </c>
      <c r="W2847" s="13"/>
      <c r="X2847" s="34">
        <v>2843</v>
      </c>
      <c r="Y2847" s="34" t="s">
        <v>2248</v>
      </c>
      <c r="Z2847" s="34" t="s">
        <v>4895</v>
      </c>
      <c r="AA2847" s="35">
        <v>6.7520161290322584E-3</v>
      </c>
      <c r="AB2847" s="13"/>
      <c r="AC2847" s="47">
        <v>2843</v>
      </c>
      <c r="AD2847" s="47" t="s">
        <v>4573</v>
      </c>
      <c r="AE2847" s="47" t="s">
        <v>2615</v>
      </c>
      <c r="AF2847" s="56">
        <v>0.51336000000000004</v>
      </c>
    </row>
    <row r="2848" spans="19:32" x14ac:dyDescent="0.35">
      <c r="S2848" s="47">
        <v>2844</v>
      </c>
      <c r="T2848" s="47" t="s">
        <v>4284</v>
      </c>
      <c r="U2848" s="47" t="s">
        <v>2731</v>
      </c>
      <c r="V2848" s="56">
        <v>0</v>
      </c>
      <c r="W2848" s="13"/>
      <c r="X2848" s="34">
        <v>2844</v>
      </c>
      <c r="Y2848" s="34" t="s">
        <v>2248</v>
      </c>
      <c r="Z2848" s="34" t="s">
        <v>3522</v>
      </c>
      <c r="AA2848" s="35">
        <v>5.3467741935483873E-4</v>
      </c>
      <c r="AB2848" s="13"/>
      <c r="AC2848" s="34">
        <v>2844</v>
      </c>
      <c r="AD2848" s="34" t="s">
        <v>4573</v>
      </c>
      <c r="AE2848" s="34" t="s">
        <v>2613</v>
      </c>
      <c r="AF2848" s="35">
        <v>0.82943548387096777</v>
      </c>
    </row>
    <row r="2849" spans="19:32" x14ac:dyDescent="0.35">
      <c r="S2849" s="34">
        <v>2845</v>
      </c>
      <c r="T2849" s="34" t="s">
        <v>4284</v>
      </c>
      <c r="U2849" s="34" t="s">
        <v>2728</v>
      </c>
      <c r="V2849" s="35">
        <v>3.1360887096774199E-4</v>
      </c>
      <c r="W2849" s="13"/>
      <c r="X2849" s="82">
        <v>2845</v>
      </c>
      <c r="Y2849" s="82" t="s">
        <v>2248</v>
      </c>
      <c r="Z2849" s="82" t="s">
        <v>3519</v>
      </c>
      <c r="AA2849" s="83">
        <v>3.2389112903225811E-2</v>
      </c>
      <c r="AB2849" s="13"/>
      <c r="AC2849" s="47">
        <v>2845</v>
      </c>
      <c r="AD2849" s="47" t="s">
        <v>4573</v>
      </c>
      <c r="AE2849" s="47" t="s">
        <v>2613</v>
      </c>
      <c r="AF2849" s="56">
        <v>0</v>
      </c>
    </row>
    <row r="2850" spans="19:32" x14ac:dyDescent="0.35">
      <c r="S2850" s="34">
        <v>2846</v>
      </c>
      <c r="T2850" s="34" t="s">
        <v>4284</v>
      </c>
      <c r="U2850" s="34" t="s">
        <v>2725</v>
      </c>
      <c r="V2850" s="35">
        <v>6.2721774193548394E-3</v>
      </c>
      <c r="W2850" s="13"/>
      <c r="X2850" s="34">
        <v>2846</v>
      </c>
      <c r="Y2850" s="34" t="s">
        <v>2248</v>
      </c>
      <c r="Z2850" s="34" t="s">
        <v>4894</v>
      </c>
      <c r="AA2850" s="35">
        <v>4.4213709677419358E-4</v>
      </c>
      <c r="AB2850" s="13"/>
      <c r="AC2850" s="34">
        <v>2846</v>
      </c>
      <c r="AD2850" s="34" t="s">
        <v>4573</v>
      </c>
      <c r="AE2850" s="34" t="s">
        <v>4349</v>
      </c>
      <c r="AF2850" s="35">
        <v>0.83629032258064517</v>
      </c>
    </row>
    <row r="2851" spans="19:32" x14ac:dyDescent="0.35">
      <c r="S2851" s="47">
        <v>2847</v>
      </c>
      <c r="T2851" s="47" t="s">
        <v>4284</v>
      </c>
      <c r="U2851" s="47" t="s">
        <v>2771</v>
      </c>
      <c r="V2851" s="56">
        <v>0</v>
      </c>
      <c r="W2851" s="13"/>
      <c r="X2851" s="34">
        <v>2847</v>
      </c>
      <c r="Y2851" s="34" t="s">
        <v>2248</v>
      </c>
      <c r="Z2851" s="34" t="s">
        <v>3516</v>
      </c>
      <c r="AA2851" s="35">
        <v>3.7358870967741937E-4</v>
      </c>
      <c r="AB2851" s="13"/>
      <c r="AC2851" s="34">
        <v>2847</v>
      </c>
      <c r="AD2851" s="34" t="s">
        <v>4573</v>
      </c>
      <c r="AE2851" s="34" t="s">
        <v>4348</v>
      </c>
      <c r="AF2851" s="35">
        <v>4.3870967741935489E-2</v>
      </c>
    </row>
    <row r="2852" spans="19:32" x14ac:dyDescent="0.35">
      <c r="S2852" s="34">
        <v>2848</v>
      </c>
      <c r="T2852" s="34" t="s">
        <v>4284</v>
      </c>
      <c r="U2852" s="34" t="s">
        <v>2723</v>
      </c>
      <c r="V2852" s="35">
        <v>5.2096774193548386E-4</v>
      </c>
      <c r="W2852" s="13"/>
      <c r="X2852" s="34">
        <v>2848</v>
      </c>
      <c r="Y2852" s="34" t="s">
        <v>2248</v>
      </c>
      <c r="Z2852" s="34" t="s">
        <v>3513</v>
      </c>
      <c r="AA2852" s="35">
        <v>5.8951612903225814E-3</v>
      </c>
      <c r="AB2852" s="13"/>
      <c r="AC2852" s="34">
        <v>2848</v>
      </c>
      <c r="AD2852" s="34" t="s">
        <v>4573</v>
      </c>
      <c r="AE2852" s="34" t="s">
        <v>2612</v>
      </c>
      <c r="AF2852" s="35">
        <v>0.1240725806451613</v>
      </c>
    </row>
    <row r="2853" spans="19:32" x14ac:dyDescent="0.35">
      <c r="S2853" s="34">
        <v>2849</v>
      </c>
      <c r="T2853" s="34" t="s">
        <v>4284</v>
      </c>
      <c r="U2853" s="34" t="s">
        <v>2720</v>
      </c>
      <c r="V2853" s="35">
        <v>1.2578629032258066E-3</v>
      </c>
      <c r="W2853" s="13"/>
      <c r="X2853" s="34">
        <v>2849</v>
      </c>
      <c r="Y2853" s="34" t="s">
        <v>2248</v>
      </c>
      <c r="Z2853" s="34" t="s">
        <v>3511</v>
      </c>
      <c r="AA2853" s="35">
        <v>1.1241935483870969E-2</v>
      </c>
      <c r="AB2853" s="13"/>
      <c r="AC2853" s="47">
        <v>2849</v>
      </c>
      <c r="AD2853" s="47" t="s">
        <v>4573</v>
      </c>
      <c r="AE2853" s="47" t="s">
        <v>2612</v>
      </c>
      <c r="AF2853" s="56">
        <v>0</v>
      </c>
    </row>
    <row r="2854" spans="19:32" x14ac:dyDescent="0.35">
      <c r="S2854" s="47">
        <v>2850</v>
      </c>
      <c r="T2854" s="47" t="s">
        <v>4284</v>
      </c>
      <c r="U2854" s="47" t="s">
        <v>2769</v>
      </c>
      <c r="V2854" s="56">
        <v>0</v>
      </c>
      <c r="W2854" s="13"/>
      <c r="X2854" s="34">
        <v>2850</v>
      </c>
      <c r="Y2854" s="34" t="s">
        <v>2248</v>
      </c>
      <c r="Z2854" s="34" t="s">
        <v>4893</v>
      </c>
      <c r="AA2854" s="35">
        <v>8.2943548387096782E-4</v>
      </c>
      <c r="AB2854" s="13"/>
      <c r="AC2854" s="34">
        <v>2850</v>
      </c>
      <c r="AD2854" s="34" t="s">
        <v>4573</v>
      </c>
      <c r="AE2854" s="34" t="s">
        <v>4345</v>
      </c>
      <c r="AF2854" s="35">
        <v>3.4959677419354844E-2</v>
      </c>
    </row>
    <row r="2855" spans="19:32" x14ac:dyDescent="0.35">
      <c r="S2855" s="47">
        <v>2851</v>
      </c>
      <c r="T2855" s="47" t="s">
        <v>4284</v>
      </c>
      <c r="U2855" s="47" t="s">
        <v>2768</v>
      </c>
      <c r="V2855" s="56">
        <v>27.876000000000001</v>
      </c>
      <c r="W2855" s="13"/>
      <c r="X2855" s="34">
        <v>2851</v>
      </c>
      <c r="Y2855" s="34" t="s">
        <v>2248</v>
      </c>
      <c r="Z2855" s="34" t="s">
        <v>3508</v>
      </c>
      <c r="AA2855" s="35">
        <v>1.6622983870967743E-2</v>
      </c>
      <c r="AB2855" s="13"/>
      <c r="AC2855" s="34">
        <v>2851</v>
      </c>
      <c r="AD2855" s="34" t="s">
        <v>4573</v>
      </c>
      <c r="AE2855" s="34" t="s">
        <v>2610</v>
      </c>
      <c r="AF2855" s="35">
        <v>6.0665322580645165E-2</v>
      </c>
    </row>
    <row r="2856" spans="19:32" x14ac:dyDescent="0.35">
      <c r="S2856" s="47">
        <v>2852</v>
      </c>
      <c r="T2856" s="47" t="s">
        <v>4284</v>
      </c>
      <c r="U2856" s="47" t="s">
        <v>2766</v>
      </c>
      <c r="V2856" s="56">
        <v>33.763999999999996</v>
      </c>
      <c r="W2856" s="13"/>
      <c r="X2856" s="34">
        <v>2852</v>
      </c>
      <c r="Y2856" s="34" t="s">
        <v>2248</v>
      </c>
      <c r="Z2856" s="34" t="s">
        <v>3505</v>
      </c>
      <c r="AA2856" s="35">
        <v>1.5903225806451614E-3</v>
      </c>
      <c r="AB2856" s="13"/>
      <c r="AC2856" s="47">
        <v>2852</v>
      </c>
      <c r="AD2856" s="47" t="s">
        <v>4573</v>
      </c>
      <c r="AE2856" s="47" t="s">
        <v>2610</v>
      </c>
      <c r="AF2856" s="56">
        <v>0.31187999999999999</v>
      </c>
    </row>
    <row r="2857" spans="19:32" x14ac:dyDescent="0.35">
      <c r="S2857" s="47">
        <v>2853</v>
      </c>
      <c r="T2857" s="47" t="s">
        <v>4284</v>
      </c>
      <c r="U2857" s="47" t="s">
        <v>2765</v>
      </c>
      <c r="V2857" s="56">
        <v>1.4352</v>
      </c>
      <c r="W2857" s="13"/>
      <c r="X2857" s="34">
        <v>2853</v>
      </c>
      <c r="Y2857" s="34" t="s">
        <v>2248</v>
      </c>
      <c r="Z2857" s="34" t="s">
        <v>4892</v>
      </c>
      <c r="AA2857" s="35">
        <v>2.2552419354838712E-4</v>
      </c>
      <c r="AB2857" s="13"/>
      <c r="AC2857" s="34">
        <v>2853</v>
      </c>
      <c r="AD2857" s="34" t="s">
        <v>4573</v>
      </c>
      <c r="AE2857" s="34" t="s">
        <v>4343</v>
      </c>
      <c r="AF2857" s="35">
        <v>3.7358870967741938E-2</v>
      </c>
    </row>
    <row r="2858" spans="19:32" x14ac:dyDescent="0.35">
      <c r="S2858" s="47">
        <v>2854</v>
      </c>
      <c r="T2858" s="47" t="s">
        <v>4284</v>
      </c>
      <c r="U2858" s="47" t="s">
        <v>2763</v>
      </c>
      <c r="V2858" s="56">
        <v>0</v>
      </c>
      <c r="W2858" s="13"/>
      <c r="X2858" s="34">
        <v>2854</v>
      </c>
      <c r="Y2858" s="34" t="s">
        <v>2248</v>
      </c>
      <c r="Z2858" s="34" t="s">
        <v>3502</v>
      </c>
      <c r="AA2858" s="35">
        <v>0.16520161290322583</v>
      </c>
      <c r="AB2858" s="13"/>
      <c r="AC2858" s="34">
        <v>2854</v>
      </c>
      <c r="AD2858" s="34" t="s">
        <v>4573</v>
      </c>
      <c r="AE2858" s="34" t="s">
        <v>4342</v>
      </c>
      <c r="AF2858" s="35">
        <v>0.14360887096774194</v>
      </c>
    </row>
    <row r="2859" spans="19:32" x14ac:dyDescent="0.35">
      <c r="S2859" s="34">
        <v>2855</v>
      </c>
      <c r="T2859" s="34" t="s">
        <v>4284</v>
      </c>
      <c r="U2859" s="34" t="s">
        <v>2717</v>
      </c>
      <c r="V2859" s="35">
        <v>1.134475806451613E-2</v>
      </c>
      <c r="W2859" s="13"/>
      <c r="X2859" s="34">
        <v>2855</v>
      </c>
      <c r="Y2859" s="34" t="s">
        <v>2248</v>
      </c>
      <c r="Z2859" s="34" t="s">
        <v>3500</v>
      </c>
      <c r="AA2859" s="35">
        <v>1.1858870967741936E-2</v>
      </c>
      <c r="AB2859" s="13"/>
      <c r="AC2859" s="47">
        <v>2855</v>
      </c>
      <c r="AD2859" s="47" t="s">
        <v>4573</v>
      </c>
      <c r="AE2859" s="47" t="s">
        <v>2609</v>
      </c>
      <c r="AF2859" s="56">
        <v>0.10303999999999999</v>
      </c>
    </row>
    <row r="2860" spans="19:32" x14ac:dyDescent="0.35">
      <c r="S2860" s="47">
        <v>2856</v>
      </c>
      <c r="T2860" s="47" t="s">
        <v>4284</v>
      </c>
      <c r="U2860" s="47" t="s">
        <v>2717</v>
      </c>
      <c r="V2860" s="56">
        <v>0</v>
      </c>
      <c r="W2860" s="13"/>
      <c r="X2860" s="34">
        <v>2856</v>
      </c>
      <c r="Y2860" s="34" t="s">
        <v>2248</v>
      </c>
      <c r="Z2860" s="34" t="s">
        <v>4891</v>
      </c>
      <c r="AA2860" s="35">
        <v>1.9536290322580646E-4</v>
      </c>
      <c r="AB2860" s="13"/>
      <c r="AC2860" s="47">
        <v>2856</v>
      </c>
      <c r="AD2860" s="47" t="s">
        <v>4573</v>
      </c>
      <c r="AE2860" s="47" t="s">
        <v>2607</v>
      </c>
      <c r="AF2860" s="56">
        <v>0.77739999999999998</v>
      </c>
    </row>
    <row r="2861" spans="19:32" x14ac:dyDescent="0.35">
      <c r="S2861" s="47">
        <v>2857</v>
      </c>
      <c r="T2861" s="47" t="s">
        <v>4284</v>
      </c>
      <c r="U2861" s="47" t="s">
        <v>2761</v>
      </c>
      <c r="V2861" s="56">
        <v>39.467999999999996</v>
      </c>
      <c r="W2861" s="13"/>
      <c r="X2861" s="34">
        <v>2857</v>
      </c>
      <c r="Y2861" s="34" t="s">
        <v>2248</v>
      </c>
      <c r="Z2861" s="34" t="s">
        <v>3497</v>
      </c>
      <c r="AA2861" s="35">
        <v>2.5431451612903228E-3</v>
      </c>
      <c r="AB2861" s="13"/>
      <c r="AC2861" s="34">
        <v>2857</v>
      </c>
      <c r="AD2861" s="34" t="s">
        <v>4573</v>
      </c>
      <c r="AE2861" s="34" t="s">
        <v>4339</v>
      </c>
      <c r="AF2861" s="35">
        <v>3.4616935483870973E-2</v>
      </c>
    </row>
    <row r="2862" spans="19:32" x14ac:dyDescent="0.35">
      <c r="S2862" s="34">
        <v>2858</v>
      </c>
      <c r="T2862" s="34" t="s">
        <v>4284</v>
      </c>
      <c r="U2862" s="34" t="s">
        <v>2714</v>
      </c>
      <c r="V2862" s="35">
        <v>1.3949596774193549E-2</v>
      </c>
      <c r="W2862" s="13"/>
      <c r="X2862" s="47">
        <v>2858</v>
      </c>
      <c r="Y2862" s="47" t="s">
        <v>2248</v>
      </c>
      <c r="Z2862" s="47" t="s">
        <v>2999</v>
      </c>
      <c r="AA2862" s="48">
        <v>0.65964</v>
      </c>
      <c r="AB2862" s="13"/>
      <c r="AC2862" s="34">
        <v>2858</v>
      </c>
      <c r="AD2862" s="34" t="s">
        <v>4573</v>
      </c>
      <c r="AE2862" s="34" t="s">
        <v>4890</v>
      </c>
      <c r="AF2862" s="35">
        <v>2.090725806451613E-2</v>
      </c>
    </row>
    <row r="2863" spans="19:32" x14ac:dyDescent="0.35">
      <c r="S2863" s="47">
        <v>2859</v>
      </c>
      <c r="T2863" s="47" t="s">
        <v>4284</v>
      </c>
      <c r="U2863" s="47" t="s">
        <v>2760</v>
      </c>
      <c r="V2863" s="56">
        <v>0.43976000000000004</v>
      </c>
      <c r="W2863" s="13"/>
      <c r="X2863" s="34">
        <v>2859</v>
      </c>
      <c r="Y2863" s="34" t="s">
        <v>2248</v>
      </c>
      <c r="Z2863" s="34" t="s">
        <v>3431</v>
      </c>
      <c r="AA2863" s="35">
        <v>7.0604838709677423E-5</v>
      </c>
      <c r="AB2863" s="13"/>
      <c r="AC2863" s="34">
        <v>2859</v>
      </c>
      <c r="AD2863" s="34" t="s">
        <v>4573</v>
      </c>
      <c r="AE2863" s="34" t="s">
        <v>4338</v>
      </c>
      <c r="AF2863" s="35">
        <v>0.20735887096774194</v>
      </c>
    </row>
    <row r="2864" spans="19:32" x14ac:dyDescent="0.35">
      <c r="S2864" s="34">
        <v>2860</v>
      </c>
      <c r="T2864" s="34" t="s">
        <v>4284</v>
      </c>
      <c r="U2864" s="34" t="s">
        <v>2712</v>
      </c>
      <c r="V2864" s="35">
        <v>1.1002016129032259E-5</v>
      </c>
      <c r="W2864" s="13"/>
      <c r="X2864" s="47">
        <v>2860</v>
      </c>
      <c r="Y2864" s="47" t="s">
        <v>2248</v>
      </c>
      <c r="Z2864" s="47" t="s">
        <v>2997</v>
      </c>
      <c r="AA2864" s="48">
        <v>6.6516000000000004E-4</v>
      </c>
      <c r="AB2864" s="13"/>
      <c r="AC2864" s="34">
        <v>2860</v>
      </c>
      <c r="AD2864" s="34" t="s">
        <v>4573</v>
      </c>
      <c r="AE2864" s="34" t="s">
        <v>4337</v>
      </c>
      <c r="AF2864" s="35">
        <v>0.15663306451612904</v>
      </c>
    </row>
    <row r="2865" spans="19:32" x14ac:dyDescent="0.35">
      <c r="S2865" s="34">
        <v>2861</v>
      </c>
      <c r="T2865" s="34" t="s">
        <v>4284</v>
      </c>
      <c r="U2865" s="34" t="s">
        <v>2709</v>
      </c>
      <c r="V2865" s="35">
        <v>2.810483870967742E-5</v>
      </c>
      <c r="W2865" s="13"/>
      <c r="X2865" s="34">
        <v>2861</v>
      </c>
      <c r="Y2865" s="34" t="s">
        <v>2248</v>
      </c>
      <c r="Z2865" s="34" t="s">
        <v>2997</v>
      </c>
      <c r="AA2865" s="35">
        <v>0.11550403225806452</v>
      </c>
      <c r="AB2865" s="13"/>
      <c r="AC2865" s="34">
        <v>2861</v>
      </c>
      <c r="AD2865" s="34" t="s">
        <v>4573</v>
      </c>
      <c r="AE2865" s="34" t="s">
        <v>4335</v>
      </c>
      <c r="AF2865" s="35">
        <v>5.79233870967742E-2</v>
      </c>
    </row>
    <row r="2866" spans="19:32" x14ac:dyDescent="0.35">
      <c r="S2866" s="47">
        <v>2862</v>
      </c>
      <c r="T2866" s="47" t="s">
        <v>4284</v>
      </c>
      <c r="U2866" s="47" t="s">
        <v>2709</v>
      </c>
      <c r="V2866" s="56">
        <v>0.82431999999999994</v>
      </c>
      <c r="W2866" s="13"/>
      <c r="X2866" s="47">
        <v>2862</v>
      </c>
      <c r="Y2866" s="47" t="s">
        <v>2248</v>
      </c>
      <c r="Z2866" s="47" t="s">
        <v>2996</v>
      </c>
      <c r="AA2866" s="48">
        <v>3.2476000000000003</v>
      </c>
      <c r="AB2866" s="13"/>
      <c r="AC2866" s="34">
        <v>2862</v>
      </c>
      <c r="AD2866" s="34" t="s">
        <v>4573</v>
      </c>
      <c r="AE2866" s="34" t="s">
        <v>4334</v>
      </c>
      <c r="AF2866" s="35">
        <v>0.31258064516129036</v>
      </c>
    </row>
    <row r="2867" spans="19:32" x14ac:dyDescent="0.35">
      <c r="S2867" s="34">
        <v>2863</v>
      </c>
      <c r="T2867" s="34" t="s">
        <v>4284</v>
      </c>
      <c r="U2867" s="34" t="s">
        <v>2706</v>
      </c>
      <c r="V2867" s="35">
        <v>2.998991935483871E-6</v>
      </c>
      <c r="W2867" s="13"/>
      <c r="X2867" s="34">
        <v>2863</v>
      </c>
      <c r="Y2867" s="34" t="s">
        <v>2248</v>
      </c>
      <c r="Z2867" s="34" t="s">
        <v>4889</v>
      </c>
      <c r="AA2867" s="35">
        <v>6.4778225806451616E-3</v>
      </c>
      <c r="AB2867" s="13"/>
      <c r="AC2867" s="34">
        <v>2863</v>
      </c>
      <c r="AD2867" s="34" t="s">
        <v>4573</v>
      </c>
      <c r="AE2867" s="34" t="s">
        <v>4332</v>
      </c>
      <c r="AF2867" s="35">
        <v>0.15868951612903226</v>
      </c>
    </row>
    <row r="2868" spans="19:32" x14ac:dyDescent="0.35">
      <c r="S2868" s="34">
        <v>2864</v>
      </c>
      <c r="T2868" s="34" t="s">
        <v>4284</v>
      </c>
      <c r="U2868" s="34" t="s">
        <v>2703</v>
      </c>
      <c r="V2868" s="35">
        <v>1.4909274193548388E-3</v>
      </c>
      <c r="W2868" s="13"/>
      <c r="X2868" s="34">
        <v>2864</v>
      </c>
      <c r="Y2868" s="34" t="s">
        <v>2248</v>
      </c>
      <c r="Z2868" s="34" t="s">
        <v>2996</v>
      </c>
      <c r="AA2868" s="35">
        <v>2.3889112903225807E-3</v>
      </c>
      <c r="AB2868" s="13"/>
      <c r="AC2868" s="34">
        <v>2864</v>
      </c>
      <c r="AD2868" s="34" t="s">
        <v>4573</v>
      </c>
      <c r="AE2868" s="34" t="s">
        <v>4331</v>
      </c>
      <c r="AF2868" s="35">
        <v>1.2784274193548388</v>
      </c>
    </row>
    <row r="2869" spans="19:32" x14ac:dyDescent="0.35">
      <c r="S2869" s="47">
        <v>2865</v>
      </c>
      <c r="T2869" s="47" t="s">
        <v>4284</v>
      </c>
      <c r="U2869" s="47" t="s">
        <v>2703</v>
      </c>
      <c r="V2869" s="56">
        <v>0.24656000000000003</v>
      </c>
      <c r="W2869" s="13"/>
      <c r="X2869" s="34">
        <v>2865</v>
      </c>
      <c r="Y2869" s="34" t="s">
        <v>2248</v>
      </c>
      <c r="Z2869" s="34" t="s">
        <v>3490</v>
      </c>
      <c r="AA2869" s="35">
        <v>1.1721774193548389</v>
      </c>
      <c r="AB2869" s="13"/>
      <c r="AC2869" s="47">
        <v>2865</v>
      </c>
      <c r="AD2869" s="47" t="s">
        <v>4573</v>
      </c>
      <c r="AE2869" s="47" t="s">
        <v>2606</v>
      </c>
      <c r="AF2869" s="56">
        <v>0</v>
      </c>
    </row>
    <row r="2870" spans="19:32" x14ac:dyDescent="0.35">
      <c r="S2870" s="34">
        <v>2866</v>
      </c>
      <c r="T2870" s="34" t="s">
        <v>4284</v>
      </c>
      <c r="U2870" s="34" t="s">
        <v>2700</v>
      </c>
      <c r="V2870" s="35">
        <v>1.4326612903225807E-4</v>
      </c>
      <c r="W2870" s="13"/>
      <c r="X2870" s="34">
        <v>2866</v>
      </c>
      <c r="Y2870" s="34" t="s">
        <v>2248</v>
      </c>
      <c r="Z2870" s="34" t="s">
        <v>3430</v>
      </c>
      <c r="AA2870" s="35">
        <v>2.8036290322580645E-3</v>
      </c>
      <c r="AB2870" s="13"/>
      <c r="AC2870" s="34">
        <v>2866</v>
      </c>
      <c r="AD2870" s="34" t="s">
        <v>4573</v>
      </c>
      <c r="AE2870" s="34" t="s">
        <v>4329</v>
      </c>
      <c r="AF2870" s="35">
        <v>1.298991935483871</v>
      </c>
    </row>
    <row r="2871" spans="19:32" x14ac:dyDescent="0.35">
      <c r="S2871" s="34">
        <v>2867</v>
      </c>
      <c r="T2871" s="34" t="s">
        <v>4284</v>
      </c>
      <c r="U2871" s="34" t="s">
        <v>2698</v>
      </c>
      <c r="V2871" s="35">
        <v>3.7358870967741943E-5</v>
      </c>
      <c r="W2871" s="13"/>
      <c r="X2871" s="47">
        <v>2867</v>
      </c>
      <c r="Y2871" s="47" t="s">
        <v>2248</v>
      </c>
      <c r="Z2871" s="47" t="s">
        <v>2994</v>
      </c>
      <c r="AA2871" s="48">
        <v>0.10947999999999999</v>
      </c>
      <c r="AB2871" s="13"/>
      <c r="AC2871" s="34">
        <v>2867</v>
      </c>
      <c r="AD2871" s="34" t="s">
        <v>4573</v>
      </c>
      <c r="AE2871" s="34" t="s">
        <v>4328</v>
      </c>
      <c r="AF2871" s="35">
        <v>7.7116935483870969E-2</v>
      </c>
    </row>
    <row r="2872" spans="19:32" x14ac:dyDescent="0.35">
      <c r="S2872" s="47">
        <v>2868</v>
      </c>
      <c r="T2872" s="47" t="s">
        <v>4284</v>
      </c>
      <c r="U2872" s="47" t="s">
        <v>2698</v>
      </c>
      <c r="V2872" s="56">
        <v>0</v>
      </c>
      <c r="W2872" s="13"/>
      <c r="X2872" s="34">
        <v>2868</v>
      </c>
      <c r="Y2872" s="34" t="s">
        <v>2248</v>
      </c>
      <c r="Z2872" s="34" t="s">
        <v>2994</v>
      </c>
      <c r="AA2872" s="35">
        <v>1.1550403225806453E-3</v>
      </c>
      <c r="AB2872" s="13"/>
      <c r="AC2872" s="47">
        <v>2868</v>
      </c>
      <c r="AD2872" s="47" t="s">
        <v>4573</v>
      </c>
      <c r="AE2872" s="47" t="s">
        <v>2604</v>
      </c>
      <c r="AF2872" s="56">
        <v>0.24196000000000001</v>
      </c>
    </row>
    <row r="2873" spans="19:32" x14ac:dyDescent="0.35">
      <c r="S2873" s="34">
        <v>2869</v>
      </c>
      <c r="T2873" s="34" t="s">
        <v>4284</v>
      </c>
      <c r="U2873" s="34" t="s">
        <v>2695</v>
      </c>
      <c r="V2873" s="35">
        <v>2.4643145161290324E-4</v>
      </c>
      <c r="W2873" s="13"/>
      <c r="X2873" s="34">
        <v>2869</v>
      </c>
      <c r="Y2873" s="34" t="s">
        <v>2248</v>
      </c>
      <c r="Z2873" s="34" t="s">
        <v>4888</v>
      </c>
      <c r="AA2873" s="35">
        <v>2.4848790322580649E-2</v>
      </c>
      <c r="AB2873" s="13"/>
      <c r="AC2873" s="34">
        <v>2869</v>
      </c>
      <c r="AD2873" s="34" t="s">
        <v>4573</v>
      </c>
      <c r="AE2873" s="34" t="s">
        <v>4325</v>
      </c>
      <c r="AF2873" s="35">
        <v>0.25294354838709682</v>
      </c>
    </row>
    <row r="2874" spans="19:32" x14ac:dyDescent="0.35">
      <c r="S2874" s="34">
        <v>2870</v>
      </c>
      <c r="T2874" s="34" t="s">
        <v>4284</v>
      </c>
      <c r="U2874" s="34" t="s">
        <v>2692</v>
      </c>
      <c r="V2874" s="35">
        <v>3.7701612903225811E-4</v>
      </c>
      <c r="W2874" s="13"/>
      <c r="X2874" s="34">
        <v>2870</v>
      </c>
      <c r="Y2874" s="34" t="s">
        <v>2248</v>
      </c>
      <c r="Z2874" s="34" t="s">
        <v>3486</v>
      </c>
      <c r="AA2874" s="35">
        <v>7.5060483870967751E-5</v>
      </c>
      <c r="AB2874" s="13"/>
      <c r="AC2874" s="34">
        <v>2870</v>
      </c>
      <c r="AD2874" s="34" t="s">
        <v>4573</v>
      </c>
      <c r="AE2874" s="34" t="s">
        <v>4323</v>
      </c>
      <c r="AF2874" s="35">
        <v>5.6895161290322585E-2</v>
      </c>
    </row>
    <row r="2875" spans="19:32" x14ac:dyDescent="0.35">
      <c r="S2875" s="47">
        <v>2871</v>
      </c>
      <c r="T2875" s="47" t="s">
        <v>4284</v>
      </c>
      <c r="U2875" s="47" t="s">
        <v>2756</v>
      </c>
      <c r="V2875" s="56">
        <v>0.17663999999999999</v>
      </c>
      <c r="W2875" s="13"/>
      <c r="X2875" s="34">
        <v>2871</v>
      </c>
      <c r="Y2875" s="34" t="s">
        <v>2248</v>
      </c>
      <c r="Z2875" s="34" t="s">
        <v>3483</v>
      </c>
      <c r="AA2875" s="35">
        <v>2.4608870967741938E-3</v>
      </c>
      <c r="AB2875" s="13"/>
      <c r="AC2875" s="34">
        <v>2871</v>
      </c>
      <c r="AD2875" s="34" t="s">
        <v>4573</v>
      </c>
      <c r="AE2875" s="34" t="s">
        <v>4320</v>
      </c>
      <c r="AF2875" s="35">
        <v>0.1275</v>
      </c>
    </row>
    <row r="2876" spans="19:32" x14ac:dyDescent="0.35">
      <c r="S2876" s="34">
        <v>2872</v>
      </c>
      <c r="T2876" s="34" t="s">
        <v>4284</v>
      </c>
      <c r="U2876" s="34" t="s">
        <v>2691</v>
      </c>
      <c r="V2876" s="35">
        <v>1.5731854838709678E-3</v>
      </c>
      <c r="W2876" s="13"/>
      <c r="X2876" s="34">
        <v>2872</v>
      </c>
      <c r="Y2876" s="34" t="s">
        <v>2248</v>
      </c>
      <c r="Z2876" s="34" t="s">
        <v>4887</v>
      </c>
      <c r="AA2876" s="35">
        <v>1.1824596774193548E-3</v>
      </c>
      <c r="AB2876" s="13"/>
      <c r="AC2876" s="34">
        <v>2872</v>
      </c>
      <c r="AD2876" s="34" t="s">
        <v>4573</v>
      </c>
      <c r="AE2876" s="34" t="s">
        <v>2602</v>
      </c>
      <c r="AF2876" s="35">
        <v>3.1052419354838712</v>
      </c>
    </row>
    <row r="2877" spans="19:32" x14ac:dyDescent="0.35">
      <c r="S2877" s="34">
        <v>2873</v>
      </c>
      <c r="T2877" s="34" t="s">
        <v>4284</v>
      </c>
      <c r="U2877" s="34" t="s">
        <v>2690</v>
      </c>
      <c r="V2877" s="35">
        <v>1.4120967741935485E-6</v>
      </c>
      <c r="W2877" s="13"/>
      <c r="X2877" s="34">
        <v>2873</v>
      </c>
      <c r="Y2877" s="34" t="s">
        <v>2248</v>
      </c>
      <c r="Z2877" s="34" t="s">
        <v>3480</v>
      </c>
      <c r="AA2877" s="35">
        <v>4.010080645161291E-2</v>
      </c>
      <c r="AB2877" s="13"/>
      <c r="AC2877" s="47">
        <v>2873</v>
      </c>
      <c r="AD2877" s="47" t="s">
        <v>4573</v>
      </c>
      <c r="AE2877" s="47" t="s">
        <v>2602</v>
      </c>
      <c r="AF2877" s="56">
        <v>19.963999999999999</v>
      </c>
    </row>
    <row r="2878" spans="19:32" x14ac:dyDescent="0.35">
      <c r="S2878" s="34">
        <v>2874</v>
      </c>
      <c r="T2878" s="34" t="s">
        <v>4284</v>
      </c>
      <c r="U2878" s="34" t="s">
        <v>2687</v>
      </c>
      <c r="V2878" s="35">
        <v>4.2842741935483876E-5</v>
      </c>
      <c r="W2878" s="13"/>
      <c r="X2878" s="34">
        <v>2874</v>
      </c>
      <c r="Y2878" s="34" t="s">
        <v>2248</v>
      </c>
      <c r="Z2878" s="34" t="s">
        <v>4886</v>
      </c>
      <c r="AA2878" s="35">
        <v>3.3657258064516134E-3</v>
      </c>
      <c r="AB2878" s="13"/>
      <c r="AC2878" s="34">
        <v>2874</v>
      </c>
      <c r="AD2878" s="34" t="s">
        <v>4573</v>
      </c>
      <c r="AE2878" s="34" t="s">
        <v>4318</v>
      </c>
      <c r="AF2878" s="35">
        <v>1.0933467741935485E-7</v>
      </c>
    </row>
    <row r="2879" spans="19:32" x14ac:dyDescent="0.35">
      <c r="S2879" s="34">
        <v>2875</v>
      </c>
      <c r="T2879" s="34" t="s">
        <v>4284</v>
      </c>
      <c r="U2879" s="34" t="s">
        <v>2684</v>
      </c>
      <c r="V2879" s="35">
        <v>1.038508064516129E-3</v>
      </c>
      <c r="W2879" s="13"/>
      <c r="X2879" s="34">
        <v>2875</v>
      </c>
      <c r="Y2879" s="34" t="s">
        <v>2248</v>
      </c>
      <c r="Z2879" s="34" t="s">
        <v>3478</v>
      </c>
      <c r="AA2879" s="35">
        <v>1.4875000000000001E-5</v>
      </c>
      <c r="AB2879" s="13"/>
      <c r="AC2879" s="34">
        <v>2875</v>
      </c>
      <c r="AD2879" s="34" t="s">
        <v>4573</v>
      </c>
      <c r="AE2879" s="34" t="s">
        <v>4316</v>
      </c>
      <c r="AF2879" s="35">
        <v>2.0701612903225808</v>
      </c>
    </row>
    <row r="2880" spans="19:32" x14ac:dyDescent="0.35">
      <c r="S2880" s="47">
        <v>2876</v>
      </c>
      <c r="T2880" s="47" t="s">
        <v>4284</v>
      </c>
      <c r="U2880" s="47" t="s">
        <v>2684</v>
      </c>
      <c r="V2880" s="56">
        <v>0</v>
      </c>
      <c r="W2880" s="13"/>
      <c r="X2880" s="47">
        <v>2876</v>
      </c>
      <c r="Y2880" s="47" t="s">
        <v>2248</v>
      </c>
      <c r="Z2880" s="47" t="s">
        <v>2993</v>
      </c>
      <c r="AA2880" s="48">
        <v>0.50507999999999997</v>
      </c>
      <c r="AB2880" s="13"/>
      <c r="AC2880" s="47">
        <v>2876</v>
      </c>
      <c r="AD2880" s="47" t="s">
        <v>4573</v>
      </c>
      <c r="AE2880" s="47" t="s">
        <v>2601</v>
      </c>
      <c r="AF2880" s="56">
        <v>0.16008</v>
      </c>
    </row>
    <row r="2881" spans="19:32" x14ac:dyDescent="0.35">
      <c r="S2881" s="34">
        <v>2877</v>
      </c>
      <c r="T2881" s="34" t="s">
        <v>4284</v>
      </c>
      <c r="U2881" s="34" t="s">
        <v>2681</v>
      </c>
      <c r="V2881" s="35">
        <v>7.4717741935483879E-3</v>
      </c>
      <c r="W2881" s="13"/>
      <c r="X2881" s="34">
        <v>2877</v>
      </c>
      <c r="Y2881" s="34" t="s">
        <v>2248</v>
      </c>
      <c r="Z2881" s="34" t="s">
        <v>4885</v>
      </c>
      <c r="AA2881" s="35">
        <v>7.5745967741935484E-5</v>
      </c>
      <c r="AB2881" s="13"/>
      <c r="AC2881" s="34">
        <v>2877</v>
      </c>
      <c r="AD2881" s="34" t="s">
        <v>4573</v>
      </c>
      <c r="AE2881" s="34" t="s">
        <v>4315</v>
      </c>
      <c r="AF2881" s="35">
        <v>9.2883064516129044E-2</v>
      </c>
    </row>
    <row r="2882" spans="19:32" x14ac:dyDescent="0.35">
      <c r="S2882" s="34">
        <v>2878</v>
      </c>
      <c r="T2882" s="34" t="s">
        <v>4284</v>
      </c>
      <c r="U2882" s="34" t="s">
        <v>2679</v>
      </c>
      <c r="V2882" s="35">
        <v>8.5685483870967749E-2</v>
      </c>
      <c r="W2882" s="13"/>
      <c r="X2882" s="34">
        <v>2878</v>
      </c>
      <c r="Y2882" s="34" t="s">
        <v>2248</v>
      </c>
      <c r="Z2882" s="34" t="s">
        <v>3475</v>
      </c>
      <c r="AA2882" s="35">
        <v>2.7042338709677423E-3</v>
      </c>
      <c r="AB2882" s="13"/>
      <c r="AC2882" s="47">
        <v>2878</v>
      </c>
      <c r="AD2882" s="47" t="s">
        <v>4573</v>
      </c>
      <c r="AE2882" s="47" t="s">
        <v>2599</v>
      </c>
      <c r="AF2882" s="56">
        <v>0</v>
      </c>
    </row>
    <row r="2883" spans="19:32" x14ac:dyDescent="0.35">
      <c r="S2883" s="34">
        <v>2879</v>
      </c>
      <c r="T2883" s="34" t="s">
        <v>4284</v>
      </c>
      <c r="U2883" s="34" t="s">
        <v>2677</v>
      </c>
      <c r="V2883" s="35">
        <v>3.2834677419354842E-2</v>
      </c>
      <c r="W2883" s="13"/>
      <c r="X2883" s="34">
        <v>2879</v>
      </c>
      <c r="Y2883" s="34" t="s">
        <v>2248</v>
      </c>
      <c r="Z2883" s="34" t="s">
        <v>3472</v>
      </c>
      <c r="AA2883" s="35">
        <v>7.1975806451612912E-4</v>
      </c>
      <c r="AB2883" s="13"/>
      <c r="AC2883" s="34">
        <v>2879</v>
      </c>
      <c r="AD2883" s="34" t="s">
        <v>4573</v>
      </c>
      <c r="AE2883" s="34" t="s">
        <v>4313</v>
      </c>
      <c r="AF2883" s="35">
        <v>0.5346774193548387</v>
      </c>
    </row>
    <row r="2884" spans="19:32" x14ac:dyDescent="0.35">
      <c r="S2884" s="34">
        <v>2880</v>
      </c>
      <c r="T2884" s="34" t="s">
        <v>4284</v>
      </c>
      <c r="U2884" s="34" t="s">
        <v>2674</v>
      </c>
      <c r="V2884" s="35">
        <v>2.3306451612903231E-6</v>
      </c>
      <c r="W2884" s="13"/>
      <c r="X2884" s="34">
        <v>2880</v>
      </c>
      <c r="Y2884" s="34" t="s">
        <v>2248</v>
      </c>
      <c r="Z2884" s="34" t="s">
        <v>4884</v>
      </c>
      <c r="AA2884" s="35">
        <v>2.906451612903226E-3</v>
      </c>
      <c r="AB2884" s="13"/>
      <c r="AC2884" s="34">
        <v>2880</v>
      </c>
      <c r="AD2884" s="34" t="s">
        <v>4573</v>
      </c>
      <c r="AE2884" s="34" t="s">
        <v>4312</v>
      </c>
      <c r="AF2884" s="35">
        <v>0.5278225806451613</v>
      </c>
    </row>
    <row r="2885" spans="19:32" x14ac:dyDescent="0.35">
      <c r="S2885" s="34">
        <v>2881</v>
      </c>
      <c r="T2885" s="34" t="s">
        <v>4284</v>
      </c>
      <c r="U2885" s="34" t="s">
        <v>2671</v>
      </c>
      <c r="V2885" s="35">
        <v>2.6459677419354838E-4</v>
      </c>
      <c r="W2885" s="13"/>
      <c r="X2885" s="47">
        <v>2881</v>
      </c>
      <c r="Y2885" s="47" t="s">
        <v>2248</v>
      </c>
      <c r="Z2885" s="47" t="s">
        <v>2992</v>
      </c>
      <c r="AA2885" s="48">
        <v>3.2384E-5</v>
      </c>
      <c r="AB2885" s="13"/>
      <c r="AC2885" s="34">
        <v>2881</v>
      </c>
      <c r="AD2885" s="34" t="s">
        <v>4573</v>
      </c>
      <c r="AE2885" s="34" t="s">
        <v>4311</v>
      </c>
      <c r="AF2885" s="35">
        <v>5.9637096774193552E-3</v>
      </c>
    </row>
    <row r="2886" spans="19:32" x14ac:dyDescent="0.35">
      <c r="S2886" s="34">
        <v>2882</v>
      </c>
      <c r="T2886" s="34" t="s">
        <v>4284</v>
      </c>
      <c r="U2886" s="34" t="s">
        <v>2670</v>
      </c>
      <c r="V2886" s="35">
        <v>3.0538306451612904E-5</v>
      </c>
      <c r="W2886" s="13"/>
      <c r="X2886" s="34">
        <v>2882</v>
      </c>
      <c r="Y2886" s="34" t="s">
        <v>2248</v>
      </c>
      <c r="Z2886" s="34" t="s">
        <v>2992</v>
      </c>
      <c r="AA2886" s="35">
        <v>7.0262096774193543E-5</v>
      </c>
      <c r="AB2886" s="13"/>
      <c r="AC2886" s="34">
        <v>2882</v>
      </c>
      <c r="AD2886" s="34" t="s">
        <v>4573</v>
      </c>
      <c r="AE2886" s="34" t="s">
        <v>4309</v>
      </c>
      <c r="AF2886" s="35">
        <v>0.27110887096774194</v>
      </c>
    </row>
    <row r="2887" spans="19:32" x14ac:dyDescent="0.35">
      <c r="S2887" s="34">
        <v>2883</v>
      </c>
      <c r="T2887" s="34" t="s">
        <v>4284</v>
      </c>
      <c r="U2887" s="34" t="s">
        <v>2668</v>
      </c>
      <c r="V2887" s="35">
        <v>1.4018145161290323E-4</v>
      </c>
      <c r="W2887" s="13"/>
      <c r="X2887" s="34">
        <v>2883</v>
      </c>
      <c r="Y2887" s="34" t="s">
        <v>2248</v>
      </c>
      <c r="Z2887" s="34" t="s">
        <v>4883</v>
      </c>
      <c r="AA2887" s="35">
        <v>9.2197580645161296E-4</v>
      </c>
      <c r="AB2887" s="13"/>
      <c r="AC2887" s="34">
        <v>2883</v>
      </c>
      <c r="AD2887" s="34" t="s">
        <v>4573</v>
      </c>
      <c r="AE2887" s="34" t="s">
        <v>2598</v>
      </c>
      <c r="AF2887" s="35">
        <v>3.4959677419354844E-2</v>
      </c>
    </row>
    <row r="2888" spans="19:32" x14ac:dyDescent="0.35">
      <c r="S2888" s="34">
        <v>2884</v>
      </c>
      <c r="T2888" s="34" t="s">
        <v>4284</v>
      </c>
      <c r="U2888" s="34" t="s">
        <v>2666</v>
      </c>
      <c r="V2888" s="35">
        <v>5.620967741935484E-5</v>
      </c>
      <c r="W2888" s="13"/>
      <c r="X2888" s="34">
        <v>2884</v>
      </c>
      <c r="Y2888" s="34" t="s">
        <v>2248</v>
      </c>
      <c r="Z2888" s="34" t="s">
        <v>3468</v>
      </c>
      <c r="AA2888" s="35">
        <v>193.30645161290323</v>
      </c>
      <c r="AB2888" s="13"/>
      <c r="AC2888" s="47">
        <v>2884</v>
      </c>
      <c r="AD2888" s="47" t="s">
        <v>4573</v>
      </c>
      <c r="AE2888" s="47" t="s">
        <v>2598</v>
      </c>
      <c r="AF2888" s="56">
        <v>0</v>
      </c>
    </row>
    <row r="2889" spans="19:32" x14ac:dyDescent="0.35">
      <c r="S2889" s="34">
        <v>2885</v>
      </c>
      <c r="T2889" s="34" t="s">
        <v>4284</v>
      </c>
      <c r="U2889" s="34" t="s">
        <v>2664</v>
      </c>
      <c r="V2889" s="35">
        <v>6.0665322580645163E-4</v>
      </c>
      <c r="W2889" s="13"/>
      <c r="X2889" s="34">
        <v>2885</v>
      </c>
      <c r="Y2889" s="34" t="s">
        <v>2248</v>
      </c>
      <c r="Z2889" s="34" t="s">
        <v>3465</v>
      </c>
      <c r="AA2889" s="35">
        <v>5.449596774193549E-4</v>
      </c>
      <c r="AB2889" s="13"/>
      <c r="AC2889" s="34">
        <v>2885</v>
      </c>
      <c r="AD2889" s="34" t="s">
        <v>4573</v>
      </c>
      <c r="AE2889" s="34" t="s">
        <v>4308</v>
      </c>
      <c r="AF2889" s="35">
        <v>5.5181451612903226E-3</v>
      </c>
    </row>
    <row r="2890" spans="19:32" x14ac:dyDescent="0.35">
      <c r="S2890" s="34">
        <v>2886</v>
      </c>
      <c r="T2890" s="34" t="s">
        <v>4284</v>
      </c>
      <c r="U2890" s="34" t="s">
        <v>2661</v>
      </c>
      <c r="V2890" s="35">
        <v>0.89455645161290331</v>
      </c>
      <c r="W2890" s="13"/>
      <c r="X2890" s="34">
        <v>2886</v>
      </c>
      <c r="Y2890" s="34" t="s">
        <v>2248</v>
      </c>
      <c r="Z2890" s="34" t="s">
        <v>3462</v>
      </c>
      <c r="AA2890" s="35">
        <v>6.5806451612903227E-3</v>
      </c>
      <c r="AB2890" s="13"/>
      <c r="AC2890" s="34">
        <v>2886</v>
      </c>
      <c r="AD2890" s="34" t="s">
        <v>4573</v>
      </c>
      <c r="AE2890" s="34" t="s">
        <v>4307</v>
      </c>
      <c r="AF2890" s="35">
        <v>0.13366935483870968</v>
      </c>
    </row>
    <row r="2891" spans="19:32" x14ac:dyDescent="0.35">
      <c r="S2891" s="34">
        <v>2887</v>
      </c>
      <c r="T2891" s="34" t="s">
        <v>4284</v>
      </c>
      <c r="U2891" s="34" t="s">
        <v>2658</v>
      </c>
      <c r="V2891" s="35">
        <v>4.5927419354838719E-5</v>
      </c>
      <c r="W2891" s="13"/>
      <c r="X2891" s="34">
        <v>2887</v>
      </c>
      <c r="Y2891" s="34" t="s">
        <v>2248</v>
      </c>
      <c r="Z2891" s="34" t="s">
        <v>4882</v>
      </c>
      <c r="AA2891" s="35">
        <v>2.8687500000000002E-3</v>
      </c>
      <c r="AB2891" s="13"/>
      <c r="AC2891" s="34">
        <v>2887</v>
      </c>
      <c r="AD2891" s="34" t="s">
        <v>4573</v>
      </c>
      <c r="AE2891" s="34" t="s">
        <v>4305</v>
      </c>
      <c r="AF2891" s="35">
        <v>1.1721774193548388E-2</v>
      </c>
    </row>
    <row r="2892" spans="19:32" x14ac:dyDescent="0.35">
      <c r="S2892" s="34">
        <v>2888</v>
      </c>
      <c r="T2892" s="34" t="s">
        <v>4284</v>
      </c>
      <c r="U2892" s="34" t="s">
        <v>2656</v>
      </c>
      <c r="V2892" s="35">
        <v>1.6657258064516132E-4</v>
      </c>
      <c r="W2892" s="13"/>
      <c r="X2892" s="34">
        <v>2888</v>
      </c>
      <c r="Y2892" s="34" t="s">
        <v>2248</v>
      </c>
      <c r="Z2892" s="34" t="s">
        <v>3459</v>
      </c>
      <c r="AA2892" s="35">
        <v>2.7110887096774199E-4</v>
      </c>
      <c r="AB2892" s="13"/>
      <c r="AC2892" s="47">
        <v>2888</v>
      </c>
      <c r="AD2892" s="47" t="s">
        <v>4573</v>
      </c>
      <c r="AE2892" s="47" t="s">
        <v>2596</v>
      </c>
      <c r="AF2892" s="56">
        <v>783.84</v>
      </c>
    </row>
    <row r="2893" spans="19:32" x14ac:dyDescent="0.35">
      <c r="S2893" s="47">
        <v>2889</v>
      </c>
      <c r="T2893" s="47" t="s">
        <v>4284</v>
      </c>
      <c r="U2893" s="47" t="s">
        <v>2754</v>
      </c>
      <c r="V2893" s="56">
        <v>79.671999999999997</v>
      </c>
      <c r="W2893" s="13"/>
      <c r="X2893" s="34">
        <v>2889</v>
      </c>
      <c r="Y2893" s="34" t="s">
        <v>2248</v>
      </c>
      <c r="Z2893" s="34" t="s">
        <v>3456</v>
      </c>
      <c r="AA2893" s="35">
        <v>1.8473790322580646E-3</v>
      </c>
      <c r="AB2893" s="13"/>
      <c r="AC2893" s="34">
        <v>2889</v>
      </c>
      <c r="AD2893" s="34" t="s">
        <v>4573</v>
      </c>
      <c r="AE2893" s="34" t="s">
        <v>4303</v>
      </c>
      <c r="AF2893" s="35">
        <v>9.6995967741935493E-4</v>
      </c>
    </row>
    <row r="2894" spans="19:32" x14ac:dyDescent="0.35">
      <c r="S2894" s="34">
        <v>2890</v>
      </c>
      <c r="T2894" s="34" t="s">
        <v>4284</v>
      </c>
      <c r="U2894" s="34" t="s">
        <v>2653</v>
      </c>
      <c r="V2894" s="35">
        <v>3.6673387096774195</v>
      </c>
      <c r="W2894" s="13"/>
      <c r="X2894" s="34">
        <v>2890</v>
      </c>
      <c r="Y2894" s="34" t="s">
        <v>2248</v>
      </c>
      <c r="Z2894" s="34" t="s">
        <v>4881</v>
      </c>
      <c r="AA2894" s="35">
        <v>2.5122983870967745E-4</v>
      </c>
      <c r="AB2894" s="13"/>
      <c r="AC2894" s="47">
        <v>2890</v>
      </c>
      <c r="AD2894" s="47" t="s">
        <v>4573</v>
      </c>
      <c r="AE2894" s="47" t="s">
        <v>2595</v>
      </c>
      <c r="AF2894" s="56">
        <v>0.33948</v>
      </c>
    </row>
    <row r="2895" spans="19:32" x14ac:dyDescent="0.35">
      <c r="S2895" s="47">
        <v>2891</v>
      </c>
      <c r="T2895" s="47" t="s">
        <v>4284</v>
      </c>
      <c r="U2895" s="47" t="s">
        <v>2653</v>
      </c>
      <c r="V2895" s="56">
        <v>103.03999999999999</v>
      </c>
      <c r="W2895" s="13"/>
      <c r="X2895" s="34">
        <v>2891</v>
      </c>
      <c r="Y2895" s="34" t="s">
        <v>2248</v>
      </c>
      <c r="Z2895" s="34" t="s">
        <v>3454</v>
      </c>
      <c r="AA2895" s="35">
        <v>2.0461693548387101E-3</v>
      </c>
      <c r="AB2895" s="13"/>
      <c r="AC2895" s="34">
        <v>2891</v>
      </c>
      <c r="AD2895" s="34" t="s">
        <v>4573</v>
      </c>
      <c r="AE2895" s="34" t="s">
        <v>4301</v>
      </c>
      <c r="AF2895" s="35">
        <v>8.7399193548387099E-4</v>
      </c>
    </row>
    <row r="2896" spans="19:32" x14ac:dyDescent="0.35">
      <c r="S2896" s="34">
        <v>2892</v>
      </c>
      <c r="T2896" s="34" t="s">
        <v>4284</v>
      </c>
      <c r="U2896" s="34" t="s">
        <v>2650</v>
      </c>
      <c r="V2896" s="35">
        <v>0.55866935483870972</v>
      </c>
      <c r="W2896" s="13"/>
      <c r="X2896" s="47">
        <v>2892</v>
      </c>
      <c r="Y2896" s="47" t="s">
        <v>2248</v>
      </c>
      <c r="Z2896" s="47" t="s">
        <v>2991</v>
      </c>
      <c r="AA2896" s="48">
        <v>1.7296</v>
      </c>
      <c r="AB2896" s="13"/>
      <c r="AC2896" s="47">
        <v>2892</v>
      </c>
      <c r="AD2896" s="47" t="s">
        <v>4573</v>
      </c>
      <c r="AE2896" s="47" t="s">
        <v>2593</v>
      </c>
      <c r="AF2896" s="56">
        <v>0</v>
      </c>
    </row>
    <row r="2897" spans="19:32" x14ac:dyDescent="0.35">
      <c r="S2897" s="34">
        <v>2893</v>
      </c>
      <c r="T2897" s="34" t="s">
        <v>4284</v>
      </c>
      <c r="U2897" s="34" t="s">
        <v>2648</v>
      </c>
      <c r="V2897" s="35">
        <v>1.5868951612903226</v>
      </c>
      <c r="W2897" s="13"/>
      <c r="X2897" s="34">
        <v>2893</v>
      </c>
      <c r="Y2897" s="34" t="s">
        <v>2248</v>
      </c>
      <c r="Z2897" s="34" t="s">
        <v>2991</v>
      </c>
      <c r="AA2897" s="35">
        <v>5.0725806451612907E-5</v>
      </c>
      <c r="AB2897" s="13"/>
      <c r="AC2897" s="34">
        <v>2893</v>
      </c>
      <c r="AD2897" s="34" t="s">
        <v>4573</v>
      </c>
      <c r="AE2897" s="34" t="s">
        <v>2592</v>
      </c>
      <c r="AF2897" s="35">
        <v>0.51411290322580649</v>
      </c>
    </row>
    <row r="2898" spans="19:32" x14ac:dyDescent="0.35">
      <c r="S2898" s="47">
        <v>2894</v>
      </c>
      <c r="T2898" s="47" t="s">
        <v>4284</v>
      </c>
      <c r="U2898" s="47" t="s">
        <v>2648</v>
      </c>
      <c r="V2898" s="56">
        <v>0</v>
      </c>
      <c r="W2898" s="13"/>
      <c r="X2898" s="34">
        <v>2894</v>
      </c>
      <c r="Y2898" s="34" t="s">
        <v>2248</v>
      </c>
      <c r="Z2898" s="34" t="s">
        <v>4880</v>
      </c>
      <c r="AA2898" s="35">
        <v>1.0796370967741937E-3</v>
      </c>
      <c r="AB2898" s="13"/>
      <c r="AC2898" s="47">
        <v>2894</v>
      </c>
      <c r="AD2898" s="47" t="s">
        <v>4573</v>
      </c>
      <c r="AE2898" s="47" t="s">
        <v>2592</v>
      </c>
      <c r="AF2898" s="56">
        <v>0</v>
      </c>
    </row>
    <row r="2899" spans="19:32" x14ac:dyDescent="0.35">
      <c r="S2899" s="34">
        <v>2895</v>
      </c>
      <c r="T2899" s="34" t="s">
        <v>4284</v>
      </c>
      <c r="U2899" s="34" t="s">
        <v>2646</v>
      </c>
      <c r="V2899" s="35">
        <v>6.546370967741936E-4</v>
      </c>
      <c r="W2899" s="13"/>
      <c r="X2899" s="34">
        <v>2895</v>
      </c>
      <c r="Y2899" s="34" t="s">
        <v>2248</v>
      </c>
      <c r="Z2899" s="34" t="s">
        <v>3449</v>
      </c>
      <c r="AA2899" s="35">
        <v>3.4616935483870972E-5</v>
      </c>
      <c r="AB2899" s="13"/>
      <c r="AC2899" s="34">
        <v>2895</v>
      </c>
      <c r="AD2899" s="34" t="s">
        <v>4573</v>
      </c>
      <c r="AE2899" s="34" t="s">
        <v>2590</v>
      </c>
      <c r="AF2899" s="35">
        <v>13.12701612903226</v>
      </c>
    </row>
    <row r="2900" spans="19:32" x14ac:dyDescent="0.35">
      <c r="S2900" s="34">
        <v>2896</v>
      </c>
      <c r="T2900" s="34" t="s">
        <v>4284</v>
      </c>
      <c r="U2900" s="34" t="s">
        <v>2644</v>
      </c>
      <c r="V2900" s="35">
        <v>0.65463709677419357</v>
      </c>
      <c r="W2900" s="13"/>
      <c r="X2900" s="34">
        <v>2896</v>
      </c>
      <c r="Y2900" s="34" t="s">
        <v>2248</v>
      </c>
      <c r="Z2900" s="34" t="s">
        <v>3427</v>
      </c>
      <c r="AA2900" s="35">
        <v>1.5149193548387097E-4</v>
      </c>
      <c r="AB2900" s="13"/>
      <c r="AC2900" s="47">
        <v>2896</v>
      </c>
      <c r="AD2900" s="47" t="s">
        <v>4573</v>
      </c>
      <c r="AE2900" s="47" t="s">
        <v>2590</v>
      </c>
      <c r="AF2900" s="56">
        <v>0</v>
      </c>
    </row>
    <row r="2901" spans="19:32" x14ac:dyDescent="0.35">
      <c r="S2901" s="47">
        <v>2897</v>
      </c>
      <c r="T2901" s="47" t="s">
        <v>4284</v>
      </c>
      <c r="U2901" s="47" t="s">
        <v>2644</v>
      </c>
      <c r="V2901" s="56">
        <v>0</v>
      </c>
      <c r="W2901" s="13"/>
      <c r="X2901" s="47">
        <v>2897</v>
      </c>
      <c r="Y2901" s="47" t="s">
        <v>2248</v>
      </c>
      <c r="Z2901" s="47" t="s">
        <v>2989</v>
      </c>
      <c r="AA2901" s="48">
        <v>6.8171999999999998E-3</v>
      </c>
      <c r="AB2901" s="13"/>
      <c r="AC2901" s="34">
        <v>2897</v>
      </c>
      <c r="AD2901" s="34" t="s">
        <v>4573</v>
      </c>
      <c r="AE2901" s="34" t="s">
        <v>4298</v>
      </c>
      <c r="AF2901" s="35">
        <v>20.256048387096776</v>
      </c>
    </row>
    <row r="2902" spans="19:32" x14ac:dyDescent="0.35">
      <c r="S2902" s="34">
        <v>2898</v>
      </c>
      <c r="T2902" s="34" t="s">
        <v>4284</v>
      </c>
      <c r="U2902" s="34" t="s">
        <v>2643</v>
      </c>
      <c r="V2902" s="35">
        <v>1.3846774193548388E-3</v>
      </c>
      <c r="W2902" s="13"/>
      <c r="X2902" s="34">
        <v>2898</v>
      </c>
      <c r="Y2902" s="34" t="s">
        <v>2248</v>
      </c>
      <c r="Z2902" s="34" t="s">
        <v>2989</v>
      </c>
      <c r="AA2902" s="35">
        <v>1.0076612903225806E-5</v>
      </c>
      <c r="AB2902" s="13"/>
      <c r="AC2902" s="34">
        <v>2898</v>
      </c>
      <c r="AD2902" s="34" t="s">
        <v>4573</v>
      </c>
      <c r="AE2902" s="34" t="s">
        <v>4296</v>
      </c>
      <c r="AF2902" s="35">
        <v>5.6209677419354835E-4</v>
      </c>
    </row>
    <row r="2903" spans="19:32" x14ac:dyDescent="0.35">
      <c r="S2903" s="34">
        <v>2899</v>
      </c>
      <c r="T2903" s="34" t="s">
        <v>4284</v>
      </c>
      <c r="U2903" s="34" t="s">
        <v>2640</v>
      </c>
      <c r="V2903" s="35">
        <v>3.6673387096774195E-2</v>
      </c>
      <c r="W2903" s="13"/>
      <c r="X2903" s="34">
        <v>2899</v>
      </c>
      <c r="Y2903" s="34" t="s">
        <v>2248</v>
      </c>
      <c r="Z2903" s="34" t="s">
        <v>3445</v>
      </c>
      <c r="AA2903" s="35">
        <v>1.1481854838709677</v>
      </c>
      <c r="AB2903" s="13"/>
      <c r="AC2903" s="47">
        <v>2899</v>
      </c>
      <c r="AD2903" s="47" t="s">
        <v>4573</v>
      </c>
      <c r="AE2903" s="47" t="s">
        <v>2588</v>
      </c>
      <c r="AF2903" s="56">
        <v>2.6312000000000002</v>
      </c>
    </row>
    <row r="2904" spans="19:32" x14ac:dyDescent="0.35">
      <c r="S2904" s="34">
        <v>2900</v>
      </c>
      <c r="T2904" s="34" t="s">
        <v>4284</v>
      </c>
      <c r="U2904" s="34" t="s">
        <v>2639</v>
      </c>
      <c r="V2904" s="35">
        <v>3.7016129032258068E-4</v>
      </c>
      <c r="W2904" s="13"/>
      <c r="X2904" s="34">
        <v>2900</v>
      </c>
      <c r="Y2904" s="34" t="s">
        <v>2248</v>
      </c>
      <c r="Z2904" s="34" t="s">
        <v>3425</v>
      </c>
      <c r="AA2904" s="35">
        <v>4.2157258064516134E-4</v>
      </c>
      <c r="AB2904" s="13"/>
      <c r="AC2904" s="34">
        <v>2900</v>
      </c>
      <c r="AD2904" s="34" t="s">
        <v>4573</v>
      </c>
      <c r="AE2904" s="34" t="s">
        <v>4294</v>
      </c>
      <c r="AF2904" s="35">
        <v>14.497983870967744</v>
      </c>
    </row>
    <row r="2905" spans="19:32" x14ac:dyDescent="0.35">
      <c r="S2905" s="47">
        <v>2901</v>
      </c>
      <c r="T2905" s="47" t="s">
        <v>4284</v>
      </c>
      <c r="U2905" s="47" t="s">
        <v>2639</v>
      </c>
      <c r="V2905" s="56">
        <v>0</v>
      </c>
      <c r="W2905" s="13"/>
      <c r="X2905" s="47">
        <v>2901</v>
      </c>
      <c r="Y2905" s="47" t="s">
        <v>2248</v>
      </c>
      <c r="Z2905" s="47" t="s">
        <v>2987</v>
      </c>
      <c r="AA2905" s="48">
        <v>7.1300000000000001E-3</v>
      </c>
      <c r="AB2905" s="13"/>
      <c r="AC2905" s="34">
        <v>2901</v>
      </c>
      <c r="AD2905" s="34" t="s">
        <v>4573</v>
      </c>
      <c r="AE2905" s="34" t="s">
        <v>4292</v>
      </c>
      <c r="AF2905" s="35">
        <v>3.252620967741936E-3</v>
      </c>
    </row>
    <row r="2906" spans="19:32" x14ac:dyDescent="0.35">
      <c r="S2906" s="47">
        <v>2902</v>
      </c>
      <c r="T2906" s="47" t="s">
        <v>4284</v>
      </c>
      <c r="U2906" s="47" t="s">
        <v>2750</v>
      </c>
      <c r="V2906" s="56">
        <v>1.1867999999999999</v>
      </c>
      <c r="W2906" s="13"/>
      <c r="X2906" s="34">
        <v>2902</v>
      </c>
      <c r="Y2906" s="34" t="s">
        <v>2248</v>
      </c>
      <c r="Z2906" s="34" t="s">
        <v>2987</v>
      </c>
      <c r="AA2906" s="35">
        <v>3.0504032258064521E-4</v>
      </c>
      <c r="AB2906" s="13"/>
      <c r="AC2906" s="34">
        <v>2902</v>
      </c>
      <c r="AD2906" s="34" t="s">
        <v>4573</v>
      </c>
      <c r="AE2906" s="34" t="s">
        <v>4291</v>
      </c>
      <c r="AF2906" s="35">
        <v>2.5294354838709681</v>
      </c>
    </row>
    <row r="2907" spans="19:32" x14ac:dyDescent="0.35">
      <c r="S2907" s="47">
        <v>2903</v>
      </c>
      <c r="T2907" s="47" t="s">
        <v>4284</v>
      </c>
      <c r="U2907" s="47" t="s">
        <v>2749</v>
      </c>
      <c r="V2907" s="56">
        <v>16.559999999999999</v>
      </c>
      <c r="W2907" s="13"/>
      <c r="X2907" s="47">
        <v>2903</v>
      </c>
      <c r="Y2907" s="47" t="s">
        <v>2248</v>
      </c>
      <c r="Z2907" s="47" t="s">
        <v>2986</v>
      </c>
      <c r="AA2907" s="48">
        <v>7.3324E-2</v>
      </c>
      <c r="AB2907" s="13"/>
      <c r="AC2907" s="34">
        <v>2903</v>
      </c>
      <c r="AD2907" s="34" t="s">
        <v>4573</v>
      </c>
      <c r="AE2907" s="34" t="s">
        <v>4289</v>
      </c>
      <c r="AF2907" s="35">
        <v>47.298387096774199</v>
      </c>
    </row>
    <row r="2908" spans="19:32" x14ac:dyDescent="0.35">
      <c r="S2908" s="47">
        <v>2904</v>
      </c>
      <c r="T2908" s="47" t="s">
        <v>4284</v>
      </c>
      <c r="U2908" s="47" t="s">
        <v>2747</v>
      </c>
      <c r="V2908" s="56">
        <v>20.423999999999999</v>
      </c>
      <c r="W2908" s="13"/>
      <c r="X2908" s="34">
        <v>2904</v>
      </c>
      <c r="Y2908" s="34" t="s">
        <v>2248</v>
      </c>
      <c r="Z2908" s="34" t="s">
        <v>4879</v>
      </c>
      <c r="AA2908" s="35">
        <v>3.1497983870967744E-3</v>
      </c>
      <c r="AB2908" s="13"/>
      <c r="AC2908" s="34">
        <v>2904</v>
      </c>
      <c r="AD2908" s="34" t="s">
        <v>4573</v>
      </c>
      <c r="AE2908" s="34" t="s">
        <v>2587</v>
      </c>
      <c r="AF2908" s="35">
        <v>6.8891129032258069</v>
      </c>
    </row>
    <row r="2909" spans="19:32" x14ac:dyDescent="0.35">
      <c r="S2909" s="47">
        <v>2905</v>
      </c>
      <c r="T2909" s="47" t="s">
        <v>4284</v>
      </c>
      <c r="U2909" s="47" t="s">
        <v>2746</v>
      </c>
      <c r="V2909" s="56">
        <v>1.1776</v>
      </c>
      <c r="W2909" s="13"/>
      <c r="X2909" s="34">
        <v>2905</v>
      </c>
      <c r="Y2909" s="34" t="s">
        <v>2248</v>
      </c>
      <c r="Z2909" s="34" t="s">
        <v>3440</v>
      </c>
      <c r="AA2909" s="35">
        <v>3.4616935483870972E-5</v>
      </c>
      <c r="AB2909" s="13"/>
      <c r="AC2909" s="47">
        <v>2905</v>
      </c>
      <c r="AD2909" s="47" t="s">
        <v>4573</v>
      </c>
      <c r="AE2909" s="47" t="s">
        <v>2587</v>
      </c>
      <c r="AF2909" s="56">
        <v>0</v>
      </c>
    </row>
    <row r="2910" spans="19:32" x14ac:dyDescent="0.35">
      <c r="S2910" s="34">
        <v>2906</v>
      </c>
      <c r="T2910" s="34" t="s">
        <v>4284</v>
      </c>
      <c r="U2910" s="34" t="s">
        <v>2637</v>
      </c>
      <c r="V2910" s="35">
        <v>1.8610887096774196E-2</v>
      </c>
      <c r="W2910" s="13"/>
      <c r="X2910" s="47">
        <v>2906</v>
      </c>
      <c r="Y2910" s="47" t="s">
        <v>2248</v>
      </c>
      <c r="Z2910" s="47" t="s">
        <v>2984</v>
      </c>
      <c r="AA2910" s="48">
        <v>0.11684000000000001</v>
      </c>
      <c r="AB2910" s="13"/>
      <c r="AC2910" s="36">
        <v>2906</v>
      </c>
      <c r="AD2910" s="36" t="s">
        <v>4573</v>
      </c>
      <c r="AE2910" s="36" t="s">
        <v>4287</v>
      </c>
      <c r="AF2910" s="37">
        <v>4.7</v>
      </c>
    </row>
    <row r="2911" spans="19:32" x14ac:dyDescent="0.35">
      <c r="S2911" s="34">
        <v>2907</v>
      </c>
      <c r="T2911" s="34" t="s">
        <v>4284</v>
      </c>
      <c r="U2911" s="34" t="s">
        <v>2635</v>
      </c>
      <c r="V2911" s="35">
        <v>1.0145161290322582E-2</v>
      </c>
      <c r="W2911" s="13"/>
      <c r="X2911" s="34">
        <v>2907</v>
      </c>
      <c r="Y2911" s="34" t="s">
        <v>2248</v>
      </c>
      <c r="Z2911" s="34" t="s">
        <v>4878</v>
      </c>
      <c r="AA2911" s="35">
        <v>4.1129032258064518E-5</v>
      </c>
      <c r="AB2911" s="13"/>
      <c r="AC2911" s="34">
        <v>2907</v>
      </c>
      <c r="AD2911" s="34" t="s">
        <v>4573</v>
      </c>
      <c r="AE2911" s="34" t="s">
        <v>2585</v>
      </c>
      <c r="AF2911" s="35">
        <v>9.1854838709677438E-5</v>
      </c>
    </row>
    <row r="2912" spans="19:32" x14ac:dyDescent="0.35">
      <c r="S2912" s="41">
        <v>2908</v>
      </c>
      <c r="T2912" s="41" t="s">
        <v>4284</v>
      </c>
      <c r="U2912" s="41" t="s">
        <v>4877</v>
      </c>
      <c r="V2912" s="42">
        <v>4.7</v>
      </c>
      <c r="W2912" s="13"/>
      <c r="X2912" s="47">
        <v>2908</v>
      </c>
      <c r="Y2912" s="47" t="s">
        <v>2248</v>
      </c>
      <c r="Z2912" s="47" t="s">
        <v>2983</v>
      </c>
      <c r="AA2912" s="48">
        <v>0</v>
      </c>
      <c r="AB2912" s="13"/>
      <c r="AC2912" s="47">
        <v>2908</v>
      </c>
      <c r="AD2912" s="47" t="s">
        <v>4573</v>
      </c>
      <c r="AE2912" s="47" t="s">
        <v>2585</v>
      </c>
      <c r="AF2912" s="56">
        <v>0.21988000000000002</v>
      </c>
    </row>
    <row r="2913" spans="19:32" x14ac:dyDescent="0.35">
      <c r="S2913" s="41">
        <v>2909</v>
      </c>
      <c r="T2913" s="41" t="s">
        <v>4284</v>
      </c>
      <c r="U2913" s="41" t="s">
        <v>4876</v>
      </c>
      <c r="V2913" s="42">
        <v>4.6059999999999999</v>
      </c>
      <c r="W2913" s="13"/>
      <c r="X2913" s="34">
        <v>2909</v>
      </c>
      <c r="Y2913" s="34" t="s">
        <v>2248</v>
      </c>
      <c r="Z2913" s="34" t="s">
        <v>3437</v>
      </c>
      <c r="AA2913" s="35">
        <v>8.4657258064516137E-4</v>
      </c>
      <c r="AB2913" s="13"/>
      <c r="AC2913" s="34">
        <v>2909</v>
      </c>
      <c r="AD2913" s="34" t="s">
        <v>4573</v>
      </c>
      <c r="AE2913" s="34" t="s">
        <v>2584</v>
      </c>
      <c r="AF2913" s="35">
        <v>1.501209677419355E-2</v>
      </c>
    </row>
    <row r="2914" spans="19:32" x14ac:dyDescent="0.35">
      <c r="S2914" s="34">
        <v>2910</v>
      </c>
      <c r="T2914" s="34" t="s">
        <v>4284</v>
      </c>
      <c r="U2914" s="34" t="s">
        <v>2633</v>
      </c>
      <c r="V2914" s="35">
        <v>1.0110887096774195E-4</v>
      </c>
      <c r="W2914" s="13"/>
      <c r="X2914" s="34">
        <v>2910</v>
      </c>
      <c r="Y2914" s="34" t="s">
        <v>2248</v>
      </c>
      <c r="Z2914" s="34" t="s">
        <v>4875</v>
      </c>
      <c r="AA2914" s="35">
        <v>0.14395161290322581</v>
      </c>
      <c r="AB2914" s="13"/>
      <c r="AC2914" s="47">
        <v>2910</v>
      </c>
      <c r="AD2914" s="47" t="s">
        <v>4573</v>
      </c>
      <c r="AE2914" s="47" t="s">
        <v>2584</v>
      </c>
      <c r="AF2914" s="56">
        <v>0.97520000000000007</v>
      </c>
    </row>
    <row r="2915" spans="19:32" x14ac:dyDescent="0.35">
      <c r="S2915" s="47">
        <v>2911</v>
      </c>
      <c r="T2915" s="47" t="s">
        <v>4284</v>
      </c>
      <c r="U2915" s="47" t="s">
        <v>2633</v>
      </c>
      <c r="V2915" s="56">
        <v>1.9872000000000001E-2</v>
      </c>
      <c r="W2915" s="13"/>
      <c r="X2915" s="47">
        <v>2911</v>
      </c>
      <c r="Y2915" s="47" t="s">
        <v>2248</v>
      </c>
      <c r="Z2915" s="47" t="s">
        <v>2981</v>
      </c>
      <c r="AA2915" s="48">
        <v>0</v>
      </c>
      <c r="AB2915" s="13"/>
      <c r="AC2915" s="34">
        <v>2911</v>
      </c>
      <c r="AD2915" s="34" t="s">
        <v>4573</v>
      </c>
      <c r="AE2915" s="34" t="s">
        <v>4281</v>
      </c>
      <c r="AF2915" s="35">
        <v>1.878225806451613E-3</v>
      </c>
    </row>
    <row r="2916" spans="19:32" x14ac:dyDescent="0.35">
      <c r="S2916" s="41">
        <v>2912</v>
      </c>
      <c r="T2916" s="41" t="s">
        <v>4284</v>
      </c>
      <c r="U2916" s="41" t="s">
        <v>4874</v>
      </c>
      <c r="V2916" s="42">
        <v>6.3638000000000003</v>
      </c>
      <c r="W2916" s="13"/>
      <c r="X2916" s="34">
        <v>2912</v>
      </c>
      <c r="Y2916" s="34" t="s">
        <v>2248</v>
      </c>
      <c r="Z2916" s="34" t="s">
        <v>3434</v>
      </c>
      <c r="AA2916" s="35">
        <v>1.4052419354838709E-4</v>
      </c>
      <c r="AB2916" s="13"/>
      <c r="AC2916" s="34">
        <v>2912</v>
      </c>
      <c r="AD2916" s="34" t="s">
        <v>4573</v>
      </c>
      <c r="AE2916" s="34" t="s">
        <v>4280</v>
      </c>
      <c r="AF2916" s="35">
        <v>4.8669354838709678E-3</v>
      </c>
    </row>
    <row r="2917" spans="19:32" x14ac:dyDescent="0.35">
      <c r="S2917" s="34">
        <v>2913</v>
      </c>
      <c r="T2917" s="34" t="s">
        <v>4284</v>
      </c>
      <c r="U2917" s="34" t="s">
        <v>2630</v>
      </c>
      <c r="V2917" s="35">
        <v>1.5868951612903225E-3</v>
      </c>
      <c r="W2917" s="13"/>
      <c r="X2917" s="47">
        <v>2913</v>
      </c>
      <c r="Y2917" s="47" t="s">
        <v>2248</v>
      </c>
      <c r="Z2917" s="47" t="s">
        <v>2980</v>
      </c>
      <c r="AA2917" s="48">
        <v>1.5824</v>
      </c>
      <c r="AB2917" s="13"/>
      <c r="AC2917" s="34">
        <v>2913</v>
      </c>
      <c r="AD2917" s="34" t="s">
        <v>4573</v>
      </c>
      <c r="AE2917" s="34" t="s">
        <v>4279</v>
      </c>
      <c r="AF2917" s="35">
        <v>1.3949596774193549E-2</v>
      </c>
    </row>
    <row r="2918" spans="19:32" x14ac:dyDescent="0.35">
      <c r="S2918" s="47">
        <v>2914</v>
      </c>
      <c r="T2918" s="47" t="s">
        <v>4284</v>
      </c>
      <c r="U2918" s="47" t="s">
        <v>2630</v>
      </c>
      <c r="V2918" s="56">
        <v>3.0175999999999998</v>
      </c>
      <c r="W2918" s="13"/>
      <c r="X2918" s="34">
        <v>2914</v>
      </c>
      <c r="Y2918" s="34" t="s">
        <v>2248</v>
      </c>
      <c r="Z2918" s="34" t="s">
        <v>4873</v>
      </c>
      <c r="AA2918" s="35">
        <v>1.1139112903225806E-3</v>
      </c>
      <c r="AB2918" s="13"/>
      <c r="AC2918" s="47">
        <v>2914</v>
      </c>
      <c r="AD2918" s="47" t="s">
        <v>4573</v>
      </c>
      <c r="AE2918" s="47" t="s">
        <v>2582</v>
      </c>
      <c r="AF2918" s="56">
        <v>0</v>
      </c>
    </row>
    <row r="2919" spans="19:32" x14ac:dyDescent="0.35">
      <c r="S2919" s="47">
        <v>2915</v>
      </c>
      <c r="T2919" s="47" t="s">
        <v>4284</v>
      </c>
      <c r="U2919" s="47" t="s">
        <v>2743</v>
      </c>
      <c r="V2919" s="56">
        <v>205.16</v>
      </c>
      <c r="W2919" s="13"/>
      <c r="X2919" s="47">
        <v>2915</v>
      </c>
      <c r="Y2919" s="47" t="s">
        <v>2248</v>
      </c>
      <c r="Z2919" s="47" t="s">
        <v>2978</v>
      </c>
      <c r="AA2919" s="48">
        <v>0.56672</v>
      </c>
      <c r="AB2919" s="13"/>
      <c r="AC2919" s="36">
        <v>2915</v>
      </c>
      <c r="AD2919" s="36" t="s">
        <v>4573</v>
      </c>
      <c r="AE2919" s="36" t="s">
        <v>4278</v>
      </c>
      <c r="AF2919" s="37">
        <v>4.5590000000000002</v>
      </c>
    </row>
    <row r="2920" spans="19:32" x14ac:dyDescent="0.35">
      <c r="S2920" s="34">
        <v>2916</v>
      </c>
      <c r="T2920" s="34" t="s">
        <v>4284</v>
      </c>
      <c r="U2920" s="34" t="s">
        <v>2628</v>
      </c>
      <c r="V2920" s="35">
        <v>2.3717741935483873E-4</v>
      </c>
      <c r="W2920" s="13"/>
      <c r="X2920" s="47">
        <v>2916</v>
      </c>
      <c r="Y2920" s="47" t="s">
        <v>2248</v>
      </c>
      <c r="Z2920" s="47" t="s">
        <v>2977</v>
      </c>
      <c r="AA2920" s="48">
        <v>0</v>
      </c>
      <c r="AB2920" s="13"/>
      <c r="AC2920" s="34">
        <v>2916</v>
      </c>
      <c r="AD2920" s="34" t="s">
        <v>4573</v>
      </c>
      <c r="AE2920" s="34" t="s">
        <v>4276</v>
      </c>
      <c r="AF2920" s="35">
        <v>9.973790322580646E-3</v>
      </c>
    </row>
    <row r="2921" spans="19:32" x14ac:dyDescent="0.35">
      <c r="S2921" s="47">
        <v>2917</v>
      </c>
      <c r="T2921" s="47" t="s">
        <v>4284</v>
      </c>
      <c r="U2921" s="47" t="s">
        <v>2628</v>
      </c>
      <c r="V2921" s="56">
        <v>0.79947999999999997</v>
      </c>
      <c r="W2921" s="13"/>
      <c r="X2921" s="34">
        <v>2917</v>
      </c>
      <c r="Y2921" s="34" t="s">
        <v>2248</v>
      </c>
      <c r="Z2921" s="34" t="s">
        <v>4872</v>
      </c>
      <c r="AA2921" s="35">
        <v>7.6774193548387109E-5</v>
      </c>
      <c r="AB2921" s="13"/>
      <c r="AC2921" s="34">
        <v>2917</v>
      </c>
      <c r="AD2921" s="34" t="s">
        <v>4573</v>
      </c>
      <c r="AE2921" s="34" t="s">
        <v>4275</v>
      </c>
      <c r="AF2921" s="35">
        <v>3.564516129032258E-2</v>
      </c>
    </row>
    <row r="2922" spans="19:32" x14ac:dyDescent="0.35">
      <c r="S2922" s="34">
        <v>2918</v>
      </c>
      <c r="T2922" s="34" t="s">
        <v>4284</v>
      </c>
      <c r="U2922" s="34" t="s">
        <v>2625</v>
      </c>
      <c r="V2922" s="35">
        <v>2.7556451612903228E-3</v>
      </c>
      <c r="W2922" s="13"/>
      <c r="X2922" s="34">
        <v>2918</v>
      </c>
      <c r="Y2922" s="34" t="s">
        <v>2248</v>
      </c>
      <c r="Z2922" s="34" t="s">
        <v>2977</v>
      </c>
      <c r="AA2922" s="35">
        <v>1.0556451612903226E-2</v>
      </c>
      <c r="AB2922" s="13"/>
      <c r="AC2922" s="34">
        <v>2918</v>
      </c>
      <c r="AD2922" s="34" t="s">
        <v>4573</v>
      </c>
      <c r="AE2922" s="34" t="s">
        <v>4273</v>
      </c>
      <c r="AF2922" s="35">
        <v>9.0826612903225808E-3</v>
      </c>
    </row>
    <row r="2923" spans="19:32" x14ac:dyDescent="0.35">
      <c r="S2923" s="47">
        <v>2919</v>
      </c>
      <c r="T2923" s="47" t="s">
        <v>4284</v>
      </c>
      <c r="U2923" s="47" t="s">
        <v>2625</v>
      </c>
      <c r="V2923" s="56">
        <v>0.84087999999999996</v>
      </c>
      <c r="W2923" s="13"/>
      <c r="X2923" s="47">
        <v>2919</v>
      </c>
      <c r="Y2923" s="47" t="s">
        <v>2248</v>
      </c>
      <c r="Z2923" s="47" t="s">
        <v>2975</v>
      </c>
      <c r="AA2923" s="48">
        <v>0</v>
      </c>
      <c r="AB2923" s="13"/>
      <c r="AC2923" s="34">
        <v>2919</v>
      </c>
      <c r="AD2923" s="34" t="s">
        <v>4573</v>
      </c>
      <c r="AE2923" s="34" t="s">
        <v>4272</v>
      </c>
      <c r="AF2923" s="35">
        <v>0.14155241935483873</v>
      </c>
    </row>
    <row r="2924" spans="19:32" x14ac:dyDescent="0.35">
      <c r="S2924" s="47">
        <v>2920</v>
      </c>
      <c r="T2924" s="47" t="s">
        <v>4284</v>
      </c>
      <c r="U2924" s="47" t="s">
        <v>2740</v>
      </c>
      <c r="V2924" s="56">
        <v>0.59155999999999997</v>
      </c>
      <c r="W2924" s="13"/>
      <c r="X2924" s="34">
        <v>2920</v>
      </c>
      <c r="Y2924" s="34" t="s">
        <v>2248</v>
      </c>
      <c r="Z2924" s="34" t="s">
        <v>2975</v>
      </c>
      <c r="AA2924" s="35">
        <v>1.9570564516129033E-6</v>
      </c>
      <c r="AB2924" s="13"/>
      <c r="AC2924" s="34">
        <v>2920</v>
      </c>
      <c r="AD2924" s="34" t="s">
        <v>4573</v>
      </c>
      <c r="AE2924" s="34" t="s">
        <v>4270</v>
      </c>
      <c r="AF2924" s="35">
        <v>0.55181451612903232</v>
      </c>
    </row>
    <row r="2925" spans="19:32" x14ac:dyDescent="0.35">
      <c r="S2925" s="34">
        <v>2921</v>
      </c>
      <c r="T2925" s="34" t="s">
        <v>4284</v>
      </c>
      <c r="U2925" s="34" t="s">
        <v>2622</v>
      </c>
      <c r="V2925" s="35">
        <v>5.792338709677419E-4</v>
      </c>
      <c r="W2925" s="13"/>
      <c r="X2925" s="34">
        <v>2921</v>
      </c>
      <c r="Y2925" s="34" t="s">
        <v>2248</v>
      </c>
      <c r="Z2925" s="34" t="s">
        <v>4871</v>
      </c>
      <c r="AA2925" s="35">
        <v>3.0332661290322581E-4</v>
      </c>
      <c r="AB2925" s="13"/>
      <c r="AC2925" s="34">
        <v>2921</v>
      </c>
      <c r="AD2925" s="34" t="s">
        <v>4573</v>
      </c>
      <c r="AE2925" s="34" t="s">
        <v>4269</v>
      </c>
      <c r="AF2925" s="35">
        <v>2.5088709677419357E-2</v>
      </c>
    </row>
    <row r="2926" spans="19:32" x14ac:dyDescent="0.35">
      <c r="S2926" s="47">
        <v>2922</v>
      </c>
      <c r="T2926" s="47" t="s">
        <v>4284</v>
      </c>
      <c r="U2926" s="47" t="s">
        <v>2622</v>
      </c>
      <c r="V2926" s="56">
        <v>12.696</v>
      </c>
      <c r="W2926" s="13"/>
      <c r="X2926" s="47">
        <v>2922</v>
      </c>
      <c r="Y2926" s="47" t="s">
        <v>2248</v>
      </c>
      <c r="Z2926" s="47" t="s">
        <v>2973</v>
      </c>
      <c r="AA2926" s="48">
        <v>3.1463999999999999</v>
      </c>
      <c r="AB2926" s="13"/>
      <c r="AC2926" s="34">
        <v>2922</v>
      </c>
      <c r="AD2926" s="34" t="s">
        <v>4573</v>
      </c>
      <c r="AE2926" s="34" t="s">
        <v>4268</v>
      </c>
      <c r="AF2926" s="35">
        <v>0.28447580645161291</v>
      </c>
    </row>
    <row r="2927" spans="19:32" x14ac:dyDescent="0.35">
      <c r="S2927" s="44">
        <v>2923</v>
      </c>
      <c r="T2927" s="44" t="s">
        <v>4284</v>
      </c>
      <c r="U2927" s="44" t="s">
        <v>4869</v>
      </c>
      <c r="V2927" s="45">
        <v>0</v>
      </c>
      <c r="W2927" s="13"/>
      <c r="X2927" s="34">
        <v>2923</v>
      </c>
      <c r="Y2927" s="34" t="s">
        <v>2248</v>
      </c>
      <c r="Z2927" s="34" t="s">
        <v>2973</v>
      </c>
      <c r="AA2927" s="35">
        <v>2.0118951612903228E-3</v>
      </c>
      <c r="AB2927" s="13"/>
      <c r="AC2927" s="34">
        <v>2923</v>
      </c>
      <c r="AD2927" s="34" t="s">
        <v>4573</v>
      </c>
      <c r="AE2927" s="34" t="s">
        <v>4266</v>
      </c>
      <c r="AF2927" s="35">
        <v>8.6370967741935492E-2</v>
      </c>
    </row>
    <row r="2928" spans="19:32" x14ac:dyDescent="0.35">
      <c r="S2928" s="41">
        <v>2924</v>
      </c>
      <c r="T2928" s="41" t="s">
        <v>4284</v>
      </c>
      <c r="U2928" s="41" t="s">
        <v>4869</v>
      </c>
      <c r="V2928" s="42">
        <v>6.3638000000000003</v>
      </c>
      <c r="W2928" s="13"/>
      <c r="X2928" s="34">
        <v>2924</v>
      </c>
      <c r="Y2928" s="34" t="s">
        <v>2248</v>
      </c>
      <c r="Z2928" s="34" t="s">
        <v>4870</v>
      </c>
      <c r="AA2928" s="35">
        <v>2.7659274193548391E-3</v>
      </c>
      <c r="AB2928" s="13"/>
      <c r="AC2928" s="34">
        <v>2924</v>
      </c>
      <c r="AD2928" s="34" t="s">
        <v>4573</v>
      </c>
      <c r="AE2928" s="34" t="s">
        <v>4265</v>
      </c>
      <c r="AF2928" s="35">
        <v>0.17959677419354841</v>
      </c>
    </row>
    <row r="2929" spans="19:32" x14ac:dyDescent="0.35">
      <c r="S2929" s="57">
        <v>2925</v>
      </c>
      <c r="T2929" s="57" t="s">
        <v>4284</v>
      </c>
      <c r="U2929" s="36" t="s">
        <v>4869</v>
      </c>
      <c r="V2929" s="37">
        <v>5.35</v>
      </c>
      <c r="W2929" s="13"/>
      <c r="X2929" s="47">
        <v>2925</v>
      </c>
      <c r="Y2929" s="47" t="s">
        <v>2248</v>
      </c>
      <c r="Z2929" s="47" t="s">
        <v>2972</v>
      </c>
      <c r="AA2929" s="48">
        <v>0</v>
      </c>
      <c r="AB2929" s="13"/>
      <c r="AC2929" s="36">
        <v>2925</v>
      </c>
      <c r="AD2929" s="36" t="s">
        <v>4573</v>
      </c>
      <c r="AE2929" s="36" t="s">
        <v>4263</v>
      </c>
      <c r="AF2929" s="37">
        <v>14.382000000000001</v>
      </c>
    </row>
    <row r="2930" spans="19:32" x14ac:dyDescent="0.35">
      <c r="S2930" s="44">
        <v>2926</v>
      </c>
      <c r="T2930" s="44" t="s">
        <v>4284</v>
      </c>
      <c r="U2930" s="44" t="s">
        <v>4868</v>
      </c>
      <c r="V2930" s="45">
        <v>0</v>
      </c>
      <c r="W2930" s="13"/>
      <c r="X2930" s="47">
        <v>2926</v>
      </c>
      <c r="Y2930" s="47" t="s">
        <v>2248</v>
      </c>
      <c r="Z2930" s="47" t="s">
        <v>2970</v>
      </c>
      <c r="AA2930" s="48">
        <v>2.6404E-4</v>
      </c>
      <c r="AB2930" s="13"/>
      <c r="AC2930" s="36">
        <v>2926</v>
      </c>
      <c r="AD2930" s="36" t="s">
        <v>4573</v>
      </c>
      <c r="AE2930" s="36" t="s">
        <v>4262</v>
      </c>
      <c r="AF2930" s="37">
        <v>14.382000000000001</v>
      </c>
    </row>
    <row r="2931" spans="19:32" x14ac:dyDescent="0.35">
      <c r="S2931" s="41">
        <v>2927</v>
      </c>
      <c r="T2931" s="41" t="s">
        <v>4284</v>
      </c>
      <c r="U2931" s="41" t="s">
        <v>4868</v>
      </c>
      <c r="V2931" s="42">
        <v>1.4523000000000001</v>
      </c>
      <c r="W2931" s="13"/>
      <c r="X2931" s="34">
        <v>2927</v>
      </c>
      <c r="Y2931" s="34" t="s">
        <v>2248</v>
      </c>
      <c r="Z2931" s="34" t="s">
        <v>4867</v>
      </c>
      <c r="AA2931" s="35">
        <v>1.1618951612903227E-2</v>
      </c>
      <c r="AB2931" s="13"/>
      <c r="AC2931" s="34">
        <v>2927</v>
      </c>
      <c r="AD2931" s="34" t="s">
        <v>4573</v>
      </c>
      <c r="AE2931" s="34" t="s">
        <v>4261</v>
      </c>
      <c r="AF2931" s="35">
        <v>4.935483870967742</v>
      </c>
    </row>
    <row r="2932" spans="19:32" x14ac:dyDescent="0.35">
      <c r="S2932" s="44">
        <v>2928</v>
      </c>
      <c r="T2932" s="44" t="s">
        <v>4284</v>
      </c>
      <c r="U2932" s="44" t="s">
        <v>4866</v>
      </c>
      <c r="V2932" s="45">
        <v>0</v>
      </c>
      <c r="W2932" s="13"/>
      <c r="X2932" s="34">
        <v>2928</v>
      </c>
      <c r="Y2932" s="34" t="s">
        <v>2248</v>
      </c>
      <c r="Z2932" s="34" t="s">
        <v>3426</v>
      </c>
      <c r="AA2932" s="35">
        <v>1.3229838709677419E-4</v>
      </c>
      <c r="AB2932" s="13"/>
      <c r="AC2932" s="34">
        <v>2928</v>
      </c>
      <c r="AD2932" s="34" t="s">
        <v>4573</v>
      </c>
      <c r="AE2932" s="34" t="s">
        <v>2581</v>
      </c>
      <c r="AF2932" s="35">
        <v>0.19399193548387098</v>
      </c>
    </row>
    <row r="2933" spans="19:32" x14ac:dyDescent="0.35">
      <c r="S2933" s="41">
        <v>2929</v>
      </c>
      <c r="T2933" s="41" t="s">
        <v>4284</v>
      </c>
      <c r="U2933" s="41" t="s">
        <v>4866</v>
      </c>
      <c r="V2933" s="42">
        <v>3.2852999999999999</v>
      </c>
      <c r="W2933" s="13"/>
      <c r="X2933" s="34">
        <v>2929</v>
      </c>
      <c r="Y2933" s="34" t="s">
        <v>2248</v>
      </c>
      <c r="Z2933" s="34" t="s">
        <v>3424</v>
      </c>
      <c r="AA2933" s="35">
        <v>4.5927419354838719E-5</v>
      </c>
      <c r="AB2933" s="13"/>
      <c r="AC2933" s="47">
        <v>2929</v>
      </c>
      <c r="AD2933" s="47" t="s">
        <v>4573</v>
      </c>
      <c r="AE2933" s="47" t="s">
        <v>2581</v>
      </c>
      <c r="AF2933" s="56">
        <v>4.5999999999999999E-2</v>
      </c>
    </row>
    <row r="2934" spans="19:32" x14ac:dyDescent="0.35">
      <c r="S2934" s="44">
        <v>2930</v>
      </c>
      <c r="T2934" s="44" t="s">
        <v>4284</v>
      </c>
      <c r="U2934" s="44" t="s">
        <v>4864</v>
      </c>
      <c r="V2934" s="45">
        <v>0</v>
      </c>
      <c r="W2934" s="13"/>
      <c r="X2934" s="34">
        <v>2930</v>
      </c>
      <c r="Y2934" s="34" t="s">
        <v>2248</v>
      </c>
      <c r="Z2934" s="34" t="s">
        <v>4865</v>
      </c>
      <c r="AA2934" s="35">
        <v>0.1240725806451613</v>
      </c>
      <c r="AB2934" s="13"/>
      <c r="AC2934" s="34">
        <v>2930</v>
      </c>
      <c r="AD2934" s="34" t="s">
        <v>4573</v>
      </c>
      <c r="AE2934" s="34" t="s">
        <v>4259</v>
      </c>
      <c r="AF2934" s="35">
        <v>0.21661290322580648</v>
      </c>
    </row>
    <row r="2935" spans="19:32" x14ac:dyDescent="0.35">
      <c r="S2935" s="41">
        <v>2931</v>
      </c>
      <c r="T2935" s="41" t="s">
        <v>4284</v>
      </c>
      <c r="U2935" s="41" t="s">
        <v>4864</v>
      </c>
      <c r="V2935" s="42">
        <v>1.5369000000000002</v>
      </c>
      <c r="W2935" s="13"/>
      <c r="X2935" s="34">
        <v>2931</v>
      </c>
      <c r="Y2935" s="34" t="s">
        <v>2248</v>
      </c>
      <c r="Z2935" s="34" t="s">
        <v>3421</v>
      </c>
      <c r="AA2935" s="35">
        <v>1.5217741935483873E-4</v>
      </c>
      <c r="AB2935" s="13"/>
      <c r="AC2935" s="34">
        <v>2931</v>
      </c>
      <c r="AD2935" s="34" t="s">
        <v>4573</v>
      </c>
      <c r="AE2935" s="34" t="s">
        <v>4258</v>
      </c>
      <c r="AF2935" s="35">
        <v>1.4497983870967743E-2</v>
      </c>
    </row>
    <row r="2936" spans="19:32" x14ac:dyDescent="0.35">
      <c r="S2936" s="44">
        <v>2932</v>
      </c>
      <c r="T2936" s="44" t="s">
        <v>4284</v>
      </c>
      <c r="U2936" s="44" t="s">
        <v>4863</v>
      </c>
      <c r="V2936" s="45">
        <v>0</v>
      </c>
      <c r="W2936" s="13"/>
      <c r="X2936" s="34">
        <v>2932</v>
      </c>
      <c r="Y2936" s="34" t="s">
        <v>2248</v>
      </c>
      <c r="Z2936" s="34" t="s">
        <v>3418</v>
      </c>
      <c r="AA2936" s="35">
        <v>4.5584677419354845E-4</v>
      </c>
      <c r="AB2936" s="13"/>
      <c r="AC2936" s="34">
        <v>2932</v>
      </c>
      <c r="AD2936" s="34" t="s">
        <v>4573</v>
      </c>
      <c r="AE2936" s="34" t="s">
        <v>4257</v>
      </c>
      <c r="AF2936" s="35">
        <v>0.25911290322580649</v>
      </c>
    </row>
    <row r="2937" spans="19:32" x14ac:dyDescent="0.35">
      <c r="S2937" s="41">
        <v>2933</v>
      </c>
      <c r="T2937" s="41" t="s">
        <v>4284</v>
      </c>
      <c r="U2937" s="41" t="s">
        <v>4863</v>
      </c>
      <c r="V2937" s="42">
        <v>4.0608000000000004</v>
      </c>
      <c r="W2937" s="13"/>
      <c r="X2937" s="34">
        <v>2933</v>
      </c>
      <c r="Y2937" s="34" t="s">
        <v>2248</v>
      </c>
      <c r="Z2937" s="34" t="s">
        <v>3415</v>
      </c>
      <c r="AA2937" s="35">
        <v>4.0786290322580648E-4</v>
      </c>
      <c r="AB2937" s="13"/>
      <c r="AC2937" s="34">
        <v>2933</v>
      </c>
      <c r="AD2937" s="34" t="s">
        <v>4573</v>
      </c>
      <c r="AE2937" s="34" t="s">
        <v>4255</v>
      </c>
      <c r="AF2937" s="35">
        <v>8.7399193548387096E-5</v>
      </c>
    </row>
    <row r="2938" spans="19:32" x14ac:dyDescent="0.35">
      <c r="S2938" s="44">
        <v>2934</v>
      </c>
      <c r="T2938" s="44" t="s">
        <v>4284</v>
      </c>
      <c r="U2938" s="44" t="s">
        <v>4861</v>
      </c>
      <c r="V2938" s="45">
        <v>0</v>
      </c>
      <c r="W2938" s="13"/>
      <c r="X2938" s="34">
        <v>2934</v>
      </c>
      <c r="Y2938" s="34" t="s">
        <v>2248</v>
      </c>
      <c r="Z2938" s="34" t="s">
        <v>4862</v>
      </c>
      <c r="AA2938" s="35">
        <v>0.13504032258064516</v>
      </c>
      <c r="AB2938" s="13"/>
      <c r="AC2938" s="34">
        <v>2934</v>
      </c>
      <c r="AD2938" s="34" t="s">
        <v>4573</v>
      </c>
      <c r="AE2938" s="34" t="s">
        <v>4254</v>
      </c>
      <c r="AF2938" s="35">
        <v>5.7237903225806457E-3</v>
      </c>
    </row>
    <row r="2939" spans="19:32" x14ac:dyDescent="0.35">
      <c r="S2939" s="41">
        <v>2935</v>
      </c>
      <c r="T2939" s="41" t="s">
        <v>4284</v>
      </c>
      <c r="U2939" s="41" t="s">
        <v>4861</v>
      </c>
      <c r="V2939" s="42">
        <v>0.68620000000000003</v>
      </c>
      <c r="W2939" s="13"/>
      <c r="X2939" s="34">
        <v>2935</v>
      </c>
      <c r="Y2939" s="34" t="s">
        <v>2248</v>
      </c>
      <c r="Z2939" s="34" t="s">
        <v>3412</v>
      </c>
      <c r="AA2939" s="35">
        <v>2.4574596774193549E-3</v>
      </c>
      <c r="AB2939" s="13"/>
      <c r="AC2939" s="34">
        <v>2935</v>
      </c>
      <c r="AD2939" s="34" t="s">
        <v>4573</v>
      </c>
      <c r="AE2939" s="34" t="s">
        <v>2579</v>
      </c>
      <c r="AF2939" s="35">
        <v>1.1036290322580645E-2</v>
      </c>
    </row>
    <row r="2940" spans="19:32" x14ac:dyDescent="0.35">
      <c r="S2940" s="44">
        <v>2936</v>
      </c>
      <c r="T2940" s="44" t="s">
        <v>4284</v>
      </c>
      <c r="U2940" s="44" t="s">
        <v>4860</v>
      </c>
      <c r="V2940" s="45">
        <v>0</v>
      </c>
      <c r="W2940" s="13"/>
      <c r="X2940" s="47">
        <v>2936</v>
      </c>
      <c r="Y2940" s="47" t="s">
        <v>2248</v>
      </c>
      <c r="Z2940" s="47" t="s">
        <v>2969</v>
      </c>
      <c r="AA2940" s="48">
        <v>3.7719999999999998</v>
      </c>
      <c r="AB2940" s="13"/>
      <c r="AC2940" s="47">
        <v>2936</v>
      </c>
      <c r="AD2940" s="47" t="s">
        <v>4573</v>
      </c>
      <c r="AE2940" s="47" t="s">
        <v>2579</v>
      </c>
      <c r="AF2940" s="56">
        <v>7.6544000000000001E-2</v>
      </c>
    </row>
    <row r="2941" spans="19:32" x14ac:dyDescent="0.35">
      <c r="S2941" s="41">
        <v>2937</v>
      </c>
      <c r="T2941" s="41" t="s">
        <v>4284</v>
      </c>
      <c r="U2941" s="41" t="s">
        <v>4860</v>
      </c>
      <c r="V2941" s="42">
        <v>2.1855000000000002</v>
      </c>
      <c r="W2941" s="13"/>
      <c r="X2941" s="34">
        <v>2937</v>
      </c>
      <c r="Y2941" s="34" t="s">
        <v>2248</v>
      </c>
      <c r="Z2941" s="34" t="s">
        <v>3423</v>
      </c>
      <c r="AA2941" s="35">
        <v>5.9294354838709687E-4</v>
      </c>
      <c r="AB2941" s="13"/>
      <c r="AC2941" s="34">
        <v>2937</v>
      </c>
      <c r="AD2941" s="34" t="s">
        <v>4573</v>
      </c>
      <c r="AE2941" s="34" t="s">
        <v>4253</v>
      </c>
      <c r="AF2941" s="35">
        <v>1.0316532258064517E-3</v>
      </c>
    </row>
    <row r="2942" spans="19:32" x14ac:dyDescent="0.35">
      <c r="S2942" s="44">
        <v>2938</v>
      </c>
      <c r="T2942" s="44" t="s">
        <v>4284</v>
      </c>
      <c r="U2942" s="44" t="s">
        <v>4859</v>
      </c>
      <c r="V2942" s="45">
        <v>0</v>
      </c>
      <c r="W2942" s="13"/>
      <c r="X2942" s="34">
        <v>2938</v>
      </c>
      <c r="Y2942" s="34" t="s">
        <v>2248</v>
      </c>
      <c r="Z2942" s="34" t="s">
        <v>3410</v>
      </c>
      <c r="AA2942" s="35">
        <v>2.6699596774193554E-3</v>
      </c>
      <c r="AB2942" s="13"/>
      <c r="AC2942" s="34">
        <v>2938</v>
      </c>
      <c r="AD2942" s="34" t="s">
        <v>4573</v>
      </c>
      <c r="AE2942" s="34" t="s">
        <v>4252</v>
      </c>
      <c r="AF2942" s="35">
        <v>2.6219758064516133E-3</v>
      </c>
    </row>
    <row r="2943" spans="19:32" x14ac:dyDescent="0.35">
      <c r="S2943" s="41">
        <v>2939</v>
      </c>
      <c r="T2943" s="41" t="s">
        <v>4284</v>
      </c>
      <c r="U2943" s="41" t="s">
        <v>4859</v>
      </c>
      <c r="V2943" s="42">
        <v>4.8269000000000002</v>
      </c>
      <c r="W2943" s="13"/>
      <c r="X2943" s="34">
        <v>2939</v>
      </c>
      <c r="Y2943" s="34" t="s">
        <v>2248</v>
      </c>
      <c r="Z2943" s="34" t="s">
        <v>3407</v>
      </c>
      <c r="AA2943" s="35">
        <v>5.2782258064516135E-4</v>
      </c>
      <c r="AB2943" s="13"/>
      <c r="AC2943" s="34">
        <v>2939</v>
      </c>
      <c r="AD2943" s="34" t="s">
        <v>4573</v>
      </c>
      <c r="AE2943" s="34" t="s">
        <v>4251</v>
      </c>
      <c r="AF2943" s="35">
        <v>5.106854838709678E-4</v>
      </c>
    </row>
    <row r="2944" spans="19:32" x14ac:dyDescent="0.35">
      <c r="S2944" s="44">
        <v>2940</v>
      </c>
      <c r="T2944" s="44" t="s">
        <v>4284</v>
      </c>
      <c r="U2944" s="44" t="s">
        <v>4857</v>
      </c>
      <c r="V2944" s="45">
        <v>0</v>
      </c>
      <c r="W2944" s="13"/>
      <c r="X2944" s="34">
        <v>2940</v>
      </c>
      <c r="Y2944" s="34" t="s">
        <v>2248</v>
      </c>
      <c r="Z2944" s="34" t="s">
        <v>4858</v>
      </c>
      <c r="AA2944" s="35">
        <v>8.8427419354838721E-3</v>
      </c>
      <c r="AB2944" s="13"/>
      <c r="AC2944" s="34">
        <v>2940</v>
      </c>
      <c r="AD2944" s="34" t="s">
        <v>4573</v>
      </c>
      <c r="AE2944" s="34" t="s">
        <v>2577</v>
      </c>
      <c r="AF2944" s="35">
        <v>1.110483870967742E-2</v>
      </c>
    </row>
    <row r="2945" spans="19:32" x14ac:dyDescent="0.35">
      <c r="S2945" s="41">
        <v>2941</v>
      </c>
      <c r="T2945" s="41" t="s">
        <v>4284</v>
      </c>
      <c r="U2945" s="41" t="s">
        <v>4857</v>
      </c>
      <c r="V2945" s="42">
        <v>1.8142</v>
      </c>
      <c r="W2945" s="13"/>
      <c r="X2945" s="34">
        <v>2941</v>
      </c>
      <c r="Y2945" s="34" t="s">
        <v>2248</v>
      </c>
      <c r="Z2945" s="34" t="s">
        <v>3404</v>
      </c>
      <c r="AA2945" s="35">
        <v>7.3346774193548394E-3</v>
      </c>
      <c r="AB2945" s="13"/>
      <c r="AC2945" s="47">
        <v>2941</v>
      </c>
      <c r="AD2945" s="47" t="s">
        <v>4573</v>
      </c>
      <c r="AE2945" s="47" t="s">
        <v>2577</v>
      </c>
      <c r="AF2945" s="56">
        <v>0</v>
      </c>
    </row>
    <row r="2946" spans="19:32" x14ac:dyDescent="0.35">
      <c r="S2946" s="44">
        <v>2942</v>
      </c>
      <c r="T2946" s="44" t="s">
        <v>4284</v>
      </c>
      <c r="U2946" s="44" t="s">
        <v>4856</v>
      </c>
      <c r="V2946" s="45">
        <v>0</v>
      </c>
      <c r="W2946" s="13"/>
      <c r="X2946" s="47">
        <v>2942</v>
      </c>
      <c r="Y2946" s="47" t="s">
        <v>2248</v>
      </c>
      <c r="Z2946" s="47" t="s">
        <v>2967</v>
      </c>
      <c r="AA2946" s="48">
        <v>3.91</v>
      </c>
      <c r="AB2946" s="13"/>
      <c r="AC2946" s="34">
        <v>2942</v>
      </c>
      <c r="AD2946" s="34" t="s">
        <v>4573</v>
      </c>
      <c r="AE2946" s="34" t="s">
        <v>4249</v>
      </c>
      <c r="AF2946" s="35">
        <v>2.8858870967741937E-2</v>
      </c>
    </row>
    <row r="2947" spans="19:32" x14ac:dyDescent="0.35">
      <c r="S2947" s="41">
        <v>2943</v>
      </c>
      <c r="T2947" s="41" t="s">
        <v>4284</v>
      </c>
      <c r="U2947" s="41" t="s">
        <v>4856</v>
      </c>
      <c r="V2947" s="42">
        <v>3.7647000000000004</v>
      </c>
      <c r="W2947" s="13"/>
      <c r="X2947" s="34">
        <v>2943</v>
      </c>
      <c r="Y2947" s="34" t="s">
        <v>2248</v>
      </c>
      <c r="Z2947" s="34" t="s">
        <v>3401</v>
      </c>
      <c r="AA2947" s="35">
        <v>0.11481854838709678</v>
      </c>
      <c r="AB2947" s="13"/>
      <c r="AC2947" s="47">
        <v>2943</v>
      </c>
      <c r="AD2947" s="47" t="s">
        <v>4573</v>
      </c>
      <c r="AE2947" s="47" t="s">
        <v>2576</v>
      </c>
      <c r="AF2947" s="56">
        <v>0.13156000000000001</v>
      </c>
    </row>
    <row r="2948" spans="19:32" x14ac:dyDescent="0.35">
      <c r="S2948" s="44">
        <v>2944</v>
      </c>
      <c r="T2948" s="44" t="s">
        <v>4284</v>
      </c>
      <c r="U2948" s="44" t="s">
        <v>4854</v>
      </c>
      <c r="V2948" s="45">
        <v>0</v>
      </c>
      <c r="W2948" s="13"/>
      <c r="X2948" s="34">
        <v>2944</v>
      </c>
      <c r="Y2948" s="34" t="s">
        <v>2248</v>
      </c>
      <c r="Z2948" s="34" t="s">
        <v>4855</v>
      </c>
      <c r="AA2948" s="35">
        <v>0.18268145161290325</v>
      </c>
      <c r="AB2948" s="13"/>
      <c r="AC2948" s="47">
        <v>2944</v>
      </c>
      <c r="AD2948" s="47" t="s">
        <v>4573</v>
      </c>
      <c r="AE2948" s="47" t="s">
        <v>2574</v>
      </c>
      <c r="AF2948" s="56">
        <v>0</v>
      </c>
    </row>
    <row r="2949" spans="19:32" x14ac:dyDescent="0.35">
      <c r="S2949" s="41">
        <v>2945</v>
      </c>
      <c r="T2949" s="41" t="s">
        <v>4284</v>
      </c>
      <c r="U2949" s="41" t="s">
        <v>4854</v>
      </c>
      <c r="V2949" s="42">
        <v>4.3052000000000001</v>
      </c>
      <c r="W2949" s="13"/>
      <c r="X2949" s="34">
        <v>2945</v>
      </c>
      <c r="Y2949" s="34" t="s">
        <v>2248</v>
      </c>
      <c r="Z2949" s="34" t="s">
        <v>3399</v>
      </c>
      <c r="AA2949" s="35">
        <v>0.38044354838709682</v>
      </c>
      <c r="AB2949" s="13"/>
      <c r="AC2949" s="34">
        <v>2945</v>
      </c>
      <c r="AD2949" s="34" t="s">
        <v>4573</v>
      </c>
      <c r="AE2949" s="34" t="s">
        <v>4247</v>
      </c>
      <c r="AF2949" s="35">
        <v>3.3897177419354844E-3</v>
      </c>
    </row>
    <row r="2950" spans="19:32" x14ac:dyDescent="0.35">
      <c r="S2950" s="44">
        <v>2946</v>
      </c>
      <c r="T2950" s="44" t="s">
        <v>4284</v>
      </c>
      <c r="U2950" s="44" t="s">
        <v>4853</v>
      </c>
      <c r="V2950" s="45">
        <v>0</v>
      </c>
      <c r="W2950" s="13"/>
      <c r="X2950" s="34">
        <v>2946</v>
      </c>
      <c r="Y2950" s="34" t="s">
        <v>2248</v>
      </c>
      <c r="Z2950" s="34" t="s">
        <v>3396</v>
      </c>
      <c r="AA2950" s="35">
        <v>6.5463709677419363E-5</v>
      </c>
      <c r="AB2950" s="13"/>
      <c r="AC2950" s="34">
        <v>2946</v>
      </c>
      <c r="AD2950" s="34" t="s">
        <v>4573</v>
      </c>
      <c r="AE2950" s="34" t="s">
        <v>4246</v>
      </c>
      <c r="AF2950" s="35">
        <v>7.3689516129032268E-3</v>
      </c>
    </row>
    <row r="2951" spans="19:32" x14ac:dyDescent="0.35">
      <c r="S2951" s="41">
        <v>2947</v>
      </c>
      <c r="T2951" s="41" t="s">
        <v>4284</v>
      </c>
      <c r="U2951" s="41" t="s">
        <v>4853</v>
      </c>
      <c r="V2951" s="42">
        <v>2.4769000000000001</v>
      </c>
      <c r="W2951" s="13"/>
      <c r="X2951" s="34">
        <v>2947</v>
      </c>
      <c r="Y2951" s="34" t="s">
        <v>2248</v>
      </c>
      <c r="Z2951" s="34" t="s">
        <v>4852</v>
      </c>
      <c r="AA2951" s="35">
        <v>2.0838709677419356</v>
      </c>
      <c r="AB2951" s="13"/>
      <c r="AC2951" s="34">
        <v>2947</v>
      </c>
      <c r="AD2951" s="34" t="s">
        <v>4573</v>
      </c>
      <c r="AE2951" s="34" t="s">
        <v>4244</v>
      </c>
      <c r="AF2951" s="35">
        <v>6.1350806451612914E-5</v>
      </c>
    </row>
    <row r="2952" spans="19:32" x14ac:dyDescent="0.35">
      <c r="S2952" s="44">
        <v>2948</v>
      </c>
      <c r="T2952" s="44" t="s">
        <v>4284</v>
      </c>
      <c r="U2952" s="44" t="s">
        <v>4851</v>
      </c>
      <c r="V2952" s="45">
        <v>0</v>
      </c>
      <c r="W2952" s="13"/>
      <c r="X2952" s="34">
        <v>2948</v>
      </c>
      <c r="Y2952" s="34" t="s">
        <v>2248</v>
      </c>
      <c r="Z2952" s="34" t="s">
        <v>3393</v>
      </c>
      <c r="AA2952" s="35">
        <v>2.8756048387096776E-5</v>
      </c>
      <c r="AB2952" s="13"/>
      <c r="AC2952" s="34">
        <v>2948</v>
      </c>
      <c r="AD2952" s="34" t="s">
        <v>4573</v>
      </c>
      <c r="AE2952" s="34" t="s">
        <v>2573</v>
      </c>
      <c r="AF2952" s="35">
        <v>0.10933467741935485</v>
      </c>
    </row>
    <row r="2953" spans="19:32" x14ac:dyDescent="0.35">
      <c r="S2953" s="41">
        <v>2949</v>
      </c>
      <c r="T2953" s="41" t="s">
        <v>4284</v>
      </c>
      <c r="U2953" s="41" t="s">
        <v>4851</v>
      </c>
      <c r="V2953" s="42">
        <v>2.2136999999999998</v>
      </c>
      <c r="W2953" s="13"/>
      <c r="X2953" s="34">
        <v>2949</v>
      </c>
      <c r="Y2953" s="34" t="s">
        <v>2248</v>
      </c>
      <c r="Z2953" s="34" t="s">
        <v>3390</v>
      </c>
      <c r="AA2953" s="35">
        <v>4.5927419354838719E-5</v>
      </c>
      <c r="AB2953" s="13"/>
      <c r="AC2953" s="47">
        <v>2949</v>
      </c>
      <c r="AD2953" s="47" t="s">
        <v>4573</v>
      </c>
      <c r="AE2953" s="47" t="s">
        <v>2573</v>
      </c>
      <c r="AF2953" s="56">
        <v>0</v>
      </c>
    </row>
    <row r="2954" spans="19:32" x14ac:dyDescent="0.35">
      <c r="S2954" s="44">
        <v>2950</v>
      </c>
      <c r="T2954" s="44" t="s">
        <v>4284</v>
      </c>
      <c r="U2954" s="44" t="s">
        <v>4849</v>
      </c>
      <c r="V2954" s="45">
        <v>0</v>
      </c>
      <c r="W2954" s="13"/>
      <c r="X2954" s="34">
        <v>2950</v>
      </c>
      <c r="Y2954" s="34" t="s">
        <v>2248</v>
      </c>
      <c r="Z2954" s="34" t="s">
        <v>4850</v>
      </c>
      <c r="AA2954" s="35">
        <v>8.7741935483870979E-4</v>
      </c>
      <c r="AB2954" s="13"/>
      <c r="AC2954" s="34">
        <v>2950</v>
      </c>
      <c r="AD2954" s="34" t="s">
        <v>4573</v>
      </c>
      <c r="AE2954" s="34" t="s">
        <v>4242</v>
      </c>
      <c r="AF2954" s="35">
        <v>3.7016129032258066E-2</v>
      </c>
    </row>
    <row r="2955" spans="19:32" x14ac:dyDescent="0.35">
      <c r="S2955" s="41">
        <v>2951</v>
      </c>
      <c r="T2955" s="41" t="s">
        <v>4284</v>
      </c>
      <c r="U2955" s="41" t="s">
        <v>4849</v>
      </c>
      <c r="V2955" s="42">
        <v>1.3113000000000001</v>
      </c>
      <c r="W2955" s="13"/>
      <c r="X2955" s="47">
        <v>2951</v>
      </c>
      <c r="Y2955" s="47" t="s">
        <v>2248</v>
      </c>
      <c r="Z2955" s="47" t="s">
        <v>2966</v>
      </c>
      <c r="AA2955" s="48">
        <v>0.26128000000000001</v>
      </c>
      <c r="AB2955" s="13"/>
      <c r="AC2955" s="34">
        <v>2951</v>
      </c>
      <c r="AD2955" s="34" t="s">
        <v>4573</v>
      </c>
      <c r="AE2955" s="34" t="s">
        <v>4240</v>
      </c>
      <c r="AF2955" s="35">
        <v>6.1350806451612909E-3</v>
      </c>
    </row>
    <row r="2956" spans="19:32" x14ac:dyDescent="0.35">
      <c r="S2956" s="44">
        <v>2952</v>
      </c>
      <c r="T2956" s="44" t="s">
        <v>4284</v>
      </c>
      <c r="U2956" s="44" t="s">
        <v>4848</v>
      </c>
      <c r="V2956" s="45">
        <v>0</v>
      </c>
      <c r="W2956" s="13"/>
      <c r="X2956" s="47">
        <v>2952</v>
      </c>
      <c r="Y2956" s="47" t="s">
        <v>2248</v>
      </c>
      <c r="Z2956" s="47" t="s">
        <v>2964</v>
      </c>
      <c r="AA2956" s="48">
        <v>0</v>
      </c>
      <c r="AB2956" s="13"/>
      <c r="AC2956" s="34">
        <v>2952</v>
      </c>
      <c r="AD2956" s="34" t="s">
        <v>4573</v>
      </c>
      <c r="AE2956" s="34" t="s">
        <v>4239</v>
      </c>
      <c r="AF2956" s="35">
        <v>1.3606854838709678E-2</v>
      </c>
    </row>
    <row r="2957" spans="19:32" x14ac:dyDescent="0.35">
      <c r="S2957" s="41">
        <v>2953</v>
      </c>
      <c r="T2957" s="41" t="s">
        <v>4284</v>
      </c>
      <c r="U2957" s="41" t="s">
        <v>4848</v>
      </c>
      <c r="V2957" s="42">
        <v>2.1055999999999999</v>
      </c>
      <c r="W2957" s="13"/>
      <c r="X2957" s="47">
        <v>2953</v>
      </c>
      <c r="Y2957" s="47" t="s">
        <v>2248</v>
      </c>
      <c r="Z2957" s="47" t="s">
        <v>2962</v>
      </c>
      <c r="AA2957" s="48">
        <v>2.1804E-2</v>
      </c>
      <c r="AB2957" s="13"/>
      <c r="AC2957" s="34">
        <v>2953</v>
      </c>
      <c r="AD2957" s="34" t="s">
        <v>4573</v>
      </c>
      <c r="AE2957" s="34" t="s">
        <v>4238</v>
      </c>
      <c r="AF2957" s="35">
        <v>8.0201612903225819E-2</v>
      </c>
    </row>
    <row r="2958" spans="19:32" x14ac:dyDescent="0.35">
      <c r="S2958" s="44">
        <v>2954</v>
      </c>
      <c r="T2958" s="44" t="s">
        <v>4284</v>
      </c>
      <c r="U2958" s="44" t="s">
        <v>4847</v>
      </c>
      <c r="V2958" s="45">
        <v>0</v>
      </c>
      <c r="W2958" s="13"/>
      <c r="X2958" s="34">
        <v>2954</v>
      </c>
      <c r="Y2958" s="34" t="s">
        <v>2248</v>
      </c>
      <c r="Z2958" s="34" t="s">
        <v>3422</v>
      </c>
      <c r="AA2958" s="35">
        <v>4.3528225806451614E-3</v>
      </c>
      <c r="AB2958" s="13"/>
      <c r="AC2958" s="34">
        <v>2954</v>
      </c>
      <c r="AD2958" s="34" t="s">
        <v>4573</v>
      </c>
      <c r="AE2958" s="34" t="s">
        <v>4236</v>
      </c>
      <c r="AF2958" s="35">
        <v>3.8729838709677424</v>
      </c>
    </row>
    <row r="2959" spans="19:32" x14ac:dyDescent="0.35">
      <c r="S2959" s="41">
        <v>2955</v>
      </c>
      <c r="T2959" s="41" t="s">
        <v>4284</v>
      </c>
      <c r="U2959" s="41" t="s">
        <v>4847</v>
      </c>
      <c r="V2959" s="42">
        <v>4.1501000000000001</v>
      </c>
      <c r="W2959" s="13"/>
      <c r="X2959" s="47">
        <v>2955</v>
      </c>
      <c r="Y2959" s="47" t="s">
        <v>2248</v>
      </c>
      <c r="Z2959" s="47" t="s">
        <v>2961</v>
      </c>
      <c r="AA2959" s="48">
        <v>6.7619999999999996</v>
      </c>
      <c r="AB2959" s="13"/>
      <c r="AC2959" s="47">
        <v>2955</v>
      </c>
      <c r="AD2959" s="47" t="s">
        <v>4573</v>
      </c>
      <c r="AE2959" s="47" t="s">
        <v>2571</v>
      </c>
      <c r="AF2959" s="56">
        <v>0</v>
      </c>
    </row>
    <row r="2960" spans="19:32" x14ac:dyDescent="0.35">
      <c r="S2960" s="44">
        <v>2956</v>
      </c>
      <c r="T2960" s="44" t="s">
        <v>4284</v>
      </c>
      <c r="U2960" s="44" t="s">
        <v>4846</v>
      </c>
      <c r="V2960" s="45">
        <v>0</v>
      </c>
      <c r="W2960" s="13"/>
      <c r="X2960" s="34">
        <v>2956</v>
      </c>
      <c r="Y2960" s="34" t="s">
        <v>2248</v>
      </c>
      <c r="Z2960" s="34" t="s">
        <v>2961</v>
      </c>
      <c r="AA2960" s="35">
        <v>1.192741935483871E-2</v>
      </c>
      <c r="AB2960" s="13"/>
      <c r="AC2960" s="34">
        <v>2956</v>
      </c>
      <c r="AD2960" s="34" t="s">
        <v>4573</v>
      </c>
      <c r="AE2960" s="34" t="s">
        <v>4234</v>
      </c>
      <c r="AF2960" s="35">
        <v>4.8669354838709683E-2</v>
      </c>
    </row>
    <row r="2961" spans="19:32" x14ac:dyDescent="0.35">
      <c r="S2961" s="41">
        <v>2957</v>
      </c>
      <c r="T2961" s="41" t="s">
        <v>4284</v>
      </c>
      <c r="U2961" s="41" t="s">
        <v>4846</v>
      </c>
      <c r="V2961" s="42">
        <v>1.6168</v>
      </c>
      <c r="W2961" s="13"/>
      <c r="X2961" s="34">
        <v>2957</v>
      </c>
      <c r="Y2961" s="34" t="s">
        <v>2248</v>
      </c>
      <c r="Z2961" s="34" t="s">
        <v>4845</v>
      </c>
      <c r="AA2961" s="35">
        <v>1.227016129032258E-3</v>
      </c>
      <c r="AB2961" s="13"/>
      <c r="AC2961" s="34">
        <v>2957</v>
      </c>
      <c r="AD2961" s="34" t="s">
        <v>4573</v>
      </c>
      <c r="AE2961" s="34" t="s">
        <v>4233</v>
      </c>
      <c r="AF2961" s="35">
        <v>0.59979838709677424</v>
      </c>
    </row>
    <row r="2962" spans="19:32" x14ac:dyDescent="0.35">
      <c r="S2962" s="44">
        <v>2958</v>
      </c>
      <c r="T2962" s="44" t="s">
        <v>4284</v>
      </c>
      <c r="U2962" s="44" t="s">
        <v>4844</v>
      </c>
      <c r="V2962" s="45">
        <v>0</v>
      </c>
      <c r="W2962" s="13"/>
      <c r="X2962" s="47">
        <v>2958</v>
      </c>
      <c r="Y2962" s="47" t="s">
        <v>2248</v>
      </c>
      <c r="Z2962" s="47" t="s">
        <v>2959</v>
      </c>
      <c r="AA2962" s="48">
        <v>681.72</v>
      </c>
      <c r="AB2962" s="13"/>
      <c r="AC2962" s="47">
        <v>2958</v>
      </c>
      <c r="AD2962" s="47" t="s">
        <v>4573</v>
      </c>
      <c r="AE2962" s="47" t="s">
        <v>2570</v>
      </c>
      <c r="AF2962" s="56">
        <v>0</v>
      </c>
    </row>
    <row r="2963" spans="19:32" x14ac:dyDescent="0.35">
      <c r="S2963" s="41">
        <v>2959</v>
      </c>
      <c r="T2963" s="41" t="s">
        <v>4284</v>
      </c>
      <c r="U2963" s="41" t="s">
        <v>4844</v>
      </c>
      <c r="V2963" s="42">
        <v>0.44650000000000001</v>
      </c>
      <c r="W2963" s="13"/>
      <c r="X2963" s="34">
        <v>2959</v>
      </c>
      <c r="Y2963" s="34" t="s">
        <v>2248</v>
      </c>
      <c r="Z2963" s="34" t="s">
        <v>2959</v>
      </c>
      <c r="AA2963" s="35">
        <v>0.20975806451612905</v>
      </c>
      <c r="AB2963" s="13"/>
      <c r="AC2963" s="34">
        <v>2959</v>
      </c>
      <c r="AD2963" s="34" t="s">
        <v>4573</v>
      </c>
      <c r="AE2963" s="34" t="s">
        <v>4231</v>
      </c>
      <c r="AF2963" s="35">
        <v>5.4838709677419359E-4</v>
      </c>
    </row>
    <row r="2964" spans="19:32" x14ac:dyDescent="0.35">
      <c r="S2964" s="44">
        <v>2960</v>
      </c>
      <c r="T2964" s="44" t="s">
        <v>4284</v>
      </c>
      <c r="U2964" s="44" t="s">
        <v>4843</v>
      </c>
      <c r="V2964" s="45">
        <v>0</v>
      </c>
      <c r="W2964" s="13"/>
      <c r="X2964" s="34">
        <v>2960</v>
      </c>
      <c r="Y2964" s="34" t="s">
        <v>2248</v>
      </c>
      <c r="Z2964" s="34" t="s">
        <v>3420</v>
      </c>
      <c r="AA2964" s="35">
        <v>1.1207661290322581E-2</v>
      </c>
      <c r="AB2964" s="13"/>
      <c r="AC2964" s="34">
        <v>2960</v>
      </c>
      <c r="AD2964" s="34" t="s">
        <v>4573</v>
      </c>
      <c r="AE2964" s="34" t="s">
        <v>4230</v>
      </c>
      <c r="AF2964" s="35">
        <v>2.6870967741935483E-4</v>
      </c>
    </row>
    <row r="2965" spans="19:32" x14ac:dyDescent="0.35">
      <c r="S2965" s="41">
        <v>2961</v>
      </c>
      <c r="T2965" s="41" t="s">
        <v>4284</v>
      </c>
      <c r="U2965" s="41" t="s">
        <v>4843</v>
      </c>
      <c r="V2965" s="42">
        <v>1.8706000000000003</v>
      </c>
      <c r="W2965" s="13"/>
      <c r="X2965" s="34">
        <v>2961</v>
      </c>
      <c r="Y2965" s="34" t="s">
        <v>2248</v>
      </c>
      <c r="Z2965" s="34" t="s">
        <v>3384</v>
      </c>
      <c r="AA2965" s="35">
        <v>4.5241935483870972E-3</v>
      </c>
      <c r="AB2965" s="13"/>
      <c r="AC2965" s="47">
        <v>2961</v>
      </c>
      <c r="AD2965" s="47" t="s">
        <v>4573</v>
      </c>
      <c r="AE2965" s="47" t="s">
        <v>2568</v>
      </c>
      <c r="AF2965" s="56">
        <v>0</v>
      </c>
    </row>
    <row r="2966" spans="19:32" x14ac:dyDescent="0.35">
      <c r="S2966" s="44">
        <v>2962</v>
      </c>
      <c r="T2966" s="44" t="s">
        <v>4284</v>
      </c>
      <c r="U2966" s="44" t="s">
        <v>4842</v>
      </c>
      <c r="V2966" s="45">
        <v>0</v>
      </c>
      <c r="W2966" s="13"/>
      <c r="X2966" s="34">
        <v>2962</v>
      </c>
      <c r="Y2966" s="34" t="s">
        <v>2248</v>
      </c>
      <c r="Z2966" s="34" t="s">
        <v>3381</v>
      </c>
      <c r="AA2966" s="35">
        <v>1.4909274193548388E-8</v>
      </c>
      <c r="AB2966" s="13"/>
      <c r="AC2966" s="47">
        <v>2962</v>
      </c>
      <c r="AD2966" s="47" t="s">
        <v>4573</v>
      </c>
      <c r="AE2966" s="47" t="s">
        <v>2567</v>
      </c>
      <c r="AF2966" s="56">
        <v>0</v>
      </c>
    </row>
    <row r="2967" spans="19:32" x14ac:dyDescent="0.35">
      <c r="S2967" s="41">
        <v>2963</v>
      </c>
      <c r="T2967" s="41" t="s">
        <v>4284</v>
      </c>
      <c r="U2967" s="41" t="s">
        <v>4842</v>
      </c>
      <c r="V2967" s="42">
        <v>2.5192000000000001</v>
      </c>
      <c r="W2967" s="13"/>
      <c r="X2967" s="34">
        <v>2963</v>
      </c>
      <c r="Y2967" s="34" t="s">
        <v>2248</v>
      </c>
      <c r="Z2967" s="34" t="s">
        <v>3378</v>
      </c>
      <c r="AA2967" s="35">
        <v>1.3504032258064517E-4</v>
      </c>
      <c r="AB2967" s="13"/>
      <c r="AC2967" s="34">
        <v>2963</v>
      </c>
      <c r="AD2967" s="34" t="s">
        <v>4573</v>
      </c>
      <c r="AE2967" s="34" t="s">
        <v>2565</v>
      </c>
      <c r="AF2967" s="35">
        <v>1.4120967741935484</v>
      </c>
    </row>
    <row r="2968" spans="19:32" x14ac:dyDescent="0.35">
      <c r="S2968" s="44">
        <v>2964</v>
      </c>
      <c r="T2968" s="44" t="s">
        <v>4284</v>
      </c>
      <c r="U2968" s="44" t="s">
        <v>4841</v>
      </c>
      <c r="V2968" s="45">
        <v>0</v>
      </c>
      <c r="W2968" s="13"/>
      <c r="X2968" s="34">
        <v>2964</v>
      </c>
      <c r="Y2968" s="34" t="s">
        <v>2248</v>
      </c>
      <c r="Z2968" s="34" t="s">
        <v>3417</v>
      </c>
      <c r="AA2968" s="35">
        <v>2.1147177419354843E-3</v>
      </c>
      <c r="AB2968" s="13"/>
      <c r="AC2968" s="47">
        <v>2964</v>
      </c>
      <c r="AD2968" s="47" t="s">
        <v>4573</v>
      </c>
      <c r="AE2968" s="47" t="s">
        <v>2565</v>
      </c>
      <c r="AF2968" s="56">
        <v>1.3248</v>
      </c>
    </row>
    <row r="2969" spans="19:32" x14ac:dyDescent="0.35">
      <c r="S2969" s="41">
        <v>2965</v>
      </c>
      <c r="T2969" s="41" t="s">
        <v>4284</v>
      </c>
      <c r="U2969" s="41" t="s">
        <v>4841</v>
      </c>
      <c r="V2969" s="42">
        <v>0.93060000000000009</v>
      </c>
      <c r="W2969" s="13"/>
      <c r="X2969" s="34">
        <v>2965</v>
      </c>
      <c r="Y2969" s="34" t="s">
        <v>2248</v>
      </c>
      <c r="Z2969" s="34" t="s">
        <v>3376</v>
      </c>
      <c r="AA2969" s="35">
        <v>2.419758064516129E-6</v>
      </c>
      <c r="AB2969" s="13"/>
      <c r="AC2969" s="34">
        <v>2965</v>
      </c>
      <c r="AD2969" s="34" t="s">
        <v>4573</v>
      </c>
      <c r="AE2969" s="34" t="s">
        <v>2563</v>
      </c>
      <c r="AF2969" s="35">
        <v>1.4635080645161291</v>
      </c>
    </row>
    <row r="2970" spans="19:32" x14ac:dyDescent="0.35">
      <c r="S2970" s="44">
        <v>2966</v>
      </c>
      <c r="T2970" s="44" t="s">
        <v>4284</v>
      </c>
      <c r="U2970" s="44" t="s">
        <v>4840</v>
      </c>
      <c r="V2970" s="45">
        <v>0</v>
      </c>
      <c r="W2970" s="13"/>
      <c r="X2970" s="34">
        <v>2966</v>
      </c>
      <c r="Y2970" s="34" t="s">
        <v>2248</v>
      </c>
      <c r="Z2970" s="34" t="s">
        <v>3373</v>
      </c>
      <c r="AA2970" s="35">
        <v>8.8427419354838721E-3</v>
      </c>
      <c r="AB2970" s="13"/>
      <c r="AC2970" s="47">
        <v>2966</v>
      </c>
      <c r="AD2970" s="47" t="s">
        <v>4573</v>
      </c>
      <c r="AE2970" s="47" t="s">
        <v>2563</v>
      </c>
      <c r="AF2970" s="56">
        <v>14.26</v>
      </c>
    </row>
    <row r="2971" spans="19:32" x14ac:dyDescent="0.35">
      <c r="S2971" s="41">
        <v>2967</v>
      </c>
      <c r="T2971" s="41" t="s">
        <v>4284</v>
      </c>
      <c r="U2971" s="41" t="s">
        <v>4840</v>
      </c>
      <c r="V2971" s="42">
        <v>2.2090000000000001</v>
      </c>
      <c r="W2971" s="13"/>
      <c r="X2971" s="34">
        <v>2967</v>
      </c>
      <c r="Y2971" s="34" t="s">
        <v>2248</v>
      </c>
      <c r="Z2971" s="34" t="s">
        <v>4839</v>
      </c>
      <c r="AA2971" s="35">
        <v>3.7358870967741939E-3</v>
      </c>
      <c r="AB2971" s="13"/>
      <c r="AC2971" s="34">
        <v>2967</v>
      </c>
      <c r="AD2971" s="34" t="s">
        <v>4573</v>
      </c>
      <c r="AE2971" s="34" t="s">
        <v>4226</v>
      </c>
      <c r="AF2971" s="35">
        <v>0.18816532258064517</v>
      </c>
    </row>
    <row r="2972" spans="19:32" x14ac:dyDescent="0.35">
      <c r="S2972" s="44">
        <v>2968</v>
      </c>
      <c r="T2972" s="44" t="s">
        <v>4284</v>
      </c>
      <c r="U2972" s="44" t="s">
        <v>4838</v>
      </c>
      <c r="V2972" s="45">
        <v>0</v>
      </c>
      <c r="W2972" s="13"/>
      <c r="X2972" s="47">
        <v>2968</v>
      </c>
      <c r="Y2972" s="47" t="s">
        <v>2248</v>
      </c>
      <c r="Z2972" s="47" t="s">
        <v>2958</v>
      </c>
      <c r="AA2972" s="48">
        <v>0</v>
      </c>
      <c r="AB2972" s="13"/>
      <c r="AC2972" s="34">
        <v>2968</v>
      </c>
      <c r="AD2972" s="34" t="s">
        <v>4573</v>
      </c>
      <c r="AE2972" s="34" t="s">
        <v>4224</v>
      </c>
      <c r="AF2972" s="35">
        <v>5.6552419354838714E-2</v>
      </c>
    </row>
    <row r="2973" spans="19:32" x14ac:dyDescent="0.35">
      <c r="S2973" s="41">
        <v>2969</v>
      </c>
      <c r="T2973" s="41" t="s">
        <v>4284</v>
      </c>
      <c r="U2973" s="41" t="s">
        <v>4838</v>
      </c>
      <c r="V2973" s="42">
        <v>2.3641000000000001</v>
      </c>
      <c r="W2973" s="13"/>
      <c r="X2973" s="34">
        <v>2969</v>
      </c>
      <c r="Y2973" s="34" t="s">
        <v>2248</v>
      </c>
      <c r="Z2973" s="34" t="s">
        <v>2958</v>
      </c>
      <c r="AA2973" s="35">
        <v>3.1909274193548389E-6</v>
      </c>
      <c r="AB2973" s="13"/>
      <c r="AC2973" s="34">
        <v>2969</v>
      </c>
      <c r="AD2973" s="34" t="s">
        <v>4573</v>
      </c>
      <c r="AE2973" s="34" t="s">
        <v>4223</v>
      </c>
      <c r="AF2973" s="35">
        <v>9.2883064516129039</v>
      </c>
    </row>
    <row r="2974" spans="19:32" x14ac:dyDescent="0.35">
      <c r="S2974" s="44">
        <v>2970</v>
      </c>
      <c r="T2974" s="44" t="s">
        <v>4284</v>
      </c>
      <c r="U2974" s="44" t="s">
        <v>4836</v>
      </c>
      <c r="V2974" s="45">
        <v>0</v>
      </c>
      <c r="W2974" s="13"/>
      <c r="X2974" s="34">
        <v>2970</v>
      </c>
      <c r="Y2974" s="34" t="s">
        <v>2248</v>
      </c>
      <c r="Z2974" s="34" t="s">
        <v>4837</v>
      </c>
      <c r="AA2974" s="35">
        <v>1.6588709677419357E-5</v>
      </c>
      <c r="AB2974" s="13"/>
      <c r="AC2974" s="47">
        <v>2970</v>
      </c>
      <c r="AD2974" s="47" t="s">
        <v>4573</v>
      </c>
      <c r="AE2974" s="47" t="s">
        <v>2562</v>
      </c>
      <c r="AF2974" s="56">
        <v>0</v>
      </c>
    </row>
    <row r="2975" spans="19:32" x14ac:dyDescent="0.35">
      <c r="S2975" s="41">
        <v>2971</v>
      </c>
      <c r="T2975" s="41" t="s">
        <v>4284</v>
      </c>
      <c r="U2975" s="41" t="s">
        <v>4836</v>
      </c>
      <c r="V2975" s="42">
        <v>5.2968999999999999</v>
      </c>
      <c r="W2975" s="13"/>
      <c r="X2975" s="47">
        <v>2971</v>
      </c>
      <c r="Y2975" s="47" t="s">
        <v>2248</v>
      </c>
      <c r="Z2975" s="47" t="s">
        <v>2956</v>
      </c>
      <c r="AA2975" s="48">
        <v>3.4775999999999998</v>
      </c>
      <c r="AB2975" s="13"/>
      <c r="AC2975" s="34">
        <v>2971</v>
      </c>
      <c r="AD2975" s="34" t="s">
        <v>4573</v>
      </c>
      <c r="AE2975" s="34" t="s">
        <v>4221</v>
      </c>
      <c r="AF2975" s="35">
        <v>1.0008064516129032E-2</v>
      </c>
    </row>
    <row r="2976" spans="19:32" x14ac:dyDescent="0.35">
      <c r="S2976" s="44">
        <v>2972</v>
      </c>
      <c r="T2976" s="44" t="s">
        <v>4284</v>
      </c>
      <c r="U2976" s="44" t="s">
        <v>4835</v>
      </c>
      <c r="V2976" s="45">
        <v>0</v>
      </c>
      <c r="W2976" s="13"/>
      <c r="X2976" s="47">
        <v>2972</v>
      </c>
      <c r="Y2976" s="47" t="s">
        <v>2248</v>
      </c>
      <c r="Z2976" s="47" t="s">
        <v>2955</v>
      </c>
      <c r="AA2976" s="48">
        <v>8.831999999999999</v>
      </c>
      <c r="AB2976" s="13"/>
      <c r="AC2976" s="47">
        <v>2972</v>
      </c>
      <c r="AD2976" s="47" t="s">
        <v>4573</v>
      </c>
      <c r="AE2976" s="47" t="s">
        <v>2560</v>
      </c>
      <c r="AF2976" s="56">
        <v>0.18492</v>
      </c>
    </row>
    <row r="2977" spans="19:32" x14ac:dyDescent="0.35">
      <c r="S2977" s="41">
        <v>2973</v>
      </c>
      <c r="T2977" s="41" t="s">
        <v>4284</v>
      </c>
      <c r="U2977" s="41" t="s">
        <v>4835</v>
      </c>
      <c r="V2977" s="42">
        <v>2.1573000000000002</v>
      </c>
      <c r="W2977" s="13"/>
      <c r="X2977" s="34">
        <v>2973</v>
      </c>
      <c r="Y2977" s="34" t="s">
        <v>2248</v>
      </c>
      <c r="Z2977" s="34" t="s">
        <v>2955</v>
      </c>
      <c r="AA2977" s="35">
        <v>0.32834677419354841</v>
      </c>
      <c r="AB2977" s="13"/>
      <c r="AC2977" s="34">
        <v>2973</v>
      </c>
      <c r="AD2977" s="34" t="s">
        <v>4573</v>
      </c>
      <c r="AE2977" s="34" t="s">
        <v>2559</v>
      </c>
      <c r="AF2977" s="35">
        <v>1.9947580645161292E-2</v>
      </c>
    </row>
    <row r="2978" spans="19:32" x14ac:dyDescent="0.35">
      <c r="S2978" s="44">
        <v>2974</v>
      </c>
      <c r="T2978" s="44" t="s">
        <v>4284</v>
      </c>
      <c r="U2978" s="44" t="s">
        <v>4834</v>
      </c>
      <c r="V2978" s="45">
        <v>0</v>
      </c>
      <c r="W2978" s="13"/>
      <c r="X2978" s="34">
        <v>2974</v>
      </c>
      <c r="Y2978" s="34" t="s">
        <v>2248</v>
      </c>
      <c r="Z2978" s="34" t="s">
        <v>3416</v>
      </c>
      <c r="AA2978" s="35">
        <v>2.4745967741935483E-4</v>
      </c>
      <c r="AB2978" s="13"/>
      <c r="AC2978" s="47">
        <v>2974</v>
      </c>
      <c r="AD2978" s="47" t="s">
        <v>4573</v>
      </c>
      <c r="AE2978" s="47" t="s">
        <v>2559</v>
      </c>
      <c r="AF2978" s="56">
        <v>6.3939999999999997E-2</v>
      </c>
    </row>
    <row r="2979" spans="19:32" x14ac:dyDescent="0.35">
      <c r="S2979" s="41">
        <v>2975</v>
      </c>
      <c r="T2979" s="41" t="s">
        <v>4284</v>
      </c>
      <c r="U2979" s="41" t="s">
        <v>4834</v>
      </c>
      <c r="V2979" s="42">
        <v>1.1186</v>
      </c>
      <c r="W2979" s="13"/>
      <c r="X2979" s="47">
        <v>2975</v>
      </c>
      <c r="Y2979" s="47" t="s">
        <v>2248</v>
      </c>
      <c r="Z2979" s="47" t="s">
        <v>2953</v>
      </c>
      <c r="AA2979" s="48">
        <v>0</v>
      </c>
      <c r="AB2979" s="13"/>
      <c r="AC2979" s="34">
        <v>2975</v>
      </c>
      <c r="AD2979" s="34" t="s">
        <v>4573</v>
      </c>
      <c r="AE2979" s="34" t="s">
        <v>4218</v>
      </c>
      <c r="AF2979" s="35">
        <v>1.6691532258064519E-3</v>
      </c>
    </row>
    <row r="2980" spans="19:32" x14ac:dyDescent="0.35">
      <c r="S2980" s="44">
        <v>2976</v>
      </c>
      <c r="T2980" s="44" t="s">
        <v>4284</v>
      </c>
      <c r="U2980" s="44" t="s">
        <v>4833</v>
      </c>
      <c r="V2980" s="45">
        <v>0</v>
      </c>
      <c r="W2980" s="13"/>
      <c r="X2980" s="34">
        <v>2976</v>
      </c>
      <c r="Y2980" s="34" t="s">
        <v>2248</v>
      </c>
      <c r="Z2980" s="34" t="s">
        <v>2953</v>
      </c>
      <c r="AA2980" s="35">
        <v>0.10899193548387098</v>
      </c>
      <c r="AB2980" s="13"/>
      <c r="AC2980" s="34">
        <v>2976</v>
      </c>
      <c r="AD2980" s="34" t="s">
        <v>4573</v>
      </c>
      <c r="AE2980" s="34" t="s">
        <v>4217</v>
      </c>
      <c r="AF2980" s="35">
        <v>1.7000000000000001E-3</v>
      </c>
    </row>
    <row r="2981" spans="19:32" x14ac:dyDescent="0.35">
      <c r="S2981" s="41">
        <v>2977</v>
      </c>
      <c r="T2981" s="41" t="s">
        <v>4284</v>
      </c>
      <c r="U2981" s="41" t="s">
        <v>4833</v>
      </c>
      <c r="V2981" s="42">
        <v>1.4899</v>
      </c>
      <c r="W2981" s="13"/>
      <c r="X2981" s="34">
        <v>2977</v>
      </c>
      <c r="Y2981" s="34" t="s">
        <v>2248</v>
      </c>
      <c r="Z2981" s="34" t="s">
        <v>4832</v>
      </c>
      <c r="AA2981" s="35">
        <v>1.6485887096774196E-3</v>
      </c>
      <c r="AB2981" s="13"/>
      <c r="AC2981" s="47">
        <v>2977</v>
      </c>
      <c r="AD2981" s="47" t="s">
        <v>4573</v>
      </c>
      <c r="AE2981" s="47" t="s">
        <v>2557</v>
      </c>
      <c r="AF2981" s="56">
        <v>0</v>
      </c>
    </row>
    <row r="2982" spans="19:32" x14ac:dyDescent="0.35">
      <c r="S2982" s="44">
        <v>2978</v>
      </c>
      <c r="T2982" s="44" t="s">
        <v>4284</v>
      </c>
      <c r="U2982" s="44" t="s">
        <v>4831</v>
      </c>
      <c r="V2982" s="45">
        <v>0</v>
      </c>
      <c r="W2982" s="13"/>
      <c r="X2982" s="34">
        <v>2978</v>
      </c>
      <c r="Y2982" s="34" t="s">
        <v>2248</v>
      </c>
      <c r="Z2982" s="34" t="s">
        <v>3365</v>
      </c>
      <c r="AA2982" s="35">
        <v>1.7582661290322581E-2</v>
      </c>
      <c r="AB2982" s="13"/>
      <c r="AC2982" s="34">
        <v>2978</v>
      </c>
      <c r="AD2982" s="34" t="s">
        <v>4573</v>
      </c>
      <c r="AE2982" s="34" t="s">
        <v>2556</v>
      </c>
      <c r="AF2982" s="35">
        <v>0.13229838709677422</v>
      </c>
    </row>
    <row r="2983" spans="19:32" x14ac:dyDescent="0.35">
      <c r="S2983" s="41">
        <v>2979</v>
      </c>
      <c r="T2983" s="41" t="s">
        <v>4284</v>
      </c>
      <c r="U2983" s="41" t="s">
        <v>4831</v>
      </c>
      <c r="V2983" s="42">
        <v>3.1490000000000005</v>
      </c>
      <c r="W2983" s="13"/>
      <c r="X2983" s="34">
        <v>2979</v>
      </c>
      <c r="Y2983" s="34" t="s">
        <v>2248</v>
      </c>
      <c r="Z2983" s="34" t="s">
        <v>3362</v>
      </c>
      <c r="AA2983" s="35">
        <v>1.9467741935483874E-6</v>
      </c>
      <c r="AB2983" s="13"/>
      <c r="AC2983" s="47">
        <v>2979</v>
      </c>
      <c r="AD2983" s="47" t="s">
        <v>4573</v>
      </c>
      <c r="AE2983" s="47" t="s">
        <v>2556</v>
      </c>
      <c r="AF2983" s="56">
        <v>0</v>
      </c>
    </row>
    <row r="2984" spans="19:32" x14ac:dyDescent="0.35">
      <c r="S2984" s="44">
        <v>2980</v>
      </c>
      <c r="T2984" s="44" t="s">
        <v>4284</v>
      </c>
      <c r="U2984" s="44" t="s">
        <v>4829</v>
      </c>
      <c r="V2984" s="45">
        <v>0</v>
      </c>
      <c r="W2984" s="13"/>
      <c r="X2984" s="34">
        <v>2980</v>
      </c>
      <c r="Y2984" s="34" t="s">
        <v>2248</v>
      </c>
      <c r="Z2984" s="34" t="s">
        <v>4830</v>
      </c>
      <c r="AA2984" s="35">
        <v>4.3185483870967746E-4</v>
      </c>
      <c r="AB2984" s="13"/>
      <c r="AC2984" s="34">
        <v>2980</v>
      </c>
      <c r="AD2984" s="34" t="s">
        <v>4573</v>
      </c>
      <c r="AE2984" s="34" t="s">
        <v>4214</v>
      </c>
      <c r="AF2984" s="35">
        <v>3.1806451612903228E-2</v>
      </c>
    </row>
    <row r="2985" spans="19:32" x14ac:dyDescent="0.35">
      <c r="S2985" s="41">
        <v>2981</v>
      </c>
      <c r="T2985" s="41" t="s">
        <v>4284</v>
      </c>
      <c r="U2985" s="41" t="s">
        <v>4829</v>
      </c>
      <c r="V2985" s="42">
        <v>1.0058</v>
      </c>
      <c r="W2985" s="13"/>
      <c r="X2985" s="47">
        <v>2981</v>
      </c>
      <c r="Y2985" s="47" t="s">
        <v>2248</v>
      </c>
      <c r="Z2985" s="47" t="s">
        <v>2952</v>
      </c>
      <c r="AA2985" s="48">
        <v>0</v>
      </c>
      <c r="AB2985" s="13"/>
      <c r="AC2985" s="34">
        <v>2981</v>
      </c>
      <c r="AD2985" s="34" t="s">
        <v>4573</v>
      </c>
      <c r="AE2985" s="34" t="s">
        <v>4213</v>
      </c>
      <c r="AF2985" s="35">
        <v>5.4495967741935492E-2</v>
      </c>
    </row>
    <row r="2986" spans="19:32" x14ac:dyDescent="0.35">
      <c r="S2986" s="44">
        <v>2982</v>
      </c>
      <c r="T2986" s="44" t="s">
        <v>4284</v>
      </c>
      <c r="U2986" s="44" t="s">
        <v>4828</v>
      </c>
      <c r="V2986" s="45">
        <v>0</v>
      </c>
      <c r="W2986" s="13"/>
      <c r="X2986" s="34">
        <v>2982</v>
      </c>
      <c r="Y2986" s="34" t="s">
        <v>2248</v>
      </c>
      <c r="Z2986" s="34" t="s">
        <v>2952</v>
      </c>
      <c r="AA2986" s="35">
        <v>1.2715725806451613E-5</v>
      </c>
      <c r="AB2986" s="13"/>
      <c r="AC2986" s="47">
        <v>2982</v>
      </c>
      <c r="AD2986" s="47" t="s">
        <v>4573</v>
      </c>
      <c r="AE2986" s="47" t="s">
        <v>2554</v>
      </c>
      <c r="AF2986" s="56">
        <v>0.68079999999999996</v>
      </c>
    </row>
    <row r="2987" spans="19:32" x14ac:dyDescent="0.35">
      <c r="S2987" s="41">
        <v>2983</v>
      </c>
      <c r="T2987" s="41" t="s">
        <v>4284</v>
      </c>
      <c r="U2987" s="41" t="s">
        <v>4828</v>
      </c>
      <c r="V2987" s="42">
        <v>3.1443000000000003</v>
      </c>
      <c r="W2987" s="13"/>
      <c r="X2987" s="34">
        <v>2983</v>
      </c>
      <c r="Y2987" s="34" t="s">
        <v>2248</v>
      </c>
      <c r="Z2987" s="34" t="s">
        <v>3411</v>
      </c>
      <c r="AA2987" s="35">
        <v>2.2175403225806452E-4</v>
      </c>
      <c r="AB2987" s="13"/>
      <c r="AC2987" s="34">
        <v>2983</v>
      </c>
      <c r="AD2987" s="34" t="s">
        <v>4573</v>
      </c>
      <c r="AE2987" s="34" t="s">
        <v>4212</v>
      </c>
      <c r="AF2987" s="35">
        <v>2.2209677419354841</v>
      </c>
    </row>
    <row r="2988" spans="19:32" x14ac:dyDescent="0.35">
      <c r="S2988" s="44">
        <v>2984</v>
      </c>
      <c r="T2988" s="44" t="s">
        <v>4284</v>
      </c>
      <c r="U2988" s="44" t="s">
        <v>4827</v>
      </c>
      <c r="V2988" s="45">
        <v>0</v>
      </c>
      <c r="W2988" s="13"/>
      <c r="X2988" s="47">
        <v>2984</v>
      </c>
      <c r="Y2988" s="47" t="s">
        <v>2248</v>
      </c>
      <c r="Z2988" s="47" t="s">
        <v>2950</v>
      </c>
      <c r="AA2988" s="48">
        <v>110.4</v>
      </c>
      <c r="AB2988" s="13"/>
      <c r="AC2988" s="34">
        <v>2984</v>
      </c>
      <c r="AD2988" s="34" t="s">
        <v>4573</v>
      </c>
      <c r="AE2988" s="34" t="s">
        <v>2552</v>
      </c>
      <c r="AF2988" s="35">
        <v>1.5971774193548389</v>
      </c>
    </row>
    <row r="2989" spans="19:32" x14ac:dyDescent="0.35">
      <c r="S2989" s="41">
        <v>2985</v>
      </c>
      <c r="T2989" s="41" t="s">
        <v>4284</v>
      </c>
      <c r="U2989" s="41" t="s">
        <v>4827</v>
      </c>
      <c r="V2989" s="42">
        <v>0.83660000000000001</v>
      </c>
      <c r="W2989" s="13"/>
      <c r="X2989" s="34">
        <v>2985</v>
      </c>
      <c r="Y2989" s="34" t="s">
        <v>2248</v>
      </c>
      <c r="Z2989" s="34" t="s">
        <v>2950</v>
      </c>
      <c r="AA2989" s="35">
        <v>9.5967741935483887E-6</v>
      </c>
      <c r="AB2989" s="13"/>
      <c r="AC2989" s="47">
        <v>2985</v>
      </c>
      <c r="AD2989" s="47" t="s">
        <v>4573</v>
      </c>
      <c r="AE2989" s="47" t="s">
        <v>2552</v>
      </c>
      <c r="AF2989" s="56">
        <v>472.88</v>
      </c>
    </row>
    <row r="2990" spans="19:32" x14ac:dyDescent="0.35">
      <c r="S2990" s="44">
        <v>2986</v>
      </c>
      <c r="T2990" s="44" t="s">
        <v>4284</v>
      </c>
      <c r="U2990" s="44" t="s">
        <v>4826</v>
      </c>
      <c r="V2990" s="45">
        <v>0</v>
      </c>
      <c r="W2990" s="13"/>
      <c r="X2990" s="34">
        <v>2986</v>
      </c>
      <c r="Y2990" s="34" t="s">
        <v>2248</v>
      </c>
      <c r="Z2990" s="34" t="s">
        <v>3356</v>
      </c>
      <c r="AA2990" s="35">
        <v>3.2046370967741937E-4</v>
      </c>
      <c r="AB2990" s="13"/>
      <c r="AC2990" s="34">
        <v>2986</v>
      </c>
      <c r="AD2990" s="34" t="s">
        <v>4573</v>
      </c>
      <c r="AE2990" s="34" t="s">
        <v>2551</v>
      </c>
      <c r="AF2990" s="35">
        <v>6.3750000000000009</v>
      </c>
    </row>
    <row r="2991" spans="19:32" x14ac:dyDescent="0.35">
      <c r="S2991" s="41">
        <v>2987</v>
      </c>
      <c r="T2991" s="41" t="s">
        <v>4284</v>
      </c>
      <c r="U2991" s="41" t="s">
        <v>4826</v>
      </c>
      <c r="V2991" s="42">
        <v>1.4240999999999999</v>
      </c>
      <c r="W2991" s="13"/>
      <c r="X2991" s="34">
        <v>2987</v>
      </c>
      <c r="Y2991" s="34" t="s">
        <v>2248</v>
      </c>
      <c r="Z2991" s="34" t="s">
        <v>4825</v>
      </c>
      <c r="AA2991" s="35">
        <v>3.6330645161290325E-4</v>
      </c>
      <c r="AB2991" s="13"/>
      <c r="AC2991" s="47">
        <v>2987</v>
      </c>
      <c r="AD2991" s="47" t="s">
        <v>4573</v>
      </c>
      <c r="AE2991" s="47" t="s">
        <v>2551</v>
      </c>
      <c r="AF2991" s="56">
        <v>39652</v>
      </c>
    </row>
    <row r="2992" spans="19:32" x14ac:dyDescent="0.35">
      <c r="S2992" s="44">
        <v>2988</v>
      </c>
      <c r="T2992" s="44" t="s">
        <v>4284</v>
      </c>
      <c r="U2992" s="44" t="s">
        <v>4824</v>
      </c>
      <c r="V2992" s="45">
        <v>0</v>
      </c>
      <c r="W2992" s="13"/>
      <c r="X2992" s="47">
        <v>2988</v>
      </c>
      <c r="Y2992" s="47" t="s">
        <v>2248</v>
      </c>
      <c r="Z2992" s="47" t="s">
        <v>2948</v>
      </c>
      <c r="AA2992" s="48">
        <v>1.1408E-2</v>
      </c>
      <c r="AB2992" s="13"/>
      <c r="AC2992" s="34">
        <v>2988</v>
      </c>
      <c r="AD2992" s="34" t="s">
        <v>4573</v>
      </c>
      <c r="AE2992" s="34" t="s">
        <v>2549</v>
      </c>
      <c r="AF2992" s="35">
        <v>0.14909274193548389</v>
      </c>
    </row>
    <row r="2993" spans="19:32" x14ac:dyDescent="0.35">
      <c r="S2993" s="41">
        <v>2989</v>
      </c>
      <c r="T2993" s="41" t="s">
        <v>4284</v>
      </c>
      <c r="U2993" s="41" t="s">
        <v>4824</v>
      </c>
      <c r="V2993" s="42">
        <v>0.9447000000000001</v>
      </c>
      <c r="W2993" s="13"/>
      <c r="X2993" s="34">
        <v>2989</v>
      </c>
      <c r="Y2993" s="34" t="s">
        <v>2248</v>
      </c>
      <c r="Z2993" s="34" t="s">
        <v>3408</v>
      </c>
      <c r="AA2993" s="35">
        <v>5.895161290322581E-5</v>
      </c>
      <c r="AB2993" s="13"/>
      <c r="AC2993" s="47">
        <v>2989</v>
      </c>
      <c r="AD2993" s="47" t="s">
        <v>4573</v>
      </c>
      <c r="AE2993" s="47" t="s">
        <v>2549</v>
      </c>
      <c r="AF2993" s="56">
        <v>23644</v>
      </c>
    </row>
    <row r="2994" spans="19:32" x14ac:dyDescent="0.35">
      <c r="S2994" s="44">
        <v>2990</v>
      </c>
      <c r="T2994" s="44" t="s">
        <v>4284</v>
      </c>
      <c r="U2994" s="44" t="s">
        <v>4823</v>
      </c>
      <c r="V2994" s="45">
        <v>0</v>
      </c>
      <c r="W2994" s="13"/>
      <c r="X2994" s="47">
        <v>2990</v>
      </c>
      <c r="Y2994" s="47" t="s">
        <v>2248</v>
      </c>
      <c r="Z2994" s="47" t="s">
        <v>2947</v>
      </c>
      <c r="AA2994" s="48">
        <v>1.3432E-4</v>
      </c>
      <c r="AB2994" s="13"/>
      <c r="AC2994" s="34">
        <v>2990</v>
      </c>
      <c r="AD2994" s="34" t="s">
        <v>4573</v>
      </c>
      <c r="AE2994" s="34" t="s">
        <v>2548</v>
      </c>
      <c r="AF2994" s="35">
        <v>0.45927419354838711</v>
      </c>
    </row>
    <row r="2995" spans="19:32" x14ac:dyDescent="0.35">
      <c r="S2995" s="41">
        <v>2991</v>
      </c>
      <c r="T2995" s="41" t="s">
        <v>4284</v>
      </c>
      <c r="U2995" s="41" t="s">
        <v>4823</v>
      </c>
      <c r="V2995" s="42">
        <v>1.9975000000000001</v>
      </c>
      <c r="W2995" s="13"/>
      <c r="X2995" s="34">
        <v>2991</v>
      </c>
      <c r="Y2995" s="34" t="s">
        <v>2248</v>
      </c>
      <c r="Z2995" s="34" t="s">
        <v>2947</v>
      </c>
      <c r="AA2995" s="35">
        <v>3.6673387096774193E-7</v>
      </c>
      <c r="AB2995" s="13"/>
      <c r="AC2995" s="47">
        <v>2991</v>
      </c>
      <c r="AD2995" s="47" t="s">
        <v>4573</v>
      </c>
      <c r="AE2995" s="47" t="s">
        <v>2548</v>
      </c>
      <c r="AF2995" s="56">
        <v>2438</v>
      </c>
    </row>
    <row r="2996" spans="19:32" x14ac:dyDescent="0.35">
      <c r="S2996" s="44">
        <v>2992</v>
      </c>
      <c r="T2996" s="44" t="s">
        <v>4284</v>
      </c>
      <c r="U2996" s="44" t="s">
        <v>4821</v>
      </c>
      <c r="V2996" s="45">
        <v>0</v>
      </c>
      <c r="W2996" s="13"/>
      <c r="X2996" s="34">
        <v>2992</v>
      </c>
      <c r="Y2996" s="34" t="s">
        <v>2248</v>
      </c>
      <c r="Z2996" s="34" t="s">
        <v>4822</v>
      </c>
      <c r="AA2996" s="35">
        <v>5.4495967741935489E-5</v>
      </c>
      <c r="AB2996" s="13"/>
      <c r="AC2996" s="47">
        <v>2992</v>
      </c>
      <c r="AD2996" s="47" t="s">
        <v>4573</v>
      </c>
      <c r="AE2996" s="47" t="s">
        <v>2546</v>
      </c>
      <c r="AF2996" s="56">
        <v>1.9504000000000001</v>
      </c>
    </row>
    <row r="2997" spans="19:32" x14ac:dyDescent="0.35">
      <c r="S2997" s="41">
        <v>2993</v>
      </c>
      <c r="T2997" s="41" t="s">
        <v>4284</v>
      </c>
      <c r="U2997" s="41" t="s">
        <v>4821</v>
      </c>
      <c r="V2997" s="42">
        <v>2.6696</v>
      </c>
      <c r="W2997" s="13"/>
      <c r="X2997" s="47">
        <v>2993</v>
      </c>
      <c r="Y2997" s="47" t="s">
        <v>2248</v>
      </c>
      <c r="Z2997" s="47" t="s">
        <v>2946</v>
      </c>
      <c r="AA2997" s="48">
        <v>0</v>
      </c>
      <c r="AB2997" s="13"/>
      <c r="AC2997" s="34">
        <v>2993</v>
      </c>
      <c r="AD2997" s="34" t="s">
        <v>4573</v>
      </c>
      <c r="AE2997" s="34" t="s">
        <v>4210</v>
      </c>
      <c r="AF2997" s="35">
        <v>0.68891129032258069</v>
      </c>
    </row>
    <row r="2998" spans="19:32" x14ac:dyDescent="0.35">
      <c r="S2998" s="44">
        <v>2994</v>
      </c>
      <c r="T2998" s="44" t="s">
        <v>4284</v>
      </c>
      <c r="U2998" s="44" t="s">
        <v>4820</v>
      </c>
      <c r="V2998" s="45">
        <v>0</v>
      </c>
      <c r="W2998" s="13"/>
      <c r="X2998" s="34">
        <v>2994</v>
      </c>
      <c r="Y2998" s="34" t="s">
        <v>2248</v>
      </c>
      <c r="Z2998" s="34" t="s">
        <v>3351</v>
      </c>
      <c r="AA2998" s="35">
        <v>7.7116935483870975E-5</v>
      </c>
      <c r="AB2998" s="13"/>
      <c r="AC2998" s="34">
        <v>2994</v>
      </c>
      <c r="AD2998" s="34" t="s">
        <v>4573</v>
      </c>
      <c r="AE2998" s="34" t="s">
        <v>4208</v>
      </c>
      <c r="AF2998" s="35">
        <v>1.8782258064516132E-2</v>
      </c>
    </row>
    <row r="2999" spans="19:32" x14ac:dyDescent="0.35">
      <c r="S2999" s="41">
        <v>2995</v>
      </c>
      <c r="T2999" s="41" t="s">
        <v>4284</v>
      </c>
      <c r="U2999" s="41" t="s">
        <v>4820</v>
      </c>
      <c r="V2999" s="42">
        <v>2.7401</v>
      </c>
      <c r="W2999" s="13"/>
      <c r="X2999" s="34">
        <v>2995</v>
      </c>
      <c r="Y2999" s="34" t="s">
        <v>2248</v>
      </c>
      <c r="Z2999" s="34" t="s">
        <v>3348</v>
      </c>
      <c r="AA2999" s="35">
        <v>3.3383064516129034E-5</v>
      </c>
      <c r="AB2999" s="13"/>
      <c r="AC2999" s="34">
        <v>2995</v>
      </c>
      <c r="AD2999" s="34" t="s">
        <v>4573</v>
      </c>
      <c r="AE2999" s="34" t="s">
        <v>4207</v>
      </c>
      <c r="AF2999" s="35">
        <v>9.8366935483870974E-2</v>
      </c>
    </row>
    <row r="3000" spans="19:32" x14ac:dyDescent="0.35">
      <c r="S3000" s="44">
        <v>2996</v>
      </c>
      <c r="T3000" s="44" t="s">
        <v>4284</v>
      </c>
      <c r="U3000" s="44" t="s">
        <v>4819</v>
      </c>
      <c r="V3000" s="45">
        <v>0</v>
      </c>
      <c r="W3000" s="13"/>
      <c r="X3000" s="34">
        <v>2996</v>
      </c>
      <c r="Y3000" s="34" t="s">
        <v>2248</v>
      </c>
      <c r="Z3000" s="34" t="s">
        <v>3406</v>
      </c>
      <c r="AA3000" s="35">
        <v>0.12030241935483872</v>
      </c>
      <c r="AB3000" s="13"/>
      <c r="AC3000" s="34">
        <v>2996</v>
      </c>
      <c r="AD3000" s="34" t="s">
        <v>4573</v>
      </c>
      <c r="AE3000" s="34" t="s">
        <v>4206</v>
      </c>
      <c r="AF3000" s="35">
        <v>1.0453629032258065</v>
      </c>
    </row>
    <row r="3001" spans="19:32" x14ac:dyDescent="0.35">
      <c r="S3001" s="41">
        <v>2997</v>
      </c>
      <c r="T3001" s="41" t="s">
        <v>4284</v>
      </c>
      <c r="U3001" s="41" t="s">
        <v>4819</v>
      </c>
      <c r="V3001" s="42">
        <v>1.1609</v>
      </c>
      <c r="W3001" s="13"/>
      <c r="X3001" s="34">
        <v>2997</v>
      </c>
      <c r="Y3001" s="34" t="s">
        <v>2248</v>
      </c>
      <c r="Z3001" s="34" t="s">
        <v>3346</v>
      </c>
      <c r="AA3001" s="35">
        <v>1.3366935483870968E-4</v>
      </c>
      <c r="AB3001" s="13"/>
      <c r="AC3001" s="34">
        <v>2997</v>
      </c>
      <c r="AD3001" s="34" t="s">
        <v>4573</v>
      </c>
      <c r="AE3001" s="34" t="s">
        <v>2545</v>
      </c>
      <c r="AF3001" s="35">
        <v>1.1893145161290324</v>
      </c>
    </row>
    <row r="3002" spans="19:32" x14ac:dyDescent="0.35">
      <c r="S3002" s="30">
        <v>2998</v>
      </c>
      <c r="T3002" s="30" t="s">
        <v>4284</v>
      </c>
      <c r="U3002" s="30" t="s">
        <v>4818</v>
      </c>
      <c r="V3002" s="31">
        <v>1867.6000000000001</v>
      </c>
      <c r="W3002" s="13"/>
      <c r="X3002" s="34">
        <v>2998</v>
      </c>
      <c r="Y3002" s="34" t="s">
        <v>2248</v>
      </c>
      <c r="Z3002" s="34" t="s">
        <v>3343</v>
      </c>
      <c r="AA3002" s="35">
        <v>1.0899193548387098E-4</v>
      </c>
      <c r="AB3002" s="13"/>
      <c r="AC3002" s="47">
        <v>2998</v>
      </c>
      <c r="AD3002" s="47" t="s">
        <v>4573</v>
      </c>
      <c r="AE3002" s="47" t="s">
        <v>2545</v>
      </c>
      <c r="AF3002" s="56">
        <v>0</v>
      </c>
    </row>
    <row r="3003" spans="19:32" x14ac:dyDescent="0.35">
      <c r="S3003" s="44">
        <v>2999</v>
      </c>
      <c r="T3003" s="44" t="s">
        <v>4284</v>
      </c>
      <c r="U3003" s="44" t="s">
        <v>4816</v>
      </c>
      <c r="V3003" s="45">
        <v>0</v>
      </c>
      <c r="W3003" s="13"/>
      <c r="X3003" s="34">
        <v>2999</v>
      </c>
      <c r="Y3003" s="34" t="s">
        <v>2248</v>
      </c>
      <c r="Z3003" s="34" t="s">
        <v>4817</v>
      </c>
      <c r="AA3003" s="35">
        <v>1.1516129032258066E-2</v>
      </c>
      <c r="AB3003" s="13"/>
      <c r="AC3003" s="47">
        <v>2999</v>
      </c>
      <c r="AD3003" s="47" t="s">
        <v>4573</v>
      </c>
      <c r="AE3003" s="47" t="s">
        <v>2543</v>
      </c>
      <c r="AF3003" s="56">
        <v>0</v>
      </c>
    </row>
    <row r="3004" spans="19:32" x14ac:dyDescent="0.35">
      <c r="S3004" s="41">
        <v>3000</v>
      </c>
      <c r="T3004" s="41" t="s">
        <v>4284</v>
      </c>
      <c r="U3004" s="41" t="s">
        <v>4816</v>
      </c>
      <c r="V3004" s="42">
        <v>9.7525000000000013</v>
      </c>
      <c r="W3004" s="13"/>
      <c r="X3004" s="47">
        <v>3000</v>
      </c>
      <c r="Y3004" s="47" t="s">
        <v>2248</v>
      </c>
      <c r="Z3004" s="47" t="s">
        <v>2945</v>
      </c>
      <c r="AA3004" s="48">
        <v>7.4428000000000005E-4</v>
      </c>
      <c r="AB3004" s="13"/>
      <c r="AC3004" s="34">
        <v>3000</v>
      </c>
      <c r="AD3004" s="34" t="s">
        <v>4573</v>
      </c>
      <c r="AE3004" s="34" t="s">
        <v>2542</v>
      </c>
      <c r="AF3004" s="35">
        <v>0.12441532258064517</v>
      </c>
    </row>
    <row r="3005" spans="19:32" x14ac:dyDescent="0.35">
      <c r="S3005" s="58">
        <v>3001</v>
      </c>
      <c r="T3005" s="58" t="s">
        <v>4284</v>
      </c>
      <c r="U3005" s="58" t="s">
        <v>4816</v>
      </c>
      <c r="V3005" s="59">
        <v>5.35</v>
      </c>
      <c r="W3005" s="13"/>
      <c r="X3005" s="34">
        <v>3001</v>
      </c>
      <c r="Y3005" s="34" t="s">
        <v>2248</v>
      </c>
      <c r="Z3005" s="34" t="s">
        <v>2945</v>
      </c>
      <c r="AA3005" s="35">
        <v>1.771975806451613E-4</v>
      </c>
      <c r="AB3005" s="13"/>
      <c r="AC3005" s="47">
        <v>3001</v>
      </c>
      <c r="AD3005" s="47" t="s">
        <v>4573</v>
      </c>
      <c r="AE3005" s="47" t="s">
        <v>2542</v>
      </c>
      <c r="AF3005" s="56">
        <v>0</v>
      </c>
    </row>
    <row r="3006" spans="19:32" x14ac:dyDescent="0.35">
      <c r="S3006" s="44">
        <v>3002</v>
      </c>
      <c r="T3006" s="44" t="s">
        <v>4284</v>
      </c>
      <c r="U3006" s="44" t="s">
        <v>4815</v>
      </c>
      <c r="V3006" s="45">
        <v>0</v>
      </c>
      <c r="W3006" s="13"/>
      <c r="X3006" s="34">
        <v>3002</v>
      </c>
      <c r="Y3006" s="34" t="s">
        <v>2248</v>
      </c>
      <c r="Z3006" s="34" t="s">
        <v>3405</v>
      </c>
      <c r="AA3006" s="35">
        <v>1.7754032258064517E-2</v>
      </c>
      <c r="AB3006" s="13"/>
      <c r="AC3006" s="47">
        <v>3002</v>
      </c>
      <c r="AD3006" s="47" t="s">
        <v>4573</v>
      </c>
      <c r="AE3006" s="47" t="s">
        <v>2540</v>
      </c>
      <c r="AF3006" s="56">
        <v>0.32844000000000001</v>
      </c>
    </row>
    <row r="3007" spans="19:32" x14ac:dyDescent="0.35">
      <c r="S3007" s="41">
        <v>3003</v>
      </c>
      <c r="T3007" s="41" t="s">
        <v>4284</v>
      </c>
      <c r="U3007" s="41" t="s">
        <v>4815</v>
      </c>
      <c r="V3007" s="42">
        <v>6.3638000000000003</v>
      </c>
      <c r="W3007" s="13"/>
      <c r="X3007" s="34">
        <v>3003</v>
      </c>
      <c r="Y3007" s="34" t="s">
        <v>2248</v>
      </c>
      <c r="Z3007" s="34" t="s">
        <v>3338</v>
      </c>
      <c r="AA3007" s="35">
        <v>0.22483870967741937</v>
      </c>
      <c r="AB3007" s="13"/>
      <c r="AC3007" s="47">
        <v>3003</v>
      </c>
      <c r="AD3007" s="47" t="s">
        <v>4573</v>
      </c>
      <c r="AE3007" s="47" t="s">
        <v>2538</v>
      </c>
      <c r="AF3007" s="56">
        <v>0</v>
      </c>
    </row>
    <row r="3008" spans="19:32" x14ac:dyDescent="0.35">
      <c r="S3008" s="64">
        <v>3004</v>
      </c>
      <c r="T3008" s="64" t="s">
        <v>4284</v>
      </c>
      <c r="U3008" s="64" t="s">
        <v>4815</v>
      </c>
      <c r="V3008" s="65">
        <v>5.35</v>
      </c>
      <c r="W3008" s="13"/>
      <c r="X3008" s="34">
        <v>3004</v>
      </c>
      <c r="Y3008" s="34" t="s">
        <v>2248</v>
      </c>
      <c r="Z3008" s="34" t="s">
        <v>3335</v>
      </c>
      <c r="AA3008" s="35">
        <v>1.0899193548387098E-6</v>
      </c>
      <c r="AB3008" s="13"/>
      <c r="AC3008" s="34">
        <v>3004</v>
      </c>
      <c r="AD3008" s="34" t="s">
        <v>4573</v>
      </c>
      <c r="AE3008" s="34" t="s">
        <v>4202</v>
      </c>
      <c r="AF3008" s="35">
        <v>342.74193548387098</v>
      </c>
    </row>
    <row r="3009" spans="19:32" x14ac:dyDescent="0.35">
      <c r="S3009" s="44">
        <v>3005</v>
      </c>
      <c r="T3009" s="44" t="s">
        <v>4284</v>
      </c>
      <c r="U3009" s="44" t="s">
        <v>4814</v>
      </c>
      <c r="V3009" s="45">
        <v>0</v>
      </c>
      <c r="W3009" s="13"/>
      <c r="X3009" s="34">
        <v>3005</v>
      </c>
      <c r="Y3009" s="34" t="s">
        <v>2248</v>
      </c>
      <c r="Z3009" s="34" t="s">
        <v>3333</v>
      </c>
      <c r="AA3009" s="35">
        <v>3.2354838709677418E-4</v>
      </c>
      <c r="AB3009" s="13"/>
      <c r="AC3009" s="47">
        <v>3005</v>
      </c>
      <c r="AD3009" s="47" t="s">
        <v>4573</v>
      </c>
      <c r="AE3009" s="47" t="s">
        <v>2537</v>
      </c>
      <c r="AF3009" s="56">
        <v>2.1436000000000002</v>
      </c>
    </row>
    <row r="3010" spans="19:32" x14ac:dyDescent="0.35">
      <c r="S3010" s="41">
        <v>3006</v>
      </c>
      <c r="T3010" s="41" t="s">
        <v>4284</v>
      </c>
      <c r="U3010" s="41" t="s">
        <v>4814</v>
      </c>
      <c r="V3010" s="42">
        <v>1.4523000000000001</v>
      </c>
      <c r="W3010" s="13"/>
      <c r="X3010" s="34">
        <v>3006</v>
      </c>
      <c r="Y3010" s="34" t="s">
        <v>2248</v>
      </c>
      <c r="Z3010" s="34" t="s">
        <v>3403</v>
      </c>
      <c r="AA3010" s="35">
        <v>0.48326612903225813</v>
      </c>
      <c r="AB3010" s="13"/>
      <c r="AC3010" s="47">
        <v>3006</v>
      </c>
      <c r="AD3010" s="47" t="s">
        <v>4573</v>
      </c>
      <c r="AE3010" s="47" t="s">
        <v>2535</v>
      </c>
      <c r="AF3010" s="56">
        <v>0</v>
      </c>
    </row>
    <row r="3011" spans="19:32" x14ac:dyDescent="0.35">
      <c r="S3011" s="44">
        <v>3007</v>
      </c>
      <c r="T3011" s="44" t="s">
        <v>4284</v>
      </c>
      <c r="U3011" s="44" t="s">
        <v>4812</v>
      </c>
      <c r="V3011" s="45">
        <v>0</v>
      </c>
      <c r="W3011" s="13"/>
      <c r="X3011" s="34">
        <v>3007</v>
      </c>
      <c r="Y3011" s="34" t="s">
        <v>2248</v>
      </c>
      <c r="Z3011" s="34" t="s">
        <v>4813</v>
      </c>
      <c r="AA3011" s="35">
        <v>6.3064516129032272E-5</v>
      </c>
      <c r="AB3011" s="13"/>
      <c r="AC3011" s="34">
        <v>3007</v>
      </c>
      <c r="AD3011" s="34" t="s">
        <v>4573</v>
      </c>
      <c r="AE3011" s="34" t="s">
        <v>2534</v>
      </c>
      <c r="AF3011" s="35">
        <v>9.973790322580646E-2</v>
      </c>
    </row>
    <row r="3012" spans="19:32" x14ac:dyDescent="0.35">
      <c r="S3012" s="41">
        <v>3008</v>
      </c>
      <c r="T3012" s="41" t="s">
        <v>4284</v>
      </c>
      <c r="U3012" s="41" t="s">
        <v>4812</v>
      </c>
      <c r="V3012" s="42">
        <v>3.2852999999999999</v>
      </c>
      <c r="W3012" s="13"/>
      <c r="X3012" s="34">
        <v>3008</v>
      </c>
      <c r="Y3012" s="34" t="s">
        <v>2248</v>
      </c>
      <c r="Z3012" s="34" t="s">
        <v>3330</v>
      </c>
      <c r="AA3012" s="35">
        <v>6.5120967741935483E-5</v>
      </c>
      <c r="AB3012" s="13"/>
      <c r="AC3012" s="47">
        <v>3008</v>
      </c>
      <c r="AD3012" s="47" t="s">
        <v>4573</v>
      </c>
      <c r="AE3012" s="47" t="s">
        <v>2534</v>
      </c>
      <c r="AF3012" s="56">
        <v>0</v>
      </c>
    </row>
    <row r="3013" spans="19:32" x14ac:dyDescent="0.35">
      <c r="S3013" s="44">
        <v>3009</v>
      </c>
      <c r="T3013" s="44" t="s">
        <v>4284</v>
      </c>
      <c r="U3013" s="44" t="s">
        <v>4811</v>
      </c>
      <c r="V3013" s="45">
        <v>0</v>
      </c>
      <c r="W3013" s="13"/>
      <c r="X3013" s="34">
        <v>3009</v>
      </c>
      <c r="Y3013" s="34" t="s">
        <v>2248</v>
      </c>
      <c r="Z3013" s="34" t="s">
        <v>3327</v>
      </c>
      <c r="AA3013" s="35">
        <v>1.4600806451612904E-5</v>
      </c>
      <c r="AB3013" s="13"/>
      <c r="AC3013" s="47">
        <v>3009</v>
      </c>
      <c r="AD3013" s="47" t="s">
        <v>4573</v>
      </c>
      <c r="AE3013" s="47" t="s">
        <v>2532</v>
      </c>
      <c r="AF3013" s="56">
        <v>10.212</v>
      </c>
    </row>
    <row r="3014" spans="19:32" x14ac:dyDescent="0.35">
      <c r="S3014" s="41">
        <v>3010</v>
      </c>
      <c r="T3014" s="41" t="s">
        <v>4284</v>
      </c>
      <c r="U3014" s="41" t="s">
        <v>4811</v>
      </c>
      <c r="V3014" s="42">
        <v>1.5369000000000002</v>
      </c>
      <c r="W3014" s="13"/>
      <c r="X3014" s="34">
        <v>3010</v>
      </c>
      <c r="Y3014" s="34" t="s">
        <v>2248</v>
      </c>
      <c r="Z3014" s="34" t="s">
        <v>4810</v>
      </c>
      <c r="AA3014" s="35">
        <v>4.7641129032258069E-6</v>
      </c>
      <c r="AB3014" s="13"/>
      <c r="AC3014" s="47">
        <v>3010</v>
      </c>
      <c r="AD3014" s="47" t="s">
        <v>4573</v>
      </c>
      <c r="AE3014" s="47" t="s">
        <v>2531</v>
      </c>
      <c r="AF3014" s="56">
        <v>79.304000000000002</v>
      </c>
    </row>
    <row r="3015" spans="19:32" x14ac:dyDescent="0.35">
      <c r="S3015" s="44">
        <v>3011</v>
      </c>
      <c r="T3015" s="44" t="s">
        <v>4284</v>
      </c>
      <c r="U3015" s="44" t="s">
        <v>4809</v>
      </c>
      <c r="V3015" s="45">
        <v>0</v>
      </c>
      <c r="W3015" s="13"/>
      <c r="X3015" s="47">
        <v>3011</v>
      </c>
      <c r="Y3015" s="47" t="s">
        <v>2248</v>
      </c>
      <c r="Z3015" s="47" t="s">
        <v>2944</v>
      </c>
      <c r="AA3015" s="48">
        <v>1.748</v>
      </c>
      <c r="AB3015" s="13"/>
      <c r="AC3015" s="47">
        <v>3011</v>
      </c>
      <c r="AD3015" s="47" t="s">
        <v>4573</v>
      </c>
      <c r="AE3015" s="47" t="s">
        <v>2529</v>
      </c>
      <c r="AF3015" s="56">
        <v>0</v>
      </c>
    </row>
    <row r="3016" spans="19:32" x14ac:dyDescent="0.35">
      <c r="S3016" s="41">
        <v>3012</v>
      </c>
      <c r="T3016" s="41" t="s">
        <v>4284</v>
      </c>
      <c r="U3016" s="41" t="s">
        <v>4809</v>
      </c>
      <c r="V3016" s="42">
        <v>4.0608000000000004</v>
      </c>
      <c r="W3016" s="13"/>
      <c r="X3016" s="34">
        <v>3012</v>
      </c>
      <c r="Y3016" s="34" t="s">
        <v>2248</v>
      </c>
      <c r="Z3016" s="34" t="s">
        <v>2944</v>
      </c>
      <c r="AA3016" s="35">
        <v>6.6834677419354838E-2</v>
      </c>
      <c r="AB3016" s="13"/>
      <c r="AC3016" s="34">
        <v>3012</v>
      </c>
      <c r="AD3016" s="34" t="s">
        <v>4573</v>
      </c>
      <c r="AE3016" s="34" t="s">
        <v>4199</v>
      </c>
      <c r="AF3016" s="35">
        <v>26.665322580645164</v>
      </c>
    </row>
    <row r="3017" spans="19:32" x14ac:dyDescent="0.35">
      <c r="S3017" s="44">
        <v>3013</v>
      </c>
      <c r="T3017" s="44" t="s">
        <v>4284</v>
      </c>
      <c r="U3017" s="44" t="s">
        <v>4807</v>
      </c>
      <c r="V3017" s="45">
        <v>0</v>
      </c>
      <c r="W3017" s="13"/>
      <c r="X3017" s="34">
        <v>3013</v>
      </c>
      <c r="Y3017" s="34" t="s">
        <v>2248</v>
      </c>
      <c r="Z3017" s="34" t="s">
        <v>4808</v>
      </c>
      <c r="AA3017" s="35">
        <v>2.9544354838709681E-6</v>
      </c>
      <c r="AB3017" s="13"/>
      <c r="AC3017" s="47">
        <v>3013</v>
      </c>
      <c r="AD3017" s="47" t="s">
        <v>4573</v>
      </c>
      <c r="AE3017" s="47" t="s">
        <v>2527</v>
      </c>
      <c r="AF3017" s="56">
        <v>5.8788</v>
      </c>
    </row>
    <row r="3018" spans="19:32" x14ac:dyDescent="0.35">
      <c r="S3018" s="41">
        <v>3014</v>
      </c>
      <c r="T3018" s="41" t="s">
        <v>4284</v>
      </c>
      <c r="U3018" s="41" t="s">
        <v>4807</v>
      </c>
      <c r="V3018" s="42">
        <v>0.68620000000000003</v>
      </c>
      <c r="W3018" s="13"/>
      <c r="X3018" s="47">
        <v>3014</v>
      </c>
      <c r="Y3018" s="47" t="s">
        <v>2248</v>
      </c>
      <c r="Z3018" s="47" t="s">
        <v>2943</v>
      </c>
      <c r="AA3018" s="48">
        <v>3.1372</v>
      </c>
      <c r="AB3018" s="13"/>
      <c r="AC3018" s="34">
        <v>3014</v>
      </c>
      <c r="AD3018" s="34" t="s">
        <v>4573</v>
      </c>
      <c r="AE3018" s="34" t="s">
        <v>4197</v>
      </c>
      <c r="AF3018" s="35">
        <v>6.61491935483871</v>
      </c>
    </row>
    <row r="3019" spans="19:32" x14ac:dyDescent="0.35">
      <c r="S3019" s="44">
        <v>3015</v>
      </c>
      <c r="T3019" s="44" t="s">
        <v>4284</v>
      </c>
      <c r="U3019" s="44" t="s">
        <v>4806</v>
      </c>
      <c r="V3019" s="45">
        <v>0</v>
      </c>
      <c r="W3019" s="13"/>
      <c r="X3019" s="47">
        <v>3015</v>
      </c>
      <c r="Y3019" s="47" t="s">
        <v>2248</v>
      </c>
      <c r="Z3019" s="47" t="s">
        <v>2942</v>
      </c>
      <c r="AA3019" s="48">
        <v>0.35327999999999998</v>
      </c>
      <c r="AB3019" s="13"/>
      <c r="AC3019" s="47">
        <v>3015</v>
      </c>
      <c r="AD3019" s="47" t="s">
        <v>4573</v>
      </c>
      <c r="AE3019" s="47" t="s">
        <v>2526</v>
      </c>
      <c r="AF3019" s="56">
        <v>0.54923999999999995</v>
      </c>
    </row>
    <row r="3020" spans="19:32" x14ac:dyDescent="0.35">
      <c r="S3020" s="41">
        <v>3016</v>
      </c>
      <c r="T3020" s="41" t="s">
        <v>4284</v>
      </c>
      <c r="U3020" s="41" t="s">
        <v>4806</v>
      </c>
      <c r="V3020" s="42">
        <v>2.1855000000000002</v>
      </c>
      <c r="W3020" s="13"/>
      <c r="X3020" s="34">
        <v>3016</v>
      </c>
      <c r="Y3020" s="34" t="s">
        <v>2248</v>
      </c>
      <c r="Z3020" s="34" t="s">
        <v>4805</v>
      </c>
      <c r="AA3020" s="35">
        <v>2.7385080645161296E-3</v>
      </c>
      <c r="AB3020" s="13"/>
      <c r="AC3020" s="34">
        <v>3016</v>
      </c>
      <c r="AD3020" s="34" t="s">
        <v>4573</v>
      </c>
      <c r="AE3020" s="34" t="s">
        <v>2524</v>
      </c>
      <c r="AF3020" s="35">
        <v>13.401209677419356</v>
      </c>
    </row>
    <row r="3021" spans="19:32" x14ac:dyDescent="0.35">
      <c r="S3021" s="44">
        <v>3017</v>
      </c>
      <c r="T3021" s="44" t="s">
        <v>4284</v>
      </c>
      <c r="U3021" s="44" t="s">
        <v>4804</v>
      </c>
      <c r="V3021" s="45">
        <v>0</v>
      </c>
      <c r="W3021" s="13"/>
      <c r="X3021" s="34">
        <v>3017</v>
      </c>
      <c r="Y3021" s="34" t="s">
        <v>2248</v>
      </c>
      <c r="Z3021" s="34" t="s">
        <v>2942</v>
      </c>
      <c r="AA3021" s="35">
        <v>1.2372983870967743E-3</v>
      </c>
      <c r="AB3021" s="13"/>
      <c r="AC3021" s="47">
        <v>3017</v>
      </c>
      <c r="AD3021" s="47" t="s">
        <v>4573</v>
      </c>
      <c r="AE3021" s="47" t="s">
        <v>2524</v>
      </c>
      <c r="AF3021" s="56">
        <v>149.04000000000002</v>
      </c>
    </row>
    <row r="3022" spans="19:32" x14ac:dyDescent="0.35">
      <c r="S3022" s="41">
        <v>3018</v>
      </c>
      <c r="T3022" s="41" t="s">
        <v>4284</v>
      </c>
      <c r="U3022" s="41" t="s">
        <v>4804</v>
      </c>
      <c r="V3022" s="42">
        <v>4.8269000000000002</v>
      </c>
      <c r="W3022" s="13"/>
      <c r="X3022" s="47">
        <v>3018</v>
      </c>
      <c r="Y3022" s="47" t="s">
        <v>2248</v>
      </c>
      <c r="Z3022" s="47" t="s">
        <v>2941</v>
      </c>
      <c r="AA3022" s="48">
        <v>7.4428000000000005E-4</v>
      </c>
      <c r="AB3022" s="13"/>
      <c r="AC3022" s="34">
        <v>3018</v>
      </c>
      <c r="AD3022" s="34" t="s">
        <v>4573</v>
      </c>
      <c r="AE3022" s="34" t="s">
        <v>4194</v>
      </c>
      <c r="AF3022" s="35">
        <v>0.63064516129032266</v>
      </c>
    </row>
    <row r="3023" spans="19:32" x14ac:dyDescent="0.35">
      <c r="S3023" s="44">
        <v>3019</v>
      </c>
      <c r="T3023" s="44" t="s">
        <v>4284</v>
      </c>
      <c r="U3023" s="44" t="s">
        <v>4803</v>
      </c>
      <c r="V3023" s="45">
        <v>0</v>
      </c>
      <c r="W3023" s="13"/>
      <c r="X3023" s="47">
        <v>3019</v>
      </c>
      <c r="Y3023" s="47" t="s">
        <v>2248</v>
      </c>
      <c r="Z3023" s="47" t="s">
        <v>2940</v>
      </c>
      <c r="AA3023" s="48">
        <v>3.542E-2</v>
      </c>
      <c r="AB3023" s="13"/>
      <c r="AC3023" s="34">
        <v>3019</v>
      </c>
      <c r="AD3023" s="34" t="s">
        <v>4573</v>
      </c>
      <c r="AE3023" s="34" t="s">
        <v>4193</v>
      </c>
      <c r="AF3023" s="35">
        <v>3.0915322580645162E-2</v>
      </c>
    </row>
    <row r="3024" spans="19:32" x14ac:dyDescent="0.35">
      <c r="S3024" s="41">
        <v>3020</v>
      </c>
      <c r="T3024" s="41" t="s">
        <v>4284</v>
      </c>
      <c r="U3024" s="41" t="s">
        <v>4803</v>
      </c>
      <c r="V3024" s="42">
        <v>1.8142</v>
      </c>
      <c r="W3024" s="13"/>
      <c r="X3024" s="34">
        <v>3020</v>
      </c>
      <c r="Y3024" s="34" t="s">
        <v>2248</v>
      </c>
      <c r="Z3024" s="34" t="s">
        <v>4802</v>
      </c>
      <c r="AA3024" s="35">
        <v>2.553427419354839E-4</v>
      </c>
      <c r="AB3024" s="13"/>
      <c r="AC3024" s="34">
        <v>3020</v>
      </c>
      <c r="AD3024" s="34" t="s">
        <v>4573</v>
      </c>
      <c r="AE3024" s="34" t="s">
        <v>4191</v>
      </c>
      <c r="AF3024" s="35">
        <v>1.9056451612903227</v>
      </c>
    </row>
    <row r="3025" spans="19:32" x14ac:dyDescent="0.35">
      <c r="S3025" s="44">
        <v>3021</v>
      </c>
      <c r="T3025" s="44" t="s">
        <v>4284</v>
      </c>
      <c r="U3025" s="44" t="s">
        <v>4801</v>
      </c>
      <c r="V3025" s="45">
        <v>0</v>
      </c>
      <c r="W3025" s="13"/>
      <c r="X3025" s="47">
        <v>3021</v>
      </c>
      <c r="Y3025" s="47" t="s">
        <v>2248</v>
      </c>
      <c r="Z3025" s="47" t="s">
        <v>2938</v>
      </c>
      <c r="AA3025" s="48">
        <v>217.12</v>
      </c>
      <c r="AB3025" s="13"/>
      <c r="AC3025" s="34">
        <v>3021</v>
      </c>
      <c r="AD3025" s="34" t="s">
        <v>4573</v>
      </c>
      <c r="AE3025" s="34" t="s">
        <v>4190</v>
      </c>
      <c r="AF3025" s="35">
        <v>551.81451612903231</v>
      </c>
    </row>
    <row r="3026" spans="19:32" x14ac:dyDescent="0.35">
      <c r="S3026" s="41">
        <v>3022</v>
      </c>
      <c r="T3026" s="41" t="s">
        <v>4284</v>
      </c>
      <c r="U3026" s="41" t="s">
        <v>4801</v>
      </c>
      <c r="V3026" s="42">
        <v>3.7647000000000004</v>
      </c>
      <c r="W3026" s="13"/>
      <c r="X3026" s="47">
        <v>3022</v>
      </c>
      <c r="Y3026" s="47" t="s">
        <v>2248</v>
      </c>
      <c r="Z3026" s="47" t="s">
        <v>2937</v>
      </c>
      <c r="AA3026" s="48">
        <v>0.16467999999999999</v>
      </c>
      <c r="AB3026" s="13"/>
      <c r="AC3026" s="34">
        <v>3022</v>
      </c>
      <c r="AD3026" s="34" t="s">
        <v>4573</v>
      </c>
      <c r="AE3026" s="34" t="s">
        <v>4189</v>
      </c>
      <c r="AF3026" s="35">
        <v>9.7338709677419366E-2</v>
      </c>
    </row>
    <row r="3027" spans="19:32" x14ac:dyDescent="0.35">
      <c r="S3027" s="44">
        <v>3023</v>
      </c>
      <c r="T3027" s="44" t="s">
        <v>4284</v>
      </c>
      <c r="U3027" s="44" t="s">
        <v>4799</v>
      </c>
      <c r="V3027" s="45">
        <v>0</v>
      </c>
      <c r="W3027" s="13"/>
      <c r="X3027" s="34">
        <v>3023</v>
      </c>
      <c r="Y3027" s="34" t="s">
        <v>2248</v>
      </c>
      <c r="Z3027" s="34" t="s">
        <v>4800</v>
      </c>
      <c r="AA3027" s="35">
        <v>1.0110887096774195E-3</v>
      </c>
      <c r="AB3027" s="13"/>
      <c r="AC3027" s="34">
        <v>3023</v>
      </c>
      <c r="AD3027" s="34" t="s">
        <v>4573</v>
      </c>
      <c r="AE3027" s="34" t="s">
        <v>4188</v>
      </c>
      <c r="AF3027" s="35">
        <v>20.08467741935484</v>
      </c>
    </row>
    <row r="3028" spans="19:32" x14ac:dyDescent="0.35">
      <c r="S3028" s="41">
        <v>3024</v>
      </c>
      <c r="T3028" s="41" t="s">
        <v>4284</v>
      </c>
      <c r="U3028" s="41" t="s">
        <v>4799</v>
      </c>
      <c r="V3028" s="42">
        <v>4.3052000000000001</v>
      </c>
      <c r="W3028" s="13"/>
      <c r="X3028" s="34">
        <v>3024</v>
      </c>
      <c r="Y3028" s="34" t="s">
        <v>2248</v>
      </c>
      <c r="Z3028" s="34" t="s">
        <v>2937</v>
      </c>
      <c r="AA3028" s="35">
        <v>3.4274193548387098E-3</v>
      </c>
      <c r="AB3028" s="13"/>
      <c r="AC3028" s="34">
        <v>3024</v>
      </c>
      <c r="AD3028" s="34" t="s">
        <v>4573</v>
      </c>
      <c r="AE3028" s="34" t="s">
        <v>2523</v>
      </c>
      <c r="AF3028" s="35">
        <v>0.14703629032258064</v>
      </c>
    </row>
    <row r="3029" spans="19:32" x14ac:dyDescent="0.35">
      <c r="S3029" s="44">
        <v>3025</v>
      </c>
      <c r="T3029" s="44" t="s">
        <v>4284</v>
      </c>
      <c r="U3029" s="44" t="s">
        <v>4798</v>
      </c>
      <c r="V3029" s="45">
        <v>0</v>
      </c>
      <c r="W3029" s="13"/>
      <c r="X3029" s="47">
        <v>3025</v>
      </c>
      <c r="Y3029" s="47" t="s">
        <v>2248</v>
      </c>
      <c r="Z3029" s="47" t="s">
        <v>2935</v>
      </c>
      <c r="AA3029" s="48">
        <v>0.17480000000000001</v>
      </c>
      <c r="AB3029" s="13"/>
      <c r="AC3029" s="47">
        <v>3025</v>
      </c>
      <c r="AD3029" s="47" t="s">
        <v>4573</v>
      </c>
      <c r="AE3029" s="47" t="s">
        <v>2523</v>
      </c>
      <c r="AF3029" s="56">
        <v>2.7324000000000002</v>
      </c>
    </row>
    <row r="3030" spans="19:32" x14ac:dyDescent="0.35">
      <c r="S3030" s="41">
        <v>3026</v>
      </c>
      <c r="T3030" s="41" t="s">
        <v>4284</v>
      </c>
      <c r="U3030" s="41" t="s">
        <v>4798</v>
      </c>
      <c r="V3030" s="42">
        <v>2.4769000000000001</v>
      </c>
      <c r="W3030" s="13"/>
      <c r="X3030" s="34">
        <v>3026</v>
      </c>
      <c r="Y3030" s="34" t="s">
        <v>2248</v>
      </c>
      <c r="Z3030" s="34" t="s">
        <v>4797</v>
      </c>
      <c r="AA3030" s="35">
        <v>2.9338709677419357E-4</v>
      </c>
      <c r="AB3030" s="13"/>
      <c r="AC3030" s="47">
        <v>3026</v>
      </c>
      <c r="AD3030" s="47" t="s">
        <v>4573</v>
      </c>
      <c r="AE3030" s="47" t="s">
        <v>2521</v>
      </c>
      <c r="AF3030" s="56">
        <v>0</v>
      </c>
    </row>
    <row r="3031" spans="19:32" x14ac:dyDescent="0.35">
      <c r="S3031" s="44">
        <v>3027</v>
      </c>
      <c r="T3031" s="44" t="s">
        <v>4284</v>
      </c>
      <c r="U3031" s="44" t="s">
        <v>4796</v>
      </c>
      <c r="V3031" s="45">
        <v>0</v>
      </c>
      <c r="W3031" s="13"/>
      <c r="X3031" s="47">
        <v>3027</v>
      </c>
      <c r="Y3031" s="47" t="s">
        <v>2248</v>
      </c>
      <c r="Z3031" s="47" t="s">
        <v>2934</v>
      </c>
      <c r="AA3031" s="48">
        <v>0.20516000000000001</v>
      </c>
      <c r="AB3031" s="13"/>
      <c r="AC3031" s="34">
        <v>3027</v>
      </c>
      <c r="AD3031" s="34" t="s">
        <v>4573</v>
      </c>
      <c r="AE3031" s="34" t="s">
        <v>4185</v>
      </c>
      <c r="AF3031" s="35">
        <v>2.5500000000000003</v>
      </c>
    </row>
    <row r="3032" spans="19:32" x14ac:dyDescent="0.35">
      <c r="S3032" s="41">
        <v>3028</v>
      </c>
      <c r="T3032" s="41" t="s">
        <v>4284</v>
      </c>
      <c r="U3032" s="41" t="s">
        <v>4796</v>
      </c>
      <c r="V3032" s="42">
        <v>2.2136999999999998</v>
      </c>
      <c r="W3032" s="13"/>
      <c r="X3032" s="47">
        <v>3028</v>
      </c>
      <c r="Y3032" s="47" t="s">
        <v>2248</v>
      </c>
      <c r="Z3032" s="47" t="s">
        <v>2932</v>
      </c>
      <c r="AA3032" s="48">
        <v>12.052</v>
      </c>
      <c r="AB3032" s="13"/>
      <c r="AC3032" s="34">
        <v>3028</v>
      </c>
      <c r="AD3032" s="34" t="s">
        <v>4573</v>
      </c>
      <c r="AE3032" s="34" t="s">
        <v>4184</v>
      </c>
      <c r="AF3032" s="35">
        <v>5.655241935483871E-3</v>
      </c>
    </row>
    <row r="3033" spans="19:32" x14ac:dyDescent="0.35">
      <c r="S3033" s="44">
        <v>3029</v>
      </c>
      <c r="T3033" s="44" t="s">
        <v>4284</v>
      </c>
      <c r="U3033" s="44" t="s">
        <v>4794</v>
      </c>
      <c r="V3033" s="45">
        <v>0</v>
      </c>
      <c r="W3033" s="13"/>
      <c r="X3033" s="34">
        <v>3029</v>
      </c>
      <c r="Y3033" s="34" t="s">
        <v>2248</v>
      </c>
      <c r="Z3033" s="34" t="s">
        <v>4795</v>
      </c>
      <c r="AA3033" s="35">
        <v>1.2133064516129033E-3</v>
      </c>
      <c r="AB3033" s="13"/>
      <c r="AC3033" s="34">
        <v>3029</v>
      </c>
      <c r="AD3033" s="34" t="s">
        <v>4573</v>
      </c>
      <c r="AE3033" s="34" t="s">
        <v>4610</v>
      </c>
      <c r="AF3033" s="35">
        <v>3.838709677419355E-3</v>
      </c>
    </row>
    <row r="3034" spans="19:32" x14ac:dyDescent="0.35">
      <c r="S3034" s="41">
        <v>3030</v>
      </c>
      <c r="T3034" s="41" t="s">
        <v>4284</v>
      </c>
      <c r="U3034" s="41" t="s">
        <v>4794</v>
      </c>
      <c r="V3034" s="42">
        <v>1.3113000000000001</v>
      </c>
      <c r="W3034" s="13"/>
      <c r="X3034" s="47">
        <v>3030</v>
      </c>
      <c r="Y3034" s="47" t="s">
        <v>2248</v>
      </c>
      <c r="Z3034" s="47" t="s">
        <v>2931</v>
      </c>
      <c r="AA3034" s="48">
        <v>0.11224000000000001</v>
      </c>
      <c r="AB3034" s="13"/>
      <c r="AC3034" s="34">
        <v>3030</v>
      </c>
      <c r="AD3034" s="34" t="s">
        <v>4573</v>
      </c>
      <c r="AE3034" s="34" t="s">
        <v>4181</v>
      </c>
      <c r="AF3034" s="35">
        <v>2.9544354838709681E-3</v>
      </c>
    </row>
    <row r="3035" spans="19:32" x14ac:dyDescent="0.35">
      <c r="S3035" s="44">
        <v>3031</v>
      </c>
      <c r="T3035" s="44" t="s">
        <v>4284</v>
      </c>
      <c r="U3035" s="44" t="s">
        <v>4793</v>
      </c>
      <c r="V3035" s="45">
        <v>0</v>
      </c>
      <c r="W3035" s="13"/>
      <c r="X3035" s="34">
        <v>3031</v>
      </c>
      <c r="Y3035" s="34" t="s">
        <v>2248</v>
      </c>
      <c r="Z3035" s="34" t="s">
        <v>2931</v>
      </c>
      <c r="AA3035" s="35">
        <v>8.5000000000000006E-4</v>
      </c>
      <c r="AB3035" s="13"/>
      <c r="AC3035" s="34">
        <v>3031</v>
      </c>
      <c r="AD3035" s="34" t="s">
        <v>4573</v>
      </c>
      <c r="AE3035" s="34" t="s">
        <v>4180</v>
      </c>
      <c r="AF3035" s="35">
        <v>4.0443548387096774E-2</v>
      </c>
    </row>
    <row r="3036" spans="19:32" x14ac:dyDescent="0.35">
      <c r="S3036" s="41">
        <v>3032</v>
      </c>
      <c r="T3036" s="41" t="s">
        <v>4284</v>
      </c>
      <c r="U3036" s="41" t="s">
        <v>4793</v>
      </c>
      <c r="V3036" s="42">
        <v>2.1055999999999999</v>
      </c>
      <c r="W3036" s="13"/>
      <c r="X3036" s="47">
        <v>3032</v>
      </c>
      <c r="Y3036" s="47" t="s">
        <v>2248</v>
      </c>
      <c r="Z3036" s="47" t="s">
        <v>2930</v>
      </c>
      <c r="AA3036" s="48">
        <v>0.65411999999999992</v>
      </c>
      <c r="AB3036" s="13"/>
      <c r="AC3036" s="34">
        <v>3032</v>
      </c>
      <c r="AD3036" s="34" t="s">
        <v>4573</v>
      </c>
      <c r="AE3036" s="34" t="s">
        <v>4178</v>
      </c>
      <c r="AF3036" s="35">
        <v>1.1173387096774194</v>
      </c>
    </row>
    <row r="3037" spans="19:32" x14ac:dyDescent="0.35">
      <c r="S3037" s="44">
        <v>3033</v>
      </c>
      <c r="T3037" s="44" t="s">
        <v>4284</v>
      </c>
      <c r="U3037" s="44" t="s">
        <v>4791</v>
      </c>
      <c r="V3037" s="45">
        <v>0</v>
      </c>
      <c r="W3037" s="13"/>
      <c r="X3037" s="34">
        <v>3033</v>
      </c>
      <c r="Y3037" s="34" t="s">
        <v>2248</v>
      </c>
      <c r="Z3037" s="34" t="s">
        <v>4792</v>
      </c>
      <c r="AA3037" s="35">
        <v>8.0201612903225809E-4</v>
      </c>
      <c r="AB3037" s="13"/>
      <c r="AC3037" s="47">
        <v>3033</v>
      </c>
      <c r="AD3037" s="47" t="s">
        <v>4573</v>
      </c>
      <c r="AE3037" s="47" t="s">
        <v>2520</v>
      </c>
      <c r="AF3037" s="56">
        <v>10.672000000000001</v>
      </c>
    </row>
    <row r="3038" spans="19:32" x14ac:dyDescent="0.35">
      <c r="S3038" s="41">
        <v>3034</v>
      </c>
      <c r="T3038" s="41" t="s">
        <v>4284</v>
      </c>
      <c r="U3038" s="41" t="s">
        <v>4791</v>
      </c>
      <c r="V3038" s="42">
        <v>4.1501000000000001</v>
      </c>
      <c r="W3038" s="13"/>
      <c r="X3038" s="47">
        <v>3034</v>
      </c>
      <c r="Y3038" s="47" t="s">
        <v>2248</v>
      </c>
      <c r="Z3038" s="47" t="s">
        <v>2928</v>
      </c>
      <c r="AA3038" s="48">
        <v>0.12603999999999999</v>
      </c>
      <c r="AB3038" s="13"/>
      <c r="AC3038" s="34">
        <v>3034</v>
      </c>
      <c r="AD3038" s="34" t="s">
        <v>4573</v>
      </c>
      <c r="AE3038" s="34" t="s">
        <v>2518</v>
      </c>
      <c r="AF3038" s="35">
        <v>1.782258064516129E-2</v>
      </c>
    </row>
    <row r="3039" spans="19:32" x14ac:dyDescent="0.35">
      <c r="S3039" s="44">
        <v>3035</v>
      </c>
      <c r="T3039" s="44" t="s">
        <v>4284</v>
      </c>
      <c r="U3039" s="44" t="s">
        <v>4790</v>
      </c>
      <c r="V3039" s="45">
        <v>0</v>
      </c>
      <c r="W3039" s="13"/>
      <c r="X3039" s="34">
        <v>3035</v>
      </c>
      <c r="Y3039" s="34" t="s">
        <v>2248</v>
      </c>
      <c r="Z3039" s="34" t="s">
        <v>2928</v>
      </c>
      <c r="AA3039" s="35">
        <v>5.2096774193548393E-3</v>
      </c>
      <c r="AB3039" s="13"/>
      <c r="AC3039" s="47">
        <v>3035</v>
      </c>
      <c r="AD3039" s="47" t="s">
        <v>4573</v>
      </c>
      <c r="AE3039" s="47" t="s">
        <v>2518</v>
      </c>
      <c r="AF3039" s="56">
        <v>42.136000000000003</v>
      </c>
    </row>
    <row r="3040" spans="19:32" x14ac:dyDescent="0.35">
      <c r="S3040" s="41">
        <v>3036</v>
      </c>
      <c r="T3040" s="41" t="s">
        <v>4284</v>
      </c>
      <c r="U3040" s="41" t="s">
        <v>4790</v>
      </c>
      <c r="V3040" s="42">
        <v>1.6168</v>
      </c>
      <c r="W3040" s="13"/>
      <c r="X3040" s="34">
        <v>3036</v>
      </c>
      <c r="Y3040" s="34" t="s">
        <v>2248</v>
      </c>
      <c r="Z3040" s="34" t="s">
        <v>4789</v>
      </c>
      <c r="AA3040" s="35">
        <v>9.425403225806452E-4</v>
      </c>
      <c r="AB3040" s="13"/>
      <c r="AC3040" s="34">
        <v>3036</v>
      </c>
      <c r="AD3040" s="34" t="s">
        <v>4573</v>
      </c>
      <c r="AE3040" s="34" t="s">
        <v>2517</v>
      </c>
      <c r="AF3040" s="35">
        <v>1.0316532258064517E-2</v>
      </c>
    </row>
    <row r="3041" spans="19:32" x14ac:dyDescent="0.35">
      <c r="S3041" s="44">
        <v>3037</v>
      </c>
      <c r="T3041" s="44" t="s">
        <v>4284</v>
      </c>
      <c r="U3041" s="44" t="s">
        <v>4788</v>
      </c>
      <c r="V3041" s="45">
        <v>0</v>
      </c>
      <c r="W3041" s="13"/>
      <c r="X3041" s="47">
        <v>3037</v>
      </c>
      <c r="Y3041" s="47" t="s">
        <v>2248</v>
      </c>
      <c r="Z3041" s="47" t="s">
        <v>2927</v>
      </c>
      <c r="AA3041" s="48">
        <v>2.5207999999999999</v>
      </c>
      <c r="AB3041" s="13"/>
      <c r="AC3041" s="47">
        <v>3037</v>
      </c>
      <c r="AD3041" s="47" t="s">
        <v>4573</v>
      </c>
      <c r="AE3041" s="47" t="s">
        <v>2517</v>
      </c>
      <c r="AF3041" s="56">
        <v>57.775999999999996</v>
      </c>
    </row>
    <row r="3042" spans="19:32" x14ac:dyDescent="0.35">
      <c r="S3042" s="41">
        <v>3038</v>
      </c>
      <c r="T3042" s="41" t="s">
        <v>4284</v>
      </c>
      <c r="U3042" s="41" t="s">
        <v>4788</v>
      </c>
      <c r="V3042" s="42">
        <v>0.44650000000000001</v>
      </c>
      <c r="W3042" s="13"/>
      <c r="X3042" s="47">
        <v>3038</v>
      </c>
      <c r="Y3042" s="47" t="s">
        <v>2248</v>
      </c>
      <c r="Z3042" s="47" t="s">
        <v>2925</v>
      </c>
      <c r="AA3042" s="48">
        <v>0.36892000000000003</v>
      </c>
      <c r="AB3042" s="13"/>
      <c r="AC3042" s="34">
        <v>3038</v>
      </c>
      <c r="AD3042" s="34" t="s">
        <v>4573</v>
      </c>
      <c r="AE3042" s="34" t="s">
        <v>2515</v>
      </c>
      <c r="AF3042" s="35">
        <v>1.5663306451612906E-3</v>
      </c>
    </row>
    <row r="3043" spans="19:32" x14ac:dyDescent="0.35">
      <c r="S3043" s="44">
        <v>3039</v>
      </c>
      <c r="T3043" s="44" t="s">
        <v>4284</v>
      </c>
      <c r="U3043" s="44" t="s">
        <v>4787</v>
      </c>
      <c r="V3043" s="45">
        <v>0</v>
      </c>
      <c r="W3043" s="13"/>
      <c r="X3043" s="47">
        <v>3039</v>
      </c>
      <c r="Y3043" s="47" t="s">
        <v>2248</v>
      </c>
      <c r="Z3043" s="47" t="s">
        <v>2924</v>
      </c>
      <c r="AA3043" s="48">
        <v>12.879999999999999</v>
      </c>
      <c r="AB3043" s="13"/>
      <c r="AC3043" s="47">
        <v>3039</v>
      </c>
      <c r="AD3043" s="47" t="s">
        <v>4573</v>
      </c>
      <c r="AE3043" s="47" t="s">
        <v>2515</v>
      </c>
      <c r="AF3043" s="56">
        <v>0.12787999999999999</v>
      </c>
    </row>
    <row r="3044" spans="19:32" x14ac:dyDescent="0.35">
      <c r="S3044" s="41">
        <v>3040</v>
      </c>
      <c r="T3044" s="41" t="s">
        <v>4284</v>
      </c>
      <c r="U3044" s="41" t="s">
        <v>4787</v>
      </c>
      <c r="V3044" s="42">
        <v>1.8706000000000003</v>
      </c>
      <c r="W3044" s="13"/>
      <c r="X3044" s="34">
        <v>3040</v>
      </c>
      <c r="Y3044" s="34" t="s">
        <v>2248</v>
      </c>
      <c r="Z3044" s="34" t="s">
        <v>4786</v>
      </c>
      <c r="AA3044" s="35">
        <v>6.7520161290322587E-6</v>
      </c>
      <c r="AB3044" s="13"/>
      <c r="AC3044" s="34">
        <v>3040</v>
      </c>
      <c r="AD3044" s="34" t="s">
        <v>4573</v>
      </c>
      <c r="AE3044" s="34" t="s">
        <v>4173</v>
      </c>
      <c r="AF3044" s="35">
        <v>3.5302419354838713E-3</v>
      </c>
    </row>
    <row r="3045" spans="19:32" x14ac:dyDescent="0.35">
      <c r="S3045" s="44">
        <v>3041</v>
      </c>
      <c r="T3045" s="44" t="s">
        <v>4284</v>
      </c>
      <c r="U3045" s="44" t="s">
        <v>4785</v>
      </c>
      <c r="V3045" s="45">
        <v>0</v>
      </c>
      <c r="W3045" s="13"/>
      <c r="X3045" s="47">
        <v>3041</v>
      </c>
      <c r="Y3045" s="47" t="s">
        <v>2248</v>
      </c>
      <c r="Z3045" s="47" t="s">
        <v>2922</v>
      </c>
      <c r="AA3045" s="48">
        <v>4.4435999999999998E-3</v>
      </c>
      <c r="AB3045" s="13"/>
      <c r="AC3045" s="34">
        <v>3041</v>
      </c>
      <c r="AD3045" s="34" t="s">
        <v>4573</v>
      </c>
      <c r="AE3045" s="34" t="s">
        <v>4171</v>
      </c>
      <c r="AF3045" s="35">
        <v>5.758064516129033E-3</v>
      </c>
    </row>
    <row r="3046" spans="19:32" x14ac:dyDescent="0.35">
      <c r="S3046" s="41">
        <v>3042</v>
      </c>
      <c r="T3046" s="41" t="s">
        <v>4284</v>
      </c>
      <c r="U3046" s="41" t="s">
        <v>4785</v>
      </c>
      <c r="V3046" s="42">
        <v>2.5192000000000001</v>
      </c>
      <c r="W3046" s="13"/>
      <c r="X3046" s="47">
        <v>3042</v>
      </c>
      <c r="Y3046" s="47" t="s">
        <v>2248</v>
      </c>
      <c r="Z3046" s="47" t="s">
        <v>2921</v>
      </c>
      <c r="AA3046" s="48">
        <v>0.34776000000000001</v>
      </c>
      <c r="AB3046" s="13"/>
      <c r="AC3046" s="34">
        <v>3042</v>
      </c>
      <c r="AD3046" s="34" t="s">
        <v>4573</v>
      </c>
      <c r="AE3046" s="34" t="s">
        <v>4170</v>
      </c>
      <c r="AF3046" s="35">
        <v>0.42842741935483875</v>
      </c>
    </row>
    <row r="3047" spans="19:32" x14ac:dyDescent="0.35">
      <c r="S3047" s="44">
        <v>3043</v>
      </c>
      <c r="T3047" s="44" t="s">
        <v>4284</v>
      </c>
      <c r="U3047" s="44" t="s">
        <v>4783</v>
      </c>
      <c r="V3047" s="45">
        <v>0</v>
      </c>
      <c r="W3047" s="13"/>
      <c r="X3047" s="34">
        <v>3043</v>
      </c>
      <c r="Y3047" s="34" t="s">
        <v>2248</v>
      </c>
      <c r="Z3047" s="34" t="s">
        <v>4784</v>
      </c>
      <c r="AA3047" s="35">
        <v>1.5183467741935485E-4</v>
      </c>
      <c r="AB3047" s="13"/>
      <c r="AC3047" s="34">
        <v>3043</v>
      </c>
      <c r="AD3047" s="34" t="s">
        <v>4573</v>
      </c>
      <c r="AE3047" s="34" t="s">
        <v>2513</v>
      </c>
      <c r="AF3047" s="35">
        <v>3.8387096774193549E-4</v>
      </c>
    </row>
    <row r="3048" spans="19:32" x14ac:dyDescent="0.35">
      <c r="S3048" s="41">
        <v>3044</v>
      </c>
      <c r="T3048" s="41" t="s">
        <v>4284</v>
      </c>
      <c r="U3048" s="41" t="s">
        <v>4783</v>
      </c>
      <c r="V3048" s="42">
        <v>0.93060000000000009</v>
      </c>
      <c r="W3048" s="13"/>
      <c r="X3048" s="47">
        <v>3044</v>
      </c>
      <c r="Y3048" s="47" t="s">
        <v>2248</v>
      </c>
      <c r="Z3048" s="47" t="s">
        <v>2919</v>
      </c>
      <c r="AA3048" s="48">
        <v>4.4067999999999996</v>
      </c>
      <c r="AB3048" s="13"/>
      <c r="AC3048" s="47">
        <v>3044</v>
      </c>
      <c r="AD3048" s="47" t="s">
        <v>4573</v>
      </c>
      <c r="AE3048" s="47" t="s">
        <v>2513</v>
      </c>
      <c r="AF3048" s="56">
        <v>0</v>
      </c>
    </row>
    <row r="3049" spans="19:32" x14ac:dyDescent="0.35">
      <c r="S3049" s="44">
        <v>3045</v>
      </c>
      <c r="T3049" s="44" t="s">
        <v>4284</v>
      </c>
      <c r="U3049" s="44" t="s">
        <v>4782</v>
      </c>
      <c r="V3049" s="45">
        <v>0</v>
      </c>
      <c r="W3049" s="13"/>
      <c r="X3049" s="47">
        <v>3045</v>
      </c>
      <c r="Y3049" s="47" t="s">
        <v>2248</v>
      </c>
      <c r="Z3049" s="47" t="s">
        <v>2918</v>
      </c>
      <c r="AA3049" s="48">
        <v>9.1999999999999998E-2</v>
      </c>
      <c r="AB3049" s="13"/>
      <c r="AC3049" s="34">
        <v>3045</v>
      </c>
      <c r="AD3049" s="34" t="s">
        <v>4573</v>
      </c>
      <c r="AE3049" s="34" t="s">
        <v>4168</v>
      </c>
      <c r="AF3049" s="35">
        <v>8.2600806451612902E-3</v>
      </c>
    </row>
    <row r="3050" spans="19:32" x14ac:dyDescent="0.35">
      <c r="S3050" s="41">
        <v>3046</v>
      </c>
      <c r="T3050" s="41" t="s">
        <v>4284</v>
      </c>
      <c r="U3050" s="41" t="s">
        <v>4782</v>
      </c>
      <c r="V3050" s="42">
        <v>2.2090000000000001</v>
      </c>
      <c r="W3050" s="13"/>
      <c r="X3050" s="34">
        <v>3046</v>
      </c>
      <c r="Y3050" s="34" t="s">
        <v>2248</v>
      </c>
      <c r="Z3050" s="34" t="s">
        <v>4781</v>
      </c>
      <c r="AA3050" s="35">
        <v>9.1854838709677427E-4</v>
      </c>
      <c r="AB3050" s="13"/>
      <c r="AC3050" s="34">
        <v>3046</v>
      </c>
      <c r="AD3050" s="34" t="s">
        <v>4573</v>
      </c>
      <c r="AE3050" s="34" t="s">
        <v>4166</v>
      </c>
      <c r="AF3050" s="35">
        <v>1.8370967741935484E-2</v>
      </c>
    </row>
    <row r="3051" spans="19:32" x14ac:dyDescent="0.35">
      <c r="S3051" s="44">
        <v>3047</v>
      </c>
      <c r="T3051" s="44" t="s">
        <v>4284</v>
      </c>
      <c r="U3051" s="44" t="s">
        <v>4780</v>
      </c>
      <c r="V3051" s="45">
        <v>0</v>
      </c>
      <c r="W3051" s="13"/>
      <c r="X3051" s="47">
        <v>3047</v>
      </c>
      <c r="Y3051" s="47" t="s">
        <v>2248</v>
      </c>
      <c r="Z3051" s="47" t="s">
        <v>2917</v>
      </c>
      <c r="AA3051" s="48">
        <v>0</v>
      </c>
      <c r="AB3051" s="13"/>
      <c r="AC3051" s="34">
        <v>3047</v>
      </c>
      <c r="AD3051" s="34" t="s">
        <v>4573</v>
      </c>
      <c r="AE3051" s="34" t="s">
        <v>4165</v>
      </c>
      <c r="AF3051" s="35">
        <v>0.40443548387096778</v>
      </c>
    </row>
    <row r="3052" spans="19:32" x14ac:dyDescent="0.35">
      <c r="S3052" s="41">
        <v>3048</v>
      </c>
      <c r="T3052" s="41" t="s">
        <v>4284</v>
      </c>
      <c r="U3052" s="41" t="s">
        <v>4780</v>
      </c>
      <c r="V3052" s="42">
        <v>2.3641000000000001</v>
      </c>
      <c r="W3052" s="13"/>
      <c r="X3052" s="47">
        <v>3048</v>
      </c>
      <c r="Y3052" s="47" t="s">
        <v>2248</v>
      </c>
      <c r="Z3052" s="47" t="s">
        <v>2915</v>
      </c>
      <c r="AA3052" s="48">
        <v>0</v>
      </c>
      <c r="AB3052" s="13"/>
      <c r="AC3052" s="34">
        <v>3048</v>
      </c>
      <c r="AD3052" s="34" t="s">
        <v>4573</v>
      </c>
      <c r="AE3052" s="34" t="s">
        <v>4164</v>
      </c>
      <c r="AF3052" s="35">
        <v>3.6330645161290324E-3</v>
      </c>
    </row>
    <row r="3053" spans="19:32" x14ac:dyDescent="0.35">
      <c r="S3053" s="44">
        <v>3049</v>
      </c>
      <c r="T3053" s="44" t="s">
        <v>4284</v>
      </c>
      <c r="U3053" s="44" t="s">
        <v>4779</v>
      </c>
      <c r="V3053" s="45">
        <v>0</v>
      </c>
      <c r="W3053" s="13"/>
      <c r="X3053" s="47">
        <v>3049</v>
      </c>
      <c r="Y3053" s="47" t="s">
        <v>2248</v>
      </c>
      <c r="Z3053" s="47" t="s">
        <v>2914</v>
      </c>
      <c r="AA3053" s="48">
        <v>0</v>
      </c>
      <c r="AB3053" s="13"/>
      <c r="AC3053" s="34">
        <v>3049</v>
      </c>
      <c r="AD3053" s="34" t="s">
        <v>4573</v>
      </c>
      <c r="AE3053" s="34" t="s">
        <v>4162</v>
      </c>
      <c r="AF3053" s="35">
        <v>4.3185483870967746E-2</v>
      </c>
    </row>
    <row r="3054" spans="19:32" x14ac:dyDescent="0.35">
      <c r="S3054" s="41">
        <v>3050</v>
      </c>
      <c r="T3054" s="41" t="s">
        <v>4284</v>
      </c>
      <c r="U3054" s="41" t="s">
        <v>4779</v>
      </c>
      <c r="V3054" s="42">
        <v>5.2968999999999999</v>
      </c>
      <c r="W3054" s="13"/>
      <c r="X3054" s="34">
        <v>3050</v>
      </c>
      <c r="Y3054" s="34" t="s">
        <v>2248</v>
      </c>
      <c r="Z3054" s="34" t="s">
        <v>4778</v>
      </c>
      <c r="AA3054" s="35">
        <v>2.9030241935483872E-5</v>
      </c>
      <c r="AB3054" s="13"/>
      <c r="AC3054" s="34">
        <v>3050</v>
      </c>
      <c r="AD3054" s="34" t="s">
        <v>4573</v>
      </c>
      <c r="AE3054" s="34" t="s">
        <v>4161</v>
      </c>
      <c r="AF3054" s="35">
        <v>14.155241935483872</v>
      </c>
    </row>
    <row r="3055" spans="19:32" x14ac:dyDescent="0.35">
      <c r="S3055" s="44">
        <v>3051</v>
      </c>
      <c r="T3055" s="44" t="s">
        <v>4284</v>
      </c>
      <c r="U3055" s="44" t="s">
        <v>4777</v>
      </c>
      <c r="V3055" s="45">
        <v>0</v>
      </c>
      <c r="W3055" s="13"/>
      <c r="X3055" s="47">
        <v>3051</v>
      </c>
      <c r="Y3055" s="47" t="s">
        <v>2248</v>
      </c>
      <c r="Z3055" s="47" t="s">
        <v>2912</v>
      </c>
      <c r="AA3055" s="48">
        <v>7.8844000000000011E-2</v>
      </c>
      <c r="AB3055" s="13"/>
      <c r="AC3055" s="34">
        <v>3051</v>
      </c>
      <c r="AD3055" s="34" t="s">
        <v>4573</v>
      </c>
      <c r="AE3055" s="34" t="s">
        <v>4159</v>
      </c>
      <c r="AF3055" s="35">
        <v>4.1814516129032265E-3</v>
      </c>
    </row>
    <row r="3056" spans="19:32" x14ac:dyDescent="0.35">
      <c r="S3056" s="41">
        <v>3052</v>
      </c>
      <c r="T3056" s="41" t="s">
        <v>4284</v>
      </c>
      <c r="U3056" s="41" t="s">
        <v>4777</v>
      </c>
      <c r="V3056" s="42">
        <v>2.1573000000000002</v>
      </c>
      <c r="W3056" s="13"/>
      <c r="X3056" s="34">
        <v>3052</v>
      </c>
      <c r="Y3056" s="34" t="s">
        <v>2248</v>
      </c>
      <c r="Z3056" s="34" t="s">
        <v>2912</v>
      </c>
      <c r="AA3056" s="35">
        <v>0.20701612903225808</v>
      </c>
      <c r="AB3056" s="13"/>
      <c r="AC3056" s="34">
        <v>3052</v>
      </c>
      <c r="AD3056" s="34" t="s">
        <v>4573</v>
      </c>
      <c r="AE3056" s="34" t="s">
        <v>4158</v>
      </c>
      <c r="AF3056" s="35">
        <v>1.8610887096774196E-2</v>
      </c>
    </row>
    <row r="3057" spans="19:32" x14ac:dyDescent="0.35">
      <c r="S3057" s="44">
        <v>3053</v>
      </c>
      <c r="T3057" s="44" t="s">
        <v>4284</v>
      </c>
      <c r="U3057" s="44" t="s">
        <v>4775</v>
      </c>
      <c r="V3057" s="45">
        <v>0</v>
      </c>
      <c r="W3057" s="13"/>
      <c r="X3057" s="34">
        <v>3053</v>
      </c>
      <c r="Y3057" s="34" t="s">
        <v>2248</v>
      </c>
      <c r="Z3057" s="34" t="s">
        <v>4776</v>
      </c>
      <c r="AA3057" s="35">
        <v>2.704233870967742E-2</v>
      </c>
      <c r="AB3057" s="13"/>
      <c r="AC3057" s="34">
        <v>3053</v>
      </c>
      <c r="AD3057" s="34" t="s">
        <v>4573</v>
      </c>
      <c r="AE3057" s="34" t="s">
        <v>4156</v>
      </c>
      <c r="AF3057" s="35">
        <v>8.3971774193548395E-3</v>
      </c>
    </row>
    <row r="3058" spans="19:32" x14ac:dyDescent="0.35">
      <c r="S3058" s="41">
        <v>3054</v>
      </c>
      <c r="T3058" s="41" t="s">
        <v>4284</v>
      </c>
      <c r="U3058" s="41" t="s">
        <v>4775</v>
      </c>
      <c r="V3058" s="42">
        <v>1.1186</v>
      </c>
      <c r="W3058" s="13"/>
      <c r="X3058" s="34">
        <v>3054</v>
      </c>
      <c r="Y3058" s="34" t="s">
        <v>2248</v>
      </c>
      <c r="Z3058" s="34" t="s">
        <v>3314</v>
      </c>
      <c r="AA3058" s="35">
        <v>5.5524193548387097E-4</v>
      </c>
      <c r="AB3058" s="13"/>
      <c r="AC3058" s="34">
        <v>3054</v>
      </c>
      <c r="AD3058" s="34" t="s">
        <v>4573</v>
      </c>
      <c r="AE3058" s="34" t="s">
        <v>4155</v>
      </c>
      <c r="AF3058" s="35">
        <v>1.7034274193548389E-12</v>
      </c>
    </row>
    <row r="3059" spans="19:32" x14ac:dyDescent="0.35">
      <c r="S3059" s="44">
        <v>3055</v>
      </c>
      <c r="T3059" s="44" t="s">
        <v>4284</v>
      </c>
      <c r="U3059" s="44" t="s">
        <v>4774</v>
      </c>
      <c r="V3059" s="45">
        <v>0</v>
      </c>
      <c r="W3059" s="13"/>
      <c r="X3059" s="34">
        <v>3055</v>
      </c>
      <c r="Y3059" s="34" t="s">
        <v>2248</v>
      </c>
      <c r="Z3059" s="34" t="s">
        <v>3311</v>
      </c>
      <c r="AA3059" s="35">
        <v>1.1207661290322582E-3</v>
      </c>
      <c r="AB3059" s="13"/>
      <c r="AC3059" s="34">
        <v>3055</v>
      </c>
      <c r="AD3059" s="34" t="s">
        <v>4573</v>
      </c>
      <c r="AE3059" s="34" t="s">
        <v>4154</v>
      </c>
      <c r="AF3059" s="35">
        <v>5.0725806451612911E-4</v>
      </c>
    </row>
    <row r="3060" spans="19:32" x14ac:dyDescent="0.35">
      <c r="S3060" s="41">
        <v>3056</v>
      </c>
      <c r="T3060" s="41" t="s">
        <v>4284</v>
      </c>
      <c r="U3060" s="41" t="s">
        <v>4774</v>
      </c>
      <c r="V3060" s="42">
        <v>1.4899</v>
      </c>
      <c r="W3060" s="13"/>
      <c r="X3060" s="34">
        <v>3056</v>
      </c>
      <c r="Y3060" s="34" t="s">
        <v>2248</v>
      </c>
      <c r="Z3060" s="34" t="s">
        <v>4773</v>
      </c>
      <c r="AA3060" s="35">
        <v>1.8576612903225809E-3</v>
      </c>
      <c r="AB3060" s="13"/>
      <c r="AC3060" s="34">
        <v>3056</v>
      </c>
      <c r="AD3060" s="34" t="s">
        <v>4573</v>
      </c>
      <c r="AE3060" s="34" t="s">
        <v>4152</v>
      </c>
      <c r="AF3060" s="35">
        <v>9.8709677419354852E-2</v>
      </c>
    </row>
    <row r="3061" spans="19:32" x14ac:dyDescent="0.35">
      <c r="S3061" s="44">
        <v>3057</v>
      </c>
      <c r="T3061" s="44" t="s">
        <v>4284</v>
      </c>
      <c r="U3061" s="44" t="s">
        <v>4772</v>
      </c>
      <c r="V3061" s="45">
        <v>0</v>
      </c>
      <c r="W3061" s="13"/>
      <c r="X3061" s="34">
        <v>3057</v>
      </c>
      <c r="Y3061" s="34" t="s">
        <v>2248</v>
      </c>
      <c r="Z3061" s="34" t="s">
        <v>3308</v>
      </c>
      <c r="AA3061" s="35">
        <v>2.930443548387097E-3</v>
      </c>
      <c r="AB3061" s="13"/>
      <c r="AC3061" s="34">
        <v>3057</v>
      </c>
      <c r="AD3061" s="34" t="s">
        <v>4573</v>
      </c>
      <c r="AE3061" s="34" t="s">
        <v>4150</v>
      </c>
      <c r="AF3061" s="35">
        <v>4.592741935483871</v>
      </c>
    </row>
    <row r="3062" spans="19:32" x14ac:dyDescent="0.35">
      <c r="S3062" s="41">
        <v>3058</v>
      </c>
      <c r="T3062" s="41" t="s">
        <v>4284</v>
      </c>
      <c r="U3062" s="41" t="s">
        <v>4772</v>
      </c>
      <c r="V3062" s="42">
        <v>3.1490000000000005</v>
      </c>
      <c r="W3062" s="13"/>
      <c r="X3062" s="47">
        <v>3058</v>
      </c>
      <c r="Y3062" s="47" t="s">
        <v>2248</v>
      </c>
      <c r="Z3062" s="47" t="s">
        <v>2911</v>
      </c>
      <c r="AA3062" s="48">
        <v>0</v>
      </c>
      <c r="AB3062" s="13"/>
      <c r="AC3062" s="34">
        <v>3058</v>
      </c>
      <c r="AD3062" s="34" t="s">
        <v>4573</v>
      </c>
      <c r="AE3062" s="34" t="s">
        <v>4149</v>
      </c>
      <c r="AF3062" s="35">
        <v>4.935483870967742</v>
      </c>
    </row>
    <row r="3063" spans="19:32" x14ac:dyDescent="0.35">
      <c r="S3063" s="44">
        <v>3059</v>
      </c>
      <c r="T3063" s="44" t="s">
        <v>4284</v>
      </c>
      <c r="U3063" s="44" t="s">
        <v>4771</v>
      </c>
      <c r="V3063" s="45">
        <v>0</v>
      </c>
      <c r="W3063" s="13"/>
      <c r="X3063" s="34">
        <v>3059</v>
      </c>
      <c r="Y3063" s="34" t="s">
        <v>2248</v>
      </c>
      <c r="Z3063" s="34" t="s">
        <v>2911</v>
      </c>
      <c r="AA3063" s="35">
        <v>2.5157258064516133E-4</v>
      </c>
      <c r="AB3063" s="13"/>
      <c r="AC3063" s="34">
        <v>3059</v>
      </c>
      <c r="AD3063" s="34" t="s">
        <v>4573</v>
      </c>
      <c r="AE3063" s="34" t="s">
        <v>4148</v>
      </c>
      <c r="AF3063" s="35">
        <v>0.15594758064516132</v>
      </c>
    </row>
    <row r="3064" spans="19:32" x14ac:dyDescent="0.35">
      <c r="S3064" s="41">
        <v>3060</v>
      </c>
      <c r="T3064" s="41" t="s">
        <v>4284</v>
      </c>
      <c r="U3064" s="41" t="s">
        <v>4771</v>
      </c>
      <c r="V3064" s="42">
        <v>1.0058</v>
      </c>
      <c r="W3064" s="13"/>
      <c r="X3064" s="34">
        <v>3060</v>
      </c>
      <c r="Y3064" s="34" t="s">
        <v>2248</v>
      </c>
      <c r="Z3064" s="34" t="s">
        <v>4770</v>
      </c>
      <c r="AA3064" s="35">
        <v>1.9707661290322583E-2</v>
      </c>
      <c r="AB3064" s="13"/>
      <c r="AC3064" s="34">
        <v>3060</v>
      </c>
      <c r="AD3064" s="34" t="s">
        <v>4573</v>
      </c>
      <c r="AE3064" s="34" t="s">
        <v>2512</v>
      </c>
      <c r="AF3064" s="35">
        <v>8.7741935483870979</v>
      </c>
    </row>
    <row r="3065" spans="19:32" x14ac:dyDescent="0.35">
      <c r="S3065" s="44">
        <v>3061</v>
      </c>
      <c r="T3065" s="44" t="s">
        <v>4284</v>
      </c>
      <c r="U3065" s="44" t="s">
        <v>4769</v>
      </c>
      <c r="V3065" s="45">
        <v>0</v>
      </c>
      <c r="W3065" s="13"/>
      <c r="X3065" s="34">
        <v>3061</v>
      </c>
      <c r="Y3065" s="34" t="s">
        <v>2248</v>
      </c>
      <c r="Z3065" s="34" t="s">
        <v>3304</v>
      </c>
      <c r="AA3065" s="35">
        <v>4.7641129032258069E-4</v>
      </c>
      <c r="AB3065" s="13"/>
      <c r="AC3065" s="47">
        <v>3061</v>
      </c>
      <c r="AD3065" s="47" t="s">
        <v>4573</v>
      </c>
      <c r="AE3065" s="47" t="s">
        <v>2512</v>
      </c>
      <c r="AF3065" s="56">
        <v>0</v>
      </c>
    </row>
    <row r="3066" spans="19:32" x14ac:dyDescent="0.35">
      <c r="S3066" s="41">
        <v>3062</v>
      </c>
      <c r="T3066" s="41" t="s">
        <v>4284</v>
      </c>
      <c r="U3066" s="41" t="s">
        <v>4769</v>
      </c>
      <c r="V3066" s="42">
        <v>3.1443000000000003</v>
      </c>
      <c r="W3066" s="13"/>
      <c r="X3066" s="34">
        <v>3062</v>
      </c>
      <c r="Y3066" s="34" t="s">
        <v>2248</v>
      </c>
      <c r="Z3066" s="34" t="s">
        <v>3301</v>
      </c>
      <c r="AA3066" s="35">
        <v>1.2098790322580646E-4</v>
      </c>
      <c r="AB3066" s="13"/>
      <c r="AC3066" s="47">
        <v>3062</v>
      </c>
      <c r="AD3066" s="47" t="s">
        <v>4573</v>
      </c>
      <c r="AE3066" s="47" t="s">
        <v>2510</v>
      </c>
      <c r="AF3066" s="56">
        <v>0</v>
      </c>
    </row>
    <row r="3067" spans="19:32" x14ac:dyDescent="0.35">
      <c r="S3067" s="44">
        <v>3063</v>
      </c>
      <c r="T3067" s="44" t="s">
        <v>4284</v>
      </c>
      <c r="U3067" s="44" t="s">
        <v>4768</v>
      </c>
      <c r="V3067" s="45">
        <v>0</v>
      </c>
      <c r="W3067" s="13"/>
      <c r="X3067" s="34">
        <v>3063</v>
      </c>
      <c r="Y3067" s="34" t="s">
        <v>2248</v>
      </c>
      <c r="Z3067" s="34" t="s">
        <v>3395</v>
      </c>
      <c r="AA3067" s="35">
        <v>2.5054435483870966E-3</v>
      </c>
      <c r="AB3067" s="13"/>
      <c r="AC3067" s="34">
        <v>3063</v>
      </c>
      <c r="AD3067" s="34" t="s">
        <v>4573</v>
      </c>
      <c r="AE3067" s="34" t="s">
        <v>2509</v>
      </c>
      <c r="AF3067" s="35">
        <v>6.7862903225806459E-2</v>
      </c>
    </row>
    <row r="3068" spans="19:32" x14ac:dyDescent="0.35">
      <c r="S3068" s="41">
        <v>3064</v>
      </c>
      <c r="T3068" s="41" t="s">
        <v>4284</v>
      </c>
      <c r="U3068" s="41" t="s">
        <v>4768</v>
      </c>
      <c r="V3068" s="42">
        <v>0.83660000000000001</v>
      </c>
      <c r="W3068" s="13"/>
      <c r="X3068" s="34">
        <v>3064</v>
      </c>
      <c r="Y3068" s="34" t="s">
        <v>2248</v>
      </c>
      <c r="Z3068" s="34" t="s">
        <v>3298</v>
      </c>
      <c r="AA3068" s="35">
        <v>1.8542338709677419E-2</v>
      </c>
      <c r="AB3068" s="13"/>
      <c r="AC3068" s="47">
        <v>3064</v>
      </c>
      <c r="AD3068" s="47" t="s">
        <v>4573</v>
      </c>
      <c r="AE3068" s="47" t="s">
        <v>2509</v>
      </c>
      <c r="AF3068" s="56">
        <v>0.437</v>
      </c>
    </row>
    <row r="3069" spans="19:32" x14ac:dyDescent="0.35">
      <c r="S3069" s="44">
        <v>3065</v>
      </c>
      <c r="T3069" s="44" t="s">
        <v>4284</v>
      </c>
      <c r="U3069" s="44" t="s">
        <v>4767</v>
      </c>
      <c r="V3069" s="45">
        <v>0</v>
      </c>
      <c r="W3069" s="13"/>
      <c r="X3069" s="34">
        <v>3065</v>
      </c>
      <c r="Y3069" s="34" t="s">
        <v>2248</v>
      </c>
      <c r="Z3069" s="34" t="s">
        <v>3295</v>
      </c>
      <c r="AA3069" s="35">
        <v>2.5911290322580646E-5</v>
      </c>
      <c r="AB3069" s="13"/>
      <c r="AC3069" s="34">
        <v>3065</v>
      </c>
      <c r="AD3069" s="34" t="s">
        <v>4573</v>
      </c>
      <c r="AE3069" s="34" t="s">
        <v>4144</v>
      </c>
      <c r="AF3069" s="35">
        <v>2.4403225806451614E-2</v>
      </c>
    </row>
    <row r="3070" spans="19:32" x14ac:dyDescent="0.35">
      <c r="S3070" s="41">
        <v>3066</v>
      </c>
      <c r="T3070" s="41" t="s">
        <v>4284</v>
      </c>
      <c r="U3070" s="41" t="s">
        <v>4767</v>
      </c>
      <c r="V3070" s="42">
        <v>1.4240999999999999</v>
      </c>
      <c r="W3070" s="13"/>
      <c r="X3070" s="34">
        <v>3066</v>
      </c>
      <c r="Y3070" s="34" t="s">
        <v>2248</v>
      </c>
      <c r="Z3070" s="34" t="s">
        <v>3292</v>
      </c>
      <c r="AA3070" s="35">
        <v>0.20153225806451613</v>
      </c>
      <c r="AB3070" s="13"/>
      <c r="AC3070" s="47">
        <v>3066</v>
      </c>
      <c r="AD3070" s="47" t="s">
        <v>4573</v>
      </c>
      <c r="AE3070" s="47" t="s">
        <v>2507</v>
      </c>
      <c r="AF3070" s="56">
        <v>3.5788000000000002</v>
      </c>
    </row>
    <row r="3071" spans="19:32" x14ac:dyDescent="0.35">
      <c r="S3071" s="44">
        <v>3067</v>
      </c>
      <c r="T3071" s="44" t="s">
        <v>4284</v>
      </c>
      <c r="U3071" s="44" t="s">
        <v>4766</v>
      </c>
      <c r="V3071" s="45">
        <v>0</v>
      </c>
      <c r="W3071" s="13"/>
      <c r="X3071" s="34">
        <v>3067</v>
      </c>
      <c r="Y3071" s="34" t="s">
        <v>2248</v>
      </c>
      <c r="Z3071" s="34" t="s">
        <v>3391</v>
      </c>
      <c r="AA3071" s="35">
        <v>8.705645161290323E-4</v>
      </c>
      <c r="AB3071" s="13"/>
      <c r="AC3071" s="47">
        <v>3067</v>
      </c>
      <c r="AD3071" s="47" t="s">
        <v>4573</v>
      </c>
      <c r="AE3071" s="47" t="s">
        <v>2506</v>
      </c>
      <c r="AF3071" s="56">
        <v>1.4168000000000001</v>
      </c>
    </row>
    <row r="3072" spans="19:32" x14ac:dyDescent="0.35">
      <c r="S3072" s="41">
        <v>3068</v>
      </c>
      <c r="T3072" s="41" t="s">
        <v>4284</v>
      </c>
      <c r="U3072" s="41" t="s">
        <v>4766</v>
      </c>
      <c r="V3072" s="42">
        <v>0.9447000000000001</v>
      </c>
      <c r="W3072" s="13"/>
      <c r="X3072" s="34">
        <v>3068</v>
      </c>
      <c r="Y3072" s="34" t="s">
        <v>2248</v>
      </c>
      <c r="Z3072" s="34" t="s">
        <v>3290</v>
      </c>
      <c r="AA3072" s="35">
        <v>3.8044354838709681E-3</v>
      </c>
      <c r="AB3072" s="13"/>
      <c r="AC3072" s="34">
        <v>3068</v>
      </c>
      <c r="AD3072" s="34" t="s">
        <v>4573</v>
      </c>
      <c r="AE3072" s="34" t="s">
        <v>4142</v>
      </c>
      <c r="AF3072" s="35">
        <v>1.3949596774193551E-3</v>
      </c>
    </row>
    <row r="3073" spans="19:32" x14ac:dyDescent="0.35">
      <c r="S3073" s="44">
        <v>3069</v>
      </c>
      <c r="T3073" s="44" t="s">
        <v>4284</v>
      </c>
      <c r="U3073" s="44" t="s">
        <v>4765</v>
      </c>
      <c r="V3073" s="45">
        <v>0</v>
      </c>
      <c r="W3073" s="13"/>
      <c r="X3073" s="34">
        <v>3069</v>
      </c>
      <c r="Y3073" s="34" t="s">
        <v>2248</v>
      </c>
      <c r="Z3073" s="34" t="s">
        <v>3287</v>
      </c>
      <c r="AA3073" s="35">
        <v>4.181451612903226E-2</v>
      </c>
      <c r="AB3073" s="13"/>
      <c r="AC3073" s="34">
        <v>3069</v>
      </c>
      <c r="AD3073" s="34" t="s">
        <v>4573</v>
      </c>
      <c r="AE3073" s="34" t="s">
        <v>2504</v>
      </c>
      <c r="AF3073" s="35">
        <v>1.1379032258064517E-2</v>
      </c>
    </row>
    <row r="3074" spans="19:32" x14ac:dyDescent="0.35">
      <c r="S3074" s="41">
        <v>3070</v>
      </c>
      <c r="T3074" s="41" t="s">
        <v>4284</v>
      </c>
      <c r="U3074" s="41" t="s">
        <v>4765</v>
      </c>
      <c r="V3074" s="42">
        <v>1.9975000000000001</v>
      </c>
      <c r="W3074" s="13"/>
      <c r="X3074" s="34">
        <v>3070</v>
      </c>
      <c r="Y3074" s="34" t="s">
        <v>2248</v>
      </c>
      <c r="Z3074" s="34" t="s">
        <v>3389</v>
      </c>
      <c r="AA3074" s="35">
        <v>0.25362903225806455</v>
      </c>
      <c r="AB3074" s="13"/>
      <c r="AC3074" s="47">
        <v>3070</v>
      </c>
      <c r="AD3074" s="47" t="s">
        <v>4573</v>
      </c>
      <c r="AE3074" s="47" t="s">
        <v>2504</v>
      </c>
      <c r="AF3074" s="56">
        <v>1.9504000000000001E-2</v>
      </c>
    </row>
    <row r="3075" spans="19:32" x14ac:dyDescent="0.35">
      <c r="S3075" s="44">
        <v>3071</v>
      </c>
      <c r="T3075" s="44" t="s">
        <v>4284</v>
      </c>
      <c r="U3075" s="44" t="s">
        <v>4764</v>
      </c>
      <c r="V3075" s="45">
        <v>0</v>
      </c>
      <c r="W3075" s="13"/>
      <c r="X3075" s="34">
        <v>3071</v>
      </c>
      <c r="Y3075" s="34" t="s">
        <v>2248</v>
      </c>
      <c r="Z3075" s="34" t="s">
        <v>3284</v>
      </c>
      <c r="AA3075" s="35">
        <v>3.941532258064516E-5</v>
      </c>
      <c r="AB3075" s="13"/>
      <c r="AC3075" s="34">
        <v>3071</v>
      </c>
      <c r="AD3075" s="34" t="s">
        <v>4573</v>
      </c>
      <c r="AE3075" s="34" t="s">
        <v>4140</v>
      </c>
      <c r="AF3075" s="35">
        <v>4.6955645161290329</v>
      </c>
    </row>
    <row r="3076" spans="19:32" x14ac:dyDescent="0.35">
      <c r="S3076" s="41">
        <v>3072</v>
      </c>
      <c r="T3076" s="41" t="s">
        <v>4284</v>
      </c>
      <c r="U3076" s="41" t="s">
        <v>4764</v>
      </c>
      <c r="V3076" s="42">
        <v>2.6696</v>
      </c>
      <c r="W3076" s="13"/>
      <c r="X3076" s="34">
        <v>3072</v>
      </c>
      <c r="Y3076" s="34" t="s">
        <v>2248</v>
      </c>
      <c r="Z3076" s="34" t="s">
        <v>3281</v>
      </c>
      <c r="AA3076" s="35">
        <v>1.2750000000000001E-4</v>
      </c>
      <c r="AB3076" s="13"/>
      <c r="AC3076" s="34">
        <v>3072</v>
      </c>
      <c r="AD3076" s="34" t="s">
        <v>4573</v>
      </c>
      <c r="AE3076" s="34" t="s">
        <v>2502</v>
      </c>
      <c r="AF3076" s="35">
        <v>3.5987903225806452E-2</v>
      </c>
    </row>
    <row r="3077" spans="19:32" x14ac:dyDescent="0.35">
      <c r="S3077" s="44">
        <v>3073</v>
      </c>
      <c r="T3077" s="44" t="s">
        <v>4284</v>
      </c>
      <c r="U3077" s="44" t="s">
        <v>4762</v>
      </c>
      <c r="V3077" s="45">
        <v>0</v>
      </c>
      <c r="W3077" s="13"/>
      <c r="X3077" s="34">
        <v>3073</v>
      </c>
      <c r="Y3077" s="34" t="s">
        <v>2248</v>
      </c>
      <c r="Z3077" s="34" t="s">
        <v>4763</v>
      </c>
      <c r="AA3077" s="35">
        <v>1.9776209677419356E-2</v>
      </c>
      <c r="AB3077" s="13"/>
      <c r="AC3077" s="47">
        <v>3073</v>
      </c>
      <c r="AD3077" s="47" t="s">
        <v>4573</v>
      </c>
      <c r="AE3077" s="47" t="s">
        <v>2502</v>
      </c>
      <c r="AF3077" s="56">
        <v>0</v>
      </c>
    </row>
    <row r="3078" spans="19:32" x14ac:dyDescent="0.35">
      <c r="S3078" s="41">
        <v>3074</v>
      </c>
      <c r="T3078" s="41" t="s">
        <v>4284</v>
      </c>
      <c r="U3078" s="41" t="s">
        <v>4762</v>
      </c>
      <c r="V3078" s="42">
        <v>2.7401</v>
      </c>
      <c r="W3078" s="13"/>
      <c r="X3078" s="34">
        <v>3074</v>
      </c>
      <c r="Y3078" s="34" t="s">
        <v>2248</v>
      </c>
      <c r="Z3078" s="34" t="s">
        <v>3279</v>
      </c>
      <c r="AA3078" s="35">
        <v>2.4437500000000002E-4</v>
      </c>
      <c r="AB3078" s="13"/>
      <c r="AC3078" s="34">
        <v>3074</v>
      </c>
      <c r="AD3078" s="34" t="s">
        <v>4573</v>
      </c>
      <c r="AE3078" s="34" t="s">
        <v>4138</v>
      </c>
      <c r="AF3078" s="35">
        <v>0.76088709677419364</v>
      </c>
    </row>
    <row r="3079" spans="19:32" x14ac:dyDescent="0.35">
      <c r="S3079" s="44">
        <v>3075</v>
      </c>
      <c r="T3079" s="44" t="s">
        <v>4284</v>
      </c>
      <c r="U3079" s="44" t="s">
        <v>4761</v>
      </c>
      <c r="V3079" s="45">
        <v>0</v>
      </c>
      <c r="W3079" s="13"/>
      <c r="X3079" s="47">
        <v>3075</v>
      </c>
      <c r="Y3079" s="47" t="s">
        <v>2248</v>
      </c>
      <c r="Z3079" s="47" t="s">
        <v>2909</v>
      </c>
      <c r="AA3079" s="48">
        <v>5.3452000000000002</v>
      </c>
      <c r="AB3079" s="13"/>
      <c r="AC3079" s="34">
        <v>3075</v>
      </c>
      <c r="AD3079" s="34" t="s">
        <v>4573</v>
      </c>
      <c r="AE3079" s="34" t="s">
        <v>4137</v>
      </c>
      <c r="AF3079" s="35">
        <v>0.16965725806451615</v>
      </c>
    </row>
    <row r="3080" spans="19:32" x14ac:dyDescent="0.35">
      <c r="S3080" s="41">
        <v>3076</v>
      </c>
      <c r="T3080" s="41" t="s">
        <v>4284</v>
      </c>
      <c r="U3080" s="41" t="s">
        <v>4761</v>
      </c>
      <c r="V3080" s="42">
        <v>1.1609</v>
      </c>
      <c r="W3080" s="13"/>
      <c r="X3080" s="34">
        <v>3076</v>
      </c>
      <c r="Y3080" s="34" t="s">
        <v>2248</v>
      </c>
      <c r="Z3080" s="34" t="s">
        <v>3386</v>
      </c>
      <c r="AA3080" s="35">
        <v>6.2379032258064522E-2</v>
      </c>
      <c r="AB3080" s="13"/>
      <c r="AC3080" s="47">
        <v>3076</v>
      </c>
      <c r="AD3080" s="47" t="s">
        <v>4573</v>
      </c>
      <c r="AE3080" s="47" t="s">
        <v>2501</v>
      </c>
      <c r="AF3080" s="56">
        <v>57.96</v>
      </c>
    </row>
    <row r="3081" spans="19:32" x14ac:dyDescent="0.35">
      <c r="S3081" s="41">
        <v>3077</v>
      </c>
      <c r="T3081" s="41" t="s">
        <v>4284</v>
      </c>
      <c r="U3081" s="41" t="s">
        <v>4760</v>
      </c>
      <c r="V3081" s="42">
        <v>20.87</v>
      </c>
      <c r="W3081" s="13"/>
      <c r="X3081" s="47">
        <v>3077</v>
      </c>
      <c r="Y3081" s="47" t="s">
        <v>2248</v>
      </c>
      <c r="Z3081" s="47" t="s">
        <v>2908</v>
      </c>
      <c r="AA3081" s="48">
        <v>0</v>
      </c>
      <c r="AB3081" s="13"/>
      <c r="AC3081" s="34">
        <v>3077</v>
      </c>
      <c r="AD3081" s="34" t="s">
        <v>4573</v>
      </c>
      <c r="AE3081" s="34" t="s">
        <v>4135</v>
      </c>
      <c r="AF3081" s="35">
        <v>2.454032258064516E-3</v>
      </c>
    </row>
    <row r="3082" spans="19:32" x14ac:dyDescent="0.35">
      <c r="S3082" s="34">
        <v>3078</v>
      </c>
      <c r="T3082" s="34" t="s">
        <v>4284</v>
      </c>
      <c r="U3082" s="34" t="s">
        <v>2619</v>
      </c>
      <c r="V3082" s="35">
        <v>2.7316532258064519E-2</v>
      </c>
      <c r="W3082" s="13"/>
      <c r="X3082" s="34">
        <v>3078</v>
      </c>
      <c r="Y3082" s="34" t="s">
        <v>2248</v>
      </c>
      <c r="Z3082" s="34" t="s">
        <v>2908</v>
      </c>
      <c r="AA3082" s="35">
        <v>1.6211693548387099E-2</v>
      </c>
      <c r="AB3082" s="13"/>
      <c r="AC3082" s="34">
        <v>3078</v>
      </c>
      <c r="AD3082" s="34" t="s">
        <v>4573</v>
      </c>
      <c r="AE3082" s="34" t="s">
        <v>2499</v>
      </c>
      <c r="AF3082" s="35">
        <v>0.10625000000000001</v>
      </c>
    </row>
    <row r="3083" spans="19:32" x14ac:dyDescent="0.35">
      <c r="S3083" s="47">
        <v>3079</v>
      </c>
      <c r="T3083" s="47" t="s">
        <v>4284</v>
      </c>
      <c r="U3083" s="47" t="s">
        <v>2619</v>
      </c>
      <c r="V3083" s="56">
        <v>0.51427999999999996</v>
      </c>
      <c r="W3083" s="13"/>
      <c r="X3083" s="34">
        <v>3079</v>
      </c>
      <c r="Y3083" s="34" t="s">
        <v>2248</v>
      </c>
      <c r="Z3083" s="34" t="s">
        <v>3274</v>
      </c>
      <c r="AA3083" s="35">
        <v>1.0350806451612904E-2</v>
      </c>
      <c r="AB3083" s="13"/>
      <c r="AC3083" s="47">
        <v>3079</v>
      </c>
      <c r="AD3083" s="47" t="s">
        <v>4573</v>
      </c>
      <c r="AE3083" s="47" t="s">
        <v>2499</v>
      </c>
      <c r="AF3083" s="56">
        <v>0</v>
      </c>
    </row>
    <row r="3084" spans="19:32" x14ac:dyDescent="0.35">
      <c r="S3084" s="47">
        <v>3080</v>
      </c>
      <c r="T3084" s="47" t="s">
        <v>4284</v>
      </c>
      <c r="U3084" s="47" t="s">
        <v>2738</v>
      </c>
      <c r="V3084" s="56">
        <v>8.5928000000000004</v>
      </c>
      <c r="W3084" s="13"/>
      <c r="X3084" s="34">
        <v>3080</v>
      </c>
      <c r="Y3084" s="34" t="s">
        <v>2248</v>
      </c>
      <c r="Z3084" s="34" t="s">
        <v>3385</v>
      </c>
      <c r="AA3084" s="35">
        <v>2.9887096774193554E-4</v>
      </c>
      <c r="AB3084" s="13"/>
      <c r="AC3084" s="34">
        <v>3080</v>
      </c>
      <c r="AD3084" s="34" t="s">
        <v>4573</v>
      </c>
      <c r="AE3084" s="34" t="s">
        <v>4132</v>
      </c>
      <c r="AF3084" s="35">
        <v>3.7358870967741939E-3</v>
      </c>
    </row>
    <row r="3085" spans="19:32" x14ac:dyDescent="0.35">
      <c r="S3085" s="34">
        <v>3081</v>
      </c>
      <c r="T3085" s="34" t="s">
        <v>4284</v>
      </c>
      <c r="U3085" s="34" t="s">
        <v>2616</v>
      </c>
      <c r="V3085" s="35">
        <v>5.2782258064516138E-5</v>
      </c>
      <c r="W3085" s="13"/>
      <c r="X3085" s="47">
        <v>3081</v>
      </c>
      <c r="Y3085" s="47" t="s">
        <v>2248</v>
      </c>
      <c r="Z3085" s="47" t="s">
        <v>2906</v>
      </c>
      <c r="AA3085" s="48">
        <v>0</v>
      </c>
      <c r="AB3085" s="13"/>
      <c r="AC3085" s="34">
        <v>3081</v>
      </c>
      <c r="AD3085" s="34" t="s">
        <v>4573</v>
      </c>
      <c r="AE3085" s="34" t="s">
        <v>4131</v>
      </c>
      <c r="AF3085" s="35">
        <v>8.8770161290322586E-4</v>
      </c>
    </row>
    <row r="3086" spans="19:32" x14ac:dyDescent="0.35">
      <c r="S3086" s="47">
        <v>3082</v>
      </c>
      <c r="T3086" s="47" t="s">
        <v>4284</v>
      </c>
      <c r="U3086" s="47" t="s">
        <v>2616</v>
      </c>
      <c r="V3086" s="56">
        <v>0.47931999999999997</v>
      </c>
      <c r="W3086" s="13"/>
      <c r="X3086" s="34">
        <v>3082</v>
      </c>
      <c r="Y3086" s="34" t="s">
        <v>2248</v>
      </c>
      <c r="Z3086" s="34" t="s">
        <v>2906</v>
      </c>
      <c r="AA3086" s="35">
        <v>3.3211693548387102E-3</v>
      </c>
      <c r="AB3086" s="13"/>
      <c r="AC3086" s="34">
        <v>3082</v>
      </c>
      <c r="AD3086" s="34" t="s">
        <v>4573</v>
      </c>
      <c r="AE3086" s="34" t="s">
        <v>4129</v>
      </c>
      <c r="AF3086" s="35">
        <v>1.8268145161290324E-4</v>
      </c>
    </row>
    <row r="3087" spans="19:32" x14ac:dyDescent="0.35">
      <c r="S3087" s="34">
        <v>3083</v>
      </c>
      <c r="T3087" s="34" t="s">
        <v>4284</v>
      </c>
      <c r="U3087" s="34" t="s">
        <v>2614</v>
      </c>
      <c r="V3087" s="35">
        <v>4.9012096774193551E-3</v>
      </c>
      <c r="W3087" s="13"/>
      <c r="X3087" s="47">
        <v>3083</v>
      </c>
      <c r="Y3087" s="47" t="s">
        <v>2248</v>
      </c>
      <c r="Z3087" s="47" t="s">
        <v>2904</v>
      </c>
      <c r="AA3087" s="48">
        <v>29.9</v>
      </c>
      <c r="AB3087" s="13"/>
      <c r="AC3087" s="34">
        <v>3083</v>
      </c>
      <c r="AD3087" s="34" t="s">
        <v>4573</v>
      </c>
      <c r="AE3087" s="34" t="s">
        <v>4128</v>
      </c>
      <c r="AF3087" s="35">
        <v>1.5663306451612905E-4</v>
      </c>
    </row>
    <row r="3088" spans="19:32" x14ac:dyDescent="0.35">
      <c r="S3088" s="47">
        <v>3084</v>
      </c>
      <c r="T3088" s="47" t="s">
        <v>4284</v>
      </c>
      <c r="U3088" s="47" t="s">
        <v>2614</v>
      </c>
      <c r="V3088" s="56">
        <v>0.47287999999999997</v>
      </c>
      <c r="W3088" s="13"/>
      <c r="X3088" s="34">
        <v>3084</v>
      </c>
      <c r="Y3088" s="34" t="s">
        <v>2248</v>
      </c>
      <c r="Z3088" s="34" t="s">
        <v>4759</v>
      </c>
      <c r="AA3088" s="35">
        <v>9.3911290322580658E-3</v>
      </c>
      <c r="AB3088" s="13"/>
      <c r="AC3088" s="34">
        <v>3084</v>
      </c>
      <c r="AD3088" s="34" t="s">
        <v>4573</v>
      </c>
      <c r="AE3088" s="34" t="s">
        <v>4127</v>
      </c>
      <c r="AF3088" s="35">
        <v>0.45241935483870971</v>
      </c>
    </row>
    <row r="3089" spans="19:32" x14ac:dyDescent="0.35">
      <c r="S3089" s="47">
        <v>3085</v>
      </c>
      <c r="T3089" s="47" t="s">
        <v>4284</v>
      </c>
      <c r="U3089" s="47" t="s">
        <v>2735</v>
      </c>
      <c r="V3089" s="56">
        <v>10.212</v>
      </c>
      <c r="W3089" s="13"/>
      <c r="X3089" s="34">
        <v>3085</v>
      </c>
      <c r="Y3089" s="34" t="s">
        <v>2248</v>
      </c>
      <c r="Z3089" s="34" t="s">
        <v>3269</v>
      </c>
      <c r="AA3089" s="35">
        <v>1.4840725806451612E-3</v>
      </c>
      <c r="AB3089" s="13"/>
      <c r="AC3089" s="34">
        <v>3085</v>
      </c>
      <c r="AD3089" s="34" t="s">
        <v>4573</v>
      </c>
      <c r="AE3089" s="34" t="s">
        <v>4125</v>
      </c>
      <c r="AF3089" s="35">
        <v>5.3467741935483873E-4</v>
      </c>
    </row>
    <row r="3090" spans="19:32" x14ac:dyDescent="0.35">
      <c r="S3090" s="47">
        <v>3086</v>
      </c>
      <c r="T3090" s="47" t="s">
        <v>4284</v>
      </c>
      <c r="U3090" s="47" t="s">
        <v>2733</v>
      </c>
      <c r="V3090" s="56">
        <v>3.2751999999999999</v>
      </c>
      <c r="W3090" s="13"/>
      <c r="X3090" s="34">
        <v>3086</v>
      </c>
      <c r="Y3090" s="34" t="s">
        <v>2248</v>
      </c>
      <c r="Z3090" s="34" t="s">
        <v>4758</v>
      </c>
      <c r="AA3090" s="35">
        <v>2.2243951612903227E-5</v>
      </c>
      <c r="AB3090" s="13"/>
      <c r="AC3090" s="34">
        <v>3086</v>
      </c>
      <c r="AD3090" s="34" t="s">
        <v>4573</v>
      </c>
      <c r="AE3090" s="34" t="s">
        <v>2498</v>
      </c>
      <c r="AF3090" s="35">
        <v>3.5987903225806452E-2</v>
      </c>
    </row>
    <row r="3091" spans="19:32" x14ac:dyDescent="0.35">
      <c r="S3091" s="47">
        <v>3087</v>
      </c>
      <c r="T3091" s="47" t="s">
        <v>4284</v>
      </c>
      <c r="U3091" s="47" t="s">
        <v>2732</v>
      </c>
      <c r="V3091" s="56">
        <v>5.4648000000000003</v>
      </c>
      <c r="W3091" s="13"/>
      <c r="X3091" s="47">
        <v>3087</v>
      </c>
      <c r="Y3091" s="47" t="s">
        <v>2248</v>
      </c>
      <c r="Z3091" s="47" t="s">
        <v>2903</v>
      </c>
      <c r="AA3091" s="48">
        <v>0</v>
      </c>
      <c r="AB3091" s="13"/>
      <c r="AC3091" s="47">
        <v>3087</v>
      </c>
      <c r="AD3091" s="47" t="s">
        <v>4573</v>
      </c>
      <c r="AE3091" s="47" t="s">
        <v>2498</v>
      </c>
      <c r="AF3091" s="56">
        <v>0</v>
      </c>
    </row>
    <row r="3092" spans="19:32" x14ac:dyDescent="0.35">
      <c r="S3092" s="47">
        <v>3088</v>
      </c>
      <c r="T3092" s="47" t="s">
        <v>4284</v>
      </c>
      <c r="U3092" s="47" t="s">
        <v>2730</v>
      </c>
      <c r="V3092" s="56">
        <v>5.1059999999999999</v>
      </c>
      <c r="W3092" s="13"/>
      <c r="X3092" s="34">
        <v>3088</v>
      </c>
      <c r="Y3092" s="34" t="s">
        <v>2248</v>
      </c>
      <c r="Z3092" s="34" t="s">
        <v>2903</v>
      </c>
      <c r="AA3092" s="35">
        <v>2.0975806451612906E-4</v>
      </c>
      <c r="AB3092" s="13"/>
      <c r="AC3092" s="34">
        <v>3088</v>
      </c>
      <c r="AD3092" s="34" t="s">
        <v>4573</v>
      </c>
      <c r="AE3092" s="34" t="s">
        <v>2496</v>
      </c>
      <c r="AF3092" s="35">
        <v>34.616935483870968</v>
      </c>
    </row>
    <row r="3093" spans="19:32" x14ac:dyDescent="0.35">
      <c r="S3093" s="47">
        <v>3089</v>
      </c>
      <c r="T3093" s="47" t="s">
        <v>4284</v>
      </c>
      <c r="U3093" s="47" t="s">
        <v>2729</v>
      </c>
      <c r="V3093" s="56">
        <v>4.2136000000000005</v>
      </c>
      <c r="W3093" s="13"/>
      <c r="X3093" s="34">
        <v>3089</v>
      </c>
      <c r="Y3093" s="34" t="s">
        <v>2248</v>
      </c>
      <c r="Z3093" s="34" t="s">
        <v>3265</v>
      </c>
      <c r="AA3093" s="35">
        <v>3.5302419354838712E-5</v>
      </c>
      <c r="AB3093" s="13"/>
      <c r="AC3093" s="47">
        <v>3089</v>
      </c>
      <c r="AD3093" s="47" t="s">
        <v>4573</v>
      </c>
      <c r="AE3093" s="47" t="s">
        <v>2496</v>
      </c>
      <c r="AF3093" s="56">
        <v>0</v>
      </c>
    </row>
    <row r="3094" spans="19:32" x14ac:dyDescent="0.35">
      <c r="S3094" s="47">
        <v>3090</v>
      </c>
      <c r="T3094" s="47" t="s">
        <v>4284</v>
      </c>
      <c r="U3094" s="47" t="s">
        <v>2727</v>
      </c>
      <c r="V3094" s="56">
        <v>188.6</v>
      </c>
      <c r="W3094" s="13"/>
      <c r="X3094" s="34">
        <v>3090</v>
      </c>
      <c r="Y3094" s="34" t="s">
        <v>2248</v>
      </c>
      <c r="Z3094" s="34" t="s">
        <v>4757</v>
      </c>
      <c r="AA3094" s="35">
        <v>1.1961693548387099E-2</v>
      </c>
      <c r="AB3094" s="13"/>
      <c r="AC3094" s="34">
        <v>3090</v>
      </c>
      <c r="AD3094" s="34" t="s">
        <v>4573</v>
      </c>
      <c r="AE3094" s="34" t="s">
        <v>4122</v>
      </c>
      <c r="AF3094" s="35">
        <v>9.1512096774193558E-4</v>
      </c>
    </row>
    <row r="3095" spans="19:32" x14ac:dyDescent="0.35">
      <c r="S3095" s="47">
        <v>3091</v>
      </c>
      <c r="T3095" s="47" t="s">
        <v>4284</v>
      </c>
      <c r="U3095" s="47" t="s">
        <v>2726</v>
      </c>
      <c r="V3095" s="56">
        <v>72.036000000000001</v>
      </c>
      <c r="W3095" s="13"/>
      <c r="X3095" s="47">
        <v>3091</v>
      </c>
      <c r="Y3095" s="47" t="s">
        <v>2248</v>
      </c>
      <c r="Z3095" s="47" t="s">
        <v>2901</v>
      </c>
      <c r="AA3095" s="48">
        <v>0.12787999999999999</v>
      </c>
      <c r="AB3095" s="13"/>
      <c r="AC3095" s="34">
        <v>3091</v>
      </c>
      <c r="AD3095" s="34" t="s">
        <v>4573</v>
      </c>
      <c r="AE3095" s="34" t="s">
        <v>2495</v>
      </c>
      <c r="AF3095" s="35">
        <v>3.1600806451612909E-5</v>
      </c>
    </row>
    <row r="3096" spans="19:32" x14ac:dyDescent="0.35">
      <c r="S3096" s="47">
        <v>3092</v>
      </c>
      <c r="T3096" s="47" t="s">
        <v>4284</v>
      </c>
      <c r="U3096" s="47" t="s">
        <v>2724</v>
      </c>
      <c r="V3096" s="56">
        <v>196.88</v>
      </c>
      <c r="W3096" s="13"/>
      <c r="X3096" s="47">
        <v>3092</v>
      </c>
      <c r="Y3096" s="47" t="s">
        <v>2248</v>
      </c>
      <c r="Z3096" s="47" t="s">
        <v>2900</v>
      </c>
      <c r="AA3096" s="48">
        <v>0</v>
      </c>
      <c r="AB3096" s="13"/>
      <c r="AC3096" s="47">
        <v>3092</v>
      </c>
      <c r="AD3096" s="47" t="s">
        <v>4573</v>
      </c>
      <c r="AE3096" s="47" t="s">
        <v>2495</v>
      </c>
      <c r="AF3096" s="56">
        <v>0</v>
      </c>
    </row>
    <row r="3097" spans="19:32" x14ac:dyDescent="0.35">
      <c r="S3097" s="47">
        <v>3093</v>
      </c>
      <c r="T3097" s="47" t="s">
        <v>4284</v>
      </c>
      <c r="U3097" s="47" t="s">
        <v>2722</v>
      </c>
      <c r="V3097" s="56">
        <v>458.15999999999997</v>
      </c>
      <c r="W3097" s="13"/>
      <c r="X3097" s="34">
        <v>3093</v>
      </c>
      <c r="Y3097" s="34" t="s">
        <v>2248</v>
      </c>
      <c r="Z3097" s="34" t="s">
        <v>3262</v>
      </c>
      <c r="AA3097" s="35">
        <v>3.1806451612903229E-3</v>
      </c>
      <c r="AB3097" s="13"/>
      <c r="AC3097" s="34">
        <v>3093</v>
      </c>
      <c r="AD3097" s="34" t="s">
        <v>4573</v>
      </c>
      <c r="AE3097" s="34" t="s">
        <v>4119</v>
      </c>
      <c r="AF3097" s="35">
        <v>1.5903225806451613E-4</v>
      </c>
    </row>
    <row r="3098" spans="19:32" x14ac:dyDescent="0.35">
      <c r="S3098" s="47">
        <v>3094</v>
      </c>
      <c r="T3098" s="47" t="s">
        <v>4284</v>
      </c>
      <c r="U3098" s="47" t="s">
        <v>2721</v>
      </c>
      <c r="V3098" s="56">
        <v>3.6707999999999998</v>
      </c>
      <c r="W3098" s="13"/>
      <c r="X3098" s="34">
        <v>3094</v>
      </c>
      <c r="Y3098" s="34" t="s">
        <v>2248</v>
      </c>
      <c r="Z3098" s="34" t="s">
        <v>4756</v>
      </c>
      <c r="AA3098" s="35">
        <v>6.3407258064516138E-5</v>
      </c>
      <c r="AB3098" s="13"/>
      <c r="AC3098" s="34">
        <v>3094</v>
      </c>
      <c r="AD3098" s="34" t="s">
        <v>4573</v>
      </c>
      <c r="AE3098" s="34" t="s">
        <v>2493</v>
      </c>
      <c r="AF3098" s="35">
        <v>9.9052419354838717E-4</v>
      </c>
    </row>
    <row r="3099" spans="19:32" x14ac:dyDescent="0.35">
      <c r="S3099" s="47">
        <v>3095</v>
      </c>
      <c r="T3099" s="47" t="s">
        <v>4284</v>
      </c>
      <c r="U3099" s="47" t="s">
        <v>2719</v>
      </c>
      <c r="V3099" s="56">
        <v>185.84</v>
      </c>
      <c r="W3099" s="13"/>
      <c r="X3099" s="47">
        <v>3095</v>
      </c>
      <c r="Y3099" s="47" t="s">
        <v>2248</v>
      </c>
      <c r="Z3099" s="47" t="s">
        <v>2898</v>
      </c>
      <c r="AA3099" s="48">
        <v>0</v>
      </c>
      <c r="AB3099" s="13"/>
      <c r="AC3099" s="47">
        <v>3095</v>
      </c>
      <c r="AD3099" s="47" t="s">
        <v>4573</v>
      </c>
      <c r="AE3099" s="47" t="s">
        <v>2493</v>
      </c>
      <c r="AF3099" s="56">
        <v>0.35604000000000002</v>
      </c>
    </row>
    <row r="3100" spans="19:32" x14ac:dyDescent="0.35">
      <c r="S3100" s="47">
        <v>3096</v>
      </c>
      <c r="T3100" s="47" t="s">
        <v>4284</v>
      </c>
      <c r="U3100" s="47" t="s">
        <v>2718</v>
      </c>
      <c r="V3100" s="56">
        <v>434.24</v>
      </c>
      <c r="W3100" s="13"/>
      <c r="X3100" s="34">
        <v>3096</v>
      </c>
      <c r="Y3100" s="34" t="s">
        <v>2248</v>
      </c>
      <c r="Z3100" s="34" t="s">
        <v>2898</v>
      </c>
      <c r="AA3100" s="35">
        <v>4.1471774193548392E-3</v>
      </c>
      <c r="AB3100" s="13"/>
      <c r="AC3100" s="34">
        <v>3096</v>
      </c>
      <c r="AD3100" s="34" t="s">
        <v>4573</v>
      </c>
      <c r="AE3100" s="34" t="s">
        <v>2492</v>
      </c>
      <c r="AF3100" s="35">
        <v>3.1189516129032261E-2</v>
      </c>
    </row>
    <row r="3101" spans="19:32" x14ac:dyDescent="0.35">
      <c r="S3101" s="47">
        <v>3097</v>
      </c>
      <c r="T3101" s="47" t="s">
        <v>4284</v>
      </c>
      <c r="U3101" s="47" t="s">
        <v>2716</v>
      </c>
      <c r="V3101" s="56">
        <v>4968</v>
      </c>
      <c r="W3101" s="13"/>
      <c r="X3101" s="34">
        <v>3097</v>
      </c>
      <c r="Y3101" s="34" t="s">
        <v>2248</v>
      </c>
      <c r="Z3101" s="34" t="s">
        <v>4755</v>
      </c>
      <c r="AA3101" s="35">
        <v>6.8891129032258065E-5</v>
      </c>
      <c r="AB3101" s="13"/>
      <c r="AC3101" s="47">
        <v>3097</v>
      </c>
      <c r="AD3101" s="47" t="s">
        <v>4573</v>
      </c>
      <c r="AE3101" s="47" t="s">
        <v>2492</v>
      </c>
      <c r="AF3101" s="56">
        <v>6.2927999999999997</v>
      </c>
    </row>
    <row r="3102" spans="19:32" x14ac:dyDescent="0.35">
      <c r="S3102" s="47">
        <v>3098</v>
      </c>
      <c r="T3102" s="47" t="s">
        <v>4284</v>
      </c>
      <c r="U3102" s="47" t="s">
        <v>2715</v>
      </c>
      <c r="V3102" s="56">
        <v>487.59999999999997</v>
      </c>
      <c r="W3102" s="13"/>
      <c r="X3102" s="47">
        <v>3098</v>
      </c>
      <c r="Y3102" s="47" t="s">
        <v>2248</v>
      </c>
      <c r="Z3102" s="47" t="s">
        <v>2897</v>
      </c>
      <c r="AA3102" s="48">
        <v>0</v>
      </c>
      <c r="AB3102" s="13"/>
      <c r="AC3102" s="47">
        <v>3098</v>
      </c>
      <c r="AD3102" s="47" t="s">
        <v>4573</v>
      </c>
      <c r="AE3102" s="47" t="s">
        <v>2490</v>
      </c>
      <c r="AF3102" s="56">
        <v>0</v>
      </c>
    </row>
    <row r="3103" spans="19:32" x14ac:dyDescent="0.35">
      <c r="S3103" s="47">
        <v>3099</v>
      </c>
      <c r="T3103" s="47" t="s">
        <v>4284</v>
      </c>
      <c r="U3103" s="47" t="s">
        <v>2713</v>
      </c>
      <c r="V3103" s="56">
        <v>16.283999999999999</v>
      </c>
      <c r="W3103" s="13"/>
      <c r="X3103" s="34">
        <v>3099</v>
      </c>
      <c r="Y3103" s="34" t="s">
        <v>2248</v>
      </c>
      <c r="Z3103" s="34" t="s">
        <v>2897</v>
      </c>
      <c r="AA3103" s="35">
        <v>3.5645161290322587E-4</v>
      </c>
      <c r="AB3103" s="13"/>
      <c r="AC3103" s="47">
        <v>3099</v>
      </c>
      <c r="AD3103" s="47" t="s">
        <v>4573</v>
      </c>
      <c r="AE3103" s="47" t="s">
        <v>2488</v>
      </c>
      <c r="AF3103" s="56">
        <v>1.4996</v>
      </c>
    </row>
    <row r="3104" spans="19:32" x14ac:dyDescent="0.35">
      <c r="S3104" s="47">
        <v>3100</v>
      </c>
      <c r="T3104" s="47" t="s">
        <v>4284</v>
      </c>
      <c r="U3104" s="47" t="s">
        <v>2711</v>
      </c>
      <c r="V3104" s="56">
        <v>86.02</v>
      </c>
      <c r="W3104" s="13"/>
      <c r="X3104" s="34">
        <v>3100</v>
      </c>
      <c r="Y3104" s="34" t="s">
        <v>2248</v>
      </c>
      <c r="Z3104" s="34" t="s">
        <v>3256</v>
      </c>
      <c r="AA3104" s="35">
        <v>4.9354838709677424E-3</v>
      </c>
      <c r="AB3104" s="13"/>
      <c r="AC3104" s="34">
        <v>3100</v>
      </c>
      <c r="AD3104" s="34" t="s">
        <v>4573</v>
      </c>
      <c r="AE3104" s="34" t="s">
        <v>4117</v>
      </c>
      <c r="AF3104" s="35">
        <v>1.0625</v>
      </c>
    </row>
    <row r="3105" spans="19:32" x14ac:dyDescent="0.35">
      <c r="S3105" s="47">
        <v>3101</v>
      </c>
      <c r="T3105" s="47" t="s">
        <v>4284</v>
      </c>
      <c r="U3105" s="47" t="s">
        <v>2710</v>
      </c>
      <c r="V3105" s="56">
        <v>5.3267999999999995</v>
      </c>
      <c r="W3105" s="13"/>
      <c r="X3105" s="34">
        <v>3101</v>
      </c>
      <c r="Y3105" s="34" t="s">
        <v>2248</v>
      </c>
      <c r="Z3105" s="34" t="s">
        <v>4754</v>
      </c>
      <c r="AA3105" s="35">
        <v>1.3881048387096774E-4</v>
      </c>
      <c r="AB3105" s="13"/>
      <c r="AC3105" s="34">
        <v>3101</v>
      </c>
      <c r="AD3105" s="34" t="s">
        <v>4573</v>
      </c>
      <c r="AE3105" s="34" t="s">
        <v>4116</v>
      </c>
      <c r="AF3105" s="35">
        <v>6.2036290322580649</v>
      </c>
    </row>
    <row r="3106" spans="19:32" x14ac:dyDescent="0.35">
      <c r="S3106" s="34">
        <v>3102</v>
      </c>
      <c r="T3106" s="34" t="s">
        <v>4284</v>
      </c>
      <c r="U3106" s="34" t="s">
        <v>2611</v>
      </c>
      <c r="V3106" s="35">
        <v>8.3629032258064531E-3</v>
      </c>
      <c r="W3106" s="13"/>
      <c r="X3106" s="34">
        <v>3102</v>
      </c>
      <c r="Y3106" s="34" t="s">
        <v>2248</v>
      </c>
      <c r="Z3106" s="34" t="s">
        <v>3253</v>
      </c>
      <c r="AA3106" s="35">
        <v>3.2766129032258069E-2</v>
      </c>
      <c r="AB3106" s="13"/>
      <c r="AC3106" s="34">
        <v>3102</v>
      </c>
      <c r="AD3106" s="34" t="s">
        <v>4573</v>
      </c>
      <c r="AE3106" s="34" t="s">
        <v>4114</v>
      </c>
      <c r="AF3106" s="35">
        <v>0.15354838709677421</v>
      </c>
    </row>
    <row r="3107" spans="19:32" x14ac:dyDescent="0.35">
      <c r="S3107" s="47">
        <v>3103</v>
      </c>
      <c r="T3107" s="47" t="s">
        <v>4284</v>
      </c>
      <c r="U3107" s="47" t="s">
        <v>2708</v>
      </c>
      <c r="V3107" s="56">
        <v>0.30084</v>
      </c>
      <c r="W3107" s="13"/>
      <c r="X3107" s="34">
        <v>3103</v>
      </c>
      <c r="Y3107" s="34" t="s">
        <v>2248</v>
      </c>
      <c r="Z3107" s="34" t="s">
        <v>3250</v>
      </c>
      <c r="AA3107" s="35">
        <v>8.1229838709677427E-2</v>
      </c>
      <c r="AB3107" s="13"/>
      <c r="AC3107" s="34">
        <v>3103</v>
      </c>
      <c r="AD3107" s="34" t="s">
        <v>4573</v>
      </c>
      <c r="AE3107" s="34" t="s">
        <v>4113</v>
      </c>
      <c r="AF3107" s="35">
        <v>4.5927419354838711E-2</v>
      </c>
    </row>
    <row r="3108" spans="19:32" x14ac:dyDescent="0.35">
      <c r="S3108" s="47">
        <v>3104</v>
      </c>
      <c r="T3108" s="47" t="s">
        <v>4284</v>
      </c>
      <c r="U3108" s="47" t="s">
        <v>2707</v>
      </c>
      <c r="V3108" s="56">
        <v>0</v>
      </c>
      <c r="W3108" s="13"/>
      <c r="X3108" s="34">
        <v>3104</v>
      </c>
      <c r="Y3108" s="34" t="s">
        <v>2248</v>
      </c>
      <c r="Z3108" s="34" t="s">
        <v>3379</v>
      </c>
      <c r="AA3108" s="35">
        <v>3.6673387096774194E-4</v>
      </c>
      <c r="AB3108" s="13"/>
      <c r="AC3108" s="34">
        <v>3104</v>
      </c>
      <c r="AD3108" s="34" t="s">
        <v>4573</v>
      </c>
      <c r="AE3108" s="34" t="s">
        <v>2487</v>
      </c>
      <c r="AF3108" s="35">
        <v>0.15868951612903226</v>
      </c>
    </row>
    <row r="3109" spans="19:32" x14ac:dyDescent="0.35">
      <c r="S3109" s="34">
        <v>3105</v>
      </c>
      <c r="T3109" s="34" t="s">
        <v>4284</v>
      </c>
      <c r="U3109" s="34" t="s">
        <v>2608</v>
      </c>
      <c r="V3109" s="35">
        <v>9.2883064516129047E-3</v>
      </c>
      <c r="W3109" s="13"/>
      <c r="X3109" s="34">
        <v>3105</v>
      </c>
      <c r="Y3109" s="34" t="s">
        <v>2248</v>
      </c>
      <c r="Z3109" s="34" t="s">
        <v>3247</v>
      </c>
      <c r="AA3109" s="35">
        <v>5.9294354838709687E-4</v>
      </c>
      <c r="AB3109" s="13"/>
      <c r="AC3109" s="47">
        <v>3105</v>
      </c>
      <c r="AD3109" s="47" t="s">
        <v>4573</v>
      </c>
      <c r="AE3109" s="47" t="s">
        <v>2487</v>
      </c>
      <c r="AF3109" s="56">
        <v>0</v>
      </c>
    </row>
    <row r="3110" spans="19:32" x14ac:dyDescent="0.35">
      <c r="S3110" s="34">
        <v>3106</v>
      </c>
      <c r="T3110" s="34" t="s">
        <v>4284</v>
      </c>
      <c r="U3110" s="34" t="s">
        <v>2605</v>
      </c>
      <c r="V3110" s="35">
        <v>3.804435483870968E-4</v>
      </c>
      <c r="W3110" s="13"/>
      <c r="X3110" s="34">
        <v>3106</v>
      </c>
      <c r="Y3110" s="34" t="s">
        <v>2248</v>
      </c>
      <c r="Z3110" s="34" t="s">
        <v>3245</v>
      </c>
      <c r="AA3110" s="35">
        <v>1.3846774193548388</v>
      </c>
      <c r="AB3110" s="13"/>
      <c r="AC3110" s="34">
        <v>3106</v>
      </c>
      <c r="AD3110" s="34" t="s">
        <v>4573</v>
      </c>
      <c r="AE3110" s="34" t="s">
        <v>4111</v>
      </c>
      <c r="AF3110" s="35">
        <v>0.89798387096774201</v>
      </c>
    </row>
    <row r="3111" spans="19:32" x14ac:dyDescent="0.35">
      <c r="S3111" s="34">
        <v>3107</v>
      </c>
      <c r="T3111" s="34" t="s">
        <v>4284</v>
      </c>
      <c r="U3111" s="34" t="s">
        <v>2603</v>
      </c>
      <c r="V3111" s="35">
        <v>0.13435483870967743</v>
      </c>
      <c r="W3111" s="13"/>
      <c r="X3111" s="34">
        <v>3107</v>
      </c>
      <c r="Y3111" s="34" t="s">
        <v>2248</v>
      </c>
      <c r="Z3111" s="34" t="s">
        <v>3375</v>
      </c>
      <c r="AA3111" s="35">
        <v>2.0153225806451613E-4</v>
      </c>
      <c r="AB3111" s="13"/>
      <c r="AC3111" s="34">
        <v>3107</v>
      </c>
      <c r="AD3111" s="34" t="s">
        <v>4573</v>
      </c>
      <c r="AE3111" s="34" t="s">
        <v>4109</v>
      </c>
      <c r="AF3111" s="35">
        <v>2.6082661290322581E-3</v>
      </c>
    </row>
    <row r="3112" spans="19:32" x14ac:dyDescent="0.35">
      <c r="S3112" s="34">
        <v>3108</v>
      </c>
      <c r="T3112" s="34" t="s">
        <v>4284</v>
      </c>
      <c r="U3112" s="34" t="s">
        <v>2600</v>
      </c>
      <c r="V3112" s="35">
        <v>1.4977822580645162E-2</v>
      </c>
      <c r="W3112" s="13"/>
      <c r="X3112" s="34">
        <v>3108</v>
      </c>
      <c r="Y3112" s="34" t="s">
        <v>2248</v>
      </c>
      <c r="Z3112" s="34" t="s">
        <v>3242</v>
      </c>
      <c r="AA3112" s="35">
        <v>6.4435483870967749</v>
      </c>
      <c r="AB3112" s="13"/>
      <c r="AC3112" s="47">
        <v>3108</v>
      </c>
      <c r="AD3112" s="47" t="s">
        <v>4573</v>
      </c>
      <c r="AE3112" s="47" t="s">
        <v>2485</v>
      </c>
      <c r="AF3112" s="56">
        <v>0.35604000000000002</v>
      </c>
    </row>
    <row r="3113" spans="19:32" x14ac:dyDescent="0.35">
      <c r="S3113" s="34">
        <v>3109</v>
      </c>
      <c r="T3113" s="34" t="s">
        <v>4284</v>
      </c>
      <c r="U3113" s="34" t="s">
        <v>2597</v>
      </c>
      <c r="V3113" s="35">
        <v>6.7177419354838707E-5</v>
      </c>
      <c r="W3113" s="13"/>
      <c r="X3113" s="34">
        <v>3109</v>
      </c>
      <c r="Y3113" s="34" t="s">
        <v>2248</v>
      </c>
      <c r="Z3113" s="34" t="s">
        <v>3239</v>
      </c>
      <c r="AA3113" s="35">
        <v>0.25088709677419357</v>
      </c>
      <c r="AB3113" s="13"/>
      <c r="AC3113" s="34">
        <v>3109</v>
      </c>
      <c r="AD3113" s="34" t="s">
        <v>4573</v>
      </c>
      <c r="AE3113" s="34" t="s">
        <v>4108</v>
      </c>
      <c r="AF3113" s="35">
        <v>7.7802419354838712E-3</v>
      </c>
    </row>
    <row r="3114" spans="19:32" x14ac:dyDescent="0.35">
      <c r="S3114" s="34">
        <v>3110</v>
      </c>
      <c r="T3114" s="34" t="s">
        <v>4284</v>
      </c>
      <c r="U3114" s="34" t="s">
        <v>2594</v>
      </c>
      <c r="V3114" s="35">
        <v>2.2004032258064517E-5</v>
      </c>
      <c r="W3114" s="13"/>
      <c r="X3114" s="34">
        <v>3110</v>
      </c>
      <c r="Y3114" s="34" t="s">
        <v>2248</v>
      </c>
      <c r="Z3114" s="34" t="s">
        <v>3236</v>
      </c>
      <c r="AA3114" s="35">
        <v>6.4435483870967749</v>
      </c>
      <c r="AB3114" s="13"/>
      <c r="AC3114" s="34">
        <v>3110</v>
      </c>
      <c r="AD3114" s="34" t="s">
        <v>4573</v>
      </c>
      <c r="AE3114" s="34" t="s">
        <v>2484</v>
      </c>
      <c r="AF3114" s="35">
        <v>0.14943548387096775</v>
      </c>
    </row>
    <row r="3115" spans="19:32" x14ac:dyDescent="0.35">
      <c r="S3115" s="34">
        <v>3111</v>
      </c>
      <c r="T3115" s="34" t="s">
        <v>4284</v>
      </c>
      <c r="U3115" s="34" t="s">
        <v>2591</v>
      </c>
      <c r="V3115" s="35">
        <v>6.2036290322580647E-3</v>
      </c>
      <c r="W3115" s="13"/>
      <c r="X3115" s="34">
        <v>3111</v>
      </c>
      <c r="Y3115" s="34" t="s">
        <v>2248</v>
      </c>
      <c r="Z3115" s="34" t="s">
        <v>4753</v>
      </c>
      <c r="AA3115" s="35">
        <v>1.1036290322580648E-3</v>
      </c>
      <c r="AB3115" s="13"/>
      <c r="AC3115" s="47">
        <v>3111</v>
      </c>
      <c r="AD3115" s="47" t="s">
        <v>4573</v>
      </c>
      <c r="AE3115" s="47" t="s">
        <v>2484</v>
      </c>
      <c r="AF3115" s="56">
        <v>6.2651999999999999E-2</v>
      </c>
    </row>
    <row r="3116" spans="19:32" x14ac:dyDescent="0.35">
      <c r="S3116" s="47">
        <v>3112</v>
      </c>
      <c r="T3116" s="47" t="s">
        <v>4284</v>
      </c>
      <c r="U3116" s="47" t="s">
        <v>2705</v>
      </c>
      <c r="V3116" s="56">
        <v>10.119999999999999</v>
      </c>
      <c r="W3116" s="13"/>
      <c r="X3116" s="34">
        <v>3112</v>
      </c>
      <c r="Y3116" s="34" t="s">
        <v>2248</v>
      </c>
      <c r="Z3116" s="34" t="s">
        <v>3234</v>
      </c>
      <c r="AA3116" s="35">
        <v>4.6955645161290331E-5</v>
      </c>
      <c r="AB3116" s="13"/>
      <c r="AC3116" s="34">
        <v>3112</v>
      </c>
      <c r="AD3116" s="34" t="s">
        <v>4573</v>
      </c>
      <c r="AE3116" s="34" t="s">
        <v>4105</v>
      </c>
      <c r="AF3116" s="35">
        <v>9.116935483870969E-3</v>
      </c>
    </row>
    <row r="3117" spans="19:32" x14ac:dyDescent="0.35">
      <c r="S3117" s="47">
        <v>3113</v>
      </c>
      <c r="T3117" s="47" t="s">
        <v>4284</v>
      </c>
      <c r="U3117" s="47" t="s">
        <v>2704</v>
      </c>
      <c r="V3117" s="56">
        <v>4.6828000000000003</v>
      </c>
      <c r="W3117" s="13"/>
      <c r="X3117" s="47">
        <v>3113</v>
      </c>
      <c r="Y3117" s="47" t="s">
        <v>2248</v>
      </c>
      <c r="Z3117" s="47" t="s">
        <v>2896</v>
      </c>
      <c r="AA3117" s="48">
        <v>0</v>
      </c>
      <c r="AB3117" s="13"/>
      <c r="AC3117" s="34">
        <v>3113</v>
      </c>
      <c r="AD3117" s="34" t="s">
        <v>4573</v>
      </c>
      <c r="AE3117" s="34" t="s">
        <v>4104</v>
      </c>
      <c r="AF3117" s="35">
        <v>2.765927419354839E-2</v>
      </c>
    </row>
    <row r="3118" spans="19:32" x14ac:dyDescent="0.35">
      <c r="S3118" s="34">
        <v>3114</v>
      </c>
      <c r="T3118" s="34" t="s">
        <v>4284</v>
      </c>
      <c r="U3118" s="34" t="s">
        <v>2589</v>
      </c>
      <c r="V3118" s="35">
        <v>1.0933467741935485E-3</v>
      </c>
      <c r="W3118" s="13"/>
      <c r="X3118" s="34">
        <v>3114</v>
      </c>
      <c r="Y3118" s="34" t="s">
        <v>2248</v>
      </c>
      <c r="Z3118" s="34" t="s">
        <v>4752</v>
      </c>
      <c r="AA3118" s="35">
        <v>9.082661290322581E-4</v>
      </c>
      <c r="AB3118" s="13"/>
      <c r="AC3118" s="34">
        <v>3114</v>
      </c>
      <c r="AD3118" s="34" t="s">
        <v>4573</v>
      </c>
      <c r="AE3118" s="34" t="s">
        <v>4103</v>
      </c>
      <c r="AF3118" s="35">
        <v>15.35483870967742</v>
      </c>
    </row>
    <row r="3119" spans="19:32" x14ac:dyDescent="0.35">
      <c r="S3119" s="57">
        <v>3115</v>
      </c>
      <c r="T3119" s="57" t="s">
        <v>4284</v>
      </c>
      <c r="U3119" s="36" t="s">
        <v>4751</v>
      </c>
      <c r="V3119" s="37">
        <v>5.35</v>
      </c>
      <c r="W3119" s="13"/>
      <c r="X3119" s="34">
        <v>3115</v>
      </c>
      <c r="Y3119" s="34" t="s">
        <v>2248</v>
      </c>
      <c r="Z3119" s="34" t="s">
        <v>2896</v>
      </c>
      <c r="AA3119" s="35">
        <v>0.35987903225806456</v>
      </c>
      <c r="AB3119" s="13"/>
      <c r="AC3119" s="34">
        <v>3115</v>
      </c>
      <c r="AD3119" s="34" t="s">
        <v>4573</v>
      </c>
      <c r="AE3119" s="34" t="s">
        <v>4102</v>
      </c>
      <c r="AF3119" s="35">
        <v>1.9090725806451614</v>
      </c>
    </row>
    <row r="3120" spans="19:32" x14ac:dyDescent="0.35">
      <c r="S3120" s="47">
        <v>3116</v>
      </c>
      <c r="T3120" s="47" t="s">
        <v>4284</v>
      </c>
      <c r="U3120" s="47" t="s">
        <v>2702</v>
      </c>
      <c r="V3120" s="56">
        <v>65.688000000000002</v>
      </c>
      <c r="W3120" s="13"/>
      <c r="X3120" s="34">
        <v>3116</v>
      </c>
      <c r="Y3120" s="34" t="s">
        <v>2248</v>
      </c>
      <c r="Z3120" s="34" t="s">
        <v>4750</v>
      </c>
      <c r="AA3120" s="35">
        <v>6.5806451612903227E-3</v>
      </c>
      <c r="AB3120" s="13"/>
      <c r="AC3120" s="34">
        <v>3116</v>
      </c>
      <c r="AD3120" s="34" t="s">
        <v>4573</v>
      </c>
      <c r="AE3120" s="34" t="s">
        <v>4101</v>
      </c>
      <c r="AF3120" s="35">
        <v>6.8548387096774199</v>
      </c>
    </row>
    <row r="3121" spans="19:32" x14ac:dyDescent="0.35">
      <c r="S3121" s="47">
        <v>3117</v>
      </c>
      <c r="T3121" s="47" t="s">
        <v>4284</v>
      </c>
      <c r="U3121" s="47" t="s">
        <v>2701</v>
      </c>
      <c r="V3121" s="56">
        <v>20.515999999999998</v>
      </c>
      <c r="W3121" s="13"/>
      <c r="X3121" s="47">
        <v>3117</v>
      </c>
      <c r="Y3121" s="47" t="s">
        <v>2248</v>
      </c>
      <c r="Z3121" s="47" t="s">
        <v>2894</v>
      </c>
      <c r="AA3121" s="48">
        <v>1.104E-4</v>
      </c>
      <c r="AB3121" s="13"/>
      <c r="AC3121" s="34">
        <v>3117</v>
      </c>
      <c r="AD3121" s="34" t="s">
        <v>4573</v>
      </c>
      <c r="AE3121" s="34" t="s">
        <v>2482</v>
      </c>
      <c r="AF3121" s="35">
        <v>44.213709677419359</v>
      </c>
    </row>
    <row r="3122" spans="19:32" x14ac:dyDescent="0.35">
      <c r="S3122" s="47">
        <v>3118</v>
      </c>
      <c r="T3122" s="47" t="s">
        <v>4284</v>
      </c>
      <c r="U3122" s="47" t="s">
        <v>2699</v>
      </c>
      <c r="V3122" s="56">
        <v>0</v>
      </c>
      <c r="W3122" s="13"/>
      <c r="X3122" s="34">
        <v>3118</v>
      </c>
      <c r="Y3122" s="34" t="s">
        <v>2248</v>
      </c>
      <c r="Z3122" s="34" t="s">
        <v>3229</v>
      </c>
      <c r="AA3122" s="35">
        <v>2.2997983870967746E-5</v>
      </c>
      <c r="AB3122" s="13"/>
      <c r="AC3122" s="47">
        <v>3118</v>
      </c>
      <c r="AD3122" s="47" t="s">
        <v>4573</v>
      </c>
      <c r="AE3122" s="47" t="s">
        <v>2482</v>
      </c>
      <c r="AF3122" s="56">
        <v>36.984000000000002</v>
      </c>
    </row>
    <row r="3123" spans="19:32" x14ac:dyDescent="0.35">
      <c r="S3123" s="47">
        <v>3119</v>
      </c>
      <c r="T3123" s="47" t="s">
        <v>4284</v>
      </c>
      <c r="U3123" s="47" t="s">
        <v>2697</v>
      </c>
      <c r="V3123" s="56">
        <v>68.724000000000004</v>
      </c>
      <c r="W3123" s="13"/>
      <c r="X3123" s="34">
        <v>3119</v>
      </c>
      <c r="Y3123" s="34" t="s">
        <v>2248</v>
      </c>
      <c r="Z3123" s="34" t="s">
        <v>3226</v>
      </c>
      <c r="AA3123" s="35">
        <v>2.268951612903226E-3</v>
      </c>
      <c r="AB3123" s="13"/>
      <c r="AC3123" s="47">
        <v>3119</v>
      </c>
      <c r="AD3123" s="47" t="s">
        <v>4573</v>
      </c>
      <c r="AE3123" s="47" t="s">
        <v>2481</v>
      </c>
      <c r="AF3123" s="56">
        <v>77.004000000000005</v>
      </c>
    </row>
    <row r="3124" spans="19:32" x14ac:dyDescent="0.35">
      <c r="S3124" s="47">
        <v>3120</v>
      </c>
      <c r="T3124" s="47" t="s">
        <v>4284</v>
      </c>
      <c r="U3124" s="47" t="s">
        <v>2696</v>
      </c>
      <c r="V3124" s="56">
        <v>215.28</v>
      </c>
      <c r="W3124" s="13"/>
      <c r="X3124" s="34">
        <v>3120</v>
      </c>
      <c r="Y3124" s="34" t="s">
        <v>2248</v>
      </c>
      <c r="Z3124" s="34" t="s">
        <v>4749</v>
      </c>
      <c r="AA3124" s="35">
        <v>1.1893145161290324E-2</v>
      </c>
      <c r="AB3124" s="13"/>
      <c r="AC3124" s="34">
        <v>3120</v>
      </c>
      <c r="AD3124" s="34" t="s">
        <v>4573</v>
      </c>
      <c r="AE3124" s="34" t="s">
        <v>4099</v>
      </c>
      <c r="AF3124" s="35">
        <v>161.7741935483871</v>
      </c>
    </row>
    <row r="3125" spans="19:32" x14ac:dyDescent="0.35">
      <c r="S3125" s="47">
        <v>3121</v>
      </c>
      <c r="T3125" s="47" t="s">
        <v>4284</v>
      </c>
      <c r="U3125" s="47" t="s">
        <v>2694</v>
      </c>
      <c r="V3125" s="56">
        <v>22.263999999999999</v>
      </c>
      <c r="W3125" s="13"/>
      <c r="X3125" s="34">
        <v>3121</v>
      </c>
      <c r="Y3125" s="34" t="s">
        <v>2248</v>
      </c>
      <c r="Z3125" s="34" t="s">
        <v>3223</v>
      </c>
      <c r="AA3125" s="35">
        <v>9.0826612903225826E-6</v>
      </c>
      <c r="AB3125" s="13"/>
      <c r="AC3125" s="34">
        <v>3121</v>
      </c>
      <c r="AD3125" s="34" t="s">
        <v>4573</v>
      </c>
      <c r="AE3125" s="34" t="s">
        <v>4097</v>
      </c>
      <c r="AF3125" s="35">
        <v>1.6211693548387098</v>
      </c>
    </row>
    <row r="3126" spans="19:32" x14ac:dyDescent="0.35">
      <c r="S3126" s="47">
        <v>3122</v>
      </c>
      <c r="T3126" s="47" t="s">
        <v>4284</v>
      </c>
      <c r="U3126" s="47" t="s">
        <v>2693</v>
      </c>
      <c r="V3126" s="56">
        <v>21.527999999999999</v>
      </c>
      <c r="W3126" s="13"/>
      <c r="X3126" s="47">
        <v>3122</v>
      </c>
      <c r="Y3126" s="47" t="s">
        <v>2248</v>
      </c>
      <c r="Z3126" s="47" t="s">
        <v>2893</v>
      </c>
      <c r="AA3126" s="48">
        <v>0</v>
      </c>
      <c r="AB3126" s="13"/>
      <c r="AC3126" s="34">
        <v>3122</v>
      </c>
      <c r="AD3126" s="34" t="s">
        <v>4573</v>
      </c>
      <c r="AE3126" s="34" t="s">
        <v>4096</v>
      </c>
      <c r="AF3126" s="35">
        <v>13.743951612903228</v>
      </c>
    </row>
    <row r="3127" spans="19:32" x14ac:dyDescent="0.35">
      <c r="S3127" s="34">
        <v>3123</v>
      </c>
      <c r="T3127" s="34" t="s">
        <v>4284</v>
      </c>
      <c r="U3127" s="34" t="s">
        <v>2586</v>
      </c>
      <c r="V3127" s="35">
        <v>1.5080645161290324E-5</v>
      </c>
      <c r="W3127" s="13"/>
      <c r="X3127" s="34">
        <v>3123</v>
      </c>
      <c r="Y3127" s="34" t="s">
        <v>2248</v>
      </c>
      <c r="Z3127" s="34" t="s">
        <v>4748</v>
      </c>
      <c r="AA3127" s="35">
        <v>2.4643145161290324E-4</v>
      </c>
      <c r="AB3127" s="13"/>
      <c r="AC3127" s="34">
        <v>3123</v>
      </c>
      <c r="AD3127" s="34" t="s">
        <v>4573</v>
      </c>
      <c r="AE3127" s="34" t="s">
        <v>4094</v>
      </c>
      <c r="AF3127" s="35">
        <v>24.266129032258068</v>
      </c>
    </row>
    <row r="3128" spans="19:32" x14ac:dyDescent="0.35">
      <c r="S3128" s="47">
        <v>3124</v>
      </c>
      <c r="T3128" s="47" t="s">
        <v>4284</v>
      </c>
      <c r="U3128" s="47" t="s">
        <v>2586</v>
      </c>
      <c r="V3128" s="56">
        <v>549.24</v>
      </c>
      <c r="W3128" s="13"/>
      <c r="X3128" s="34">
        <v>3124</v>
      </c>
      <c r="Y3128" s="34" t="s">
        <v>2248</v>
      </c>
      <c r="Z3128" s="34" t="s">
        <v>2893</v>
      </c>
      <c r="AA3128" s="35">
        <v>2.3580645161290324E-4</v>
      </c>
      <c r="AB3128" s="13"/>
      <c r="AC3128" s="34">
        <v>3124</v>
      </c>
      <c r="AD3128" s="34" t="s">
        <v>4573</v>
      </c>
      <c r="AE3128" s="34" t="s">
        <v>4093</v>
      </c>
      <c r="AF3128" s="35">
        <v>0.68891129032258069</v>
      </c>
    </row>
    <row r="3129" spans="19:32" x14ac:dyDescent="0.35">
      <c r="S3129" s="34">
        <v>3125</v>
      </c>
      <c r="T3129" s="34" t="s">
        <v>4284</v>
      </c>
      <c r="U3129" s="34" t="s">
        <v>2583</v>
      </c>
      <c r="V3129" s="35">
        <v>5.1754032258064519E-5</v>
      </c>
      <c r="W3129" s="13"/>
      <c r="X3129" s="34">
        <v>3125</v>
      </c>
      <c r="Y3129" s="34" t="s">
        <v>2248</v>
      </c>
      <c r="Z3129" s="34" t="s">
        <v>3219</v>
      </c>
      <c r="AA3129" s="35">
        <v>1.0590725806451613E-4</v>
      </c>
      <c r="AB3129" s="13"/>
      <c r="AC3129" s="34">
        <v>3125</v>
      </c>
      <c r="AD3129" s="34" t="s">
        <v>4573</v>
      </c>
      <c r="AE3129" s="34" t="s">
        <v>4092</v>
      </c>
      <c r="AF3129" s="35">
        <v>0.16725806451612904</v>
      </c>
    </row>
    <row r="3130" spans="19:32" x14ac:dyDescent="0.35">
      <c r="S3130" s="47">
        <v>3126</v>
      </c>
      <c r="T3130" s="47" t="s">
        <v>4284</v>
      </c>
      <c r="U3130" s="47" t="s">
        <v>2583</v>
      </c>
      <c r="V3130" s="56">
        <v>243.79999999999998</v>
      </c>
      <c r="W3130" s="13"/>
      <c r="X3130" s="34">
        <v>3126</v>
      </c>
      <c r="Y3130" s="34" t="s">
        <v>2248</v>
      </c>
      <c r="Z3130" s="34" t="s">
        <v>4747</v>
      </c>
      <c r="AA3130" s="35">
        <v>3.1977822580645161E-3</v>
      </c>
      <c r="AB3130" s="13"/>
      <c r="AC3130" s="34">
        <v>3126</v>
      </c>
      <c r="AD3130" s="34" t="s">
        <v>4573</v>
      </c>
      <c r="AE3130" s="34" t="s">
        <v>2479</v>
      </c>
      <c r="AF3130" s="35">
        <v>1.9296370967741936E-3</v>
      </c>
    </row>
    <row r="3131" spans="19:32" x14ac:dyDescent="0.35">
      <c r="S3131" s="34">
        <v>3127</v>
      </c>
      <c r="T3131" s="34" t="s">
        <v>4284</v>
      </c>
      <c r="U3131" s="34" t="s">
        <v>2580</v>
      </c>
      <c r="V3131" s="35">
        <v>1.5903225806451614E-3</v>
      </c>
      <c r="W3131" s="13"/>
      <c r="X3131" s="34">
        <v>3127</v>
      </c>
      <c r="Y3131" s="34" t="s">
        <v>2248</v>
      </c>
      <c r="Z3131" s="34" t="s">
        <v>3216</v>
      </c>
      <c r="AA3131" s="35">
        <v>3.4959677419354839E-4</v>
      </c>
      <c r="AB3131" s="13"/>
      <c r="AC3131" s="47">
        <v>3127</v>
      </c>
      <c r="AD3131" s="47" t="s">
        <v>4573</v>
      </c>
      <c r="AE3131" s="47" t="s">
        <v>2479</v>
      </c>
      <c r="AF3131" s="56">
        <v>2.0148000000000001</v>
      </c>
    </row>
    <row r="3132" spans="19:32" x14ac:dyDescent="0.35">
      <c r="S3132" s="47">
        <v>3128</v>
      </c>
      <c r="T3132" s="47" t="s">
        <v>4284</v>
      </c>
      <c r="U3132" s="47" t="s">
        <v>2580</v>
      </c>
      <c r="V3132" s="56">
        <v>0.32383999999999996</v>
      </c>
      <c r="W3132" s="13"/>
      <c r="X3132" s="34">
        <v>3128</v>
      </c>
      <c r="Y3132" s="34" t="s">
        <v>2248</v>
      </c>
      <c r="Z3132" s="34" t="s">
        <v>3213</v>
      </c>
      <c r="AA3132" s="35">
        <v>4.1129032258064518E-5</v>
      </c>
      <c r="AB3132" s="13"/>
      <c r="AC3132" s="47">
        <v>3128</v>
      </c>
      <c r="AD3132" s="47" t="s">
        <v>4573</v>
      </c>
      <c r="AE3132" s="47" t="s">
        <v>2477</v>
      </c>
      <c r="AF3132" s="56">
        <v>0.62744</v>
      </c>
    </row>
    <row r="3133" spans="19:32" x14ac:dyDescent="0.35">
      <c r="S3133" s="47">
        <v>3129</v>
      </c>
      <c r="T3133" s="47" t="s">
        <v>4284</v>
      </c>
      <c r="U3133" s="47" t="s">
        <v>2689</v>
      </c>
      <c r="V3133" s="56">
        <v>72.587999999999994</v>
      </c>
      <c r="W3133" s="13"/>
      <c r="X3133" s="34">
        <v>3129</v>
      </c>
      <c r="Y3133" s="34" t="s">
        <v>2248</v>
      </c>
      <c r="Z3133" s="34" t="s">
        <v>3211</v>
      </c>
      <c r="AA3133" s="35">
        <v>9.2197580645161301E-2</v>
      </c>
      <c r="AB3133" s="13"/>
      <c r="AC3133" s="34">
        <v>3129</v>
      </c>
      <c r="AD3133" s="34" t="s">
        <v>4573</v>
      </c>
      <c r="AE3133" s="34" t="s">
        <v>4089</v>
      </c>
      <c r="AF3133" s="35">
        <v>6.6834677419354846E-4</v>
      </c>
    </row>
    <row r="3134" spans="19:32" x14ac:dyDescent="0.35">
      <c r="S3134" s="47">
        <v>3130</v>
      </c>
      <c r="T3134" s="47" t="s">
        <v>4284</v>
      </c>
      <c r="U3134" s="47" t="s">
        <v>2688</v>
      </c>
      <c r="V3134" s="56">
        <v>0.67068000000000005</v>
      </c>
      <c r="W3134" s="13"/>
      <c r="X3134" s="34">
        <v>3130</v>
      </c>
      <c r="Y3134" s="34" t="s">
        <v>2248</v>
      </c>
      <c r="Z3134" s="34" t="s">
        <v>4746</v>
      </c>
      <c r="AA3134" s="35">
        <v>6.6491935483870967E-4</v>
      </c>
      <c r="AB3134" s="13"/>
      <c r="AC3134" s="47">
        <v>3130</v>
      </c>
      <c r="AD3134" s="47" t="s">
        <v>4573</v>
      </c>
      <c r="AE3134" s="47" t="s">
        <v>2476</v>
      </c>
      <c r="AF3134" s="56">
        <v>1205.2</v>
      </c>
    </row>
    <row r="3135" spans="19:32" x14ac:dyDescent="0.35">
      <c r="S3135" s="47">
        <v>3131</v>
      </c>
      <c r="T3135" s="47" t="s">
        <v>4284</v>
      </c>
      <c r="U3135" s="47" t="s">
        <v>2686</v>
      </c>
      <c r="V3135" s="56">
        <v>59.8</v>
      </c>
      <c r="W3135" s="13"/>
      <c r="X3135" s="34">
        <v>3131</v>
      </c>
      <c r="Y3135" s="34" t="s">
        <v>2248</v>
      </c>
      <c r="Z3135" s="34" t="s">
        <v>3208</v>
      </c>
      <c r="AA3135" s="35">
        <v>0.79858870967741946</v>
      </c>
      <c r="AB3135" s="13"/>
      <c r="AC3135" s="34">
        <v>3131</v>
      </c>
      <c r="AD3135" s="34" t="s">
        <v>4573</v>
      </c>
      <c r="AE3135" s="34" t="s">
        <v>4087</v>
      </c>
      <c r="AF3135" s="35">
        <v>1.9947580645161291E-3</v>
      </c>
    </row>
    <row r="3136" spans="19:32" x14ac:dyDescent="0.35">
      <c r="S3136" s="47">
        <v>3132</v>
      </c>
      <c r="T3136" s="47" t="s">
        <v>4284</v>
      </c>
      <c r="U3136" s="47" t="s">
        <v>2685</v>
      </c>
      <c r="V3136" s="56">
        <v>163.76</v>
      </c>
      <c r="W3136" s="13"/>
      <c r="X3136" s="34">
        <v>3132</v>
      </c>
      <c r="Y3136" s="34" t="s">
        <v>2248</v>
      </c>
      <c r="Z3136" s="34" t="s">
        <v>3205</v>
      </c>
      <c r="AA3136" s="35">
        <v>6.4092741935483878E-3</v>
      </c>
      <c r="AB3136" s="13"/>
      <c r="AC3136" s="34">
        <v>3132</v>
      </c>
      <c r="AD3136" s="34" t="s">
        <v>4573</v>
      </c>
      <c r="AE3136" s="34" t="s">
        <v>4086</v>
      </c>
      <c r="AF3136" s="35">
        <v>1.5766129032258065</v>
      </c>
    </row>
    <row r="3137" spans="19:32" x14ac:dyDescent="0.35">
      <c r="S3137" s="47">
        <v>3133</v>
      </c>
      <c r="T3137" s="47" t="s">
        <v>4284</v>
      </c>
      <c r="U3137" s="47" t="s">
        <v>2683</v>
      </c>
      <c r="V3137" s="56">
        <v>37.167999999999999</v>
      </c>
      <c r="W3137" s="13"/>
      <c r="X3137" s="34">
        <v>3133</v>
      </c>
      <c r="Y3137" s="34" t="s">
        <v>2248</v>
      </c>
      <c r="Z3137" s="34" t="s">
        <v>4745</v>
      </c>
      <c r="AA3137" s="35">
        <v>2.5774193548387095E-4</v>
      </c>
      <c r="AB3137" s="13"/>
      <c r="AC3137" s="34">
        <v>3133</v>
      </c>
      <c r="AD3137" s="34" t="s">
        <v>4573</v>
      </c>
      <c r="AE3137" s="34" t="s">
        <v>4084</v>
      </c>
      <c r="AF3137" s="35">
        <v>1.6177419354838711</v>
      </c>
    </row>
    <row r="3138" spans="19:32" x14ac:dyDescent="0.35">
      <c r="S3138" s="47">
        <v>3134</v>
      </c>
      <c r="T3138" s="47" t="s">
        <v>4284</v>
      </c>
      <c r="U3138" s="47" t="s">
        <v>2682</v>
      </c>
      <c r="V3138" s="56">
        <v>7.1484000000000005</v>
      </c>
      <c r="W3138" s="13"/>
      <c r="X3138" s="47">
        <v>3134</v>
      </c>
      <c r="Y3138" s="47" t="s">
        <v>2248</v>
      </c>
      <c r="Z3138" s="47" t="s">
        <v>2891</v>
      </c>
      <c r="AA3138" s="48">
        <v>0</v>
      </c>
      <c r="AB3138" s="13"/>
      <c r="AC3138" s="47">
        <v>3134</v>
      </c>
      <c r="AD3138" s="47" t="s">
        <v>4573</v>
      </c>
      <c r="AE3138" s="47" t="s">
        <v>2474</v>
      </c>
      <c r="AF3138" s="56">
        <v>0.43147999999999997</v>
      </c>
    </row>
    <row r="3139" spans="19:32" x14ac:dyDescent="0.35">
      <c r="S3139" s="47">
        <v>3135</v>
      </c>
      <c r="T3139" s="47" t="s">
        <v>4284</v>
      </c>
      <c r="U3139" s="47" t="s">
        <v>2680</v>
      </c>
      <c r="V3139" s="56">
        <v>114.08</v>
      </c>
      <c r="W3139" s="13"/>
      <c r="X3139" s="34">
        <v>3135</v>
      </c>
      <c r="Y3139" s="34" t="s">
        <v>2248</v>
      </c>
      <c r="Z3139" s="34" t="s">
        <v>2891</v>
      </c>
      <c r="AA3139" s="35">
        <v>0.19125</v>
      </c>
      <c r="AB3139" s="13"/>
      <c r="AC3139" s="34">
        <v>3135</v>
      </c>
      <c r="AD3139" s="34" t="s">
        <v>4573</v>
      </c>
      <c r="AE3139" s="34" t="s">
        <v>2473</v>
      </c>
      <c r="AF3139" s="35">
        <v>0.20393145161290324</v>
      </c>
    </row>
    <row r="3140" spans="19:32" x14ac:dyDescent="0.35">
      <c r="S3140" s="34">
        <v>3136</v>
      </c>
      <c r="T3140" s="34" t="s">
        <v>4284</v>
      </c>
      <c r="U3140" s="34" t="s">
        <v>2578</v>
      </c>
      <c r="V3140" s="35">
        <v>9.0483870967741941E-4</v>
      </c>
      <c r="W3140" s="13"/>
      <c r="X3140" s="34">
        <v>3136</v>
      </c>
      <c r="Y3140" s="34" t="s">
        <v>2248</v>
      </c>
      <c r="Z3140" s="34" t="s">
        <v>4744</v>
      </c>
      <c r="AA3140" s="35">
        <v>3.2046370967741939E-3</v>
      </c>
      <c r="AB3140" s="13"/>
      <c r="AC3140" s="47">
        <v>3136</v>
      </c>
      <c r="AD3140" s="47" t="s">
        <v>4573</v>
      </c>
      <c r="AE3140" s="47" t="s">
        <v>2473</v>
      </c>
      <c r="AF3140" s="56">
        <v>0</v>
      </c>
    </row>
    <row r="3141" spans="19:32" x14ac:dyDescent="0.35">
      <c r="S3141" s="47">
        <v>3137</v>
      </c>
      <c r="T3141" s="47" t="s">
        <v>4284</v>
      </c>
      <c r="U3141" s="47" t="s">
        <v>2578</v>
      </c>
      <c r="V3141" s="56">
        <v>440.68</v>
      </c>
      <c r="W3141" s="13"/>
      <c r="X3141" s="47">
        <v>3137</v>
      </c>
      <c r="Y3141" s="47" t="s">
        <v>2248</v>
      </c>
      <c r="Z3141" s="47" t="s">
        <v>2890</v>
      </c>
      <c r="AA3141" s="48">
        <v>0.40848000000000001</v>
      </c>
      <c r="AB3141" s="13"/>
      <c r="AC3141" s="34">
        <v>3137</v>
      </c>
      <c r="AD3141" s="34" t="s">
        <v>4573</v>
      </c>
      <c r="AE3141" s="34" t="s">
        <v>4082</v>
      </c>
      <c r="AF3141" s="35">
        <v>0.11687500000000001</v>
      </c>
    </row>
    <row r="3142" spans="19:32" x14ac:dyDescent="0.35">
      <c r="S3142" s="47">
        <v>3138</v>
      </c>
      <c r="T3142" s="47" t="s">
        <v>4284</v>
      </c>
      <c r="U3142" s="47" t="s">
        <v>2678</v>
      </c>
      <c r="V3142" s="56">
        <v>2.5023999999999997</v>
      </c>
      <c r="W3142" s="13"/>
      <c r="X3142" s="47">
        <v>3138</v>
      </c>
      <c r="Y3142" s="47" t="s">
        <v>2248</v>
      </c>
      <c r="Z3142" s="47" t="s">
        <v>2888</v>
      </c>
      <c r="AA3142" s="48">
        <v>1.7756000000000001</v>
      </c>
      <c r="AB3142" s="13"/>
      <c r="AC3142" s="34">
        <v>3138</v>
      </c>
      <c r="AD3142" s="34" t="s">
        <v>4573</v>
      </c>
      <c r="AE3142" s="34" t="s">
        <v>4080</v>
      </c>
      <c r="AF3142" s="35">
        <v>0.25774193548387098</v>
      </c>
    </row>
    <row r="3143" spans="19:32" x14ac:dyDescent="0.35">
      <c r="S3143" s="47">
        <v>3139</v>
      </c>
      <c r="T3143" s="47" t="s">
        <v>4284</v>
      </c>
      <c r="U3143" s="47" t="s">
        <v>2676</v>
      </c>
      <c r="V3143" s="56">
        <v>22.263999999999999</v>
      </c>
      <c r="W3143" s="13"/>
      <c r="X3143" s="34">
        <v>3139</v>
      </c>
      <c r="Y3143" s="34" t="s">
        <v>2248</v>
      </c>
      <c r="Z3143" s="34" t="s">
        <v>2888</v>
      </c>
      <c r="AA3143" s="35">
        <v>4.4213709677419358E-4</v>
      </c>
      <c r="AB3143" s="13"/>
      <c r="AC3143" s="34">
        <v>3139</v>
      </c>
      <c r="AD3143" s="34" t="s">
        <v>4573</v>
      </c>
      <c r="AE3143" s="34" t="s">
        <v>4079</v>
      </c>
      <c r="AF3143" s="35">
        <v>6.5120967741935489</v>
      </c>
    </row>
    <row r="3144" spans="19:32" x14ac:dyDescent="0.35">
      <c r="S3144" s="47">
        <v>3140</v>
      </c>
      <c r="T3144" s="47" t="s">
        <v>4284</v>
      </c>
      <c r="U3144" s="47" t="s">
        <v>2675</v>
      </c>
      <c r="V3144" s="56">
        <v>5.2164000000000001</v>
      </c>
      <c r="W3144" s="13"/>
      <c r="X3144" s="34">
        <v>3140</v>
      </c>
      <c r="Y3144" s="34" t="s">
        <v>2248</v>
      </c>
      <c r="Z3144" s="34" t="s">
        <v>4743</v>
      </c>
      <c r="AA3144" s="35">
        <v>2.196975806451613E-4</v>
      </c>
      <c r="AB3144" s="13"/>
      <c r="AC3144" s="34">
        <v>3140</v>
      </c>
      <c r="AD3144" s="34" t="s">
        <v>4573</v>
      </c>
      <c r="AE3144" s="34" t="s">
        <v>4077</v>
      </c>
      <c r="AF3144" s="35">
        <v>0.13024193548387097</v>
      </c>
    </row>
    <row r="3145" spans="19:32" x14ac:dyDescent="0.35">
      <c r="S3145" s="34">
        <v>3141</v>
      </c>
      <c r="T3145" s="34" t="s">
        <v>4284</v>
      </c>
      <c r="U3145" s="34" t="s">
        <v>2575</v>
      </c>
      <c r="V3145" s="35">
        <v>2.875604838709678E-3</v>
      </c>
      <c r="W3145" s="13"/>
      <c r="X3145" s="47">
        <v>3141</v>
      </c>
      <c r="Y3145" s="47" t="s">
        <v>2248</v>
      </c>
      <c r="Z3145" s="47" t="s">
        <v>2887</v>
      </c>
      <c r="AA3145" s="48">
        <v>0</v>
      </c>
      <c r="AB3145" s="13"/>
      <c r="AC3145" s="34">
        <v>3141</v>
      </c>
      <c r="AD3145" s="34" t="s">
        <v>4573</v>
      </c>
      <c r="AE3145" s="34" t="s">
        <v>4076</v>
      </c>
      <c r="AF3145" s="35">
        <v>3.9415322580645167E-2</v>
      </c>
    </row>
    <row r="3146" spans="19:32" x14ac:dyDescent="0.35">
      <c r="S3146" s="34">
        <v>3142</v>
      </c>
      <c r="T3146" s="34" t="s">
        <v>4284</v>
      </c>
      <c r="U3146" s="34" t="s">
        <v>2572</v>
      </c>
      <c r="V3146" s="35">
        <v>1.5731854838709678E-2</v>
      </c>
      <c r="W3146" s="13"/>
      <c r="X3146" s="34">
        <v>3142</v>
      </c>
      <c r="Y3146" s="34" t="s">
        <v>2248</v>
      </c>
      <c r="Z3146" s="34" t="s">
        <v>2887</v>
      </c>
      <c r="AA3146" s="35">
        <v>3.417137096774194E-5</v>
      </c>
      <c r="AB3146" s="13"/>
      <c r="AC3146" s="34">
        <v>3142</v>
      </c>
      <c r="AD3146" s="34" t="s">
        <v>4573</v>
      </c>
      <c r="AE3146" s="34" t="s">
        <v>4075</v>
      </c>
      <c r="AF3146" s="35">
        <v>1.5080645161290325E-3</v>
      </c>
    </row>
    <row r="3147" spans="19:32" x14ac:dyDescent="0.35">
      <c r="S3147" s="57">
        <v>3143</v>
      </c>
      <c r="T3147" s="57" t="s">
        <v>4284</v>
      </c>
      <c r="U3147" s="36" t="s">
        <v>2569</v>
      </c>
      <c r="V3147" s="37">
        <v>4.0927499999999997</v>
      </c>
      <c r="W3147" s="13"/>
      <c r="X3147" s="34">
        <v>3143</v>
      </c>
      <c r="Y3147" s="34" t="s">
        <v>2248</v>
      </c>
      <c r="Z3147" s="34" t="s">
        <v>3372</v>
      </c>
      <c r="AA3147" s="35">
        <v>4.0443548387096772E-5</v>
      </c>
      <c r="AB3147" s="13"/>
      <c r="AC3147" s="47">
        <v>3143</v>
      </c>
      <c r="AD3147" s="47" t="s">
        <v>4573</v>
      </c>
      <c r="AE3147" s="47" t="s">
        <v>2471</v>
      </c>
      <c r="AF3147" s="56">
        <v>225.4</v>
      </c>
    </row>
    <row r="3148" spans="19:32" x14ac:dyDescent="0.35">
      <c r="S3148" s="34">
        <v>3144</v>
      </c>
      <c r="T3148" s="34" t="s">
        <v>4284</v>
      </c>
      <c r="U3148" s="34" t="s">
        <v>2569</v>
      </c>
      <c r="V3148" s="35">
        <v>6.3750000000000005E-5</v>
      </c>
      <c r="W3148" s="13"/>
      <c r="X3148" s="34">
        <v>3144</v>
      </c>
      <c r="Y3148" s="34" t="s">
        <v>2248</v>
      </c>
      <c r="Z3148" s="34" t="s">
        <v>3197</v>
      </c>
      <c r="AA3148" s="35">
        <v>5.2439516129032266E-4</v>
      </c>
      <c r="AB3148" s="13"/>
      <c r="AC3148" s="34">
        <v>3144</v>
      </c>
      <c r="AD3148" s="34" t="s">
        <v>4573</v>
      </c>
      <c r="AE3148" s="34" t="s">
        <v>4073</v>
      </c>
      <c r="AF3148" s="35">
        <v>2.3717741935483875E-3</v>
      </c>
    </row>
    <row r="3149" spans="19:32" x14ac:dyDescent="0.35">
      <c r="S3149" s="34">
        <v>3145</v>
      </c>
      <c r="T3149" s="34" t="s">
        <v>4284</v>
      </c>
      <c r="U3149" s="34" t="s">
        <v>2566</v>
      </c>
      <c r="V3149" s="35">
        <v>5.8951612903225814E-3</v>
      </c>
      <c r="W3149" s="13"/>
      <c r="X3149" s="34">
        <v>3145</v>
      </c>
      <c r="Y3149" s="34" t="s">
        <v>2248</v>
      </c>
      <c r="Z3149" s="34" t="s">
        <v>3194</v>
      </c>
      <c r="AA3149" s="35">
        <v>3.0778225806451617E-5</v>
      </c>
      <c r="AB3149" s="13"/>
      <c r="AC3149" s="47">
        <v>3145</v>
      </c>
      <c r="AD3149" s="47" t="s">
        <v>4573</v>
      </c>
      <c r="AE3149" s="47" t="s">
        <v>2470</v>
      </c>
      <c r="AF3149" s="56">
        <v>4.0939999999999994</v>
      </c>
    </row>
    <row r="3150" spans="19:32" x14ac:dyDescent="0.35">
      <c r="S3150" s="36">
        <v>3146</v>
      </c>
      <c r="T3150" s="36" t="s">
        <v>4284</v>
      </c>
      <c r="U3150" s="36" t="s">
        <v>4742</v>
      </c>
      <c r="V3150" s="37">
        <v>3.7396499999999997</v>
      </c>
      <c r="W3150" s="13"/>
      <c r="X3150" s="34">
        <v>3146</v>
      </c>
      <c r="Y3150" s="34" t="s">
        <v>2248</v>
      </c>
      <c r="Z3150" s="34" t="s">
        <v>4741</v>
      </c>
      <c r="AA3150" s="35">
        <v>4.4213709677419358E-4</v>
      </c>
      <c r="AB3150" s="13"/>
      <c r="AC3150" s="34">
        <v>3146</v>
      </c>
      <c r="AD3150" s="34" t="s">
        <v>4573</v>
      </c>
      <c r="AE3150" s="34" t="s">
        <v>4071</v>
      </c>
      <c r="AF3150" s="35">
        <v>2.1866935483870968E-2</v>
      </c>
    </row>
    <row r="3151" spans="19:32" x14ac:dyDescent="0.35">
      <c r="S3151" s="34">
        <v>3147</v>
      </c>
      <c r="T3151" s="34" t="s">
        <v>4284</v>
      </c>
      <c r="U3151" s="34" t="s">
        <v>2564</v>
      </c>
      <c r="V3151" s="35">
        <v>2.7967741935483876E-4</v>
      </c>
      <c r="W3151" s="13"/>
      <c r="X3151" s="34">
        <v>3147</v>
      </c>
      <c r="Y3151" s="34" t="s">
        <v>2248</v>
      </c>
      <c r="Z3151" s="34" t="s">
        <v>3191</v>
      </c>
      <c r="AA3151" s="35">
        <v>1.2715725806451613E-4</v>
      </c>
      <c r="AB3151" s="13"/>
      <c r="AC3151" s="34">
        <v>3147</v>
      </c>
      <c r="AD3151" s="34" t="s">
        <v>4573</v>
      </c>
      <c r="AE3151" s="34" t="s">
        <v>4069</v>
      </c>
      <c r="AF3151" s="35">
        <v>8.1572580645161291E-2</v>
      </c>
    </row>
    <row r="3152" spans="19:32" x14ac:dyDescent="0.35">
      <c r="S3152" s="30">
        <v>3148</v>
      </c>
      <c r="T3152" s="30" t="s">
        <v>4284</v>
      </c>
      <c r="U3152" s="30" t="s">
        <v>4740</v>
      </c>
      <c r="V3152" s="31">
        <v>3.7932E-2</v>
      </c>
      <c r="W3152" s="13"/>
      <c r="X3152" s="47">
        <v>3148</v>
      </c>
      <c r="Y3152" s="47" t="s">
        <v>2248</v>
      </c>
      <c r="Z3152" s="47" t="s">
        <v>2885</v>
      </c>
      <c r="AA3152" s="48">
        <v>7.9304000000000006E-3</v>
      </c>
      <c r="AB3152" s="13"/>
      <c r="AC3152" s="34">
        <v>3148</v>
      </c>
      <c r="AD3152" s="34" t="s">
        <v>4573</v>
      </c>
      <c r="AE3152" s="34" t="s">
        <v>4068</v>
      </c>
      <c r="AF3152" s="35">
        <v>2.1524193548387101</v>
      </c>
    </row>
    <row r="3153" spans="19:32" x14ac:dyDescent="0.35">
      <c r="S3153" s="34">
        <v>3149</v>
      </c>
      <c r="T3153" s="34" t="s">
        <v>4284</v>
      </c>
      <c r="U3153" s="34" t="s">
        <v>2561</v>
      </c>
      <c r="V3153" s="35">
        <v>7.2661290322580661E-5</v>
      </c>
      <c r="W3153" s="13"/>
      <c r="X3153" s="34">
        <v>3149</v>
      </c>
      <c r="Y3153" s="34" t="s">
        <v>2248</v>
      </c>
      <c r="Z3153" s="34" t="s">
        <v>2885</v>
      </c>
      <c r="AA3153" s="35">
        <v>6.7520161290322584E-4</v>
      </c>
      <c r="AB3153" s="13"/>
      <c r="AC3153" s="34">
        <v>3149</v>
      </c>
      <c r="AD3153" s="34" t="s">
        <v>4573</v>
      </c>
      <c r="AE3153" s="34" t="s">
        <v>4067</v>
      </c>
      <c r="AF3153" s="35">
        <v>0.1275</v>
      </c>
    </row>
    <row r="3154" spans="19:32" x14ac:dyDescent="0.35">
      <c r="S3154" s="34">
        <v>3150</v>
      </c>
      <c r="T3154" s="34" t="s">
        <v>4284</v>
      </c>
      <c r="U3154" s="34" t="s">
        <v>2558</v>
      </c>
      <c r="V3154" s="35">
        <v>1.6622983870967743E-3</v>
      </c>
      <c r="W3154" s="13"/>
      <c r="X3154" s="34">
        <v>3150</v>
      </c>
      <c r="Y3154" s="34" t="s">
        <v>2248</v>
      </c>
      <c r="Z3154" s="34" t="s">
        <v>4739</v>
      </c>
      <c r="AA3154" s="35">
        <v>3.5302419354838713E-3</v>
      </c>
      <c r="AB3154" s="13"/>
      <c r="AC3154" s="34">
        <v>3150</v>
      </c>
      <c r="AD3154" s="34" t="s">
        <v>4573</v>
      </c>
      <c r="AE3154" s="34" t="s">
        <v>4066</v>
      </c>
      <c r="AF3154" s="35">
        <v>1.7068548387096774E-2</v>
      </c>
    </row>
    <row r="3155" spans="19:32" x14ac:dyDescent="0.35">
      <c r="S3155" s="34">
        <v>3151</v>
      </c>
      <c r="T3155" s="34" t="s">
        <v>4284</v>
      </c>
      <c r="U3155" s="34" t="s">
        <v>2555</v>
      </c>
      <c r="V3155" s="35">
        <v>2.9235887096774197E-3</v>
      </c>
      <c r="W3155" s="13"/>
      <c r="X3155" s="34">
        <v>3151</v>
      </c>
      <c r="Y3155" s="34" t="s">
        <v>2248</v>
      </c>
      <c r="Z3155" s="34" t="s">
        <v>3187</v>
      </c>
      <c r="AA3155" s="35">
        <v>8.5685483870967749E-6</v>
      </c>
      <c r="AB3155" s="13"/>
      <c r="AC3155" s="34">
        <v>3151</v>
      </c>
      <c r="AD3155" s="34" t="s">
        <v>4573</v>
      </c>
      <c r="AE3155" s="34" t="s">
        <v>2468</v>
      </c>
      <c r="AF3155" s="35">
        <v>1.0625000000000001E-2</v>
      </c>
    </row>
    <row r="3156" spans="19:32" x14ac:dyDescent="0.35">
      <c r="S3156" s="47">
        <v>3152</v>
      </c>
      <c r="T3156" s="47" t="s">
        <v>4284</v>
      </c>
      <c r="U3156" s="47" t="s">
        <v>2673</v>
      </c>
      <c r="V3156" s="56">
        <v>0</v>
      </c>
      <c r="W3156" s="13"/>
      <c r="X3156" s="34">
        <v>3152</v>
      </c>
      <c r="Y3156" s="34" t="s">
        <v>2248</v>
      </c>
      <c r="Z3156" s="34" t="s">
        <v>3184</v>
      </c>
      <c r="AA3156" s="35">
        <v>4.1814516129032263E-9</v>
      </c>
      <c r="AB3156" s="13"/>
      <c r="AC3156" s="47">
        <v>3152</v>
      </c>
      <c r="AD3156" s="47" t="s">
        <v>4573</v>
      </c>
      <c r="AE3156" s="47" t="s">
        <v>2468</v>
      </c>
      <c r="AF3156" s="56">
        <v>34.96</v>
      </c>
    </row>
    <row r="3157" spans="19:32" x14ac:dyDescent="0.35">
      <c r="S3157" s="34">
        <v>3153</v>
      </c>
      <c r="T3157" s="34" t="s">
        <v>4284</v>
      </c>
      <c r="U3157" s="34" t="s">
        <v>2553</v>
      </c>
      <c r="V3157" s="35">
        <v>5.8266129032258071E-2</v>
      </c>
      <c r="W3157" s="13"/>
      <c r="X3157" s="34">
        <v>3153</v>
      </c>
      <c r="Y3157" s="34" t="s">
        <v>2248</v>
      </c>
      <c r="Z3157" s="34" t="s">
        <v>4738</v>
      </c>
      <c r="AA3157" s="35">
        <v>5.4153225806451621E-4</v>
      </c>
      <c r="AB3157" s="13"/>
      <c r="AC3157" s="47">
        <v>3153</v>
      </c>
      <c r="AD3157" s="47" t="s">
        <v>4573</v>
      </c>
      <c r="AE3157" s="47" t="s">
        <v>2467</v>
      </c>
      <c r="AF3157" s="56">
        <v>107.64</v>
      </c>
    </row>
    <row r="3158" spans="19:32" x14ac:dyDescent="0.35">
      <c r="S3158" s="47">
        <v>3154</v>
      </c>
      <c r="T3158" s="47" t="s">
        <v>4284</v>
      </c>
      <c r="U3158" s="47" t="s">
        <v>2672</v>
      </c>
      <c r="V3158" s="56">
        <v>0</v>
      </c>
      <c r="W3158" s="13"/>
      <c r="X3158" s="34">
        <v>3154</v>
      </c>
      <c r="Y3158" s="34" t="s">
        <v>2248</v>
      </c>
      <c r="Z3158" s="34" t="s">
        <v>3181</v>
      </c>
      <c r="AA3158" s="35">
        <v>1.0110887096774194E-2</v>
      </c>
      <c r="AB3158" s="13"/>
      <c r="AC3158" s="47">
        <v>3154</v>
      </c>
      <c r="AD3158" s="47" t="s">
        <v>4573</v>
      </c>
      <c r="AE3158" s="47" t="s">
        <v>2465</v>
      </c>
      <c r="AF3158" s="56">
        <v>678.96</v>
      </c>
    </row>
    <row r="3159" spans="19:32" x14ac:dyDescent="0.35">
      <c r="S3159" s="34">
        <v>3155</v>
      </c>
      <c r="T3159" s="34" t="s">
        <v>4284</v>
      </c>
      <c r="U3159" s="34" t="s">
        <v>2550</v>
      </c>
      <c r="V3159" s="35">
        <v>3.4616935483870972E-5</v>
      </c>
      <c r="W3159" s="13"/>
      <c r="X3159" s="47">
        <v>3155</v>
      </c>
      <c r="Y3159" s="47" t="s">
        <v>2248</v>
      </c>
      <c r="Z3159" s="47" t="s">
        <v>2884</v>
      </c>
      <c r="AA3159" s="48">
        <v>1.4628E-3</v>
      </c>
      <c r="AB3159" s="13"/>
      <c r="AC3159" s="34">
        <v>3155</v>
      </c>
      <c r="AD3159" s="34" t="s">
        <v>4573</v>
      </c>
      <c r="AE3159" s="34" t="s">
        <v>4063</v>
      </c>
      <c r="AF3159" s="35">
        <v>1.7239919354838711</v>
      </c>
    </row>
    <row r="3160" spans="19:32" x14ac:dyDescent="0.35">
      <c r="S3160" s="34">
        <v>3156</v>
      </c>
      <c r="T3160" s="34" t="s">
        <v>4284</v>
      </c>
      <c r="U3160" s="34" t="s">
        <v>2547</v>
      </c>
      <c r="V3160" s="35">
        <v>2.4026209677419356E-2</v>
      </c>
      <c r="W3160" s="13"/>
      <c r="X3160" s="34">
        <v>3156</v>
      </c>
      <c r="Y3160" s="34" t="s">
        <v>2248</v>
      </c>
      <c r="Z3160" s="34" t="s">
        <v>4737</v>
      </c>
      <c r="AA3160" s="35">
        <v>5.175403225806452E-2</v>
      </c>
      <c r="AB3160" s="13"/>
      <c r="AC3160" s="34">
        <v>3156</v>
      </c>
      <c r="AD3160" s="34" t="s">
        <v>4573</v>
      </c>
      <c r="AE3160" s="34" t="s">
        <v>2463</v>
      </c>
      <c r="AF3160" s="35">
        <v>1.9536290322580647</v>
      </c>
    </row>
    <row r="3161" spans="19:32" x14ac:dyDescent="0.35">
      <c r="S3161" s="47">
        <v>3157</v>
      </c>
      <c r="T3161" s="47" t="s">
        <v>4284</v>
      </c>
      <c r="U3161" s="47" t="s">
        <v>2547</v>
      </c>
      <c r="V3161" s="56">
        <v>0</v>
      </c>
      <c r="W3161" s="13"/>
      <c r="X3161" s="34">
        <v>3157</v>
      </c>
      <c r="Y3161" s="34" t="s">
        <v>2248</v>
      </c>
      <c r="Z3161" s="34" t="s">
        <v>2884</v>
      </c>
      <c r="AA3161" s="35">
        <v>2.704233870967742E-6</v>
      </c>
      <c r="AB3161" s="13"/>
      <c r="AC3161" s="47">
        <v>3157</v>
      </c>
      <c r="AD3161" s="47" t="s">
        <v>4573</v>
      </c>
      <c r="AE3161" s="47" t="s">
        <v>2463</v>
      </c>
      <c r="AF3161" s="56">
        <v>4.1584000000000003</v>
      </c>
    </row>
    <row r="3162" spans="19:32" x14ac:dyDescent="0.35">
      <c r="S3162" s="34">
        <v>3158</v>
      </c>
      <c r="T3162" s="34" t="s">
        <v>4284</v>
      </c>
      <c r="U3162" s="34" t="s">
        <v>2544</v>
      </c>
      <c r="V3162" s="35">
        <v>4.5927419354838714E-4</v>
      </c>
      <c r="W3162" s="13"/>
      <c r="X3162" s="34">
        <v>3158</v>
      </c>
      <c r="Y3162" s="34" t="s">
        <v>2248</v>
      </c>
      <c r="Z3162" s="34" t="s">
        <v>3177</v>
      </c>
      <c r="AA3162" s="35">
        <v>5.3125000000000004E-3</v>
      </c>
      <c r="AB3162" s="13"/>
      <c r="AC3162" s="47">
        <v>3158</v>
      </c>
      <c r="AD3162" s="47" t="s">
        <v>4573</v>
      </c>
      <c r="AE3162" s="47" t="s">
        <v>2462</v>
      </c>
      <c r="AF3162" s="56">
        <v>1.8491999999999997</v>
      </c>
    </row>
    <row r="3163" spans="19:32" x14ac:dyDescent="0.35">
      <c r="S3163" s="47">
        <v>3159</v>
      </c>
      <c r="T3163" s="47" t="s">
        <v>4284</v>
      </c>
      <c r="U3163" s="47" t="s">
        <v>2544</v>
      </c>
      <c r="V3163" s="56">
        <v>0</v>
      </c>
      <c r="W3163" s="13"/>
      <c r="X3163" s="34">
        <v>3159</v>
      </c>
      <c r="Y3163" s="34" t="s">
        <v>2248</v>
      </c>
      <c r="Z3163" s="34" t="s">
        <v>3174</v>
      </c>
      <c r="AA3163" s="35">
        <v>9.9395161290322586E-4</v>
      </c>
      <c r="AB3163" s="13"/>
      <c r="AC3163" s="47">
        <v>3159</v>
      </c>
      <c r="AD3163" s="47" t="s">
        <v>4573</v>
      </c>
      <c r="AE3163" s="47" t="s">
        <v>2460</v>
      </c>
      <c r="AF3163" s="56">
        <v>2.1896</v>
      </c>
    </row>
    <row r="3164" spans="19:32" x14ac:dyDescent="0.35">
      <c r="S3164" s="57">
        <v>3160</v>
      </c>
      <c r="T3164" s="57" t="s">
        <v>4284</v>
      </c>
      <c r="U3164" s="57" t="s">
        <v>2541</v>
      </c>
      <c r="V3164" s="66">
        <v>5.7244999999999999</v>
      </c>
      <c r="W3164" s="13"/>
      <c r="X3164" s="34">
        <v>3160</v>
      </c>
      <c r="Y3164" s="34" t="s">
        <v>2248</v>
      </c>
      <c r="Z3164" s="34" t="s">
        <v>4736</v>
      </c>
      <c r="AA3164" s="35">
        <v>1.2407258064516129E-2</v>
      </c>
      <c r="AB3164" s="13"/>
      <c r="AC3164" s="34">
        <v>3160</v>
      </c>
      <c r="AD3164" s="34" t="s">
        <v>4573</v>
      </c>
      <c r="AE3164" s="34" t="s">
        <v>4061</v>
      </c>
      <c r="AF3164" s="35">
        <v>4.0100806451612909</v>
      </c>
    </row>
    <row r="3165" spans="19:32" x14ac:dyDescent="0.35">
      <c r="S3165" s="34">
        <v>3161</v>
      </c>
      <c r="T3165" s="34" t="s">
        <v>4284</v>
      </c>
      <c r="U3165" s="34" t="s">
        <v>2541</v>
      </c>
      <c r="V3165" s="35">
        <v>3.5987903225806453E-6</v>
      </c>
      <c r="W3165" s="13"/>
      <c r="X3165" s="34">
        <v>3161</v>
      </c>
      <c r="Y3165" s="34" t="s">
        <v>2248</v>
      </c>
      <c r="Z3165" s="34" t="s">
        <v>3171</v>
      </c>
      <c r="AA3165" s="35">
        <v>1.8336693548387099E-3</v>
      </c>
      <c r="AB3165" s="13"/>
      <c r="AC3165" s="47">
        <v>3161</v>
      </c>
      <c r="AD3165" s="47" t="s">
        <v>4573</v>
      </c>
      <c r="AE3165" s="47" t="s">
        <v>2459</v>
      </c>
      <c r="AF3165" s="56">
        <v>4.0111999999999997</v>
      </c>
    </row>
    <row r="3166" spans="19:32" x14ac:dyDescent="0.35">
      <c r="S3166" s="47">
        <v>3162</v>
      </c>
      <c r="T3166" s="47" t="s">
        <v>4284</v>
      </c>
      <c r="U3166" s="47" t="s">
        <v>2669</v>
      </c>
      <c r="V3166" s="56">
        <v>78.384</v>
      </c>
      <c r="W3166" s="13"/>
      <c r="X3166" s="34">
        <v>3162</v>
      </c>
      <c r="Y3166" s="34" t="s">
        <v>2248</v>
      </c>
      <c r="Z3166" s="34" t="s">
        <v>4735</v>
      </c>
      <c r="AA3166" s="35">
        <v>1.9570564516129034E-4</v>
      </c>
      <c r="AB3166" s="13"/>
      <c r="AC3166" s="34">
        <v>3162</v>
      </c>
      <c r="AD3166" s="34" t="s">
        <v>4573</v>
      </c>
      <c r="AE3166" s="34" t="s">
        <v>4059</v>
      </c>
      <c r="AF3166" s="35">
        <v>90.826612903225808</v>
      </c>
    </row>
    <row r="3167" spans="19:32" x14ac:dyDescent="0.35">
      <c r="S3167" s="34">
        <v>3163</v>
      </c>
      <c r="T3167" s="34" t="s">
        <v>4284</v>
      </c>
      <c r="U3167" s="34" t="s">
        <v>2539</v>
      </c>
      <c r="V3167" s="35">
        <v>1.4635080645161291E-2</v>
      </c>
      <c r="W3167" s="13"/>
      <c r="X3167" s="34">
        <v>3163</v>
      </c>
      <c r="Y3167" s="34" t="s">
        <v>2248</v>
      </c>
      <c r="Z3167" s="34" t="s">
        <v>3168</v>
      </c>
      <c r="AA3167" s="35">
        <v>3.1429435483870969E-5</v>
      </c>
      <c r="AB3167" s="13"/>
      <c r="AC3167" s="34">
        <v>3163</v>
      </c>
      <c r="AD3167" s="34" t="s">
        <v>4573</v>
      </c>
      <c r="AE3167" s="34" t="s">
        <v>2456</v>
      </c>
      <c r="AF3167" s="35">
        <v>1.2955645161290323E-2</v>
      </c>
    </row>
    <row r="3168" spans="19:32" x14ac:dyDescent="0.35">
      <c r="S3168" s="34">
        <v>3164</v>
      </c>
      <c r="T3168" s="34" t="s">
        <v>4284</v>
      </c>
      <c r="U3168" s="34" t="s">
        <v>2536</v>
      </c>
      <c r="V3168" s="35">
        <v>4.0786290322580645E-5</v>
      </c>
      <c r="W3168" s="13"/>
      <c r="X3168" s="34">
        <v>3164</v>
      </c>
      <c r="Y3168" s="34" t="s">
        <v>2248</v>
      </c>
      <c r="Z3168" s="34" t="s">
        <v>3166</v>
      </c>
      <c r="AA3168" s="35">
        <v>6.1350806451612914E-5</v>
      </c>
      <c r="AB3168" s="13"/>
      <c r="AC3168" s="47">
        <v>3164</v>
      </c>
      <c r="AD3168" s="47" t="s">
        <v>4573</v>
      </c>
      <c r="AE3168" s="47" t="s">
        <v>2456</v>
      </c>
      <c r="AF3168" s="56">
        <v>0</v>
      </c>
    </row>
    <row r="3169" spans="19:32" x14ac:dyDescent="0.35">
      <c r="S3169" s="47">
        <v>3165</v>
      </c>
      <c r="T3169" s="47" t="s">
        <v>4284</v>
      </c>
      <c r="U3169" s="47" t="s">
        <v>2536</v>
      </c>
      <c r="V3169" s="56">
        <v>1.2695999999999998</v>
      </c>
      <c r="W3169" s="13"/>
      <c r="X3169" s="34">
        <v>3165</v>
      </c>
      <c r="Y3169" s="34" t="s">
        <v>2248</v>
      </c>
      <c r="Z3169" s="34" t="s">
        <v>3163</v>
      </c>
      <c r="AA3169" s="35">
        <v>9.6653225806451619E-5</v>
      </c>
      <c r="AB3169" s="13"/>
      <c r="AC3169" s="47">
        <v>3165</v>
      </c>
      <c r="AD3169" s="47" t="s">
        <v>4573</v>
      </c>
      <c r="AE3169" s="47" t="s">
        <v>2454</v>
      </c>
      <c r="AF3169" s="56">
        <v>597.07999999999993</v>
      </c>
    </row>
    <row r="3170" spans="19:32" x14ac:dyDescent="0.35">
      <c r="S3170" s="47">
        <v>3166</v>
      </c>
      <c r="T3170" s="47" t="s">
        <v>4284</v>
      </c>
      <c r="U3170" s="47" t="s">
        <v>2667</v>
      </c>
      <c r="V3170" s="56">
        <v>0</v>
      </c>
      <c r="W3170" s="13"/>
      <c r="X3170" s="34">
        <v>3166</v>
      </c>
      <c r="Y3170" s="34" t="s">
        <v>2248</v>
      </c>
      <c r="Z3170" s="34" t="s">
        <v>3369</v>
      </c>
      <c r="AA3170" s="35">
        <v>9.4596774193548387E-3</v>
      </c>
      <c r="AB3170" s="13"/>
      <c r="AC3170" s="34">
        <v>3166</v>
      </c>
      <c r="AD3170" s="34" t="s">
        <v>4573</v>
      </c>
      <c r="AE3170" s="34" t="s">
        <v>2453</v>
      </c>
      <c r="AF3170" s="35">
        <v>116.53225806451614</v>
      </c>
    </row>
    <row r="3171" spans="19:32" x14ac:dyDescent="0.35">
      <c r="S3171" s="34">
        <v>3167</v>
      </c>
      <c r="T3171" s="34" t="s">
        <v>4284</v>
      </c>
      <c r="U3171" s="34" t="s">
        <v>2533</v>
      </c>
      <c r="V3171" s="35">
        <v>0.12338709677419356</v>
      </c>
      <c r="W3171" s="13"/>
      <c r="X3171" s="34">
        <v>3167</v>
      </c>
      <c r="Y3171" s="34" t="s">
        <v>2248</v>
      </c>
      <c r="Z3171" s="34" t="s">
        <v>3160</v>
      </c>
      <c r="AA3171" s="35">
        <v>3.8044354838709677E-9</v>
      </c>
      <c r="AB3171" s="13"/>
      <c r="AC3171" s="47">
        <v>3167</v>
      </c>
      <c r="AD3171" s="47" t="s">
        <v>4573</v>
      </c>
      <c r="AE3171" s="47" t="s">
        <v>2453</v>
      </c>
      <c r="AF3171" s="56">
        <v>0</v>
      </c>
    </row>
    <row r="3172" spans="19:32" x14ac:dyDescent="0.35">
      <c r="S3172" s="34">
        <v>3168</v>
      </c>
      <c r="T3172" s="34" t="s">
        <v>4284</v>
      </c>
      <c r="U3172" s="34" t="s">
        <v>2530</v>
      </c>
      <c r="V3172" s="35">
        <v>7.5745967741935492E-4</v>
      </c>
      <c r="W3172" s="13"/>
      <c r="X3172" s="34">
        <v>3168</v>
      </c>
      <c r="Y3172" s="34" t="s">
        <v>2248</v>
      </c>
      <c r="Z3172" s="34" t="s">
        <v>3157</v>
      </c>
      <c r="AA3172" s="35">
        <v>2.3477822580645163E-4</v>
      </c>
      <c r="AB3172" s="13"/>
      <c r="AC3172" s="47">
        <v>3168</v>
      </c>
      <c r="AD3172" s="47" t="s">
        <v>4573</v>
      </c>
      <c r="AE3172" s="47" t="s">
        <v>2451</v>
      </c>
      <c r="AF3172" s="56">
        <v>3.7168000000000001</v>
      </c>
    </row>
    <row r="3173" spans="19:32" x14ac:dyDescent="0.35">
      <c r="S3173" s="34">
        <v>3169</v>
      </c>
      <c r="T3173" s="34" t="s">
        <v>4284</v>
      </c>
      <c r="U3173" s="34" t="s">
        <v>2528</v>
      </c>
      <c r="V3173" s="35">
        <v>8.5685483870967752E-5</v>
      </c>
      <c r="W3173" s="13"/>
      <c r="X3173" s="34">
        <v>3169</v>
      </c>
      <c r="Y3173" s="34" t="s">
        <v>2248</v>
      </c>
      <c r="Z3173" s="34" t="s">
        <v>3368</v>
      </c>
      <c r="AA3173" s="35">
        <v>1.346975806451613E-3</v>
      </c>
      <c r="AB3173" s="13"/>
      <c r="AC3173" s="47">
        <v>3169</v>
      </c>
      <c r="AD3173" s="47" t="s">
        <v>4573</v>
      </c>
      <c r="AE3173" s="47" t="s">
        <v>2450</v>
      </c>
      <c r="AF3173" s="56">
        <v>98.44</v>
      </c>
    </row>
    <row r="3174" spans="19:32" x14ac:dyDescent="0.35">
      <c r="S3174" s="34">
        <v>3170</v>
      </c>
      <c r="T3174" s="34" t="s">
        <v>4284</v>
      </c>
      <c r="U3174" s="34" t="s">
        <v>2525</v>
      </c>
      <c r="V3174" s="35">
        <v>3.5302419354838713E-4</v>
      </c>
      <c r="W3174" s="13"/>
      <c r="X3174" s="34">
        <v>3170</v>
      </c>
      <c r="Y3174" s="34" t="s">
        <v>2248</v>
      </c>
      <c r="Z3174" s="34" t="s">
        <v>3154</v>
      </c>
      <c r="AA3174" s="35">
        <v>2.3066532258064519E-6</v>
      </c>
      <c r="AB3174" s="13"/>
      <c r="AC3174" s="34">
        <v>3170</v>
      </c>
      <c r="AD3174" s="34" t="s">
        <v>4573</v>
      </c>
      <c r="AE3174" s="34" t="s">
        <v>4055</v>
      </c>
      <c r="AF3174" s="35">
        <v>1.8576612903225809E-2</v>
      </c>
    </row>
    <row r="3175" spans="19:32" x14ac:dyDescent="0.35">
      <c r="S3175" s="34">
        <v>3171</v>
      </c>
      <c r="T3175" s="34" t="s">
        <v>4284</v>
      </c>
      <c r="U3175" s="34" t="s">
        <v>2522</v>
      </c>
      <c r="V3175" s="35">
        <v>2.1489919354838709E-4</v>
      </c>
      <c r="W3175" s="13"/>
      <c r="X3175" s="34">
        <v>3171</v>
      </c>
      <c r="Y3175" s="34" t="s">
        <v>2248</v>
      </c>
      <c r="Z3175" s="34" t="s">
        <v>3152</v>
      </c>
      <c r="AA3175" s="35">
        <v>7.6431451612903236E-3</v>
      </c>
      <c r="AB3175" s="13"/>
      <c r="AC3175" s="47">
        <v>3171</v>
      </c>
      <c r="AD3175" s="47" t="s">
        <v>4573</v>
      </c>
      <c r="AE3175" s="47" t="s">
        <v>2448</v>
      </c>
      <c r="AF3175" s="56">
        <v>10.948</v>
      </c>
    </row>
    <row r="3176" spans="19:32" x14ac:dyDescent="0.35">
      <c r="S3176" s="34">
        <v>3172</v>
      </c>
      <c r="T3176" s="34" t="s">
        <v>4284</v>
      </c>
      <c r="U3176" s="34" t="s">
        <v>2519</v>
      </c>
      <c r="V3176" s="35">
        <v>2.1010080645161291E-4</v>
      </c>
      <c r="W3176" s="13"/>
      <c r="X3176" s="34">
        <v>3172</v>
      </c>
      <c r="Y3176" s="34" t="s">
        <v>2248</v>
      </c>
      <c r="Z3176" s="34" t="s">
        <v>3149</v>
      </c>
      <c r="AA3176" s="35">
        <v>4.0786290322580646E-2</v>
      </c>
      <c r="AB3176" s="13"/>
      <c r="AC3176" s="34">
        <v>3172</v>
      </c>
      <c r="AD3176" s="34" t="s">
        <v>4573</v>
      </c>
      <c r="AE3176" s="34" t="s">
        <v>4053</v>
      </c>
      <c r="AF3176" s="35">
        <v>0.48669354838709683</v>
      </c>
    </row>
    <row r="3177" spans="19:32" x14ac:dyDescent="0.35">
      <c r="S3177" s="34">
        <v>3173</v>
      </c>
      <c r="T3177" s="34" t="s">
        <v>4284</v>
      </c>
      <c r="U3177" s="34" t="s">
        <v>2516</v>
      </c>
      <c r="V3177" s="35">
        <v>1.477217741935484E-2</v>
      </c>
      <c r="W3177" s="13"/>
      <c r="X3177" s="34">
        <v>3173</v>
      </c>
      <c r="Y3177" s="34" t="s">
        <v>2248</v>
      </c>
      <c r="Z3177" s="34" t="s">
        <v>4734</v>
      </c>
      <c r="AA3177" s="35">
        <v>3.1600806451612909E-4</v>
      </c>
      <c r="AB3177" s="13"/>
      <c r="AC3177" s="34">
        <v>3173</v>
      </c>
      <c r="AD3177" s="34" t="s">
        <v>4573</v>
      </c>
      <c r="AE3177" s="34" t="s">
        <v>4052</v>
      </c>
      <c r="AF3177" s="35">
        <v>9.939516129032258</v>
      </c>
    </row>
    <row r="3178" spans="19:32" x14ac:dyDescent="0.35">
      <c r="S3178" s="47">
        <v>3174</v>
      </c>
      <c r="T3178" s="47" t="s">
        <v>4284</v>
      </c>
      <c r="U3178" s="47" t="s">
        <v>2516</v>
      </c>
      <c r="V3178" s="56">
        <v>0</v>
      </c>
      <c r="W3178" s="13"/>
      <c r="X3178" s="34">
        <v>3174</v>
      </c>
      <c r="Y3178" s="34" t="s">
        <v>2248</v>
      </c>
      <c r="Z3178" s="34" t="s">
        <v>3146</v>
      </c>
      <c r="AA3178" s="35">
        <v>1.8268145161290324E-4</v>
      </c>
      <c r="AB3178" s="13"/>
      <c r="AC3178" s="34">
        <v>3174</v>
      </c>
      <c r="AD3178" s="34" t="s">
        <v>4573</v>
      </c>
      <c r="AE3178" s="34" t="s">
        <v>4051</v>
      </c>
      <c r="AF3178" s="35">
        <v>2.0461693548387099</v>
      </c>
    </row>
    <row r="3179" spans="19:32" x14ac:dyDescent="0.35">
      <c r="S3179" s="47">
        <v>3175</v>
      </c>
      <c r="T3179" s="47" t="s">
        <v>4284</v>
      </c>
      <c r="U3179" s="47" t="s">
        <v>2665</v>
      </c>
      <c r="V3179" s="56">
        <v>4158.3999999999996</v>
      </c>
      <c r="W3179" s="13"/>
      <c r="X3179" s="47">
        <v>3175</v>
      </c>
      <c r="Y3179" s="47" t="s">
        <v>2248</v>
      </c>
      <c r="Z3179" s="47" t="s">
        <v>2882</v>
      </c>
      <c r="AA3179" s="48">
        <v>0</v>
      </c>
      <c r="AB3179" s="13"/>
      <c r="AC3179" s="34">
        <v>3175</v>
      </c>
      <c r="AD3179" s="34" t="s">
        <v>4573</v>
      </c>
      <c r="AE3179" s="34" t="s">
        <v>2446</v>
      </c>
      <c r="AF3179" s="35">
        <v>0.33862903225806457</v>
      </c>
    </row>
    <row r="3180" spans="19:32" x14ac:dyDescent="0.35">
      <c r="S3180" s="34">
        <v>3176</v>
      </c>
      <c r="T3180" s="34" t="s">
        <v>4284</v>
      </c>
      <c r="U3180" s="34" t="s">
        <v>2514</v>
      </c>
      <c r="V3180" s="35">
        <v>1.5731854838709679E-4</v>
      </c>
      <c r="W3180" s="13"/>
      <c r="X3180" s="34">
        <v>3176</v>
      </c>
      <c r="Y3180" s="34" t="s">
        <v>2248</v>
      </c>
      <c r="Z3180" s="34" t="s">
        <v>3367</v>
      </c>
      <c r="AA3180" s="35">
        <v>1.0693548387096775E-3</v>
      </c>
      <c r="AB3180" s="13"/>
      <c r="AC3180" s="47">
        <v>3176</v>
      </c>
      <c r="AD3180" s="47" t="s">
        <v>4573</v>
      </c>
      <c r="AE3180" s="47" t="s">
        <v>2446</v>
      </c>
      <c r="AF3180" s="56">
        <v>0</v>
      </c>
    </row>
    <row r="3181" spans="19:32" x14ac:dyDescent="0.35">
      <c r="S3181" s="34">
        <v>3177</v>
      </c>
      <c r="T3181" s="34" t="s">
        <v>4284</v>
      </c>
      <c r="U3181" s="34" t="s">
        <v>2511</v>
      </c>
      <c r="V3181" s="35">
        <v>5.9294354838709683E-5</v>
      </c>
      <c r="W3181" s="13"/>
      <c r="X3181" s="34">
        <v>3177</v>
      </c>
      <c r="Y3181" s="34" t="s">
        <v>2248</v>
      </c>
      <c r="Z3181" s="34" t="s">
        <v>3143</v>
      </c>
      <c r="AA3181" s="35">
        <v>9.2883064516129045E-4</v>
      </c>
      <c r="AB3181" s="13"/>
      <c r="AC3181" s="47">
        <v>3177</v>
      </c>
      <c r="AD3181" s="47" t="s">
        <v>4573</v>
      </c>
      <c r="AE3181" s="47" t="s">
        <v>2445</v>
      </c>
      <c r="AF3181" s="56">
        <v>4.0939999999999994</v>
      </c>
    </row>
    <row r="3182" spans="19:32" x14ac:dyDescent="0.35">
      <c r="S3182" s="30">
        <v>3178</v>
      </c>
      <c r="T3182" s="30" t="s">
        <v>4284</v>
      </c>
      <c r="U3182" s="30" t="s">
        <v>4733</v>
      </c>
      <c r="V3182" s="31">
        <v>883.92000000000007</v>
      </c>
      <c r="W3182" s="13"/>
      <c r="X3182" s="34">
        <v>3178</v>
      </c>
      <c r="Y3182" s="34" t="s">
        <v>2248</v>
      </c>
      <c r="Z3182" s="34" t="s">
        <v>3141</v>
      </c>
      <c r="AA3182" s="35">
        <v>1.5046370967741936E-4</v>
      </c>
      <c r="AB3182" s="13"/>
      <c r="AC3182" s="34">
        <v>3178</v>
      </c>
      <c r="AD3182" s="34" t="s">
        <v>4573</v>
      </c>
      <c r="AE3182" s="34" t="s">
        <v>2443</v>
      </c>
      <c r="AF3182" s="35">
        <v>14.840725806451614</v>
      </c>
    </row>
    <row r="3183" spans="19:32" x14ac:dyDescent="0.35">
      <c r="S3183" s="34">
        <v>3179</v>
      </c>
      <c r="T3183" s="34" t="s">
        <v>4284</v>
      </c>
      <c r="U3183" s="34" t="s">
        <v>2508</v>
      </c>
      <c r="V3183" s="35">
        <v>1.8336693548387097E-7</v>
      </c>
      <c r="W3183" s="13"/>
      <c r="X3183" s="34">
        <v>3179</v>
      </c>
      <c r="Y3183" s="34" t="s">
        <v>2248</v>
      </c>
      <c r="Z3183" s="34" t="s">
        <v>4732</v>
      </c>
      <c r="AA3183" s="35">
        <v>3.1292338709677419E-3</v>
      </c>
      <c r="AB3183" s="13"/>
      <c r="AC3183" s="47">
        <v>3179</v>
      </c>
      <c r="AD3183" s="47" t="s">
        <v>4573</v>
      </c>
      <c r="AE3183" s="47" t="s">
        <v>2443</v>
      </c>
      <c r="AF3183" s="56">
        <v>0</v>
      </c>
    </row>
    <row r="3184" spans="19:32" x14ac:dyDescent="0.35">
      <c r="S3184" s="47">
        <v>3180</v>
      </c>
      <c r="T3184" s="47" t="s">
        <v>4284</v>
      </c>
      <c r="U3184" s="47" t="s">
        <v>2663</v>
      </c>
      <c r="V3184" s="56">
        <v>0</v>
      </c>
      <c r="W3184" s="13"/>
      <c r="X3184" s="34">
        <v>3180</v>
      </c>
      <c r="Y3184" s="34" t="s">
        <v>2248</v>
      </c>
      <c r="Z3184" s="34" t="s">
        <v>3138</v>
      </c>
      <c r="AA3184" s="35">
        <v>1.4497983870967743E-5</v>
      </c>
      <c r="AB3184" s="13"/>
      <c r="AC3184" s="34">
        <v>3180</v>
      </c>
      <c r="AD3184" s="34" t="s">
        <v>4573</v>
      </c>
      <c r="AE3184" s="34" t="s">
        <v>4047</v>
      </c>
      <c r="AF3184" s="35">
        <v>1.8713709677419355E-2</v>
      </c>
    </row>
    <row r="3185" spans="19:32" x14ac:dyDescent="0.35">
      <c r="S3185" s="34">
        <v>3181</v>
      </c>
      <c r="T3185" s="34" t="s">
        <v>4284</v>
      </c>
      <c r="U3185" s="34" t="s">
        <v>2505</v>
      </c>
      <c r="V3185" s="35">
        <v>7.9173387096774194E-8</v>
      </c>
      <c r="W3185" s="13"/>
      <c r="X3185" s="34">
        <v>3181</v>
      </c>
      <c r="Y3185" s="34" t="s">
        <v>2248</v>
      </c>
      <c r="Z3185" s="34" t="s">
        <v>3135</v>
      </c>
      <c r="AA3185" s="35">
        <v>4.1471774193548389E-2</v>
      </c>
      <c r="AB3185" s="13"/>
      <c r="AC3185" s="47">
        <v>3181</v>
      </c>
      <c r="AD3185" s="47" t="s">
        <v>4573</v>
      </c>
      <c r="AE3185" s="47" t="s">
        <v>2442</v>
      </c>
      <c r="AF3185" s="56">
        <v>0</v>
      </c>
    </row>
    <row r="3186" spans="19:32" x14ac:dyDescent="0.35">
      <c r="S3186" s="34">
        <v>3182</v>
      </c>
      <c r="T3186" s="34" t="s">
        <v>4284</v>
      </c>
      <c r="U3186" s="34" t="s">
        <v>2503</v>
      </c>
      <c r="V3186" s="35">
        <v>2.9818548387096776E-3</v>
      </c>
      <c r="W3186" s="13"/>
      <c r="X3186" s="34">
        <v>3182</v>
      </c>
      <c r="Y3186" s="34" t="s">
        <v>2248</v>
      </c>
      <c r="Z3186" s="34" t="s">
        <v>3132</v>
      </c>
      <c r="AA3186" s="35">
        <v>5.6895161290322583E-3</v>
      </c>
      <c r="AB3186" s="13"/>
      <c r="AC3186" s="47">
        <v>3182</v>
      </c>
      <c r="AD3186" s="47" t="s">
        <v>4573</v>
      </c>
      <c r="AE3186" s="47" t="s">
        <v>2440</v>
      </c>
      <c r="AF3186" s="56">
        <v>0</v>
      </c>
    </row>
    <row r="3187" spans="19:32" x14ac:dyDescent="0.35">
      <c r="S3187" s="34">
        <v>3183</v>
      </c>
      <c r="T3187" s="34" t="s">
        <v>4284</v>
      </c>
      <c r="U3187" s="34" t="s">
        <v>2500</v>
      </c>
      <c r="V3187" s="35">
        <v>1.0316532258064516E-4</v>
      </c>
      <c r="W3187" s="13"/>
      <c r="X3187" s="34">
        <v>3183</v>
      </c>
      <c r="Y3187" s="34" t="s">
        <v>2248</v>
      </c>
      <c r="Z3187" s="34" t="s">
        <v>4731</v>
      </c>
      <c r="AA3187" s="35">
        <v>2.0016129032258065E-2</v>
      </c>
      <c r="AB3187" s="13"/>
      <c r="AC3187" s="47">
        <v>3183</v>
      </c>
      <c r="AD3187" s="47" t="s">
        <v>4573</v>
      </c>
      <c r="AE3187" s="47" t="s">
        <v>2439</v>
      </c>
      <c r="AF3187" s="56">
        <v>0</v>
      </c>
    </row>
    <row r="3188" spans="19:32" x14ac:dyDescent="0.35">
      <c r="S3188" s="34">
        <v>3184</v>
      </c>
      <c r="T3188" s="34" t="s">
        <v>4284</v>
      </c>
      <c r="U3188" s="34" t="s">
        <v>2497</v>
      </c>
      <c r="V3188" s="35">
        <v>7.8145161290322585E-4</v>
      </c>
      <c r="W3188" s="13"/>
      <c r="X3188" s="34">
        <v>3184</v>
      </c>
      <c r="Y3188" s="34" t="s">
        <v>2248</v>
      </c>
      <c r="Z3188" s="34" t="s">
        <v>3129</v>
      </c>
      <c r="AA3188" s="35">
        <v>6.1008064516129043E-4</v>
      </c>
      <c r="AB3188" s="13"/>
      <c r="AC3188" s="34">
        <v>3184</v>
      </c>
      <c r="AD3188" s="34" t="s">
        <v>4573</v>
      </c>
      <c r="AE3188" s="34" t="s">
        <v>4046</v>
      </c>
      <c r="AF3188" s="35">
        <v>0.27625</v>
      </c>
    </row>
    <row r="3189" spans="19:32" x14ac:dyDescent="0.35">
      <c r="S3189" s="34">
        <v>3185</v>
      </c>
      <c r="T3189" s="34" t="s">
        <v>4284</v>
      </c>
      <c r="U3189" s="34" t="s">
        <v>2494</v>
      </c>
      <c r="V3189" s="35">
        <v>5.449596774193549E-4</v>
      </c>
      <c r="W3189" s="13"/>
      <c r="X3189" s="47">
        <v>3185</v>
      </c>
      <c r="Y3189" s="47" t="s">
        <v>2248</v>
      </c>
      <c r="Z3189" s="47" t="s">
        <v>2880</v>
      </c>
      <c r="AA3189" s="48">
        <v>0</v>
      </c>
      <c r="AB3189" s="13"/>
      <c r="AC3189" s="47">
        <v>3185</v>
      </c>
      <c r="AD3189" s="47" t="s">
        <v>4573</v>
      </c>
      <c r="AE3189" s="47" t="s">
        <v>2437</v>
      </c>
      <c r="AF3189" s="56">
        <v>6.2008000000000001</v>
      </c>
    </row>
    <row r="3190" spans="19:32" x14ac:dyDescent="0.35">
      <c r="S3190" s="34">
        <v>3186</v>
      </c>
      <c r="T3190" s="34" t="s">
        <v>4284</v>
      </c>
      <c r="U3190" s="34" t="s">
        <v>2491</v>
      </c>
      <c r="V3190" s="35">
        <v>1.7925403225806452E-3</v>
      </c>
      <c r="W3190" s="13"/>
      <c r="X3190" s="34">
        <v>3186</v>
      </c>
      <c r="Y3190" s="34" t="s">
        <v>2248</v>
      </c>
      <c r="Z3190" s="34" t="s">
        <v>4730</v>
      </c>
      <c r="AA3190" s="35">
        <v>2.447177419354839E-6</v>
      </c>
      <c r="AB3190" s="13"/>
      <c r="AC3190" s="34">
        <v>3186</v>
      </c>
      <c r="AD3190" s="34" t="s">
        <v>4573</v>
      </c>
      <c r="AE3190" s="34" t="s">
        <v>4044</v>
      </c>
      <c r="AF3190" s="35">
        <v>1.0008064516129034</v>
      </c>
    </row>
    <row r="3191" spans="19:32" x14ac:dyDescent="0.35">
      <c r="S3191" s="34">
        <v>3187</v>
      </c>
      <c r="T3191" s="34" t="s">
        <v>4284</v>
      </c>
      <c r="U3191" s="34" t="s">
        <v>2489</v>
      </c>
      <c r="V3191" s="35">
        <v>8.7399193548387096E-5</v>
      </c>
      <c r="W3191" s="13"/>
      <c r="X3191" s="47">
        <v>3187</v>
      </c>
      <c r="Y3191" s="47" t="s">
        <v>2248</v>
      </c>
      <c r="Z3191" s="47" t="s">
        <v>2879</v>
      </c>
      <c r="AA3191" s="48">
        <v>0</v>
      </c>
      <c r="AB3191" s="13"/>
      <c r="AC3191" s="34">
        <v>3187</v>
      </c>
      <c r="AD3191" s="34" t="s">
        <v>4573</v>
      </c>
      <c r="AE3191" s="34" t="s">
        <v>2435</v>
      </c>
      <c r="AF3191" s="35">
        <v>4.0443548387096772E-5</v>
      </c>
    </row>
    <row r="3192" spans="19:32" x14ac:dyDescent="0.35">
      <c r="S3192" s="34">
        <v>3188</v>
      </c>
      <c r="T3192" s="34" t="s">
        <v>4284</v>
      </c>
      <c r="U3192" s="34" t="s">
        <v>2486</v>
      </c>
      <c r="V3192" s="35">
        <v>6.8548387096774199E-5</v>
      </c>
      <c r="W3192" s="13"/>
      <c r="X3192" s="47">
        <v>3188</v>
      </c>
      <c r="Y3192" s="47" t="s">
        <v>2248</v>
      </c>
      <c r="Z3192" s="47" t="s">
        <v>2877</v>
      </c>
      <c r="AA3192" s="48">
        <v>18.492000000000001</v>
      </c>
      <c r="AB3192" s="13"/>
      <c r="AC3192" s="47">
        <v>3188</v>
      </c>
      <c r="AD3192" s="47" t="s">
        <v>4573</v>
      </c>
      <c r="AE3192" s="47" t="s">
        <v>2435</v>
      </c>
      <c r="AF3192" s="56">
        <v>0</v>
      </c>
    </row>
    <row r="3193" spans="19:32" x14ac:dyDescent="0.35">
      <c r="S3193" s="34">
        <v>3189</v>
      </c>
      <c r="T3193" s="34" t="s">
        <v>4284</v>
      </c>
      <c r="U3193" s="34" t="s">
        <v>2483</v>
      </c>
      <c r="V3193" s="35">
        <v>9.6310483870967754E-8</v>
      </c>
      <c r="W3193" s="13"/>
      <c r="X3193" s="34">
        <v>3189</v>
      </c>
      <c r="Y3193" s="34" t="s">
        <v>2248</v>
      </c>
      <c r="Z3193" s="34" t="s">
        <v>2877</v>
      </c>
      <c r="AA3193" s="35">
        <v>0.2186693548387097</v>
      </c>
      <c r="AB3193" s="13"/>
      <c r="AC3193" s="47">
        <v>3189</v>
      </c>
      <c r="AD3193" s="47" t="s">
        <v>4573</v>
      </c>
      <c r="AE3193" s="47" t="s">
        <v>2434</v>
      </c>
      <c r="AF3193" s="56">
        <v>1.2144000000000001</v>
      </c>
    </row>
    <row r="3194" spans="19:32" x14ac:dyDescent="0.35">
      <c r="S3194" s="34">
        <v>3190</v>
      </c>
      <c r="T3194" s="34" t="s">
        <v>4284</v>
      </c>
      <c r="U3194" s="34" t="s">
        <v>2480</v>
      </c>
      <c r="V3194" s="35">
        <v>3.8044354838709684E-8</v>
      </c>
      <c r="W3194" s="13"/>
      <c r="X3194" s="34">
        <v>3190</v>
      </c>
      <c r="Y3194" s="34" t="s">
        <v>2248</v>
      </c>
      <c r="Z3194" s="34" t="s">
        <v>3366</v>
      </c>
      <c r="AA3194" s="35">
        <v>0.11550403225806452</v>
      </c>
      <c r="AB3194" s="13"/>
      <c r="AC3194" s="47">
        <v>3190</v>
      </c>
      <c r="AD3194" s="47" t="s">
        <v>4573</v>
      </c>
      <c r="AE3194" s="47" t="s">
        <v>2432</v>
      </c>
      <c r="AF3194" s="56">
        <v>0.75992000000000004</v>
      </c>
    </row>
    <row r="3195" spans="19:32" x14ac:dyDescent="0.35">
      <c r="S3195" s="34">
        <v>3191</v>
      </c>
      <c r="T3195" s="34" t="s">
        <v>4284</v>
      </c>
      <c r="U3195" s="34" t="s">
        <v>2478</v>
      </c>
      <c r="V3195" s="35">
        <v>1.2475806451612904E-3</v>
      </c>
      <c r="W3195" s="13"/>
      <c r="X3195" s="47">
        <v>3191</v>
      </c>
      <c r="Y3195" s="47" t="s">
        <v>2248</v>
      </c>
      <c r="Z3195" s="47" t="s">
        <v>2876</v>
      </c>
      <c r="AA3195" s="48">
        <v>0</v>
      </c>
      <c r="AB3195" s="13"/>
      <c r="AC3195" s="34">
        <v>3191</v>
      </c>
      <c r="AD3195" s="34" t="s">
        <v>4573</v>
      </c>
      <c r="AE3195" s="34" t="s">
        <v>4041</v>
      </c>
      <c r="AF3195" s="35">
        <v>1.525201612903226</v>
      </c>
    </row>
    <row r="3196" spans="19:32" x14ac:dyDescent="0.35">
      <c r="S3196" s="34">
        <v>3192</v>
      </c>
      <c r="T3196" s="34" t="s">
        <v>4284</v>
      </c>
      <c r="U3196" s="34" t="s">
        <v>2475</v>
      </c>
      <c r="V3196" s="35">
        <v>5.5866935483870977E-4</v>
      </c>
      <c r="W3196" s="13"/>
      <c r="X3196" s="34">
        <v>3192</v>
      </c>
      <c r="Y3196" s="34" t="s">
        <v>2248</v>
      </c>
      <c r="Z3196" s="34" t="s">
        <v>4729</v>
      </c>
      <c r="AA3196" s="35">
        <v>2.8721774193548387E-3</v>
      </c>
      <c r="AB3196" s="13"/>
      <c r="AC3196" s="34">
        <v>3192</v>
      </c>
      <c r="AD3196" s="34" t="s">
        <v>4573</v>
      </c>
      <c r="AE3196" s="34" t="s">
        <v>4040</v>
      </c>
      <c r="AF3196" s="35">
        <v>5.5181451612903226E-3</v>
      </c>
    </row>
    <row r="3197" spans="19:32" x14ac:dyDescent="0.35">
      <c r="S3197" s="34">
        <v>3193</v>
      </c>
      <c r="T3197" s="34" t="s">
        <v>4284</v>
      </c>
      <c r="U3197" s="34" t="s">
        <v>2472</v>
      </c>
      <c r="V3197" s="35">
        <v>1.7411290322580645E-6</v>
      </c>
      <c r="W3197" s="13"/>
      <c r="X3197" s="34">
        <v>3193</v>
      </c>
      <c r="Y3197" s="34" t="s">
        <v>2248</v>
      </c>
      <c r="Z3197" s="34" t="s">
        <v>3125</v>
      </c>
      <c r="AA3197" s="35">
        <v>3.2731854838709683E-2</v>
      </c>
      <c r="AB3197" s="13"/>
      <c r="AC3197" s="34">
        <v>3193</v>
      </c>
      <c r="AD3197" s="34" t="s">
        <v>4573</v>
      </c>
      <c r="AE3197" s="34" t="s">
        <v>4038</v>
      </c>
      <c r="AF3197" s="35">
        <v>9.0826612903225815E-2</v>
      </c>
    </row>
    <row r="3198" spans="19:32" x14ac:dyDescent="0.35">
      <c r="S3198" s="47">
        <v>3194</v>
      </c>
      <c r="T3198" s="47" t="s">
        <v>4284</v>
      </c>
      <c r="U3198" s="47" t="s">
        <v>2662</v>
      </c>
      <c r="V3198" s="56">
        <v>0.24931999999999999</v>
      </c>
      <c r="W3198" s="13"/>
      <c r="X3198" s="34">
        <v>3194</v>
      </c>
      <c r="Y3198" s="34" t="s">
        <v>2248</v>
      </c>
      <c r="Z3198" s="34" t="s">
        <v>3122</v>
      </c>
      <c r="AA3198" s="35">
        <v>8.191532258064517E-5</v>
      </c>
      <c r="AB3198" s="13"/>
      <c r="AC3198" s="34">
        <v>3194</v>
      </c>
      <c r="AD3198" s="34" t="s">
        <v>4573</v>
      </c>
      <c r="AE3198" s="34" t="s">
        <v>4037</v>
      </c>
      <c r="AF3198" s="35">
        <v>5.7237903225806452E-4</v>
      </c>
    </row>
    <row r="3199" spans="19:32" x14ac:dyDescent="0.35">
      <c r="S3199" s="34">
        <v>3195</v>
      </c>
      <c r="T3199" s="34" t="s">
        <v>4284</v>
      </c>
      <c r="U3199" s="34" t="s">
        <v>2469</v>
      </c>
      <c r="V3199" s="35">
        <v>0.33965725806451613</v>
      </c>
      <c r="W3199" s="13"/>
      <c r="X3199" s="34">
        <v>3195</v>
      </c>
      <c r="Y3199" s="34" t="s">
        <v>2248</v>
      </c>
      <c r="Z3199" s="34" t="s">
        <v>3363</v>
      </c>
      <c r="AA3199" s="35">
        <v>0.26048387096774195</v>
      </c>
      <c r="AB3199" s="13"/>
      <c r="AC3199" s="34">
        <v>3195</v>
      </c>
      <c r="AD3199" s="34" t="s">
        <v>4573</v>
      </c>
      <c r="AE3199" s="34" t="s">
        <v>4035</v>
      </c>
      <c r="AF3199" s="35">
        <v>6.1350806451612908E-2</v>
      </c>
    </row>
    <row r="3200" spans="19:32" x14ac:dyDescent="0.35">
      <c r="S3200" s="34">
        <v>3196</v>
      </c>
      <c r="T3200" s="34" t="s">
        <v>4284</v>
      </c>
      <c r="U3200" s="34" t="s">
        <v>2466</v>
      </c>
      <c r="V3200" s="35">
        <v>3.3040322580645161E-5</v>
      </c>
      <c r="W3200" s="13"/>
      <c r="X3200" s="47">
        <v>3196</v>
      </c>
      <c r="Y3200" s="47" t="s">
        <v>2248</v>
      </c>
      <c r="Z3200" s="47" t="s">
        <v>2874</v>
      </c>
      <c r="AA3200" s="48">
        <v>2.3552</v>
      </c>
      <c r="AB3200" s="13"/>
      <c r="AC3200" s="34">
        <v>3196</v>
      </c>
      <c r="AD3200" s="34" t="s">
        <v>4573</v>
      </c>
      <c r="AE3200" s="34" t="s">
        <v>4034</v>
      </c>
      <c r="AF3200" s="35">
        <v>5.6895161290322585E-2</v>
      </c>
    </row>
    <row r="3201" spans="19:32" x14ac:dyDescent="0.35">
      <c r="S3201" s="34">
        <v>3197</v>
      </c>
      <c r="T3201" s="34" t="s">
        <v>4284</v>
      </c>
      <c r="U3201" s="34" t="s">
        <v>2464</v>
      </c>
      <c r="V3201" s="35">
        <v>2.491733870967742E-6</v>
      </c>
      <c r="W3201" s="13"/>
      <c r="X3201" s="34">
        <v>3197</v>
      </c>
      <c r="Y3201" s="34" t="s">
        <v>2248</v>
      </c>
      <c r="Z3201" s="34" t="s">
        <v>3119</v>
      </c>
      <c r="AA3201" s="35">
        <v>2.5362903225806455E-4</v>
      </c>
      <c r="AB3201" s="13"/>
      <c r="AC3201" s="34">
        <v>3197</v>
      </c>
      <c r="AD3201" s="34" t="s">
        <v>4573</v>
      </c>
      <c r="AE3201" s="34" t="s">
        <v>2431</v>
      </c>
      <c r="AF3201" s="35">
        <v>0.25088709677419357</v>
      </c>
    </row>
    <row r="3202" spans="19:32" x14ac:dyDescent="0.35">
      <c r="S3202" s="34">
        <v>3198</v>
      </c>
      <c r="T3202" s="34" t="s">
        <v>4284</v>
      </c>
      <c r="U3202" s="34" t="s">
        <v>2461</v>
      </c>
      <c r="V3202" s="35">
        <v>3.1155241935483875E-3</v>
      </c>
      <c r="W3202" s="13"/>
      <c r="X3202" s="34">
        <v>3198</v>
      </c>
      <c r="Y3202" s="34" t="s">
        <v>2248</v>
      </c>
      <c r="Z3202" s="34" t="s">
        <v>4728</v>
      </c>
      <c r="AA3202" s="35">
        <v>2.7385080645161293</v>
      </c>
      <c r="AB3202" s="13"/>
      <c r="AC3202" s="47">
        <v>3198</v>
      </c>
      <c r="AD3202" s="47" t="s">
        <v>4573</v>
      </c>
      <c r="AE3202" s="47" t="s">
        <v>2431</v>
      </c>
      <c r="AF3202" s="56">
        <v>0</v>
      </c>
    </row>
    <row r="3203" spans="19:32" x14ac:dyDescent="0.35">
      <c r="S3203" s="34">
        <v>3199</v>
      </c>
      <c r="T3203" s="34" t="s">
        <v>4284</v>
      </c>
      <c r="U3203" s="34" t="s">
        <v>2458</v>
      </c>
      <c r="V3203" s="35">
        <v>8.5685483870967744E-4</v>
      </c>
      <c r="W3203" s="13"/>
      <c r="X3203" s="34">
        <v>3199</v>
      </c>
      <c r="Y3203" s="34" t="s">
        <v>2248</v>
      </c>
      <c r="Z3203" s="34" t="s">
        <v>3117</v>
      </c>
      <c r="AA3203" s="35">
        <v>0.31840725806451614</v>
      </c>
      <c r="AB3203" s="13"/>
      <c r="AC3203" s="47">
        <v>3199</v>
      </c>
      <c r="AD3203" s="47" t="s">
        <v>4573</v>
      </c>
      <c r="AE3203" s="47" t="s">
        <v>2429</v>
      </c>
      <c r="AF3203" s="56">
        <v>530.84</v>
      </c>
    </row>
    <row r="3204" spans="19:32" x14ac:dyDescent="0.35">
      <c r="S3204" s="34">
        <v>3200</v>
      </c>
      <c r="T3204" s="34" t="s">
        <v>4284</v>
      </c>
      <c r="U3204" s="34" t="s">
        <v>2455</v>
      </c>
      <c r="V3204" s="35">
        <v>4.3870967741935489E-4</v>
      </c>
      <c r="W3204" s="13"/>
      <c r="X3204" s="34">
        <v>3200</v>
      </c>
      <c r="Y3204" s="34" t="s">
        <v>2248</v>
      </c>
      <c r="Z3204" s="34" t="s">
        <v>3114</v>
      </c>
      <c r="AA3204" s="35">
        <v>2.7967741935483877E-6</v>
      </c>
      <c r="AB3204" s="13"/>
      <c r="AC3204" s="47">
        <v>3200</v>
      </c>
      <c r="AD3204" s="47" t="s">
        <v>4573</v>
      </c>
      <c r="AE3204" s="47" t="s">
        <v>2428</v>
      </c>
      <c r="AF3204" s="56">
        <v>3.1003999999999997E-2</v>
      </c>
    </row>
    <row r="3205" spans="19:32" x14ac:dyDescent="0.35">
      <c r="S3205" s="34">
        <v>3201</v>
      </c>
      <c r="T3205" s="34" t="s">
        <v>4284</v>
      </c>
      <c r="U3205" s="34" t="s">
        <v>2452</v>
      </c>
      <c r="V3205" s="35">
        <v>4.0100806451612906E-5</v>
      </c>
      <c r="W3205" s="13"/>
      <c r="X3205" s="47">
        <v>3201</v>
      </c>
      <c r="Y3205" s="47" t="s">
        <v>2248</v>
      </c>
      <c r="Z3205" s="47" t="s">
        <v>2873</v>
      </c>
      <c r="AA3205" s="48">
        <v>2.5299999999999998</v>
      </c>
      <c r="AB3205" s="13"/>
      <c r="AC3205" s="34">
        <v>3201</v>
      </c>
      <c r="AD3205" s="34" t="s">
        <v>4573</v>
      </c>
      <c r="AE3205" s="34" t="s">
        <v>4031</v>
      </c>
      <c r="AF3205" s="35">
        <v>0.37016129032258066</v>
      </c>
    </row>
    <row r="3206" spans="19:32" x14ac:dyDescent="0.35">
      <c r="S3206" s="34">
        <v>3202</v>
      </c>
      <c r="T3206" s="34" t="s">
        <v>4284</v>
      </c>
      <c r="U3206" s="34" t="s">
        <v>2449</v>
      </c>
      <c r="V3206" s="35">
        <v>6.580645161290323E-6</v>
      </c>
      <c r="W3206" s="13"/>
      <c r="X3206" s="34">
        <v>3202</v>
      </c>
      <c r="Y3206" s="34" t="s">
        <v>2248</v>
      </c>
      <c r="Z3206" s="34" t="s">
        <v>4727</v>
      </c>
      <c r="AA3206" s="35">
        <v>7.8830645161290329</v>
      </c>
      <c r="AB3206" s="13"/>
      <c r="AC3206" s="34">
        <v>3202</v>
      </c>
      <c r="AD3206" s="34" t="s">
        <v>4573</v>
      </c>
      <c r="AE3206" s="34" t="s">
        <v>4030</v>
      </c>
      <c r="AF3206" s="35">
        <v>0.28447580645161291</v>
      </c>
    </row>
    <row r="3207" spans="19:32" x14ac:dyDescent="0.35">
      <c r="S3207" s="47">
        <v>3203</v>
      </c>
      <c r="T3207" s="47" t="s">
        <v>4284</v>
      </c>
      <c r="U3207" s="47" t="s">
        <v>2660</v>
      </c>
      <c r="V3207" s="56">
        <v>1.2236</v>
      </c>
      <c r="W3207" s="13"/>
      <c r="X3207" s="47">
        <v>3203</v>
      </c>
      <c r="Y3207" s="47" t="s">
        <v>2248</v>
      </c>
      <c r="Z3207" s="47" t="s">
        <v>2871</v>
      </c>
      <c r="AA3207" s="48">
        <v>0</v>
      </c>
      <c r="AB3207" s="13"/>
      <c r="AC3207" s="34">
        <v>3203</v>
      </c>
      <c r="AD3207" s="34" t="s">
        <v>4573</v>
      </c>
      <c r="AE3207" s="34" t="s">
        <v>4028</v>
      </c>
      <c r="AF3207" s="35">
        <v>6.649193548387097</v>
      </c>
    </row>
    <row r="3208" spans="19:32" x14ac:dyDescent="0.35">
      <c r="S3208" s="34">
        <v>3204</v>
      </c>
      <c r="T3208" s="34" t="s">
        <v>4284</v>
      </c>
      <c r="U3208" s="34" t="s">
        <v>2447</v>
      </c>
      <c r="V3208" s="35">
        <v>1.1824596774193548E-3</v>
      </c>
      <c r="W3208" s="13"/>
      <c r="X3208" s="34">
        <v>3204</v>
      </c>
      <c r="Y3208" s="34" t="s">
        <v>2248</v>
      </c>
      <c r="Z3208" s="34" t="s">
        <v>4726</v>
      </c>
      <c r="AA3208" s="35">
        <v>2.0016129032258064E-4</v>
      </c>
      <c r="AB3208" s="13"/>
      <c r="AC3208" s="34">
        <v>3204</v>
      </c>
      <c r="AD3208" s="34" t="s">
        <v>4573</v>
      </c>
      <c r="AE3208" s="34" t="s">
        <v>2426</v>
      </c>
      <c r="AF3208" s="35">
        <v>2.6699596774193552</v>
      </c>
    </row>
    <row r="3209" spans="19:32" x14ac:dyDescent="0.35">
      <c r="S3209" s="34">
        <v>3205</v>
      </c>
      <c r="T3209" s="34" t="s">
        <v>4284</v>
      </c>
      <c r="U3209" s="34" t="s">
        <v>2444</v>
      </c>
      <c r="V3209" s="35">
        <v>3.6330645161290324E-3</v>
      </c>
      <c r="W3209" s="13"/>
      <c r="X3209" s="47">
        <v>3205</v>
      </c>
      <c r="Y3209" s="47" t="s">
        <v>2248</v>
      </c>
      <c r="Z3209" s="47" t="s">
        <v>2869</v>
      </c>
      <c r="AA3209" s="48">
        <v>7.8107999999999997E-2</v>
      </c>
      <c r="AB3209" s="13"/>
      <c r="AC3209" s="47">
        <v>3205</v>
      </c>
      <c r="AD3209" s="47" t="s">
        <v>4573</v>
      </c>
      <c r="AE3209" s="47" t="s">
        <v>2426</v>
      </c>
      <c r="AF3209" s="56">
        <v>0</v>
      </c>
    </row>
    <row r="3210" spans="19:32" x14ac:dyDescent="0.35">
      <c r="S3210" s="47">
        <v>3206</v>
      </c>
      <c r="T3210" s="47" t="s">
        <v>4284</v>
      </c>
      <c r="U3210" s="47" t="s">
        <v>2659</v>
      </c>
      <c r="V3210" s="56">
        <v>7.7280000000000001E-2</v>
      </c>
      <c r="W3210" s="13"/>
      <c r="X3210" s="34">
        <v>3206</v>
      </c>
      <c r="Y3210" s="34" t="s">
        <v>2248</v>
      </c>
      <c r="Z3210" s="34" t="s">
        <v>2869</v>
      </c>
      <c r="AA3210" s="35">
        <v>1.3949596774193549E-2</v>
      </c>
      <c r="AB3210" s="13"/>
      <c r="AC3210" s="34">
        <v>3206</v>
      </c>
      <c r="AD3210" s="34" t="s">
        <v>4573</v>
      </c>
      <c r="AE3210" s="34" t="s">
        <v>4026</v>
      </c>
      <c r="AF3210" s="35">
        <v>1.1036290322580646</v>
      </c>
    </row>
    <row r="3211" spans="19:32" x14ac:dyDescent="0.35">
      <c r="S3211" s="34">
        <v>3207</v>
      </c>
      <c r="T3211" s="34" t="s">
        <v>4284</v>
      </c>
      <c r="U3211" s="34" t="s">
        <v>2441</v>
      </c>
      <c r="V3211" s="35">
        <v>7.266129032258065E-4</v>
      </c>
      <c r="W3211" s="13"/>
      <c r="X3211" s="47">
        <v>3207</v>
      </c>
      <c r="Y3211" s="47" t="s">
        <v>2248</v>
      </c>
      <c r="Z3211" s="47" t="s">
        <v>2868</v>
      </c>
      <c r="AA3211" s="48">
        <v>0</v>
      </c>
      <c r="AB3211" s="13"/>
      <c r="AC3211" s="34">
        <v>3207</v>
      </c>
      <c r="AD3211" s="34" t="s">
        <v>4573</v>
      </c>
      <c r="AE3211" s="34" t="s">
        <v>4024</v>
      </c>
      <c r="AF3211" s="35">
        <v>1.2304435483870968E-4</v>
      </c>
    </row>
    <row r="3212" spans="19:32" x14ac:dyDescent="0.35">
      <c r="S3212" s="34">
        <v>3208</v>
      </c>
      <c r="T3212" s="34" t="s">
        <v>4284</v>
      </c>
      <c r="U3212" s="34" t="s">
        <v>2438</v>
      </c>
      <c r="V3212" s="35">
        <v>3.495967741935484E-3</v>
      </c>
      <c r="W3212" s="13"/>
      <c r="X3212" s="34">
        <v>3208</v>
      </c>
      <c r="Y3212" s="34" t="s">
        <v>2248</v>
      </c>
      <c r="Z3212" s="34" t="s">
        <v>3359</v>
      </c>
      <c r="AA3212" s="35">
        <v>1.038508064516129E-2</v>
      </c>
      <c r="AB3212" s="13"/>
      <c r="AC3212" s="34">
        <v>3208</v>
      </c>
      <c r="AD3212" s="34" t="s">
        <v>4573</v>
      </c>
      <c r="AE3212" s="34" t="s">
        <v>4023</v>
      </c>
      <c r="AF3212" s="35">
        <v>8.3286290322580651E-4</v>
      </c>
    </row>
    <row r="3213" spans="19:32" x14ac:dyDescent="0.35">
      <c r="S3213" s="34">
        <v>3209</v>
      </c>
      <c r="T3213" s="34" t="s">
        <v>4284</v>
      </c>
      <c r="U3213" s="34" t="s">
        <v>2436</v>
      </c>
      <c r="V3213" s="35">
        <v>0.19193548387096776</v>
      </c>
      <c r="W3213" s="13"/>
      <c r="X3213" s="34">
        <v>3209</v>
      </c>
      <c r="Y3213" s="34" t="s">
        <v>2248</v>
      </c>
      <c r="Z3213" s="34" t="s">
        <v>3109</v>
      </c>
      <c r="AA3213" s="35">
        <v>0.13024193548387097</v>
      </c>
      <c r="AB3213" s="13"/>
      <c r="AC3213" s="34">
        <v>3209</v>
      </c>
      <c r="AD3213" s="34" t="s">
        <v>4573</v>
      </c>
      <c r="AE3213" s="34" t="s">
        <v>4022</v>
      </c>
      <c r="AF3213" s="35">
        <v>6.5120967741935489E-3</v>
      </c>
    </row>
    <row r="3214" spans="19:32" x14ac:dyDescent="0.35">
      <c r="S3214" s="34">
        <v>3210</v>
      </c>
      <c r="T3214" s="34" t="s">
        <v>4284</v>
      </c>
      <c r="U3214" s="34" t="s">
        <v>2433</v>
      </c>
      <c r="V3214" s="35">
        <v>8.362903225806452E-4</v>
      </c>
      <c r="W3214" s="13"/>
      <c r="X3214" s="34">
        <v>3210</v>
      </c>
      <c r="Y3214" s="34" t="s">
        <v>2248</v>
      </c>
      <c r="Z3214" s="34" t="s">
        <v>3106</v>
      </c>
      <c r="AA3214" s="35">
        <v>1.3229838709677422E-3</v>
      </c>
      <c r="AB3214" s="13"/>
      <c r="AC3214" s="47">
        <v>3210</v>
      </c>
      <c r="AD3214" s="47" t="s">
        <v>4573</v>
      </c>
      <c r="AE3214" s="47" t="s">
        <v>2425</v>
      </c>
      <c r="AF3214" s="56">
        <v>0</v>
      </c>
    </row>
    <row r="3215" spans="19:32" x14ac:dyDescent="0.35">
      <c r="S3215" s="34">
        <v>3211</v>
      </c>
      <c r="T3215" s="34" t="s">
        <v>4284</v>
      </c>
      <c r="U3215" s="34" t="s">
        <v>2430</v>
      </c>
      <c r="V3215" s="35">
        <v>4.8669354838709681E-4</v>
      </c>
      <c r="W3215" s="13"/>
      <c r="X3215" s="34">
        <v>3211</v>
      </c>
      <c r="Y3215" s="34" t="s">
        <v>2248</v>
      </c>
      <c r="Z3215" s="34" t="s">
        <v>3104</v>
      </c>
      <c r="AA3215" s="35">
        <v>1.3675403225806454E-5</v>
      </c>
      <c r="AB3215" s="13"/>
      <c r="AC3215" s="34">
        <v>3211</v>
      </c>
      <c r="AD3215" s="34" t="s">
        <v>4573</v>
      </c>
      <c r="AE3215" s="34" t="s">
        <v>2423</v>
      </c>
      <c r="AF3215" s="35">
        <v>7.9858870967741941E-2</v>
      </c>
    </row>
    <row r="3216" spans="19:32" x14ac:dyDescent="0.35">
      <c r="S3216" s="47">
        <v>3212</v>
      </c>
      <c r="T3216" s="47" t="s">
        <v>4284</v>
      </c>
      <c r="U3216" s="47" t="s">
        <v>2657</v>
      </c>
      <c r="V3216" s="56">
        <v>3.7168E-2</v>
      </c>
      <c r="W3216" s="13"/>
      <c r="X3216" s="34">
        <v>3212</v>
      </c>
      <c r="Y3216" s="34" t="s">
        <v>2248</v>
      </c>
      <c r="Z3216" s="34" t="s">
        <v>4725</v>
      </c>
      <c r="AA3216" s="35">
        <v>0.3461693548387097</v>
      </c>
      <c r="AB3216" s="13"/>
      <c r="AC3216" s="47">
        <v>3212</v>
      </c>
      <c r="AD3216" s="47" t="s">
        <v>4573</v>
      </c>
      <c r="AE3216" s="47" t="s">
        <v>2423</v>
      </c>
      <c r="AF3216" s="56">
        <v>0</v>
      </c>
    </row>
    <row r="3217" spans="19:32" x14ac:dyDescent="0.35">
      <c r="S3217" s="34">
        <v>3213</v>
      </c>
      <c r="T3217" s="34" t="s">
        <v>4284</v>
      </c>
      <c r="U3217" s="34" t="s">
        <v>2427</v>
      </c>
      <c r="V3217" s="35">
        <v>7.2318548387096781E-5</v>
      </c>
      <c r="W3217" s="13"/>
      <c r="X3217" s="34">
        <v>3213</v>
      </c>
      <c r="Y3217" s="34" t="s">
        <v>2248</v>
      </c>
      <c r="Z3217" s="34" t="s">
        <v>3101</v>
      </c>
      <c r="AA3217" s="35">
        <v>0.21729838709677421</v>
      </c>
      <c r="AB3217" s="13"/>
      <c r="AC3217" s="34">
        <v>3213</v>
      </c>
      <c r="AD3217" s="34" t="s">
        <v>4573</v>
      </c>
      <c r="AE3217" s="34" t="s">
        <v>2421</v>
      </c>
      <c r="AF3217" s="35">
        <v>5.0040322580645162E-3</v>
      </c>
    </row>
    <row r="3218" spans="19:32" x14ac:dyDescent="0.35">
      <c r="S3218" s="47">
        <v>3214</v>
      </c>
      <c r="T3218" s="47" t="s">
        <v>4284</v>
      </c>
      <c r="U3218" s="47" t="s">
        <v>2655</v>
      </c>
      <c r="V3218" s="56">
        <v>0.21068000000000001</v>
      </c>
      <c r="W3218" s="13"/>
      <c r="X3218" s="34">
        <v>3214</v>
      </c>
      <c r="Y3218" s="34" t="s">
        <v>2248</v>
      </c>
      <c r="Z3218" s="34" t="s">
        <v>3098</v>
      </c>
      <c r="AA3218" s="35">
        <v>4.1471774193548392E-3</v>
      </c>
      <c r="AB3218" s="13"/>
      <c r="AC3218" s="47">
        <v>3214</v>
      </c>
      <c r="AD3218" s="47" t="s">
        <v>4573</v>
      </c>
      <c r="AE3218" s="47" t="s">
        <v>2421</v>
      </c>
      <c r="AF3218" s="56">
        <v>0</v>
      </c>
    </row>
    <row r="3219" spans="19:32" x14ac:dyDescent="0.35">
      <c r="S3219" s="47">
        <v>3215</v>
      </c>
      <c r="T3219" s="47" t="s">
        <v>4284</v>
      </c>
      <c r="U3219" s="47" t="s">
        <v>2654</v>
      </c>
      <c r="V3219" s="56">
        <v>0.89056000000000013</v>
      </c>
      <c r="W3219" s="13"/>
      <c r="X3219" s="34">
        <v>3215</v>
      </c>
      <c r="Y3219" s="34" t="s">
        <v>2248</v>
      </c>
      <c r="Z3219" s="34" t="s">
        <v>4724</v>
      </c>
      <c r="AA3219" s="35">
        <v>1.2921370967741936E-5</v>
      </c>
      <c r="AB3219" s="13"/>
      <c r="AC3219" s="34">
        <v>3215</v>
      </c>
      <c r="AD3219" s="34" t="s">
        <v>4573</v>
      </c>
      <c r="AE3219" s="34" t="s">
        <v>4018</v>
      </c>
      <c r="AF3219" s="35">
        <v>1.6177419354838712E-2</v>
      </c>
    </row>
    <row r="3220" spans="19:32" x14ac:dyDescent="0.35">
      <c r="S3220" s="34">
        <v>3216</v>
      </c>
      <c r="T3220" s="34" t="s">
        <v>4284</v>
      </c>
      <c r="U3220" s="34" t="s">
        <v>2424</v>
      </c>
      <c r="V3220" s="35">
        <v>4.5927419354838709E-3</v>
      </c>
      <c r="W3220" s="13"/>
      <c r="X3220" s="34">
        <v>3216</v>
      </c>
      <c r="Y3220" s="34" t="s">
        <v>2248</v>
      </c>
      <c r="Z3220" s="34" t="s">
        <v>3095</v>
      </c>
      <c r="AA3220" s="35">
        <v>2.5739919354838713E-6</v>
      </c>
      <c r="AB3220" s="13"/>
      <c r="AC3220" s="34">
        <v>3216</v>
      </c>
      <c r="AD3220" s="34" t="s">
        <v>4573</v>
      </c>
      <c r="AE3220" s="34" t="s">
        <v>4017</v>
      </c>
      <c r="AF3220" s="35">
        <v>8.9112903225806468E-5</v>
      </c>
    </row>
    <row r="3221" spans="19:32" x14ac:dyDescent="0.35">
      <c r="S3221" s="47">
        <v>3217</v>
      </c>
      <c r="T3221" s="47" t="s">
        <v>4284</v>
      </c>
      <c r="U3221" s="47" t="s">
        <v>2652</v>
      </c>
      <c r="V3221" s="56">
        <v>32.015999999999998</v>
      </c>
      <c r="W3221" s="13"/>
      <c r="X3221" s="34">
        <v>3217</v>
      </c>
      <c r="Y3221" s="34" t="s">
        <v>2248</v>
      </c>
      <c r="Z3221" s="34" t="s">
        <v>3093</v>
      </c>
      <c r="AA3221" s="35">
        <v>5.0383064516129031E-4</v>
      </c>
      <c r="AB3221" s="13"/>
      <c r="AC3221" s="34">
        <v>3217</v>
      </c>
      <c r="AD3221" s="34" t="s">
        <v>4573</v>
      </c>
      <c r="AE3221" s="34" t="s">
        <v>2420</v>
      </c>
      <c r="AF3221" s="35">
        <v>44.213709677419359</v>
      </c>
    </row>
    <row r="3222" spans="19:32" x14ac:dyDescent="0.35">
      <c r="S3222" s="47">
        <v>3218</v>
      </c>
      <c r="T3222" s="47" t="s">
        <v>4284</v>
      </c>
      <c r="U3222" s="47" t="s">
        <v>2651</v>
      </c>
      <c r="V3222" s="56">
        <v>12.972000000000001</v>
      </c>
      <c r="W3222" s="13"/>
      <c r="X3222" s="34">
        <v>3218</v>
      </c>
      <c r="Y3222" s="34" t="s">
        <v>2248</v>
      </c>
      <c r="Z3222" s="34" t="s">
        <v>4723</v>
      </c>
      <c r="AA3222" s="35">
        <v>3.4616935483870972E-5</v>
      </c>
      <c r="AB3222" s="13"/>
      <c r="AC3222" s="47">
        <v>3218</v>
      </c>
      <c r="AD3222" s="47" t="s">
        <v>4573</v>
      </c>
      <c r="AE3222" s="47" t="s">
        <v>2420</v>
      </c>
      <c r="AF3222" s="56">
        <v>0.11039999999999998</v>
      </c>
    </row>
    <row r="3223" spans="19:32" x14ac:dyDescent="0.35">
      <c r="S3223" s="34">
        <v>3219</v>
      </c>
      <c r="T3223" s="34" t="s">
        <v>4284</v>
      </c>
      <c r="U3223" s="34" t="s">
        <v>2422</v>
      </c>
      <c r="V3223" s="35">
        <v>4.1471774193548391E-4</v>
      </c>
      <c r="W3223" s="13"/>
      <c r="X3223" s="47">
        <v>3219</v>
      </c>
      <c r="Y3223" s="47" t="s">
        <v>2248</v>
      </c>
      <c r="Z3223" s="47" t="s">
        <v>2866</v>
      </c>
      <c r="AA3223" s="48">
        <v>1.6468</v>
      </c>
      <c r="AB3223" s="13"/>
      <c r="AC3223" s="34">
        <v>3219</v>
      </c>
      <c r="AD3223" s="34" t="s">
        <v>4573</v>
      </c>
      <c r="AE3223" s="34" t="s">
        <v>4014</v>
      </c>
      <c r="AF3223" s="35">
        <v>3.3348790322580646E-2</v>
      </c>
    </row>
    <row r="3224" spans="19:32" x14ac:dyDescent="0.35">
      <c r="S3224" s="34">
        <v>3220</v>
      </c>
      <c r="T3224" s="34" t="s">
        <v>4284</v>
      </c>
      <c r="U3224" s="34" t="s">
        <v>2419</v>
      </c>
      <c r="V3224" s="35">
        <v>5.381048387096775E-5</v>
      </c>
      <c r="W3224" s="13"/>
      <c r="X3224" s="34">
        <v>3220</v>
      </c>
      <c r="Y3224" s="34" t="s">
        <v>2248</v>
      </c>
      <c r="Z3224" s="34" t="s">
        <v>2866</v>
      </c>
      <c r="AA3224" s="35">
        <v>0.33622983870967743</v>
      </c>
      <c r="AB3224" s="13"/>
      <c r="AC3224" s="34">
        <v>3220</v>
      </c>
      <c r="AD3224" s="34" t="s">
        <v>4573</v>
      </c>
      <c r="AE3224" s="34" t="s">
        <v>4013</v>
      </c>
      <c r="AF3224" s="35">
        <v>3.7016129032258066E-2</v>
      </c>
    </row>
    <row r="3225" spans="19:32" x14ac:dyDescent="0.35">
      <c r="S3225" s="34">
        <v>3221</v>
      </c>
      <c r="T3225" s="34" t="s">
        <v>4284</v>
      </c>
      <c r="U3225" s="34" t="s">
        <v>2416</v>
      </c>
      <c r="V3225" s="35">
        <v>2.8516129032258066E-5</v>
      </c>
      <c r="W3225" s="13"/>
      <c r="X3225" s="34">
        <v>3221</v>
      </c>
      <c r="Y3225" s="34" t="s">
        <v>2248</v>
      </c>
      <c r="Z3225" s="34" t="s">
        <v>4722</v>
      </c>
      <c r="AA3225" s="35">
        <v>2.57741935483871E-5</v>
      </c>
      <c r="AB3225" s="13"/>
      <c r="AC3225" s="34">
        <v>3221</v>
      </c>
      <c r="AD3225" s="34" t="s">
        <v>4573</v>
      </c>
      <c r="AE3225" s="34" t="s">
        <v>4011</v>
      </c>
      <c r="AF3225" s="35">
        <v>2.3580645161290326</v>
      </c>
    </row>
    <row r="3226" spans="19:32" x14ac:dyDescent="0.35">
      <c r="S3226" s="34">
        <v>3222</v>
      </c>
      <c r="T3226" s="34" t="s">
        <v>4284</v>
      </c>
      <c r="U3226" s="34" t="s">
        <v>2413</v>
      </c>
      <c r="V3226" s="35">
        <v>2.4677419354838713E-2</v>
      </c>
      <c r="W3226" s="13"/>
      <c r="X3226" s="47">
        <v>3222</v>
      </c>
      <c r="Y3226" s="47" t="s">
        <v>2248</v>
      </c>
      <c r="Z3226" s="47" t="s">
        <v>2865</v>
      </c>
      <c r="AA3226" s="48">
        <v>12.696</v>
      </c>
      <c r="AB3226" s="13"/>
      <c r="AC3226" s="34">
        <v>3222</v>
      </c>
      <c r="AD3226" s="34" t="s">
        <v>4573</v>
      </c>
      <c r="AE3226" s="34" t="s">
        <v>4010</v>
      </c>
      <c r="AF3226" s="35">
        <v>7.7802419354838712E-2</v>
      </c>
    </row>
    <row r="3227" spans="19:32" x14ac:dyDescent="0.35">
      <c r="S3227" s="47">
        <v>3223</v>
      </c>
      <c r="T3227" s="47" t="s">
        <v>4284</v>
      </c>
      <c r="U3227" s="47" t="s">
        <v>2413</v>
      </c>
      <c r="V3227" s="56">
        <v>0</v>
      </c>
      <c r="W3227" s="13"/>
      <c r="X3227" s="34">
        <v>3223</v>
      </c>
      <c r="Y3227" s="34" t="s">
        <v>2248</v>
      </c>
      <c r="Z3227" s="34" t="s">
        <v>2865</v>
      </c>
      <c r="AA3227" s="35">
        <v>2.2038306451612904E-2</v>
      </c>
      <c r="AB3227" s="13"/>
      <c r="AC3227" s="47">
        <v>3223</v>
      </c>
      <c r="AD3227" s="47" t="s">
        <v>4573</v>
      </c>
      <c r="AE3227" s="47" t="s">
        <v>2418</v>
      </c>
      <c r="AF3227" s="56">
        <v>0</v>
      </c>
    </row>
    <row r="3228" spans="19:32" x14ac:dyDescent="0.35">
      <c r="S3228" s="47">
        <v>3224</v>
      </c>
      <c r="T3228" s="47" t="s">
        <v>4284</v>
      </c>
      <c r="U3228" s="47" t="s">
        <v>2649</v>
      </c>
      <c r="V3228" s="56">
        <v>9.9359999999999999</v>
      </c>
      <c r="W3228" s="13"/>
      <c r="X3228" s="47">
        <v>3224</v>
      </c>
      <c r="Y3228" s="47" t="s">
        <v>2248</v>
      </c>
      <c r="Z3228" s="47" t="s">
        <v>2863</v>
      </c>
      <c r="AA3228" s="48">
        <v>4.6276000000000002</v>
      </c>
      <c r="AB3228" s="13"/>
      <c r="AC3228" s="34">
        <v>3224</v>
      </c>
      <c r="AD3228" s="34" t="s">
        <v>4573</v>
      </c>
      <c r="AE3228" s="34" t="s">
        <v>4008</v>
      </c>
      <c r="AF3228" s="35">
        <v>7.883064516129032E-5</v>
      </c>
    </row>
    <row r="3229" spans="19:32" x14ac:dyDescent="0.35">
      <c r="S3229" s="47">
        <v>3225</v>
      </c>
      <c r="T3229" s="47" t="s">
        <v>4284</v>
      </c>
      <c r="U3229" s="47" t="s">
        <v>2647</v>
      </c>
      <c r="V3229" s="56">
        <v>0.15547999999999998</v>
      </c>
      <c r="W3229" s="13"/>
      <c r="X3229" s="34">
        <v>3225</v>
      </c>
      <c r="Y3229" s="34" t="s">
        <v>2248</v>
      </c>
      <c r="Z3229" s="34" t="s">
        <v>4721</v>
      </c>
      <c r="AA3229" s="35">
        <v>1.9741935483870969E-4</v>
      </c>
      <c r="AB3229" s="13"/>
      <c r="AC3229" s="34">
        <v>3225</v>
      </c>
      <c r="AD3229" s="34" t="s">
        <v>4573</v>
      </c>
      <c r="AE3229" s="34" t="s">
        <v>4007</v>
      </c>
      <c r="AF3229" s="35">
        <v>7.6774193548387104E-2</v>
      </c>
    </row>
    <row r="3230" spans="19:32" x14ac:dyDescent="0.35">
      <c r="S3230" s="47">
        <v>3226</v>
      </c>
      <c r="T3230" s="47" t="s">
        <v>4284</v>
      </c>
      <c r="U3230" s="47" t="s">
        <v>2645</v>
      </c>
      <c r="V3230" s="56">
        <v>0.89332000000000011</v>
      </c>
      <c r="W3230" s="13"/>
      <c r="X3230" s="34">
        <v>3226</v>
      </c>
      <c r="Y3230" s="34" t="s">
        <v>2248</v>
      </c>
      <c r="Z3230" s="34" t="s">
        <v>2863</v>
      </c>
      <c r="AA3230" s="35">
        <v>6.2379032258064522E-2</v>
      </c>
      <c r="AB3230" s="13"/>
      <c r="AC3230" s="34">
        <v>3226</v>
      </c>
      <c r="AD3230" s="34" t="s">
        <v>4573</v>
      </c>
      <c r="AE3230" s="34" t="s">
        <v>4005</v>
      </c>
      <c r="AF3230" s="35">
        <v>1.62116935483871E-4</v>
      </c>
    </row>
    <row r="3231" spans="19:32" x14ac:dyDescent="0.35">
      <c r="S3231" s="34">
        <v>3227</v>
      </c>
      <c r="T3231" s="34" t="s">
        <v>4284</v>
      </c>
      <c r="U3231" s="34" t="s">
        <v>2411</v>
      </c>
      <c r="V3231" s="35">
        <v>1.9947580645161294E-4</v>
      </c>
      <c r="W3231" s="13"/>
      <c r="X3231" s="34">
        <v>3227</v>
      </c>
      <c r="Y3231" s="34" t="s">
        <v>2248</v>
      </c>
      <c r="Z3231" s="34" t="s">
        <v>3084</v>
      </c>
      <c r="AA3231" s="35">
        <v>0.16280241935483872</v>
      </c>
      <c r="AB3231" s="13"/>
      <c r="AC3231" s="47">
        <v>3227</v>
      </c>
      <c r="AD3231" s="47" t="s">
        <v>4573</v>
      </c>
      <c r="AE3231" s="47" t="s">
        <v>2417</v>
      </c>
      <c r="AF3231" s="56">
        <v>0</v>
      </c>
    </row>
    <row r="3232" spans="19:32" x14ac:dyDescent="0.35">
      <c r="S3232" s="34">
        <v>3228</v>
      </c>
      <c r="T3232" s="34" t="s">
        <v>4284</v>
      </c>
      <c r="U3232" s="34" t="s">
        <v>2408</v>
      </c>
      <c r="V3232" s="35">
        <v>1.0076612903225806E-5</v>
      </c>
      <c r="W3232" s="13"/>
      <c r="X3232" s="47">
        <v>3228</v>
      </c>
      <c r="Y3232" s="47" t="s">
        <v>2248</v>
      </c>
      <c r="Z3232" s="47" t="s">
        <v>2862</v>
      </c>
      <c r="AA3232" s="48">
        <v>0</v>
      </c>
      <c r="AB3232" s="13"/>
      <c r="AC3232" s="34">
        <v>3228</v>
      </c>
      <c r="AD3232" s="34" t="s">
        <v>4573</v>
      </c>
      <c r="AE3232" s="34" t="s">
        <v>2415</v>
      </c>
      <c r="AF3232" s="35">
        <v>0.11516129032258066</v>
      </c>
    </row>
    <row r="3233" spans="19:32" x14ac:dyDescent="0.35">
      <c r="S3233" s="34">
        <v>3229</v>
      </c>
      <c r="T3233" s="34" t="s">
        <v>4284</v>
      </c>
      <c r="U3233" s="34" t="s">
        <v>2405</v>
      </c>
      <c r="V3233" s="35">
        <v>2.8961693548387099E-5</v>
      </c>
      <c r="W3233" s="13"/>
      <c r="X3233" s="34">
        <v>3229</v>
      </c>
      <c r="Y3233" s="34" t="s">
        <v>2248</v>
      </c>
      <c r="Z3233" s="34" t="s">
        <v>4720</v>
      </c>
      <c r="AA3233" s="35">
        <v>3.6673387096774197E-3</v>
      </c>
      <c r="AB3233" s="13"/>
      <c r="AC3233" s="47">
        <v>3229</v>
      </c>
      <c r="AD3233" s="47" t="s">
        <v>4573</v>
      </c>
      <c r="AE3233" s="47" t="s">
        <v>2415</v>
      </c>
      <c r="AF3233" s="56">
        <v>0.11408</v>
      </c>
    </row>
    <row r="3234" spans="19:32" x14ac:dyDescent="0.35">
      <c r="S3234" s="47">
        <v>3230</v>
      </c>
      <c r="T3234" s="47" t="s">
        <v>4284</v>
      </c>
      <c r="U3234" s="47" t="s">
        <v>2405</v>
      </c>
      <c r="V3234" s="56">
        <v>0.11592</v>
      </c>
      <c r="W3234" s="13"/>
      <c r="X3234" s="34">
        <v>3230</v>
      </c>
      <c r="Y3234" s="34" t="s">
        <v>2248</v>
      </c>
      <c r="Z3234" s="34" t="s">
        <v>3082</v>
      </c>
      <c r="AA3234" s="35">
        <v>1.0110887096774195E-4</v>
      </c>
      <c r="AB3234" s="13"/>
      <c r="AC3234" s="34">
        <v>3230</v>
      </c>
      <c r="AD3234" s="34" t="s">
        <v>4573</v>
      </c>
      <c r="AE3234" s="34" t="s">
        <v>4003</v>
      </c>
      <c r="AF3234" s="35">
        <v>2.6185483870967745E-4</v>
      </c>
    </row>
    <row r="3235" spans="19:32" x14ac:dyDescent="0.35">
      <c r="S3235" s="34">
        <v>3231</v>
      </c>
      <c r="T3235" s="34" t="s">
        <v>4284</v>
      </c>
      <c r="U3235" s="34" t="s">
        <v>2402</v>
      </c>
      <c r="V3235" s="35">
        <v>1.7205645161290324E-4</v>
      </c>
      <c r="W3235" s="13"/>
      <c r="X3235" s="34">
        <v>3231</v>
      </c>
      <c r="Y3235" s="34" t="s">
        <v>2248</v>
      </c>
      <c r="Z3235" s="34" t="s">
        <v>3079</v>
      </c>
      <c r="AA3235" s="35">
        <v>1.1516129032258065E-4</v>
      </c>
      <c r="AB3235" s="13"/>
      <c r="AC3235" s="47">
        <v>3231</v>
      </c>
      <c r="AD3235" s="47" t="s">
        <v>4573</v>
      </c>
      <c r="AE3235" s="47" t="s">
        <v>2414</v>
      </c>
      <c r="AF3235" s="56">
        <v>5.1704000000000008</v>
      </c>
    </row>
    <row r="3236" spans="19:32" x14ac:dyDescent="0.35">
      <c r="S3236" s="47">
        <v>3232</v>
      </c>
      <c r="T3236" s="47" t="s">
        <v>4284</v>
      </c>
      <c r="U3236" s="47" t="s">
        <v>2402</v>
      </c>
      <c r="V3236" s="56">
        <v>0.36064000000000002</v>
      </c>
      <c r="W3236" s="13"/>
      <c r="X3236" s="34">
        <v>3232</v>
      </c>
      <c r="Y3236" s="34" t="s">
        <v>2248</v>
      </c>
      <c r="Z3236" s="34" t="s">
        <v>3358</v>
      </c>
      <c r="AA3236" s="35">
        <v>4.7298387096774197E-2</v>
      </c>
      <c r="AB3236" s="13"/>
      <c r="AC3236" s="34">
        <v>3232</v>
      </c>
      <c r="AD3236" s="34" t="s">
        <v>4573</v>
      </c>
      <c r="AE3236" s="34" t="s">
        <v>4002</v>
      </c>
      <c r="AF3236" s="35">
        <v>9.8024193548387097E-5</v>
      </c>
    </row>
    <row r="3237" spans="19:32" x14ac:dyDescent="0.35">
      <c r="S3237" s="34">
        <v>3233</v>
      </c>
      <c r="T3237" s="34" t="s">
        <v>4284</v>
      </c>
      <c r="U3237" s="34" t="s">
        <v>2399</v>
      </c>
      <c r="V3237" s="35">
        <v>9.9737903225806455E-4</v>
      </c>
      <c r="W3237" s="13"/>
      <c r="X3237" s="47">
        <v>3233</v>
      </c>
      <c r="Y3237" s="47" t="s">
        <v>2248</v>
      </c>
      <c r="Z3237" s="47" t="s">
        <v>2860</v>
      </c>
      <c r="AA3237" s="48">
        <v>0</v>
      </c>
      <c r="AB3237" s="13"/>
      <c r="AC3237" s="34">
        <v>3233</v>
      </c>
      <c r="AD3237" s="34" t="s">
        <v>4573</v>
      </c>
      <c r="AE3237" s="34" t="s">
        <v>2412</v>
      </c>
      <c r="AF3237" s="35">
        <v>3.5302419354838712E-5</v>
      </c>
    </row>
    <row r="3238" spans="19:32" x14ac:dyDescent="0.35">
      <c r="S3238" s="34">
        <v>3234</v>
      </c>
      <c r="T3238" s="34" t="s">
        <v>4284</v>
      </c>
      <c r="U3238" s="34" t="s">
        <v>2397</v>
      </c>
      <c r="V3238" s="35">
        <v>0.3180645161290323</v>
      </c>
      <c r="W3238" s="13"/>
      <c r="X3238" s="47">
        <v>3234</v>
      </c>
      <c r="Y3238" s="47" t="s">
        <v>2248</v>
      </c>
      <c r="Z3238" s="47" t="s">
        <v>2858</v>
      </c>
      <c r="AA3238" s="48">
        <v>2.6588000000000002E-3</v>
      </c>
      <c r="AB3238" s="13"/>
      <c r="AC3238" s="47">
        <v>3234</v>
      </c>
      <c r="AD3238" s="47" t="s">
        <v>4573</v>
      </c>
      <c r="AE3238" s="47" t="s">
        <v>2412</v>
      </c>
      <c r="AF3238" s="56">
        <v>1.9411999999999999E-2</v>
      </c>
    </row>
    <row r="3239" spans="19:32" x14ac:dyDescent="0.35">
      <c r="S3239" s="47">
        <v>3235</v>
      </c>
      <c r="T3239" s="47" t="s">
        <v>4284</v>
      </c>
      <c r="U3239" s="47" t="s">
        <v>2397</v>
      </c>
      <c r="V3239" s="56">
        <v>0.17572000000000002</v>
      </c>
      <c r="W3239" s="13"/>
      <c r="X3239" s="34">
        <v>3235</v>
      </c>
      <c r="Y3239" s="34" t="s">
        <v>2248</v>
      </c>
      <c r="Z3239" s="34" t="s">
        <v>4719</v>
      </c>
      <c r="AA3239" s="35">
        <v>2.6939516129032261E-2</v>
      </c>
      <c r="AB3239" s="13"/>
      <c r="AC3239" s="34">
        <v>3235</v>
      </c>
      <c r="AD3239" s="34" t="s">
        <v>4573</v>
      </c>
      <c r="AE3239" s="34" t="s">
        <v>3999</v>
      </c>
      <c r="AF3239" s="35">
        <v>3.7358870967741937E-4</v>
      </c>
    </row>
    <row r="3240" spans="19:32" x14ac:dyDescent="0.35">
      <c r="S3240" s="34">
        <v>3236</v>
      </c>
      <c r="T3240" s="34" t="s">
        <v>4284</v>
      </c>
      <c r="U3240" s="34" t="s">
        <v>2394</v>
      </c>
      <c r="V3240" s="35">
        <v>1.0762096774193548E-3</v>
      </c>
      <c r="W3240" s="13"/>
      <c r="X3240" s="47">
        <v>3236</v>
      </c>
      <c r="Y3240" s="47" t="s">
        <v>2248</v>
      </c>
      <c r="Z3240" s="47" t="s">
        <v>2857</v>
      </c>
      <c r="AA3240" s="48">
        <v>3.2751999999999999</v>
      </c>
      <c r="AB3240" s="13"/>
      <c r="AC3240" s="34">
        <v>3236</v>
      </c>
      <c r="AD3240" s="34" t="s">
        <v>4573</v>
      </c>
      <c r="AE3240" s="34" t="s">
        <v>3998</v>
      </c>
      <c r="AF3240" s="35">
        <v>5.6209677419354842E-2</v>
      </c>
    </row>
    <row r="3241" spans="19:32" x14ac:dyDescent="0.35">
      <c r="S3241" s="34">
        <v>3237</v>
      </c>
      <c r="T3241" s="34" t="s">
        <v>4284</v>
      </c>
      <c r="U3241" s="34" t="s">
        <v>2391</v>
      </c>
      <c r="V3241" s="35">
        <v>3.4959677419354844E-2</v>
      </c>
      <c r="W3241" s="13"/>
      <c r="X3241" s="34">
        <v>3237</v>
      </c>
      <c r="Y3241" s="34" t="s">
        <v>2248</v>
      </c>
      <c r="Z3241" s="34" t="s">
        <v>3076</v>
      </c>
      <c r="AA3241" s="35">
        <v>9.4939516129032269E-3</v>
      </c>
      <c r="AB3241" s="13"/>
      <c r="AC3241" s="34">
        <v>3237</v>
      </c>
      <c r="AD3241" s="34" t="s">
        <v>4573</v>
      </c>
      <c r="AE3241" s="34" t="s">
        <v>2410</v>
      </c>
      <c r="AF3241" s="35">
        <v>2.6391129032258067E-4</v>
      </c>
    </row>
    <row r="3242" spans="19:32" x14ac:dyDescent="0.35">
      <c r="S3242" s="34">
        <v>3238</v>
      </c>
      <c r="T3242" s="34" t="s">
        <v>4284</v>
      </c>
      <c r="U3242" s="34" t="s">
        <v>2388</v>
      </c>
      <c r="V3242" s="35">
        <v>3.3245967741935487E-3</v>
      </c>
      <c r="W3242" s="13"/>
      <c r="X3242" s="34">
        <v>3238</v>
      </c>
      <c r="Y3242" s="34" t="s">
        <v>2248</v>
      </c>
      <c r="Z3242" s="34" t="s">
        <v>4718</v>
      </c>
      <c r="AA3242" s="35">
        <v>2.1764112903225809E-2</v>
      </c>
      <c r="AB3242" s="13"/>
      <c r="AC3242" s="47">
        <v>3238</v>
      </c>
      <c r="AD3242" s="47" t="s">
        <v>4573</v>
      </c>
      <c r="AE3242" s="47" t="s">
        <v>2410</v>
      </c>
      <c r="AF3242" s="56">
        <v>0</v>
      </c>
    </row>
    <row r="3243" spans="19:32" x14ac:dyDescent="0.35">
      <c r="S3243" s="34">
        <v>3239</v>
      </c>
      <c r="T3243" s="34" t="s">
        <v>4284</v>
      </c>
      <c r="U3243" s="34" t="s">
        <v>2386</v>
      </c>
      <c r="V3243" s="35">
        <v>0.38387096774193552</v>
      </c>
      <c r="W3243" s="13"/>
      <c r="X3243" s="47">
        <v>3239</v>
      </c>
      <c r="Y3243" s="47" t="s">
        <v>2248</v>
      </c>
      <c r="Z3243" s="47" t="s">
        <v>2855</v>
      </c>
      <c r="AA3243" s="48">
        <v>0</v>
      </c>
      <c r="AB3243" s="13"/>
      <c r="AC3243" s="47">
        <v>3239</v>
      </c>
      <c r="AD3243" s="47" t="s">
        <v>4573</v>
      </c>
      <c r="AE3243" s="47" t="s">
        <v>2409</v>
      </c>
      <c r="AF3243" s="56">
        <v>0</v>
      </c>
    </row>
    <row r="3244" spans="19:32" x14ac:dyDescent="0.35">
      <c r="S3244" s="34">
        <v>3240</v>
      </c>
      <c r="T3244" s="34" t="s">
        <v>4284</v>
      </c>
      <c r="U3244" s="34" t="s">
        <v>2383</v>
      </c>
      <c r="V3244" s="35">
        <v>3.1018145161290325E-2</v>
      </c>
      <c r="W3244" s="13"/>
      <c r="X3244" s="34">
        <v>3240</v>
      </c>
      <c r="Y3244" s="34" t="s">
        <v>2248</v>
      </c>
      <c r="Z3244" s="34" t="s">
        <v>2855</v>
      </c>
      <c r="AA3244" s="35">
        <v>4.3528225806451619</v>
      </c>
      <c r="AB3244" s="13"/>
      <c r="AC3244" s="34">
        <v>3240</v>
      </c>
      <c r="AD3244" s="34" t="s">
        <v>4573</v>
      </c>
      <c r="AE3244" s="34" t="s">
        <v>3995</v>
      </c>
      <c r="AF3244" s="35">
        <v>1.1173387096774195E-3</v>
      </c>
    </row>
    <row r="3245" spans="19:32" x14ac:dyDescent="0.35">
      <c r="S3245" s="36">
        <v>3241</v>
      </c>
      <c r="T3245" s="36" t="s">
        <v>4284</v>
      </c>
      <c r="U3245" s="36" t="s">
        <v>2380</v>
      </c>
      <c r="V3245" s="37">
        <v>9.5229999999999997</v>
      </c>
      <c r="W3245" s="13"/>
      <c r="X3245" s="47">
        <v>3241</v>
      </c>
      <c r="Y3245" s="47" t="s">
        <v>2248</v>
      </c>
      <c r="Z3245" s="47" t="s">
        <v>2854</v>
      </c>
      <c r="AA3245" s="48">
        <v>0</v>
      </c>
      <c r="AB3245" s="13"/>
      <c r="AC3245" s="34">
        <v>3241</v>
      </c>
      <c r="AD3245" s="34" t="s">
        <v>4573</v>
      </c>
      <c r="AE3245" s="34" t="s">
        <v>3994</v>
      </c>
      <c r="AF3245" s="35">
        <v>2.2312500000000002E-3</v>
      </c>
    </row>
    <row r="3246" spans="19:32" x14ac:dyDescent="0.35">
      <c r="S3246" s="34">
        <v>3242</v>
      </c>
      <c r="T3246" s="34" t="s">
        <v>4284</v>
      </c>
      <c r="U3246" s="34" t="s">
        <v>2380</v>
      </c>
      <c r="V3246" s="35">
        <v>9.836693548387098E-7</v>
      </c>
      <c r="W3246" s="13"/>
      <c r="X3246" s="34">
        <v>3242</v>
      </c>
      <c r="Y3246" s="34" t="s">
        <v>2248</v>
      </c>
      <c r="Z3246" s="34" t="s">
        <v>4717</v>
      </c>
      <c r="AA3246" s="35">
        <v>5.826612903225807E-4</v>
      </c>
      <c r="AB3246" s="13"/>
      <c r="AC3246" s="34">
        <v>3242</v>
      </c>
      <c r="AD3246" s="34" t="s">
        <v>4573</v>
      </c>
      <c r="AE3246" s="34" t="s">
        <v>3992</v>
      </c>
      <c r="AF3246" s="35">
        <v>3.9072580645161295E-2</v>
      </c>
    </row>
    <row r="3247" spans="19:32" x14ac:dyDescent="0.35">
      <c r="S3247" s="47">
        <v>3243</v>
      </c>
      <c r="T3247" s="47" t="s">
        <v>4284</v>
      </c>
      <c r="U3247" s="47" t="s">
        <v>2642</v>
      </c>
      <c r="V3247" s="56">
        <v>2.3000000000000003</v>
      </c>
      <c r="W3247" s="13"/>
      <c r="X3247" s="34">
        <v>3243</v>
      </c>
      <c r="Y3247" s="34" t="s">
        <v>2248</v>
      </c>
      <c r="Z3247" s="34" t="s">
        <v>2854</v>
      </c>
      <c r="AA3247" s="35">
        <v>2.3923387096774196E-3</v>
      </c>
      <c r="AB3247" s="13"/>
      <c r="AC3247" s="34">
        <v>3243</v>
      </c>
      <c r="AD3247" s="34" t="s">
        <v>4573</v>
      </c>
      <c r="AE3247" s="34" t="s">
        <v>3991</v>
      </c>
      <c r="AF3247" s="35">
        <v>11.10483870967742</v>
      </c>
    </row>
    <row r="3248" spans="19:32" x14ac:dyDescent="0.35">
      <c r="S3248" s="34">
        <v>3244</v>
      </c>
      <c r="T3248" s="34" t="s">
        <v>4284</v>
      </c>
      <c r="U3248" s="34" t="s">
        <v>2377</v>
      </c>
      <c r="V3248" s="35">
        <v>8.0887096774193548E-2</v>
      </c>
      <c r="W3248" s="13"/>
      <c r="X3248" s="34">
        <v>3244</v>
      </c>
      <c r="Y3248" s="34" t="s">
        <v>2248</v>
      </c>
      <c r="Z3248" s="34" t="s">
        <v>3070</v>
      </c>
      <c r="AA3248" s="35">
        <v>5.3125000000000004E-4</v>
      </c>
      <c r="AB3248" s="13"/>
      <c r="AC3248" s="34">
        <v>3244</v>
      </c>
      <c r="AD3248" s="34" t="s">
        <v>4573</v>
      </c>
      <c r="AE3248" s="34" t="s">
        <v>3990</v>
      </c>
      <c r="AF3248" s="35">
        <v>39.072580645161295</v>
      </c>
    </row>
    <row r="3249" spans="19:32" x14ac:dyDescent="0.35">
      <c r="S3249" s="34">
        <v>3245</v>
      </c>
      <c r="T3249" s="34" t="s">
        <v>4284</v>
      </c>
      <c r="U3249" s="34" t="s">
        <v>2374</v>
      </c>
      <c r="V3249" s="35">
        <v>2.587701612903226</v>
      </c>
      <c r="W3249" s="13"/>
      <c r="X3249" s="34">
        <v>3245</v>
      </c>
      <c r="Y3249" s="34" t="s">
        <v>2248</v>
      </c>
      <c r="Z3249" s="34" t="s">
        <v>3357</v>
      </c>
      <c r="AA3249" s="35">
        <v>4.1471774193548391E-5</v>
      </c>
      <c r="AB3249" s="13"/>
      <c r="AC3249" s="34">
        <v>3245</v>
      </c>
      <c r="AD3249" s="34" t="s">
        <v>4573</v>
      </c>
      <c r="AE3249" s="34" t="s">
        <v>3989</v>
      </c>
      <c r="AF3249" s="35">
        <v>2.4745967741935484</v>
      </c>
    </row>
    <row r="3250" spans="19:32" x14ac:dyDescent="0.35">
      <c r="S3250" s="34">
        <v>3246</v>
      </c>
      <c r="T3250" s="34" t="s">
        <v>4284</v>
      </c>
      <c r="U3250" s="34" t="s">
        <v>2372</v>
      </c>
      <c r="V3250" s="35">
        <v>3.6673387096774197E-3</v>
      </c>
      <c r="W3250" s="13"/>
      <c r="X3250" s="34">
        <v>3246</v>
      </c>
      <c r="Y3250" s="34" t="s">
        <v>2248</v>
      </c>
      <c r="Z3250" s="34" t="s">
        <v>3067</v>
      </c>
      <c r="AA3250" s="35">
        <v>2.7590725806451619E-4</v>
      </c>
      <c r="AB3250" s="13"/>
      <c r="AC3250" s="47">
        <v>3246</v>
      </c>
      <c r="AD3250" s="47" t="s">
        <v>4573</v>
      </c>
      <c r="AE3250" s="47" t="s">
        <v>2407</v>
      </c>
      <c r="AF3250" s="56">
        <v>574.08000000000004</v>
      </c>
    </row>
    <row r="3251" spans="19:32" x14ac:dyDescent="0.35">
      <c r="S3251" s="47">
        <v>3247</v>
      </c>
      <c r="T3251" s="47" t="s">
        <v>4284</v>
      </c>
      <c r="U3251" s="47" t="s">
        <v>2641</v>
      </c>
      <c r="V3251" s="56">
        <v>0</v>
      </c>
      <c r="W3251" s="13"/>
      <c r="X3251" s="47">
        <v>3247</v>
      </c>
      <c r="Y3251" s="47" t="s">
        <v>2248</v>
      </c>
      <c r="Z3251" s="47" t="s">
        <v>2853</v>
      </c>
      <c r="AA3251" s="48">
        <v>0</v>
      </c>
      <c r="AB3251" s="13"/>
      <c r="AC3251" s="47">
        <v>3247</v>
      </c>
      <c r="AD3251" s="47" t="s">
        <v>4573</v>
      </c>
      <c r="AE3251" s="47" t="s">
        <v>2406</v>
      </c>
      <c r="AF3251" s="56">
        <v>0</v>
      </c>
    </row>
    <row r="3252" spans="19:32" x14ac:dyDescent="0.35">
      <c r="S3252" s="34">
        <v>3248</v>
      </c>
      <c r="T3252" s="34" t="s">
        <v>4284</v>
      </c>
      <c r="U3252" s="34" t="s">
        <v>2369</v>
      </c>
      <c r="V3252" s="35">
        <v>1.5012096774193549E-3</v>
      </c>
      <c r="W3252" s="13"/>
      <c r="X3252" s="34">
        <v>3248</v>
      </c>
      <c r="Y3252" s="34" t="s">
        <v>2248</v>
      </c>
      <c r="Z3252" s="34" t="s">
        <v>2853</v>
      </c>
      <c r="AA3252" s="35">
        <v>3.5302419354838713E-4</v>
      </c>
      <c r="AB3252" s="13"/>
      <c r="AC3252" s="34">
        <v>3248</v>
      </c>
      <c r="AD3252" s="34" t="s">
        <v>4573</v>
      </c>
      <c r="AE3252" s="34" t="s">
        <v>3988</v>
      </c>
      <c r="AF3252" s="35">
        <v>9.1854838709677419E-3</v>
      </c>
    </row>
    <row r="3253" spans="19:32" x14ac:dyDescent="0.35">
      <c r="S3253" s="34">
        <v>3249</v>
      </c>
      <c r="T3253" s="34" t="s">
        <v>4284</v>
      </c>
      <c r="U3253" s="34" t="s">
        <v>2366</v>
      </c>
      <c r="V3253" s="35">
        <v>1.3469758064516131E-6</v>
      </c>
      <c r="W3253" s="13"/>
      <c r="X3253" s="34">
        <v>3249</v>
      </c>
      <c r="Y3253" s="34" t="s">
        <v>2248</v>
      </c>
      <c r="Z3253" s="34" t="s">
        <v>4716</v>
      </c>
      <c r="AA3253" s="35">
        <v>2.7350806451612908E-5</v>
      </c>
      <c r="AB3253" s="13"/>
      <c r="AC3253" s="34">
        <v>3249</v>
      </c>
      <c r="AD3253" s="34" t="s">
        <v>4573</v>
      </c>
      <c r="AE3253" s="34" t="s">
        <v>3986</v>
      </c>
      <c r="AF3253" s="35">
        <v>5.278225806451613</v>
      </c>
    </row>
    <row r="3254" spans="19:32" x14ac:dyDescent="0.35">
      <c r="S3254" s="34">
        <v>3250</v>
      </c>
      <c r="T3254" s="34" t="s">
        <v>4284</v>
      </c>
      <c r="U3254" s="34" t="s">
        <v>2364</v>
      </c>
      <c r="V3254" s="35">
        <v>0.20084677419354841</v>
      </c>
      <c r="W3254" s="13"/>
      <c r="X3254" s="47">
        <v>3250</v>
      </c>
      <c r="Y3254" s="47" t="s">
        <v>2248</v>
      </c>
      <c r="Z3254" s="47" t="s">
        <v>2852</v>
      </c>
      <c r="AA3254" s="48">
        <v>1.7571999999999999</v>
      </c>
      <c r="AB3254" s="13"/>
      <c r="AC3254" s="34">
        <v>3250</v>
      </c>
      <c r="AD3254" s="34" t="s">
        <v>4573</v>
      </c>
      <c r="AE3254" s="34" t="s">
        <v>3985</v>
      </c>
      <c r="AF3254" s="35">
        <v>1.7034274193548389</v>
      </c>
    </row>
    <row r="3255" spans="19:32" x14ac:dyDescent="0.35">
      <c r="S3255" s="34">
        <v>3251</v>
      </c>
      <c r="T3255" s="34" t="s">
        <v>4284</v>
      </c>
      <c r="U3255" s="34" t="s">
        <v>2361</v>
      </c>
      <c r="V3255" s="35">
        <v>2.0598790322580648E-3</v>
      </c>
      <c r="W3255" s="13"/>
      <c r="X3255" s="34">
        <v>3251</v>
      </c>
      <c r="Y3255" s="34" t="s">
        <v>2248</v>
      </c>
      <c r="Z3255" s="34" t="s">
        <v>3062</v>
      </c>
      <c r="AA3255" s="35">
        <v>1.9810483870967745E-4</v>
      </c>
      <c r="AB3255" s="13"/>
      <c r="AC3255" s="34">
        <v>3251</v>
      </c>
      <c r="AD3255" s="34" t="s">
        <v>4573</v>
      </c>
      <c r="AE3255" s="34" t="s">
        <v>2404</v>
      </c>
      <c r="AF3255" s="35">
        <v>6.3407258064516131E-3</v>
      </c>
    </row>
    <row r="3256" spans="19:32" x14ac:dyDescent="0.35">
      <c r="S3256" s="34">
        <v>3252</v>
      </c>
      <c r="T3256" s="34" t="s">
        <v>4284</v>
      </c>
      <c r="U3256" s="34" t="s">
        <v>2358</v>
      </c>
      <c r="V3256" s="35">
        <v>5.3125000000000004E-3</v>
      </c>
      <c r="W3256" s="13"/>
      <c r="X3256" s="34">
        <v>3252</v>
      </c>
      <c r="Y3256" s="34" t="s">
        <v>2248</v>
      </c>
      <c r="Z3256" s="34" t="s">
        <v>3353</v>
      </c>
      <c r="AA3256" s="35">
        <v>2.5911290322580647E-4</v>
      </c>
      <c r="AB3256" s="13"/>
      <c r="AC3256" s="47">
        <v>3252</v>
      </c>
      <c r="AD3256" s="47" t="s">
        <v>4573</v>
      </c>
      <c r="AE3256" s="47" t="s">
        <v>2404</v>
      </c>
      <c r="AF3256" s="56">
        <v>1.1592E-2</v>
      </c>
    </row>
    <row r="3257" spans="19:32" x14ac:dyDescent="0.35">
      <c r="S3257" s="34">
        <v>3253</v>
      </c>
      <c r="T3257" s="34" t="s">
        <v>4284</v>
      </c>
      <c r="U3257" s="34" t="s">
        <v>2355</v>
      </c>
      <c r="V3257" s="35">
        <v>4.0100806451612905E-4</v>
      </c>
      <c r="W3257" s="13"/>
      <c r="X3257" s="34">
        <v>3253</v>
      </c>
      <c r="Y3257" s="34" t="s">
        <v>2248</v>
      </c>
      <c r="Z3257" s="34" t="s">
        <v>3060</v>
      </c>
      <c r="AA3257" s="35">
        <v>0.11618951612903226</v>
      </c>
      <c r="AB3257" s="13"/>
      <c r="AC3257" s="47">
        <v>3253</v>
      </c>
      <c r="AD3257" s="47" t="s">
        <v>4573</v>
      </c>
      <c r="AE3257" s="47" t="s">
        <v>2403</v>
      </c>
      <c r="AF3257" s="56">
        <v>0</v>
      </c>
    </row>
    <row r="3258" spans="19:32" x14ac:dyDescent="0.35">
      <c r="S3258" s="34">
        <v>3254</v>
      </c>
      <c r="T3258" s="34" t="s">
        <v>4284</v>
      </c>
      <c r="U3258" s="34" t="s">
        <v>2353</v>
      </c>
      <c r="V3258" s="35">
        <v>2.5568548387096776E-3</v>
      </c>
      <c r="W3258" s="13"/>
      <c r="X3258" s="34">
        <v>3254</v>
      </c>
      <c r="Y3258" s="34" t="s">
        <v>2248</v>
      </c>
      <c r="Z3258" s="34" t="s">
        <v>3057</v>
      </c>
      <c r="AA3258" s="35">
        <v>6.7177419354838716E-2</v>
      </c>
      <c r="AB3258" s="13"/>
      <c r="AC3258" s="47">
        <v>3254</v>
      </c>
      <c r="AD3258" s="47" t="s">
        <v>4573</v>
      </c>
      <c r="AE3258" s="47" t="s">
        <v>2401</v>
      </c>
      <c r="AF3258" s="56">
        <v>0</v>
      </c>
    </row>
    <row r="3259" spans="19:32" x14ac:dyDescent="0.35">
      <c r="S3259" s="34">
        <v>3255</v>
      </c>
      <c r="T3259" s="34" t="s">
        <v>4284</v>
      </c>
      <c r="U3259" s="34" t="s">
        <v>2350</v>
      </c>
      <c r="V3259" s="35">
        <v>2.0016129032258068</v>
      </c>
      <c r="W3259" s="13"/>
      <c r="X3259" s="34">
        <v>3255</v>
      </c>
      <c r="Y3259" s="34" t="s">
        <v>2248</v>
      </c>
      <c r="Z3259" s="34" t="s">
        <v>4715</v>
      </c>
      <c r="AA3259" s="35">
        <v>3.1772177419354842E-5</v>
      </c>
      <c r="AB3259" s="13"/>
      <c r="AC3259" s="47">
        <v>3255</v>
      </c>
      <c r="AD3259" s="47" t="s">
        <v>4573</v>
      </c>
      <c r="AE3259" s="47" t="s">
        <v>2400</v>
      </c>
      <c r="AF3259" s="56">
        <v>0</v>
      </c>
    </row>
    <row r="3260" spans="19:32" x14ac:dyDescent="0.35">
      <c r="S3260" s="34">
        <v>3256</v>
      </c>
      <c r="T3260" s="34" t="s">
        <v>4284</v>
      </c>
      <c r="U3260" s="34" t="s">
        <v>2347</v>
      </c>
      <c r="V3260" s="35">
        <v>0.11173387096774194</v>
      </c>
      <c r="W3260" s="13"/>
      <c r="X3260" s="47">
        <v>3256</v>
      </c>
      <c r="Y3260" s="47" t="s">
        <v>2248</v>
      </c>
      <c r="Z3260" s="47" t="s">
        <v>2850</v>
      </c>
      <c r="AA3260" s="48">
        <v>8.3076000000000001E-3</v>
      </c>
      <c r="AB3260" s="13"/>
      <c r="AC3260" s="47">
        <v>3256</v>
      </c>
      <c r="AD3260" s="47" t="s">
        <v>4573</v>
      </c>
      <c r="AE3260" s="47" t="s">
        <v>2398</v>
      </c>
      <c r="AF3260" s="56">
        <v>0</v>
      </c>
    </row>
    <row r="3261" spans="19:32" x14ac:dyDescent="0.35">
      <c r="S3261" s="34">
        <v>3257</v>
      </c>
      <c r="T3261" s="34" t="s">
        <v>4284</v>
      </c>
      <c r="U3261" s="34" t="s">
        <v>2344</v>
      </c>
      <c r="V3261" s="35">
        <v>3.3451612903225808E-3</v>
      </c>
      <c r="W3261" s="13"/>
      <c r="X3261" s="34">
        <v>3257</v>
      </c>
      <c r="Y3261" s="34" t="s">
        <v>2248</v>
      </c>
      <c r="Z3261" s="34" t="s">
        <v>2850</v>
      </c>
      <c r="AA3261" s="35">
        <v>3.5987903225806452E-2</v>
      </c>
      <c r="AB3261" s="13"/>
      <c r="AC3261" s="34">
        <v>3257</v>
      </c>
      <c r="AD3261" s="34" t="s">
        <v>4573</v>
      </c>
      <c r="AE3261" s="34" t="s">
        <v>3981</v>
      </c>
      <c r="AF3261" s="35">
        <v>0.39758064516129038</v>
      </c>
    </row>
    <row r="3262" spans="19:32" x14ac:dyDescent="0.35">
      <c r="S3262" s="34">
        <v>3258</v>
      </c>
      <c r="T3262" s="34" t="s">
        <v>4284</v>
      </c>
      <c r="U3262" s="34" t="s">
        <v>2341</v>
      </c>
      <c r="V3262" s="35">
        <v>1.6931451612903228</v>
      </c>
      <c r="W3262" s="13"/>
      <c r="X3262" s="34">
        <v>3258</v>
      </c>
      <c r="Y3262" s="34" t="s">
        <v>2248</v>
      </c>
      <c r="Z3262" s="34" t="s">
        <v>3052</v>
      </c>
      <c r="AA3262" s="35">
        <v>0.31429435483870971</v>
      </c>
      <c r="AB3262" s="13"/>
      <c r="AC3262" s="34">
        <v>3258</v>
      </c>
      <c r="AD3262" s="34" t="s">
        <v>4573</v>
      </c>
      <c r="AE3262" s="34" t="s">
        <v>3980</v>
      </c>
      <c r="AF3262" s="35">
        <v>0.40100806451612908</v>
      </c>
    </row>
    <row r="3263" spans="19:32" x14ac:dyDescent="0.35">
      <c r="S3263" s="47">
        <v>3259</v>
      </c>
      <c r="T3263" s="47" t="s">
        <v>4284</v>
      </c>
      <c r="U3263" s="47" t="s">
        <v>2341</v>
      </c>
      <c r="V3263" s="56">
        <v>0</v>
      </c>
      <c r="W3263" s="13"/>
      <c r="X3263" s="34">
        <v>3259</v>
      </c>
      <c r="Y3263" s="34" t="s">
        <v>2248</v>
      </c>
      <c r="Z3263" s="34" t="s">
        <v>4714</v>
      </c>
      <c r="AA3263" s="35">
        <v>5.6552419354838714E-4</v>
      </c>
      <c r="AB3263" s="13"/>
      <c r="AC3263" s="34">
        <v>3259</v>
      </c>
      <c r="AD3263" s="34" t="s">
        <v>4573</v>
      </c>
      <c r="AE3263" s="34" t="s">
        <v>2396</v>
      </c>
      <c r="AF3263" s="35">
        <v>0.39758064516129038</v>
      </c>
    </row>
    <row r="3264" spans="19:32" x14ac:dyDescent="0.35">
      <c r="S3264" s="34">
        <v>3260</v>
      </c>
      <c r="T3264" s="34" t="s">
        <v>4284</v>
      </c>
      <c r="U3264" s="34" t="s">
        <v>2339</v>
      </c>
      <c r="V3264" s="35">
        <v>2.3717741935483871E-2</v>
      </c>
      <c r="W3264" s="13"/>
      <c r="X3264" s="47">
        <v>3260</v>
      </c>
      <c r="Y3264" s="47" t="s">
        <v>2248</v>
      </c>
      <c r="Z3264" s="47" t="s">
        <v>2849</v>
      </c>
      <c r="AA3264" s="48">
        <v>0</v>
      </c>
      <c r="AB3264" s="13"/>
      <c r="AC3264" s="47">
        <v>3260</v>
      </c>
      <c r="AD3264" s="47" t="s">
        <v>4573</v>
      </c>
      <c r="AE3264" s="47" t="s">
        <v>2396</v>
      </c>
      <c r="AF3264" s="56">
        <v>3.0636000000000001</v>
      </c>
    </row>
    <row r="3265" spans="19:32" x14ac:dyDescent="0.35">
      <c r="S3265" s="47">
        <v>3261</v>
      </c>
      <c r="T3265" s="47" t="s">
        <v>4284</v>
      </c>
      <c r="U3265" s="47" t="s">
        <v>2339</v>
      </c>
      <c r="V3265" s="56">
        <v>0</v>
      </c>
      <c r="W3265" s="13"/>
      <c r="X3265" s="36">
        <v>3261</v>
      </c>
      <c r="Y3265" s="36" t="s">
        <v>2248</v>
      </c>
      <c r="Z3265" s="36" t="s">
        <v>4713</v>
      </c>
      <c r="AA3265" s="37">
        <v>0.71909999999999996</v>
      </c>
      <c r="AB3265" s="13"/>
      <c r="AC3265" s="47">
        <v>3261</v>
      </c>
      <c r="AD3265" s="47" t="s">
        <v>4573</v>
      </c>
      <c r="AE3265" s="47" t="s">
        <v>2395</v>
      </c>
      <c r="AF3265" s="56">
        <v>9.9360000000000004E-2</v>
      </c>
    </row>
    <row r="3266" spans="19:32" x14ac:dyDescent="0.35">
      <c r="S3266" s="34">
        <v>3262</v>
      </c>
      <c r="T3266" s="34" t="s">
        <v>4284</v>
      </c>
      <c r="U3266" s="34" t="s">
        <v>2334</v>
      </c>
      <c r="V3266" s="35">
        <v>0.91854838709677422</v>
      </c>
      <c r="W3266" s="13"/>
      <c r="X3266" s="34">
        <v>3262</v>
      </c>
      <c r="Y3266" s="34" t="s">
        <v>2248</v>
      </c>
      <c r="Z3266" s="34" t="s">
        <v>3049</v>
      </c>
      <c r="AA3266" s="35">
        <v>1.1173387096774195E-3</v>
      </c>
      <c r="AB3266" s="13"/>
      <c r="AC3266" s="34">
        <v>3262</v>
      </c>
      <c r="AD3266" s="34" t="s">
        <v>4573</v>
      </c>
      <c r="AE3266" s="34" t="s">
        <v>2393</v>
      </c>
      <c r="AF3266" s="35">
        <v>0.16108870967741937</v>
      </c>
    </row>
    <row r="3267" spans="19:32" x14ac:dyDescent="0.35">
      <c r="S3267" s="67">
        <v>3263</v>
      </c>
      <c r="T3267" s="67" t="s">
        <v>4284</v>
      </c>
      <c r="U3267" s="67" t="s">
        <v>4712</v>
      </c>
      <c r="V3267" s="68">
        <v>0</v>
      </c>
      <c r="W3267" s="13"/>
      <c r="X3267" s="34">
        <v>3263</v>
      </c>
      <c r="Y3267" s="34" t="s">
        <v>2248</v>
      </c>
      <c r="Z3267" s="34" t="s">
        <v>4711</v>
      </c>
      <c r="AA3267" s="35">
        <v>1.5903225806451615E-5</v>
      </c>
      <c r="AB3267" s="13"/>
      <c r="AC3267" s="47">
        <v>3263</v>
      </c>
      <c r="AD3267" s="47" t="s">
        <v>4573</v>
      </c>
      <c r="AE3267" s="47" t="s">
        <v>2393</v>
      </c>
      <c r="AF3267" s="56">
        <v>0</v>
      </c>
    </row>
    <row r="3268" spans="19:32" x14ac:dyDescent="0.35">
      <c r="S3268" s="67">
        <v>3264</v>
      </c>
      <c r="T3268" s="67" t="s">
        <v>4284</v>
      </c>
      <c r="U3268" s="67" t="s">
        <v>4710</v>
      </c>
      <c r="V3268" s="68">
        <v>7.98</v>
      </c>
      <c r="W3268" s="13"/>
      <c r="X3268" s="34">
        <v>3264</v>
      </c>
      <c r="Y3268" s="34" t="s">
        <v>2248</v>
      </c>
      <c r="Z3268" s="34" t="s">
        <v>3047</v>
      </c>
      <c r="AA3268" s="35">
        <v>8.8084677419354848E-4</v>
      </c>
      <c r="AB3268" s="13"/>
      <c r="AC3268" s="34">
        <v>3264</v>
      </c>
      <c r="AD3268" s="34" t="s">
        <v>4573</v>
      </c>
      <c r="AE3268" s="34" t="s">
        <v>3976</v>
      </c>
      <c r="AF3268" s="35">
        <v>2.0358870967741936E-2</v>
      </c>
    </row>
    <row r="3269" spans="19:32" x14ac:dyDescent="0.35">
      <c r="S3269" s="67">
        <v>3265</v>
      </c>
      <c r="T3269" s="67" t="s">
        <v>4284</v>
      </c>
      <c r="U3269" s="67" t="s">
        <v>4709</v>
      </c>
      <c r="V3269" s="68">
        <v>7.98</v>
      </c>
      <c r="W3269" s="13"/>
      <c r="X3269" s="34">
        <v>3265</v>
      </c>
      <c r="Y3269" s="34" t="s">
        <v>2248</v>
      </c>
      <c r="Z3269" s="34" t="s">
        <v>3044</v>
      </c>
      <c r="AA3269" s="35">
        <v>3.8729838709677424E-3</v>
      </c>
      <c r="AB3269" s="13"/>
      <c r="AC3269" s="34">
        <v>3265</v>
      </c>
      <c r="AD3269" s="34" t="s">
        <v>4573</v>
      </c>
      <c r="AE3269" s="34" t="s">
        <v>3975</v>
      </c>
      <c r="AF3269" s="35">
        <v>7.6088709677419361E-4</v>
      </c>
    </row>
    <row r="3270" spans="19:32" x14ac:dyDescent="0.35">
      <c r="S3270" s="67">
        <v>3266</v>
      </c>
      <c r="T3270" s="67" t="s">
        <v>4284</v>
      </c>
      <c r="U3270" s="67" t="s">
        <v>4708</v>
      </c>
      <c r="V3270" s="68">
        <v>7.98</v>
      </c>
      <c r="W3270" s="13"/>
      <c r="X3270" s="34">
        <v>3266</v>
      </c>
      <c r="Y3270" s="34" t="s">
        <v>2248</v>
      </c>
      <c r="Z3270" s="34" t="s">
        <v>3352</v>
      </c>
      <c r="AA3270" s="35">
        <v>8.808467741935484</v>
      </c>
      <c r="AB3270" s="13"/>
      <c r="AC3270" s="47">
        <v>3266</v>
      </c>
      <c r="AD3270" s="47" t="s">
        <v>4573</v>
      </c>
      <c r="AE3270" s="47" t="s">
        <v>2392</v>
      </c>
      <c r="AF3270" s="56">
        <v>0.26679999999999998</v>
      </c>
    </row>
    <row r="3271" spans="19:32" x14ac:dyDescent="0.35">
      <c r="S3271" s="67">
        <v>3267</v>
      </c>
      <c r="T3271" s="67" t="s">
        <v>4284</v>
      </c>
      <c r="U3271" s="69" t="s">
        <v>4707</v>
      </c>
      <c r="V3271" s="70">
        <v>35</v>
      </c>
      <c r="W3271" s="13"/>
      <c r="X3271" s="34">
        <v>3267</v>
      </c>
      <c r="Y3271" s="34" t="s">
        <v>2248</v>
      </c>
      <c r="Z3271" s="34" t="s">
        <v>3041</v>
      </c>
      <c r="AA3271" s="35">
        <v>1.370967741935484E-3</v>
      </c>
      <c r="AB3271" s="13"/>
      <c r="AC3271" s="34">
        <v>3267</v>
      </c>
      <c r="AD3271" s="34" t="s">
        <v>4573</v>
      </c>
      <c r="AE3271" s="34" t="s">
        <v>3973</v>
      </c>
      <c r="AF3271" s="35">
        <v>1.5354838709677421</v>
      </c>
    </row>
    <row r="3272" spans="19:32" x14ac:dyDescent="0.35">
      <c r="S3272" s="71">
        <v>3268</v>
      </c>
      <c r="T3272" s="71" t="s">
        <v>4284</v>
      </c>
      <c r="U3272" s="71" t="s">
        <v>4706</v>
      </c>
      <c r="V3272" s="72">
        <v>9.2750000000000004</v>
      </c>
      <c r="W3272" s="13"/>
      <c r="X3272" s="34">
        <v>3268</v>
      </c>
      <c r="Y3272" s="34" t="s">
        <v>2248</v>
      </c>
      <c r="Z3272" s="34" t="s">
        <v>3038</v>
      </c>
      <c r="AA3272" s="35">
        <v>1.0727822580645161E-3</v>
      </c>
      <c r="AB3272" s="13"/>
      <c r="AC3272" s="47">
        <v>3268</v>
      </c>
      <c r="AD3272" s="47" t="s">
        <v>4573</v>
      </c>
      <c r="AE3272" s="47" t="s">
        <v>2390</v>
      </c>
      <c r="AF3272" s="56">
        <v>0</v>
      </c>
    </row>
    <row r="3273" spans="19:32" x14ac:dyDescent="0.35">
      <c r="S3273" s="71">
        <v>3269</v>
      </c>
      <c r="T3273" s="71" t="s">
        <v>4284</v>
      </c>
      <c r="U3273" s="71" t="s">
        <v>4705</v>
      </c>
      <c r="V3273" s="72">
        <v>35</v>
      </c>
      <c r="W3273" s="13"/>
      <c r="X3273" s="34">
        <v>3269</v>
      </c>
      <c r="Y3273" s="34" t="s">
        <v>2248</v>
      </c>
      <c r="Z3273" s="34" t="s">
        <v>3036</v>
      </c>
      <c r="AA3273" s="35">
        <v>3.0264112903225808E-3</v>
      </c>
      <c r="AB3273" s="13"/>
      <c r="AC3273" s="34">
        <v>3269</v>
      </c>
      <c r="AD3273" s="34" t="s">
        <v>4573</v>
      </c>
      <c r="AE3273" s="34" t="s">
        <v>3971</v>
      </c>
      <c r="AF3273" s="35">
        <v>5.278225806451613</v>
      </c>
    </row>
    <row r="3274" spans="19:32" x14ac:dyDescent="0.35">
      <c r="S3274" s="47">
        <v>3270</v>
      </c>
      <c r="T3274" s="47" t="s">
        <v>4284</v>
      </c>
      <c r="U3274" s="47" t="s">
        <v>2638</v>
      </c>
      <c r="V3274" s="56">
        <v>0</v>
      </c>
      <c r="W3274" s="13"/>
      <c r="X3274" s="34">
        <v>3270</v>
      </c>
      <c r="Y3274" s="34" t="s">
        <v>2248</v>
      </c>
      <c r="Z3274" s="34" t="s">
        <v>3347</v>
      </c>
      <c r="AA3274" s="35">
        <v>6.7520161290322584E-3</v>
      </c>
      <c r="AB3274" s="13"/>
      <c r="AC3274" s="34">
        <v>3270</v>
      </c>
      <c r="AD3274" s="34" t="s">
        <v>4573</v>
      </c>
      <c r="AE3274" s="34" t="s">
        <v>3969</v>
      </c>
      <c r="AF3274" s="35">
        <v>0.17788306451612904</v>
      </c>
    </row>
    <row r="3275" spans="19:32" x14ac:dyDescent="0.35">
      <c r="S3275" s="34">
        <v>3271</v>
      </c>
      <c r="T3275" s="34" t="s">
        <v>4284</v>
      </c>
      <c r="U3275" s="34" t="s">
        <v>2331</v>
      </c>
      <c r="V3275" s="35">
        <v>7.1290322580645169E-5</v>
      </c>
      <c r="W3275" s="13"/>
      <c r="X3275" s="34">
        <v>3271</v>
      </c>
      <c r="Y3275" s="34" t="s">
        <v>2248</v>
      </c>
      <c r="Z3275" s="34" t="s">
        <v>3033</v>
      </c>
      <c r="AA3275" s="35">
        <v>5.0725806451612907E-5</v>
      </c>
      <c r="AB3275" s="13"/>
      <c r="AC3275" s="34">
        <v>3271</v>
      </c>
      <c r="AD3275" s="34" t="s">
        <v>4573</v>
      </c>
      <c r="AE3275" s="34" t="s">
        <v>3968</v>
      </c>
      <c r="AF3275" s="35">
        <v>46.612903225806456</v>
      </c>
    </row>
    <row r="3276" spans="19:32" x14ac:dyDescent="0.35">
      <c r="S3276" s="34">
        <v>3272</v>
      </c>
      <c r="T3276" s="34" t="s">
        <v>4284</v>
      </c>
      <c r="U3276" s="34" t="s">
        <v>2328</v>
      </c>
      <c r="V3276" s="35">
        <v>3.6673387096774197E-3</v>
      </c>
      <c r="W3276" s="13"/>
      <c r="X3276" s="34">
        <v>3272</v>
      </c>
      <c r="Y3276" s="34" t="s">
        <v>2248</v>
      </c>
      <c r="Z3276" s="34" t="s">
        <v>3030</v>
      </c>
      <c r="AA3276" s="35">
        <v>7.8487903225806454E-4</v>
      </c>
      <c r="AB3276" s="13"/>
      <c r="AC3276" s="34">
        <v>3272</v>
      </c>
      <c r="AD3276" s="34" t="s">
        <v>4573</v>
      </c>
      <c r="AE3276" s="34" t="s">
        <v>3958</v>
      </c>
      <c r="AF3276" s="35">
        <v>1.0247983870967743E-2</v>
      </c>
    </row>
    <row r="3277" spans="19:32" x14ac:dyDescent="0.35">
      <c r="S3277" s="34">
        <v>3273</v>
      </c>
      <c r="T3277" s="34" t="s">
        <v>4284</v>
      </c>
      <c r="U3277" s="34" t="s">
        <v>2325</v>
      </c>
      <c r="V3277" s="35">
        <v>5.2782258064516135E-4</v>
      </c>
      <c r="W3277" s="13"/>
      <c r="X3277" s="34">
        <v>3273</v>
      </c>
      <c r="Y3277" s="34" t="s">
        <v>2248</v>
      </c>
      <c r="Z3277" s="34" t="s">
        <v>4704</v>
      </c>
      <c r="AA3277" s="35">
        <v>3.2149193548387099E-2</v>
      </c>
      <c r="AB3277" s="13"/>
      <c r="AC3277" s="34">
        <v>3273</v>
      </c>
      <c r="AD3277" s="34" t="s">
        <v>4573</v>
      </c>
      <c r="AE3277" s="34" t="s">
        <v>3957</v>
      </c>
      <c r="AF3277" s="35">
        <v>4.9697580645161298E-2</v>
      </c>
    </row>
    <row r="3278" spans="19:32" x14ac:dyDescent="0.35">
      <c r="S3278" s="34">
        <v>3274</v>
      </c>
      <c r="T3278" s="34" t="s">
        <v>4284</v>
      </c>
      <c r="U3278" s="34" t="s">
        <v>2322</v>
      </c>
      <c r="V3278" s="35">
        <v>2.3169354838709679E-4</v>
      </c>
      <c r="W3278" s="13"/>
      <c r="X3278" s="34">
        <v>3274</v>
      </c>
      <c r="Y3278" s="34" t="s">
        <v>2248</v>
      </c>
      <c r="Z3278" s="34" t="s">
        <v>3027</v>
      </c>
      <c r="AA3278" s="35">
        <v>1.4018145161290322E-3</v>
      </c>
      <c r="AB3278" s="13"/>
      <c r="AC3278" s="34">
        <v>3274</v>
      </c>
      <c r="AD3278" s="34" t="s">
        <v>4573</v>
      </c>
      <c r="AE3278" s="34" t="s">
        <v>3956</v>
      </c>
      <c r="AF3278" s="35">
        <v>3.4616935483870973E-2</v>
      </c>
    </row>
    <row r="3279" spans="19:32" x14ac:dyDescent="0.35">
      <c r="S3279" s="34">
        <v>3275</v>
      </c>
      <c r="T3279" s="34" t="s">
        <v>4284</v>
      </c>
      <c r="U3279" s="34" t="s">
        <v>2320</v>
      </c>
      <c r="V3279" s="35">
        <v>1.4737903225806454E-3</v>
      </c>
      <c r="W3279" s="13"/>
      <c r="X3279" s="34">
        <v>3275</v>
      </c>
      <c r="Y3279" s="34" t="s">
        <v>2248</v>
      </c>
      <c r="Z3279" s="34" t="s">
        <v>3024</v>
      </c>
      <c r="AA3279" s="35">
        <v>7.3689516129032268E-2</v>
      </c>
      <c r="AB3279" s="13"/>
      <c r="AC3279" s="34">
        <v>3275</v>
      </c>
      <c r="AD3279" s="34" t="s">
        <v>4573</v>
      </c>
      <c r="AE3279" s="34" t="s">
        <v>3954</v>
      </c>
      <c r="AF3279" s="35">
        <v>3.0504032258064518E-3</v>
      </c>
    </row>
    <row r="3280" spans="19:32" x14ac:dyDescent="0.35">
      <c r="S3280" s="47">
        <v>3276</v>
      </c>
      <c r="T3280" s="47" t="s">
        <v>4284</v>
      </c>
      <c r="U3280" s="47" t="s">
        <v>2636</v>
      </c>
      <c r="V3280" s="56">
        <v>0.25944</v>
      </c>
      <c r="W3280" s="13"/>
      <c r="X3280" s="34">
        <v>3276</v>
      </c>
      <c r="Y3280" s="34" t="s">
        <v>2248</v>
      </c>
      <c r="Z3280" s="34" t="s">
        <v>4703</v>
      </c>
      <c r="AA3280" s="35">
        <v>1.9536290322580648E-3</v>
      </c>
      <c r="AB3280" s="13"/>
      <c r="AC3280" s="34">
        <v>3276</v>
      </c>
      <c r="AD3280" s="34" t="s">
        <v>4573</v>
      </c>
      <c r="AE3280" s="34" t="s">
        <v>3953</v>
      </c>
      <c r="AF3280" s="35">
        <v>2.2141129032258067E-2</v>
      </c>
    </row>
    <row r="3281" spans="19:32" x14ac:dyDescent="0.35">
      <c r="S3281" s="34">
        <v>3277</v>
      </c>
      <c r="T3281" s="34" t="s">
        <v>4284</v>
      </c>
      <c r="U3281" s="34" t="s">
        <v>2317</v>
      </c>
      <c r="V3281" s="35">
        <v>2.8070564516129035E-4</v>
      </c>
      <c r="W3281" s="13"/>
      <c r="X3281" s="34">
        <v>3277</v>
      </c>
      <c r="Y3281" s="34" t="s">
        <v>2248</v>
      </c>
      <c r="Z3281" s="34" t="s">
        <v>3022</v>
      </c>
      <c r="AA3281" s="35">
        <v>1.1481854838709677E-3</v>
      </c>
      <c r="AB3281" s="13"/>
      <c r="AC3281" s="34">
        <v>3277</v>
      </c>
      <c r="AD3281" s="34" t="s">
        <v>4573</v>
      </c>
      <c r="AE3281" s="34" t="s">
        <v>3951</v>
      </c>
      <c r="AF3281" s="35">
        <v>0.3461693548387097</v>
      </c>
    </row>
    <row r="3282" spans="19:32" x14ac:dyDescent="0.35">
      <c r="S3282" s="34">
        <v>3278</v>
      </c>
      <c r="T3282" s="34" t="s">
        <v>4284</v>
      </c>
      <c r="U3282" s="34" t="s">
        <v>2314</v>
      </c>
      <c r="V3282" s="35">
        <v>7.1633064516129033E-4</v>
      </c>
      <c r="W3282" s="13"/>
      <c r="X3282" s="34">
        <v>3278</v>
      </c>
      <c r="Y3282" s="34" t="s">
        <v>2248</v>
      </c>
      <c r="Z3282" s="34" t="s">
        <v>3019</v>
      </c>
      <c r="AA3282" s="35">
        <v>2.9201612903225809E-5</v>
      </c>
      <c r="AB3282" s="13"/>
      <c r="AC3282" s="34">
        <v>3278</v>
      </c>
      <c r="AD3282" s="34" t="s">
        <v>4573</v>
      </c>
      <c r="AE3282" s="34" t="s">
        <v>3950</v>
      </c>
      <c r="AF3282" s="35">
        <v>0.22552419354838713</v>
      </c>
    </row>
    <row r="3283" spans="19:32" x14ac:dyDescent="0.35">
      <c r="S3283" s="34">
        <v>3279</v>
      </c>
      <c r="T3283" s="34" t="s">
        <v>4284</v>
      </c>
      <c r="U3283" s="34" t="s">
        <v>2311</v>
      </c>
      <c r="V3283" s="35">
        <v>2.292943548387097E-5</v>
      </c>
      <c r="W3283" s="13"/>
      <c r="X3283" s="34">
        <v>3279</v>
      </c>
      <c r="Y3283" s="34" t="s">
        <v>2248</v>
      </c>
      <c r="Z3283" s="34" t="s">
        <v>3016</v>
      </c>
      <c r="AA3283" s="35">
        <v>2.1044354838709679E-4</v>
      </c>
      <c r="AB3283" s="13"/>
      <c r="AC3283" s="34">
        <v>3279</v>
      </c>
      <c r="AD3283" s="34" t="s">
        <v>4573</v>
      </c>
      <c r="AE3283" s="34" t="s">
        <v>2389</v>
      </c>
      <c r="AF3283" s="35">
        <v>14.223790322580646</v>
      </c>
    </row>
    <row r="3284" spans="19:32" x14ac:dyDescent="0.35">
      <c r="S3284" s="34">
        <v>3280</v>
      </c>
      <c r="T3284" s="34" t="s">
        <v>4284</v>
      </c>
      <c r="U3284" s="34" t="s">
        <v>2309</v>
      </c>
      <c r="V3284" s="35">
        <v>5.0040322580645169</v>
      </c>
      <c r="W3284" s="13"/>
      <c r="X3284" s="34">
        <v>3280</v>
      </c>
      <c r="Y3284" s="34" t="s">
        <v>2248</v>
      </c>
      <c r="Z3284" s="34" t="s">
        <v>4702</v>
      </c>
      <c r="AA3284" s="35">
        <v>3.3622983870967745E-6</v>
      </c>
      <c r="AB3284" s="13"/>
      <c r="AC3284" s="47">
        <v>3280</v>
      </c>
      <c r="AD3284" s="47" t="s">
        <v>4573</v>
      </c>
      <c r="AE3284" s="47" t="s">
        <v>2389</v>
      </c>
      <c r="AF3284" s="56">
        <v>241.96</v>
      </c>
    </row>
    <row r="3285" spans="19:32" x14ac:dyDescent="0.35">
      <c r="S3285" s="34">
        <v>3281</v>
      </c>
      <c r="T3285" s="34" t="s">
        <v>4284</v>
      </c>
      <c r="U3285" s="34" t="s">
        <v>2306</v>
      </c>
      <c r="V3285" s="35">
        <v>3.132661290322581E-5</v>
      </c>
      <c r="W3285" s="13"/>
      <c r="X3285" s="34">
        <v>3281</v>
      </c>
      <c r="Y3285" s="34" t="s">
        <v>2248</v>
      </c>
      <c r="Z3285" s="34" t="s">
        <v>3013</v>
      </c>
      <c r="AA3285" s="35">
        <v>4.5927419354838711E-2</v>
      </c>
      <c r="AB3285" s="13"/>
      <c r="AC3285" s="34">
        <v>3281</v>
      </c>
      <c r="AD3285" s="34" t="s">
        <v>4573</v>
      </c>
      <c r="AE3285" s="34" t="s">
        <v>3948</v>
      </c>
      <c r="AF3285" s="35">
        <v>30.161290322580648</v>
      </c>
    </row>
    <row r="3286" spans="19:32" x14ac:dyDescent="0.35">
      <c r="S3286" s="47">
        <v>3282</v>
      </c>
      <c r="T3286" s="47" t="s">
        <v>4284</v>
      </c>
      <c r="U3286" s="47" t="s">
        <v>2306</v>
      </c>
      <c r="V3286" s="56">
        <v>0</v>
      </c>
      <c r="W3286" s="13"/>
      <c r="X3286" s="34">
        <v>3282</v>
      </c>
      <c r="Y3286" s="34" t="s">
        <v>2248</v>
      </c>
      <c r="Z3286" s="34" t="s">
        <v>3011</v>
      </c>
      <c r="AA3286" s="35">
        <v>5.5866935483870972E-3</v>
      </c>
      <c r="AB3286" s="13"/>
      <c r="AC3286" s="34">
        <v>3282</v>
      </c>
      <c r="AD3286" s="34" t="s">
        <v>4573</v>
      </c>
      <c r="AE3286" s="34" t="s">
        <v>2387</v>
      </c>
      <c r="AF3286" s="35">
        <v>0.11002016129032259</v>
      </c>
    </row>
    <row r="3287" spans="19:32" x14ac:dyDescent="0.35">
      <c r="S3287" s="34">
        <v>3283</v>
      </c>
      <c r="T3287" s="34" t="s">
        <v>4284</v>
      </c>
      <c r="U3287" s="34" t="s">
        <v>2303</v>
      </c>
      <c r="V3287" s="35">
        <v>1.6006048387096777E-2</v>
      </c>
      <c r="W3287" s="13"/>
      <c r="X3287" s="34">
        <v>3283</v>
      </c>
      <c r="Y3287" s="34" t="s">
        <v>2248</v>
      </c>
      <c r="Z3287" s="34" t="s">
        <v>4701</v>
      </c>
      <c r="AA3287" s="35">
        <v>2.1250000000000002E-2</v>
      </c>
      <c r="AB3287" s="13"/>
      <c r="AC3287" s="47">
        <v>3283</v>
      </c>
      <c r="AD3287" s="47" t="s">
        <v>4573</v>
      </c>
      <c r="AE3287" s="47" t="s">
        <v>2387</v>
      </c>
      <c r="AF3287" s="56">
        <v>0</v>
      </c>
    </row>
    <row r="3288" spans="19:32" x14ac:dyDescent="0.35">
      <c r="S3288" s="34">
        <v>3284</v>
      </c>
      <c r="T3288" s="34" t="s">
        <v>4284</v>
      </c>
      <c r="U3288" s="34" t="s">
        <v>2300</v>
      </c>
      <c r="V3288" s="35">
        <v>3.4034274193548387E-3</v>
      </c>
      <c r="W3288" s="13"/>
      <c r="X3288" s="34">
        <v>3284</v>
      </c>
      <c r="Y3288" s="34" t="s">
        <v>2248</v>
      </c>
      <c r="Z3288" s="34" t="s">
        <v>3008</v>
      </c>
      <c r="AA3288" s="35">
        <v>8.3971774193548389E-4</v>
      </c>
      <c r="AB3288" s="13"/>
      <c r="AC3288" s="34">
        <v>3284</v>
      </c>
      <c r="AD3288" s="34" t="s">
        <v>4573</v>
      </c>
      <c r="AE3288" s="34" t="s">
        <v>3946</v>
      </c>
      <c r="AF3288" s="35">
        <v>6.0665322580645163E-4</v>
      </c>
    </row>
    <row r="3289" spans="19:32" x14ac:dyDescent="0.35">
      <c r="S3289" s="34">
        <v>3285</v>
      </c>
      <c r="T3289" s="34" t="s">
        <v>4284</v>
      </c>
      <c r="U3289" s="34" t="s">
        <v>2297</v>
      </c>
      <c r="V3289" s="35">
        <v>0.14292338709677421</v>
      </c>
      <c r="W3289" s="13"/>
      <c r="X3289" s="34">
        <v>3285</v>
      </c>
      <c r="Y3289" s="34" t="s">
        <v>2248</v>
      </c>
      <c r="Z3289" s="34" t="s">
        <v>3005</v>
      </c>
      <c r="AA3289" s="35">
        <v>1.3504032258064517E-2</v>
      </c>
      <c r="AB3289" s="13"/>
      <c r="AC3289" s="34">
        <v>3285</v>
      </c>
      <c r="AD3289" s="34" t="s">
        <v>4573</v>
      </c>
      <c r="AE3289" s="34" t="s">
        <v>2385</v>
      </c>
      <c r="AF3289" s="35">
        <v>2.3546370967741939E-4</v>
      </c>
    </row>
    <row r="3290" spans="19:32" x14ac:dyDescent="0.35">
      <c r="S3290" s="34">
        <v>3286</v>
      </c>
      <c r="T3290" s="34" t="s">
        <v>4284</v>
      </c>
      <c r="U3290" s="34" t="s">
        <v>2295</v>
      </c>
      <c r="V3290" s="35">
        <v>2.090725806451613</v>
      </c>
      <c r="W3290" s="13"/>
      <c r="X3290" s="34">
        <v>3286</v>
      </c>
      <c r="Y3290" s="34" t="s">
        <v>2248</v>
      </c>
      <c r="Z3290" s="34" t="s">
        <v>4700</v>
      </c>
      <c r="AA3290" s="35">
        <v>0.65806451612903227</v>
      </c>
      <c r="AB3290" s="13"/>
      <c r="AC3290" s="47">
        <v>3286</v>
      </c>
      <c r="AD3290" s="47" t="s">
        <v>4573</v>
      </c>
      <c r="AE3290" s="47" t="s">
        <v>2385</v>
      </c>
      <c r="AF3290" s="56">
        <v>0</v>
      </c>
    </row>
    <row r="3291" spans="19:32" x14ac:dyDescent="0.35">
      <c r="S3291" s="34">
        <v>3287</v>
      </c>
      <c r="T3291" s="34" t="s">
        <v>4284</v>
      </c>
      <c r="U3291" s="34" t="s">
        <v>2292</v>
      </c>
      <c r="V3291" s="35">
        <v>0.33314516129032262</v>
      </c>
      <c r="W3291" s="13"/>
      <c r="X3291" s="47">
        <v>3287</v>
      </c>
      <c r="Y3291" s="47" t="s">
        <v>2248</v>
      </c>
      <c r="Z3291" s="47" t="s">
        <v>2847</v>
      </c>
      <c r="AA3291" s="48">
        <v>4.5172000000000004E-2</v>
      </c>
      <c r="AB3291" s="13"/>
      <c r="AC3291" s="34">
        <v>3287</v>
      </c>
      <c r="AD3291" s="34" t="s">
        <v>4573</v>
      </c>
      <c r="AE3291" s="34" t="s">
        <v>3944</v>
      </c>
      <c r="AF3291" s="35">
        <v>29.304435483870972</v>
      </c>
    </row>
    <row r="3292" spans="19:32" x14ac:dyDescent="0.35">
      <c r="S3292" s="34">
        <v>3288</v>
      </c>
      <c r="T3292" s="34" t="s">
        <v>4284</v>
      </c>
      <c r="U3292" s="34" t="s">
        <v>2289</v>
      </c>
      <c r="V3292" s="35">
        <v>6.1350806451612908E-2</v>
      </c>
      <c r="W3292" s="13"/>
      <c r="X3292" s="34">
        <v>3288</v>
      </c>
      <c r="Y3292" s="34" t="s">
        <v>2248</v>
      </c>
      <c r="Z3292" s="34" t="s">
        <v>2847</v>
      </c>
      <c r="AA3292" s="35">
        <v>3.3725806451612904E-4</v>
      </c>
      <c r="AB3292" s="13"/>
      <c r="AC3292" s="47">
        <v>3288</v>
      </c>
      <c r="AD3292" s="47" t="s">
        <v>4573</v>
      </c>
      <c r="AE3292" s="47" t="s">
        <v>2384</v>
      </c>
      <c r="AF3292" s="56">
        <v>0</v>
      </c>
    </row>
    <row r="3293" spans="19:32" x14ac:dyDescent="0.35">
      <c r="S3293" s="34">
        <v>3289</v>
      </c>
      <c r="T3293" s="34" t="s">
        <v>4284</v>
      </c>
      <c r="U3293" s="34" t="s">
        <v>2286</v>
      </c>
      <c r="V3293" s="35">
        <v>1.2852822580645162</v>
      </c>
      <c r="W3293" s="13"/>
      <c r="X3293" s="47">
        <v>3289</v>
      </c>
      <c r="Y3293" s="47" t="s">
        <v>2248</v>
      </c>
      <c r="Z3293" s="47" t="s">
        <v>2845</v>
      </c>
      <c r="AA3293" s="48">
        <v>0</v>
      </c>
      <c r="AB3293" s="13"/>
      <c r="AC3293" s="34">
        <v>3289</v>
      </c>
      <c r="AD3293" s="34" t="s">
        <v>4573</v>
      </c>
      <c r="AE3293" s="34" t="s">
        <v>3943</v>
      </c>
      <c r="AF3293" s="35">
        <v>1.4977822580645162E-4</v>
      </c>
    </row>
    <row r="3294" spans="19:32" x14ac:dyDescent="0.35">
      <c r="S3294" s="34">
        <v>3290</v>
      </c>
      <c r="T3294" s="34" t="s">
        <v>4284</v>
      </c>
      <c r="U3294" s="34" t="s">
        <v>2284</v>
      </c>
      <c r="V3294" s="35">
        <v>1.2784274193548388</v>
      </c>
      <c r="W3294" s="13"/>
      <c r="X3294" s="34">
        <v>3290</v>
      </c>
      <c r="Y3294" s="34" t="s">
        <v>2248</v>
      </c>
      <c r="Z3294" s="34" t="s">
        <v>4699</v>
      </c>
      <c r="AA3294" s="35">
        <v>4.0100806451612905E-4</v>
      </c>
      <c r="AB3294" s="13"/>
      <c r="AC3294" s="34">
        <v>3290</v>
      </c>
      <c r="AD3294" s="34" t="s">
        <v>4573</v>
      </c>
      <c r="AE3294" s="34" t="s">
        <v>2382</v>
      </c>
      <c r="AF3294" s="35">
        <v>1.0453629032258065E-4</v>
      </c>
    </row>
    <row r="3295" spans="19:32" x14ac:dyDescent="0.35">
      <c r="S3295" s="34">
        <v>3291</v>
      </c>
      <c r="T3295" s="34" t="s">
        <v>4284</v>
      </c>
      <c r="U3295" s="34" t="s">
        <v>2281</v>
      </c>
      <c r="V3295" s="35">
        <v>9.836693548387098E-7</v>
      </c>
      <c r="W3295" s="13"/>
      <c r="X3295" s="47">
        <v>3291</v>
      </c>
      <c r="Y3295" s="47" t="s">
        <v>2248</v>
      </c>
      <c r="Z3295" s="47" t="s">
        <v>2844</v>
      </c>
      <c r="AA3295" s="48">
        <v>0</v>
      </c>
      <c r="AB3295" s="13"/>
      <c r="AC3295" s="47">
        <v>3291</v>
      </c>
      <c r="AD3295" s="47" t="s">
        <v>4573</v>
      </c>
      <c r="AE3295" s="47" t="s">
        <v>2382</v>
      </c>
      <c r="AF3295" s="56">
        <v>0.45540000000000003</v>
      </c>
    </row>
    <row r="3296" spans="19:32" x14ac:dyDescent="0.35">
      <c r="S3296" s="34">
        <v>3292</v>
      </c>
      <c r="T3296" s="34" t="s">
        <v>4284</v>
      </c>
      <c r="U3296" s="34" t="s">
        <v>2278</v>
      </c>
      <c r="V3296" s="35">
        <v>6.9919354838709679E-11</v>
      </c>
      <c r="W3296" s="13"/>
      <c r="X3296" s="34">
        <v>3292</v>
      </c>
      <c r="Y3296" s="34" t="s">
        <v>2248</v>
      </c>
      <c r="Z3296" s="34" t="s">
        <v>3000</v>
      </c>
      <c r="AA3296" s="35">
        <v>1.6760080645161291E-4</v>
      </c>
      <c r="AB3296" s="13"/>
      <c r="AC3296" s="34">
        <v>3292</v>
      </c>
      <c r="AD3296" s="34" t="s">
        <v>4573</v>
      </c>
      <c r="AE3296" s="34" t="s">
        <v>2381</v>
      </c>
      <c r="AF3296" s="35">
        <v>2.2758064516129032E-4</v>
      </c>
    </row>
    <row r="3297" spans="19:32" x14ac:dyDescent="0.35">
      <c r="S3297" s="34">
        <v>3293</v>
      </c>
      <c r="T3297" s="34" t="s">
        <v>4284</v>
      </c>
      <c r="U3297" s="34" t="s">
        <v>2275</v>
      </c>
      <c r="V3297" s="35">
        <v>9.4596774193548405E-6</v>
      </c>
      <c r="W3297" s="13"/>
      <c r="X3297" s="34">
        <v>3293</v>
      </c>
      <c r="Y3297" s="34" t="s">
        <v>2248</v>
      </c>
      <c r="Z3297" s="34" t="s">
        <v>4698</v>
      </c>
      <c r="AA3297" s="35">
        <v>2.6665322580645165E-5</v>
      </c>
      <c r="AB3297" s="13"/>
      <c r="AC3297" s="47">
        <v>3293</v>
      </c>
      <c r="AD3297" s="47" t="s">
        <v>4573</v>
      </c>
      <c r="AE3297" s="47" t="s">
        <v>2381</v>
      </c>
      <c r="AF3297" s="56">
        <v>1.3708E-2</v>
      </c>
    </row>
    <row r="3298" spans="19:32" x14ac:dyDescent="0.35">
      <c r="S3298" s="47">
        <v>3294</v>
      </c>
      <c r="T3298" s="47" t="s">
        <v>4284</v>
      </c>
      <c r="U3298" s="47" t="s">
        <v>2275</v>
      </c>
      <c r="V3298" s="56">
        <v>0</v>
      </c>
      <c r="W3298" s="13"/>
      <c r="X3298" s="34">
        <v>3294</v>
      </c>
      <c r="Y3298" s="34" t="s">
        <v>2248</v>
      </c>
      <c r="Z3298" s="34" t="s">
        <v>2998</v>
      </c>
      <c r="AA3298" s="35">
        <v>1.0316532258064517E-6</v>
      </c>
      <c r="AB3298" s="13"/>
      <c r="AC3298" s="34">
        <v>3294</v>
      </c>
      <c r="AD3298" s="34" t="s">
        <v>4573</v>
      </c>
      <c r="AE3298" s="34" t="s">
        <v>4407</v>
      </c>
      <c r="AF3298" s="35">
        <v>8.9798387096774197E-3</v>
      </c>
    </row>
    <row r="3299" spans="19:32" x14ac:dyDescent="0.35">
      <c r="S3299" s="34">
        <v>3295</v>
      </c>
      <c r="T3299" s="34" t="s">
        <v>4284</v>
      </c>
      <c r="U3299" s="34" t="s">
        <v>2272</v>
      </c>
      <c r="V3299" s="35">
        <v>2.6014112903225809E-5</v>
      </c>
      <c r="W3299" s="13"/>
      <c r="X3299" s="34">
        <v>3295</v>
      </c>
      <c r="Y3299" s="34" t="s">
        <v>2248</v>
      </c>
      <c r="Z3299" s="34" t="s">
        <v>2995</v>
      </c>
      <c r="AA3299" s="35">
        <v>1.1618951612903227E-3</v>
      </c>
      <c r="AB3299" s="13"/>
      <c r="AC3299" s="34">
        <v>3295</v>
      </c>
      <c r="AD3299" s="34" t="s">
        <v>4573</v>
      </c>
      <c r="AE3299" s="34" t="s">
        <v>3938</v>
      </c>
      <c r="AF3299" s="35">
        <v>2.8447580645161292E-3</v>
      </c>
    </row>
    <row r="3300" spans="19:32" x14ac:dyDescent="0.35">
      <c r="S3300" s="30">
        <v>3296</v>
      </c>
      <c r="T3300" s="30" t="s">
        <v>4284</v>
      </c>
      <c r="U3300" s="30" t="s">
        <v>4697</v>
      </c>
      <c r="V3300" s="31">
        <v>1.4616000000000001E-2</v>
      </c>
      <c r="W3300" s="13"/>
      <c r="X3300" s="34">
        <v>3296</v>
      </c>
      <c r="Y3300" s="34" t="s">
        <v>2248</v>
      </c>
      <c r="Z3300" s="34" t="s">
        <v>4696</v>
      </c>
      <c r="AA3300" s="35">
        <v>2.6870967741935484E-2</v>
      </c>
      <c r="AB3300" s="13"/>
      <c r="AC3300" s="34">
        <v>3296</v>
      </c>
      <c r="AD3300" s="34" t="s">
        <v>4573</v>
      </c>
      <c r="AE3300" s="34" t="s">
        <v>3937</v>
      </c>
      <c r="AF3300" s="35">
        <v>0.83629032258064517</v>
      </c>
    </row>
    <row r="3301" spans="19:32" x14ac:dyDescent="0.35">
      <c r="S3301" s="34">
        <v>3297</v>
      </c>
      <c r="T3301" s="34" t="s">
        <v>4284</v>
      </c>
      <c r="U3301" s="34" t="s">
        <v>2270</v>
      </c>
      <c r="V3301" s="35">
        <v>6.7862903225806453E-5</v>
      </c>
      <c r="W3301" s="13"/>
      <c r="X3301" s="47">
        <v>3297</v>
      </c>
      <c r="Y3301" s="47" t="s">
        <v>2248</v>
      </c>
      <c r="Z3301" s="47" t="s">
        <v>2842</v>
      </c>
      <c r="AA3301" s="48">
        <v>98.44</v>
      </c>
      <c r="AB3301" s="13"/>
      <c r="AC3301" s="34">
        <v>3297</v>
      </c>
      <c r="AD3301" s="34" t="s">
        <v>4573</v>
      </c>
      <c r="AE3301" s="34" t="s">
        <v>3936</v>
      </c>
      <c r="AF3301" s="35">
        <v>2.3512096774193552</v>
      </c>
    </row>
    <row r="3302" spans="19:32" x14ac:dyDescent="0.35">
      <c r="S3302" s="34">
        <v>3298</v>
      </c>
      <c r="T3302" s="34" t="s">
        <v>4284</v>
      </c>
      <c r="U3302" s="34" t="s">
        <v>2267</v>
      </c>
      <c r="V3302" s="35">
        <v>1.9913306451612906E-3</v>
      </c>
      <c r="W3302" s="13"/>
      <c r="X3302" s="34">
        <v>3298</v>
      </c>
      <c r="Y3302" s="34" t="s">
        <v>2248</v>
      </c>
      <c r="Z3302" s="34" t="s">
        <v>2842</v>
      </c>
      <c r="AA3302" s="35">
        <v>0.5346774193548387</v>
      </c>
      <c r="AB3302" s="13"/>
      <c r="AC3302" s="34">
        <v>3298</v>
      </c>
      <c r="AD3302" s="34" t="s">
        <v>4573</v>
      </c>
      <c r="AE3302" s="34" t="s">
        <v>3935</v>
      </c>
      <c r="AF3302" s="35">
        <v>1.5491935483870969</v>
      </c>
    </row>
    <row r="3303" spans="19:32" x14ac:dyDescent="0.35">
      <c r="S3303" s="36">
        <v>3299</v>
      </c>
      <c r="T3303" s="36" t="s">
        <v>4284</v>
      </c>
      <c r="U3303" s="36" t="s">
        <v>2264</v>
      </c>
      <c r="V3303" s="37">
        <v>6.9014999999999995</v>
      </c>
      <c r="W3303" s="13"/>
      <c r="X3303" s="34">
        <v>3299</v>
      </c>
      <c r="Y3303" s="34" t="s">
        <v>2248</v>
      </c>
      <c r="Z3303" s="34" t="s">
        <v>2990</v>
      </c>
      <c r="AA3303" s="35">
        <v>2.5020161290322581E-8</v>
      </c>
      <c r="AB3303" s="13"/>
      <c r="AC3303" s="34">
        <v>3299</v>
      </c>
      <c r="AD3303" s="34" t="s">
        <v>4573</v>
      </c>
      <c r="AE3303" s="34" t="s">
        <v>3933</v>
      </c>
      <c r="AF3303" s="35">
        <v>25.500000000000004</v>
      </c>
    </row>
    <row r="3304" spans="19:32" x14ac:dyDescent="0.35">
      <c r="S3304" s="34">
        <v>3300</v>
      </c>
      <c r="T3304" s="34" t="s">
        <v>4284</v>
      </c>
      <c r="U3304" s="34" t="s">
        <v>2264</v>
      </c>
      <c r="V3304" s="35">
        <v>1.9056451612903227E-5</v>
      </c>
      <c r="W3304" s="13"/>
      <c r="X3304" s="34">
        <v>3300</v>
      </c>
      <c r="Y3304" s="34" t="s">
        <v>2248</v>
      </c>
      <c r="Z3304" s="34" t="s">
        <v>4695</v>
      </c>
      <c r="AA3304" s="35">
        <v>5.5181451612903226E-3</v>
      </c>
      <c r="AB3304" s="13"/>
      <c r="AC3304" s="34">
        <v>3300</v>
      </c>
      <c r="AD3304" s="34" t="s">
        <v>4573</v>
      </c>
      <c r="AE3304" s="34" t="s">
        <v>3932</v>
      </c>
      <c r="AF3304" s="35">
        <v>0.43528225806451615</v>
      </c>
    </row>
    <row r="3305" spans="19:32" x14ac:dyDescent="0.35">
      <c r="S3305" s="47">
        <v>3301</v>
      </c>
      <c r="T3305" s="47" t="s">
        <v>4284</v>
      </c>
      <c r="U3305" s="47" t="s">
        <v>2634</v>
      </c>
      <c r="V3305" s="56">
        <v>9.4759999999999991</v>
      </c>
      <c r="W3305" s="13"/>
      <c r="X3305" s="47">
        <v>3301</v>
      </c>
      <c r="Y3305" s="47" t="s">
        <v>2248</v>
      </c>
      <c r="Z3305" s="47" t="s">
        <v>2841</v>
      </c>
      <c r="AA3305" s="48">
        <v>0</v>
      </c>
      <c r="AB3305" s="13"/>
      <c r="AC3305" s="34">
        <v>3301</v>
      </c>
      <c r="AD3305" s="34" t="s">
        <v>4573</v>
      </c>
      <c r="AE3305" s="34" t="s">
        <v>3931</v>
      </c>
      <c r="AF3305" s="35">
        <v>32.012096774193552</v>
      </c>
    </row>
    <row r="3306" spans="19:32" x14ac:dyDescent="0.35">
      <c r="S3306" s="36">
        <v>3302</v>
      </c>
      <c r="T3306" s="36" t="s">
        <v>4284</v>
      </c>
      <c r="U3306" s="36" t="s">
        <v>2261</v>
      </c>
      <c r="V3306" s="37">
        <v>3.5684499999999999</v>
      </c>
      <c r="W3306" s="13"/>
      <c r="X3306" s="47">
        <v>3302</v>
      </c>
      <c r="Y3306" s="47" t="s">
        <v>2248</v>
      </c>
      <c r="Z3306" s="47" t="s">
        <v>2839</v>
      </c>
      <c r="AA3306" s="48">
        <v>8.3168000000000009E-3</v>
      </c>
      <c r="AB3306" s="13"/>
      <c r="AC3306" s="34">
        <v>3302</v>
      </c>
      <c r="AD3306" s="34" t="s">
        <v>4573</v>
      </c>
      <c r="AE3306" s="34" t="s">
        <v>3930</v>
      </c>
      <c r="AF3306" s="35">
        <v>359.87903225806457</v>
      </c>
    </row>
    <row r="3307" spans="19:32" x14ac:dyDescent="0.35">
      <c r="S3307" s="34">
        <v>3303</v>
      </c>
      <c r="T3307" s="34" t="s">
        <v>4284</v>
      </c>
      <c r="U3307" s="34" t="s">
        <v>2261</v>
      </c>
      <c r="V3307" s="35">
        <v>4.2500000000000001E-7</v>
      </c>
      <c r="W3307" s="13"/>
      <c r="X3307" s="34">
        <v>3303</v>
      </c>
      <c r="Y3307" s="34" t="s">
        <v>2248</v>
      </c>
      <c r="Z3307" s="34" t="s">
        <v>4694</v>
      </c>
      <c r="AA3307" s="35">
        <v>9.5625000000000007E-4</v>
      </c>
      <c r="AB3307" s="13"/>
      <c r="AC3307" s="47">
        <v>3303</v>
      </c>
      <c r="AD3307" s="47" t="s">
        <v>4573</v>
      </c>
      <c r="AE3307" s="47" t="s">
        <v>2379</v>
      </c>
      <c r="AF3307" s="56">
        <v>0</v>
      </c>
    </row>
    <row r="3308" spans="19:32" x14ac:dyDescent="0.35">
      <c r="S3308" s="30">
        <v>3304</v>
      </c>
      <c r="T3308" s="30" t="s">
        <v>4284</v>
      </c>
      <c r="U3308" s="30" t="s">
        <v>4693</v>
      </c>
      <c r="V3308" s="31">
        <v>191.4</v>
      </c>
      <c r="W3308" s="13"/>
      <c r="X3308" s="34">
        <v>3304</v>
      </c>
      <c r="Y3308" s="34" t="s">
        <v>2248</v>
      </c>
      <c r="Z3308" s="34" t="s">
        <v>2988</v>
      </c>
      <c r="AA3308" s="35">
        <v>5.5524193548387099E-3</v>
      </c>
      <c r="AB3308" s="13"/>
      <c r="AC3308" s="47">
        <v>3304</v>
      </c>
      <c r="AD3308" s="47" t="s">
        <v>4573</v>
      </c>
      <c r="AE3308" s="47" t="s">
        <v>2378</v>
      </c>
      <c r="AF3308" s="56">
        <v>0</v>
      </c>
    </row>
    <row r="3309" spans="19:32" x14ac:dyDescent="0.35">
      <c r="S3309" s="36">
        <v>3305</v>
      </c>
      <c r="T3309" s="36" t="s">
        <v>4284</v>
      </c>
      <c r="U3309" s="36" t="s">
        <v>4692</v>
      </c>
      <c r="V3309" s="37">
        <v>3.7931499999999994</v>
      </c>
      <c r="W3309" s="13"/>
      <c r="X3309" s="34">
        <v>3305</v>
      </c>
      <c r="Y3309" s="34" t="s">
        <v>2248</v>
      </c>
      <c r="Z3309" s="34" t="s">
        <v>2985</v>
      </c>
      <c r="AA3309" s="35">
        <v>5.7923387096774194E-3</v>
      </c>
      <c r="AB3309" s="13"/>
      <c r="AC3309" s="34">
        <v>3305</v>
      </c>
      <c r="AD3309" s="34" t="s">
        <v>4573</v>
      </c>
      <c r="AE3309" s="34" t="s">
        <v>3928</v>
      </c>
      <c r="AF3309" s="35">
        <v>5.620967741935484</v>
      </c>
    </row>
    <row r="3310" spans="19:32" x14ac:dyDescent="0.35">
      <c r="S3310" s="36">
        <v>3306</v>
      </c>
      <c r="T3310" s="36" t="s">
        <v>4284</v>
      </c>
      <c r="U3310" s="36" t="s">
        <v>4691</v>
      </c>
      <c r="V3310" s="37">
        <v>4.3281499999999999</v>
      </c>
      <c r="W3310" s="13"/>
      <c r="X3310" s="34">
        <v>3306</v>
      </c>
      <c r="Y3310" s="34" t="s">
        <v>2248</v>
      </c>
      <c r="Z3310" s="34" t="s">
        <v>2982</v>
      </c>
      <c r="AA3310" s="35">
        <v>1.1687500000000002E-2</v>
      </c>
      <c r="AB3310" s="13"/>
      <c r="AC3310" s="34">
        <v>3306</v>
      </c>
      <c r="AD3310" s="34" t="s">
        <v>4573</v>
      </c>
      <c r="AE3310" s="34" t="s">
        <v>3926</v>
      </c>
      <c r="AF3310" s="35">
        <v>1.3812500000000002E-2</v>
      </c>
    </row>
    <row r="3311" spans="19:32" x14ac:dyDescent="0.35">
      <c r="S3311" s="30">
        <v>3307</v>
      </c>
      <c r="T3311" s="30" t="s">
        <v>4284</v>
      </c>
      <c r="U3311" s="30" t="s">
        <v>4690</v>
      </c>
      <c r="V3311" s="31">
        <v>991.80000000000007</v>
      </c>
      <c r="W3311" s="13"/>
      <c r="X3311" s="34">
        <v>3307</v>
      </c>
      <c r="Y3311" s="34" t="s">
        <v>2248</v>
      </c>
      <c r="Z3311" s="34" t="s">
        <v>4689</v>
      </c>
      <c r="AA3311" s="35">
        <v>1.4120967741935485E-4</v>
      </c>
      <c r="AB3311" s="13"/>
      <c r="AC3311" s="34">
        <v>3307</v>
      </c>
      <c r="AD3311" s="34" t="s">
        <v>4573</v>
      </c>
      <c r="AE3311" s="34" t="s">
        <v>3925</v>
      </c>
      <c r="AF3311" s="35">
        <v>0.40443548387096778</v>
      </c>
    </row>
    <row r="3312" spans="19:32" x14ac:dyDescent="0.35">
      <c r="S3312" s="34">
        <v>3308</v>
      </c>
      <c r="T3312" s="34" t="s">
        <v>4284</v>
      </c>
      <c r="U3312" s="34" t="s">
        <v>2259</v>
      </c>
      <c r="V3312" s="35">
        <v>4.2842741935483875E-2</v>
      </c>
      <c r="W3312" s="13"/>
      <c r="X3312" s="34">
        <v>3308</v>
      </c>
      <c r="Y3312" s="34" t="s">
        <v>2248</v>
      </c>
      <c r="Z3312" s="34" t="s">
        <v>2979</v>
      </c>
      <c r="AA3312" s="35">
        <v>8.6370967741935493E-4</v>
      </c>
      <c r="AB3312" s="13"/>
      <c r="AC3312" s="34">
        <v>3308</v>
      </c>
      <c r="AD3312" s="34" t="s">
        <v>4573</v>
      </c>
      <c r="AE3312" s="34" t="s">
        <v>3924</v>
      </c>
      <c r="AF3312" s="35">
        <v>76.431451612903231</v>
      </c>
    </row>
    <row r="3313" spans="19:32" x14ac:dyDescent="0.35">
      <c r="S3313" s="34">
        <v>3309</v>
      </c>
      <c r="T3313" s="34" t="s">
        <v>4284</v>
      </c>
      <c r="U3313" s="34" t="s">
        <v>2256</v>
      </c>
      <c r="V3313" s="35">
        <v>2.0941532258064519E-6</v>
      </c>
      <c r="W3313" s="13"/>
      <c r="X3313" s="34">
        <v>3309</v>
      </c>
      <c r="Y3313" s="34" t="s">
        <v>2248</v>
      </c>
      <c r="Z3313" s="34" t="s">
        <v>2976</v>
      </c>
      <c r="AA3313" s="35">
        <v>3.1155241935483871E-4</v>
      </c>
      <c r="AB3313" s="13"/>
      <c r="AC3313" s="34">
        <v>3309</v>
      </c>
      <c r="AD3313" s="34" t="s">
        <v>4573</v>
      </c>
      <c r="AE3313" s="34" t="s">
        <v>3922</v>
      </c>
      <c r="AF3313" s="35">
        <v>0.1028225806451613</v>
      </c>
    </row>
    <row r="3314" spans="19:32" x14ac:dyDescent="0.35">
      <c r="S3314" s="34">
        <v>3310</v>
      </c>
      <c r="T3314" s="34" t="s">
        <v>4284</v>
      </c>
      <c r="U3314" s="34" t="s">
        <v>2253</v>
      </c>
      <c r="V3314" s="35">
        <v>9.6310483870967755E-4</v>
      </c>
      <c r="W3314" s="13"/>
      <c r="X3314" s="47">
        <v>3310</v>
      </c>
      <c r="Y3314" s="47" t="s">
        <v>2248</v>
      </c>
      <c r="Z3314" s="47" t="s">
        <v>4688</v>
      </c>
      <c r="AA3314" s="48">
        <v>2.9304435483870975E-4</v>
      </c>
      <c r="AB3314" s="13"/>
      <c r="AC3314" s="47">
        <v>3310</v>
      </c>
      <c r="AD3314" s="47" t="s">
        <v>4573</v>
      </c>
      <c r="AE3314" s="47" t="s">
        <v>2376</v>
      </c>
      <c r="AF3314" s="56">
        <v>7.7647999999999995E-2</v>
      </c>
    </row>
    <row r="3315" spans="19:32" x14ac:dyDescent="0.35">
      <c r="S3315" s="34">
        <v>3311</v>
      </c>
      <c r="T3315" s="34" t="s">
        <v>4284</v>
      </c>
      <c r="U3315" s="34" t="s">
        <v>2250</v>
      </c>
      <c r="V3315" s="35">
        <v>2.4197580645161291E-4</v>
      </c>
      <c r="W3315" s="13"/>
      <c r="X3315" s="34">
        <v>3311</v>
      </c>
      <c r="Y3315" s="34" t="s">
        <v>2248</v>
      </c>
      <c r="Z3315" s="34" t="s">
        <v>2974</v>
      </c>
      <c r="AA3315" s="35">
        <v>0.31052419354838712</v>
      </c>
      <c r="AB3315" s="13"/>
      <c r="AC3315" s="34">
        <v>3311</v>
      </c>
      <c r="AD3315" s="34" t="s">
        <v>4573</v>
      </c>
      <c r="AE3315" s="34" t="s">
        <v>3920</v>
      </c>
      <c r="AF3315" s="35">
        <v>16.2116935483871</v>
      </c>
    </row>
    <row r="3316" spans="19:32" x14ac:dyDescent="0.35">
      <c r="S3316" s="34">
        <v>3312</v>
      </c>
      <c r="T3316" s="34" t="s">
        <v>4284</v>
      </c>
      <c r="U3316" s="34" t="s">
        <v>4389</v>
      </c>
      <c r="V3316" s="35">
        <v>2.6802419354838712E-5</v>
      </c>
      <c r="W3316" s="13"/>
      <c r="X3316" s="34">
        <v>3312</v>
      </c>
      <c r="Y3316" s="34" t="s">
        <v>2248</v>
      </c>
      <c r="Z3316" s="34" t="s">
        <v>2971</v>
      </c>
      <c r="AA3316" s="35">
        <v>1.4497983870967743E-3</v>
      </c>
      <c r="AB3316" s="13"/>
      <c r="AC3316" s="34">
        <v>3312</v>
      </c>
      <c r="AD3316" s="34" t="s">
        <v>4573</v>
      </c>
      <c r="AE3316" s="34" t="s">
        <v>3919</v>
      </c>
      <c r="AF3316" s="35">
        <v>2.2072580645161293</v>
      </c>
    </row>
    <row r="3317" spans="19:32" x14ac:dyDescent="0.35">
      <c r="S3317" s="34">
        <v>3313</v>
      </c>
      <c r="T3317" s="34" t="s">
        <v>4284</v>
      </c>
      <c r="U3317" s="34" t="s">
        <v>4387</v>
      </c>
      <c r="V3317" s="35">
        <v>7.7459677419354842E-6</v>
      </c>
      <c r="W3317" s="13"/>
      <c r="X3317" s="47">
        <v>3313</v>
      </c>
      <c r="Y3317" s="47" t="s">
        <v>2248</v>
      </c>
      <c r="Z3317" s="47" t="s">
        <v>4687</v>
      </c>
      <c r="AA3317" s="48">
        <v>0.13195564516129032</v>
      </c>
      <c r="AB3317" s="13"/>
      <c r="AC3317" s="34">
        <v>3313</v>
      </c>
      <c r="AD3317" s="34" t="s">
        <v>4573</v>
      </c>
      <c r="AE3317" s="34" t="s">
        <v>2375</v>
      </c>
      <c r="AF3317" s="35">
        <v>7.2318548387096783E-3</v>
      </c>
    </row>
    <row r="3318" spans="19:32" x14ac:dyDescent="0.35">
      <c r="S3318" s="30">
        <v>3314</v>
      </c>
      <c r="T3318" s="30" t="s">
        <v>4284</v>
      </c>
      <c r="U3318" s="30" t="s">
        <v>4686</v>
      </c>
      <c r="V3318" s="31">
        <v>1.508</v>
      </c>
      <c r="W3318" s="13"/>
      <c r="X3318" s="47">
        <v>3314</v>
      </c>
      <c r="Y3318" s="47" t="s">
        <v>2248</v>
      </c>
      <c r="Z3318" s="47" t="s">
        <v>2838</v>
      </c>
      <c r="AA3318" s="48">
        <v>7.3507999999999996</v>
      </c>
      <c r="AB3318" s="13"/>
      <c r="AC3318" s="47">
        <v>3314</v>
      </c>
      <c r="AD3318" s="47" t="s">
        <v>4573</v>
      </c>
      <c r="AE3318" s="47" t="s">
        <v>2375</v>
      </c>
      <c r="AF3318" s="56">
        <v>0</v>
      </c>
    </row>
    <row r="3319" spans="19:32" x14ac:dyDescent="0.35">
      <c r="S3319" s="30">
        <v>3315</v>
      </c>
      <c r="T3319" s="30" t="s">
        <v>4284</v>
      </c>
      <c r="U3319" s="30" t="s">
        <v>4685</v>
      </c>
      <c r="V3319" s="31">
        <v>1.1565199999999999E-2</v>
      </c>
      <c r="W3319" s="13"/>
      <c r="X3319" s="34">
        <v>3315</v>
      </c>
      <c r="Y3319" s="34" t="s">
        <v>2248</v>
      </c>
      <c r="Z3319" s="34" t="s">
        <v>2968</v>
      </c>
      <c r="AA3319" s="35">
        <v>2.6973790322580647E-2</v>
      </c>
      <c r="AB3319" s="13"/>
      <c r="AC3319" s="34">
        <v>3315</v>
      </c>
      <c r="AD3319" s="34" t="s">
        <v>4573</v>
      </c>
      <c r="AE3319" s="34" t="s">
        <v>3918</v>
      </c>
      <c r="AF3319" s="35">
        <v>0.12201612903225807</v>
      </c>
    </row>
    <row r="3320" spans="19:32" x14ac:dyDescent="0.35">
      <c r="S3320" s="34">
        <v>3316</v>
      </c>
      <c r="T3320" s="34" t="s">
        <v>4284</v>
      </c>
      <c r="U3320" s="34" t="s">
        <v>4386</v>
      </c>
      <c r="V3320" s="35">
        <v>7.4375000000000005E-3</v>
      </c>
      <c r="W3320" s="13"/>
      <c r="X3320" s="34">
        <v>3316</v>
      </c>
      <c r="Y3320" s="34" t="s">
        <v>2248</v>
      </c>
      <c r="Z3320" s="34" t="s">
        <v>2965</v>
      </c>
      <c r="AA3320" s="35">
        <v>6.7520161290322584E-4</v>
      </c>
      <c r="AB3320" s="13"/>
      <c r="AC3320" s="34">
        <v>3316</v>
      </c>
      <c r="AD3320" s="34" t="s">
        <v>4573</v>
      </c>
      <c r="AE3320" s="34" t="s">
        <v>3917</v>
      </c>
      <c r="AF3320" s="35">
        <v>4.3185483870967746E-4</v>
      </c>
    </row>
    <row r="3321" spans="19:32" x14ac:dyDescent="0.35">
      <c r="S3321" s="34">
        <v>3317</v>
      </c>
      <c r="T3321" s="34" t="s">
        <v>4284</v>
      </c>
      <c r="U3321" s="34" t="s">
        <v>4384</v>
      </c>
      <c r="V3321" s="35">
        <v>1.6554435483870971E-6</v>
      </c>
      <c r="W3321" s="13"/>
      <c r="X3321" s="47">
        <v>3317</v>
      </c>
      <c r="Y3321" s="47" t="s">
        <v>2248</v>
      </c>
      <c r="Z3321" s="47" t="s">
        <v>3345</v>
      </c>
      <c r="AA3321" s="48">
        <v>4.3185483870967746E-4</v>
      </c>
      <c r="AB3321" s="13"/>
      <c r="AC3321" s="34">
        <v>3317</v>
      </c>
      <c r="AD3321" s="34" t="s">
        <v>4573</v>
      </c>
      <c r="AE3321" s="34" t="s">
        <v>3916</v>
      </c>
      <c r="AF3321" s="35">
        <v>5.0040322580645169</v>
      </c>
    </row>
    <row r="3322" spans="19:32" x14ac:dyDescent="0.35">
      <c r="S3322" s="34">
        <v>3318</v>
      </c>
      <c r="T3322" s="34" t="s">
        <v>4284</v>
      </c>
      <c r="U3322" s="34" t="s">
        <v>4383</v>
      </c>
      <c r="V3322" s="35">
        <v>5.3125000000000004E-6</v>
      </c>
      <c r="W3322" s="13"/>
      <c r="X3322" s="34">
        <v>3318</v>
      </c>
      <c r="Y3322" s="34" t="s">
        <v>2248</v>
      </c>
      <c r="Z3322" s="34" t="s">
        <v>2963</v>
      </c>
      <c r="AA3322" s="35">
        <v>2.9167338709677422E-5</v>
      </c>
      <c r="AB3322" s="13"/>
      <c r="AC3322" s="34">
        <v>3318</v>
      </c>
      <c r="AD3322" s="34" t="s">
        <v>4573</v>
      </c>
      <c r="AE3322" s="34" t="s">
        <v>3915</v>
      </c>
      <c r="AF3322" s="35">
        <v>1.4258064516129033E-2</v>
      </c>
    </row>
    <row r="3323" spans="19:32" x14ac:dyDescent="0.35">
      <c r="S3323" s="34">
        <v>3319</v>
      </c>
      <c r="T3323" s="34" t="s">
        <v>4284</v>
      </c>
      <c r="U3323" s="34" t="s">
        <v>4381</v>
      </c>
      <c r="V3323" s="35">
        <v>1.7891129032258067E-3</v>
      </c>
      <c r="W3323" s="13"/>
      <c r="X3323" s="84">
        <v>3319</v>
      </c>
      <c r="Y3323" s="84" t="s">
        <v>2248</v>
      </c>
      <c r="Z3323" s="84" t="s">
        <v>2960</v>
      </c>
      <c r="AA3323" s="85">
        <v>2.7693548387096778E-4</v>
      </c>
      <c r="AB3323" s="13"/>
      <c r="AC3323" s="34">
        <v>3319</v>
      </c>
      <c r="AD3323" s="34" t="s">
        <v>4573</v>
      </c>
      <c r="AE3323" s="34" t="s">
        <v>3914</v>
      </c>
      <c r="AF3323" s="35">
        <v>0.45584677419354841</v>
      </c>
    </row>
    <row r="3324" spans="19:32" x14ac:dyDescent="0.35">
      <c r="S3324" s="30">
        <v>3320</v>
      </c>
      <c r="T3324" s="30" t="s">
        <v>4284</v>
      </c>
      <c r="U3324" s="30" t="s">
        <v>4684</v>
      </c>
      <c r="V3324" s="31">
        <v>1.06024E-2</v>
      </c>
      <c r="W3324" s="13"/>
      <c r="X3324" s="34">
        <v>3320</v>
      </c>
      <c r="Y3324" s="34" t="s">
        <v>2248</v>
      </c>
      <c r="Z3324" s="34" t="s">
        <v>4683</v>
      </c>
      <c r="AA3324" s="35">
        <v>4.8326612903225813E-3</v>
      </c>
      <c r="AB3324" s="13"/>
      <c r="AC3324" s="34">
        <v>3320</v>
      </c>
      <c r="AD3324" s="34" t="s">
        <v>4573</v>
      </c>
      <c r="AE3324" s="34" t="s">
        <v>3913</v>
      </c>
      <c r="AF3324" s="35">
        <v>6.7520161290322584E-3</v>
      </c>
    </row>
    <row r="3325" spans="19:32" x14ac:dyDescent="0.35">
      <c r="S3325" s="30">
        <v>3321</v>
      </c>
      <c r="T3325" s="30" t="s">
        <v>4284</v>
      </c>
      <c r="U3325" s="30" t="s">
        <v>4682</v>
      </c>
      <c r="V3325" s="31">
        <v>0.23200000000000001</v>
      </c>
      <c r="W3325" s="13"/>
      <c r="X3325" s="34">
        <v>3321</v>
      </c>
      <c r="Y3325" s="34" t="s">
        <v>2248</v>
      </c>
      <c r="Z3325" s="34" t="s">
        <v>2957</v>
      </c>
      <c r="AA3325" s="35">
        <v>2.6768145161290325E-5</v>
      </c>
      <c r="AB3325" s="13"/>
      <c r="AC3325" s="34">
        <v>3321</v>
      </c>
      <c r="AD3325" s="34" t="s">
        <v>4573</v>
      </c>
      <c r="AE3325" s="34" t="s">
        <v>3912</v>
      </c>
      <c r="AF3325" s="35">
        <v>2.8790322580645165</v>
      </c>
    </row>
    <row r="3326" spans="19:32" x14ac:dyDescent="0.35">
      <c r="S3326" s="30">
        <v>3322</v>
      </c>
      <c r="T3326" s="30" t="s">
        <v>4284</v>
      </c>
      <c r="U3326" s="30" t="s">
        <v>4681</v>
      </c>
      <c r="V3326" s="31">
        <v>4.1644000000000002E-4</v>
      </c>
      <c r="W3326" s="13"/>
      <c r="X3326" s="47">
        <v>3322</v>
      </c>
      <c r="Y3326" s="47" t="s">
        <v>2248</v>
      </c>
      <c r="Z3326" s="47" t="s">
        <v>2836</v>
      </c>
      <c r="AA3326" s="48">
        <v>0</v>
      </c>
      <c r="AB3326" s="13"/>
      <c r="AC3326" s="34">
        <v>3322</v>
      </c>
      <c r="AD3326" s="34" t="s">
        <v>4573</v>
      </c>
      <c r="AE3326" s="34" t="s">
        <v>3911</v>
      </c>
      <c r="AF3326" s="35">
        <v>2.2278225806451615</v>
      </c>
    </row>
    <row r="3327" spans="19:32" x14ac:dyDescent="0.35">
      <c r="S3327" s="30">
        <v>3323</v>
      </c>
      <c r="T3327" s="30" t="s">
        <v>4284</v>
      </c>
      <c r="U3327" s="30" t="s">
        <v>4680</v>
      </c>
      <c r="V3327" s="31">
        <v>0.23200000000000001</v>
      </c>
      <c r="W3327" s="13"/>
      <c r="X3327" s="34">
        <v>3323</v>
      </c>
      <c r="Y3327" s="34" t="s">
        <v>2248</v>
      </c>
      <c r="Z3327" s="34" t="s">
        <v>2954</v>
      </c>
      <c r="AA3327" s="35">
        <v>8.6370967741935492E-2</v>
      </c>
      <c r="AB3327" s="13"/>
      <c r="AC3327" s="34">
        <v>3323</v>
      </c>
      <c r="AD3327" s="34" t="s">
        <v>4573</v>
      </c>
      <c r="AE3327" s="34" t="s">
        <v>3910</v>
      </c>
      <c r="AF3327" s="35">
        <v>5.7923387096774199</v>
      </c>
    </row>
    <row r="3328" spans="19:32" x14ac:dyDescent="0.35">
      <c r="S3328" s="30">
        <v>3324</v>
      </c>
      <c r="T3328" s="30" t="s">
        <v>4284</v>
      </c>
      <c r="U3328" s="30" t="s">
        <v>4679</v>
      </c>
      <c r="V3328" s="31">
        <v>834.04000000000008</v>
      </c>
      <c r="W3328" s="13"/>
      <c r="X3328" s="47">
        <v>3324</v>
      </c>
      <c r="Y3328" s="47" t="s">
        <v>2248</v>
      </c>
      <c r="Z3328" s="47" t="s">
        <v>4678</v>
      </c>
      <c r="AA3328" s="48">
        <v>2.7179435483870971E-5</v>
      </c>
      <c r="AB3328" s="13"/>
      <c r="AC3328" s="34">
        <v>3324</v>
      </c>
      <c r="AD3328" s="34" t="s">
        <v>4573</v>
      </c>
      <c r="AE3328" s="34" t="s">
        <v>3909</v>
      </c>
      <c r="AF3328" s="35">
        <v>7.7116935483870974E-3</v>
      </c>
    </row>
    <row r="3329" spans="19:32" x14ac:dyDescent="0.35">
      <c r="S3329" s="30">
        <v>3325</v>
      </c>
      <c r="T3329" s="30" t="s">
        <v>4284</v>
      </c>
      <c r="U3329" s="30" t="s">
        <v>4677</v>
      </c>
      <c r="V3329" s="31">
        <v>729.64</v>
      </c>
      <c r="W3329" s="13"/>
      <c r="X3329" s="34">
        <v>3325</v>
      </c>
      <c r="Y3329" s="34" t="s">
        <v>2248</v>
      </c>
      <c r="Z3329" s="34" t="s">
        <v>2951</v>
      </c>
      <c r="AA3329" s="35">
        <v>2.4437500000000001E-2</v>
      </c>
      <c r="AB3329" s="13"/>
      <c r="AC3329" s="34">
        <v>3325</v>
      </c>
      <c r="AD3329" s="34" t="s">
        <v>4573</v>
      </c>
      <c r="AE3329" s="34" t="s">
        <v>4672</v>
      </c>
      <c r="AF3329" s="35">
        <v>4.181451612903226</v>
      </c>
    </row>
    <row r="3330" spans="19:32" x14ac:dyDescent="0.35">
      <c r="S3330" s="30">
        <v>3326</v>
      </c>
      <c r="T3330" s="30" t="s">
        <v>4284</v>
      </c>
      <c r="U3330" s="30" t="s">
        <v>4676</v>
      </c>
      <c r="V3330" s="31">
        <v>907.12</v>
      </c>
      <c r="W3330" s="13"/>
      <c r="X3330" s="34">
        <v>3326</v>
      </c>
      <c r="Y3330" s="34" t="s">
        <v>2248</v>
      </c>
      <c r="Z3330" s="34" t="s">
        <v>4675</v>
      </c>
      <c r="AA3330" s="35">
        <v>6.6491935483870973E-3</v>
      </c>
      <c r="AB3330" s="13"/>
      <c r="AC3330" s="47">
        <v>3326</v>
      </c>
      <c r="AD3330" s="47" t="s">
        <v>4573</v>
      </c>
      <c r="AE3330" s="47" t="s">
        <v>4672</v>
      </c>
      <c r="AF3330" s="56">
        <v>1.1867999999999999</v>
      </c>
    </row>
    <row r="3331" spans="19:32" x14ac:dyDescent="0.35">
      <c r="S3331" s="30">
        <v>3327</v>
      </c>
      <c r="T3331" s="30" t="s">
        <v>4284</v>
      </c>
      <c r="U3331" s="30" t="s">
        <v>4674</v>
      </c>
      <c r="V3331" s="31">
        <v>8.1200000000000005E-3</v>
      </c>
      <c r="W3331" s="13"/>
      <c r="X3331" s="47">
        <v>3327</v>
      </c>
      <c r="Y3331" s="47" t="s">
        <v>2248</v>
      </c>
      <c r="Z3331" s="47" t="s">
        <v>2834</v>
      </c>
      <c r="AA3331" s="48">
        <v>0</v>
      </c>
      <c r="AB3331" s="13"/>
      <c r="AC3331" s="34">
        <v>3327</v>
      </c>
      <c r="AD3331" s="34" t="s">
        <v>4573</v>
      </c>
      <c r="AE3331" s="34" t="s">
        <v>3908</v>
      </c>
      <c r="AF3331" s="35">
        <v>5.1411290322580649</v>
      </c>
    </row>
    <row r="3332" spans="19:32" x14ac:dyDescent="0.35">
      <c r="S3332" s="34">
        <v>3328</v>
      </c>
      <c r="T3332" s="34" t="s">
        <v>4284</v>
      </c>
      <c r="U3332" s="34" t="s">
        <v>4380</v>
      </c>
      <c r="V3332" s="35">
        <v>0.3530241935483871</v>
      </c>
      <c r="W3332" s="13"/>
      <c r="X3332" s="34">
        <v>3328</v>
      </c>
      <c r="Y3332" s="34" t="s">
        <v>2248</v>
      </c>
      <c r="Z3332" s="34" t="s">
        <v>2949</v>
      </c>
      <c r="AA3332" s="35">
        <v>1.1995967741935485E-3</v>
      </c>
      <c r="AB3332" s="13"/>
      <c r="AC3332" s="34">
        <v>3328</v>
      </c>
      <c r="AD3332" s="34" t="s">
        <v>4573</v>
      </c>
      <c r="AE3332" s="34" t="s">
        <v>3907</v>
      </c>
      <c r="AF3332" s="35">
        <v>8.5342741935483871E-3</v>
      </c>
    </row>
    <row r="3333" spans="19:32" x14ac:dyDescent="0.35">
      <c r="S3333" s="47">
        <v>3329</v>
      </c>
      <c r="T3333" s="47" t="s">
        <v>4284</v>
      </c>
      <c r="U3333" s="47" t="s">
        <v>2632</v>
      </c>
      <c r="V3333" s="56">
        <v>0</v>
      </c>
      <c r="W3333" s="13"/>
      <c r="X3333" s="47">
        <v>3329</v>
      </c>
      <c r="Y3333" s="47" t="s">
        <v>2248</v>
      </c>
      <c r="Z3333" s="47" t="s">
        <v>4673</v>
      </c>
      <c r="AA3333" s="48">
        <v>1.501209677419355E-4</v>
      </c>
      <c r="AB3333" s="13"/>
      <c r="AC3333" s="34">
        <v>3329</v>
      </c>
      <c r="AD3333" s="34" t="s">
        <v>4573</v>
      </c>
      <c r="AE3333" s="34" t="s">
        <v>2373</v>
      </c>
      <c r="AF3333" s="35">
        <v>0.44899193548387101</v>
      </c>
    </row>
    <row r="3334" spans="19:32" x14ac:dyDescent="0.35">
      <c r="S3334" s="47">
        <v>3330</v>
      </c>
      <c r="T3334" s="47" t="s">
        <v>4284</v>
      </c>
      <c r="U3334" s="47" t="s">
        <v>2631</v>
      </c>
      <c r="V3334" s="56">
        <v>206.07999999999998</v>
      </c>
      <c r="W3334" s="13"/>
      <c r="X3334" s="47">
        <v>3330</v>
      </c>
      <c r="Y3334" s="47" t="s">
        <v>2248</v>
      </c>
      <c r="Z3334" s="47" t="s">
        <v>2833</v>
      </c>
      <c r="AA3334" s="48">
        <v>0</v>
      </c>
      <c r="AB3334" s="13"/>
      <c r="AC3334" s="47">
        <v>3330</v>
      </c>
      <c r="AD3334" s="47" t="s">
        <v>4573</v>
      </c>
      <c r="AE3334" s="47" t="s">
        <v>2373</v>
      </c>
      <c r="AF3334" s="56">
        <v>0</v>
      </c>
    </row>
    <row r="3335" spans="19:32" x14ac:dyDescent="0.35">
      <c r="S3335" s="34">
        <v>3331</v>
      </c>
      <c r="T3335" s="34" t="s">
        <v>4284</v>
      </c>
      <c r="U3335" s="34" t="s">
        <v>4378</v>
      </c>
      <c r="V3335" s="35">
        <v>6.8205645161290333E-5</v>
      </c>
      <c r="W3335" s="13"/>
      <c r="X3335" s="34">
        <v>3331</v>
      </c>
      <c r="Y3335" s="34" t="s">
        <v>2248</v>
      </c>
      <c r="Z3335" s="34" t="s">
        <v>2833</v>
      </c>
      <c r="AA3335" s="35">
        <v>2.2209677419354839E-3</v>
      </c>
      <c r="AB3335" s="13"/>
      <c r="AC3335" s="34">
        <v>3331</v>
      </c>
      <c r="AD3335" s="34" t="s">
        <v>4573</v>
      </c>
      <c r="AE3335" s="34" t="s">
        <v>2371</v>
      </c>
      <c r="AF3335" s="35">
        <v>1.8850806451612905</v>
      </c>
    </row>
    <row r="3336" spans="19:32" x14ac:dyDescent="0.35">
      <c r="S3336" s="34">
        <v>3332</v>
      </c>
      <c r="T3336" s="34" t="s">
        <v>4284</v>
      </c>
      <c r="U3336" s="34" t="s">
        <v>4376</v>
      </c>
      <c r="V3336" s="35">
        <v>2.9098790322580647E-4</v>
      </c>
      <c r="W3336" s="13"/>
      <c r="X3336" s="34">
        <v>3332</v>
      </c>
      <c r="Y3336" s="34" t="s">
        <v>2248</v>
      </c>
      <c r="Z3336" s="34" t="s">
        <v>4671</v>
      </c>
      <c r="AA3336" s="35">
        <v>2.0564516129032259E-3</v>
      </c>
      <c r="AB3336" s="13"/>
      <c r="AC3336" s="47">
        <v>3332</v>
      </c>
      <c r="AD3336" s="47" t="s">
        <v>4573</v>
      </c>
      <c r="AE3336" s="47" t="s">
        <v>2371</v>
      </c>
      <c r="AF3336" s="56">
        <v>0</v>
      </c>
    </row>
    <row r="3337" spans="19:32" x14ac:dyDescent="0.35">
      <c r="S3337" s="34">
        <v>3333</v>
      </c>
      <c r="T3337" s="34" t="s">
        <v>4284</v>
      </c>
      <c r="U3337" s="34" t="s">
        <v>4375</v>
      </c>
      <c r="V3337" s="35">
        <v>3.3760080645161292E-4</v>
      </c>
      <c r="W3337" s="13"/>
      <c r="X3337" s="47">
        <v>3333</v>
      </c>
      <c r="Y3337" s="47" t="s">
        <v>2248</v>
      </c>
      <c r="Z3337" s="47" t="s">
        <v>2831</v>
      </c>
      <c r="AA3337" s="48">
        <v>0.67619999999999991</v>
      </c>
      <c r="AB3337" s="13"/>
      <c r="AC3337" s="34">
        <v>3333</v>
      </c>
      <c r="AD3337" s="34" t="s">
        <v>4573</v>
      </c>
      <c r="AE3337" s="34" t="s">
        <v>3905</v>
      </c>
      <c r="AF3337" s="35">
        <v>4.5927419354838714E-4</v>
      </c>
    </row>
    <row r="3338" spans="19:32" x14ac:dyDescent="0.35">
      <c r="S3338" s="30">
        <v>3334</v>
      </c>
      <c r="T3338" s="30" t="s">
        <v>4284</v>
      </c>
      <c r="U3338" s="30" t="s">
        <v>4670</v>
      </c>
      <c r="V3338" s="31">
        <v>1126.3600000000001</v>
      </c>
      <c r="W3338" s="13"/>
      <c r="X3338" s="34">
        <v>3334</v>
      </c>
      <c r="Y3338" s="34" t="s">
        <v>2248</v>
      </c>
      <c r="Z3338" s="34" t="s">
        <v>2831</v>
      </c>
      <c r="AA3338" s="35">
        <v>4.1129032258064518E-5</v>
      </c>
      <c r="AB3338" s="13"/>
      <c r="AC3338" s="34">
        <v>3334</v>
      </c>
      <c r="AD3338" s="34" t="s">
        <v>4573</v>
      </c>
      <c r="AE3338" s="34" t="s">
        <v>3904</v>
      </c>
      <c r="AF3338" s="35">
        <v>1.2030241935483872</v>
      </c>
    </row>
    <row r="3339" spans="19:32" x14ac:dyDescent="0.35">
      <c r="S3339" s="47">
        <v>3335</v>
      </c>
      <c r="T3339" s="47" t="s">
        <v>4284</v>
      </c>
      <c r="U3339" s="47" t="s">
        <v>2629</v>
      </c>
      <c r="V3339" s="56">
        <v>8.2248000000000002E-2</v>
      </c>
      <c r="W3339" s="13"/>
      <c r="X3339" s="47">
        <v>3335</v>
      </c>
      <c r="Y3339" s="47" t="s">
        <v>2248</v>
      </c>
      <c r="Z3339" s="47" t="s">
        <v>4669</v>
      </c>
      <c r="AA3339" s="48">
        <v>0.13572580645161292</v>
      </c>
      <c r="AB3339" s="13"/>
      <c r="AC3339" s="34">
        <v>3335</v>
      </c>
      <c r="AD3339" s="34" t="s">
        <v>4573</v>
      </c>
      <c r="AE3339" s="34" t="s">
        <v>3903</v>
      </c>
      <c r="AF3339" s="35">
        <v>0.60665322580645165</v>
      </c>
    </row>
    <row r="3340" spans="19:32" x14ac:dyDescent="0.35">
      <c r="S3340" s="34">
        <v>3336</v>
      </c>
      <c r="T3340" s="34" t="s">
        <v>4284</v>
      </c>
      <c r="U3340" s="34" t="s">
        <v>2627</v>
      </c>
      <c r="V3340" s="35">
        <v>3.6673387096774197E-3</v>
      </c>
      <c r="W3340" s="13"/>
      <c r="X3340" s="47">
        <v>3336</v>
      </c>
      <c r="Y3340" s="47" t="s">
        <v>2248</v>
      </c>
      <c r="Z3340" s="47" t="s">
        <v>2830</v>
      </c>
      <c r="AA3340" s="48">
        <v>0</v>
      </c>
      <c r="AB3340" s="13"/>
      <c r="AC3340" s="34">
        <v>3336</v>
      </c>
      <c r="AD3340" s="34" t="s">
        <v>4573</v>
      </c>
      <c r="AE3340" s="34" t="s">
        <v>3902</v>
      </c>
      <c r="AF3340" s="35">
        <v>2.9064516129032261</v>
      </c>
    </row>
    <row r="3341" spans="19:32" x14ac:dyDescent="0.35">
      <c r="S3341" s="47">
        <v>3337</v>
      </c>
      <c r="T3341" s="47" t="s">
        <v>4284</v>
      </c>
      <c r="U3341" s="47" t="s">
        <v>2627</v>
      </c>
      <c r="V3341" s="56">
        <v>3.1556000000000002</v>
      </c>
      <c r="W3341" s="13"/>
      <c r="X3341" s="47">
        <v>3337</v>
      </c>
      <c r="Y3341" s="47" t="s">
        <v>2248</v>
      </c>
      <c r="Z3341" s="47" t="s">
        <v>4668</v>
      </c>
      <c r="AA3341" s="48">
        <v>6.8205645161290322E-4</v>
      </c>
      <c r="AB3341" s="13"/>
      <c r="AC3341" s="34">
        <v>3337</v>
      </c>
      <c r="AD3341" s="34" t="s">
        <v>4573</v>
      </c>
      <c r="AE3341" s="34" t="s">
        <v>3901</v>
      </c>
      <c r="AF3341" s="35">
        <v>3.4274193548387101E-4</v>
      </c>
    </row>
    <row r="3342" spans="19:32" x14ac:dyDescent="0.35">
      <c r="S3342" s="34">
        <v>3338</v>
      </c>
      <c r="T3342" s="34" t="s">
        <v>4284</v>
      </c>
      <c r="U3342" s="34" t="s">
        <v>4372</v>
      </c>
      <c r="V3342" s="35">
        <v>1.1070564516129032E-3</v>
      </c>
      <c r="W3342" s="13"/>
      <c r="X3342" s="47">
        <v>3338</v>
      </c>
      <c r="Y3342" s="47" t="s">
        <v>2248</v>
      </c>
      <c r="Z3342" s="47" t="s">
        <v>2829</v>
      </c>
      <c r="AA3342" s="48">
        <v>1.3248</v>
      </c>
      <c r="AB3342" s="13"/>
      <c r="AC3342" s="34">
        <v>3338</v>
      </c>
      <c r="AD3342" s="34" t="s">
        <v>4573</v>
      </c>
      <c r="AE3342" s="34" t="s">
        <v>3899</v>
      </c>
      <c r="AF3342" s="35">
        <v>1.8131048387096775E-2</v>
      </c>
    </row>
    <row r="3343" spans="19:32" x14ac:dyDescent="0.35">
      <c r="S3343" s="34">
        <v>3339</v>
      </c>
      <c r="T3343" s="34" t="s">
        <v>4284</v>
      </c>
      <c r="U3343" s="34" t="s">
        <v>4371</v>
      </c>
      <c r="V3343" s="35">
        <v>1.3606854838709678E-2</v>
      </c>
      <c r="W3343" s="13"/>
      <c r="X3343" s="47">
        <v>3339</v>
      </c>
      <c r="Y3343" s="47" t="s">
        <v>2248</v>
      </c>
      <c r="Z3343" s="47" t="s">
        <v>4667</v>
      </c>
      <c r="AA3343" s="48">
        <v>0.92197580645161292</v>
      </c>
      <c r="AB3343" s="13"/>
      <c r="AC3343" s="47">
        <v>3339</v>
      </c>
      <c r="AD3343" s="47" t="s">
        <v>4573</v>
      </c>
      <c r="AE3343" s="47" t="s">
        <v>2370</v>
      </c>
      <c r="AF3343" s="56">
        <v>0.58511999999999997</v>
      </c>
    </row>
    <row r="3344" spans="19:32" x14ac:dyDescent="0.35">
      <c r="S3344" s="34">
        <v>3340</v>
      </c>
      <c r="T3344" s="34" t="s">
        <v>4284</v>
      </c>
      <c r="U3344" s="34" t="s">
        <v>4369</v>
      </c>
      <c r="V3344" s="35">
        <v>8.362903225806452E-4</v>
      </c>
      <c r="W3344" s="13"/>
      <c r="X3344" s="47">
        <v>3340</v>
      </c>
      <c r="Y3344" s="47" t="s">
        <v>2248</v>
      </c>
      <c r="Z3344" s="47" t="s">
        <v>2828</v>
      </c>
      <c r="AA3344" s="48">
        <v>0.14351999999999998</v>
      </c>
      <c r="AB3344" s="13"/>
      <c r="AC3344" s="47">
        <v>3340</v>
      </c>
      <c r="AD3344" s="47" t="s">
        <v>4573</v>
      </c>
      <c r="AE3344" s="47" t="s">
        <v>2368</v>
      </c>
      <c r="AF3344" s="56">
        <v>3.9008000000000003</v>
      </c>
    </row>
    <row r="3345" spans="19:32" x14ac:dyDescent="0.35">
      <c r="S3345" s="47">
        <v>3341</v>
      </c>
      <c r="T3345" s="47" t="s">
        <v>4284</v>
      </c>
      <c r="U3345" s="47" t="s">
        <v>2626</v>
      </c>
      <c r="V3345" s="56">
        <v>4.6000000000000005</v>
      </c>
      <c r="W3345" s="13"/>
      <c r="X3345" s="34">
        <v>3341</v>
      </c>
      <c r="Y3345" s="34" t="s">
        <v>2248</v>
      </c>
      <c r="Z3345" s="34" t="s">
        <v>2828</v>
      </c>
      <c r="AA3345" s="35">
        <v>2.5637096774193554E-4</v>
      </c>
      <c r="AB3345" s="13"/>
      <c r="AC3345" s="34">
        <v>3341</v>
      </c>
      <c r="AD3345" s="34" t="s">
        <v>4573</v>
      </c>
      <c r="AE3345" s="34" t="s">
        <v>3898</v>
      </c>
      <c r="AF3345" s="35">
        <v>3.0469758064516133</v>
      </c>
    </row>
    <row r="3346" spans="19:32" x14ac:dyDescent="0.35">
      <c r="S3346" s="34">
        <v>3342</v>
      </c>
      <c r="T3346" s="34" t="s">
        <v>4284</v>
      </c>
      <c r="U3346" s="34" t="s">
        <v>2624</v>
      </c>
      <c r="V3346" s="35">
        <v>2.9681451612903229E-2</v>
      </c>
      <c r="W3346" s="13"/>
      <c r="X3346" s="47">
        <v>3342</v>
      </c>
      <c r="Y3346" s="47" t="s">
        <v>2248</v>
      </c>
      <c r="Z3346" s="47" t="s">
        <v>4666</v>
      </c>
      <c r="AA3346" s="48">
        <v>9.9395161290322595E-3</v>
      </c>
      <c r="AB3346" s="13"/>
      <c r="AC3346" s="34">
        <v>3342</v>
      </c>
      <c r="AD3346" s="34" t="s">
        <v>4573</v>
      </c>
      <c r="AE3346" s="34" t="s">
        <v>3897</v>
      </c>
      <c r="AF3346" s="35">
        <v>1.7788306451612906E-4</v>
      </c>
    </row>
    <row r="3347" spans="19:32" x14ac:dyDescent="0.35">
      <c r="S3347" s="47">
        <v>3343</v>
      </c>
      <c r="T3347" s="47" t="s">
        <v>4284</v>
      </c>
      <c r="U3347" s="47" t="s">
        <v>2624</v>
      </c>
      <c r="V3347" s="56">
        <v>0</v>
      </c>
      <c r="W3347" s="13"/>
      <c r="X3347" s="47">
        <v>3343</v>
      </c>
      <c r="Y3347" s="47" t="s">
        <v>2248</v>
      </c>
      <c r="Z3347" s="47" t="s">
        <v>2826</v>
      </c>
      <c r="AA3347" s="48">
        <v>2.7508000000000001E-2</v>
      </c>
      <c r="AB3347" s="13"/>
      <c r="AC3347" s="34">
        <v>3343</v>
      </c>
      <c r="AD3347" s="34" t="s">
        <v>4573</v>
      </c>
      <c r="AE3347" s="34" t="s">
        <v>3895</v>
      </c>
      <c r="AF3347" s="35">
        <v>1.0076612903225807E-2</v>
      </c>
    </row>
    <row r="3348" spans="19:32" x14ac:dyDescent="0.35">
      <c r="S3348" s="47">
        <v>3344</v>
      </c>
      <c r="T3348" s="47" t="s">
        <v>4284</v>
      </c>
      <c r="U3348" s="47" t="s">
        <v>2623</v>
      </c>
      <c r="V3348" s="56">
        <v>0</v>
      </c>
      <c r="W3348" s="13"/>
      <c r="X3348" s="34">
        <v>3344</v>
      </c>
      <c r="Y3348" s="34" t="s">
        <v>2248</v>
      </c>
      <c r="Z3348" s="34" t="s">
        <v>2826</v>
      </c>
      <c r="AA3348" s="35">
        <v>2.8139112903225807E-5</v>
      </c>
      <c r="AB3348" s="13"/>
      <c r="AC3348" s="34">
        <v>3344</v>
      </c>
      <c r="AD3348" s="34" t="s">
        <v>4573</v>
      </c>
      <c r="AE3348" s="34" t="s">
        <v>3894</v>
      </c>
      <c r="AF3348" s="35">
        <v>1.5080645161290325E-3</v>
      </c>
    </row>
    <row r="3349" spans="19:32" x14ac:dyDescent="0.35">
      <c r="S3349" s="34">
        <v>3345</v>
      </c>
      <c r="T3349" s="34" t="s">
        <v>4284</v>
      </c>
      <c r="U3349" s="34" t="s">
        <v>4366</v>
      </c>
      <c r="V3349" s="35">
        <v>4.181451612903226E-4</v>
      </c>
      <c r="W3349" s="13"/>
      <c r="X3349" s="34">
        <v>3345</v>
      </c>
      <c r="Y3349" s="34" t="s">
        <v>2248</v>
      </c>
      <c r="Z3349" s="34" t="s">
        <v>4665</v>
      </c>
      <c r="AA3349" s="35">
        <v>1.7034274193548386E-4</v>
      </c>
      <c r="AB3349" s="13"/>
      <c r="AC3349" s="47">
        <v>3345</v>
      </c>
      <c r="AD3349" s="47" t="s">
        <v>4573</v>
      </c>
      <c r="AE3349" s="47" t="s">
        <v>2367</v>
      </c>
      <c r="AF3349" s="56">
        <v>0</v>
      </c>
    </row>
    <row r="3350" spans="19:32" x14ac:dyDescent="0.35">
      <c r="S3350" s="34">
        <v>3346</v>
      </c>
      <c r="T3350" s="34" t="s">
        <v>4284</v>
      </c>
      <c r="U3350" s="34" t="s">
        <v>4365</v>
      </c>
      <c r="V3350" s="35">
        <v>3.5987903225806452E-2</v>
      </c>
      <c r="W3350" s="13"/>
      <c r="X3350" s="47">
        <v>3346</v>
      </c>
      <c r="Y3350" s="47" t="s">
        <v>2248</v>
      </c>
      <c r="Z3350" s="47" t="s">
        <v>2825</v>
      </c>
      <c r="AA3350" s="48">
        <v>0</v>
      </c>
      <c r="AB3350" s="13"/>
      <c r="AC3350" s="34">
        <v>3346</v>
      </c>
      <c r="AD3350" s="34" t="s">
        <v>4573</v>
      </c>
      <c r="AE3350" s="34" t="s">
        <v>3892</v>
      </c>
      <c r="AF3350" s="35">
        <v>1.3024193548387097</v>
      </c>
    </row>
    <row r="3351" spans="19:32" x14ac:dyDescent="0.35">
      <c r="S3351" s="34">
        <v>3347</v>
      </c>
      <c r="T3351" s="34" t="s">
        <v>4284</v>
      </c>
      <c r="U3351" s="34" t="s">
        <v>2621</v>
      </c>
      <c r="V3351" s="35">
        <v>3.7701612903225811E-4</v>
      </c>
      <c r="W3351" s="13"/>
      <c r="X3351" s="47">
        <v>3347</v>
      </c>
      <c r="Y3351" s="47" t="s">
        <v>2248</v>
      </c>
      <c r="Z3351" s="47" t="s">
        <v>4664</v>
      </c>
      <c r="AA3351" s="48">
        <v>8.1572580645161291E-3</v>
      </c>
      <c r="AB3351" s="13"/>
      <c r="AC3351" s="34">
        <v>3347</v>
      </c>
      <c r="AD3351" s="34" t="s">
        <v>4573</v>
      </c>
      <c r="AE3351" s="34" t="s">
        <v>3890</v>
      </c>
      <c r="AF3351" s="35">
        <v>0.27830645161290324</v>
      </c>
    </row>
    <row r="3352" spans="19:32" x14ac:dyDescent="0.35">
      <c r="S3352" s="47">
        <v>3348</v>
      </c>
      <c r="T3352" s="47" t="s">
        <v>4284</v>
      </c>
      <c r="U3352" s="47" t="s">
        <v>2621</v>
      </c>
      <c r="V3352" s="56">
        <v>40.388000000000005</v>
      </c>
      <c r="W3352" s="13"/>
      <c r="X3352" s="34">
        <v>3348</v>
      </c>
      <c r="Y3352" s="34" t="s">
        <v>2248</v>
      </c>
      <c r="Z3352" s="34" t="s">
        <v>2939</v>
      </c>
      <c r="AA3352" s="35">
        <v>3.5987903225806453E-6</v>
      </c>
      <c r="AB3352" s="13"/>
      <c r="AC3352" s="34">
        <v>3348</v>
      </c>
      <c r="AD3352" s="34" t="s">
        <v>4573</v>
      </c>
      <c r="AE3352" s="34" t="s">
        <v>3889</v>
      </c>
      <c r="AF3352" s="35">
        <v>3.8044354838709681E-3</v>
      </c>
    </row>
    <row r="3353" spans="19:32" x14ac:dyDescent="0.35">
      <c r="S3353" s="34">
        <v>3349</v>
      </c>
      <c r="T3353" s="34" t="s">
        <v>4284</v>
      </c>
      <c r="U3353" s="34" t="s">
        <v>2620</v>
      </c>
      <c r="V3353" s="35">
        <v>6.4435483870967753E-4</v>
      </c>
      <c r="W3353" s="13"/>
      <c r="X3353" s="34">
        <v>3349</v>
      </c>
      <c r="Y3353" s="34" t="s">
        <v>2248</v>
      </c>
      <c r="Z3353" s="34" t="s">
        <v>3341</v>
      </c>
      <c r="AA3353" s="35">
        <v>2.0393145161290323E-3</v>
      </c>
      <c r="AB3353" s="13"/>
      <c r="AC3353" s="47">
        <v>3349</v>
      </c>
      <c r="AD3353" s="47" t="s">
        <v>4573</v>
      </c>
      <c r="AE3353" s="47" t="s">
        <v>2365</v>
      </c>
      <c r="AF3353" s="56">
        <v>24.748000000000001</v>
      </c>
    </row>
    <row r="3354" spans="19:32" x14ac:dyDescent="0.35">
      <c r="S3354" s="47">
        <v>3350</v>
      </c>
      <c r="T3354" s="47" t="s">
        <v>4284</v>
      </c>
      <c r="U3354" s="47" t="s">
        <v>2620</v>
      </c>
      <c r="V3354" s="56">
        <v>0</v>
      </c>
      <c r="W3354" s="13"/>
      <c r="X3354" s="34">
        <v>3350</v>
      </c>
      <c r="Y3354" s="34" t="s">
        <v>2248</v>
      </c>
      <c r="Z3354" s="34" t="s">
        <v>2936</v>
      </c>
      <c r="AA3354" s="35">
        <v>1.0830645161290324E-5</v>
      </c>
      <c r="AB3354" s="13"/>
      <c r="AC3354" s="34">
        <v>3350</v>
      </c>
      <c r="AD3354" s="34" t="s">
        <v>4573</v>
      </c>
      <c r="AE3354" s="34" t="s">
        <v>3887</v>
      </c>
      <c r="AF3354" s="35">
        <v>25.39717741935484</v>
      </c>
    </row>
    <row r="3355" spans="19:32" x14ac:dyDescent="0.35">
      <c r="S3355" s="34">
        <v>3351</v>
      </c>
      <c r="T3355" s="34" t="s">
        <v>4284</v>
      </c>
      <c r="U3355" s="34" t="s">
        <v>4358</v>
      </c>
      <c r="V3355" s="35">
        <v>7.4375000000000005E-5</v>
      </c>
      <c r="W3355" s="13"/>
      <c r="X3355" s="47">
        <v>3351</v>
      </c>
      <c r="Y3355" s="47" t="s">
        <v>2248</v>
      </c>
      <c r="Z3355" s="47" t="s">
        <v>4663</v>
      </c>
      <c r="AA3355" s="48">
        <v>1.7548387096774196E-3</v>
      </c>
      <c r="AB3355" s="13"/>
      <c r="AC3355" s="34">
        <v>3351</v>
      </c>
      <c r="AD3355" s="34" t="s">
        <v>4573</v>
      </c>
      <c r="AE3355" s="34" t="s">
        <v>3886</v>
      </c>
      <c r="AF3355" s="35">
        <v>1.5731854838709678E-3</v>
      </c>
    </row>
    <row r="3356" spans="19:32" x14ac:dyDescent="0.35">
      <c r="S3356" s="47">
        <v>3352</v>
      </c>
      <c r="T3356" s="47" t="s">
        <v>4284</v>
      </c>
      <c r="U3356" s="47" t="s">
        <v>2618</v>
      </c>
      <c r="V3356" s="56">
        <v>0</v>
      </c>
      <c r="W3356" s="13"/>
      <c r="X3356" s="34">
        <v>3352</v>
      </c>
      <c r="Y3356" s="34" t="s">
        <v>2248</v>
      </c>
      <c r="Z3356" s="34" t="s">
        <v>2933</v>
      </c>
      <c r="AA3356" s="35">
        <v>0.89798387096774201</v>
      </c>
      <c r="AB3356" s="13"/>
      <c r="AC3356" s="34">
        <v>3352</v>
      </c>
      <c r="AD3356" s="34" t="s">
        <v>4573</v>
      </c>
      <c r="AE3356" s="34" t="s">
        <v>2363</v>
      </c>
      <c r="AF3356" s="35">
        <v>3.9072580645161294</v>
      </c>
    </row>
    <row r="3357" spans="19:32" x14ac:dyDescent="0.35">
      <c r="S3357" s="34">
        <v>3353</v>
      </c>
      <c r="T3357" s="34" t="s">
        <v>4284</v>
      </c>
      <c r="U3357" s="34" t="s">
        <v>4357</v>
      </c>
      <c r="V3357" s="35">
        <v>5.3810483870967749E-2</v>
      </c>
      <c r="W3357" s="13"/>
      <c r="X3357" s="34">
        <v>3353</v>
      </c>
      <c r="Y3357" s="34" t="s">
        <v>2248</v>
      </c>
      <c r="Z3357" s="34" t="s">
        <v>4662</v>
      </c>
      <c r="AA3357" s="35">
        <v>2.2004032258064518E-4</v>
      </c>
      <c r="AB3357" s="13"/>
      <c r="AC3357" s="47">
        <v>3353</v>
      </c>
      <c r="AD3357" s="47" t="s">
        <v>4573</v>
      </c>
      <c r="AE3357" s="47" t="s">
        <v>2363</v>
      </c>
      <c r="AF3357" s="56">
        <v>0</v>
      </c>
    </row>
    <row r="3358" spans="19:32" x14ac:dyDescent="0.35">
      <c r="S3358" s="34">
        <v>3354</v>
      </c>
      <c r="T3358" s="34" t="s">
        <v>4284</v>
      </c>
      <c r="U3358" s="34" t="s">
        <v>4354</v>
      </c>
      <c r="V3358" s="35">
        <v>4.9012096774193555E-2</v>
      </c>
      <c r="W3358" s="13"/>
      <c r="X3358" s="47">
        <v>3354</v>
      </c>
      <c r="Y3358" s="47" t="s">
        <v>2248</v>
      </c>
      <c r="Z3358" s="47" t="s">
        <v>2823</v>
      </c>
      <c r="AA3358" s="48">
        <v>1.5364</v>
      </c>
      <c r="AB3358" s="13"/>
      <c r="AC3358" s="34">
        <v>3354</v>
      </c>
      <c r="AD3358" s="34" t="s">
        <v>4573</v>
      </c>
      <c r="AE3358" s="34" t="s">
        <v>3884</v>
      </c>
      <c r="AF3358" s="35">
        <v>5.0040322580645162E-4</v>
      </c>
    </row>
    <row r="3359" spans="19:32" x14ac:dyDescent="0.35">
      <c r="S3359" s="34">
        <v>3355</v>
      </c>
      <c r="T3359" s="34" t="s">
        <v>4284</v>
      </c>
      <c r="U3359" s="34" t="s">
        <v>2617</v>
      </c>
      <c r="V3359" s="35">
        <v>3.0024193548387101E-2</v>
      </c>
      <c r="W3359" s="13"/>
      <c r="X3359" s="34">
        <v>3355</v>
      </c>
      <c r="Y3359" s="34" t="s">
        <v>2248</v>
      </c>
      <c r="Z3359" s="34" t="s">
        <v>2823</v>
      </c>
      <c r="AA3359" s="35">
        <v>8.9455645161290327E-6</v>
      </c>
      <c r="AB3359" s="13"/>
      <c r="AC3359" s="34">
        <v>3355</v>
      </c>
      <c r="AD3359" s="34" t="s">
        <v>4573</v>
      </c>
      <c r="AE3359" s="34" t="s">
        <v>3882</v>
      </c>
      <c r="AF3359" s="35">
        <v>18.473790322580648</v>
      </c>
    </row>
    <row r="3360" spans="19:32" x14ac:dyDescent="0.35">
      <c r="S3360" s="47">
        <v>3356</v>
      </c>
      <c r="T3360" s="47" t="s">
        <v>4284</v>
      </c>
      <c r="U3360" s="47" t="s">
        <v>2617</v>
      </c>
      <c r="V3360" s="56">
        <v>0.54464000000000001</v>
      </c>
      <c r="W3360" s="13"/>
      <c r="X3360" s="47">
        <v>3356</v>
      </c>
      <c r="Y3360" s="47" t="s">
        <v>2248</v>
      </c>
      <c r="Z3360" s="47" t="s">
        <v>2821</v>
      </c>
      <c r="AA3360" s="48">
        <v>17.48</v>
      </c>
      <c r="AB3360" s="13"/>
      <c r="AC3360" s="34">
        <v>3356</v>
      </c>
      <c r="AD3360" s="34" t="s">
        <v>4573</v>
      </c>
      <c r="AE3360" s="34" t="s">
        <v>3881</v>
      </c>
      <c r="AF3360" s="35">
        <v>2.9304435483870971E-2</v>
      </c>
    </row>
    <row r="3361" spans="19:32" x14ac:dyDescent="0.35">
      <c r="S3361" s="34">
        <v>3357</v>
      </c>
      <c r="T3361" s="34" t="s">
        <v>4284</v>
      </c>
      <c r="U3361" s="34" t="s">
        <v>4352</v>
      </c>
      <c r="V3361" s="35">
        <v>5.3467741935483876E-14</v>
      </c>
      <c r="W3361" s="13"/>
      <c r="X3361" s="47">
        <v>3357</v>
      </c>
      <c r="Y3361" s="47" t="s">
        <v>2248</v>
      </c>
      <c r="Z3361" s="47" t="s">
        <v>4661</v>
      </c>
      <c r="AA3361" s="48">
        <v>2.2929435483870972E-4</v>
      </c>
      <c r="AB3361" s="13"/>
      <c r="AC3361" s="34">
        <v>3357</v>
      </c>
      <c r="AD3361" s="34" t="s">
        <v>4573</v>
      </c>
      <c r="AE3361" s="34" t="s">
        <v>3879</v>
      </c>
      <c r="AF3361" s="35">
        <v>1.0899193548387098E-2</v>
      </c>
    </row>
    <row r="3362" spans="19:32" x14ac:dyDescent="0.35">
      <c r="S3362" s="47">
        <v>3358</v>
      </c>
      <c r="T3362" s="47" t="s">
        <v>4284</v>
      </c>
      <c r="U3362" s="47" t="s">
        <v>2615</v>
      </c>
      <c r="V3362" s="56">
        <v>2.2171999999999996</v>
      </c>
      <c r="W3362" s="13"/>
      <c r="X3362" s="47">
        <v>3358</v>
      </c>
      <c r="Y3362" s="47" t="s">
        <v>2248</v>
      </c>
      <c r="Z3362" s="47" t="s">
        <v>2820</v>
      </c>
      <c r="AA3362" s="48">
        <v>0</v>
      </c>
      <c r="AB3362" s="13"/>
      <c r="AC3362" s="34">
        <v>3358</v>
      </c>
      <c r="AD3362" s="34" t="s">
        <v>4573</v>
      </c>
      <c r="AE3362" s="34" t="s">
        <v>2362</v>
      </c>
      <c r="AF3362" s="35">
        <v>5.2096774193548393E-3</v>
      </c>
    </row>
    <row r="3363" spans="19:32" x14ac:dyDescent="0.35">
      <c r="S3363" s="34">
        <v>3359</v>
      </c>
      <c r="T3363" s="34" t="s">
        <v>4284</v>
      </c>
      <c r="U3363" s="34" t="s">
        <v>2613</v>
      </c>
      <c r="V3363" s="35">
        <v>2.9441532258064517E-2</v>
      </c>
      <c r="W3363" s="13"/>
      <c r="X3363" s="47">
        <v>3359</v>
      </c>
      <c r="Y3363" s="47" t="s">
        <v>2248</v>
      </c>
      <c r="Z3363" s="47" t="s">
        <v>3340</v>
      </c>
      <c r="AA3363" s="48">
        <v>1.1379032258064516E-4</v>
      </c>
      <c r="AB3363" s="13"/>
      <c r="AC3363" s="47">
        <v>3359</v>
      </c>
      <c r="AD3363" s="47" t="s">
        <v>4573</v>
      </c>
      <c r="AE3363" s="47" t="s">
        <v>2362</v>
      </c>
      <c r="AF3363" s="56">
        <v>0</v>
      </c>
    </row>
    <row r="3364" spans="19:32" x14ac:dyDescent="0.35">
      <c r="S3364" s="47">
        <v>3360</v>
      </c>
      <c r="T3364" s="47" t="s">
        <v>4284</v>
      </c>
      <c r="U3364" s="47" t="s">
        <v>2613</v>
      </c>
      <c r="V3364" s="56">
        <v>0</v>
      </c>
      <c r="W3364" s="13"/>
      <c r="X3364" s="34">
        <v>3360</v>
      </c>
      <c r="Y3364" s="34" t="s">
        <v>2248</v>
      </c>
      <c r="Z3364" s="34" t="s">
        <v>2929</v>
      </c>
      <c r="AA3364" s="35">
        <v>7.4717741935483874E-4</v>
      </c>
      <c r="AB3364" s="13"/>
      <c r="AC3364" s="34">
        <v>3360</v>
      </c>
      <c r="AD3364" s="34" t="s">
        <v>4573</v>
      </c>
      <c r="AE3364" s="34" t="s">
        <v>3877</v>
      </c>
      <c r="AF3364" s="35">
        <v>6.9233870967741945E-2</v>
      </c>
    </row>
    <row r="3365" spans="19:32" x14ac:dyDescent="0.35">
      <c r="S3365" s="34">
        <v>3361</v>
      </c>
      <c r="T3365" s="34" t="s">
        <v>4284</v>
      </c>
      <c r="U3365" s="34" t="s">
        <v>4349</v>
      </c>
      <c r="V3365" s="35">
        <v>8.4314516129032263E-2</v>
      </c>
      <c r="W3365" s="13"/>
      <c r="X3365" s="47">
        <v>3361</v>
      </c>
      <c r="Y3365" s="47" t="s">
        <v>2248</v>
      </c>
      <c r="Z3365" s="47" t="s">
        <v>2818</v>
      </c>
      <c r="AA3365" s="48">
        <v>0.86295999999999995</v>
      </c>
      <c r="AB3365" s="13"/>
      <c r="AC3365" s="34">
        <v>3361</v>
      </c>
      <c r="AD3365" s="34" t="s">
        <v>4573</v>
      </c>
      <c r="AE3365" s="34" t="s">
        <v>3876</v>
      </c>
      <c r="AF3365" s="35">
        <v>1.2098790322580646</v>
      </c>
    </row>
    <row r="3366" spans="19:32" x14ac:dyDescent="0.35">
      <c r="S3366" s="34">
        <v>3362</v>
      </c>
      <c r="T3366" s="34" t="s">
        <v>4284</v>
      </c>
      <c r="U3366" s="34" t="s">
        <v>4348</v>
      </c>
      <c r="V3366" s="35">
        <v>2.5637096774193554E-4</v>
      </c>
      <c r="W3366" s="13"/>
      <c r="X3366" s="47">
        <v>3362</v>
      </c>
      <c r="Y3366" s="47" t="s">
        <v>2248</v>
      </c>
      <c r="Z3366" s="47" t="s">
        <v>4660</v>
      </c>
      <c r="AA3366" s="48">
        <v>2.3854838709677419E-6</v>
      </c>
      <c r="AB3366" s="13"/>
      <c r="AC3366" s="34">
        <v>3362</v>
      </c>
      <c r="AD3366" s="34" t="s">
        <v>4573</v>
      </c>
      <c r="AE3366" s="34" t="s">
        <v>3874</v>
      </c>
      <c r="AF3366" s="35">
        <v>1.4086693548387097</v>
      </c>
    </row>
    <row r="3367" spans="19:32" x14ac:dyDescent="0.35">
      <c r="S3367" s="34">
        <v>3363</v>
      </c>
      <c r="T3367" s="34" t="s">
        <v>4284</v>
      </c>
      <c r="U3367" s="34" t="s">
        <v>2612</v>
      </c>
      <c r="V3367" s="35">
        <v>1.9913306451612905E-2</v>
      </c>
      <c r="W3367" s="13"/>
      <c r="X3367" s="34">
        <v>3363</v>
      </c>
      <c r="Y3367" s="34" t="s">
        <v>2248</v>
      </c>
      <c r="Z3367" s="34" t="s">
        <v>2926</v>
      </c>
      <c r="AA3367" s="35">
        <v>1.689717741935484E-5</v>
      </c>
      <c r="AB3367" s="13"/>
      <c r="AC3367" s="47">
        <v>3363</v>
      </c>
      <c r="AD3367" s="47" t="s">
        <v>4573</v>
      </c>
      <c r="AE3367" s="47" t="s">
        <v>2360</v>
      </c>
      <c r="AF3367" s="56">
        <v>0</v>
      </c>
    </row>
    <row r="3368" spans="19:32" x14ac:dyDescent="0.35">
      <c r="S3368" s="47">
        <v>3364</v>
      </c>
      <c r="T3368" s="47" t="s">
        <v>4284</v>
      </c>
      <c r="U3368" s="47" t="s">
        <v>2612</v>
      </c>
      <c r="V3368" s="56">
        <v>0</v>
      </c>
      <c r="W3368" s="13"/>
      <c r="X3368" s="34">
        <v>3364</v>
      </c>
      <c r="Y3368" s="34" t="s">
        <v>2248</v>
      </c>
      <c r="Z3368" s="34" t="s">
        <v>2923</v>
      </c>
      <c r="AA3368" s="35">
        <v>3.382862903225807E-3</v>
      </c>
      <c r="AB3368" s="13"/>
      <c r="AC3368" s="47">
        <v>3364</v>
      </c>
      <c r="AD3368" s="47" t="s">
        <v>4573</v>
      </c>
      <c r="AE3368" s="47" t="s">
        <v>2359</v>
      </c>
      <c r="AF3368" s="56">
        <v>0</v>
      </c>
    </row>
    <row r="3369" spans="19:32" x14ac:dyDescent="0.35">
      <c r="S3369" s="34">
        <v>3365</v>
      </c>
      <c r="T3369" s="34" t="s">
        <v>4284</v>
      </c>
      <c r="U3369" s="34" t="s">
        <v>4345</v>
      </c>
      <c r="V3369" s="35">
        <v>1.7616935483870968E-4</v>
      </c>
      <c r="W3369" s="13"/>
      <c r="X3369" s="47">
        <v>3365</v>
      </c>
      <c r="Y3369" s="47" t="s">
        <v>2248</v>
      </c>
      <c r="Z3369" s="47" t="s">
        <v>3339</v>
      </c>
      <c r="AA3369" s="48">
        <v>1.1995967741935486E-6</v>
      </c>
      <c r="AB3369" s="13"/>
      <c r="AC3369" s="34">
        <v>3365</v>
      </c>
      <c r="AD3369" s="34" t="s">
        <v>4573</v>
      </c>
      <c r="AE3369" s="34" t="s">
        <v>2357</v>
      </c>
      <c r="AF3369" s="35">
        <v>1.1653225806451615</v>
      </c>
    </row>
    <row r="3370" spans="19:32" x14ac:dyDescent="0.35">
      <c r="S3370" s="34">
        <v>3366</v>
      </c>
      <c r="T3370" s="34" t="s">
        <v>4284</v>
      </c>
      <c r="U3370" s="34" t="s">
        <v>2610</v>
      </c>
      <c r="V3370" s="35">
        <v>1.2475806451612904E-5</v>
      </c>
      <c r="W3370" s="13"/>
      <c r="X3370" s="34">
        <v>3366</v>
      </c>
      <c r="Y3370" s="34" t="s">
        <v>2248</v>
      </c>
      <c r="Z3370" s="34" t="s">
        <v>2920</v>
      </c>
      <c r="AA3370" s="35">
        <v>2.008467741935484E-7</v>
      </c>
      <c r="AB3370" s="13"/>
      <c r="AC3370" s="47">
        <v>3366</v>
      </c>
      <c r="AD3370" s="47" t="s">
        <v>4573</v>
      </c>
      <c r="AE3370" s="47" t="s">
        <v>2357</v>
      </c>
      <c r="AF3370" s="56">
        <v>0</v>
      </c>
    </row>
    <row r="3371" spans="19:32" x14ac:dyDescent="0.35">
      <c r="S3371" s="47">
        <v>3367</v>
      </c>
      <c r="T3371" s="47" t="s">
        <v>4284</v>
      </c>
      <c r="U3371" s="47" t="s">
        <v>2610</v>
      </c>
      <c r="V3371" s="56">
        <v>4.1859999999999994E-2</v>
      </c>
      <c r="W3371" s="13"/>
      <c r="X3371" s="47">
        <v>3367</v>
      </c>
      <c r="Y3371" s="47" t="s">
        <v>2248</v>
      </c>
      <c r="Z3371" s="47" t="s">
        <v>2817</v>
      </c>
      <c r="AA3371" s="48">
        <v>0</v>
      </c>
      <c r="AB3371" s="13"/>
      <c r="AC3371" s="47">
        <v>3367</v>
      </c>
      <c r="AD3371" s="47" t="s">
        <v>4573</v>
      </c>
      <c r="AE3371" s="47" t="s">
        <v>2356</v>
      </c>
      <c r="AF3371" s="56">
        <v>129.72</v>
      </c>
    </row>
    <row r="3372" spans="19:32" x14ac:dyDescent="0.35">
      <c r="S3372" s="34">
        <v>3368</v>
      </c>
      <c r="T3372" s="34" t="s">
        <v>4284</v>
      </c>
      <c r="U3372" s="34" t="s">
        <v>4343</v>
      </c>
      <c r="V3372" s="35">
        <v>1.076209677419355E-4</v>
      </c>
      <c r="W3372" s="13"/>
      <c r="X3372" s="47">
        <v>3368</v>
      </c>
      <c r="Y3372" s="47" t="s">
        <v>2248</v>
      </c>
      <c r="Z3372" s="47" t="s">
        <v>2816</v>
      </c>
      <c r="AA3372" s="48">
        <v>5.6856</v>
      </c>
      <c r="AB3372" s="13"/>
      <c r="AC3372" s="47">
        <v>3368</v>
      </c>
      <c r="AD3372" s="47" t="s">
        <v>4573</v>
      </c>
      <c r="AE3372" s="47" t="s">
        <v>2354</v>
      </c>
      <c r="AF3372" s="56">
        <v>0</v>
      </c>
    </row>
    <row r="3373" spans="19:32" x14ac:dyDescent="0.35">
      <c r="S3373" s="34">
        <v>3369</v>
      </c>
      <c r="T3373" s="34" t="s">
        <v>4284</v>
      </c>
      <c r="U3373" s="34" t="s">
        <v>4342</v>
      </c>
      <c r="V3373" s="35">
        <v>1.867943548387097E-3</v>
      </c>
      <c r="W3373" s="13"/>
      <c r="X3373" s="34">
        <v>3369</v>
      </c>
      <c r="Y3373" s="34" t="s">
        <v>2248</v>
      </c>
      <c r="Z3373" s="34" t="s">
        <v>4659</v>
      </c>
      <c r="AA3373" s="35">
        <v>4.3870967741935488E-5</v>
      </c>
      <c r="AB3373" s="13"/>
      <c r="AC3373" s="34">
        <v>3369</v>
      </c>
      <c r="AD3373" s="34" t="s">
        <v>4573</v>
      </c>
      <c r="AE3373" s="34" t="s">
        <v>3871</v>
      </c>
      <c r="AF3373" s="35">
        <v>2.4848790322580649E-2</v>
      </c>
    </row>
    <row r="3374" spans="19:32" x14ac:dyDescent="0.35">
      <c r="S3374" s="47">
        <v>3370</v>
      </c>
      <c r="T3374" s="47" t="s">
        <v>4284</v>
      </c>
      <c r="U3374" s="47" t="s">
        <v>2609</v>
      </c>
      <c r="V3374" s="56">
        <v>0.16008</v>
      </c>
      <c r="W3374" s="13"/>
      <c r="X3374" s="47">
        <v>3370</v>
      </c>
      <c r="Y3374" s="47" t="s">
        <v>2248</v>
      </c>
      <c r="Z3374" s="47" t="s">
        <v>2815</v>
      </c>
      <c r="AA3374" s="48">
        <v>1.0764</v>
      </c>
      <c r="AB3374" s="13"/>
      <c r="AC3374" s="34">
        <v>3370</v>
      </c>
      <c r="AD3374" s="34" t="s">
        <v>4573</v>
      </c>
      <c r="AE3374" s="34" t="s">
        <v>3870</v>
      </c>
      <c r="AF3374" s="35">
        <v>27.625000000000004</v>
      </c>
    </row>
    <row r="3375" spans="19:32" x14ac:dyDescent="0.35">
      <c r="S3375" s="47">
        <v>3371</v>
      </c>
      <c r="T3375" s="47" t="s">
        <v>4284</v>
      </c>
      <c r="U3375" s="47" t="s">
        <v>2607</v>
      </c>
      <c r="V3375" s="56">
        <v>1.2144000000000001</v>
      </c>
      <c r="W3375" s="13"/>
      <c r="X3375" s="34">
        <v>3371</v>
      </c>
      <c r="Y3375" s="34" t="s">
        <v>2248</v>
      </c>
      <c r="Z3375" s="34" t="s">
        <v>2815</v>
      </c>
      <c r="AA3375" s="35">
        <v>0.22518145161290323</v>
      </c>
      <c r="AB3375" s="13"/>
      <c r="AC3375" s="47">
        <v>3371</v>
      </c>
      <c r="AD3375" s="47" t="s">
        <v>4573</v>
      </c>
      <c r="AE3375" s="47" t="s">
        <v>2352</v>
      </c>
      <c r="AF3375" s="56">
        <v>19.596</v>
      </c>
    </row>
    <row r="3376" spans="19:32" x14ac:dyDescent="0.35">
      <c r="S3376" s="34">
        <v>3372</v>
      </c>
      <c r="T3376" s="34" t="s">
        <v>4284</v>
      </c>
      <c r="U3376" s="34" t="s">
        <v>4339</v>
      </c>
      <c r="V3376" s="35">
        <v>4.0100806451612905E-4</v>
      </c>
      <c r="W3376" s="13"/>
      <c r="X3376" s="47">
        <v>3372</v>
      </c>
      <c r="Y3376" s="47" t="s">
        <v>2248</v>
      </c>
      <c r="Z3376" s="47" t="s">
        <v>4658</v>
      </c>
      <c r="AA3376" s="48">
        <v>4.6955645161290329E-3</v>
      </c>
      <c r="AB3376" s="13"/>
      <c r="AC3376" s="47">
        <v>3372</v>
      </c>
      <c r="AD3376" s="47" t="s">
        <v>4573</v>
      </c>
      <c r="AE3376" s="47" t="s">
        <v>2351</v>
      </c>
      <c r="AF3376" s="56">
        <v>1.9319999999999997</v>
      </c>
    </row>
    <row r="3377" spans="19:32" x14ac:dyDescent="0.35">
      <c r="S3377" s="34">
        <v>3373</v>
      </c>
      <c r="T3377" s="34" t="s">
        <v>4284</v>
      </c>
      <c r="U3377" s="34" t="s">
        <v>4338</v>
      </c>
      <c r="V3377" s="35">
        <v>8.7741935483870979E-4</v>
      </c>
      <c r="W3377" s="13"/>
      <c r="X3377" s="47">
        <v>3373</v>
      </c>
      <c r="Y3377" s="47" t="s">
        <v>2248</v>
      </c>
      <c r="Z3377" s="47" t="s">
        <v>2813</v>
      </c>
      <c r="AA3377" s="48">
        <v>4.7195999999999998</v>
      </c>
      <c r="AB3377" s="13"/>
      <c r="AC3377" s="47">
        <v>3373</v>
      </c>
      <c r="AD3377" s="47" t="s">
        <v>4573</v>
      </c>
      <c r="AE3377" s="47" t="s">
        <v>2349</v>
      </c>
      <c r="AF3377" s="56">
        <v>27.14</v>
      </c>
    </row>
    <row r="3378" spans="19:32" x14ac:dyDescent="0.35">
      <c r="S3378" s="34">
        <v>3374</v>
      </c>
      <c r="T3378" s="34" t="s">
        <v>4284</v>
      </c>
      <c r="U3378" s="34" t="s">
        <v>4337</v>
      </c>
      <c r="V3378" s="35">
        <v>1.1995967741935485E-3</v>
      </c>
      <c r="W3378" s="13"/>
      <c r="X3378" s="34">
        <v>3374</v>
      </c>
      <c r="Y3378" s="34" t="s">
        <v>2248</v>
      </c>
      <c r="Z3378" s="34" t="s">
        <v>2916</v>
      </c>
      <c r="AA3378" s="35">
        <v>0.24540322580645163</v>
      </c>
      <c r="AB3378" s="13"/>
      <c r="AC3378" s="47">
        <v>3374</v>
      </c>
      <c r="AD3378" s="47" t="s">
        <v>4573</v>
      </c>
      <c r="AE3378" s="47" t="s">
        <v>2348</v>
      </c>
      <c r="AF3378" s="56">
        <v>84.087999999999994</v>
      </c>
    </row>
    <row r="3379" spans="19:32" x14ac:dyDescent="0.35">
      <c r="S3379" s="34">
        <v>3375</v>
      </c>
      <c r="T3379" s="34" t="s">
        <v>4284</v>
      </c>
      <c r="U3379" s="34" t="s">
        <v>4335</v>
      </c>
      <c r="V3379" s="35">
        <v>4.4899193548387102E-4</v>
      </c>
      <c r="W3379" s="13"/>
      <c r="X3379" s="34">
        <v>3375</v>
      </c>
      <c r="Y3379" s="34" t="s">
        <v>2248</v>
      </c>
      <c r="Z3379" s="34" t="s">
        <v>4657</v>
      </c>
      <c r="AA3379" s="35">
        <v>1.0487903225806453E-4</v>
      </c>
      <c r="AB3379" s="13"/>
      <c r="AC3379" s="47">
        <v>3375</v>
      </c>
      <c r="AD3379" s="47" t="s">
        <v>4573</v>
      </c>
      <c r="AE3379" s="47" t="s">
        <v>2346</v>
      </c>
      <c r="AF3379" s="56">
        <v>28.427999999999997</v>
      </c>
    </row>
    <row r="3380" spans="19:32" x14ac:dyDescent="0.35">
      <c r="S3380" s="34">
        <v>3376</v>
      </c>
      <c r="T3380" s="34" t="s">
        <v>4284</v>
      </c>
      <c r="U3380" s="34" t="s">
        <v>4334</v>
      </c>
      <c r="V3380" s="35">
        <v>6.6491935483870973E-3</v>
      </c>
      <c r="W3380" s="13"/>
      <c r="X3380" s="34">
        <v>3376</v>
      </c>
      <c r="Y3380" s="34" t="s">
        <v>2248</v>
      </c>
      <c r="Z3380" s="34" t="s">
        <v>2913</v>
      </c>
      <c r="AA3380" s="35">
        <v>2.2346774193548387E-4</v>
      </c>
      <c r="AB3380" s="13"/>
      <c r="AC3380" s="34">
        <v>3376</v>
      </c>
      <c r="AD3380" s="34" t="s">
        <v>4573</v>
      </c>
      <c r="AE3380" s="34" t="s">
        <v>3866</v>
      </c>
      <c r="AF3380" s="35">
        <v>4.3870967741935489</v>
      </c>
    </row>
    <row r="3381" spans="19:32" x14ac:dyDescent="0.35">
      <c r="S3381" s="34">
        <v>3377</v>
      </c>
      <c r="T3381" s="34" t="s">
        <v>4284</v>
      </c>
      <c r="U3381" s="34" t="s">
        <v>4332</v>
      </c>
      <c r="V3381" s="35">
        <v>1.2338709677419357E-2</v>
      </c>
      <c r="W3381" s="13"/>
      <c r="X3381" s="34">
        <v>3377</v>
      </c>
      <c r="Y3381" s="34" t="s">
        <v>2248</v>
      </c>
      <c r="Z3381" s="34" t="s">
        <v>2910</v>
      </c>
      <c r="AA3381" s="35">
        <v>5.8951612903225814E-2</v>
      </c>
      <c r="AB3381" s="13"/>
      <c r="AC3381" s="34">
        <v>3377</v>
      </c>
      <c r="AD3381" s="34" t="s">
        <v>4573</v>
      </c>
      <c r="AE3381" s="34" t="s">
        <v>3865</v>
      </c>
      <c r="AF3381" s="35">
        <v>0.23237903225806453</v>
      </c>
    </row>
    <row r="3382" spans="19:32" x14ac:dyDescent="0.35">
      <c r="S3382" s="34">
        <v>3378</v>
      </c>
      <c r="T3382" s="34" t="s">
        <v>4284</v>
      </c>
      <c r="U3382" s="34" t="s">
        <v>4331</v>
      </c>
      <c r="V3382" s="35">
        <v>3.9415322580645167E-2</v>
      </c>
      <c r="W3382" s="13"/>
      <c r="X3382" s="34">
        <v>3378</v>
      </c>
      <c r="Y3382" s="34" t="s">
        <v>2248</v>
      </c>
      <c r="Z3382" s="34" t="s">
        <v>2907</v>
      </c>
      <c r="AA3382" s="35">
        <v>2.4266129032258065E-5</v>
      </c>
      <c r="AB3382" s="13"/>
      <c r="AC3382" s="34">
        <v>3378</v>
      </c>
      <c r="AD3382" s="34" t="s">
        <v>4573</v>
      </c>
      <c r="AE3382" s="34" t="s">
        <v>3864</v>
      </c>
      <c r="AF3382" s="35">
        <v>4.4213709677419359</v>
      </c>
    </row>
    <row r="3383" spans="19:32" x14ac:dyDescent="0.35">
      <c r="S3383" s="47">
        <v>3379</v>
      </c>
      <c r="T3383" s="47" t="s">
        <v>4284</v>
      </c>
      <c r="U3383" s="47" t="s">
        <v>2606</v>
      </c>
      <c r="V3383" s="56">
        <v>0</v>
      </c>
      <c r="W3383" s="13"/>
      <c r="X3383" s="47">
        <v>3379</v>
      </c>
      <c r="Y3383" s="47" t="s">
        <v>2248</v>
      </c>
      <c r="Z3383" s="47" t="s">
        <v>4656</v>
      </c>
      <c r="AA3383" s="48">
        <v>2.9475806451612905E-5</v>
      </c>
      <c r="AB3383" s="13"/>
      <c r="AC3383" s="34">
        <v>3379</v>
      </c>
      <c r="AD3383" s="34" t="s">
        <v>4573</v>
      </c>
      <c r="AE3383" s="34" t="s">
        <v>3863</v>
      </c>
      <c r="AF3383" s="35">
        <v>5.175403225806452E-2</v>
      </c>
    </row>
    <row r="3384" spans="19:32" x14ac:dyDescent="0.35">
      <c r="S3384" s="34">
        <v>3380</v>
      </c>
      <c r="T3384" s="34" t="s">
        <v>4284</v>
      </c>
      <c r="U3384" s="34" t="s">
        <v>4329</v>
      </c>
      <c r="V3384" s="35">
        <v>3.2217741935483872E-2</v>
      </c>
      <c r="W3384" s="13"/>
      <c r="X3384" s="34">
        <v>3380</v>
      </c>
      <c r="Y3384" s="34" t="s">
        <v>2248</v>
      </c>
      <c r="Z3384" s="34" t="s">
        <v>2905</v>
      </c>
      <c r="AA3384" s="35">
        <v>4.3870967741935487E-3</v>
      </c>
      <c r="AB3384" s="13"/>
      <c r="AC3384" s="34">
        <v>3380</v>
      </c>
      <c r="AD3384" s="34" t="s">
        <v>4573</v>
      </c>
      <c r="AE3384" s="34" t="s">
        <v>2345</v>
      </c>
      <c r="AF3384" s="35">
        <v>8.7056451612903228E-3</v>
      </c>
    </row>
    <row r="3385" spans="19:32" x14ac:dyDescent="0.35">
      <c r="S3385" s="34">
        <v>3381</v>
      </c>
      <c r="T3385" s="34" t="s">
        <v>4284</v>
      </c>
      <c r="U3385" s="34" t="s">
        <v>4328</v>
      </c>
      <c r="V3385" s="35">
        <v>1.7308467741935485E-3</v>
      </c>
      <c r="W3385" s="13"/>
      <c r="X3385" s="47">
        <v>3381</v>
      </c>
      <c r="Y3385" s="47" t="s">
        <v>2248</v>
      </c>
      <c r="Z3385" s="47" t="s">
        <v>2811</v>
      </c>
      <c r="AA3385" s="48">
        <v>0</v>
      </c>
      <c r="AB3385" s="13"/>
      <c r="AC3385" s="47">
        <v>3381</v>
      </c>
      <c r="AD3385" s="47" t="s">
        <v>4573</v>
      </c>
      <c r="AE3385" s="47" t="s">
        <v>2345</v>
      </c>
      <c r="AF3385" s="56">
        <v>7.774</v>
      </c>
    </row>
    <row r="3386" spans="19:32" x14ac:dyDescent="0.35">
      <c r="S3386" s="47">
        <v>3382</v>
      </c>
      <c r="T3386" s="47" t="s">
        <v>4284</v>
      </c>
      <c r="U3386" s="47" t="s">
        <v>2604</v>
      </c>
      <c r="V3386" s="56">
        <v>0.13432000000000002</v>
      </c>
      <c r="W3386" s="13"/>
      <c r="X3386" s="34">
        <v>3382</v>
      </c>
      <c r="Y3386" s="34" t="s">
        <v>2248</v>
      </c>
      <c r="Z3386" s="34" t="s">
        <v>4655</v>
      </c>
      <c r="AA3386" s="35">
        <v>4.8669354838709681E-4</v>
      </c>
      <c r="AB3386" s="13"/>
      <c r="AC3386" s="34">
        <v>3382</v>
      </c>
      <c r="AD3386" s="34" t="s">
        <v>4573</v>
      </c>
      <c r="AE3386" s="34" t="s">
        <v>3861</v>
      </c>
      <c r="AF3386" s="35">
        <v>5.9979838709677422E-2</v>
      </c>
    </row>
    <row r="3387" spans="19:32" x14ac:dyDescent="0.35">
      <c r="S3387" s="34">
        <v>3383</v>
      </c>
      <c r="T3387" s="34" t="s">
        <v>4284</v>
      </c>
      <c r="U3387" s="34" t="s">
        <v>4325</v>
      </c>
      <c r="V3387" s="35">
        <v>9.3911290322580652E-4</v>
      </c>
      <c r="W3387" s="13"/>
      <c r="X3387" s="34">
        <v>3383</v>
      </c>
      <c r="Y3387" s="34" t="s">
        <v>2248</v>
      </c>
      <c r="Z3387" s="34" t="s">
        <v>2902</v>
      </c>
      <c r="AA3387" s="35">
        <v>7.8145161290322574E-5</v>
      </c>
      <c r="AB3387" s="13"/>
      <c r="AC3387" s="34">
        <v>3383</v>
      </c>
      <c r="AD3387" s="34" t="s">
        <v>4573</v>
      </c>
      <c r="AE3387" s="34" t="s">
        <v>3859</v>
      </c>
      <c r="AF3387" s="35">
        <v>3.3348790322580646</v>
      </c>
    </row>
    <row r="3388" spans="19:32" x14ac:dyDescent="0.35">
      <c r="S3388" s="34">
        <v>3384</v>
      </c>
      <c r="T3388" s="34" t="s">
        <v>4284</v>
      </c>
      <c r="U3388" s="34" t="s">
        <v>4323</v>
      </c>
      <c r="V3388" s="35">
        <v>2.6322580645161292E-3</v>
      </c>
      <c r="W3388" s="13"/>
      <c r="X3388" s="34">
        <v>3384</v>
      </c>
      <c r="Y3388" s="34" t="s">
        <v>2248</v>
      </c>
      <c r="Z3388" s="34" t="s">
        <v>2899</v>
      </c>
      <c r="AA3388" s="35">
        <v>1.3435483870967741E-4</v>
      </c>
      <c r="AB3388" s="13"/>
      <c r="AC3388" s="34">
        <v>3384</v>
      </c>
      <c r="AD3388" s="34" t="s">
        <v>4573</v>
      </c>
      <c r="AE3388" s="34" t="s">
        <v>3858</v>
      </c>
      <c r="AF3388" s="35">
        <v>3.7358870967741938E-2</v>
      </c>
    </row>
    <row r="3389" spans="19:32" x14ac:dyDescent="0.35">
      <c r="S3389" s="34">
        <v>3385</v>
      </c>
      <c r="T3389" s="34" t="s">
        <v>4284</v>
      </c>
      <c r="U3389" s="34" t="s">
        <v>4320</v>
      </c>
      <c r="V3389" s="35">
        <v>1.8062500000000003E-3</v>
      </c>
      <c r="W3389" s="13"/>
      <c r="X3389" s="47">
        <v>3385</v>
      </c>
      <c r="Y3389" s="47" t="s">
        <v>2248</v>
      </c>
      <c r="Z3389" s="47" t="s">
        <v>4654</v>
      </c>
      <c r="AA3389" s="48">
        <v>2.7522177419354838E-4</v>
      </c>
      <c r="AB3389" s="13"/>
      <c r="AC3389" s="34">
        <v>3385</v>
      </c>
      <c r="AD3389" s="34" t="s">
        <v>4573</v>
      </c>
      <c r="AE3389" s="34" t="s">
        <v>3857</v>
      </c>
      <c r="AF3389" s="35">
        <v>2.4368951612903228E-2</v>
      </c>
    </row>
    <row r="3390" spans="19:32" x14ac:dyDescent="0.35">
      <c r="S3390" s="34">
        <v>3386</v>
      </c>
      <c r="T3390" s="34" t="s">
        <v>4284</v>
      </c>
      <c r="U3390" s="34" t="s">
        <v>2602</v>
      </c>
      <c r="V3390" s="35">
        <v>0.17445564516129033</v>
      </c>
      <c r="W3390" s="13"/>
      <c r="X3390" s="47">
        <v>3386</v>
      </c>
      <c r="Y3390" s="47" t="s">
        <v>2248</v>
      </c>
      <c r="Z3390" s="47" t="s">
        <v>2810</v>
      </c>
      <c r="AA3390" s="48">
        <v>0</v>
      </c>
      <c r="AB3390" s="13"/>
      <c r="AC3390" s="34">
        <v>3386</v>
      </c>
      <c r="AD3390" s="34" t="s">
        <v>4573</v>
      </c>
      <c r="AE3390" s="34" t="s">
        <v>3856</v>
      </c>
      <c r="AF3390" s="35">
        <v>9.0141129032258072E-2</v>
      </c>
    </row>
    <row r="3391" spans="19:32" x14ac:dyDescent="0.35">
      <c r="S3391" s="47">
        <v>3387</v>
      </c>
      <c r="T3391" s="47" t="s">
        <v>4284</v>
      </c>
      <c r="U3391" s="47" t="s">
        <v>2602</v>
      </c>
      <c r="V3391" s="56">
        <v>7.6727999999999996</v>
      </c>
      <c r="W3391" s="13"/>
      <c r="X3391" s="34">
        <v>3387</v>
      </c>
      <c r="Y3391" s="34" t="s">
        <v>2248</v>
      </c>
      <c r="Z3391" s="34" t="s">
        <v>2810</v>
      </c>
      <c r="AA3391" s="35">
        <v>2.3203629032258068E-2</v>
      </c>
      <c r="AB3391" s="13"/>
      <c r="AC3391" s="34">
        <v>3387</v>
      </c>
      <c r="AD3391" s="34" t="s">
        <v>4573</v>
      </c>
      <c r="AE3391" s="34" t="s">
        <v>3855</v>
      </c>
      <c r="AF3391" s="35">
        <v>3.1018145161290325</v>
      </c>
    </row>
    <row r="3392" spans="19:32" x14ac:dyDescent="0.35">
      <c r="S3392" s="34">
        <v>3388</v>
      </c>
      <c r="T3392" s="34" t="s">
        <v>4284</v>
      </c>
      <c r="U3392" s="34" t="s">
        <v>4318</v>
      </c>
      <c r="V3392" s="35">
        <v>2.9201612903225807E-9</v>
      </c>
      <c r="W3392" s="13"/>
      <c r="X3392" s="34">
        <v>3388</v>
      </c>
      <c r="Y3392" s="34" t="s">
        <v>2248</v>
      </c>
      <c r="Z3392" s="34" t="s">
        <v>2895</v>
      </c>
      <c r="AA3392" s="35">
        <v>3.393145161290323E-2</v>
      </c>
      <c r="AB3392" s="13"/>
      <c r="AC3392" s="34">
        <v>3388</v>
      </c>
      <c r="AD3392" s="34" t="s">
        <v>4573</v>
      </c>
      <c r="AE3392" s="34" t="s">
        <v>3853</v>
      </c>
      <c r="AF3392" s="35">
        <v>6.4092741935483879</v>
      </c>
    </row>
    <row r="3393" spans="19:32" x14ac:dyDescent="0.35">
      <c r="S3393" s="34">
        <v>3389</v>
      </c>
      <c r="T3393" s="34" t="s">
        <v>4284</v>
      </c>
      <c r="U3393" s="34" t="s">
        <v>4316</v>
      </c>
      <c r="V3393" s="35">
        <v>5.8951612903225814E-2</v>
      </c>
      <c r="W3393" s="13"/>
      <c r="X3393" s="47">
        <v>3389</v>
      </c>
      <c r="Y3393" s="47" t="s">
        <v>2248</v>
      </c>
      <c r="Z3393" s="47" t="s">
        <v>4653</v>
      </c>
      <c r="AA3393" s="48">
        <v>5.7237903225806455E-7</v>
      </c>
      <c r="AB3393" s="13"/>
      <c r="AC3393" s="34">
        <v>3389</v>
      </c>
      <c r="AD3393" s="34" t="s">
        <v>4573</v>
      </c>
      <c r="AE3393" s="34" t="s">
        <v>3852</v>
      </c>
      <c r="AF3393" s="35">
        <v>0.19056451612903227</v>
      </c>
    </row>
    <row r="3394" spans="19:32" x14ac:dyDescent="0.35">
      <c r="S3394" s="47">
        <v>3390</v>
      </c>
      <c r="T3394" s="47" t="s">
        <v>4284</v>
      </c>
      <c r="U3394" s="47" t="s">
        <v>2601</v>
      </c>
      <c r="V3394" s="56">
        <v>0.31372</v>
      </c>
      <c r="W3394" s="13"/>
      <c r="X3394" s="34">
        <v>3390</v>
      </c>
      <c r="Y3394" s="34" t="s">
        <v>2248</v>
      </c>
      <c r="Z3394" s="34" t="s">
        <v>2892</v>
      </c>
      <c r="AA3394" s="35">
        <v>1.6177419354838709E-4</v>
      </c>
      <c r="AB3394" s="13"/>
      <c r="AC3394" s="34">
        <v>3390</v>
      </c>
      <c r="AD3394" s="34" t="s">
        <v>4573</v>
      </c>
      <c r="AE3394" s="34" t="s">
        <v>3850</v>
      </c>
      <c r="AF3394" s="35">
        <v>6.1693548387096779</v>
      </c>
    </row>
    <row r="3395" spans="19:32" x14ac:dyDescent="0.35">
      <c r="S3395" s="34">
        <v>3391</v>
      </c>
      <c r="T3395" s="34" t="s">
        <v>4284</v>
      </c>
      <c r="U3395" s="34" t="s">
        <v>4315</v>
      </c>
      <c r="V3395" s="35">
        <v>8.8427419354838717E-4</v>
      </c>
      <c r="W3395" s="13"/>
      <c r="X3395" s="34">
        <v>3391</v>
      </c>
      <c r="Y3395" s="34" t="s">
        <v>2248</v>
      </c>
      <c r="Z3395" s="34" t="s">
        <v>2889</v>
      </c>
      <c r="AA3395" s="35">
        <v>4.215725806451613E-3</v>
      </c>
      <c r="AB3395" s="13"/>
      <c r="AC3395" s="34">
        <v>3391</v>
      </c>
      <c r="AD3395" s="34" t="s">
        <v>4573</v>
      </c>
      <c r="AE3395" s="34" t="s">
        <v>3849</v>
      </c>
      <c r="AF3395" s="35">
        <v>5.1411290322580648E-2</v>
      </c>
    </row>
    <row r="3396" spans="19:32" x14ac:dyDescent="0.35">
      <c r="S3396" s="47">
        <v>3392</v>
      </c>
      <c r="T3396" s="47" t="s">
        <v>4284</v>
      </c>
      <c r="U3396" s="47" t="s">
        <v>2599</v>
      </c>
      <c r="V3396" s="56">
        <v>0</v>
      </c>
      <c r="W3396" s="13"/>
      <c r="X3396" s="47">
        <v>3392</v>
      </c>
      <c r="Y3396" s="47" t="s">
        <v>2248</v>
      </c>
      <c r="Z3396" s="47" t="s">
        <v>4652</v>
      </c>
      <c r="AA3396" s="48">
        <v>8.1572580645161287E-6</v>
      </c>
      <c r="AB3396" s="13"/>
      <c r="AC3396" s="34">
        <v>3392</v>
      </c>
      <c r="AD3396" s="34" t="s">
        <v>4573</v>
      </c>
      <c r="AE3396" s="34" t="s">
        <v>3846</v>
      </c>
      <c r="AF3396" s="35">
        <v>3.8729838709677424E-3</v>
      </c>
    </row>
    <row r="3397" spans="19:32" x14ac:dyDescent="0.35">
      <c r="S3397" s="34">
        <v>3393</v>
      </c>
      <c r="T3397" s="34" t="s">
        <v>4284</v>
      </c>
      <c r="U3397" s="34" t="s">
        <v>4313</v>
      </c>
      <c r="V3397" s="35">
        <v>2.1215725806451612E-3</v>
      </c>
      <c r="W3397" s="13"/>
      <c r="X3397" s="47">
        <v>3393</v>
      </c>
      <c r="Y3397" s="47" t="s">
        <v>2248</v>
      </c>
      <c r="Z3397" s="47" t="s">
        <v>2808</v>
      </c>
      <c r="AA3397" s="48">
        <v>0</v>
      </c>
      <c r="AB3397" s="13"/>
      <c r="AC3397" s="34">
        <v>3393</v>
      </c>
      <c r="AD3397" s="34" t="s">
        <v>4573</v>
      </c>
      <c r="AE3397" s="34" t="s">
        <v>3844</v>
      </c>
      <c r="AF3397" s="35">
        <v>0.24951612903225809</v>
      </c>
    </row>
    <row r="3398" spans="19:32" x14ac:dyDescent="0.35">
      <c r="S3398" s="34">
        <v>3394</v>
      </c>
      <c r="T3398" s="34" t="s">
        <v>4284</v>
      </c>
      <c r="U3398" s="34" t="s">
        <v>4312</v>
      </c>
      <c r="V3398" s="35">
        <v>8.1572580645161291E-3</v>
      </c>
      <c r="W3398" s="13"/>
      <c r="X3398" s="34">
        <v>3394</v>
      </c>
      <c r="Y3398" s="34" t="s">
        <v>2248</v>
      </c>
      <c r="Z3398" s="34" t="s">
        <v>2886</v>
      </c>
      <c r="AA3398" s="35">
        <v>6.2721774193548398E-4</v>
      </c>
      <c r="AB3398" s="13"/>
      <c r="AC3398" s="34">
        <v>3394</v>
      </c>
      <c r="AD3398" s="34" t="s">
        <v>4573</v>
      </c>
      <c r="AE3398" s="34" t="s">
        <v>3842</v>
      </c>
      <c r="AF3398" s="35">
        <v>4.2157258064516134E-4</v>
      </c>
    </row>
    <row r="3399" spans="19:32" x14ac:dyDescent="0.35">
      <c r="S3399" s="34">
        <v>3395</v>
      </c>
      <c r="T3399" s="34" t="s">
        <v>4284</v>
      </c>
      <c r="U3399" s="34" t="s">
        <v>4311</v>
      </c>
      <c r="V3399" s="35">
        <v>1.6725806451612903E-4</v>
      </c>
      <c r="W3399" s="13"/>
      <c r="X3399" s="34">
        <v>3395</v>
      </c>
      <c r="Y3399" s="34" t="s">
        <v>2248</v>
      </c>
      <c r="Z3399" s="34" t="s">
        <v>2883</v>
      </c>
      <c r="AA3399" s="35">
        <v>1.0076612903225806E-3</v>
      </c>
      <c r="AB3399" s="13"/>
      <c r="AC3399" s="34">
        <v>3395</v>
      </c>
      <c r="AD3399" s="34" t="s">
        <v>4573</v>
      </c>
      <c r="AE3399" s="34" t="s">
        <v>2343</v>
      </c>
      <c r="AF3399" s="35">
        <v>4.0443548387096774E-2</v>
      </c>
    </row>
    <row r="3400" spans="19:32" x14ac:dyDescent="0.35">
      <c r="S3400" s="34">
        <v>3396</v>
      </c>
      <c r="T3400" s="34" t="s">
        <v>4284</v>
      </c>
      <c r="U3400" s="34" t="s">
        <v>4309</v>
      </c>
      <c r="V3400" s="35">
        <v>1.2030241935483871E-4</v>
      </c>
      <c r="W3400" s="13"/>
      <c r="X3400" s="47">
        <v>3396</v>
      </c>
      <c r="Y3400" s="47" t="s">
        <v>2248</v>
      </c>
      <c r="Z3400" s="47" t="s">
        <v>4651</v>
      </c>
      <c r="AA3400" s="48">
        <v>1.7856854838709679E-5</v>
      </c>
      <c r="AB3400" s="13"/>
      <c r="AC3400" s="47">
        <v>3396</v>
      </c>
      <c r="AD3400" s="47" t="s">
        <v>4573</v>
      </c>
      <c r="AE3400" s="47" t="s">
        <v>2343</v>
      </c>
      <c r="AF3400" s="56">
        <v>0</v>
      </c>
    </row>
    <row r="3401" spans="19:32" x14ac:dyDescent="0.35">
      <c r="S3401" s="34">
        <v>3397</v>
      </c>
      <c r="T3401" s="34" t="s">
        <v>4284</v>
      </c>
      <c r="U3401" s="34" t="s">
        <v>2598</v>
      </c>
      <c r="V3401" s="35">
        <v>6.3407258064516136E-4</v>
      </c>
      <c r="W3401" s="13"/>
      <c r="X3401" s="34">
        <v>3397</v>
      </c>
      <c r="Y3401" s="34" t="s">
        <v>2248</v>
      </c>
      <c r="Z3401" s="34" t="s">
        <v>2881</v>
      </c>
      <c r="AA3401" s="35">
        <v>5.4153225806451615E-3</v>
      </c>
      <c r="AB3401" s="13"/>
      <c r="AC3401" s="34">
        <v>3397</v>
      </c>
      <c r="AD3401" s="34" t="s">
        <v>4573</v>
      </c>
      <c r="AE3401" s="34" t="s">
        <v>2342</v>
      </c>
      <c r="AF3401" s="35">
        <v>2.1387096774193551E-2</v>
      </c>
    </row>
    <row r="3402" spans="19:32" x14ac:dyDescent="0.35">
      <c r="S3402" s="47">
        <v>3398</v>
      </c>
      <c r="T3402" s="47" t="s">
        <v>4284</v>
      </c>
      <c r="U3402" s="47" t="s">
        <v>2598</v>
      </c>
      <c r="V3402" s="56">
        <v>0</v>
      </c>
      <c r="W3402" s="13"/>
      <c r="X3402" s="34">
        <v>3398</v>
      </c>
      <c r="Y3402" s="34" t="s">
        <v>2248</v>
      </c>
      <c r="Z3402" s="34" t="s">
        <v>2878</v>
      </c>
      <c r="AA3402" s="35">
        <v>9.1512096774193558E-5</v>
      </c>
      <c r="AB3402" s="13"/>
      <c r="AC3402" s="47">
        <v>3398</v>
      </c>
      <c r="AD3402" s="47" t="s">
        <v>4573</v>
      </c>
      <c r="AE3402" s="47" t="s">
        <v>2342</v>
      </c>
      <c r="AF3402" s="56">
        <v>1.1592</v>
      </c>
    </row>
    <row r="3403" spans="19:32" x14ac:dyDescent="0.35">
      <c r="S3403" s="34">
        <v>3399</v>
      </c>
      <c r="T3403" s="34" t="s">
        <v>4284</v>
      </c>
      <c r="U3403" s="34" t="s">
        <v>4308</v>
      </c>
      <c r="V3403" s="35">
        <v>1.3298387096774193E-3</v>
      </c>
      <c r="W3403" s="13"/>
      <c r="X3403" s="34">
        <v>3399</v>
      </c>
      <c r="Y3403" s="34" t="s">
        <v>2248</v>
      </c>
      <c r="Z3403" s="34" t="s">
        <v>4650</v>
      </c>
      <c r="AA3403" s="35">
        <v>3.4274193548387099E-5</v>
      </c>
      <c r="AB3403" s="13"/>
      <c r="AC3403" s="34">
        <v>3399</v>
      </c>
      <c r="AD3403" s="34" t="s">
        <v>4573</v>
      </c>
      <c r="AE3403" s="34" t="s">
        <v>2340</v>
      </c>
      <c r="AF3403" s="35">
        <v>7.4375000000000005E-3</v>
      </c>
    </row>
    <row r="3404" spans="19:32" x14ac:dyDescent="0.35">
      <c r="S3404" s="34">
        <v>3400</v>
      </c>
      <c r="T3404" s="34" t="s">
        <v>4284</v>
      </c>
      <c r="U3404" s="34" t="s">
        <v>4307</v>
      </c>
      <c r="V3404" s="35">
        <v>1.4258064516129035E-3</v>
      </c>
      <c r="W3404" s="13"/>
      <c r="X3404" s="34">
        <v>3400</v>
      </c>
      <c r="Y3404" s="34" t="s">
        <v>2248</v>
      </c>
      <c r="Z3404" s="34" t="s">
        <v>2875</v>
      </c>
      <c r="AA3404" s="35">
        <v>3.0058467741935486E-3</v>
      </c>
      <c r="AB3404" s="13"/>
      <c r="AC3404" s="47">
        <v>3400</v>
      </c>
      <c r="AD3404" s="47" t="s">
        <v>4573</v>
      </c>
      <c r="AE3404" s="47" t="s">
        <v>2340</v>
      </c>
      <c r="AF3404" s="56">
        <v>0.44528000000000006</v>
      </c>
    </row>
    <row r="3405" spans="19:32" x14ac:dyDescent="0.35">
      <c r="S3405" s="34">
        <v>3401</v>
      </c>
      <c r="T3405" s="34" t="s">
        <v>4284</v>
      </c>
      <c r="U3405" s="34" t="s">
        <v>4305</v>
      </c>
      <c r="V3405" s="35">
        <v>9.8709677419354849E-4</v>
      </c>
      <c r="W3405" s="13"/>
      <c r="X3405" s="34">
        <v>3401</v>
      </c>
      <c r="Y3405" s="34" t="s">
        <v>2248</v>
      </c>
      <c r="Z3405" s="34" t="s">
        <v>2872</v>
      </c>
      <c r="AA3405" s="35">
        <v>8.1572580645161295E-4</v>
      </c>
      <c r="AB3405" s="13"/>
      <c r="AC3405" s="47">
        <v>3401</v>
      </c>
      <c r="AD3405" s="47" t="s">
        <v>4573</v>
      </c>
      <c r="AE3405" s="47" t="s">
        <v>2338</v>
      </c>
      <c r="AF3405" s="56">
        <v>0</v>
      </c>
    </row>
    <row r="3406" spans="19:32" x14ac:dyDescent="0.35">
      <c r="S3406" s="47">
        <v>3402</v>
      </c>
      <c r="T3406" s="47" t="s">
        <v>4284</v>
      </c>
      <c r="U3406" s="47" t="s">
        <v>2596</v>
      </c>
      <c r="V3406" s="56">
        <v>127.88</v>
      </c>
      <c r="W3406" s="13"/>
      <c r="X3406" s="47">
        <v>3402</v>
      </c>
      <c r="Y3406" s="47" t="s">
        <v>2248</v>
      </c>
      <c r="Z3406" s="47" t="s">
        <v>4649</v>
      </c>
      <c r="AA3406" s="48">
        <v>4.72983870967742E-4</v>
      </c>
      <c r="AB3406" s="13"/>
      <c r="AC3406" s="34">
        <v>3402</v>
      </c>
      <c r="AD3406" s="34" t="s">
        <v>4573</v>
      </c>
      <c r="AE3406" s="34" t="s">
        <v>2337</v>
      </c>
      <c r="AF3406" s="35">
        <v>3.0812500000000002E-3</v>
      </c>
    </row>
    <row r="3407" spans="19:32" x14ac:dyDescent="0.35">
      <c r="S3407" s="34">
        <v>3403</v>
      </c>
      <c r="T3407" s="34" t="s">
        <v>4284</v>
      </c>
      <c r="U3407" s="34" t="s">
        <v>4303</v>
      </c>
      <c r="V3407" s="35">
        <v>1.0693548387096775E-4</v>
      </c>
      <c r="W3407" s="13"/>
      <c r="X3407" s="47">
        <v>3403</v>
      </c>
      <c r="Y3407" s="47" t="s">
        <v>2248</v>
      </c>
      <c r="Z3407" s="47" t="s">
        <v>2807</v>
      </c>
      <c r="AA3407" s="48">
        <v>0.21251999999999999</v>
      </c>
      <c r="AB3407" s="13"/>
      <c r="AC3407" s="47">
        <v>3403</v>
      </c>
      <c r="AD3407" s="47" t="s">
        <v>4573</v>
      </c>
      <c r="AE3407" s="47" t="s">
        <v>2337</v>
      </c>
      <c r="AF3407" s="56">
        <v>0.98439999999999994</v>
      </c>
    </row>
    <row r="3408" spans="19:32" x14ac:dyDescent="0.35">
      <c r="S3408" s="47">
        <v>3404</v>
      </c>
      <c r="T3408" s="47" t="s">
        <v>4284</v>
      </c>
      <c r="U3408" s="47" t="s">
        <v>2595</v>
      </c>
      <c r="V3408" s="56">
        <v>0.34776000000000001</v>
      </c>
      <c r="W3408" s="13"/>
      <c r="X3408" s="34">
        <v>3404</v>
      </c>
      <c r="Y3408" s="34" t="s">
        <v>2248</v>
      </c>
      <c r="Z3408" s="34" t="s">
        <v>2870</v>
      </c>
      <c r="AA3408" s="35">
        <v>7.6774193548387098E-4</v>
      </c>
      <c r="AB3408" s="13"/>
      <c r="AC3408" s="34">
        <v>3404</v>
      </c>
      <c r="AD3408" s="34" t="s">
        <v>4573</v>
      </c>
      <c r="AE3408" s="34" t="s">
        <v>3830</v>
      </c>
      <c r="AF3408" s="35">
        <v>1.3504032258064517E-2</v>
      </c>
    </row>
    <row r="3409" spans="19:32" x14ac:dyDescent="0.35">
      <c r="S3409" s="34">
        <v>3405</v>
      </c>
      <c r="T3409" s="34" t="s">
        <v>4284</v>
      </c>
      <c r="U3409" s="34" t="s">
        <v>4301</v>
      </c>
      <c r="V3409" s="35">
        <v>1.2338709677419355E-5</v>
      </c>
      <c r="W3409" s="13"/>
      <c r="X3409" s="34">
        <v>3405</v>
      </c>
      <c r="Y3409" s="34" t="s">
        <v>2248</v>
      </c>
      <c r="Z3409" s="34" t="s">
        <v>4648</v>
      </c>
      <c r="AA3409" s="35">
        <v>0.12441532258064517</v>
      </c>
      <c r="AB3409" s="13"/>
      <c r="AC3409" s="34">
        <v>3405</v>
      </c>
      <c r="AD3409" s="34" t="s">
        <v>4573</v>
      </c>
      <c r="AE3409" s="34" t="s">
        <v>2335</v>
      </c>
      <c r="AF3409" s="35">
        <v>6.203629032258066E-4</v>
      </c>
    </row>
    <row r="3410" spans="19:32" x14ac:dyDescent="0.35">
      <c r="S3410" s="47">
        <v>3406</v>
      </c>
      <c r="T3410" s="47" t="s">
        <v>4284</v>
      </c>
      <c r="U3410" s="47" t="s">
        <v>2593</v>
      </c>
      <c r="V3410" s="56">
        <v>0</v>
      </c>
      <c r="W3410" s="13"/>
      <c r="X3410" s="34">
        <v>3406</v>
      </c>
      <c r="Y3410" s="34" t="s">
        <v>2248</v>
      </c>
      <c r="Z3410" s="34" t="s">
        <v>2867</v>
      </c>
      <c r="AA3410" s="35">
        <v>3.4959677419354839E-4</v>
      </c>
      <c r="AB3410" s="13"/>
      <c r="AC3410" s="47">
        <v>3406</v>
      </c>
      <c r="AD3410" s="47" t="s">
        <v>4573</v>
      </c>
      <c r="AE3410" s="47" t="s">
        <v>2335</v>
      </c>
      <c r="AF3410" s="56">
        <v>1.1867999999999999</v>
      </c>
    </row>
    <row r="3411" spans="19:32" x14ac:dyDescent="0.35">
      <c r="S3411" s="34">
        <v>3407</v>
      </c>
      <c r="T3411" s="34" t="s">
        <v>4284</v>
      </c>
      <c r="U3411" s="34" t="s">
        <v>2592</v>
      </c>
      <c r="V3411" s="35">
        <v>4.4213709677419358E-4</v>
      </c>
      <c r="W3411" s="13"/>
      <c r="X3411" s="34">
        <v>3407</v>
      </c>
      <c r="Y3411" s="34" t="s">
        <v>2248</v>
      </c>
      <c r="Z3411" s="34" t="s">
        <v>2864</v>
      </c>
      <c r="AA3411" s="35">
        <v>1.0247983870967743E-5</v>
      </c>
      <c r="AB3411" s="13"/>
      <c r="AC3411" s="34">
        <v>3407</v>
      </c>
      <c r="AD3411" s="34" t="s">
        <v>4573</v>
      </c>
      <c r="AE3411" s="34" t="s">
        <v>2333</v>
      </c>
      <c r="AF3411" s="35">
        <v>19.844758064516132</v>
      </c>
    </row>
    <row r="3412" spans="19:32" x14ac:dyDescent="0.35">
      <c r="S3412" s="47">
        <v>3408</v>
      </c>
      <c r="T3412" s="47" t="s">
        <v>4284</v>
      </c>
      <c r="U3412" s="47" t="s">
        <v>2592</v>
      </c>
      <c r="V3412" s="56">
        <v>0</v>
      </c>
      <c r="W3412" s="13"/>
      <c r="X3412" s="47">
        <v>3408</v>
      </c>
      <c r="Y3412" s="47" t="s">
        <v>2248</v>
      </c>
      <c r="Z3412" s="47" t="s">
        <v>4647</v>
      </c>
      <c r="AA3412" s="48">
        <v>8.1572580645161291E-3</v>
      </c>
      <c r="AB3412" s="13"/>
      <c r="AC3412" s="47">
        <v>3408</v>
      </c>
      <c r="AD3412" s="47" t="s">
        <v>4573</v>
      </c>
      <c r="AE3412" s="47" t="s">
        <v>2333</v>
      </c>
      <c r="AF3412" s="56">
        <v>0</v>
      </c>
    </row>
    <row r="3413" spans="19:32" x14ac:dyDescent="0.35">
      <c r="S3413" s="34">
        <v>3409</v>
      </c>
      <c r="T3413" s="34" t="s">
        <v>4284</v>
      </c>
      <c r="U3413" s="34" t="s">
        <v>2590</v>
      </c>
      <c r="V3413" s="35">
        <v>3.3554435483870972</v>
      </c>
      <c r="W3413" s="13"/>
      <c r="X3413" s="34">
        <v>3409</v>
      </c>
      <c r="Y3413" s="34" t="s">
        <v>2248</v>
      </c>
      <c r="Z3413" s="34" t="s">
        <v>2861</v>
      </c>
      <c r="AA3413" s="35">
        <v>9.1512096774193558E-5</v>
      </c>
      <c r="AB3413" s="13"/>
      <c r="AC3413" s="47">
        <v>3409</v>
      </c>
      <c r="AD3413" s="47" t="s">
        <v>4573</v>
      </c>
      <c r="AE3413" s="47" t="s">
        <v>2332</v>
      </c>
      <c r="AF3413" s="56">
        <v>0.24840000000000001</v>
      </c>
    </row>
    <row r="3414" spans="19:32" x14ac:dyDescent="0.35">
      <c r="S3414" s="47">
        <v>3410</v>
      </c>
      <c r="T3414" s="47" t="s">
        <v>4284</v>
      </c>
      <c r="U3414" s="47" t="s">
        <v>2590</v>
      </c>
      <c r="V3414" s="56">
        <v>0</v>
      </c>
      <c r="W3414" s="13"/>
      <c r="X3414" s="34">
        <v>3410</v>
      </c>
      <c r="Y3414" s="34" t="s">
        <v>2248</v>
      </c>
      <c r="Z3414" s="34" t="s">
        <v>2859</v>
      </c>
      <c r="AA3414" s="35">
        <v>6.1008064516129036E-2</v>
      </c>
      <c r="AB3414" s="13"/>
      <c r="AC3414" s="34">
        <v>3410</v>
      </c>
      <c r="AD3414" s="34" t="s">
        <v>4573</v>
      </c>
      <c r="AE3414" s="34" t="s">
        <v>3822</v>
      </c>
      <c r="AF3414" s="35">
        <v>9.1854838709677422E-2</v>
      </c>
    </row>
    <row r="3415" spans="19:32" x14ac:dyDescent="0.35">
      <c r="S3415" s="34">
        <v>3411</v>
      </c>
      <c r="T3415" s="34" t="s">
        <v>4284</v>
      </c>
      <c r="U3415" s="34" t="s">
        <v>4298</v>
      </c>
      <c r="V3415" s="35">
        <v>0.68891129032258069</v>
      </c>
      <c r="W3415" s="13"/>
      <c r="X3415" s="34">
        <v>3411</v>
      </c>
      <c r="Y3415" s="34" t="s">
        <v>2248</v>
      </c>
      <c r="Z3415" s="34" t="s">
        <v>2856</v>
      </c>
      <c r="AA3415" s="35">
        <v>1.2750000000000001E-4</v>
      </c>
      <c r="AB3415" s="13"/>
      <c r="AC3415" s="34">
        <v>3411</v>
      </c>
      <c r="AD3415" s="34" t="s">
        <v>4573</v>
      </c>
      <c r="AE3415" s="34" t="s">
        <v>2330</v>
      </c>
      <c r="AF3415" s="35">
        <v>0.10213709677419355</v>
      </c>
    </row>
    <row r="3416" spans="19:32" x14ac:dyDescent="0.35">
      <c r="S3416" s="34">
        <v>3412</v>
      </c>
      <c r="T3416" s="34" t="s">
        <v>4284</v>
      </c>
      <c r="U3416" s="34" t="s">
        <v>4296</v>
      </c>
      <c r="V3416" s="35">
        <v>3.7016129032258069E-7</v>
      </c>
      <c r="W3416" s="13"/>
      <c r="X3416" s="34">
        <v>3412</v>
      </c>
      <c r="Y3416" s="34" t="s">
        <v>2248</v>
      </c>
      <c r="Z3416" s="34" t="s">
        <v>4646</v>
      </c>
      <c r="AA3416" s="35">
        <v>2.0838709677419357E-2</v>
      </c>
      <c r="AB3416" s="13"/>
      <c r="AC3416" s="47">
        <v>3412</v>
      </c>
      <c r="AD3416" s="47" t="s">
        <v>4573</v>
      </c>
      <c r="AE3416" s="47" t="s">
        <v>2330</v>
      </c>
      <c r="AF3416" s="56">
        <v>0</v>
      </c>
    </row>
    <row r="3417" spans="19:32" x14ac:dyDescent="0.35">
      <c r="S3417" s="47">
        <v>3413</v>
      </c>
      <c r="T3417" s="47" t="s">
        <v>4284</v>
      </c>
      <c r="U3417" s="47" t="s">
        <v>2588</v>
      </c>
      <c r="V3417" s="56">
        <v>4.5356000000000005</v>
      </c>
      <c r="W3417" s="13"/>
      <c r="X3417" s="47">
        <v>3413</v>
      </c>
      <c r="Y3417" s="47" t="s">
        <v>2248</v>
      </c>
      <c r="Z3417" s="47" t="s">
        <v>2805</v>
      </c>
      <c r="AA3417" s="48">
        <v>37.72</v>
      </c>
      <c r="AB3417" s="13"/>
      <c r="AC3417" s="34">
        <v>3413</v>
      </c>
      <c r="AD3417" s="34" t="s">
        <v>4573</v>
      </c>
      <c r="AE3417" s="34" t="s">
        <v>3818</v>
      </c>
      <c r="AF3417" s="35">
        <v>4.0786290322580646E-2</v>
      </c>
    </row>
    <row r="3418" spans="19:32" x14ac:dyDescent="0.35">
      <c r="S3418" s="34">
        <v>3414</v>
      </c>
      <c r="T3418" s="34" t="s">
        <v>4284</v>
      </c>
      <c r="U3418" s="34" t="s">
        <v>4294</v>
      </c>
      <c r="V3418" s="35">
        <v>1.5697580645161292E-2</v>
      </c>
      <c r="W3418" s="13"/>
      <c r="X3418" s="47">
        <v>3414</v>
      </c>
      <c r="Y3418" s="47" t="s">
        <v>2248</v>
      </c>
      <c r="Z3418" s="47" t="s">
        <v>2804</v>
      </c>
      <c r="AA3418" s="48">
        <v>0</v>
      </c>
      <c r="AB3418" s="13"/>
      <c r="AC3418" s="47">
        <v>3414</v>
      </c>
      <c r="AD3418" s="47" t="s">
        <v>4573</v>
      </c>
      <c r="AE3418" s="47" t="s">
        <v>2329</v>
      </c>
      <c r="AF3418" s="56">
        <v>0</v>
      </c>
    </row>
    <row r="3419" spans="19:32" x14ac:dyDescent="0.35">
      <c r="S3419" s="34">
        <v>3415</v>
      </c>
      <c r="T3419" s="34" t="s">
        <v>4284</v>
      </c>
      <c r="U3419" s="34" t="s">
        <v>4292</v>
      </c>
      <c r="V3419" s="35">
        <v>2.8104838709677421E-6</v>
      </c>
      <c r="W3419" s="13"/>
      <c r="X3419" s="47">
        <v>3415</v>
      </c>
      <c r="Y3419" s="47" t="s">
        <v>2248</v>
      </c>
      <c r="Z3419" s="47" t="s">
        <v>4645</v>
      </c>
      <c r="AA3419" s="48">
        <v>4.8326612903225809E-5</v>
      </c>
      <c r="AB3419" s="13"/>
      <c r="AC3419" s="47">
        <v>3415</v>
      </c>
      <c r="AD3419" s="47" t="s">
        <v>4573</v>
      </c>
      <c r="AE3419" s="47" t="s">
        <v>2327</v>
      </c>
      <c r="AF3419" s="56">
        <v>0</v>
      </c>
    </row>
    <row r="3420" spans="19:32" x14ac:dyDescent="0.35">
      <c r="S3420" s="34">
        <v>3416</v>
      </c>
      <c r="T3420" s="34" t="s">
        <v>4284</v>
      </c>
      <c r="U3420" s="34" t="s">
        <v>4291</v>
      </c>
      <c r="V3420" s="35">
        <v>2.340927419354839E-2</v>
      </c>
      <c r="W3420" s="13"/>
      <c r="X3420" s="34">
        <v>3416</v>
      </c>
      <c r="Y3420" s="34" t="s">
        <v>2248</v>
      </c>
      <c r="Z3420" s="34" t="s">
        <v>2804</v>
      </c>
      <c r="AA3420" s="35">
        <v>4.215725806451613E-5</v>
      </c>
      <c r="AB3420" s="13"/>
      <c r="AC3420" s="47">
        <v>3416</v>
      </c>
      <c r="AD3420" s="47" t="s">
        <v>4573</v>
      </c>
      <c r="AE3420" s="47" t="s">
        <v>2326</v>
      </c>
      <c r="AF3420" s="56">
        <v>0</v>
      </c>
    </row>
    <row r="3421" spans="19:32" x14ac:dyDescent="0.35">
      <c r="S3421" s="34">
        <v>3417</v>
      </c>
      <c r="T3421" s="34" t="s">
        <v>4284</v>
      </c>
      <c r="U3421" s="34" t="s">
        <v>4289</v>
      </c>
      <c r="V3421" s="35">
        <v>0.49354838709677423</v>
      </c>
      <c r="W3421" s="13"/>
      <c r="X3421" s="34">
        <v>3417</v>
      </c>
      <c r="Y3421" s="34" t="s">
        <v>2248</v>
      </c>
      <c r="Z3421" s="34" t="s">
        <v>2851</v>
      </c>
      <c r="AA3421" s="35">
        <v>1.5629032258064515E-4</v>
      </c>
      <c r="AB3421" s="13"/>
      <c r="AC3421" s="34">
        <v>3417</v>
      </c>
      <c r="AD3421" s="34" t="s">
        <v>4573</v>
      </c>
      <c r="AE3421" s="34" t="s">
        <v>3813</v>
      </c>
      <c r="AF3421" s="35">
        <v>0.12372983870967742</v>
      </c>
    </row>
    <row r="3422" spans="19:32" x14ac:dyDescent="0.35">
      <c r="S3422" s="34">
        <v>3418</v>
      </c>
      <c r="T3422" s="34" t="s">
        <v>4284</v>
      </c>
      <c r="U3422" s="34" t="s">
        <v>2587</v>
      </c>
      <c r="V3422" s="35">
        <v>0.17034274193548388</v>
      </c>
      <c r="W3422" s="13"/>
      <c r="X3422" s="34">
        <v>3418</v>
      </c>
      <c r="Y3422" s="34" t="s">
        <v>2248</v>
      </c>
      <c r="Z3422" s="34" t="s">
        <v>2848</v>
      </c>
      <c r="AA3422" s="35">
        <v>2.0256048387096777</v>
      </c>
      <c r="AB3422" s="13"/>
      <c r="AC3422" s="34">
        <v>3418</v>
      </c>
      <c r="AD3422" s="34" t="s">
        <v>4573</v>
      </c>
      <c r="AE3422" s="34" t="s">
        <v>2324</v>
      </c>
      <c r="AF3422" s="35">
        <v>1.9159274193548388E-3</v>
      </c>
    </row>
    <row r="3423" spans="19:32" x14ac:dyDescent="0.35">
      <c r="S3423" s="47">
        <v>3419</v>
      </c>
      <c r="T3423" s="47" t="s">
        <v>4284</v>
      </c>
      <c r="U3423" s="47" t="s">
        <v>2587</v>
      </c>
      <c r="V3423" s="56">
        <v>0</v>
      </c>
      <c r="W3423" s="13"/>
      <c r="X3423" s="47">
        <v>3419</v>
      </c>
      <c r="Y3423" s="47" t="s">
        <v>2248</v>
      </c>
      <c r="Z3423" s="47" t="s">
        <v>4644</v>
      </c>
      <c r="AA3423" s="48">
        <v>2.7967741935483876E-4</v>
      </c>
      <c r="AB3423" s="13"/>
      <c r="AC3423" s="47">
        <v>3419</v>
      </c>
      <c r="AD3423" s="47" t="s">
        <v>4573</v>
      </c>
      <c r="AE3423" s="47" t="s">
        <v>2324</v>
      </c>
      <c r="AF3423" s="56">
        <v>2.9992E-3</v>
      </c>
    </row>
    <row r="3424" spans="19:32" x14ac:dyDescent="0.35">
      <c r="S3424" s="34">
        <v>3420</v>
      </c>
      <c r="T3424" s="34" t="s">
        <v>4284</v>
      </c>
      <c r="U3424" s="34" t="s">
        <v>2585</v>
      </c>
      <c r="V3424" s="35">
        <v>1.4840725806451614E-5</v>
      </c>
      <c r="W3424" s="13"/>
      <c r="X3424" s="34">
        <v>3420</v>
      </c>
      <c r="Y3424" s="34" t="s">
        <v>2248</v>
      </c>
      <c r="Z3424" s="34" t="s">
        <v>2846</v>
      </c>
      <c r="AA3424" s="35">
        <v>5.3467741935483873E-4</v>
      </c>
      <c r="AB3424" s="13"/>
      <c r="AC3424" s="34">
        <v>3420</v>
      </c>
      <c r="AD3424" s="34" t="s">
        <v>4573</v>
      </c>
      <c r="AE3424" s="34" t="s">
        <v>2323</v>
      </c>
      <c r="AF3424" s="35">
        <v>5.0725806451612911E-4</v>
      </c>
    </row>
    <row r="3425" spans="19:32" x14ac:dyDescent="0.35">
      <c r="S3425" s="47">
        <v>3421</v>
      </c>
      <c r="T3425" s="47" t="s">
        <v>4284</v>
      </c>
      <c r="U3425" s="47" t="s">
        <v>2585</v>
      </c>
      <c r="V3425" s="56">
        <v>0.19136</v>
      </c>
      <c r="W3425" s="13"/>
      <c r="X3425" s="34">
        <v>3421</v>
      </c>
      <c r="Y3425" s="34" t="s">
        <v>2248</v>
      </c>
      <c r="Z3425" s="34" t="s">
        <v>2843</v>
      </c>
      <c r="AA3425" s="35">
        <v>7.3346774193548393E-5</v>
      </c>
      <c r="AB3425" s="13"/>
      <c r="AC3425" s="47">
        <v>3421</v>
      </c>
      <c r="AD3425" s="47" t="s">
        <v>4573</v>
      </c>
      <c r="AE3425" s="47" t="s">
        <v>2323</v>
      </c>
      <c r="AF3425" s="56">
        <v>1.0211999999999999</v>
      </c>
    </row>
    <row r="3426" spans="19:32" x14ac:dyDescent="0.35">
      <c r="S3426" s="34">
        <v>3422</v>
      </c>
      <c r="T3426" s="34" t="s">
        <v>4284</v>
      </c>
      <c r="U3426" s="34" t="s">
        <v>2584</v>
      </c>
      <c r="V3426" s="35">
        <v>1.5868951612903228E-4</v>
      </c>
      <c r="W3426" s="13"/>
      <c r="X3426" s="47">
        <v>3422</v>
      </c>
      <c r="Y3426" s="47" t="s">
        <v>2248</v>
      </c>
      <c r="Z3426" s="47" t="s">
        <v>4643</v>
      </c>
      <c r="AA3426" s="48">
        <v>6.7520161290322587E-6</v>
      </c>
      <c r="AB3426" s="13"/>
      <c r="AC3426" s="34">
        <v>3422</v>
      </c>
      <c r="AD3426" s="34" t="s">
        <v>4573</v>
      </c>
      <c r="AE3426" s="34" t="s">
        <v>2321</v>
      </c>
      <c r="AF3426" s="35">
        <v>0.34068548387096775</v>
      </c>
    </row>
    <row r="3427" spans="19:32" x14ac:dyDescent="0.35">
      <c r="S3427" s="47">
        <v>3423</v>
      </c>
      <c r="T3427" s="47" t="s">
        <v>4284</v>
      </c>
      <c r="U3427" s="47" t="s">
        <v>2584</v>
      </c>
      <c r="V3427" s="56">
        <v>0.16836000000000001</v>
      </c>
      <c r="W3427" s="13"/>
      <c r="X3427" s="34">
        <v>3423</v>
      </c>
      <c r="Y3427" s="34" t="s">
        <v>2248</v>
      </c>
      <c r="Z3427" s="34" t="s">
        <v>2840</v>
      </c>
      <c r="AA3427" s="35">
        <v>3.0915322580645165E-3</v>
      </c>
      <c r="AB3427" s="13"/>
      <c r="AC3427" s="47">
        <v>3423</v>
      </c>
      <c r="AD3427" s="47" t="s">
        <v>4573</v>
      </c>
      <c r="AE3427" s="47" t="s">
        <v>2321</v>
      </c>
      <c r="AF3427" s="56">
        <v>1.1592</v>
      </c>
    </row>
    <row r="3428" spans="19:32" x14ac:dyDescent="0.35">
      <c r="S3428" s="34">
        <v>3424</v>
      </c>
      <c r="T3428" s="34" t="s">
        <v>4284</v>
      </c>
      <c r="U3428" s="34" t="s">
        <v>4281</v>
      </c>
      <c r="V3428" s="35">
        <v>1.4635080645161291E-4</v>
      </c>
      <c r="W3428" s="13"/>
      <c r="X3428" s="47">
        <v>3424</v>
      </c>
      <c r="Y3428" s="47" t="s">
        <v>2248</v>
      </c>
      <c r="Z3428" s="47" t="s">
        <v>2803</v>
      </c>
      <c r="AA3428" s="48">
        <v>0</v>
      </c>
      <c r="AB3428" s="13"/>
      <c r="AC3428" s="34">
        <v>3424</v>
      </c>
      <c r="AD3428" s="34" t="s">
        <v>4573</v>
      </c>
      <c r="AE3428" s="34" t="s">
        <v>2319</v>
      </c>
      <c r="AF3428" s="35">
        <v>7.5060483870967752E-3</v>
      </c>
    </row>
    <row r="3429" spans="19:32" x14ac:dyDescent="0.35">
      <c r="S3429" s="34">
        <v>3425</v>
      </c>
      <c r="T3429" s="34" t="s">
        <v>4284</v>
      </c>
      <c r="U3429" s="34" t="s">
        <v>4280</v>
      </c>
      <c r="V3429" s="35">
        <v>1.6725806451612903E-4</v>
      </c>
      <c r="W3429" s="13"/>
      <c r="X3429" s="47">
        <v>3425</v>
      </c>
      <c r="Y3429" s="47" t="s">
        <v>2248</v>
      </c>
      <c r="Z3429" s="47" t="s">
        <v>4642</v>
      </c>
      <c r="AA3429" s="48">
        <v>1.9330645161290324E-4</v>
      </c>
      <c r="AB3429" s="13"/>
      <c r="AC3429" s="47">
        <v>3425</v>
      </c>
      <c r="AD3429" s="47" t="s">
        <v>4573</v>
      </c>
      <c r="AE3429" s="47" t="s">
        <v>2319</v>
      </c>
      <c r="AF3429" s="56">
        <v>48.576000000000001</v>
      </c>
    </row>
    <row r="3430" spans="19:32" x14ac:dyDescent="0.35">
      <c r="S3430" s="34">
        <v>3426</v>
      </c>
      <c r="T3430" s="34" t="s">
        <v>4284</v>
      </c>
      <c r="U3430" s="34" t="s">
        <v>4279</v>
      </c>
      <c r="V3430" s="35">
        <v>1.8747983870967743E-3</v>
      </c>
      <c r="W3430" s="13"/>
      <c r="X3430" s="34">
        <v>3426</v>
      </c>
      <c r="Y3430" s="34" t="s">
        <v>2248</v>
      </c>
      <c r="Z3430" s="34" t="s">
        <v>2837</v>
      </c>
      <c r="AA3430" s="35">
        <v>4.6612903225806462E-6</v>
      </c>
      <c r="AB3430" s="13"/>
      <c r="AC3430" s="47">
        <v>3426</v>
      </c>
      <c r="AD3430" s="47" t="s">
        <v>4573</v>
      </c>
      <c r="AE3430" s="47" t="s">
        <v>2318</v>
      </c>
      <c r="AF3430" s="56">
        <v>27.232000000000003</v>
      </c>
    </row>
    <row r="3431" spans="19:32" x14ac:dyDescent="0.35">
      <c r="S3431" s="47">
        <v>3427</v>
      </c>
      <c r="T3431" s="47" t="s">
        <v>4284</v>
      </c>
      <c r="U3431" s="47" t="s">
        <v>2582</v>
      </c>
      <c r="V3431" s="56">
        <v>0</v>
      </c>
      <c r="W3431" s="13"/>
      <c r="X3431" s="47">
        <v>3427</v>
      </c>
      <c r="Y3431" s="47" t="s">
        <v>2248</v>
      </c>
      <c r="Z3431" s="47" t="s">
        <v>2802</v>
      </c>
      <c r="AA3431" s="48">
        <v>9.7520000000000003E-3</v>
      </c>
      <c r="AB3431" s="13"/>
      <c r="AC3431" s="34">
        <v>3427</v>
      </c>
      <c r="AD3431" s="34" t="s">
        <v>4573</v>
      </c>
      <c r="AE3431" s="34" t="s">
        <v>3801</v>
      </c>
      <c r="AF3431" s="35">
        <v>1.3298387096774193E-3</v>
      </c>
    </row>
    <row r="3432" spans="19:32" x14ac:dyDescent="0.35">
      <c r="S3432" s="34">
        <v>3428</v>
      </c>
      <c r="T3432" s="34" t="s">
        <v>4284</v>
      </c>
      <c r="U3432" s="34" t="s">
        <v>4276</v>
      </c>
      <c r="V3432" s="35">
        <v>3.4137096774193554E-4</v>
      </c>
      <c r="W3432" s="13"/>
      <c r="X3432" s="34">
        <v>3428</v>
      </c>
      <c r="Y3432" s="34" t="s">
        <v>2248</v>
      </c>
      <c r="Z3432" s="34" t="s">
        <v>4641</v>
      </c>
      <c r="AA3432" s="35">
        <v>2.8310483870967745E-4</v>
      </c>
      <c r="AB3432" s="13"/>
      <c r="AC3432" s="34">
        <v>3428</v>
      </c>
      <c r="AD3432" s="34" t="s">
        <v>4573</v>
      </c>
      <c r="AE3432" s="34" t="s">
        <v>2316</v>
      </c>
      <c r="AF3432" s="35">
        <v>0.37701612903225812</v>
      </c>
    </row>
    <row r="3433" spans="19:32" x14ac:dyDescent="0.35">
      <c r="S3433" s="34">
        <v>3429</v>
      </c>
      <c r="T3433" s="34" t="s">
        <v>4284</v>
      </c>
      <c r="U3433" s="34" t="s">
        <v>4275</v>
      </c>
      <c r="V3433" s="35">
        <v>3.4616935483870971E-3</v>
      </c>
      <c r="W3433" s="13"/>
      <c r="X3433" s="34">
        <v>3429</v>
      </c>
      <c r="Y3433" s="34" t="s">
        <v>2248</v>
      </c>
      <c r="Z3433" s="34" t="s">
        <v>2835</v>
      </c>
      <c r="AA3433" s="35">
        <v>1.9159274193548388E-6</v>
      </c>
      <c r="AB3433" s="13"/>
      <c r="AC3433" s="47">
        <v>3429</v>
      </c>
      <c r="AD3433" s="47" t="s">
        <v>4573</v>
      </c>
      <c r="AE3433" s="47" t="s">
        <v>2316</v>
      </c>
      <c r="AF3433" s="56">
        <v>0</v>
      </c>
    </row>
    <row r="3434" spans="19:32" x14ac:dyDescent="0.35">
      <c r="S3434" s="34">
        <v>3430</v>
      </c>
      <c r="T3434" s="34" t="s">
        <v>4284</v>
      </c>
      <c r="U3434" s="34" t="s">
        <v>4273</v>
      </c>
      <c r="V3434" s="35">
        <v>3.0881048387096778E-6</v>
      </c>
      <c r="W3434" s="13"/>
      <c r="X3434" s="34">
        <v>3430</v>
      </c>
      <c r="Y3434" s="34" t="s">
        <v>2248</v>
      </c>
      <c r="Z3434" s="34" t="s">
        <v>2832</v>
      </c>
      <c r="AA3434" s="35">
        <v>2.1352822580645161</v>
      </c>
      <c r="AB3434" s="13"/>
      <c r="AC3434" s="34">
        <v>3430</v>
      </c>
      <c r="AD3434" s="34" t="s">
        <v>4573</v>
      </c>
      <c r="AE3434" s="34" t="s">
        <v>2315</v>
      </c>
      <c r="AF3434" s="35">
        <v>4.2157258064516132E-2</v>
      </c>
    </row>
    <row r="3435" spans="19:32" x14ac:dyDescent="0.35">
      <c r="S3435" s="34">
        <v>3431</v>
      </c>
      <c r="T3435" s="34" t="s">
        <v>4284</v>
      </c>
      <c r="U3435" s="34" t="s">
        <v>4272</v>
      </c>
      <c r="V3435" s="35">
        <v>2.8173387096774197E-3</v>
      </c>
      <c r="W3435" s="13"/>
      <c r="X3435" s="47">
        <v>3431</v>
      </c>
      <c r="Y3435" s="47" t="s">
        <v>2248</v>
      </c>
      <c r="Z3435" s="47" t="s">
        <v>4640</v>
      </c>
      <c r="AA3435" s="48">
        <v>1.3264112903225806</v>
      </c>
      <c r="AB3435" s="13"/>
      <c r="AC3435" s="47">
        <v>3431</v>
      </c>
      <c r="AD3435" s="47" t="s">
        <v>4573</v>
      </c>
      <c r="AE3435" s="47" t="s">
        <v>2315</v>
      </c>
      <c r="AF3435" s="56">
        <v>332.12</v>
      </c>
    </row>
    <row r="3436" spans="19:32" x14ac:dyDescent="0.35">
      <c r="S3436" s="34">
        <v>3432</v>
      </c>
      <c r="T3436" s="34" t="s">
        <v>4284</v>
      </c>
      <c r="U3436" s="34" t="s">
        <v>4639</v>
      </c>
      <c r="V3436" s="35">
        <v>1.5114919354838711E-3</v>
      </c>
      <c r="W3436" s="13"/>
      <c r="X3436" s="47">
        <v>3432</v>
      </c>
      <c r="Y3436" s="47" t="s">
        <v>2248</v>
      </c>
      <c r="Z3436" s="47" t="s">
        <v>2800</v>
      </c>
      <c r="AA3436" s="48">
        <v>0.38547999999999999</v>
      </c>
      <c r="AB3436" s="13"/>
      <c r="AC3436" s="34">
        <v>3432</v>
      </c>
      <c r="AD3436" s="34" t="s">
        <v>4573</v>
      </c>
      <c r="AE3436" s="34" t="s">
        <v>3794</v>
      </c>
      <c r="AF3436" s="35">
        <v>6.4778225806451616E-3</v>
      </c>
    </row>
    <row r="3437" spans="19:32" x14ac:dyDescent="0.35">
      <c r="S3437" s="34">
        <v>3433</v>
      </c>
      <c r="T3437" s="34" t="s">
        <v>4284</v>
      </c>
      <c r="U3437" s="34" t="s">
        <v>4638</v>
      </c>
      <c r="V3437" s="35">
        <v>6.3750000000000005E-4</v>
      </c>
      <c r="W3437" s="13"/>
      <c r="X3437" s="34">
        <v>3433</v>
      </c>
      <c r="Y3437" s="34" t="s">
        <v>2248</v>
      </c>
      <c r="Z3437" s="34" t="s">
        <v>2800</v>
      </c>
      <c r="AA3437" s="35">
        <v>4.9697580645161298E-3</v>
      </c>
      <c r="AB3437" s="13"/>
      <c r="AC3437" s="34">
        <v>3433</v>
      </c>
      <c r="AD3437" s="34" t="s">
        <v>4573</v>
      </c>
      <c r="AE3437" s="34" t="s">
        <v>3791</v>
      </c>
      <c r="AF3437" s="35">
        <v>1.5320564516129034E-2</v>
      </c>
    </row>
    <row r="3438" spans="19:32" x14ac:dyDescent="0.35">
      <c r="S3438" s="34">
        <v>3434</v>
      </c>
      <c r="T3438" s="34" t="s">
        <v>4284</v>
      </c>
      <c r="U3438" s="34" t="s">
        <v>4268</v>
      </c>
      <c r="V3438" s="35">
        <v>8.1572580645161291E-3</v>
      </c>
      <c r="W3438" s="13"/>
      <c r="X3438" s="47">
        <v>3434</v>
      </c>
      <c r="Y3438" s="47" t="s">
        <v>2248</v>
      </c>
      <c r="Z3438" s="47" t="s">
        <v>2798</v>
      </c>
      <c r="AA3438" s="48">
        <v>0</v>
      </c>
      <c r="AB3438" s="13"/>
      <c r="AC3438" s="47">
        <v>3434</v>
      </c>
      <c r="AD3438" s="47" t="s">
        <v>4573</v>
      </c>
      <c r="AE3438" s="47" t="s">
        <v>2313</v>
      </c>
      <c r="AF3438" s="56">
        <v>10.396000000000001</v>
      </c>
    </row>
    <row r="3439" spans="19:32" x14ac:dyDescent="0.35">
      <c r="S3439" s="34">
        <v>3435</v>
      </c>
      <c r="T3439" s="34" t="s">
        <v>4284</v>
      </c>
      <c r="U3439" s="34" t="s">
        <v>4266</v>
      </c>
      <c r="V3439" s="35">
        <v>3.1600806451612907E-3</v>
      </c>
      <c r="W3439" s="13"/>
      <c r="X3439" s="34">
        <v>3435</v>
      </c>
      <c r="Y3439" s="34" t="s">
        <v>2248</v>
      </c>
      <c r="Z3439" s="34" t="s">
        <v>4637</v>
      </c>
      <c r="AA3439" s="35">
        <v>1.038508064516129E-2</v>
      </c>
      <c r="AB3439" s="13"/>
      <c r="AC3439" s="47">
        <v>3435</v>
      </c>
      <c r="AD3439" s="47" t="s">
        <v>4573</v>
      </c>
      <c r="AE3439" s="47" t="s">
        <v>2312</v>
      </c>
      <c r="AF3439" s="56">
        <v>0.24656000000000003</v>
      </c>
    </row>
    <row r="3440" spans="19:32" x14ac:dyDescent="0.35">
      <c r="S3440" s="34">
        <v>3436</v>
      </c>
      <c r="T3440" s="34" t="s">
        <v>4284</v>
      </c>
      <c r="U3440" s="34" t="s">
        <v>4636</v>
      </c>
      <c r="V3440" s="35">
        <v>5.5866935483870977E-4</v>
      </c>
      <c r="W3440" s="13"/>
      <c r="X3440" s="34">
        <v>3436</v>
      </c>
      <c r="Y3440" s="34" t="s">
        <v>2248</v>
      </c>
      <c r="Z3440" s="34" t="s">
        <v>2827</v>
      </c>
      <c r="AA3440" s="35">
        <v>8.4314516129032263E-2</v>
      </c>
      <c r="AB3440" s="13"/>
      <c r="AC3440" s="47">
        <v>3436</v>
      </c>
      <c r="AD3440" s="47" t="s">
        <v>4573</v>
      </c>
      <c r="AE3440" s="47" t="s">
        <v>2310</v>
      </c>
      <c r="AF3440" s="56">
        <v>4.6920000000000003E-2</v>
      </c>
    </row>
    <row r="3441" spans="19:32" x14ac:dyDescent="0.35">
      <c r="S3441" s="34">
        <v>3437</v>
      </c>
      <c r="T3441" s="34" t="s">
        <v>4284</v>
      </c>
      <c r="U3441" s="34" t="s">
        <v>4265</v>
      </c>
      <c r="V3441" s="35">
        <v>2.1078629032258067E-4</v>
      </c>
      <c r="W3441" s="13"/>
      <c r="X3441" s="34">
        <v>3437</v>
      </c>
      <c r="Y3441" s="34" t="s">
        <v>2248</v>
      </c>
      <c r="Z3441" s="34" t="s">
        <v>2824</v>
      </c>
      <c r="AA3441" s="35">
        <v>6.957661290322581</v>
      </c>
      <c r="AB3441" s="13"/>
      <c r="AC3441" s="47">
        <v>3437</v>
      </c>
      <c r="AD3441" s="47" t="s">
        <v>4573</v>
      </c>
      <c r="AE3441" s="47" t="s">
        <v>2308</v>
      </c>
      <c r="AF3441" s="56">
        <v>0.79212000000000005</v>
      </c>
    </row>
    <row r="3442" spans="19:32" x14ac:dyDescent="0.35">
      <c r="S3442" s="34">
        <v>3438</v>
      </c>
      <c r="T3442" s="34" t="s">
        <v>4284</v>
      </c>
      <c r="U3442" s="34" t="s">
        <v>4261</v>
      </c>
      <c r="V3442" s="35">
        <v>2.2620967741935484E-2</v>
      </c>
      <c r="W3442" s="13"/>
      <c r="X3442" s="47">
        <v>3438</v>
      </c>
      <c r="Y3442" s="47" t="s">
        <v>2248</v>
      </c>
      <c r="Z3442" s="47" t="s">
        <v>4635</v>
      </c>
      <c r="AA3442" s="48">
        <v>5.9979838709677425E-4</v>
      </c>
      <c r="AB3442" s="13"/>
      <c r="AC3442" s="47">
        <v>3438</v>
      </c>
      <c r="AD3442" s="47" t="s">
        <v>4573</v>
      </c>
      <c r="AE3442" s="47" t="s">
        <v>2307</v>
      </c>
      <c r="AF3442" s="56">
        <v>0.44896000000000003</v>
      </c>
    </row>
    <row r="3443" spans="19:32" x14ac:dyDescent="0.35">
      <c r="S3443" s="34">
        <v>3439</v>
      </c>
      <c r="T3443" s="34" t="s">
        <v>4284</v>
      </c>
      <c r="U3443" s="34" t="s">
        <v>2581</v>
      </c>
      <c r="V3443" s="35">
        <v>2.6288306451612907E-3</v>
      </c>
      <c r="W3443" s="13"/>
      <c r="X3443" s="47">
        <v>3439</v>
      </c>
      <c r="Y3443" s="47" t="s">
        <v>2248</v>
      </c>
      <c r="Z3443" s="47" t="s">
        <v>2797</v>
      </c>
      <c r="AA3443" s="48">
        <v>0.57316</v>
      </c>
      <c r="AB3443" s="13"/>
      <c r="AC3443" s="34">
        <v>3439</v>
      </c>
      <c r="AD3443" s="34" t="s">
        <v>4573</v>
      </c>
      <c r="AE3443" s="34" t="s">
        <v>3782</v>
      </c>
      <c r="AF3443" s="35">
        <v>12.304435483870968</v>
      </c>
    </row>
    <row r="3444" spans="19:32" x14ac:dyDescent="0.35">
      <c r="S3444" s="47">
        <v>3440</v>
      </c>
      <c r="T3444" s="47" t="s">
        <v>4284</v>
      </c>
      <c r="U3444" s="47" t="s">
        <v>2581</v>
      </c>
      <c r="V3444" s="56">
        <v>0.14351999999999998</v>
      </c>
      <c r="W3444" s="13"/>
      <c r="X3444" s="34">
        <v>3440</v>
      </c>
      <c r="Y3444" s="34" t="s">
        <v>2248</v>
      </c>
      <c r="Z3444" s="34" t="s">
        <v>2822</v>
      </c>
      <c r="AA3444" s="35">
        <v>3.0298387096774197E-3</v>
      </c>
      <c r="AB3444" s="13"/>
      <c r="AC3444" s="34">
        <v>3440</v>
      </c>
      <c r="AD3444" s="34" t="s">
        <v>4573</v>
      </c>
      <c r="AE3444" s="34" t="s">
        <v>2305</v>
      </c>
      <c r="AF3444" s="35">
        <v>35.987903225806456</v>
      </c>
    </row>
    <row r="3445" spans="19:32" x14ac:dyDescent="0.35">
      <c r="S3445" s="34">
        <v>3441</v>
      </c>
      <c r="T3445" s="34" t="s">
        <v>4284</v>
      </c>
      <c r="U3445" s="34" t="s">
        <v>4259</v>
      </c>
      <c r="V3445" s="35">
        <v>3.0229838709677423E-3</v>
      </c>
      <c r="W3445" s="13"/>
      <c r="X3445" s="47">
        <v>3441</v>
      </c>
      <c r="Y3445" s="47" t="s">
        <v>2248</v>
      </c>
      <c r="Z3445" s="47" t="s">
        <v>2796</v>
      </c>
      <c r="AA3445" s="48">
        <v>8.4363999999999999E-4</v>
      </c>
      <c r="AB3445" s="13"/>
      <c r="AC3445" s="47">
        <v>3441</v>
      </c>
      <c r="AD3445" s="47" t="s">
        <v>4573</v>
      </c>
      <c r="AE3445" s="47" t="s">
        <v>2305</v>
      </c>
      <c r="AF3445" s="56">
        <v>18124</v>
      </c>
    </row>
    <row r="3446" spans="19:32" x14ac:dyDescent="0.35">
      <c r="S3446" s="34">
        <v>3442</v>
      </c>
      <c r="T3446" s="34" t="s">
        <v>4284</v>
      </c>
      <c r="U3446" s="34" t="s">
        <v>4258</v>
      </c>
      <c r="V3446" s="35">
        <v>6.7177419354838715E-4</v>
      </c>
      <c r="W3446" s="13"/>
      <c r="X3446" s="34">
        <v>3442</v>
      </c>
      <c r="Y3446" s="34" t="s">
        <v>2248</v>
      </c>
      <c r="Z3446" s="34" t="s">
        <v>3334</v>
      </c>
      <c r="AA3446" s="35">
        <v>5.4838709677419361E-3</v>
      </c>
      <c r="AB3446" s="13"/>
      <c r="AC3446" s="34">
        <v>3442</v>
      </c>
      <c r="AD3446" s="34" t="s">
        <v>4573</v>
      </c>
      <c r="AE3446" s="34" t="s">
        <v>3778</v>
      </c>
      <c r="AF3446" s="35">
        <v>104.19354838709678</v>
      </c>
    </row>
    <row r="3447" spans="19:32" x14ac:dyDescent="0.35">
      <c r="S3447" s="34">
        <v>3443</v>
      </c>
      <c r="T3447" s="34" t="s">
        <v>4284</v>
      </c>
      <c r="U3447" s="34" t="s">
        <v>4257</v>
      </c>
      <c r="V3447" s="35">
        <v>1.891935483870968E-3</v>
      </c>
      <c r="W3447" s="13"/>
      <c r="X3447" s="34">
        <v>3443</v>
      </c>
      <c r="Y3447" s="34" t="s">
        <v>2248</v>
      </c>
      <c r="Z3447" s="34" t="s">
        <v>2819</v>
      </c>
      <c r="AA3447" s="35">
        <v>0.32731854838709679</v>
      </c>
      <c r="AB3447" s="13"/>
      <c r="AC3447" s="34">
        <v>3443</v>
      </c>
      <c r="AD3447" s="34" t="s">
        <v>4573</v>
      </c>
      <c r="AE3447" s="34" t="s">
        <v>3775</v>
      </c>
      <c r="AF3447" s="35">
        <v>0.77459677419354844</v>
      </c>
    </row>
    <row r="3448" spans="19:32" x14ac:dyDescent="0.35">
      <c r="S3448" s="34">
        <v>3444</v>
      </c>
      <c r="T3448" s="34" t="s">
        <v>4284</v>
      </c>
      <c r="U3448" s="34" t="s">
        <v>4255</v>
      </c>
      <c r="V3448" s="35">
        <v>2.3135080645161293E-6</v>
      </c>
      <c r="W3448" s="13"/>
      <c r="X3448" s="47">
        <v>3444</v>
      </c>
      <c r="Y3448" s="47" t="s">
        <v>2248</v>
      </c>
      <c r="Z3448" s="47" t="s">
        <v>2795</v>
      </c>
      <c r="AA3448" s="48">
        <v>0</v>
      </c>
      <c r="AB3448" s="13"/>
      <c r="AC3448" s="34">
        <v>3444</v>
      </c>
      <c r="AD3448" s="34" t="s">
        <v>4573</v>
      </c>
      <c r="AE3448" s="34" t="s">
        <v>3774</v>
      </c>
      <c r="AF3448" s="35">
        <v>49.697580645161295</v>
      </c>
    </row>
    <row r="3449" spans="19:32" x14ac:dyDescent="0.35">
      <c r="S3449" s="34">
        <v>3445</v>
      </c>
      <c r="T3449" s="34" t="s">
        <v>4284</v>
      </c>
      <c r="U3449" s="34" t="s">
        <v>4254</v>
      </c>
      <c r="V3449" s="35">
        <v>5.9637096774193545E-4</v>
      </c>
      <c r="W3449" s="13"/>
      <c r="X3449" s="47">
        <v>3445</v>
      </c>
      <c r="Y3449" s="47" t="s">
        <v>2248</v>
      </c>
      <c r="Z3449" s="47" t="s">
        <v>4634</v>
      </c>
      <c r="AA3449" s="48">
        <v>1.6143145161290324E-5</v>
      </c>
      <c r="AB3449" s="13"/>
      <c r="AC3449" s="47">
        <v>3445</v>
      </c>
      <c r="AD3449" s="47" t="s">
        <v>4573</v>
      </c>
      <c r="AE3449" s="47" t="s">
        <v>2304</v>
      </c>
      <c r="AF3449" s="56">
        <v>0</v>
      </c>
    </row>
    <row r="3450" spans="19:32" x14ac:dyDescent="0.35">
      <c r="S3450" s="34">
        <v>3446</v>
      </c>
      <c r="T3450" s="34" t="s">
        <v>4284</v>
      </c>
      <c r="U3450" s="34" t="s">
        <v>2579</v>
      </c>
      <c r="V3450" s="35">
        <v>1.9159274193548389E-4</v>
      </c>
      <c r="W3450" s="13"/>
      <c r="X3450" s="34">
        <v>3446</v>
      </c>
      <c r="Y3450" s="34" t="s">
        <v>2248</v>
      </c>
      <c r="Z3450" s="34" t="s">
        <v>2795</v>
      </c>
      <c r="AA3450" s="35">
        <v>8.4657258064516131E-7</v>
      </c>
      <c r="AB3450" s="13"/>
      <c r="AC3450" s="47">
        <v>3446</v>
      </c>
      <c r="AD3450" s="47" t="s">
        <v>4573</v>
      </c>
      <c r="AE3450" s="47" t="s">
        <v>2302</v>
      </c>
      <c r="AF3450" s="56">
        <v>5.0232000000000001</v>
      </c>
    </row>
    <row r="3451" spans="19:32" x14ac:dyDescent="0.35">
      <c r="S3451" s="47">
        <v>3447</v>
      </c>
      <c r="T3451" s="47" t="s">
        <v>4284</v>
      </c>
      <c r="U3451" s="47" t="s">
        <v>2579</v>
      </c>
      <c r="V3451" s="56">
        <v>0.44711999999999996</v>
      </c>
      <c r="W3451" s="13"/>
      <c r="X3451" s="34">
        <v>3447</v>
      </c>
      <c r="Y3451" s="34" t="s">
        <v>2248</v>
      </c>
      <c r="Z3451" s="34" t="s">
        <v>2814</v>
      </c>
      <c r="AA3451" s="35">
        <v>2.7487903225806454E-3</v>
      </c>
      <c r="AB3451" s="13"/>
      <c r="AC3451" s="34">
        <v>3447</v>
      </c>
      <c r="AD3451" s="34" t="s">
        <v>4573</v>
      </c>
      <c r="AE3451" s="34" t="s">
        <v>3768</v>
      </c>
      <c r="AF3451" s="35">
        <v>3.8387096774193552E-2</v>
      </c>
    </row>
    <row r="3452" spans="19:32" x14ac:dyDescent="0.35">
      <c r="S3452" s="34">
        <v>3448</v>
      </c>
      <c r="T3452" s="34" t="s">
        <v>4284</v>
      </c>
      <c r="U3452" s="34" t="s">
        <v>4253</v>
      </c>
      <c r="V3452" s="35">
        <v>1.288709677419355E-5</v>
      </c>
      <c r="W3452" s="13"/>
      <c r="X3452" s="34">
        <v>3448</v>
      </c>
      <c r="Y3452" s="34" t="s">
        <v>2248</v>
      </c>
      <c r="Z3452" s="34" t="s">
        <v>2812</v>
      </c>
      <c r="AA3452" s="35">
        <v>4.181451612903226E-2</v>
      </c>
      <c r="AB3452" s="13"/>
      <c r="AC3452" s="47">
        <v>3448</v>
      </c>
      <c r="AD3452" s="47" t="s">
        <v>4573</v>
      </c>
      <c r="AE3452" s="47" t="s">
        <v>2301</v>
      </c>
      <c r="AF3452" s="56">
        <v>0</v>
      </c>
    </row>
    <row r="3453" spans="19:32" x14ac:dyDescent="0.35">
      <c r="S3453" s="34">
        <v>3449</v>
      </c>
      <c r="T3453" s="34" t="s">
        <v>4284</v>
      </c>
      <c r="U3453" s="34" t="s">
        <v>4252</v>
      </c>
      <c r="V3453" s="35">
        <v>1.9947580645161294E-4</v>
      </c>
      <c r="W3453" s="13"/>
      <c r="X3453" s="47">
        <v>3449</v>
      </c>
      <c r="Y3453" s="47" t="s">
        <v>2248</v>
      </c>
      <c r="Z3453" s="47" t="s">
        <v>4633</v>
      </c>
      <c r="AA3453" s="48">
        <v>1.3983870967741938E-4</v>
      </c>
      <c r="AB3453" s="13"/>
      <c r="AC3453" s="34">
        <v>3449</v>
      </c>
      <c r="AD3453" s="34" t="s">
        <v>4573</v>
      </c>
      <c r="AE3453" s="34" t="s">
        <v>3766</v>
      </c>
      <c r="AF3453" s="35">
        <v>8.6028225806451619</v>
      </c>
    </row>
    <row r="3454" spans="19:32" x14ac:dyDescent="0.35">
      <c r="S3454" s="34">
        <v>3450</v>
      </c>
      <c r="T3454" s="34" t="s">
        <v>4284</v>
      </c>
      <c r="U3454" s="34" t="s">
        <v>4251</v>
      </c>
      <c r="V3454" s="35">
        <v>1.5491935483870968E-6</v>
      </c>
      <c r="W3454" s="13"/>
      <c r="X3454" s="34">
        <v>3450</v>
      </c>
      <c r="Y3454" s="34" t="s">
        <v>2248</v>
      </c>
      <c r="Z3454" s="34" t="s">
        <v>2809</v>
      </c>
      <c r="AA3454" s="35">
        <v>7.129032258064516E-2</v>
      </c>
      <c r="AB3454" s="13"/>
      <c r="AC3454" s="34">
        <v>3450</v>
      </c>
      <c r="AD3454" s="34" t="s">
        <v>4573</v>
      </c>
      <c r="AE3454" s="34" t="s">
        <v>3764</v>
      </c>
      <c r="AF3454" s="35">
        <v>35.302419354838712</v>
      </c>
    </row>
    <row r="3455" spans="19:32" x14ac:dyDescent="0.35">
      <c r="S3455" s="34">
        <v>3451</v>
      </c>
      <c r="T3455" s="34" t="s">
        <v>4284</v>
      </c>
      <c r="U3455" s="34" t="s">
        <v>2577</v>
      </c>
      <c r="V3455" s="35">
        <v>1.5423387096774196E-3</v>
      </c>
      <c r="W3455" s="13"/>
      <c r="X3455" s="34">
        <v>3451</v>
      </c>
      <c r="Y3455" s="34" t="s">
        <v>2248</v>
      </c>
      <c r="Z3455" s="34" t="s">
        <v>2806</v>
      </c>
      <c r="AA3455" s="35">
        <v>4.2842741935483876E-3</v>
      </c>
      <c r="AB3455" s="13"/>
      <c r="AC3455" s="34">
        <v>3451</v>
      </c>
      <c r="AD3455" s="34" t="s">
        <v>4573</v>
      </c>
      <c r="AE3455" s="34" t="s">
        <v>3762</v>
      </c>
      <c r="AF3455" s="35">
        <v>2.5534274193548388E-2</v>
      </c>
    </row>
    <row r="3456" spans="19:32" x14ac:dyDescent="0.35">
      <c r="S3456" s="47">
        <v>3452</v>
      </c>
      <c r="T3456" s="47" t="s">
        <v>4284</v>
      </c>
      <c r="U3456" s="47" t="s">
        <v>2577</v>
      </c>
      <c r="V3456" s="56">
        <v>0</v>
      </c>
      <c r="W3456" s="13"/>
      <c r="X3456" s="47">
        <v>3452</v>
      </c>
      <c r="Y3456" s="47" t="s">
        <v>2248</v>
      </c>
      <c r="Z3456" s="47" t="s">
        <v>4632</v>
      </c>
      <c r="AA3456" s="48">
        <v>1.1550403225806453E-3</v>
      </c>
      <c r="AB3456" s="13"/>
      <c r="AC3456" s="34">
        <v>3452</v>
      </c>
      <c r="AD3456" s="34" t="s">
        <v>4573</v>
      </c>
      <c r="AE3456" s="34" t="s">
        <v>3759</v>
      </c>
      <c r="AF3456" s="35">
        <v>1.453225806451613E-2</v>
      </c>
    </row>
    <row r="3457" spans="19:32" x14ac:dyDescent="0.35">
      <c r="S3457" s="34">
        <v>3453</v>
      </c>
      <c r="T3457" s="34" t="s">
        <v>4284</v>
      </c>
      <c r="U3457" s="34" t="s">
        <v>4249</v>
      </c>
      <c r="V3457" s="35">
        <v>9.1854838709677427E-4</v>
      </c>
      <c r="W3457" s="13"/>
      <c r="X3457" s="47">
        <v>3453</v>
      </c>
      <c r="Y3457" s="47" t="s">
        <v>2248</v>
      </c>
      <c r="Z3457" s="47" t="s">
        <v>2793</v>
      </c>
      <c r="AA3457" s="48">
        <v>0</v>
      </c>
      <c r="AB3457" s="13"/>
      <c r="AC3457" s="34">
        <v>3453</v>
      </c>
      <c r="AD3457" s="34" t="s">
        <v>4573</v>
      </c>
      <c r="AE3457" s="34" t="s">
        <v>3758</v>
      </c>
      <c r="AF3457" s="35">
        <v>0.1984475806451613</v>
      </c>
    </row>
    <row r="3458" spans="19:32" x14ac:dyDescent="0.35">
      <c r="S3458" s="47">
        <v>3454</v>
      </c>
      <c r="T3458" s="47" t="s">
        <v>4284</v>
      </c>
      <c r="U3458" s="47" t="s">
        <v>2576</v>
      </c>
      <c r="V3458" s="56">
        <v>0.31095999999999996</v>
      </c>
      <c r="W3458" s="13"/>
      <c r="X3458" s="34">
        <v>3454</v>
      </c>
      <c r="Y3458" s="34" t="s">
        <v>2248</v>
      </c>
      <c r="Z3458" s="34" t="s">
        <v>2793</v>
      </c>
      <c r="AA3458" s="35">
        <v>1.7788306451612906E-4</v>
      </c>
      <c r="AB3458" s="13"/>
      <c r="AC3458" s="34">
        <v>3454</v>
      </c>
      <c r="AD3458" s="34" t="s">
        <v>4573</v>
      </c>
      <c r="AE3458" s="34" t="s">
        <v>3755</v>
      </c>
      <c r="AF3458" s="35">
        <v>0.19536290322580646</v>
      </c>
    </row>
    <row r="3459" spans="19:32" x14ac:dyDescent="0.35">
      <c r="S3459" s="47">
        <v>3455</v>
      </c>
      <c r="T3459" s="47" t="s">
        <v>4284</v>
      </c>
      <c r="U3459" s="47" t="s">
        <v>2574</v>
      </c>
      <c r="V3459" s="56">
        <v>0</v>
      </c>
      <c r="W3459" s="13"/>
      <c r="X3459" s="47">
        <v>3455</v>
      </c>
      <c r="Y3459" s="47" t="s">
        <v>2248</v>
      </c>
      <c r="Z3459" s="47" t="s">
        <v>4631</v>
      </c>
      <c r="AA3459" s="48">
        <v>1.3195564516129034E-4</v>
      </c>
      <c r="AB3459" s="13"/>
      <c r="AC3459" s="34">
        <v>3455</v>
      </c>
      <c r="AD3459" s="34" t="s">
        <v>4573</v>
      </c>
      <c r="AE3459" s="34" t="s">
        <v>3753</v>
      </c>
      <c r="AF3459" s="35">
        <v>0.64092741935483877</v>
      </c>
    </row>
    <row r="3460" spans="19:32" x14ac:dyDescent="0.35">
      <c r="S3460" s="34">
        <v>3456</v>
      </c>
      <c r="T3460" s="34" t="s">
        <v>4284</v>
      </c>
      <c r="U3460" s="34" t="s">
        <v>4247</v>
      </c>
      <c r="V3460" s="35">
        <v>9.9052419354838723E-5</v>
      </c>
      <c r="W3460" s="13"/>
      <c r="X3460" s="34">
        <v>3456</v>
      </c>
      <c r="Y3460" s="34" t="s">
        <v>2248</v>
      </c>
      <c r="Z3460" s="34" t="s">
        <v>2801</v>
      </c>
      <c r="AA3460" s="35">
        <v>3.0024193548387101E-4</v>
      </c>
      <c r="AB3460" s="13"/>
      <c r="AC3460" s="47">
        <v>3456</v>
      </c>
      <c r="AD3460" s="47" t="s">
        <v>4573</v>
      </c>
      <c r="AE3460" s="47" t="s">
        <v>2299</v>
      </c>
      <c r="AF3460" s="56">
        <v>4692</v>
      </c>
    </row>
    <row r="3461" spans="19:32" x14ac:dyDescent="0.35">
      <c r="S3461" s="34">
        <v>3457</v>
      </c>
      <c r="T3461" s="34" t="s">
        <v>4284</v>
      </c>
      <c r="U3461" s="34" t="s">
        <v>4246</v>
      </c>
      <c r="V3461" s="35">
        <v>4.0786290322580648E-4</v>
      </c>
      <c r="W3461" s="13"/>
      <c r="X3461" s="34">
        <v>3457</v>
      </c>
      <c r="Y3461" s="34" t="s">
        <v>2248</v>
      </c>
      <c r="Z3461" s="34" t="s">
        <v>2799</v>
      </c>
      <c r="AA3461" s="35">
        <v>2.3752016129032261E-2</v>
      </c>
      <c r="AB3461" s="13"/>
      <c r="AC3461" s="34">
        <v>3457</v>
      </c>
      <c r="AD3461" s="34" t="s">
        <v>4573</v>
      </c>
      <c r="AE3461" s="34" t="s">
        <v>3751</v>
      </c>
      <c r="AF3461" s="35">
        <v>0.65463709677419357</v>
      </c>
    </row>
    <row r="3462" spans="19:32" x14ac:dyDescent="0.35">
      <c r="S3462" s="34">
        <v>3458</v>
      </c>
      <c r="T3462" s="34" t="s">
        <v>4284</v>
      </c>
      <c r="U3462" s="34" t="s">
        <v>4244</v>
      </c>
      <c r="V3462" s="35">
        <v>2.4643145161290328E-6</v>
      </c>
      <c r="W3462" s="13"/>
      <c r="X3462" s="34">
        <v>3458</v>
      </c>
      <c r="Y3462" s="34" t="s">
        <v>2248</v>
      </c>
      <c r="Z3462" s="34" t="s">
        <v>4630</v>
      </c>
      <c r="AA3462" s="35">
        <v>2.4129032258064518E-5</v>
      </c>
      <c r="AB3462" s="13"/>
      <c r="AC3462" s="47">
        <v>3458</v>
      </c>
      <c r="AD3462" s="47" t="s">
        <v>4573</v>
      </c>
      <c r="AE3462" s="47" t="s">
        <v>2298</v>
      </c>
      <c r="AF3462" s="56">
        <v>69.091999999999999</v>
      </c>
    </row>
    <row r="3463" spans="19:32" x14ac:dyDescent="0.35">
      <c r="S3463" s="34">
        <v>3459</v>
      </c>
      <c r="T3463" s="34" t="s">
        <v>4284</v>
      </c>
      <c r="U3463" s="34" t="s">
        <v>2573</v>
      </c>
      <c r="V3463" s="35">
        <v>1.192741935483871E-2</v>
      </c>
      <c r="W3463" s="13"/>
      <c r="X3463" s="47">
        <v>3459</v>
      </c>
      <c r="Y3463" s="47" t="s">
        <v>2248</v>
      </c>
      <c r="Z3463" s="47" t="s">
        <v>2792</v>
      </c>
      <c r="AA3463" s="48">
        <v>0.10488</v>
      </c>
      <c r="AB3463" s="13"/>
      <c r="AC3463" s="34">
        <v>3459</v>
      </c>
      <c r="AD3463" s="34" t="s">
        <v>4573</v>
      </c>
      <c r="AE3463" s="34" t="s">
        <v>3747</v>
      </c>
      <c r="AF3463" s="35">
        <v>4.4213709677419359</v>
      </c>
    </row>
    <row r="3464" spans="19:32" x14ac:dyDescent="0.35">
      <c r="S3464" s="47">
        <v>3460</v>
      </c>
      <c r="T3464" s="47" t="s">
        <v>4284</v>
      </c>
      <c r="U3464" s="47" t="s">
        <v>2573</v>
      </c>
      <c r="V3464" s="56">
        <v>0</v>
      </c>
      <c r="W3464" s="13"/>
      <c r="X3464" s="34">
        <v>3460</v>
      </c>
      <c r="Y3464" s="34" t="s">
        <v>2248</v>
      </c>
      <c r="Z3464" s="34" t="s">
        <v>2792</v>
      </c>
      <c r="AA3464" s="35">
        <v>1.9056451612903228E-3</v>
      </c>
      <c r="AB3464" s="13"/>
      <c r="AC3464" s="34">
        <v>3460</v>
      </c>
      <c r="AD3464" s="34" t="s">
        <v>4573</v>
      </c>
      <c r="AE3464" s="34" t="s">
        <v>3745</v>
      </c>
      <c r="AF3464" s="35">
        <v>2.3237903225806454E-2</v>
      </c>
    </row>
    <row r="3465" spans="19:32" x14ac:dyDescent="0.35">
      <c r="S3465" s="34">
        <v>3461</v>
      </c>
      <c r="T3465" s="34" t="s">
        <v>4284</v>
      </c>
      <c r="U3465" s="34" t="s">
        <v>4242</v>
      </c>
      <c r="V3465" s="35">
        <v>1.2750000000000001E-2</v>
      </c>
      <c r="W3465" s="13"/>
      <c r="X3465" s="34">
        <v>3461</v>
      </c>
      <c r="Y3465" s="34" t="s">
        <v>2248</v>
      </c>
      <c r="Z3465" s="34" t="s">
        <v>2794</v>
      </c>
      <c r="AA3465" s="35">
        <v>2.645967741935484E-2</v>
      </c>
      <c r="AB3465" s="13"/>
      <c r="AC3465" s="34">
        <v>3461</v>
      </c>
      <c r="AD3465" s="34" t="s">
        <v>4573</v>
      </c>
      <c r="AE3465" s="34" t="s">
        <v>3743</v>
      </c>
      <c r="AF3465" s="35">
        <v>1.4018145161290323</v>
      </c>
    </row>
    <row r="3466" spans="19:32" x14ac:dyDescent="0.35">
      <c r="S3466" s="34">
        <v>3462</v>
      </c>
      <c r="T3466" s="34" t="s">
        <v>4284</v>
      </c>
      <c r="U3466" s="34" t="s">
        <v>4240</v>
      </c>
      <c r="V3466" s="35">
        <v>7.4032258064516136E-4</v>
      </c>
      <c r="W3466" s="13"/>
      <c r="X3466" s="47">
        <v>3462</v>
      </c>
      <c r="Y3466" s="47" t="s">
        <v>2248</v>
      </c>
      <c r="Z3466" s="47" t="s">
        <v>3331</v>
      </c>
      <c r="AA3466" s="48">
        <v>1.7239919354838709E-3</v>
      </c>
      <c r="AB3466" s="13"/>
      <c r="AC3466" s="34">
        <v>3462</v>
      </c>
      <c r="AD3466" s="34" t="s">
        <v>4573</v>
      </c>
      <c r="AE3466" s="34" t="s">
        <v>3741</v>
      </c>
      <c r="AF3466" s="35">
        <v>28.927419354838712</v>
      </c>
    </row>
    <row r="3467" spans="19:32" x14ac:dyDescent="0.35">
      <c r="S3467" s="34">
        <v>3463</v>
      </c>
      <c r="T3467" s="34" t="s">
        <v>4284</v>
      </c>
      <c r="U3467" s="34" t="s">
        <v>4239</v>
      </c>
      <c r="V3467" s="35">
        <v>2.9030241935483875E-3</v>
      </c>
      <c r="W3467" s="13"/>
      <c r="X3467" s="34">
        <v>3463</v>
      </c>
      <c r="Y3467" s="34" t="s">
        <v>2248</v>
      </c>
      <c r="Z3467" s="34" t="s">
        <v>2791</v>
      </c>
      <c r="AA3467" s="35">
        <v>5.0725806451612905E-2</v>
      </c>
      <c r="AB3467" s="13"/>
      <c r="AC3467" s="34">
        <v>3463</v>
      </c>
      <c r="AD3467" s="34" t="s">
        <v>4573</v>
      </c>
      <c r="AE3467" s="34" t="s">
        <v>3739</v>
      </c>
      <c r="AF3467" s="35">
        <v>1.3435483870967744</v>
      </c>
    </row>
    <row r="3468" spans="19:32" x14ac:dyDescent="0.35">
      <c r="S3468" s="34">
        <v>3464</v>
      </c>
      <c r="T3468" s="34" t="s">
        <v>4284</v>
      </c>
      <c r="U3468" s="34" t="s">
        <v>4238</v>
      </c>
      <c r="V3468" s="35">
        <v>1.0213709677419356E-2</v>
      </c>
      <c r="W3468" s="13"/>
      <c r="X3468" s="47">
        <v>3464</v>
      </c>
      <c r="Y3468" s="47" t="s">
        <v>2248</v>
      </c>
      <c r="Z3468" s="47" t="s">
        <v>2790</v>
      </c>
      <c r="AA3468" s="56">
        <v>0</v>
      </c>
      <c r="AB3468" s="13"/>
      <c r="AC3468" s="34">
        <v>3464</v>
      </c>
      <c r="AD3468" s="34" t="s">
        <v>4573</v>
      </c>
      <c r="AE3468" s="34" t="s">
        <v>3737</v>
      </c>
      <c r="AF3468" s="35">
        <v>126.81451612903227</v>
      </c>
    </row>
    <row r="3469" spans="19:32" x14ac:dyDescent="0.35">
      <c r="S3469" s="34">
        <v>3465</v>
      </c>
      <c r="T3469" s="34" t="s">
        <v>4284</v>
      </c>
      <c r="U3469" s="34" t="s">
        <v>4236</v>
      </c>
      <c r="V3469" s="35">
        <v>3.6330645161290323E-2</v>
      </c>
      <c r="W3469" s="13"/>
      <c r="X3469" s="34">
        <v>3465</v>
      </c>
      <c r="Y3469" s="34" t="s">
        <v>2248</v>
      </c>
      <c r="Z3469" s="34" t="s">
        <v>4629</v>
      </c>
      <c r="AA3469" s="35">
        <v>8.3971774193548399E-2</v>
      </c>
      <c r="AB3469" s="13"/>
      <c r="AC3469" s="34">
        <v>3465</v>
      </c>
      <c r="AD3469" s="34" t="s">
        <v>4573</v>
      </c>
      <c r="AE3469" s="34" t="s">
        <v>2296</v>
      </c>
      <c r="AF3469" s="35">
        <v>3.9072580645161295E-2</v>
      </c>
    </row>
    <row r="3470" spans="19:32" x14ac:dyDescent="0.35">
      <c r="S3470" s="47">
        <v>3466</v>
      </c>
      <c r="T3470" s="47" t="s">
        <v>4284</v>
      </c>
      <c r="U3470" s="47" t="s">
        <v>2571</v>
      </c>
      <c r="V3470" s="56">
        <v>0</v>
      </c>
      <c r="W3470" s="13"/>
      <c r="X3470" s="34">
        <v>3466</v>
      </c>
      <c r="Y3470" s="34" t="s">
        <v>2248</v>
      </c>
      <c r="Z3470" s="34" t="s">
        <v>2790</v>
      </c>
      <c r="AA3470" s="35">
        <v>5.175403225806452E-3</v>
      </c>
      <c r="AB3470" s="13"/>
      <c r="AC3470" s="47">
        <v>3466</v>
      </c>
      <c r="AD3470" s="47" t="s">
        <v>4573</v>
      </c>
      <c r="AE3470" s="47" t="s">
        <v>2296</v>
      </c>
      <c r="AF3470" s="56">
        <v>0.15732000000000002</v>
      </c>
    </row>
    <row r="3471" spans="19:32" x14ac:dyDescent="0.35">
      <c r="S3471" s="34">
        <v>3467</v>
      </c>
      <c r="T3471" s="34" t="s">
        <v>4284</v>
      </c>
      <c r="U3471" s="34" t="s">
        <v>4234</v>
      </c>
      <c r="V3471" s="35">
        <v>7.0262096774193552E-7</v>
      </c>
      <c r="W3471" s="13"/>
      <c r="X3471" s="34">
        <v>3467</v>
      </c>
      <c r="Y3471" s="34" t="s">
        <v>2248</v>
      </c>
      <c r="Z3471" s="34" t="s">
        <v>2788</v>
      </c>
      <c r="AA3471" s="35">
        <v>8.157258064516129E-5</v>
      </c>
      <c r="AB3471" s="13"/>
      <c r="AC3471" s="34">
        <v>3467</v>
      </c>
      <c r="AD3471" s="34" t="s">
        <v>4573</v>
      </c>
      <c r="AE3471" s="34" t="s">
        <v>3734</v>
      </c>
      <c r="AF3471" s="35">
        <v>4.6612903225806459</v>
      </c>
    </row>
    <row r="3472" spans="19:32" x14ac:dyDescent="0.35">
      <c r="S3472" s="34">
        <v>3468</v>
      </c>
      <c r="T3472" s="34" t="s">
        <v>4284</v>
      </c>
      <c r="U3472" s="34" t="s">
        <v>4233</v>
      </c>
      <c r="V3472" s="35">
        <v>6.3064516129032267E-3</v>
      </c>
      <c r="W3472" s="13"/>
      <c r="X3472" s="34">
        <v>3468</v>
      </c>
      <c r="Y3472" s="34" t="s">
        <v>2248</v>
      </c>
      <c r="Z3472" s="34" t="s">
        <v>2785</v>
      </c>
      <c r="AA3472" s="35">
        <v>8.705645161290323E-4</v>
      </c>
      <c r="AB3472" s="13"/>
      <c r="AC3472" s="34">
        <v>3468</v>
      </c>
      <c r="AD3472" s="34" t="s">
        <v>4573</v>
      </c>
      <c r="AE3472" s="34" t="s">
        <v>3732</v>
      </c>
      <c r="AF3472" s="35">
        <v>500.40322580645164</v>
      </c>
    </row>
    <row r="3473" spans="19:32" x14ac:dyDescent="0.35">
      <c r="S3473" s="47">
        <v>3469</v>
      </c>
      <c r="T3473" s="47" t="s">
        <v>4284</v>
      </c>
      <c r="U3473" s="47" t="s">
        <v>2570</v>
      </c>
      <c r="V3473" s="56">
        <v>0</v>
      </c>
      <c r="W3473" s="13"/>
      <c r="X3473" s="47">
        <v>3469</v>
      </c>
      <c r="Y3473" s="47" t="s">
        <v>2248</v>
      </c>
      <c r="Z3473" s="47" t="s">
        <v>4628</v>
      </c>
      <c r="AA3473" s="48">
        <v>9.9052419354838717E-2</v>
      </c>
      <c r="AB3473" s="13"/>
      <c r="AC3473" s="34">
        <v>3469</v>
      </c>
      <c r="AD3473" s="34" t="s">
        <v>4573</v>
      </c>
      <c r="AE3473" s="34" t="s">
        <v>3731</v>
      </c>
      <c r="AF3473" s="35">
        <v>2.8276209677419355</v>
      </c>
    </row>
    <row r="3474" spans="19:32" x14ac:dyDescent="0.35">
      <c r="S3474" s="34">
        <v>3470</v>
      </c>
      <c r="T3474" s="34" t="s">
        <v>4284</v>
      </c>
      <c r="U3474" s="34" t="s">
        <v>4231</v>
      </c>
      <c r="V3474" s="35">
        <v>5.929435483870968E-6</v>
      </c>
      <c r="W3474" s="13"/>
      <c r="X3474" s="47">
        <v>3470</v>
      </c>
      <c r="Y3474" s="47" t="s">
        <v>2248</v>
      </c>
      <c r="Z3474" s="47" t="s">
        <v>2782</v>
      </c>
      <c r="AA3474" s="56">
        <v>138</v>
      </c>
      <c r="AB3474" s="13"/>
      <c r="AC3474" s="34">
        <v>3470</v>
      </c>
      <c r="AD3474" s="34" t="s">
        <v>4573</v>
      </c>
      <c r="AE3474" s="34" t="s">
        <v>2294</v>
      </c>
      <c r="AF3474" s="35">
        <v>58.608870967741943</v>
      </c>
    </row>
    <row r="3475" spans="19:32" x14ac:dyDescent="0.35">
      <c r="S3475" s="34">
        <v>3471</v>
      </c>
      <c r="T3475" s="34" t="s">
        <v>4284</v>
      </c>
      <c r="U3475" s="34" t="s">
        <v>4230</v>
      </c>
      <c r="V3475" s="35">
        <v>2.8070564516129036E-6</v>
      </c>
      <c r="W3475" s="13"/>
      <c r="X3475" s="34">
        <v>3471</v>
      </c>
      <c r="Y3475" s="34" t="s">
        <v>2248</v>
      </c>
      <c r="Z3475" s="34" t="s">
        <v>2782</v>
      </c>
      <c r="AA3475" s="35">
        <v>6.6834677419354841E-5</v>
      </c>
      <c r="AB3475" s="13"/>
      <c r="AC3475" s="47">
        <v>3471</v>
      </c>
      <c r="AD3475" s="47" t="s">
        <v>4573</v>
      </c>
      <c r="AE3475" s="47" t="s">
        <v>2294</v>
      </c>
      <c r="AF3475" s="56">
        <v>0</v>
      </c>
    </row>
    <row r="3476" spans="19:32" x14ac:dyDescent="0.35">
      <c r="S3476" s="47">
        <v>3472</v>
      </c>
      <c r="T3476" s="47" t="s">
        <v>4284</v>
      </c>
      <c r="U3476" s="47" t="s">
        <v>2568</v>
      </c>
      <c r="V3476" s="56">
        <v>0</v>
      </c>
      <c r="W3476" s="13"/>
      <c r="X3476" s="34">
        <v>3472</v>
      </c>
      <c r="Y3476" s="34" t="s">
        <v>2248</v>
      </c>
      <c r="Z3476" s="34" t="s">
        <v>4627</v>
      </c>
      <c r="AA3476" s="35">
        <v>3.1840725806451614E-2</v>
      </c>
      <c r="AB3476" s="13"/>
      <c r="AC3476" s="34">
        <v>3472</v>
      </c>
      <c r="AD3476" s="34" t="s">
        <v>4573</v>
      </c>
      <c r="AE3476" s="34" t="s">
        <v>3726</v>
      </c>
      <c r="AF3476" s="35">
        <v>1.0590725806451614E-2</v>
      </c>
    </row>
    <row r="3477" spans="19:32" x14ac:dyDescent="0.35">
      <c r="S3477" s="47">
        <v>3473</v>
      </c>
      <c r="T3477" s="47" t="s">
        <v>4284</v>
      </c>
      <c r="U3477" s="47" t="s">
        <v>2567</v>
      </c>
      <c r="V3477" s="56">
        <v>0</v>
      </c>
      <c r="W3477" s="13"/>
      <c r="X3477" s="47">
        <v>3473</v>
      </c>
      <c r="Y3477" s="47" t="s">
        <v>2248</v>
      </c>
      <c r="Z3477" s="47" t="s">
        <v>2789</v>
      </c>
      <c r="AA3477" s="56">
        <v>244.72000000000003</v>
      </c>
      <c r="AB3477" s="13"/>
      <c r="AC3477" s="34">
        <v>3473</v>
      </c>
      <c r="AD3477" s="34" t="s">
        <v>4573</v>
      </c>
      <c r="AE3477" s="34" t="s">
        <v>2293</v>
      </c>
      <c r="AF3477" s="35">
        <v>8.5</v>
      </c>
    </row>
    <row r="3478" spans="19:32" x14ac:dyDescent="0.35">
      <c r="S3478" s="34">
        <v>3474</v>
      </c>
      <c r="T3478" s="34" t="s">
        <v>4284</v>
      </c>
      <c r="U3478" s="34" t="s">
        <v>2565</v>
      </c>
      <c r="V3478" s="35">
        <v>1.1207661290322581E-2</v>
      </c>
      <c r="W3478" s="13"/>
      <c r="X3478" s="47">
        <v>3474</v>
      </c>
      <c r="Y3478" s="47" t="s">
        <v>2248</v>
      </c>
      <c r="Z3478" s="47" t="s">
        <v>2787</v>
      </c>
      <c r="AA3478" s="56">
        <v>0</v>
      </c>
      <c r="AB3478" s="13"/>
      <c r="AC3478" s="47">
        <v>3474</v>
      </c>
      <c r="AD3478" s="47" t="s">
        <v>4573</v>
      </c>
      <c r="AE3478" s="47" t="s">
        <v>2293</v>
      </c>
      <c r="AF3478" s="56">
        <v>0</v>
      </c>
    </row>
    <row r="3479" spans="19:32" x14ac:dyDescent="0.35">
      <c r="S3479" s="47">
        <v>3475</v>
      </c>
      <c r="T3479" s="47" t="s">
        <v>4284</v>
      </c>
      <c r="U3479" s="47" t="s">
        <v>2565</v>
      </c>
      <c r="V3479" s="56">
        <v>0.13432000000000002</v>
      </c>
      <c r="W3479" s="13"/>
      <c r="X3479" s="47">
        <v>3475</v>
      </c>
      <c r="Y3479" s="47" t="s">
        <v>2248</v>
      </c>
      <c r="Z3479" s="47" t="s">
        <v>4626</v>
      </c>
      <c r="AA3479" s="48">
        <v>0.19879032258064519</v>
      </c>
      <c r="AB3479" s="13"/>
      <c r="AC3479" s="34">
        <v>3475</v>
      </c>
      <c r="AD3479" s="34" t="s">
        <v>4573</v>
      </c>
      <c r="AE3479" s="34" t="s">
        <v>2291</v>
      </c>
      <c r="AF3479" s="35">
        <v>1.1481854838709677E-3</v>
      </c>
    </row>
    <row r="3480" spans="19:32" x14ac:dyDescent="0.35">
      <c r="S3480" s="34">
        <v>3476</v>
      </c>
      <c r="T3480" s="34" t="s">
        <v>4284</v>
      </c>
      <c r="U3480" s="34" t="s">
        <v>2563</v>
      </c>
      <c r="V3480" s="35">
        <v>1.3092741935483872E-2</v>
      </c>
      <c r="W3480" s="13"/>
      <c r="X3480" s="34">
        <v>3476</v>
      </c>
      <c r="Y3480" s="34" t="s">
        <v>2248</v>
      </c>
      <c r="Z3480" s="34" t="s">
        <v>2780</v>
      </c>
      <c r="AA3480" s="35">
        <v>0.60665322580645165</v>
      </c>
      <c r="AB3480" s="13"/>
      <c r="AC3480" s="47">
        <v>3476</v>
      </c>
      <c r="AD3480" s="47" t="s">
        <v>4573</v>
      </c>
      <c r="AE3480" s="47" t="s">
        <v>2291</v>
      </c>
      <c r="AF3480" s="56">
        <v>0.26404</v>
      </c>
    </row>
    <row r="3481" spans="19:32" x14ac:dyDescent="0.35">
      <c r="S3481" s="47">
        <v>3477</v>
      </c>
      <c r="T3481" s="47" t="s">
        <v>4284</v>
      </c>
      <c r="U3481" s="47" t="s">
        <v>2563</v>
      </c>
      <c r="V3481" s="56">
        <v>0.75900000000000001</v>
      </c>
      <c r="W3481" s="13"/>
      <c r="X3481" s="34">
        <v>3477</v>
      </c>
      <c r="Y3481" s="34" t="s">
        <v>2248</v>
      </c>
      <c r="Z3481" s="34" t="s">
        <v>2779</v>
      </c>
      <c r="AA3481" s="35">
        <v>1.6965725806451614E-3</v>
      </c>
      <c r="AB3481" s="13"/>
      <c r="AC3481" s="34">
        <v>3477</v>
      </c>
      <c r="AD3481" s="34" t="s">
        <v>4573</v>
      </c>
      <c r="AE3481" s="34" t="s">
        <v>3720</v>
      </c>
      <c r="AF3481" s="35">
        <v>3.9072580645161295E-2</v>
      </c>
    </row>
    <row r="3482" spans="19:32" x14ac:dyDescent="0.35">
      <c r="S3482" s="34">
        <v>3478</v>
      </c>
      <c r="T3482" s="34" t="s">
        <v>4284</v>
      </c>
      <c r="U3482" s="34" t="s">
        <v>4226</v>
      </c>
      <c r="V3482" s="35">
        <v>1.9296370967741936E-3</v>
      </c>
      <c r="W3482" s="13"/>
      <c r="X3482" s="34">
        <v>3478</v>
      </c>
      <c r="Y3482" s="34" t="s">
        <v>2248</v>
      </c>
      <c r="Z3482" s="34" t="s">
        <v>2776</v>
      </c>
      <c r="AA3482" s="35">
        <v>5.0383064516129034E-2</v>
      </c>
      <c r="AB3482" s="13"/>
      <c r="AC3482" s="34">
        <v>3478</v>
      </c>
      <c r="AD3482" s="34" t="s">
        <v>4573</v>
      </c>
      <c r="AE3482" s="34" t="s">
        <v>3717</v>
      </c>
      <c r="AF3482" s="35">
        <v>1.1139112903225808E-2</v>
      </c>
    </row>
    <row r="3483" spans="19:32" x14ac:dyDescent="0.35">
      <c r="S3483" s="34">
        <v>3479</v>
      </c>
      <c r="T3483" s="34" t="s">
        <v>4284</v>
      </c>
      <c r="U3483" s="34" t="s">
        <v>4224</v>
      </c>
      <c r="V3483" s="35">
        <v>6.3750000000000005E-4</v>
      </c>
      <c r="W3483" s="13"/>
      <c r="X3483" s="47">
        <v>3479</v>
      </c>
      <c r="Y3483" s="47" t="s">
        <v>2248</v>
      </c>
      <c r="Z3483" s="47" t="s">
        <v>4625</v>
      </c>
      <c r="AA3483" s="48">
        <v>5.5181451612903239E-4</v>
      </c>
      <c r="AB3483" s="13"/>
      <c r="AC3483" s="34">
        <v>3479</v>
      </c>
      <c r="AD3483" s="34" t="s">
        <v>4573</v>
      </c>
      <c r="AE3483" s="34" t="s">
        <v>3715</v>
      </c>
      <c r="AF3483" s="35">
        <v>0.11173387096774194</v>
      </c>
    </row>
    <row r="3484" spans="19:32" x14ac:dyDescent="0.35">
      <c r="S3484" s="34">
        <v>3480</v>
      </c>
      <c r="T3484" s="34" t="s">
        <v>4284</v>
      </c>
      <c r="U3484" s="34" t="s">
        <v>4223</v>
      </c>
      <c r="V3484" s="35">
        <v>4.3870967741935489E-2</v>
      </c>
      <c r="W3484" s="13"/>
      <c r="X3484" s="34">
        <v>3480</v>
      </c>
      <c r="Y3484" s="34" t="s">
        <v>2248</v>
      </c>
      <c r="Z3484" s="34" t="s">
        <v>2774</v>
      </c>
      <c r="AA3484" s="35">
        <v>6.5120967741935489E-3</v>
      </c>
      <c r="AB3484" s="13"/>
      <c r="AC3484" s="34">
        <v>3480</v>
      </c>
      <c r="AD3484" s="34" t="s">
        <v>4573</v>
      </c>
      <c r="AE3484" s="34" t="s">
        <v>3713</v>
      </c>
      <c r="AF3484" s="35">
        <v>18.782258064516132</v>
      </c>
    </row>
    <row r="3485" spans="19:32" x14ac:dyDescent="0.35">
      <c r="S3485" s="47">
        <v>3481</v>
      </c>
      <c r="T3485" s="47" t="s">
        <v>4284</v>
      </c>
      <c r="U3485" s="47" t="s">
        <v>2562</v>
      </c>
      <c r="V3485" s="56">
        <v>0</v>
      </c>
      <c r="W3485" s="13"/>
      <c r="X3485" s="34">
        <v>3481</v>
      </c>
      <c r="Y3485" s="34" t="s">
        <v>2248</v>
      </c>
      <c r="Z3485" s="34" t="s">
        <v>2772</v>
      </c>
      <c r="AA3485" s="35">
        <v>5.0725806451612909E-3</v>
      </c>
      <c r="AB3485" s="13"/>
      <c r="AC3485" s="34">
        <v>3481</v>
      </c>
      <c r="AD3485" s="34" t="s">
        <v>4573</v>
      </c>
      <c r="AE3485" s="34" t="s">
        <v>3711</v>
      </c>
      <c r="AF3485" s="35">
        <v>6.957661290322581E-2</v>
      </c>
    </row>
    <row r="3486" spans="19:32" x14ac:dyDescent="0.35">
      <c r="S3486" s="34">
        <v>3482</v>
      </c>
      <c r="T3486" s="34" t="s">
        <v>4284</v>
      </c>
      <c r="U3486" s="34" t="s">
        <v>4221</v>
      </c>
      <c r="V3486" s="35">
        <v>4.0100806451612906E-5</v>
      </c>
      <c r="W3486" s="13"/>
      <c r="X3486" s="47">
        <v>3482</v>
      </c>
      <c r="Y3486" s="47" t="s">
        <v>2248</v>
      </c>
      <c r="Z3486" s="47" t="s">
        <v>4624</v>
      </c>
      <c r="AA3486" s="48">
        <v>3.2971774193548391E-3</v>
      </c>
      <c r="AB3486" s="13"/>
      <c r="AC3486" s="34">
        <v>3482</v>
      </c>
      <c r="AD3486" s="34" t="s">
        <v>4573</v>
      </c>
      <c r="AE3486" s="34" t="s">
        <v>3709</v>
      </c>
      <c r="AF3486" s="35">
        <v>46.612903225806456</v>
      </c>
    </row>
    <row r="3487" spans="19:32" x14ac:dyDescent="0.35">
      <c r="S3487" s="47">
        <v>3483</v>
      </c>
      <c r="T3487" s="47" t="s">
        <v>4284</v>
      </c>
      <c r="U3487" s="47" t="s">
        <v>2560</v>
      </c>
      <c r="V3487" s="56">
        <v>0.12603999999999999</v>
      </c>
      <c r="W3487" s="13"/>
      <c r="X3487" s="47">
        <v>3483</v>
      </c>
      <c r="Y3487" s="47" t="s">
        <v>2248</v>
      </c>
      <c r="Z3487" s="47" t="s">
        <v>2786</v>
      </c>
      <c r="AA3487" s="56">
        <v>12.972000000000001</v>
      </c>
      <c r="AB3487" s="13"/>
      <c r="AC3487" s="34">
        <v>3483</v>
      </c>
      <c r="AD3487" s="34" t="s">
        <v>4573</v>
      </c>
      <c r="AE3487" s="34" t="s">
        <v>3707</v>
      </c>
      <c r="AF3487" s="35">
        <v>0.16657258064516131</v>
      </c>
    </row>
    <row r="3488" spans="19:32" x14ac:dyDescent="0.35">
      <c r="S3488" s="34">
        <v>3484</v>
      </c>
      <c r="T3488" s="34" t="s">
        <v>4284</v>
      </c>
      <c r="U3488" s="34" t="s">
        <v>2559</v>
      </c>
      <c r="V3488" s="35">
        <v>5.3810483870967742E-4</v>
      </c>
      <c r="W3488" s="13"/>
      <c r="X3488" s="34">
        <v>3484</v>
      </c>
      <c r="Y3488" s="34" t="s">
        <v>2248</v>
      </c>
      <c r="Z3488" s="34" t="s">
        <v>2770</v>
      </c>
      <c r="AA3488" s="35">
        <v>2.6973790322580647E-2</v>
      </c>
      <c r="AB3488" s="13"/>
      <c r="AC3488" s="34">
        <v>3484</v>
      </c>
      <c r="AD3488" s="34" t="s">
        <v>4573</v>
      </c>
      <c r="AE3488" s="34" t="s">
        <v>3705</v>
      </c>
      <c r="AF3488" s="35">
        <v>2.7967741935483872E-2</v>
      </c>
    </row>
    <row r="3489" spans="19:32" x14ac:dyDescent="0.35">
      <c r="S3489" s="47">
        <v>3485</v>
      </c>
      <c r="T3489" s="47" t="s">
        <v>4284</v>
      </c>
      <c r="U3489" s="47" t="s">
        <v>2559</v>
      </c>
      <c r="V3489" s="56">
        <v>6.0443999999999998E-2</v>
      </c>
      <c r="W3489" s="13"/>
      <c r="X3489" s="47">
        <v>3485</v>
      </c>
      <c r="Y3489" s="47" t="s">
        <v>2248</v>
      </c>
      <c r="Z3489" s="47" t="s">
        <v>3321</v>
      </c>
      <c r="AA3489" s="48">
        <v>1.7822580645161291E-3</v>
      </c>
      <c r="AB3489" s="13"/>
      <c r="AC3489" s="34">
        <v>3485</v>
      </c>
      <c r="AD3489" s="34" t="s">
        <v>4573</v>
      </c>
      <c r="AE3489" s="34" t="s">
        <v>3703</v>
      </c>
      <c r="AF3489" s="35">
        <v>1.559475806451613</v>
      </c>
    </row>
    <row r="3490" spans="19:32" x14ac:dyDescent="0.35">
      <c r="S3490" s="34">
        <v>3486</v>
      </c>
      <c r="T3490" s="34" t="s">
        <v>4284</v>
      </c>
      <c r="U3490" s="34" t="s">
        <v>4218</v>
      </c>
      <c r="V3490" s="35">
        <v>1.0247983870967744E-4</v>
      </c>
      <c r="W3490" s="13"/>
      <c r="X3490" s="34">
        <v>3486</v>
      </c>
      <c r="Y3490" s="34" t="s">
        <v>2248</v>
      </c>
      <c r="Z3490" s="34" t="s">
        <v>2767</v>
      </c>
      <c r="AA3490" s="35">
        <v>2.2278225806451617E-5</v>
      </c>
      <c r="AB3490" s="13"/>
      <c r="AC3490" s="34">
        <v>3486</v>
      </c>
      <c r="AD3490" s="34" t="s">
        <v>4573</v>
      </c>
      <c r="AE3490" s="34" t="s">
        <v>2290</v>
      </c>
      <c r="AF3490" s="35">
        <v>9.2883064516129044E-2</v>
      </c>
    </row>
    <row r="3491" spans="19:32" x14ac:dyDescent="0.35">
      <c r="S3491" s="34">
        <v>3487</v>
      </c>
      <c r="T3491" s="34" t="s">
        <v>4284</v>
      </c>
      <c r="U3491" s="34" t="s">
        <v>4217</v>
      </c>
      <c r="V3491" s="35">
        <v>1.336693548387097E-6</v>
      </c>
      <c r="W3491" s="13"/>
      <c r="X3491" s="34">
        <v>3487</v>
      </c>
      <c r="Y3491" s="34" t="s">
        <v>2248</v>
      </c>
      <c r="Z3491" s="34" t="s">
        <v>2764</v>
      </c>
      <c r="AA3491" s="35">
        <v>6.3407258064516137E-2</v>
      </c>
      <c r="AB3491" s="13"/>
      <c r="AC3491" s="47">
        <v>3487</v>
      </c>
      <c r="AD3491" s="47" t="s">
        <v>4573</v>
      </c>
      <c r="AE3491" s="47" t="s">
        <v>2290</v>
      </c>
      <c r="AF3491" s="56">
        <v>0</v>
      </c>
    </row>
    <row r="3492" spans="19:32" x14ac:dyDescent="0.35">
      <c r="S3492" s="47">
        <v>3488</v>
      </c>
      <c r="T3492" s="47" t="s">
        <v>4284</v>
      </c>
      <c r="U3492" s="47" t="s">
        <v>2557</v>
      </c>
      <c r="V3492" s="56">
        <v>0</v>
      </c>
      <c r="W3492" s="13"/>
      <c r="X3492" s="34">
        <v>3488</v>
      </c>
      <c r="Y3492" s="34" t="s">
        <v>2248</v>
      </c>
      <c r="Z3492" s="34" t="s">
        <v>2762</v>
      </c>
      <c r="AA3492" s="35">
        <v>2.3477822580645165E-3</v>
      </c>
      <c r="AB3492" s="13"/>
      <c r="AC3492" s="34">
        <v>3488</v>
      </c>
      <c r="AD3492" s="34" t="s">
        <v>4573</v>
      </c>
      <c r="AE3492" s="34" t="s">
        <v>3698</v>
      </c>
      <c r="AF3492" s="35">
        <v>0.10487903225806453</v>
      </c>
    </row>
    <row r="3493" spans="19:32" x14ac:dyDescent="0.35">
      <c r="S3493" s="34">
        <v>3489</v>
      </c>
      <c r="T3493" s="34" t="s">
        <v>4284</v>
      </c>
      <c r="U3493" s="34" t="s">
        <v>2556</v>
      </c>
      <c r="V3493" s="35">
        <v>9.3911290322580658E-3</v>
      </c>
      <c r="W3493" s="13"/>
      <c r="X3493" s="34">
        <v>3489</v>
      </c>
      <c r="Y3493" s="34" t="s">
        <v>2248</v>
      </c>
      <c r="Z3493" s="34" t="s">
        <v>4623</v>
      </c>
      <c r="AA3493" s="35">
        <v>1.0110887096774195</v>
      </c>
      <c r="AB3493" s="13"/>
      <c r="AC3493" s="34">
        <v>3489</v>
      </c>
      <c r="AD3493" s="34" t="s">
        <v>4573</v>
      </c>
      <c r="AE3493" s="34" t="s">
        <v>3697</v>
      </c>
      <c r="AF3493" s="35">
        <v>0.11687500000000001</v>
      </c>
    </row>
    <row r="3494" spans="19:32" x14ac:dyDescent="0.35">
      <c r="S3494" s="47">
        <v>3490</v>
      </c>
      <c r="T3494" s="47" t="s">
        <v>4284</v>
      </c>
      <c r="U3494" s="47" t="s">
        <v>2556</v>
      </c>
      <c r="V3494" s="56">
        <v>0</v>
      </c>
      <c r="W3494" s="13"/>
      <c r="X3494" s="34">
        <v>3490</v>
      </c>
      <c r="Y3494" s="34" t="s">
        <v>2248</v>
      </c>
      <c r="Z3494" s="34" t="s">
        <v>2759</v>
      </c>
      <c r="AA3494" s="35">
        <v>3.8387096774193555E-5</v>
      </c>
      <c r="AB3494" s="13"/>
      <c r="AC3494" s="34">
        <v>3490</v>
      </c>
      <c r="AD3494" s="34" t="s">
        <v>4573</v>
      </c>
      <c r="AE3494" s="34" t="s">
        <v>3695</v>
      </c>
      <c r="AF3494" s="35">
        <v>0.5346774193548387</v>
      </c>
    </row>
    <row r="3495" spans="19:32" x14ac:dyDescent="0.35">
      <c r="S3495" s="34">
        <v>3491</v>
      </c>
      <c r="T3495" s="34" t="s">
        <v>4284</v>
      </c>
      <c r="U3495" s="34" t="s">
        <v>4214</v>
      </c>
      <c r="V3495" s="35">
        <v>1.7239919354838709E-3</v>
      </c>
      <c r="W3495" s="13"/>
      <c r="X3495" s="34">
        <v>3491</v>
      </c>
      <c r="Y3495" s="34" t="s">
        <v>2248</v>
      </c>
      <c r="Z3495" s="34" t="s">
        <v>2758</v>
      </c>
      <c r="AA3495" s="35">
        <v>2.4368951612903227E-6</v>
      </c>
      <c r="AB3495" s="13"/>
      <c r="AC3495" s="34">
        <v>3491</v>
      </c>
      <c r="AD3495" s="34" t="s">
        <v>4573</v>
      </c>
      <c r="AE3495" s="34" t="s">
        <v>3693</v>
      </c>
      <c r="AF3495" s="35">
        <v>0.19536290322580646</v>
      </c>
    </row>
    <row r="3496" spans="19:32" x14ac:dyDescent="0.35">
      <c r="S3496" s="34">
        <v>3492</v>
      </c>
      <c r="T3496" s="34" t="s">
        <v>4284</v>
      </c>
      <c r="U3496" s="34" t="s">
        <v>4213</v>
      </c>
      <c r="V3496" s="35">
        <v>9.836693548387098E-4</v>
      </c>
      <c r="W3496" s="13"/>
      <c r="X3496" s="47">
        <v>3492</v>
      </c>
      <c r="Y3496" s="47" t="s">
        <v>2248</v>
      </c>
      <c r="Z3496" s="47" t="s">
        <v>4622</v>
      </c>
      <c r="AA3496" s="48">
        <v>1.0008064516129032E-2</v>
      </c>
      <c r="AB3496" s="13"/>
      <c r="AC3496" s="34">
        <v>3492</v>
      </c>
      <c r="AD3496" s="34" t="s">
        <v>4573</v>
      </c>
      <c r="AE3496" s="34" t="s">
        <v>3691</v>
      </c>
      <c r="AF3496" s="35">
        <v>1.8199596774193549</v>
      </c>
    </row>
    <row r="3497" spans="19:32" x14ac:dyDescent="0.35">
      <c r="S3497" s="47">
        <v>3493</v>
      </c>
      <c r="T3497" s="47" t="s">
        <v>4284</v>
      </c>
      <c r="U3497" s="47" t="s">
        <v>2554</v>
      </c>
      <c r="V3497" s="56">
        <v>6.9092000000000001E-2</v>
      </c>
      <c r="W3497" s="13"/>
      <c r="X3497" s="47">
        <v>3493</v>
      </c>
      <c r="Y3497" s="47" t="s">
        <v>2248</v>
      </c>
      <c r="Z3497" s="47" t="s">
        <v>2784</v>
      </c>
      <c r="AA3497" s="56">
        <v>0</v>
      </c>
      <c r="AB3497" s="13"/>
      <c r="AC3497" s="34">
        <v>3493</v>
      </c>
      <c r="AD3497" s="34" t="s">
        <v>4573</v>
      </c>
      <c r="AE3497" s="34" t="s">
        <v>3690</v>
      </c>
      <c r="AF3497" s="35">
        <v>0.51411290322580649</v>
      </c>
    </row>
    <row r="3498" spans="19:32" x14ac:dyDescent="0.35">
      <c r="S3498" s="34">
        <v>3494</v>
      </c>
      <c r="T3498" s="34" t="s">
        <v>4284</v>
      </c>
      <c r="U3498" s="34" t="s">
        <v>4212</v>
      </c>
      <c r="V3498" s="35">
        <v>6.7177419354838711E-3</v>
      </c>
      <c r="W3498" s="13"/>
      <c r="X3498" s="47">
        <v>3494</v>
      </c>
      <c r="Y3498" s="47" t="s">
        <v>2248</v>
      </c>
      <c r="Z3498" s="47" t="s">
        <v>2783</v>
      </c>
      <c r="AA3498" s="56">
        <v>0.39560000000000001</v>
      </c>
      <c r="AB3498" s="13"/>
      <c r="AC3498" s="34">
        <v>3494</v>
      </c>
      <c r="AD3498" s="34" t="s">
        <v>4573</v>
      </c>
      <c r="AE3498" s="34" t="s">
        <v>2288</v>
      </c>
      <c r="AF3498" s="35">
        <v>4.7983870967741938E-4</v>
      </c>
    </row>
    <row r="3499" spans="19:32" x14ac:dyDescent="0.35">
      <c r="S3499" s="34">
        <v>3495</v>
      </c>
      <c r="T3499" s="34" t="s">
        <v>4284</v>
      </c>
      <c r="U3499" s="34" t="s">
        <v>2552</v>
      </c>
      <c r="V3499" s="35">
        <v>1.6897177419354838E-2</v>
      </c>
      <c r="W3499" s="13"/>
      <c r="X3499" s="34">
        <v>3495</v>
      </c>
      <c r="Y3499" s="34" t="s">
        <v>2248</v>
      </c>
      <c r="Z3499" s="34" t="s">
        <v>3319</v>
      </c>
      <c r="AA3499" s="35">
        <v>5.55241935483871</v>
      </c>
      <c r="AB3499" s="13"/>
      <c r="AC3499" s="47">
        <v>3495</v>
      </c>
      <c r="AD3499" s="47" t="s">
        <v>4573</v>
      </c>
      <c r="AE3499" s="47" t="s">
        <v>2288</v>
      </c>
      <c r="AF3499" s="56">
        <v>0.74428000000000005</v>
      </c>
    </row>
    <row r="3500" spans="19:32" x14ac:dyDescent="0.35">
      <c r="S3500" s="47">
        <v>3496</v>
      </c>
      <c r="T3500" s="47" t="s">
        <v>4284</v>
      </c>
      <c r="U3500" s="47" t="s">
        <v>2552</v>
      </c>
      <c r="V3500" s="56">
        <v>12.052</v>
      </c>
      <c r="W3500" s="13"/>
      <c r="X3500" s="34">
        <v>3496</v>
      </c>
      <c r="Y3500" s="34" t="s">
        <v>2248</v>
      </c>
      <c r="Z3500" s="34" t="s">
        <v>2757</v>
      </c>
      <c r="AA3500" s="35">
        <v>1.4943548387096777E-4</v>
      </c>
      <c r="AB3500" s="13"/>
      <c r="AC3500" s="34">
        <v>3496</v>
      </c>
      <c r="AD3500" s="34" t="s">
        <v>4573</v>
      </c>
      <c r="AE3500" s="34" t="s">
        <v>3685</v>
      </c>
      <c r="AF3500" s="35">
        <v>3.9072580645161297E-3</v>
      </c>
    </row>
    <row r="3501" spans="19:32" x14ac:dyDescent="0.35">
      <c r="S3501" s="34">
        <v>3497</v>
      </c>
      <c r="T3501" s="34" t="s">
        <v>4284</v>
      </c>
      <c r="U3501" s="34" t="s">
        <v>2551</v>
      </c>
      <c r="V3501" s="35">
        <v>8.2600806451612913E-2</v>
      </c>
      <c r="W3501" s="13"/>
      <c r="X3501" s="47">
        <v>3497</v>
      </c>
      <c r="Y3501" s="47" t="s">
        <v>2248</v>
      </c>
      <c r="Z3501" s="47" t="s">
        <v>2755</v>
      </c>
      <c r="AA3501" s="56">
        <v>0</v>
      </c>
      <c r="AB3501" s="13"/>
      <c r="AC3501" s="34">
        <v>3497</v>
      </c>
      <c r="AD3501" s="34" t="s">
        <v>4573</v>
      </c>
      <c r="AE3501" s="34" t="s">
        <v>3684</v>
      </c>
      <c r="AF3501" s="35">
        <v>5.792338709677419E-4</v>
      </c>
    </row>
    <row r="3502" spans="19:32" x14ac:dyDescent="0.35">
      <c r="S3502" s="47">
        <v>3498</v>
      </c>
      <c r="T3502" s="47" t="s">
        <v>4284</v>
      </c>
      <c r="U3502" s="47" t="s">
        <v>2551</v>
      </c>
      <c r="V3502" s="56">
        <v>938.40000000000009</v>
      </c>
      <c r="W3502" s="13"/>
      <c r="X3502" s="34">
        <v>3498</v>
      </c>
      <c r="Y3502" s="34" t="s">
        <v>2248</v>
      </c>
      <c r="Z3502" s="34" t="s">
        <v>2755</v>
      </c>
      <c r="AA3502" s="35">
        <v>1.9056451612903228E-3</v>
      </c>
      <c r="AB3502" s="13"/>
      <c r="AC3502" s="34">
        <v>3498</v>
      </c>
      <c r="AD3502" s="34" t="s">
        <v>4573</v>
      </c>
      <c r="AE3502" s="34" t="s">
        <v>3682</v>
      </c>
      <c r="AF3502" s="35">
        <v>0.86028225806451619</v>
      </c>
    </row>
    <row r="3503" spans="19:32" x14ac:dyDescent="0.35">
      <c r="S3503" s="34">
        <v>3499</v>
      </c>
      <c r="T3503" s="34" t="s">
        <v>4284</v>
      </c>
      <c r="U3503" s="34" t="s">
        <v>2549</v>
      </c>
      <c r="V3503" s="35">
        <v>1.703427419354839E-3</v>
      </c>
      <c r="W3503" s="13"/>
      <c r="X3503" s="47">
        <v>3499</v>
      </c>
      <c r="Y3503" s="47" t="s">
        <v>2248</v>
      </c>
      <c r="Z3503" s="47" t="s">
        <v>4621</v>
      </c>
      <c r="AA3503" s="48">
        <v>1.9981854838709678</v>
      </c>
      <c r="AB3503" s="13"/>
      <c r="AC3503" s="34">
        <v>3499</v>
      </c>
      <c r="AD3503" s="34" t="s">
        <v>4573</v>
      </c>
      <c r="AE3503" s="34" t="s">
        <v>2287</v>
      </c>
      <c r="AF3503" s="35">
        <v>1.3264112903225808E-5</v>
      </c>
    </row>
    <row r="3504" spans="19:32" x14ac:dyDescent="0.35">
      <c r="S3504" s="47">
        <v>3500</v>
      </c>
      <c r="T3504" s="47" t="s">
        <v>4284</v>
      </c>
      <c r="U3504" s="47" t="s">
        <v>2549</v>
      </c>
      <c r="V3504" s="56">
        <v>854.68000000000006</v>
      </c>
      <c r="W3504" s="13"/>
      <c r="X3504" s="47">
        <v>3500</v>
      </c>
      <c r="Y3504" s="47" t="s">
        <v>2248</v>
      </c>
      <c r="Z3504" s="47" t="s">
        <v>2781</v>
      </c>
      <c r="AA3504" s="56">
        <v>0</v>
      </c>
      <c r="AB3504" s="13"/>
      <c r="AC3504" s="47">
        <v>3500</v>
      </c>
      <c r="AD3504" s="47" t="s">
        <v>4573</v>
      </c>
      <c r="AE3504" s="47" t="s">
        <v>2287</v>
      </c>
      <c r="AF3504" s="56">
        <v>0</v>
      </c>
    </row>
    <row r="3505" spans="19:32" x14ac:dyDescent="0.35">
      <c r="S3505" s="34">
        <v>3501</v>
      </c>
      <c r="T3505" s="34" t="s">
        <v>4284</v>
      </c>
      <c r="U3505" s="34" t="s">
        <v>2548</v>
      </c>
      <c r="V3505" s="35">
        <v>5.4153225806451615E-3</v>
      </c>
      <c r="W3505" s="13"/>
      <c r="X3505" s="34">
        <v>3501</v>
      </c>
      <c r="Y3505" s="34" t="s">
        <v>2248</v>
      </c>
      <c r="Z3505" s="34" t="s">
        <v>2753</v>
      </c>
      <c r="AA3505" s="35">
        <v>1.4737903225806454E-3</v>
      </c>
      <c r="AB3505" s="13"/>
      <c r="AC3505" s="34">
        <v>3501</v>
      </c>
      <c r="AD3505" s="34" t="s">
        <v>4573</v>
      </c>
      <c r="AE3505" s="34" t="s">
        <v>3678</v>
      </c>
      <c r="AF3505" s="35">
        <v>7.0262096774193557E-4</v>
      </c>
    </row>
    <row r="3506" spans="19:32" x14ac:dyDescent="0.35">
      <c r="S3506" s="47">
        <v>3502</v>
      </c>
      <c r="T3506" s="47" t="s">
        <v>4284</v>
      </c>
      <c r="U3506" s="47" t="s">
        <v>2548</v>
      </c>
      <c r="V3506" s="56">
        <v>53.636000000000003</v>
      </c>
      <c r="W3506" s="13"/>
      <c r="X3506" s="34">
        <v>3502</v>
      </c>
      <c r="Y3506" s="34" t="s">
        <v>2248</v>
      </c>
      <c r="Z3506" s="34" t="s">
        <v>3318</v>
      </c>
      <c r="AA3506" s="35">
        <v>3.0812500000000002E-3</v>
      </c>
      <c r="AB3506" s="13"/>
      <c r="AC3506" s="34">
        <v>3502</v>
      </c>
      <c r="AD3506" s="34" t="s">
        <v>4573</v>
      </c>
      <c r="AE3506" s="34" t="s">
        <v>3675</v>
      </c>
      <c r="AF3506" s="35">
        <v>1.0179435483870968E-2</v>
      </c>
    </row>
    <row r="3507" spans="19:32" x14ac:dyDescent="0.35">
      <c r="S3507" s="47">
        <v>3503</v>
      </c>
      <c r="T3507" s="47" t="s">
        <v>4284</v>
      </c>
      <c r="U3507" s="47" t="s">
        <v>2546</v>
      </c>
      <c r="V3507" s="56">
        <v>8.9976000000000003</v>
      </c>
      <c r="W3507" s="13"/>
      <c r="X3507" s="34">
        <v>3503</v>
      </c>
      <c r="Y3507" s="34" t="s">
        <v>2248</v>
      </c>
      <c r="Z3507" s="34" t="s">
        <v>2752</v>
      </c>
      <c r="AA3507" s="35">
        <v>1.8473790322580646E-3</v>
      </c>
      <c r="AB3507" s="13"/>
      <c r="AC3507" s="34">
        <v>3503</v>
      </c>
      <c r="AD3507" s="34" t="s">
        <v>4573</v>
      </c>
      <c r="AE3507" s="34" t="s">
        <v>3673</v>
      </c>
      <c r="AF3507" s="35">
        <v>4.7298387096774199</v>
      </c>
    </row>
    <row r="3508" spans="19:32" x14ac:dyDescent="0.35">
      <c r="S3508" s="34">
        <v>3504</v>
      </c>
      <c r="T3508" s="34" t="s">
        <v>4284</v>
      </c>
      <c r="U3508" s="34" t="s">
        <v>4210</v>
      </c>
      <c r="V3508" s="35">
        <v>5.6209677419354842E-2</v>
      </c>
      <c r="W3508" s="13"/>
      <c r="X3508" s="34">
        <v>3504</v>
      </c>
      <c r="Y3508" s="34" t="s">
        <v>2248</v>
      </c>
      <c r="Z3508" s="34" t="s">
        <v>2751</v>
      </c>
      <c r="AA3508" s="35">
        <v>5.3810483870967742E-4</v>
      </c>
      <c r="AB3508" s="13"/>
      <c r="AC3508" s="34">
        <v>3504</v>
      </c>
      <c r="AD3508" s="34" t="s">
        <v>4573</v>
      </c>
      <c r="AE3508" s="34" t="s">
        <v>3670</v>
      </c>
      <c r="AF3508" s="35">
        <v>9.870967741935484</v>
      </c>
    </row>
    <row r="3509" spans="19:32" x14ac:dyDescent="0.35">
      <c r="S3509" s="34">
        <v>3505</v>
      </c>
      <c r="T3509" s="34" t="s">
        <v>4284</v>
      </c>
      <c r="U3509" s="34" t="s">
        <v>4208</v>
      </c>
      <c r="V3509" s="35">
        <v>3.4616935483870971E-3</v>
      </c>
      <c r="W3509" s="13"/>
      <c r="X3509" s="47">
        <v>3505</v>
      </c>
      <c r="Y3509" s="47" t="s">
        <v>2248</v>
      </c>
      <c r="Z3509" s="47" t="s">
        <v>4620</v>
      </c>
      <c r="AA3509" s="48">
        <v>8.1229838709677427E-4</v>
      </c>
      <c r="AB3509" s="13"/>
      <c r="AC3509" s="34">
        <v>3505</v>
      </c>
      <c r="AD3509" s="34" t="s">
        <v>4573</v>
      </c>
      <c r="AE3509" s="34" t="s">
        <v>3669</v>
      </c>
      <c r="AF3509" s="35">
        <v>1.1790322580645163</v>
      </c>
    </row>
    <row r="3510" spans="19:32" x14ac:dyDescent="0.35">
      <c r="S3510" s="34">
        <v>3506</v>
      </c>
      <c r="T3510" s="34" t="s">
        <v>4284</v>
      </c>
      <c r="U3510" s="34" t="s">
        <v>4207</v>
      </c>
      <c r="V3510" s="35">
        <v>1.5971774193548388E-3</v>
      </c>
      <c r="W3510" s="13"/>
      <c r="X3510" s="47">
        <v>3506</v>
      </c>
      <c r="Y3510" s="47" t="s">
        <v>2248</v>
      </c>
      <c r="Z3510" s="47" t="s">
        <v>2748</v>
      </c>
      <c r="AA3510" s="56">
        <v>0</v>
      </c>
      <c r="AB3510" s="13"/>
      <c r="AC3510" s="34">
        <v>3506</v>
      </c>
      <c r="AD3510" s="34" t="s">
        <v>4573</v>
      </c>
      <c r="AE3510" s="34" t="s">
        <v>3667</v>
      </c>
      <c r="AF3510" s="35">
        <v>271.10887096774195</v>
      </c>
    </row>
    <row r="3511" spans="19:32" x14ac:dyDescent="0.35">
      <c r="S3511" s="34">
        <v>3507</v>
      </c>
      <c r="T3511" s="34" t="s">
        <v>4284</v>
      </c>
      <c r="U3511" s="34" t="s">
        <v>4206</v>
      </c>
      <c r="V3511" s="35">
        <v>2.6973790322580647E-2</v>
      </c>
      <c r="W3511" s="13"/>
      <c r="X3511" s="34">
        <v>3507</v>
      </c>
      <c r="Y3511" s="34" t="s">
        <v>2248</v>
      </c>
      <c r="Z3511" s="34" t="s">
        <v>2748</v>
      </c>
      <c r="AA3511" s="35">
        <v>1.3881048387096775E-3</v>
      </c>
      <c r="AB3511" s="13"/>
      <c r="AC3511" s="34">
        <v>3507</v>
      </c>
      <c r="AD3511" s="34" t="s">
        <v>4573</v>
      </c>
      <c r="AE3511" s="34" t="s">
        <v>3664</v>
      </c>
      <c r="AF3511" s="35">
        <v>1.6794354838709677E-5</v>
      </c>
    </row>
    <row r="3512" spans="19:32" x14ac:dyDescent="0.35">
      <c r="S3512" s="34">
        <v>3508</v>
      </c>
      <c r="T3512" s="34" t="s">
        <v>4284</v>
      </c>
      <c r="U3512" s="34" t="s">
        <v>2545</v>
      </c>
      <c r="V3512" s="35">
        <v>2.0530241935483872E-2</v>
      </c>
      <c r="W3512" s="13"/>
      <c r="X3512" s="34">
        <v>3508</v>
      </c>
      <c r="Y3512" s="34" t="s">
        <v>2248</v>
      </c>
      <c r="Z3512" s="34" t="s">
        <v>2745</v>
      </c>
      <c r="AA3512" s="35">
        <v>9.9052419354838723E-5</v>
      </c>
      <c r="AB3512" s="13"/>
      <c r="AC3512" s="34">
        <v>3508</v>
      </c>
      <c r="AD3512" s="34" t="s">
        <v>4573</v>
      </c>
      <c r="AE3512" s="34" t="s">
        <v>2285</v>
      </c>
      <c r="AF3512" s="35">
        <v>3.7016129032258069</v>
      </c>
    </row>
    <row r="3513" spans="19:32" x14ac:dyDescent="0.35">
      <c r="S3513" s="47">
        <v>3509</v>
      </c>
      <c r="T3513" s="47" t="s">
        <v>4284</v>
      </c>
      <c r="U3513" s="47" t="s">
        <v>2545</v>
      </c>
      <c r="V3513" s="56">
        <v>0</v>
      </c>
      <c r="W3513" s="13"/>
      <c r="X3513" s="47">
        <v>3509</v>
      </c>
      <c r="Y3513" s="47" t="s">
        <v>2248</v>
      </c>
      <c r="Z3513" s="47" t="s">
        <v>4619</v>
      </c>
      <c r="AA3513" s="48">
        <v>3.0435483870967745E-2</v>
      </c>
      <c r="AB3513" s="13"/>
      <c r="AC3513" s="47">
        <v>3509</v>
      </c>
      <c r="AD3513" s="47" t="s">
        <v>4573</v>
      </c>
      <c r="AE3513" s="47" t="s">
        <v>2285</v>
      </c>
      <c r="AF3513" s="56">
        <v>2.2448000000000001</v>
      </c>
    </row>
    <row r="3514" spans="19:32" x14ac:dyDescent="0.35">
      <c r="S3514" s="47">
        <v>3510</v>
      </c>
      <c r="T3514" s="47" t="s">
        <v>4284</v>
      </c>
      <c r="U3514" s="47" t="s">
        <v>2543</v>
      </c>
      <c r="V3514" s="56">
        <v>0</v>
      </c>
      <c r="W3514" s="13"/>
      <c r="X3514" s="34">
        <v>3510</v>
      </c>
      <c r="Y3514" s="34" t="s">
        <v>2248</v>
      </c>
      <c r="Z3514" s="34" t="s">
        <v>2744</v>
      </c>
      <c r="AA3514" s="35">
        <v>1.8131048387096775E-2</v>
      </c>
      <c r="AB3514" s="13"/>
      <c r="AC3514" s="34">
        <v>3510</v>
      </c>
      <c r="AD3514" s="34" t="s">
        <v>4573</v>
      </c>
      <c r="AE3514" s="34" t="s">
        <v>3658</v>
      </c>
      <c r="AF3514" s="35">
        <v>1.3949596774193549</v>
      </c>
    </row>
    <row r="3515" spans="19:32" x14ac:dyDescent="0.35">
      <c r="S3515" s="34">
        <v>3511</v>
      </c>
      <c r="T3515" s="34" t="s">
        <v>4284</v>
      </c>
      <c r="U3515" s="34" t="s">
        <v>2542</v>
      </c>
      <c r="V3515" s="35">
        <v>2.104435483870968E-3</v>
      </c>
      <c r="W3515" s="13"/>
      <c r="X3515" s="47">
        <v>3511</v>
      </c>
      <c r="Y3515" s="47" t="s">
        <v>2248</v>
      </c>
      <c r="Z3515" s="47" t="s">
        <v>2778</v>
      </c>
      <c r="AA3515" s="56">
        <v>0</v>
      </c>
      <c r="AB3515" s="13"/>
      <c r="AC3515" s="34">
        <v>3511</v>
      </c>
      <c r="AD3515" s="34" t="s">
        <v>4573</v>
      </c>
      <c r="AE3515" s="34" t="s">
        <v>3656</v>
      </c>
      <c r="AF3515" s="35">
        <v>0.17</v>
      </c>
    </row>
    <row r="3516" spans="19:32" x14ac:dyDescent="0.35">
      <c r="S3516" s="47">
        <v>3512</v>
      </c>
      <c r="T3516" s="47" t="s">
        <v>4284</v>
      </c>
      <c r="U3516" s="47" t="s">
        <v>2542</v>
      </c>
      <c r="V3516" s="56">
        <v>0</v>
      </c>
      <c r="W3516" s="13"/>
      <c r="X3516" s="47">
        <v>3512</v>
      </c>
      <c r="Y3516" s="47" t="s">
        <v>2248</v>
      </c>
      <c r="Z3516" s="47" t="s">
        <v>4618</v>
      </c>
      <c r="AA3516" s="48">
        <v>8.3286290322580651E-6</v>
      </c>
      <c r="AB3516" s="13"/>
      <c r="AC3516" s="34">
        <v>3512</v>
      </c>
      <c r="AD3516" s="34" t="s">
        <v>4573</v>
      </c>
      <c r="AE3516" s="34" t="s">
        <v>3654</v>
      </c>
      <c r="AF3516" s="35">
        <v>4.0786290322580646E-2</v>
      </c>
    </row>
    <row r="3517" spans="19:32" x14ac:dyDescent="0.35">
      <c r="S3517" s="47">
        <v>3513</v>
      </c>
      <c r="T3517" s="47" t="s">
        <v>4284</v>
      </c>
      <c r="U3517" s="47" t="s">
        <v>2540</v>
      </c>
      <c r="V3517" s="56">
        <v>0.44988</v>
      </c>
      <c r="W3517" s="13"/>
      <c r="X3517" s="34">
        <v>3513</v>
      </c>
      <c r="Y3517" s="34" t="s">
        <v>2248</v>
      </c>
      <c r="Z3517" s="34" t="s">
        <v>2742</v>
      </c>
      <c r="AA3517" s="35">
        <v>2.4437500000000002E-3</v>
      </c>
      <c r="AB3517" s="13"/>
      <c r="AC3517" s="34">
        <v>3513</v>
      </c>
      <c r="AD3517" s="34" t="s">
        <v>4573</v>
      </c>
      <c r="AE3517" s="34" t="s">
        <v>3652</v>
      </c>
      <c r="AF3517" s="35">
        <v>1.4943548387096776E-2</v>
      </c>
    </row>
    <row r="3518" spans="19:32" x14ac:dyDescent="0.35">
      <c r="S3518" s="47">
        <v>3514</v>
      </c>
      <c r="T3518" s="47" t="s">
        <v>4284</v>
      </c>
      <c r="U3518" s="47" t="s">
        <v>2538</v>
      </c>
      <c r="V3518" s="56">
        <v>0</v>
      </c>
      <c r="W3518" s="13"/>
      <c r="X3518" s="47">
        <v>3514</v>
      </c>
      <c r="Y3518" s="47" t="s">
        <v>2248</v>
      </c>
      <c r="Z3518" s="47" t="s">
        <v>2777</v>
      </c>
      <c r="AA3518" s="56">
        <v>0.70655999999999997</v>
      </c>
      <c r="AB3518" s="13"/>
      <c r="AC3518" s="47">
        <v>3514</v>
      </c>
      <c r="AD3518" s="47" t="s">
        <v>4573</v>
      </c>
      <c r="AE3518" s="47" t="s">
        <v>2283</v>
      </c>
      <c r="AF3518" s="56">
        <v>0</v>
      </c>
    </row>
    <row r="3519" spans="19:32" x14ac:dyDescent="0.35">
      <c r="S3519" s="34">
        <v>3515</v>
      </c>
      <c r="T3519" s="34" t="s">
        <v>4284</v>
      </c>
      <c r="U3519" s="34" t="s">
        <v>4202</v>
      </c>
      <c r="V3519" s="35">
        <v>1.0830645161290324</v>
      </c>
      <c r="W3519" s="13"/>
      <c r="X3519" s="47">
        <v>3515</v>
      </c>
      <c r="Y3519" s="47" t="s">
        <v>2248</v>
      </c>
      <c r="Z3519" s="47" t="s">
        <v>4617</v>
      </c>
      <c r="AA3519" s="48">
        <v>0.10830645161290324</v>
      </c>
      <c r="AB3519" s="13"/>
      <c r="AC3519" s="34">
        <v>3515</v>
      </c>
      <c r="AD3519" s="34" t="s">
        <v>4573</v>
      </c>
      <c r="AE3519" s="34" t="s">
        <v>2282</v>
      </c>
      <c r="AF3519" s="35">
        <v>3.4102822580645162E-2</v>
      </c>
    </row>
    <row r="3520" spans="19:32" x14ac:dyDescent="0.35">
      <c r="S3520" s="47">
        <v>3516</v>
      </c>
      <c r="T3520" s="47" t="s">
        <v>4284</v>
      </c>
      <c r="U3520" s="47" t="s">
        <v>2537</v>
      </c>
      <c r="V3520" s="56">
        <v>0.33856000000000003</v>
      </c>
      <c r="W3520" s="13"/>
      <c r="X3520" s="47">
        <v>3516</v>
      </c>
      <c r="Y3520" s="47" t="s">
        <v>2248</v>
      </c>
      <c r="Z3520" s="47" t="s">
        <v>2741</v>
      </c>
      <c r="AA3520" s="56">
        <v>0.1656</v>
      </c>
      <c r="AB3520" s="13"/>
      <c r="AC3520" s="47">
        <v>3516</v>
      </c>
      <c r="AD3520" s="47" t="s">
        <v>4573</v>
      </c>
      <c r="AE3520" s="47" t="s">
        <v>2282</v>
      </c>
      <c r="AF3520" s="56">
        <v>0</v>
      </c>
    </row>
    <row r="3521" spans="19:32" x14ac:dyDescent="0.35">
      <c r="S3521" s="47">
        <v>3517</v>
      </c>
      <c r="T3521" s="47" t="s">
        <v>4284</v>
      </c>
      <c r="U3521" s="47" t="s">
        <v>2535</v>
      </c>
      <c r="V3521" s="56">
        <v>0</v>
      </c>
      <c r="W3521" s="13"/>
      <c r="X3521" s="34">
        <v>3517</v>
      </c>
      <c r="Y3521" s="34" t="s">
        <v>2248</v>
      </c>
      <c r="Z3521" s="34" t="s">
        <v>2741</v>
      </c>
      <c r="AA3521" s="35">
        <v>0.45927419354838711</v>
      </c>
      <c r="AB3521" s="13"/>
      <c r="AC3521" s="34">
        <v>3517</v>
      </c>
      <c r="AD3521" s="34" t="s">
        <v>4573</v>
      </c>
      <c r="AE3521" s="34" t="s">
        <v>3646</v>
      </c>
      <c r="AF3521" s="35">
        <v>0.60665322580645165</v>
      </c>
    </row>
    <row r="3522" spans="19:32" x14ac:dyDescent="0.35">
      <c r="S3522" s="34">
        <v>3518</v>
      </c>
      <c r="T3522" s="34" t="s">
        <v>4284</v>
      </c>
      <c r="U3522" s="34" t="s">
        <v>2534</v>
      </c>
      <c r="V3522" s="35">
        <v>2.8927419354838712E-3</v>
      </c>
      <c r="W3522" s="13"/>
      <c r="X3522" s="34">
        <v>3518</v>
      </c>
      <c r="Y3522" s="34" t="s">
        <v>2248</v>
      </c>
      <c r="Z3522" s="34" t="s">
        <v>2739</v>
      </c>
      <c r="AA3522" s="35">
        <v>1.1002016129032259E-4</v>
      </c>
      <c r="AB3522" s="13"/>
      <c r="AC3522" s="34">
        <v>3518</v>
      </c>
      <c r="AD3522" s="34" t="s">
        <v>4573</v>
      </c>
      <c r="AE3522" s="34" t="s">
        <v>3644</v>
      </c>
      <c r="AF3522" s="35">
        <v>5.8266129032258071E-2</v>
      </c>
    </row>
    <row r="3523" spans="19:32" x14ac:dyDescent="0.35">
      <c r="S3523" s="47">
        <v>3519</v>
      </c>
      <c r="T3523" s="47" t="s">
        <v>4284</v>
      </c>
      <c r="U3523" s="47" t="s">
        <v>2534</v>
      </c>
      <c r="V3523" s="56">
        <v>0</v>
      </c>
      <c r="W3523" s="13"/>
      <c r="X3523" s="34">
        <v>3519</v>
      </c>
      <c r="Y3523" s="34" t="s">
        <v>2248</v>
      </c>
      <c r="Z3523" s="34" t="s">
        <v>4616</v>
      </c>
      <c r="AA3523" s="35">
        <v>5.929435483870968E-6</v>
      </c>
      <c r="AB3523" s="13"/>
      <c r="AC3523" s="34">
        <v>3519</v>
      </c>
      <c r="AD3523" s="34" t="s">
        <v>4573</v>
      </c>
      <c r="AE3523" s="34" t="s">
        <v>3642</v>
      </c>
      <c r="AF3523" s="35">
        <v>2.2449596774193549E-3</v>
      </c>
    </row>
    <row r="3524" spans="19:32" x14ac:dyDescent="0.35">
      <c r="S3524" s="47">
        <v>3520</v>
      </c>
      <c r="T3524" s="47" t="s">
        <v>4284</v>
      </c>
      <c r="U3524" s="47" t="s">
        <v>2532</v>
      </c>
      <c r="V3524" s="56">
        <v>15.548</v>
      </c>
      <c r="W3524" s="13"/>
      <c r="X3524" s="34">
        <v>3520</v>
      </c>
      <c r="Y3524" s="34" t="s">
        <v>2248</v>
      </c>
      <c r="Z3524" s="34" t="s">
        <v>2737</v>
      </c>
      <c r="AA3524" s="35">
        <v>4.6955645161290326E-4</v>
      </c>
      <c r="AB3524" s="13"/>
      <c r="AC3524" s="34">
        <v>3520</v>
      </c>
      <c r="AD3524" s="34" t="s">
        <v>4573</v>
      </c>
      <c r="AE3524" s="34" t="s">
        <v>3639</v>
      </c>
      <c r="AF3524" s="35">
        <v>4.5241935483870968E-2</v>
      </c>
    </row>
    <row r="3525" spans="19:32" x14ac:dyDescent="0.35">
      <c r="S3525" s="47">
        <v>3521</v>
      </c>
      <c r="T3525" s="47" t="s">
        <v>4284</v>
      </c>
      <c r="U3525" s="47" t="s">
        <v>2531</v>
      </c>
      <c r="V3525" s="56">
        <v>156.4</v>
      </c>
      <c r="W3525" s="13"/>
      <c r="X3525" s="47">
        <v>3521</v>
      </c>
      <c r="Y3525" s="47" t="s">
        <v>2248</v>
      </c>
      <c r="Z3525" s="47" t="s">
        <v>2775</v>
      </c>
      <c r="AA3525" s="56">
        <v>2.7416</v>
      </c>
      <c r="AB3525" s="13"/>
      <c r="AC3525" s="47">
        <v>3521</v>
      </c>
      <c r="AD3525" s="47" t="s">
        <v>4573</v>
      </c>
      <c r="AE3525" s="47" t="s">
        <v>2280</v>
      </c>
      <c r="AF3525" s="56">
        <v>2.8151999999999999</v>
      </c>
    </row>
    <row r="3526" spans="19:32" x14ac:dyDescent="0.35">
      <c r="S3526" s="47">
        <v>3522</v>
      </c>
      <c r="T3526" s="47" t="s">
        <v>4284</v>
      </c>
      <c r="U3526" s="47" t="s">
        <v>2529</v>
      </c>
      <c r="V3526" s="56">
        <v>0</v>
      </c>
      <c r="W3526" s="13"/>
      <c r="X3526" s="47">
        <v>3522</v>
      </c>
      <c r="Y3526" s="47" t="s">
        <v>2248</v>
      </c>
      <c r="Z3526" s="47" t="s">
        <v>4615</v>
      </c>
      <c r="AA3526" s="48">
        <v>2.268951612903226E-2</v>
      </c>
      <c r="AB3526" s="13"/>
      <c r="AC3526" s="47">
        <v>3522</v>
      </c>
      <c r="AD3526" s="47" t="s">
        <v>4573</v>
      </c>
      <c r="AE3526" s="47" t="s">
        <v>2279</v>
      </c>
      <c r="AF3526" s="56">
        <v>20.792000000000002</v>
      </c>
    </row>
    <row r="3527" spans="19:32" x14ac:dyDescent="0.35">
      <c r="S3527" s="34">
        <v>3523</v>
      </c>
      <c r="T3527" s="34" t="s">
        <v>4284</v>
      </c>
      <c r="U3527" s="34" t="s">
        <v>4199</v>
      </c>
      <c r="V3527" s="35">
        <v>0.33588709677419359</v>
      </c>
      <c r="W3527" s="13"/>
      <c r="X3527" s="34">
        <v>3523</v>
      </c>
      <c r="Y3527" s="34" t="s">
        <v>2248</v>
      </c>
      <c r="Z3527" s="34" t="s">
        <v>2736</v>
      </c>
      <c r="AA3527" s="35">
        <v>4.2842741935483872E-4</v>
      </c>
      <c r="AB3527" s="13"/>
      <c r="AC3527" s="34">
        <v>3523</v>
      </c>
      <c r="AD3527" s="34" t="s">
        <v>4573</v>
      </c>
      <c r="AE3527" s="34" t="s">
        <v>3635</v>
      </c>
      <c r="AF3527" s="35">
        <v>2.6939516129032261E-2</v>
      </c>
    </row>
    <row r="3528" spans="19:32" x14ac:dyDescent="0.35">
      <c r="S3528" s="47">
        <v>3524</v>
      </c>
      <c r="T3528" s="47" t="s">
        <v>4284</v>
      </c>
      <c r="U3528" s="47" t="s">
        <v>2527</v>
      </c>
      <c r="V3528" s="56">
        <v>5.4279999999999999</v>
      </c>
      <c r="W3528" s="13"/>
      <c r="X3528" s="34">
        <v>3524</v>
      </c>
      <c r="Y3528" s="34" t="s">
        <v>2248</v>
      </c>
      <c r="Z3528" s="34" t="s">
        <v>2734</v>
      </c>
      <c r="AA3528" s="35">
        <v>2.7967741935483876E-4</v>
      </c>
      <c r="AB3528" s="13"/>
      <c r="AC3528" s="34">
        <v>3524</v>
      </c>
      <c r="AD3528" s="34" t="s">
        <v>4573</v>
      </c>
      <c r="AE3528" s="34" t="s">
        <v>3632</v>
      </c>
      <c r="AF3528" s="35">
        <v>58.266129032258071</v>
      </c>
    </row>
    <row r="3529" spans="19:32" x14ac:dyDescent="0.35">
      <c r="S3529" s="34">
        <v>3525</v>
      </c>
      <c r="T3529" s="34" t="s">
        <v>4284</v>
      </c>
      <c r="U3529" s="34" t="s">
        <v>4197</v>
      </c>
      <c r="V3529" s="35">
        <v>0.1028225806451613</v>
      </c>
      <c r="W3529" s="13"/>
      <c r="X3529" s="34">
        <v>3525</v>
      </c>
      <c r="Y3529" s="34" t="s">
        <v>2248</v>
      </c>
      <c r="Z3529" s="34" t="s">
        <v>4614</v>
      </c>
      <c r="AA3529" s="35">
        <v>1.6245967741935485E-2</v>
      </c>
      <c r="AB3529" s="13"/>
      <c r="AC3529" s="34">
        <v>3525</v>
      </c>
      <c r="AD3529" s="34" t="s">
        <v>4573</v>
      </c>
      <c r="AE3529" s="34" t="s">
        <v>3631</v>
      </c>
      <c r="AF3529" s="35">
        <v>4.6270161290322583E-2</v>
      </c>
    </row>
    <row r="3530" spans="19:32" x14ac:dyDescent="0.35">
      <c r="S3530" s="47">
        <v>3526</v>
      </c>
      <c r="T3530" s="47" t="s">
        <v>4284</v>
      </c>
      <c r="U3530" s="47" t="s">
        <v>2526</v>
      </c>
      <c r="V3530" s="56">
        <v>0.32568000000000003</v>
      </c>
      <c r="W3530" s="13"/>
      <c r="X3530" s="47">
        <v>3526</v>
      </c>
      <c r="Y3530" s="47" t="s">
        <v>2248</v>
      </c>
      <c r="Z3530" s="47" t="s">
        <v>2773</v>
      </c>
      <c r="AA3530" s="56">
        <v>0</v>
      </c>
      <c r="AB3530" s="13"/>
      <c r="AC3530" s="34">
        <v>3526</v>
      </c>
      <c r="AD3530" s="34" t="s">
        <v>4573</v>
      </c>
      <c r="AE3530" s="34" t="s">
        <v>3629</v>
      </c>
      <c r="AF3530" s="35">
        <v>0.10522177419354839</v>
      </c>
    </row>
    <row r="3531" spans="19:32" x14ac:dyDescent="0.35">
      <c r="S3531" s="34">
        <v>3527</v>
      </c>
      <c r="T3531" s="34" t="s">
        <v>4284</v>
      </c>
      <c r="U3531" s="34" t="s">
        <v>2524</v>
      </c>
      <c r="V3531" s="35">
        <v>0.1477217741935484</v>
      </c>
      <c r="W3531" s="13"/>
      <c r="X3531" s="47">
        <v>3527</v>
      </c>
      <c r="Y3531" s="47" t="s">
        <v>2248</v>
      </c>
      <c r="Z3531" s="47" t="s">
        <v>2731</v>
      </c>
      <c r="AA3531" s="56">
        <v>0</v>
      </c>
      <c r="AB3531" s="13"/>
      <c r="AC3531" s="47">
        <v>3527</v>
      </c>
      <c r="AD3531" s="47" t="s">
        <v>4573</v>
      </c>
      <c r="AE3531" s="47" t="s">
        <v>2277</v>
      </c>
      <c r="AF3531" s="56">
        <v>4.9036000000000001E-4</v>
      </c>
    </row>
    <row r="3532" spans="19:32" x14ac:dyDescent="0.35">
      <c r="S3532" s="47">
        <v>3528</v>
      </c>
      <c r="T3532" s="47" t="s">
        <v>4284</v>
      </c>
      <c r="U3532" s="47" t="s">
        <v>2524</v>
      </c>
      <c r="V3532" s="56">
        <v>2.6128</v>
      </c>
      <c r="W3532" s="13"/>
      <c r="X3532" s="34">
        <v>3528</v>
      </c>
      <c r="Y3532" s="34" t="s">
        <v>2248</v>
      </c>
      <c r="Z3532" s="34" t="s">
        <v>2731</v>
      </c>
      <c r="AA3532" s="35">
        <v>5.3125000000000004E-4</v>
      </c>
      <c r="AB3532" s="13"/>
      <c r="AC3532" s="34">
        <v>3528</v>
      </c>
      <c r="AD3532" s="34" t="s">
        <v>4573</v>
      </c>
      <c r="AE3532" s="34" t="s">
        <v>3625</v>
      </c>
      <c r="AF3532" s="35">
        <v>0.80544354838709686</v>
      </c>
    </row>
    <row r="3533" spans="19:32" x14ac:dyDescent="0.35">
      <c r="S3533" s="34">
        <v>3529</v>
      </c>
      <c r="T3533" s="34" t="s">
        <v>4284</v>
      </c>
      <c r="U3533" s="34" t="s">
        <v>4194</v>
      </c>
      <c r="V3533" s="35">
        <v>1.8713709677419355E-2</v>
      </c>
      <c r="W3533" s="13"/>
      <c r="X3533" s="47">
        <v>3529</v>
      </c>
      <c r="Y3533" s="47" t="s">
        <v>2248</v>
      </c>
      <c r="Z3533" s="47" t="s">
        <v>4613</v>
      </c>
      <c r="AA3533" s="48">
        <v>8.3286290322580651E-4</v>
      </c>
      <c r="AB3533" s="13"/>
      <c r="AC3533" s="34">
        <v>3529</v>
      </c>
      <c r="AD3533" s="34" t="s">
        <v>4573</v>
      </c>
      <c r="AE3533" s="34" t="s">
        <v>3624</v>
      </c>
      <c r="AF3533" s="35">
        <v>3.2423387096774198E-2</v>
      </c>
    </row>
    <row r="3534" spans="19:32" x14ac:dyDescent="0.35">
      <c r="S3534" s="34">
        <v>3530</v>
      </c>
      <c r="T3534" s="34" t="s">
        <v>4284</v>
      </c>
      <c r="U3534" s="34" t="s">
        <v>4193</v>
      </c>
      <c r="V3534" s="35">
        <v>3.5645161290322587E-4</v>
      </c>
      <c r="W3534" s="13"/>
      <c r="X3534" s="34">
        <v>3530</v>
      </c>
      <c r="Y3534" s="34" t="s">
        <v>2248</v>
      </c>
      <c r="Z3534" s="34" t="s">
        <v>2728</v>
      </c>
      <c r="AA3534" s="35">
        <v>3.4959677419354845E-5</v>
      </c>
      <c r="AB3534" s="13"/>
      <c r="AC3534" s="34">
        <v>3530</v>
      </c>
      <c r="AD3534" s="34" t="s">
        <v>4573</v>
      </c>
      <c r="AE3534" s="34" t="s">
        <v>3622</v>
      </c>
      <c r="AF3534" s="35">
        <v>23.75201612903226</v>
      </c>
    </row>
    <row r="3535" spans="19:32" x14ac:dyDescent="0.35">
      <c r="S3535" s="34">
        <v>3531</v>
      </c>
      <c r="T3535" s="34" t="s">
        <v>4284</v>
      </c>
      <c r="U3535" s="34" t="s">
        <v>4191</v>
      </c>
      <c r="V3535" s="35">
        <v>1.8782258064516132E-2</v>
      </c>
      <c r="W3535" s="13"/>
      <c r="X3535" s="34">
        <v>3531</v>
      </c>
      <c r="Y3535" s="34" t="s">
        <v>2248</v>
      </c>
      <c r="Z3535" s="34" t="s">
        <v>2725</v>
      </c>
      <c r="AA3535" s="35">
        <v>3.2286290322580649E-3</v>
      </c>
      <c r="AB3535" s="13"/>
      <c r="AC3535" s="34">
        <v>3531</v>
      </c>
      <c r="AD3535" s="34" t="s">
        <v>4573</v>
      </c>
      <c r="AE3535" s="34" t="s">
        <v>3620</v>
      </c>
      <c r="AF3535" s="35">
        <v>1.6417338709677421E-2</v>
      </c>
    </row>
    <row r="3536" spans="19:32" x14ac:dyDescent="0.35">
      <c r="S3536" s="34">
        <v>3532</v>
      </c>
      <c r="T3536" s="34" t="s">
        <v>4284</v>
      </c>
      <c r="U3536" s="34" t="s">
        <v>4190</v>
      </c>
      <c r="V3536" s="35">
        <v>6.991935483870968</v>
      </c>
      <c r="W3536" s="13"/>
      <c r="X3536" s="34">
        <v>3532</v>
      </c>
      <c r="Y3536" s="34" t="s">
        <v>2248</v>
      </c>
      <c r="Z3536" s="34" t="s">
        <v>4612</v>
      </c>
      <c r="AA3536" s="35">
        <v>5.6209677419354835E-4</v>
      </c>
      <c r="AB3536" s="13"/>
      <c r="AC3536" s="34">
        <v>3532</v>
      </c>
      <c r="AD3536" s="34" t="s">
        <v>4573</v>
      </c>
      <c r="AE3536" s="34" t="s">
        <v>3617</v>
      </c>
      <c r="AF3536" s="35">
        <v>3.4000000000000002E-3</v>
      </c>
    </row>
    <row r="3537" spans="19:32" x14ac:dyDescent="0.35">
      <c r="S3537" s="34">
        <v>3533</v>
      </c>
      <c r="T3537" s="34" t="s">
        <v>4284</v>
      </c>
      <c r="U3537" s="34" t="s">
        <v>4189</v>
      </c>
      <c r="V3537" s="35">
        <v>5.2439516129032266E-3</v>
      </c>
      <c r="W3537" s="13"/>
      <c r="X3537" s="47">
        <v>3533</v>
      </c>
      <c r="Y3537" s="47" t="s">
        <v>2248</v>
      </c>
      <c r="Z3537" s="47" t="s">
        <v>2771</v>
      </c>
      <c r="AA3537" s="56">
        <v>0</v>
      </c>
      <c r="AB3537" s="13"/>
      <c r="AC3537" s="34">
        <v>3533</v>
      </c>
      <c r="AD3537" s="34" t="s">
        <v>4573</v>
      </c>
      <c r="AE3537" s="34" t="s">
        <v>2276</v>
      </c>
      <c r="AF3537" s="35">
        <v>0.77459677419354844</v>
      </c>
    </row>
    <row r="3538" spans="19:32" x14ac:dyDescent="0.35">
      <c r="S3538" s="34">
        <v>3534</v>
      </c>
      <c r="T3538" s="34" t="s">
        <v>4284</v>
      </c>
      <c r="U3538" s="34" t="s">
        <v>4188</v>
      </c>
      <c r="V3538" s="35">
        <v>0.3180645161290323</v>
      </c>
      <c r="W3538" s="13"/>
      <c r="X3538" s="34">
        <v>3534</v>
      </c>
      <c r="Y3538" s="34" t="s">
        <v>2248</v>
      </c>
      <c r="Z3538" s="34" t="s">
        <v>2723</v>
      </c>
      <c r="AA3538" s="35">
        <v>4.6270161290322583E-3</v>
      </c>
      <c r="AB3538" s="13"/>
      <c r="AC3538" s="47">
        <v>3534</v>
      </c>
      <c r="AD3538" s="47" t="s">
        <v>4573</v>
      </c>
      <c r="AE3538" s="47" t="s">
        <v>2276</v>
      </c>
      <c r="AF3538" s="56">
        <v>4.6459999999999999</v>
      </c>
    </row>
    <row r="3539" spans="19:32" x14ac:dyDescent="0.35">
      <c r="S3539" s="34">
        <v>3535</v>
      </c>
      <c r="T3539" s="34" t="s">
        <v>4284</v>
      </c>
      <c r="U3539" s="34" t="s">
        <v>2523</v>
      </c>
      <c r="V3539" s="35">
        <v>5.8266129032258068E-3</v>
      </c>
      <c r="W3539" s="13"/>
      <c r="X3539" s="34">
        <v>3535</v>
      </c>
      <c r="Y3539" s="34" t="s">
        <v>2248</v>
      </c>
      <c r="Z3539" s="34" t="s">
        <v>2720</v>
      </c>
      <c r="AA3539" s="35">
        <v>1.004233870967742E-4</v>
      </c>
      <c r="AB3539" s="13"/>
      <c r="AC3539" s="34">
        <v>3535</v>
      </c>
      <c r="AD3539" s="34" t="s">
        <v>4573</v>
      </c>
      <c r="AE3539" s="34" t="s">
        <v>2274</v>
      </c>
      <c r="AF3539" s="35">
        <v>0.50383064516129039</v>
      </c>
    </row>
    <row r="3540" spans="19:32" x14ac:dyDescent="0.35">
      <c r="S3540" s="47">
        <v>3536</v>
      </c>
      <c r="T3540" s="47" t="s">
        <v>4284</v>
      </c>
      <c r="U3540" s="47" t="s">
        <v>2523</v>
      </c>
      <c r="V3540" s="56">
        <v>1.5824</v>
      </c>
      <c r="W3540" s="13"/>
      <c r="X3540" s="47">
        <v>3536</v>
      </c>
      <c r="Y3540" s="47" t="s">
        <v>2248</v>
      </c>
      <c r="Z3540" s="47" t="s">
        <v>4611</v>
      </c>
      <c r="AA3540" s="48">
        <v>1.2887096774193551E-3</v>
      </c>
      <c r="AB3540" s="13"/>
      <c r="AC3540" s="47">
        <v>3536</v>
      </c>
      <c r="AD3540" s="47" t="s">
        <v>4573</v>
      </c>
      <c r="AE3540" s="47" t="s">
        <v>2274</v>
      </c>
      <c r="AF3540" s="56">
        <v>14.904</v>
      </c>
    </row>
    <row r="3541" spans="19:32" x14ac:dyDescent="0.35">
      <c r="S3541" s="47">
        <v>3537</v>
      </c>
      <c r="T3541" s="47" t="s">
        <v>4284</v>
      </c>
      <c r="U3541" s="47" t="s">
        <v>2521</v>
      </c>
      <c r="V3541" s="56">
        <v>0</v>
      </c>
      <c r="W3541" s="13"/>
      <c r="X3541" s="47">
        <v>3537</v>
      </c>
      <c r="Y3541" s="47" t="s">
        <v>2248</v>
      </c>
      <c r="Z3541" s="47" t="s">
        <v>2769</v>
      </c>
      <c r="AA3541" s="56">
        <v>0</v>
      </c>
      <c r="AB3541" s="13"/>
      <c r="AC3541" s="34">
        <v>3537</v>
      </c>
      <c r="AD3541" s="34" t="s">
        <v>4573</v>
      </c>
      <c r="AE3541" s="34" t="s">
        <v>2273</v>
      </c>
      <c r="AF3541" s="35">
        <v>6.2036290322580647E-5</v>
      </c>
    </row>
    <row r="3542" spans="19:32" x14ac:dyDescent="0.35">
      <c r="S3542" s="34">
        <v>3538</v>
      </c>
      <c r="T3542" s="34" t="s">
        <v>4284</v>
      </c>
      <c r="U3542" s="34" t="s">
        <v>4185</v>
      </c>
      <c r="V3542" s="35">
        <v>3.5302419354838716E-2</v>
      </c>
      <c r="W3542" s="13"/>
      <c r="X3542" s="47">
        <v>3538</v>
      </c>
      <c r="Y3542" s="47" t="s">
        <v>2248</v>
      </c>
      <c r="Z3542" s="47" t="s">
        <v>2768</v>
      </c>
      <c r="AA3542" s="56">
        <v>2.9716</v>
      </c>
      <c r="AB3542" s="13"/>
      <c r="AC3542" s="47">
        <v>3538</v>
      </c>
      <c r="AD3542" s="47" t="s">
        <v>4573</v>
      </c>
      <c r="AE3542" s="47" t="s">
        <v>2273</v>
      </c>
      <c r="AF3542" s="56">
        <v>1.4996E-3</v>
      </c>
    </row>
    <row r="3543" spans="19:32" x14ac:dyDescent="0.35">
      <c r="S3543" s="34">
        <v>3539</v>
      </c>
      <c r="T3543" s="34" t="s">
        <v>4284</v>
      </c>
      <c r="U3543" s="34" t="s">
        <v>4184</v>
      </c>
      <c r="V3543" s="35">
        <v>6.2036290322580647E-5</v>
      </c>
      <c r="W3543" s="13"/>
      <c r="X3543" s="47">
        <v>3539</v>
      </c>
      <c r="Y3543" s="47" t="s">
        <v>2248</v>
      </c>
      <c r="Z3543" s="47" t="s">
        <v>3300</v>
      </c>
      <c r="AA3543" s="48">
        <v>8.3971774193548389E-4</v>
      </c>
      <c r="AB3543" s="13"/>
      <c r="AC3543" s="34">
        <v>3539</v>
      </c>
      <c r="AD3543" s="34" t="s">
        <v>4573</v>
      </c>
      <c r="AE3543" s="34" t="s">
        <v>3610</v>
      </c>
      <c r="AF3543" s="35">
        <v>9.6653225806451614E-4</v>
      </c>
    </row>
    <row r="3544" spans="19:32" x14ac:dyDescent="0.35">
      <c r="S3544" s="34">
        <v>3540</v>
      </c>
      <c r="T3544" s="34" t="s">
        <v>4284</v>
      </c>
      <c r="U3544" s="34" t="s">
        <v>4610</v>
      </c>
      <c r="V3544" s="35">
        <v>6.7520161290322587E-5</v>
      </c>
      <c r="W3544" s="13"/>
      <c r="X3544" s="47">
        <v>3540</v>
      </c>
      <c r="Y3544" s="47" t="s">
        <v>2248</v>
      </c>
      <c r="Z3544" s="47" t="s">
        <v>2766</v>
      </c>
      <c r="AA3544" s="56">
        <v>6.8540000000000001</v>
      </c>
      <c r="AB3544" s="13"/>
      <c r="AC3544" s="47">
        <v>3540</v>
      </c>
      <c r="AD3544" s="47" t="s">
        <v>4573</v>
      </c>
      <c r="AE3544" s="47" t="s">
        <v>2271</v>
      </c>
      <c r="AF3544" s="56">
        <v>6.8264000000000005E-2</v>
      </c>
    </row>
    <row r="3545" spans="19:32" x14ac:dyDescent="0.35">
      <c r="S3545" s="36">
        <v>3541</v>
      </c>
      <c r="T3545" s="36" t="s">
        <v>4284</v>
      </c>
      <c r="U3545" s="36" t="s">
        <v>4181</v>
      </c>
      <c r="V3545" s="37">
        <v>7.2225000000000001</v>
      </c>
      <c r="W3545" s="13"/>
      <c r="X3545" s="47">
        <v>3541</v>
      </c>
      <c r="Y3545" s="47" t="s">
        <v>2248</v>
      </c>
      <c r="Z3545" s="47" t="s">
        <v>2765</v>
      </c>
      <c r="AA3545" s="56">
        <v>0.51151999999999997</v>
      </c>
      <c r="AB3545" s="13"/>
      <c r="AC3545" s="47">
        <v>3541</v>
      </c>
      <c r="AD3545" s="47" t="s">
        <v>4573</v>
      </c>
      <c r="AE3545" s="47" t="s">
        <v>2269</v>
      </c>
      <c r="AF3545" s="56">
        <v>0</v>
      </c>
    </row>
    <row r="3546" spans="19:32" x14ac:dyDescent="0.35">
      <c r="S3546" s="34">
        <v>3542</v>
      </c>
      <c r="T3546" s="34" t="s">
        <v>4284</v>
      </c>
      <c r="U3546" s="34" t="s">
        <v>4181</v>
      </c>
      <c r="V3546" s="35">
        <v>1.2475806451612904E-5</v>
      </c>
      <c r="W3546" s="13"/>
      <c r="X3546" s="47">
        <v>3542</v>
      </c>
      <c r="Y3546" s="47" t="s">
        <v>2248</v>
      </c>
      <c r="Z3546" s="47" t="s">
        <v>4609</v>
      </c>
      <c r="AA3546" s="48">
        <v>3.1566532258064521E-4</v>
      </c>
      <c r="AB3546" s="13"/>
      <c r="AC3546" s="34">
        <v>3542</v>
      </c>
      <c r="AD3546" s="34" t="s">
        <v>4573</v>
      </c>
      <c r="AE3546" s="34" t="s">
        <v>3605</v>
      </c>
      <c r="AF3546" s="35">
        <v>2.1729838709677422E-2</v>
      </c>
    </row>
    <row r="3547" spans="19:32" x14ac:dyDescent="0.35">
      <c r="S3547" s="34">
        <v>3543</v>
      </c>
      <c r="T3547" s="34" t="s">
        <v>4284</v>
      </c>
      <c r="U3547" s="34" t="s">
        <v>4180</v>
      </c>
      <c r="V3547" s="35">
        <v>1.7856854838709679E-4</v>
      </c>
      <c r="W3547" s="13"/>
      <c r="X3547" s="47">
        <v>3543</v>
      </c>
      <c r="Y3547" s="47" t="s">
        <v>2248</v>
      </c>
      <c r="Z3547" s="47" t="s">
        <v>2763</v>
      </c>
      <c r="AA3547" s="56">
        <v>0</v>
      </c>
      <c r="AB3547" s="13"/>
      <c r="AC3547" s="34">
        <v>3543</v>
      </c>
      <c r="AD3547" s="34" t="s">
        <v>4573</v>
      </c>
      <c r="AE3547" s="34" t="s">
        <v>3604</v>
      </c>
      <c r="AF3547" s="35">
        <v>0.15697580645161291</v>
      </c>
    </row>
    <row r="3548" spans="19:32" x14ac:dyDescent="0.35">
      <c r="S3548" s="30">
        <v>3544</v>
      </c>
      <c r="T3548" s="30" t="s">
        <v>4284</v>
      </c>
      <c r="U3548" s="30" t="s">
        <v>4608</v>
      </c>
      <c r="V3548" s="31">
        <v>1.2528000000000001E-3</v>
      </c>
      <c r="W3548" s="13"/>
      <c r="X3548" s="47">
        <v>3544</v>
      </c>
      <c r="Y3548" s="47" t="s">
        <v>2248</v>
      </c>
      <c r="Z3548" s="47" t="s">
        <v>2717</v>
      </c>
      <c r="AA3548" s="56">
        <v>0</v>
      </c>
      <c r="AB3548" s="13"/>
      <c r="AC3548" s="34">
        <v>3544</v>
      </c>
      <c r="AD3548" s="34" t="s">
        <v>4573</v>
      </c>
      <c r="AE3548" s="34" t="s">
        <v>3602</v>
      </c>
      <c r="AF3548" s="35">
        <v>1.8370967741935484E-2</v>
      </c>
    </row>
    <row r="3549" spans="19:32" x14ac:dyDescent="0.35">
      <c r="S3549" s="34">
        <v>3545</v>
      </c>
      <c r="T3549" s="34" t="s">
        <v>4284</v>
      </c>
      <c r="U3549" s="34" t="s">
        <v>4178</v>
      </c>
      <c r="V3549" s="35">
        <v>5.5866935483870971E-2</v>
      </c>
      <c r="W3549" s="13"/>
      <c r="X3549" s="34">
        <v>3545</v>
      </c>
      <c r="Y3549" s="34" t="s">
        <v>2248</v>
      </c>
      <c r="Z3549" s="34" t="s">
        <v>2717</v>
      </c>
      <c r="AA3549" s="35">
        <v>2.9030241935483873E-2</v>
      </c>
      <c r="AB3549" s="13"/>
      <c r="AC3549" s="47">
        <v>3545</v>
      </c>
      <c r="AD3549" s="47" t="s">
        <v>4573</v>
      </c>
      <c r="AE3549" s="47" t="s">
        <v>2268</v>
      </c>
      <c r="AF3549" s="56">
        <v>6.1456000000000004E-2</v>
      </c>
    </row>
    <row r="3550" spans="19:32" x14ac:dyDescent="0.35">
      <c r="S3550" s="36">
        <v>3546</v>
      </c>
      <c r="T3550" s="36" t="s">
        <v>4284</v>
      </c>
      <c r="U3550" s="36" t="s">
        <v>4607</v>
      </c>
      <c r="V3550" s="37">
        <v>1.5889499999999999</v>
      </c>
      <c r="W3550" s="13"/>
      <c r="X3550" s="47">
        <v>3546</v>
      </c>
      <c r="Y3550" s="47" t="s">
        <v>2248</v>
      </c>
      <c r="Z3550" s="47" t="s">
        <v>4606</v>
      </c>
      <c r="AA3550" s="48">
        <v>1.1241935483870969E-2</v>
      </c>
      <c r="AB3550" s="13"/>
      <c r="AC3550" s="47">
        <v>3546</v>
      </c>
      <c r="AD3550" s="47" t="s">
        <v>4573</v>
      </c>
      <c r="AE3550" s="47" t="s">
        <v>2266</v>
      </c>
      <c r="AF3550" s="56">
        <v>0</v>
      </c>
    </row>
    <row r="3551" spans="19:32" x14ac:dyDescent="0.35">
      <c r="S3551" s="47">
        <v>3547</v>
      </c>
      <c r="T3551" s="47" t="s">
        <v>4284</v>
      </c>
      <c r="U3551" s="47" t="s">
        <v>2520</v>
      </c>
      <c r="V3551" s="56">
        <v>9.3840000000000003</v>
      </c>
      <c r="W3551" s="13"/>
      <c r="X3551" s="47">
        <v>3547</v>
      </c>
      <c r="Y3551" s="47" t="s">
        <v>2248</v>
      </c>
      <c r="Z3551" s="47" t="s">
        <v>2761</v>
      </c>
      <c r="AA3551" s="56">
        <v>66.975999999999999</v>
      </c>
      <c r="AB3551" s="13"/>
      <c r="AC3551" s="34">
        <v>3547</v>
      </c>
      <c r="AD3551" s="34" t="s">
        <v>4573</v>
      </c>
      <c r="AE3551" s="34" t="s">
        <v>3598</v>
      </c>
      <c r="AF3551" s="35">
        <v>0.12475806451612904</v>
      </c>
    </row>
    <row r="3552" spans="19:32" x14ac:dyDescent="0.35">
      <c r="S3552" s="30">
        <v>3548</v>
      </c>
      <c r="T3552" s="30" t="s">
        <v>4284</v>
      </c>
      <c r="U3552" s="30" t="s">
        <v>4605</v>
      </c>
      <c r="V3552" s="31">
        <v>306.24</v>
      </c>
      <c r="W3552" s="13"/>
      <c r="X3552" s="34">
        <v>3548</v>
      </c>
      <c r="Y3552" s="34" t="s">
        <v>2248</v>
      </c>
      <c r="Z3552" s="34" t="s">
        <v>2714</v>
      </c>
      <c r="AA3552" s="35">
        <v>3.3177419354838713E-3</v>
      </c>
      <c r="AB3552" s="13"/>
      <c r="AC3552" s="34">
        <v>3548</v>
      </c>
      <c r="AD3552" s="34" t="s">
        <v>4573</v>
      </c>
      <c r="AE3552" s="34" t="s">
        <v>2265</v>
      </c>
      <c r="AF3552" s="35">
        <v>3.4959677419354839E-4</v>
      </c>
    </row>
    <row r="3553" spans="19:32" x14ac:dyDescent="0.35">
      <c r="S3553" s="30">
        <v>3549</v>
      </c>
      <c r="T3553" s="30" t="s">
        <v>4284</v>
      </c>
      <c r="U3553" s="30" t="s">
        <v>4604</v>
      </c>
      <c r="V3553" s="31">
        <v>752.84</v>
      </c>
      <c r="W3553" s="13"/>
      <c r="X3553" s="34">
        <v>3549</v>
      </c>
      <c r="Y3553" s="34" t="s">
        <v>2248</v>
      </c>
      <c r="Z3553" s="34" t="s">
        <v>4603</v>
      </c>
      <c r="AA3553" s="35">
        <v>8.2600806451612898E-8</v>
      </c>
      <c r="AB3553" s="13"/>
      <c r="AC3553" s="47">
        <v>3549</v>
      </c>
      <c r="AD3553" s="47" t="s">
        <v>4573</v>
      </c>
      <c r="AE3553" s="47" t="s">
        <v>2265</v>
      </c>
      <c r="AF3553" s="56">
        <v>0</v>
      </c>
    </row>
    <row r="3554" spans="19:32" x14ac:dyDescent="0.35">
      <c r="S3554" s="30">
        <v>3550</v>
      </c>
      <c r="T3554" s="30" t="s">
        <v>4284</v>
      </c>
      <c r="U3554" s="30" t="s">
        <v>4602</v>
      </c>
      <c r="V3554" s="31">
        <v>140.36000000000001</v>
      </c>
      <c r="W3554" s="13"/>
      <c r="X3554" s="47">
        <v>3550</v>
      </c>
      <c r="Y3554" s="47" t="s">
        <v>2248</v>
      </c>
      <c r="Z3554" s="47" t="s">
        <v>2760</v>
      </c>
      <c r="AA3554" s="56">
        <v>8.0776000000000001E-2</v>
      </c>
      <c r="AB3554" s="13"/>
      <c r="AC3554" s="34">
        <v>3550</v>
      </c>
      <c r="AD3554" s="34" t="s">
        <v>4573</v>
      </c>
      <c r="AE3554" s="34" t="s">
        <v>3593</v>
      </c>
      <c r="AF3554" s="35">
        <v>9.6995967741935493E-4</v>
      </c>
    </row>
    <row r="3555" spans="19:32" x14ac:dyDescent="0.35">
      <c r="S3555" s="30">
        <v>3551</v>
      </c>
      <c r="T3555" s="30" t="s">
        <v>4284</v>
      </c>
      <c r="U3555" s="30" t="s">
        <v>4601</v>
      </c>
      <c r="V3555" s="31">
        <v>535.92000000000007</v>
      </c>
      <c r="W3555" s="13"/>
      <c r="X3555" s="34">
        <v>3551</v>
      </c>
      <c r="Y3555" s="34" t="s">
        <v>2248</v>
      </c>
      <c r="Z3555" s="34" t="s">
        <v>2712</v>
      </c>
      <c r="AA3555" s="35">
        <v>1.2544354838709678E-4</v>
      </c>
      <c r="AB3555" s="13"/>
      <c r="AC3555" s="34">
        <v>3551</v>
      </c>
      <c r="AD3555" s="34" t="s">
        <v>4573</v>
      </c>
      <c r="AE3555" s="34" t="s">
        <v>3592</v>
      </c>
      <c r="AF3555" s="35">
        <v>6.6834677419354846E-3</v>
      </c>
    </row>
    <row r="3556" spans="19:32" x14ac:dyDescent="0.35">
      <c r="S3556" s="30">
        <v>3552</v>
      </c>
      <c r="T3556" s="30" t="s">
        <v>4284</v>
      </c>
      <c r="U3556" s="30" t="s">
        <v>4600</v>
      </c>
      <c r="V3556" s="31">
        <v>388.6</v>
      </c>
      <c r="W3556" s="13"/>
      <c r="X3556" s="47">
        <v>3552</v>
      </c>
      <c r="Y3556" s="47" t="s">
        <v>2248</v>
      </c>
      <c r="Z3556" s="47" t="s">
        <v>4599</v>
      </c>
      <c r="AA3556" s="48">
        <v>2.1078629032258066E-2</v>
      </c>
      <c r="AB3556" s="13"/>
      <c r="AC3556" s="34">
        <v>3552</v>
      </c>
      <c r="AD3556" s="34" t="s">
        <v>4573</v>
      </c>
      <c r="AE3556" s="34" t="s">
        <v>3589</v>
      </c>
      <c r="AF3556" s="35">
        <v>1.1241935483870969E-2</v>
      </c>
    </row>
    <row r="3557" spans="19:32" x14ac:dyDescent="0.35">
      <c r="S3557" s="30">
        <v>3553</v>
      </c>
      <c r="T3557" s="30" t="s">
        <v>4284</v>
      </c>
      <c r="U3557" s="30" t="s">
        <v>4598</v>
      </c>
      <c r="V3557" s="31">
        <v>154.28</v>
      </c>
      <c r="W3557" s="13"/>
      <c r="X3557" s="47">
        <v>3553</v>
      </c>
      <c r="Y3557" s="47" t="s">
        <v>2248</v>
      </c>
      <c r="Z3557" s="47" t="s">
        <v>2709</v>
      </c>
      <c r="AA3557" s="56">
        <v>1.0396000000000001E-2</v>
      </c>
      <c r="AB3557" s="13"/>
      <c r="AC3557" s="34">
        <v>3553</v>
      </c>
      <c r="AD3557" s="34" t="s">
        <v>4573</v>
      </c>
      <c r="AE3557" s="34" t="s">
        <v>3587</v>
      </c>
      <c r="AF3557" s="35">
        <v>5.5866935483870972E-3</v>
      </c>
    </row>
    <row r="3558" spans="19:32" x14ac:dyDescent="0.35">
      <c r="S3558" s="30">
        <v>3554</v>
      </c>
      <c r="T3558" s="30" t="s">
        <v>4284</v>
      </c>
      <c r="U3558" s="30" t="s">
        <v>4597</v>
      </c>
      <c r="V3558" s="31">
        <v>527.80000000000007</v>
      </c>
      <c r="W3558" s="13"/>
      <c r="X3558" s="34">
        <v>3554</v>
      </c>
      <c r="Y3558" s="34" t="s">
        <v>2248</v>
      </c>
      <c r="Z3558" s="34" t="s">
        <v>2709</v>
      </c>
      <c r="AA3558" s="35">
        <v>5.2439516129032265E-5</v>
      </c>
      <c r="AB3558" s="13"/>
      <c r="AC3558" s="34">
        <v>3554</v>
      </c>
      <c r="AD3558" s="34" t="s">
        <v>4573</v>
      </c>
      <c r="AE3558" s="34" t="s">
        <v>3585</v>
      </c>
      <c r="AF3558" s="35">
        <v>7.9516129032258069E-3</v>
      </c>
    </row>
    <row r="3559" spans="19:32" x14ac:dyDescent="0.35">
      <c r="S3559" s="30">
        <v>3555</v>
      </c>
      <c r="T3559" s="30" t="s">
        <v>4284</v>
      </c>
      <c r="U3559" s="30" t="s">
        <v>4596</v>
      </c>
      <c r="V3559" s="31">
        <v>33.64</v>
      </c>
      <c r="W3559" s="13"/>
      <c r="X3559" s="34">
        <v>3555</v>
      </c>
      <c r="Y3559" s="34" t="s">
        <v>2248</v>
      </c>
      <c r="Z3559" s="34" t="s">
        <v>2706</v>
      </c>
      <c r="AA3559" s="35">
        <v>8.0544354838709692E-5</v>
      </c>
      <c r="AB3559" s="13"/>
      <c r="AC3559" s="34">
        <v>3555</v>
      </c>
      <c r="AD3559" s="34" t="s">
        <v>4573</v>
      </c>
      <c r="AE3559" s="34" t="s">
        <v>3583</v>
      </c>
      <c r="AF3559" s="35">
        <v>3.8729838709677424</v>
      </c>
    </row>
    <row r="3560" spans="19:32" x14ac:dyDescent="0.35">
      <c r="S3560" s="30">
        <v>3556</v>
      </c>
      <c r="T3560" s="30" t="s">
        <v>4284</v>
      </c>
      <c r="U3560" s="30" t="s">
        <v>4595</v>
      </c>
      <c r="V3560" s="31">
        <v>934.96</v>
      </c>
      <c r="W3560" s="13"/>
      <c r="X3560" s="34">
        <v>3556</v>
      </c>
      <c r="Y3560" s="34" t="s">
        <v>2248</v>
      </c>
      <c r="Z3560" s="34" t="s">
        <v>3294</v>
      </c>
      <c r="AA3560" s="35">
        <v>1.6485887096774196E-3</v>
      </c>
      <c r="AB3560" s="13"/>
      <c r="AC3560" s="34">
        <v>3556</v>
      </c>
      <c r="AD3560" s="34" t="s">
        <v>4573</v>
      </c>
      <c r="AE3560" s="34" t="s">
        <v>3581</v>
      </c>
      <c r="AF3560" s="35">
        <v>1.7925403225806453E-2</v>
      </c>
    </row>
    <row r="3561" spans="19:32" x14ac:dyDescent="0.35">
      <c r="S3561" s="30">
        <v>3557</v>
      </c>
      <c r="T3561" s="30" t="s">
        <v>4284</v>
      </c>
      <c r="U3561" s="30" t="s">
        <v>4594</v>
      </c>
      <c r="V3561" s="31">
        <v>303.92</v>
      </c>
      <c r="W3561" s="13"/>
      <c r="X3561" s="47">
        <v>3557</v>
      </c>
      <c r="Y3561" s="47" t="s">
        <v>2248</v>
      </c>
      <c r="Z3561" s="47" t="s">
        <v>2703</v>
      </c>
      <c r="AA3561" s="56">
        <v>5.6671999999999993E-2</v>
      </c>
      <c r="AB3561" s="13"/>
      <c r="AC3561" s="34">
        <v>3557</v>
      </c>
      <c r="AD3561" s="34" t="s">
        <v>4573</v>
      </c>
      <c r="AE3561" s="34" t="s">
        <v>3578</v>
      </c>
      <c r="AF3561" s="35">
        <v>0.15080645161290324</v>
      </c>
    </row>
    <row r="3562" spans="19:32" x14ac:dyDescent="0.35">
      <c r="S3562" s="30">
        <v>3558</v>
      </c>
      <c r="T3562" s="30" t="s">
        <v>4284</v>
      </c>
      <c r="U3562" s="30" t="s">
        <v>4593</v>
      </c>
      <c r="V3562" s="31">
        <v>25.056000000000001</v>
      </c>
      <c r="W3562" s="13"/>
      <c r="X3562" s="34">
        <v>3558</v>
      </c>
      <c r="Y3562" s="34" t="s">
        <v>2248</v>
      </c>
      <c r="Z3562" s="34" t="s">
        <v>2703</v>
      </c>
      <c r="AA3562" s="35">
        <v>4.4213709677419361E-3</v>
      </c>
      <c r="AB3562" s="13"/>
      <c r="AC3562" s="34">
        <v>3558</v>
      </c>
      <c r="AD3562" s="34" t="s">
        <v>4573</v>
      </c>
      <c r="AE3562" s="34" t="s">
        <v>3576</v>
      </c>
      <c r="AF3562" s="35">
        <v>0.64778225806451617</v>
      </c>
    </row>
    <row r="3563" spans="19:32" x14ac:dyDescent="0.35">
      <c r="S3563" s="30">
        <v>3559</v>
      </c>
      <c r="T3563" s="30" t="s">
        <v>4284</v>
      </c>
      <c r="U3563" s="30" t="s">
        <v>4592</v>
      </c>
      <c r="V3563" s="31">
        <v>1.6240000000000001</v>
      </c>
      <c r="W3563" s="13"/>
      <c r="X3563" s="47">
        <v>3559</v>
      </c>
      <c r="Y3563" s="47" t="s">
        <v>2248</v>
      </c>
      <c r="Z3563" s="47" t="s">
        <v>3293</v>
      </c>
      <c r="AA3563" s="48">
        <v>39.758064516129032</v>
      </c>
      <c r="AB3563" s="13"/>
      <c r="AC3563" s="34">
        <v>3559</v>
      </c>
      <c r="AD3563" s="34" t="s">
        <v>4573</v>
      </c>
      <c r="AE3563" s="34" t="s">
        <v>2263</v>
      </c>
      <c r="AF3563" s="35">
        <v>3.3348790322580645E-3</v>
      </c>
    </row>
    <row r="3564" spans="19:32" x14ac:dyDescent="0.35">
      <c r="S3564" s="30">
        <v>3560</v>
      </c>
      <c r="T3564" s="30" t="s">
        <v>4284</v>
      </c>
      <c r="U3564" s="30" t="s">
        <v>4591</v>
      </c>
      <c r="V3564" s="31">
        <v>99.528000000000006</v>
      </c>
      <c r="W3564" s="13"/>
      <c r="X3564" s="34">
        <v>3560</v>
      </c>
      <c r="Y3564" s="34" t="s">
        <v>2248</v>
      </c>
      <c r="Z3564" s="34" t="s">
        <v>2700</v>
      </c>
      <c r="AA3564" s="35">
        <v>1.0316532258064517E-3</v>
      </c>
      <c r="AB3564" s="13"/>
      <c r="AC3564" s="47">
        <v>3560</v>
      </c>
      <c r="AD3564" s="47" t="s">
        <v>4573</v>
      </c>
      <c r="AE3564" s="47" t="s">
        <v>2263</v>
      </c>
      <c r="AF3564" s="56">
        <v>4.6460000000000001E-2</v>
      </c>
    </row>
    <row r="3565" spans="19:32" x14ac:dyDescent="0.35">
      <c r="S3565" s="30">
        <v>3561</v>
      </c>
      <c r="T3565" s="30" t="s">
        <v>4284</v>
      </c>
      <c r="U3565" s="30" t="s">
        <v>4590</v>
      </c>
      <c r="V3565" s="31">
        <v>8.8160000000000007</v>
      </c>
      <c r="W3565" s="13"/>
      <c r="X3565" s="47">
        <v>3561</v>
      </c>
      <c r="Y3565" s="47" t="s">
        <v>2248</v>
      </c>
      <c r="Z3565" s="47" t="s">
        <v>2698</v>
      </c>
      <c r="AA3565" s="56">
        <v>0</v>
      </c>
      <c r="AB3565" s="13"/>
      <c r="AC3565" s="34">
        <v>3561</v>
      </c>
      <c r="AD3565" s="34" t="s">
        <v>4573</v>
      </c>
      <c r="AE3565" s="34" t="s">
        <v>3572</v>
      </c>
      <c r="AF3565" s="35">
        <v>2.3306451612903228E-3</v>
      </c>
    </row>
    <row r="3566" spans="19:32" x14ac:dyDescent="0.35">
      <c r="S3566" s="30">
        <v>3562</v>
      </c>
      <c r="T3566" s="30" t="s">
        <v>4284</v>
      </c>
      <c r="U3566" s="30" t="s">
        <v>4589</v>
      </c>
      <c r="V3566" s="31">
        <v>83.055999999999997</v>
      </c>
      <c r="W3566" s="13"/>
      <c r="X3566" s="34">
        <v>3562</v>
      </c>
      <c r="Y3566" s="34" t="s">
        <v>2248</v>
      </c>
      <c r="Z3566" s="34" t="s">
        <v>2698</v>
      </c>
      <c r="AA3566" s="35">
        <v>1.6177419354838709E-4</v>
      </c>
      <c r="AB3566" s="13"/>
      <c r="AC3566" s="47">
        <v>3562</v>
      </c>
      <c r="AD3566" s="47" t="s">
        <v>4573</v>
      </c>
      <c r="AE3566" s="47" t="s">
        <v>2262</v>
      </c>
      <c r="AF3566" s="56">
        <v>2.1068000000000002</v>
      </c>
    </row>
    <row r="3567" spans="19:32" x14ac:dyDescent="0.35">
      <c r="S3567" s="30">
        <v>3563</v>
      </c>
      <c r="T3567" s="30" t="s">
        <v>4284</v>
      </c>
      <c r="U3567" s="30" t="s">
        <v>4588</v>
      </c>
      <c r="V3567" s="31">
        <v>6.0900000000000003E-2</v>
      </c>
      <c r="W3567" s="13"/>
      <c r="X3567" s="34">
        <v>3563</v>
      </c>
      <c r="Y3567" s="34" t="s">
        <v>2248</v>
      </c>
      <c r="Z3567" s="34" t="s">
        <v>4587</v>
      </c>
      <c r="AA3567" s="35">
        <v>6.8891129032258071E-4</v>
      </c>
      <c r="AB3567" s="13"/>
      <c r="AC3567" s="47">
        <v>3563</v>
      </c>
      <c r="AD3567" s="47" t="s">
        <v>4573</v>
      </c>
      <c r="AE3567" s="47" t="s">
        <v>2260</v>
      </c>
      <c r="AF3567" s="56">
        <v>0</v>
      </c>
    </row>
    <row r="3568" spans="19:32" x14ac:dyDescent="0.35">
      <c r="S3568" s="30">
        <v>3564</v>
      </c>
      <c r="T3568" s="30" t="s">
        <v>4284</v>
      </c>
      <c r="U3568" s="30" t="s">
        <v>4586</v>
      </c>
      <c r="V3568" s="31">
        <v>27.26</v>
      </c>
      <c r="W3568" s="13"/>
      <c r="X3568" s="34">
        <v>3564</v>
      </c>
      <c r="Y3568" s="34" t="s">
        <v>2248</v>
      </c>
      <c r="Z3568" s="34" t="s">
        <v>2695</v>
      </c>
      <c r="AA3568" s="35">
        <v>3.4274193548387101E-4</v>
      </c>
      <c r="AB3568" s="13"/>
      <c r="AC3568" s="47">
        <v>3564</v>
      </c>
      <c r="AD3568" s="47" t="s">
        <v>4573</v>
      </c>
      <c r="AE3568" s="47" t="s">
        <v>2258</v>
      </c>
      <c r="AF3568" s="56">
        <v>0</v>
      </c>
    </row>
    <row r="3569" spans="19:32" x14ac:dyDescent="0.35">
      <c r="S3569" s="34">
        <v>3565</v>
      </c>
      <c r="T3569" s="34" t="s">
        <v>4284</v>
      </c>
      <c r="U3569" s="34" t="s">
        <v>2518</v>
      </c>
      <c r="V3569" s="35">
        <v>2.327217741935484E-4</v>
      </c>
      <c r="W3569" s="13"/>
      <c r="X3569" s="34">
        <v>3565</v>
      </c>
      <c r="Y3569" s="34" t="s">
        <v>2248</v>
      </c>
      <c r="Z3569" s="34" t="s">
        <v>2692</v>
      </c>
      <c r="AA3569" s="35">
        <v>5.449596774193549E-4</v>
      </c>
      <c r="AB3569" s="13"/>
      <c r="AC3569" s="47">
        <v>3565</v>
      </c>
      <c r="AD3569" s="47" t="s">
        <v>4573</v>
      </c>
      <c r="AE3569" s="47" t="s">
        <v>2257</v>
      </c>
      <c r="AF3569" s="56">
        <v>0</v>
      </c>
    </row>
    <row r="3570" spans="19:32" x14ac:dyDescent="0.35">
      <c r="S3570" s="47">
        <v>3566</v>
      </c>
      <c r="T3570" s="47" t="s">
        <v>4284</v>
      </c>
      <c r="U3570" s="47" t="s">
        <v>2518</v>
      </c>
      <c r="V3570" s="56">
        <v>43.055999999999997</v>
      </c>
      <c r="W3570" s="13"/>
      <c r="X3570" s="47">
        <v>3566</v>
      </c>
      <c r="Y3570" s="47" t="s">
        <v>2248</v>
      </c>
      <c r="Z3570" s="47" t="s">
        <v>3289</v>
      </c>
      <c r="AA3570" s="48">
        <v>0.26939516129032259</v>
      </c>
      <c r="AB3570" s="13"/>
      <c r="AC3570" s="34">
        <v>3566</v>
      </c>
      <c r="AD3570" s="34" t="s">
        <v>4573</v>
      </c>
      <c r="AE3570" s="34" t="s">
        <v>3564</v>
      </c>
      <c r="AF3570" s="35">
        <v>1.8508064516129033E-2</v>
      </c>
    </row>
    <row r="3571" spans="19:32" x14ac:dyDescent="0.35">
      <c r="S3571" s="34">
        <v>3567</v>
      </c>
      <c r="T3571" s="34" t="s">
        <v>4284</v>
      </c>
      <c r="U3571" s="34" t="s">
        <v>2517</v>
      </c>
      <c r="V3571" s="35">
        <v>1.8850806451612906E-4</v>
      </c>
      <c r="W3571" s="13"/>
      <c r="X3571" s="47">
        <v>3567</v>
      </c>
      <c r="Y3571" s="47" t="s">
        <v>2248</v>
      </c>
      <c r="Z3571" s="47" t="s">
        <v>2756</v>
      </c>
      <c r="AA3571" s="56">
        <v>5.5199999999999997E-4</v>
      </c>
      <c r="AB3571" s="13"/>
      <c r="AC3571" s="34">
        <v>3567</v>
      </c>
      <c r="AD3571" s="34" t="s">
        <v>4573</v>
      </c>
      <c r="AE3571" s="34" t="s">
        <v>2255</v>
      </c>
      <c r="AF3571" s="35">
        <v>2.6528225806451617E-3</v>
      </c>
    </row>
    <row r="3572" spans="19:32" x14ac:dyDescent="0.35">
      <c r="S3572" s="47">
        <v>3568</v>
      </c>
      <c r="T3572" s="47" t="s">
        <v>4284</v>
      </c>
      <c r="U3572" s="47" t="s">
        <v>2517</v>
      </c>
      <c r="V3572" s="56">
        <v>133.4</v>
      </c>
      <c r="W3572" s="13"/>
      <c r="X3572" s="34">
        <v>3568</v>
      </c>
      <c r="Y3572" s="34" t="s">
        <v>2248</v>
      </c>
      <c r="Z3572" s="34" t="s">
        <v>2691</v>
      </c>
      <c r="AA3572" s="35">
        <v>4.1471774193548392E-3</v>
      </c>
      <c r="AB3572" s="13"/>
      <c r="AC3572" s="47">
        <v>3568</v>
      </c>
      <c r="AD3572" s="47" t="s">
        <v>4573</v>
      </c>
      <c r="AE3572" s="47" t="s">
        <v>2255</v>
      </c>
      <c r="AF3572" s="56">
        <v>3.496E-3</v>
      </c>
    </row>
    <row r="3573" spans="19:32" x14ac:dyDescent="0.35">
      <c r="S3573" s="34">
        <v>3569</v>
      </c>
      <c r="T3573" s="34" t="s">
        <v>4284</v>
      </c>
      <c r="U3573" s="34" t="s">
        <v>2515</v>
      </c>
      <c r="V3573" s="35">
        <v>4.4556451612903231E-6</v>
      </c>
      <c r="W3573" s="13"/>
      <c r="X3573" s="34">
        <v>3569</v>
      </c>
      <c r="Y3573" s="34" t="s">
        <v>2248</v>
      </c>
      <c r="Z3573" s="34" t="s">
        <v>2690</v>
      </c>
      <c r="AA3573" s="35">
        <v>1.3778225806451615E-5</v>
      </c>
      <c r="AB3573" s="13"/>
      <c r="AC3573" s="47">
        <v>3569</v>
      </c>
      <c r="AD3573" s="47" t="s">
        <v>4573</v>
      </c>
      <c r="AE3573" s="47" t="s">
        <v>2254</v>
      </c>
      <c r="AF3573" s="56">
        <v>4.2320000000000002</v>
      </c>
    </row>
    <row r="3574" spans="19:32" x14ac:dyDescent="0.35">
      <c r="S3574" s="47">
        <v>3570</v>
      </c>
      <c r="T3574" s="47" t="s">
        <v>4284</v>
      </c>
      <c r="U3574" s="47" t="s">
        <v>2515</v>
      </c>
      <c r="V3574" s="56">
        <v>0.14812</v>
      </c>
      <c r="W3574" s="13"/>
      <c r="X3574" s="47">
        <v>3570</v>
      </c>
      <c r="Y3574" s="47" t="s">
        <v>2248</v>
      </c>
      <c r="Z3574" s="47" t="s">
        <v>4585</v>
      </c>
      <c r="AA3574" s="48">
        <v>2.8516129032258068E-4</v>
      </c>
      <c r="AB3574" s="13"/>
      <c r="AC3574" s="47">
        <v>3570</v>
      </c>
      <c r="AD3574" s="47" t="s">
        <v>4573</v>
      </c>
      <c r="AE3574" s="47" t="s">
        <v>2252</v>
      </c>
      <c r="AF3574" s="56">
        <v>0</v>
      </c>
    </row>
    <row r="3575" spans="19:32" x14ac:dyDescent="0.35">
      <c r="S3575" s="30">
        <v>3571</v>
      </c>
      <c r="T3575" s="30" t="s">
        <v>4284</v>
      </c>
      <c r="U3575" s="30" t="s">
        <v>4584</v>
      </c>
      <c r="V3575" s="31">
        <v>60.900000000000006</v>
      </c>
      <c r="W3575" s="13"/>
      <c r="X3575" s="34">
        <v>3571</v>
      </c>
      <c r="Y3575" s="34" t="s">
        <v>2248</v>
      </c>
      <c r="Z3575" s="34" t="s">
        <v>2687</v>
      </c>
      <c r="AA3575" s="35">
        <v>4.4213709677419358E-7</v>
      </c>
      <c r="AB3575" s="13"/>
      <c r="AC3575" s="34">
        <v>3571</v>
      </c>
      <c r="AD3575" s="34" t="s">
        <v>4573</v>
      </c>
      <c r="AE3575" s="34" t="s">
        <v>2251</v>
      </c>
      <c r="AF3575" s="35">
        <v>4.558467741935484</v>
      </c>
    </row>
    <row r="3576" spans="19:32" x14ac:dyDescent="0.35">
      <c r="S3576" s="30">
        <v>3572</v>
      </c>
      <c r="T3576" s="30" t="s">
        <v>4284</v>
      </c>
      <c r="U3576" s="30" t="s">
        <v>4583</v>
      </c>
      <c r="V3576" s="31">
        <v>7.0760000000000005</v>
      </c>
      <c r="W3576" s="13"/>
      <c r="X3576" s="47">
        <v>3572</v>
      </c>
      <c r="Y3576" s="47" t="s">
        <v>2248</v>
      </c>
      <c r="Z3576" s="47" t="s">
        <v>4582</v>
      </c>
      <c r="AA3576" s="48">
        <v>1.8919354838709681E-5</v>
      </c>
      <c r="AB3576" s="13"/>
      <c r="AC3576" s="47">
        <v>3572</v>
      </c>
      <c r="AD3576" s="47" t="s">
        <v>4573</v>
      </c>
      <c r="AE3576" s="47" t="s">
        <v>2251</v>
      </c>
      <c r="AF3576" s="56">
        <v>0</v>
      </c>
    </row>
    <row r="3577" spans="19:32" x14ac:dyDescent="0.35">
      <c r="S3577" s="30">
        <v>3573</v>
      </c>
      <c r="T3577" s="30" t="s">
        <v>4284</v>
      </c>
      <c r="U3577" s="30" t="s">
        <v>4581</v>
      </c>
      <c r="V3577" s="31">
        <v>2.6680000000000001</v>
      </c>
      <c r="W3577" s="13"/>
      <c r="X3577" s="47">
        <v>3573</v>
      </c>
      <c r="Y3577" s="47" t="s">
        <v>2248</v>
      </c>
      <c r="Z3577" s="47" t="s">
        <v>2684</v>
      </c>
      <c r="AA3577" s="56">
        <v>0</v>
      </c>
      <c r="AB3577" s="13"/>
      <c r="AC3577" s="34">
        <v>3573</v>
      </c>
      <c r="AD3577" s="34" t="s">
        <v>4573</v>
      </c>
      <c r="AE3577" s="34" t="s">
        <v>3555</v>
      </c>
      <c r="AF3577" s="35">
        <v>49.697580645161295</v>
      </c>
    </row>
    <row r="3578" spans="19:32" x14ac:dyDescent="0.35">
      <c r="S3578" s="34">
        <v>3574</v>
      </c>
      <c r="T3578" s="34" t="s">
        <v>4284</v>
      </c>
      <c r="U3578" s="34" t="s">
        <v>4173</v>
      </c>
      <c r="V3578" s="35">
        <v>2.9235887096774195E-6</v>
      </c>
      <c r="W3578" s="13"/>
      <c r="X3578" s="34">
        <v>3574</v>
      </c>
      <c r="Y3578" s="34" t="s">
        <v>2248</v>
      </c>
      <c r="Z3578" s="34" t="s">
        <v>2684</v>
      </c>
      <c r="AA3578" s="35">
        <v>1.6725806451612904E-3</v>
      </c>
      <c r="AB3578" s="13"/>
      <c r="AC3578" s="34">
        <v>3574</v>
      </c>
      <c r="AD3578" s="34" t="s">
        <v>4573</v>
      </c>
      <c r="AE3578" s="34" t="s">
        <v>3553</v>
      </c>
      <c r="AF3578" s="35">
        <v>1.6211693548387096E-3</v>
      </c>
    </row>
    <row r="3579" spans="19:32" x14ac:dyDescent="0.35">
      <c r="S3579" s="30">
        <v>3575</v>
      </c>
      <c r="T3579" s="30" t="s">
        <v>4284</v>
      </c>
      <c r="U3579" s="30" t="s">
        <v>4580</v>
      </c>
      <c r="V3579" s="31">
        <v>16.704000000000001</v>
      </c>
      <c r="W3579" s="13"/>
      <c r="X3579" s="34">
        <v>3575</v>
      </c>
      <c r="Y3579" s="34" t="s">
        <v>2248</v>
      </c>
      <c r="Z3579" s="34" t="s">
        <v>2681</v>
      </c>
      <c r="AA3579" s="35">
        <v>1.3504032258064517E-4</v>
      </c>
      <c r="AB3579" s="13"/>
      <c r="AC3579" s="34">
        <v>3575</v>
      </c>
      <c r="AD3579" s="34" t="s">
        <v>4573</v>
      </c>
      <c r="AE3579" s="34" t="s">
        <v>3550</v>
      </c>
      <c r="AF3579" s="35">
        <v>1.5663306451612905E-2</v>
      </c>
    </row>
    <row r="3580" spans="19:32" x14ac:dyDescent="0.35">
      <c r="S3580" s="36">
        <v>3576</v>
      </c>
      <c r="T3580" s="36" t="s">
        <v>4284</v>
      </c>
      <c r="U3580" s="36" t="s">
        <v>4579</v>
      </c>
      <c r="V3580" s="37">
        <v>1.5621999999999998</v>
      </c>
      <c r="W3580" s="13"/>
      <c r="X3580" s="47">
        <v>3576</v>
      </c>
      <c r="Y3580" s="47" t="s">
        <v>2248</v>
      </c>
      <c r="Z3580" s="47" t="s">
        <v>3286</v>
      </c>
      <c r="AA3580" s="48">
        <v>1.0008064516129032E-4</v>
      </c>
      <c r="AB3580" s="13"/>
      <c r="AC3580" s="34">
        <v>3576</v>
      </c>
      <c r="AD3580" s="34" t="s">
        <v>4573</v>
      </c>
      <c r="AE3580" s="34" t="s">
        <v>3548</v>
      </c>
      <c r="AF3580" s="35">
        <v>2.2518145161290327E-3</v>
      </c>
    </row>
    <row r="3581" spans="19:32" x14ac:dyDescent="0.35">
      <c r="S3581" s="34">
        <v>3577</v>
      </c>
      <c r="T3581" s="34" t="s">
        <v>4284</v>
      </c>
      <c r="U3581" s="34" t="s">
        <v>4171</v>
      </c>
      <c r="V3581" s="35">
        <v>9.6995967741935477E-7</v>
      </c>
      <c r="W3581" s="13"/>
      <c r="X3581" s="34">
        <v>3577</v>
      </c>
      <c r="Y3581" s="34" t="s">
        <v>2248</v>
      </c>
      <c r="Z3581" s="34" t="s">
        <v>2679</v>
      </c>
      <c r="AA3581" s="35">
        <v>1.5903225806451614E-3</v>
      </c>
      <c r="AB3581" s="13"/>
      <c r="AC3581" s="34">
        <v>3577</v>
      </c>
      <c r="AD3581" s="34" t="s">
        <v>4573</v>
      </c>
      <c r="AE3581" s="34" t="s">
        <v>2249</v>
      </c>
      <c r="AF3581" s="35">
        <v>2.2758064516129033</v>
      </c>
    </row>
    <row r="3582" spans="19:32" x14ac:dyDescent="0.35">
      <c r="S3582" s="34">
        <v>3578</v>
      </c>
      <c r="T3582" s="34" t="s">
        <v>4284</v>
      </c>
      <c r="U3582" s="34" t="s">
        <v>4170</v>
      </c>
      <c r="V3582" s="35">
        <v>5.7237903225806452E-5</v>
      </c>
      <c r="W3582" s="13"/>
      <c r="X3582" s="34">
        <v>3578</v>
      </c>
      <c r="Y3582" s="34" t="s">
        <v>2248</v>
      </c>
      <c r="Z3582" s="34" t="s">
        <v>2677</v>
      </c>
      <c r="AA3582" s="35">
        <v>2.2997983870967745E-2</v>
      </c>
      <c r="AB3582" s="13"/>
      <c r="AC3582" s="47">
        <v>3578</v>
      </c>
      <c r="AD3582" s="47" t="s">
        <v>4573</v>
      </c>
      <c r="AE3582" s="47" t="s">
        <v>2249</v>
      </c>
      <c r="AF3582" s="56">
        <v>0.33028000000000002</v>
      </c>
    </row>
    <row r="3583" spans="19:32" x14ac:dyDescent="0.35">
      <c r="S3583" s="34">
        <v>3579</v>
      </c>
      <c r="T3583" s="34" t="s">
        <v>4284</v>
      </c>
      <c r="U3583" s="34" t="s">
        <v>2513</v>
      </c>
      <c r="V3583" s="35">
        <v>9.3911290322580656E-6</v>
      </c>
      <c r="W3583" s="13"/>
      <c r="X3583" s="34">
        <v>3579</v>
      </c>
      <c r="Y3583" s="34" t="s">
        <v>2248</v>
      </c>
      <c r="Z3583" s="34" t="s">
        <v>2674</v>
      </c>
      <c r="AA3583" s="35">
        <v>5.2096774193548392E-5</v>
      </c>
      <c r="AB3583" s="13"/>
      <c r="AC3583" s="34">
        <v>3579</v>
      </c>
      <c r="AD3583" s="34" t="s">
        <v>4573</v>
      </c>
      <c r="AE3583" s="34" t="s">
        <v>2247</v>
      </c>
      <c r="AF3583" s="35">
        <v>11.173387096774194</v>
      </c>
    </row>
    <row r="3584" spans="19:32" x14ac:dyDescent="0.35">
      <c r="S3584" s="47">
        <v>3580</v>
      </c>
      <c r="T3584" s="47" t="s">
        <v>4284</v>
      </c>
      <c r="U3584" s="47" t="s">
        <v>2513</v>
      </c>
      <c r="V3584" s="56">
        <v>0</v>
      </c>
      <c r="W3584" s="13"/>
      <c r="X3584" s="34">
        <v>3580</v>
      </c>
      <c r="Y3584" s="34" t="s">
        <v>2248</v>
      </c>
      <c r="Z3584" s="34" t="s">
        <v>3285</v>
      </c>
      <c r="AA3584" s="35">
        <v>1.8850806451612906E-4</v>
      </c>
      <c r="AB3584" s="13"/>
      <c r="AC3584" s="47">
        <v>3580</v>
      </c>
      <c r="AD3584" s="47" t="s">
        <v>4573</v>
      </c>
      <c r="AE3584" s="47" t="s">
        <v>2247</v>
      </c>
      <c r="AF3584" s="56">
        <v>2.1160000000000001</v>
      </c>
    </row>
    <row r="3585" spans="19:32" x14ac:dyDescent="0.35">
      <c r="S3585" s="30">
        <v>3581</v>
      </c>
      <c r="T3585" s="30" t="s">
        <v>4284</v>
      </c>
      <c r="U3585" s="30" t="s">
        <v>4578</v>
      </c>
      <c r="V3585" s="31">
        <v>14.732000000000001</v>
      </c>
      <c r="W3585" s="13"/>
      <c r="X3585" s="34">
        <v>3581</v>
      </c>
      <c r="Y3585" s="34" t="s">
        <v>2248</v>
      </c>
      <c r="Z3585" s="34" t="s">
        <v>2671</v>
      </c>
      <c r="AA3585" s="35">
        <v>3.0161290322580652E-4</v>
      </c>
      <c r="AB3585" s="13"/>
      <c r="AC3585" s="34">
        <v>3581</v>
      </c>
      <c r="AD3585" s="34" t="s">
        <v>4573</v>
      </c>
      <c r="AE3585" s="34" t="s">
        <v>4286</v>
      </c>
      <c r="AF3585" s="35">
        <v>2.7282258064516132E-2</v>
      </c>
    </row>
    <row r="3586" spans="19:32" x14ac:dyDescent="0.35">
      <c r="S3586" s="30">
        <v>3582</v>
      </c>
      <c r="T3586" s="30" t="s">
        <v>4284</v>
      </c>
      <c r="U3586" s="30" t="s">
        <v>4577</v>
      </c>
      <c r="V3586" s="31">
        <v>1032.4000000000001</v>
      </c>
      <c r="W3586" s="13"/>
      <c r="X3586" s="34">
        <v>3582</v>
      </c>
      <c r="Y3586" s="34" t="s">
        <v>2248</v>
      </c>
      <c r="Z3586" s="34" t="s">
        <v>2670</v>
      </c>
      <c r="AA3586" s="35">
        <v>1.1550403225806453E-5</v>
      </c>
      <c r="AB3586" s="13"/>
      <c r="AC3586" s="88">
        <v>3582</v>
      </c>
      <c r="AD3586" s="88" t="s">
        <v>4573</v>
      </c>
      <c r="AE3586" s="88" t="s">
        <v>4285</v>
      </c>
      <c r="AF3586" s="89">
        <v>2.268951612903226E-3</v>
      </c>
    </row>
    <row r="3587" spans="19:32" x14ac:dyDescent="0.35">
      <c r="S3587" s="30">
        <v>3583</v>
      </c>
      <c r="T3587" s="30" t="s">
        <v>4284</v>
      </c>
      <c r="U3587" s="30" t="s">
        <v>4576</v>
      </c>
      <c r="V3587" s="31">
        <v>1067.2</v>
      </c>
      <c r="W3587" s="13"/>
      <c r="X3587" s="47">
        <v>3583</v>
      </c>
      <c r="Y3587" s="47" t="s">
        <v>2248</v>
      </c>
      <c r="Z3587" s="47" t="s">
        <v>4575</v>
      </c>
      <c r="AA3587" s="48">
        <v>5.7237903225806457E-3</v>
      </c>
      <c r="AB3587" s="13"/>
      <c r="AC3587" s="97">
        <v>3583</v>
      </c>
      <c r="AD3587" s="97" t="s">
        <v>4284</v>
      </c>
      <c r="AE3587" s="97" t="s">
        <v>5857</v>
      </c>
      <c r="AF3587" s="99">
        <v>32660000</v>
      </c>
    </row>
    <row r="3588" spans="19:32" x14ac:dyDescent="0.35">
      <c r="S3588" s="30">
        <v>3584</v>
      </c>
      <c r="T3588" s="30" t="s">
        <v>4284</v>
      </c>
      <c r="U3588" s="30" t="s">
        <v>4574</v>
      </c>
      <c r="V3588" s="31">
        <v>61.480000000000004</v>
      </c>
      <c r="W3588" s="13"/>
      <c r="X3588" s="34">
        <v>3584</v>
      </c>
      <c r="Y3588" s="34" t="s">
        <v>2248</v>
      </c>
      <c r="Z3588" s="34" t="s">
        <v>2668</v>
      </c>
      <c r="AA3588" s="35">
        <v>7.0947580645161289E-5</v>
      </c>
      <c r="AB3588" s="13"/>
      <c r="AC3588" s="13"/>
    </row>
    <row r="3589" spans="19:32" x14ac:dyDescent="0.35">
      <c r="S3589" s="34">
        <v>3585</v>
      </c>
      <c r="T3589" s="34" t="s">
        <v>4284</v>
      </c>
      <c r="U3589" s="34" t="s">
        <v>4168</v>
      </c>
      <c r="V3589" s="35">
        <v>1.5766129032258064E-4</v>
      </c>
      <c r="W3589" s="13"/>
      <c r="X3589" s="34">
        <v>3585</v>
      </c>
      <c r="Y3589" s="34" t="s">
        <v>2248</v>
      </c>
      <c r="Z3589" s="34" t="s">
        <v>2666</v>
      </c>
      <c r="AA3589" s="35">
        <v>1.7788306451612906E-4</v>
      </c>
      <c r="AB3589" s="13"/>
      <c r="AC3589" s="13"/>
    </row>
    <row r="3590" spans="19:32" x14ac:dyDescent="0.35">
      <c r="S3590" s="34">
        <v>3586</v>
      </c>
      <c r="T3590" s="34" t="s">
        <v>4284</v>
      </c>
      <c r="U3590" s="34" t="s">
        <v>4166</v>
      </c>
      <c r="V3590" s="35">
        <v>4.4899193548387102E-4</v>
      </c>
      <c r="W3590" s="13"/>
      <c r="X3590" s="34">
        <v>3586</v>
      </c>
      <c r="Y3590" s="34" t="s">
        <v>2248</v>
      </c>
      <c r="Z3590" s="34" t="s">
        <v>3283</v>
      </c>
      <c r="AA3590" s="35">
        <v>1.3709677419354839E-2</v>
      </c>
      <c r="AB3590" s="13"/>
      <c r="AC3590" s="13"/>
      <c r="AD3590" s="13"/>
      <c r="AE3590" s="13"/>
      <c r="AF3590" s="13"/>
    </row>
    <row r="3591" spans="19:32" x14ac:dyDescent="0.35">
      <c r="S3591" s="34">
        <v>3587</v>
      </c>
      <c r="T3591" s="34" t="s">
        <v>4284</v>
      </c>
      <c r="U3591" s="34" t="s">
        <v>4165</v>
      </c>
      <c r="V3591" s="35">
        <v>1.2235887096774194E-2</v>
      </c>
      <c r="W3591" s="13"/>
      <c r="X3591" s="34">
        <v>3587</v>
      </c>
      <c r="Y3591" s="34" t="s">
        <v>2248</v>
      </c>
      <c r="Z3591" s="34" t="s">
        <v>2664</v>
      </c>
      <c r="AA3591" s="35">
        <v>5.175403225806452E-3</v>
      </c>
      <c r="AB3591" s="13"/>
      <c r="AC3591" s="13"/>
      <c r="AD3591" s="13"/>
      <c r="AE3591" s="13"/>
      <c r="AF3591" s="13"/>
    </row>
    <row r="3592" spans="19:32" x14ac:dyDescent="0.35">
      <c r="S3592" s="34">
        <v>3588</v>
      </c>
      <c r="T3592" s="34" t="s">
        <v>4284</v>
      </c>
      <c r="U3592" s="34" t="s">
        <v>4164</v>
      </c>
      <c r="V3592" s="35">
        <v>1.5183467741935485E-4</v>
      </c>
      <c r="W3592" s="13"/>
      <c r="X3592" s="34">
        <v>3588</v>
      </c>
      <c r="Y3592" s="34" t="s">
        <v>2248</v>
      </c>
      <c r="Z3592" s="34" t="s">
        <v>2661</v>
      </c>
      <c r="AA3592" s="35">
        <v>1.7514112903225808E-2</v>
      </c>
      <c r="AB3592" s="13"/>
      <c r="AC3592" s="13"/>
      <c r="AD3592" s="13"/>
      <c r="AE3592" s="13"/>
      <c r="AF3592" s="13"/>
    </row>
    <row r="3593" spans="19:32" x14ac:dyDescent="0.35">
      <c r="S3593" s="34">
        <v>3589</v>
      </c>
      <c r="T3593" s="34" t="s">
        <v>4284</v>
      </c>
      <c r="U3593" s="34" t="s">
        <v>4162</v>
      </c>
      <c r="V3593" s="35">
        <v>1.1173387096774195E-3</v>
      </c>
      <c r="W3593" s="13"/>
      <c r="X3593" s="34">
        <v>3589</v>
      </c>
      <c r="Y3593" s="34" t="s">
        <v>2248</v>
      </c>
      <c r="Z3593" s="34" t="s">
        <v>2658</v>
      </c>
      <c r="AA3593" s="35">
        <v>3.3108870967741937E-4</v>
      </c>
      <c r="AB3593" s="13"/>
      <c r="AC3593" s="13"/>
      <c r="AD3593" s="13"/>
      <c r="AE3593" s="13"/>
      <c r="AF3593" s="13"/>
    </row>
    <row r="3594" spans="19:32" x14ac:dyDescent="0.35">
      <c r="S3594" s="34">
        <v>3590</v>
      </c>
      <c r="T3594" s="34" t="s">
        <v>4284</v>
      </c>
      <c r="U3594" s="34" t="s">
        <v>4161</v>
      </c>
      <c r="V3594" s="35">
        <v>0.42500000000000004</v>
      </c>
      <c r="W3594" s="13"/>
      <c r="X3594" s="47">
        <v>3590</v>
      </c>
      <c r="Y3594" s="47" t="s">
        <v>2248</v>
      </c>
      <c r="Z3594" s="47" t="s">
        <v>3282</v>
      </c>
      <c r="AA3594" s="48">
        <v>3.1977822580645161E-3</v>
      </c>
      <c r="AB3594" s="13"/>
      <c r="AC3594" s="13"/>
      <c r="AD3594" s="13"/>
      <c r="AE3594" s="13"/>
      <c r="AF3594" s="13"/>
    </row>
    <row r="3595" spans="19:32" x14ac:dyDescent="0.35">
      <c r="S3595" s="34">
        <v>3591</v>
      </c>
      <c r="T3595" s="34" t="s">
        <v>4284</v>
      </c>
      <c r="U3595" s="34" t="s">
        <v>4159</v>
      </c>
      <c r="V3595" s="35">
        <v>1.9570564516129034E-4</v>
      </c>
      <c r="W3595" s="13"/>
      <c r="X3595" s="34">
        <v>3591</v>
      </c>
      <c r="Y3595" s="34" t="s">
        <v>2248</v>
      </c>
      <c r="Z3595" s="34" t="s">
        <v>2656</v>
      </c>
      <c r="AA3595" s="35">
        <v>1.6211693548387098E-6</v>
      </c>
      <c r="AB3595" s="13"/>
      <c r="AC3595" s="13"/>
      <c r="AD3595" s="13"/>
      <c r="AE3595" s="13"/>
      <c r="AF3595" s="13"/>
    </row>
    <row r="3596" spans="19:32" x14ac:dyDescent="0.35">
      <c r="S3596" s="34">
        <v>3592</v>
      </c>
      <c r="T3596" s="34" t="s">
        <v>4284</v>
      </c>
      <c r="U3596" s="34" t="s">
        <v>4158</v>
      </c>
      <c r="V3596" s="35">
        <v>5.106854838709678E-4</v>
      </c>
      <c r="W3596" s="13"/>
      <c r="X3596" s="47">
        <v>3592</v>
      </c>
      <c r="Y3596" s="47" t="s">
        <v>2248</v>
      </c>
      <c r="Z3596" s="47" t="s">
        <v>2754</v>
      </c>
      <c r="AA3596" s="56">
        <v>6.9184000000000001</v>
      </c>
      <c r="AB3596" s="13"/>
      <c r="AC3596" s="13"/>
      <c r="AD3596" s="13"/>
      <c r="AE3596" s="13"/>
      <c r="AF3596" s="13"/>
    </row>
    <row r="3597" spans="19:32" x14ac:dyDescent="0.35">
      <c r="S3597" s="34">
        <v>3593</v>
      </c>
      <c r="T3597" s="34" t="s">
        <v>4284</v>
      </c>
      <c r="U3597" s="34" t="s">
        <v>4156</v>
      </c>
      <c r="V3597" s="35">
        <v>6.1008064516129041E-5</v>
      </c>
      <c r="W3597" s="13"/>
      <c r="X3597" s="34">
        <v>3593</v>
      </c>
      <c r="Y3597" s="34" t="s">
        <v>2248</v>
      </c>
      <c r="Z3597" s="34" t="s">
        <v>4572</v>
      </c>
      <c r="AA3597" s="35">
        <v>6.4778225806451611E-4</v>
      </c>
      <c r="AB3597" s="13"/>
      <c r="AC3597" s="13"/>
      <c r="AD3597" s="13"/>
      <c r="AE3597" s="13"/>
      <c r="AF3597" s="13"/>
    </row>
    <row r="3598" spans="19:32" x14ac:dyDescent="0.35">
      <c r="S3598" s="34">
        <v>3594</v>
      </c>
      <c r="T3598" s="34" t="s">
        <v>4284</v>
      </c>
      <c r="U3598" s="34" t="s">
        <v>4155</v>
      </c>
      <c r="V3598" s="35">
        <v>4.4213709677419361E-14</v>
      </c>
      <c r="W3598" s="13"/>
      <c r="X3598" s="47">
        <v>3594</v>
      </c>
      <c r="Y3598" s="47" t="s">
        <v>2248</v>
      </c>
      <c r="Z3598" s="47" t="s">
        <v>2653</v>
      </c>
      <c r="AA3598" s="56">
        <v>56.396000000000001</v>
      </c>
      <c r="AB3598" s="13"/>
      <c r="AC3598" s="13"/>
      <c r="AD3598" s="13"/>
      <c r="AE3598" s="13"/>
      <c r="AF3598" s="13"/>
    </row>
    <row r="3599" spans="19:32" x14ac:dyDescent="0.35">
      <c r="S3599" s="34">
        <v>3595</v>
      </c>
      <c r="T3599" s="34" t="s">
        <v>4284</v>
      </c>
      <c r="U3599" s="34" t="s">
        <v>4154</v>
      </c>
      <c r="V3599" s="35">
        <v>5.381048387096775E-5</v>
      </c>
      <c r="W3599" s="13"/>
      <c r="X3599" s="34">
        <v>3595</v>
      </c>
      <c r="Y3599" s="34" t="s">
        <v>2248</v>
      </c>
      <c r="Z3599" s="34" t="s">
        <v>2653</v>
      </c>
      <c r="AA3599" s="35">
        <v>5.278225806451613</v>
      </c>
      <c r="AB3599" s="13"/>
      <c r="AC3599" s="13"/>
      <c r="AD3599" s="13"/>
      <c r="AE3599" s="13"/>
      <c r="AF3599" s="13"/>
    </row>
    <row r="3600" spans="19:32" x14ac:dyDescent="0.35">
      <c r="S3600" s="30">
        <v>3596</v>
      </c>
      <c r="T3600" s="30" t="s">
        <v>4284</v>
      </c>
      <c r="U3600" s="30" t="s">
        <v>4571</v>
      </c>
      <c r="V3600" s="31">
        <v>1.508</v>
      </c>
      <c r="W3600" s="13"/>
      <c r="X3600" s="47">
        <v>3596</v>
      </c>
      <c r="Y3600" s="47" t="s">
        <v>2248</v>
      </c>
      <c r="Z3600" s="47" t="s">
        <v>4570</v>
      </c>
      <c r="AA3600" s="48">
        <v>4.0100806451612908E-3</v>
      </c>
      <c r="AB3600" s="13"/>
      <c r="AC3600" s="13"/>
      <c r="AD3600" s="13"/>
      <c r="AE3600" s="13"/>
      <c r="AF3600" s="13"/>
    </row>
    <row r="3601" spans="19:32" x14ac:dyDescent="0.35">
      <c r="S3601" s="30">
        <v>3597</v>
      </c>
      <c r="T3601" s="30" t="s">
        <v>4284</v>
      </c>
      <c r="U3601" s="30" t="s">
        <v>4569</v>
      </c>
      <c r="V3601" s="31">
        <v>4.5240000000000002E-2</v>
      </c>
      <c r="W3601" s="13"/>
      <c r="X3601" s="34">
        <v>3597</v>
      </c>
      <c r="Y3601" s="34" t="s">
        <v>2248</v>
      </c>
      <c r="Z3601" s="34" t="s">
        <v>2650</v>
      </c>
      <c r="AA3601" s="35">
        <v>0.2080443548387097</v>
      </c>
      <c r="AB3601" s="13"/>
      <c r="AC3601" s="13"/>
      <c r="AD3601" s="13"/>
      <c r="AE3601" s="13"/>
      <c r="AF3601" s="13"/>
    </row>
    <row r="3602" spans="19:32" x14ac:dyDescent="0.35">
      <c r="S3602" s="30">
        <v>3598</v>
      </c>
      <c r="T3602" s="30" t="s">
        <v>4284</v>
      </c>
      <c r="U3602" s="30" t="s">
        <v>4568</v>
      </c>
      <c r="V3602" s="31">
        <v>2.2040000000000002</v>
      </c>
      <c r="W3602" s="13"/>
      <c r="X3602" s="47">
        <v>3598</v>
      </c>
      <c r="Y3602" s="47" t="s">
        <v>2248</v>
      </c>
      <c r="Z3602" s="47" t="s">
        <v>2648</v>
      </c>
      <c r="AA3602" s="56">
        <v>0</v>
      </c>
      <c r="AB3602" s="13"/>
      <c r="AC3602" s="13"/>
      <c r="AD3602" s="13"/>
      <c r="AE3602" s="13"/>
      <c r="AF3602" s="13"/>
    </row>
    <row r="3603" spans="19:32" x14ac:dyDescent="0.35">
      <c r="S3603" s="34">
        <v>3599</v>
      </c>
      <c r="T3603" s="34" t="s">
        <v>4284</v>
      </c>
      <c r="U3603" s="34" t="s">
        <v>4152</v>
      </c>
      <c r="V3603" s="35">
        <v>1.3572580645161293E-3</v>
      </c>
      <c r="W3603" s="13"/>
      <c r="X3603" s="34">
        <v>3599</v>
      </c>
      <c r="Y3603" s="34" t="s">
        <v>2248</v>
      </c>
      <c r="Z3603" s="34" t="s">
        <v>2648</v>
      </c>
      <c r="AA3603" s="35">
        <v>2.244959677419355</v>
      </c>
      <c r="AB3603" s="13"/>
      <c r="AC3603" s="13"/>
      <c r="AD3603" s="13"/>
      <c r="AE3603" s="13"/>
      <c r="AF3603" s="13"/>
    </row>
    <row r="3604" spans="19:32" x14ac:dyDescent="0.35">
      <c r="S3604" s="34">
        <v>3600</v>
      </c>
      <c r="T3604" s="34" t="s">
        <v>4284</v>
      </c>
      <c r="U3604" s="34" t="s">
        <v>4150</v>
      </c>
      <c r="V3604" s="35">
        <v>0.15389112903225807</v>
      </c>
      <c r="W3604" s="13"/>
      <c r="X3604" s="47">
        <v>3600</v>
      </c>
      <c r="Y3604" s="47" t="s">
        <v>2248</v>
      </c>
      <c r="Z3604" s="47" t="s">
        <v>4567</v>
      </c>
      <c r="AA3604" s="48">
        <v>8.191532258064517E-2</v>
      </c>
      <c r="AB3604" s="13"/>
      <c r="AC3604" s="13"/>
      <c r="AD3604" s="13"/>
      <c r="AE3604" s="13"/>
      <c r="AF3604" s="13"/>
    </row>
    <row r="3605" spans="19:32" x14ac:dyDescent="0.35">
      <c r="S3605" s="34">
        <v>3601</v>
      </c>
      <c r="T3605" s="34" t="s">
        <v>4284</v>
      </c>
      <c r="U3605" s="34" t="s">
        <v>4149</v>
      </c>
      <c r="V3605" s="35">
        <v>3.4616935483870973E-2</v>
      </c>
      <c r="W3605" s="13"/>
      <c r="X3605" s="34">
        <v>3601</v>
      </c>
      <c r="Y3605" s="34" t="s">
        <v>2248</v>
      </c>
      <c r="Z3605" s="34" t="s">
        <v>2646</v>
      </c>
      <c r="AA3605" s="35">
        <v>2.210685483870968E-3</v>
      </c>
      <c r="AB3605" s="13"/>
      <c r="AC3605" s="13"/>
      <c r="AD3605" s="13"/>
      <c r="AE3605" s="13"/>
      <c r="AF3605" s="13"/>
    </row>
    <row r="3606" spans="19:32" x14ac:dyDescent="0.35">
      <c r="S3606" s="34">
        <v>3602</v>
      </c>
      <c r="T3606" s="34" t="s">
        <v>4284</v>
      </c>
      <c r="U3606" s="34" t="s">
        <v>4148</v>
      </c>
      <c r="V3606" s="35">
        <v>6.1350806451612909E-3</v>
      </c>
      <c r="W3606" s="13"/>
      <c r="X3606" s="47">
        <v>3602</v>
      </c>
      <c r="Y3606" s="47" t="s">
        <v>2248</v>
      </c>
      <c r="Z3606" s="47" t="s">
        <v>2644</v>
      </c>
      <c r="AA3606" s="56">
        <v>0</v>
      </c>
      <c r="AB3606" s="13"/>
      <c r="AC3606" s="13"/>
      <c r="AD3606" s="13"/>
      <c r="AE3606" s="13"/>
      <c r="AF3606" s="13"/>
    </row>
    <row r="3607" spans="19:32" x14ac:dyDescent="0.35">
      <c r="S3607" s="34">
        <v>3603</v>
      </c>
      <c r="T3607" s="34" t="s">
        <v>4284</v>
      </c>
      <c r="U3607" s="34" t="s">
        <v>2512</v>
      </c>
      <c r="V3607" s="35">
        <v>0.26905241935483876</v>
      </c>
      <c r="W3607" s="13"/>
      <c r="X3607" s="47">
        <v>3603</v>
      </c>
      <c r="Y3607" s="47" t="s">
        <v>2248</v>
      </c>
      <c r="Z3607" s="47" t="s">
        <v>3280</v>
      </c>
      <c r="AA3607" s="48">
        <v>6.3407258064516138E-5</v>
      </c>
      <c r="AB3607" s="13"/>
      <c r="AC3607" s="13"/>
      <c r="AD3607" s="13"/>
      <c r="AE3607" s="13"/>
      <c r="AF3607" s="13"/>
    </row>
    <row r="3608" spans="19:32" x14ac:dyDescent="0.35">
      <c r="S3608" s="47">
        <v>3604</v>
      </c>
      <c r="T3608" s="47" t="s">
        <v>4284</v>
      </c>
      <c r="U3608" s="47" t="s">
        <v>2512</v>
      </c>
      <c r="V3608" s="56">
        <v>0</v>
      </c>
      <c r="W3608" s="13"/>
      <c r="X3608" s="34">
        <v>3604</v>
      </c>
      <c r="Y3608" s="34" t="s">
        <v>2248</v>
      </c>
      <c r="Z3608" s="34" t="s">
        <v>2644</v>
      </c>
      <c r="AA3608" s="35">
        <v>0.92883064516129044</v>
      </c>
      <c r="AB3608" s="13"/>
      <c r="AC3608" s="13"/>
      <c r="AD3608" s="13"/>
      <c r="AE3608" s="13"/>
      <c r="AF3608" s="13"/>
    </row>
    <row r="3609" spans="19:32" x14ac:dyDescent="0.35">
      <c r="S3609" s="36">
        <v>3605</v>
      </c>
      <c r="T3609" s="36" t="s">
        <v>4284</v>
      </c>
      <c r="U3609" s="36" t="s">
        <v>2510</v>
      </c>
      <c r="V3609" s="37">
        <v>10.164999999999999</v>
      </c>
      <c r="W3609" s="13"/>
      <c r="X3609" s="34">
        <v>3605</v>
      </c>
      <c r="Y3609" s="34" t="s">
        <v>2248</v>
      </c>
      <c r="Z3609" s="34" t="s">
        <v>2643</v>
      </c>
      <c r="AA3609" s="35">
        <v>1.1139112903225809E-5</v>
      </c>
      <c r="AB3609" s="13"/>
      <c r="AC3609" s="13"/>
      <c r="AD3609" s="13"/>
      <c r="AE3609" s="13"/>
      <c r="AF3609" s="13"/>
    </row>
    <row r="3610" spans="19:32" x14ac:dyDescent="0.35">
      <c r="S3610" s="47">
        <v>3606</v>
      </c>
      <c r="T3610" s="47" t="s">
        <v>4284</v>
      </c>
      <c r="U3610" s="47" t="s">
        <v>2510</v>
      </c>
      <c r="V3610" s="56">
        <v>0</v>
      </c>
      <c r="W3610" s="13"/>
      <c r="X3610" s="47">
        <v>3606</v>
      </c>
      <c r="Y3610" s="47" t="s">
        <v>2248</v>
      </c>
      <c r="Z3610" s="47" t="s">
        <v>3277</v>
      </c>
      <c r="AA3610" s="48">
        <v>2.5054435483870971E-2</v>
      </c>
      <c r="AB3610" s="13"/>
      <c r="AC3610" s="13"/>
      <c r="AD3610" s="13"/>
      <c r="AE3610" s="13"/>
      <c r="AF3610" s="13"/>
    </row>
    <row r="3611" spans="19:32" x14ac:dyDescent="0.35">
      <c r="S3611" s="34">
        <v>3607</v>
      </c>
      <c r="T3611" s="34" t="s">
        <v>4284</v>
      </c>
      <c r="U3611" s="34" t="s">
        <v>2509</v>
      </c>
      <c r="V3611" s="35">
        <v>1.1961693548387098E-5</v>
      </c>
      <c r="W3611" s="13"/>
      <c r="X3611" s="34">
        <v>3607</v>
      </c>
      <c r="Y3611" s="34" t="s">
        <v>2248</v>
      </c>
      <c r="Z3611" s="34" t="s">
        <v>2640</v>
      </c>
      <c r="AA3611" s="35">
        <v>7.7459677419354847E-2</v>
      </c>
      <c r="AB3611" s="13"/>
      <c r="AC3611" s="13"/>
      <c r="AD3611" s="13"/>
      <c r="AE3611" s="13"/>
      <c r="AF3611" s="13"/>
    </row>
    <row r="3612" spans="19:32" x14ac:dyDescent="0.35">
      <c r="S3612" s="47">
        <v>3608</v>
      </c>
      <c r="T3612" s="47" t="s">
        <v>4284</v>
      </c>
      <c r="U3612" s="47" t="s">
        <v>2509</v>
      </c>
      <c r="V3612" s="56">
        <v>0.48116000000000003</v>
      </c>
      <c r="W3612" s="13"/>
      <c r="X3612" s="47">
        <v>3608</v>
      </c>
      <c r="Y3612" s="47" t="s">
        <v>2248</v>
      </c>
      <c r="Z3612" s="47" t="s">
        <v>2639</v>
      </c>
      <c r="AA3612" s="56">
        <v>0</v>
      </c>
      <c r="AB3612" s="13"/>
      <c r="AC3612" s="13"/>
      <c r="AD3612" s="13"/>
      <c r="AE3612" s="13"/>
      <c r="AF3612" s="13"/>
    </row>
    <row r="3613" spans="19:32" x14ac:dyDescent="0.35">
      <c r="S3613" s="34">
        <v>3609</v>
      </c>
      <c r="T3613" s="34" t="s">
        <v>4284</v>
      </c>
      <c r="U3613" s="34" t="s">
        <v>4144</v>
      </c>
      <c r="V3613" s="35">
        <v>6.512096774193549E-6</v>
      </c>
      <c r="W3613" s="13"/>
      <c r="X3613" s="34">
        <v>3609</v>
      </c>
      <c r="Y3613" s="34" t="s">
        <v>2248</v>
      </c>
      <c r="Z3613" s="34" t="s">
        <v>2639</v>
      </c>
      <c r="AA3613" s="35">
        <v>4.524193548387097E-4</v>
      </c>
      <c r="AB3613" s="13"/>
      <c r="AC3613" s="13"/>
      <c r="AD3613" s="13"/>
      <c r="AE3613" s="13"/>
      <c r="AF3613" s="13"/>
    </row>
    <row r="3614" spans="19:32" x14ac:dyDescent="0.35">
      <c r="S3614" s="47">
        <v>3610</v>
      </c>
      <c r="T3614" s="47" t="s">
        <v>4284</v>
      </c>
      <c r="U3614" s="47" t="s">
        <v>2507</v>
      </c>
      <c r="V3614" s="56">
        <v>4.8208000000000002</v>
      </c>
      <c r="W3614" s="13"/>
      <c r="X3614" s="34">
        <v>3610</v>
      </c>
      <c r="Y3614" s="34" t="s">
        <v>2248</v>
      </c>
      <c r="Z3614" s="34" t="s">
        <v>3276</v>
      </c>
      <c r="AA3614" s="35">
        <v>3.3897177419354844E-4</v>
      </c>
      <c r="AB3614" s="13"/>
      <c r="AC3614" s="13"/>
      <c r="AD3614" s="13"/>
      <c r="AE3614" s="13"/>
      <c r="AF3614" s="13"/>
    </row>
    <row r="3615" spans="19:32" x14ac:dyDescent="0.35">
      <c r="S3615" s="47">
        <v>3611</v>
      </c>
      <c r="T3615" s="47" t="s">
        <v>4284</v>
      </c>
      <c r="U3615" s="47" t="s">
        <v>2506</v>
      </c>
      <c r="V3615" s="56">
        <v>1.5456000000000001</v>
      </c>
      <c r="W3615" s="13"/>
      <c r="X3615" s="47">
        <v>3611</v>
      </c>
      <c r="Y3615" s="47" t="s">
        <v>2248</v>
      </c>
      <c r="Z3615" s="47" t="s">
        <v>2750</v>
      </c>
      <c r="AA3615" s="56">
        <v>0.25484000000000001</v>
      </c>
      <c r="AB3615" s="13"/>
      <c r="AC3615" s="13"/>
      <c r="AD3615" s="13"/>
      <c r="AE3615" s="13"/>
      <c r="AF3615" s="13"/>
    </row>
    <row r="3616" spans="19:32" x14ac:dyDescent="0.35">
      <c r="S3616" s="34">
        <v>3612</v>
      </c>
      <c r="T3616" s="34" t="s">
        <v>4284</v>
      </c>
      <c r="U3616" s="34" t="s">
        <v>4142</v>
      </c>
      <c r="V3616" s="35">
        <v>3.1635080645161294E-7</v>
      </c>
      <c r="W3616" s="13"/>
      <c r="X3616" s="47">
        <v>3612</v>
      </c>
      <c r="Y3616" s="47" t="s">
        <v>2248</v>
      </c>
      <c r="Z3616" s="47" t="s">
        <v>2749</v>
      </c>
      <c r="AA3616" s="56">
        <v>5.0324</v>
      </c>
      <c r="AB3616" s="13"/>
      <c r="AC3616" s="13"/>
      <c r="AD3616" s="13"/>
      <c r="AE3616" s="13"/>
      <c r="AF3616" s="13"/>
    </row>
    <row r="3617" spans="19:32" x14ac:dyDescent="0.35">
      <c r="S3617" s="34">
        <v>3613</v>
      </c>
      <c r="T3617" s="34" t="s">
        <v>4284</v>
      </c>
      <c r="U3617" s="34" t="s">
        <v>2504</v>
      </c>
      <c r="V3617" s="35">
        <v>3.8729838709677421E-7</v>
      </c>
      <c r="W3617" s="13"/>
      <c r="X3617" s="47">
        <v>3613</v>
      </c>
      <c r="Y3617" s="47" t="s">
        <v>2248</v>
      </c>
      <c r="Z3617" s="47" t="s">
        <v>4566</v>
      </c>
      <c r="AA3617" s="48">
        <v>0.61350806451612905</v>
      </c>
      <c r="AB3617" s="13"/>
      <c r="AC3617" s="13"/>
      <c r="AD3617" s="13"/>
      <c r="AE3617" s="13"/>
      <c r="AF3617" s="13"/>
    </row>
    <row r="3618" spans="19:32" x14ac:dyDescent="0.35">
      <c r="S3618" s="47">
        <v>3614</v>
      </c>
      <c r="T3618" s="47" t="s">
        <v>4284</v>
      </c>
      <c r="U3618" s="47" t="s">
        <v>2504</v>
      </c>
      <c r="V3618" s="56">
        <v>2.0884E-2</v>
      </c>
      <c r="W3618" s="13"/>
      <c r="X3618" s="47">
        <v>3614</v>
      </c>
      <c r="Y3618" s="47" t="s">
        <v>2248</v>
      </c>
      <c r="Z3618" s="47" t="s">
        <v>2747</v>
      </c>
      <c r="AA3618" s="56">
        <v>4.1399999999999997</v>
      </c>
      <c r="AB3618" s="13"/>
      <c r="AC3618" s="13"/>
      <c r="AD3618" s="13"/>
      <c r="AE3618" s="13"/>
      <c r="AF3618" s="13"/>
    </row>
    <row r="3619" spans="19:32" x14ac:dyDescent="0.35">
      <c r="S3619" s="34">
        <v>3615</v>
      </c>
      <c r="T3619" s="34" t="s">
        <v>4284</v>
      </c>
      <c r="U3619" s="34" t="s">
        <v>4140</v>
      </c>
      <c r="V3619" s="35">
        <v>3.8387096774193552E-2</v>
      </c>
      <c r="W3619" s="13"/>
      <c r="X3619" s="47">
        <v>3615</v>
      </c>
      <c r="Y3619" s="47" t="s">
        <v>2248</v>
      </c>
      <c r="Z3619" s="47" t="s">
        <v>2746</v>
      </c>
      <c r="AA3619" s="56">
        <v>0.13156000000000001</v>
      </c>
      <c r="AB3619" s="13"/>
      <c r="AC3619" s="13"/>
      <c r="AD3619" s="13"/>
      <c r="AE3619" s="13"/>
      <c r="AF3619" s="13"/>
    </row>
    <row r="3620" spans="19:32" x14ac:dyDescent="0.35">
      <c r="S3620" s="34">
        <v>3616</v>
      </c>
      <c r="T3620" s="34" t="s">
        <v>4284</v>
      </c>
      <c r="U3620" s="34" t="s">
        <v>2502</v>
      </c>
      <c r="V3620" s="35">
        <v>4.4899193548387102E-4</v>
      </c>
      <c r="W3620" s="13"/>
      <c r="X3620" s="34">
        <v>3616</v>
      </c>
      <c r="Y3620" s="34" t="s">
        <v>2248</v>
      </c>
      <c r="Z3620" s="34" t="s">
        <v>4565</v>
      </c>
      <c r="AA3620" s="35">
        <v>1.4395161290322582E-3</v>
      </c>
      <c r="AB3620" s="13"/>
      <c r="AC3620" s="13"/>
      <c r="AD3620" s="13"/>
      <c r="AE3620" s="13"/>
      <c r="AF3620" s="13"/>
    </row>
    <row r="3621" spans="19:32" x14ac:dyDescent="0.35">
      <c r="S3621" s="47">
        <v>3617</v>
      </c>
      <c r="T3621" s="47" t="s">
        <v>4284</v>
      </c>
      <c r="U3621" s="47" t="s">
        <v>2502</v>
      </c>
      <c r="V3621" s="56">
        <v>0</v>
      </c>
      <c r="W3621" s="13"/>
      <c r="X3621" s="34">
        <v>3617</v>
      </c>
      <c r="Y3621" s="34" t="s">
        <v>2248</v>
      </c>
      <c r="Z3621" s="34" t="s">
        <v>2637</v>
      </c>
      <c r="AA3621" s="35">
        <v>2.1421370967741937E-2</v>
      </c>
      <c r="AB3621" s="13"/>
      <c r="AC3621" s="13"/>
      <c r="AD3621" s="13"/>
      <c r="AE3621" s="13"/>
      <c r="AF3621" s="13"/>
    </row>
    <row r="3622" spans="19:32" x14ac:dyDescent="0.35">
      <c r="S3622" s="34">
        <v>3618</v>
      </c>
      <c r="T3622" s="34" t="s">
        <v>4284</v>
      </c>
      <c r="U3622" s="34" t="s">
        <v>4138</v>
      </c>
      <c r="V3622" s="35">
        <v>1.6211693548387099E-2</v>
      </c>
      <c r="W3622" s="13"/>
      <c r="X3622" s="34">
        <v>3618</v>
      </c>
      <c r="Y3622" s="34" t="s">
        <v>2248</v>
      </c>
      <c r="Z3622" s="34" t="s">
        <v>2635</v>
      </c>
      <c r="AA3622" s="35">
        <v>1.5491935483870969E-3</v>
      </c>
      <c r="AB3622" s="13"/>
      <c r="AC3622" s="13"/>
      <c r="AD3622" s="13"/>
      <c r="AE3622" s="13"/>
      <c r="AF3622" s="13"/>
    </row>
    <row r="3623" spans="19:32" x14ac:dyDescent="0.35">
      <c r="S3623" s="34">
        <v>3619</v>
      </c>
      <c r="T3623" s="34" t="s">
        <v>4284</v>
      </c>
      <c r="U3623" s="34" t="s">
        <v>4137</v>
      </c>
      <c r="V3623" s="35">
        <v>2.1764112903225807E-3</v>
      </c>
      <c r="W3623" s="13"/>
      <c r="X3623" s="47">
        <v>3619</v>
      </c>
      <c r="Y3623" s="47" t="s">
        <v>2248</v>
      </c>
      <c r="Z3623" s="47" t="s">
        <v>3275</v>
      </c>
      <c r="AA3623" s="48">
        <v>0.20050403225806454</v>
      </c>
      <c r="AB3623" s="13"/>
      <c r="AC3623" s="13"/>
      <c r="AD3623" s="13"/>
      <c r="AE3623" s="13"/>
      <c r="AF3623" s="13"/>
    </row>
    <row r="3624" spans="19:32" x14ac:dyDescent="0.35">
      <c r="S3624" s="47">
        <v>3620</v>
      </c>
      <c r="T3624" s="47" t="s">
        <v>4284</v>
      </c>
      <c r="U3624" s="47" t="s">
        <v>2501</v>
      </c>
      <c r="V3624" s="56">
        <v>47.288000000000004</v>
      </c>
      <c r="W3624" s="13"/>
      <c r="X3624" s="47">
        <v>3620</v>
      </c>
      <c r="Y3624" s="47" t="s">
        <v>2248</v>
      </c>
      <c r="Z3624" s="47" t="s">
        <v>2633</v>
      </c>
      <c r="AA3624" s="56">
        <v>4.5723999999999999E-3</v>
      </c>
      <c r="AB3624" s="13"/>
      <c r="AC3624" s="13"/>
      <c r="AD3624" s="13"/>
      <c r="AE3624" s="13"/>
      <c r="AF3624" s="13"/>
    </row>
    <row r="3625" spans="19:32" x14ac:dyDescent="0.35">
      <c r="S3625" s="36">
        <v>3621</v>
      </c>
      <c r="T3625" s="36" t="s">
        <v>4284</v>
      </c>
      <c r="U3625" s="36" t="s">
        <v>4135</v>
      </c>
      <c r="V3625" s="37">
        <v>1.35355</v>
      </c>
      <c r="W3625" s="13"/>
      <c r="X3625" s="34">
        <v>3621</v>
      </c>
      <c r="Y3625" s="34" t="s">
        <v>2248</v>
      </c>
      <c r="Z3625" s="34" t="s">
        <v>2633</v>
      </c>
      <c r="AA3625" s="35">
        <v>7.5403225806451623E-4</v>
      </c>
      <c r="AB3625" s="13"/>
      <c r="AC3625" s="13"/>
      <c r="AD3625" s="13"/>
      <c r="AE3625" s="13"/>
      <c r="AF3625" s="13"/>
    </row>
    <row r="3626" spans="19:32" x14ac:dyDescent="0.35">
      <c r="S3626" s="34">
        <v>3622</v>
      </c>
      <c r="T3626" s="34" t="s">
        <v>4284</v>
      </c>
      <c r="U3626" s="34" t="s">
        <v>4135</v>
      </c>
      <c r="V3626" s="35">
        <v>2.1798387096774196E-4</v>
      </c>
      <c r="W3626" s="13"/>
      <c r="X3626" s="34">
        <v>3622</v>
      </c>
      <c r="Y3626" s="34" t="s">
        <v>2248</v>
      </c>
      <c r="Z3626" s="34" t="s">
        <v>4564</v>
      </c>
      <c r="AA3626" s="35">
        <v>7.883064516129032E-5</v>
      </c>
      <c r="AB3626" s="13"/>
      <c r="AC3626" s="13"/>
      <c r="AD3626" s="13"/>
      <c r="AE3626" s="13"/>
      <c r="AF3626" s="13"/>
    </row>
    <row r="3627" spans="19:32" x14ac:dyDescent="0.35">
      <c r="S3627" s="34">
        <v>3623</v>
      </c>
      <c r="T3627" s="34" t="s">
        <v>4284</v>
      </c>
      <c r="U3627" s="34" t="s">
        <v>2499</v>
      </c>
      <c r="V3627" s="35">
        <v>3.6330645161290324E-3</v>
      </c>
      <c r="W3627" s="13"/>
      <c r="X3627" s="47">
        <v>3623</v>
      </c>
      <c r="Y3627" s="47" t="s">
        <v>2248</v>
      </c>
      <c r="Z3627" s="47" t="s">
        <v>2630</v>
      </c>
      <c r="AA3627" s="56">
        <v>1.5271999999999999</v>
      </c>
      <c r="AB3627" s="13"/>
      <c r="AC3627" s="13"/>
      <c r="AD3627" s="13"/>
      <c r="AE3627" s="13"/>
      <c r="AF3627" s="13"/>
    </row>
    <row r="3628" spans="19:32" x14ac:dyDescent="0.35">
      <c r="S3628" s="47">
        <v>3624</v>
      </c>
      <c r="T3628" s="47" t="s">
        <v>4284</v>
      </c>
      <c r="U3628" s="47" t="s">
        <v>2499</v>
      </c>
      <c r="V3628" s="56">
        <v>0</v>
      </c>
      <c r="W3628" s="13"/>
      <c r="X3628" s="34">
        <v>3624</v>
      </c>
      <c r="Y3628" s="34" t="s">
        <v>2248</v>
      </c>
      <c r="Z3628" s="34" t="s">
        <v>2630</v>
      </c>
      <c r="AA3628" s="35">
        <v>3.7701612903225808E-3</v>
      </c>
      <c r="AB3628" s="13"/>
      <c r="AC3628" s="13"/>
      <c r="AD3628" s="13"/>
      <c r="AE3628" s="13"/>
      <c r="AF3628" s="13"/>
    </row>
    <row r="3629" spans="19:32" x14ac:dyDescent="0.35">
      <c r="S3629" s="34">
        <v>3625</v>
      </c>
      <c r="T3629" s="34" t="s">
        <v>4284</v>
      </c>
      <c r="U3629" s="34" t="s">
        <v>4132</v>
      </c>
      <c r="V3629" s="35">
        <v>4.1471774193548391E-4</v>
      </c>
      <c r="W3629" s="13"/>
      <c r="X3629" s="47">
        <v>3625</v>
      </c>
      <c r="Y3629" s="47" t="s">
        <v>2248</v>
      </c>
      <c r="Z3629" s="47" t="s">
        <v>4563</v>
      </c>
      <c r="AA3629" s="48">
        <v>7.1975806451612915E-5</v>
      </c>
      <c r="AB3629" s="13"/>
      <c r="AC3629" s="13"/>
      <c r="AD3629" s="13"/>
      <c r="AE3629" s="13"/>
      <c r="AF3629" s="13"/>
    </row>
    <row r="3630" spans="19:32" x14ac:dyDescent="0.35">
      <c r="S3630" s="34">
        <v>3626</v>
      </c>
      <c r="T3630" s="34" t="s">
        <v>4284</v>
      </c>
      <c r="U3630" s="34" t="s">
        <v>4131</v>
      </c>
      <c r="V3630" s="35">
        <v>7.0604838709677425E-6</v>
      </c>
      <c r="W3630" s="13"/>
      <c r="X3630" s="47">
        <v>3626</v>
      </c>
      <c r="Y3630" s="47" t="s">
        <v>2248</v>
      </c>
      <c r="Z3630" s="47" t="s">
        <v>2743</v>
      </c>
      <c r="AA3630" s="56">
        <v>2.0055999999999998</v>
      </c>
      <c r="AB3630" s="13"/>
      <c r="AC3630" s="13"/>
      <c r="AD3630" s="13"/>
      <c r="AE3630" s="13"/>
      <c r="AF3630" s="13"/>
    </row>
    <row r="3631" spans="19:32" x14ac:dyDescent="0.35">
      <c r="S3631" s="34">
        <v>3627</v>
      </c>
      <c r="T3631" s="34" t="s">
        <v>4284</v>
      </c>
      <c r="U3631" s="34" t="s">
        <v>4129</v>
      </c>
      <c r="V3631" s="35">
        <v>2.7625000000000002E-6</v>
      </c>
      <c r="W3631" s="13"/>
      <c r="X3631" s="47">
        <v>3627</v>
      </c>
      <c r="Y3631" s="47" t="s">
        <v>2248</v>
      </c>
      <c r="Z3631" s="47" t="s">
        <v>2628</v>
      </c>
      <c r="AA3631" s="56">
        <v>0.11868000000000001</v>
      </c>
      <c r="AB3631" s="13"/>
      <c r="AC3631" s="13"/>
      <c r="AD3631" s="13"/>
      <c r="AE3631" s="13"/>
      <c r="AF3631" s="13"/>
    </row>
    <row r="3632" spans="19:32" x14ac:dyDescent="0.35">
      <c r="S3632" s="34">
        <v>3628</v>
      </c>
      <c r="T3632" s="34" t="s">
        <v>4284</v>
      </c>
      <c r="U3632" s="34" t="s">
        <v>4128</v>
      </c>
      <c r="V3632" s="35">
        <v>6.5463709677419364E-6</v>
      </c>
      <c r="W3632" s="13"/>
      <c r="X3632" s="34">
        <v>3628</v>
      </c>
      <c r="Y3632" s="34" t="s">
        <v>2248</v>
      </c>
      <c r="Z3632" s="34" t="s">
        <v>2628</v>
      </c>
      <c r="AA3632" s="35">
        <v>3.9758064516129036E-4</v>
      </c>
      <c r="AB3632" s="13"/>
      <c r="AC3632" s="13"/>
      <c r="AD3632" s="13"/>
      <c r="AE3632" s="13"/>
      <c r="AF3632" s="13"/>
    </row>
    <row r="3633" spans="19:32" x14ac:dyDescent="0.35">
      <c r="S3633" s="34">
        <v>3629</v>
      </c>
      <c r="T3633" s="34" t="s">
        <v>4284</v>
      </c>
      <c r="U3633" s="34" t="s">
        <v>4127</v>
      </c>
      <c r="V3633" s="35">
        <v>1.5320564516129034E-2</v>
      </c>
      <c r="W3633" s="13"/>
      <c r="X3633" s="47">
        <v>3629</v>
      </c>
      <c r="Y3633" s="47" t="s">
        <v>2248</v>
      </c>
      <c r="Z3633" s="47" t="s">
        <v>4562</v>
      </c>
      <c r="AA3633" s="48">
        <v>2.0872983870967742E-4</v>
      </c>
      <c r="AB3633" s="13"/>
      <c r="AC3633" s="13"/>
      <c r="AD3633" s="13"/>
      <c r="AE3633" s="13"/>
      <c r="AF3633" s="13"/>
    </row>
    <row r="3634" spans="19:32" x14ac:dyDescent="0.35">
      <c r="S3634" s="36">
        <v>3630</v>
      </c>
      <c r="T3634" s="36" t="s">
        <v>4284</v>
      </c>
      <c r="U3634" s="36" t="s">
        <v>4125</v>
      </c>
      <c r="V3634" s="37">
        <v>2.5465999999999998</v>
      </c>
      <c r="W3634" s="13"/>
      <c r="X3634" s="47">
        <v>3630</v>
      </c>
      <c r="Y3634" s="47" t="s">
        <v>2248</v>
      </c>
      <c r="Z3634" s="47" t="s">
        <v>2625</v>
      </c>
      <c r="AA3634" s="56">
        <v>0.12236000000000001</v>
      </c>
      <c r="AB3634" s="13"/>
      <c r="AC3634" s="13"/>
      <c r="AD3634" s="13"/>
      <c r="AE3634" s="13"/>
      <c r="AF3634" s="13"/>
    </row>
    <row r="3635" spans="19:32" x14ac:dyDescent="0.35">
      <c r="S3635" s="34">
        <v>3631</v>
      </c>
      <c r="T3635" s="34" t="s">
        <v>4284</v>
      </c>
      <c r="U3635" s="34" t="s">
        <v>4125</v>
      </c>
      <c r="V3635" s="35">
        <v>3.5645161290322583E-6</v>
      </c>
      <c r="W3635" s="13"/>
      <c r="X3635" s="34">
        <v>3631</v>
      </c>
      <c r="Y3635" s="34" t="s">
        <v>2248</v>
      </c>
      <c r="Z3635" s="34" t="s">
        <v>2625</v>
      </c>
      <c r="AA3635" s="35">
        <v>4.6270161290322583E-3</v>
      </c>
      <c r="AB3635" s="13"/>
      <c r="AC3635" s="13"/>
      <c r="AD3635" s="13"/>
      <c r="AE3635" s="13"/>
      <c r="AF3635" s="13"/>
    </row>
    <row r="3636" spans="19:32" x14ac:dyDescent="0.35">
      <c r="S3636" s="34">
        <v>3632</v>
      </c>
      <c r="T3636" s="34" t="s">
        <v>4284</v>
      </c>
      <c r="U3636" s="34" t="s">
        <v>2498</v>
      </c>
      <c r="V3636" s="35">
        <v>5.826612903225807E-4</v>
      </c>
      <c r="W3636" s="13"/>
      <c r="X3636" s="47">
        <v>3632</v>
      </c>
      <c r="Y3636" s="47" t="s">
        <v>2248</v>
      </c>
      <c r="Z3636" s="47" t="s">
        <v>4561</v>
      </c>
      <c r="AA3636" s="48">
        <v>2.1455645161290323E-3</v>
      </c>
      <c r="AB3636" s="13"/>
      <c r="AC3636" s="13"/>
      <c r="AD3636" s="13"/>
      <c r="AE3636" s="13"/>
      <c r="AF3636" s="13"/>
    </row>
    <row r="3637" spans="19:32" x14ac:dyDescent="0.35">
      <c r="S3637" s="47">
        <v>3633</v>
      </c>
      <c r="T3637" s="47" t="s">
        <v>4284</v>
      </c>
      <c r="U3637" s="47" t="s">
        <v>2498</v>
      </c>
      <c r="V3637" s="56">
        <v>0</v>
      </c>
      <c r="W3637" s="13"/>
      <c r="X3637" s="47">
        <v>3633</v>
      </c>
      <c r="Y3637" s="47" t="s">
        <v>2248</v>
      </c>
      <c r="Z3637" s="47" t="s">
        <v>2740</v>
      </c>
      <c r="AA3637" s="56">
        <v>0.18307999999999999</v>
      </c>
      <c r="AB3637" s="13"/>
      <c r="AC3637" s="13"/>
      <c r="AD3637" s="13"/>
      <c r="AE3637" s="13"/>
      <c r="AF3637" s="13"/>
    </row>
    <row r="3638" spans="19:32" x14ac:dyDescent="0.35">
      <c r="S3638" s="34">
        <v>3634</v>
      </c>
      <c r="T3638" s="34" t="s">
        <v>4284</v>
      </c>
      <c r="U3638" s="34" t="s">
        <v>2496</v>
      </c>
      <c r="V3638" s="35">
        <v>0.20770161290322584</v>
      </c>
      <c r="W3638" s="13"/>
      <c r="X3638" s="47">
        <v>3634</v>
      </c>
      <c r="Y3638" s="47" t="s">
        <v>2248</v>
      </c>
      <c r="Z3638" s="47" t="s">
        <v>4560</v>
      </c>
      <c r="AA3638" s="48">
        <v>6.409274193548388E-2</v>
      </c>
      <c r="AB3638" s="13"/>
      <c r="AC3638" s="13"/>
      <c r="AD3638" s="13"/>
      <c r="AE3638" s="13"/>
      <c r="AF3638" s="13"/>
    </row>
    <row r="3639" spans="19:32" x14ac:dyDescent="0.35">
      <c r="S3639" s="47">
        <v>3635</v>
      </c>
      <c r="T3639" s="47" t="s">
        <v>4284</v>
      </c>
      <c r="U3639" s="47" t="s">
        <v>2496</v>
      </c>
      <c r="V3639" s="56">
        <v>0</v>
      </c>
      <c r="W3639" s="13"/>
      <c r="X3639" s="47">
        <v>3635</v>
      </c>
      <c r="Y3639" s="47" t="s">
        <v>2248</v>
      </c>
      <c r="Z3639" s="47" t="s">
        <v>2622</v>
      </c>
      <c r="AA3639" s="56">
        <v>1.9504000000000001E-2</v>
      </c>
      <c r="AB3639" s="13"/>
      <c r="AC3639" s="13"/>
      <c r="AD3639" s="13"/>
      <c r="AE3639" s="13"/>
      <c r="AF3639" s="13"/>
    </row>
    <row r="3640" spans="19:32" x14ac:dyDescent="0.35">
      <c r="S3640" s="34">
        <v>3636</v>
      </c>
      <c r="T3640" s="34" t="s">
        <v>4284</v>
      </c>
      <c r="U3640" s="34" t="s">
        <v>4122</v>
      </c>
      <c r="V3640" s="35">
        <v>1.4737903225806453E-5</v>
      </c>
      <c r="W3640" s="13"/>
      <c r="X3640" s="34">
        <v>3636</v>
      </c>
      <c r="Y3640" s="34" t="s">
        <v>2248</v>
      </c>
      <c r="Z3640" s="34" t="s">
        <v>2622</v>
      </c>
      <c r="AA3640" s="35">
        <v>5.4495967741935489E-5</v>
      </c>
      <c r="AB3640" s="13"/>
      <c r="AC3640" s="13"/>
      <c r="AD3640" s="13"/>
      <c r="AE3640" s="13"/>
      <c r="AF3640" s="13"/>
    </row>
    <row r="3641" spans="19:32" x14ac:dyDescent="0.35">
      <c r="S3641" s="36">
        <v>3637</v>
      </c>
      <c r="T3641" s="36" t="s">
        <v>4284</v>
      </c>
      <c r="U3641" s="36" t="s">
        <v>2495</v>
      </c>
      <c r="V3641" s="37">
        <v>4.1301999999999994</v>
      </c>
      <c r="W3641" s="13"/>
      <c r="X3641" s="34">
        <v>3637</v>
      </c>
      <c r="Y3641" s="34" t="s">
        <v>2248</v>
      </c>
      <c r="Z3641" s="34" t="s">
        <v>4559</v>
      </c>
      <c r="AA3641" s="35">
        <v>2.9167338709677422E-2</v>
      </c>
      <c r="AB3641" s="13"/>
      <c r="AC3641" s="13"/>
      <c r="AD3641" s="13"/>
      <c r="AE3641" s="13"/>
      <c r="AF3641" s="13"/>
    </row>
    <row r="3642" spans="19:32" x14ac:dyDescent="0.35">
      <c r="S3642" s="34">
        <v>3638</v>
      </c>
      <c r="T3642" s="34" t="s">
        <v>4284</v>
      </c>
      <c r="U3642" s="34" t="s">
        <v>2495</v>
      </c>
      <c r="V3642" s="35">
        <v>3.1497983870967744E-6</v>
      </c>
      <c r="W3642" s="13"/>
      <c r="X3642" s="47">
        <v>3638</v>
      </c>
      <c r="Y3642" s="47" t="s">
        <v>2248</v>
      </c>
      <c r="Z3642" s="47" t="s">
        <v>4558</v>
      </c>
      <c r="AA3642" s="48">
        <v>8.5342741935483871E-3</v>
      </c>
      <c r="AB3642" s="13"/>
      <c r="AC3642" s="13"/>
      <c r="AD3642" s="13"/>
      <c r="AE3642" s="13"/>
      <c r="AF3642" s="13"/>
    </row>
    <row r="3643" spans="19:32" x14ac:dyDescent="0.35">
      <c r="S3643" s="47">
        <v>3639</v>
      </c>
      <c r="T3643" s="47" t="s">
        <v>4284</v>
      </c>
      <c r="U3643" s="47" t="s">
        <v>2495</v>
      </c>
      <c r="V3643" s="56">
        <v>0</v>
      </c>
      <c r="W3643" s="13"/>
      <c r="X3643" s="34">
        <v>3639</v>
      </c>
      <c r="Y3643" s="34" t="s">
        <v>2248</v>
      </c>
      <c r="Z3643" s="34" t="s">
        <v>4557</v>
      </c>
      <c r="AA3643" s="35">
        <v>1.7411290322580646E-3</v>
      </c>
      <c r="AB3643" s="13"/>
      <c r="AC3643" s="13"/>
      <c r="AD3643" s="13"/>
      <c r="AE3643" s="13"/>
      <c r="AF3643" s="13"/>
    </row>
    <row r="3644" spans="19:32" x14ac:dyDescent="0.35">
      <c r="S3644" s="36">
        <v>3640</v>
      </c>
      <c r="T3644" s="36" t="s">
        <v>4284</v>
      </c>
      <c r="U3644" s="36" t="s">
        <v>4119</v>
      </c>
      <c r="V3644" s="37">
        <v>3.2099999999999995</v>
      </c>
      <c r="W3644" s="13"/>
      <c r="X3644" s="47">
        <v>3640</v>
      </c>
      <c r="Y3644" s="47" t="s">
        <v>2248</v>
      </c>
      <c r="Z3644" s="47" t="s">
        <v>4556</v>
      </c>
      <c r="AA3644" s="48">
        <v>2.7830645161290328E-3</v>
      </c>
      <c r="AB3644" s="13"/>
      <c r="AC3644" s="13"/>
      <c r="AD3644" s="13"/>
      <c r="AE3644" s="13"/>
      <c r="AF3644" s="13"/>
    </row>
    <row r="3645" spans="19:32" x14ac:dyDescent="0.35">
      <c r="S3645" s="34">
        <v>3641</v>
      </c>
      <c r="T3645" s="34" t="s">
        <v>4284</v>
      </c>
      <c r="U3645" s="34" t="s">
        <v>4119</v>
      </c>
      <c r="V3645" s="35">
        <v>4.4899193548387105E-6</v>
      </c>
      <c r="W3645" s="13"/>
      <c r="X3645" s="34">
        <v>3641</v>
      </c>
      <c r="Y3645" s="34" t="s">
        <v>2248</v>
      </c>
      <c r="Z3645" s="34" t="s">
        <v>4555</v>
      </c>
      <c r="AA3645" s="35">
        <v>4.1471774193548391E-4</v>
      </c>
      <c r="AB3645" s="13"/>
      <c r="AC3645" s="13"/>
      <c r="AD3645" s="13"/>
      <c r="AE3645" s="13"/>
      <c r="AF3645" s="13"/>
    </row>
    <row r="3646" spans="19:32" x14ac:dyDescent="0.35">
      <c r="S3646" s="36">
        <v>3642</v>
      </c>
      <c r="T3646" s="36" t="s">
        <v>4284</v>
      </c>
      <c r="U3646" s="36" t="s">
        <v>4554</v>
      </c>
      <c r="V3646" s="37">
        <v>4.1837</v>
      </c>
      <c r="W3646" s="13"/>
      <c r="X3646" s="47">
        <v>3642</v>
      </c>
      <c r="Y3646" s="47" t="s">
        <v>2248</v>
      </c>
      <c r="Z3646" s="47" t="s">
        <v>4553</v>
      </c>
      <c r="AA3646" s="48">
        <v>1.5903225806451614E-3</v>
      </c>
      <c r="AB3646" s="13"/>
      <c r="AC3646" s="13"/>
      <c r="AD3646" s="13"/>
      <c r="AE3646" s="13"/>
      <c r="AF3646" s="13"/>
    </row>
    <row r="3647" spans="19:32" x14ac:dyDescent="0.35">
      <c r="S3647" s="34">
        <v>3643</v>
      </c>
      <c r="T3647" s="34" t="s">
        <v>4284</v>
      </c>
      <c r="U3647" s="34" t="s">
        <v>2493</v>
      </c>
      <c r="V3647" s="35">
        <v>2.9921370967741938E-5</v>
      </c>
      <c r="W3647" s="13"/>
      <c r="X3647" s="47">
        <v>3643</v>
      </c>
      <c r="Y3647" s="47" t="s">
        <v>2248</v>
      </c>
      <c r="Z3647" s="47" t="s">
        <v>4552</v>
      </c>
      <c r="AA3647" s="48">
        <v>9.0483870967741943E-3</v>
      </c>
      <c r="AB3647" s="13"/>
      <c r="AC3647" s="13"/>
      <c r="AD3647" s="13"/>
      <c r="AE3647" s="13"/>
      <c r="AF3647" s="13"/>
    </row>
    <row r="3648" spans="19:32" x14ac:dyDescent="0.35">
      <c r="S3648" s="47">
        <v>3644</v>
      </c>
      <c r="T3648" s="47" t="s">
        <v>4284</v>
      </c>
      <c r="U3648" s="47" t="s">
        <v>2493</v>
      </c>
      <c r="V3648" s="56">
        <v>0.20424</v>
      </c>
      <c r="W3648" s="13"/>
      <c r="X3648" s="47">
        <v>3644</v>
      </c>
      <c r="Y3648" s="47" t="s">
        <v>2248</v>
      </c>
      <c r="Z3648" s="47" t="s">
        <v>3271</v>
      </c>
      <c r="AA3648" s="48">
        <v>5.5866935483870972E-3</v>
      </c>
      <c r="AB3648" s="13"/>
      <c r="AC3648" s="13"/>
      <c r="AD3648" s="13"/>
      <c r="AE3648" s="13"/>
      <c r="AF3648" s="13"/>
    </row>
    <row r="3649" spans="19:32" x14ac:dyDescent="0.35">
      <c r="S3649" s="34">
        <v>3645</v>
      </c>
      <c r="T3649" s="34" t="s">
        <v>4284</v>
      </c>
      <c r="U3649" s="34" t="s">
        <v>2492</v>
      </c>
      <c r="V3649" s="35">
        <v>9.7681451612903242E-4</v>
      </c>
      <c r="W3649" s="13"/>
      <c r="X3649" s="47">
        <v>3645</v>
      </c>
      <c r="Y3649" s="47" t="s">
        <v>2248</v>
      </c>
      <c r="Z3649" s="47" t="s">
        <v>4551</v>
      </c>
      <c r="AA3649" s="48">
        <v>1.8542338709677422E-4</v>
      </c>
      <c r="AB3649" s="13"/>
      <c r="AC3649" s="13"/>
      <c r="AD3649" s="13"/>
      <c r="AE3649" s="13"/>
      <c r="AF3649" s="13"/>
    </row>
    <row r="3650" spans="19:32" x14ac:dyDescent="0.35">
      <c r="S3650" s="47">
        <v>3646</v>
      </c>
      <c r="T3650" s="47" t="s">
        <v>4284</v>
      </c>
      <c r="U3650" s="47" t="s">
        <v>2492</v>
      </c>
      <c r="V3650" s="56">
        <v>2.5207999999999999</v>
      </c>
      <c r="W3650" s="13"/>
      <c r="X3650" s="34">
        <v>3646</v>
      </c>
      <c r="Y3650" s="34" t="s">
        <v>2248</v>
      </c>
      <c r="Z3650" s="34" t="s">
        <v>4550</v>
      </c>
      <c r="AA3650" s="35">
        <v>0.72661290322580652</v>
      </c>
      <c r="AB3650" s="13"/>
      <c r="AC3650" s="13"/>
      <c r="AD3650" s="13"/>
      <c r="AE3650" s="13"/>
      <c r="AF3650" s="13"/>
    </row>
    <row r="3651" spans="19:32" x14ac:dyDescent="0.35">
      <c r="S3651" s="47">
        <v>3647</v>
      </c>
      <c r="T3651" s="47" t="s">
        <v>4284</v>
      </c>
      <c r="U3651" s="47" t="s">
        <v>2490</v>
      </c>
      <c r="V3651" s="56">
        <v>0</v>
      </c>
      <c r="W3651" s="13"/>
      <c r="X3651" s="47">
        <v>3647</v>
      </c>
      <c r="Y3651" s="47" t="s">
        <v>2248</v>
      </c>
      <c r="Z3651" s="47" t="s">
        <v>4549</v>
      </c>
      <c r="AA3651" s="48">
        <v>0.10110887096774195</v>
      </c>
      <c r="AB3651" s="13"/>
      <c r="AC3651" s="13"/>
      <c r="AD3651" s="13"/>
      <c r="AE3651" s="13"/>
      <c r="AF3651" s="13"/>
    </row>
    <row r="3652" spans="19:32" x14ac:dyDescent="0.35">
      <c r="S3652" s="47">
        <v>3648</v>
      </c>
      <c r="T3652" s="47" t="s">
        <v>4284</v>
      </c>
      <c r="U3652" s="47" t="s">
        <v>2488</v>
      </c>
      <c r="V3652" s="56">
        <v>1.1683999999999999</v>
      </c>
      <c r="W3652" s="13"/>
      <c r="X3652" s="34">
        <v>3648</v>
      </c>
      <c r="Y3652" s="34" t="s">
        <v>2248</v>
      </c>
      <c r="Z3652" s="34" t="s">
        <v>4548</v>
      </c>
      <c r="AA3652" s="35">
        <v>2.2620967741935484E-2</v>
      </c>
      <c r="AB3652" s="13"/>
      <c r="AC3652" s="13"/>
      <c r="AD3652" s="13"/>
      <c r="AE3652" s="13"/>
      <c r="AF3652" s="13"/>
    </row>
    <row r="3653" spans="19:32" x14ac:dyDescent="0.35">
      <c r="S3653" s="34">
        <v>3649</v>
      </c>
      <c r="T3653" s="34" t="s">
        <v>4284</v>
      </c>
      <c r="U3653" s="34" t="s">
        <v>4117</v>
      </c>
      <c r="V3653" s="35">
        <v>1.5389112903225808E-2</v>
      </c>
      <c r="W3653" s="13"/>
      <c r="X3653" s="47">
        <v>3649</v>
      </c>
      <c r="Y3653" s="47" t="s">
        <v>2248</v>
      </c>
      <c r="Z3653" s="47" t="s">
        <v>3266</v>
      </c>
      <c r="AA3653" s="48">
        <v>1.5423387096774196E-3</v>
      </c>
      <c r="AB3653" s="13"/>
      <c r="AC3653" s="13"/>
      <c r="AD3653" s="13"/>
      <c r="AE3653" s="13"/>
      <c r="AF3653" s="13"/>
    </row>
    <row r="3654" spans="19:32" x14ac:dyDescent="0.35">
      <c r="S3654" s="34">
        <v>3650</v>
      </c>
      <c r="T3654" s="34" t="s">
        <v>4284</v>
      </c>
      <c r="U3654" s="34" t="s">
        <v>4116</v>
      </c>
      <c r="V3654" s="35">
        <v>0.31395161290322582</v>
      </c>
      <c r="W3654" s="13"/>
      <c r="X3654" s="34">
        <v>3650</v>
      </c>
      <c r="Y3654" s="34" t="s">
        <v>2248</v>
      </c>
      <c r="Z3654" s="34" t="s">
        <v>4547</v>
      </c>
      <c r="AA3654" s="35">
        <v>3.5645161290322587E-4</v>
      </c>
      <c r="AB3654" s="13"/>
      <c r="AC3654" s="13"/>
      <c r="AD3654" s="13"/>
      <c r="AE3654" s="13"/>
      <c r="AF3654" s="13"/>
    </row>
    <row r="3655" spans="19:32" x14ac:dyDescent="0.35">
      <c r="S3655" s="34">
        <v>3651</v>
      </c>
      <c r="T3655" s="34" t="s">
        <v>4284</v>
      </c>
      <c r="U3655" s="34" t="s">
        <v>4114</v>
      </c>
      <c r="V3655" s="35">
        <v>1.0419354838709678E-4</v>
      </c>
      <c r="W3655" s="13"/>
      <c r="X3655" s="47">
        <v>3651</v>
      </c>
      <c r="Y3655" s="47" t="s">
        <v>2248</v>
      </c>
      <c r="Z3655" s="47" t="s">
        <v>4546</v>
      </c>
      <c r="AA3655" s="48">
        <v>2.1627016129032259E-2</v>
      </c>
      <c r="AB3655" s="13"/>
      <c r="AC3655" s="13"/>
      <c r="AD3655" s="13"/>
      <c r="AE3655" s="13"/>
      <c r="AF3655" s="13"/>
    </row>
    <row r="3656" spans="19:32" x14ac:dyDescent="0.35">
      <c r="S3656" s="34">
        <v>3652</v>
      </c>
      <c r="T3656" s="34" t="s">
        <v>4284</v>
      </c>
      <c r="U3656" s="34" t="s">
        <v>4113</v>
      </c>
      <c r="V3656" s="35">
        <v>5.2782258064516129E-6</v>
      </c>
      <c r="W3656" s="13"/>
      <c r="X3656" s="47">
        <v>3652</v>
      </c>
      <c r="Y3656" s="47" t="s">
        <v>2248</v>
      </c>
      <c r="Z3656" s="47" t="s">
        <v>4545</v>
      </c>
      <c r="AA3656" s="48">
        <v>0.46955645161290327</v>
      </c>
      <c r="AB3656" s="13"/>
      <c r="AC3656" s="13"/>
      <c r="AD3656" s="13"/>
      <c r="AE3656" s="13"/>
      <c r="AF3656" s="13"/>
    </row>
    <row r="3657" spans="19:32" x14ac:dyDescent="0.35">
      <c r="S3657" s="34">
        <v>3653</v>
      </c>
      <c r="T3657" s="34" t="s">
        <v>4284</v>
      </c>
      <c r="U3657" s="34" t="s">
        <v>2487</v>
      </c>
      <c r="V3657" s="35">
        <v>1.1858870967741937E-3</v>
      </c>
      <c r="W3657" s="13"/>
      <c r="X3657" s="47">
        <v>3653</v>
      </c>
      <c r="Y3657" s="47" t="s">
        <v>2248</v>
      </c>
      <c r="Z3657" s="47" t="s">
        <v>4544</v>
      </c>
      <c r="AA3657" s="48">
        <v>1.2201612903225809E-3</v>
      </c>
      <c r="AB3657" s="13"/>
      <c r="AC3657" s="13"/>
      <c r="AD3657" s="13"/>
      <c r="AE3657" s="13"/>
      <c r="AF3657" s="13"/>
    </row>
    <row r="3658" spans="19:32" x14ac:dyDescent="0.35">
      <c r="S3658" s="47">
        <v>3654</v>
      </c>
      <c r="T3658" s="47" t="s">
        <v>4284</v>
      </c>
      <c r="U3658" s="47" t="s">
        <v>2487</v>
      </c>
      <c r="V3658" s="56">
        <v>0</v>
      </c>
      <c r="W3658" s="13"/>
      <c r="X3658" s="47">
        <v>3654</v>
      </c>
      <c r="Y3658" s="47" t="s">
        <v>2248</v>
      </c>
      <c r="Z3658" s="47" t="s">
        <v>4543</v>
      </c>
      <c r="AA3658" s="48">
        <v>4.4899193548387104E-2</v>
      </c>
      <c r="AB3658" s="13"/>
      <c r="AC3658" s="13"/>
      <c r="AD3658" s="13"/>
      <c r="AE3658" s="13"/>
      <c r="AF3658" s="13"/>
    </row>
    <row r="3659" spans="19:32" x14ac:dyDescent="0.35">
      <c r="S3659" s="34">
        <v>3655</v>
      </c>
      <c r="T3659" s="34" t="s">
        <v>4284</v>
      </c>
      <c r="U3659" s="34" t="s">
        <v>4111</v>
      </c>
      <c r="V3659" s="35">
        <v>5.1068548387096782E-3</v>
      </c>
      <c r="W3659" s="13"/>
      <c r="X3659" s="34">
        <v>3655</v>
      </c>
      <c r="Y3659" s="34" t="s">
        <v>2248</v>
      </c>
      <c r="Z3659" s="34" t="s">
        <v>3261</v>
      </c>
      <c r="AA3659" s="35">
        <v>3.495967741935484E-3</v>
      </c>
      <c r="AB3659" s="13"/>
      <c r="AC3659" s="13"/>
      <c r="AD3659" s="13"/>
      <c r="AE3659" s="13"/>
      <c r="AF3659" s="13"/>
    </row>
    <row r="3660" spans="19:32" x14ac:dyDescent="0.35">
      <c r="S3660" s="34">
        <v>3656</v>
      </c>
      <c r="T3660" s="34" t="s">
        <v>4284</v>
      </c>
      <c r="U3660" s="34" t="s">
        <v>4109</v>
      </c>
      <c r="V3660" s="35">
        <v>1.6965725806451613E-5</v>
      </c>
      <c r="W3660" s="13"/>
      <c r="X3660" s="47">
        <v>3656</v>
      </c>
      <c r="Y3660" s="47" t="s">
        <v>2248</v>
      </c>
      <c r="Z3660" s="47" t="s">
        <v>3260</v>
      </c>
      <c r="AA3660" s="48">
        <v>1.9947580645161292E-2</v>
      </c>
      <c r="AB3660" s="13"/>
      <c r="AC3660" s="13"/>
      <c r="AD3660" s="13"/>
      <c r="AE3660" s="13"/>
      <c r="AF3660" s="13"/>
    </row>
    <row r="3661" spans="19:32" x14ac:dyDescent="0.35">
      <c r="S3661" s="47">
        <v>3657</v>
      </c>
      <c r="T3661" s="47" t="s">
        <v>4284</v>
      </c>
      <c r="U3661" s="47" t="s">
        <v>2485</v>
      </c>
      <c r="V3661" s="56">
        <v>0.30820000000000003</v>
      </c>
      <c r="W3661" s="13"/>
      <c r="X3661" s="34">
        <v>3657</v>
      </c>
      <c r="Y3661" s="34" t="s">
        <v>2248</v>
      </c>
      <c r="Z3661" s="34" t="s">
        <v>4542</v>
      </c>
      <c r="AA3661" s="35">
        <v>1.0110887096774194E-2</v>
      </c>
      <c r="AB3661" s="13"/>
      <c r="AC3661" s="13"/>
      <c r="AD3661" s="13"/>
      <c r="AE3661" s="13"/>
      <c r="AF3661" s="13"/>
    </row>
    <row r="3662" spans="19:32" x14ac:dyDescent="0.35">
      <c r="S3662" s="34">
        <v>3658</v>
      </c>
      <c r="T3662" s="34" t="s">
        <v>4284</v>
      </c>
      <c r="U3662" s="34" t="s">
        <v>4108</v>
      </c>
      <c r="V3662" s="35">
        <v>3.3143145161290322E-6</v>
      </c>
      <c r="W3662" s="13"/>
      <c r="X3662" s="47">
        <v>3658</v>
      </c>
      <c r="Y3662" s="47" t="s">
        <v>2248</v>
      </c>
      <c r="Z3662" s="47" t="s">
        <v>4541</v>
      </c>
      <c r="AA3662" s="48">
        <v>5.8951612903225814E-3</v>
      </c>
      <c r="AB3662" s="13"/>
      <c r="AC3662" s="13"/>
      <c r="AD3662" s="13"/>
      <c r="AE3662" s="13"/>
      <c r="AF3662" s="13"/>
    </row>
    <row r="3663" spans="19:32" x14ac:dyDescent="0.35">
      <c r="S3663" s="34">
        <v>3659</v>
      </c>
      <c r="T3663" s="34" t="s">
        <v>4284</v>
      </c>
      <c r="U3663" s="34" t="s">
        <v>2484</v>
      </c>
      <c r="V3663" s="35">
        <v>3.1086693548387102E-3</v>
      </c>
      <c r="W3663" s="13"/>
      <c r="X3663" s="47">
        <v>3659</v>
      </c>
      <c r="Y3663" s="47" t="s">
        <v>2248</v>
      </c>
      <c r="Z3663" s="47" t="s">
        <v>2619</v>
      </c>
      <c r="AA3663" s="56">
        <v>0.15088000000000001</v>
      </c>
      <c r="AB3663" s="13"/>
      <c r="AC3663" s="13"/>
      <c r="AD3663" s="13"/>
      <c r="AE3663" s="13"/>
      <c r="AF3663" s="13"/>
    </row>
    <row r="3664" spans="19:32" x14ac:dyDescent="0.35">
      <c r="S3664" s="47">
        <v>3660</v>
      </c>
      <c r="T3664" s="47" t="s">
        <v>4284</v>
      </c>
      <c r="U3664" s="47" t="s">
        <v>2484</v>
      </c>
      <c r="V3664" s="56">
        <v>0.13616</v>
      </c>
      <c r="W3664" s="13"/>
      <c r="X3664" s="34">
        <v>3660</v>
      </c>
      <c r="Y3664" s="34" t="s">
        <v>2248</v>
      </c>
      <c r="Z3664" s="34" t="s">
        <v>2619</v>
      </c>
      <c r="AA3664" s="35">
        <v>3.7701612903225809E-2</v>
      </c>
      <c r="AB3664" s="13"/>
      <c r="AC3664" s="13"/>
      <c r="AD3664" s="13"/>
      <c r="AE3664" s="13"/>
      <c r="AF3664" s="13"/>
    </row>
    <row r="3665" spans="19:32" x14ac:dyDescent="0.35">
      <c r="S3665" s="36">
        <v>3661</v>
      </c>
      <c r="T3665" s="36" t="s">
        <v>4284</v>
      </c>
      <c r="U3665" s="36" t="s">
        <v>4105</v>
      </c>
      <c r="V3665" s="37">
        <v>9.1484999999999985</v>
      </c>
      <c r="W3665" s="13"/>
      <c r="X3665" s="34">
        <v>3661</v>
      </c>
      <c r="Y3665" s="34" t="s">
        <v>2248</v>
      </c>
      <c r="Z3665" s="34" t="s">
        <v>3259</v>
      </c>
      <c r="AA3665" s="35">
        <v>1.7205645161290323E-2</v>
      </c>
      <c r="AB3665" s="13"/>
      <c r="AC3665" s="13"/>
      <c r="AD3665" s="13"/>
      <c r="AE3665" s="13"/>
      <c r="AF3665" s="13"/>
    </row>
    <row r="3666" spans="19:32" x14ac:dyDescent="0.35">
      <c r="S3666" s="34">
        <v>3662</v>
      </c>
      <c r="T3666" s="34" t="s">
        <v>4284</v>
      </c>
      <c r="U3666" s="34" t="s">
        <v>4105</v>
      </c>
      <c r="V3666" s="35">
        <v>8.8770161290322587E-7</v>
      </c>
      <c r="W3666" s="13"/>
      <c r="X3666" s="47">
        <v>3662</v>
      </c>
      <c r="Y3666" s="47" t="s">
        <v>2248</v>
      </c>
      <c r="Z3666" s="47" t="s">
        <v>2738</v>
      </c>
      <c r="AA3666" s="56">
        <v>0.90435999999999994</v>
      </c>
      <c r="AB3666" s="13"/>
      <c r="AC3666" s="13"/>
      <c r="AD3666" s="13"/>
      <c r="AE3666" s="13"/>
      <c r="AF3666" s="13"/>
    </row>
    <row r="3667" spans="19:32" x14ac:dyDescent="0.35">
      <c r="S3667" s="34">
        <v>3663</v>
      </c>
      <c r="T3667" s="34" t="s">
        <v>4284</v>
      </c>
      <c r="U3667" s="34" t="s">
        <v>4104</v>
      </c>
      <c r="V3667" s="35">
        <v>3.0538306451612903E-3</v>
      </c>
      <c r="W3667" s="13"/>
      <c r="X3667" s="47">
        <v>3663</v>
      </c>
      <c r="Y3667" s="47" t="s">
        <v>2248</v>
      </c>
      <c r="Z3667" s="47" t="s">
        <v>4540</v>
      </c>
      <c r="AA3667" s="48">
        <v>8.0544354838709684E-2</v>
      </c>
      <c r="AB3667" s="13"/>
      <c r="AC3667" s="13"/>
      <c r="AD3667" s="13"/>
      <c r="AE3667" s="13"/>
      <c r="AF3667" s="13"/>
    </row>
    <row r="3668" spans="19:32" x14ac:dyDescent="0.35">
      <c r="S3668" s="34">
        <v>3664</v>
      </c>
      <c r="T3668" s="34" t="s">
        <v>4284</v>
      </c>
      <c r="U3668" s="34" t="s">
        <v>4103</v>
      </c>
      <c r="V3668" s="35">
        <v>0.17822580645161293</v>
      </c>
      <c r="W3668" s="13"/>
      <c r="X3668" s="47">
        <v>3664</v>
      </c>
      <c r="Y3668" s="47" t="s">
        <v>2248</v>
      </c>
      <c r="Z3668" s="47" t="s">
        <v>2616</v>
      </c>
      <c r="AA3668" s="56">
        <v>0.14076</v>
      </c>
      <c r="AB3668" s="13"/>
      <c r="AC3668" s="13"/>
      <c r="AD3668" s="13"/>
      <c r="AE3668" s="13"/>
      <c r="AF3668" s="13"/>
    </row>
    <row r="3669" spans="19:32" x14ac:dyDescent="0.35">
      <c r="S3669" s="34">
        <v>3665</v>
      </c>
      <c r="T3669" s="34" t="s">
        <v>4284</v>
      </c>
      <c r="U3669" s="34" t="s">
        <v>4102</v>
      </c>
      <c r="V3669" s="35">
        <v>2.0187500000000001E-2</v>
      </c>
      <c r="W3669" s="13"/>
      <c r="X3669" s="34">
        <v>3665</v>
      </c>
      <c r="Y3669" s="34" t="s">
        <v>2248</v>
      </c>
      <c r="Z3669" s="34" t="s">
        <v>2616</v>
      </c>
      <c r="AA3669" s="35">
        <v>2.0838709677419357E-4</v>
      </c>
      <c r="AB3669" s="13"/>
      <c r="AC3669" s="13"/>
      <c r="AD3669" s="13"/>
      <c r="AE3669" s="13"/>
      <c r="AF3669" s="13"/>
    </row>
    <row r="3670" spans="19:32" x14ac:dyDescent="0.35">
      <c r="S3670" s="34">
        <v>3666</v>
      </c>
      <c r="T3670" s="34" t="s">
        <v>4284</v>
      </c>
      <c r="U3670" s="34" t="s">
        <v>4101</v>
      </c>
      <c r="V3670" s="35">
        <v>9.3911290322580651E-2</v>
      </c>
      <c r="W3670" s="13"/>
      <c r="X3670" s="47">
        <v>3666</v>
      </c>
      <c r="Y3670" s="47" t="s">
        <v>2248</v>
      </c>
      <c r="Z3670" s="47" t="s">
        <v>2614</v>
      </c>
      <c r="AA3670" s="56">
        <v>6.9092000000000001E-2</v>
      </c>
      <c r="AB3670" s="13"/>
      <c r="AC3670" s="13"/>
      <c r="AD3670" s="13"/>
      <c r="AE3670" s="13"/>
      <c r="AF3670" s="13"/>
    </row>
    <row r="3671" spans="19:32" x14ac:dyDescent="0.35">
      <c r="S3671" s="34">
        <v>3667</v>
      </c>
      <c r="T3671" s="34" t="s">
        <v>4284</v>
      </c>
      <c r="U3671" s="34" t="s">
        <v>2482</v>
      </c>
      <c r="V3671" s="35">
        <v>0.18508064516129033</v>
      </c>
      <c r="W3671" s="13"/>
      <c r="X3671" s="34">
        <v>3667</v>
      </c>
      <c r="Y3671" s="34" t="s">
        <v>2248</v>
      </c>
      <c r="Z3671" s="34" t="s">
        <v>2614</v>
      </c>
      <c r="AA3671" s="35">
        <v>9.2197580645161301E-3</v>
      </c>
      <c r="AB3671" s="13"/>
      <c r="AC3671" s="13"/>
      <c r="AD3671" s="13"/>
      <c r="AE3671" s="13"/>
      <c r="AF3671" s="13"/>
    </row>
    <row r="3672" spans="19:32" x14ac:dyDescent="0.35">
      <c r="S3672" s="47">
        <v>3668</v>
      </c>
      <c r="T3672" s="47" t="s">
        <v>4284</v>
      </c>
      <c r="U3672" s="47" t="s">
        <v>2482</v>
      </c>
      <c r="V3672" s="56">
        <v>3.0820000000000003</v>
      </c>
      <c r="W3672" s="13"/>
      <c r="X3672" s="47">
        <v>3668</v>
      </c>
      <c r="Y3672" s="47" t="s">
        <v>2248</v>
      </c>
      <c r="Z3672" s="47" t="s">
        <v>4539</v>
      </c>
      <c r="AA3672" s="48">
        <v>1.0659274193548387E-2</v>
      </c>
      <c r="AB3672" s="13"/>
      <c r="AC3672" s="13"/>
      <c r="AD3672" s="13"/>
      <c r="AE3672" s="13"/>
      <c r="AF3672" s="13"/>
    </row>
    <row r="3673" spans="19:32" x14ac:dyDescent="0.35">
      <c r="S3673" s="47">
        <v>3669</v>
      </c>
      <c r="T3673" s="47" t="s">
        <v>4284</v>
      </c>
      <c r="U3673" s="47" t="s">
        <v>2481</v>
      </c>
      <c r="V3673" s="56">
        <v>70.38000000000001</v>
      </c>
      <c r="W3673" s="13"/>
      <c r="X3673" s="47">
        <v>3669</v>
      </c>
      <c r="Y3673" s="47" t="s">
        <v>2248</v>
      </c>
      <c r="Z3673" s="47" t="s">
        <v>2735</v>
      </c>
      <c r="AA3673" s="56">
        <v>0.91539999999999999</v>
      </c>
      <c r="AB3673" s="13"/>
      <c r="AC3673" s="13"/>
      <c r="AD3673" s="13"/>
      <c r="AE3673" s="13"/>
      <c r="AF3673" s="13"/>
    </row>
    <row r="3674" spans="19:32" x14ac:dyDescent="0.35">
      <c r="S3674" s="34">
        <v>3670</v>
      </c>
      <c r="T3674" s="34" t="s">
        <v>4284</v>
      </c>
      <c r="U3674" s="34" t="s">
        <v>4099</v>
      </c>
      <c r="V3674" s="35">
        <v>1.5012096774193548</v>
      </c>
      <c r="W3674" s="13"/>
      <c r="X3674" s="47">
        <v>3670</v>
      </c>
      <c r="Y3674" s="47" t="s">
        <v>2248</v>
      </c>
      <c r="Z3674" s="47" t="s">
        <v>4538</v>
      </c>
      <c r="AA3674" s="48">
        <v>1.360685483870968E-3</v>
      </c>
      <c r="AB3674" s="13"/>
      <c r="AC3674" s="13"/>
      <c r="AD3674" s="13"/>
      <c r="AE3674" s="13"/>
      <c r="AF3674" s="13"/>
    </row>
    <row r="3675" spans="19:32" x14ac:dyDescent="0.35">
      <c r="S3675" s="34">
        <v>3671</v>
      </c>
      <c r="T3675" s="34" t="s">
        <v>4284</v>
      </c>
      <c r="U3675" s="34" t="s">
        <v>4097</v>
      </c>
      <c r="V3675" s="35">
        <v>5.3125000000000004E-3</v>
      </c>
      <c r="W3675" s="13"/>
      <c r="X3675" s="47">
        <v>3671</v>
      </c>
      <c r="Y3675" s="47" t="s">
        <v>2248</v>
      </c>
      <c r="Z3675" s="47" t="s">
        <v>2733</v>
      </c>
      <c r="AA3675" s="56">
        <v>5.6120000000000001</v>
      </c>
      <c r="AB3675" s="13"/>
      <c r="AC3675" s="13"/>
      <c r="AD3675" s="13"/>
      <c r="AE3675" s="13"/>
      <c r="AF3675" s="13"/>
    </row>
    <row r="3676" spans="19:32" x14ac:dyDescent="0.35">
      <c r="S3676" s="34">
        <v>3672</v>
      </c>
      <c r="T3676" s="34" t="s">
        <v>4284</v>
      </c>
      <c r="U3676" s="34" t="s">
        <v>4096</v>
      </c>
      <c r="V3676" s="35">
        <v>2.5397177419354839E-2</v>
      </c>
      <c r="W3676" s="13"/>
      <c r="X3676" s="47">
        <v>3672</v>
      </c>
      <c r="Y3676" s="47" t="s">
        <v>2248</v>
      </c>
      <c r="Z3676" s="47" t="s">
        <v>2732</v>
      </c>
      <c r="AA3676" s="56">
        <v>0.22631999999999999</v>
      </c>
      <c r="AB3676" s="13"/>
      <c r="AC3676" s="13"/>
      <c r="AD3676" s="13"/>
      <c r="AE3676" s="13"/>
      <c r="AF3676" s="13"/>
    </row>
    <row r="3677" spans="19:32" x14ac:dyDescent="0.35">
      <c r="S3677" s="34">
        <v>3673</v>
      </c>
      <c r="T3677" s="34" t="s">
        <v>4284</v>
      </c>
      <c r="U3677" s="34" t="s">
        <v>4094</v>
      </c>
      <c r="V3677" s="35">
        <v>9.8366935483870974E-2</v>
      </c>
      <c r="W3677" s="13"/>
      <c r="X3677" s="47">
        <v>3673</v>
      </c>
      <c r="Y3677" s="47" t="s">
        <v>2248</v>
      </c>
      <c r="Z3677" s="47" t="s">
        <v>2730</v>
      </c>
      <c r="AA3677" s="56">
        <v>0.71760000000000002</v>
      </c>
      <c r="AB3677" s="13"/>
      <c r="AC3677" s="13"/>
      <c r="AD3677" s="13"/>
      <c r="AE3677" s="13"/>
      <c r="AF3677" s="13"/>
    </row>
    <row r="3678" spans="19:32" x14ac:dyDescent="0.35">
      <c r="S3678" s="34">
        <v>3674</v>
      </c>
      <c r="T3678" s="34" t="s">
        <v>4284</v>
      </c>
      <c r="U3678" s="34" t="s">
        <v>4093</v>
      </c>
      <c r="V3678" s="35">
        <v>7.8830645161290323E-3</v>
      </c>
      <c r="W3678" s="13"/>
      <c r="X3678" s="47">
        <v>3674</v>
      </c>
      <c r="Y3678" s="47" t="s">
        <v>2248</v>
      </c>
      <c r="Z3678" s="47" t="s">
        <v>4537</v>
      </c>
      <c r="AA3678" s="48">
        <v>1.1618951612903228E-5</v>
      </c>
      <c r="AB3678" s="13"/>
      <c r="AC3678" s="13"/>
      <c r="AD3678" s="13"/>
      <c r="AE3678" s="13"/>
      <c r="AF3678" s="13"/>
    </row>
    <row r="3679" spans="19:32" x14ac:dyDescent="0.35">
      <c r="S3679" s="34">
        <v>3675</v>
      </c>
      <c r="T3679" s="34" t="s">
        <v>4284</v>
      </c>
      <c r="U3679" s="34" t="s">
        <v>4092</v>
      </c>
      <c r="V3679" s="35">
        <v>4.6955645161290329E-3</v>
      </c>
      <c r="W3679" s="13"/>
      <c r="X3679" s="47">
        <v>3675</v>
      </c>
      <c r="Y3679" s="47" t="s">
        <v>2248</v>
      </c>
      <c r="Z3679" s="47" t="s">
        <v>2729</v>
      </c>
      <c r="AA3679" s="56">
        <v>0.29716000000000004</v>
      </c>
      <c r="AB3679" s="13"/>
      <c r="AC3679" s="13"/>
      <c r="AD3679" s="13"/>
      <c r="AE3679" s="13"/>
      <c r="AF3679" s="13"/>
    </row>
    <row r="3680" spans="19:32" x14ac:dyDescent="0.35">
      <c r="S3680" s="34">
        <v>3676</v>
      </c>
      <c r="T3680" s="34" t="s">
        <v>4284</v>
      </c>
      <c r="U3680" s="34" t="s">
        <v>2479</v>
      </c>
      <c r="V3680" s="35">
        <v>8.7399193548387096E-5</v>
      </c>
      <c r="W3680" s="13"/>
      <c r="X3680" s="47">
        <v>3676</v>
      </c>
      <c r="Y3680" s="47" t="s">
        <v>2248</v>
      </c>
      <c r="Z3680" s="47" t="s">
        <v>2727</v>
      </c>
      <c r="AA3680" s="56">
        <v>62.284000000000006</v>
      </c>
      <c r="AB3680" s="13"/>
      <c r="AC3680" s="13"/>
      <c r="AD3680" s="13"/>
      <c r="AE3680" s="13"/>
      <c r="AF3680" s="13"/>
    </row>
    <row r="3681" spans="19:32" x14ac:dyDescent="0.35">
      <c r="S3681" s="47">
        <v>3677</v>
      </c>
      <c r="T3681" s="47" t="s">
        <v>4284</v>
      </c>
      <c r="U3681" s="47" t="s">
        <v>2479</v>
      </c>
      <c r="V3681" s="56">
        <v>1.4259999999999999</v>
      </c>
      <c r="W3681" s="13"/>
      <c r="X3681" s="34">
        <v>3677</v>
      </c>
      <c r="Y3681" s="34" t="s">
        <v>2248</v>
      </c>
      <c r="Z3681" s="34" t="s">
        <v>4536</v>
      </c>
      <c r="AA3681" s="35">
        <v>0.11756048387096775</v>
      </c>
      <c r="AB3681" s="13"/>
      <c r="AC3681" s="13"/>
      <c r="AD3681" s="13"/>
      <c r="AE3681" s="13"/>
      <c r="AF3681" s="13"/>
    </row>
    <row r="3682" spans="19:32" x14ac:dyDescent="0.35">
      <c r="S3682" s="47">
        <v>3678</v>
      </c>
      <c r="T3682" s="47" t="s">
        <v>4284</v>
      </c>
      <c r="U3682" s="47" t="s">
        <v>2477</v>
      </c>
      <c r="V3682" s="56">
        <v>0.2898</v>
      </c>
      <c r="W3682" s="13"/>
      <c r="X3682" s="47">
        <v>3678</v>
      </c>
      <c r="Y3682" s="47" t="s">
        <v>2248</v>
      </c>
      <c r="Z3682" s="47" t="s">
        <v>2726</v>
      </c>
      <c r="AA3682" s="56">
        <v>0.1656</v>
      </c>
      <c r="AB3682" s="13"/>
      <c r="AC3682" s="13"/>
      <c r="AD3682" s="13"/>
      <c r="AE3682" s="13"/>
      <c r="AF3682" s="13"/>
    </row>
    <row r="3683" spans="19:32" x14ac:dyDescent="0.35">
      <c r="S3683" s="34">
        <v>3679</v>
      </c>
      <c r="T3683" s="34" t="s">
        <v>4284</v>
      </c>
      <c r="U3683" s="34" t="s">
        <v>4089</v>
      </c>
      <c r="V3683" s="35">
        <v>2.6151209677419356E-5</v>
      </c>
      <c r="W3683" s="13"/>
      <c r="X3683" s="47">
        <v>3679</v>
      </c>
      <c r="Y3683" s="47" t="s">
        <v>2248</v>
      </c>
      <c r="Z3683" s="47" t="s">
        <v>2724</v>
      </c>
      <c r="AA3683" s="56">
        <v>0.97520000000000007</v>
      </c>
      <c r="AB3683" s="13"/>
      <c r="AC3683" s="13"/>
      <c r="AD3683" s="13"/>
      <c r="AE3683" s="13"/>
      <c r="AF3683" s="13"/>
    </row>
    <row r="3684" spans="19:32" x14ac:dyDescent="0.35">
      <c r="S3684" s="47">
        <v>3680</v>
      </c>
      <c r="T3684" s="47" t="s">
        <v>4284</v>
      </c>
      <c r="U3684" s="47" t="s">
        <v>2476</v>
      </c>
      <c r="V3684" s="56">
        <v>186.76</v>
      </c>
      <c r="W3684" s="13"/>
      <c r="X3684" s="47">
        <v>3680</v>
      </c>
      <c r="Y3684" s="47" t="s">
        <v>2248</v>
      </c>
      <c r="Z3684" s="47" t="s">
        <v>2722</v>
      </c>
      <c r="AA3684" s="56">
        <v>537.28</v>
      </c>
      <c r="AB3684" s="13"/>
      <c r="AC3684" s="13"/>
      <c r="AD3684" s="13"/>
      <c r="AE3684" s="13"/>
      <c r="AF3684" s="13"/>
    </row>
    <row r="3685" spans="19:32" x14ac:dyDescent="0.35">
      <c r="S3685" s="34">
        <v>3681</v>
      </c>
      <c r="T3685" s="34" t="s">
        <v>4284</v>
      </c>
      <c r="U3685" s="34" t="s">
        <v>4087</v>
      </c>
      <c r="V3685" s="35">
        <v>2.2415322580645163E-4</v>
      </c>
      <c r="W3685" s="13"/>
      <c r="X3685" s="47">
        <v>3681</v>
      </c>
      <c r="Y3685" s="47" t="s">
        <v>2248</v>
      </c>
      <c r="Z3685" s="47" t="s">
        <v>4535</v>
      </c>
      <c r="AA3685" s="48">
        <v>1.3092741935483871</v>
      </c>
      <c r="AB3685" s="13"/>
      <c r="AC3685" s="13"/>
      <c r="AD3685" s="13"/>
      <c r="AE3685" s="13"/>
      <c r="AF3685" s="13"/>
    </row>
    <row r="3686" spans="19:32" x14ac:dyDescent="0.35">
      <c r="S3686" s="34">
        <v>3682</v>
      </c>
      <c r="T3686" s="34" t="s">
        <v>4284</v>
      </c>
      <c r="U3686" s="34" t="s">
        <v>4086</v>
      </c>
      <c r="V3686" s="35">
        <v>9.3568548387096787E-2</v>
      </c>
      <c r="W3686" s="13"/>
      <c r="X3686" s="47">
        <v>3682</v>
      </c>
      <c r="Y3686" s="47" t="s">
        <v>2248</v>
      </c>
      <c r="Z3686" s="47" t="s">
        <v>2721</v>
      </c>
      <c r="AA3686" s="56">
        <v>0.20147999999999999</v>
      </c>
      <c r="AB3686" s="13"/>
      <c r="AC3686" s="13"/>
      <c r="AD3686" s="13"/>
      <c r="AE3686" s="13"/>
      <c r="AF3686" s="13"/>
    </row>
    <row r="3687" spans="19:32" x14ac:dyDescent="0.35">
      <c r="S3687" s="34">
        <v>3683</v>
      </c>
      <c r="T3687" s="34" t="s">
        <v>4284</v>
      </c>
      <c r="U3687" s="34" t="s">
        <v>4084</v>
      </c>
      <c r="V3687" s="35">
        <v>6.1693548387096779E-2</v>
      </c>
      <c r="W3687" s="13"/>
      <c r="X3687" s="47">
        <v>3683</v>
      </c>
      <c r="Y3687" s="47" t="s">
        <v>2248</v>
      </c>
      <c r="Z3687" s="47" t="s">
        <v>2719</v>
      </c>
      <c r="AA3687" s="56">
        <v>160.08000000000001</v>
      </c>
      <c r="AB3687" s="13"/>
      <c r="AC3687" s="13"/>
      <c r="AD3687" s="13"/>
      <c r="AE3687" s="13"/>
      <c r="AF3687" s="13"/>
    </row>
    <row r="3688" spans="19:32" x14ac:dyDescent="0.35">
      <c r="S3688" s="47">
        <v>3684</v>
      </c>
      <c r="T3688" s="47" t="s">
        <v>4284</v>
      </c>
      <c r="U3688" s="47" t="s">
        <v>2474</v>
      </c>
      <c r="V3688" s="56">
        <v>0.84548000000000001</v>
      </c>
      <c r="W3688" s="13"/>
      <c r="X3688" s="34">
        <v>3684</v>
      </c>
      <c r="Y3688" s="34" t="s">
        <v>2248</v>
      </c>
      <c r="Z3688" s="34" t="s">
        <v>3257</v>
      </c>
      <c r="AA3688" s="35">
        <v>1.6177419354838712E-2</v>
      </c>
      <c r="AB3688" s="13"/>
      <c r="AC3688" s="13"/>
      <c r="AD3688" s="13"/>
      <c r="AE3688" s="13"/>
      <c r="AF3688" s="13"/>
    </row>
    <row r="3689" spans="19:32" x14ac:dyDescent="0.35">
      <c r="S3689" s="34">
        <v>3685</v>
      </c>
      <c r="T3689" s="34" t="s">
        <v>4284</v>
      </c>
      <c r="U3689" s="34" t="s">
        <v>2473</v>
      </c>
      <c r="V3689" s="35">
        <v>2.3820564516129033E-3</v>
      </c>
      <c r="W3689" s="13"/>
      <c r="X3689" s="47">
        <v>3685</v>
      </c>
      <c r="Y3689" s="47" t="s">
        <v>2248</v>
      </c>
      <c r="Z3689" s="47" t="s">
        <v>2718</v>
      </c>
      <c r="AA3689" s="56">
        <v>524.4</v>
      </c>
      <c r="AB3689" s="13"/>
      <c r="AC3689" s="13"/>
      <c r="AD3689" s="13"/>
      <c r="AE3689" s="13"/>
      <c r="AF3689" s="13"/>
    </row>
    <row r="3690" spans="19:32" x14ac:dyDescent="0.35">
      <c r="S3690" s="47">
        <v>3686</v>
      </c>
      <c r="T3690" s="47" t="s">
        <v>4284</v>
      </c>
      <c r="U3690" s="47" t="s">
        <v>2473</v>
      </c>
      <c r="V3690" s="56">
        <v>0</v>
      </c>
      <c r="W3690" s="13"/>
      <c r="X3690" s="47">
        <v>3686</v>
      </c>
      <c r="Y3690" s="47" t="s">
        <v>2248</v>
      </c>
      <c r="Z3690" s="47" t="s">
        <v>2716</v>
      </c>
      <c r="AA3690" s="56">
        <v>2824.3999999999996</v>
      </c>
      <c r="AB3690" s="13"/>
      <c r="AC3690" s="13"/>
      <c r="AD3690" s="13"/>
      <c r="AE3690" s="13"/>
      <c r="AF3690" s="13"/>
    </row>
    <row r="3691" spans="19:32" x14ac:dyDescent="0.35">
      <c r="S3691" s="34">
        <v>3687</v>
      </c>
      <c r="T3691" s="34" t="s">
        <v>4284</v>
      </c>
      <c r="U3691" s="34" t="s">
        <v>4082</v>
      </c>
      <c r="V3691" s="35">
        <v>1.1104838709677419E-3</v>
      </c>
      <c r="W3691" s="13"/>
      <c r="X3691" s="47">
        <v>3687</v>
      </c>
      <c r="Y3691" s="47" t="s">
        <v>2248</v>
      </c>
      <c r="Z3691" s="47" t="s">
        <v>4534</v>
      </c>
      <c r="AA3691" s="48">
        <v>0.17102822580645163</v>
      </c>
      <c r="AB3691" s="13"/>
      <c r="AC3691" s="13"/>
      <c r="AD3691" s="13"/>
      <c r="AE3691" s="13"/>
      <c r="AF3691" s="13"/>
    </row>
    <row r="3692" spans="19:32" x14ac:dyDescent="0.35">
      <c r="S3692" s="34">
        <v>3688</v>
      </c>
      <c r="T3692" s="34" t="s">
        <v>4284</v>
      </c>
      <c r="U3692" s="34" t="s">
        <v>4080</v>
      </c>
      <c r="V3692" s="35">
        <v>7.2318548387096781E-4</v>
      </c>
      <c r="W3692" s="13"/>
      <c r="X3692" s="47">
        <v>3688</v>
      </c>
      <c r="Y3692" s="47" t="s">
        <v>2248</v>
      </c>
      <c r="Z3692" s="47" t="s">
        <v>2715</v>
      </c>
      <c r="AA3692" s="56">
        <v>56.763999999999996</v>
      </c>
      <c r="AB3692" s="13"/>
      <c r="AC3692" s="13"/>
      <c r="AD3692" s="13"/>
      <c r="AE3692" s="13"/>
      <c r="AF3692" s="13"/>
    </row>
    <row r="3693" spans="19:32" x14ac:dyDescent="0.35">
      <c r="S3693" s="34">
        <v>3689</v>
      </c>
      <c r="T3693" s="34" t="s">
        <v>4284</v>
      </c>
      <c r="U3693" s="34" t="s">
        <v>4079</v>
      </c>
      <c r="V3693" s="35">
        <v>3.0606854838709681E-2</v>
      </c>
      <c r="W3693" s="13"/>
      <c r="X3693" s="47">
        <v>3689</v>
      </c>
      <c r="Y3693" s="47" t="s">
        <v>2248</v>
      </c>
      <c r="Z3693" s="47" t="s">
        <v>2713</v>
      </c>
      <c r="AA3693" s="56">
        <v>0.16284000000000001</v>
      </c>
      <c r="AB3693" s="13"/>
      <c r="AC3693" s="13"/>
      <c r="AD3693" s="13"/>
      <c r="AE3693" s="13"/>
      <c r="AF3693" s="13"/>
    </row>
    <row r="3694" spans="19:32" x14ac:dyDescent="0.35">
      <c r="S3694" s="34">
        <v>3690</v>
      </c>
      <c r="T3694" s="34" t="s">
        <v>4284</v>
      </c>
      <c r="U3694" s="34" t="s">
        <v>4077</v>
      </c>
      <c r="V3694" s="35">
        <v>3.4034274193548389E-2</v>
      </c>
      <c r="W3694" s="13"/>
      <c r="X3694" s="47">
        <v>3690</v>
      </c>
      <c r="Y3694" s="47" t="s">
        <v>2248</v>
      </c>
      <c r="Z3694" s="47" t="s">
        <v>2711</v>
      </c>
      <c r="AA3694" s="56">
        <v>16.652000000000001</v>
      </c>
      <c r="AB3694" s="13"/>
      <c r="AC3694" s="13"/>
      <c r="AD3694" s="13"/>
      <c r="AE3694" s="13"/>
      <c r="AF3694" s="13"/>
    </row>
    <row r="3695" spans="19:32" x14ac:dyDescent="0.35">
      <c r="S3695" s="34">
        <v>3691</v>
      </c>
      <c r="T3695" s="34" t="s">
        <v>4284</v>
      </c>
      <c r="U3695" s="34" t="s">
        <v>4076</v>
      </c>
      <c r="V3695" s="35">
        <v>2.7727822580645165E-3</v>
      </c>
      <c r="W3695" s="13"/>
      <c r="X3695" s="34">
        <v>3691</v>
      </c>
      <c r="Y3695" s="34" t="s">
        <v>2248</v>
      </c>
      <c r="Z3695" s="34" t="s">
        <v>4533</v>
      </c>
      <c r="AA3695" s="35">
        <v>2.0118951612903228E-2</v>
      </c>
      <c r="AB3695" s="13"/>
      <c r="AC3695" s="13"/>
      <c r="AD3695" s="13"/>
      <c r="AE3695" s="13"/>
      <c r="AF3695" s="13"/>
    </row>
    <row r="3696" spans="19:32" x14ac:dyDescent="0.35">
      <c r="S3696" s="34">
        <v>3692</v>
      </c>
      <c r="T3696" s="34" t="s">
        <v>4284</v>
      </c>
      <c r="U3696" s="34" t="s">
        <v>4075</v>
      </c>
      <c r="V3696" s="35">
        <v>2.2655241935483875E-6</v>
      </c>
      <c r="W3696" s="13"/>
      <c r="X3696" s="47">
        <v>3692</v>
      </c>
      <c r="Y3696" s="47" t="s">
        <v>2248</v>
      </c>
      <c r="Z3696" s="47" t="s">
        <v>2710</v>
      </c>
      <c r="AA3696" s="56">
        <v>2.944</v>
      </c>
      <c r="AB3696" s="13"/>
      <c r="AC3696" s="13"/>
      <c r="AD3696" s="13"/>
      <c r="AE3696" s="13"/>
      <c r="AF3696" s="13"/>
    </row>
    <row r="3697" spans="19:32" x14ac:dyDescent="0.35">
      <c r="S3697" s="47">
        <v>3693</v>
      </c>
      <c r="T3697" s="47" t="s">
        <v>4284</v>
      </c>
      <c r="U3697" s="47" t="s">
        <v>2471</v>
      </c>
      <c r="V3697" s="56">
        <v>113.16000000000001</v>
      </c>
      <c r="W3697" s="13"/>
      <c r="X3697" s="34">
        <v>3693</v>
      </c>
      <c r="Y3697" s="34" t="s">
        <v>2248</v>
      </c>
      <c r="Z3697" s="34" t="s">
        <v>2611</v>
      </c>
      <c r="AA3697" s="35">
        <v>1.8028225806451614E-3</v>
      </c>
      <c r="AB3697" s="13"/>
      <c r="AC3697" s="13"/>
      <c r="AD3697" s="13"/>
      <c r="AE3697" s="13"/>
      <c r="AF3697" s="13"/>
    </row>
    <row r="3698" spans="19:32" x14ac:dyDescent="0.35">
      <c r="S3698" s="34">
        <v>3694</v>
      </c>
      <c r="T3698" s="34" t="s">
        <v>4284</v>
      </c>
      <c r="U3698" s="34" t="s">
        <v>4073</v>
      </c>
      <c r="V3698" s="35">
        <v>2.741935483870968E-4</v>
      </c>
      <c r="W3698" s="13"/>
      <c r="X3698" s="47">
        <v>3694</v>
      </c>
      <c r="Y3698" s="47" t="s">
        <v>2248</v>
      </c>
      <c r="Z3698" s="47" t="s">
        <v>4532</v>
      </c>
      <c r="AA3698" s="48">
        <v>4.8326612903225813E-3</v>
      </c>
      <c r="AB3698" s="13"/>
      <c r="AC3698" s="13"/>
      <c r="AD3698" s="13"/>
      <c r="AE3698" s="13"/>
      <c r="AF3698" s="13"/>
    </row>
    <row r="3699" spans="19:32" x14ac:dyDescent="0.35">
      <c r="S3699" s="47">
        <v>3695</v>
      </c>
      <c r="T3699" s="47" t="s">
        <v>4284</v>
      </c>
      <c r="U3699" s="47" t="s">
        <v>2470</v>
      </c>
      <c r="V3699" s="56">
        <v>19.504000000000001</v>
      </c>
      <c r="W3699" s="13"/>
      <c r="X3699" s="47">
        <v>3695</v>
      </c>
      <c r="Y3699" s="47" t="s">
        <v>2248</v>
      </c>
      <c r="Z3699" s="47" t="s">
        <v>2708</v>
      </c>
      <c r="AA3699" s="56">
        <v>5.9615999999999995E-2</v>
      </c>
      <c r="AB3699" s="13"/>
      <c r="AC3699" s="13"/>
      <c r="AD3699" s="13"/>
      <c r="AE3699" s="13"/>
      <c r="AF3699" s="13"/>
    </row>
    <row r="3700" spans="19:32" x14ac:dyDescent="0.35">
      <c r="S3700" s="34">
        <v>3696</v>
      </c>
      <c r="T3700" s="34" t="s">
        <v>4284</v>
      </c>
      <c r="U3700" s="34" t="s">
        <v>4071</v>
      </c>
      <c r="V3700" s="35">
        <v>4.6955645161290326E-4</v>
      </c>
      <c r="W3700" s="13"/>
      <c r="X3700" s="47">
        <v>3696</v>
      </c>
      <c r="Y3700" s="47" t="s">
        <v>2248</v>
      </c>
      <c r="Z3700" s="47" t="s">
        <v>2707</v>
      </c>
      <c r="AA3700" s="56">
        <v>0</v>
      </c>
      <c r="AB3700" s="13"/>
      <c r="AC3700" s="13"/>
      <c r="AD3700" s="13"/>
      <c r="AE3700" s="13"/>
      <c r="AF3700" s="13"/>
    </row>
    <row r="3701" spans="19:32" x14ac:dyDescent="0.35">
      <c r="S3701" s="34">
        <v>3697</v>
      </c>
      <c r="T3701" s="34" t="s">
        <v>4284</v>
      </c>
      <c r="U3701" s="34" t="s">
        <v>4069</v>
      </c>
      <c r="V3701" s="35">
        <v>2.6493951612903228E-3</v>
      </c>
      <c r="W3701" s="13"/>
      <c r="X3701" s="34">
        <v>3697</v>
      </c>
      <c r="Y3701" s="34" t="s">
        <v>2248</v>
      </c>
      <c r="Z3701" s="34" t="s">
        <v>2608</v>
      </c>
      <c r="AA3701" s="35">
        <v>2.765927419354839E-2</v>
      </c>
      <c r="AB3701" s="13"/>
      <c r="AC3701" s="13"/>
      <c r="AD3701" s="13"/>
      <c r="AE3701" s="13"/>
      <c r="AF3701" s="13"/>
    </row>
    <row r="3702" spans="19:32" x14ac:dyDescent="0.35">
      <c r="S3702" s="34">
        <v>3698</v>
      </c>
      <c r="T3702" s="34" t="s">
        <v>4284</v>
      </c>
      <c r="U3702" s="34" t="s">
        <v>4068</v>
      </c>
      <c r="V3702" s="35">
        <v>2.1318548387096774E-2</v>
      </c>
      <c r="W3702" s="13"/>
      <c r="X3702" s="47">
        <v>3698</v>
      </c>
      <c r="Y3702" s="47" t="s">
        <v>2248</v>
      </c>
      <c r="Z3702" s="47" t="s">
        <v>3254</v>
      </c>
      <c r="AA3702" s="48">
        <v>9.8709677419354849E-4</v>
      </c>
      <c r="AB3702" s="13"/>
      <c r="AC3702" s="13"/>
      <c r="AD3702" s="13"/>
      <c r="AE3702" s="13"/>
      <c r="AF3702" s="13"/>
    </row>
    <row r="3703" spans="19:32" x14ac:dyDescent="0.35">
      <c r="S3703" s="34">
        <v>3699</v>
      </c>
      <c r="T3703" s="34" t="s">
        <v>4284</v>
      </c>
      <c r="U3703" s="34" t="s">
        <v>4067</v>
      </c>
      <c r="V3703" s="35">
        <v>1.3572580645161291E-2</v>
      </c>
      <c r="W3703" s="13"/>
      <c r="X3703" s="34">
        <v>3699</v>
      </c>
      <c r="Y3703" s="34" t="s">
        <v>2248</v>
      </c>
      <c r="Z3703" s="34" t="s">
        <v>2605</v>
      </c>
      <c r="AA3703" s="35">
        <v>1.4395161290322582E-2</v>
      </c>
      <c r="AB3703" s="13"/>
      <c r="AC3703" s="13"/>
      <c r="AD3703" s="13"/>
      <c r="AE3703" s="13"/>
      <c r="AF3703" s="13"/>
    </row>
    <row r="3704" spans="19:32" x14ac:dyDescent="0.35">
      <c r="S3704" s="34">
        <v>3700</v>
      </c>
      <c r="T3704" s="34" t="s">
        <v>4284</v>
      </c>
      <c r="U3704" s="34" t="s">
        <v>4066</v>
      </c>
      <c r="V3704" s="35">
        <v>5.2439516129032266E-4</v>
      </c>
      <c r="W3704" s="13"/>
      <c r="X3704" s="34">
        <v>3700</v>
      </c>
      <c r="Y3704" s="34" t="s">
        <v>2248</v>
      </c>
      <c r="Z3704" s="34" t="s">
        <v>2603</v>
      </c>
      <c r="AA3704" s="35">
        <v>0.57923387096774193</v>
      </c>
      <c r="AB3704" s="13"/>
      <c r="AC3704" s="13"/>
      <c r="AD3704" s="13"/>
      <c r="AE3704" s="13"/>
      <c r="AF3704" s="13"/>
    </row>
    <row r="3705" spans="19:32" x14ac:dyDescent="0.35">
      <c r="S3705" s="34">
        <v>3701</v>
      </c>
      <c r="T3705" s="34" t="s">
        <v>4284</v>
      </c>
      <c r="U3705" s="34" t="s">
        <v>2468</v>
      </c>
      <c r="V3705" s="35">
        <v>1.6006048387096774E-4</v>
      </c>
      <c r="W3705" s="13"/>
      <c r="X3705" s="47">
        <v>3701</v>
      </c>
      <c r="Y3705" s="47" t="s">
        <v>2248</v>
      </c>
      <c r="Z3705" s="47" t="s">
        <v>4531</v>
      </c>
      <c r="AA3705" s="48">
        <v>1.3915322580645163E-2</v>
      </c>
      <c r="AB3705" s="13"/>
      <c r="AC3705" s="13"/>
      <c r="AD3705" s="13"/>
      <c r="AE3705" s="13"/>
      <c r="AF3705" s="13"/>
    </row>
    <row r="3706" spans="19:32" x14ac:dyDescent="0.35">
      <c r="S3706" s="47">
        <v>3702</v>
      </c>
      <c r="T3706" s="47" t="s">
        <v>4284</v>
      </c>
      <c r="U3706" s="47" t="s">
        <v>2468</v>
      </c>
      <c r="V3706" s="56">
        <v>16.928000000000001</v>
      </c>
      <c r="W3706" s="13"/>
      <c r="X3706" s="34">
        <v>3702</v>
      </c>
      <c r="Y3706" s="34" t="s">
        <v>2248</v>
      </c>
      <c r="Z3706" s="34" t="s">
        <v>2600</v>
      </c>
      <c r="AA3706" s="35">
        <v>2.3854838709677421E-2</v>
      </c>
      <c r="AB3706" s="13"/>
      <c r="AC3706" s="13"/>
      <c r="AD3706" s="13"/>
      <c r="AE3706" s="13"/>
      <c r="AF3706" s="13"/>
    </row>
    <row r="3707" spans="19:32" x14ac:dyDescent="0.35">
      <c r="S3707" s="47">
        <v>3703</v>
      </c>
      <c r="T3707" s="47" t="s">
        <v>4284</v>
      </c>
      <c r="U3707" s="47" t="s">
        <v>2467</v>
      </c>
      <c r="V3707" s="56">
        <v>91.08</v>
      </c>
      <c r="W3707" s="13"/>
      <c r="X3707" s="34">
        <v>3703</v>
      </c>
      <c r="Y3707" s="34" t="s">
        <v>2248</v>
      </c>
      <c r="Z3707" s="34" t="s">
        <v>2597</v>
      </c>
      <c r="AA3707" s="35">
        <v>2.3957661290322584E-4</v>
      </c>
      <c r="AB3707" s="13"/>
      <c r="AC3707" s="13"/>
      <c r="AD3707" s="13"/>
      <c r="AE3707" s="13"/>
      <c r="AF3707" s="13"/>
    </row>
    <row r="3708" spans="19:32" x14ac:dyDescent="0.35">
      <c r="S3708" s="47">
        <v>3704</v>
      </c>
      <c r="T3708" s="47" t="s">
        <v>4284</v>
      </c>
      <c r="U3708" s="47" t="s">
        <v>2465</v>
      </c>
      <c r="V3708" s="56">
        <v>74.152000000000001</v>
      </c>
      <c r="W3708" s="13"/>
      <c r="X3708" s="47">
        <v>3704</v>
      </c>
      <c r="Y3708" s="47" t="s">
        <v>2248</v>
      </c>
      <c r="Z3708" s="47" t="s">
        <v>3252</v>
      </c>
      <c r="AA3708" s="48">
        <v>1.3264112903225808E-2</v>
      </c>
      <c r="AB3708" s="13"/>
      <c r="AC3708" s="13"/>
      <c r="AD3708" s="13"/>
      <c r="AE3708" s="13"/>
      <c r="AF3708" s="13"/>
    </row>
    <row r="3709" spans="19:32" x14ac:dyDescent="0.35">
      <c r="S3709" s="34">
        <v>3705</v>
      </c>
      <c r="T3709" s="34" t="s">
        <v>4284</v>
      </c>
      <c r="U3709" s="34" t="s">
        <v>4063</v>
      </c>
      <c r="V3709" s="35">
        <v>0.19776209677419357</v>
      </c>
      <c r="W3709" s="13"/>
      <c r="X3709" s="34">
        <v>3705</v>
      </c>
      <c r="Y3709" s="34" t="s">
        <v>2248</v>
      </c>
      <c r="Z3709" s="34" t="s">
        <v>2594</v>
      </c>
      <c r="AA3709" s="35">
        <v>3.9072580645161287E-5</v>
      </c>
      <c r="AB3709" s="13"/>
      <c r="AC3709" s="13"/>
      <c r="AD3709" s="13"/>
      <c r="AE3709" s="13"/>
      <c r="AF3709" s="13"/>
    </row>
    <row r="3710" spans="19:32" x14ac:dyDescent="0.35">
      <c r="S3710" s="34">
        <v>3706</v>
      </c>
      <c r="T3710" s="34" t="s">
        <v>4284</v>
      </c>
      <c r="U3710" s="34" t="s">
        <v>2463</v>
      </c>
      <c r="V3710" s="35">
        <v>5.5524193548387099E-3</v>
      </c>
      <c r="W3710" s="13"/>
      <c r="X3710" s="34">
        <v>3706</v>
      </c>
      <c r="Y3710" s="34" t="s">
        <v>2248</v>
      </c>
      <c r="Z3710" s="34" t="s">
        <v>2591</v>
      </c>
      <c r="AA3710" s="35">
        <v>1.1790322580645163E-2</v>
      </c>
      <c r="AB3710" s="13"/>
      <c r="AC3710" s="13"/>
      <c r="AD3710" s="13"/>
      <c r="AE3710" s="13"/>
      <c r="AF3710" s="13"/>
    </row>
    <row r="3711" spans="19:32" x14ac:dyDescent="0.35">
      <c r="S3711" s="47">
        <v>3707</v>
      </c>
      <c r="T3711" s="47" t="s">
        <v>4284</v>
      </c>
      <c r="U3711" s="47" t="s">
        <v>2463</v>
      </c>
      <c r="V3711" s="56">
        <v>5.4003999999999994</v>
      </c>
      <c r="W3711" s="13"/>
      <c r="X3711" s="47">
        <v>3707</v>
      </c>
      <c r="Y3711" s="47" t="s">
        <v>2248</v>
      </c>
      <c r="Z3711" s="47" t="s">
        <v>2705</v>
      </c>
      <c r="AA3711" s="56">
        <v>1.2604</v>
      </c>
      <c r="AB3711" s="13"/>
      <c r="AC3711" s="13"/>
      <c r="AD3711" s="13"/>
      <c r="AE3711" s="13"/>
      <c r="AF3711" s="13"/>
    </row>
    <row r="3712" spans="19:32" x14ac:dyDescent="0.35">
      <c r="S3712" s="47">
        <v>3708</v>
      </c>
      <c r="T3712" s="47" t="s">
        <v>4284</v>
      </c>
      <c r="U3712" s="47" t="s">
        <v>2462</v>
      </c>
      <c r="V3712" s="56">
        <v>0.85192000000000001</v>
      </c>
      <c r="W3712" s="13"/>
      <c r="X3712" s="34">
        <v>3708</v>
      </c>
      <c r="Y3712" s="34" t="s">
        <v>2248</v>
      </c>
      <c r="Z3712" s="34" t="s">
        <v>4530</v>
      </c>
      <c r="AA3712" s="35">
        <v>1.6177419354838709E-4</v>
      </c>
      <c r="AB3712" s="13"/>
      <c r="AC3712" s="13"/>
      <c r="AD3712" s="13"/>
      <c r="AE3712" s="13"/>
      <c r="AF3712" s="13"/>
    </row>
    <row r="3713" spans="19:32" x14ac:dyDescent="0.35">
      <c r="S3713" s="47">
        <v>3709</v>
      </c>
      <c r="T3713" s="47" t="s">
        <v>4284</v>
      </c>
      <c r="U3713" s="47" t="s">
        <v>2460</v>
      </c>
      <c r="V3713" s="56">
        <v>1.1867999999999999</v>
      </c>
      <c r="W3713" s="13"/>
      <c r="X3713" s="47">
        <v>3709</v>
      </c>
      <c r="Y3713" s="47" t="s">
        <v>2248</v>
      </c>
      <c r="Z3713" s="47" t="s">
        <v>2704</v>
      </c>
      <c r="AA3713" s="56">
        <v>0.88688</v>
      </c>
      <c r="AB3713" s="13"/>
      <c r="AC3713" s="13"/>
      <c r="AD3713" s="13"/>
      <c r="AE3713" s="13"/>
      <c r="AF3713" s="13"/>
    </row>
    <row r="3714" spans="19:32" x14ac:dyDescent="0.35">
      <c r="S3714" s="34">
        <v>3710</v>
      </c>
      <c r="T3714" s="34" t="s">
        <v>4284</v>
      </c>
      <c r="U3714" s="34" t="s">
        <v>4061</v>
      </c>
      <c r="V3714" s="35">
        <v>6.2721774193548394E-2</v>
      </c>
      <c r="W3714" s="13"/>
      <c r="X3714" s="34">
        <v>3710</v>
      </c>
      <c r="Y3714" s="34" t="s">
        <v>2248</v>
      </c>
      <c r="Z3714" s="34" t="s">
        <v>2589</v>
      </c>
      <c r="AA3714" s="35">
        <v>9.0141129032258079E-3</v>
      </c>
      <c r="AB3714" s="13"/>
      <c r="AC3714" s="13"/>
      <c r="AD3714" s="13"/>
      <c r="AE3714" s="13"/>
      <c r="AF3714" s="13"/>
    </row>
    <row r="3715" spans="19:32" x14ac:dyDescent="0.35">
      <c r="S3715" s="47">
        <v>3711</v>
      </c>
      <c r="T3715" s="47" t="s">
        <v>4284</v>
      </c>
      <c r="U3715" s="47" t="s">
        <v>2459</v>
      </c>
      <c r="V3715" s="56">
        <v>0.81328</v>
      </c>
      <c r="W3715" s="13"/>
      <c r="X3715" s="47">
        <v>3711</v>
      </c>
      <c r="Y3715" s="47" t="s">
        <v>2248</v>
      </c>
      <c r="Z3715" s="47" t="s">
        <v>4529</v>
      </c>
      <c r="AA3715" s="48">
        <v>5.7237903225806457E-2</v>
      </c>
      <c r="AB3715" s="13"/>
      <c r="AC3715" s="13"/>
      <c r="AD3715" s="13"/>
      <c r="AE3715" s="13"/>
      <c r="AF3715" s="13"/>
    </row>
    <row r="3716" spans="19:32" x14ac:dyDescent="0.35">
      <c r="S3716" s="34">
        <v>3712</v>
      </c>
      <c r="T3716" s="34" t="s">
        <v>4284</v>
      </c>
      <c r="U3716" s="34" t="s">
        <v>2457</v>
      </c>
      <c r="V3716" s="35">
        <v>9.0141129032258072E-2</v>
      </c>
      <c r="W3716" s="13"/>
      <c r="X3716" s="47">
        <v>3712</v>
      </c>
      <c r="Y3716" s="47" t="s">
        <v>2248</v>
      </c>
      <c r="Z3716" s="47" t="s">
        <v>2702</v>
      </c>
      <c r="AA3716" s="56">
        <v>26.771999999999998</v>
      </c>
      <c r="AB3716" s="13"/>
      <c r="AC3716" s="13"/>
      <c r="AD3716" s="13"/>
      <c r="AE3716" s="13"/>
      <c r="AF3716" s="13"/>
    </row>
    <row r="3717" spans="19:32" x14ac:dyDescent="0.35">
      <c r="S3717" s="47">
        <v>3713</v>
      </c>
      <c r="T3717" s="47" t="s">
        <v>4284</v>
      </c>
      <c r="U3717" s="47" t="s">
        <v>2457</v>
      </c>
      <c r="V3717" s="56">
        <v>0.62835999999999992</v>
      </c>
      <c r="W3717" s="13"/>
      <c r="X3717" s="47">
        <v>3713</v>
      </c>
      <c r="Y3717" s="47" t="s">
        <v>2248</v>
      </c>
      <c r="Z3717" s="47" t="s">
        <v>2701</v>
      </c>
      <c r="AA3717" s="56">
        <v>11.592000000000001</v>
      </c>
      <c r="AB3717" s="13"/>
      <c r="AC3717" s="13"/>
      <c r="AD3717" s="13"/>
      <c r="AE3717" s="13"/>
      <c r="AF3717" s="13"/>
    </row>
    <row r="3718" spans="19:32" x14ac:dyDescent="0.35">
      <c r="S3718" s="34">
        <v>3714</v>
      </c>
      <c r="T3718" s="34" t="s">
        <v>4284</v>
      </c>
      <c r="U3718" s="34" t="s">
        <v>4059</v>
      </c>
      <c r="V3718" s="35">
        <v>0.56895161290322582</v>
      </c>
      <c r="W3718" s="13"/>
      <c r="X3718" s="34">
        <v>3714</v>
      </c>
      <c r="Y3718" s="34" t="s">
        <v>2248</v>
      </c>
      <c r="Z3718" s="34" t="s">
        <v>3251</v>
      </c>
      <c r="AA3718" s="35">
        <v>2.1078629032258065E-3</v>
      </c>
      <c r="AB3718" s="13"/>
      <c r="AC3718" s="13"/>
      <c r="AD3718" s="13"/>
      <c r="AE3718" s="13"/>
      <c r="AF3718" s="13"/>
    </row>
    <row r="3719" spans="19:32" x14ac:dyDescent="0.35">
      <c r="S3719" s="34">
        <v>3715</v>
      </c>
      <c r="T3719" s="34" t="s">
        <v>4284</v>
      </c>
      <c r="U3719" s="34" t="s">
        <v>2456</v>
      </c>
      <c r="V3719" s="35">
        <v>3.1806451612903226E-4</v>
      </c>
      <c r="W3719" s="13"/>
      <c r="X3719" s="47">
        <v>3715</v>
      </c>
      <c r="Y3719" s="47" t="s">
        <v>2248</v>
      </c>
      <c r="Z3719" s="47" t="s">
        <v>2699</v>
      </c>
      <c r="AA3719" s="56">
        <v>0</v>
      </c>
      <c r="AB3719" s="13"/>
      <c r="AC3719" s="13"/>
      <c r="AD3719" s="13"/>
      <c r="AE3719" s="13"/>
      <c r="AF3719" s="13"/>
    </row>
    <row r="3720" spans="19:32" x14ac:dyDescent="0.35">
      <c r="S3720" s="47">
        <v>3716</v>
      </c>
      <c r="T3720" s="47" t="s">
        <v>4284</v>
      </c>
      <c r="U3720" s="47" t="s">
        <v>2456</v>
      </c>
      <c r="V3720" s="56">
        <v>0</v>
      </c>
      <c r="W3720" s="13"/>
      <c r="X3720" s="47">
        <v>3716</v>
      </c>
      <c r="Y3720" s="47" t="s">
        <v>2248</v>
      </c>
      <c r="Z3720" s="47" t="s">
        <v>2697</v>
      </c>
      <c r="AA3720" s="56">
        <v>16.099999999999998</v>
      </c>
      <c r="AB3720" s="13"/>
      <c r="AC3720" s="13"/>
      <c r="AD3720" s="13"/>
      <c r="AE3720" s="13"/>
      <c r="AF3720" s="13"/>
    </row>
    <row r="3721" spans="19:32" x14ac:dyDescent="0.35">
      <c r="S3721" s="47">
        <v>3717</v>
      </c>
      <c r="T3721" s="47" t="s">
        <v>4284</v>
      </c>
      <c r="U3721" s="47" t="s">
        <v>2454</v>
      </c>
      <c r="V3721" s="56">
        <v>602.6</v>
      </c>
      <c r="W3721" s="13"/>
      <c r="X3721" s="47">
        <v>3717</v>
      </c>
      <c r="Y3721" s="47" t="s">
        <v>2248</v>
      </c>
      <c r="Z3721" s="47" t="s">
        <v>4528</v>
      </c>
      <c r="AA3721" s="48">
        <v>2.2997983870967745E-4</v>
      </c>
      <c r="AB3721" s="13"/>
      <c r="AC3721" s="13"/>
      <c r="AD3721" s="13"/>
      <c r="AE3721" s="13"/>
      <c r="AF3721" s="13"/>
    </row>
    <row r="3722" spans="19:32" x14ac:dyDescent="0.35">
      <c r="S3722" s="34">
        <v>3718</v>
      </c>
      <c r="T3722" s="34" t="s">
        <v>4284</v>
      </c>
      <c r="U3722" s="34" t="s">
        <v>2453</v>
      </c>
      <c r="V3722" s="35">
        <v>1.0110887096774195</v>
      </c>
      <c r="W3722" s="13"/>
      <c r="X3722" s="47">
        <v>3718</v>
      </c>
      <c r="Y3722" s="47" t="s">
        <v>2248</v>
      </c>
      <c r="Z3722" s="47" t="s">
        <v>2696</v>
      </c>
      <c r="AA3722" s="56">
        <v>72.496000000000009</v>
      </c>
      <c r="AB3722" s="13"/>
      <c r="AC3722" s="13"/>
      <c r="AD3722" s="13"/>
      <c r="AE3722" s="13"/>
      <c r="AF3722" s="13"/>
    </row>
    <row r="3723" spans="19:32" x14ac:dyDescent="0.35">
      <c r="S3723" s="47">
        <v>3719</v>
      </c>
      <c r="T3723" s="47" t="s">
        <v>4284</v>
      </c>
      <c r="U3723" s="47" t="s">
        <v>2453</v>
      </c>
      <c r="V3723" s="56">
        <v>0</v>
      </c>
      <c r="W3723" s="13"/>
      <c r="X3723" s="47">
        <v>3719</v>
      </c>
      <c r="Y3723" s="47" t="s">
        <v>2248</v>
      </c>
      <c r="Z3723" s="47" t="s">
        <v>2694</v>
      </c>
      <c r="AA3723" s="56">
        <v>2.254</v>
      </c>
      <c r="AB3723" s="13"/>
      <c r="AC3723" s="13"/>
      <c r="AD3723" s="13"/>
      <c r="AE3723" s="13"/>
      <c r="AF3723" s="13"/>
    </row>
    <row r="3724" spans="19:32" x14ac:dyDescent="0.35">
      <c r="S3724" s="47">
        <v>3720</v>
      </c>
      <c r="T3724" s="47" t="s">
        <v>4284</v>
      </c>
      <c r="U3724" s="47" t="s">
        <v>2451</v>
      </c>
      <c r="V3724" s="56">
        <v>9.7519999999999996E-2</v>
      </c>
      <c r="W3724" s="13"/>
      <c r="X3724" s="47">
        <v>3720</v>
      </c>
      <c r="Y3724" s="47" t="s">
        <v>2248</v>
      </c>
      <c r="Z3724" s="47" t="s">
        <v>2693</v>
      </c>
      <c r="AA3724" s="56">
        <v>4.37</v>
      </c>
      <c r="AB3724" s="13"/>
      <c r="AC3724" s="13"/>
      <c r="AD3724" s="13"/>
      <c r="AE3724" s="13"/>
      <c r="AF3724" s="13"/>
    </row>
    <row r="3725" spans="19:32" x14ac:dyDescent="0.35">
      <c r="S3725" s="47">
        <v>3721</v>
      </c>
      <c r="T3725" s="47" t="s">
        <v>4284</v>
      </c>
      <c r="U3725" s="47" t="s">
        <v>2450</v>
      </c>
      <c r="V3725" s="56">
        <v>211.6</v>
      </c>
      <c r="W3725" s="13"/>
      <c r="X3725" s="34">
        <v>3721</v>
      </c>
      <c r="Y3725" s="34" t="s">
        <v>2248</v>
      </c>
      <c r="Z3725" s="34" t="s">
        <v>3249</v>
      </c>
      <c r="AA3725" s="35">
        <v>7.0947580645161289E-5</v>
      </c>
      <c r="AB3725" s="13"/>
      <c r="AC3725" s="13"/>
      <c r="AD3725" s="13"/>
      <c r="AE3725" s="13"/>
      <c r="AF3725" s="13"/>
    </row>
    <row r="3726" spans="19:32" x14ac:dyDescent="0.35">
      <c r="S3726" s="34">
        <v>3722</v>
      </c>
      <c r="T3726" s="34" t="s">
        <v>4284</v>
      </c>
      <c r="U3726" s="34" t="s">
        <v>4055</v>
      </c>
      <c r="V3726" s="35">
        <v>3.7016129032258066E-3</v>
      </c>
      <c r="W3726" s="13"/>
      <c r="X3726" s="47">
        <v>3722</v>
      </c>
      <c r="Y3726" s="47" t="s">
        <v>2248</v>
      </c>
      <c r="Z3726" s="47" t="s">
        <v>2586</v>
      </c>
      <c r="AA3726" s="56">
        <v>651.36</v>
      </c>
      <c r="AB3726" s="13"/>
      <c r="AC3726" s="13"/>
      <c r="AD3726" s="13"/>
      <c r="AE3726" s="13"/>
      <c r="AF3726" s="13"/>
    </row>
    <row r="3727" spans="19:32" x14ac:dyDescent="0.35">
      <c r="S3727" s="47">
        <v>3723</v>
      </c>
      <c r="T3727" s="47" t="s">
        <v>4284</v>
      </c>
      <c r="U3727" s="47" t="s">
        <v>2448</v>
      </c>
      <c r="V3727" s="56">
        <v>11.592000000000001</v>
      </c>
      <c r="W3727" s="13"/>
      <c r="X3727" s="34">
        <v>3723</v>
      </c>
      <c r="Y3727" s="34" t="s">
        <v>2248</v>
      </c>
      <c r="Z3727" s="34" t="s">
        <v>2586</v>
      </c>
      <c r="AA3727" s="35">
        <v>2.9441532258064516E-4</v>
      </c>
      <c r="AB3727" s="13"/>
      <c r="AC3727" s="13"/>
      <c r="AD3727" s="13"/>
      <c r="AE3727" s="13"/>
      <c r="AF3727" s="13"/>
    </row>
    <row r="3728" spans="19:32" x14ac:dyDescent="0.35">
      <c r="S3728" s="34">
        <v>3724</v>
      </c>
      <c r="T3728" s="34" t="s">
        <v>4284</v>
      </c>
      <c r="U3728" s="34" t="s">
        <v>4053</v>
      </c>
      <c r="V3728" s="35">
        <v>6.1008064516129036E-3</v>
      </c>
      <c r="W3728" s="13"/>
      <c r="X3728" s="47">
        <v>3724</v>
      </c>
      <c r="Y3728" s="47" t="s">
        <v>2248</v>
      </c>
      <c r="Z3728" s="47" t="s">
        <v>4527</v>
      </c>
      <c r="AA3728" s="48">
        <v>0.25431451612903228</v>
      </c>
      <c r="AB3728" s="13"/>
      <c r="AC3728" s="13"/>
      <c r="AD3728" s="13"/>
      <c r="AE3728" s="13"/>
      <c r="AF3728" s="13"/>
    </row>
    <row r="3729" spans="19:32" x14ac:dyDescent="0.35">
      <c r="S3729" s="34">
        <v>3725</v>
      </c>
      <c r="T3729" s="34" t="s">
        <v>4284</v>
      </c>
      <c r="U3729" s="34" t="s">
        <v>4052</v>
      </c>
      <c r="V3729" s="35">
        <v>0.11687500000000001</v>
      </c>
      <c r="W3729" s="13"/>
      <c r="X3729" s="47">
        <v>3725</v>
      </c>
      <c r="Y3729" s="47" t="s">
        <v>2248</v>
      </c>
      <c r="Z3729" s="47" t="s">
        <v>2583</v>
      </c>
      <c r="AA3729" s="56">
        <v>187.68</v>
      </c>
      <c r="AB3729" s="13"/>
      <c r="AC3729" s="13"/>
      <c r="AD3729" s="13"/>
      <c r="AE3729" s="13"/>
      <c r="AF3729" s="13"/>
    </row>
    <row r="3730" spans="19:32" x14ac:dyDescent="0.35">
      <c r="S3730" s="34">
        <v>3726</v>
      </c>
      <c r="T3730" s="34" t="s">
        <v>4284</v>
      </c>
      <c r="U3730" s="34" t="s">
        <v>4051</v>
      </c>
      <c r="V3730" s="35">
        <v>4.2500000000000003E-3</v>
      </c>
      <c r="W3730" s="13"/>
      <c r="X3730" s="34">
        <v>3726</v>
      </c>
      <c r="Y3730" s="34" t="s">
        <v>2248</v>
      </c>
      <c r="Z3730" s="34" t="s">
        <v>2583</v>
      </c>
      <c r="AA3730" s="35">
        <v>2.0050403225806452E-4</v>
      </c>
      <c r="AB3730" s="13"/>
      <c r="AC3730" s="13"/>
      <c r="AD3730" s="13"/>
      <c r="AE3730" s="13"/>
      <c r="AF3730" s="13"/>
    </row>
    <row r="3731" spans="19:32" x14ac:dyDescent="0.35">
      <c r="S3731" s="34">
        <v>3727</v>
      </c>
      <c r="T3731" s="34" t="s">
        <v>4284</v>
      </c>
      <c r="U3731" s="34" t="s">
        <v>2446</v>
      </c>
      <c r="V3731" s="35">
        <v>1.915927419354839E-2</v>
      </c>
      <c r="W3731" s="13"/>
      <c r="X3731" s="47">
        <v>3727</v>
      </c>
      <c r="Y3731" s="47" t="s">
        <v>2248</v>
      </c>
      <c r="Z3731" s="47" t="s">
        <v>4526</v>
      </c>
      <c r="AA3731" s="48">
        <v>1.0008064516129032E-3</v>
      </c>
      <c r="AB3731" s="13"/>
      <c r="AC3731" s="13"/>
      <c r="AD3731" s="13"/>
      <c r="AE3731" s="13"/>
      <c r="AF3731" s="13"/>
    </row>
    <row r="3732" spans="19:32" x14ac:dyDescent="0.35">
      <c r="S3732" s="47">
        <v>3728</v>
      </c>
      <c r="T3732" s="47" t="s">
        <v>4284</v>
      </c>
      <c r="U3732" s="47" t="s">
        <v>2446</v>
      </c>
      <c r="V3732" s="56">
        <v>0</v>
      </c>
      <c r="W3732" s="13"/>
      <c r="X3732" s="47">
        <v>3728</v>
      </c>
      <c r="Y3732" s="47" t="s">
        <v>2248</v>
      </c>
      <c r="Z3732" s="47" t="s">
        <v>2580</v>
      </c>
      <c r="AA3732" s="56">
        <v>3.6063999999999999E-2</v>
      </c>
      <c r="AB3732" s="13"/>
      <c r="AC3732" s="13"/>
      <c r="AD3732" s="13"/>
      <c r="AE3732" s="13"/>
      <c r="AF3732" s="13"/>
    </row>
    <row r="3733" spans="19:32" x14ac:dyDescent="0.35">
      <c r="S3733" s="47">
        <v>3729</v>
      </c>
      <c r="T3733" s="47" t="s">
        <v>4284</v>
      </c>
      <c r="U3733" s="47" t="s">
        <v>2445</v>
      </c>
      <c r="V3733" s="56">
        <v>7.6819999999999995</v>
      </c>
      <c r="W3733" s="13"/>
      <c r="X3733" s="34">
        <v>3729</v>
      </c>
      <c r="Y3733" s="34" t="s">
        <v>2248</v>
      </c>
      <c r="Z3733" s="34" t="s">
        <v>2580</v>
      </c>
      <c r="AA3733" s="35">
        <v>4.5241935483870972E-3</v>
      </c>
      <c r="AB3733" s="13"/>
      <c r="AC3733" s="13"/>
      <c r="AD3733" s="13"/>
      <c r="AE3733" s="13"/>
      <c r="AF3733" s="13"/>
    </row>
    <row r="3734" spans="19:32" x14ac:dyDescent="0.35">
      <c r="S3734" s="34">
        <v>3730</v>
      </c>
      <c r="T3734" s="34" t="s">
        <v>4284</v>
      </c>
      <c r="U3734" s="34" t="s">
        <v>2443</v>
      </c>
      <c r="V3734" s="35">
        <v>0.14600806451612905</v>
      </c>
      <c r="W3734" s="13"/>
      <c r="X3734" s="47">
        <v>3730</v>
      </c>
      <c r="Y3734" s="47" t="s">
        <v>2248</v>
      </c>
      <c r="Z3734" s="47" t="s">
        <v>2689</v>
      </c>
      <c r="AA3734" s="56">
        <v>68.631999999999991</v>
      </c>
      <c r="AB3734" s="13"/>
      <c r="AC3734" s="13"/>
      <c r="AD3734" s="13"/>
      <c r="AE3734" s="13"/>
      <c r="AF3734" s="13"/>
    </row>
    <row r="3735" spans="19:32" x14ac:dyDescent="0.35">
      <c r="S3735" s="47">
        <v>3731</v>
      </c>
      <c r="T3735" s="47" t="s">
        <v>4284</v>
      </c>
      <c r="U3735" s="47" t="s">
        <v>2443</v>
      </c>
      <c r="V3735" s="56">
        <v>0</v>
      </c>
      <c r="W3735" s="13"/>
      <c r="X3735" s="47">
        <v>3731</v>
      </c>
      <c r="Y3735" s="47" t="s">
        <v>2248</v>
      </c>
      <c r="Z3735" s="47" t="s">
        <v>3246</v>
      </c>
      <c r="AA3735" s="48">
        <v>1.9639112903225807E-2</v>
      </c>
      <c r="AB3735" s="13"/>
      <c r="AC3735" s="13"/>
      <c r="AD3735" s="13"/>
      <c r="AE3735" s="13"/>
      <c r="AF3735" s="13"/>
    </row>
    <row r="3736" spans="19:32" x14ac:dyDescent="0.35">
      <c r="S3736" s="34">
        <v>3732</v>
      </c>
      <c r="T3736" s="34" t="s">
        <v>4284</v>
      </c>
      <c r="U3736" s="34" t="s">
        <v>4047</v>
      </c>
      <c r="V3736" s="35">
        <v>8.2600806451612913E-4</v>
      </c>
      <c r="W3736" s="13"/>
      <c r="X3736" s="47">
        <v>3732</v>
      </c>
      <c r="Y3736" s="47" t="s">
        <v>2248</v>
      </c>
      <c r="Z3736" s="47" t="s">
        <v>2688</v>
      </c>
      <c r="AA3736" s="56">
        <v>0.23368000000000003</v>
      </c>
      <c r="AB3736" s="13"/>
      <c r="AC3736" s="13"/>
      <c r="AD3736" s="13"/>
      <c r="AE3736" s="13"/>
      <c r="AF3736" s="13"/>
    </row>
    <row r="3737" spans="19:32" x14ac:dyDescent="0.35">
      <c r="S3737" s="47">
        <v>3733</v>
      </c>
      <c r="T3737" s="47" t="s">
        <v>4284</v>
      </c>
      <c r="U3737" s="47" t="s">
        <v>2442</v>
      </c>
      <c r="V3737" s="56">
        <v>0</v>
      </c>
      <c r="W3737" s="13"/>
      <c r="X3737" s="47">
        <v>3733</v>
      </c>
      <c r="Y3737" s="47" t="s">
        <v>2248</v>
      </c>
      <c r="Z3737" s="47" t="s">
        <v>2686</v>
      </c>
      <c r="AA3737" s="56">
        <v>82.707999999999998</v>
      </c>
      <c r="AB3737" s="13"/>
      <c r="AC3737" s="13"/>
      <c r="AD3737" s="13"/>
      <c r="AE3737" s="13"/>
      <c r="AF3737" s="13"/>
    </row>
    <row r="3738" spans="19:32" x14ac:dyDescent="0.35">
      <c r="S3738" s="47">
        <v>3734</v>
      </c>
      <c r="T3738" s="47" t="s">
        <v>4284</v>
      </c>
      <c r="U3738" s="47" t="s">
        <v>2440</v>
      </c>
      <c r="V3738" s="56">
        <v>0</v>
      </c>
      <c r="W3738" s="13"/>
      <c r="X3738" s="47">
        <v>3734</v>
      </c>
      <c r="Y3738" s="47" t="s">
        <v>2248</v>
      </c>
      <c r="Z3738" s="47" t="s">
        <v>3244</v>
      </c>
      <c r="AA3738" s="48">
        <v>2.3889112903225808E-6</v>
      </c>
      <c r="AB3738" s="13"/>
      <c r="AC3738" s="13"/>
      <c r="AD3738" s="13"/>
      <c r="AE3738" s="13"/>
      <c r="AF3738" s="13"/>
    </row>
    <row r="3739" spans="19:32" x14ac:dyDescent="0.35">
      <c r="S3739" s="47">
        <v>3735</v>
      </c>
      <c r="T3739" s="47" t="s">
        <v>4284</v>
      </c>
      <c r="U3739" s="47" t="s">
        <v>2439</v>
      </c>
      <c r="V3739" s="56">
        <v>0</v>
      </c>
      <c r="W3739" s="13"/>
      <c r="X3739" s="47">
        <v>3735</v>
      </c>
      <c r="Y3739" s="47" t="s">
        <v>2248</v>
      </c>
      <c r="Z3739" s="47" t="s">
        <v>2685</v>
      </c>
      <c r="AA3739" s="56">
        <v>318.32</v>
      </c>
      <c r="AB3739" s="13"/>
      <c r="AC3739" s="13"/>
      <c r="AD3739" s="13"/>
      <c r="AE3739" s="13"/>
      <c r="AF3739" s="13"/>
    </row>
    <row r="3740" spans="19:32" x14ac:dyDescent="0.35">
      <c r="S3740" s="34">
        <v>3736</v>
      </c>
      <c r="T3740" s="34" t="s">
        <v>4284</v>
      </c>
      <c r="U3740" s="34" t="s">
        <v>4046</v>
      </c>
      <c r="V3740" s="35">
        <v>6.1693548387096779E-2</v>
      </c>
      <c r="W3740" s="13"/>
      <c r="X3740" s="47">
        <v>3736</v>
      </c>
      <c r="Y3740" s="47" t="s">
        <v>2248</v>
      </c>
      <c r="Z3740" s="47" t="s">
        <v>2683</v>
      </c>
      <c r="AA3740" s="56">
        <v>15.087999999999999</v>
      </c>
      <c r="AB3740" s="13"/>
      <c r="AC3740" s="13"/>
      <c r="AD3740" s="13"/>
      <c r="AE3740" s="13"/>
      <c r="AF3740" s="13"/>
    </row>
    <row r="3741" spans="19:32" x14ac:dyDescent="0.35">
      <c r="S3741" s="47">
        <v>3737</v>
      </c>
      <c r="T3741" s="47" t="s">
        <v>4284</v>
      </c>
      <c r="U3741" s="47" t="s">
        <v>2437</v>
      </c>
      <c r="V3741" s="56">
        <v>1.2604</v>
      </c>
      <c r="W3741" s="13"/>
      <c r="X3741" s="47">
        <v>3737</v>
      </c>
      <c r="Y3741" s="47" t="s">
        <v>2248</v>
      </c>
      <c r="Z3741" s="47" t="s">
        <v>2682</v>
      </c>
      <c r="AA3741" s="56">
        <v>2.4104000000000001</v>
      </c>
      <c r="AB3741" s="13"/>
      <c r="AC3741" s="13"/>
      <c r="AD3741" s="13"/>
      <c r="AE3741" s="13"/>
      <c r="AF3741" s="13"/>
    </row>
    <row r="3742" spans="19:32" x14ac:dyDescent="0.35">
      <c r="S3742" s="34">
        <v>3738</v>
      </c>
      <c r="T3742" s="34" t="s">
        <v>4284</v>
      </c>
      <c r="U3742" s="34" t="s">
        <v>4044</v>
      </c>
      <c r="V3742" s="35">
        <v>4.2842741935483875E-2</v>
      </c>
      <c r="W3742" s="13"/>
      <c r="X3742" s="34">
        <v>3738</v>
      </c>
      <c r="Y3742" s="34" t="s">
        <v>2248</v>
      </c>
      <c r="Z3742" s="34" t="s">
        <v>4525</v>
      </c>
      <c r="AA3742" s="35">
        <v>2.7487903225806454E-3</v>
      </c>
      <c r="AB3742" s="13"/>
      <c r="AC3742" s="13"/>
      <c r="AD3742" s="13"/>
      <c r="AE3742" s="13"/>
      <c r="AF3742" s="13"/>
    </row>
    <row r="3743" spans="19:32" x14ac:dyDescent="0.35">
      <c r="S3743" s="34">
        <v>3739</v>
      </c>
      <c r="T3743" s="34" t="s">
        <v>4284</v>
      </c>
      <c r="U3743" s="34" t="s">
        <v>2435</v>
      </c>
      <c r="V3743" s="35">
        <v>5.8951612903225805E-6</v>
      </c>
      <c r="W3743" s="13"/>
      <c r="X3743" s="47">
        <v>3739</v>
      </c>
      <c r="Y3743" s="47" t="s">
        <v>2248</v>
      </c>
      <c r="Z3743" s="47" t="s">
        <v>2680</v>
      </c>
      <c r="AA3743" s="56">
        <v>5.8420000000000005</v>
      </c>
      <c r="AB3743" s="13"/>
      <c r="AC3743" s="13"/>
      <c r="AD3743" s="13"/>
      <c r="AE3743" s="13"/>
      <c r="AF3743" s="13"/>
    </row>
    <row r="3744" spans="19:32" x14ac:dyDescent="0.35">
      <c r="S3744" s="47">
        <v>3740</v>
      </c>
      <c r="T3744" s="47" t="s">
        <v>4284</v>
      </c>
      <c r="U3744" s="47" t="s">
        <v>2435</v>
      </c>
      <c r="V3744" s="56">
        <v>0</v>
      </c>
      <c r="W3744" s="13"/>
      <c r="X3744" s="47">
        <v>3740</v>
      </c>
      <c r="Y3744" s="47" t="s">
        <v>2248</v>
      </c>
      <c r="Z3744" s="47" t="s">
        <v>2578</v>
      </c>
      <c r="AA3744" s="56">
        <v>168.36</v>
      </c>
      <c r="AB3744" s="13"/>
      <c r="AC3744" s="13"/>
      <c r="AD3744" s="13"/>
      <c r="AE3744" s="13"/>
      <c r="AF3744" s="13"/>
    </row>
    <row r="3745" spans="19:32" x14ac:dyDescent="0.35">
      <c r="S3745" s="47">
        <v>3741</v>
      </c>
      <c r="T3745" s="47" t="s">
        <v>4284</v>
      </c>
      <c r="U3745" s="47" t="s">
        <v>2434</v>
      </c>
      <c r="V3745" s="56">
        <v>0.36708000000000002</v>
      </c>
      <c r="W3745" s="13"/>
      <c r="X3745" s="47">
        <v>3741</v>
      </c>
      <c r="Y3745" s="47" t="s">
        <v>2248</v>
      </c>
      <c r="Z3745" s="47" t="s">
        <v>3243</v>
      </c>
      <c r="AA3745" s="48">
        <v>0.28310483870967745</v>
      </c>
      <c r="AB3745" s="13"/>
      <c r="AC3745" s="13"/>
      <c r="AD3745" s="13"/>
      <c r="AE3745" s="13"/>
      <c r="AF3745" s="13"/>
    </row>
    <row r="3746" spans="19:32" x14ac:dyDescent="0.35">
      <c r="S3746" s="47">
        <v>3742</v>
      </c>
      <c r="T3746" s="47" t="s">
        <v>4284</v>
      </c>
      <c r="U3746" s="47" t="s">
        <v>2432</v>
      </c>
      <c r="V3746" s="56">
        <v>1.7204000000000002</v>
      </c>
      <c r="W3746" s="13"/>
      <c r="X3746" s="34">
        <v>3742</v>
      </c>
      <c r="Y3746" s="34" t="s">
        <v>2248</v>
      </c>
      <c r="Z3746" s="34" t="s">
        <v>2578</v>
      </c>
      <c r="AA3746" s="35">
        <v>1.6211693548387096E-3</v>
      </c>
      <c r="AB3746" s="13"/>
      <c r="AC3746" s="13"/>
      <c r="AD3746" s="13"/>
      <c r="AE3746" s="13"/>
      <c r="AF3746" s="13"/>
    </row>
    <row r="3747" spans="19:32" x14ac:dyDescent="0.35">
      <c r="S3747" s="34">
        <v>3743</v>
      </c>
      <c r="T3747" s="34" t="s">
        <v>4284</v>
      </c>
      <c r="U3747" s="34" t="s">
        <v>4041</v>
      </c>
      <c r="V3747" s="35">
        <v>2.3854838709677421E-2</v>
      </c>
      <c r="W3747" s="13"/>
      <c r="X3747" s="47">
        <v>3743</v>
      </c>
      <c r="Y3747" s="47" t="s">
        <v>2248</v>
      </c>
      <c r="Z3747" s="47" t="s">
        <v>2678</v>
      </c>
      <c r="AA3747" s="56">
        <v>3.8179999999999999E-2</v>
      </c>
      <c r="AB3747" s="13"/>
      <c r="AC3747" s="13"/>
      <c r="AD3747" s="13"/>
      <c r="AE3747" s="13"/>
      <c r="AF3747" s="13"/>
    </row>
    <row r="3748" spans="19:32" x14ac:dyDescent="0.35">
      <c r="S3748" s="34">
        <v>3744</v>
      </c>
      <c r="T3748" s="34" t="s">
        <v>4284</v>
      </c>
      <c r="U3748" s="34" t="s">
        <v>4040</v>
      </c>
      <c r="V3748" s="35">
        <v>2.8036290322580647E-4</v>
      </c>
      <c r="W3748" s="13"/>
      <c r="X3748" s="34">
        <v>3744</v>
      </c>
      <c r="Y3748" s="34" t="s">
        <v>2248</v>
      </c>
      <c r="Z3748" s="34" t="s">
        <v>4524</v>
      </c>
      <c r="AA3748" s="35">
        <v>1.7377016129032259E-2</v>
      </c>
      <c r="AB3748" s="13"/>
      <c r="AC3748" s="13"/>
      <c r="AD3748" s="13"/>
      <c r="AE3748" s="13"/>
      <c r="AF3748" s="13"/>
    </row>
    <row r="3749" spans="19:32" x14ac:dyDescent="0.35">
      <c r="S3749" s="34">
        <v>3745</v>
      </c>
      <c r="T3749" s="34" t="s">
        <v>4284</v>
      </c>
      <c r="U3749" s="34" t="s">
        <v>4038</v>
      </c>
      <c r="V3749" s="35">
        <v>1.6280241935483873E-4</v>
      </c>
      <c r="W3749" s="13"/>
      <c r="X3749" s="47">
        <v>3745</v>
      </c>
      <c r="Y3749" s="47" t="s">
        <v>2248</v>
      </c>
      <c r="Z3749" s="47" t="s">
        <v>2676</v>
      </c>
      <c r="AA3749" s="56">
        <v>33.672000000000004</v>
      </c>
      <c r="AB3749" s="13"/>
      <c r="AC3749" s="13"/>
      <c r="AD3749" s="13"/>
      <c r="AE3749" s="13"/>
      <c r="AF3749" s="13"/>
    </row>
    <row r="3750" spans="19:32" x14ac:dyDescent="0.35">
      <c r="S3750" s="36">
        <v>3746</v>
      </c>
      <c r="T3750" s="36" t="s">
        <v>4284</v>
      </c>
      <c r="U3750" s="36" t="s">
        <v>4037</v>
      </c>
      <c r="V3750" s="37">
        <v>2.4877500000000001</v>
      </c>
      <c r="W3750" s="13"/>
      <c r="X3750" s="47">
        <v>3746</v>
      </c>
      <c r="Y3750" s="47" t="s">
        <v>2248</v>
      </c>
      <c r="Z3750" s="47" t="s">
        <v>2675</v>
      </c>
      <c r="AA3750" s="56">
        <v>6.0995999999999997</v>
      </c>
      <c r="AB3750" s="13"/>
      <c r="AC3750" s="13"/>
      <c r="AD3750" s="13"/>
      <c r="AE3750" s="13"/>
      <c r="AF3750" s="13"/>
    </row>
    <row r="3751" spans="19:32" x14ac:dyDescent="0.35">
      <c r="S3751" s="34">
        <v>3747</v>
      </c>
      <c r="T3751" s="34" t="s">
        <v>4284</v>
      </c>
      <c r="U3751" s="34" t="s">
        <v>4037</v>
      </c>
      <c r="V3751" s="35">
        <v>1.5560483870967745E-6</v>
      </c>
      <c r="W3751" s="13"/>
      <c r="X3751" s="34">
        <v>3747</v>
      </c>
      <c r="Y3751" s="34" t="s">
        <v>2248</v>
      </c>
      <c r="Z3751" s="34" t="s">
        <v>2575</v>
      </c>
      <c r="AA3751" s="35">
        <v>5.106854838709678E-5</v>
      </c>
      <c r="AB3751" s="13"/>
      <c r="AC3751" s="13"/>
      <c r="AD3751" s="13"/>
      <c r="AE3751" s="13"/>
      <c r="AF3751" s="13"/>
    </row>
    <row r="3752" spans="19:32" x14ac:dyDescent="0.35">
      <c r="S3752" s="34">
        <v>3748</v>
      </c>
      <c r="T3752" s="34" t="s">
        <v>4284</v>
      </c>
      <c r="U3752" s="34" t="s">
        <v>4035</v>
      </c>
      <c r="V3752" s="35">
        <v>1.4600806451612904E-3</v>
      </c>
      <c r="W3752" s="13"/>
      <c r="X3752" s="47">
        <v>3748</v>
      </c>
      <c r="Y3752" s="47" t="s">
        <v>2248</v>
      </c>
      <c r="Z3752" s="47" t="s">
        <v>4523</v>
      </c>
      <c r="AA3752" s="48">
        <v>7.8487903225806459</v>
      </c>
      <c r="AB3752" s="13"/>
      <c r="AC3752" s="13"/>
      <c r="AD3752" s="13"/>
      <c r="AE3752" s="13"/>
      <c r="AF3752" s="13"/>
    </row>
    <row r="3753" spans="19:32" x14ac:dyDescent="0.35">
      <c r="S3753" s="34">
        <v>3749</v>
      </c>
      <c r="T3753" s="34" t="s">
        <v>4284</v>
      </c>
      <c r="U3753" s="34" t="s">
        <v>4034</v>
      </c>
      <c r="V3753" s="35">
        <v>1.4566532258064518E-2</v>
      </c>
      <c r="W3753" s="13"/>
      <c r="X3753" s="34">
        <v>3749</v>
      </c>
      <c r="Y3753" s="34" t="s">
        <v>2248</v>
      </c>
      <c r="Z3753" s="34" t="s">
        <v>2572</v>
      </c>
      <c r="AA3753" s="35">
        <v>3.9758064516129035E-3</v>
      </c>
      <c r="AB3753" s="13"/>
      <c r="AC3753" s="13"/>
      <c r="AD3753" s="13"/>
      <c r="AE3753" s="13"/>
      <c r="AF3753" s="13"/>
    </row>
    <row r="3754" spans="19:32" x14ac:dyDescent="0.35">
      <c r="S3754" s="34">
        <v>3750</v>
      </c>
      <c r="T3754" s="34" t="s">
        <v>4284</v>
      </c>
      <c r="U3754" s="34" t="s">
        <v>2431</v>
      </c>
      <c r="V3754" s="35">
        <v>8.8084677419354843E-2</v>
      </c>
      <c r="W3754" s="13"/>
      <c r="X3754" s="34">
        <v>3750</v>
      </c>
      <c r="Y3754" s="34" t="s">
        <v>2248</v>
      </c>
      <c r="Z3754" s="34" t="s">
        <v>2569</v>
      </c>
      <c r="AA3754" s="35">
        <v>4.4213709677419358E-4</v>
      </c>
      <c r="AB3754" s="13"/>
      <c r="AC3754" s="13"/>
      <c r="AD3754" s="13"/>
      <c r="AE3754" s="13"/>
      <c r="AF3754" s="13"/>
    </row>
    <row r="3755" spans="19:32" x14ac:dyDescent="0.35">
      <c r="S3755" s="47">
        <v>3751</v>
      </c>
      <c r="T3755" s="47" t="s">
        <v>4284</v>
      </c>
      <c r="U3755" s="47" t="s">
        <v>2431</v>
      </c>
      <c r="V3755" s="56">
        <v>0</v>
      </c>
      <c r="W3755" s="13"/>
      <c r="X3755" s="34">
        <v>3751</v>
      </c>
      <c r="Y3755" s="34" t="s">
        <v>2248</v>
      </c>
      <c r="Z3755" s="34" t="s">
        <v>4522</v>
      </c>
      <c r="AA3755" s="35">
        <v>1.5697580645161292E-2</v>
      </c>
      <c r="AB3755" s="13"/>
      <c r="AC3755" s="13"/>
      <c r="AD3755" s="13"/>
      <c r="AE3755" s="13"/>
      <c r="AF3755" s="13"/>
    </row>
    <row r="3756" spans="19:32" x14ac:dyDescent="0.35">
      <c r="S3756" s="47">
        <v>3752</v>
      </c>
      <c r="T3756" s="47" t="s">
        <v>4284</v>
      </c>
      <c r="U3756" s="47" t="s">
        <v>2429</v>
      </c>
      <c r="V3756" s="56">
        <v>305.44</v>
      </c>
      <c r="W3756" s="13"/>
      <c r="X3756" s="34">
        <v>3752</v>
      </c>
      <c r="Y3756" s="34" t="s">
        <v>2248</v>
      </c>
      <c r="Z3756" s="34" t="s">
        <v>2566</v>
      </c>
      <c r="AA3756" s="35">
        <v>1.038508064516129E-4</v>
      </c>
      <c r="AB3756" s="13"/>
      <c r="AC3756" s="13"/>
      <c r="AD3756" s="13"/>
      <c r="AE3756" s="13"/>
      <c r="AF3756" s="13"/>
    </row>
    <row r="3757" spans="19:32" x14ac:dyDescent="0.35">
      <c r="S3757" s="47">
        <v>3753</v>
      </c>
      <c r="T3757" s="47" t="s">
        <v>4284</v>
      </c>
      <c r="U3757" s="47" t="s">
        <v>2428</v>
      </c>
      <c r="V3757" s="56">
        <v>7.6820000000000005E-3</v>
      </c>
      <c r="W3757" s="13"/>
      <c r="X3757" s="34">
        <v>3753</v>
      </c>
      <c r="Y3757" s="34" t="s">
        <v>2248</v>
      </c>
      <c r="Z3757" s="34" t="s">
        <v>2564</v>
      </c>
      <c r="AA3757" s="35">
        <v>2.3340725806451614E-4</v>
      </c>
      <c r="AB3757" s="13"/>
      <c r="AC3757" s="13"/>
      <c r="AD3757" s="13"/>
      <c r="AE3757" s="13"/>
      <c r="AF3757" s="13"/>
    </row>
    <row r="3758" spans="19:32" x14ac:dyDescent="0.35">
      <c r="S3758" s="34">
        <v>3754</v>
      </c>
      <c r="T3758" s="34" t="s">
        <v>4284</v>
      </c>
      <c r="U3758" s="34" t="s">
        <v>4031</v>
      </c>
      <c r="V3758" s="35">
        <v>3.7701612903225808E-3</v>
      </c>
      <c r="W3758" s="13"/>
      <c r="X3758" s="47">
        <v>3754</v>
      </c>
      <c r="Y3758" s="47" t="s">
        <v>2248</v>
      </c>
      <c r="Z3758" s="47" t="s">
        <v>4521</v>
      </c>
      <c r="AA3758" s="48">
        <v>0.42842741935483875</v>
      </c>
      <c r="AB3758" s="13"/>
      <c r="AC3758" s="13"/>
      <c r="AD3758" s="13"/>
      <c r="AE3758" s="13"/>
      <c r="AF3758" s="13"/>
    </row>
    <row r="3759" spans="19:32" x14ac:dyDescent="0.35">
      <c r="S3759" s="34">
        <v>3755</v>
      </c>
      <c r="T3759" s="34" t="s">
        <v>4284</v>
      </c>
      <c r="U3759" s="34" t="s">
        <v>4030</v>
      </c>
      <c r="V3759" s="35">
        <v>1.0350806451612904E-2</v>
      </c>
      <c r="W3759" s="13"/>
      <c r="X3759" s="34">
        <v>3755</v>
      </c>
      <c r="Y3759" s="34" t="s">
        <v>2248</v>
      </c>
      <c r="Z3759" s="34" t="s">
        <v>2561</v>
      </c>
      <c r="AA3759" s="35">
        <v>3.3383064516129035E-4</v>
      </c>
      <c r="AB3759" s="13"/>
      <c r="AC3759" s="13"/>
      <c r="AD3759" s="13"/>
      <c r="AE3759" s="13"/>
      <c r="AF3759" s="13"/>
    </row>
    <row r="3760" spans="19:32" x14ac:dyDescent="0.35">
      <c r="S3760" s="34">
        <v>3756</v>
      </c>
      <c r="T3760" s="34" t="s">
        <v>4284</v>
      </c>
      <c r="U3760" s="34" t="s">
        <v>4028</v>
      </c>
      <c r="V3760" s="35">
        <v>2.4060483870967744</v>
      </c>
      <c r="W3760" s="13"/>
      <c r="X3760" s="34">
        <v>3756</v>
      </c>
      <c r="Y3760" s="34" t="s">
        <v>2248</v>
      </c>
      <c r="Z3760" s="34" t="s">
        <v>2558</v>
      </c>
      <c r="AA3760" s="35">
        <v>3.0264112903225811E-4</v>
      </c>
      <c r="AB3760" s="13"/>
      <c r="AC3760" s="13"/>
      <c r="AD3760" s="13"/>
      <c r="AE3760" s="13"/>
      <c r="AF3760" s="13"/>
    </row>
    <row r="3761" spans="19:32" x14ac:dyDescent="0.35">
      <c r="S3761" s="34">
        <v>3757</v>
      </c>
      <c r="T3761" s="34" t="s">
        <v>4284</v>
      </c>
      <c r="U3761" s="34" t="s">
        <v>2426</v>
      </c>
      <c r="V3761" s="35">
        <v>0.18096774193548387</v>
      </c>
      <c r="W3761" s="13"/>
      <c r="X3761" s="47">
        <v>3757</v>
      </c>
      <c r="Y3761" s="47" t="s">
        <v>2248</v>
      </c>
      <c r="Z3761" s="47" t="s">
        <v>3238</v>
      </c>
      <c r="AA3761" s="48">
        <v>2.9441532258064522E-3</v>
      </c>
      <c r="AB3761" s="13"/>
      <c r="AC3761" s="13"/>
      <c r="AD3761" s="13"/>
      <c r="AE3761" s="13"/>
      <c r="AF3761" s="13"/>
    </row>
    <row r="3762" spans="19:32" x14ac:dyDescent="0.35">
      <c r="S3762" s="47">
        <v>3758</v>
      </c>
      <c r="T3762" s="47" t="s">
        <v>4284</v>
      </c>
      <c r="U3762" s="47" t="s">
        <v>2426</v>
      </c>
      <c r="V3762" s="56">
        <v>0</v>
      </c>
      <c r="W3762" s="13"/>
      <c r="X3762" s="34">
        <v>3758</v>
      </c>
      <c r="Y3762" s="34" t="s">
        <v>2248</v>
      </c>
      <c r="Z3762" s="34" t="s">
        <v>2555</v>
      </c>
      <c r="AA3762" s="35">
        <v>5.0725806451612909E-3</v>
      </c>
      <c r="AB3762" s="13"/>
      <c r="AC3762" s="13"/>
      <c r="AD3762" s="13"/>
      <c r="AE3762" s="13"/>
      <c r="AF3762" s="13"/>
    </row>
    <row r="3763" spans="19:32" x14ac:dyDescent="0.35">
      <c r="S3763" s="34">
        <v>3759</v>
      </c>
      <c r="T3763" s="34" t="s">
        <v>4284</v>
      </c>
      <c r="U3763" s="34" t="s">
        <v>4026</v>
      </c>
      <c r="V3763" s="35">
        <v>3.1600806451612909E-2</v>
      </c>
      <c r="W3763" s="13"/>
      <c r="X3763" s="47">
        <v>3759</v>
      </c>
      <c r="Y3763" s="47" t="s">
        <v>2248</v>
      </c>
      <c r="Z3763" s="47" t="s">
        <v>2673</v>
      </c>
      <c r="AA3763" s="56">
        <v>0</v>
      </c>
      <c r="AB3763" s="13"/>
      <c r="AC3763" s="13"/>
      <c r="AD3763" s="13"/>
      <c r="AE3763" s="13"/>
      <c r="AF3763" s="13"/>
    </row>
    <row r="3764" spans="19:32" x14ac:dyDescent="0.35">
      <c r="S3764" s="34">
        <v>3760</v>
      </c>
      <c r="T3764" s="34" t="s">
        <v>4284</v>
      </c>
      <c r="U3764" s="34" t="s">
        <v>4024</v>
      </c>
      <c r="V3764" s="35">
        <v>2.6391129032258069E-5</v>
      </c>
      <c r="W3764" s="13"/>
      <c r="X3764" s="47">
        <v>3760</v>
      </c>
      <c r="Y3764" s="47" t="s">
        <v>2248</v>
      </c>
      <c r="Z3764" s="47" t="s">
        <v>3237</v>
      </c>
      <c r="AA3764" s="48">
        <v>0.24300403225806452</v>
      </c>
      <c r="AB3764" s="13"/>
      <c r="AC3764" s="13"/>
      <c r="AD3764" s="13"/>
      <c r="AE3764" s="13"/>
      <c r="AF3764" s="13"/>
    </row>
    <row r="3765" spans="19:32" x14ac:dyDescent="0.35">
      <c r="S3765" s="34">
        <v>3761</v>
      </c>
      <c r="T3765" s="34" t="s">
        <v>4284</v>
      </c>
      <c r="U3765" s="34" t="s">
        <v>4023</v>
      </c>
      <c r="V3765" s="35">
        <v>1.4977822580645162E-4</v>
      </c>
      <c r="W3765" s="13"/>
      <c r="X3765" s="34">
        <v>3761</v>
      </c>
      <c r="Y3765" s="34" t="s">
        <v>2248</v>
      </c>
      <c r="Z3765" s="34" t="s">
        <v>2553</v>
      </c>
      <c r="AA3765" s="35">
        <v>5.175403225806452E-2</v>
      </c>
      <c r="AB3765" s="13"/>
      <c r="AC3765" s="13"/>
      <c r="AD3765" s="13"/>
      <c r="AE3765" s="13"/>
      <c r="AF3765" s="13"/>
    </row>
    <row r="3766" spans="19:32" x14ac:dyDescent="0.35">
      <c r="S3766" s="34">
        <v>3762</v>
      </c>
      <c r="T3766" s="34" t="s">
        <v>4284</v>
      </c>
      <c r="U3766" s="34" t="s">
        <v>4022</v>
      </c>
      <c r="V3766" s="35">
        <v>1.9296370967741936E-3</v>
      </c>
      <c r="W3766" s="13"/>
      <c r="X3766" s="47">
        <v>3762</v>
      </c>
      <c r="Y3766" s="47" t="s">
        <v>2248</v>
      </c>
      <c r="Z3766" s="47" t="s">
        <v>2672</v>
      </c>
      <c r="AA3766" s="56">
        <v>0</v>
      </c>
      <c r="AB3766" s="13"/>
      <c r="AC3766" s="13"/>
      <c r="AD3766" s="13"/>
      <c r="AE3766" s="13"/>
      <c r="AF3766" s="13"/>
    </row>
    <row r="3767" spans="19:32" x14ac:dyDescent="0.35">
      <c r="S3767" s="47">
        <v>3763</v>
      </c>
      <c r="T3767" s="47" t="s">
        <v>4284</v>
      </c>
      <c r="U3767" s="47" t="s">
        <v>2425</v>
      </c>
      <c r="V3767" s="56">
        <v>0</v>
      </c>
      <c r="W3767" s="13"/>
      <c r="X3767" s="47">
        <v>3763</v>
      </c>
      <c r="Y3767" s="47" t="s">
        <v>2248</v>
      </c>
      <c r="Z3767" s="47" t="s">
        <v>4520</v>
      </c>
      <c r="AA3767" s="48">
        <v>6.237903225806452E-3</v>
      </c>
      <c r="AB3767" s="13"/>
      <c r="AC3767" s="13"/>
      <c r="AD3767" s="13"/>
      <c r="AE3767" s="13"/>
      <c r="AF3767" s="13"/>
    </row>
    <row r="3768" spans="19:32" x14ac:dyDescent="0.35">
      <c r="S3768" s="34">
        <v>3764</v>
      </c>
      <c r="T3768" s="34" t="s">
        <v>4284</v>
      </c>
      <c r="U3768" s="34" t="s">
        <v>2423</v>
      </c>
      <c r="V3768" s="35">
        <v>1.8336693548387097E-2</v>
      </c>
      <c r="W3768" s="13"/>
      <c r="X3768" s="34">
        <v>3764</v>
      </c>
      <c r="Y3768" s="34" t="s">
        <v>2248</v>
      </c>
      <c r="Z3768" s="34" t="s">
        <v>2550</v>
      </c>
      <c r="AA3768" s="35">
        <v>3.3897177419354841E-7</v>
      </c>
      <c r="AB3768" s="13"/>
      <c r="AC3768" s="13"/>
      <c r="AD3768" s="13"/>
      <c r="AE3768" s="13"/>
      <c r="AF3768" s="13"/>
    </row>
    <row r="3769" spans="19:32" x14ac:dyDescent="0.35">
      <c r="S3769" s="47">
        <v>3765</v>
      </c>
      <c r="T3769" s="47" t="s">
        <v>4284</v>
      </c>
      <c r="U3769" s="47" t="s">
        <v>2423</v>
      </c>
      <c r="V3769" s="56">
        <v>0</v>
      </c>
      <c r="W3769" s="13"/>
      <c r="X3769" s="47">
        <v>3765</v>
      </c>
      <c r="Y3769" s="47" t="s">
        <v>2248</v>
      </c>
      <c r="Z3769" s="47" t="s">
        <v>2547</v>
      </c>
      <c r="AA3769" s="56">
        <v>0</v>
      </c>
      <c r="AB3769" s="13"/>
      <c r="AC3769" s="13"/>
      <c r="AD3769" s="13"/>
      <c r="AE3769" s="13"/>
      <c r="AF3769" s="13"/>
    </row>
    <row r="3770" spans="19:32" x14ac:dyDescent="0.35">
      <c r="S3770" s="34">
        <v>3766</v>
      </c>
      <c r="T3770" s="34" t="s">
        <v>4284</v>
      </c>
      <c r="U3770" s="34" t="s">
        <v>2421</v>
      </c>
      <c r="V3770" s="35">
        <v>1.1653225806451614E-3</v>
      </c>
      <c r="W3770" s="13"/>
      <c r="X3770" s="34">
        <v>3766</v>
      </c>
      <c r="Y3770" s="34" t="s">
        <v>2248</v>
      </c>
      <c r="Z3770" s="34" t="s">
        <v>2547</v>
      </c>
      <c r="AA3770" s="35">
        <v>3.132661290322581E-2</v>
      </c>
      <c r="AB3770" s="13"/>
      <c r="AC3770" s="13"/>
      <c r="AD3770" s="13"/>
      <c r="AE3770" s="13"/>
      <c r="AF3770" s="13"/>
    </row>
    <row r="3771" spans="19:32" x14ac:dyDescent="0.35">
      <c r="S3771" s="47">
        <v>3767</v>
      </c>
      <c r="T3771" s="47" t="s">
        <v>4284</v>
      </c>
      <c r="U3771" s="47" t="s">
        <v>2421</v>
      </c>
      <c r="V3771" s="56">
        <v>0</v>
      </c>
      <c r="W3771" s="13"/>
      <c r="X3771" s="34">
        <v>3767</v>
      </c>
      <c r="Y3771" s="34" t="s">
        <v>2248</v>
      </c>
      <c r="Z3771" s="34" t="s">
        <v>4519</v>
      </c>
      <c r="AA3771" s="35">
        <v>4.7641129032258069E-2</v>
      </c>
      <c r="AB3771" s="13"/>
      <c r="AC3771" s="13"/>
      <c r="AD3771" s="13"/>
      <c r="AE3771" s="13"/>
      <c r="AF3771" s="13"/>
    </row>
    <row r="3772" spans="19:32" x14ac:dyDescent="0.35">
      <c r="S3772" s="34">
        <v>3768</v>
      </c>
      <c r="T3772" s="34" t="s">
        <v>4284</v>
      </c>
      <c r="U3772" s="34" t="s">
        <v>4018</v>
      </c>
      <c r="V3772" s="35">
        <v>4.1471774193548392E-3</v>
      </c>
      <c r="W3772" s="13"/>
      <c r="X3772" s="47">
        <v>3768</v>
      </c>
      <c r="Y3772" s="47" t="s">
        <v>2248</v>
      </c>
      <c r="Z3772" s="47" t="s">
        <v>2544</v>
      </c>
      <c r="AA3772" s="56">
        <v>0</v>
      </c>
      <c r="AB3772" s="13"/>
      <c r="AC3772" s="13"/>
      <c r="AD3772" s="13"/>
      <c r="AE3772" s="13"/>
      <c r="AF3772" s="13"/>
    </row>
    <row r="3773" spans="19:32" x14ac:dyDescent="0.35">
      <c r="S3773" s="34">
        <v>3769</v>
      </c>
      <c r="T3773" s="34" t="s">
        <v>4284</v>
      </c>
      <c r="U3773" s="34" t="s">
        <v>4017</v>
      </c>
      <c r="V3773" s="35">
        <v>1.7411290322580646E-5</v>
      </c>
      <c r="W3773" s="13"/>
      <c r="X3773" s="34">
        <v>3769</v>
      </c>
      <c r="Y3773" s="34" t="s">
        <v>2248</v>
      </c>
      <c r="Z3773" s="34" t="s">
        <v>2544</v>
      </c>
      <c r="AA3773" s="35">
        <v>1.6931451612903227E-3</v>
      </c>
      <c r="AB3773" s="13"/>
      <c r="AC3773" s="13"/>
      <c r="AD3773" s="13"/>
      <c r="AE3773" s="13"/>
      <c r="AF3773" s="13"/>
    </row>
    <row r="3774" spans="19:32" x14ac:dyDescent="0.35">
      <c r="S3774" s="34">
        <v>3770</v>
      </c>
      <c r="T3774" s="34" t="s">
        <v>4284</v>
      </c>
      <c r="U3774" s="34" t="s">
        <v>2420</v>
      </c>
      <c r="V3774" s="35">
        <v>7.6088709677419359</v>
      </c>
      <c r="W3774" s="13"/>
      <c r="X3774" s="47">
        <v>3770</v>
      </c>
      <c r="Y3774" s="47" t="s">
        <v>2248</v>
      </c>
      <c r="Z3774" s="47" t="s">
        <v>4518</v>
      </c>
      <c r="AA3774" s="48">
        <v>1.1481854838709677E-3</v>
      </c>
      <c r="AB3774" s="13"/>
      <c r="AC3774" s="13"/>
      <c r="AD3774" s="13"/>
      <c r="AE3774" s="13"/>
      <c r="AF3774" s="13"/>
    </row>
    <row r="3775" spans="19:32" x14ac:dyDescent="0.35">
      <c r="S3775" s="47">
        <v>3771</v>
      </c>
      <c r="T3775" s="47" t="s">
        <v>4284</v>
      </c>
      <c r="U3775" s="47" t="s">
        <v>2420</v>
      </c>
      <c r="V3775" s="56">
        <v>0.2944</v>
      </c>
      <c r="W3775" s="13"/>
      <c r="X3775" s="34">
        <v>3771</v>
      </c>
      <c r="Y3775" s="34" t="s">
        <v>2248</v>
      </c>
      <c r="Z3775" s="34" t="s">
        <v>2541</v>
      </c>
      <c r="AA3775" s="35">
        <v>1.0316532258064516E-4</v>
      </c>
      <c r="AB3775" s="13"/>
      <c r="AC3775" s="13"/>
      <c r="AD3775" s="13"/>
      <c r="AE3775" s="13"/>
      <c r="AF3775" s="13"/>
    </row>
    <row r="3776" spans="19:32" x14ac:dyDescent="0.35">
      <c r="S3776" s="34">
        <v>3772</v>
      </c>
      <c r="T3776" s="34" t="s">
        <v>4284</v>
      </c>
      <c r="U3776" s="34" t="s">
        <v>4014</v>
      </c>
      <c r="V3776" s="35">
        <v>8.0201612903225816E-3</v>
      </c>
      <c r="W3776" s="13"/>
      <c r="X3776" s="47">
        <v>3772</v>
      </c>
      <c r="Y3776" s="47" t="s">
        <v>2248</v>
      </c>
      <c r="Z3776" s="47" t="s">
        <v>2669</v>
      </c>
      <c r="AA3776" s="56">
        <v>7.7923999999999993E-2</v>
      </c>
      <c r="AB3776" s="13"/>
      <c r="AC3776" s="13"/>
      <c r="AD3776" s="13"/>
      <c r="AE3776" s="13"/>
      <c r="AF3776" s="13"/>
    </row>
    <row r="3777" spans="19:32" x14ac:dyDescent="0.35">
      <c r="S3777" s="34">
        <v>3773</v>
      </c>
      <c r="T3777" s="34" t="s">
        <v>4284</v>
      </c>
      <c r="U3777" s="34" t="s">
        <v>4013</v>
      </c>
      <c r="V3777" s="35">
        <v>7.5060483870967752E-3</v>
      </c>
      <c r="W3777" s="13"/>
      <c r="X3777" s="34">
        <v>3773</v>
      </c>
      <c r="Y3777" s="34" t="s">
        <v>2248</v>
      </c>
      <c r="Z3777" s="34" t="s">
        <v>4517</v>
      </c>
      <c r="AA3777" s="35">
        <v>1.1584677419354839E-2</v>
      </c>
      <c r="AB3777" s="13"/>
      <c r="AC3777" s="13"/>
      <c r="AD3777" s="13"/>
      <c r="AE3777" s="13"/>
      <c r="AF3777" s="13"/>
    </row>
    <row r="3778" spans="19:32" x14ac:dyDescent="0.35">
      <c r="S3778" s="34">
        <v>3774</v>
      </c>
      <c r="T3778" s="34" t="s">
        <v>4284</v>
      </c>
      <c r="U3778" s="34" t="s">
        <v>4011</v>
      </c>
      <c r="V3778" s="35">
        <v>0.55181451612903232</v>
      </c>
      <c r="W3778" s="13"/>
      <c r="X3778" s="34">
        <v>3774</v>
      </c>
      <c r="Y3778" s="34" t="s">
        <v>2248</v>
      </c>
      <c r="Z3778" s="34" t="s">
        <v>2539</v>
      </c>
      <c r="AA3778" s="35">
        <v>2.68366935483871E-4</v>
      </c>
      <c r="AB3778" s="13"/>
      <c r="AC3778" s="13"/>
      <c r="AD3778" s="13"/>
      <c r="AE3778" s="13"/>
      <c r="AF3778" s="13"/>
    </row>
    <row r="3779" spans="19:32" x14ac:dyDescent="0.35">
      <c r="S3779" s="34">
        <v>3775</v>
      </c>
      <c r="T3779" s="34" t="s">
        <v>4284</v>
      </c>
      <c r="U3779" s="34" t="s">
        <v>4010</v>
      </c>
      <c r="V3779" s="35">
        <v>2.0633064516129035E-2</v>
      </c>
      <c r="W3779" s="13"/>
      <c r="X3779" s="47">
        <v>3775</v>
      </c>
      <c r="Y3779" s="47" t="s">
        <v>2248</v>
      </c>
      <c r="Z3779" s="47" t="s">
        <v>2536</v>
      </c>
      <c r="AA3779" s="56">
        <v>0.91539999999999999</v>
      </c>
      <c r="AB3779" s="13"/>
      <c r="AC3779" s="13"/>
      <c r="AD3779" s="13"/>
      <c r="AE3779" s="13"/>
      <c r="AF3779" s="13"/>
    </row>
    <row r="3780" spans="19:32" x14ac:dyDescent="0.35">
      <c r="S3780" s="47">
        <v>3776</v>
      </c>
      <c r="T3780" s="47" t="s">
        <v>4284</v>
      </c>
      <c r="U3780" s="47" t="s">
        <v>2418</v>
      </c>
      <c r="V3780" s="56">
        <v>0</v>
      </c>
      <c r="W3780" s="13"/>
      <c r="X3780" s="34">
        <v>3776</v>
      </c>
      <c r="Y3780" s="34" t="s">
        <v>2248</v>
      </c>
      <c r="Z3780" s="34" t="s">
        <v>2536</v>
      </c>
      <c r="AA3780" s="35">
        <v>3.9072580645161292E-4</v>
      </c>
      <c r="AB3780" s="13"/>
      <c r="AC3780" s="13"/>
      <c r="AD3780" s="13"/>
      <c r="AE3780" s="13"/>
      <c r="AF3780" s="13"/>
    </row>
    <row r="3781" spans="19:32" x14ac:dyDescent="0.35">
      <c r="S3781" s="34">
        <v>3777</v>
      </c>
      <c r="T3781" s="34" t="s">
        <v>4284</v>
      </c>
      <c r="U3781" s="34" t="s">
        <v>4008</v>
      </c>
      <c r="V3781" s="35">
        <v>1.5766129032258068E-5</v>
      </c>
      <c r="W3781" s="13"/>
      <c r="X3781" s="47">
        <v>3777</v>
      </c>
      <c r="Y3781" s="47" t="s">
        <v>2248</v>
      </c>
      <c r="Z3781" s="47" t="s">
        <v>4516</v>
      </c>
      <c r="AA3781" s="48">
        <v>6.3750000000000005E-3</v>
      </c>
      <c r="AB3781" s="13"/>
      <c r="AC3781" s="13"/>
      <c r="AD3781" s="13"/>
      <c r="AE3781" s="13"/>
      <c r="AF3781" s="13"/>
    </row>
    <row r="3782" spans="19:32" x14ac:dyDescent="0.35">
      <c r="S3782" s="34">
        <v>3778</v>
      </c>
      <c r="T3782" s="34" t="s">
        <v>4284</v>
      </c>
      <c r="U3782" s="34" t="s">
        <v>4007</v>
      </c>
      <c r="V3782" s="35">
        <v>1.0145161290322582E-2</v>
      </c>
      <c r="W3782" s="13"/>
      <c r="X3782" s="47">
        <v>3778</v>
      </c>
      <c r="Y3782" s="47" t="s">
        <v>2248</v>
      </c>
      <c r="Z3782" s="47" t="s">
        <v>2667</v>
      </c>
      <c r="AA3782" s="56">
        <v>0</v>
      </c>
      <c r="AB3782" s="13"/>
      <c r="AC3782" s="13"/>
      <c r="AD3782" s="13"/>
      <c r="AE3782" s="13"/>
      <c r="AF3782" s="13"/>
    </row>
    <row r="3783" spans="19:32" x14ac:dyDescent="0.35">
      <c r="S3783" s="34">
        <v>3779</v>
      </c>
      <c r="T3783" s="34" t="s">
        <v>4284</v>
      </c>
      <c r="U3783" s="34" t="s">
        <v>4005</v>
      </c>
      <c r="V3783" s="35">
        <v>4.1129032258064518E-5</v>
      </c>
      <c r="W3783" s="13"/>
      <c r="X3783" s="34">
        <v>3779</v>
      </c>
      <c r="Y3783" s="34" t="s">
        <v>2248</v>
      </c>
      <c r="Z3783" s="34" t="s">
        <v>2533</v>
      </c>
      <c r="AA3783" s="35">
        <v>5.1411290322580646E-3</v>
      </c>
      <c r="AB3783" s="13"/>
      <c r="AC3783" s="13"/>
      <c r="AD3783" s="13"/>
      <c r="AE3783" s="13"/>
      <c r="AF3783" s="13"/>
    </row>
    <row r="3784" spans="19:32" x14ac:dyDescent="0.35">
      <c r="S3784" s="47">
        <v>3780</v>
      </c>
      <c r="T3784" s="47" t="s">
        <v>4284</v>
      </c>
      <c r="U3784" s="47" t="s">
        <v>2417</v>
      </c>
      <c r="V3784" s="56">
        <v>0</v>
      </c>
      <c r="W3784" s="13"/>
      <c r="X3784" s="34">
        <v>3780</v>
      </c>
      <c r="Y3784" s="34" t="s">
        <v>2248</v>
      </c>
      <c r="Z3784" s="34" t="s">
        <v>3235</v>
      </c>
      <c r="AA3784" s="35">
        <v>8.2943548387096782E-5</v>
      </c>
      <c r="AB3784" s="13"/>
      <c r="AC3784" s="13"/>
      <c r="AD3784" s="13"/>
      <c r="AE3784" s="13"/>
      <c r="AF3784" s="13"/>
    </row>
    <row r="3785" spans="19:32" x14ac:dyDescent="0.35">
      <c r="S3785" s="34">
        <v>3781</v>
      </c>
      <c r="T3785" s="34" t="s">
        <v>4284</v>
      </c>
      <c r="U3785" s="34" t="s">
        <v>2415</v>
      </c>
      <c r="V3785" s="35">
        <v>2.4677419354838713E-2</v>
      </c>
      <c r="W3785" s="13"/>
      <c r="X3785" s="34">
        <v>3781</v>
      </c>
      <c r="Y3785" s="34" t="s">
        <v>2248</v>
      </c>
      <c r="Z3785" s="34" t="s">
        <v>2530</v>
      </c>
      <c r="AA3785" s="35">
        <v>1.1207661290322581E-2</v>
      </c>
      <c r="AB3785" s="13"/>
      <c r="AC3785" s="13"/>
      <c r="AD3785" s="13"/>
      <c r="AE3785" s="13"/>
      <c r="AF3785" s="13"/>
    </row>
    <row r="3786" spans="19:32" x14ac:dyDescent="0.35">
      <c r="S3786" s="47">
        <v>3782</v>
      </c>
      <c r="T3786" s="47" t="s">
        <v>4284</v>
      </c>
      <c r="U3786" s="47" t="s">
        <v>2415</v>
      </c>
      <c r="V3786" s="56">
        <v>0.33396000000000003</v>
      </c>
      <c r="W3786" s="13"/>
      <c r="X3786" s="34">
        <v>3782</v>
      </c>
      <c r="Y3786" s="34" t="s">
        <v>2248</v>
      </c>
      <c r="Z3786" s="34" t="s">
        <v>2528</v>
      </c>
      <c r="AA3786" s="35">
        <v>1.052217741935484E-3</v>
      </c>
      <c r="AB3786" s="13"/>
      <c r="AC3786" s="13"/>
      <c r="AD3786" s="13"/>
      <c r="AE3786" s="13"/>
      <c r="AF3786" s="13"/>
    </row>
    <row r="3787" spans="19:32" x14ac:dyDescent="0.35">
      <c r="S3787" s="34">
        <v>3783</v>
      </c>
      <c r="T3787" s="34" t="s">
        <v>4284</v>
      </c>
      <c r="U3787" s="34" t="s">
        <v>4003</v>
      </c>
      <c r="V3787" s="35">
        <v>5.2782258064516138E-5</v>
      </c>
      <c r="W3787" s="13"/>
      <c r="X3787" s="47">
        <v>3783</v>
      </c>
      <c r="Y3787" s="47" t="s">
        <v>2248</v>
      </c>
      <c r="Z3787" s="47" t="s">
        <v>3233</v>
      </c>
      <c r="AA3787" s="48">
        <v>0.13949596774193548</v>
      </c>
      <c r="AB3787" s="13"/>
      <c r="AC3787" s="13"/>
      <c r="AD3787" s="13"/>
      <c r="AE3787" s="13"/>
      <c r="AF3787" s="13"/>
    </row>
    <row r="3788" spans="19:32" x14ac:dyDescent="0.35">
      <c r="S3788" s="47">
        <v>3784</v>
      </c>
      <c r="T3788" s="47" t="s">
        <v>4284</v>
      </c>
      <c r="U3788" s="47" t="s">
        <v>2414</v>
      </c>
      <c r="V3788" s="56">
        <v>12.696</v>
      </c>
      <c r="W3788" s="13"/>
      <c r="X3788" s="34">
        <v>3784</v>
      </c>
      <c r="Y3788" s="34" t="s">
        <v>2248</v>
      </c>
      <c r="Z3788" s="34" t="s">
        <v>2525</v>
      </c>
      <c r="AA3788" s="35">
        <v>8.9112903225806455E-4</v>
      </c>
      <c r="AB3788" s="13"/>
      <c r="AC3788" s="13"/>
      <c r="AD3788" s="13"/>
      <c r="AE3788" s="13"/>
      <c r="AF3788" s="13"/>
    </row>
    <row r="3789" spans="19:32" x14ac:dyDescent="0.35">
      <c r="S3789" s="34">
        <v>3785</v>
      </c>
      <c r="T3789" s="34" t="s">
        <v>4284</v>
      </c>
      <c r="U3789" s="34" t="s">
        <v>4002</v>
      </c>
      <c r="V3789" s="35">
        <v>2.0770161290322582E-5</v>
      </c>
      <c r="W3789" s="13"/>
      <c r="X3789" s="34">
        <v>3785</v>
      </c>
      <c r="Y3789" s="34" t="s">
        <v>2248</v>
      </c>
      <c r="Z3789" s="34" t="s">
        <v>2522</v>
      </c>
      <c r="AA3789" s="35">
        <v>1.3846774193548388E-3</v>
      </c>
      <c r="AB3789" s="13"/>
      <c r="AC3789" s="13"/>
      <c r="AD3789" s="13"/>
      <c r="AE3789" s="13"/>
      <c r="AF3789" s="13"/>
    </row>
    <row r="3790" spans="19:32" x14ac:dyDescent="0.35">
      <c r="S3790" s="34">
        <v>3786</v>
      </c>
      <c r="T3790" s="34" t="s">
        <v>4284</v>
      </c>
      <c r="U3790" s="34" t="s">
        <v>2412</v>
      </c>
      <c r="V3790" s="35">
        <v>8.6370967741935498E-6</v>
      </c>
      <c r="W3790" s="13"/>
      <c r="X3790" s="34">
        <v>3786</v>
      </c>
      <c r="Y3790" s="34" t="s">
        <v>2248</v>
      </c>
      <c r="Z3790" s="34" t="s">
        <v>2519</v>
      </c>
      <c r="AA3790" s="35">
        <v>1.878225806451613E-3</v>
      </c>
      <c r="AB3790" s="13"/>
      <c r="AC3790" s="13"/>
      <c r="AD3790" s="13"/>
      <c r="AE3790" s="13"/>
      <c r="AF3790" s="13"/>
    </row>
    <row r="3791" spans="19:32" x14ac:dyDescent="0.35">
      <c r="S3791" s="47">
        <v>3787</v>
      </c>
      <c r="T3791" s="47" t="s">
        <v>4284</v>
      </c>
      <c r="U3791" s="47" t="s">
        <v>2412</v>
      </c>
      <c r="V3791" s="56">
        <v>9.0251999999999999E-2</v>
      </c>
      <c r="W3791" s="13"/>
      <c r="X3791" s="47">
        <v>3787</v>
      </c>
      <c r="Y3791" s="47" t="s">
        <v>2248</v>
      </c>
      <c r="Z3791" s="47" t="s">
        <v>3232</v>
      </c>
      <c r="AA3791" s="48">
        <v>0.13949596774193548</v>
      </c>
      <c r="AB3791" s="13"/>
      <c r="AC3791" s="13"/>
      <c r="AD3791" s="13"/>
      <c r="AE3791" s="13"/>
      <c r="AF3791" s="13"/>
    </row>
    <row r="3792" spans="19:32" x14ac:dyDescent="0.35">
      <c r="S3792" s="34">
        <v>3788</v>
      </c>
      <c r="T3792" s="34" t="s">
        <v>4284</v>
      </c>
      <c r="U3792" s="34" t="s">
        <v>3999</v>
      </c>
      <c r="V3792" s="35">
        <v>7.643145161290323E-5</v>
      </c>
      <c r="W3792" s="13"/>
      <c r="X3792" s="47">
        <v>3788</v>
      </c>
      <c r="Y3792" s="47" t="s">
        <v>2248</v>
      </c>
      <c r="Z3792" s="47" t="s">
        <v>2516</v>
      </c>
      <c r="AA3792" s="56">
        <v>0</v>
      </c>
      <c r="AB3792" s="13"/>
      <c r="AC3792" s="13"/>
      <c r="AD3792" s="13"/>
      <c r="AE3792" s="13"/>
      <c r="AF3792" s="13"/>
    </row>
    <row r="3793" spans="19:32" x14ac:dyDescent="0.35">
      <c r="S3793" s="34">
        <v>3789</v>
      </c>
      <c r="T3793" s="34" t="s">
        <v>4284</v>
      </c>
      <c r="U3793" s="34" t="s">
        <v>3998</v>
      </c>
      <c r="V3793" s="35">
        <v>1.5868951612903227E-2</v>
      </c>
      <c r="W3793" s="13"/>
      <c r="X3793" s="34">
        <v>3789</v>
      </c>
      <c r="Y3793" s="34" t="s">
        <v>2248</v>
      </c>
      <c r="Z3793" s="34" t="s">
        <v>2516</v>
      </c>
      <c r="AA3793" s="35">
        <v>1.6383064516129035E-2</v>
      </c>
      <c r="AB3793" s="13"/>
      <c r="AC3793" s="13"/>
      <c r="AD3793" s="13"/>
      <c r="AE3793" s="13"/>
      <c r="AF3793" s="13"/>
    </row>
    <row r="3794" spans="19:32" x14ac:dyDescent="0.35">
      <c r="S3794" s="73">
        <v>3790</v>
      </c>
      <c r="T3794" s="73" t="s">
        <v>4284</v>
      </c>
      <c r="U3794" s="73" t="s">
        <v>4515</v>
      </c>
      <c r="V3794" s="74">
        <v>5.4999999949999996</v>
      </c>
      <c r="W3794" s="13"/>
      <c r="X3794" s="47">
        <v>3790</v>
      </c>
      <c r="Y3794" s="47" t="s">
        <v>2248</v>
      </c>
      <c r="Z3794" s="47" t="s">
        <v>3231</v>
      </c>
      <c r="AA3794" s="48">
        <v>1.795967741935484</v>
      </c>
      <c r="AB3794" s="13"/>
      <c r="AC3794" s="13"/>
      <c r="AD3794" s="13"/>
      <c r="AE3794" s="13"/>
      <c r="AF3794" s="13"/>
    </row>
    <row r="3795" spans="19:32" x14ac:dyDescent="0.35">
      <c r="S3795" s="34">
        <v>3791</v>
      </c>
      <c r="T3795" s="34" t="s">
        <v>4284</v>
      </c>
      <c r="U3795" s="34" t="s">
        <v>2410</v>
      </c>
      <c r="V3795" s="35">
        <v>5.3810483870967745E-6</v>
      </c>
      <c r="W3795" s="13"/>
      <c r="X3795" s="47">
        <v>3791</v>
      </c>
      <c r="Y3795" s="47" t="s">
        <v>2248</v>
      </c>
      <c r="Z3795" s="47" t="s">
        <v>2665</v>
      </c>
      <c r="AA3795" s="56">
        <v>58.512</v>
      </c>
      <c r="AB3795" s="13"/>
      <c r="AC3795" s="13"/>
      <c r="AD3795" s="13"/>
      <c r="AE3795" s="13"/>
      <c r="AF3795" s="13"/>
    </row>
    <row r="3796" spans="19:32" x14ac:dyDescent="0.35">
      <c r="S3796" s="47">
        <v>3792</v>
      </c>
      <c r="T3796" s="47" t="s">
        <v>4284</v>
      </c>
      <c r="U3796" s="47" t="s">
        <v>2410</v>
      </c>
      <c r="V3796" s="56">
        <v>0</v>
      </c>
      <c r="W3796" s="13"/>
      <c r="X3796" s="34">
        <v>3792</v>
      </c>
      <c r="Y3796" s="34" t="s">
        <v>2248</v>
      </c>
      <c r="Z3796" s="34" t="s">
        <v>2514</v>
      </c>
      <c r="AA3796" s="35">
        <v>8.9112903225806455E-4</v>
      </c>
      <c r="AB3796" s="13"/>
      <c r="AC3796" s="13"/>
      <c r="AD3796" s="13"/>
      <c r="AE3796" s="13"/>
      <c r="AF3796" s="13"/>
    </row>
    <row r="3797" spans="19:32" x14ac:dyDescent="0.35">
      <c r="S3797" s="47">
        <v>3793</v>
      </c>
      <c r="T3797" s="47" t="s">
        <v>4284</v>
      </c>
      <c r="U3797" s="47" t="s">
        <v>2409</v>
      </c>
      <c r="V3797" s="56">
        <v>0</v>
      </c>
      <c r="W3797" s="13"/>
      <c r="X3797" s="47">
        <v>3793</v>
      </c>
      <c r="Y3797" s="47" t="s">
        <v>2248</v>
      </c>
      <c r="Z3797" s="47" t="s">
        <v>3230</v>
      </c>
      <c r="AA3797" s="48">
        <v>9.4254032258064523E-3</v>
      </c>
      <c r="AB3797" s="13"/>
      <c r="AC3797" s="13"/>
      <c r="AD3797" s="13"/>
      <c r="AE3797" s="13"/>
      <c r="AF3797" s="13"/>
    </row>
    <row r="3798" spans="19:32" x14ac:dyDescent="0.35">
      <c r="S3798" s="34">
        <v>3794</v>
      </c>
      <c r="T3798" s="34" t="s">
        <v>4284</v>
      </c>
      <c r="U3798" s="34" t="s">
        <v>3995</v>
      </c>
      <c r="V3798" s="35">
        <v>4.215725806451613E-5</v>
      </c>
      <c r="W3798" s="13"/>
      <c r="X3798" s="34">
        <v>3794</v>
      </c>
      <c r="Y3798" s="34" t="s">
        <v>2248</v>
      </c>
      <c r="Z3798" s="34" t="s">
        <v>2511</v>
      </c>
      <c r="AA3798" s="35">
        <v>9.5625000000000007E-5</v>
      </c>
      <c r="AB3798" s="13"/>
      <c r="AC3798" s="13"/>
      <c r="AD3798" s="13"/>
      <c r="AE3798" s="13"/>
      <c r="AF3798" s="13"/>
    </row>
    <row r="3799" spans="19:32" x14ac:dyDescent="0.35">
      <c r="S3799" s="34">
        <v>3795</v>
      </c>
      <c r="T3799" s="34" t="s">
        <v>4284</v>
      </c>
      <c r="U3799" s="34" t="s">
        <v>3994</v>
      </c>
      <c r="V3799" s="35">
        <v>7.4717741935483874E-4</v>
      </c>
      <c r="W3799" s="13"/>
      <c r="X3799" s="34">
        <v>3795</v>
      </c>
      <c r="Y3799" s="34" t="s">
        <v>2248</v>
      </c>
      <c r="Z3799" s="34" t="s">
        <v>2508</v>
      </c>
      <c r="AA3799" s="35">
        <v>1.1584677419354839E-8</v>
      </c>
      <c r="AB3799" s="13"/>
      <c r="AC3799" s="13"/>
      <c r="AD3799" s="13"/>
      <c r="AE3799" s="13"/>
      <c r="AF3799" s="13"/>
    </row>
    <row r="3800" spans="19:32" x14ac:dyDescent="0.35">
      <c r="S3800" s="34">
        <v>3796</v>
      </c>
      <c r="T3800" s="34" t="s">
        <v>4284</v>
      </c>
      <c r="U3800" s="34" t="s">
        <v>3992</v>
      </c>
      <c r="V3800" s="35">
        <v>1.2681451612903226E-2</v>
      </c>
      <c r="W3800" s="13"/>
      <c r="X3800" s="47">
        <v>3796</v>
      </c>
      <c r="Y3800" s="47" t="s">
        <v>2248</v>
      </c>
      <c r="Z3800" s="47" t="s">
        <v>2663</v>
      </c>
      <c r="AA3800" s="56">
        <v>0</v>
      </c>
      <c r="AB3800" s="13"/>
      <c r="AC3800" s="13"/>
      <c r="AD3800" s="13"/>
      <c r="AE3800" s="13"/>
      <c r="AF3800" s="13"/>
    </row>
    <row r="3801" spans="19:32" x14ac:dyDescent="0.35">
      <c r="S3801" s="34">
        <v>3797</v>
      </c>
      <c r="T3801" s="34" t="s">
        <v>4284</v>
      </c>
      <c r="U3801" s="34" t="s">
        <v>3991</v>
      </c>
      <c r="V3801" s="35">
        <v>1.2133064516129033</v>
      </c>
      <c r="W3801" s="13"/>
      <c r="X3801" s="34">
        <v>3797</v>
      </c>
      <c r="Y3801" s="34" t="s">
        <v>2248</v>
      </c>
      <c r="Z3801" s="34" t="s">
        <v>4514</v>
      </c>
      <c r="AA3801" s="35">
        <v>5.5181451612903235E-6</v>
      </c>
      <c r="AB3801" s="13"/>
      <c r="AC3801" s="13"/>
      <c r="AD3801" s="13"/>
      <c r="AE3801" s="13"/>
      <c r="AF3801" s="13"/>
    </row>
    <row r="3802" spans="19:32" x14ac:dyDescent="0.35">
      <c r="S3802" s="34">
        <v>3798</v>
      </c>
      <c r="T3802" s="34" t="s">
        <v>4284</v>
      </c>
      <c r="U3802" s="34" t="s">
        <v>3990</v>
      </c>
      <c r="V3802" s="35">
        <v>0.20667338709677421</v>
      </c>
      <c r="W3802" s="13"/>
      <c r="X3802" s="34">
        <v>3798</v>
      </c>
      <c r="Y3802" s="34" t="s">
        <v>2248</v>
      </c>
      <c r="Z3802" s="34" t="s">
        <v>2505</v>
      </c>
      <c r="AA3802" s="35">
        <v>4.2500000000000003E-10</v>
      </c>
      <c r="AB3802" s="13"/>
      <c r="AC3802" s="13"/>
      <c r="AD3802" s="13"/>
      <c r="AE3802" s="13"/>
      <c r="AF3802" s="13"/>
    </row>
    <row r="3803" spans="19:32" x14ac:dyDescent="0.35">
      <c r="S3803" s="34">
        <v>3799</v>
      </c>
      <c r="T3803" s="34" t="s">
        <v>4284</v>
      </c>
      <c r="U3803" s="34" t="s">
        <v>3989</v>
      </c>
      <c r="V3803" s="35">
        <v>3.1806451612903228E-2</v>
      </c>
      <c r="W3803" s="13"/>
      <c r="X3803" s="34">
        <v>3799</v>
      </c>
      <c r="Y3803" s="34" t="s">
        <v>2248</v>
      </c>
      <c r="Z3803" s="34" t="s">
        <v>2503</v>
      </c>
      <c r="AA3803" s="35">
        <v>6.0665322580645168E-5</v>
      </c>
      <c r="AB3803" s="13"/>
      <c r="AC3803" s="13"/>
      <c r="AD3803" s="13"/>
      <c r="AE3803" s="13"/>
      <c r="AF3803" s="13"/>
    </row>
    <row r="3804" spans="19:32" x14ac:dyDescent="0.35">
      <c r="S3804" s="47">
        <v>3800</v>
      </c>
      <c r="T3804" s="47" t="s">
        <v>4284</v>
      </c>
      <c r="U3804" s="47" t="s">
        <v>2407</v>
      </c>
      <c r="V3804" s="56">
        <v>162.84</v>
      </c>
      <c r="W3804" s="13"/>
      <c r="X3804" s="47">
        <v>3800</v>
      </c>
      <c r="Y3804" s="47" t="s">
        <v>2248</v>
      </c>
      <c r="Z3804" s="47" t="s">
        <v>4513</v>
      </c>
      <c r="AA3804" s="48">
        <v>6.2721774193548398E-4</v>
      </c>
      <c r="AB3804" s="13"/>
      <c r="AC3804" s="13"/>
      <c r="AD3804" s="13"/>
      <c r="AE3804" s="13"/>
      <c r="AF3804" s="13"/>
    </row>
    <row r="3805" spans="19:32" x14ac:dyDescent="0.35">
      <c r="S3805" s="47">
        <v>3801</v>
      </c>
      <c r="T3805" s="47" t="s">
        <v>4284</v>
      </c>
      <c r="U3805" s="47" t="s">
        <v>2406</v>
      </c>
      <c r="V3805" s="56">
        <v>0</v>
      </c>
      <c r="W3805" s="13"/>
      <c r="X3805" s="34">
        <v>3801</v>
      </c>
      <c r="Y3805" s="34" t="s">
        <v>2248</v>
      </c>
      <c r="Z3805" s="34" t="s">
        <v>2500</v>
      </c>
      <c r="AA3805" s="35">
        <v>9.116935483870969E-4</v>
      </c>
      <c r="AB3805" s="13"/>
      <c r="AC3805" s="13"/>
      <c r="AD3805" s="13"/>
      <c r="AE3805" s="13"/>
      <c r="AF3805" s="13"/>
    </row>
    <row r="3806" spans="19:32" x14ac:dyDescent="0.35">
      <c r="S3806" s="34">
        <v>3802</v>
      </c>
      <c r="T3806" s="34" t="s">
        <v>4284</v>
      </c>
      <c r="U3806" s="34" t="s">
        <v>3988</v>
      </c>
      <c r="V3806" s="35">
        <v>3.0538306451612907E-6</v>
      </c>
      <c r="W3806" s="13"/>
      <c r="X3806" s="34">
        <v>3802</v>
      </c>
      <c r="Y3806" s="34" t="s">
        <v>2248</v>
      </c>
      <c r="Z3806" s="34" t="s">
        <v>2497</v>
      </c>
      <c r="AA3806" s="35">
        <v>8.9798387096774197E-3</v>
      </c>
      <c r="AB3806" s="13"/>
      <c r="AC3806" s="13"/>
      <c r="AD3806" s="13"/>
      <c r="AE3806" s="13"/>
      <c r="AF3806" s="13"/>
    </row>
    <row r="3807" spans="19:32" x14ac:dyDescent="0.35">
      <c r="S3807" s="34">
        <v>3803</v>
      </c>
      <c r="T3807" s="34" t="s">
        <v>4284</v>
      </c>
      <c r="U3807" s="34" t="s">
        <v>3986</v>
      </c>
      <c r="V3807" s="35">
        <v>1.8405241935483871</v>
      </c>
      <c r="W3807" s="13"/>
      <c r="X3807" s="34">
        <v>3803</v>
      </c>
      <c r="Y3807" s="34" t="s">
        <v>2248</v>
      </c>
      <c r="Z3807" s="34" t="s">
        <v>4512</v>
      </c>
      <c r="AA3807" s="35">
        <v>4.5927419354838711E-2</v>
      </c>
      <c r="AB3807" s="13"/>
      <c r="AC3807" s="13"/>
      <c r="AD3807" s="13"/>
      <c r="AE3807" s="13"/>
      <c r="AF3807" s="13"/>
    </row>
    <row r="3808" spans="19:32" x14ac:dyDescent="0.35">
      <c r="S3808" s="34">
        <v>3804</v>
      </c>
      <c r="T3808" s="34" t="s">
        <v>4284</v>
      </c>
      <c r="U3808" s="34" t="s">
        <v>3985</v>
      </c>
      <c r="V3808" s="35">
        <v>3.8387096774193552E-2</v>
      </c>
      <c r="W3808" s="13"/>
      <c r="X3808" s="34">
        <v>3804</v>
      </c>
      <c r="Y3808" s="34" t="s">
        <v>2248</v>
      </c>
      <c r="Z3808" s="34" t="s">
        <v>2494</v>
      </c>
      <c r="AA3808" s="35">
        <v>9.45967741935484E-4</v>
      </c>
      <c r="AB3808" s="13"/>
      <c r="AC3808" s="13"/>
      <c r="AD3808" s="13"/>
      <c r="AE3808" s="13"/>
      <c r="AF3808" s="13"/>
    </row>
    <row r="3809" spans="19:32" x14ac:dyDescent="0.35">
      <c r="S3809" s="36">
        <v>3805</v>
      </c>
      <c r="T3809" s="36" t="s">
        <v>4284</v>
      </c>
      <c r="U3809" s="58" t="s">
        <v>2404</v>
      </c>
      <c r="V3809" s="59">
        <v>1.2839999999999998</v>
      </c>
      <c r="W3809" s="13"/>
      <c r="X3809" s="34">
        <v>3805</v>
      </c>
      <c r="Y3809" s="34" t="s">
        <v>2248</v>
      </c>
      <c r="Z3809" s="34" t="s">
        <v>2491</v>
      </c>
      <c r="AA3809" s="35">
        <v>3.0881048387096776E-3</v>
      </c>
      <c r="AB3809" s="13"/>
      <c r="AC3809" s="13"/>
      <c r="AD3809" s="13"/>
      <c r="AE3809" s="13"/>
      <c r="AF3809" s="13"/>
    </row>
    <row r="3810" spans="19:32" x14ac:dyDescent="0.35">
      <c r="S3810" s="34">
        <v>3806</v>
      </c>
      <c r="T3810" s="34" t="s">
        <v>4284</v>
      </c>
      <c r="U3810" s="34" t="s">
        <v>2404</v>
      </c>
      <c r="V3810" s="35">
        <v>5.3125E-7</v>
      </c>
      <c r="W3810" s="13"/>
      <c r="X3810" s="34">
        <v>3806</v>
      </c>
      <c r="Y3810" s="34" t="s">
        <v>2248</v>
      </c>
      <c r="Z3810" s="34" t="s">
        <v>2489</v>
      </c>
      <c r="AA3810" s="35">
        <v>7.643145161290323E-5</v>
      </c>
      <c r="AB3810" s="13"/>
      <c r="AC3810" s="13"/>
      <c r="AD3810" s="13"/>
      <c r="AE3810" s="13"/>
      <c r="AF3810" s="13"/>
    </row>
    <row r="3811" spans="19:32" x14ac:dyDescent="0.35">
      <c r="S3811" s="47">
        <v>3807</v>
      </c>
      <c r="T3811" s="47" t="s">
        <v>4284</v>
      </c>
      <c r="U3811" s="47" t="s">
        <v>2404</v>
      </c>
      <c r="V3811" s="56">
        <v>0.47011999999999998</v>
      </c>
      <c r="W3811" s="13"/>
      <c r="X3811" s="47">
        <v>3807</v>
      </c>
      <c r="Y3811" s="47" t="s">
        <v>2248</v>
      </c>
      <c r="Z3811" s="47" t="s">
        <v>3222</v>
      </c>
      <c r="AA3811" s="48">
        <v>3.804435483870968E-4</v>
      </c>
      <c r="AB3811" s="13"/>
      <c r="AC3811" s="13"/>
      <c r="AD3811" s="13"/>
      <c r="AE3811" s="13"/>
      <c r="AF3811" s="13"/>
    </row>
    <row r="3812" spans="19:32" x14ac:dyDescent="0.35">
      <c r="S3812" s="47">
        <v>3808</v>
      </c>
      <c r="T3812" s="47" t="s">
        <v>4284</v>
      </c>
      <c r="U3812" s="47" t="s">
        <v>2403</v>
      </c>
      <c r="V3812" s="56">
        <v>0</v>
      </c>
      <c r="W3812" s="13"/>
      <c r="X3812" s="34">
        <v>3808</v>
      </c>
      <c r="Y3812" s="34" t="s">
        <v>2248</v>
      </c>
      <c r="Z3812" s="34" t="s">
        <v>2486</v>
      </c>
      <c r="AA3812" s="35">
        <v>1.1858870967741937E-4</v>
      </c>
      <c r="AB3812" s="13"/>
      <c r="AC3812" s="13"/>
      <c r="AD3812" s="13"/>
      <c r="AE3812" s="13"/>
      <c r="AF3812" s="13"/>
    </row>
    <row r="3813" spans="19:32" x14ac:dyDescent="0.35">
      <c r="S3813" s="47">
        <v>3809</v>
      </c>
      <c r="T3813" s="47" t="s">
        <v>4284</v>
      </c>
      <c r="U3813" s="47" t="s">
        <v>2401</v>
      </c>
      <c r="V3813" s="56">
        <v>0</v>
      </c>
      <c r="W3813" s="13"/>
      <c r="X3813" s="34">
        <v>3809</v>
      </c>
      <c r="Y3813" s="34" t="s">
        <v>2248</v>
      </c>
      <c r="Z3813" s="34" t="s">
        <v>2483</v>
      </c>
      <c r="AA3813" s="35">
        <v>3.5645161290322583E-6</v>
      </c>
      <c r="AB3813" s="13"/>
      <c r="AC3813" s="13"/>
      <c r="AD3813" s="13"/>
      <c r="AE3813" s="13"/>
      <c r="AF3813" s="13"/>
    </row>
    <row r="3814" spans="19:32" x14ac:dyDescent="0.35">
      <c r="S3814" s="47">
        <v>3810</v>
      </c>
      <c r="T3814" s="47" t="s">
        <v>4284</v>
      </c>
      <c r="U3814" s="47" t="s">
        <v>2400</v>
      </c>
      <c r="V3814" s="56">
        <v>0</v>
      </c>
      <c r="W3814" s="13"/>
      <c r="X3814" s="34">
        <v>3810</v>
      </c>
      <c r="Y3814" s="34" t="s">
        <v>2248</v>
      </c>
      <c r="Z3814" s="34" t="s">
        <v>3221</v>
      </c>
      <c r="AA3814" s="35">
        <v>9.7338709677419351E-5</v>
      </c>
      <c r="AB3814" s="13"/>
      <c r="AC3814" s="13"/>
      <c r="AD3814" s="13"/>
      <c r="AE3814" s="13"/>
      <c r="AF3814" s="13"/>
    </row>
    <row r="3815" spans="19:32" x14ac:dyDescent="0.35">
      <c r="S3815" s="47">
        <v>3811</v>
      </c>
      <c r="T3815" s="47" t="s">
        <v>4284</v>
      </c>
      <c r="U3815" s="47" t="s">
        <v>2398</v>
      </c>
      <c r="V3815" s="56">
        <v>0</v>
      </c>
      <c r="W3815" s="13"/>
      <c r="X3815" s="34">
        <v>3811</v>
      </c>
      <c r="Y3815" s="34" t="s">
        <v>2248</v>
      </c>
      <c r="Z3815" s="34" t="s">
        <v>2480</v>
      </c>
      <c r="AA3815" s="35">
        <v>3.0469758064516133E-6</v>
      </c>
      <c r="AB3815" s="13"/>
      <c r="AC3815" s="13"/>
      <c r="AD3815" s="13"/>
      <c r="AE3815" s="13"/>
      <c r="AF3815" s="13"/>
    </row>
    <row r="3816" spans="19:32" x14ac:dyDescent="0.35">
      <c r="S3816" s="34">
        <v>3812</v>
      </c>
      <c r="T3816" s="34" t="s">
        <v>4284</v>
      </c>
      <c r="U3816" s="34" t="s">
        <v>3981</v>
      </c>
      <c r="V3816" s="35">
        <v>0.11550403225806452</v>
      </c>
      <c r="W3816" s="13"/>
      <c r="X3816" s="34">
        <v>3812</v>
      </c>
      <c r="Y3816" s="34" t="s">
        <v>2248</v>
      </c>
      <c r="Z3816" s="34" t="s">
        <v>2478</v>
      </c>
      <c r="AA3816" s="35">
        <v>1.1036290322580645E-2</v>
      </c>
      <c r="AB3816" s="13"/>
      <c r="AC3816" s="13"/>
      <c r="AD3816" s="13"/>
      <c r="AE3816" s="13"/>
      <c r="AF3816" s="13"/>
    </row>
    <row r="3817" spans="19:32" x14ac:dyDescent="0.35">
      <c r="S3817" s="34">
        <v>3813</v>
      </c>
      <c r="T3817" s="34" t="s">
        <v>4284</v>
      </c>
      <c r="U3817" s="34" t="s">
        <v>3980</v>
      </c>
      <c r="V3817" s="35">
        <v>2.8995967741935486E-2</v>
      </c>
      <c r="W3817" s="13"/>
      <c r="X3817" s="47">
        <v>3813</v>
      </c>
      <c r="Y3817" s="47" t="s">
        <v>2248</v>
      </c>
      <c r="Z3817" s="47" t="s">
        <v>3220</v>
      </c>
      <c r="AA3817" s="48">
        <v>7.8487903225806459</v>
      </c>
      <c r="AB3817" s="13"/>
      <c r="AC3817" s="13"/>
      <c r="AD3817" s="13"/>
      <c r="AE3817" s="13"/>
      <c r="AF3817" s="13"/>
    </row>
    <row r="3818" spans="19:32" x14ac:dyDescent="0.35">
      <c r="S3818" s="34">
        <v>3814</v>
      </c>
      <c r="T3818" s="34" t="s">
        <v>4284</v>
      </c>
      <c r="U3818" s="34" t="s">
        <v>2396</v>
      </c>
      <c r="V3818" s="35">
        <v>6.9919354838709677E-4</v>
      </c>
      <c r="W3818" s="13"/>
      <c r="X3818" s="34">
        <v>3814</v>
      </c>
      <c r="Y3818" s="34" t="s">
        <v>2248</v>
      </c>
      <c r="Z3818" s="34" t="s">
        <v>2475</v>
      </c>
      <c r="AA3818" s="35">
        <v>7.8830645161290333E-4</v>
      </c>
      <c r="AB3818" s="13"/>
      <c r="AC3818" s="13"/>
      <c r="AD3818" s="13"/>
      <c r="AE3818" s="13"/>
      <c r="AF3818" s="13"/>
    </row>
    <row r="3819" spans="19:32" x14ac:dyDescent="0.35">
      <c r="S3819" s="47">
        <v>3815</v>
      </c>
      <c r="T3819" s="47" t="s">
        <v>4284</v>
      </c>
      <c r="U3819" s="47" t="s">
        <v>2396</v>
      </c>
      <c r="V3819" s="56">
        <v>0.48116000000000003</v>
      </c>
      <c r="W3819" s="13"/>
      <c r="X3819" s="34">
        <v>3815</v>
      </c>
      <c r="Y3819" s="34" t="s">
        <v>2248</v>
      </c>
      <c r="Z3819" s="34" t="s">
        <v>2472</v>
      </c>
      <c r="AA3819" s="35">
        <v>1.7068548387096776E-5</v>
      </c>
      <c r="AB3819" s="13"/>
      <c r="AC3819" s="13"/>
      <c r="AD3819" s="13"/>
      <c r="AE3819" s="13"/>
      <c r="AF3819" s="13"/>
    </row>
    <row r="3820" spans="19:32" x14ac:dyDescent="0.35">
      <c r="S3820" s="47">
        <v>3816</v>
      </c>
      <c r="T3820" s="47" t="s">
        <v>4284</v>
      </c>
      <c r="U3820" s="47" t="s">
        <v>2395</v>
      </c>
      <c r="V3820" s="56">
        <v>5.0416000000000002E-2</v>
      </c>
      <c r="W3820" s="13"/>
      <c r="X3820" s="47">
        <v>3816</v>
      </c>
      <c r="Y3820" s="47" t="s">
        <v>2248</v>
      </c>
      <c r="Z3820" s="47" t="s">
        <v>2662</v>
      </c>
      <c r="AA3820" s="56">
        <v>4.1399999999999999E-2</v>
      </c>
      <c r="AB3820" s="13"/>
      <c r="AC3820" s="13"/>
      <c r="AD3820" s="13"/>
      <c r="AE3820" s="13"/>
      <c r="AF3820" s="13"/>
    </row>
    <row r="3821" spans="19:32" x14ac:dyDescent="0.35">
      <c r="S3821" s="34">
        <v>3817</v>
      </c>
      <c r="T3821" s="34" t="s">
        <v>4284</v>
      </c>
      <c r="U3821" s="34" t="s">
        <v>2393</v>
      </c>
      <c r="V3821" s="35">
        <v>4.0786290322580646E-3</v>
      </c>
      <c r="W3821" s="13"/>
      <c r="X3821" s="47">
        <v>3817</v>
      </c>
      <c r="Y3821" s="47" t="s">
        <v>2248</v>
      </c>
      <c r="Z3821" s="47" t="s">
        <v>4511</v>
      </c>
      <c r="AA3821" s="48">
        <v>7.0604838709677423E-5</v>
      </c>
      <c r="AB3821" s="13"/>
      <c r="AC3821" s="13"/>
      <c r="AD3821" s="13"/>
      <c r="AE3821" s="13"/>
      <c r="AF3821" s="13"/>
    </row>
    <row r="3822" spans="19:32" x14ac:dyDescent="0.35">
      <c r="S3822" s="47">
        <v>3818</v>
      </c>
      <c r="T3822" s="47" t="s">
        <v>4284</v>
      </c>
      <c r="U3822" s="47" t="s">
        <v>2393</v>
      </c>
      <c r="V3822" s="56">
        <v>0</v>
      </c>
      <c r="W3822" s="13"/>
      <c r="X3822" s="34">
        <v>3818</v>
      </c>
      <c r="Y3822" s="34" t="s">
        <v>2248</v>
      </c>
      <c r="Z3822" s="34" t="s">
        <v>2469</v>
      </c>
      <c r="AA3822" s="35">
        <v>1.3983870967741936</v>
      </c>
      <c r="AB3822" s="13"/>
      <c r="AC3822" s="13"/>
      <c r="AD3822" s="13"/>
      <c r="AE3822" s="13"/>
      <c r="AF3822" s="13"/>
    </row>
    <row r="3823" spans="19:32" x14ac:dyDescent="0.35">
      <c r="S3823" s="34">
        <v>3819</v>
      </c>
      <c r="T3823" s="34" t="s">
        <v>4284</v>
      </c>
      <c r="U3823" s="34" t="s">
        <v>3976</v>
      </c>
      <c r="V3823" s="35">
        <v>3.8729838709677424E-3</v>
      </c>
      <c r="W3823" s="13"/>
      <c r="X3823" s="34">
        <v>3819</v>
      </c>
      <c r="Y3823" s="34" t="s">
        <v>2248</v>
      </c>
      <c r="Z3823" s="34" t="s">
        <v>2466</v>
      </c>
      <c r="AA3823" s="35">
        <v>1.1756048387096775E-3</v>
      </c>
      <c r="AB3823" s="13"/>
      <c r="AC3823" s="13"/>
      <c r="AD3823" s="13"/>
      <c r="AE3823" s="13"/>
      <c r="AF3823" s="13"/>
    </row>
    <row r="3824" spans="19:32" x14ac:dyDescent="0.35">
      <c r="S3824" s="34">
        <v>3820</v>
      </c>
      <c r="T3824" s="34" t="s">
        <v>4284</v>
      </c>
      <c r="U3824" s="34" t="s">
        <v>3975</v>
      </c>
      <c r="V3824" s="35">
        <v>1.4395161290322583E-4</v>
      </c>
      <c r="W3824" s="13"/>
      <c r="X3824" s="47">
        <v>3820</v>
      </c>
      <c r="Y3824" s="47" t="s">
        <v>2248</v>
      </c>
      <c r="Z3824" s="47" t="s">
        <v>4510</v>
      </c>
      <c r="AA3824" s="48">
        <v>1.1241935483870968E-4</v>
      </c>
      <c r="AB3824" s="13"/>
      <c r="AC3824" s="13"/>
      <c r="AD3824" s="13"/>
      <c r="AE3824" s="13"/>
      <c r="AF3824" s="13"/>
    </row>
    <row r="3825" spans="19:32" x14ac:dyDescent="0.35">
      <c r="S3825" s="47">
        <v>3821</v>
      </c>
      <c r="T3825" s="47" t="s">
        <v>4284</v>
      </c>
      <c r="U3825" s="47" t="s">
        <v>2392</v>
      </c>
      <c r="V3825" s="56">
        <v>0.32016</v>
      </c>
      <c r="W3825" s="13"/>
      <c r="X3825" s="34">
        <v>3821</v>
      </c>
      <c r="Y3825" s="34" t="s">
        <v>2248</v>
      </c>
      <c r="Z3825" s="34" t="s">
        <v>2464</v>
      </c>
      <c r="AA3825" s="35">
        <v>1.3024193548387097E-4</v>
      </c>
      <c r="AB3825" s="13"/>
      <c r="AC3825" s="13"/>
      <c r="AD3825" s="13"/>
      <c r="AE3825" s="13"/>
      <c r="AF3825" s="13"/>
    </row>
    <row r="3826" spans="19:32" x14ac:dyDescent="0.35">
      <c r="S3826" s="34">
        <v>3822</v>
      </c>
      <c r="T3826" s="34" t="s">
        <v>4284</v>
      </c>
      <c r="U3826" s="34" t="s">
        <v>3973</v>
      </c>
      <c r="V3826" s="35">
        <v>0.17925403225806452</v>
      </c>
      <c r="W3826" s="13"/>
      <c r="X3826" s="34">
        <v>3822</v>
      </c>
      <c r="Y3826" s="34" t="s">
        <v>2248</v>
      </c>
      <c r="Z3826" s="34" t="s">
        <v>2461</v>
      </c>
      <c r="AA3826" s="35">
        <v>7.1290322580645164E-3</v>
      </c>
      <c r="AB3826" s="13"/>
      <c r="AC3826" s="13"/>
      <c r="AD3826" s="13"/>
      <c r="AE3826" s="13"/>
      <c r="AF3826" s="13"/>
    </row>
    <row r="3827" spans="19:32" x14ac:dyDescent="0.35">
      <c r="S3827" s="47">
        <v>3823</v>
      </c>
      <c r="T3827" s="47" t="s">
        <v>4284</v>
      </c>
      <c r="U3827" s="47" t="s">
        <v>2390</v>
      </c>
      <c r="V3827" s="56">
        <v>0</v>
      </c>
      <c r="W3827" s="13"/>
      <c r="X3827" s="47">
        <v>3823</v>
      </c>
      <c r="Y3827" s="47" t="s">
        <v>2248</v>
      </c>
      <c r="Z3827" s="47" t="s">
        <v>4509</v>
      </c>
      <c r="AA3827" s="48">
        <v>9.8366935483870984E-3</v>
      </c>
      <c r="AB3827" s="13"/>
      <c r="AC3827" s="13"/>
      <c r="AD3827" s="13"/>
      <c r="AE3827" s="13"/>
      <c r="AF3827" s="13"/>
    </row>
    <row r="3828" spans="19:32" x14ac:dyDescent="0.35">
      <c r="S3828" s="34">
        <v>3824</v>
      </c>
      <c r="T3828" s="34" t="s">
        <v>4284</v>
      </c>
      <c r="U3828" s="34" t="s">
        <v>3971</v>
      </c>
      <c r="V3828" s="35">
        <v>0.61350806451612905</v>
      </c>
      <c r="W3828" s="13"/>
      <c r="X3828" s="34">
        <v>3824</v>
      </c>
      <c r="Y3828" s="34" t="s">
        <v>2248</v>
      </c>
      <c r="Z3828" s="34" t="s">
        <v>2458</v>
      </c>
      <c r="AA3828" s="35">
        <v>2.1832661290322585E-3</v>
      </c>
      <c r="AB3828" s="13"/>
      <c r="AC3828" s="13"/>
      <c r="AD3828" s="13"/>
      <c r="AE3828" s="13"/>
      <c r="AF3828" s="13"/>
    </row>
    <row r="3829" spans="19:32" x14ac:dyDescent="0.35">
      <c r="S3829" s="34">
        <v>3825</v>
      </c>
      <c r="T3829" s="34" t="s">
        <v>4284</v>
      </c>
      <c r="U3829" s="34" t="s">
        <v>3969</v>
      </c>
      <c r="V3829" s="35">
        <v>4.1129032258064519E-3</v>
      </c>
      <c r="W3829" s="13"/>
      <c r="X3829" s="34">
        <v>3825</v>
      </c>
      <c r="Y3829" s="34" t="s">
        <v>2248</v>
      </c>
      <c r="Z3829" s="34" t="s">
        <v>2455</v>
      </c>
      <c r="AA3829" s="35">
        <v>3.4274193548387098E-3</v>
      </c>
      <c r="AB3829" s="13"/>
      <c r="AC3829" s="13"/>
      <c r="AD3829" s="13"/>
      <c r="AE3829" s="13"/>
      <c r="AF3829" s="13"/>
    </row>
    <row r="3830" spans="19:32" x14ac:dyDescent="0.35">
      <c r="S3830" s="34">
        <v>3826</v>
      </c>
      <c r="T3830" s="34" t="s">
        <v>4284</v>
      </c>
      <c r="U3830" s="34" t="s">
        <v>3968</v>
      </c>
      <c r="V3830" s="35">
        <v>9.0483870967741936E-2</v>
      </c>
      <c r="W3830" s="13"/>
      <c r="X3830" s="34">
        <v>3826</v>
      </c>
      <c r="Y3830" s="34" t="s">
        <v>2248</v>
      </c>
      <c r="Z3830" s="34" t="s">
        <v>2452</v>
      </c>
      <c r="AA3830" s="35">
        <v>5.2439516129032266E-4</v>
      </c>
      <c r="AB3830" s="13"/>
      <c r="AC3830" s="13"/>
      <c r="AD3830" s="13"/>
      <c r="AE3830" s="13"/>
      <c r="AF3830" s="13"/>
    </row>
    <row r="3831" spans="19:32" x14ac:dyDescent="0.35">
      <c r="S3831" s="44">
        <v>3827</v>
      </c>
      <c r="T3831" s="44" t="s">
        <v>4284</v>
      </c>
      <c r="U3831" s="44" t="s">
        <v>4507</v>
      </c>
      <c r="V3831" s="45">
        <v>8.75</v>
      </c>
      <c r="W3831" s="13"/>
      <c r="X3831" s="34">
        <v>3827</v>
      </c>
      <c r="Y3831" s="34" t="s">
        <v>2248</v>
      </c>
      <c r="Z3831" s="34" t="s">
        <v>4508</v>
      </c>
      <c r="AA3831" s="35">
        <v>1.5491935483870969E-3</v>
      </c>
      <c r="AB3831" s="13"/>
      <c r="AC3831" s="13"/>
      <c r="AD3831" s="13"/>
      <c r="AE3831" s="13"/>
      <c r="AF3831" s="13"/>
    </row>
    <row r="3832" spans="19:32" x14ac:dyDescent="0.35">
      <c r="S3832" s="36">
        <v>3828</v>
      </c>
      <c r="T3832" s="36" t="s">
        <v>4284</v>
      </c>
      <c r="U3832" s="58" t="s">
        <v>4507</v>
      </c>
      <c r="V3832" s="59">
        <v>0.43388500000000002</v>
      </c>
      <c r="W3832" s="13"/>
      <c r="X3832" s="34">
        <v>3828</v>
      </c>
      <c r="Y3832" s="34" t="s">
        <v>2248</v>
      </c>
      <c r="Z3832" s="34" t="s">
        <v>2449</v>
      </c>
      <c r="AA3832" s="35">
        <v>6.9576612903225811E-7</v>
      </c>
      <c r="AB3832" s="13"/>
      <c r="AC3832" s="13"/>
      <c r="AD3832" s="13"/>
      <c r="AE3832" s="13"/>
      <c r="AF3832" s="13"/>
    </row>
    <row r="3833" spans="19:32" x14ac:dyDescent="0.35">
      <c r="S3833" s="44">
        <v>3829</v>
      </c>
      <c r="T3833" s="44" t="s">
        <v>4284</v>
      </c>
      <c r="U3833" s="44" t="s">
        <v>4506</v>
      </c>
      <c r="V3833" s="45">
        <v>0.21</v>
      </c>
      <c r="W3833" s="13"/>
      <c r="X3833" s="47">
        <v>3829</v>
      </c>
      <c r="Y3833" s="47" t="s">
        <v>2248</v>
      </c>
      <c r="Z3833" s="47" t="s">
        <v>2660</v>
      </c>
      <c r="AA3833" s="56">
        <v>7.0196000000000008E-2</v>
      </c>
      <c r="AB3833" s="13"/>
      <c r="AC3833" s="13"/>
      <c r="AD3833" s="13"/>
      <c r="AE3833" s="13"/>
      <c r="AF3833" s="13"/>
    </row>
    <row r="3834" spans="19:32" x14ac:dyDescent="0.35">
      <c r="S3834" s="44">
        <v>3830</v>
      </c>
      <c r="T3834" s="44" t="s">
        <v>4284</v>
      </c>
      <c r="U3834" s="44" t="s">
        <v>4505</v>
      </c>
      <c r="V3834" s="45">
        <v>4.7512500000000006</v>
      </c>
      <c r="W3834" s="13"/>
      <c r="X3834" s="47">
        <v>3830</v>
      </c>
      <c r="Y3834" s="47" t="s">
        <v>2248</v>
      </c>
      <c r="Z3834" s="47" t="s">
        <v>4504</v>
      </c>
      <c r="AA3834" s="48">
        <v>1.7788306451612906E-4</v>
      </c>
      <c r="AB3834" s="13"/>
      <c r="AC3834" s="13"/>
      <c r="AD3834" s="13"/>
      <c r="AE3834" s="13"/>
      <c r="AF3834" s="13"/>
    </row>
    <row r="3835" spans="19:32" x14ac:dyDescent="0.35">
      <c r="S3835" s="44">
        <v>3831</v>
      </c>
      <c r="T3835" s="44" t="s">
        <v>4284</v>
      </c>
      <c r="U3835" s="44" t="s">
        <v>4503</v>
      </c>
      <c r="V3835" s="45">
        <v>0.67374999999999996</v>
      </c>
      <c r="W3835" s="13"/>
      <c r="X3835" s="34">
        <v>3831</v>
      </c>
      <c r="Y3835" s="34" t="s">
        <v>2248</v>
      </c>
      <c r="Z3835" s="34" t="s">
        <v>2447</v>
      </c>
      <c r="AA3835" s="35">
        <v>1.2475806451612904E-2</v>
      </c>
      <c r="AB3835" s="13"/>
      <c r="AC3835" s="13"/>
      <c r="AD3835" s="13"/>
      <c r="AE3835" s="13"/>
      <c r="AF3835" s="13"/>
    </row>
    <row r="3836" spans="19:32" x14ac:dyDescent="0.35">
      <c r="S3836" s="44">
        <v>3832</v>
      </c>
      <c r="T3836" s="44" t="s">
        <v>4284</v>
      </c>
      <c r="U3836" s="44" t="s">
        <v>4502</v>
      </c>
      <c r="V3836" s="45">
        <v>10.543750000000001</v>
      </c>
      <c r="W3836" s="13"/>
      <c r="X3836" s="34">
        <v>3832</v>
      </c>
      <c r="Y3836" s="34" t="s">
        <v>2248</v>
      </c>
      <c r="Z3836" s="34" t="s">
        <v>2444</v>
      </c>
      <c r="AA3836" s="35">
        <v>1.7068548387096774E-2</v>
      </c>
      <c r="AB3836" s="13"/>
      <c r="AC3836" s="13"/>
      <c r="AD3836" s="13"/>
      <c r="AE3836" s="13"/>
      <c r="AF3836" s="13"/>
    </row>
    <row r="3837" spans="19:32" x14ac:dyDescent="0.35">
      <c r="S3837" s="44">
        <v>3833</v>
      </c>
      <c r="T3837" s="44" t="s">
        <v>4284</v>
      </c>
      <c r="U3837" s="44" t="s">
        <v>4501</v>
      </c>
      <c r="V3837" s="45">
        <v>0.27124999999999999</v>
      </c>
      <c r="W3837" s="13"/>
      <c r="X3837" s="47">
        <v>3833</v>
      </c>
      <c r="Y3837" s="47" t="s">
        <v>2248</v>
      </c>
      <c r="Z3837" s="47" t="s">
        <v>2659</v>
      </c>
      <c r="AA3837" s="56">
        <v>0.13984000000000002</v>
      </c>
      <c r="AB3837" s="13"/>
      <c r="AC3837" s="13"/>
      <c r="AD3837" s="13"/>
      <c r="AE3837" s="13"/>
      <c r="AF3837" s="13"/>
    </row>
    <row r="3838" spans="19:32" x14ac:dyDescent="0.35">
      <c r="S3838" s="44">
        <v>3834</v>
      </c>
      <c r="T3838" s="44" t="s">
        <v>4284</v>
      </c>
      <c r="U3838" s="44" t="s">
        <v>4500</v>
      </c>
      <c r="V3838" s="45">
        <v>4.59375</v>
      </c>
      <c r="W3838" s="13"/>
      <c r="X3838" s="34">
        <v>3834</v>
      </c>
      <c r="Y3838" s="34" t="s">
        <v>2248</v>
      </c>
      <c r="Z3838" s="34" t="s">
        <v>4499</v>
      </c>
      <c r="AA3838" s="35">
        <v>4.7983870967741937E-5</v>
      </c>
      <c r="AB3838" s="13"/>
      <c r="AC3838" s="13"/>
      <c r="AD3838" s="13"/>
      <c r="AE3838" s="13"/>
      <c r="AF3838" s="13"/>
    </row>
    <row r="3839" spans="19:32" x14ac:dyDescent="0.35">
      <c r="S3839" s="44">
        <v>3835</v>
      </c>
      <c r="T3839" s="44" t="s">
        <v>4284</v>
      </c>
      <c r="U3839" s="44" t="s">
        <v>4498</v>
      </c>
      <c r="V3839" s="45">
        <v>3.2987500000000001</v>
      </c>
      <c r="W3839" s="13"/>
      <c r="X3839" s="34">
        <v>3835</v>
      </c>
      <c r="Y3839" s="34" t="s">
        <v>2248</v>
      </c>
      <c r="Z3839" s="34" t="s">
        <v>2441</v>
      </c>
      <c r="AA3839" s="35">
        <v>1.7925403225806455E-4</v>
      </c>
      <c r="AB3839" s="13"/>
      <c r="AC3839" s="13"/>
      <c r="AD3839" s="13"/>
      <c r="AE3839" s="13"/>
      <c r="AF3839" s="13"/>
    </row>
    <row r="3840" spans="19:32" x14ac:dyDescent="0.35">
      <c r="S3840" s="44">
        <v>3836</v>
      </c>
      <c r="T3840" s="44" t="s">
        <v>4284</v>
      </c>
      <c r="U3840" s="44" t="s">
        <v>4497</v>
      </c>
      <c r="V3840" s="45">
        <v>0.97125000000000006</v>
      </c>
      <c r="W3840" s="13"/>
      <c r="X3840" s="34">
        <v>3836</v>
      </c>
      <c r="Y3840" s="34" t="s">
        <v>2248</v>
      </c>
      <c r="Z3840" s="34" t="s">
        <v>2438</v>
      </c>
      <c r="AA3840" s="35">
        <v>9.2883064516129047E-3</v>
      </c>
      <c r="AB3840" s="13"/>
      <c r="AC3840" s="13"/>
      <c r="AD3840" s="13"/>
      <c r="AE3840" s="13"/>
      <c r="AF3840" s="13"/>
    </row>
    <row r="3841" spans="19:32" x14ac:dyDescent="0.35">
      <c r="S3841" s="44">
        <v>3837</v>
      </c>
      <c r="T3841" s="44" t="s">
        <v>4284</v>
      </c>
      <c r="U3841" s="44" t="s">
        <v>4496</v>
      </c>
      <c r="V3841" s="45">
        <v>14.157500000000001</v>
      </c>
      <c r="W3841" s="13"/>
      <c r="X3841" s="47">
        <v>3837</v>
      </c>
      <c r="Y3841" s="47" t="s">
        <v>2248</v>
      </c>
      <c r="Z3841" s="47" t="s">
        <v>4495</v>
      </c>
      <c r="AA3841" s="48">
        <v>2.4471774193548391E-3</v>
      </c>
      <c r="AB3841" s="13"/>
      <c r="AC3841" s="13"/>
      <c r="AD3841" s="13"/>
      <c r="AE3841" s="13"/>
      <c r="AF3841" s="13"/>
    </row>
    <row r="3842" spans="19:32" x14ac:dyDescent="0.35">
      <c r="S3842" s="44">
        <v>3838</v>
      </c>
      <c r="T3842" s="44" t="s">
        <v>4284</v>
      </c>
      <c r="U3842" s="44" t="s">
        <v>4494</v>
      </c>
      <c r="V3842" s="45">
        <v>15.233750000000001</v>
      </c>
      <c r="W3842" s="13"/>
      <c r="X3842" s="34">
        <v>3838</v>
      </c>
      <c r="Y3842" s="34" t="s">
        <v>2248</v>
      </c>
      <c r="Z3842" s="34" t="s">
        <v>2436</v>
      </c>
      <c r="AA3842" s="35">
        <v>0.29818548387096777</v>
      </c>
      <c r="AB3842" s="13"/>
      <c r="AC3842" s="13"/>
      <c r="AD3842" s="13"/>
      <c r="AE3842" s="13"/>
      <c r="AF3842" s="13"/>
    </row>
    <row r="3843" spans="19:32" x14ac:dyDescent="0.35">
      <c r="S3843" s="44">
        <v>3839</v>
      </c>
      <c r="T3843" s="44" t="s">
        <v>4284</v>
      </c>
      <c r="U3843" s="44" t="s">
        <v>4493</v>
      </c>
      <c r="V3843" s="45">
        <v>13.65</v>
      </c>
      <c r="W3843" s="13"/>
      <c r="X3843" s="34">
        <v>3839</v>
      </c>
      <c r="Y3843" s="34" t="s">
        <v>2248</v>
      </c>
      <c r="Z3843" s="34" t="s">
        <v>2433</v>
      </c>
      <c r="AA3843" s="35">
        <v>2.6870967741935486E-3</v>
      </c>
      <c r="AB3843" s="13"/>
      <c r="AC3843" s="13"/>
      <c r="AD3843" s="13"/>
      <c r="AE3843" s="13"/>
      <c r="AF3843" s="13"/>
    </row>
    <row r="3844" spans="19:32" x14ac:dyDescent="0.35">
      <c r="S3844" s="44">
        <v>3840</v>
      </c>
      <c r="T3844" s="44" t="s">
        <v>4284</v>
      </c>
      <c r="U3844" s="44" t="s">
        <v>4492</v>
      </c>
      <c r="V3844" s="45">
        <v>2.4674999999999998</v>
      </c>
      <c r="W3844" s="13"/>
      <c r="X3844" s="34">
        <v>3840</v>
      </c>
      <c r="Y3844" s="34" t="s">
        <v>2248</v>
      </c>
      <c r="Z3844" s="34" t="s">
        <v>4491</v>
      </c>
      <c r="AA3844" s="35">
        <v>2.2175403225806454</v>
      </c>
      <c r="AB3844" s="13"/>
      <c r="AC3844" s="13"/>
      <c r="AD3844" s="13"/>
      <c r="AE3844" s="13"/>
      <c r="AF3844" s="13"/>
    </row>
    <row r="3845" spans="19:32" x14ac:dyDescent="0.35">
      <c r="S3845" s="44">
        <v>3841</v>
      </c>
      <c r="T3845" s="44" t="s">
        <v>4284</v>
      </c>
      <c r="U3845" s="44" t="s">
        <v>4490</v>
      </c>
      <c r="V3845" s="45">
        <v>0.71750000000000003</v>
      </c>
      <c r="W3845" s="13"/>
      <c r="X3845" s="34">
        <v>3841</v>
      </c>
      <c r="Y3845" s="34" t="s">
        <v>2248</v>
      </c>
      <c r="Z3845" s="34" t="s">
        <v>2430</v>
      </c>
      <c r="AA3845" s="35">
        <v>3.7016129032258066E-3</v>
      </c>
      <c r="AB3845" s="13"/>
      <c r="AC3845" s="13"/>
      <c r="AD3845" s="13"/>
      <c r="AE3845" s="13"/>
      <c r="AF3845" s="13"/>
    </row>
    <row r="3846" spans="19:32" x14ac:dyDescent="0.35">
      <c r="S3846" s="44">
        <v>3842</v>
      </c>
      <c r="T3846" s="44" t="s">
        <v>4284</v>
      </c>
      <c r="U3846" s="44" t="s">
        <v>4489</v>
      </c>
      <c r="V3846" s="45">
        <v>3.0887499999999997</v>
      </c>
      <c r="W3846" s="13"/>
      <c r="X3846" s="47">
        <v>3842</v>
      </c>
      <c r="Y3846" s="47" t="s">
        <v>2248</v>
      </c>
      <c r="Z3846" s="47" t="s">
        <v>2657</v>
      </c>
      <c r="AA3846" s="56">
        <v>5.4464000000000005E-3</v>
      </c>
      <c r="AB3846" s="13"/>
      <c r="AC3846" s="13"/>
      <c r="AD3846" s="13"/>
      <c r="AE3846" s="13"/>
      <c r="AF3846" s="13"/>
    </row>
    <row r="3847" spans="19:32" x14ac:dyDescent="0.35">
      <c r="S3847" s="44">
        <v>3843</v>
      </c>
      <c r="T3847" s="44" t="s">
        <v>4284</v>
      </c>
      <c r="U3847" s="44" t="s">
        <v>4488</v>
      </c>
      <c r="V3847" s="45">
        <v>4.7775000000000007</v>
      </c>
      <c r="W3847" s="13"/>
      <c r="X3847" s="34">
        <v>3843</v>
      </c>
      <c r="Y3847" s="34" t="s">
        <v>2248</v>
      </c>
      <c r="Z3847" s="34" t="s">
        <v>2427</v>
      </c>
      <c r="AA3847" s="35">
        <v>6.7520161290322584E-4</v>
      </c>
      <c r="AB3847" s="13"/>
      <c r="AC3847" s="13"/>
      <c r="AD3847" s="13"/>
      <c r="AE3847" s="13"/>
      <c r="AF3847" s="13"/>
    </row>
    <row r="3848" spans="19:32" x14ac:dyDescent="0.35">
      <c r="S3848" s="44">
        <v>3844</v>
      </c>
      <c r="T3848" s="44" t="s">
        <v>4284</v>
      </c>
      <c r="U3848" s="44" t="s">
        <v>4487</v>
      </c>
      <c r="V3848" s="45">
        <v>7.9275000000000002</v>
      </c>
      <c r="W3848" s="13"/>
      <c r="X3848" s="47">
        <v>3844</v>
      </c>
      <c r="Y3848" s="47" t="s">
        <v>2248</v>
      </c>
      <c r="Z3848" s="47" t="s">
        <v>4486</v>
      </c>
      <c r="AA3848" s="48">
        <v>179.59677419354841</v>
      </c>
      <c r="AB3848" s="13"/>
      <c r="AC3848" s="13"/>
      <c r="AD3848" s="13"/>
      <c r="AE3848" s="13"/>
      <c r="AF3848" s="13"/>
    </row>
    <row r="3849" spans="19:32" x14ac:dyDescent="0.35">
      <c r="S3849" s="44">
        <v>3845</v>
      </c>
      <c r="T3849" s="44" t="s">
        <v>4284</v>
      </c>
      <c r="U3849" s="44" t="s">
        <v>4485</v>
      </c>
      <c r="V3849" s="45">
        <v>7.8750000000000001E-2</v>
      </c>
      <c r="W3849" s="13"/>
      <c r="X3849" s="47">
        <v>3845</v>
      </c>
      <c r="Y3849" s="47" t="s">
        <v>2248</v>
      </c>
      <c r="Z3849" s="47" t="s">
        <v>2655</v>
      </c>
      <c r="AA3849" s="56">
        <v>0.14351999999999998</v>
      </c>
      <c r="AB3849" s="13"/>
      <c r="AC3849" s="13"/>
      <c r="AD3849" s="13"/>
      <c r="AE3849" s="13"/>
      <c r="AF3849" s="13"/>
    </row>
    <row r="3850" spans="19:32" x14ac:dyDescent="0.35">
      <c r="S3850" s="44">
        <v>3846</v>
      </c>
      <c r="T3850" s="44" t="s">
        <v>4284</v>
      </c>
      <c r="U3850" s="44" t="s">
        <v>4484</v>
      </c>
      <c r="V3850" s="45">
        <v>1.25125</v>
      </c>
      <c r="W3850" s="13"/>
      <c r="X3850" s="47">
        <v>3846</v>
      </c>
      <c r="Y3850" s="47" t="s">
        <v>2248</v>
      </c>
      <c r="Z3850" s="47" t="s">
        <v>2654</v>
      </c>
      <c r="AA3850" s="56">
        <v>0.5474</v>
      </c>
      <c r="AB3850" s="13"/>
      <c r="AC3850" s="13"/>
      <c r="AD3850" s="13"/>
      <c r="AE3850" s="13"/>
      <c r="AF3850" s="13"/>
    </row>
    <row r="3851" spans="19:32" x14ac:dyDescent="0.35">
      <c r="S3851" s="44">
        <v>3847</v>
      </c>
      <c r="T3851" s="44" t="s">
        <v>4284</v>
      </c>
      <c r="U3851" s="44" t="s">
        <v>4483</v>
      </c>
      <c r="V3851" s="45">
        <v>3.6224999999999996</v>
      </c>
      <c r="W3851" s="13"/>
      <c r="X3851" s="47">
        <v>3847</v>
      </c>
      <c r="Y3851" s="47" t="s">
        <v>2248</v>
      </c>
      <c r="Z3851" s="47" t="s">
        <v>4482</v>
      </c>
      <c r="AA3851" s="48">
        <v>1.264717741935484E-4</v>
      </c>
      <c r="AB3851" s="13"/>
      <c r="AC3851" s="13"/>
      <c r="AD3851" s="13"/>
      <c r="AE3851" s="13"/>
      <c r="AF3851" s="13"/>
    </row>
    <row r="3852" spans="19:32" x14ac:dyDescent="0.35">
      <c r="S3852" s="44">
        <v>3848</v>
      </c>
      <c r="T3852" s="44" t="s">
        <v>4284</v>
      </c>
      <c r="U3852" s="44" t="s">
        <v>4481</v>
      </c>
      <c r="V3852" s="45">
        <v>3.7275</v>
      </c>
      <c r="W3852" s="13"/>
      <c r="X3852" s="34">
        <v>3848</v>
      </c>
      <c r="Y3852" s="34" t="s">
        <v>2248</v>
      </c>
      <c r="Z3852" s="34" t="s">
        <v>2424</v>
      </c>
      <c r="AA3852" s="35">
        <v>1.4292338709677421E-2</v>
      </c>
      <c r="AB3852" s="13"/>
      <c r="AC3852" s="13"/>
      <c r="AD3852" s="13"/>
      <c r="AE3852" s="13"/>
      <c r="AF3852" s="13"/>
    </row>
    <row r="3853" spans="19:32" x14ac:dyDescent="0.35">
      <c r="S3853" s="44">
        <v>3849</v>
      </c>
      <c r="T3853" s="44" t="s">
        <v>4284</v>
      </c>
      <c r="U3853" s="44" t="s">
        <v>4480</v>
      </c>
      <c r="V3853" s="45">
        <v>0.7350000000000001</v>
      </c>
      <c r="W3853" s="13"/>
      <c r="X3853" s="47">
        <v>3849</v>
      </c>
      <c r="Y3853" s="47" t="s">
        <v>2248</v>
      </c>
      <c r="Z3853" s="47" t="s">
        <v>2652</v>
      </c>
      <c r="AA3853" s="56">
        <v>9.7520000000000007</v>
      </c>
      <c r="AB3853" s="13"/>
      <c r="AC3853" s="13"/>
      <c r="AD3853" s="13"/>
      <c r="AE3853" s="13"/>
      <c r="AF3853" s="13"/>
    </row>
    <row r="3854" spans="19:32" x14ac:dyDescent="0.35">
      <c r="S3854" s="44">
        <v>3850</v>
      </c>
      <c r="T3854" s="44" t="s">
        <v>4284</v>
      </c>
      <c r="U3854" s="44" t="s">
        <v>4479</v>
      </c>
      <c r="V3854" s="45">
        <v>3.7974999999999999</v>
      </c>
      <c r="W3854" s="13"/>
      <c r="X3854" s="47">
        <v>3850</v>
      </c>
      <c r="Y3854" s="47" t="s">
        <v>2248</v>
      </c>
      <c r="Z3854" s="47" t="s">
        <v>2651</v>
      </c>
      <c r="AA3854" s="56">
        <v>2.3828</v>
      </c>
      <c r="AB3854" s="13"/>
      <c r="AC3854" s="13"/>
      <c r="AD3854" s="13"/>
      <c r="AE3854" s="13"/>
      <c r="AF3854" s="13"/>
    </row>
    <row r="3855" spans="19:32" x14ac:dyDescent="0.35">
      <c r="S3855" s="44">
        <v>3851</v>
      </c>
      <c r="T3855" s="44" t="s">
        <v>4284</v>
      </c>
      <c r="U3855" s="44" t="s">
        <v>4478</v>
      </c>
      <c r="V3855" s="45">
        <v>8.4087499999999995</v>
      </c>
      <c r="W3855" s="13"/>
      <c r="X3855" s="47">
        <v>3851</v>
      </c>
      <c r="Y3855" s="47" t="s">
        <v>2248</v>
      </c>
      <c r="Z3855" s="47" t="s">
        <v>3212</v>
      </c>
      <c r="AA3855" s="48">
        <v>0.11344758064516131</v>
      </c>
      <c r="AB3855" s="13"/>
      <c r="AC3855" s="13"/>
      <c r="AD3855" s="13"/>
      <c r="AE3855" s="13"/>
      <c r="AF3855" s="13"/>
    </row>
    <row r="3856" spans="19:32" x14ac:dyDescent="0.35">
      <c r="S3856" s="44">
        <v>3852</v>
      </c>
      <c r="T3856" s="44" t="s">
        <v>4284</v>
      </c>
      <c r="U3856" s="44" t="s">
        <v>4477</v>
      </c>
      <c r="V3856" s="45">
        <v>2.8787500000000001</v>
      </c>
      <c r="W3856" s="13"/>
      <c r="X3856" s="34">
        <v>3852</v>
      </c>
      <c r="Y3856" s="34" t="s">
        <v>2248</v>
      </c>
      <c r="Z3856" s="34" t="s">
        <v>2422</v>
      </c>
      <c r="AA3856" s="35">
        <v>2.0393145161290323E-3</v>
      </c>
      <c r="AB3856" s="13"/>
      <c r="AC3856" s="13"/>
      <c r="AD3856" s="13"/>
      <c r="AE3856" s="13"/>
      <c r="AF3856" s="13"/>
    </row>
    <row r="3857" spans="19:32" x14ac:dyDescent="0.35">
      <c r="S3857" s="44">
        <v>3853</v>
      </c>
      <c r="T3857" s="44" t="s">
        <v>4284</v>
      </c>
      <c r="U3857" s="44" t="s">
        <v>4476</v>
      </c>
      <c r="V3857" s="45">
        <v>1.1725000000000001</v>
      </c>
      <c r="W3857" s="13"/>
      <c r="X3857" s="34">
        <v>3853</v>
      </c>
      <c r="Y3857" s="34" t="s">
        <v>2248</v>
      </c>
      <c r="Z3857" s="34" t="s">
        <v>2419</v>
      </c>
      <c r="AA3857" s="35">
        <v>5.8266129032258064E-5</v>
      </c>
      <c r="AB3857" s="13"/>
      <c r="AC3857" s="13"/>
      <c r="AD3857" s="13"/>
      <c r="AE3857" s="13"/>
      <c r="AF3857" s="13"/>
    </row>
    <row r="3858" spans="19:32" x14ac:dyDescent="0.35">
      <c r="S3858" s="44">
        <v>3854</v>
      </c>
      <c r="T3858" s="44" t="s">
        <v>4284</v>
      </c>
      <c r="U3858" s="44" t="s">
        <v>4475</v>
      </c>
      <c r="V3858" s="45">
        <v>0.23624999999999999</v>
      </c>
      <c r="W3858" s="13"/>
      <c r="X3858" s="47">
        <v>3854</v>
      </c>
      <c r="Y3858" s="47" t="s">
        <v>2248</v>
      </c>
      <c r="Z3858" s="47" t="s">
        <v>3210</v>
      </c>
      <c r="AA3858" s="48">
        <v>5.8608870967741941E-3</v>
      </c>
      <c r="AB3858" s="13"/>
      <c r="AC3858" s="13"/>
      <c r="AD3858" s="13"/>
      <c r="AE3858" s="13"/>
      <c r="AF3858" s="13"/>
    </row>
    <row r="3859" spans="19:32" x14ac:dyDescent="0.35">
      <c r="S3859" s="44">
        <v>3855</v>
      </c>
      <c r="T3859" s="44" t="s">
        <v>4284</v>
      </c>
      <c r="U3859" s="44" t="s">
        <v>4474</v>
      </c>
      <c r="V3859" s="45">
        <v>10.3775</v>
      </c>
      <c r="W3859" s="13"/>
      <c r="X3859" s="34">
        <v>3855</v>
      </c>
      <c r="Y3859" s="34" t="s">
        <v>2248</v>
      </c>
      <c r="Z3859" s="34" t="s">
        <v>2416</v>
      </c>
      <c r="AA3859" s="35">
        <v>3.084677419354839E-5</v>
      </c>
      <c r="AB3859" s="13"/>
      <c r="AC3859" s="13"/>
      <c r="AD3859" s="13"/>
      <c r="AE3859" s="13"/>
      <c r="AF3859" s="13"/>
    </row>
    <row r="3860" spans="19:32" x14ac:dyDescent="0.35">
      <c r="S3860" s="44">
        <v>3856</v>
      </c>
      <c r="T3860" s="44" t="s">
        <v>4284</v>
      </c>
      <c r="U3860" s="44" t="s">
        <v>4473</v>
      </c>
      <c r="V3860" s="45">
        <v>30.213749999999997</v>
      </c>
      <c r="W3860" s="13"/>
      <c r="X3860" s="47">
        <v>3856</v>
      </c>
      <c r="Y3860" s="47" t="s">
        <v>2248</v>
      </c>
      <c r="Z3860" s="47" t="s">
        <v>2413</v>
      </c>
      <c r="AA3860" s="56">
        <v>0</v>
      </c>
      <c r="AB3860" s="13"/>
      <c r="AC3860" s="13"/>
      <c r="AD3860" s="13"/>
      <c r="AE3860" s="13"/>
      <c r="AF3860" s="13"/>
    </row>
    <row r="3861" spans="19:32" x14ac:dyDescent="0.35">
      <c r="S3861" s="44">
        <v>3857</v>
      </c>
      <c r="T3861" s="44" t="s">
        <v>4284</v>
      </c>
      <c r="U3861" s="44" t="s">
        <v>4472</v>
      </c>
      <c r="V3861" s="45">
        <v>11.637500000000001</v>
      </c>
      <c r="W3861" s="13"/>
      <c r="X3861" s="34">
        <v>3857</v>
      </c>
      <c r="Y3861" s="34" t="s">
        <v>2248</v>
      </c>
      <c r="Z3861" s="34" t="s">
        <v>2413</v>
      </c>
      <c r="AA3861" s="35">
        <v>6.8891129032258067E-2</v>
      </c>
      <c r="AB3861" s="13"/>
      <c r="AC3861" s="13"/>
      <c r="AD3861" s="13"/>
      <c r="AE3861" s="13"/>
      <c r="AF3861" s="13"/>
    </row>
    <row r="3862" spans="19:32" x14ac:dyDescent="0.35">
      <c r="S3862" s="44">
        <v>3858</v>
      </c>
      <c r="T3862" s="44" t="s">
        <v>4284</v>
      </c>
      <c r="U3862" s="44" t="s">
        <v>4471</v>
      </c>
      <c r="V3862" s="45">
        <v>0.245</v>
      </c>
      <c r="W3862" s="13"/>
      <c r="X3862" s="34">
        <v>3858</v>
      </c>
      <c r="Y3862" s="34" t="s">
        <v>2248</v>
      </c>
      <c r="Z3862" s="34" t="s">
        <v>4470</v>
      </c>
      <c r="AA3862" s="35">
        <v>1.4189516129032259E-3</v>
      </c>
      <c r="AB3862" s="13"/>
      <c r="AC3862" s="13"/>
      <c r="AD3862" s="13"/>
      <c r="AE3862" s="13"/>
      <c r="AF3862" s="13"/>
    </row>
    <row r="3863" spans="19:32" x14ac:dyDescent="0.35">
      <c r="S3863" s="44">
        <v>3859</v>
      </c>
      <c r="T3863" s="44" t="s">
        <v>4284</v>
      </c>
      <c r="U3863" s="44" t="s">
        <v>4469</v>
      </c>
      <c r="V3863" s="45">
        <v>1.3387499999999999</v>
      </c>
      <c r="W3863" s="13"/>
      <c r="X3863" s="47">
        <v>3859</v>
      </c>
      <c r="Y3863" s="47" t="s">
        <v>2248</v>
      </c>
      <c r="Z3863" s="47" t="s">
        <v>2649</v>
      </c>
      <c r="AA3863" s="56">
        <v>0.73231999999999997</v>
      </c>
      <c r="AB3863" s="13"/>
      <c r="AC3863" s="13"/>
      <c r="AD3863" s="13"/>
      <c r="AE3863" s="13"/>
      <c r="AF3863" s="13"/>
    </row>
    <row r="3864" spans="19:32" x14ac:dyDescent="0.35">
      <c r="S3864" s="44">
        <v>3860</v>
      </c>
      <c r="T3864" s="44" t="s">
        <v>4284</v>
      </c>
      <c r="U3864" s="44" t="s">
        <v>4468</v>
      </c>
      <c r="V3864" s="45">
        <v>0.245</v>
      </c>
      <c r="W3864" s="13"/>
      <c r="X3864" s="47">
        <v>3860</v>
      </c>
      <c r="Y3864" s="47" t="s">
        <v>2248</v>
      </c>
      <c r="Z3864" s="47" t="s">
        <v>2647</v>
      </c>
      <c r="AA3864" s="56">
        <v>0.12787999999999999</v>
      </c>
      <c r="AB3864" s="13"/>
      <c r="AC3864" s="13"/>
      <c r="AD3864" s="13"/>
      <c r="AE3864" s="13"/>
      <c r="AF3864" s="13"/>
    </row>
    <row r="3865" spans="19:32" x14ac:dyDescent="0.35">
      <c r="S3865" s="44">
        <v>3861</v>
      </c>
      <c r="T3865" s="44" t="s">
        <v>4284</v>
      </c>
      <c r="U3865" s="44" t="s">
        <v>4467</v>
      </c>
      <c r="V3865" s="45">
        <v>13.30875</v>
      </c>
      <c r="W3865" s="13"/>
      <c r="X3865" s="47">
        <v>3861</v>
      </c>
      <c r="Y3865" s="47" t="s">
        <v>2248</v>
      </c>
      <c r="Z3865" s="47" t="s">
        <v>4466</v>
      </c>
      <c r="AA3865" s="48">
        <v>1.264717741935484E-3</v>
      </c>
      <c r="AB3865" s="13"/>
      <c r="AC3865" s="13"/>
      <c r="AD3865" s="13"/>
      <c r="AE3865" s="13"/>
      <c r="AF3865" s="13"/>
    </row>
    <row r="3866" spans="19:32" x14ac:dyDescent="0.35">
      <c r="S3866" s="44">
        <v>3862</v>
      </c>
      <c r="T3866" s="44" t="s">
        <v>4284</v>
      </c>
      <c r="U3866" s="44" t="s">
        <v>4465</v>
      </c>
      <c r="V3866" s="45">
        <v>1.58375</v>
      </c>
      <c r="W3866" s="13"/>
      <c r="X3866" s="47">
        <v>3862</v>
      </c>
      <c r="Y3866" s="47" t="s">
        <v>2248</v>
      </c>
      <c r="Z3866" s="47" t="s">
        <v>2645</v>
      </c>
      <c r="AA3866" s="56">
        <v>0.48575999999999997</v>
      </c>
      <c r="AB3866" s="13"/>
      <c r="AC3866" s="13"/>
      <c r="AD3866" s="13"/>
      <c r="AE3866" s="13"/>
      <c r="AF3866" s="13"/>
    </row>
    <row r="3867" spans="19:32" x14ac:dyDescent="0.35">
      <c r="S3867" s="44">
        <v>3863</v>
      </c>
      <c r="T3867" s="44" t="s">
        <v>4284</v>
      </c>
      <c r="U3867" s="44" t="s">
        <v>4464</v>
      </c>
      <c r="V3867" s="45">
        <v>5.25</v>
      </c>
      <c r="W3867" s="13"/>
      <c r="X3867" s="34">
        <v>3863</v>
      </c>
      <c r="Y3867" s="34" t="s">
        <v>2248</v>
      </c>
      <c r="Z3867" s="34" t="s">
        <v>2411</v>
      </c>
      <c r="AA3867" s="35">
        <v>2.4883064516129035E-4</v>
      </c>
      <c r="AB3867" s="13"/>
      <c r="AC3867" s="13"/>
      <c r="AD3867" s="13"/>
      <c r="AE3867" s="13"/>
      <c r="AF3867" s="13"/>
    </row>
    <row r="3868" spans="19:32" x14ac:dyDescent="0.35">
      <c r="S3868" s="44">
        <v>3864</v>
      </c>
      <c r="T3868" s="44" t="s">
        <v>4284</v>
      </c>
      <c r="U3868" s="44" t="s">
        <v>4463</v>
      </c>
      <c r="V3868" s="45">
        <v>1.0237500000000002</v>
      </c>
      <c r="W3868" s="13"/>
      <c r="X3868" s="34">
        <v>3864</v>
      </c>
      <c r="Y3868" s="34" t="s">
        <v>2248</v>
      </c>
      <c r="Z3868" s="34" t="s">
        <v>4462</v>
      </c>
      <c r="AA3868" s="35">
        <v>1.4258064516129033E-5</v>
      </c>
      <c r="AB3868" s="13"/>
      <c r="AC3868" s="13"/>
      <c r="AD3868" s="13"/>
      <c r="AE3868" s="13"/>
      <c r="AF3868" s="13"/>
    </row>
    <row r="3869" spans="19:32" x14ac:dyDescent="0.35">
      <c r="S3869" s="30">
        <v>3865</v>
      </c>
      <c r="T3869" s="30" t="s">
        <v>4284</v>
      </c>
      <c r="U3869" s="30" t="s">
        <v>4461</v>
      </c>
      <c r="V3869" s="31">
        <v>2726</v>
      </c>
      <c r="W3869" s="13"/>
      <c r="X3869" s="34">
        <v>3865</v>
      </c>
      <c r="Y3869" s="34" t="s">
        <v>2248</v>
      </c>
      <c r="Z3869" s="34" t="s">
        <v>2408</v>
      </c>
      <c r="AA3869" s="35">
        <v>2.0872983870967742E-4</v>
      </c>
      <c r="AB3869" s="13"/>
      <c r="AC3869" s="13"/>
      <c r="AD3869" s="13"/>
      <c r="AE3869" s="13"/>
      <c r="AF3869" s="13"/>
    </row>
    <row r="3870" spans="19:32" x14ac:dyDescent="0.35">
      <c r="S3870" s="44">
        <v>3866</v>
      </c>
      <c r="T3870" s="44" t="s">
        <v>4284</v>
      </c>
      <c r="U3870" s="44" t="s">
        <v>4460</v>
      </c>
      <c r="V3870" s="45">
        <v>8.75</v>
      </c>
      <c r="W3870" s="13"/>
      <c r="X3870" s="47">
        <v>3866</v>
      </c>
      <c r="Y3870" s="47" t="s">
        <v>2248</v>
      </c>
      <c r="Z3870" s="47" t="s">
        <v>2405</v>
      </c>
      <c r="AA3870" s="56">
        <v>4.9956E-2</v>
      </c>
      <c r="AB3870" s="13"/>
      <c r="AC3870" s="13"/>
      <c r="AD3870" s="13"/>
      <c r="AE3870" s="13"/>
      <c r="AF3870" s="13"/>
    </row>
    <row r="3871" spans="19:32" x14ac:dyDescent="0.35">
      <c r="S3871" s="53">
        <v>3867</v>
      </c>
      <c r="T3871" s="53" t="s">
        <v>4284</v>
      </c>
      <c r="U3871" s="36" t="s">
        <v>4459</v>
      </c>
      <c r="V3871" s="37">
        <v>0.43388500000000002</v>
      </c>
      <c r="W3871" s="13"/>
      <c r="X3871" s="34">
        <v>3867</v>
      </c>
      <c r="Y3871" s="34" t="s">
        <v>2248</v>
      </c>
      <c r="Z3871" s="34" t="s">
        <v>2405</v>
      </c>
      <c r="AA3871" s="35">
        <v>1.5697580645161291E-3</v>
      </c>
      <c r="AB3871" s="13"/>
      <c r="AC3871" s="13"/>
      <c r="AD3871" s="13"/>
      <c r="AE3871" s="13"/>
      <c r="AF3871" s="13"/>
    </row>
    <row r="3872" spans="19:32" x14ac:dyDescent="0.35">
      <c r="S3872" s="44">
        <v>3868</v>
      </c>
      <c r="T3872" s="44" t="s">
        <v>4284</v>
      </c>
      <c r="U3872" s="44" t="s">
        <v>4458</v>
      </c>
      <c r="V3872" s="45">
        <v>0.21</v>
      </c>
      <c r="W3872" s="13"/>
      <c r="X3872" s="47">
        <v>3868</v>
      </c>
      <c r="Y3872" s="47" t="s">
        <v>2248</v>
      </c>
      <c r="Z3872" s="47" t="s">
        <v>4457</v>
      </c>
      <c r="AA3872" s="48">
        <v>1.9639112903225807E-2</v>
      </c>
      <c r="AB3872" s="13"/>
      <c r="AC3872" s="13"/>
      <c r="AD3872" s="13"/>
      <c r="AE3872" s="13"/>
      <c r="AF3872" s="13"/>
    </row>
    <row r="3873" spans="19:32" x14ac:dyDescent="0.35">
      <c r="S3873" s="44">
        <v>3869</v>
      </c>
      <c r="T3873" s="44" t="s">
        <v>4284</v>
      </c>
      <c r="U3873" s="44" t="s">
        <v>4456</v>
      </c>
      <c r="V3873" s="45">
        <v>4.7512500000000006</v>
      </c>
      <c r="W3873" s="13"/>
      <c r="X3873" s="47">
        <v>3869</v>
      </c>
      <c r="Y3873" s="47" t="s">
        <v>2248</v>
      </c>
      <c r="Z3873" s="47" t="s">
        <v>2402</v>
      </c>
      <c r="AA3873" s="56">
        <v>0.14351999999999998</v>
      </c>
      <c r="AB3873" s="13"/>
      <c r="AC3873" s="13"/>
      <c r="AD3873" s="13"/>
      <c r="AE3873" s="13"/>
      <c r="AF3873" s="13"/>
    </row>
    <row r="3874" spans="19:32" x14ac:dyDescent="0.35">
      <c r="S3874" s="44">
        <v>3870</v>
      </c>
      <c r="T3874" s="44" t="s">
        <v>4284</v>
      </c>
      <c r="U3874" s="44" t="s">
        <v>4455</v>
      </c>
      <c r="V3874" s="45">
        <v>0.67374999999999996</v>
      </c>
      <c r="W3874" s="13"/>
      <c r="X3874" s="34">
        <v>3870</v>
      </c>
      <c r="Y3874" s="34" t="s">
        <v>2248</v>
      </c>
      <c r="Z3874" s="34" t="s">
        <v>2402</v>
      </c>
      <c r="AA3874" s="35">
        <v>1.5937500000000001E-3</v>
      </c>
      <c r="AB3874" s="13"/>
      <c r="AC3874" s="13"/>
      <c r="AD3874" s="13"/>
      <c r="AE3874" s="13"/>
      <c r="AF3874" s="13"/>
    </row>
    <row r="3875" spans="19:32" x14ac:dyDescent="0.35">
      <c r="S3875" s="44">
        <v>3871</v>
      </c>
      <c r="T3875" s="44" t="s">
        <v>4284</v>
      </c>
      <c r="U3875" s="44" t="s">
        <v>4454</v>
      </c>
      <c r="V3875" s="45">
        <v>10.543750000000001</v>
      </c>
      <c r="W3875" s="13"/>
      <c r="X3875" s="34">
        <v>3871</v>
      </c>
      <c r="Y3875" s="34" t="s">
        <v>2248</v>
      </c>
      <c r="Z3875" s="34" t="s">
        <v>4453</v>
      </c>
      <c r="AA3875" s="35">
        <v>3.8729838709677424E-3</v>
      </c>
      <c r="AB3875" s="13"/>
      <c r="AC3875" s="13"/>
      <c r="AD3875" s="13"/>
      <c r="AE3875" s="13"/>
      <c r="AF3875" s="13"/>
    </row>
    <row r="3876" spans="19:32" x14ac:dyDescent="0.35">
      <c r="S3876" s="44">
        <v>3872</v>
      </c>
      <c r="T3876" s="44" t="s">
        <v>4284</v>
      </c>
      <c r="U3876" s="44" t="s">
        <v>4452</v>
      </c>
      <c r="V3876" s="45">
        <v>0.27124999999999999</v>
      </c>
      <c r="W3876" s="13"/>
      <c r="X3876" s="34">
        <v>3872</v>
      </c>
      <c r="Y3876" s="34" t="s">
        <v>2248</v>
      </c>
      <c r="Z3876" s="34" t="s">
        <v>2399</v>
      </c>
      <c r="AA3876" s="35">
        <v>4.7641129032258069E-4</v>
      </c>
      <c r="AB3876" s="13"/>
      <c r="AC3876" s="13"/>
      <c r="AD3876" s="13"/>
      <c r="AE3876" s="13"/>
      <c r="AF3876" s="13"/>
    </row>
    <row r="3877" spans="19:32" x14ac:dyDescent="0.35">
      <c r="S3877" s="44">
        <v>3873</v>
      </c>
      <c r="T3877" s="44" t="s">
        <v>4284</v>
      </c>
      <c r="U3877" s="44" t="s">
        <v>4451</v>
      </c>
      <c r="V3877" s="45">
        <v>4.59375</v>
      </c>
      <c r="W3877" s="13"/>
      <c r="X3877" s="47">
        <v>3873</v>
      </c>
      <c r="Y3877" s="47" t="s">
        <v>2248</v>
      </c>
      <c r="Z3877" s="47" t="s">
        <v>2397</v>
      </c>
      <c r="AA3877" s="56">
        <v>0.22172</v>
      </c>
      <c r="AB3877" s="13"/>
      <c r="AC3877" s="13"/>
      <c r="AD3877" s="13"/>
      <c r="AE3877" s="13"/>
      <c r="AF3877" s="13"/>
    </row>
    <row r="3878" spans="19:32" x14ac:dyDescent="0.35">
      <c r="S3878" s="44">
        <v>3874</v>
      </c>
      <c r="T3878" s="44" t="s">
        <v>4284</v>
      </c>
      <c r="U3878" s="44" t="s">
        <v>4450</v>
      </c>
      <c r="V3878" s="45">
        <v>3.2987500000000001</v>
      </c>
      <c r="W3878" s="13"/>
      <c r="X3878" s="47">
        <v>3874</v>
      </c>
      <c r="Y3878" s="47" t="s">
        <v>2248</v>
      </c>
      <c r="Z3878" s="47" t="s">
        <v>3207</v>
      </c>
      <c r="AA3878" s="48">
        <v>0.19125</v>
      </c>
      <c r="AB3878" s="13"/>
      <c r="AC3878" s="13"/>
      <c r="AD3878" s="13"/>
      <c r="AE3878" s="13"/>
      <c r="AF3878" s="13"/>
    </row>
    <row r="3879" spans="19:32" x14ac:dyDescent="0.35">
      <c r="S3879" s="44">
        <v>3875</v>
      </c>
      <c r="T3879" s="44" t="s">
        <v>4284</v>
      </c>
      <c r="U3879" s="44" t="s">
        <v>4449</v>
      </c>
      <c r="V3879" s="45">
        <v>0.97125000000000006</v>
      </c>
      <c r="W3879" s="13"/>
      <c r="X3879" s="34">
        <v>3875</v>
      </c>
      <c r="Y3879" s="34" t="s">
        <v>2248</v>
      </c>
      <c r="Z3879" s="34" t="s">
        <v>2397</v>
      </c>
      <c r="AA3879" s="35">
        <v>3.1840725806451617</v>
      </c>
      <c r="AB3879" s="13"/>
      <c r="AC3879" s="13"/>
      <c r="AD3879" s="13"/>
      <c r="AE3879" s="13"/>
      <c r="AF3879" s="13"/>
    </row>
    <row r="3880" spans="19:32" x14ac:dyDescent="0.35">
      <c r="S3880" s="44">
        <v>3876</v>
      </c>
      <c r="T3880" s="44" t="s">
        <v>4284</v>
      </c>
      <c r="U3880" s="44" t="s">
        <v>4448</v>
      </c>
      <c r="V3880" s="45">
        <v>14.157500000000001</v>
      </c>
      <c r="W3880" s="13"/>
      <c r="X3880" s="34">
        <v>3876</v>
      </c>
      <c r="Y3880" s="34" t="s">
        <v>2248</v>
      </c>
      <c r="Z3880" s="34" t="s">
        <v>4387</v>
      </c>
      <c r="AA3880" s="35">
        <v>1.1002016129032259E-4</v>
      </c>
      <c r="AB3880" s="13"/>
      <c r="AC3880" s="13"/>
      <c r="AD3880" s="13"/>
      <c r="AE3880" s="13"/>
      <c r="AF3880" s="13"/>
    </row>
    <row r="3881" spans="19:32" x14ac:dyDescent="0.35">
      <c r="S3881" s="44">
        <v>3877</v>
      </c>
      <c r="T3881" s="44" t="s">
        <v>4284</v>
      </c>
      <c r="U3881" s="44" t="s">
        <v>4447</v>
      </c>
      <c r="V3881" s="45">
        <v>15.233750000000001</v>
      </c>
      <c r="W3881" s="13"/>
      <c r="X3881" s="34">
        <v>3877</v>
      </c>
      <c r="Y3881" s="34" t="s">
        <v>2248</v>
      </c>
      <c r="Z3881" s="34" t="s">
        <v>2394</v>
      </c>
      <c r="AA3881" s="35">
        <v>5.5866935483870972E-3</v>
      </c>
      <c r="AB3881" s="13"/>
      <c r="AC3881" s="13"/>
      <c r="AD3881" s="13"/>
      <c r="AE3881" s="13"/>
      <c r="AF3881" s="13"/>
    </row>
    <row r="3882" spans="19:32" x14ac:dyDescent="0.35">
      <c r="S3882" s="44">
        <v>3878</v>
      </c>
      <c r="T3882" s="44" t="s">
        <v>4284</v>
      </c>
      <c r="U3882" s="44" t="s">
        <v>4446</v>
      </c>
      <c r="V3882" s="45">
        <v>13.65</v>
      </c>
      <c r="W3882" s="13"/>
      <c r="X3882" s="34">
        <v>3878</v>
      </c>
      <c r="Y3882" s="34" t="s">
        <v>2248</v>
      </c>
      <c r="Z3882" s="34" t="s">
        <v>4386</v>
      </c>
      <c r="AA3882" s="35">
        <v>1.0419354838709679E-2</v>
      </c>
      <c r="AB3882" s="13"/>
      <c r="AC3882" s="13"/>
      <c r="AD3882" s="13"/>
      <c r="AE3882" s="13"/>
      <c r="AF3882" s="13"/>
    </row>
    <row r="3883" spans="19:32" x14ac:dyDescent="0.35">
      <c r="S3883" s="44">
        <v>3879</v>
      </c>
      <c r="T3883" s="44" t="s">
        <v>4284</v>
      </c>
      <c r="U3883" s="44" t="s">
        <v>4445</v>
      </c>
      <c r="V3883" s="45">
        <v>2.4674999999999998</v>
      </c>
      <c r="W3883" s="13"/>
      <c r="X3883" s="34">
        <v>3879</v>
      </c>
      <c r="Y3883" s="34" t="s">
        <v>2248</v>
      </c>
      <c r="Z3883" s="34" t="s">
        <v>2391</v>
      </c>
      <c r="AA3883" s="35">
        <v>1.8131048387096775E-2</v>
      </c>
      <c r="AB3883" s="13"/>
      <c r="AC3883" s="13"/>
      <c r="AD3883" s="13"/>
      <c r="AE3883" s="13"/>
      <c r="AF3883" s="13"/>
    </row>
    <row r="3884" spans="19:32" x14ac:dyDescent="0.35">
      <c r="S3884" s="44">
        <v>3880</v>
      </c>
      <c r="T3884" s="44" t="s">
        <v>4284</v>
      </c>
      <c r="U3884" s="44" t="s">
        <v>4444</v>
      </c>
      <c r="V3884" s="45">
        <v>0.71750000000000003</v>
      </c>
      <c r="W3884" s="13"/>
      <c r="X3884" s="47">
        <v>3880</v>
      </c>
      <c r="Y3884" s="47" t="s">
        <v>2248</v>
      </c>
      <c r="Z3884" s="47" t="s">
        <v>4443</v>
      </c>
      <c r="AA3884" s="48">
        <v>6.1008064516129041E-5</v>
      </c>
      <c r="AB3884" s="13"/>
      <c r="AC3884" s="13"/>
      <c r="AD3884" s="13"/>
      <c r="AE3884" s="13"/>
      <c r="AF3884" s="13"/>
    </row>
    <row r="3885" spans="19:32" x14ac:dyDescent="0.35">
      <c r="S3885" s="44">
        <v>3881</v>
      </c>
      <c r="T3885" s="44" t="s">
        <v>4284</v>
      </c>
      <c r="U3885" s="44" t="s">
        <v>4442</v>
      </c>
      <c r="V3885" s="45">
        <v>3.0887499999999997</v>
      </c>
      <c r="W3885" s="13"/>
      <c r="X3885" s="34">
        <v>3881</v>
      </c>
      <c r="Y3885" s="34" t="s">
        <v>2248</v>
      </c>
      <c r="Z3885" s="34" t="s">
        <v>4384</v>
      </c>
      <c r="AA3885" s="35">
        <v>1.9262096774193551E-5</v>
      </c>
      <c r="AB3885" s="13"/>
      <c r="AC3885" s="13"/>
      <c r="AD3885" s="13"/>
      <c r="AE3885" s="13"/>
      <c r="AF3885" s="13"/>
    </row>
    <row r="3886" spans="19:32" x14ac:dyDescent="0.35">
      <c r="S3886" s="44">
        <v>3882</v>
      </c>
      <c r="T3886" s="44" t="s">
        <v>4284</v>
      </c>
      <c r="U3886" s="44" t="s">
        <v>4441</v>
      </c>
      <c r="V3886" s="45">
        <v>4.7775000000000007</v>
      </c>
      <c r="W3886" s="13"/>
      <c r="X3886" s="34">
        <v>3882</v>
      </c>
      <c r="Y3886" s="34" t="s">
        <v>2248</v>
      </c>
      <c r="Z3886" s="34" t="s">
        <v>2388</v>
      </c>
      <c r="AA3886" s="35">
        <v>1.3435483870967742E-2</v>
      </c>
      <c r="AB3886" s="13"/>
      <c r="AC3886" s="13"/>
      <c r="AD3886" s="13"/>
      <c r="AE3886" s="13"/>
      <c r="AF3886" s="13"/>
    </row>
    <row r="3887" spans="19:32" x14ac:dyDescent="0.35">
      <c r="S3887" s="44">
        <v>3883</v>
      </c>
      <c r="T3887" s="44" t="s">
        <v>4284</v>
      </c>
      <c r="U3887" s="44" t="s">
        <v>4440</v>
      </c>
      <c r="V3887" s="45">
        <v>7.9275000000000002</v>
      </c>
      <c r="W3887" s="13"/>
      <c r="X3887" s="34">
        <v>3883</v>
      </c>
      <c r="Y3887" s="34" t="s">
        <v>2248</v>
      </c>
      <c r="Z3887" s="34" t="s">
        <v>2386</v>
      </c>
      <c r="AA3887" s="35">
        <v>0.29270161290322583</v>
      </c>
      <c r="AB3887" s="13"/>
      <c r="AC3887" s="13"/>
      <c r="AD3887" s="13"/>
      <c r="AE3887" s="13"/>
      <c r="AF3887" s="13"/>
    </row>
    <row r="3888" spans="19:32" x14ac:dyDescent="0.35">
      <c r="S3888" s="44">
        <v>3884</v>
      </c>
      <c r="T3888" s="44" t="s">
        <v>4284</v>
      </c>
      <c r="U3888" s="44" t="s">
        <v>4439</v>
      </c>
      <c r="V3888" s="45">
        <v>7.8750000000000001E-2</v>
      </c>
      <c r="W3888" s="13"/>
      <c r="X3888" s="34">
        <v>3884</v>
      </c>
      <c r="Y3888" s="34" t="s">
        <v>2248</v>
      </c>
      <c r="Z3888" s="34" t="s">
        <v>4383</v>
      </c>
      <c r="AA3888" s="35">
        <v>3.5987903225806457E-5</v>
      </c>
      <c r="AB3888" s="13"/>
      <c r="AC3888" s="13"/>
      <c r="AD3888" s="13"/>
      <c r="AE3888" s="13"/>
      <c r="AF3888" s="13"/>
    </row>
    <row r="3889" spans="19:32" x14ac:dyDescent="0.35">
      <c r="S3889" s="44">
        <v>3885</v>
      </c>
      <c r="T3889" s="44" t="s">
        <v>4284</v>
      </c>
      <c r="U3889" s="44" t="s">
        <v>4438</v>
      </c>
      <c r="V3889" s="45">
        <v>1.25125</v>
      </c>
      <c r="W3889" s="13"/>
      <c r="X3889" s="47">
        <v>3885</v>
      </c>
      <c r="Y3889" s="47" t="s">
        <v>2248</v>
      </c>
      <c r="Z3889" s="47" t="s">
        <v>4437</v>
      </c>
      <c r="AA3889" s="48">
        <v>9.1512096774193554E-3</v>
      </c>
      <c r="AB3889" s="13"/>
      <c r="AC3889" s="13"/>
      <c r="AD3889" s="13"/>
      <c r="AE3889" s="13"/>
      <c r="AF3889" s="13"/>
    </row>
    <row r="3890" spans="19:32" x14ac:dyDescent="0.35">
      <c r="S3890" s="44">
        <v>3886</v>
      </c>
      <c r="T3890" s="44" t="s">
        <v>4284</v>
      </c>
      <c r="U3890" s="44" t="s">
        <v>4436</v>
      </c>
      <c r="V3890" s="45">
        <v>3.6224999999999996</v>
      </c>
      <c r="W3890" s="13"/>
      <c r="X3890" s="34">
        <v>3886</v>
      </c>
      <c r="Y3890" s="34" t="s">
        <v>2248</v>
      </c>
      <c r="Z3890" s="34" t="s">
        <v>2383</v>
      </c>
      <c r="AA3890" s="35">
        <v>6.2721774193548398E-4</v>
      </c>
      <c r="AB3890" s="13"/>
      <c r="AC3890" s="13"/>
      <c r="AD3890" s="13"/>
      <c r="AE3890" s="13"/>
      <c r="AF3890" s="13"/>
    </row>
    <row r="3891" spans="19:32" x14ac:dyDescent="0.35">
      <c r="S3891" s="44">
        <v>3887</v>
      </c>
      <c r="T3891" s="44" t="s">
        <v>4284</v>
      </c>
      <c r="U3891" s="44" t="s">
        <v>4435</v>
      </c>
      <c r="V3891" s="45">
        <v>3.7275</v>
      </c>
      <c r="W3891" s="13"/>
      <c r="X3891" s="34">
        <v>3887</v>
      </c>
      <c r="Y3891" s="34" t="s">
        <v>2248</v>
      </c>
      <c r="Z3891" s="34" t="s">
        <v>4381</v>
      </c>
      <c r="AA3891" s="35">
        <v>8.9455645161290332E-3</v>
      </c>
      <c r="AB3891" s="13"/>
      <c r="AC3891" s="13"/>
      <c r="AD3891" s="13"/>
      <c r="AE3891" s="13"/>
      <c r="AF3891" s="13"/>
    </row>
    <row r="3892" spans="19:32" x14ac:dyDescent="0.35">
      <c r="S3892" s="44">
        <v>3888</v>
      </c>
      <c r="T3892" s="44" t="s">
        <v>4284</v>
      </c>
      <c r="U3892" s="44" t="s">
        <v>4434</v>
      </c>
      <c r="V3892" s="45">
        <v>0.7350000000000001</v>
      </c>
      <c r="W3892" s="13"/>
      <c r="X3892" s="34">
        <v>3888</v>
      </c>
      <c r="Y3892" s="34" t="s">
        <v>2248</v>
      </c>
      <c r="Z3892" s="34" t="s">
        <v>2380</v>
      </c>
      <c r="AA3892" s="35">
        <v>8.431451612903226E-5</v>
      </c>
      <c r="AB3892" s="13"/>
      <c r="AC3892" s="13"/>
      <c r="AD3892" s="13"/>
      <c r="AE3892" s="13"/>
      <c r="AF3892" s="13"/>
    </row>
    <row r="3893" spans="19:32" x14ac:dyDescent="0.35">
      <c r="S3893" s="44">
        <v>3889</v>
      </c>
      <c r="T3893" s="44" t="s">
        <v>4284</v>
      </c>
      <c r="U3893" s="44" t="s">
        <v>4433</v>
      </c>
      <c r="V3893" s="45">
        <v>3.7974999999999999</v>
      </c>
      <c r="W3893" s="13"/>
      <c r="X3893" s="47">
        <v>3889</v>
      </c>
      <c r="Y3893" s="47" t="s">
        <v>2248</v>
      </c>
      <c r="Z3893" s="47" t="s">
        <v>4432</v>
      </c>
      <c r="AA3893" s="48">
        <v>1.3572580645161292E-6</v>
      </c>
      <c r="AB3893" s="13"/>
      <c r="AC3893" s="13"/>
      <c r="AD3893" s="13"/>
      <c r="AE3893" s="13"/>
      <c r="AF3893" s="13"/>
    </row>
    <row r="3894" spans="19:32" x14ac:dyDescent="0.35">
      <c r="S3894" s="44">
        <v>3890</v>
      </c>
      <c r="T3894" s="44" t="s">
        <v>4284</v>
      </c>
      <c r="U3894" s="44" t="s">
        <v>4431</v>
      </c>
      <c r="V3894" s="45">
        <v>8.4087499999999995</v>
      </c>
      <c r="W3894" s="13"/>
      <c r="X3894" s="34">
        <v>3890</v>
      </c>
      <c r="Y3894" s="34" t="s">
        <v>2248</v>
      </c>
      <c r="Z3894" s="34" t="s">
        <v>4380</v>
      </c>
      <c r="AA3894" s="35">
        <v>9.3568548387096776E-3</v>
      </c>
      <c r="AB3894" s="13"/>
      <c r="AC3894" s="13"/>
      <c r="AD3894" s="13"/>
      <c r="AE3894" s="13"/>
      <c r="AF3894" s="13"/>
    </row>
    <row r="3895" spans="19:32" x14ac:dyDescent="0.35">
      <c r="S3895" s="44">
        <v>3891</v>
      </c>
      <c r="T3895" s="44" t="s">
        <v>4284</v>
      </c>
      <c r="U3895" s="44" t="s">
        <v>4430</v>
      </c>
      <c r="V3895" s="45">
        <v>2.8787500000000001</v>
      </c>
      <c r="W3895" s="13"/>
      <c r="X3895" s="47">
        <v>3891</v>
      </c>
      <c r="Y3895" s="47" t="s">
        <v>2248</v>
      </c>
      <c r="Z3895" s="47" t="s">
        <v>2642</v>
      </c>
      <c r="AA3895" s="56">
        <v>0.13156000000000001</v>
      </c>
      <c r="AB3895" s="13"/>
      <c r="AC3895" s="13"/>
      <c r="AD3895" s="13"/>
      <c r="AE3895" s="13"/>
      <c r="AF3895" s="13"/>
    </row>
    <row r="3896" spans="19:32" x14ac:dyDescent="0.35">
      <c r="S3896" s="44">
        <v>3892</v>
      </c>
      <c r="T3896" s="44" t="s">
        <v>4284</v>
      </c>
      <c r="U3896" s="44" t="s">
        <v>4429</v>
      </c>
      <c r="V3896" s="45">
        <v>1.1725000000000001</v>
      </c>
      <c r="W3896" s="13"/>
      <c r="X3896" s="34">
        <v>3892</v>
      </c>
      <c r="Y3896" s="34" t="s">
        <v>2248</v>
      </c>
      <c r="Z3896" s="34" t="s">
        <v>4378</v>
      </c>
      <c r="AA3896" s="35">
        <v>2.1592741935483875E-3</v>
      </c>
      <c r="AB3896" s="13"/>
      <c r="AC3896" s="13"/>
      <c r="AD3896" s="13"/>
      <c r="AE3896" s="13"/>
      <c r="AF3896" s="13"/>
    </row>
    <row r="3897" spans="19:32" x14ac:dyDescent="0.35">
      <c r="S3897" s="44">
        <v>3893</v>
      </c>
      <c r="T3897" s="44" t="s">
        <v>4284</v>
      </c>
      <c r="U3897" s="44" t="s">
        <v>4428</v>
      </c>
      <c r="V3897" s="45">
        <v>0.23362500000000003</v>
      </c>
      <c r="W3897" s="13"/>
      <c r="X3897" s="34">
        <v>3893</v>
      </c>
      <c r="Y3897" s="34" t="s">
        <v>2248</v>
      </c>
      <c r="Z3897" s="34" t="s">
        <v>2377</v>
      </c>
      <c r="AA3897" s="35">
        <v>0.10727822580645162</v>
      </c>
      <c r="AB3897" s="13"/>
      <c r="AC3897" s="13"/>
      <c r="AD3897" s="13"/>
      <c r="AE3897" s="13"/>
      <c r="AF3897" s="13"/>
    </row>
    <row r="3898" spans="19:32" x14ac:dyDescent="0.35">
      <c r="S3898" s="44">
        <v>3894</v>
      </c>
      <c r="T3898" s="44" t="s">
        <v>4284</v>
      </c>
      <c r="U3898" s="44" t="s">
        <v>4427</v>
      </c>
      <c r="V3898" s="45">
        <v>10.3775</v>
      </c>
      <c r="W3898" s="13"/>
      <c r="X3898" s="34">
        <v>3894</v>
      </c>
      <c r="Y3898" s="34" t="s">
        <v>2248</v>
      </c>
      <c r="Z3898" s="34" t="s">
        <v>3204</v>
      </c>
      <c r="AA3898" s="35">
        <v>1.3058467741935485E-4</v>
      </c>
      <c r="AB3898" s="13"/>
      <c r="AC3898" s="13"/>
      <c r="AD3898" s="13"/>
      <c r="AE3898" s="13"/>
      <c r="AF3898" s="13"/>
    </row>
    <row r="3899" spans="19:32" x14ac:dyDescent="0.35">
      <c r="S3899" s="44">
        <v>3895</v>
      </c>
      <c r="T3899" s="44" t="s">
        <v>4284</v>
      </c>
      <c r="U3899" s="44" t="s">
        <v>4426</v>
      </c>
      <c r="V3899" s="45">
        <v>30.213749999999997</v>
      </c>
      <c r="W3899" s="13"/>
      <c r="X3899" s="34">
        <v>3895</v>
      </c>
      <c r="Y3899" s="34" t="s">
        <v>2248</v>
      </c>
      <c r="Z3899" s="34" t="s">
        <v>2374</v>
      </c>
      <c r="AA3899" s="35">
        <v>0.28584677419354843</v>
      </c>
      <c r="AB3899" s="13"/>
      <c r="AC3899" s="13"/>
      <c r="AD3899" s="13"/>
      <c r="AE3899" s="13"/>
      <c r="AF3899" s="13"/>
    </row>
    <row r="3900" spans="19:32" x14ac:dyDescent="0.35">
      <c r="S3900" s="44">
        <v>3896</v>
      </c>
      <c r="T3900" s="44" t="s">
        <v>4284</v>
      </c>
      <c r="U3900" s="44" t="s">
        <v>4425</v>
      </c>
      <c r="V3900" s="45">
        <v>11.637500000000001</v>
      </c>
      <c r="W3900" s="13"/>
      <c r="X3900" s="34">
        <v>3896</v>
      </c>
      <c r="Y3900" s="34" t="s">
        <v>2248</v>
      </c>
      <c r="Z3900" s="34" t="s">
        <v>4376</v>
      </c>
      <c r="AA3900" s="35">
        <v>7.6088709677419361E-4</v>
      </c>
      <c r="AB3900" s="13"/>
      <c r="AC3900" s="13"/>
      <c r="AD3900" s="13"/>
      <c r="AE3900" s="13"/>
      <c r="AF3900" s="13"/>
    </row>
    <row r="3901" spans="19:32" x14ac:dyDescent="0.35">
      <c r="S3901" s="44">
        <v>3897</v>
      </c>
      <c r="T3901" s="44" t="s">
        <v>4284</v>
      </c>
      <c r="U3901" s="44" t="s">
        <v>4424</v>
      </c>
      <c r="V3901" s="45">
        <v>0.245</v>
      </c>
      <c r="W3901" s="13"/>
      <c r="X3901" s="34">
        <v>3897</v>
      </c>
      <c r="Y3901" s="34" t="s">
        <v>2248</v>
      </c>
      <c r="Z3901" s="34" t="s">
        <v>2372</v>
      </c>
      <c r="AA3901" s="35">
        <v>2.6905241935483875E-3</v>
      </c>
      <c r="AB3901" s="13"/>
      <c r="AC3901" s="13"/>
      <c r="AD3901" s="13"/>
      <c r="AE3901" s="13"/>
      <c r="AF3901" s="13"/>
    </row>
    <row r="3902" spans="19:32" x14ac:dyDescent="0.35">
      <c r="S3902" s="44">
        <v>3898</v>
      </c>
      <c r="T3902" s="44" t="s">
        <v>4284</v>
      </c>
      <c r="U3902" s="44" t="s">
        <v>4423</v>
      </c>
      <c r="V3902" s="45">
        <v>1.3387499999999999</v>
      </c>
      <c r="W3902" s="13"/>
      <c r="X3902" s="34">
        <v>3898</v>
      </c>
      <c r="Y3902" s="34" t="s">
        <v>2248</v>
      </c>
      <c r="Z3902" s="34" t="s">
        <v>4375</v>
      </c>
      <c r="AA3902" s="35">
        <v>1.2578629032258066E-3</v>
      </c>
      <c r="AB3902" s="13"/>
      <c r="AC3902" s="13"/>
      <c r="AD3902" s="13"/>
      <c r="AE3902" s="13"/>
      <c r="AF3902" s="13"/>
    </row>
    <row r="3903" spans="19:32" x14ac:dyDescent="0.35">
      <c r="S3903" s="44">
        <v>3899</v>
      </c>
      <c r="T3903" s="44" t="s">
        <v>4284</v>
      </c>
      <c r="U3903" s="44" t="s">
        <v>4422</v>
      </c>
      <c r="V3903" s="45">
        <v>0.245</v>
      </c>
      <c r="W3903" s="13"/>
      <c r="X3903" s="47">
        <v>3899</v>
      </c>
      <c r="Y3903" s="47" t="s">
        <v>2248</v>
      </c>
      <c r="Z3903" s="47" t="s">
        <v>2641</v>
      </c>
      <c r="AA3903" s="56">
        <v>0</v>
      </c>
      <c r="AB3903" s="13"/>
      <c r="AC3903" s="13"/>
      <c r="AD3903" s="13"/>
      <c r="AE3903" s="13"/>
      <c r="AF3903" s="13"/>
    </row>
    <row r="3904" spans="19:32" x14ac:dyDescent="0.35">
      <c r="S3904" s="44">
        <v>3900</v>
      </c>
      <c r="T3904" s="44" t="s">
        <v>4284</v>
      </c>
      <c r="U3904" s="44" t="s">
        <v>4421</v>
      </c>
      <c r="V3904" s="45">
        <v>13.30875</v>
      </c>
      <c r="W3904" s="13"/>
      <c r="X3904" s="47">
        <v>3900</v>
      </c>
      <c r="Y3904" s="47" t="s">
        <v>2248</v>
      </c>
      <c r="Z3904" s="47" t="s">
        <v>4420</v>
      </c>
      <c r="AA3904" s="48">
        <v>2.2209677419354839E-3</v>
      </c>
      <c r="AB3904" s="13"/>
      <c r="AC3904" s="13"/>
      <c r="AD3904" s="13"/>
      <c r="AE3904" s="13"/>
      <c r="AF3904" s="13"/>
    </row>
    <row r="3905" spans="19:32" x14ac:dyDescent="0.35">
      <c r="S3905" s="44">
        <v>3901</v>
      </c>
      <c r="T3905" s="44" t="s">
        <v>4284</v>
      </c>
      <c r="U3905" s="44" t="s">
        <v>4419</v>
      </c>
      <c r="V3905" s="45">
        <v>1.58375</v>
      </c>
      <c r="W3905" s="13"/>
      <c r="X3905" s="34">
        <v>3901</v>
      </c>
      <c r="Y3905" s="34" t="s">
        <v>2248</v>
      </c>
      <c r="Z3905" s="34" t="s">
        <v>2627</v>
      </c>
      <c r="AA3905" s="35">
        <v>9.9737903225806455E-4</v>
      </c>
      <c r="AB3905" s="13"/>
      <c r="AC3905" s="13"/>
      <c r="AD3905" s="13"/>
      <c r="AE3905" s="13"/>
      <c r="AF3905" s="13"/>
    </row>
    <row r="3906" spans="19:32" x14ac:dyDescent="0.35">
      <c r="S3906" s="44">
        <v>3902</v>
      </c>
      <c r="T3906" s="44" t="s">
        <v>4284</v>
      </c>
      <c r="U3906" s="44" t="s">
        <v>4418</v>
      </c>
      <c r="V3906" s="45">
        <v>5.25</v>
      </c>
      <c r="W3906" s="13"/>
      <c r="X3906" s="34">
        <v>3902</v>
      </c>
      <c r="Y3906" s="34" t="s">
        <v>2248</v>
      </c>
      <c r="Z3906" s="34" t="s">
        <v>2369</v>
      </c>
      <c r="AA3906" s="35">
        <v>4.8669354838709678E-3</v>
      </c>
      <c r="AB3906" s="13"/>
      <c r="AC3906" s="13"/>
      <c r="AD3906" s="13"/>
      <c r="AE3906" s="13"/>
      <c r="AF3906" s="13"/>
    </row>
    <row r="3907" spans="19:32" x14ac:dyDescent="0.35">
      <c r="S3907" s="44">
        <v>3903</v>
      </c>
      <c r="T3907" s="44" t="s">
        <v>4284</v>
      </c>
      <c r="U3907" s="44" t="s">
        <v>4417</v>
      </c>
      <c r="V3907" s="45">
        <v>1.0237500000000002</v>
      </c>
      <c r="W3907" s="13"/>
      <c r="X3907" s="34">
        <v>3903</v>
      </c>
      <c r="Y3907" s="34" t="s">
        <v>2248</v>
      </c>
      <c r="Z3907" s="34" t="s">
        <v>2366</v>
      </c>
      <c r="AA3907" s="35">
        <v>1.970766129032258E-5</v>
      </c>
      <c r="AB3907" s="13"/>
      <c r="AC3907" s="13"/>
      <c r="AD3907" s="13"/>
      <c r="AE3907" s="13"/>
      <c r="AF3907" s="13"/>
    </row>
    <row r="3908" spans="19:32" x14ac:dyDescent="0.35">
      <c r="S3908" s="44">
        <v>3904</v>
      </c>
      <c r="T3908" s="44" t="s">
        <v>4284</v>
      </c>
      <c r="U3908" s="44" t="s">
        <v>4416</v>
      </c>
      <c r="V3908" s="45">
        <v>7.0175000000000001</v>
      </c>
      <c r="W3908" s="13"/>
      <c r="X3908" s="34">
        <v>3904</v>
      </c>
      <c r="Y3908" s="34" t="s">
        <v>2248</v>
      </c>
      <c r="Z3908" s="34" t="s">
        <v>4372</v>
      </c>
      <c r="AA3908" s="35">
        <v>8.0544354838709692E-5</v>
      </c>
      <c r="AB3908" s="13"/>
      <c r="AC3908" s="13"/>
      <c r="AD3908" s="13"/>
      <c r="AE3908" s="13"/>
      <c r="AF3908" s="13"/>
    </row>
    <row r="3909" spans="19:32" x14ac:dyDescent="0.35">
      <c r="S3909" s="53">
        <v>3905</v>
      </c>
      <c r="T3909" s="53" t="s">
        <v>4284</v>
      </c>
      <c r="U3909" s="36" t="s">
        <v>4416</v>
      </c>
      <c r="V3909" s="37">
        <v>0.43388500000000002</v>
      </c>
      <c r="W3909" s="13"/>
      <c r="X3909" s="34">
        <v>3905</v>
      </c>
      <c r="Y3909" s="34" t="s">
        <v>2248</v>
      </c>
      <c r="Z3909" s="34" t="s">
        <v>3203</v>
      </c>
      <c r="AA3909" s="35">
        <v>6.0322580645161293E-2</v>
      </c>
      <c r="AB3909" s="13"/>
      <c r="AC3909" s="13"/>
      <c r="AD3909" s="13"/>
      <c r="AE3909" s="13"/>
      <c r="AF3909" s="13"/>
    </row>
    <row r="3910" spans="19:32" x14ac:dyDescent="0.35">
      <c r="S3910" s="44">
        <v>3906</v>
      </c>
      <c r="T3910" s="44" t="s">
        <v>4284</v>
      </c>
      <c r="U3910" s="44" t="s">
        <v>3958</v>
      </c>
      <c r="V3910" s="45">
        <v>5.6875</v>
      </c>
      <c r="W3910" s="13"/>
      <c r="X3910" s="34">
        <v>3906</v>
      </c>
      <c r="Y3910" s="34" t="s">
        <v>2248</v>
      </c>
      <c r="Z3910" s="34" t="s">
        <v>2364</v>
      </c>
      <c r="AA3910" s="35">
        <v>0.43528225806451615</v>
      </c>
      <c r="AB3910" s="13"/>
      <c r="AC3910" s="13"/>
      <c r="AD3910" s="13"/>
      <c r="AE3910" s="13"/>
      <c r="AF3910" s="13"/>
    </row>
    <row r="3911" spans="19:32" x14ac:dyDescent="0.35">
      <c r="S3911" s="34">
        <v>3907</v>
      </c>
      <c r="T3911" s="34" t="s">
        <v>4284</v>
      </c>
      <c r="U3911" s="34" t="s">
        <v>3958</v>
      </c>
      <c r="V3911" s="35">
        <v>1.6074596774193549E-3</v>
      </c>
      <c r="W3911" s="13"/>
      <c r="X3911" s="34">
        <v>3907</v>
      </c>
      <c r="Y3911" s="34" t="s">
        <v>2248</v>
      </c>
      <c r="Z3911" s="34" t="s">
        <v>4371</v>
      </c>
      <c r="AA3911" s="35">
        <v>4.0100806451612908E-3</v>
      </c>
      <c r="AB3911" s="13"/>
      <c r="AC3911" s="13"/>
      <c r="AD3911" s="13"/>
      <c r="AE3911" s="13"/>
      <c r="AF3911" s="13"/>
    </row>
    <row r="3912" spans="19:32" x14ac:dyDescent="0.35">
      <c r="S3912" s="34">
        <v>3908</v>
      </c>
      <c r="T3912" s="34" t="s">
        <v>4284</v>
      </c>
      <c r="U3912" s="34" t="s">
        <v>3957</v>
      </c>
      <c r="V3912" s="35">
        <v>3.3177419354838713E-3</v>
      </c>
      <c r="W3912" s="13"/>
      <c r="X3912" s="34">
        <v>3908</v>
      </c>
      <c r="Y3912" s="34" t="s">
        <v>2248</v>
      </c>
      <c r="Z3912" s="34" t="s">
        <v>2361</v>
      </c>
      <c r="AA3912" s="35">
        <v>1.2852822580645162E-3</v>
      </c>
      <c r="AB3912" s="13"/>
      <c r="AC3912" s="13"/>
      <c r="AD3912" s="13"/>
      <c r="AE3912" s="13"/>
      <c r="AF3912" s="13"/>
    </row>
    <row r="3913" spans="19:32" x14ac:dyDescent="0.35">
      <c r="S3913" s="34">
        <v>3909</v>
      </c>
      <c r="T3913" s="34" t="s">
        <v>4284</v>
      </c>
      <c r="U3913" s="34" t="s">
        <v>3956</v>
      </c>
      <c r="V3913" s="35">
        <v>1.1858870967741936E-2</v>
      </c>
      <c r="W3913" s="13"/>
      <c r="X3913" s="34">
        <v>3909</v>
      </c>
      <c r="Y3913" s="34" t="s">
        <v>2248</v>
      </c>
      <c r="Z3913" s="34" t="s">
        <v>4369</v>
      </c>
      <c r="AA3913" s="35">
        <v>1.0933467741935484E-4</v>
      </c>
      <c r="AB3913" s="13"/>
      <c r="AC3913" s="13"/>
      <c r="AD3913" s="13"/>
      <c r="AE3913" s="13"/>
      <c r="AF3913" s="13"/>
    </row>
    <row r="3914" spans="19:32" x14ac:dyDescent="0.35">
      <c r="S3914" s="34">
        <v>3910</v>
      </c>
      <c r="T3914" s="34" t="s">
        <v>4284</v>
      </c>
      <c r="U3914" s="34" t="s">
        <v>3954</v>
      </c>
      <c r="V3914" s="35">
        <v>6.4778225806451611E-4</v>
      </c>
      <c r="W3914" s="13"/>
      <c r="X3914" s="34">
        <v>3910</v>
      </c>
      <c r="Y3914" s="34" t="s">
        <v>2248</v>
      </c>
      <c r="Z3914" s="34" t="s">
        <v>2358</v>
      </c>
      <c r="AA3914" s="35">
        <v>2.8207661290322581E-3</v>
      </c>
      <c r="AB3914" s="13"/>
      <c r="AC3914" s="13"/>
      <c r="AD3914" s="13"/>
      <c r="AE3914" s="13"/>
      <c r="AF3914" s="13"/>
    </row>
    <row r="3915" spans="19:32" x14ac:dyDescent="0.35">
      <c r="S3915" s="34">
        <v>3911</v>
      </c>
      <c r="T3915" s="34" t="s">
        <v>4284</v>
      </c>
      <c r="U3915" s="34" t="s">
        <v>3953</v>
      </c>
      <c r="V3915" s="35">
        <v>1.0179435483870969E-3</v>
      </c>
      <c r="W3915" s="13"/>
      <c r="X3915" s="47">
        <v>3911</v>
      </c>
      <c r="Y3915" s="47" t="s">
        <v>2248</v>
      </c>
      <c r="Z3915" s="47" t="s">
        <v>4415</v>
      </c>
      <c r="AA3915" s="48">
        <v>5.5524193548387099E-3</v>
      </c>
      <c r="AB3915" s="13"/>
      <c r="AC3915" s="13"/>
      <c r="AD3915" s="13"/>
      <c r="AE3915" s="13"/>
      <c r="AF3915" s="13"/>
    </row>
    <row r="3916" spans="19:32" x14ac:dyDescent="0.35">
      <c r="S3916" s="30">
        <v>3912</v>
      </c>
      <c r="T3916" s="30" t="s">
        <v>4284</v>
      </c>
      <c r="U3916" s="30" t="s">
        <v>4414</v>
      </c>
      <c r="V3916" s="31">
        <v>474.44</v>
      </c>
      <c r="W3916" s="13"/>
      <c r="X3916" s="34">
        <v>3912</v>
      </c>
      <c r="Y3916" s="34" t="s">
        <v>2248</v>
      </c>
      <c r="Z3916" s="34" t="s">
        <v>2355</v>
      </c>
      <c r="AA3916" s="35">
        <v>6.6834677419354846E-4</v>
      </c>
      <c r="AB3916" s="13"/>
      <c r="AC3916" s="13"/>
      <c r="AD3916" s="13"/>
      <c r="AE3916" s="13"/>
      <c r="AF3916" s="13"/>
    </row>
    <row r="3917" spans="19:32" x14ac:dyDescent="0.35">
      <c r="S3917" s="34">
        <v>3913</v>
      </c>
      <c r="T3917" s="34" t="s">
        <v>4284</v>
      </c>
      <c r="U3917" s="34" t="s">
        <v>3951</v>
      </c>
      <c r="V3917" s="35">
        <v>1.915927419354839E-2</v>
      </c>
      <c r="W3917" s="13"/>
      <c r="X3917" s="34">
        <v>3913</v>
      </c>
      <c r="Y3917" s="34" t="s">
        <v>2248</v>
      </c>
      <c r="Z3917" s="34" t="s">
        <v>2624</v>
      </c>
      <c r="AA3917" s="35">
        <v>2.5054435483870971E-2</v>
      </c>
      <c r="AB3917" s="13"/>
      <c r="AC3917" s="13"/>
      <c r="AD3917" s="13"/>
      <c r="AE3917" s="13"/>
      <c r="AF3917" s="13"/>
    </row>
    <row r="3918" spans="19:32" x14ac:dyDescent="0.35">
      <c r="S3918" s="34">
        <v>3914</v>
      </c>
      <c r="T3918" s="34" t="s">
        <v>4284</v>
      </c>
      <c r="U3918" s="34" t="s">
        <v>3950</v>
      </c>
      <c r="V3918" s="35">
        <v>9.3568548387096783E-4</v>
      </c>
      <c r="W3918" s="13"/>
      <c r="X3918" s="34">
        <v>3914</v>
      </c>
      <c r="Y3918" s="34" t="s">
        <v>2248</v>
      </c>
      <c r="Z3918" s="34" t="s">
        <v>2353</v>
      </c>
      <c r="AA3918" s="35">
        <v>7.2318548387096783E-3</v>
      </c>
      <c r="AB3918" s="13"/>
      <c r="AC3918" s="13"/>
      <c r="AD3918" s="13"/>
      <c r="AE3918" s="13"/>
      <c r="AF3918" s="13"/>
    </row>
    <row r="3919" spans="19:32" x14ac:dyDescent="0.35">
      <c r="S3919" s="34">
        <v>3915</v>
      </c>
      <c r="T3919" s="34" t="s">
        <v>4284</v>
      </c>
      <c r="U3919" s="34" t="s">
        <v>2389</v>
      </c>
      <c r="V3919" s="35">
        <v>0.51068548387096779</v>
      </c>
      <c r="W3919" s="13"/>
      <c r="X3919" s="34">
        <v>3915</v>
      </c>
      <c r="Y3919" s="34" t="s">
        <v>2248</v>
      </c>
      <c r="Z3919" s="34" t="s">
        <v>4413</v>
      </c>
      <c r="AA3919" s="35">
        <v>1.6862903225806454E-3</v>
      </c>
      <c r="AB3919" s="13"/>
      <c r="AC3919" s="13"/>
      <c r="AD3919" s="13"/>
      <c r="AE3919" s="13"/>
      <c r="AF3919" s="13"/>
    </row>
    <row r="3920" spans="19:32" x14ac:dyDescent="0.35">
      <c r="S3920" s="47">
        <v>3916</v>
      </c>
      <c r="T3920" s="47" t="s">
        <v>4284</v>
      </c>
      <c r="U3920" s="47" t="s">
        <v>2389</v>
      </c>
      <c r="V3920" s="56">
        <v>128.79999999999998</v>
      </c>
      <c r="W3920" s="13"/>
      <c r="X3920" s="34">
        <v>3916</v>
      </c>
      <c r="Y3920" s="34" t="s">
        <v>2248</v>
      </c>
      <c r="Z3920" s="34" t="s">
        <v>4366</v>
      </c>
      <c r="AA3920" s="35">
        <v>1.2201612903225808E-4</v>
      </c>
      <c r="AB3920" s="13"/>
      <c r="AC3920" s="13"/>
      <c r="AD3920" s="13"/>
      <c r="AE3920" s="13"/>
      <c r="AF3920" s="13"/>
    </row>
    <row r="3921" spans="19:32" x14ac:dyDescent="0.35">
      <c r="S3921" s="34">
        <v>3917</v>
      </c>
      <c r="T3921" s="34" t="s">
        <v>4284</v>
      </c>
      <c r="U3921" s="34" t="s">
        <v>3948</v>
      </c>
      <c r="V3921" s="35">
        <v>0.37016129032258066</v>
      </c>
      <c r="W3921" s="13"/>
      <c r="X3921" s="34">
        <v>3917</v>
      </c>
      <c r="Y3921" s="34" t="s">
        <v>2248</v>
      </c>
      <c r="Z3921" s="34" t="s">
        <v>2350</v>
      </c>
      <c r="AA3921" s="35">
        <v>9.0141129032258078</v>
      </c>
      <c r="AB3921" s="13"/>
      <c r="AC3921" s="13"/>
      <c r="AD3921" s="13"/>
      <c r="AE3921" s="13"/>
      <c r="AF3921" s="13"/>
    </row>
    <row r="3922" spans="19:32" x14ac:dyDescent="0.35">
      <c r="S3922" s="34">
        <v>3918</v>
      </c>
      <c r="T3922" s="34" t="s">
        <v>4284</v>
      </c>
      <c r="U3922" s="34" t="s">
        <v>2387</v>
      </c>
      <c r="V3922" s="35">
        <v>2.5945564516129033E-2</v>
      </c>
      <c r="W3922" s="13"/>
      <c r="X3922" s="34">
        <v>3918</v>
      </c>
      <c r="Y3922" s="34" t="s">
        <v>2248</v>
      </c>
      <c r="Z3922" s="34" t="s">
        <v>4365</v>
      </c>
      <c r="AA3922" s="35">
        <v>2.0598790322580648E-3</v>
      </c>
      <c r="AB3922" s="13"/>
      <c r="AC3922" s="13"/>
      <c r="AD3922" s="13"/>
      <c r="AE3922" s="13"/>
      <c r="AF3922" s="13"/>
    </row>
    <row r="3923" spans="19:32" x14ac:dyDescent="0.35">
      <c r="S3923" s="47">
        <v>3919</v>
      </c>
      <c r="T3923" s="47" t="s">
        <v>4284</v>
      </c>
      <c r="U3923" s="47" t="s">
        <v>2387</v>
      </c>
      <c r="V3923" s="56">
        <v>0</v>
      </c>
      <c r="W3923" s="13"/>
      <c r="X3923" s="34">
        <v>3919</v>
      </c>
      <c r="Y3923" s="34" t="s">
        <v>2248</v>
      </c>
      <c r="Z3923" s="34" t="s">
        <v>2347</v>
      </c>
      <c r="AA3923" s="35">
        <v>0.18268145161290325</v>
      </c>
      <c r="AB3923" s="13"/>
      <c r="AC3923" s="13"/>
      <c r="AD3923" s="13"/>
      <c r="AE3923" s="13"/>
      <c r="AF3923" s="13"/>
    </row>
    <row r="3924" spans="19:32" x14ac:dyDescent="0.35">
      <c r="S3924" s="34">
        <v>3920</v>
      </c>
      <c r="T3924" s="34" t="s">
        <v>4284</v>
      </c>
      <c r="U3924" s="34" t="s">
        <v>3946</v>
      </c>
      <c r="V3924" s="35">
        <v>7.5403225806451631E-5</v>
      </c>
      <c r="W3924" s="13"/>
      <c r="X3924" s="47">
        <v>3920</v>
      </c>
      <c r="Y3924" s="47" t="s">
        <v>2248</v>
      </c>
      <c r="Z3924" s="47" t="s">
        <v>4412</v>
      </c>
      <c r="AA3924" s="48">
        <v>1.0350806451612904E-4</v>
      </c>
      <c r="AB3924" s="13"/>
      <c r="AC3924" s="13"/>
      <c r="AD3924" s="13"/>
      <c r="AE3924" s="13"/>
      <c r="AF3924" s="13"/>
    </row>
    <row r="3925" spans="19:32" x14ac:dyDescent="0.35">
      <c r="S3925" s="34">
        <v>3921</v>
      </c>
      <c r="T3925" s="34" t="s">
        <v>4284</v>
      </c>
      <c r="U3925" s="34" t="s">
        <v>2385</v>
      </c>
      <c r="V3925" s="35">
        <v>6.9919354838709691E-5</v>
      </c>
      <c r="W3925" s="13"/>
      <c r="X3925" s="34">
        <v>3921</v>
      </c>
      <c r="Y3925" s="34" t="s">
        <v>2248</v>
      </c>
      <c r="Z3925" s="34" t="s">
        <v>2344</v>
      </c>
      <c r="AA3925" s="35">
        <v>1.1413306451612904E-3</v>
      </c>
      <c r="AB3925" s="13"/>
      <c r="AC3925" s="13"/>
      <c r="AD3925" s="13"/>
      <c r="AE3925" s="13"/>
      <c r="AF3925" s="13"/>
    </row>
    <row r="3926" spans="19:32" x14ac:dyDescent="0.35">
      <c r="S3926" s="47">
        <v>3922</v>
      </c>
      <c r="T3926" s="47" t="s">
        <v>4284</v>
      </c>
      <c r="U3926" s="47" t="s">
        <v>2385</v>
      </c>
      <c r="V3926" s="56">
        <v>0</v>
      </c>
      <c r="W3926" s="13"/>
      <c r="X3926" s="34">
        <v>3922</v>
      </c>
      <c r="Y3926" s="34" t="s">
        <v>2248</v>
      </c>
      <c r="Z3926" s="34" t="s">
        <v>2621</v>
      </c>
      <c r="AA3926" s="35">
        <v>4.3528225806451615E-4</v>
      </c>
      <c r="AB3926" s="13"/>
      <c r="AC3926" s="13"/>
      <c r="AD3926" s="13"/>
      <c r="AE3926" s="13"/>
      <c r="AF3926" s="13"/>
    </row>
    <row r="3927" spans="19:32" x14ac:dyDescent="0.35">
      <c r="S3927" s="34">
        <v>3923</v>
      </c>
      <c r="T3927" s="34" t="s">
        <v>4284</v>
      </c>
      <c r="U3927" s="34" t="s">
        <v>3944</v>
      </c>
      <c r="V3927" s="35">
        <v>0.21078629032258067</v>
      </c>
      <c r="W3927" s="13"/>
      <c r="X3927" s="47">
        <v>3923</v>
      </c>
      <c r="Y3927" s="47" t="s">
        <v>2248</v>
      </c>
      <c r="Z3927" s="47" t="s">
        <v>2341</v>
      </c>
      <c r="AA3927" s="56">
        <v>0</v>
      </c>
      <c r="AB3927" s="13"/>
      <c r="AC3927" s="13"/>
      <c r="AD3927" s="13"/>
      <c r="AE3927" s="13"/>
      <c r="AF3927" s="13"/>
    </row>
    <row r="3928" spans="19:32" x14ac:dyDescent="0.35">
      <c r="S3928" s="47">
        <v>3924</v>
      </c>
      <c r="T3928" s="47" t="s">
        <v>4284</v>
      </c>
      <c r="U3928" s="47" t="s">
        <v>2384</v>
      </c>
      <c r="V3928" s="56">
        <v>0</v>
      </c>
      <c r="W3928" s="13"/>
      <c r="X3928" s="34">
        <v>3924</v>
      </c>
      <c r="Y3928" s="34" t="s">
        <v>2248</v>
      </c>
      <c r="Z3928" s="34" t="s">
        <v>2620</v>
      </c>
      <c r="AA3928" s="35">
        <v>2.3614919354838712E-3</v>
      </c>
      <c r="AB3928" s="13"/>
      <c r="AC3928" s="13"/>
      <c r="AD3928" s="13"/>
      <c r="AE3928" s="13"/>
      <c r="AF3928" s="13"/>
    </row>
    <row r="3929" spans="19:32" x14ac:dyDescent="0.35">
      <c r="S3929" s="36">
        <v>3925</v>
      </c>
      <c r="T3929" s="36" t="s">
        <v>4284</v>
      </c>
      <c r="U3929" s="36" t="s">
        <v>4411</v>
      </c>
      <c r="V3929" s="37">
        <v>0.47882499999999995</v>
      </c>
      <c r="W3929" s="13"/>
      <c r="X3929" s="34">
        <v>3925</v>
      </c>
      <c r="Y3929" s="34" t="s">
        <v>2248</v>
      </c>
      <c r="Z3929" s="34" t="s">
        <v>2341</v>
      </c>
      <c r="AA3929" s="35">
        <v>0.66149193548387097</v>
      </c>
      <c r="AB3929" s="13"/>
      <c r="AC3929" s="13"/>
      <c r="AD3929" s="13"/>
      <c r="AE3929" s="13"/>
      <c r="AF3929" s="13"/>
    </row>
    <row r="3930" spans="19:32" x14ac:dyDescent="0.35">
      <c r="S3930" s="34">
        <v>3926</v>
      </c>
      <c r="T3930" s="34" t="s">
        <v>4284</v>
      </c>
      <c r="U3930" s="34" t="s">
        <v>4411</v>
      </c>
      <c r="V3930" s="35">
        <v>1.0556451612903228E-6</v>
      </c>
      <c r="W3930" s="13"/>
      <c r="X3930" s="47">
        <v>3926</v>
      </c>
      <c r="Y3930" s="47" t="s">
        <v>2248</v>
      </c>
      <c r="Z3930" s="47" t="s">
        <v>4410</v>
      </c>
      <c r="AA3930" s="48">
        <v>6.6834677419354838E-2</v>
      </c>
      <c r="AB3930" s="13"/>
      <c r="AC3930" s="13"/>
      <c r="AD3930" s="13"/>
      <c r="AE3930" s="13"/>
      <c r="AF3930" s="13"/>
    </row>
    <row r="3931" spans="19:32" x14ac:dyDescent="0.35">
      <c r="S3931" s="36">
        <v>3927</v>
      </c>
      <c r="T3931" s="36" t="s">
        <v>4284</v>
      </c>
      <c r="U3931" s="36" t="s">
        <v>2382</v>
      </c>
      <c r="V3931" s="37">
        <v>0.95764999999999989</v>
      </c>
      <c r="W3931" s="13"/>
      <c r="X3931" s="34">
        <v>3927</v>
      </c>
      <c r="Y3931" s="34" t="s">
        <v>2248</v>
      </c>
      <c r="Z3931" s="34" t="s">
        <v>4358</v>
      </c>
      <c r="AA3931" s="35">
        <v>4.3870967741935489E-4</v>
      </c>
      <c r="AB3931" s="13"/>
      <c r="AC3931" s="13"/>
      <c r="AD3931" s="13"/>
      <c r="AE3931" s="13"/>
      <c r="AF3931" s="13"/>
    </row>
    <row r="3932" spans="19:32" x14ac:dyDescent="0.35">
      <c r="S3932" s="34">
        <v>3928</v>
      </c>
      <c r="T3932" s="34" t="s">
        <v>4284</v>
      </c>
      <c r="U3932" s="34" t="s">
        <v>2382</v>
      </c>
      <c r="V3932" s="35">
        <v>4.7641129032258069E-6</v>
      </c>
      <c r="W3932" s="13"/>
      <c r="X3932" s="47">
        <v>3928</v>
      </c>
      <c r="Y3932" s="47" t="s">
        <v>2248</v>
      </c>
      <c r="Z3932" s="47" t="s">
        <v>2339</v>
      </c>
      <c r="AA3932" s="56">
        <v>0</v>
      </c>
      <c r="AB3932" s="13"/>
      <c r="AC3932" s="13"/>
      <c r="AD3932" s="13"/>
      <c r="AE3932" s="13"/>
      <c r="AF3932" s="13"/>
    </row>
    <row r="3933" spans="19:32" x14ac:dyDescent="0.35">
      <c r="S3933" s="47">
        <v>3929</v>
      </c>
      <c r="T3933" s="47" t="s">
        <v>4284</v>
      </c>
      <c r="U3933" s="47" t="s">
        <v>2382</v>
      </c>
      <c r="V3933" s="56">
        <v>0.29716000000000004</v>
      </c>
      <c r="W3933" s="13"/>
      <c r="X3933" s="34">
        <v>3929</v>
      </c>
      <c r="Y3933" s="34" t="s">
        <v>2248</v>
      </c>
      <c r="Z3933" s="34" t="s">
        <v>2339</v>
      </c>
      <c r="AA3933" s="35">
        <v>5.8951612903225814E-3</v>
      </c>
      <c r="AB3933" s="13"/>
      <c r="AC3933" s="13"/>
      <c r="AD3933" s="13"/>
      <c r="AE3933" s="13"/>
      <c r="AF3933" s="13"/>
    </row>
    <row r="3934" spans="19:32" x14ac:dyDescent="0.35">
      <c r="S3934" s="36">
        <v>3930</v>
      </c>
      <c r="T3934" s="36" t="s">
        <v>4284</v>
      </c>
      <c r="U3934" s="36" t="s">
        <v>4409</v>
      </c>
      <c r="V3934" s="37">
        <v>2.2041999999999997</v>
      </c>
      <c r="W3934" s="13"/>
      <c r="X3934" s="34">
        <v>3930</v>
      </c>
      <c r="Y3934" s="34" t="s">
        <v>2248</v>
      </c>
      <c r="Z3934" s="34" t="s">
        <v>4357</v>
      </c>
      <c r="AA3934" s="35">
        <v>4.6612903225806454E-2</v>
      </c>
      <c r="AB3934" s="13"/>
      <c r="AC3934" s="13"/>
      <c r="AD3934" s="13"/>
      <c r="AE3934" s="13"/>
      <c r="AF3934" s="13"/>
    </row>
    <row r="3935" spans="19:32" x14ac:dyDescent="0.35">
      <c r="S3935" s="36">
        <v>3931</v>
      </c>
      <c r="T3935" s="36" t="s">
        <v>4284</v>
      </c>
      <c r="U3935" s="36" t="s">
        <v>2381</v>
      </c>
      <c r="V3935" s="37">
        <v>1.5835999999999999</v>
      </c>
      <c r="W3935" s="13"/>
      <c r="X3935" s="47">
        <v>3931</v>
      </c>
      <c r="Y3935" s="47" t="s">
        <v>2248</v>
      </c>
      <c r="Z3935" s="47" t="s">
        <v>4408</v>
      </c>
      <c r="AA3935" s="48">
        <v>7.8145161290322585E-4</v>
      </c>
      <c r="AB3935" s="13"/>
      <c r="AC3935" s="13"/>
      <c r="AD3935" s="13"/>
      <c r="AE3935" s="13"/>
      <c r="AF3935" s="13"/>
    </row>
    <row r="3936" spans="19:32" x14ac:dyDescent="0.35">
      <c r="S3936" s="34">
        <v>3932</v>
      </c>
      <c r="T3936" s="34" t="s">
        <v>4284</v>
      </c>
      <c r="U3936" s="34" t="s">
        <v>2381</v>
      </c>
      <c r="V3936" s="35">
        <v>7.7459677419354842E-7</v>
      </c>
      <c r="W3936" s="13"/>
      <c r="X3936" s="34">
        <v>3932</v>
      </c>
      <c r="Y3936" s="34" t="s">
        <v>2248</v>
      </c>
      <c r="Z3936" s="34" t="s">
        <v>2336</v>
      </c>
      <c r="AA3936" s="35">
        <v>2.0975806451612906E-3</v>
      </c>
      <c r="AB3936" s="13"/>
      <c r="AC3936" s="13"/>
      <c r="AD3936" s="13"/>
      <c r="AE3936" s="13"/>
      <c r="AF3936" s="13"/>
    </row>
    <row r="3937" spans="19:32" x14ac:dyDescent="0.35">
      <c r="S3937" s="47">
        <v>3933</v>
      </c>
      <c r="T3937" s="47" t="s">
        <v>4284</v>
      </c>
      <c r="U3937" s="47" t="s">
        <v>2381</v>
      </c>
      <c r="V3937" s="56">
        <v>5.4831999999999999E-2</v>
      </c>
      <c r="W3937" s="13"/>
      <c r="X3937" s="34">
        <v>3933</v>
      </c>
      <c r="Y3937" s="34" t="s">
        <v>2248</v>
      </c>
      <c r="Z3937" s="34" t="s">
        <v>4354</v>
      </c>
      <c r="AA3937" s="35">
        <v>2.4334677419354842E-2</v>
      </c>
      <c r="AB3937" s="13"/>
      <c r="AC3937" s="13"/>
      <c r="AD3937" s="13"/>
      <c r="AE3937" s="13"/>
      <c r="AF3937" s="13"/>
    </row>
    <row r="3938" spans="19:32" x14ac:dyDescent="0.35">
      <c r="S3938" s="34">
        <v>3934</v>
      </c>
      <c r="T3938" s="34" t="s">
        <v>4284</v>
      </c>
      <c r="U3938" s="34" t="s">
        <v>4407</v>
      </c>
      <c r="V3938" s="35">
        <v>2.1627016129032258E-4</v>
      </c>
      <c r="W3938" s="13"/>
      <c r="X3938" s="34">
        <v>3934</v>
      </c>
      <c r="Y3938" s="34" t="s">
        <v>2248</v>
      </c>
      <c r="Z3938" s="34" t="s">
        <v>2334</v>
      </c>
      <c r="AA3938" s="35">
        <v>1.2681451612903227</v>
      </c>
      <c r="AB3938" s="13"/>
      <c r="AC3938" s="13"/>
      <c r="AD3938" s="13"/>
      <c r="AE3938" s="13"/>
      <c r="AF3938" s="13"/>
    </row>
    <row r="3939" spans="19:32" x14ac:dyDescent="0.35">
      <c r="S3939" s="34">
        <v>3935</v>
      </c>
      <c r="T3939" s="34" t="s">
        <v>4284</v>
      </c>
      <c r="U3939" s="34" t="s">
        <v>3938</v>
      </c>
      <c r="V3939" s="35">
        <v>3.5302419354838711E-7</v>
      </c>
      <c r="W3939" s="13"/>
      <c r="X3939" s="47">
        <v>3935</v>
      </c>
      <c r="Y3939" s="47" t="s">
        <v>2248</v>
      </c>
      <c r="Z3939" s="47" t="s">
        <v>4406</v>
      </c>
      <c r="AA3939" s="48">
        <v>9.116935483870969E-3</v>
      </c>
      <c r="AB3939" s="13"/>
      <c r="AC3939" s="13"/>
      <c r="AD3939" s="13"/>
      <c r="AE3939" s="13"/>
      <c r="AF3939" s="13"/>
    </row>
    <row r="3940" spans="19:32" x14ac:dyDescent="0.35">
      <c r="S3940" s="34">
        <v>3936</v>
      </c>
      <c r="T3940" s="34" t="s">
        <v>4284</v>
      </c>
      <c r="U3940" s="34" t="s">
        <v>3937</v>
      </c>
      <c r="V3940" s="35">
        <v>1.0350806451612904E-2</v>
      </c>
      <c r="W3940" s="13"/>
      <c r="X3940" s="34">
        <v>3936</v>
      </c>
      <c r="Y3940" s="34" t="s">
        <v>2248</v>
      </c>
      <c r="Z3940" s="34" t="s">
        <v>2617</v>
      </c>
      <c r="AA3940" s="35">
        <v>2.5328629032258066E-2</v>
      </c>
      <c r="AB3940" s="13"/>
      <c r="AC3940" s="13"/>
      <c r="AD3940" s="13"/>
      <c r="AE3940" s="13"/>
      <c r="AF3940" s="13"/>
    </row>
    <row r="3941" spans="19:32" x14ac:dyDescent="0.35">
      <c r="S3941" s="34">
        <v>3937</v>
      </c>
      <c r="T3941" s="34" t="s">
        <v>4284</v>
      </c>
      <c r="U3941" s="34" t="s">
        <v>3936</v>
      </c>
      <c r="V3941" s="35">
        <v>6.3750000000000001E-2</v>
      </c>
      <c r="W3941" s="13"/>
      <c r="X3941" s="34">
        <v>3937</v>
      </c>
      <c r="Y3941" s="34" t="s">
        <v>2248</v>
      </c>
      <c r="Z3941" s="34" t="s">
        <v>4352</v>
      </c>
      <c r="AA3941" s="35">
        <v>8.4657258064516131E-16</v>
      </c>
      <c r="AB3941" s="13"/>
      <c r="AC3941" s="13"/>
      <c r="AD3941" s="13"/>
      <c r="AE3941" s="13"/>
      <c r="AF3941" s="13"/>
    </row>
    <row r="3942" spans="19:32" x14ac:dyDescent="0.35">
      <c r="S3942" s="34">
        <v>3938</v>
      </c>
      <c r="T3942" s="34" t="s">
        <v>4284</v>
      </c>
      <c r="U3942" s="34" t="s">
        <v>3935</v>
      </c>
      <c r="V3942" s="35">
        <v>2.282661290322581E-2</v>
      </c>
      <c r="W3942" s="13"/>
      <c r="X3942" s="47">
        <v>3938</v>
      </c>
      <c r="Y3942" s="47" t="s">
        <v>2248</v>
      </c>
      <c r="Z3942" s="47" t="s">
        <v>2638</v>
      </c>
      <c r="AA3942" s="56">
        <v>0</v>
      </c>
      <c r="AB3942" s="13"/>
      <c r="AC3942" s="13"/>
      <c r="AD3942" s="13"/>
      <c r="AE3942" s="13"/>
      <c r="AF3942" s="13"/>
    </row>
    <row r="3943" spans="19:32" x14ac:dyDescent="0.35">
      <c r="S3943" s="34">
        <v>3939</v>
      </c>
      <c r="T3943" s="34" t="s">
        <v>4284</v>
      </c>
      <c r="U3943" s="34" t="s">
        <v>3933</v>
      </c>
      <c r="V3943" s="35">
        <v>6.409274193548388E-2</v>
      </c>
      <c r="W3943" s="13"/>
      <c r="X3943" s="34">
        <v>3939</v>
      </c>
      <c r="Y3943" s="34" t="s">
        <v>2248</v>
      </c>
      <c r="Z3943" s="34" t="s">
        <v>4405</v>
      </c>
      <c r="AA3943" s="35">
        <v>4.2842741935483876E-7</v>
      </c>
      <c r="AB3943" s="13"/>
      <c r="AC3943" s="13"/>
      <c r="AD3943" s="13"/>
      <c r="AE3943" s="13"/>
      <c r="AF3943" s="13"/>
    </row>
    <row r="3944" spans="19:32" x14ac:dyDescent="0.35">
      <c r="S3944" s="34">
        <v>3940</v>
      </c>
      <c r="T3944" s="34" t="s">
        <v>4284</v>
      </c>
      <c r="U3944" s="34" t="s">
        <v>3932</v>
      </c>
      <c r="V3944" s="35">
        <v>9.9052419354838717E-2</v>
      </c>
      <c r="W3944" s="13"/>
      <c r="X3944" s="34">
        <v>3940</v>
      </c>
      <c r="Y3944" s="34" t="s">
        <v>2248</v>
      </c>
      <c r="Z3944" s="34" t="s">
        <v>2613</v>
      </c>
      <c r="AA3944" s="35">
        <v>2.4471774193548387E-2</v>
      </c>
      <c r="AB3944" s="13"/>
      <c r="AC3944" s="13"/>
      <c r="AD3944" s="13"/>
      <c r="AE3944" s="13"/>
      <c r="AF3944" s="13"/>
    </row>
    <row r="3945" spans="19:32" x14ac:dyDescent="0.35">
      <c r="S3945" s="34">
        <v>3941</v>
      </c>
      <c r="T3945" s="34" t="s">
        <v>4284</v>
      </c>
      <c r="U3945" s="34" t="s">
        <v>3931</v>
      </c>
      <c r="V3945" s="35">
        <v>0.91169354838709682</v>
      </c>
      <c r="W3945" s="13"/>
      <c r="X3945" s="34">
        <v>3941</v>
      </c>
      <c r="Y3945" s="34" t="s">
        <v>2248</v>
      </c>
      <c r="Z3945" s="34" t="s">
        <v>2331</v>
      </c>
      <c r="AA3945" s="35">
        <v>1.4875000000000001E-3</v>
      </c>
      <c r="AB3945" s="13"/>
      <c r="AC3945" s="13"/>
      <c r="AD3945" s="13"/>
      <c r="AE3945" s="13"/>
      <c r="AF3945" s="13"/>
    </row>
    <row r="3946" spans="19:32" x14ac:dyDescent="0.35">
      <c r="S3946" s="34">
        <v>3942</v>
      </c>
      <c r="T3946" s="34" t="s">
        <v>4284</v>
      </c>
      <c r="U3946" s="34" t="s">
        <v>3930</v>
      </c>
      <c r="V3946" s="35">
        <v>0.36673387096774196</v>
      </c>
      <c r="W3946" s="13"/>
      <c r="X3946" s="34">
        <v>3942</v>
      </c>
      <c r="Y3946" s="34" t="s">
        <v>2248</v>
      </c>
      <c r="Z3946" s="34" t="s">
        <v>4349</v>
      </c>
      <c r="AA3946" s="35">
        <v>8.8427419354838721E-2</v>
      </c>
      <c r="AB3946" s="13"/>
      <c r="AC3946" s="13"/>
      <c r="AD3946" s="13"/>
      <c r="AE3946" s="13"/>
      <c r="AF3946" s="13"/>
    </row>
    <row r="3947" spans="19:32" x14ac:dyDescent="0.35">
      <c r="S3947" s="47">
        <v>3943</v>
      </c>
      <c r="T3947" s="47" t="s">
        <v>4284</v>
      </c>
      <c r="U3947" s="47" t="s">
        <v>2379</v>
      </c>
      <c r="V3947" s="56">
        <v>0</v>
      </c>
      <c r="W3947" s="13"/>
      <c r="X3947" s="34">
        <v>3943</v>
      </c>
      <c r="Y3947" s="34" t="s">
        <v>2248</v>
      </c>
      <c r="Z3947" s="34" t="s">
        <v>2328</v>
      </c>
      <c r="AA3947" s="35">
        <v>5.7923387096774194E-3</v>
      </c>
      <c r="AB3947" s="13"/>
      <c r="AC3947" s="13"/>
      <c r="AD3947" s="13"/>
      <c r="AE3947" s="13"/>
      <c r="AF3947" s="13"/>
    </row>
    <row r="3948" spans="19:32" x14ac:dyDescent="0.35">
      <c r="S3948" s="47">
        <v>3944</v>
      </c>
      <c r="T3948" s="47" t="s">
        <v>4284</v>
      </c>
      <c r="U3948" s="47" t="s">
        <v>2378</v>
      </c>
      <c r="V3948" s="56">
        <v>0</v>
      </c>
      <c r="W3948" s="13"/>
      <c r="X3948" s="47">
        <v>3944</v>
      </c>
      <c r="Y3948" s="47" t="s">
        <v>2248</v>
      </c>
      <c r="Z3948" s="47" t="s">
        <v>4404</v>
      </c>
      <c r="AA3948" s="48">
        <v>1.370967741935484E-4</v>
      </c>
      <c r="AB3948" s="13"/>
      <c r="AC3948" s="13"/>
      <c r="AD3948" s="13"/>
      <c r="AE3948" s="13"/>
      <c r="AF3948" s="13"/>
    </row>
    <row r="3949" spans="19:32" x14ac:dyDescent="0.35">
      <c r="S3949" s="34">
        <v>3945</v>
      </c>
      <c r="T3949" s="34" t="s">
        <v>4284</v>
      </c>
      <c r="U3949" s="34" t="s">
        <v>3928</v>
      </c>
      <c r="V3949" s="35">
        <v>4.0443548387096774E-2</v>
      </c>
      <c r="W3949" s="13"/>
      <c r="X3949" s="34">
        <v>3945</v>
      </c>
      <c r="Y3949" s="34" t="s">
        <v>2248</v>
      </c>
      <c r="Z3949" s="34" t="s">
        <v>2325</v>
      </c>
      <c r="AA3949" s="35">
        <v>8.5000000000000006E-4</v>
      </c>
      <c r="AB3949" s="13"/>
      <c r="AC3949" s="13"/>
      <c r="AD3949" s="13"/>
      <c r="AE3949" s="13"/>
      <c r="AF3949" s="13"/>
    </row>
    <row r="3950" spans="19:32" x14ac:dyDescent="0.35">
      <c r="S3950" s="34">
        <v>3946</v>
      </c>
      <c r="T3950" s="34" t="s">
        <v>4284</v>
      </c>
      <c r="U3950" s="34" t="s">
        <v>3926</v>
      </c>
      <c r="V3950" s="35">
        <v>1.9570564516129034E-4</v>
      </c>
      <c r="W3950" s="13"/>
      <c r="X3950" s="34">
        <v>3946</v>
      </c>
      <c r="Y3950" s="34" t="s">
        <v>2248</v>
      </c>
      <c r="Z3950" s="34" t="s">
        <v>4348</v>
      </c>
      <c r="AA3950" s="35">
        <v>1.9879032258064518E-4</v>
      </c>
      <c r="AB3950" s="13"/>
      <c r="AC3950" s="13"/>
      <c r="AD3950" s="13"/>
      <c r="AE3950" s="13"/>
      <c r="AF3950" s="13"/>
    </row>
    <row r="3951" spans="19:32" x14ac:dyDescent="0.35">
      <c r="S3951" s="34">
        <v>3947</v>
      </c>
      <c r="T3951" s="34" t="s">
        <v>4284</v>
      </c>
      <c r="U3951" s="34" t="s">
        <v>3925</v>
      </c>
      <c r="V3951" s="35">
        <v>5.4838709677419356E-2</v>
      </c>
      <c r="W3951" s="13"/>
      <c r="X3951" s="34">
        <v>3947</v>
      </c>
      <c r="Y3951" s="34" t="s">
        <v>2248</v>
      </c>
      <c r="Z3951" s="34" t="s">
        <v>2322</v>
      </c>
      <c r="AA3951" s="35">
        <v>3.9415322580645167E-4</v>
      </c>
      <c r="AB3951" s="13"/>
      <c r="AC3951" s="13"/>
      <c r="AD3951" s="13"/>
      <c r="AE3951" s="13"/>
      <c r="AF3951" s="13"/>
    </row>
    <row r="3952" spans="19:32" x14ac:dyDescent="0.35">
      <c r="S3952" s="34">
        <v>3948</v>
      </c>
      <c r="T3952" s="34" t="s">
        <v>4284</v>
      </c>
      <c r="U3952" s="34" t="s">
        <v>3924</v>
      </c>
      <c r="V3952" s="35">
        <v>4.558467741935484E-2</v>
      </c>
      <c r="W3952" s="13"/>
      <c r="X3952" s="34">
        <v>3948</v>
      </c>
      <c r="Y3952" s="34" t="s">
        <v>2248</v>
      </c>
      <c r="Z3952" s="34" t="s">
        <v>2612</v>
      </c>
      <c r="AA3952" s="35">
        <v>2.4300403225806455E-2</v>
      </c>
      <c r="AB3952" s="13"/>
      <c r="AC3952" s="13"/>
      <c r="AD3952" s="13"/>
      <c r="AE3952" s="13"/>
      <c r="AF3952" s="13"/>
    </row>
    <row r="3953" spans="19:32" x14ac:dyDescent="0.35">
      <c r="S3953" s="34">
        <v>3949</v>
      </c>
      <c r="T3953" s="34" t="s">
        <v>4284</v>
      </c>
      <c r="U3953" s="34" t="s">
        <v>3922</v>
      </c>
      <c r="V3953" s="35">
        <v>5.6895161290322583E-3</v>
      </c>
      <c r="W3953" s="13"/>
      <c r="X3953" s="34">
        <v>3949</v>
      </c>
      <c r="Y3953" s="34" t="s">
        <v>2248</v>
      </c>
      <c r="Z3953" s="34" t="s">
        <v>4403</v>
      </c>
      <c r="AA3953" s="35">
        <v>1.4463709677419356E-4</v>
      </c>
      <c r="AB3953" s="13"/>
      <c r="AC3953" s="13"/>
      <c r="AD3953" s="13"/>
      <c r="AE3953" s="13"/>
      <c r="AF3953" s="13"/>
    </row>
    <row r="3954" spans="19:32" x14ac:dyDescent="0.35">
      <c r="S3954" s="47">
        <v>3950</v>
      </c>
      <c r="T3954" s="47" t="s">
        <v>4284</v>
      </c>
      <c r="U3954" s="47" t="s">
        <v>2376</v>
      </c>
      <c r="V3954" s="56">
        <v>0.17756</v>
      </c>
      <c r="W3954" s="13"/>
      <c r="X3954" s="34">
        <v>3950</v>
      </c>
      <c r="Y3954" s="34" t="s">
        <v>2248</v>
      </c>
      <c r="Z3954" s="34" t="s">
        <v>2320</v>
      </c>
      <c r="AA3954" s="35">
        <v>2.7282258064516129E-3</v>
      </c>
      <c r="AB3954" s="13"/>
      <c r="AC3954" s="13"/>
      <c r="AD3954" s="13"/>
      <c r="AE3954" s="13"/>
      <c r="AF3954" s="13"/>
    </row>
    <row r="3955" spans="19:32" x14ac:dyDescent="0.35">
      <c r="S3955" s="34">
        <v>3951</v>
      </c>
      <c r="T3955" s="34" t="s">
        <v>4284</v>
      </c>
      <c r="U3955" s="34" t="s">
        <v>3920</v>
      </c>
      <c r="V3955" s="35">
        <v>0.49354838709677423</v>
      </c>
      <c r="W3955" s="13"/>
      <c r="X3955" s="34">
        <v>3951</v>
      </c>
      <c r="Y3955" s="34" t="s">
        <v>2248</v>
      </c>
      <c r="Z3955" s="34" t="s">
        <v>4345</v>
      </c>
      <c r="AA3955" s="35">
        <v>1.028225806451613E-3</v>
      </c>
      <c r="AB3955" s="13"/>
      <c r="AC3955" s="13"/>
      <c r="AD3955" s="13"/>
      <c r="AE3955" s="13"/>
      <c r="AF3955" s="13"/>
    </row>
    <row r="3956" spans="19:32" x14ac:dyDescent="0.35">
      <c r="S3956" s="34">
        <v>3952</v>
      </c>
      <c r="T3956" s="34" t="s">
        <v>4284</v>
      </c>
      <c r="U3956" s="34" t="s">
        <v>3919</v>
      </c>
      <c r="V3956" s="35">
        <v>6.3064516129032258E-2</v>
      </c>
      <c r="W3956" s="13"/>
      <c r="X3956" s="47">
        <v>3952</v>
      </c>
      <c r="Y3956" s="47" t="s">
        <v>2248</v>
      </c>
      <c r="Z3956" s="47" t="s">
        <v>2636</v>
      </c>
      <c r="AA3956" s="56">
        <v>0.13432000000000002</v>
      </c>
      <c r="AB3956" s="13"/>
      <c r="AC3956" s="13"/>
      <c r="AD3956" s="13"/>
      <c r="AE3956" s="13"/>
      <c r="AF3956" s="13"/>
    </row>
    <row r="3957" spans="19:32" x14ac:dyDescent="0.35">
      <c r="S3957" s="34">
        <v>3953</v>
      </c>
      <c r="T3957" s="34" t="s">
        <v>4284</v>
      </c>
      <c r="U3957" s="34" t="s">
        <v>2375</v>
      </c>
      <c r="V3957" s="35">
        <v>1.264717741935484E-4</v>
      </c>
      <c r="W3957" s="13"/>
      <c r="X3957" s="34">
        <v>3953</v>
      </c>
      <c r="Y3957" s="34" t="s">
        <v>2248</v>
      </c>
      <c r="Z3957" s="34" t="s">
        <v>2317</v>
      </c>
      <c r="AA3957" s="35">
        <v>5.6209677419354835E-4</v>
      </c>
      <c r="AB3957" s="13"/>
      <c r="AC3957" s="13"/>
      <c r="AD3957" s="13"/>
      <c r="AE3957" s="13"/>
      <c r="AF3957" s="13"/>
    </row>
    <row r="3958" spans="19:32" x14ac:dyDescent="0.35">
      <c r="S3958" s="47">
        <v>3954</v>
      </c>
      <c r="T3958" s="47" t="s">
        <v>4284</v>
      </c>
      <c r="U3958" s="47" t="s">
        <v>2375</v>
      </c>
      <c r="V3958" s="56">
        <v>0</v>
      </c>
      <c r="W3958" s="13"/>
      <c r="X3958" s="34">
        <v>3954</v>
      </c>
      <c r="Y3958" s="34" t="s">
        <v>2248</v>
      </c>
      <c r="Z3958" s="34" t="s">
        <v>2610</v>
      </c>
      <c r="AA3958" s="35">
        <v>1.2338709677419356E-4</v>
      </c>
      <c r="AB3958" s="13"/>
      <c r="AC3958" s="13"/>
      <c r="AD3958" s="13"/>
      <c r="AE3958" s="13"/>
      <c r="AF3958" s="13"/>
    </row>
    <row r="3959" spans="19:32" x14ac:dyDescent="0.35">
      <c r="S3959" s="34">
        <v>3955</v>
      </c>
      <c r="T3959" s="34" t="s">
        <v>4284</v>
      </c>
      <c r="U3959" s="34" t="s">
        <v>3918</v>
      </c>
      <c r="V3959" s="35">
        <v>3.838709677419355E-3</v>
      </c>
      <c r="W3959" s="13"/>
      <c r="X3959" s="47">
        <v>3955</v>
      </c>
      <c r="Y3959" s="47" t="s">
        <v>2248</v>
      </c>
      <c r="Z3959" s="47" t="s">
        <v>4402</v>
      </c>
      <c r="AA3959" s="48">
        <v>1.0145161290322581E-4</v>
      </c>
      <c r="AB3959" s="13"/>
      <c r="AC3959" s="13"/>
      <c r="AD3959" s="13"/>
      <c r="AE3959" s="13"/>
      <c r="AF3959" s="13"/>
    </row>
    <row r="3960" spans="19:32" x14ac:dyDescent="0.35">
      <c r="S3960" s="34">
        <v>3956</v>
      </c>
      <c r="T3960" s="34" t="s">
        <v>4284</v>
      </c>
      <c r="U3960" s="34" t="s">
        <v>3917</v>
      </c>
      <c r="V3960" s="35">
        <v>4.0786290322580645E-5</v>
      </c>
      <c r="W3960" s="13"/>
      <c r="X3960" s="34">
        <v>3956</v>
      </c>
      <c r="Y3960" s="34" t="s">
        <v>2248</v>
      </c>
      <c r="Z3960" s="34" t="s">
        <v>2314</v>
      </c>
      <c r="AA3960" s="35">
        <v>8.4314516129032268E-4</v>
      </c>
      <c r="AB3960" s="13"/>
      <c r="AC3960" s="13"/>
      <c r="AD3960" s="13"/>
      <c r="AE3960" s="13"/>
      <c r="AF3960" s="13"/>
    </row>
    <row r="3961" spans="19:32" x14ac:dyDescent="0.35">
      <c r="S3961" s="34">
        <v>3957</v>
      </c>
      <c r="T3961" s="34" t="s">
        <v>4284</v>
      </c>
      <c r="U3961" s="34" t="s">
        <v>3916</v>
      </c>
      <c r="V3961" s="35">
        <v>7.5403225806451618E-2</v>
      </c>
      <c r="W3961" s="13"/>
      <c r="X3961" s="34">
        <v>3957</v>
      </c>
      <c r="Y3961" s="34" t="s">
        <v>2248</v>
      </c>
      <c r="Z3961" s="34" t="s">
        <v>4343</v>
      </c>
      <c r="AA3961" s="35">
        <v>1.0179435483870969E-3</v>
      </c>
      <c r="AB3961" s="13"/>
      <c r="AC3961" s="13"/>
      <c r="AD3961" s="13"/>
      <c r="AE3961" s="13"/>
      <c r="AF3961" s="13"/>
    </row>
    <row r="3962" spans="19:32" x14ac:dyDescent="0.35">
      <c r="S3962" s="34">
        <v>3958</v>
      </c>
      <c r="T3962" s="34" t="s">
        <v>4284</v>
      </c>
      <c r="U3962" s="34" t="s">
        <v>3915</v>
      </c>
      <c r="V3962" s="35">
        <v>2.9235887096774193E-4</v>
      </c>
      <c r="W3962" s="13"/>
      <c r="X3962" s="34">
        <v>3958</v>
      </c>
      <c r="Y3962" s="34" t="s">
        <v>2248</v>
      </c>
      <c r="Z3962" s="34" t="s">
        <v>2311</v>
      </c>
      <c r="AA3962" s="35">
        <v>2.7110887096774199E-4</v>
      </c>
      <c r="AB3962" s="13"/>
      <c r="AC3962" s="13"/>
      <c r="AD3962" s="13"/>
      <c r="AE3962" s="13"/>
      <c r="AF3962" s="13"/>
    </row>
    <row r="3963" spans="19:32" x14ac:dyDescent="0.35">
      <c r="S3963" s="34">
        <v>3959</v>
      </c>
      <c r="T3963" s="34" t="s">
        <v>4284</v>
      </c>
      <c r="U3963" s="34" t="s">
        <v>3914</v>
      </c>
      <c r="V3963" s="35">
        <v>6.0322580645161298E-3</v>
      </c>
      <c r="W3963" s="13"/>
      <c r="X3963" s="34">
        <v>3959</v>
      </c>
      <c r="Y3963" s="34" t="s">
        <v>2248</v>
      </c>
      <c r="Z3963" s="34" t="s">
        <v>4401</v>
      </c>
      <c r="AA3963" s="35">
        <v>3.2526209677419359E-7</v>
      </c>
      <c r="AB3963" s="13"/>
      <c r="AC3963" s="13"/>
      <c r="AD3963" s="13"/>
      <c r="AE3963" s="13"/>
      <c r="AF3963" s="13"/>
    </row>
    <row r="3964" spans="19:32" x14ac:dyDescent="0.35">
      <c r="S3964" s="34">
        <v>3960</v>
      </c>
      <c r="T3964" s="34" t="s">
        <v>4284</v>
      </c>
      <c r="U3964" s="34" t="s">
        <v>3913</v>
      </c>
      <c r="V3964" s="35">
        <v>6.03225806451613E-7</v>
      </c>
      <c r="W3964" s="13"/>
      <c r="X3964" s="34">
        <v>3960</v>
      </c>
      <c r="Y3964" s="34" t="s">
        <v>2248</v>
      </c>
      <c r="Z3964" s="34" t="s">
        <v>4342</v>
      </c>
      <c r="AA3964" s="35">
        <v>1.3058467741935484E-2</v>
      </c>
      <c r="AB3964" s="13"/>
      <c r="AC3964" s="13"/>
      <c r="AD3964" s="13"/>
      <c r="AE3964" s="13"/>
      <c r="AF3964" s="13"/>
    </row>
    <row r="3965" spans="19:32" x14ac:dyDescent="0.35">
      <c r="S3965" s="34">
        <v>3961</v>
      </c>
      <c r="T3965" s="34" t="s">
        <v>4284</v>
      </c>
      <c r="U3965" s="34" t="s">
        <v>3912</v>
      </c>
      <c r="V3965" s="35">
        <v>0.15217741935483872</v>
      </c>
      <c r="W3965" s="13"/>
      <c r="X3965" s="34">
        <v>3961</v>
      </c>
      <c r="Y3965" s="34" t="s">
        <v>2248</v>
      </c>
      <c r="Z3965" s="34" t="s">
        <v>2309</v>
      </c>
      <c r="AA3965" s="35">
        <v>0.77459677419354844</v>
      </c>
      <c r="AB3965" s="13"/>
      <c r="AC3965" s="13"/>
      <c r="AD3965" s="13"/>
      <c r="AE3965" s="13"/>
      <c r="AF3965" s="13"/>
    </row>
    <row r="3966" spans="19:32" x14ac:dyDescent="0.35">
      <c r="S3966" s="34">
        <v>3962</v>
      </c>
      <c r="T3966" s="34" t="s">
        <v>4284</v>
      </c>
      <c r="U3966" s="34" t="s">
        <v>3911</v>
      </c>
      <c r="V3966" s="35">
        <v>6.0665322580645165E-2</v>
      </c>
      <c r="W3966" s="13"/>
      <c r="X3966" s="34">
        <v>3962</v>
      </c>
      <c r="Y3966" s="34" t="s">
        <v>2248</v>
      </c>
      <c r="Z3966" s="34" t="s">
        <v>4339</v>
      </c>
      <c r="AA3966" s="35">
        <v>6.3064516129032256E-4</v>
      </c>
      <c r="AB3966" s="13"/>
      <c r="AC3966" s="13"/>
      <c r="AD3966" s="13"/>
      <c r="AE3966" s="13"/>
      <c r="AF3966" s="13"/>
    </row>
    <row r="3967" spans="19:32" x14ac:dyDescent="0.35">
      <c r="S3967" s="34">
        <v>3963</v>
      </c>
      <c r="T3967" s="34" t="s">
        <v>4284</v>
      </c>
      <c r="U3967" s="34" t="s">
        <v>3910</v>
      </c>
      <c r="V3967" s="35">
        <v>0.24231854838709679</v>
      </c>
      <c r="W3967" s="13"/>
      <c r="X3967" s="47">
        <v>3963</v>
      </c>
      <c r="Y3967" s="47" t="s">
        <v>2248</v>
      </c>
      <c r="Z3967" s="47" t="s">
        <v>2306</v>
      </c>
      <c r="AA3967" s="56">
        <v>0</v>
      </c>
      <c r="AB3967" s="13"/>
      <c r="AC3967" s="13"/>
      <c r="AD3967" s="13"/>
      <c r="AE3967" s="13"/>
      <c r="AF3967" s="13"/>
    </row>
    <row r="3968" spans="19:32" x14ac:dyDescent="0.35">
      <c r="S3968" s="34">
        <v>3964</v>
      </c>
      <c r="T3968" s="34" t="s">
        <v>4284</v>
      </c>
      <c r="U3968" s="34" t="s">
        <v>3909</v>
      </c>
      <c r="V3968" s="35">
        <v>3.3520161290322582E-4</v>
      </c>
      <c r="W3968" s="13"/>
      <c r="X3968" s="34">
        <v>3964</v>
      </c>
      <c r="Y3968" s="34" t="s">
        <v>2248</v>
      </c>
      <c r="Z3968" s="34" t="s">
        <v>2306</v>
      </c>
      <c r="AA3968" s="35">
        <v>2.0221774193548389E-4</v>
      </c>
      <c r="AB3968" s="13"/>
      <c r="AC3968" s="13"/>
      <c r="AD3968" s="13"/>
      <c r="AE3968" s="13"/>
      <c r="AF3968" s="13"/>
    </row>
    <row r="3969" spans="19:32" x14ac:dyDescent="0.35">
      <c r="S3969" s="34">
        <v>3965</v>
      </c>
      <c r="T3969" s="34" t="s">
        <v>4284</v>
      </c>
      <c r="U3969" s="34" t="s">
        <v>3908</v>
      </c>
      <c r="V3969" s="35">
        <v>8.2258064516129034E-2</v>
      </c>
      <c r="W3969" s="13"/>
      <c r="X3969" s="47">
        <v>3965</v>
      </c>
      <c r="Y3969" s="47" t="s">
        <v>2248</v>
      </c>
      <c r="Z3969" s="47" t="s">
        <v>4400</v>
      </c>
      <c r="AA3969" s="56">
        <v>6.3064516129032272E-5</v>
      </c>
      <c r="AB3969" s="13"/>
      <c r="AC3969" s="13"/>
      <c r="AD3969" s="13"/>
      <c r="AE3969" s="13"/>
      <c r="AF3969" s="13"/>
    </row>
    <row r="3970" spans="19:32" x14ac:dyDescent="0.35">
      <c r="S3970" s="34">
        <v>3966</v>
      </c>
      <c r="T3970" s="34" t="s">
        <v>4284</v>
      </c>
      <c r="U3970" s="34" t="s">
        <v>3907</v>
      </c>
      <c r="V3970" s="35">
        <v>1.9193548387096775E-3</v>
      </c>
      <c r="W3970" s="13"/>
      <c r="X3970" s="34">
        <v>3966</v>
      </c>
      <c r="Y3970" s="34" t="s">
        <v>2248</v>
      </c>
      <c r="Z3970" s="34" t="s">
        <v>4338</v>
      </c>
      <c r="AA3970" s="35">
        <v>4.6955645161290329E-3</v>
      </c>
      <c r="AB3970" s="13"/>
      <c r="AC3970" s="13"/>
      <c r="AD3970" s="13"/>
      <c r="AE3970" s="13"/>
      <c r="AF3970" s="13"/>
    </row>
    <row r="3971" spans="19:32" x14ac:dyDescent="0.35">
      <c r="S3971" s="34">
        <v>3967</v>
      </c>
      <c r="T3971" s="34" t="s">
        <v>4284</v>
      </c>
      <c r="U3971" s="34" t="s">
        <v>2373</v>
      </c>
      <c r="V3971" s="35">
        <v>0.14120967741935486</v>
      </c>
      <c r="W3971" s="13"/>
      <c r="X3971" s="34">
        <v>3967</v>
      </c>
      <c r="Y3971" s="34" t="s">
        <v>2248</v>
      </c>
      <c r="Z3971" s="34" t="s">
        <v>2303</v>
      </c>
      <c r="AA3971" s="35">
        <v>5.1068548387096782E-3</v>
      </c>
      <c r="AB3971" s="13"/>
      <c r="AC3971" s="13"/>
      <c r="AD3971" s="13"/>
      <c r="AE3971" s="13"/>
      <c r="AF3971" s="13"/>
    </row>
    <row r="3972" spans="19:32" x14ac:dyDescent="0.35">
      <c r="S3972" s="47">
        <v>3968</v>
      </c>
      <c r="T3972" s="47" t="s">
        <v>4284</v>
      </c>
      <c r="U3972" s="47" t="s">
        <v>2373</v>
      </c>
      <c r="V3972" s="56">
        <v>0</v>
      </c>
      <c r="W3972" s="13"/>
      <c r="X3972" s="34">
        <v>3968</v>
      </c>
      <c r="Y3972" s="34" t="s">
        <v>2248</v>
      </c>
      <c r="Z3972" s="34" t="s">
        <v>2300</v>
      </c>
      <c r="AA3972" s="35">
        <v>2.3683467741935485E-4</v>
      </c>
      <c r="AB3972" s="13"/>
      <c r="AC3972" s="13"/>
      <c r="AD3972" s="13"/>
      <c r="AE3972" s="13"/>
      <c r="AF3972" s="13"/>
    </row>
    <row r="3973" spans="19:32" x14ac:dyDescent="0.35">
      <c r="S3973" s="34">
        <v>3969</v>
      </c>
      <c r="T3973" s="34" t="s">
        <v>4284</v>
      </c>
      <c r="U3973" s="34" t="s">
        <v>2371</v>
      </c>
      <c r="V3973" s="35">
        <v>6.8205645161290324E-2</v>
      </c>
      <c r="W3973" s="13"/>
      <c r="X3973" s="34">
        <v>3969</v>
      </c>
      <c r="Y3973" s="34" t="s">
        <v>2248</v>
      </c>
      <c r="Z3973" s="34" t="s">
        <v>4337</v>
      </c>
      <c r="AA3973" s="35">
        <v>1.2544354838709679E-2</v>
      </c>
      <c r="AB3973" s="13"/>
      <c r="AC3973" s="13"/>
      <c r="AD3973" s="13"/>
      <c r="AE3973" s="13"/>
      <c r="AF3973" s="13"/>
    </row>
    <row r="3974" spans="19:32" x14ac:dyDescent="0.35">
      <c r="S3974" s="47">
        <v>3970</v>
      </c>
      <c r="T3974" s="47" t="s">
        <v>4284</v>
      </c>
      <c r="U3974" s="47" t="s">
        <v>2371</v>
      </c>
      <c r="V3974" s="56">
        <v>0</v>
      </c>
      <c r="W3974" s="13"/>
      <c r="X3974" s="47">
        <v>3970</v>
      </c>
      <c r="Y3974" s="47" t="s">
        <v>2248</v>
      </c>
      <c r="Z3974" s="47" t="s">
        <v>4399</v>
      </c>
      <c r="AA3974" s="56">
        <v>2.5294354838709679E-6</v>
      </c>
      <c r="AB3974" s="13"/>
      <c r="AC3974" s="13"/>
      <c r="AD3974" s="13"/>
      <c r="AE3974" s="13"/>
      <c r="AF3974" s="13"/>
    </row>
    <row r="3975" spans="19:32" x14ac:dyDescent="0.35">
      <c r="S3975" s="34">
        <v>3971</v>
      </c>
      <c r="T3975" s="34" t="s">
        <v>4284</v>
      </c>
      <c r="U3975" s="34" t="s">
        <v>3905</v>
      </c>
      <c r="V3975" s="35">
        <v>3.2149193548387095E-5</v>
      </c>
      <c r="W3975" s="13"/>
      <c r="X3975" s="34">
        <v>3971</v>
      </c>
      <c r="Y3975" s="34" t="s">
        <v>2248</v>
      </c>
      <c r="Z3975" s="34" t="s">
        <v>2297</v>
      </c>
      <c r="AA3975" s="35">
        <v>7.5745967741935497E-2</v>
      </c>
      <c r="AB3975" s="13"/>
      <c r="AC3975" s="13"/>
      <c r="AD3975" s="13"/>
      <c r="AE3975" s="13"/>
      <c r="AF3975" s="13"/>
    </row>
    <row r="3976" spans="19:32" x14ac:dyDescent="0.35">
      <c r="S3976" s="34">
        <v>3972</v>
      </c>
      <c r="T3976" s="34" t="s">
        <v>4284</v>
      </c>
      <c r="U3976" s="34" t="s">
        <v>3904</v>
      </c>
      <c r="V3976" s="35">
        <v>2.2243951612903226E-6</v>
      </c>
      <c r="W3976" s="13"/>
      <c r="X3976" s="34">
        <v>3972</v>
      </c>
      <c r="Y3976" s="34" t="s">
        <v>2248</v>
      </c>
      <c r="Z3976" s="34" t="s">
        <v>4335</v>
      </c>
      <c r="AA3976" s="35">
        <v>1.9502016129032259E-3</v>
      </c>
      <c r="AB3976" s="13"/>
      <c r="AC3976" s="13"/>
      <c r="AD3976" s="13"/>
      <c r="AE3976" s="13"/>
      <c r="AF3976" s="13"/>
    </row>
    <row r="3977" spans="19:32" x14ac:dyDescent="0.35">
      <c r="S3977" s="34">
        <v>3973</v>
      </c>
      <c r="T3977" s="34" t="s">
        <v>4284</v>
      </c>
      <c r="U3977" s="34" t="s">
        <v>3903</v>
      </c>
      <c r="V3977" s="35">
        <v>2.5020161290322581E-2</v>
      </c>
      <c r="W3977" s="13"/>
      <c r="X3977" s="34">
        <v>3973</v>
      </c>
      <c r="Y3977" s="34" t="s">
        <v>2248</v>
      </c>
      <c r="Z3977" s="34" t="s">
        <v>2295</v>
      </c>
      <c r="AA3977" s="35">
        <v>1.6554435483870968</v>
      </c>
      <c r="AB3977" s="13"/>
      <c r="AC3977" s="13"/>
      <c r="AD3977" s="13"/>
      <c r="AE3977" s="13"/>
      <c r="AF3977" s="13"/>
    </row>
    <row r="3978" spans="19:32" x14ac:dyDescent="0.35">
      <c r="S3978" s="34">
        <v>3974</v>
      </c>
      <c r="T3978" s="34" t="s">
        <v>4284</v>
      </c>
      <c r="U3978" s="34" t="s">
        <v>3902</v>
      </c>
      <c r="V3978" s="35">
        <v>4.8326612903225809E-6</v>
      </c>
      <c r="W3978" s="13"/>
      <c r="X3978" s="47">
        <v>3974</v>
      </c>
      <c r="Y3978" s="47" t="s">
        <v>2248</v>
      </c>
      <c r="Z3978" s="47" t="s">
        <v>4398</v>
      </c>
      <c r="AA3978" s="56">
        <v>2.9201612903225809E-5</v>
      </c>
      <c r="AB3978" s="13"/>
      <c r="AC3978" s="13"/>
      <c r="AD3978" s="13"/>
      <c r="AE3978" s="13"/>
      <c r="AF3978" s="13"/>
    </row>
    <row r="3979" spans="19:32" x14ac:dyDescent="0.35">
      <c r="S3979" s="34">
        <v>3975</v>
      </c>
      <c r="T3979" s="34" t="s">
        <v>4284</v>
      </c>
      <c r="U3979" s="34" t="s">
        <v>3901</v>
      </c>
      <c r="V3979" s="35">
        <v>1.9502016129032257E-5</v>
      </c>
      <c r="W3979" s="13"/>
      <c r="X3979" s="34">
        <v>3975</v>
      </c>
      <c r="Y3979" s="34" t="s">
        <v>2248</v>
      </c>
      <c r="Z3979" s="34" t="s">
        <v>4334</v>
      </c>
      <c r="AA3979" s="35">
        <v>8.9112903225806464E-2</v>
      </c>
      <c r="AB3979" s="13"/>
      <c r="AC3979" s="13"/>
      <c r="AD3979" s="13"/>
      <c r="AE3979" s="13"/>
      <c r="AF3979" s="13"/>
    </row>
    <row r="3980" spans="19:32" x14ac:dyDescent="0.35">
      <c r="S3980" s="34">
        <v>3976</v>
      </c>
      <c r="T3980" s="34" t="s">
        <v>4284</v>
      </c>
      <c r="U3980" s="34" t="s">
        <v>3899</v>
      </c>
      <c r="V3980" s="35">
        <v>3.2320564516129035E-4</v>
      </c>
      <c r="W3980" s="13"/>
      <c r="X3980" s="34">
        <v>3976</v>
      </c>
      <c r="Y3980" s="34" t="s">
        <v>2248</v>
      </c>
      <c r="Z3980" s="34" t="s">
        <v>2292</v>
      </c>
      <c r="AA3980" s="35">
        <v>3.1566532258064516E-2</v>
      </c>
      <c r="AB3980" s="13"/>
      <c r="AC3980" s="13"/>
      <c r="AD3980" s="13"/>
      <c r="AE3980" s="13"/>
      <c r="AF3980" s="13"/>
    </row>
    <row r="3981" spans="19:32" x14ac:dyDescent="0.35">
      <c r="S3981" s="30">
        <v>3977</v>
      </c>
      <c r="T3981" s="30" t="s">
        <v>4284</v>
      </c>
      <c r="U3981" s="30" t="s">
        <v>2370</v>
      </c>
      <c r="V3981" s="31">
        <v>3.3871999999999998E-4</v>
      </c>
      <c r="W3981" s="13"/>
      <c r="X3981" s="34">
        <v>3977</v>
      </c>
      <c r="Y3981" s="34" t="s">
        <v>2248</v>
      </c>
      <c r="Z3981" s="34" t="s">
        <v>2289</v>
      </c>
      <c r="AA3981" s="35">
        <v>5.4495967741935492E-2</v>
      </c>
      <c r="AB3981" s="13"/>
      <c r="AC3981" s="13"/>
      <c r="AD3981" s="13"/>
      <c r="AE3981" s="13"/>
      <c r="AF3981" s="13"/>
    </row>
    <row r="3982" spans="19:32" x14ac:dyDescent="0.35">
      <c r="S3982" s="47">
        <v>3978</v>
      </c>
      <c r="T3982" s="47" t="s">
        <v>4284</v>
      </c>
      <c r="U3982" s="47" t="s">
        <v>2370</v>
      </c>
      <c r="V3982" s="56">
        <v>0.77832000000000001</v>
      </c>
      <c r="W3982" s="13"/>
      <c r="X3982" s="34">
        <v>3978</v>
      </c>
      <c r="Y3982" s="34" t="s">
        <v>2248</v>
      </c>
      <c r="Z3982" s="34" t="s">
        <v>4332</v>
      </c>
      <c r="AA3982" s="35">
        <v>1.0967741935483872E-2</v>
      </c>
      <c r="AB3982" s="13"/>
      <c r="AC3982" s="13"/>
      <c r="AD3982" s="13"/>
      <c r="AE3982" s="13"/>
      <c r="AF3982" s="13"/>
    </row>
    <row r="3983" spans="19:32" x14ac:dyDescent="0.35">
      <c r="S3983" s="47">
        <v>3979</v>
      </c>
      <c r="T3983" s="47" t="s">
        <v>4284</v>
      </c>
      <c r="U3983" s="47" t="s">
        <v>2368</v>
      </c>
      <c r="V3983" s="56">
        <v>0.2162</v>
      </c>
      <c r="W3983" s="13"/>
      <c r="X3983" s="47">
        <v>3979</v>
      </c>
      <c r="Y3983" s="47" t="s">
        <v>2248</v>
      </c>
      <c r="Z3983" s="47" t="s">
        <v>4397</v>
      </c>
      <c r="AA3983" s="56">
        <v>3.7358870967741943E-5</v>
      </c>
      <c r="AB3983" s="13"/>
      <c r="AC3983" s="13"/>
      <c r="AD3983" s="13"/>
      <c r="AE3983" s="13"/>
      <c r="AF3983" s="13"/>
    </row>
    <row r="3984" spans="19:32" x14ac:dyDescent="0.35">
      <c r="S3984" s="34">
        <v>3980</v>
      </c>
      <c r="T3984" s="34" t="s">
        <v>4284</v>
      </c>
      <c r="U3984" s="34" t="s">
        <v>3898</v>
      </c>
      <c r="V3984" s="35">
        <v>0.79173387096774195</v>
      </c>
      <c r="W3984" s="13"/>
      <c r="X3984" s="34">
        <v>3980</v>
      </c>
      <c r="Y3984" s="34" t="s">
        <v>2248</v>
      </c>
      <c r="Z3984" s="34" t="s">
        <v>2286</v>
      </c>
      <c r="AA3984" s="35">
        <v>1.7993951612903227</v>
      </c>
      <c r="AB3984" s="13"/>
      <c r="AC3984" s="13"/>
      <c r="AD3984" s="13"/>
      <c r="AE3984" s="13"/>
      <c r="AF3984" s="13"/>
    </row>
    <row r="3985" spans="19:32" x14ac:dyDescent="0.35">
      <c r="S3985" s="34">
        <v>3981</v>
      </c>
      <c r="T3985" s="34" t="s">
        <v>4284</v>
      </c>
      <c r="U3985" s="34" t="s">
        <v>3897</v>
      </c>
      <c r="V3985" s="35">
        <v>1.2030241935483871E-5</v>
      </c>
      <c r="W3985" s="13"/>
      <c r="X3985" s="34">
        <v>3981</v>
      </c>
      <c r="Y3985" s="34" t="s">
        <v>2248</v>
      </c>
      <c r="Z3985" s="34" t="s">
        <v>4331</v>
      </c>
      <c r="AA3985" s="35">
        <v>5.0383064516129035E-3</v>
      </c>
      <c r="AB3985" s="13"/>
      <c r="AC3985" s="13"/>
      <c r="AD3985" s="13"/>
      <c r="AE3985" s="13"/>
      <c r="AF3985" s="13"/>
    </row>
    <row r="3986" spans="19:32" x14ac:dyDescent="0.35">
      <c r="S3986" s="34">
        <v>3982</v>
      </c>
      <c r="T3986" s="34" t="s">
        <v>4284</v>
      </c>
      <c r="U3986" s="34" t="s">
        <v>3895</v>
      </c>
      <c r="V3986" s="35">
        <v>2.9887096774193551E-5</v>
      </c>
      <c r="W3986" s="13"/>
      <c r="X3986" s="34">
        <v>3982</v>
      </c>
      <c r="Y3986" s="34" t="s">
        <v>2248</v>
      </c>
      <c r="Z3986" s="34" t="s">
        <v>2284</v>
      </c>
      <c r="AA3986" s="35">
        <v>2.4780241935483872E-2</v>
      </c>
      <c r="AB3986" s="13"/>
      <c r="AC3986" s="13"/>
      <c r="AD3986" s="13"/>
      <c r="AE3986" s="13"/>
      <c r="AF3986" s="13"/>
    </row>
    <row r="3987" spans="19:32" x14ac:dyDescent="0.35">
      <c r="S3987" s="34">
        <v>3983</v>
      </c>
      <c r="T3987" s="34" t="s">
        <v>4284</v>
      </c>
      <c r="U3987" s="34" t="s">
        <v>3894</v>
      </c>
      <c r="V3987" s="35">
        <v>1.8679435483870969E-4</v>
      </c>
      <c r="W3987" s="13"/>
      <c r="X3987" s="34">
        <v>3983</v>
      </c>
      <c r="Y3987" s="34" t="s">
        <v>2248</v>
      </c>
      <c r="Z3987" s="34" t="s">
        <v>4329</v>
      </c>
      <c r="AA3987" s="35">
        <v>0.27693548387096778</v>
      </c>
      <c r="AB3987" s="13"/>
      <c r="AC3987" s="13"/>
      <c r="AD3987" s="13"/>
      <c r="AE3987" s="13"/>
      <c r="AF3987" s="13"/>
    </row>
    <row r="3988" spans="19:32" x14ac:dyDescent="0.35">
      <c r="S3988" s="47">
        <v>3984</v>
      </c>
      <c r="T3988" s="47" t="s">
        <v>4284</v>
      </c>
      <c r="U3988" s="47" t="s">
        <v>2367</v>
      </c>
      <c r="V3988" s="56">
        <v>0</v>
      </c>
      <c r="W3988" s="13"/>
      <c r="X3988" s="34">
        <v>3984</v>
      </c>
      <c r="Y3988" s="34" t="s">
        <v>2248</v>
      </c>
      <c r="Z3988" s="34" t="s">
        <v>2281</v>
      </c>
      <c r="AA3988" s="35">
        <v>2.8618951612903229E-6</v>
      </c>
      <c r="AB3988" s="13"/>
      <c r="AC3988" s="13"/>
      <c r="AD3988" s="13"/>
      <c r="AE3988" s="13"/>
      <c r="AF3988" s="13"/>
    </row>
    <row r="3989" spans="19:32" x14ac:dyDescent="0.35">
      <c r="S3989" s="34">
        <v>3985</v>
      </c>
      <c r="T3989" s="34" t="s">
        <v>4284</v>
      </c>
      <c r="U3989" s="34" t="s">
        <v>3892</v>
      </c>
      <c r="V3989" s="35">
        <v>5.1411290322580646E-3</v>
      </c>
      <c r="W3989" s="13"/>
      <c r="X3989" s="34">
        <v>3985</v>
      </c>
      <c r="Y3989" s="34" t="s">
        <v>2248</v>
      </c>
      <c r="Z3989" s="34" t="s">
        <v>4396</v>
      </c>
      <c r="AA3989" s="35">
        <v>9.6995967741935499E-5</v>
      </c>
      <c r="AB3989" s="13"/>
      <c r="AC3989" s="13"/>
      <c r="AD3989" s="13"/>
      <c r="AE3989" s="13"/>
      <c r="AF3989" s="13"/>
    </row>
    <row r="3990" spans="19:32" x14ac:dyDescent="0.35">
      <c r="S3990" s="34">
        <v>3986</v>
      </c>
      <c r="T3990" s="34" t="s">
        <v>4284</v>
      </c>
      <c r="U3990" s="34" t="s">
        <v>3890</v>
      </c>
      <c r="V3990" s="35">
        <v>7.7459677419354842E-7</v>
      </c>
      <c r="W3990" s="13"/>
      <c r="X3990" s="34">
        <v>3986</v>
      </c>
      <c r="Y3990" s="34" t="s">
        <v>2248</v>
      </c>
      <c r="Z3990" s="34" t="s">
        <v>2278</v>
      </c>
      <c r="AA3990" s="35">
        <v>1.1070564516129033E-12</v>
      </c>
      <c r="AB3990" s="13"/>
      <c r="AC3990" s="13"/>
      <c r="AD3990" s="13"/>
      <c r="AE3990" s="13"/>
      <c r="AF3990" s="13"/>
    </row>
    <row r="3991" spans="19:32" x14ac:dyDescent="0.35">
      <c r="S3991" s="34">
        <v>3987</v>
      </c>
      <c r="T3991" s="34" t="s">
        <v>4284</v>
      </c>
      <c r="U3991" s="34" t="s">
        <v>3889</v>
      </c>
      <c r="V3991" s="35">
        <v>1.9125000000000001E-8</v>
      </c>
      <c r="W3991" s="13"/>
      <c r="X3991" s="34">
        <v>3987</v>
      </c>
      <c r="Y3991" s="34" t="s">
        <v>2248</v>
      </c>
      <c r="Z3991" s="34" t="s">
        <v>4328</v>
      </c>
      <c r="AA3991" s="35">
        <v>2.210685483870968E-3</v>
      </c>
      <c r="AB3991" s="13"/>
      <c r="AC3991" s="13"/>
      <c r="AD3991" s="13"/>
      <c r="AE3991" s="13"/>
      <c r="AF3991" s="13"/>
    </row>
    <row r="3992" spans="19:32" x14ac:dyDescent="0.35">
      <c r="S3992" s="47">
        <v>3988</v>
      </c>
      <c r="T3992" s="47" t="s">
        <v>4284</v>
      </c>
      <c r="U3992" s="47" t="s">
        <v>2365</v>
      </c>
      <c r="V3992" s="56">
        <v>3.6524000000000001</v>
      </c>
      <c r="W3992" s="13"/>
      <c r="X3992" s="47">
        <v>3988</v>
      </c>
      <c r="Y3992" s="47" t="s">
        <v>2248</v>
      </c>
      <c r="Z3992" s="47" t="s">
        <v>2275</v>
      </c>
      <c r="AA3992" s="56">
        <v>0</v>
      </c>
      <c r="AB3992" s="13"/>
      <c r="AC3992" s="13"/>
      <c r="AD3992" s="13"/>
      <c r="AE3992" s="13"/>
      <c r="AF3992" s="13"/>
    </row>
    <row r="3993" spans="19:32" x14ac:dyDescent="0.35">
      <c r="S3993" s="34">
        <v>3989</v>
      </c>
      <c r="T3993" s="34" t="s">
        <v>4284</v>
      </c>
      <c r="U3993" s="34" t="s">
        <v>3887</v>
      </c>
      <c r="V3993" s="35">
        <v>0.75403225806451624</v>
      </c>
      <c r="W3993" s="13"/>
      <c r="X3993" s="34">
        <v>3989</v>
      </c>
      <c r="Y3993" s="34" t="s">
        <v>2248</v>
      </c>
      <c r="Z3993" s="34" t="s">
        <v>4325</v>
      </c>
      <c r="AA3993" s="35">
        <v>1.9262096774193551E-5</v>
      </c>
      <c r="AB3993" s="13"/>
      <c r="AC3993" s="13"/>
      <c r="AD3993" s="13"/>
      <c r="AE3993" s="13"/>
      <c r="AF3993" s="13"/>
    </row>
    <row r="3994" spans="19:32" x14ac:dyDescent="0.35">
      <c r="S3994" s="34">
        <v>3990</v>
      </c>
      <c r="T3994" s="34" t="s">
        <v>4284</v>
      </c>
      <c r="U3994" s="34" t="s">
        <v>3886</v>
      </c>
      <c r="V3994" s="35">
        <v>4.8669354838709676E-5</v>
      </c>
      <c r="W3994" s="13"/>
      <c r="X3994" s="34">
        <v>3990</v>
      </c>
      <c r="Y3994" s="34" t="s">
        <v>2248</v>
      </c>
      <c r="Z3994" s="34" t="s">
        <v>2275</v>
      </c>
      <c r="AA3994" s="35">
        <v>1.1070564516129034E-5</v>
      </c>
      <c r="AB3994" s="13"/>
      <c r="AC3994" s="13"/>
      <c r="AD3994" s="13"/>
      <c r="AE3994" s="13"/>
      <c r="AF3994" s="13"/>
    </row>
    <row r="3995" spans="19:32" x14ac:dyDescent="0.35">
      <c r="S3995" s="34">
        <v>3991</v>
      </c>
      <c r="T3995" s="34" t="s">
        <v>4284</v>
      </c>
      <c r="U3995" s="34" t="s">
        <v>2363</v>
      </c>
      <c r="V3995" s="35">
        <v>0.14635080645161291</v>
      </c>
      <c r="W3995" s="13"/>
      <c r="X3995" s="47">
        <v>3991</v>
      </c>
      <c r="Y3995" s="47" t="s">
        <v>2248</v>
      </c>
      <c r="Z3995" s="47" t="s">
        <v>4395</v>
      </c>
      <c r="AA3995" s="56">
        <v>1.9330645161290325E-6</v>
      </c>
      <c r="AB3995" s="13"/>
      <c r="AC3995" s="13"/>
      <c r="AD3995" s="13"/>
      <c r="AE3995" s="13"/>
      <c r="AF3995" s="13"/>
    </row>
    <row r="3996" spans="19:32" x14ac:dyDescent="0.35">
      <c r="S3996" s="47">
        <v>3992</v>
      </c>
      <c r="T3996" s="47" t="s">
        <v>4284</v>
      </c>
      <c r="U3996" s="47" t="s">
        <v>2363</v>
      </c>
      <c r="V3996" s="56">
        <v>0</v>
      </c>
      <c r="W3996" s="13"/>
      <c r="X3996" s="34">
        <v>3992</v>
      </c>
      <c r="Y3996" s="34" t="s">
        <v>2248</v>
      </c>
      <c r="Z3996" s="34" t="s">
        <v>4323</v>
      </c>
      <c r="AA3996" s="35">
        <v>1.8610887096774194E-3</v>
      </c>
      <c r="AB3996" s="13"/>
      <c r="AC3996" s="13"/>
      <c r="AD3996" s="13"/>
      <c r="AE3996" s="13"/>
      <c r="AF3996" s="13"/>
    </row>
    <row r="3997" spans="19:32" x14ac:dyDescent="0.35">
      <c r="S3997" s="34">
        <v>3993</v>
      </c>
      <c r="T3997" s="34" t="s">
        <v>4284</v>
      </c>
      <c r="U3997" s="34" t="s">
        <v>3884</v>
      </c>
      <c r="V3997" s="35">
        <v>1.5697580645161291E-5</v>
      </c>
      <c r="W3997" s="13"/>
      <c r="X3997" s="34">
        <v>3993</v>
      </c>
      <c r="Y3997" s="34" t="s">
        <v>2248</v>
      </c>
      <c r="Z3997" s="34" t="s">
        <v>2272</v>
      </c>
      <c r="AA3997" s="35">
        <v>8.0201612903225816E-3</v>
      </c>
      <c r="AB3997" s="13"/>
      <c r="AC3997" s="13"/>
      <c r="AD3997" s="13"/>
      <c r="AE3997" s="13"/>
      <c r="AF3997" s="13"/>
    </row>
    <row r="3998" spans="19:32" x14ac:dyDescent="0.35">
      <c r="S3998" s="34">
        <v>3994</v>
      </c>
      <c r="T3998" s="34" t="s">
        <v>4284</v>
      </c>
      <c r="U3998" s="34" t="s">
        <v>3882</v>
      </c>
      <c r="V3998" s="35">
        <v>0.11790322580645163</v>
      </c>
      <c r="W3998" s="13"/>
      <c r="X3998" s="34">
        <v>3994</v>
      </c>
      <c r="Y3998" s="34" t="s">
        <v>2248</v>
      </c>
      <c r="Z3998" s="34" t="s">
        <v>4394</v>
      </c>
      <c r="AA3998" s="35">
        <v>5.106854838709678E-5</v>
      </c>
      <c r="AB3998" s="13"/>
      <c r="AC3998" s="13"/>
      <c r="AD3998" s="13"/>
      <c r="AE3998" s="13"/>
      <c r="AF3998" s="13"/>
    </row>
    <row r="3999" spans="19:32" x14ac:dyDescent="0.35">
      <c r="S3999" s="34">
        <v>3995</v>
      </c>
      <c r="T3999" s="34" t="s">
        <v>4284</v>
      </c>
      <c r="U3999" s="34" t="s">
        <v>3881</v>
      </c>
      <c r="V3999" s="35">
        <v>2.8550403225806455E-7</v>
      </c>
      <c r="W3999" s="13"/>
      <c r="X3999" s="34">
        <v>3995</v>
      </c>
      <c r="Y3999" s="34" t="s">
        <v>2248</v>
      </c>
      <c r="Z3999" s="34" t="s">
        <v>4320</v>
      </c>
      <c r="AA3999" s="35">
        <v>1.1961693548387098E-3</v>
      </c>
      <c r="AB3999" s="13"/>
      <c r="AC3999" s="13"/>
      <c r="AD3999" s="13"/>
      <c r="AE3999" s="13"/>
      <c r="AF3999" s="13"/>
    </row>
    <row r="4000" spans="19:32" x14ac:dyDescent="0.35">
      <c r="S4000" s="34">
        <v>3996</v>
      </c>
      <c r="T4000" s="34" t="s">
        <v>4284</v>
      </c>
      <c r="U4000" s="34" t="s">
        <v>3879</v>
      </c>
      <c r="V4000" s="35">
        <v>1.2133064516129034E-4</v>
      </c>
      <c r="W4000" s="13"/>
      <c r="X4000" s="34">
        <v>3996</v>
      </c>
      <c r="Y4000" s="34" t="s">
        <v>2248</v>
      </c>
      <c r="Z4000" s="34" t="s">
        <v>2270</v>
      </c>
      <c r="AA4000" s="35">
        <v>1.1824596774193548E-3</v>
      </c>
      <c r="AB4000" s="13"/>
      <c r="AC4000" s="13"/>
      <c r="AD4000" s="13"/>
      <c r="AE4000" s="13"/>
      <c r="AF4000" s="13"/>
    </row>
    <row r="4001" spans="19:32" x14ac:dyDescent="0.35">
      <c r="S4001" s="34">
        <v>3997</v>
      </c>
      <c r="T4001" s="34" t="s">
        <v>4284</v>
      </c>
      <c r="U4001" s="34" t="s">
        <v>2362</v>
      </c>
      <c r="V4001" s="35">
        <v>6.8548387096774199E-5</v>
      </c>
      <c r="W4001" s="13"/>
      <c r="X4001" s="34">
        <v>3997</v>
      </c>
      <c r="Y4001" s="34" t="s">
        <v>2248</v>
      </c>
      <c r="Z4001" s="34" t="s">
        <v>2267</v>
      </c>
      <c r="AA4001" s="35">
        <v>3.8044354838709681E-3</v>
      </c>
      <c r="AB4001" s="13"/>
      <c r="AC4001" s="13"/>
      <c r="AD4001" s="13"/>
      <c r="AE4001" s="13"/>
      <c r="AF4001" s="13"/>
    </row>
    <row r="4002" spans="19:32" x14ac:dyDescent="0.35">
      <c r="S4002" s="47">
        <v>3998</v>
      </c>
      <c r="T4002" s="47" t="s">
        <v>4284</v>
      </c>
      <c r="U4002" s="47" t="s">
        <v>2362</v>
      </c>
      <c r="V4002" s="56">
        <v>0</v>
      </c>
      <c r="W4002" s="13"/>
      <c r="X4002" s="34">
        <v>3998</v>
      </c>
      <c r="Y4002" s="34" t="s">
        <v>2248</v>
      </c>
      <c r="Z4002" s="34" t="s">
        <v>2602</v>
      </c>
      <c r="AA4002" s="35">
        <v>0.10419354838709678</v>
      </c>
      <c r="AB4002" s="13"/>
      <c r="AC4002" s="13"/>
      <c r="AD4002" s="13"/>
      <c r="AE4002" s="13"/>
      <c r="AF4002" s="13"/>
    </row>
    <row r="4003" spans="19:32" x14ac:dyDescent="0.35">
      <c r="S4003" s="34">
        <v>3999</v>
      </c>
      <c r="T4003" s="34" t="s">
        <v>4284</v>
      </c>
      <c r="U4003" s="34" t="s">
        <v>3877</v>
      </c>
      <c r="V4003" s="35">
        <v>4.6955645161290329E-3</v>
      </c>
      <c r="W4003" s="13"/>
      <c r="X4003" s="47">
        <v>3999</v>
      </c>
      <c r="Y4003" s="47" t="s">
        <v>2248</v>
      </c>
      <c r="Z4003" s="47" t="s">
        <v>4393</v>
      </c>
      <c r="AA4003" s="56">
        <v>1.0419354838709678E-5</v>
      </c>
      <c r="AB4003" s="13"/>
      <c r="AC4003" s="13"/>
      <c r="AD4003" s="13"/>
      <c r="AE4003" s="13"/>
      <c r="AF4003" s="13"/>
    </row>
    <row r="4004" spans="19:32" x14ac:dyDescent="0.35">
      <c r="S4004" s="34">
        <v>4000</v>
      </c>
      <c r="T4004" s="34" t="s">
        <v>4284</v>
      </c>
      <c r="U4004" s="34" t="s">
        <v>3876</v>
      </c>
      <c r="V4004" s="35">
        <v>0.42157258064516134</v>
      </c>
      <c r="W4004" s="13"/>
      <c r="X4004" s="34">
        <v>4000</v>
      </c>
      <c r="Y4004" s="34" t="s">
        <v>2248</v>
      </c>
      <c r="Z4004" s="34" t="s">
        <v>2264</v>
      </c>
      <c r="AA4004" s="35">
        <v>9.0141129032258072E-4</v>
      </c>
      <c r="AB4004" s="13"/>
      <c r="AC4004" s="13"/>
      <c r="AD4004" s="13"/>
      <c r="AE4004" s="13"/>
      <c r="AF4004" s="13"/>
    </row>
    <row r="4005" spans="19:32" x14ac:dyDescent="0.35">
      <c r="S4005" s="34">
        <v>4001</v>
      </c>
      <c r="T4005" s="34" t="s">
        <v>4284</v>
      </c>
      <c r="U4005" s="34" t="s">
        <v>3874</v>
      </c>
      <c r="V4005" s="35">
        <v>2.6733870967741939E-2</v>
      </c>
      <c r="W4005" s="13"/>
      <c r="X4005" s="34">
        <v>4001</v>
      </c>
      <c r="Y4005" s="34" t="s">
        <v>2248</v>
      </c>
      <c r="Z4005" s="34" t="s">
        <v>4318</v>
      </c>
      <c r="AA4005" s="35">
        <v>9.733870967741937E-12</v>
      </c>
      <c r="AB4005" s="13"/>
      <c r="AC4005" s="13"/>
      <c r="AD4005" s="13"/>
      <c r="AE4005" s="13"/>
      <c r="AF4005" s="13"/>
    </row>
    <row r="4006" spans="19:32" x14ac:dyDescent="0.35">
      <c r="S4006" s="47">
        <v>4002</v>
      </c>
      <c r="T4006" s="47" t="s">
        <v>4284</v>
      </c>
      <c r="U4006" s="47" t="s">
        <v>2360</v>
      </c>
      <c r="V4006" s="56">
        <v>0</v>
      </c>
      <c r="W4006" s="13"/>
      <c r="X4006" s="47">
        <v>4002</v>
      </c>
      <c r="Y4006" s="47" t="s">
        <v>2248</v>
      </c>
      <c r="Z4006" s="47" t="s">
        <v>2634</v>
      </c>
      <c r="AA4006" s="56">
        <v>3.0912000000000001E-3</v>
      </c>
      <c r="AB4006" s="13"/>
      <c r="AC4006" s="13"/>
      <c r="AD4006" s="13"/>
      <c r="AE4006" s="13"/>
      <c r="AF4006" s="13"/>
    </row>
    <row r="4007" spans="19:32" x14ac:dyDescent="0.35">
      <c r="S4007" s="47">
        <v>4003</v>
      </c>
      <c r="T4007" s="47" t="s">
        <v>4284</v>
      </c>
      <c r="U4007" s="47" t="s">
        <v>2359</v>
      </c>
      <c r="V4007" s="56">
        <v>0</v>
      </c>
      <c r="W4007" s="13"/>
      <c r="X4007" s="34">
        <v>4003</v>
      </c>
      <c r="Y4007" s="34" t="s">
        <v>2248</v>
      </c>
      <c r="Z4007" s="34" t="s">
        <v>4316</v>
      </c>
      <c r="AA4007" s="35">
        <v>2.800201612903226E-3</v>
      </c>
      <c r="AB4007" s="13"/>
      <c r="AC4007" s="13"/>
      <c r="AD4007" s="13"/>
      <c r="AE4007" s="13"/>
      <c r="AF4007" s="13"/>
    </row>
    <row r="4008" spans="19:32" x14ac:dyDescent="0.35">
      <c r="S4008" s="34">
        <v>4004</v>
      </c>
      <c r="T4008" s="34" t="s">
        <v>4284</v>
      </c>
      <c r="U4008" s="34" t="s">
        <v>2357</v>
      </c>
      <c r="V4008" s="35">
        <v>3.0264112903225809E-2</v>
      </c>
      <c r="W4008" s="13"/>
      <c r="X4008" s="34">
        <v>4004</v>
      </c>
      <c r="Y4008" s="34" t="s">
        <v>2248</v>
      </c>
      <c r="Z4008" s="34" t="s">
        <v>4392</v>
      </c>
      <c r="AA4008" s="35">
        <v>2.3066532258064519E-5</v>
      </c>
      <c r="AB4008" s="13"/>
      <c r="AC4008" s="13"/>
      <c r="AD4008" s="13"/>
      <c r="AE4008" s="13"/>
      <c r="AF4008" s="13"/>
    </row>
    <row r="4009" spans="19:32" x14ac:dyDescent="0.35">
      <c r="S4009" s="47">
        <v>4005</v>
      </c>
      <c r="T4009" s="47" t="s">
        <v>4284</v>
      </c>
      <c r="U4009" s="47" t="s">
        <v>2357</v>
      </c>
      <c r="V4009" s="56">
        <v>0</v>
      </c>
      <c r="W4009" s="13"/>
      <c r="X4009" s="34">
        <v>4005</v>
      </c>
      <c r="Y4009" s="34" t="s">
        <v>2248</v>
      </c>
      <c r="Z4009" s="34" t="s">
        <v>2261</v>
      </c>
      <c r="AA4009" s="35">
        <v>3.3485887096774194E-5</v>
      </c>
      <c r="AB4009" s="13"/>
      <c r="AC4009" s="13"/>
      <c r="AD4009" s="13"/>
      <c r="AE4009" s="13"/>
      <c r="AF4009" s="13"/>
    </row>
    <row r="4010" spans="19:32" x14ac:dyDescent="0.35">
      <c r="S4010" s="47">
        <v>4006</v>
      </c>
      <c r="T4010" s="47" t="s">
        <v>4284</v>
      </c>
      <c r="U4010" s="47" t="s">
        <v>2356</v>
      </c>
      <c r="V4010" s="56">
        <v>199.64</v>
      </c>
      <c r="W4010" s="13"/>
      <c r="X4010" s="34">
        <v>4006</v>
      </c>
      <c r="Y4010" s="34" t="s">
        <v>2248</v>
      </c>
      <c r="Z4010" s="34" t="s">
        <v>4315</v>
      </c>
      <c r="AA4010" s="35">
        <v>1.4223790322580646E-3</v>
      </c>
      <c r="AB4010" s="13"/>
      <c r="AC4010" s="13"/>
      <c r="AD4010" s="13"/>
      <c r="AE4010" s="13"/>
      <c r="AF4010" s="13"/>
    </row>
    <row r="4011" spans="19:32" x14ac:dyDescent="0.35">
      <c r="S4011" s="47">
        <v>4007</v>
      </c>
      <c r="T4011" s="47" t="s">
        <v>4284</v>
      </c>
      <c r="U4011" s="47" t="s">
        <v>2354</v>
      </c>
      <c r="V4011" s="56">
        <v>0</v>
      </c>
      <c r="W4011" s="13"/>
      <c r="X4011" s="34">
        <v>4007</v>
      </c>
      <c r="Y4011" s="34" t="s">
        <v>2248</v>
      </c>
      <c r="Z4011" s="34" t="s">
        <v>4313</v>
      </c>
      <c r="AA4011" s="35">
        <v>7.2661290322580656E-7</v>
      </c>
      <c r="AB4011" s="13"/>
      <c r="AC4011" s="13"/>
      <c r="AD4011" s="13"/>
      <c r="AE4011" s="13"/>
      <c r="AF4011" s="13"/>
    </row>
    <row r="4012" spans="19:32" x14ac:dyDescent="0.35">
      <c r="S4012" s="34">
        <v>4008</v>
      </c>
      <c r="T4012" s="34" t="s">
        <v>4284</v>
      </c>
      <c r="U4012" s="34" t="s">
        <v>3871</v>
      </c>
      <c r="V4012" s="35">
        <v>3.1532258064516133E-3</v>
      </c>
      <c r="W4012" s="13"/>
      <c r="X4012" s="47">
        <v>4008</v>
      </c>
      <c r="Y4012" s="47" t="s">
        <v>2248</v>
      </c>
      <c r="Z4012" s="47" t="s">
        <v>4391</v>
      </c>
      <c r="AA4012" s="56">
        <v>6.8205645161290328E-6</v>
      </c>
      <c r="AB4012" s="13"/>
      <c r="AC4012" s="13"/>
      <c r="AD4012" s="13"/>
      <c r="AE4012" s="13"/>
      <c r="AF4012" s="13"/>
    </row>
    <row r="4013" spans="19:32" x14ac:dyDescent="0.35">
      <c r="S4013" s="34">
        <v>4009</v>
      </c>
      <c r="T4013" s="34" t="s">
        <v>4284</v>
      </c>
      <c r="U4013" s="34" t="s">
        <v>3870</v>
      </c>
      <c r="V4013" s="35">
        <v>0.29852822580645166</v>
      </c>
      <c r="W4013" s="13"/>
      <c r="X4013" s="34">
        <v>4009</v>
      </c>
      <c r="Y4013" s="34" t="s">
        <v>2248</v>
      </c>
      <c r="Z4013" s="34" t="s">
        <v>2259</v>
      </c>
      <c r="AA4013" s="35">
        <v>6.2721774193548394E-2</v>
      </c>
      <c r="AB4013" s="13"/>
      <c r="AC4013" s="13"/>
      <c r="AD4013" s="13"/>
      <c r="AE4013" s="13"/>
      <c r="AF4013" s="13"/>
    </row>
    <row r="4014" spans="19:32" x14ac:dyDescent="0.35">
      <c r="S4014" s="47">
        <v>4010</v>
      </c>
      <c r="T4014" s="47" t="s">
        <v>4284</v>
      </c>
      <c r="U4014" s="47" t="s">
        <v>2352</v>
      </c>
      <c r="V4014" s="56">
        <v>24.932000000000002</v>
      </c>
      <c r="W4014" s="13"/>
      <c r="X4014" s="34">
        <v>4010</v>
      </c>
      <c r="Y4014" s="34" t="s">
        <v>2248</v>
      </c>
      <c r="Z4014" s="34" t="s">
        <v>4312</v>
      </c>
      <c r="AA4014" s="35">
        <v>2.8070564516129038E-3</v>
      </c>
      <c r="AB4014" s="13"/>
      <c r="AC4014" s="13"/>
      <c r="AD4014" s="13"/>
      <c r="AE4014" s="13"/>
      <c r="AF4014" s="13"/>
    </row>
    <row r="4015" spans="19:32" x14ac:dyDescent="0.35">
      <c r="S4015" s="47">
        <v>4011</v>
      </c>
      <c r="T4015" s="47" t="s">
        <v>4284</v>
      </c>
      <c r="U4015" s="47" t="s">
        <v>2351</v>
      </c>
      <c r="V4015" s="56">
        <v>4.3423999999999996</v>
      </c>
      <c r="W4015" s="13"/>
      <c r="X4015" s="34">
        <v>4011</v>
      </c>
      <c r="Y4015" s="34" t="s">
        <v>2248</v>
      </c>
      <c r="Z4015" s="34" t="s">
        <v>2256</v>
      </c>
      <c r="AA4015" s="35">
        <v>2.2620967741935486E-6</v>
      </c>
      <c r="AB4015" s="13"/>
      <c r="AC4015" s="13"/>
      <c r="AD4015" s="13"/>
      <c r="AE4015" s="13"/>
      <c r="AF4015" s="13"/>
    </row>
    <row r="4016" spans="19:32" x14ac:dyDescent="0.35">
      <c r="S4016" s="47">
        <v>4012</v>
      </c>
      <c r="T4016" s="47" t="s">
        <v>4284</v>
      </c>
      <c r="U4016" s="47" t="s">
        <v>2349</v>
      </c>
      <c r="V4016" s="56">
        <v>34.868000000000002</v>
      </c>
      <c r="W4016" s="13"/>
      <c r="X4016" s="34">
        <v>4012</v>
      </c>
      <c r="Y4016" s="34" t="s">
        <v>2248</v>
      </c>
      <c r="Z4016" s="34" t="s">
        <v>2253</v>
      </c>
      <c r="AA4016" s="35">
        <v>1.2235887096774195E-4</v>
      </c>
      <c r="AB4016" s="13"/>
      <c r="AC4016" s="13"/>
      <c r="AD4016" s="13"/>
      <c r="AE4016" s="13"/>
      <c r="AF4016" s="13"/>
    </row>
    <row r="4017" spans="19:32" x14ac:dyDescent="0.35">
      <c r="S4017" s="47">
        <v>4013</v>
      </c>
      <c r="T4017" s="47" t="s">
        <v>4284</v>
      </c>
      <c r="U4017" s="47" t="s">
        <v>2348</v>
      </c>
      <c r="V4017" s="56">
        <v>33.212000000000003</v>
      </c>
      <c r="W4017" s="13"/>
      <c r="X4017" s="34">
        <v>4013</v>
      </c>
      <c r="Y4017" s="34" t="s">
        <v>2248</v>
      </c>
      <c r="Z4017" s="34" t="s">
        <v>4311</v>
      </c>
      <c r="AA4017" s="35">
        <v>8.362903225806452E-4</v>
      </c>
      <c r="AB4017" s="13"/>
      <c r="AC4017" s="13"/>
      <c r="AD4017" s="13"/>
      <c r="AE4017" s="13"/>
      <c r="AF4017" s="13"/>
    </row>
    <row r="4018" spans="19:32" x14ac:dyDescent="0.35">
      <c r="S4018" s="47">
        <v>4014</v>
      </c>
      <c r="T4018" s="47" t="s">
        <v>4284</v>
      </c>
      <c r="U4018" s="47" t="s">
        <v>2346</v>
      </c>
      <c r="V4018" s="56">
        <v>48.484000000000002</v>
      </c>
      <c r="W4018" s="13"/>
      <c r="X4018" s="47">
        <v>4014</v>
      </c>
      <c r="Y4018" s="47" t="s">
        <v>2248</v>
      </c>
      <c r="Z4018" s="47" t="s">
        <v>4390</v>
      </c>
      <c r="AA4018" s="56">
        <v>1.0487903225806453E-4</v>
      </c>
      <c r="AB4018" s="13"/>
      <c r="AC4018" s="13"/>
      <c r="AD4018" s="13"/>
      <c r="AE4018" s="13"/>
      <c r="AF4018" s="13"/>
    </row>
    <row r="4019" spans="19:32" x14ac:dyDescent="0.35">
      <c r="S4019" s="34">
        <v>4015</v>
      </c>
      <c r="T4019" s="34" t="s">
        <v>4284</v>
      </c>
      <c r="U4019" s="34" t="s">
        <v>3866</v>
      </c>
      <c r="V4019" s="35">
        <v>0.12201612903225807</v>
      </c>
      <c r="W4019" s="13"/>
      <c r="X4019" s="34">
        <v>4015</v>
      </c>
      <c r="Y4019" s="34" t="s">
        <v>2248</v>
      </c>
      <c r="Z4019" s="34" t="s">
        <v>2250</v>
      </c>
      <c r="AA4019" s="35">
        <v>2.5637096774193554E-4</v>
      </c>
      <c r="AB4019" s="13"/>
      <c r="AC4019" s="13"/>
      <c r="AD4019" s="13"/>
      <c r="AE4019" s="13"/>
      <c r="AF4019" s="13"/>
    </row>
    <row r="4020" spans="19:32" x14ac:dyDescent="0.35">
      <c r="S4020" s="34">
        <v>4016</v>
      </c>
      <c r="T4020" s="34" t="s">
        <v>4284</v>
      </c>
      <c r="U4020" s="34" t="s">
        <v>3865</v>
      </c>
      <c r="V4020" s="35">
        <v>1.1824596774193549E-2</v>
      </c>
      <c r="W4020" s="13"/>
      <c r="X4020" s="34">
        <v>4016</v>
      </c>
      <c r="Y4020" s="34" t="s">
        <v>2248</v>
      </c>
      <c r="Z4020" s="34" t="s">
        <v>4309</v>
      </c>
      <c r="AA4020" s="35">
        <v>2.0461693548387097E-4</v>
      </c>
      <c r="AB4020" s="13"/>
      <c r="AC4020" s="13"/>
      <c r="AD4020" s="13"/>
      <c r="AE4020" s="13"/>
      <c r="AF4020" s="13"/>
    </row>
    <row r="4021" spans="19:32" x14ac:dyDescent="0.35">
      <c r="S4021" s="34">
        <v>4017</v>
      </c>
      <c r="T4021" s="34" t="s">
        <v>4284</v>
      </c>
      <c r="U4021" s="34" t="s">
        <v>3864</v>
      </c>
      <c r="V4021" s="35">
        <v>0.2385483870967742</v>
      </c>
      <c r="W4021" s="13"/>
      <c r="X4021" s="34">
        <v>4017</v>
      </c>
      <c r="Y4021" s="34" t="s">
        <v>2248</v>
      </c>
      <c r="Z4021" s="34" t="s">
        <v>4389</v>
      </c>
      <c r="AA4021" s="35">
        <v>3.9072580645161287E-5</v>
      </c>
      <c r="AB4021" s="13"/>
      <c r="AC4021" s="13"/>
      <c r="AD4021" s="13"/>
      <c r="AE4021" s="13"/>
      <c r="AF4021" s="13"/>
    </row>
    <row r="4022" spans="19:32" x14ac:dyDescent="0.35">
      <c r="S4022" s="34">
        <v>4018</v>
      </c>
      <c r="T4022" s="34" t="s">
        <v>4284</v>
      </c>
      <c r="U4022" s="34" t="s">
        <v>3863</v>
      </c>
      <c r="V4022" s="35">
        <v>1.5457661290322581E-2</v>
      </c>
      <c r="W4022" s="13"/>
      <c r="X4022" s="47">
        <v>4018</v>
      </c>
      <c r="Y4022" s="47" t="s">
        <v>2248</v>
      </c>
      <c r="Z4022" s="47" t="s">
        <v>4388</v>
      </c>
      <c r="AA4022" s="56">
        <v>1.607459677419355E-4</v>
      </c>
      <c r="AB4022" s="13"/>
      <c r="AC4022" s="13"/>
      <c r="AD4022" s="13"/>
      <c r="AE4022" s="13"/>
      <c r="AF4022" s="13"/>
    </row>
    <row r="4023" spans="19:32" x14ac:dyDescent="0.35">
      <c r="S4023" s="34">
        <v>4019</v>
      </c>
      <c r="T4023" s="34" t="s">
        <v>4284</v>
      </c>
      <c r="U4023" s="34" t="s">
        <v>2345</v>
      </c>
      <c r="V4023" s="35">
        <v>1.8713709677419357E-4</v>
      </c>
      <c r="W4023" s="13"/>
      <c r="X4023" s="34">
        <v>4019</v>
      </c>
      <c r="Y4023" s="34" t="s">
        <v>2248</v>
      </c>
      <c r="Z4023" s="34" t="s">
        <v>2598</v>
      </c>
      <c r="AA4023" s="35">
        <v>1.559475806451613E-3</v>
      </c>
      <c r="AB4023" s="13"/>
      <c r="AC4023" s="13"/>
      <c r="AD4023" s="13"/>
      <c r="AE4023" s="13"/>
      <c r="AF4023" s="13"/>
    </row>
    <row r="4024" spans="19:32" x14ac:dyDescent="0.35">
      <c r="S4024" s="47">
        <v>4020</v>
      </c>
      <c r="T4024" s="47" t="s">
        <v>4284</v>
      </c>
      <c r="U4024" s="47" t="s">
        <v>2345</v>
      </c>
      <c r="V4024" s="56">
        <v>3.0451999999999999</v>
      </c>
      <c r="W4024" s="13"/>
      <c r="X4024" s="34">
        <v>4020</v>
      </c>
      <c r="Y4024" s="34" t="s">
        <v>2248</v>
      </c>
      <c r="Z4024" s="34" t="s">
        <v>4387</v>
      </c>
      <c r="AA4024" s="35">
        <v>1.1002016129032259E-4</v>
      </c>
      <c r="AB4024" s="13"/>
      <c r="AC4024" s="13"/>
      <c r="AD4024" s="13"/>
      <c r="AE4024" s="13"/>
      <c r="AF4024" s="13"/>
    </row>
    <row r="4025" spans="19:32" x14ac:dyDescent="0.35">
      <c r="S4025" s="34">
        <v>4021</v>
      </c>
      <c r="T4025" s="34" t="s">
        <v>4284</v>
      </c>
      <c r="U4025" s="34" t="s">
        <v>3861</v>
      </c>
      <c r="V4025" s="35">
        <v>1.6965725806451616E-4</v>
      </c>
      <c r="W4025" s="13"/>
      <c r="X4025" s="34">
        <v>4021</v>
      </c>
      <c r="Y4025" s="34" t="s">
        <v>2248</v>
      </c>
      <c r="Z4025" s="34" t="s">
        <v>4308</v>
      </c>
      <c r="AA4025" s="35">
        <v>2.3169354838709676E-3</v>
      </c>
      <c r="AB4025" s="13"/>
      <c r="AC4025" s="13"/>
      <c r="AD4025" s="13"/>
      <c r="AE4025" s="13"/>
      <c r="AF4025" s="13"/>
    </row>
    <row r="4026" spans="19:32" x14ac:dyDescent="0.35">
      <c r="S4026" s="34">
        <v>4022</v>
      </c>
      <c r="T4026" s="34" t="s">
        <v>4284</v>
      </c>
      <c r="U4026" s="34" t="s">
        <v>3859</v>
      </c>
      <c r="V4026" s="35">
        <v>4.2842741935483875E-2</v>
      </c>
      <c r="W4026" s="13"/>
      <c r="X4026" s="34">
        <v>4022</v>
      </c>
      <c r="Y4026" s="34" t="s">
        <v>2248</v>
      </c>
      <c r="Z4026" s="34" t="s">
        <v>4386</v>
      </c>
      <c r="AA4026" s="35">
        <v>1.0419354838709679E-2</v>
      </c>
      <c r="AB4026" s="13"/>
      <c r="AC4026" s="13"/>
      <c r="AD4026" s="13"/>
      <c r="AE4026" s="13"/>
      <c r="AF4026" s="13"/>
    </row>
    <row r="4027" spans="19:32" x14ac:dyDescent="0.35">
      <c r="S4027" s="34">
        <v>4023</v>
      </c>
      <c r="T4027" s="34" t="s">
        <v>4284</v>
      </c>
      <c r="U4027" s="34" t="s">
        <v>3858</v>
      </c>
      <c r="V4027" s="35">
        <v>5.1754032258064517E-4</v>
      </c>
      <c r="W4027" s="13"/>
      <c r="X4027" s="47">
        <v>4023</v>
      </c>
      <c r="Y4027" s="47" t="s">
        <v>2248</v>
      </c>
      <c r="Z4027" s="47" t="s">
        <v>4385</v>
      </c>
      <c r="AA4027" s="56">
        <v>1.8370967741935488E-4</v>
      </c>
      <c r="AB4027" s="13"/>
      <c r="AC4027" s="13"/>
      <c r="AD4027" s="13"/>
      <c r="AE4027" s="13"/>
      <c r="AF4027" s="13"/>
    </row>
    <row r="4028" spans="19:32" x14ac:dyDescent="0.35">
      <c r="S4028" s="34">
        <v>4024</v>
      </c>
      <c r="T4028" s="34" t="s">
        <v>4284</v>
      </c>
      <c r="U4028" s="34" t="s">
        <v>3857</v>
      </c>
      <c r="V4028" s="35">
        <v>2.8344758064516133E-3</v>
      </c>
      <c r="W4028" s="13"/>
      <c r="X4028" s="34">
        <v>4024</v>
      </c>
      <c r="Y4028" s="34" t="s">
        <v>2248</v>
      </c>
      <c r="Z4028" s="34" t="s">
        <v>4307</v>
      </c>
      <c r="AA4028" s="35">
        <v>2.2312500000000002E-3</v>
      </c>
      <c r="AB4028" s="13"/>
      <c r="AC4028" s="13"/>
      <c r="AD4028" s="13"/>
      <c r="AE4028" s="13"/>
      <c r="AF4028" s="13"/>
    </row>
    <row r="4029" spans="19:32" x14ac:dyDescent="0.35">
      <c r="S4029" s="34">
        <v>4025</v>
      </c>
      <c r="T4029" s="34" t="s">
        <v>4284</v>
      </c>
      <c r="U4029" s="34" t="s">
        <v>3856</v>
      </c>
      <c r="V4029" s="35">
        <v>1.0487903225806453E-2</v>
      </c>
      <c r="W4029" s="13"/>
      <c r="X4029" s="34">
        <v>4025</v>
      </c>
      <c r="Y4029" s="34" t="s">
        <v>2248</v>
      </c>
      <c r="Z4029" s="34" t="s">
        <v>4384</v>
      </c>
      <c r="AA4029" s="35">
        <v>1.9262096774193551E-5</v>
      </c>
      <c r="AB4029" s="13"/>
      <c r="AC4029" s="13"/>
      <c r="AD4029" s="13"/>
      <c r="AE4029" s="13"/>
      <c r="AF4029" s="13"/>
    </row>
    <row r="4030" spans="19:32" x14ac:dyDescent="0.35">
      <c r="S4030" s="34">
        <v>4026</v>
      </c>
      <c r="T4030" s="34" t="s">
        <v>4284</v>
      </c>
      <c r="U4030" s="34" t="s">
        <v>3855</v>
      </c>
      <c r="V4030" s="35">
        <v>4.1129032258064517E-2</v>
      </c>
      <c r="W4030" s="13"/>
      <c r="X4030" s="34">
        <v>4026</v>
      </c>
      <c r="Y4030" s="34" t="s">
        <v>2248</v>
      </c>
      <c r="Z4030" s="34" t="s">
        <v>4383</v>
      </c>
      <c r="AA4030" s="35">
        <v>3.5987903225806457E-5</v>
      </c>
      <c r="AB4030" s="13"/>
      <c r="AC4030" s="13"/>
      <c r="AD4030" s="13"/>
      <c r="AE4030" s="13"/>
      <c r="AF4030" s="13"/>
    </row>
    <row r="4031" spans="19:32" x14ac:dyDescent="0.35">
      <c r="S4031" s="34">
        <v>4027</v>
      </c>
      <c r="T4031" s="34" t="s">
        <v>4284</v>
      </c>
      <c r="U4031" s="34" t="s">
        <v>3853</v>
      </c>
      <c r="V4031" s="35">
        <v>0.12818548387096776</v>
      </c>
      <c r="W4031" s="13"/>
      <c r="X4031" s="34">
        <v>4027</v>
      </c>
      <c r="Y4031" s="34" t="s">
        <v>2248</v>
      </c>
      <c r="Z4031" s="34" t="s">
        <v>4305</v>
      </c>
      <c r="AA4031" s="35">
        <v>1.3024193548387098E-3</v>
      </c>
      <c r="AB4031" s="13"/>
      <c r="AC4031" s="13"/>
      <c r="AD4031" s="13"/>
      <c r="AE4031" s="13"/>
      <c r="AF4031" s="13"/>
    </row>
    <row r="4032" spans="19:32" x14ac:dyDescent="0.35">
      <c r="S4032" s="34">
        <v>4028</v>
      </c>
      <c r="T4032" s="34" t="s">
        <v>4284</v>
      </c>
      <c r="U4032" s="34" t="s">
        <v>3852</v>
      </c>
      <c r="V4032" s="35">
        <v>1.9502016129032259E-3</v>
      </c>
      <c r="W4032" s="13"/>
      <c r="X4032" s="34">
        <v>4028</v>
      </c>
      <c r="Y4032" s="34" t="s">
        <v>2248</v>
      </c>
      <c r="Z4032" s="34" t="s">
        <v>4382</v>
      </c>
      <c r="AA4032" s="35">
        <v>7.7459677419354842E-5</v>
      </c>
      <c r="AB4032" s="13"/>
      <c r="AC4032" s="13"/>
      <c r="AD4032" s="13"/>
      <c r="AE4032" s="13"/>
      <c r="AF4032" s="13"/>
    </row>
    <row r="4033" spans="19:32" x14ac:dyDescent="0.35">
      <c r="S4033" s="34">
        <v>4029</v>
      </c>
      <c r="T4033" s="34" t="s">
        <v>4284</v>
      </c>
      <c r="U4033" s="34" t="s">
        <v>3850</v>
      </c>
      <c r="V4033" s="35">
        <v>2.9989919354838711E-2</v>
      </c>
      <c r="W4033" s="13"/>
      <c r="X4033" s="34">
        <v>4029</v>
      </c>
      <c r="Y4033" s="34" t="s">
        <v>2248</v>
      </c>
      <c r="Z4033" s="34" t="s">
        <v>4381</v>
      </c>
      <c r="AA4033" s="35">
        <v>8.9455645161290332E-3</v>
      </c>
      <c r="AB4033" s="13"/>
      <c r="AC4033" s="13"/>
      <c r="AD4033" s="13"/>
      <c r="AE4033" s="13"/>
      <c r="AF4033" s="13"/>
    </row>
    <row r="4034" spans="19:32" x14ac:dyDescent="0.35">
      <c r="S4034" s="34">
        <v>4030</v>
      </c>
      <c r="T4034" s="34" t="s">
        <v>4284</v>
      </c>
      <c r="U4034" s="34" t="s">
        <v>3849</v>
      </c>
      <c r="V4034" s="35">
        <v>1.4497983870967743E-2</v>
      </c>
      <c r="W4034" s="13"/>
      <c r="X4034" s="34">
        <v>4030</v>
      </c>
      <c r="Y4034" s="34" t="s">
        <v>2248</v>
      </c>
      <c r="Z4034" s="34" t="s">
        <v>4303</v>
      </c>
      <c r="AA4034" s="35">
        <v>1.3195564516129034E-4</v>
      </c>
      <c r="AB4034" s="13"/>
      <c r="AC4034" s="13"/>
      <c r="AD4034" s="13"/>
      <c r="AE4034" s="13"/>
      <c r="AF4034" s="13"/>
    </row>
    <row r="4035" spans="19:32" x14ac:dyDescent="0.35">
      <c r="S4035" s="34">
        <v>4031</v>
      </c>
      <c r="T4035" s="34" t="s">
        <v>4284</v>
      </c>
      <c r="U4035" s="34" t="s">
        <v>3846</v>
      </c>
      <c r="V4035" s="35">
        <v>9.4939516129032261E-5</v>
      </c>
      <c r="W4035" s="13"/>
      <c r="X4035" s="34">
        <v>4031</v>
      </c>
      <c r="Y4035" s="34" t="s">
        <v>2248</v>
      </c>
      <c r="Z4035" s="34" t="s">
        <v>4301</v>
      </c>
      <c r="AA4035" s="35">
        <v>6.3407258064516138E-5</v>
      </c>
      <c r="AB4035" s="13"/>
      <c r="AC4035" s="13"/>
      <c r="AD4035" s="13"/>
      <c r="AE4035" s="13"/>
      <c r="AF4035" s="13"/>
    </row>
    <row r="4036" spans="19:32" x14ac:dyDescent="0.35">
      <c r="S4036" s="34">
        <v>4032</v>
      </c>
      <c r="T4036" s="34" t="s">
        <v>4284</v>
      </c>
      <c r="U4036" s="34" t="s">
        <v>3844</v>
      </c>
      <c r="V4036" s="35">
        <v>2.8070564516129038E-3</v>
      </c>
      <c r="W4036" s="13"/>
      <c r="X4036" s="47">
        <v>4032</v>
      </c>
      <c r="Y4036" s="47" t="s">
        <v>2248</v>
      </c>
      <c r="Z4036" s="47" t="s">
        <v>3200</v>
      </c>
      <c r="AA4036" s="56">
        <v>4.524193548387097E-4</v>
      </c>
      <c r="AB4036" s="13"/>
      <c r="AC4036" s="13"/>
      <c r="AD4036" s="13"/>
      <c r="AE4036" s="13"/>
      <c r="AF4036" s="13"/>
    </row>
    <row r="4037" spans="19:32" x14ac:dyDescent="0.35">
      <c r="S4037" s="34">
        <v>4033</v>
      </c>
      <c r="T4037" s="34" t="s">
        <v>4284</v>
      </c>
      <c r="U4037" s="34" t="s">
        <v>3842</v>
      </c>
      <c r="V4037" s="35">
        <v>1.6897177419354842E-7</v>
      </c>
      <c r="W4037" s="13"/>
      <c r="X4037" s="34">
        <v>4033</v>
      </c>
      <c r="Y4037" s="34" t="s">
        <v>2248</v>
      </c>
      <c r="Z4037" s="34" t="s">
        <v>2592</v>
      </c>
      <c r="AA4037" s="35">
        <v>3.5302419354838713E-3</v>
      </c>
      <c r="AB4037" s="13"/>
      <c r="AC4037" s="13"/>
      <c r="AD4037" s="13"/>
      <c r="AE4037" s="13"/>
      <c r="AF4037" s="13"/>
    </row>
    <row r="4038" spans="19:32" x14ac:dyDescent="0.35">
      <c r="S4038" s="34">
        <v>4034</v>
      </c>
      <c r="T4038" s="34" t="s">
        <v>4284</v>
      </c>
      <c r="U4038" s="34" t="s">
        <v>2343</v>
      </c>
      <c r="V4038" s="35">
        <v>8.9798387096774203E-4</v>
      </c>
      <c r="W4038" s="13"/>
      <c r="X4038" s="34">
        <v>4034</v>
      </c>
      <c r="Y4038" s="34" t="s">
        <v>2248</v>
      </c>
      <c r="Z4038" s="34" t="s">
        <v>4380</v>
      </c>
      <c r="AA4038" s="35">
        <v>9.3568548387096776E-3</v>
      </c>
      <c r="AB4038" s="13"/>
      <c r="AC4038" s="13"/>
      <c r="AD4038" s="13"/>
      <c r="AE4038" s="13"/>
      <c r="AF4038" s="13"/>
    </row>
    <row r="4039" spans="19:32" x14ac:dyDescent="0.35">
      <c r="S4039" s="47">
        <v>4035</v>
      </c>
      <c r="T4039" s="47" t="s">
        <v>4284</v>
      </c>
      <c r="U4039" s="47" t="s">
        <v>2343</v>
      </c>
      <c r="V4039" s="56">
        <v>0</v>
      </c>
      <c r="W4039" s="13"/>
      <c r="X4039" s="34">
        <v>4035</v>
      </c>
      <c r="Y4039" s="34" t="s">
        <v>2248</v>
      </c>
      <c r="Z4039" s="34" t="s">
        <v>4379</v>
      </c>
      <c r="AA4039" s="35">
        <v>4.4213709677419358E-4</v>
      </c>
      <c r="AB4039" s="13"/>
      <c r="AC4039" s="13"/>
      <c r="AD4039" s="13"/>
      <c r="AE4039" s="13"/>
      <c r="AF4039" s="13"/>
    </row>
    <row r="4040" spans="19:32" x14ac:dyDescent="0.35">
      <c r="S4040" s="34">
        <v>4036</v>
      </c>
      <c r="T4040" s="34" t="s">
        <v>4284</v>
      </c>
      <c r="U4040" s="34" t="s">
        <v>2342</v>
      </c>
      <c r="V4040" s="35">
        <v>3.7358870967741937E-4</v>
      </c>
      <c r="W4040" s="13"/>
      <c r="X4040" s="34">
        <v>4036</v>
      </c>
      <c r="Y4040" s="34" t="s">
        <v>2248</v>
      </c>
      <c r="Z4040" s="34" t="s">
        <v>2590</v>
      </c>
      <c r="AA4040" s="35">
        <v>5.0040322580645169</v>
      </c>
      <c r="AB4040" s="13"/>
      <c r="AC4040" s="13"/>
      <c r="AD4040" s="13"/>
      <c r="AE4040" s="13"/>
      <c r="AF4040" s="13"/>
    </row>
    <row r="4041" spans="19:32" x14ac:dyDescent="0.35">
      <c r="S4041" s="47">
        <v>4037</v>
      </c>
      <c r="T4041" s="47" t="s">
        <v>4284</v>
      </c>
      <c r="U4041" s="47" t="s">
        <v>2342</v>
      </c>
      <c r="V4041" s="56">
        <v>1.1408</v>
      </c>
      <c r="W4041" s="13"/>
      <c r="X4041" s="47">
        <v>4037</v>
      </c>
      <c r="Y4041" s="47" t="s">
        <v>2248</v>
      </c>
      <c r="Z4041" s="47" t="s">
        <v>2632</v>
      </c>
      <c r="AA4041" s="56">
        <v>0</v>
      </c>
      <c r="AB4041" s="13"/>
      <c r="AC4041" s="13"/>
      <c r="AD4041" s="13"/>
      <c r="AE4041" s="13"/>
      <c r="AF4041" s="13"/>
    </row>
    <row r="4042" spans="19:32" x14ac:dyDescent="0.35">
      <c r="S4042" s="34">
        <v>4038</v>
      </c>
      <c r="T4042" s="34" t="s">
        <v>4284</v>
      </c>
      <c r="U4042" s="34" t="s">
        <v>2340</v>
      </c>
      <c r="V4042" s="35">
        <v>3.8729838709677424E-4</v>
      </c>
      <c r="W4042" s="13"/>
      <c r="X4042" s="47">
        <v>4038</v>
      </c>
      <c r="Y4042" s="47" t="s">
        <v>2248</v>
      </c>
      <c r="Z4042" s="47" t="s">
        <v>2631</v>
      </c>
      <c r="AA4042" s="56">
        <v>8.0776000000000003</v>
      </c>
      <c r="AB4042" s="13"/>
      <c r="AC4042" s="13"/>
      <c r="AD4042" s="13"/>
      <c r="AE4042" s="13"/>
      <c r="AF4042" s="13"/>
    </row>
    <row r="4043" spans="19:32" x14ac:dyDescent="0.35">
      <c r="S4043" s="47">
        <v>4039</v>
      </c>
      <c r="T4043" s="47" t="s">
        <v>4284</v>
      </c>
      <c r="U4043" s="47" t="s">
        <v>2340</v>
      </c>
      <c r="V4043" s="56">
        <v>0.52900000000000003</v>
      </c>
      <c r="W4043" s="13"/>
      <c r="X4043" s="34">
        <v>4039</v>
      </c>
      <c r="Y4043" s="34" t="s">
        <v>2248</v>
      </c>
      <c r="Z4043" s="34" t="s">
        <v>4298</v>
      </c>
      <c r="AA4043" s="35">
        <v>5.963709677419355</v>
      </c>
      <c r="AB4043" s="13"/>
      <c r="AC4043" s="13"/>
      <c r="AD4043" s="13"/>
      <c r="AE4043" s="13"/>
      <c r="AF4043" s="13"/>
    </row>
    <row r="4044" spans="19:32" x14ac:dyDescent="0.35">
      <c r="S4044" s="47">
        <v>4040</v>
      </c>
      <c r="T4044" s="47" t="s">
        <v>4284</v>
      </c>
      <c r="U4044" s="47" t="s">
        <v>2338</v>
      </c>
      <c r="V4044" s="56">
        <v>0</v>
      </c>
      <c r="W4044" s="13"/>
      <c r="X4044" s="34">
        <v>4040</v>
      </c>
      <c r="Y4044" s="34" t="s">
        <v>2248</v>
      </c>
      <c r="Z4044" s="34" t="s">
        <v>4378</v>
      </c>
      <c r="AA4044" s="35">
        <v>1.1687500000000001E-3</v>
      </c>
      <c r="AB4044" s="13"/>
      <c r="AC4044" s="13"/>
      <c r="AD4044" s="13"/>
      <c r="AE4044" s="13"/>
      <c r="AF4044" s="13"/>
    </row>
    <row r="4045" spans="19:32" x14ac:dyDescent="0.35">
      <c r="S4045" s="34">
        <v>4041</v>
      </c>
      <c r="T4045" s="34" t="s">
        <v>4284</v>
      </c>
      <c r="U4045" s="34" t="s">
        <v>2337</v>
      </c>
      <c r="V4045" s="35">
        <v>3.1326612903225807E-6</v>
      </c>
      <c r="W4045" s="13"/>
      <c r="X4045" s="47">
        <v>4041</v>
      </c>
      <c r="Y4045" s="47" t="s">
        <v>2248</v>
      </c>
      <c r="Z4045" s="47" t="s">
        <v>4377</v>
      </c>
      <c r="AA4045" s="56">
        <v>7.7802419354838725E-6</v>
      </c>
      <c r="AB4045" s="13"/>
      <c r="AC4045" s="13"/>
      <c r="AD4045" s="13"/>
      <c r="AE4045" s="13"/>
      <c r="AF4045" s="13"/>
    </row>
    <row r="4046" spans="19:32" x14ac:dyDescent="0.35">
      <c r="S4046" s="47">
        <v>4042</v>
      </c>
      <c r="T4046" s="47" t="s">
        <v>4284</v>
      </c>
      <c r="U4046" s="47" t="s">
        <v>2337</v>
      </c>
      <c r="V4046" s="56">
        <v>0.36155999999999999</v>
      </c>
      <c r="W4046" s="13"/>
      <c r="X4046" s="34">
        <v>4042</v>
      </c>
      <c r="Y4046" s="34" t="s">
        <v>2248</v>
      </c>
      <c r="Z4046" s="34" t="s">
        <v>4296</v>
      </c>
      <c r="AA4046" s="35">
        <v>2.4848790322580646E-6</v>
      </c>
      <c r="AB4046" s="13"/>
      <c r="AC4046" s="13"/>
      <c r="AD4046" s="13"/>
      <c r="AE4046" s="13"/>
      <c r="AF4046" s="13"/>
    </row>
    <row r="4047" spans="19:32" x14ac:dyDescent="0.35">
      <c r="S4047" s="34">
        <v>4043</v>
      </c>
      <c r="T4047" s="34" t="s">
        <v>4284</v>
      </c>
      <c r="U4047" s="34" t="s">
        <v>3830</v>
      </c>
      <c r="V4047" s="35">
        <v>5.2439516129032265E-5</v>
      </c>
      <c r="W4047" s="13"/>
      <c r="X4047" s="34">
        <v>4043</v>
      </c>
      <c r="Y4047" s="34" t="s">
        <v>2248</v>
      </c>
      <c r="Z4047" s="34" t="s">
        <v>4376</v>
      </c>
      <c r="AA4047" s="35">
        <v>7.6088709677419361E-4</v>
      </c>
      <c r="AB4047" s="13"/>
      <c r="AC4047" s="13"/>
      <c r="AD4047" s="13"/>
      <c r="AE4047" s="13"/>
      <c r="AF4047" s="13"/>
    </row>
    <row r="4048" spans="19:32" x14ac:dyDescent="0.35">
      <c r="S4048" s="34">
        <v>4044</v>
      </c>
      <c r="T4048" s="34" t="s">
        <v>4284</v>
      </c>
      <c r="U4048" s="34" t="s">
        <v>2335</v>
      </c>
      <c r="V4048" s="35">
        <v>1.0145161290322581E-6</v>
      </c>
      <c r="W4048" s="13"/>
      <c r="X4048" s="34">
        <v>4044</v>
      </c>
      <c r="Y4048" s="34" t="s">
        <v>2248</v>
      </c>
      <c r="Z4048" s="34" t="s">
        <v>4294</v>
      </c>
      <c r="AA4048" s="35">
        <v>0.40786290322580648</v>
      </c>
      <c r="AB4048" s="13"/>
      <c r="AC4048" s="13"/>
      <c r="AD4048" s="13"/>
      <c r="AE4048" s="13"/>
      <c r="AF4048" s="13"/>
    </row>
    <row r="4049" spans="19:32" x14ac:dyDescent="0.35">
      <c r="S4049" s="47">
        <v>4045</v>
      </c>
      <c r="T4049" s="47" t="s">
        <v>4284</v>
      </c>
      <c r="U4049" s="47" t="s">
        <v>2335</v>
      </c>
      <c r="V4049" s="56">
        <v>0.34683999999999998</v>
      </c>
      <c r="W4049" s="13"/>
      <c r="X4049" s="34">
        <v>4045</v>
      </c>
      <c r="Y4049" s="34" t="s">
        <v>2248</v>
      </c>
      <c r="Z4049" s="34" t="s">
        <v>4375</v>
      </c>
      <c r="AA4049" s="35">
        <v>1.2578629032258066E-3</v>
      </c>
      <c r="AB4049" s="13"/>
      <c r="AC4049" s="13"/>
      <c r="AD4049" s="13"/>
      <c r="AE4049" s="13"/>
      <c r="AF4049" s="13"/>
    </row>
    <row r="4050" spans="19:32" x14ac:dyDescent="0.35">
      <c r="S4050" s="34">
        <v>4046</v>
      </c>
      <c r="T4050" s="34" t="s">
        <v>4284</v>
      </c>
      <c r="U4050" s="34" t="s">
        <v>2333</v>
      </c>
      <c r="V4050" s="35">
        <v>0.10247983870967743</v>
      </c>
      <c r="W4050" s="13"/>
      <c r="X4050" s="34">
        <v>4046</v>
      </c>
      <c r="Y4050" s="34" t="s">
        <v>2248</v>
      </c>
      <c r="Z4050" s="34" t="s">
        <v>4374</v>
      </c>
      <c r="AA4050" s="35">
        <v>0.26151209677419357</v>
      </c>
      <c r="AB4050" s="13"/>
      <c r="AC4050" s="13"/>
      <c r="AD4050" s="13"/>
      <c r="AE4050" s="13"/>
      <c r="AF4050" s="13"/>
    </row>
    <row r="4051" spans="19:32" x14ac:dyDescent="0.35">
      <c r="S4051" s="47">
        <v>4047</v>
      </c>
      <c r="T4051" s="47" t="s">
        <v>4284</v>
      </c>
      <c r="U4051" s="47" t="s">
        <v>2333</v>
      </c>
      <c r="V4051" s="56">
        <v>0</v>
      </c>
      <c r="W4051" s="13"/>
      <c r="X4051" s="34">
        <v>4047</v>
      </c>
      <c r="Y4051" s="34" t="s">
        <v>2248</v>
      </c>
      <c r="Z4051" s="34" t="s">
        <v>4292</v>
      </c>
      <c r="AA4051" s="35">
        <v>9.0483870967741946E-5</v>
      </c>
      <c r="AB4051" s="13"/>
      <c r="AC4051" s="13"/>
      <c r="AD4051" s="13"/>
      <c r="AE4051" s="13"/>
      <c r="AF4051" s="13"/>
    </row>
    <row r="4052" spans="19:32" x14ac:dyDescent="0.35">
      <c r="S4052" s="47">
        <v>4048</v>
      </c>
      <c r="T4052" s="47" t="s">
        <v>4284</v>
      </c>
      <c r="U4052" s="47" t="s">
        <v>2332</v>
      </c>
      <c r="V4052" s="56">
        <v>1.2511999999999999</v>
      </c>
      <c r="W4052" s="13"/>
      <c r="X4052" s="47">
        <v>4048</v>
      </c>
      <c r="Y4052" s="47" t="s">
        <v>2248</v>
      </c>
      <c r="Z4052" s="47" t="s">
        <v>2629</v>
      </c>
      <c r="AA4052" s="56">
        <v>1.2695999999999999E-2</v>
      </c>
      <c r="AB4052" s="13"/>
      <c r="AC4052" s="13"/>
      <c r="AD4052" s="13"/>
      <c r="AE4052" s="13"/>
      <c r="AF4052" s="13"/>
    </row>
    <row r="4053" spans="19:32" x14ac:dyDescent="0.35">
      <c r="S4053" s="34">
        <v>4049</v>
      </c>
      <c r="T4053" s="34" t="s">
        <v>4284</v>
      </c>
      <c r="U4053" s="34" t="s">
        <v>3822</v>
      </c>
      <c r="V4053" s="35">
        <v>5.6209677419354835E-4</v>
      </c>
      <c r="W4053" s="13"/>
      <c r="X4053" s="34">
        <v>4049</v>
      </c>
      <c r="Y4053" s="34" t="s">
        <v>2248</v>
      </c>
      <c r="Z4053" s="34" t="s">
        <v>4291</v>
      </c>
      <c r="AA4053" s="35">
        <v>3.094959677419355E-3</v>
      </c>
      <c r="AB4053" s="13"/>
      <c r="AC4053" s="13"/>
      <c r="AD4053" s="13"/>
      <c r="AE4053" s="13"/>
      <c r="AF4053" s="13"/>
    </row>
    <row r="4054" spans="19:32" x14ac:dyDescent="0.35">
      <c r="S4054" s="34">
        <v>4050</v>
      </c>
      <c r="T4054" s="34" t="s">
        <v>4284</v>
      </c>
      <c r="U4054" s="34" t="s">
        <v>2330</v>
      </c>
      <c r="V4054" s="35">
        <v>4.0443548387096774E-2</v>
      </c>
      <c r="W4054" s="13"/>
      <c r="X4054" s="47">
        <v>4050</v>
      </c>
      <c r="Y4054" s="47" t="s">
        <v>2248</v>
      </c>
      <c r="Z4054" s="47" t="s">
        <v>2627</v>
      </c>
      <c r="AA4054" s="56">
        <v>0.22448000000000001</v>
      </c>
      <c r="AB4054" s="13"/>
      <c r="AC4054" s="13"/>
      <c r="AD4054" s="13"/>
      <c r="AE4054" s="13"/>
      <c r="AF4054" s="13"/>
    </row>
    <row r="4055" spans="19:32" x14ac:dyDescent="0.35">
      <c r="S4055" s="47">
        <v>4051</v>
      </c>
      <c r="T4055" s="47" t="s">
        <v>4284</v>
      </c>
      <c r="U4055" s="47" t="s">
        <v>2330</v>
      </c>
      <c r="V4055" s="56">
        <v>0</v>
      </c>
      <c r="W4055" s="13"/>
      <c r="X4055" s="47">
        <v>4051</v>
      </c>
      <c r="Y4055" s="47" t="s">
        <v>2248</v>
      </c>
      <c r="Z4055" s="47" t="s">
        <v>4373</v>
      </c>
      <c r="AA4055" s="56">
        <v>1.3641129032258066E-5</v>
      </c>
      <c r="AB4055" s="13"/>
      <c r="AC4055" s="13"/>
      <c r="AD4055" s="13"/>
      <c r="AE4055" s="13"/>
      <c r="AF4055" s="13"/>
    </row>
    <row r="4056" spans="19:32" x14ac:dyDescent="0.35">
      <c r="S4056" s="34">
        <v>4052</v>
      </c>
      <c r="T4056" s="34" t="s">
        <v>4284</v>
      </c>
      <c r="U4056" s="34" t="s">
        <v>3818</v>
      </c>
      <c r="V4056" s="35">
        <v>8.054435483870968E-3</v>
      </c>
      <c r="W4056" s="13"/>
      <c r="X4056" s="34">
        <v>4052</v>
      </c>
      <c r="Y4056" s="34" t="s">
        <v>2248</v>
      </c>
      <c r="Z4056" s="34" t="s">
        <v>2627</v>
      </c>
      <c r="AA4056" s="35">
        <v>9.9737903225806455E-4</v>
      </c>
      <c r="AB4056" s="13"/>
      <c r="AC4056" s="13"/>
      <c r="AD4056" s="13"/>
      <c r="AE4056" s="13"/>
      <c r="AF4056" s="13"/>
    </row>
    <row r="4057" spans="19:32" x14ac:dyDescent="0.35">
      <c r="S4057" s="47">
        <v>4053</v>
      </c>
      <c r="T4057" s="47" t="s">
        <v>4284</v>
      </c>
      <c r="U4057" s="47" t="s">
        <v>2329</v>
      </c>
      <c r="V4057" s="56">
        <v>0</v>
      </c>
      <c r="W4057" s="13"/>
      <c r="X4057" s="34">
        <v>4053</v>
      </c>
      <c r="Y4057" s="34" t="s">
        <v>2248</v>
      </c>
      <c r="Z4057" s="34" t="s">
        <v>4289</v>
      </c>
      <c r="AA4057" s="35">
        <v>0.37358870967741936</v>
      </c>
      <c r="AB4057" s="13"/>
      <c r="AC4057" s="13"/>
      <c r="AD4057" s="13"/>
      <c r="AE4057" s="13"/>
      <c r="AF4057" s="13"/>
    </row>
    <row r="4058" spans="19:32" x14ac:dyDescent="0.35">
      <c r="S4058" s="47">
        <v>4054</v>
      </c>
      <c r="T4058" s="47" t="s">
        <v>4284</v>
      </c>
      <c r="U4058" s="47" t="s">
        <v>2327</v>
      </c>
      <c r="V4058" s="56">
        <v>0</v>
      </c>
      <c r="W4058" s="13"/>
      <c r="X4058" s="34">
        <v>4054</v>
      </c>
      <c r="Y4058" s="34" t="s">
        <v>2248</v>
      </c>
      <c r="Z4058" s="34" t="s">
        <v>4372</v>
      </c>
      <c r="AA4058" s="35">
        <v>8.0544354838709692E-5</v>
      </c>
      <c r="AB4058" s="13"/>
      <c r="AC4058" s="13"/>
      <c r="AD4058" s="13"/>
      <c r="AE4058" s="13"/>
      <c r="AF4058" s="13"/>
    </row>
    <row r="4059" spans="19:32" x14ac:dyDescent="0.35">
      <c r="S4059" s="47">
        <v>4055</v>
      </c>
      <c r="T4059" s="47" t="s">
        <v>4284</v>
      </c>
      <c r="U4059" s="47" t="s">
        <v>2326</v>
      </c>
      <c r="V4059" s="56">
        <v>0</v>
      </c>
      <c r="W4059" s="13"/>
      <c r="X4059" s="34">
        <v>4055</v>
      </c>
      <c r="Y4059" s="34" t="s">
        <v>2248</v>
      </c>
      <c r="Z4059" s="34" t="s">
        <v>2587</v>
      </c>
      <c r="AA4059" s="35">
        <v>0.46612903225806457</v>
      </c>
      <c r="AB4059" s="13"/>
      <c r="AC4059" s="13"/>
      <c r="AD4059" s="13"/>
      <c r="AE4059" s="13"/>
      <c r="AF4059" s="13"/>
    </row>
    <row r="4060" spans="19:32" x14ac:dyDescent="0.35">
      <c r="S4060" s="34">
        <v>4056</v>
      </c>
      <c r="T4060" s="34" t="s">
        <v>4284</v>
      </c>
      <c r="U4060" s="34" t="s">
        <v>3813</v>
      </c>
      <c r="V4060" s="35">
        <v>9.8024193548387097E-5</v>
      </c>
      <c r="W4060" s="13"/>
      <c r="X4060" s="34">
        <v>4056</v>
      </c>
      <c r="Y4060" s="34" t="s">
        <v>2248</v>
      </c>
      <c r="Z4060" s="34" t="s">
        <v>4371</v>
      </c>
      <c r="AA4060" s="35">
        <v>4.6270161290322583E-3</v>
      </c>
      <c r="AB4060" s="13"/>
      <c r="AC4060" s="13"/>
      <c r="AD4060" s="13"/>
      <c r="AE4060" s="13"/>
      <c r="AF4060" s="13"/>
    </row>
    <row r="4061" spans="19:32" x14ac:dyDescent="0.35">
      <c r="S4061" s="36">
        <v>4057</v>
      </c>
      <c r="T4061" s="36" t="s">
        <v>4284</v>
      </c>
      <c r="U4061" s="36" t="s">
        <v>2324</v>
      </c>
      <c r="V4061" s="37">
        <v>5.7779999999999996</v>
      </c>
      <c r="W4061" s="13"/>
      <c r="X4061" s="47">
        <v>4057</v>
      </c>
      <c r="Y4061" s="47" t="s">
        <v>2248</v>
      </c>
      <c r="Z4061" s="47" t="s">
        <v>4370</v>
      </c>
      <c r="AA4061" s="56">
        <v>1.2818548387096777E-6</v>
      </c>
      <c r="AB4061" s="13"/>
      <c r="AC4061" s="13"/>
      <c r="AD4061" s="13"/>
      <c r="AE4061" s="13"/>
      <c r="AF4061" s="13"/>
    </row>
    <row r="4062" spans="19:32" x14ac:dyDescent="0.35">
      <c r="S4062" s="34">
        <v>4058</v>
      </c>
      <c r="T4062" s="34" t="s">
        <v>4284</v>
      </c>
      <c r="U4062" s="34" t="s">
        <v>2324</v>
      </c>
      <c r="V4062" s="35">
        <v>3.8729838709677421E-7</v>
      </c>
      <c r="W4062" s="13"/>
      <c r="X4062" s="34">
        <v>4058</v>
      </c>
      <c r="Y4062" s="34" t="s">
        <v>2248</v>
      </c>
      <c r="Z4062" s="34" t="s">
        <v>4369</v>
      </c>
      <c r="AA4062" s="35">
        <v>1.0933467741935484E-4</v>
      </c>
      <c r="AB4062" s="13"/>
      <c r="AC4062" s="13"/>
      <c r="AD4062" s="13"/>
      <c r="AE4062" s="13"/>
      <c r="AF4062" s="13"/>
    </row>
    <row r="4063" spans="19:32" x14ac:dyDescent="0.35">
      <c r="S4063" s="47">
        <v>4059</v>
      </c>
      <c r="T4063" s="47" t="s">
        <v>4284</v>
      </c>
      <c r="U4063" s="47" t="s">
        <v>2324</v>
      </c>
      <c r="V4063" s="56">
        <v>4.2043999999999999E-6</v>
      </c>
      <c r="W4063" s="13"/>
      <c r="X4063" s="34">
        <v>4059</v>
      </c>
      <c r="Y4063" s="34" t="s">
        <v>2248</v>
      </c>
      <c r="Z4063" s="34" t="s">
        <v>2585</v>
      </c>
      <c r="AA4063" s="35">
        <v>3.0332661290322584E-5</v>
      </c>
      <c r="AB4063" s="13"/>
      <c r="AC4063" s="13"/>
      <c r="AD4063" s="13"/>
      <c r="AE4063" s="13"/>
      <c r="AF4063" s="13"/>
    </row>
    <row r="4064" spans="19:32" x14ac:dyDescent="0.35">
      <c r="S4064" s="34">
        <v>4060</v>
      </c>
      <c r="T4064" s="34" t="s">
        <v>4284</v>
      </c>
      <c r="U4064" s="34" t="s">
        <v>2323</v>
      </c>
      <c r="V4064" s="35">
        <v>2.4060483870967741E-6</v>
      </c>
      <c r="W4064" s="13"/>
      <c r="X4064" s="47">
        <v>4060</v>
      </c>
      <c r="Y4064" s="47" t="s">
        <v>2248</v>
      </c>
      <c r="Z4064" s="47" t="s">
        <v>2626</v>
      </c>
      <c r="AA4064" s="56">
        <v>1.3064</v>
      </c>
      <c r="AB4064" s="13"/>
      <c r="AC4064" s="13"/>
      <c r="AD4064" s="13"/>
      <c r="AE4064" s="13"/>
      <c r="AF4064" s="13"/>
    </row>
    <row r="4065" spans="19:32" x14ac:dyDescent="0.35">
      <c r="S4065" s="47">
        <v>4061</v>
      </c>
      <c r="T4065" s="47" t="s">
        <v>4284</v>
      </c>
      <c r="U4065" s="47" t="s">
        <v>2323</v>
      </c>
      <c r="V4065" s="56">
        <v>0.11776</v>
      </c>
      <c r="W4065" s="13"/>
      <c r="X4065" s="47">
        <v>4061</v>
      </c>
      <c r="Y4065" s="47" t="s">
        <v>2248</v>
      </c>
      <c r="Z4065" s="47" t="s">
        <v>4368</v>
      </c>
      <c r="AA4065" s="56">
        <v>3.2286290322580648E-6</v>
      </c>
      <c r="AB4065" s="13"/>
      <c r="AC4065" s="13"/>
      <c r="AD4065" s="13"/>
      <c r="AE4065" s="13"/>
      <c r="AF4065" s="13"/>
    </row>
    <row r="4066" spans="19:32" x14ac:dyDescent="0.35">
      <c r="S4066" s="34">
        <v>4062</v>
      </c>
      <c r="T4066" s="34" t="s">
        <v>4284</v>
      </c>
      <c r="U4066" s="34" t="s">
        <v>2321</v>
      </c>
      <c r="V4066" s="35">
        <v>8.6370967741935492E-2</v>
      </c>
      <c r="W4066" s="13"/>
      <c r="X4066" s="34">
        <v>4062</v>
      </c>
      <c r="Y4066" s="34" t="s">
        <v>2248</v>
      </c>
      <c r="Z4066" s="34" t="s">
        <v>2584</v>
      </c>
      <c r="AA4066" s="35">
        <v>3.9415322580645161E-3</v>
      </c>
      <c r="AB4066" s="13"/>
      <c r="AC4066" s="13"/>
      <c r="AD4066" s="13"/>
      <c r="AE4066" s="13"/>
      <c r="AF4066" s="13"/>
    </row>
    <row r="4067" spans="19:32" x14ac:dyDescent="0.35">
      <c r="S4067" s="47">
        <v>4063</v>
      </c>
      <c r="T4067" s="47" t="s">
        <v>4284</v>
      </c>
      <c r="U4067" s="47" t="s">
        <v>2321</v>
      </c>
      <c r="V4067" s="56">
        <v>1.5640000000000001</v>
      </c>
      <c r="W4067" s="13"/>
      <c r="X4067" s="47">
        <v>4063</v>
      </c>
      <c r="Y4067" s="47" t="s">
        <v>2248</v>
      </c>
      <c r="Z4067" s="47" t="s">
        <v>2624</v>
      </c>
      <c r="AA4067" s="56">
        <v>0</v>
      </c>
      <c r="AB4067" s="13"/>
      <c r="AC4067" s="13"/>
      <c r="AD4067" s="13"/>
      <c r="AE4067" s="13"/>
      <c r="AF4067" s="13"/>
    </row>
    <row r="4068" spans="19:32" x14ac:dyDescent="0.35">
      <c r="S4068" s="34">
        <v>4064</v>
      </c>
      <c r="T4068" s="34" t="s">
        <v>4284</v>
      </c>
      <c r="U4068" s="34" t="s">
        <v>2319</v>
      </c>
      <c r="V4068" s="35">
        <v>1.2510080645161291E-4</v>
      </c>
      <c r="W4068" s="13"/>
      <c r="X4068" s="34">
        <v>4064</v>
      </c>
      <c r="Y4068" s="34" t="s">
        <v>2248</v>
      </c>
      <c r="Z4068" s="34" t="s">
        <v>2624</v>
      </c>
      <c r="AA4068" s="35">
        <v>2.5054435483870971E-2</v>
      </c>
      <c r="AB4068" s="13"/>
      <c r="AC4068" s="13"/>
      <c r="AD4068" s="13"/>
      <c r="AE4068" s="13"/>
      <c r="AF4068" s="13"/>
    </row>
    <row r="4069" spans="19:32" x14ac:dyDescent="0.35">
      <c r="S4069" s="47">
        <v>4065</v>
      </c>
      <c r="T4069" s="47" t="s">
        <v>4284</v>
      </c>
      <c r="U4069" s="47" t="s">
        <v>2319</v>
      </c>
      <c r="V4069" s="56">
        <v>7.1392000000000007</v>
      </c>
      <c r="W4069" s="13"/>
      <c r="X4069" s="34">
        <v>4065</v>
      </c>
      <c r="Y4069" s="34" t="s">
        <v>2248</v>
      </c>
      <c r="Z4069" s="34" t="s">
        <v>4281</v>
      </c>
      <c r="AA4069" s="35">
        <v>6.2721774193548398E-4</v>
      </c>
      <c r="AB4069" s="13"/>
      <c r="AC4069" s="13"/>
      <c r="AD4069" s="13"/>
      <c r="AE4069" s="13"/>
      <c r="AF4069" s="13"/>
    </row>
    <row r="4070" spans="19:32" x14ac:dyDescent="0.35">
      <c r="S4070" s="47">
        <v>4066</v>
      </c>
      <c r="T4070" s="47" t="s">
        <v>4284</v>
      </c>
      <c r="U4070" s="47" t="s">
        <v>2318</v>
      </c>
      <c r="V4070" s="56">
        <v>4.6828000000000003</v>
      </c>
      <c r="W4070" s="13"/>
      <c r="X4070" s="47">
        <v>4066</v>
      </c>
      <c r="Y4070" s="47" t="s">
        <v>2248</v>
      </c>
      <c r="Z4070" s="47" t="s">
        <v>4367</v>
      </c>
      <c r="AA4070" s="56">
        <v>3.633064516129033E-5</v>
      </c>
      <c r="AB4070" s="13"/>
      <c r="AC4070" s="13"/>
      <c r="AD4070" s="13"/>
      <c r="AE4070" s="13"/>
      <c r="AF4070" s="13"/>
    </row>
    <row r="4071" spans="19:32" x14ac:dyDescent="0.35">
      <c r="S4071" s="34">
        <v>4067</v>
      </c>
      <c r="T4071" s="34" t="s">
        <v>4284</v>
      </c>
      <c r="U4071" s="34" t="s">
        <v>3801</v>
      </c>
      <c r="V4071" s="35">
        <v>6.3064516129032259E-6</v>
      </c>
      <c r="W4071" s="13"/>
      <c r="X4071" s="47">
        <v>4067</v>
      </c>
      <c r="Y4071" s="47" t="s">
        <v>2248</v>
      </c>
      <c r="Z4071" s="47" t="s">
        <v>2623</v>
      </c>
      <c r="AA4071" s="56">
        <v>0</v>
      </c>
      <c r="AB4071" s="13"/>
      <c r="AC4071" s="13"/>
      <c r="AD4071" s="13"/>
      <c r="AE4071" s="13"/>
      <c r="AF4071" s="13"/>
    </row>
    <row r="4072" spans="19:32" x14ac:dyDescent="0.35">
      <c r="S4072" s="34">
        <v>4068</v>
      </c>
      <c r="T4072" s="34" t="s">
        <v>4284</v>
      </c>
      <c r="U4072" s="34" t="s">
        <v>2316</v>
      </c>
      <c r="V4072" s="35">
        <v>6.2721774193548394E-2</v>
      </c>
      <c r="W4072" s="13"/>
      <c r="X4072" s="34">
        <v>4068</v>
      </c>
      <c r="Y4072" s="34" t="s">
        <v>2248</v>
      </c>
      <c r="Z4072" s="34" t="s">
        <v>4280</v>
      </c>
      <c r="AA4072" s="35">
        <v>2.344354838709678E-3</v>
      </c>
      <c r="AB4072" s="13"/>
      <c r="AC4072" s="13"/>
      <c r="AD4072" s="13"/>
      <c r="AE4072" s="13"/>
      <c r="AF4072" s="13"/>
    </row>
    <row r="4073" spans="19:32" x14ac:dyDescent="0.35">
      <c r="S4073" s="47">
        <v>4069</v>
      </c>
      <c r="T4073" s="47" t="s">
        <v>4284</v>
      </c>
      <c r="U4073" s="47" t="s">
        <v>2316</v>
      </c>
      <c r="V4073" s="56">
        <v>0</v>
      </c>
      <c r="W4073" s="13"/>
      <c r="X4073" s="34">
        <v>4069</v>
      </c>
      <c r="Y4073" s="34" t="s">
        <v>2248</v>
      </c>
      <c r="Z4073" s="34" t="s">
        <v>4366</v>
      </c>
      <c r="AA4073" s="35">
        <v>1.2201612903225808E-4</v>
      </c>
      <c r="AB4073" s="13"/>
      <c r="AC4073" s="13"/>
      <c r="AD4073" s="13"/>
      <c r="AE4073" s="13"/>
      <c r="AF4073" s="13"/>
    </row>
    <row r="4074" spans="19:32" x14ac:dyDescent="0.35">
      <c r="S4074" s="34">
        <v>4070</v>
      </c>
      <c r="T4074" s="34" t="s">
        <v>4284</v>
      </c>
      <c r="U4074" s="34" t="s">
        <v>2315</v>
      </c>
      <c r="V4074" s="35">
        <v>4.0443548387096781E-3</v>
      </c>
      <c r="W4074" s="13"/>
      <c r="X4074" s="34">
        <v>4070</v>
      </c>
      <c r="Y4074" s="34" t="s">
        <v>2248</v>
      </c>
      <c r="Z4074" s="34" t="s">
        <v>4279</v>
      </c>
      <c r="AA4074" s="35">
        <v>2.7042338709677423E-3</v>
      </c>
      <c r="AB4074" s="13"/>
      <c r="AC4074" s="13"/>
      <c r="AD4074" s="13"/>
      <c r="AE4074" s="13"/>
      <c r="AF4074" s="13"/>
    </row>
    <row r="4075" spans="19:32" x14ac:dyDescent="0.35">
      <c r="S4075" s="47">
        <v>4071</v>
      </c>
      <c r="T4075" s="47" t="s">
        <v>4284</v>
      </c>
      <c r="U4075" s="47" t="s">
        <v>2315</v>
      </c>
      <c r="V4075" s="56">
        <v>221.72</v>
      </c>
      <c r="W4075" s="13"/>
      <c r="X4075" s="34">
        <v>4071</v>
      </c>
      <c r="Y4075" s="34" t="s">
        <v>2248</v>
      </c>
      <c r="Z4075" s="34" t="s">
        <v>4365</v>
      </c>
      <c r="AA4075" s="35">
        <v>2.0598790322580648E-3</v>
      </c>
      <c r="AB4075" s="13"/>
      <c r="AC4075" s="13"/>
      <c r="AD4075" s="13"/>
      <c r="AE4075" s="13"/>
      <c r="AF4075" s="13"/>
    </row>
    <row r="4076" spans="19:32" x14ac:dyDescent="0.35">
      <c r="S4076" s="34">
        <v>4072</v>
      </c>
      <c r="T4076" s="34" t="s">
        <v>4284</v>
      </c>
      <c r="U4076" s="34" t="s">
        <v>3794</v>
      </c>
      <c r="V4076" s="35">
        <v>5.2439516129032263E-6</v>
      </c>
      <c r="W4076" s="13"/>
      <c r="X4076" s="34">
        <v>4072</v>
      </c>
      <c r="Y4076" s="34" t="s">
        <v>2248</v>
      </c>
      <c r="Z4076" s="34" t="s">
        <v>4364</v>
      </c>
      <c r="AA4076" s="35">
        <v>5.1754032258064518E-7</v>
      </c>
      <c r="AB4076" s="13"/>
      <c r="AC4076" s="13"/>
      <c r="AD4076" s="13"/>
      <c r="AE4076" s="13"/>
      <c r="AF4076" s="13"/>
    </row>
    <row r="4077" spans="19:32" x14ac:dyDescent="0.35">
      <c r="S4077" s="36">
        <v>4073</v>
      </c>
      <c r="T4077" s="36" t="s">
        <v>4284</v>
      </c>
      <c r="U4077" s="36" t="s">
        <v>4363</v>
      </c>
      <c r="V4077" s="37">
        <v>8.1319999999999997</v>
      </c>
      <c r="W4077" s="13"/>
      <c r="X4077" s="34">
        <v>4073</v>
      </c>
      <c r="Y4077" s="34" t="s">
        <v>2248</v>
      </c>
      <c r="Z4077" s="34" t="s">
        <v>4276</v>
      </c>
      <c r="AA4077" s="35">
        <v>1.2989919354838709E-3</v>
      </c>
      <c r="AB4077" s="13"/>
      <c r="AC4077" s="13"/>
      <c r="AD4077" s="13"/>
      <c r="AE4077" s="13"/>
      <c r="AF4077" s="13"/>
    </row>
    <row r="4078" spans="19:32" x14ac:dyDescent="0.35">
      <c r="S4078" s="36">
        <v>4074</v>
      </c>
      <c r="T4078" s="36" t="s">
        <v>4284</v>
      </c>
      <c r="U4078" s="36" t="s">
        <v>4362</v>
      </c>
      <c r="V4078" s="37">
        <v>11.716499999999998</v>
      </c>
      <c r="W4078" s="13"/>
      <c r="X4078" s="47">
        <v>4074</v>
      </c>
      <c r="Y4078" s="47" t="s">
        <v>2248</v>
      </c>
      <c r="Z4078" s="47" t="s">
        <v>2621</v>
      </c>
      <c r="AA4078" s="56">
        <v>3.2844000000000002</v>
      </c>
      <c r="AB4078" s="13"/>
      <c r="AC4078" s="13"/>
      <c r="AD4078" s="13"/>
      <c r="AE4078" s="13"/>
      <c r="AF4078" s="13"/>
    </row>
    <row r="4079" spans="19:32" x14ac:dyDescent="0.35">
      <c r="S4079" s="36">
        <v>4075</v>
      </c>
      <c r="T4079" s="36" t="s">
        <v>4284</v>
      </c>
      <c r="U4079" s="36" t="s">
        <v>4361</v>
      </c>
      <c r="V4079" s="37">
        <v>9.202</v>
      </c>
      <c r="W4079" s="13"/>
      <c r="X4079" s="34">
        <v>4075</v>
      </c>
      <c r="Y4079" s="34" t="s">
        <v>2248</v>
      </c>
      <c r="Z4079" s="34" t="s">
        <v>2621</v>
      </c>
      <c r="AA4079" s="35">
        <v>4.3528225806451615E-4</v>
      </c>
      <c r="AB4079" s="13"/>
      <c r="AC4079" s="13"/>
      <c r="AD4079" s="13"/>
      <c r="AE4079" s="13"/>
      <c r="AF4079" s="13"/>
    </row>
    <row r="4080" spans="19:32" x14ac:dyDescent="0.35">
      <c r="S4080" s="34">
        <v>4076</v>
      </c>
      <c r="T4080" s="34" t="s">
        <v>4284</v>
      </c>
      <c r="U4080" s="34" t="s">
        <v>3791</v>
      </c>
      <c r="V4080" s="35">
        <v>1.0213709677419355E-5</v>
      </c>
      <c r="W4080" s="13"/>
      <c r="X4080" s="34">
        <v>4076</v>
      </c>
      <c r="Y4080" s="34" t="s">
        <v>2248</v>
      </c>
      <c r="Z4080" s="34" t="s">
        <v>4275</v>
      </c>
      <c r="AA4080" s="35">
        <v>5.381048387096775E-3</v>
      </c>
      <c r="AB4080" s="13"/>
      <c r="AC4080" s="13"/>
      <c r="AD4080" s="13"/>
      <c r="AE4080" s="13"/>
      <c r="AF4080" s="13"/>
    </row>
    <row r="4081" spans="19:32" x14ac:dyDescent="0.35">
      <c r="S4081" s="36">
        <v>4077</v>
      </c>
      <c r="T4081" s="36" t="s">
        <v>4284</v>
      </c>
      <c r="U4081" s="36" t="s">
        <v>4360</v>
      </c>
      <c r="V4081" s="37">
        <v>8.1854999999999993</v>
      </c>
      <c r="W4081" s="13"/>
      <c r="X4081" s="47">
        <v>4077</v>
      </c>
      <c r="Y4081" s="47" t="s">
        <v>2248</v>
      </c>
      <c r="Z4081" s="47" t="s">
        <v>3198</v>
      </c>
      <c r="AA4081" s="56">
        <v>4.1814516129032265E-3</v>
      </c>
      <c r="AB4081" s="13"/>
      <c r="AC4081" s="13"/>
      <c r="AD4081" s="13"/>
      <c r="AE4081" s="13"/>
      <c r="AF4081" s="13"/>
    </row>
    <row r="4082" spans="19:32" x14ac:dyDescent="0.35">
      <c r="S4082" s="47">
        <v>4078</v>
      </c>
      <c r="T4082" s="47" t="s">
        <v>4284</v>
      </c>
      <c r="U4082" s="47" t="s">
        <v>2313</v>
      </c>
      <c r="V4082" s="56">
        <v>5.6487999999999996</v>
      </c>
      <c r="W4082" s="13"/>
      <c r="X4082" s="47">
        <v>4078</v>
      </c>
      <c r="Y4082" s="47" t="s">
        <v>2248</v>
      </c>
      <c r="Z4082" s="47" t="s">
        <v>2620</v>
      </c>
      <c r="AA4082" s="56">
        <v>0</v>
      </c>
      <c r="AB4082" s="13"/>
      <c r="AC4082" s="13"/>
      <c r="AD4082" s="13"/>
      <c r="AE4082" s="13"/>
      <c r="AF4082" s="13"/>
    </row>
    <row r="4083" spans="19:32" x14ac:dyDescent="0.35">
      <c r="S4083" s="47">
        <v>4079</v>
      </c>
      <c r="T4083" s="47" t="s">
        <v>4284</v>
      </c>
      <c r="U4083" s="47" t="s">
        <v>2312</v>
      </c>
      <c r="V4083" s="56">
        <v>0.26220000000000004</v>
      </c>
      <c r="W4083" s="13"/>
      <c r="X4083" s="34">
        <v>4079</v>
      </c>
      <c r="Y4083" s="34" t="s">
        <v>2248</v>
      </c>
      <c r="Z4083" s="34" t="s">
        <v>4273</v>
      </c>
      <c r="AA4083" s="35">
        <v>5.6552419354838713E-5</v>
      </c>
      <c r="AB4083" s="13"/>
      <c r="AC4083" s="13"/>
      <c r="AD4083" s="13"/>
      <c r="AE4083" s="13"/>
      <c r="AF4083" s="13"/>
    </row>
    <row r="4084" spans="19:32" x14ac:dyDescent="0.35">
      <c r="S4084" s="47">
        <v>4080</v>
      </c>
      <c r="T4084" s="47" t="s">
        <v>4284</v>
      </c>
      <c r="U4084" s="47" t="s">
        <v>2310</v>
      </c>
      <c r="V4084" s="56">
        <v>9.6600000000000002E-3</v>
      </c>
      <c r="W4084" s="13"/>
      <c r="X4084" s="34">
        <v>4080</v>
      </c>
      <c r="Y4084" s="34" t="s">
        <v>2248</v>
      </c>
      <c r="Z4084" s="34" t="s">
        <v>2620</v>
      </c>
      <c r="AA4084" s="35">
        <v>2.3614919354838712E-3</v>
      </c>
      <c r="AB4084" s="13"/>
      <c r="AC4084" s="13"/>
      <c r="AD4084" s="13"/>
      <c r="AE4084" s="13"/>
      <c r="AF4084" s="13"/>
    </row>
    <row r="4085" spans="19:32" x14ac:dyDescent="0.35">
      <c r="S4085" s="47">
        <v>4081</v>
      </c>
      <c r="T4085" s="47" t="s">
        <v>4284</v>
      </c>
      <c r="U4085" s="47" t="s">
        <v>2308</v>
      </c>
      <c r="V4085" s="56">
        <v>0.19503999999999999</v>
      </c>
      <c r="W4085" s="13"/>
      <c r="X4085" s="34">
        <v>4081</v>
      </c>
      <c r="Y4085" s="34" t="s">
        <v>2248</v>
      </c>
      <c r="Z4085" s="34" t="s">
        <v>4359</v>
      </c>
      <c r="AA4085" s="35">
        <v>2.1935483870967745E-6</v>
      </c>
      <c r="AB4085" s="13"/>
      <c r="AC4085" s="13"/>
      <c r="AD4085" s="13"/>
      <c r="AE4085" s="13"/>
      <c r="AF4085" s="13"/>
    </row>
    <row r="4086" spans="19:32" x14ac:dyDescent="0.35">
      <c r="S4086" s="47">
        <v>4082</v>
      </c>
      <c r="T4086" s="47" t="s">
        <v>4284</v>
      </c>
      <c r="U4086" s="47" t="s">
        <v>2307</v>
      </c>
      <c r="V4086" s="56">
        <v>9.2920000000000003E-2</v>
      </c>
      <c r="W4086" s="13"/>
      <c r="X4086" s="34">
        <v>4082</v>
      </c>
      <c r="Y4086" s="34" t="s">
        <v>2248</v>
      </c>
      <c r="Z4086" s="34" t="s">
        <v>4272</v>
      </c>
      <c r="AA4086" s="35">
        <v>3.2663306451612903E-3</v>
      </c>
      <c r="AB4086" s="13"/>
      <c r="AC4086" s="13"/>
      <c r="AD4086" s="13"/>
      <c r="AE4086" s="13"/>
      <c r="AF4086" s="13"/>
    </row>
    <row r="4087" spans="19:32" x14ac:dyDescent="0.35">
      <c r="S4087" s="34">
        <v>4083</v>
      </c>
      <c r="T4087" s="34" t="s">
        <v>4284</v>
      </c>
      <c r="U4087" s="34" t="s">
        <v>3782</v>
      </c>
      <c r="V4087" s="35">
        <v>0.14326612903225808</v>
      </c>
      <c r="W4087" s="13"/>
      <c r="X4087" s="34">
        <v>4083</v>
      </c>
      <c r="Y4087" s="34" t="s">
        <v>2248</v>
      </c>
      <c r="Z4087" s="34" t="s">
        <v>4358</v>
      </c>
      <c r="AA4087" s="35">
        <v>4.3870967741935489E-4</v>
      </c>
      <c r="AB4087" s="13"/>
      <c r="AC4087" s="13"/>
      <c r="AD4087" s="13"/>
      <c r="AE4087" s="13"/>
      <c r="AF4087" s="13"/>
    </row>
    <row r="4088" spans="19:32" x14ac:dyDescent="0.35">
      <c r="S4088" s="34">
        <v>4084</v>
      </c>
      <c r="T4088" s="34" t="s">
        <v>4284</v>
      </c>
      <c r="U4088" s="34" t="s">
        <v>2305</v>
      </c>
      <c r="V4088" s="35">
        <v>0.74032258064516132</v>
      </c>
      <c r="W4088" s="13"/>
      <c r="X4088" s="47">
        <v>4084</v>
      </c>
      <c r="Y4088" s="47" t="s">
        <v>2248</v>
      </c>
      <c r="Z4088" s="47" t="s">
        <v>2618</v>
      </c>
      <c r="AA4088" s="56">
        <v>0</v>
      </c>
      <c r="AB4088" s="13"/>
      <c r="AC4088" s="13"/>
      <c r="AD4088" s="13"/>
      <c r="AE4088" s="13"/>
      <c r="AF4088" s="13"/>
    </row>
    <row r="4089" spans="19:32" x14ac:dyDescent="0.35">
      <c r="S4089" s="47">
        <v>4085</v>
      </c>
      <c r="T4089" s="47" t="s">
        <v>4284</v>
      </c>
      <c r="U4089" s="47" t="s">
        <v>2305</v>
      </c>
      <c r="V4089" s="56">
        <v>517.04</v>
      </c>
      <c r="W4089" s="13"/>
      <c r="X4089" s="34">
        <v>4085</v>
      </c>
      <c r="Y4089" s="34" t="s">
        <v>2248</v>
      </c>
      <c r="Z4089" s="34" t="s">
        <v>4270</v>
      </c>
      <c r="AA4089" s="35">
        <v>5.8608870967741941E-3</v>
      </c>
      <c r="AB4089" s="13"/>
      <c r="AC4089" s="13"/>
      <c r="AD4089" s="13"/>
      <c r="AE4089" s="13"/>
      <c r="AF4089" s="13"/>
    </row>
    <row r="4090" spans="19:32" x14ac:dyDescent="0.35">
      <c r="S4090" s="34">
        <v>4086</v>
      </c>
      <c r="T4090" s="34" t="s">
        <v>4284</v>
      </c>
      <c r="U4090" s="34" t="s">
        <v>3778</v>
      </c>
      <c r="V4090" s="35">
        <v>2.7899193548387098</v>
      </c>
      <c r="W4090" s="13"/>
      <c r="X4090" s="34">
        <v>4086</v>
      </c>
      <c r="Y4090" s="34" t="s">
        <v>2248</v>
      </c>
      <c r="Z4090" s="34" t="s">
        <v>4357</v>
      </c>
      <c r="AA4090" s="35">
        <v>4.6612903225806454E-2</v>
      </c>
      <c r="AB4090" s="13"/>
      <c r="AC4090" s="13"/>
      <c r="AD4090" s="13"/>
      <c r="AE4090" s="13"/>
      <c r="AF4090" s="13"/>
    </row>
    <row r="4091" spans="19:32" x14ac:dyDescent="0.35">
      <c r="S4091" s="34">
        <v>4087</v>
      </c>
      <c r="T4091" s="34" t="s">
        <v>4284</v>
      </c>
      <c r="U4091" s="34" t="s">
        <v>3775</v>
      </c>
      <c r="V4091" s="35">
        <v>8.191532258064517E-2</v>
      </c>
      <c r="W4091" s="13"/>
      <c r="X4091" s="47">
        <v>4087</v>
      </c>
      <c r="Y4091" s="47" t="s">
        <v>2248</v>
      </c>
      <c r="Z4091" s="47" t="s">
        <v>4356</v>
      </c>
      <c r="AA4091" s="56">
        <v>1.2784274193548388E-5</v>
      </c>
      <c r="AB4091" s="13"/>
      <c r="AC4091" s="13"/>
      <c r="AD4091" s="13"/>
      <c r="AE4091" s="13"/>
      <c r="AF4091" s="13"/>
    </row>
    <row r="4092" spans="19:32" x14ac:dyDescent="0.35">
      <c r="S4092" s="34">
        <v>4088</v>
      </c>
      <c r="T4092" s="34" t="s">
        <v>4284</v>
      </c>
      <c r="U4092" s="34" t="s">
        <v>3774</v>
      </c>
      <c r="V4092" s="35">
        <v>0.35987903225806456</v>
      </c>
      <c r="W4092" s="13"/>
      <c r="X4092" s="34">
        <v>4088</v>
      </c>
      <c r="Y4092" s="34" t="s">
        <v>2248</v>
      </c>
      <c r="Z4092" s="34" t="s">
        <v>4269</v>
      </c>
      <c r="AA4092" s="35">
        <v>2.8036290322580645E-3</v>
      </c>
      <c r="AB4092" s="13"/>
      <c r="AC4092" s="13"/>
      <c r="AD4092" s="13"/>
      <c r="AE4092" s="13"/>
      <c r="AF4092" s="13"/>
    </row>
    <row r="4093" spans="19:32" x14ac:dyDescent="0.35">
      <c r="S4093" s="30">
        <v>4089</v>
      </c>
      <c r="T4093" s="30" t="s">
        <v>4284</v>
      </c>
      <c r="U4093" s="30" t="s">
        <v>4355</v>
      </c>
      <c r="V4093" s="31">
        <v>0.11054800000000001</v>
      </c>
      <c r="W4093" s="13"/>
      <c r="X4093" s="34">
        <v>4089</v>
      </c>
      <c r="Y4093" s="34" t="s">
        <v>2248</v>
      </c>
      <c r="Z4093" s="34" t="s">
        <v>4354</v>
      </c>
      <c r="AA4093" s="35">
        <v>2.4334677419354842E-2</v>
      </c>
      <c r="AB4093" s="13"/>
      <c r="AC4093" s="13"/>
      <c r="AD4093" s="13"/>
      <c r="AE4093" s="13"/>
      <c r="AF4093" s="13"/>
    </row>
    <row r="4094" spans="19:32" x14ac:dyDescent="0.35">
      <c r="S4094" s="47">
        <v>4090</v>
      </c>
      <c r="T4094" s="47" t="s">
        <v>4284</v>
      </c>
      <c r="U4094" s="47" t="s">
        <v>2304</v>
      </c>
      <c r="V4094" s="56">
        <v>0</v>
      </c>
      <c r="W4094" s="13"/>
      <c r="X4094" s="34">
        <v>4090</v>
      </c>
      <c r="Y4094" s="34" t="s">
        <v>2248</v>
      </c>
      <c r="Z4094" s="34" t="s">
        <v>4268</v>
      </c>
      <c r="AA4094" s="35">
        <v>7.9516129032258076E-2</v>
      </c>
      <c r="AB4094" s="13"/>
      <c r="AC4094" s="13"/>
      <c r="AD4094" s="13"/>
      <c r="AE4094" s="13"/>
      <c r="AF4094" s="13"/>
    </row>
    <row r="4095" spans="19:32" x14ac:dyDescent="0.35">
      <c r="S4095" s="47">
        <v>4091</v>
      </c>
      <c r="T4095" s="47" t="s">
        <v>4284</v>
      </c>
      <c r="U4095" s="47" t="s">
        <v>2302</v>
      </c>
      <c r="V4095" s="56">
        <v>0.83352000000000004</v>
      </c>
      <c r="W4095" s="13"/>
      <c r="X4095" s="47">
        <v>4091</v>
      </c>
      <c r="Y4095" s="47" t="s">
        <v>2248</v>
      </c>
      <c r="Z4095" s="47" t="s">
        <v>2617</v>
      </c>
      <c r="AA4095" s="56">
        <v>6.2744000000000008E-2</v>
      </c>
      <c r="AB4095" s="13"/>
      <c r="AC4095" s="13"/>
      <c r="AD4095" s="13"/>
      <c r="AE4095" s="13"/>
      <c r="AF4095" s="13"/>
    </row>
    <row r="4096" spans="19:32" x14ac:dyDescent="0.35">
      <c r="S4096" s="34">
        <v>4092</v>
      </c>
      <c r="T4096" s="34" t="s">
        <v>4284</v>
      </c>
      <c r="U4096" s="34" t="s">
        <v>3768</v>
      </c>
      <c r="V4096" s="35">
        <v>1.4018145161290323E-6</v>
      </c>
      <c r="W4096" s="13"/>
      <c r="X4096" s="34">
        <v>4092</v>
      </c>
      <c r="Y4096" s="34" t="s">
        <v>2248</v>
      </c>
      <c r="Z4096" s="34" t="s">
        <v>4353</v>
      </c>
      <c r="AA4096" s="35">
        <v>5.6895161290322579E-5</v>
      </c>
      <c r="AB4096" s="13"/>
      <c r="AC4096" s="13"/>
      <c r="AD4096" s="13"/>
      <c r="AE4096" s="13"/>
      <c r="AF4096" s="13"/>
    </row>
    <row r="4097" spans="19:32" x14ac:dyDescent="0.35">
      <c r="S4097" s="47">
        <v>4093</v>
      </c>
      <c r="T4097" s="47" t="s">
        <v>4284</v>
      </c>
      <c r="U4097" s="47" t="s">
        <v>2301</v>
      </c>
      <c r="V4097" s="56">
        <v>0</v>
      </c>
      <c r="W4097" s="13"/>
      <c r="X4097" s="34">
        <v>4093</v>
      </c>
      <c r="Y4097" s="34" t="s">
        <v>2248</v>
      </c>
      <c r="Z4097" s="34" t="s">
        <v>2617</v>
      </c>
      <c r="AA4097" s="35">
        <v>2.5328629032258066E-2</v>
      </c>
      <c r="AB4097" s="13"/>
      <c r="AC4097" s="13"/>
      <c r="AD4097" s="13"/>
      <c r="AE4097" s="13"/>
      <c r="AF4097" s="13"/>
    </row>
    <row r="4098" spans="19:32" x14ac:dyDescent="0.35">
      <c r="S4098" s="34">
        <v>4094</v>
      </c>
      <c r="T4098" s="34" t="s">
        <v>4284</v>
      </c>
      <c r="U4098" s="34" t="s">
        <v>3766</v>
      </c>
      <c r="V4098" s="35">
        <v>6.5463709677419366E-2</v>
      </c>
      <c r="W4098" s="13"/>
      <c r="X4098" s="34">
        <v>4094</v>
      </c>
      <c r="Y4098" s="34" t="s">
        <v>2248</v>
      </c>
      <c r="Z4098" s="34" t="s">
        <v>4266</v>
      </c>
      <c r="AA4098" s="35">
        <v>3.1018145161290325E-2</v>
      </c>
      <c r="AB4098" s="13"/>
      <c r="AC4098" s="13"/>
      <c r="AD4098" s="13"/>
      <c r="AE4098" s="13"/>
      <c r="AF4098" s="13"/>
    </row>
    <row r="4099" spans="19:32" x14ac:dyDescent="0.35">
      <c r="S4099" s="34">
        <v>4095</v>
      </c>
      <c r="T4099" s="34" t="s">
        <v>4284</v>
      </c>
      <c r="U4099" s="34" t="s">
        <v>3764</v>
      </c>
      <c r="V4099" s="35">
        <v>0.30709677419354842</v>
      </c>
      <c r="W4099" s="13"/>
      <c r="X4099" s="34">
        <v>4095</v>
      </c>
      <c r="Y4099" s="34" t="s">
        <v>2248</v>
      </c>
      <c r="Z4099" s="34" t="s">
        <v>4352</v>
      </c>
      <c r="AA4099" s="35">
        <v>8.4657258064516131E-16</v>
      </c>
      <c r="AB4099" s="13"/>
      <c r="AC4099" s="13"/>
      <c r="AD4099" s="13"/>
      <c r="AE4099" s="13"/>
      <c r="AF4099" s="13"/>
    </row>
    <row r="4100" spans="19:32" x14ac:dyDescent="0.35">
      <c r="S4100" s="34">
        <v>4096</v>
      </c>
      <c r="T4100" s="34" t="s">
        <v>4284</v>
      </c>
      <c r="U4100" s="34" t="s">
        <v>3762</v>
      </c>
      <c r="V4100" s="35">
        <v>2.7350806451612909E-4</v>
      </c>
      <c r="W4100" s="13"/>
      <c r="X4100" s="47">
        <v>4096</v>
      </c>
      <c r="Y4100" s="47" t="s">
        <v>2248</v>
      </c>
      <c r="Z4100" s="47" t="s">
        <v>4351</v>
      </c>
      <c r="AA4100" s="56">
        <v>5.0040322580645161E-5</v>
      </c>
      <c r="AB4100" s="13"/>
      <c r="AC4100" s="13"/>
      <c r="AD4100" s="13"/>
      <c r="AE4100" s="13"/>
      <c r="AF4100" s="13"/>
    </row>
    <row r="4101" spans="19:32" x14ac:dyDescent="0.35">
      <c r="S4101" s="34">
        <v>4097</v>
      </c>
      <c r="T4101" s="34" t="s">
        <v>4284</v>
      </c>
      <c r="U4101" s="34" t="s">
        <v>3759</v>
      </c>
      <c r="V4101" s="35">
        <v>1.5354838709677422E-4</v>
      </c>
      <c r="W4101" s="13"/>
      <c r="X4101" s="34">
        <v>4097</v>
      </c>
      <c r="Y4101" s="34" t="s">
        <v>2248</v>
      </c>
      <c r="Z4101" s="34" t="s">
        <v>4265</v>
      </c>
      <c r="AA4101" s="35">
        <v>3.1840725806451616E-5</v>
      </c>
      <c r="AB4101" s="13"/>
      <c r="AC4101" s="13"/>
      <c r="AD4101" s="13"/>
      <c r="AE4101" s="13"/>
      <c r="AF4101" s="13"/>
    </row>
    <row r="4102" spans="19:32" x14ac:dyDescent="0.35">
      <c r="S4102" s="34">
        <v>4098</v>
      </c>
      <c r="T4102" s="34" t="s">
        <v>4284</v>
      </c>
      <c r="U4102" s="34" t="s">
        <v>3758</v>
      </c>
      <c r="V4102" s="35">
        <v>4.4899193548387098E-3</v>
      </c>
      <c r="W4102" s="13"/>
      <c r="X4102" s="47">
        <v>4098</v>
      </c>
      <c r="Y4102" s="47" t="s">
        <v>2248</v>
      </c>
      <c r="Z4102" s="47" t="s">
        <v>2615</v>
      </c>
      <c r="AA4102" s="56">
        <v>0.17296</v>
      </c>
      <c r="AB4102" s="13"/>
      <c r="AC4102" s="13"/>
      <c r="AD4102" s="13"/>
      <c r="AE4102" s="13"/>
      <c r="AF4102" s="13"/>
    </row>
    <row r="4103" spans="19:32" x14ac:dyDescent="0.35">
      <c r="S4103" s="34">
        <v>4099</v>
      </c>
      <c r="T4103" s="34" t="s">
        <v>4284</v>
      </c>
      <c r="U4103" s="34" t="s">
        <v>3755</v>
      </c>
      <c r="V4103" s="35">
        <v>8.054435483870968E-3</v>
      </c>
      <c r="W4103" s="13"/>
      <c r="X4103" s="34">
        <v>4099</v>
      </c>
      <c r="Y4103" s="34" t="s">
        <v>2248</v>
      </c>
      <c r="Z4103" s="34" t="s">
        <v>4261</v>
      </c>
      <c r="AA4103" s="35">
        <v>1.785685483870968E-3</v>
      </c>
      <c r="AB4103" s="13"/>
      <c r="AC4103" s="13"/>
      <c r="AD4103" s="13"/>
      <c r="AE4103" s="13"/>
      <c r="AF4103" s="13"/>
    </row>
    <row r="4104" spans="19:32" x14ac:dyDescent="0.35">
      <c r="S4104" s="34">
        <v>4100</v>
      </c>
      <c r="T4104" s="34" t="s">
        <v>4284</v>
      </c>
      <c r="U4104" s="34" t="s">
        <v>3753</v>
      </c>
      <c r="V4104" s="35">
        <v>2.4437500000000002E-3</v>
      </c>
      <c r="W4104" s="13"/>
      <c r="X4104" s="47">
        <v>4100</v>
      </c>
      <c r="Y4104" s="47" t="s">
        <v>2248</v>
      </c>
      <c r="Z4104" s="47" t="s">
        <v>2613</v>
      </c>
      <c r="AA4104" s="56">
        <v>0</v>
      </c>
      <c r="AB4104" s="13"/>
      <c r="AC4104" s="13"/>
      <c r="AD4104" s="13"/>
      <c r="AE4104" s="13"/>
      <c r="AF4104" s="13"/>
    </row>
    <row r="4105" spans="19:32" x14ac:dyDescent="0.35">
      <c r="S4105" s="47">
        <v>4101</v>
      </c>
      <c r="T4105" s="47" t="s">
        <v>4284</v>
      </c>
      <c r="U4105" s="47" t="s">
        <v>2299</v>
      </c>
      <c r="V4105" s="56">
        <v>4636.8</v>
      </c>
      <c r="W4105" s="13"/>
      <c r="X4105" s="34">
        <v>4101</v>
      </c>
      <c r="Y4105" s="34" t="s">
        <v>2248</v>
      </c>
      <c r="Z4105" s="34" t="s">
        <v>2613</v>
      </c>
      <c r="AA4105" s="35">
        <v>2.4471774193548387E-2</v>
      </c>
      <c r="AB4105" s="13"/>
      <c r="AC4105" s="13"/>
      <c r="AD4105" s="13"/>
      <c r="AE4105" s="13"/>
      <c r="AF4105" s="13"/>
    </row>
    <row r="4106" spans="19:32" x14ac:dyDescent="0.35">
      <c r="S4106" s="34">
        <v>4102</v>
      </c>
      <c r="T4106" s="34" t="s">
        <v>4284</v>
      </c>
      <c r="U4106" s="34" t="s">
        <v>3751</v>
      </c>
      <c r="V4106" s="35">
        <v>3.7358870967741938E-2</v>
      </c>
      <c r="W4106" s="13"/>
      <c r="X4106" s="47">
        <v>4102</v>
      </c>
      <c r="Y4106" s="47" t="s">
        <v>2248</v>
      </c>
      <c r="Z4106" s="47" t="s">
        <v>4350</v>
      </c>
      <c r="AA4106" s="56">
        <v>1.405241935483871E-5</v>
      </c>
      <c r="AB4106" s="13"/>
      <c r="AC4106" s="13"/>
      <c r="AD4106" s="13"/>
      <c r="AE4106" s="13"/>
      <c r="AF4106" s="13"/>
    </row>
    <row r="4107" spans="19:32" x14ac:dyDescent="0.35">
      <c r="S4107" s="47">
        <v>4103</v>
      </c>
      <c r="T4107" s="47" t="s">
        <v>4284</v>
      </c>
      <c r="U4107" s="47" t="s">
        <v>2298</v>
      </c>
      <c r="V4107" s="56">
        <v>77.096000000000004</v>
      </c>
      <c r="W4107" s="13"/>
      <c r="X4107" s="34">
        <v>4103</v>
      </c>
      <c r="Y4107" s="34" t="s">
        <v>2248</v>
      </c>
      <c r="Z4107" s="34" t="s">
        <v>2581</v>
      </c>
      <c r="AA4107" s="35">
        <v>3.1052419354838713E-4</v>
      </c>
      <c r="AB4107" s="13"/>
      <c r="AC4107" s="13"/>
      <c r="AD4107" s="13"/>
      <c r="AE4107" s="13"/>
      <c r="AF4107" s="13"/>
    </row>
    <row r="4108" spans="19:32" x14ac:dyDescent="0.35">
      <c r="S4108" s="34">
        <v>4104</v>
      </c>
      <c r="T4108" s="34" t="s">
        <v>4284</v>
      </c>
      <c r="U4108" s="34" t="s">
        <v>3747</v>
      </c>
      <c r="V4108" s="35">
        <v>4.4213709677419361E-2</v>
      </c>
      <c r="W4108" s="13"/>
      <c r="X4108" s="34">
        <v>4104</v>
      </c>
      <c r="Y4108" s="34" t="s">
        <v>2248</v>
      </c>
      <c r="Z4108" s="34" t="s">
        <v>4349</v>
      </c>
      <c r="AA4108" s="35">
        <v>8.8427419354838721E-2</v>
      </c>
      <c r="AB4108" s="13"/>
      <c r="AC4108" s="13"/>
      <c r="AD4108" s="13"/>
      <c r="AE4108" s="13"/>
      <c r="AF4108" s="13"/>
    </row>
    <row r="4109" spans="19:32" x14ac:dyDescent="0.35">
      <c r="S4109" s="34">
        <v>4105</v>
      </c>
      <c r="T4109" s="34" t="s">
        <v>4284</v>
      </c>
      <c r="U4109" s="34" t="s">
        <v>3745</v>
      </c>
      <c r="V4109" s="35">
        <v>1.1858870967741937E-3</v>
      </c>
      <c r="W4109" s="13"/>
      <c r="X4109" s="34">
        <v>4105</v>
      </c>
      <c r="Y4109" s="34" t="s">
        <v>2248</v>
      </c>
      <c r="Z4109" s="34" t="s">
        <v>4259</v>
      </c>
      <c r="AA4109" s="35">
        <v>7.4717741935483874E-4</v>
      </c>
      <c r="AB4109" s="13"/>
      <c r="AC4109" s="13"/>
      <c r="AD4109" s="13"/>
      <c r="AE4109" s="13"/>
      <c r="AF4109" s="13"/>
    </row>
    <row r="4110" spans="19:32" x14ac:dyDescent="0.35">
      <c r="S4110" s="34">
        <v>4106</v>
      </c>
      <c r="T4110" s="34" t="s">
        <v>4284</v>
      </c>
      <c r="U4110" s="34" t="s">
        <v>3743</v>
      </c>
      <c r="V4110" s="35">
        <v>1.0864919354838711E-2</v>
      </c>
      <c r="W4110" s="13"/>
      <c r="X4110" s="34">
        <v>4106</v>
      </c>
      <c r="Y4110" s="34" t="s">
        <v>2248</v>
      </c>
      <c r="Z4110" s="34" t="s">
        <v>4348</v>
      </c>
      <c r="AA4110" s="35">
        <v>1.9879032258064518E-4</v>
      </c>
      <c r="AB4110" s="13"/>
      <c r="AC4110" s="13"/>
      <c r="AD4110" s="13"/>
      <c r="AE4110" s="13"/>
      <c r="AF4110" s="13"/>
    </row>
    <row r="4111" spans="19:32" x14ac:dyDescent="0.35">
      <c r="S4111" s="34">
        <v>4107</v>
      </c>
      <c r="T4111" s="34" t="s">
        <v>4284</v>
      </c>
      <c r="U4111" s="34" t="s">
        <v>3741</v>
      </c>
      <c r="V4111" s="35">
        <v>6.9233870967741945E-2</v>
      </c>
      <c r="W4111" s="13"/>
      <c r="X4111" s="47">
        <v>4107</v>
      </c>
      <c r="Y4111" s="47" t="s">
        <v>2248</v>
      </c>
      <c r="Z4111" s="47" t="s">
        <v>4347</v>
      </c>
      <c r="AA4111" s="56">
        <v>0.83971774193548399</v>
      </c>
      <c r="AB4111" s="13"/>
      <c r="AC4111" s="13"/>
      <c r="AD4111" s="13"/>
      <c r="AE4111" s="13"/>
      <c r="AF4111" s="13"/>
    </row>
    <row r="4112" spans="19:32" x14ac:dyDescent="0.35">
      <c r="S4112" s="34">
        <v>4108</v>
      </c>
      <c r="T4112" s="34" t="s">
        <v>4284</v>
      </c>
      <c r="U4112" s="34" t="s">
        <v>3739</v>
      </c>
      <c r="V4112" s="35">
        <v>8.2943548387096784E-3</v>
      </c>
      <c r="W4112" s="13"/>
      <c r="X4112" s="34">
        <v>4108</v>
      </c>
      <c r="Y4112" s="34" t="s">
        <v>2248</v>
      </c>
      <c r="Z4112" s="34" t="s">
        <v>4258</v>
      </c>
      <c r="AA4112" s="35">
        <v>1.1961693548387098E-3</v>
      </c>
      <c r="AB4112" s="13"/>
      <c r="AC4112" s="13"/>
      <c r="AD4112" s="13"/>
      <c r="AE4112" s="13"/>
      <c r="AF4112" s="13"/>
    </row>
    <row r="4113" spans="19:32" x14ac:dyDescent="0.35">
      <c r="S4113" s="34">
        <v>4109</v>
      </c>
      <c r="T4113" s="34" t="s">
        <v>4284</v>
      </c>
      <c r="U4113" s="34" t="s">
        <v>3737</v>
      </c>
      <c r="V4113" s="35">
        <v>8.5000000000000006E-3</v>
      </c>
      <c r="W4113" s="13"/>
      <c r="X4113" s="47">
        <v>4109</v>
      </c>
      <c r="Y4113" s="47" t="s">
        <v>2248</v>
      </c>
      <c r="Z4113" s="47" t="s">
        <v>2612</v>
      </c>
      <c r="AA4113" s="56">
        <v>0</v>
      </c>
      <c r="AB4113" s="13"/>
      <c r="AC4113" s="13"/>
      <c r="AD4113" s="13"/>
      <c r="AE4113" s="13"/>
      <c r="AF4113" s="13"/>
    </row>
    <row r="4114" spans="19:32" x14ac:dyDescent="0.35">
      <c r="S4114" s="34">
        <v>4110</v>
      </c>
      <c r="T4114" s="34" t="s">
        <v>4284</v>
      </c>
      <c r="U4114" s="34" t="s">
        <v>2296</v>
      </c>
      <c r="V4114" s="35">
        <v>1.902217741935484E-4</v>
      </c>
      <c r="W4114" s="13"/>
      <c r="X4114" s="34">
        <v>4110</v>
      </c>
      <c r="Y4114" s="34" t="s">
        <v>2248</v>
      </c>
      <c r="Z4114" s="34" t="s">
        <v>2612</v>
      </c>
      <c r="AA4114" s="35">
        <v>2.4300403225806455E-2</v>
      </c>
      <c r="AB4114" s="13"/>
      <c r="AC4114" s="13"/>
      <c r="AD4114" s="13"/>
      <c r="AE4114" s="13"/>
      <c r="AF4114" s="13"/>
    </row>
    <row r="4115" spans="19:32" x14ac:dyDescent="0.35">
      <c r="S4115" s="47">
        <v>4111</v>
      </c>
      <c r="T4115" s="47" t="s">
        <v>4284</v>
      </c>
      <c r="U4115" s="47" t="s">
        <v>2296</v>
      </c>
      <c r="V4115" s="56">
        <v>0.15364</v>
      </c>
      <c r="W4115" s="13"/>
      <c r="X4115" s="34">
        <v>4111</v>
      </c>
      <c r="Y4115" s="34" t="s">
        <v>2248</v>
      </c>
      <c r="Z4115" s="34" t="s">
        <v>4257</v>
      </c>
      <c r="AA4115" s="35">
        <v>3.6673387096774197E-5</v>
      </c>
      <c r="AB4115" s="13"/>
      <c r="AC4115" s="13"/>
      <c r="AD4115" s="13"/>
      <c r="AE4115" s="13"/>
      <c r="AF4115" s="13"/>
    </row>
    <row r="4116" spans="19:32" x14ac:dyDescent="0.35">
      <c r="S4116" s="34">
        <v>4112</v>
      </c>
      <c r="T4116" s="34" t="s">
        <v>4284</v>
      </c>
      <c r="U4116" s="34" t="s">
        <v>3734</v>
      </c>
      <c r="V4116" s="35">
        <v>1.7616935483870968E-4</v>
      </c>
      <c r="W4116" s="13"/>
      <c r="X4116" s="47">
        <v>4112</v>
      </c>
      <c r="Y4116" s="47" t="s">
        <v>2248</v>
      </c>
      <c r="Z4116" s="47" t="s">
        <v>4346</v>
      </c>
      <c r="AA4116" s="56">
        <v>2.6905241935483874E-2</v>
      </c>
      <c r="AB4116" s="13"/>
      <c r="AC4116" s="13"/>
      <c r="AD4116" s="13"/>
      <c r="AE4116" s="13"/>
      <c r="AF4116" s="13"/>
    </row>
    <row r="4117" spans="19:32" x14ac:dyDescent="0.35">
      <c r="S4117" s="34">
        <v>4113</v>
      </c>
      <c r="T4117" s="34" t="s">
        <v>4284</v>
      </c>
      <c r="U4117" s="34" t="s">
        <v>3732</v>
      </c>
      <c r="V4117" s="35">
        <v>6.580645161290323</v>
      </c>
      <c r="W4117" s="13"/>
      <c r="X4117" s="34">
        <v>4113</v>
      </c>
      <c r="Y4117" s="34" t="s">
        <v>2248</v>
      </c>
      <c r="Z4117" s="34" t="s">
        <v>4345</v>
      </c>
      <c r="AA4117" s="35">
        <v>1.028225806451613E-3</v>
      </c>
      <c r="AB4117" s="13"/>
      <c r="AC4117" s="13"/>
      <c r="AD4117" s="13"/>
      <c r="AE4117" s="13"/>
      <c r="AF4117" s="13"/>
    </row>
    <row r="4118" spans="19:32" x14ac:dyDescent="0.35">
      <c r="S4118" s="34">
        <v>4114</v>
      </c>
      <c r="T4118" s="34" t="s">
        <v>4284</v>
      </c>
      <c r="U4118" s="34" t="s">
        <v>3731</v>
      </c>
      <c r="V4118" s="35">
        <v>5.2439516129032266E-3</v>
      </c>
      <c r="W4118" s="13"/>
      <c r="X4118" s="34">
        <v>4114</v>
      </c>
      <c r="Y4118" s="34" t="s">
        <v>2248</v>
      </c>
      <c r="Z4118" s="34" t="s">
        <v>4255</v>
      </c>
      <c r="AA4118" s="35">
        <v>7.7802419354838713E-9</v>
      </c>
      <c r="AB4118" s="13"/>
      <c r="AC4118" s="13"/>
      <c r="AD4118" s="13"/>
      <c r="AE4118" s="13"/>
      <c r="AF4118" s="13"/>
    </row>
    <row r="4119" spans="19:32" x14ac:dyDescent="0.35">
      <c r="S4119" s="34">
        <v>4115</v>
      </c>
      <c r="T4119" s="34" t="s">
        <v>4284</v>
      </c>
      <c r="U4119" s="34" t="s">
        <v>2294</v>
      </c>
      <c r="V4119" s="35">
        <v>0.42157258064516134</v>
      </c>
      <c r="W4119" s="13"/>
      <c r="X4119" s="47">
        <v>4115</v>
      </c>
      <c r="Y4119" s="47" t="s">
        <v>2248</v>
      </c>
      <c r="Z4119" s="47" t="s">
        <v>2610</v>
      </c>
      <c r="AA4119" s="56">
        <v>3.3212000000000003E-3</v>
      </c>
      <c r="AB4119" s="13"/>
      <c r="AC4119" s="13"/>
      <c r="AD4119" s="13"/>
      <c r="AE4119" s="13"/>
      <c r="AF4119" s="13"/>
    </row>
    <row r="4120" spans="19:32" x14ac:dyDescent="0.35">
      <c r="S4120" s="47">
        <v>4116</v>
      </c>
      <c r="T4120" s="47" t="s">
        <v>4284</v>
      </c>
      <c r="U4120" s="47" t="s">
        <v>2294</v>
      </c>
      <c r="V4120" s="56">
        <v>0</v>
      </c>
      <c r="W4120" s="13"/>
      <c r="X4120" s="34">
        <v>4116</v>
      </c>
      <c r="Y4120" s="34" t="s">
        <v>2248</v>
      </c>
      <c r="Z4120" s="34" t="s">
        <v>2610</v>
      </c>
      <c r="AA4120" s="35">
        <v>1.2338709677419356E-4</v>
      </c>
      <c r="AB4120" s="13"/>
      <c r="AC4120" s="13"/>
      <c r="AD4120" s="13"/>
      <c r="AE4120" s="13"/>
      <c r="AF4120" s="13"/>
    </row>
    <row r="4121" spans="19:32" x14ac:dyDescent="0.35">
      <c r="S4121" s="34">
        <v>4117</v>
      </c>
      <c r="T4121" s="34" t="s">
        <v>4284</v>
      </c>
      <c r="U4121" s="34" t="s">
        <v>3726</v>
      </c>
      <c r="V4121" s="35">
        <v>2.3923387096774196E-4</v>
      </c>
      <c r="W4121" s="13"/>
      <c r="X4121" s="34">
        <v>4117</v>
      </c>
      <c r="Y4121" s="34" t="s">
        <v>2248</v>
      </c>
      <c r="Z4121" s="34" t="s">
        <v>4254</v>
      </c>
      <c r="AA4121" s="35">
        <v>7.0947580645161295E-4</v>
      </c>
      <c r="AB4121" s="13"/>
      <c r="AC4121" s="13"/>
      <c r="AD4121" s="13"/>
      <c r="AE4121" s="13"/>
      <c r="AF4121" s="13"/>
    </row>
    <row r="4122" spans="19:32" x14ac:dyDescent="0.35">
      <c r="S4122" s="34">
        <v>4118</v>
      </c>
      <c r="T4122" s="34" t="s">
        <v>4284</v>
      </c>
      <c r="U4122" s="34" t="s">
        <v>2293</v>
      </c>
      <c r="V4122" s="35">
        <v>0.41129032258064518</v>
      </c>
      <c r="W4122" s="13"/>
      <c r="X4122" s="34">
        <v>4118</v>
      </c>
      <c r="Y4122" s="34" t="s">
        <v>2248</v>
      </c>
      <c r="Z4122" s="34" t="s">
        <v>4344</v>
      </c>
      <c r="AA4122" s="35">
        <v>2.0050403225806454E-3</v>
      </c>
      <c r="AB4122" s="13"/>
      <c r="AC4122" s="13"/>
      <c r="AD4122" s="13"/>
      <c r="AE4122" s="13"/>
      <c r="AF4122" s="13"/>
    </row>
    <row r="4123" spans="19:32" x14ac:dyDescent="0.35">
      <c r="S4123" s="47">
        <v>4119</v>
      </c>
      <c r="T4123" s="47" t="s">
        <v>4284</v>
      </c>
      <c r="U4123" s="47" t="s">
        <v>2293</v>
      </c>
      <c r="V4123" s="56">
        <v>0</v>
      </c>
      <c r="W4123" s="13"/>
      <c r="X4123" s="34">
        <v>4119</v>
      </c>
      <c r="Y4123" s="34" t="s">
        <v>2248</v>
      </c>
      <c r="Z4123" s="34" t="s">
        <v>4343</v>
      </c>
      <c r="AA4123" s="35">
        <v>1.0179435483870969E-3</v>
      </c>
      <c r="AB4123" s="13"/>
      <c r="AC4123" s="13"/>
      <c r="AD4123" s="13"/>
      <c r="AE4123" s="13"/>
      <c r="AF4123" s="13"/>
    </row>
    <row r="4124" spans="19:32" x14ac:dyDescent="0.35">
      <c r="S4124" s="34">
        <v>4120</v>
      </c>
      <c r="T4124" s="34" t="s">
        <v>4284</v>
      </c>
      <c r="U4124" s="34" t="s">
        <v>2291</v>
      </c>
      <c r="V4124" s="35">
        <v>1.9502016129032261E-4</v>
      </c>
      <c r="W4124" s="13"/>
      <c r="X4124" s="34">
        <v>4120</v>
      </c>
      <c r="Y4124" s="34" t="s">
        <v>2248</v>
      </c>
      <c r="Z4124" s="34" t="s">
        <v>2579</v>
      </c>
      <c r="AA4124" s="35">
        <v>1.4155241935483874E-6</v>
      </c>
      <c r="AB4124" s="13"/>
      <c r="AC4124" s="13"/>
      <c r="AD4124" s="13"/>
      <c r="AE4124" s="13"/>
      <c r="AF4124" s="13"/>
    </row>
    <row r="4125" spans="19:32" x14ac:dyDescent="0.35">
      <c r="S4125" s="47">
        <v>4121</v>
      </c>
      <c r="T4125" s="47" t="s">
        <v>4284</v>
      </c>
      <c r="U4125" s="47" t="s">
        <v>2291</v>
      </c>
      <c r="V4125" s="56">
        <v>0.25668000000000002</v>
      </c>
      <c r="W4125" s="13"/>
      <c r="X4125" s="34">
        <v>4121</v>
      </c>
      <c r="Y4125" s="34" t="s">
        <v>2248</v>
      </c>
      <c r="Z4125" s="34" t="s">
        <v>4342</v>
      </c>
      <c r="AA4125" s="35">
        <v>1.641733870967742E-3</v>
      </c>
      <c r="AB4125" s="13"/>
      <c r="AC4125" s="13"/>
      <c r="AD4125" s="13"/>
      <c r="AE4125" s="13"/>
      <c r="AF4125" s="13"/>
    </row>
    <row r="4126" spans="19:32" x14ac:dyDescent="0.35">
      <c r="S4126" s="34">
        <v>4122</v>
      </c>
      <c r="T4126" s="34" t="s">
        <v>4284</v>
      </c>
      <c r="U4126" s="34" t="s">
        <v>3720</v>
      </c>
      <c r="V4126" s="35">
        <v>1.0487903225806453E-4</v>
      </c>
      <c r="W4126" s="13"/>
      <c r="X4126" s="47">
        <v>4122</v>
      </c>
      <c r="Y4126" s="47" t="s">
        <v>2248</v>
      </c>
      <c r="Z4126" s="47" t="s">
        <v>4341</v>
      </c>
      <c r="AA4126" s="56">
        <v>2.6356854838709681E-3</v>
      </c>
      <c r="AB4126" s="13"/>
      <c r="AC4126" s="13"/>
      <c r="AD4126" s="13"/>
      <c r="AE4126" s="13"/>
      <c r="AF4126" s="13"/>
    </row>
    <row r="4127" spans="19:32" x14ac:dyDescent="0.35">
      <c r="S4127" s="34">
        <v>4123</v>
      </c>
      <c r="T4127" s="34" t="s">
        <v>4284</v>
      </c>
      <c r="U4127" s="34" t="s">
        <v>3717</v>
      </c>
      <c r="V4127" s="35">
        <v>1.1618951612903228E-4</v>
      </c>
      <c r="W4127" s="13"/>
      <c r="X4127" s="34">
        <v>4123</v>
      </c>
      <c r="Y4127" s="34" t="s">
        <v>2248</v>
      </c>
      <c r="Z4127" s="34" t="s">
        <v>4253</v>
      </c>
      <c r="AA4127" s="35">
        <v>4.0443548387096778E-7</v>
      </c>
      <c r="AB4127" s="13"/>
      <c r="AC4127" s="13"/>
      <c r="AD4127" s="13"/>
      <c r="AE4127" s="13"/>
      <c r="AF4127" s="13"/>
    </row>
    <row r="4128" spans="19:32" x14ac:dyDescent="0.35">
      <c r="S4128" s="34">
        <v>4124</v>
      </c>
      <c r="T4128" s="34" t="s">
        <v>4284</v>
      </c>
      <c r="U4128" s="34" t="s">
        <v>3715</v>
      </c>
      <c r="V4128" s="35">
        <v>2.1901209677419358E-2</v>
      </c>
      <c r="W4128" s="13"/>
      <c r="X4128" s="47">
        <v>4124</v>
      </c>
      <c r="Y4128" s="47" t="s">
        <v>2248</v>
      </c>
      <c r="Z4128" s="47" t="s">
        <v>2609</v>
      </c>
      <c r="AA4128" s="56">
        <v>2.1988000000000001E-2</v>
      </c>
      <c r="AB4128" s="13"/>
      <c r="AC4128" s="13"/>
      <c r="AD4128" s="13"/>
      <c r="AE4128" s="13"/>
      <c r="AF4128" s="13"/>
    </row>
    <row r="4129" spans="19:32" x14ac:dyDescent="0.35">
      <c r="S4129" s="34">
        <v>4125</v>
      </c>
      <c r="T4129" s="34" t="s">
        <v>4284</v>
      </c>
      <c r="U4129" s="34" t="s">
        <v>3713</v>
      </c>
      <c r="V4129" s="35">
        <v>5.9294354838709679E-2</v>
      </c>
      <c r="W4129" s="13"/>
      <c r="X4129" s="47">
        <v>4125</v>
      </c>
      <c r="Y4129" s="47" t="s">
        <v>2248</v>
      </c>
      <c r="Z4129" s="47" t="s">
        <v>2607</v>
      </c>
      <c r="AA4129" s="56">
        <v>0.18951999999999999</v>
      </c>
      <c r="AB4129" s="13"/>
      <c r="AC4129" s="13"/>
      <c r="AD4129" s="13"/>
      <c r="AE4129" s="13"/>
      <c r="AF4129" s="13"/>
    </row>
    <row r="4130" spans="19:32" x14ac:dyDescent="0.35">
      <c r="S4130" s="34">
        <v>4126</v>
      </c>
      <c r="T4130" s="34" t="s">
        <v>4284</v>
      </c>
      <c r="U4130" s="34" t="s">
        <v>3711</v>
      </c>
      <c r="V4130" s="35">
        <v>2.8858870967741939E-3</v>
      </c>
      <c r="W4130" s="13"/>
      <c r="X4130" s="34">
        <v>4126</v>
      </c>
      <c r="Y4130" s="34" t="s">
        <v>2248</v>
      </c>
      <c r="Z4130" s="34" t="s">
        <v>4252</v>
      </c>
      <c r="AA4130" s="35">
        <v>1.9913306451612903E-4</v>
      </c>
      <c r="AB4130" s="13"/>
      <c r="AC4130" s="13"/>
      <c r="AD4130" s="13"/>
      <c r="AE4130" s="13"/>
      <c r="AF4130" s="13"/>
    </row>
    <row r="4131" spans="19:32" x14ac:dyDescent="0.35">
      <c r="S4131" s="34">
        <v>4127</v>
      </c>
      <c r="T4131" s="34" t="s">
        <v>4284</v>
      </c>
      <c r="U4131" s="34" t="s">
        <v>3709</v>
      </c>
      <c r="V4131" s="35">
        <v>0.92197580645161292</v>
      </c>
      <c r="W4131" s="13"/>
      <c r="X4131" s="34">
        <v>4127</v>
      </c>
      <c r="Y4131" s="34" t="s">
        <v>2248</v>
      </c>
      <c r="Z4131" s="34" t="s">
        <v>4340</v>
      </c>
      <c r="AA4131" s="35">
        <v>1.6931451612903228E-2</v>
      </c>
      <c r="AB4131" s="13"/>
      <c r="AC4131" s="13"/>
      <c r="AD4131" s="13"/>
      <c r="AE4131" s="13"/>
      <c r="AF4131" s="13"/>
    </row>
    <row r="4132" spans="19:32" x14ac:dyDescent="0.35">
      <c r="S4132" s="34">
        <v>4128</v>
      </c>
      <c r="T4132" s="34" t="s">
        <v>4284</v>
      </c>
      <c r="U4132" s="34" t="s">
        <v>3707</v>
      </c>
      <c r="V4132" s="35">
        <v>1.1858870967741936E-2</v>
      </c>
      <c r="W4132" s="13"/>
      <c r="X4132" s="34">
        <v>4128</v>
      </c>
      <c r="Y4132" s="34" t="s">
        <v>2248</v>
      </c>
      <c r="Z4132" s="34" t="s">
        <v>4339</v>
      </c>
      <c r="AA4132" s="35">
        <v>6.3064516129032256E-4</v>
      </c>
      <c r="AB4132" s="13"/>
      <c r="AC4132" s="13"/>
      <c r="AD4132" s="13"/>
      <c r="AE4132" s="13"/>
      <c r="AF4132" s="13"/>
    </row>
    <row r="4133" spans="19:32" x14ac:dyDescent="0.35">
      <c r="S4133" s="34">
        <v>4129</v>
      </c>
      <c r="T4133" s="34" t="s">
        <v>4284</v>
      </c>
      <c r="U4133" s="34" t="s">
        <v>3705</v>
      </c>
      <c r="V4133" s="35">
        <v>7.7459677419354847E-3</v>
      </c>
      <c r="W4133" s="13"/>
      <c r="X4133" s="34">
        <v>4129</v>
      </c>
      <c r="Y4133" s="34" t="s">
        <v>2248</v>
      </c>
      <c r="Z4133" s="34" t="s">
        <v>4251</v>
      </c>
      <c r="AA4133" s="35">
        <v>1.8987903225806453E-8</v>
      </c>
      <c r="AB4133" s="13"/>
      <c r="AC4133" s="13"/>
      <c r="AD4133" s="13"/>
      <c r="AE4133" s="13"/>
      <c r="AF4133" s="13"/>
    </row>
    <row r="4134" spans="19:32" x14ac:dyDescent="0.35">
      <c r="S4134" s="34">
        <v>4130</v>
      </c>
      <c r="T4134" s="34" t="s">
        <v>4284</v>
      </c>
      <c r="U4134" s="34" t="s">
        <v>3703</v>
      </c>
      <c r="V4134" s="35">
        <v>5.6895161290322585E-2</v>
      </c>
      <c r="W4134" s="13"/>
      <c r="X4134" s="34">
        <v>4130</v>
      </c>
      <c r="Y4134" s="34" t="s">
        <v>2248</v>
      </c>
      <c r="Z4134" s="34" t="s">
        <v>4338</v>
      </c>
      <c r="AA4134" s="35">
        <v>4.6955645161290329E-3</v>
      </c>
      <c r="AB4134" s="13"/>
      <c r="AC4134" s="13"/>
      <c r="AD4134" s="13"/>
      <c r="AE4134" s="13"/>
      <c r="AF4134" s="13"/>
    </row>
    <row r="4135" spans="19:32" x14ac:dyDescent="0.35">
      <c r="S4135" s="34">
        <v>4131</v>
      </c>
      <c r="T4135" s="34" t="s">
        <v>4284</v>
      </c>
      <c r="U4135" s="34" t="s">
        <v>2290</v>
      </c>
      <c r="V4135" s="35">
        <v>1.2407258064516132E-3</v>
      </c>
      <c r="W4135" s="13"/>
      <c r="X4135" s="34">
        <v>4131</v>
      </c>
      <c r="Y4135" s="34" t="s">
        <v>2248</v>
      </c>
      <c r="Z4135" s="34" t="s">
        <v>2577</v>
      </c>
      <c r="AA4135" s="35">
        <v>1.8233870967741938E-3</v>
      </c>
      <c r="AB4135" s="13"/>
      <c r="AC4135" s="13"/>
      <c r="AD4135" s="13"/>
      <c r="AE4135" s="13"/>
      <c r="AF4135" s="13"/>
    </row>
    <row r="4136" spans="19:32" x14ac:dyDescent="0.35">
      <c r="S4136" s="47">
        <v>4132</v>
      </c>
      <c r="T4136" s="47" t="s">
        <v>4284</v>
      </c>
      <c r="U4136" s="47" t="s">
        <v>2290</v>
      </c>
      <c r="V4136" s="56">
        <v>0</v>
      </c>
      <c r="W4136" s="13"/>
      <c r="X4136" s="34">
        <v>4132</v>
      </c>
      <c r="Y4136" s="34" t="s">
        <v>2248</v>
      </c>
      <c r="Z4136" s="34" t="s">
        <v>4337</v>
      </c>
      <c r="AA4136" s="35">
        <v>3.7358870967741939E-3</v>
      </c>
      <c r="AB4136" s="13"/>
      <c r="AC4136" s="13"/>
      <c r="AD4136" s="13"/>
      <c r="AE4136" s="13"/>
      <c r="AF4136" s="13"/>
    </row>
    <row r="4137" spans="19:32" x14ac:dyDescent="0.35">
      <c r="S4137" s="34">
        <v>4133</v>
      </c>
      <c r="T4137" s="34" t="s">
        <v>4284</v>
      </c>
      <c r="U4137" s="34" t="s">
        <v>3698</v>
      </c>
      <c r="V4137" s="35">
        <v>2.5808467741935486E-3</v>
      </c>
      <c r="W4137" s="13"/>
      <c r="X4137" s="47">
        <v>4133</v>
      </c>
      <c r="Y4137" s="47" t="s">
        <v>2248</v>
      </c>
      <c r="Z4137" s="47" t="s">
        <v>4336</v>
      </c>
      <c r="AA4137" s="56">
        <v>0.45927419354838711</v>
      </c>
      <c r="AB4137" s="13"/>
      <c r="AC4137" s="13"/>
      <c r="AD4137" s="13"/>
      <c r="AE4137" s="13"/>
      <c r="AF4137" s="13"/>
    </row>
    <row r="4138" spans="19:32" x14ac:dyDescent="0.35">
      <c r="S4138" s="34">
        <v>4134</v>
      </c>
      <c r="T4138" s="34" t="s">
        <v>4284</v>
      </c>
      <c r="U4138" s="34" t="s">
        <v>3697</v>
      </c>
      <c r="V4138" s="35">
        <v>7.026209677419355E-6</v>
      </c>
      <c r="W4138" s="13"/>
      <c r="X4138" s="34">
        <v>4134</v>
      </c>
      <c r="Y4138" s="34" t="s">
        <v>2248</v>
      </c>
      <c r="Z4138" s="34" t="s">
        <v>4249</v>
      </c>
      <c r="AA4138" s="35">
        <v>2.8173387096774199E-4</v>
      </c>
      <c r="AB4138" s="13"/>
      <c r="AC4138" s="13"/>
      <c r="AD4138" s="13"/>
      <c r="AE4138" s="13"/>
      <c r="AF4138" s="13"/>
    </row>
    <row r="4139" spans="19:32" x14ac:dyDescent="0.35">
      <c r="S4139" s="34">
        <v>4135</v>
      </c>
      <c r="T4139" s="34" t="s">
        <v>4284</v>
      </c>
      <c r="U4139" s="34" t="s">
        <v>3695</v>
      </c>
      <c r="V4139" s="35">
        <v>3.3040322580645166E-4</v>
      </c>
      <c r="W4139" s="13"/>
      <c r="X4139" s="34">
        <v>4135</v>
      </c>
      <c r="Y4139" s="34" t="s">
        <v>2248</v>
      </c>
      <c r="Z4139" s="34" t="s">
        <v>4335</v>
      </c>
      <c r="AA4139" s="35">
        <v>1.9502016129032259E-3</v>
      </c>
      <c r="AB4139" s="13"/>
      <c r="AC4139" s="13"/>
      <c r="AD4139" s="13"/>
      <c r="AE4139" s="13"/>
      <c r="AF4139" s="13"/>
    </row>
    <row r="4140" spans="19:32" x14ac:dyDescent="0.35">
      <c r="S4140" s="34">
        <v>4136</v>
      </c>
      <c r="T4140" s="34" t="s">
        <v>4284</v>
      </c>
      <c r="U4140" s="34" t="s">
        <v>3693</v>
      </c>
      <c r="V4140" s="35">
        <v>6.3750000000000005E-3</v>
      </c>
      <c r="W4140" s="13"/>
      <c r="X4140" s="34">
        <v>4136</v>
      </c>
      <c r="Y4140" s="34" t="s">
        <v>2248</v>
      </c>
      <c r="Z4140" s="34" t="s">
        <v>4334</v>
      </c>
      <c r="AA4140" s="35">
        <v>4.1471774193548389E-2</v>
      </c>
      <c r="AB4140" s="13"/>
      <c r="AC4140" s="13"/>
      <c r="AD4140" s="13"/>
      <c r="AE4140" s="13"/>
      <c r="AF4140" s="13"/>
    </row>
    <row r="4141" spans="19:32" x14ac:dyDescent="0.35">
      <c r="S4141" s="34">
        <v>4137</v>
      </c>
      <c r="T4141" s="34" t="s">
        <v>4284</v>
      </c>
      <c r="U4141" s="34" t="s">
        <v>3691</v>
      </c>
      <c r="V4141" s="35">
        <v>1.6897177419354838E-3</v>
      </c>
      <c r="W4141" s="13"/>
      <c r="X4141" s="34">
        <v>4137</v>
      </c>
      <c r="Y4141" s="34" t="s">
        <v>2248</v>
      </c>
      <c r="Z4141" s="34" t="s">
        <v>4247</v>
      </c>
      <c r="AA4141" s="35">
        <v>2.8995967741935488E-4</v>
      </c>
      <c r="AB4141" s="13"/>
      <c r="AC4141" s="13"/>
      <c r="AD4141" s="13"/>
      <c r="AE4141" s="13"/>
      <c r="AF4141" s="13"/>
    </row>
    <row r="4142" spans="19:32" x14ac:dyDescent="0.35">
      <c r="S4142" s="34">
        <v>4138</v>
      </c>
      <c r="T4142" s="34" t="s">
        <v>4284</v>
      </c>
      <c r="U4142" s="34" t="s">
        <v>3690</v>
      </c>
      <c r="V4142" s="35">
        <v>4.215725806451613E-3</v>
      </c>
      <c r="W4142" s="13"/>
      <c r="X4142" s="34">
        <v>4138</v>
      </c>
      <c r="Y4142" s="34" t="s">
        <v>2248</v>
      </c>
      <c r="Z4142" s="34" t="s">
        <v>4333</v>
      </c>
      <c r="AA4142" s="35">
        <v>2.0598790322580648E-3</v>
      </c>
      <c r="AB4142" s="13"/>
      <c r="AC4142" s="13"/>
      <c r="AD4142" s="13"/>
      <c r="AE4142" s="13"/>
      <c r="AF4142" s="13"/>
    </row>
    <row r="4143" spans="19:32" x14ac:dyDescent="0.35">
      <c r="S4143" s="34">
        <v>4139</v>
      </c>
      <c r="T4143" s="34" t="s">
        <v>4284</v>
      </c>
      <c r="U4143" s="34" t="s">
        <v>2288</v>
      </c>
      <c r="V4143" s="35">
        <v>5.7580645161290332E-6</v>
      </c>
      <c r="W4143" s="13"/>
      <c r="X4143" s="34">
        <v>4139</v>
      </c>
      <c r="Y4143" s="34" t="s">
        <v>2248</v>
      </c>
      <c r="Z4143" s="34" t="s">
        <v>4332</v>
      </c>
      <c r="AA4143" s="35">
        <v>1.0967741935483872E-2</v>
      </c>
      <c r="AB4143" s="13"/>
      <c r="AC4143" s="13"/>
      <c r="AD4143" s="13"/>
      <c r="AE4143" s="13"/>
      <c r="AF4143" s="13"/>
    </row>
    <row r="4144" spans="19:32" x14ac:dyDescent="0.35">
      <c r="S4144" s="47">
        <v>4140</v>
      </c>
      <c r="T4144" s="47" t="s">
        <v>4284</v>
      </c>
      <c r="U4144" s="47" t="s">
        <v>2288</v>
      </c>
      <c r="V4144" s="56">
        <v>0.45355999999999996</v>
      </c>
      <c r="W4144" s="13"/>
      <c r="X4144" s="34">
        <v>4140</v>
      </c>
      <c r="Y4144" s="34" t="s">
        <v>2248</v>
      </c>
      <c r="Z4144" s="34" t="s">
        <v>4246</v>
      </c>
      <c r="AA4144" s="35">
        <v>7.8830645161290333E-4</v>
      </c>
      <c r="AB4144" s="13"/>
      <c r="AC4144" s="13"/>
      <c r="AD4144" s="13"/>
      <c r="AE4144" s="13"/>
      <c r="AF4144" s="13"/>
    </row>
    <row r="4145" spans="19:32" x14ac:dyDescent="0.35">
      <c r="S4145" s="34">
        <v>4141</v>
      </c>
      <c r="T4145" s="34" t="s">
        <v>4284</v>
      </c>
      <c r="U4145" s="34" t="s">
        <v>3685</v>
      </c>
      <c r="V4145" s="35">
        <v>4.3870967741935488E-5</v>
      </c>
      <c r="W4145" s="13"/>
      <c r="X4145" s="34">
        <v>4141</v>
      </c>
      <c r="Y4145" s="34" t="s">
        <v>2248</v>
      </c>
      <c r="Z4145" s="34" t="s">
        <v>4331</v>
      </c>
      <c r="AA4145" s="35">
        <v>5.0383064516129035E-3</v>
      </c>
      <c r="AB4145" s="13"/>
      <c r="AC4145" s="13"/>
      <c r="AD4145" s="13"/>
      <c r="AE4145" s="13"/>
      <c r="AF4145" s="13"/>
    </row>
    <row r="4146" spans="19:32" x14ac:dyDescent="0.35">
      <c r="S4146" s="34">
        <v>4142</v>
      </c>
      <c r="T4146" s="34" t="s">
        <v>4284</v>
      </c>
      <c r="U4146" s="34" t="s">
        <v>3684</v>
      </c>
      <c r="V4146" s="35">
        <v>2.3409274193548392E-5</v>
      </c>
      <c r="W4146" s="13"/>
      <c r="X4146" s="47">
        <v>4142</v>
      </c>
      <c r="Y4146" s="47" t="s">
        <v>2248</v>
      </c>
      <c r="Z4146" s="47" t="s">
        <v>4330</v>
      </c>
      <c r="AA4146" s="56">
        <v>1.4326612903225807E-2</v>
      </c>
      <c r="AB4146" s="13"/>
      <c r="AC4146" s="13"/>
      <c r="AD4146" s="13"/>
      <c r="AE4146" s="13"/>
      <c r="AF4146" s="13"/>
    </row>
    <row r="4147" spans="19:32" x14ac:dyDescent="0.35">
      <c r="S4147" s="34">
        <v>4143</v>
      </c>
      <c r="T4147" s="34" t="s">
        <v>4284</v>
      </c>
      <c r="U4147" s="34" t="s">
        <v>3682</v>
      </c>
      <c r="V4147" s="35">
        <v>1.9981854838709678E-2</v>
      </c>
      <c r="W4147" s="13"/>
      <c r="X4147" s="34">
        <v>4143</v>
      </c>
      <c r="Y4147" s="34" t="s">
        <v>2248</v>
      </c>
      <c r="Z4147" s="34" t="s">
        <v>4244</v>
      </c>
      <c r="AA4147" s="35">
        <v>1.1790322580645161E-5</v>
      </c>
      <c r="AB4147" s="13"/>
      <c r="AC4147" s="13"/>
      <c r="AD4147" s="13"/>
      <c r="AE4147" s="13"/>
      <c r="AF4147" s="13"/>
    </row>
    <row r="4148" spans="19:32" x14ac:dyDescent="0.35">
      <c r="S4148" s="34">
        <v>4144</v>
      </c>
      <c r="T4148" s="34" t="s">
        <v>4284</v>
      </c>
      <c r="U4148" s="34" t="s">
        <v>2287</v>
      </c>
      <c r="V4148" s="35">
        <v>9.116935483870968E-7</v>
      </c>
      <c r="W4148" s="13"/>
      <c r="X4148" s="47">
        <v>4144</v>
      </c>
      <c r="Y4148" s="47" t="s">
        <v>2248</v>
      </c>
      <c r="Z4148" s="47" t="s">
        <v>2606</v>
      </c>
      <c r="AA4148" s="56">
        <v>0</v>
      </c>
      <c r="AB4148" s="13"/>
      <c r="AC4148" s="13"/>
      <c r="AD4148" s="13"/>
      <c r="AE4148" s="13"/>
      <c r="AF4148" s="13"/>
    </row>
    <row r="4149" spans="19:32" x14ac:dyDescent="0.35">
      <c r="S4149" s="47">
        <v>4145</v>
      </c>
      <c r="T4149" s="47" t="s">
        <v>4284</v>
      </c>
      <c r="U4149" s="47" t="s">
        <v>2287</v>
      </c>
      <c r="V4149" s="56">
        <v>0</v>
      </c>
      <c r="W4149" s="13"/>
      <c r="X4149" s="34">
        <v>4145</v>
      </c>
      <c r="Y4149" s="34" t="s">
        <v>2248</v>
      </c>
      <c r="Z4149" s="34" t="s">
        <v>4329</v>
      </c>
      <c r="AA4149" s="35">
        <v>5.3810483870967749E-2</v>
      </c>
      <c r="AB4149" s="13"/>
      <c r="AC4149" s="13"/>
      <c r="AD4149" s="13"/>
      <c r="AE4149" s="13"/>
      <c r="AF4149" s="13"/>
    </row>
    <row r="4150" spans="19:32" x14ac:dyDescent="0.35">
      <c r="S4150" s="34">
        <v>4146</v>
      </c>
      <c r="T4150" s="34" t="s">
        <v>4284</v>
      </c>
      <c r="U4150" s="34" t="s">
        <v>3678</v>
      </c>
      <c r="V4150" s="35">
        <v>3.7701612903225815E-5</v>
      </c>
      <c r="W4150" s="13"/>
      <c r="X4150" s="34">
        <v>4146</v>
      </c>
      <c r="Y4150" s="34" t="s">
        <v>2248</v>
      </c>
      <c r="Z4150" s="34" t="s">
        <v>2573</v>
      </c>
      <c r="AA4150" s="35">
        <v>1.2612903225806453E-2</v>
      </c>
      <c r="AB4150" s="13"/>
      <c r="AC4150" s="13"/>
      <c r="AD4150" s="13"/>
      <c r="AE4150" s="13"/>
      <c r="AF4150" s="13"/>
    </row>
    <row r="4151" spans="19:32" x14ac:dyDescent="0.35">
      <c r="S4151" s="34">
        <v>4147</v>
      </c>
      <c r="T4151" s="34" t="s">
        <v>4284</v>
      </c>
      <c r="U4151" s="34" t="s">
        <v>3675</v>
      </c>
      <c r="V4151" s="35">
        <v>1.5217741935483873E-4</v>
      </c>
      <c r="W4151" s="13"/>
      <c r="X4151" s="34">
        <v>4147</v>
      </c>
      <c r="Y4151" s="34" t="s">
        <v>2248</v>
      </c>
      <c r="Z4151" s="34" t="s">
        <v>4328</v>
      </c>
      <c r="AA4151" s="35">
        <v>2.210685483870968E-3</v>
      </c>
      <c r="AB4151" s="13"/>
      <c r="AC4151" s="13"/>
      <c r="AD4151" s="13"/>
      <c r="AE4151" s="13"/>
      <c r="AF4151" s="13"/>
    </row>
    <row r="4152" spans="19:32" x14ac:dyDescent="0.35">
      <c r="S4152" s="34">
        <v>4148</v>
      </c>
      <c r="T4152" s="34" t="s">
        <v>4284</v>
      </c>
      <c r="U4152" s="34" t="s">
        <v>3673</v>
      </c>
      <c r="V4152" s="35">
        <v>5.4838709677419361E-3</v>
      </c>
      <c r="W4152" s="13"/>
      <c r="X4152" s="47">
        <v>4148</v>
      </c>
      <c r="Y4152" s="47" t="s">
        <v>2248</v>
      </c>
      <c r="Z4152" s="47" t="s">
        <v>4327</v>
      </c>
      <c r="AA4152" s="56">
        <v>8.1229838709677427E-3</v>
      </c>
      <c r="AB4152" s="13"/>
      <c r="AC4152" s="13"/>
      <c r="AD4152" s="13"/>
      <c r="AE4152" s="13"/>
      <c r="AF4152" s="13"/>
    </row>
    <row r="4153" spans="19:32" x14ac:dyDescent="0.35">
      <c r="S4153" s="34">
        <v>4149</v>
      </c>
      <c r="T4153" s="34" t="s">
        <v>4284</v>
      </c>
      <c r="U4153" s="34" t="s">
        <v>3670</v>
      </c>
      <c r="V4153" s="35">
        <v>6.6834677419354838E-2</v>
      </c>
      <c r="W4153" s="13"/>
      <c r="X4153" s="34">
        <v>4149</v>
      </c>
      <c r="Y4153" s="34" t="s">
        <v>2248</v>
      </c>
      <c r="Z4153" s="34" t="s">
        <v>4242</v>
      </c>
      <c r="AA4153" s="35">
        <v>1.6588709677419357E-2</v>
      </c>
      <c r="AB4153" s="13"/>
      <c r="AC4153" s="13"/>
      <c r="AD4153" s="13"/>
      <c r="AE4153" s="13"/>
      <c r="AF4153" s="13"/>
    </row>
    <row r="4154" spans="19:32" x14ac:dyDescent="0.35">
      <c r="S4154" s="34">
        <v>4150</v>
      </c>
      <c r="T4154" s="34" t="s">
        <v>4284</v>
      </c>
      <c r="U4154" s="34" t="s">
        <v>3669</v>
      </c>
      <c r="V4154" s="35">
        <v>2.3272177419354841E-2</v>
      </c>
      <c r="W4154" s="13"/>
      <c r="X4154" s="47">
        <v>4150</v>
      </c>
      <c r="Y4154" s="47" t="s">
        <v>2248</v>
      </c>
      <c r="Z4154" s="47" t="s">
        <v>2604</v>
      </c>
      <c r="AA4154" s="56">
        <v>2.0608000000000002E-3</v>
      </c>
      <c r="AB4154" s="13"/>
      <c r="AC4154" s="13"/>
      <c r="AD4154" s="13"/>
      <c r="AE4154" s="13"/>
      <c r="AF4154" s="13"/>
    </row>
    <row r="4155" spans="19:32" x14ac:dyDescent="0.35">
      <c r="S4155" s="34">
        <v>4151</v>
      </c>
      <c r="T4155" s="34" t="s">
        <v>4284</v>
      </c>
      <c r="U4155" s="34" t="s">
        <v>3667</v>
      </c>
      <c r="V4155" s="35">
        <v>3.770161290322581</v>
      </c>
      <c r="W4155" s="13"/>
      <c r="X4155" s="34">
        <v>4151</v>
      </c>
      <c r="Y4155" s="34" t="s">
        <v>2248</v>
      </c>
      <c r="Z4155" s="34" t="s">
        <v>4240</v>
      </c>
      <c r="AA4155" s="35">
        <v>7.5403225806451623E-4</v>
      </c>
      <c r="AB4155" s="13"/>
      <c r="AC4155" s="13"/>
      <c r="AD4155" s="13"/>
      <c r="AE4155" s="13"/>
      <c r="AF4155" s="13"/>
    </row>
    <row r="4156" spans="19:32" x14ac:dyDescent="0.35">
      <c r="S4156" s="30">
        <v>4152</v>
      </c>
      <c r="T4156" s="30" t="s">
        <v>4284</v>
      </c>
      <c r="U4156" s="30" t="s">
        <v>4326</v>
      </c>
      <c r="V4156" s="31">
        <v>2.1924000000000002E-3</v>
      </c>
      <c r="W4156" s="13"/>
      <c r="X4156" s="34">
        <v>4152</v>
      </c>
      <c r="Y4156" s="34" t="s">
        <v>2248</v>
      </c>
      <c r="Z4156" s="34" t="s">
        <v>4325</v>
      </c>
      <c r="AA4156" s="35">
        <v>1.9262096774193551E-5</v>
      </c>
      <c r="AB4156" s="13"/>
      <c r="AC4156" s="13"/>
      <c r="AD4156" s="13"/>
      <c r="AE4156" s="13"/>
      <c r="AF4156" s="13"/>
    </row>
    <row r="4157" spans="19:32" x14ac:dyDescent="0.35">
      <c r="S4157" s="30">
        <v>4153</v>
      </c>
      <c r="T4157" s="30" t="s">
        <v>4284</v>
      </c>
      <c r="U4157" s="30" t="s">
        <v>3664</v>
      </c>
      <c r="V4157" s="31">
        <v>0.11600000000000001</v>
      </c>
      <c r="W4157" s="13"/>
      <c r="X4157" s="47">
        <v>4153</v>
      </c>
      <c r="Y4157" s="47" t="s">
        <v>2248</v>
      </c>
      <c r="Z4157" s="47" t="s">
        <v>4324</v>
      </c>
      <c r="AA4157" s="56">
        <v>7.5060483870967752E-3</v>
      </c>
      <c r="AB4157" s="13"/>
      <c r="AC4157" s="13"/>
      <c r="AD4157" s="13"/>
      <c r="AE4157" s="13"/>
      <c r="AF4157" s="13"/>
    </row>
    <row r="4158" spans="19:32" x14ac:dyDescent="0.35">
      <c r="S4158" s="34">
        <v>4154</v>
      </c>
      <c r="T4158" s="34" t="s">
        <v>4284</v>
      </c>
      <c r="U4158" s="34" t="s">
        <v>3664</v>
      </c>
      <c r="V4158" s="35">
        <v>2.7693548387096778E-8</v>
      </c>
      <c r="W4158" s="13"/>
      <c r="X4158" s="34">
        <v>4154</v>
      </c>
      <c r="Y4158" s="34" t="s">
        <v>2248</v>
      </c>
      <c r="Z4158" s="34" t="s">
        <v>4323</v>
      </c>
      <c r="AA4158" s="35">
        <v>1.8610887096774194E-3</v>
      </c>
      <c r="AB4158" s="13"/>
      <c r="AC4158" s="13"/>
      <c r="AD4158" s="13"/>
      <c r="AE4158" s="13"/>
      <c r="AF4158" s="13"/>
    </row>
    <row r="4159" spans="19:32" x14ac:dyDescent="0.35">
      <c r="S4159" s="30">
        <v>4155</v>
      </c>
      <c r="T4159" s="30" t="s">
        <v>4284</v>
      </c>
      <c r="U4159" s="30" t="s">
        <v>4322</v>
      </c>
      <c r="V4159" s="31">
        <v>2018.4</v>
      </c>
      <c r="W4159" s="13"/>
      <c r="X4159" s="34">
        <v>4155</v>
      </c>
      <c r="Y4159" s="34" t="s">
        <v>2248</v>
      </c>
      <c r="Z4159" s="34" t="s">
        <v>4239</v>
      </c>
      <c r="AA4159" s="35">
        <v>3.6330645161290324E-3</v>
      </c>
      <c r="AB4159" s="13"/>
      <c r="AC4159" s="13"/>
      <c r="AD4159" s="13"/>
      <c r="AE4159" s="13"/>
      <c r="AF4159" s="13"/>
    </row>
    <row r="4160" spans="19:32" x14ac:dyDescent="0.35">
      <c r="S4160" s="30">
        <v>4156</v>
      </c>
      <c r="T4160" s="30" t="s">
        <v>4284</v>
      </c>
      <c r="U4160" s="30" t="s">
        <v>4321</v>
      </c>
      <c r="V4160" s="31">
        <v>1.7284000000000001E-2</v>
      </c>
      <c r="W4160" s="13"/>
      <c r="X4160" s="34">
        <v>4156</v>
      </c>
      <c r="Y4160" s="34" t="s">
        <v>2248</v>
      </c>
      <c r="Z4160" s="34" t="s">
        <v>4320</v>
      </c>
      <c r="AA4160" s="35">
        <v>1.1961693548387098E-3</v>
      </c>
      <c r="AB4160" s="13"/>
      <c r="AC4160" s="13"/>
      <c r="AD4160" s="13"/>
      <c r="AE4160" s="13"/>
      <c r="AF4160" s="13"/>
    </row>
    <row r="4161" spans="19:32" x14ac:dyDescent="0.35">
      <c r="S4161" s="34">
        <v>4157</v>
      </c>
      <c r="T4161" s="34" t="s">
        <v>4284</v>
      </c>
      <c r="U4161" s="34" t="s">
        <v>2285</v>
      </c>
      <c r="V4161" s="35">
        <v>7.7116935483870974E-3</v>
      </c>
      <c r="W4161" s="13"/>
      <c r="X4161" s="34">
        <v>4157</v>
      </c>
      <c r="Y4161" s="34" t="s">
        <v>2248</v>
      </c>
      <c r="Z4161" s="34" t="s">
        <v>4238</v>
      </c>
      <c r="AA4161" s="35">
        <v>3.564516129032258E-2</v>
      </c>
      <c r="AB4161" s="13"/>
      <c r="AC4161" s="13"/>
      <c r="AD4161" s="13"/>
      <c r="AE4161" s="13"/>
      <c r="AF4161" s="13"/>
    </row>
    <row r="4162" spans="19:32" x14ac:dyDescent="0.35">
      <c r="S4162" s="47">
        <v>4158</v>
      </c>
      <c r="T4162" s="47" t="s">
        <v>4284</v>
      </c>
      <c r="U4162" s="47" t="s">
        <v>2285</v>
      </c>
      <c r="V4162" s="56">
        <v>0.15639999999999998</v>
      </c>
      <c r="W4162" s="13"/>
      <c r="X4162" s="47">
        <v>4158</v>
      </c>
      <c r="Y4162" s="47" t="s">
        <v>2248</v>
      </c>
      <c r="Z4162" s="47" t="s">
        <v>4319</v>
      </c>
      <c r="AA4162" s="56">
        <v>7.8830645161290323E-3</v>
      </c>
      <c r="AB4162" s="13"/>
      <c r="AC4162" s="13"/>
      <c r="AD4162" s="13"/>
      <c r="AE4162" s="13"/>
      <c r="AF4162" s="13"/>
    </row>
    <row r="4163" spans="19:32" x14ac:dyDescent="0.35">
      <c r="S4163" s="34">
        <v>4159</v>
      </c>
      <c r="T4163" s="34" t="s">
        <v>4284</v>
      </c>
      <c r="U4163" s="34" t="s">
        <v>3658</v>
      </c>
      <c r="V4163" s="35">
        <v>5.3810483870967749E-2</v>
      </c>
      <c r="W4163" s="13"/>
      <c r="X4163" s="47">
        <v>4159</v>
      </c>
      <c r="Y4163" s="47" t="s">
        <v>2248</v>
      </c>
      <c r="Z4163" s="47" t="s">
        <v>2602</v>
      </c>
      <c r="AA4163" s="56">
        <v>0.67159999999999997</v>
      </c>
      <c r="AB4163" s="13"/>
      <c r="AC4163" s="13"/>
      <c r="AD4163" s="13"/>
      <c r="AE4163" s="13"/>
      <c r="AF4163" s="13"/>
    </row>
    <row r="4164" spans="19:32" x14ac:dyDescent="0.35">
      <c r="S4164" s="34">
        <v>4160</v>
      </c>
      <c r="T4164" s="34" t="s">
        <v>4284</v>
      </c>
      <c r="U4164" s="34" t="s">
        <v>3656</v>
      </c>
      <c r="V4164" s="35">
        <v>2.423185483870968E-3</v>
      </c>
      <c r="W4164" s="13"/>
      <c r="X4164" s="34">
        <v>4160</v>
      </c>
      <c r="Y4164" s="34" t="s">
        <v>2248</v>
      </c>
      <c r="Z4164" s="34" t="s">
        <v>2602</v>
      </c>
      <c r="AA4164" s="35">
        <v>0.10419354838709678</v>
      </c>
      <c r="AB4164" s="13"/>
      <c r="AC4164" s="13"/>
      <c r="AD4164" s="13"/>
      <c r="AE4164" s="13"/>
      <c r="AF4164" s="13"/>
    </row>
    <row r="4165" spans="19:32" x14ac:dyDescent="0.35">
      <c r="S4165" s="34">
        <v>4161</v>
      </c>
      <c r="T4165" s="34" t="s">
        <v>4284</v>
      </c>
      <c r="U4165" s="34" t="s">
        <v>3654</v>
      </c>
      <c r="V4165" s="35">
        <v>1.5286290322580646E-4</v>
      </c>
      <c r="W4165" s="13"/>
      <c r="X4165" s="34">
        <v>4161</v>
      </c>
      <c r="Y4165" s="34" t="s">
        <v>2248</v>
      </c>
      <c r="Z4165" s="34" t="s">
        <v>4236</v>
      </c>
      <c r="AA4165" s="35">
        <v>1.9467741935483871E-2</v>
      </c>
      <c r="AB4165" s="13"/>
      <c r="AC4165" s="13"/>
      <c r="AD4165" s="13"/>
      <c r="AE4165" s="13"/>
      <c r="AF4165" s="13"/>
    </row>
    <row r="4166" spans="19:32" x14ac:dyDescent="0.35">
      <c r="S4166" s="34">
        <v>4162</v>
      </c>
      <c r="T4166" s="34" t="s">
        <v>4284</v>
      </c>
      <c r="U4166" s="34" t="s">
        <v>3652</v>
      </c>
      <c r="V4166" s="35">
        <v>3.0812499999999999E-8</v>
      </c>
      <c r="W4166" s="13"/>
      <c r="X4166" s="34">
        <v>4162</v>
      </c>
      <c r="Y4166" s="34" t="s">
        <v>2248</v>
      </c>
      <c r="Z4166" s="34" t="s">
        <v>4318</v>
      </c>
      <c r="AA4166" s="35">
        <v>9.733870967741937E-12</v>
      </c>
      <c r="AB4166" s="13"/>
      <c r="AC4166" s="13"/>
      <c r="AD4166" s="13"/>
      <c r="AE4166" s="13"/>
      <c r="AF4166" s="13"/>
    </row>
    <row r="4167" spans="19:32" x14ac:dyDescent="0.35">
      <c r="S4167" s="47">
        <v>4163</v>
      </c>
      <c r="T4167" s="47" t="s">
        <v>4284</v>
      </c>
      <c r="U4167" s="47" t="s">
        <v>2283</v>
      </c>
      <c r="V4167" s="56">
        <v>0</v>
      </c>
      <c r="W4167" s="13"/>
      <c r="X4167" s="34">
        <v>4163</v>
      </c>
      <c r="Y4167" s="34" t="s">
        <v>2248</v>
      </c>
      <c r="Z4167" s="34" t="s">
        <v>4234</v>
      </c>
      <c r="AA4167" s="35">
        <v>5.2439516129032265E-5</v>
      </c>
      <c r="AB4167" s="13"/>
      <c r="AC4167" s="13"/>
      <c r="AD4167" s="13"/>
      <c r="AE4167" s="13"/>
      <c r="AF4167" s="13"/>
    </row>
    <row r="4168" spans="19:32" x14ac:dyDescent="0.35">
      <c r="S4168" s="34">
        <v>4164</v>
      </c>
      <c r="T4168" s="34" t="s">
        <v>4284</v>
      </c>
      <c r="U4168" s="34" t="s">
        <v>2282</v>
      </c>
      <c r="V4168" s="35">
        <v>3.9758064516129036E-4</v>
      </c>
      <c r="W4168" s="13"/>
      <c r="X4168" s="34">
        <v>4164</v>
      </c>
      <c r="Y4168" s="34" t="s">
        <v>2248</v>
      </c>
      <c r="Z4168" s="34" t="s">
        <v>4317</v>
      </c>
      <c r="AA4168" s="35">
        <v>1.1756048387096775E-3</v>
      </c>
      <c r="AB4168" s="13"/>
      <c r="AC4168" s="13"/>
      <c r="AD4168" s="13"/>
      <c r="AE4168" s="13"/>
      <c r="AF4168" s="13"/>
    </row>
    <row r="4169" spans="19:32" x14ac:dyDescent="0.35">
      <c r="S4169" s="47">
        <v>4165</v>
      </c>
      <c r="T4169" s="47" t="s">
        <v>4284</v>
      </c>
      <c r="U4169" s="47" t="s">
        <v>2282</v>
      </c>
      <c r="V4169" s="56">
        <v>0</v>
      </c>
      <c r="W4169" s="13"/>
      <c r="X4169" s="34">
        <v>4165</v>
      </c>
      <c r="Y4169" s="34" t="s">
        <v>2248</v>
      </c>
      <c r="Z4169" s="34" t="s">
        <v>4316</v>
      </c>
      <c r="AA4169" s="35">
        <v>2.800201612903226E-3</v>
      </c>
      <c r="AB4169" s="13"/>
      <c r="AC4169" s="13"/>
      <c r="AD4169" s="13"/>
      <c r="AE4169" s="13"/>
      <c r="AF4169" s="13"/>
    </row>
    <row r="4170" spans="19:32" x14ac:dyDescent="0.35">
      <c r="S4170" s="34">
        <v>4166</v>
      </c>
      <c r="T4170" s="34" t="s">
        <v>4284</v>
      </c>
      <c r="U4170" s="34" t="s">
        <v>3646</v>
      </c>
      <c r="V4170" s="35">
        <v>4.1471774193548389E-2</v>
      </c>
      <c r="W4170" s="13"/>
      <c r="X4170" s="34">
        <v>4166</v>
      </c>
      <c r="Y4170" s="34" t="s">
        <v>2248</v>
      </c>
      <c r="Z4170" s="34" t="s">
        <v>4233</v>
      </c>
      <c r="AA4170" s="35">
        <v>3.2012096774193549E-4</v>
      </c>
      <c r="AB4170" s="13"/>
      <c r="AC4170" s="13"/>
      <c r="AD4170" s="13"/>
      <c r="AE4170" s="13"/>
      <c r="AF4170" s="13"/>
    </row>
    <row r="4171" spans="19:32" x14ac:dyDescent="0.35">
      <c r="S4171" s="34">
        <v>4167</v>
      </c>
      <c r="T4171" s="34" t="s">
        <v>4284</v>
      </c>
      <c r="U4171" s="34" t="s">
        <v>3644</v>
      </c>
      <c r="V4171" s="35">
        <v>3.7701612903225815E-5</v>
      </c>
      <c r="W4171" s="13"/>
      <c r="X4171" s="47">
        <v>4167</v>
      </c>
      <c r="Y4171" s="47" t="s">
        <v>2248</v>
      </c>
      <c r="Z4171" s="47" t="s">
        <v>2601</v>
      </c>
      <c r="AA4171" s="56">
        <v>5.1060000000000003E-3</v>
      </c>
      <c r="AB4171" s="13"/>
      <c r="AC4171" s="13"/>
      <c r="AD4171" s="13"/>
      <c r="AE4171" s="13"/>
      <c r="AF4171" s="13"/>
    </row>
    <row r="4172" spans="19:32" x14ac:dyDescent="0.35">
      <c r="S4172" s="34">
        <v>4168</v>
      </c>
      <c r="T4172" s="34" t="s">
        <v>4284</v>
      </c>
      <c r="U4172" s="34" t="s">
        <v>3642</v>
      </c>
      <c r="V4172" s="35">
        <v>2.8927419354838712E-5</v>
      </c>
      <c r="W4172" s="13"/>
      <c r="X4172" s="47">
        <v>4168</v>
      </c>
      <c r="Y4172" s="47" t="s">
        <v>2248</v>
      </c>
      <c r="Z4172" s="47" t="s">
        <v>3193</v>
      </c>
      <c r="AA4172" s="56">
        <v>1.9879032258064516E-5</v>
      </c>
      <c r="AB4172" s="13"/>
      <c r="AC4172" s="13"/>
      <c r="AD4172" s="13"/>
      <c r="AE4172" s="13"/>
      <c r="AF4172" s="13"/>
    </row>
    <row r="4173" spans="19:32" x14ac:dyDescent="0.35">
      <c r="S4173" s="34">
        <v>4169</v>
      </c>
      <c r="T4173" s="34" t="s">
        <v>4284</v>
      </c>
      <c r="U4173" s="34" t="s">
        <v>3639</v>
      </c>
      <c r="V4173" s="35">
        <v>9.2197580645161301E-3</v>
      </c>
      <c r="W4173" s="13"/>
      <c r="X4173" s="34">
        <v>4169</v>
      </c>
      <c r="Y4173" s="34" t="s">
        <v>2248</v>
      </c>
      <c r="Z4173" s="34" t="s">
        <v>4231</v>
      </c>
      <c r="AA4173" s="35">
        <v>3.3451612903225812E-6</v>
      </c>
      <c r="AB4173" s="13"/>
      <c r="AC4173" s="13"/>
      <c r="AD4173" s="13"/>
      <c r="AE4173" s="13"/>
      <c r="AF4173" s="13"/>
    </row>
    <row r="4174" spans="19:32" x14ac:dyDescent="0.35">
      <c r="S4174" s="47">
        <v>4170</v>
      </c>
      <c r="T4174" s="47" t="s">
        <v>4284</v>
      </c>
      <c r="U4174" s="47" t="s">
        <v>2280</v>
      </c>
      <c r="V4174" s="56">
        <v>0.31739999999999996</v>
      </c>
      <c r="W4174" s="13"/>
      <c r="X4174" s="34">
        <v>4170</v>
      </c>
      <c r="Y4174" s="34" t="s">
        <v>2248</v>
      </c>
      <c r="Z4174" s="34" t="s">
        <v>4315</v>
      </c>
      <c r="AA4174" s="35">
        <v>1.4223790322580646E-3</v>
      </c>
      <c r="AB4174" s="13"/>
      <c r="AC4174" s="13"/>
      <c r="AD4174" s="13"/>
      <c r="AE4174" s="13"/>
      <c r="AF4174" s="13"/>
    </row>
    <row r="4175" spans="19:32" x14ac:dyDescent="0.35">
      <c r="S4175" s="47">
        <v>4171</v>
      </c>
      <c r="T4175" s="47" t="s">
        <v>4284</v>
      </c>
      <c r="U4175" s="47" t="s">
        <v>2279</v>
      </c>
      <c r="V4175" s="56">
        <v>2.3552</v>
      </c>
      <c r="W4175" s="13"/>
      <c r="X4175" s="47">
        <v>4171</v>
      </c>
      <c r="Y4175" s="47" t="s">
        <v>2248</v>
      </c>
      <c r="Z4175" s="47" t="s">
        <v>2599</v>
      </c>
      <c r="AA4175" s="56">
        <v>0</v>
      </c>
      <c r="AB4175" s="13"/>
      <c r="AC4175" s="13"/>
      <c r="AD4175" s="13"/>
      <c r="AE4175" s="13"/>
      <c r="AF4175" s="13"/>
    </row>
    <row r="4176" spans="19:32" x14ac:dyDescent="0.35">
      <c r="S4176" s="34">
        <v>4172</v>
      </c>
      <c r="T4176" s="34" t="s">
        <v>4284</v>
      </c>
      <c r="U4176" s="34" t="s">
        <v>3635</v>
      </c>
      <c r="V4176" s="35">
        <v>6.8891129032258071E-7</v>
      </c>
      <c r="W4176" s="13"/>
      <c r="X4176" s="34">
        <v>4172</v>
      </c>
      <c r="Y4176" s="34" t="s">
        <v>2248</v>
      </c>
      <c r="Z4176" s="34" t="s">
        <v>4230</v>
      </c>
      <c r="AA4176" s="35">
        <v>3.770161290322581E-7</v>
      </c>
      <c r="AB4176" s="13"/>
      <c r="AC4176" s="13"/>
      <c r="AD4176" s="13"/>
      <c r="AE4176" s="13"/>
      <c r="AF4176" s="13"/>
    </row>
    <row r="4177" spans="19:32" x14ac:dyDescent="0.35">
      <c r="S4177" s="34">
        <v>4173</v>
      </c>
      <c r="T4177" s="34" t="s">
        <v>4284</v>
      </c>
      <c r="U4177" s="34" t="s">
        <v>3632</v>
      </c>
      <c r="V4177" s="35">
        <v>0.80544354838709686</v>
      </c>
      <c r="W4177" s="13"/>
      <c r="X4177" s="34">
        <v>4173</v>
      </c>
      <c r="Y4177" s="34" t="s">
        <v>2248</v>
      </c>
      <c r="Z4177" s="34" t="s">
        <v>4314</v>
      </c>
      <c r="AA4177" s="35">
        <v>2.1215725806451612E-3</v>
      </c>
      <c r="AB4177" s="13"/>
      <c r="AC4177" s="13"/>
      <c r="AD4177" s="13"/>
      <c r="AE4177" s="13"/>
      <c r="AF4177" s="13"/>
    </row>
    <row r="4178" spans="19:32" x14ac:dyDescent="0.35">
      <c r="S4178" s="34">
        <v>4174</v>
      </c>
      <c r="T4178" s="34" t="s">
        <v>4284</v>
      </c>
      <c r="U4178" s="34" t="s">
        <v>3631</v>
      </c>
      <c r="V4178" s="35">
        <v>1.8508064516129034E-4</v>
      </c>
      <c r="W4178" s="13"/>
      <c r="X4178" s="34">
        <v>4174</v>
      </c>
      <c r="Y4178" s="34" t="s">
        <v>2248</v>
      </c>
      <c r="Z4178" s="34" t="s">
        <v>4313</v>
      </c>
      <c r="AA4178" s="35">
        <v>7.2661290322580656E-7</v>
      </c>
      <c r="AB4178" s="13"/>
      <c r="AC4178" s="13"/>
      <c r="AD4178" s="13"/>
      <c r="AE4178" s="13"/>
      <c r="AF4178" s="13"/>
    </row>
    <row r="4179" spans="19:32" x14ac:dyDescent="0.35">
      <c r="S4179" s="34">
        <v>4175</v>
      </c>
      <c r="T4179" s="34" t="s">
        <v>4284</v>
      </c>
      <c r="U4179" s="34" t="s">
        <v>3629</v>
      </c>
      <c r="V4179" s="35">
        <v>1.4018145161290322E-3</v>
      </c>
      <c r="W4179" s="13"/>
      <c r="X4179" s="34">
        <v>4175</v>
      </c>
      <c r="Y4179" s="34" t="s">
        <v>2248</v>
      </c>
      <c r="Z4179" s="34" t="s">
        <v>2565</v>
      </c>
      <c r="AA4179" s="35">
        <v>5.7237903225806452E-4</v>
      </c>
      <c r="AB4179" s="13"/>
      <c r="AC4179" s="13"/>
      <c r="AD4179" s="13"/>
      <c r="AE4179" s="13"/>
      <c r="AF4179" s="13"/>
    </row>
    <row r="4180" spans="19:32" x14ac:dyDescent="0.35">
      <c r="S4180" s="47">
        <v>4176</v>
      </c>
      <c r="T4180" s="47" t="s">
        <v>4284</v>
      </c>
      <c r="U4180" s="47" t="s">
        <v>2277</v>
      </c>
      <c r="V4180" s="56">
        <v>7.3232000000000002E-3</v>
      </c>
      <c r="W4180" s="13"/>
      <c r="X4180" s="34">
        <v>4176</v>
      </c>
      <c r="Y4180" s="34" t="s">
        <v>2248</v>
      </c>
      <c r="Z4180" s="34" t="s">
        <v>4312</v>
      </c>
      <c r="AA4180" s="35">
        <v>2.8070564516129038E-3</v>
      </c>
      <c r="AB4180" s="13"/>
      <c r="AC4180" s="13"/>
      <c r="AD4180" s="13"/>
      <c r="AE4180" s="13"/>
      <c r="AF4180" s="13"/>
    </row>
    <row r="4181" spans="19:32" x14ac:dyDescent="0.35">
      <c r="S4181" s="34">
        <v>4177</v>
      </c>
      <c r="T4181" s="34" t="s">
        <v>4284</v>
      </c>
      <c r="U4181" s="34" t="s">
        <v>3625</v>
      </c>
      <c r="V4181" s="35">
        <v>9.2197580645161301E-3</v>
      </c>
      <c r="W4181" s="13"/>
      <c r="X4181" s="34">
        <v>4177</v>
      </c>
      <c r="Y4181" s="34" t="s">
        <v>2248</v>
      </c>
      <c r="Z4181" s="34" t="s">
        <v>2563</v>
      </c>
      <c r="AA4181" s="35">
        <v>2.6528225806451617E-3</v>
      </c>
      <c r="AB4181" s="13"/>
      <c r="AC4181" s="13"/>
      <c r="AD4181" s="13"/>
      <c r="AE4181" s="13"/>
      <c r="AF4181" s="13"/>
    </row>
    <row r="4182" spans="19:32" x14ac:dyDescent="0.35">
      <c r="S4182" s="34">
        <v>4178</v>
      </c>
      <c r="T4182" s="34" t="s">
        <v>4284</v>
      </c>
      <c r="U4182" s="34" t="s">
        <v>3624</v>
      </c>
      <c r="V4182" s="35">
        <v>2.0358870967741938E-3</v>
      </c>
      <c r="W4182" s="13"/>
      <c r="X4182" s="34">
        <v>4178</v>
      </c>
      <c r="Y4182" s="34" t="s">
        <v>2248</v>
      </c>
      <c r="Z4182" s="34" t="s">
        <v>4311</v>
      </c>
      <c r="AA4182" s="35">
        <v>8.362903225806452E-4</v>
      </c>
      <c r="AB4182" s="13"/>
      <c r="AC4182" s="13"/>
      <c r="AD4182" s="13"/>
      <c r="AE4182" s="13"/>
      <c r="AF4182" s="13"/>
    </row>
    <row r="4183" spans="19:32" x14ac:dyDescent="0.35">
      <c r="S4183" s="34">
        <v>4179</v>
      </c>
      <c r="T4183" s="34" t="s">
        <v>4284</v>
      </c>
      <c r="U4183" s="34" t="s">
        <v>3622</v>
      </c>
      <c r="V4183" s="35">
        <v>0.98024193548387106</v>
      </c>
      <c r="W4183" s="13"/>
      <c r="X4183" s="47">
        <v>4179</v>
      </c>
      <c r="Y4183" s="47" t="s">
        <v>2248</v>
      </c>
      <c r="Z4183" s="47" t="s">
        <v>4310</v>
      </c>
      <c r="AA4183" s="56">
        <v>1.9536290322580648E-3</v>
      </c>
      <c r="AB4183" s="13"/>
      <c r="AC4183" s="13"/>
      <c r="AD4183" s="13"/>
      <c r="AE4183" s="13"/>
      <c r="AF4183" s="13"/>
    </row>
    <row r="4184" spans="19:32" x14ac:dyDescent="0.35">
      <c r="S4184" s="34">
        <v>4180</v>
      </c>
      <c r="T4184" s="34" t="s">
        <v>4284</v>
      </c>
      <c r="U4184" s="34" t="s">
        <v>3620</v>
      </c>
      <c r="V4184" s="35">
        <v>1.7685483870967744E-4</v>
      </c>
      <c r="W4184" s="13"/>
      <c r="X4184" s="34">
        <v>4180</v>
      </c>
      <c r="Y4184" s="34" t="s">
        <v>2248</v>
      </c>
      <c r="Z4184" s="34" t="s">
        <v>4309</v>
      </c>
      <c r="AA4184" s="35">
        <v>2.0461693548387097E-4</v>
      </c>
      <c r="AB4184" s="13"/>
      <c r="AC4184" s="13"/>
      <c r="AD4184" s="13"/>
      <c r="AE4184" s="13"/>
      <c r="AF4184" s="13"/>
    </row>
    <row r="4185" spans="19:32" x14ac:dyDescent="0.35">
      <c r="S4185" s="34">
        <v>4181</v>
      </c>
      <c r="T4185" s="34" t="s">
        <v>4284</v>
      </c>
      <c r="U4185" s="34" t="s">
        <v>3617</v>
      </c>
      <c r="V4185" s="35">
        <v>3.701612903225807E-5</v>
      </c>
      <c r="W4185" s="13"/>
      <c r="X4185" s="34">
        <v>4181</v>
      </c>
      <c r="Y4185" s="34" t="s">
        <v>2248</v>
      </c>
      <c r="Z4185" s="34" t="s">
        <v>4226</v>
      </c>
      <c r="AA4185" s="35">
        <v>5.4838709677419359E-4</v>
      </c>
      <c r="AB4185" s="13"/>
      <c r="AC4185" s="13"/>
      <c r="AD4185" s="13"/>
      <c r="AE4185" s="13"/>
      <c r="AF4185" s="13"/>
    </row>
    <row r="4186" spans="19:32" x14ac:dyDescent="0.35">
      <c r="S4186" s="34">
        <v>4182</v>
      </c>
      <c r="T4186" s="34" t="s">
        <v>4284</v>
      </c>
      <c r="U4186" s="34" t="s">
        <v>2276</v>
      </c>
      <c r="V4186" s="35">
        <v>2.7350806451612905E-2</v>
      </c>
      <c r="W4186" s="13"/>
      <c r="X4186" s="47">
        <v>4182</v>
      </c>
      <c r="Y4186" s="47" t="s">
        <v>2248</v>
      </c>
      <c r="Z4186" s="47" t="s">
        <v>2598</v>
      </c>
      <c r="AA4186" s="56">
        <v>0</v>
      </c>
      <c r="AB4186" s="13"/>
      <c r="AC4186" s="13"/>
      <c r="AD4186" s="13"/>
      <c r="AE4186" s="13"/>
      <c r="AF4186" s="13"/>
    </row>
    <row r="4187" spans="19:32" x14ac:dyDescent="0.35">
      <c r="S4187" s="47">
        <v>4183</v>
      </c>
      <c r="T4187" s="47" t="s">
        <v>4284</v>
      </c>
      <c r="U4187" s="47" t="s">
        <v>2276</v>
      </c>
      <c r="V4187" s="56">
        <v>2.3828</v>
      </c>
      <c r="W4187" s="13"/>
      <c r="X4187" s="34">
        <v>4183</v>
      </c>
      <c r="Y4187" s="34" t="s">
        <v>2248</v>
      </c>
      <c r="Z4187" s="34" t="s">
        <v>4224</v>
      </c>
      <c r="AA4187" s="35">
        <v>1.3743951612903227E-3</v>
      </c>
      <c r="AB4187" s="13"/>
      <c r="AC4187" s="13"/>
      <c r="AD4187" s="13"/>
      <c r="AE4187" s="13"/>
      <c r="AF4187" s="13"/>
    </row>
    <row r="4188" spans="19:32" x14ac:dyDescent="0.35">
      <c r="S4188" s="34">
        <v>4184</v>
      </c>
      <c r="T4188" s="34" t="s">
        <v>4284</v>
      </c>
      <c r="U4188" s="34" t="s">
        <v>2274</v>
      </c>
      <c r="V4188" s="35">
        <v>1.4806451612903227E-3</v>
      </c>
      <c r="W4188" s="13"/>
      <c r="X4188" s="34">
        <v>4184</v>
      </c>
      <c r="Y4188" s="34" t="s">
        <v>2248</v>
      </c>
      <c r="Z4188" s="34" t="s">
        <v>2598</v>
      </c>
      <c r="AA4188" s="35">
        <v>5.0040322580645162E-4</v>
      </c>
      <c r="AB4188" s="13"/>
      <c r="AC4188" s="13"/>
      <c r="AD4188" s="13"/>
      <c r="AE4188" s="13"/>
      <c r="AF4188" s="13"/>
    </row>
    <row r="4189" spans="19:32" x14ac:dyDescent="0.35">
      <c r="S4189" s="47">
        <v>4185</v>
      </c>
      <c r="T4189" s="47" t="s">
        <v>4284</v>
      </c>
      <c r="U4189" s="47" t="s">
        <v>2274</v>
      </c>
      <c r="V4189" s="56">
        <v>8.3168000000000006</v>
      </c>
      <c r="W4189" s="13"/>
      <c r="X4189" s="34">
        <v>4185</v>
      </c>
      <c r="Y4189" s="34" t="s">
        <v>2248</v>
      </c>
      <c r="Z4189" s="34" t="s">
        <v>3192</v>
      </c>
      <c r="AA4189" s="35">
        <v>0.67520161290322589</v>
      </c>
      <c r="AB4189" s="13"/>
      <c r="AC4189" s="13"/>
      <c r="AD4189" s="13"/>
      <c r="AE4189" s="13"/>
      <c r="AF4189" s="13"/>
    </row>
    <row r="4190" spans="19:32" x14ac:dyDescent="0.35">
      <c r="S4190" s="34">
        <v>4186</v>
      </c>
      <c r="T4190" s="34" t="s">
        <v>4284</v>
      </c>
      <c r="U4190" s="34" t="s">
        <v>2273</v>
      </c>
      <c r="V4190" s="35">
        <v>1.6280241935483872E-6</v>
      </c>
      <c r="W4190" s="13"/>
      <c r="X4190" s="34">
        <v>4186</v>
      </c>
      <c r="Y4190" s="34" t="s">
        <v>2248</v>
      </c>
      <c r="Z4190" s="34" t="s">
        <v>4223</v>
      </c>
      <c r="AA4190" s="35">
        <v>9.2883064516129044E-2</v>
      </c>
      <c r="AB4190" s="13"/>
      <c r="AC4190" s="13"/>
      <c r="AD4190" s="13"/>
      <c r="AE4190" s="13"/>
      <c r="AF4190" s="13"/>
    </row>
    <row r="4191" spans="19:32" x14ac:dyDescent="0.35">
      <c r="S4191" s="47">
        <v>4187</v>
      </c>
      <c r="T4191" s="47" t="s">
        <v>4284</v>
      </c>
      <c r="U4191" s="47" t="s">
        <v>2273</v>
      </c>
      <c r="V4191" s="56">
        <v>0.18951999999999999</v>
      </c>
      <c r="W4191" s="13"/>
      <c r="X4191" s="34">
        <v>4187</v>
      </c>
      <c r="Y4191" s="34" t="s">
        <v>2248</v>
      </c>
      <c r="Z4191" s="34" t="s">
        <v>4308</v>
      </c>
      <c r="AA4191" s="35">
        <v>2.3169354838709676E-3</v>
      </c>
      <c r="AB4191" s="13"/>
      <c r="AC4191" s="13"/>
      <c r="AD4191" s="13"/>
      <c r="AE4191" s="13"/>
      <c r="AF4191" s="13"/>
    </row>
    <row r="4192" spans="19:32" x14ac:dyDescent="0.35">
      <c r="S4192" s="34">
        <v>4188</v>
      </c>
      <c r="T4192" s="34" t="s">
        <v>4284</v>
      </c>
      <c r="U4192" s="34" t="s">
        <v>3610</v>
      </c>
      <c r="V4192" s="35">
        <v>3.8044354838709682E-5</v>
      </c>
      <c r="W4192" s="13"/>
      <c r="X4192" s="47">
        <v>4188</v>
      </c>
      <c r="Y4192" s="47" t="s">
        <v>2248</v>
      </c>
      <c r="Z4192" s="47" t="s">
        <v>3190</v>
      </c>
      <c r="AA4192" s="56">
        <v>8.8770161290322586E-3</v>
      </c>
      <c r="AB4192" s="13"/>
      <c r="AC4192" s="13"/>
      <c r="AD4192" s="13"/>
      <c r="AE4192" s="13"/>
      <c r="AF4192" s="13"/>
    </row>
    <row r="4193" spans="19:32" x14ac:dyDescent="0.35">
      <c r="S4193" s="47">
        <v>4189</v>
      </c>
      <c r="T4193" s="47" t="s">
        <v>4284</v>
      </c>
      <c r="U4193" s="47" t="s">
        <v>2271</v>
      </c>
      <c r="V4193" s="56">
        <v>8.0315999999999999E-2</v>
      </c>
      <c r="W4193" s="13"/>
      <c r="X4193" s="34">
        <v>4189</v>
      </c>
      <c r="Y4193" s="34" t="s">
        <v>2248</v>
      </c>
      <c r="Z4193" s="34" t="s">
        <v>4307</v>
      </c>
      <c r="AA4193" s="35">
        <v>2.2312500000000002E-3</v>
      </c>
      <c r="AB4193" s="13"/>
      <c r="AC4193" s="13"/>
      <c r="AD4193" s="13"/>
      <c r="AE4193" s="13"/>
      <c r="AF4193" s="13"/>
    </row>
    <row r="4194" spans="19:32" x14ac:dyDescent="0.35">
      <c r="S4194" s="47">
        <v>4190</v>
      </c>
      <c r="T4194" s="47" t="s">
        <v>4284</v>
      </c>
      <c r="U4194" s="47" t="s">
        <v>2269</v>
      </c>
      <c r="V4194" s="56">
        <v>0</v>
      </c>
      <c r="W4194" s="13"/>
      <c r="X4194" s="34">
        <v>4190</v>
      </c>
      <c r="Y4194" s="34" t="s">
        <v>2248</v>
      </c>
      <c r="Z4194" s="34" t="s">
        <v>4221</v>
      </c>
      <c r="AA4194" s="35">
        <v>1.5080645161290326E-4</v>
      </c>
      <c r="AB4194" s="13"/>
      <c r="AC4194" s="13"/>
      <c r="AD4194" s="13"/>
      <c r="AE4194" s="13"/>
      <c r="AF4194" s="13"/>
    </row>
    <row r="4195" spans="19:32" x14ac:dyDescent="0.35">
      <c r="S4195" s="73">
        <v>4191</v>
      </c>
      <c r="T4195" s="73" t="s">
        <v>4284</v>
      </c>
      <c r="U4195" s="73" t="s">
        <v>4306</v>
      </c>
      <c r="V4195" s="74">
        <v>5.4999999949999996</v>
      </c>
      <c r="W4195" s="13"/>
      <c r="X4195" s="34">
        <v>4191</v>
      </c>
      <c r="Y4195" s="34" t="s">
        <v>2248</v>
      </c>
      <c r="Z4195" s="34" t="s">
        <v>4305</v>
      </c>
      <c r="AA4195" s="35">
        <v>1.3024193548387098E-3</v>
      </c>
      <c r="AB4195" s="13"/>
      <c r="AC4195" s="13"/>
      <c r="AD4195" s="13"/>
      <c r="AE4195" s="13"/>
      <c r="AF4195" s="13"/>
    </row>
    <row r="4196" spans="19:32" x14ac:dyDescent="0.35">
      <c r="S4196" s="36">
        <v>4192</v>
      </c>
      <c r="T4196" s="36" t="s">
        <v>4284</v>
      </c>
      <c r="U4196" s="36" t="s">
        <v>4304</v>
      </c>
      <c r="V4196" s="37">
        <v>3.4721500000000001</v>
      </c>
      <c r="W4196" s="13"/>
      <c r="X4196" s="34">
        <v>4192</v>
      </c>
      <c r="Y4196" s="34" t="s">
        <v>2248</v>
      </c>
      <c r="Z4196" s="34" t="s">
        <v>2559</v>
      </c>
      <c r="AA4196" s="35">
        <v>1.370967741935484E-3</v>
      </c>
      <c r="AB4196" s="13"/>
      <c r="AC4196" s="13"/>
      <c r="AD4196" s="13"/>
      <c r="AE4196" s="13"/>
      <c r="AF4196" s="13"/>
    </row>
    <row r="4197" spans="19:32" x14ac:dyDescent="0.35">
      <c r="S4197" s="34">
        <v>4193</v>
      </c>
      <c r="T4197" s="34" t="s">
        <v>4284</v>
      </c>
      <c r="U4197" s="34" t="s">
        <v>3605</v>
      </c>
      <c r="V4197" s="35">
        <v>2.7076612903225811E-4</v>
      </c>
      <c r="W4197" s="13"/>
      <c r="X4197" s="47">
        <v>4193</v>
      </c>
      <c r="Y4197" s="47" t="s">
        <v>2248</v>
      </c>
      <c r="Z4197" s="47" t="s">
        <v>2596</v>
      </c>
      <c r="AA4197" s="56">
        <v>283.36</v>
      </c>
      <c r="AB4197" s="13"/>
      <c r="AC4197" s="13"/>
      <c r="AD4197" s="13"/>
      <c r="AE4197" s="13"/>
      <c r="AF4197" s="13"/>
    </row>
    <row r="4198" spans="19:32" x14ac:dyDescent="0.35">
      <c r="S4198" s="34">
        <v>4194</v>
      </c>
      <c r="T4198" s="34" t="s">
        <v>4284</v>
      </c>
      <c r="U4198" s="34" t="s">
        <v>3604</v>
      </c>
      <c r="V4198" s="35">
        <v>9.082661290322581E-4</v>
      </c>
      <c r="W4198" s="13"/>
      <c r="X4198" s="47">
        <v>4194</v>
      </c>
      <c r="Y4198" s="47" t="s">
        <v>2248</v>
      </c>
      <c r="Z4198" s="47" t="s">
        <v>3189</v>
      </c>
      <c r="AA4198" s="56">
        <v>0.14737903225806454</v>
      </c>
      <c r="AB4198" s="13"/>
      <c r="AC4198" s="13"/>
      <c r="AD4198" s="13"/>
      <c r="AE4198" s="13"/>
      <c r="AF4198" s="13"/>
    </row>
    <row r="4199" spans="19:32" x14ac:dyDescent="0.35">
      <c r="S4199" s="34">
        <v>4195</v>
      </c>
      <c r="T4199" s="34" t="s">
        <v>4284</v>
      </c>
      <c r="U4199" s="34" t="s">
        <v>3602</v>
      </c>
      <c r="V4199" s="35">
        <v>6.2036290322580647E-5</v>
      </c>
      <c r="W4199" s="13"/>
      <c r="X4199" s="34">
        <v>4195</v>
      </c>
      <c r="Y4199" s="34" t="s">
        <v>2248</v>
      </c>
      <c r="Z4199" s="34" t="s">
        <v>4218</v>
      </c>
      <c r="AA4199" s="35">
        <v>2.6425403225806455E-4</v>
      </c>
      <c r="AB4199" s="13"/>
      <c r="AC4199" s="13"/>
      <c r="AD4199" s="13"/>
      <c r="AE4199" s="13"/>
      <c r="AF4199" s="13"/>
    </row>
    <row r="4200" spans="19:32" x14ac:dyDescent="0.35">
      <c r="S4200" s="47">
        <v>4196</v>
      </c>
      <c r="T4200" s="47" t="s">
        <v>4284</v>
      </c>
      <c r="U4200" s="47" t="s">
        <v>2268</v>
      </c>
      <c r="V4200" s="56">
        <v>0.17204</v>
      </c>
      <c r="W4200" s="13"/>
      <c r="X4200" s="34">
        <v>4196</v>
      </c>
      <c r="Y4200" s="34" t="s">
        <v>2248</v>
      </c>
      <c r="Z4200" s="34" t="s">
        <v>4303</v>
      </c>
      <c r="AA4200" s="35">
        <v>1.3195564516129034E-4</v>
      </c>
      <c r="AB4200" s="13"/>
      <c r="AC4200" s="13"/>
      <c r="AD4200" s="13"/>
      <c r="AE4200" s="13"/>
      <c r="AF4200" s="13"/>
    </row>
    <row r="4201" spans="19:32" x14ac:dyDescent="0.35">
      <c r="S4201" s="47">
        <v>4197</v>
      </c>
      <c r="T4201" s="47" t="s">
        <v>4284</v>
      </c>
      <c r="U4201" s="47" t="s">
        <v>2266</v>
      </c>
      <c r="V4201" s="56">
        <v>0</v>
      </c>
      <c r="W4201" s="13"/>
      <c r="X4201" s="47">
        <v>4197</v>
      </c>
      <c r="Y4201" s="47" t="s">
        <v>2248</v>
      </c>
      <c r="Z4201" s="47" t="s">
        <v>2595</v>
      </c>
      <c r="AA4201" s="56">
        <v>2.6127999999999998E-2</v>
      </c>
      <c r="AB4201" s="13"/>
      <c r="AC4201" s="13"/>
      <c r="AD4201" s="13"/>
      <c r="AE4201" s="13"/>
      <c r="AF4201" s="13"/>
    </row>
    <row r="4202" spans="19:32" x14ac:dyDescent="0.35">
      <c r="S4202" s="34">
        <v>4198</v>
      </c>
      <c r="T4202" s="34" t="s">
        <v>4284</v>
      </c>
      <c r="U4202" s="34" t="s">
        <v>3598</v>
      </c>
      <c r="V4202" s="35">
        <v>4.1471774193548392E-3</v>
      </c>
      <c r="W4202" s="13"/>
      <c r="X4202" s="34">
        <v>4198</v>
      </c>
      <c r="Y4202" s="34" t="s">
        <v>2248</v>
      </c>
      <c r="Z4202" s="34" t="s">
        <v>4217</v>
      </c>
      <c r="AA4202" s="35">
        <v>4.0443548387096772E-5</v>
      </c>
      <c r="AB4202" s="13"/>
      <c r="AC4202" s="13"/>
      <c r="AD4202" s="13"/>
      <c r="AE4202" s="13"/>
      <c r="AF4202" s="13"/>
    </row>
    <row r="4203" spans="19:32" x14ac:dyDescent="0.35">
      <c r="S4203" s="34">
        <v>4199</v>
      </c>
      <c r="T4203" s="34" t="s">
        <v>4284</v>
      </c>
      <c r="U4203" s="34" t="s">
        <v>2265</v>
      </c>
      <c r="V4203" s="35">
        <v>7.1633064516129035E-5</v>
      </c>
      <c r="W4203" s="13"/>
      <c r="X4203" s="47">
        <v>4199</v>
      </c>
      <c r="Y4203" s="47" t="s">
        <v>2248</v>
      </c>
      <c r="Z4203" s="47" t="s">
        <v>4302</v>
      </c>
      <c r="AA4203" s="56">
        <v>8.9112903225806461E-6</v>
      </c>
      <c r="AB4203" s="13"/>
      <c r="AC4203" s="13"/>
      <c r="AD4203" s="13"/>
      <c r="AE4203" s="13"/>
      <c r="AF4203" s="13"/>
    </row>
    <row r="4204" spans="19:32" x14ac:dyDescent="0.35">
      <c r="S4204" s="47">
        <v>4200</v>
      </c>
      <c r="T4204" s="47" t="s">
        <v>4284</v>
      </c>
      <c r="U4204" s="47" t="s">
        <v>2265</v>
      </c>
      <c r="V4204" s="56">
        <v>0</v>
      </c>
      <c r="W4204" s="13"/>
      <c r="X4204" s="34">
        <v>4200</v>
      </c>
      <c r="Y4204" s="34" t="s">
        <v>2248</v>
      </c>
      <c r="Z4204" s="34" t="s">
        <v>4301</v>
      </c>
      <c r="AA4204" s="35">
        <v>4.4213709677419361E-5</v>
      </c>
      <c r="AB4204" s="13"/>
      <c r="AC4204" s="13"/>
      <c r="AD4204" s="13"/>
      <c r="AE4204" s="13"/>
      <c r="AF4204" s="13"/>
    </row>
    <row r="4205" spans="19:32" x14ac:dyDescent="0.35">
      <c r="S4205" s="34">
        <v>4201</v>
      </c>
      <c r="T4205" s="34" t="s">
        <v>4284</v>
      </c>
      <c r="U4205" s="34" t="s">
        <v>3593</v>
      </c>
      <c r="V4205" s="35">
        <v>5.7237903225806452E-5</v>
      </c>
      <c r="W4205" s="13"/>
      <c r="X4205" s="34">
        <v>4201</v>
      </c>
      <c r="Y4205" s="34" t="s">
        <v>2248</v>
      </c>
      <c r="Z4205" s="34" t="s">
        <v>2556</v>
      </c>
      <c r="AA4205" s="35">
        <v>2.1421370967741937E-2</v>
      </c>
      <c r="AB4205" s="13"/>
      <c r="AC4205" s="13"/>
      <c r="AD4205" s="13"/>
      <c r="AE4205" s="13"/>
      <c r="AF4205" s="13"/>
    </row>
    <row r="4206" spans="19:32" x14ac:dyDescent="0.35">
      <c r="S4206" s="34">
        <v>4202</v>
      </c>
      <c r="T4206" s="34" t="s">
        <v>4284</v>
      </c>
      <c r="U4206" s="34" t="s">
        <v>3592</v>
      </c>
      <c r="V4206" s="35">
        <v>1.8028225806451613E-4</v>
      </c>
      <c r="W4206" s="13"/>
      <c r="X4206" s="47">
        <v>4202</v>
      </c>
      <c r="Y4206" s="47" t="s">
        <v>2248</v>
      </c>
      <c r="Z4206" s="47" t="s">
        <v>2593</v>
      </c>
      <c r="AA4206" s="56">
        <v>0</v>
      </c>
      <c r="AB4206" s="13"/>
      <c r="AC4206" s="13"/>
      <c r="AD4206" s="13"/>
      <c r="AE4206" s="13"/>
      <c r="AF4206" s="13"/>
    </row>
    <row r="4207" spans="19:32" x14ac:dyDescent="0.35">
      <c r="S4207" s="34">
        <v>4203</v>
      </c>
      <c r="T4207" s="34" t="s">
        <v>4284</v>
      </c>
      <c r="U4207" s="34" t="s">
        <v>3589</v>
      </c>
      <c r="V4207" s="35">
        <v>3.4274193548387101E-4</v>
      </c>
      <c r="W4207" s="13"/>
      <c r="X4207" s="34">
        <v>4203</v>
      </c>
      <c r="Y4207" s="34" t="s">
        <v>2248</v>
      </c>
      <c r="Z4207" s="34" t="s">
        <v>4214</v>
      </c>
      <c r="AA4207" s="35">
        <v>5.3467741935483877E-3</v>
      </c>
      <c r="AB4207" s="13"/>
      <c r="AC4207" s="13"/>
      <c r="AD4207" s="13"/>
      <c r="AE4207" s="13"/>
      <c r="AF4207" s="13"/>
    </row>
    <row r="4208" spans="19:32" x14ac:dyDescent="0.35">
      <c r="S4208" s="34">
        <v>4204</v>
      </c>
      <c r="T4208" s="34" t="s">
        <v>4284</v>
      </c>
      <c r="U4208" s="34" t="s">
        <v>3587</v>
      </c>
      <c r="V4208" s="35">
        <v>1.4429435483870968E-4</v>
      </c>
      <c r="W4208" s="13"/>
      <c r="X4208" s="47">
        <v>4204</v>
      </c>
      <c r="Y4208" s="47" t="s">
        <v>2248</v>
      </c>
      <c r="Z4208" s="47" t="s">
        <v>4300</v>
      </c>
      <c r="AA4208" s="56">
        <v>1.676008064516129E-5</v>
      </c>
      <c r="AB4208" s="13"/>
      <c r="AC4208" s="13"/>
      <c r="AD4208" s="13"/>
      <c r="AE4208" s="13"/>
      <c r="AF4208" s="13"/>
    </row>
    <row r="4209" spans="19:32" x14ac:dyDescent="0.35">
      <c r="S4209" s="34">
        <v>4205</v>
      </c>
      <c r="T4209" s="34" t="s">
        <v>4284</v>
      </c>
      <c r="U4209" s="34" t="s">
        <v>3585</v>
      </c>
      <c r="V4209" s="35">
        <v>9.8024193548387097E-5</v>
      </c>
      <c r="W4209" s="13"/>
      <c r="X4209" s="47">
        <v>4205</v>
      </c>
      <c r="Y4209" s="47" t="s">
        <v>2248</v>
      </c>
      <c r="Z4209" s="47" t="s">
        <v>2592</v>
      </c>
      <c r="AA4209" s="56">
        <v>0</v>
      </c>
      <c r="AB4209" s="13"/>
      <c r="AC4209" s="13"/>
      <c r="AD4209" s="13"/>
      <c r="AE4209" s="13"/>
      <c r="AF4209" s="13"/>
    </row>
    <row r="4210" spans="19:32" x14ac:dyDescent="0.35">
      <c r="S4210" s="34">
        <v>4206</v>
      </c>
      <c r="T4210" s="34" t="s">
        <v>4284</v>
      </c>
      <c r="U4210" s="34" t="s">
        <v>3583</v>
      </c>
      <c r="V4210" s="35">
        <v>1.3812500000000001</v>
      </c>
      <c r="W4210" s="13"/>
      <c r="X4210" s="34">
        <v>4206</v>
      </c>
      <c r="Y4210" s="34" t="s">
        <v>2248</v>
      </c>
      <c r="Z4210" s="34" t="s">
        <v>2592</v>
      </c>
      <c r="AA4210" s="35">
        <v>3.5302419354838713E-3</v>
      </c>
      <c r="AB4210" s="13"/>
      <c r="AC4210" s="13"/>
      <c r="AD4210" s="13"/>
      <c r="AE4210" s="13"/>
      <c r="AF4210" s="13"/>
    </row>
    <row r="4211" spans="19:32" x14ac:dyDescent="0.35">
      <c r="S4211" s="34">
        <v>4207</v>
      </c>
      <c r="T4211" s="34" t="s">
        <v>4284</v>
      </c>
      <c r="U4211" s="34" t="s">
        <v>3581</v>
      </c>
      <c r="V4211" s="35">
        <v>6.2721774193548398E-4</v>
      </c>
      <c r="W4211" s="13"/>
      <c r="X4211" s="34">
        <v>4207</v>
      </c>
      <c r="Y4211" s="34" t="s">
        <v>2248</v>
      </c>
      <c r="Z4211" s="34" t="s">
        <v>4213</v>
      </c>
      <c r="AA4211" s="35">
        <v>5.0040322580645162E-3</v>
      </c>
      <c r="AB4211" s="13"/>
      <c r="AC4211" s="13"/>
      <c r="AD4211" s="13"/>
      <c r="AE4211" s="13"/>
      <c r="AF4211" s="13"/>
    </row>
    <row r="4212" spans="19:32" x14ac:dyDescent="0.35">
      <c r="S4212" s="34">
        <v>4208</v>
      </c>
      <c r="T4212" s="34" t="s">
        <v>4284</v>
      </c>
      <c r="U4212" s="34" t="s">
        <v>3578</v>
      </c>
      <c r="V4212" s="35">
        <v>4.6270161290322583E-4</v>
      </c>
      <c r="W4212" s="13"/>
      <c r="X4212" s="47">
        <v>4208</v>
      </c>
      <c r="Y4212" s="47" t="s">
        <v>2248</v>
      </c>
      <c r="Z4212" s="47" t="s">
        <v>2590</v>
      </c>
      <c r="AA4212" s="56">
        <v>0</v>
      </c>
      <c r="AB4212" s="13"/>
      <c r="AC4212" s="13"/>
      <c r="AD4212" s="13"/>
      <c r="AE4212" s="13"/>
      <c r="AF4212" s="13"/>
    </row>
    <row r="4213" spans="19:32" x14ac:dyDescent="0.35">
      <c r="S4213" s="34">
        <v>4209</v>
      </c>
      <c r="T4213" s="34" t="s">
        <v>4284</v>
      </c>
      <c r="U4213" s="34" t="s">
        <v>3576</v>
      </c>
      <c r="V4213" s="35">
        <v>1.0213709677419356E-2</v>
      </c>
      <c r="W4213" s="13"/>
      <c r="X4213" s="34">
        <v>4209</v>
      </c>
      <c r="Y4213" s="34" t="s">
        <v>2248</v>
      </c>
      <c r="Z4213" s="34" t="s">
        <v>4212</v>
      </c>
      <c r="AA4213" s="35">
        <v>1.2235887096774195E-3</v>
      </c>
      <c r="AB4213" s="13"/>
      <c r="AC4213" s="13"/>
      <c r="AD4213" s="13"/>
      <c r="AE4213" s="13"/>
      <c r="AF4213" s="13"/>
    </row>
    <row r="4214" spans="19:32" x14ac:dyDescent="0.35">
      <c r="S4214" s="34">
        <v>4210</v>
      </c>
      <c r="T4214" s="34" t="s">
        <v>4284</v>
      </c>
      <c r="U4214" s="34" t="s">
        <v>2263</v>
      </c>
      <c r="V4214" s="35">
        <v>2.2860887096774193E-6</v>
      </c>
      <c r="W4214" s="13"/>
      <c r="X4214" s="34">
        <v>4210</v>
      </c>
      <c r="Y4214" s="34" t="s">
        <v>2248</v>
      </c>
      <c r="Z4214" s="34" t="s">
        <v>2590</v>
      </c>
      <c r="AA4214" s="35">
        <v>5.0040322580645169</v>
      </c>
      <c r="AB4214" s="13"/>
      <c r="AC4214" s="13"/>
      <c r="AD4214" s="13"/>
      <c r="AE4214" s="13"/>
      <c r="AF4214" s="13"/>
    </row>
    <row r="4215" spans="19:32" x14ac:dyDescent="0.35">
      <c r="S4215" s="47">
        <v>4211</v>
      </c>
      <c r="T4215" s="47" t="s">
        <v>4284</v>
      </c>
      <c r="U4215" s="47" t="s">
        <v>2263</v>
      </c>
      <c r="V4215" s="56">
        <v>1.1132000000000001E-2</v>
      </c>
      <c r="W4215" s="13"/>
      <c r="X4215" s="34">
        <v>4211</v>
      </c>
      <c r="Y4215" s="34" t="s">
        <v>2248</v>
      </c>
      <c r="Z4215" s="34" t="s">
        <v>4299</v>
      </c>
      <c r="AA4215" s="35">
        <v>1.7274193548387099E-6</v>
      </c>
      <c r="AB4215" s="13"/>
      <c r="AC4215" s="13"/>
      <c r="AD4215" s="13"/>
      <c r="AE4215" s="13"/>
      <c r="AF4215" s="13"/>
    </row>
    <row r="4216" spans="19:32" x14ac:dyDescent="0.35">
      <c r="S4216" s="34">
        <v>4212</v>
      </c>
      <c r="T4216" s="34" t="s">
        <v>4284</v>
      </c>
      <c r="U4216" s="34" t="s">
        <v>3572</v>
      </c>
      <c r="V4216" s="35">
        <v>1.1173387096774193E-6</v>
      </c>
      <c r="W4216" s="13"/>
      <c r="X4216" s="34">
        <v>4212</v>
      </c>
      <c r="Y4216" s="34" t="s">
        <v>2248</v>
      </c>
      <c r="Z4216" s="34" t="s">
        <v>2552</v>
      </c>
      <c r="AA4216" s="35">
        <v>2.882459677419355E-3</v>
      </c>
      <c r="AB4216" s="13"/>
      <c r="AC4216" s="13"/>
      <c r="AD4216" s="13"/>
      <c r="AE4216" s="13"/>
      <c r="AF4216" s="13"/>
    </row>
    <row r="4217" spans="19:32" x14ac:dyDescent="0.35">
      <c r="S4217" s="30">
        <v>4213</v>
      </c>
      <c r="T4217" s="30" t="s">
        <v>4284</v>
      </c>
      <c r="U4217" s="30" t="s">
        <v>2262</v>
      </c>
      <c r="V4217" s="31">
        <v>1.9487999999999999E-3</v>
      </c>
      <c r="W4217" s="13"/>
      <c r="X4217" s="34">
        <v>4213</v>
      </c>
      <c r="Y4217" s="34" t="s">
        <v>2248</v>
      </c>
      <c r="Z4217" s="34" t="s">
        <v>4298</v>
      </c>
      <c r="AA4217" s="35">
        <v>5.963709677419355</v>
      </c>
      <c r="AB4217" s="13"/>
      <c r="AC4217" s="13"/>
      <c r="AD4217" s="13"/>
      <c r="AE4217" s="13"/>
      <c r="AF4217" s="13"/>
    </row>
    <row r="4218" spans="19:32" x14ac:dyDescent="0.35">
      <c r="S4218" s="47">
        <v>4214</v>
      </c>
      <c r="T4218" s="47" t="s">
        <v>4284</v>
      </c>
      <c r="U4218" s="47" t="s">
        <v>2262</v>
      </c>
      <c r="V4218" s="56">
        <v>3.2936000000000001</v>
      </c>
      <c r="W4218" s="13"/>
      <c r="X4218" s="47">
        <v>4214</v>
      </c>
      <c r="Y4218" s="47" t="s">
        <v>2248</v>
      </c>
      <c r="Z4218" s="47" t="s">
        <v>4297</v>
      </c>
      <c r="AA4218" s="56">
        <v>2.553427419354839E-4</v>
      </c>
      <c r="AB4218" s="13"/>
      <c r="AC4218" s="13"/>
      <c r="AD4218" s="13"/>
      <c r="AE4218" s="13"/>
      <c r="AF4218" s="13"/>
    </row>
    <row r="4219" spans="19:32" x14ac:dyDescent="0.35">
      <c r="S4219" s="47">
        <v>4215</v>
      </c>
      <c r="T4219" s="47" t="s">
        <v>4284</v>
      </c>
      <c r="U4219" s="47" t="s">
        <v>2260</v>
      </c>
      <c r="V4219" s="56">
        <v>0</v>
      </c>
      <c r="W4219" s="13"/>
      <c r="X4219" s="34">
        <v>4215</v>
      </c>
      <c r="Y4219" s="34" t="s">
        <v>2248</v>
      </c>
      <c r="Z4219" s="34" t="s">
        <v>4296</v>
      </c>
      <c r="AA4219" s="35">
        <v>2.4848790322580646E-6</v>
      </c>
      <c r="AB4219" s="13"/>
      <c r="AC4219" s="13"/>
      <c r="AD4219" s="13"/>
      <c r="AE4219" s="13"/>
      <c r="AF4219" s="13"/>
    </row>
    <row r="4220" spans="19:32" x14ac:dyDescent="0.35">
      <c r="S4220" s="47">
        <v>4216</v>
      </c>
      <c r="T4220" s="47" t="s">
        <v>4284</v>
      </c>
      <c r="U4220" s="47" t="s">
        <v>2258</v>
      </c>
      <c r="V4220" s="56">
        <v>0</v>
      </c>
      <c r="W4220" s="13"/>
      <c r="X4220" s="34">
        <v>4216</v>
      </c>
      <c r="Y4220" s="34" t="s">
        <v>2248</v>
      </c>
      <c r="Z4220" s="34" t="s">
        <v>2551</v>
      </c>
      <c r="AA4220" s="35">
        <v>1.1653225806451614E-2</v>
      </c>
      <c r="AB4220" s="13"/>
      <c r="AC4220" s="13"/>
      <c r="AD4220" s="13"/>
      <c r="AE4220" s="13"/>
      <c r="AF4220" s="13"/>
    </row>
    <row r="4221" spans="19:32" x14ac:dyDescent="0.35">
      <c r="S4221" s="36">
        <v>4217</v>
      </c>
      <c r="T4221" s="36" t="s">
        <v>4284</v>
      </c>
      <c r="U4221" s="36" t="s">
        <v>4295</v>
      </c>
      <c r="V4221" s="37">
        <v>1.2572499999999998</v>
      </c>
      <c r="W4221" s="13"/>
      <c r="X4221" s="47">
        <v>4217</v>
      </c>
      <c r="Y4221" s="47" t="s">
        <v>2248</v>
      </c>
      <c r="Z4221" s="47" t="s">
        <v>2588</v>
      </c>
      <c r="AA4221" s="56">
        <v>0.16191999999999998</v>
      </c>
      <c r="AB4221" s="13"/>
      <c r="AC4221" s="13"/>
      <c r="AD4221" s="13"/>
      <c r="AE4221" s="13"/>
      <c r="AF4221" s="13"/>
    </row>
    <row r="4222" spans="19:32" x14ac:dyDescent="0.35">
      <c r="S4222" s="47">
        <v>4218</v>
      </c>
      <c r="T4222" s="47" t="s">
        <v>4284</v>
      </c>
      <c r="U4222" s="47" t="s">
        <v>2257</v>
      </c>
      <c r="V4222" s="56">
        <v>0</v>
      </c>
      <c r="W4222" s="13"/>
      <c r="X4222" s="34">
        <v>4218</v>
      </c>
      <c r="Y4222" s="34" t="s">
        <v>2248</v>
      </c>
      <c r="Z4222" s="34" t="s">
        <v>2549</v>
      </c>
      <c r="AA4222" s="35">
        <v>8.705645161290323E-5</v>
      </c>
      <c r="AB4222" s="13"/>
      <c r="AC4222" s="13"/>
      <c r="AD4222" s="13"/>
      <c r="AE4222" s="13"/>
      <c r="AF4222" s="13"/>
    </row>
    <row r="4223" spans="19:32" x14ac:dyDescent="0.35">
      <c r="S4223" s="34">
        <v>4219</v>
      </c>
      <c r="T4223" s="34" t="s">
        <v>4284</v>
      </c>
      <c r="U4223" s="34" t="s">
        <v>3564</v>
      </c>
      <c r="V4223" s="35">
        <v>2.3820564516129034E-4</v>
      </c>
      <c r="W4223" s="13"/>
      <c r="X4223" s="34">
        <v>4219</v>
      </c>
      <c r="Y4223" s="34" t="s">
        <v>2248</v>
      </c>
      <c r="Z4223" s="34" t="s">
        <v>4294</v>
      </c>
      <c r="AA4223" s="35">
        <v>0.40786290322580648</v>
      </c>
      <c r="AB4223" s="13"/>
      <c r="AC4223" s="13"/>
      <c r="AD4223" s="13"/>
      <c r="AE4223" s="13"/>
      <c r="AF4223" s="13"/>
    </row>
    <row r="4224" spans="19:32" x14ac:dyDescent="0.35">
      <c r="S4224" s="34">
        <v>4220</v>
      </c>
      <c r="T4224" s="34" t="s">
        <v>4284</v>
      </c>
      <c r="U4224" s="34" t="s">
        <v>2255</v>
      </c>
      <c r="V4224" s="35">
        <v>3.4616935483870971E-7</v>
      </c>
      <c r="W4224" s="13"/>
      <c r="X4224" s="34">
        <v>4220</v>
      </c>
      <c r="Y4224" s="34" t="s">
        <v>2248</v>
      </c>
      <c r="Z4224" s="34" t="s">
        <v>4293</v>
      </c>
      <c r="AA4224" s="35">
        <v>1.1241935483870968E-7</v>
      </c>
      <c r="AB4224" s="13"/>
      <c r="AC4224" s="13"/>
      <c r="AD4224" s="13"/>
      <c r="AE4224" s="13"/>
      <c r="AF4224" s="13"/>
    </row>
    <row r="4225" spans="19:32" x14ac:dyDescent="0.35">
      <c r="S4225" s="47">
        <v>4221</v>
      </c>
      <c r="T4225" s="47" t="s">
        <v>4284</v>
      </c>
      <c r="U4225" s="47" t="s">
        <v>2255</v>
      </c>
      <c r="V4225" s="56">
        <v>4.3331999999999997E-3</v>
      </c>
      <c r="W4225" s="13"/>
      <c r="X4225" s="34">
        <v>4221</v>
      </c>
      <c r="Y4225" s="34" t="s">
        <v>2248</v>
      </c>
      <c r="Z4225" s="34" t="s">
        <v>2548</v>
      </c>
      <c r="AA4225" s="35">
        <v>1.0556451612903227E-3</v>
      </c>
      <c r="AB4225" s="13"/>
      <c r="AC4225" s="13"/>
      <c r="AD4225" s="13"/>
      <c r="AE4225" s="13"/>
      <c r="AF4225" s="13"/>
    </row>
    <row r="4226" spans="19:32" x14ac:dyDescent="0.35">
      <c r="S4226" s="47">
        <v>4222</v>
      </c>
      <c r="T4226" s="47" t="s">
        <v>4284</v>
      </c>
      <c r="U4226" s="47" t="s">
        <v>2254</v>
      </c>
      <c r="V4226" s="56">
        <v>7.9028000000000009</v>
      </c>
      <c r="W4226" s="13"/>
      <c r="X4226" s="34">
        <v>4222</v>
      </c>
      <c r="Y4226" s="34" t="s">
        <v>2248</v>
      </c>
      <c r="Z4226" s="34" t="s">
        <v>4292</v>
      </c>
      <c r="AA4226" s="35">
        <v>9.0483870967741946E-5</v>
      </c>
      <c r="AB4226" s="13"/>
      <c r="AC4226" s="13"/>
      <c r="AD4226" s="13"/>
      <c r="AE4226" s="13"/>
      <c r="AF4226" s="13"/>
    </row>
    <row r="4227" spans="19:32" x14ac:dyDescent="0.35">
      <c r="S4227" s="47">
        <v>4223</v>
      </c>
      <c r="T4227" s="47" t="s">
        <v>4284</v>
      </c>
      <c r="U4227" s="47" t="s">
        <v>2252</v>
      </c>
      <c r="V4227" s="56">
        <v>0</v>
      </c>
      <c r="W4227" s="13"/>
      <c r="X4227" s="34">
        <v>4223</v>
      </c>
      <c r="Y4227" s="34" t="s">
        <v>2248</v>
      </c>
      <c r="Z4227" s="34" t="s">
        <v>4291</v>
      </c>
      <c r="AA4227" s="35">
        <v>3.094959677419355E-3</v>
      </c>
      <c r="AB4227" s="13"/>
      <c r="AC4227" s="13"/>
      <c r="AD4227" s="13"/>
      <c r="AE4227" s="13"/>
      <c r="AF4227" s="13"/>
    </row>
    <row r="4228" spans="19:32" x14ac:dyDescent="0.35">
      <c r="S4228" s="34">
        <v>4224</v>
      </c>
      <c r="T4228" s="34" t="s">
        <v>4284</v>
      </c>
      <c r="U4228" s="34" t="s">
        <v>2251</v>
      </c>
      <c r="V4228" s="35">
        <v>1.7274193548387098</v>
      </c>
      <c r="W4228" s="13"/>
      <c r="X4228" s="34">
        <v>4224</v>
      </c>
      <c r="Y4228" s="34" t="s">
        <v>2248</v>
      </c>
      <c r="Z4228" s="34" t="s">
        <v>4210</v>
      </c>
      <c r="AA4228" s="35">
        <v>0.23203629032258066</v>
      </c>
      <c r="AB4228" s="13"/>
      <c r="AC4228" s="13"/>
      <c r="AD4228" s="13"/>
      <c r="AE4228" s="13"/>
      <c r="AF4228" s="13"/>
    </row>
    <row r="4229" spans="19:32" x14ac:dyDescent="0.35">
      <c r="S4229" s="47">
        <v>4225</v>
      </c>
      <c r="T4229" s="47" t="s">
        <v>4284</v>
      </c>
      <c r="U4229" s="47" t="s">
        <v>2251</v>
      </c>
      <c r="V4229" s="56">
        <v>0</v>
      </c>
      <c r="W4229" s="13"/>
      <c r="X4229" s="47">
        <v>4225</v>
      </c>
      <c r="Y4229" s="47" t="s">
        <v>2248</v>
      </c>
      <c r="Z4229" s="47" t="s">
        <v>4290</v>
      </c>
      <c r="AA4229" s="56">
        <v>1.4909274193548388E-3</v>
      </c>
      <c r="AB4229" s="13"/>
      <c r="AC4229" s="13"/>
      <c r="AD4229" s="13"/>
      <c r="AE4229" s="13"/>
      <c r="AF4229" s="13"/>
    </row>
    <row r="4230" spans="19:32" x14ac:dyDescent="0.35">
      <c r="S4230" s="34">
        <v>4226</v>
      </c>
      <c r="T4230" s="34" t="s">
        <v>4284</v>
      </c>
      <c r="U4230" s="34" t="s">
        <v>3555</v>
      </c>
      <c r="V4230" s="35">
        <v>10.86491935483871</v>
      </c>
      <c r="W4230" s="13"/>
      <c r="X4230" s="34">
        <v>4226</v>
      </c>
      <c r="Y4230" s="34" t="s">
        <v>2248</v>
      </c>
      <c r="Z4230" s="34" t="s">
        <v>4289</v>
      </c>
      <c r="AA4230" s="35">
        <v>0.37358870967741936</v>
      </c>
      <c r="AB4230" s="13"/>
      <c r="AC4230" s="13"/>
      <c r="AD4230" s="13"/>
      <c r="AE4230" s="13"/>
      <c r="AF4230" s="13"/>
    </row>
    <row r="4231" spans="19:32" x14ac:dyDescent="0.35">
      <c r="S4231" s="34">
        <v>4227</v>
      </c>
      <c r="T4231" s="34" t="s">
        <v>4284</v>
      </c>
      <c r="U4231" s="34" t="s">
        <v>3553</v>
      </c>
      <c r="V4231" s="35">
        <v>3.070967741935484E-6</v>
      </c>
      <c r="W4231" s="13"/>
      <c r="X4231" s="34">
        <v>4227</v>
      </c>
      <c r="Y4231" s="34" t="s">
        <v>2248</v>
      </c>
      <c r="Z4231" s="34" t="s">
        <v>4208</v>
      </c>
      <c r="AA4231" s="35">
        <v>6.3407258064516131E-3</v>
      </c>
      <c r="AB4231" s="13"/>
      <c r="AC4231" s="13"/>
      <c r="AD4231" s="13"/>
      <c r="AE4231" s="13"/>
      <c r="AF4231" s="13"/>
    </row>
    <row r="4232" spans="19:32" x14ac:dyDescent="0.35">
      <c r="S4232" s="34">
        <v>4228</v>
      </c>
      <c r="T4232" s="34" t="s">
        <v>4284</v>
      </c>
      <c r="U4232" s="34" t="s">
        <v>3550</v>
      </c>
      <c r="V4232" s="35">
        <v>4.6955645161290328E-6</v>
      </c>
      <c r="W4232" s="13"/>
      <c r="X4232" s="47">
        <v>4228</v>
      </c>
      <c r="Y4232" s="47" t="s">
        <v>2248</v>
      </c>
      <c r="Z4232" s="47" t="s">
        <v>2587</v>
      </c>
      <c r="AA4232" s="56">
        <v>0</v>
      </c>
      <c r="AB4232" s="13"/>
      <c r="AC4232" s="13"/>
      <c r="AD4232" s="13"/>
      <c r="AE4232" s="13"/>
      <c r="AF4232" s="13"/>
    </row>
    <row r="4233" spans="19:32" x14ac:dyDescent="0.35">
      <c r="S4233" s="34">
        <v>4229</v>
      </c>
      <c r="T4233" s="34" t="s">
        <v>4284</v>
      </c>
      <c r="U4233" s="34" t="s">
        <v>3548</v>
      </c>
      <c r="V4233" s="35">
        <v>4.5927419354838712E-6</v>
      </c>
      <c r="W4233" s="13"/>
      <c r="X4233" s="34">
        <v>4229</v>
      </c>
      <c r="Y4233" s="34" t="s">
        <v>2248</v>
      </c>
      <c r="Z4233" s="34" t="s">
        <v>2587</v>
      </c>
      <c r="AA4233" s="35">
        <v>0.46612903225806457</v>
      </c>
      <c r="AB4233" s="13"/>
      <c r="AC4233" s="13"/>
      <c r="AD4233" s="13"/>
      <c r="AE4233" s="13"/>
      <c r="AF4233" s="13"/>
    </row>
    <row r="4234" spans="19:32" x14ac:dyDescent="0.35">
      <c r="S4234" s="34">
        <v>4230</v>
      </c>
      <c r="T4234" s="34" t="s">
        <v>4284</v>
      </c>
      <c r="U4234" s="34" t="s">
        <v>2249</v>
      </c>
      <c r="V4234" s="35">
        <v>2.4197580645161292E-2</v>
      </c>
      <c r="W4234" s="13"/>
      <c r="X4234" s="34">
        <v>4230</v>
      </c>
      <c r="Y4234" s="34" t="s">
        <v>2248</v>
      </c>
      <c r="Z4234" s="34" t="s">
        <v>4207</v>
      </c>
      <c r="AA4234" s="35">
        <v>1.3092741935483872E-2</v>
      </c>
      <c r="AB4234" s="13"/>
      <c r="AC4234" s="13"/>
      <c r="AD4234" s="13"/>
      <c r="AE4234" s="13"/>
      <c r="AF4234" s="13"/>
    </row>
    <row r="4235" spans="19:32" x14ac:dyDescent="0.35">
      <c r="S4235" s="47">
        <v>4231</v>
      </c>
      <c r="T4235" s="47" t="s">
        <v>4284</v>
      </c>
      <c r="U4235" s="47" t="s">
        <v>2249</v>
      </c>
      <c r="V4235" s="56">
        <v>5.0231999999999999E-2</v>
      </c>
      <c r="W4235" s="13"/>
      <c r="X4235" s="34">
        <v>4231</v>
      </c>
      <c r="Y4235" s="34" t="s">
        <v>2248</v>
      </c>
      <c r="Z4235" s="34" t="s">
        <v>4288</v>
      </c>
      <c r="AA4235" s="35">
        <v>3.42741935483871E-7</v>
      </c>
      <c r="AB4235" s="13"/>
      <c r="AC4235" s="13"/>
      <c r="AD4235" s="13"/>
      <c r="AE4235" s="13"/>
      <c r="AF4235" s="13"/>
    </row>
    <row r="4236" spans="19:32" x14ac:dyDescent="0.35">
      <c r="S4236" s="34">
        <v>4232</v>
      </c>
      <c r="T4236" s="34" t="s">
        <v>4284</v>
      </c>
      <c r="U4236" s="34" t="s">
        <v>2247</v>
      </c>
      <c r="V4236" s="35">
        <v>0.11858870967741936</v>
      </c>
      <c r="W4236" s="13"/>
      <c r="X4236" s="36">
        <v>4232</v>
      </c>
      <c r="Y4236" s="36" t="s">
        <v>2248</v>
      </c>
      <c r="Z4236" s="36" t="s">
        <v>4287</v>
      </c>
      <c r="AA4236" s="37">
        <v>4.7</v>
      </c>
      <c r="AB4236" s="13"/>
      <c r="AC4236" s="13"/>
      <c r="AD4236" s="13"/>
      <c r="AE4236" s="13"/>
      <c r="AF4236" s="13"/>
    </row>
    <row r="4237" spans="19:32" x14ac:dyDescent="0.35">
      <c r="S4237" s="47">
        <v>4233</v>
      </c>
      <c r="T4237" s="47" t="s">
        <v>4284</v>
      </c>
      <c r="U4237" s="47" t="s">
        <v>2247</v>
      </c>
      <c r="V4237" s="56">
        <v>0.42043999999999998</v>
      </c>
      <c r="W4237" s="13"/>
      <c r="X4237" s="34">
        <v>4233</v>
      </c>
      <c r="Y4237" s="34" t="s">
        <v>2248</v>
      </c>
      <c r="Z4237" s="34" t="s">
        <v>4206</v>
      </c>
      <c r="AA4237" s="35">
        <v>1.7137096774193551E-2</v>
      </c>
      <c r="AB4237" s="13"/>
      <c r="AC4237" s="13"/>
      <c r="AD4237" s="13"/>
      <c r="AE4237" s="13"/>
      <c r="AF4237" s="13"/>
    </row>
    <row r="4238" spans="19:32" x14ac:dyDescent="0.35">
      <c r="S4238" s="75">
        <v>4234</v>
      </c>
      <c r="T4238" s="75" t="s">
        <v>4284</v>
      </c>
      <c r="U4238" s="34" t="s">
        <v>4286</v>
      </c>
      <c r="V4238" s="35">
        <v>2.1078629032258065E-5</v>
      </c>
      <c r="W4238" s="13"/>
      <c r="X4238" s="47">
        <v>4234</v>
      </c>
      <c r="Y4238" s="47" t="s">
        <v>2248</v>
      </c>
      <c r="Z4238" s="47" t="s">
        <v>2585</v>
      </c>
      <c r="AA4238" s="56">
        <v>7.3599999999999999E-2</v>
      </c>
      <c r="AB4238" s="13"/>
      <c r="AC4238" s="13"/>
      <c r="AD4238" s="13"/>
      <c r="AE4238" s="13"/>
      <c r="AF4238" s="13"/>
    </row>
    <row r="4239" spans="19:32" x14ac:dyDescent="0.35">
      <c r="S4239" s="34">
        <v>4235</v>
      </c>
      <c r="T4239" s="34" t="s">
        <v>4284</v>
      </c>
      <c r="U4239" s="34" t="s">
        <v>4285</v>
      </c>
      <c r="V4239" s="35">
        <v>1.227016129032258E-5</v>
      </c>
      <c r="W4239" s="13"/>
      <c r="X4239" s="47">
        <v>4235</v>
      </c>
      <c r="Y4239" s="47" t="s">
        <v>2248</v>
      </c>
      <c r="Z4239" s="47" t="s">
        <v>3186</v>
      </c>
      <c r="AA4239" s="56">
        <v>3.9072580645161292E-4</v>
      </c>
      <c r="AB4239" s="13"/>
      <c r="AC4239" s="13"/>
      <c r="AD4239" s="13"/>
      <c r="AE4239" s="13"/>
      <c r="AF4239" s="13"/>
    </row>
    <row r="4240" spans="19:32" x14ac:dyDescent="0.35">
      <c r="S4240" s="76">
        <v>4236</v>
      </c>
      <c r="T4240" s="76" t="s">
        <v>4284</v>
      </c>
      <c r="U4240" s="76" t="s">
        <v>4283</v>
      </c>
      <c r="V4240" s="77">
        <v>9.1640000000000003E-3</v>
      </c>
      <c r="W4240" s="13"/>
      <c r="X4240" s="34">
        <v>4236</v>
      </c>
      <c r="Y4240" s="34" t="s">
        <v>2248</v>
      </c>
      <c r="Z4240" s="34" t="s">
        <v>2585</v>
      </c>
      <c r="AA4240" s="35">
        <v>3.0332661290322584E-5</v>
      </c>
      <c r="AB4240" s="13"/>
      <c r="AC4240" s="13"/>
      <c r="AD4240" s="13"/>
      <c r="AE4240" s="13"/>
      <c r="AF4240" s="13"/>
    </row>
    <row r="4241" spans="19:32" x14ac:dyDescent="0.35">
      <c r="S4241" s="97">
        <v>4237</v>
      </c>
      <c r="T4241" s="97" t="s">
        <v>4284</v>
      </c>
      <c r="U4241" s="97" t="s">
        <v>5857</v>
      </c>
      <c r="V4241" s="98">
        <v>32660000</v>
      </c>
      <c r="W4241" s="13"/>
      <c r="X4241" s="34">
        <v>4237</v>
      </c>
      <c r="Y4241" s="34" t="s">
        <v>2248</v>
      </c>
      <c r="Z4241" s="34" t="s">
        <v>2545</v>
      </c>
      <c r="AA4241" s="35">
        <v>0.21250000000000002</v>
      </c>
      <c r="AB4241" s="13"/>
      <c r="AC4241" s="13"/>
      <c r="AD4241" s="13"/>
      <c r="AE4241" s="13"/>
      <c r="AF4241" s="13"/>
    </row>
    <row r="4242" spans="19:32" x14ac:dyDescent="0.35">
      <c r="S4242" s="13"/>
      <c r="T4242" s="16"/>
      <c r="U4242" s="16"/>
      <c r="V4242" s="16"/>
      <c r="W4242" s="13"/>
      <c r="X4242" s="34">
        <v>4238</v>
      </c>
      <c r="Y4242" s="34" t="s">
        <v>2248</v>
      </c>
      <c r="Z4242" s="34" t="s">
        <v>2542</v>
      </c>
      <c r="AA4242" s="35">
        <v>1.4018145161290322E-3</v>
      </c>
      <c r="AB4242" s="13"/>
      <c r="AC4242" s="13"/>
      <c r="AD4242" s="13"/>
      <c r="AE4242" s="13"/>
      <c r="AF4242" s="13"/>
    </row>
    <row r="4243" spans="19:32" x14ac:dyDescent="0.35">
      <c r="S4243" s="13"/>
      <c r="T4243" s="16"/>
      <c r="U4243" s="16"/>
      <c r="V4243" s="16"/>
      <c r="W4243" s="13"/>
      <c r="X4243" s="47">
        <v>4239</v>
      </c>
      <c r="Y4243" s="47" t="s">
        <v>2248</v>
      </c>
      <c r="Z4243" s="47" t="s">
        <v>2584</v>
      </c>
      <c r="AA4243" s="56">
        <v>0.26035999999999998</v>
      </c>
      <c r="AB4243" s="13"/>
      <c r="AC4243" s="13"/>
      <c r="AD4243" s="13"/>
      <c r="AE4243" s="13"/>
      <c r="AF4243" s="13"/>
    </row>
    <row r="4244" spans="19:32" x14ac:dyDescent="0.35">
      <c r="S4244" s="13"/>
      <c r="T4244" s="16"/>
      <c r="U4244" s="16"/>
      <c r="V4244" s="16"/>
      <c r="W4244" s="13"/>
      <c r="X4244" s="34">
        <v>4240</v>
      </c>
      <c r="Y4244" s="34" t="s">
        <v>2248</v>
      </c>
      <c r="Z4244" s="34" t="s">
        <v>2584</v>
      </c>
      <c r="AA4244" s="35">
        <v>3.9415322580645161E-3</v>
      </c>
      <c r="AB4244" s="13"/>
      <c r="AC4244" s="13"/>
      <c r="AD4244" s="13"/>
      <c r="AE4244" s="13"/>
      <c r="AF4244" s="13"/>
    </row>
    <row r="4245" spans="19:32" x14ac:dyDescent="0.35">
      <c r="S4245" s="13"/>
      <c r="T4245" s="16"/>
      <c r="U4245" s="16"/>
      <c r="V4245" s="16"/>
      <c r="W4245" s="13"/>
      <c r="X4245" s="47">
        <v>4241</v>
      </c>
      <c r="Y4245" s="47" t="s">
        <v>2248</v>
      </c>
      <c r="Z4245" s="47" t="s">
        <v>4282</v>
      </c>
      <c r="AA4245" s="56">
        <v>8.362903225806452E-2</v>
      </c>
      <c r="AB4245" s="13"/>
      <c r="AC4245" s="13"/>
      <c r="AD4245" s="13"/>
      <c r="AE4245" s="13"/>
      <c r="AF4245" s="13"/>
    </row>
    <row r="4246" spans="19:32" x14ac:dyDescent="0.35">
      <c r="S4246" s="13"/>
      <c r="T4246" s="16"/>
      <c r="U4246" s="16"/>
      <c r="V4246" s="16"/>
      <c r="W4246" s="13"/>
      <c r="X4246" s="34">
        <v>4242</v>
      </c>
      <c r="Y4246" s="34" t="s">
        <v>2248</v>
      </c>
      <c r="Z4246" s="34" t="s">
        <v>4202</v>
      </c>
      <c r="AA4246" s="35">
        <v>1.2612903225806453</v>
      </c>
      <c r="AB4246" s="13"/>
      <c r="AC4246" s="13"/>
      <c r="AD4246" s="13"/>
      <c r="AE4246" s="13"/>
      <c r="AF4246" s="13"/>
    </row>
    <row r="4247" spans="19:32" x14ac:dyDescent="0.35">
      <c r="S4247" s="13"/>
      <c r="T4247" s="16"/>
      <c r="U4247" s="16"/>
      <c r="V4247" s="16"/>
      <c r="W4247" s="13"/>
      <c r="X4247" s="34">
        <v>4243</v>
      </c>
      <c r="Y4247" s="34" t="s">
        <v>2248</v>
      </c>
      <c r="Z4247" s="34" t="s">
        <v>4281</v>
      </c>
      <c r="AA4247" s="35">
        <v>6.2721774193548398E-4</v>
      </c>
      <c r="AB4247" s="13"/>
      <c r="AC4247" s="13"/>
      <c r="AD4247" s="13"/>
      <c r="AE4247" s="13"/>
      <c r="AF4247" s="13"/>
    </row>
    <row r="4248" spans="19:32" x14ac:dyDescent="0.35">
      <c r="S4248" s="13"/>
      <c r="T4248" s="16"/>
      <c r="U4248" s="16"/>
      <c r="V4248" s="16"/>
      <c r="W4248" s="13"/>
      <c r="X4248" s="34">
        <v>4244</v>
      </c>
      <c r="Y4248" s="34" t="s">
        <v>2248</v>
      </c>
      <c r="Z4248" s="34" t="s">
        <v>2534</v>
      </c>
      <c r="AA4248" s="35">
        <v>1.2270161290322582E-2</v>
      </c>
      <c r="AB4248" s="13"/>
      <c r="AC4248" s="13"/>
      <c r="AD4248" s="13"/>
      <c r="AE4248" s="13"/>
      <c r="AF4248" s="13"/>
    </row>
    <row r="4249" spans="19:32" x14ac:dyDescent="0.35">
      <c r="S4249" s="13"/>
      <c r="T4249" s="16"/>
      <c r="U4249" s="16"/>
      <c r="V4249" s="16"/>
      <c r="W4249" s="13"/>
      <c r="X4249" s="34">
        <v>4245</v>
      </c>
      <c r="Y4249" s="34" t="s">
        <v>2248</v>
      </c>
      <c r="Z4249" s="34" t="s">
        <v>4280</v>
      </c>
      <c r="AA4249" s="35">
        <v>2.344354838709678E-3</v>
      </c>
      <c r="AB4249" s="13"/>
      <c r="AC4249" s="13"/>
      <c r="AD4249" s="13"/>
      <c r="AE4249" s="13"/>
      <c r="AF4249" s="13"/>
    </row>
    <row r="4250" spans="19:32" x14ac:dyDescent="0.35">
      <c r="S4250" s="13"/>
      <c r="T4250" s="16"/>
      <c r="U4250" s="16"/>
      <c r="V4250" s="16"/>
      <c r="W4250" s="13"/>
      <c r="X4250" s="47">
        <v>4246</v>
      </c>
      <c r="Y4250" s="47" t="s">
        <v>2248</v>
      </c>
      <c r="Z4250" s="47" t="s">
        <v>3182</v>
      </c>
      <c r="AA4250" s="56">
        <v>2.7282258064516132E-2</v>
      </c>
      <c r="AB4250" s="13"/>
      <c r="AC4250" s="13"/>
      <c r="AD4250" s="13"/>
      <c r="AE4250" s="13"/>
      <c r="AF4250" s="13"/>
    </row>
    <row r="4251" spans="19:32" x14ac:dyDescent="0.35">
      <c r="S4251" s="13"/>
      <c r="T4251" s="16"/>
      <c r="U4251" s="16"/>
      <c r="V4251" s="16"/>
      <c r="W4251" s="13"/>
      <c r="X4251" s="34">
        <v>4247</v>
      </c>
      <c r="Y4251" s="34" t="s">
        <v>2248</v>
      </c>
      <c r="Z4251" s="34" t="s">
        <v>4279</v>
      </c>
      <c r="AA4251" s="35">
        <v>2.7042338709677423E-3</v>
      </c>
      <c r="AB4251" s="13"/>
      <c r="AC4251" s="13"/>
      <c r="AD4251" s="13"/>
      <c r="AE4251" s="13"/>
      <c r="AF4251" s="13"/>
    </row>
    <row r="4252" spans="19:32" x14ac:dyDescent="0.35">
      <c r="S4252" s="13"/>
      <c r="T4252" s="16"/>
      <c r="U4252" s="16"/>
      <c r="V4252" s="16"/>
      <c r="W4252" s="13"/>
      <c r="X4252" s="34">
        <v>4248</v>
      </c>
      <c r="Y4252" s="34" t="s">
        <v>2248</v>
      </c>
      <c r="Z4252" s="34" t="s">
        <v>4199</v>
      </c>
      <c r="AA4252" s="35">
        <v>8.3971774193548399E-2</v>
      </c>
      <c r="AB4252" s="13"/>
      <c r="AC4252" s="13"/>
      <c r="AD4252" s="13"/>
      <c r="AE4252" s="13"/>
      <c r="AF4252" s="13"/>
    </row>
    <row r="4253" spans="19:32" x14ac:dyDescent="0.35">
      <c r="S4253" s="13"/>
      <c r="T4253" s="16"/>
      <c r="U4253" s="16"/>
      <c r="V4253" s="16"/>
      <c r="W4253" s="13"/>
      <c r="X4253" s="47">
        <v>4249</v>
      </c>
      <c r="Y4253" s="47" t="s">
        <v>2248</v>
      </c>
      <c r="Z4253" s="47" t="s">
        <v>2582</v>
      </c>
      <c r="AA4253" s="56">
        <v>0</v>
      </c>
      <c r="AB4253" s="13"/>
      <c r="AC4253" s="13"/>
      <c r="AD4253" s="13"/>
      <c r="AE4253" s="13"/>
      <c r="AF4253" s="13"/>
    </row>
    <row r="4254" spans="19:32" x14ac:dyDescent="0.35">
      <c r="S4254" s="13"/>
      <c r="T4254" s="16"/>
      <c r="U4254" s="16"/>
      <c r="V4254" s="16"/>
      <c r="W4254" s="13"/>
      <c r="X4254" s="34">
        <v>4250</v>
      </c>
      <c r="Y4254" s="34" t="s">
        <v>2248</v>
      </c>
      <c r="Z4254" s="34" t="s">
        <v>4197</v>
      </c>
      <c r="AA4254" s="35">
        <v>0.60322580645161294</v>
      </c>
      <c r="AB4254" s="13"/>
      <c r="AC4254" s="13"/>
      <c r="AD4254" s="13"/>
      <c r="AE4254" s="13"/>
      <c r="AF4254" s="13"/>
    </row>
    <row r="4255" spans="19:32" x14ac:dyDescent="0.35">
      <c r="S4255" s="13"/>
      <c r="T4255" s="16"/>
      <c r="U4255" s="16"/>
      <c r="V4255" s="16"/>
      <c r="W4255" s="13"/>
      <c r="X4255" s="36">
        <v>4251</v>
      </c>
      <c r="Y4255" s="36" t="s">
        <v>2248</v>
      </c>
      <c r="Z4255" s="36" t="s">
        <v>4278</v>
      </c>
      <c r="AA4255" s="37">
        <v>4.5590000000000002</v>
      </c>
      <c r="AB4255" s="13"/>
      <c r="AC4255" s="13"/>
      <c r="AD4255" s="13"/>
      <c r="AE4255" s="13"/>
      <c r="AF4255" s="13"/>
    </row>
    <row r="4256" spans="19:32" x14ac:dyDescent="0.35">
      <c r="S4256" s="13"/>
      <c r="T4256" s="16"/>
      <c r="U4256" s="16"/>
      <c r="V4256" s="16"/>
      <c r="W4256" s="13"/>
      <c r="X4256" s="47">
        <v>4252</v>
      </c>
      <c r="Y4256" s="47" t="s">
        <v>2248</v>
      </c>
      <c r="Z4256" s="47" t="s">
        <v>4277</v>
      </c>
      <c r="AA4256" s="56">
        <v>3.5645161290322587E-4</v>
      </c>
      <c r="AB4256" s="13"/>
      <c r="AC4256" s="13"/>
      <c r="AD4256" s="13"/>
      <c r="AE4256" s="13"/>
      <c r="AF4256" s="13"/>
    </row>
    <row r="4257" spans="19:32" x14ac:dyDescent="0.35">
      <c r="S4257" s="13"/>
      <c r="T4257" s="16"/>
      <c r="U4257" s="16"/>
      <c r="V4257" s="16"/>
      <c r="W4257" s="13"/>
      <c r="X4257" s="34">
        <v>4253</v>
      </c>
      <c r="Y4257" s="34" t="s">
        <v>2248</v>
      </c>
      <c r="Z4257" s="34" t="s">
        <v>4276</v>
      </c>
      <c r="AA4257" s="35">
        <v>1.2989919354838709E-3</v>
      </c>
      <c r="AB4257" s="13"/>
      <c r="AC4257" s="13"/>
      <c r="AD4257" s="13"/>
      <c r="AE4257" s="13"/>
      <c r="AF4257" s="13"/>
    </row>
    <row r="4258" spans="19:32" x14ac:dyDescent="0.35">
      <c r="S4258" s="13"/>
      <c r="T4258" s="16"/>
      <c r="U4258" s="16"/>
      <c r="V4258" s="16"/>
      <c r="W4258" s="13"/>
      <c r="X4258" s="34">
        <v>4254</v>
      </c>
      <c r="Y4258" s="34" t="s">
        <v>2248</v>
      </c>
      <c r="Z4258" s="34" t="s">
        <v>2524</v>
      </c>
      <c r="AA4258" s="35">
        <v>3.3485887096774199E-2</v>
      </c>
      <c r="AB4258" s="13"/>
      <c r="AC4258" s="13"/>
      <c r="AD4258" s="13"/>
      <c r="AE4258" s="13"/>
      <c r="AF4258" s="13"/>
    </row>
    <row r="4259" spans="19:32" x14ac:dyDescent="0.35">
      <c r="S4259" s="13"/>
      <c r="T4259" s="16"/>
      <c r="U4259" s="16"/>
      <c r="V4259" s="16"/>
      <c r="W4259" s="13"/>
      <c r="X4259" s="34">
        <v>4255</v>
      </c>
      <c r="Y4259" s="34" t="s">
        <v>2248</v>
      </c>
      <c r="Z4259" s="34" t="s">
        <v>4275</v>
      </c>
      <c r="AA4259" s="35">
        <v>5.381048387096775E-3</v>
      </c>
      <c r="AB4259" s="13"/>
      <c r="AC4259" s="13"/>
      <c r="AD4259" s="13"/>
      <c r="AE4259" s="13"/>
      <c r="AF4259" s="13"/>
    </row>
    <row r="4260" spans="19:32" x14ac:dyDescent="0.35">
      <c r="S4260" s="13"/>
      <c r="T4260" s="16"/>
      <c r="U4260" s="16"/>
      <c r="V4260" s="16"/>
      <c r="W4260" s="13"/>
      <c r="X4260" s="34">
        <v>4256</v>
      </c>
      <c r="Y4260" s="34" t="s">
        <v>2248</v>
      </c>
      <c r="Z4260" s="34" t="s">
        <v>4194</v>
      </c>
      <c r="AA4260" s="35">
        <v>6.5120967741935491E-4</v>
      </c>
      <c r="AB4260" s="13"/>
      <c r="AC4260" s="13"/>
      <c r="AD4260" s="13"/>
      <c r="AE4260" s="13"/>
      <c r="AF4260" s="13"/>
    </row>
    <row r="4261" spans="19:32" x14ac:dyDescent="0.35">
      <c r="S4261" s="13"/>
      <c r="T4261" s="16"/>
      <c r="U4261" s="16"/>
      <c r="V4261" s="16"/>
      <c r="W4261" s="13"/>
      <c r="X4261" s="34">
        <v>4257</v>
      </c>
      <c r="Y4261" s="34" t="s">
        <v>2248</v>
      </c>
      <c r="Z4261" s="34" t="s">
        <v>4274</v>
      </c>
      <c r="AA4261" s="35">
        <v>1.6074596774193549E-3</v>
      </c>
      <c r="AB4261" s="13"/>
      <c r="AC4261" s="13"/>
      <c r="AD4261" s="13"/>
      <c r="AE4261" s="13"/>
      <c r="AF4261" s="13"/>
    </row>
    <row r="4262" spans="19:32" x14ac:dyDescent="0.35">
      <c r="S4262" s="13"/>
      <c r="T4262" s="16"/>
      <c r="U4262" s="16"/>
      <c r="V4262" s="16"/>
      <c r="W4262" s="13"/>
      <c r="X4262" s="34">
        <v>4258</v>
      </c>
      <c r="Y4262" s="34" t="s">
        <v>2248</v>
      </c>
      <c r="Z4262" s="34" t="s">
        <v>4273</v>
      </c>
      <c r="AA4262" s="35">
        <v>5.6552419354838713E-5</v>
      </c>
      <c r="AB4262" s="13"/>
      <c r="AC4262" s="13"/>
      <c r="AD4262" s="13"/>
      <c r="AE4262" s="13"/>
      <c r="AF4262" s="13"/>
    </row>
    <row r="4263" spans="19:32" x14ac:dyDescent="0.35">
      <c r="S4263" s="13"/>
      <c r="T4263" s="16"/>
      <c r="U4263" s="16"/>
      <c r="V4263" s="16"/>
      <c r="W4263" s="13"/>
      <c r="X4263" s="34">
        <v>4259</v>
      </c>
      <c r="Y4263" s="34" t="s">
        <v>2248</v>
      </c>
      <c r="Z4263" s="34" t="s">
        <v>4193</v>
      </c>
      <c r="AA4263" s="35">
        <v>9.45967741935484E-4</v>
      </c>
      <c r="AB4263" s="13"/>
      <c r="AC4263" s="13"/>
      <c r="AD4263" s="13"/>
      <c r="AE4263" s="13"/>
      <c r="AF4263" s="13"/>
    </row>
    <row r="4264" spans="19:32" x14ac:dyDescent="0.35">
      <c r="S4264" s="13"/>
      <c r="T4264" s="16"/>
      <c r="U4264" s="16"/>
      <c r="V4264" s="16"/>
      <c r="W4264" s="13"/>
      <c r="X4264" s="34">
        <v>4260</v>
      </c>
      <c r="Y4264" s="34" t="s">
        <v>2248</v>
      </c>
      <c r="Z4264" s="34" t="s">
        <v>4272</v>
      </c>
      <c r="AA4264" s="35">
        <v>3.2663306451612903E-3</v>
      </c>
      <c r="AB4264" s="13"/>
      <c r="AC4264" s="13"/>
      <c r="AD4264" s="13"/>
      <c r="AE4264" s="13"/>
      <c r="AF4264" s="13"/>
    </row>
    <row r="4265" spans="19:32" x14ac:dyDescent="0.35">
      <c r="S4265" s="13"/>
      <c r="T4265" s="16"/>
      <c r="U4265" s="16"/>
      <c r="V4265" s="16"/>
      <c r="W4265" s="13"/>
      <c r="X4265" s="47">
        <v>4261</v>
      </c>
      <c r="Y4265" s="47" t="s">
        <v>2248</v>
      </c>
      <c r="Z4265" s="47" t="s">
        <v>4271</v>
      </c>
      <c r="AA4265" s="56">
        <v>0.24300403225806452</v>
      </c>
      <c r="AB4265" s="13"/>
      <c r="AC4265" s="13"/>
      <c r="AD4265" s="13"/>
      <c r="AE4265" s="13"/>
      <c r="AF4265" s="13"/>
    </row>
    <row r="4266" spans="19:32" x14ac:dyDescent="0.35">
      <c r="S4266" s="13"/>
      <c r="T4266" s="16"/>
      <c r="U4266" s="16"/>
      <c r="V4266" s="16"/>
      <c r="W4266" s="13"/>
      <c r="X4266" s="34">
        <v>4262</v>
      </c>
      <c r="Y4266" s="34" t="s">
        <v>2248</v>
      </c>
      <c r="Z4266" s="34" t="s">
        <v>4270</v>
      </c>
      <c r="AA4266" s="35">
        <v>5.8608870967741941E-3</v>
      </c>
      <c r="AB4266" s="13"/>
      <c r="AC4266" s="13"/>
      <c r="AD4266" s="13"/>
      <c r="AE4266" s="13"/>
      <c r="AF4266" s="13"/>
    </row>
    <row r="4267" spans="19:32" x14ac:dyDescent="0.35">
      <c r="S4267" s="13"/>
      <c r="T4267" s="16"/>
      <c r="U4267" s="16"/>
      <c r="V4267" s="16"/>
      <c r="W4267" s="13"/>
      <c r="X4267" s="34">
        <v>4263</v>
      </c>
      <c r="Y4267" s="34" t="s">
        <v>2248</v>
      </c>
      <c r="Z4267" s="34" t="s">
        <v>4191</v>
      </c>
      <c r="AA4267" s="35">
        <v>2.8961693548387097E-3</v>
      </c>
      <c r="AB4267" s="13"/>
      <c r="AC4267" s="13"/>
      <c r="AD4267" s="13"/>
      <c r="AE4267" s="13"/>
      <c r="AF4267" s="13"/>
    </row>
    <row r="4268" spans="19:32" x14ac:dyDescent="0.35">
      <c r="S4268" s="13"/>
      <c r="T4268" s="16"/>
      <c r="U4268" s="16"/>
      <c r="V4268" s="16"/>
      <c r="W4268" s="13"/>
      <c r="X4268" s="34">
        <v>4264</v>
      </c>
      <c r="Y4268" s="34" t="s">
        <v>2248</v>
      </c>
      <c r="Z4268" s="34" t="s">
        <v>4269</v>
      </c>
      <c r="AA4268" s="35">
        <v>2.8036290322580645E-3</v>
      </c>
      <c r="AB4268" s="13"/>
      <c r="AC4268" s="13"/>
      <c r="AD4268" s="13"/>
      <c r="AE4268" s="13"/>
      <c r="AF4268" s="13"/>
    </row>
    <row r="4269" spans="19:32" x14ac:dyDescent="0.35">
      <c r="S4269" s="13"/>
      <c r="T4269" s="16"/>
      <c r="U4269" s="16"/>
      <c r="V4269" s="16"/>
      <c r="W4269" s="13"/>
      <c r="X4269" s="34">
        <v>4265</v>
      </c>
      <c r="Y4269" s="34" t="s">
        <v>2248</v>
      </c>
      <c r="Z4269" s="34" t="s">
        <v>4190</v>
      </c>
      <c r="AA4269" s="35">
        <v>0.95625000000000004</v>
      </c>
      <c r="AB4269" s="13"/>
      <c r="AC4269" s="13"/>
      <c r="AD4269" s="13"/>
      <c r="AE4269" s="13"/>
      <c r="AF4269" s="13"/>
    </row>
    <row r="4270" spans="19:32" x14ac:dyDescent="0.35">
      <c r="S4270" s="13"/>
      <c r="T4270" s="16"/>
      <c r="U4270" s="16"/>
      <c r="V4270" s="16"/>
      <c r="W4270" s="13"/>
      <c r="X4270" s="34">
        <v>4266</v>
      </c>
      <c r="Y4270" s="34" t="s">
        <v>2248</v>
      </c>
      <c r="Z4270" s="34" t="s">
        <v>4268</v>
      </c>
      <c r="AA4270" s="35">
        <v>7.9516129032258076E-2</v>
      </c>
      <c r="AB4270" s="13"/>
      <c r="AC4270" s="13"/>
      <c r="AD4270" s="13"/>
      <c r="AE4270" s="13"/>
      <c r="AF4270" s="13"/>
    </row>
    <row r="4271" spans="19:32" x14ac:dyDescent="0.35">
      <c r="S4271" s="13"/>
      <c r="T4271" s="16"/>
      <c r="U4271" s="16"/>
      <c r="V4271" s="16"/>
      <c r="W4271" s="13"/>
      <c r="X4271" s="34">
        <v>4267</v>
      </c>
      <c r="Y4271" s="34" t="s">
        <v>2248</v>
      </c>
      <c r="Z4271" s="34" t="s">
        <v>4267</v>
      </c>
      <c r="AA4271" s="35">
        <v>4.0786290322580646E-3</v>
      </c>
      <c r="AB4271" s="13"/>
      <c r="AC4271" s="13"/>
      <c r="AD4271" s="13"/>
      <c r="AE4271" s="13"/>
      <c r="AF4271" s="13"/>
    </row>
    <row r="4272" spans="19:32" x14ac:dyDescent="0.35">
      <c r="S4272" s="13"/>
      <c r="T4272" s="16"/>
      <c r="U4272" s="16"/>
      <c r="V4272" s="16"/>
      <c r="W4272" s="13"/>
      <c r="X4272" s="34">
        <v>4268</v>
      </c>
      <c r="Y4272" s="34" t="s">
        <v>2248</v>
      </c>
      <c r="Z4272" s="34" t="s">
        <v>4189</v>
      </c>
      <c r="AA4272" s="35">
        <v>2.4643145161290323E-2</v>
      </c>
      <c r="AB4272" s="13"/>
      <c r="AC4272" s="13"/>
      <c r="AD4272" s="13"/>
      <c r="AE4272" s="13"/>
      <c r="AF4272" s="13"/>
    </row>
    <row r="4273" spans="19:32" x14ac:dyDescent="0.35">
      <c r="S4273" s="13"/>
      <c r="T4273" s="16"/>
      <c r="U4273" s="16"/>
      <c r="V4273" s="16"/>
      <c r="W4273" s="13"/>
      <c r="X4273" s="34">
        <v>4269</v>
      </c>
      <c r="Y4273" s="34" t="s">
        <v>2248</v>
      </c>
      <c r="Z4273" s="34" t="s">
        <v>4266</v>
      </c>
      <c r="AA4273" s="35">
        <v>3.1018145161290325E-2</v>
      </c>
      <c r="AB4273" s="13"/>
      <c r="AC4273" s="13"/>
      <c r="AD4273" s="13"/>
      <c r="AE4273" s="13"/>
      <c r="AF4273" s="13"/>
    </row>
    <row r="4274" spans="19:32" x14ac:dyDescent="0.35">
      <c r="S4274" s="13"/>
      <c r="T4274" s="16"/>
      <c r="U4274" s="16"/>
      <c r="V4274" s="16"/>
      <c r="W4274" s="13"/>
      <c r="X4274" s="34">
        <v>4270</v>
      </c>
      <c r="Y4274" s="34" t="s">
        <v>2248</v>
      </c>
      <c r="Z4274" s="34" t="s">
        <v>4188</v>
      </c>
      <c r="AA4274" s="35">
        <v>0.29784274193548388</v>
      </c>
      <c r="AB4274" s="13"/>
      <c r="AC4274" s="13"/>
      <c r="AD4274" s="13"/>
      <c r="AE4274" s="13"/>
      <c r="AF4274" s="13"/>
    </row>
    <row r="4275" spans="19:32" x14ac:dyDescent="0.35">
      <c r="S4275" s="13"/>
      <c r="T4275" s="16"/>
      <c r="U4275" s="16"/>
      <c r="V4275" s="16"/>
      <c r="W4275" s="13"/>
      <c r="X4275" s="34">
        <v>4271</v>
      </c>
      <c r="Y4275" s="34" t="s">
        <v>2248</v>
      </c>
      <c r="Z4275" s="34" t="s">
        <v>4265</v>
      </c>
      <c r="AA4275" s="35">
        <v>3.1840725806451616E-5</v>
      </c>
      <c r="AB4275" s="13"/>
      <c r="AC4275" s="13"/>
      <c r="AD4275" s="13"/>
      <c r="AE4275" s="13"/>
      <c r="AF4275" s="13"/>
    </row>
    <row r="4276" spans="19:32" x14ac:dyDescent="0.35">
      <c r="S4276" s="13"/>
      <c r="T4276" s="16"/>
      <c r="U4276" s="16"/>
      <c r="V4276" s="16"/>
      <c r="W4276" s="13"/>
      <c r="X4276" s="47">
        <v>4272</v>
      </c>
      <c r="Y4276" s="47" t="s">
        <v>2248</v>
      </c>
      <c r="Z4276" s="47" t="s">
        <v>4264</v>
      </c>
      <c r="AA4276" s="56">
        <v>4.0786290322580646E-3</v>
      </c>
      <c r="AB4276" s="13"/>
      <c r="AC4276" s="13"/>
      <c r="AD4276" s="13"/>
      <c r="AE4276" s="13"/>
      <c r="AF4276" s="13"/>
    </row>
    <row r="4277" spans="19:32" x14ac:dyDescent="0.35">
      <c r="S4277" s="13"/>
      <c r="T4277" s="16"/>
      <c r="U4277" s="16"/>
      <c r="V4277" s="16"/>
      <c r="W4277" s="13"/>
      <c r="X4277" s="36">
        <v>4273</v>
      </c>
      <c r="Y4277" s="36" t="s">
        <v>2248</v>
      </c>
      <c r="Z4277" s="36" t="s">
        <v>4263</v>
      </c>
      <c r="AA4277" s="37">
        <v>14.382000000000001</v>
      </c>
      <c r="AB4277" s="13"/>
      <c r="AC4277" s="13"/>
      <c r="AD4277" s="13"/>
      <c r="AE4277" s="13"/>
      <c r="AF4277" s="13"/>
    </row>
    <row r="4278" spans="19:32" x14ac:dyDescent="0.35">
      <c r="S4278" s="13"/>
      <c r="T4278" s="16"/>
      <c r="U4278" s="16"/>
      <c r="V4278" s="16"/>
      <c r="W4278" s="13"/>
      <c r="X4278" s="34">
        <v>4274</v>
      </c>
      <c r="Y4278" s="34" t="s">
        <v>2248</v>
      </c>
      <c r="Z4278" s="34" t="s">
        <v>2523</v>
      </c>
      <c r="AA4278" s="35">
        <v>9.0826612903225808E-3</v>
      </c>
      <c r="AB4278" s="13"/>
      <c r="AC4278" s="13"/>
      <c r="AD4278" s="13"/>
      <c r="AE4278" s="13"/>
      <c r="AF4278" s="13"/>
    </row>
    <row r="4279" spans="19:32" x14ac:dyDescent="0.35">
      <c r="S4279" s="13"/>
      <c r="T4279" s="16"/>
      <c r="U4279" s="16"/>
      <c r="V4279" s="16"/>
      <c r="W4279" s="13"/>
      <c r="X4279" s="36">
        <v>4275</v>
      </c>
      <c r="Y4279" s="36" t="s">
        <v>2248</v>
      </c>
      <c r="Z4279" s="36" t="s">
        <v>4262</v>
      </c>
      <c r="AA4279" s="37">
        <v>14.382000000000001</v>
      </c>
      <c r="AB4279" s="13"/>
      <c r="AC4279" s="13"/>
      <c r="AD4279" s="13"/>
      <c r="AE4279" s="13"/>
      <c r="AF4279" s="13"/>
    </row>
    <row r="4280" spans="19:32" x14ac:dyDescent="0.35">
      <c r="S4280" s="13"/>
      <c r="T4280" s="16"/>
      <c r="U4280" s="16"/>
      <c r="V4280" s="16"/>
      <c r="W4280" s="13"/>
      <c r="X4280" s="34">
        <v>4276</v>
      </c>
      <c r="Y4280" s="34" t="s">
        <v>2248</v>
      </c>
      <c r="Z4280" s="34" t="s">
        <v>4261</v>
      </c>
      <c r="AA4280" s="35">
        <v>1.785685483870968E-3</v>
      </c>
      <c r="AB4280" s="13"/>
      <c r="AC4280" s="13"/>
      <c r="AD4280" s="13"/>
      <c r="AE4280" s="13"/>
      <c r="AF4280" s="13"/>
    </row>
    <row r="4281" spans="19:32" x14ac:dyDescent="0.35">
      <c r="S4281" s="13"/>
      <c r="T4281" s="16"/>
      <c r="U4281" s="16"/>
      <c r="V4281" s="16"/>
      <c r="W4281" s="13"/>
      <c r="X4281" s="34">
        <v>4277</v>
      </c>
      <c r="Y4281" s="34" t="s">
        <v>2248</v>
      </c>
      <c r="Z4281" s="34" t="s">
        <v>4185</v>
      </c>
      <c r="AA4281" s="35">
        <v>1.2475806451612904E-2</v>
      </c>
      <c r="AB4281" s="13"/>
      <c r="AC4281" s="13"/>
      <c r="AD4281" s="13"/>
      <c r="AE4281" s="13"/>
      <c r="AF4281" s="13"/>
    </row>
    <row r="4282" spans="19:32" x14ac:dyDescent="0.35">
      <c r="S4282" s="13"/>
      <c r="T4282" s="16"/>
      <c r="U4282" s="16"/>
      <c r="V4282" s="16"/>
      <c r="W4282" s="13"/>
      <c r="X4282" s="34">
        <v>4278</v>
      </c>
      <c r="Y4282" s="34" t="s">
        <v>2248</v>
      </c>
      <c r="Z4282" s="34" t="s">
        <v>4260</v>
      </c>
      <c r="AA4282" s="35">
        <v>1.1584677419354838E-3</v>
      </c>
      <c r="AB4282" s="13"/>
      <c r="AC4282" s="13"/>
      <c r="AD4282" s="13"/>
      <c r="AE4282" s="13"/>
      <c r="AF4282" s="13"/>
    </row>
    <row r="4283" spans="19:32" x14ac:dyDescent="0.35">
      <c r="S4283" s="13"/>
      <c r="T4283" s="16"/>
      <c r="U4283" s="16"/>
      <c r="V4283" s="16"/>
      <c r="W4283" s="13"/>
      <c r="X4283" s="47">
        <v>4279</v>
      </c>
      <c r="Y4283" s="47" t="s">
        <v>2248</v>
      </c>
      <c r="Z4283" s="47" t="s">
        <v>2581</v>
      </c>
      <c r="AA4283" s="56">
        <v>9.5679999999999995E-4</v>
      </c>
      <c r="AB4283" s="13"/>
      <c r="AC4283" s="13"/>
      <c r="AD4283" s="13"/>
      <c r="AE4283" s="13"/>
      <c r="AF4283" s="13"/>
    </row>
    <row r="4284" spans="19:32" x14ac:dyDescent="0.35">
      <c r="S4284" s="13"/>
      <c r="T4284" s="16"/>
      <c r="U4284" s="16"/>
      <c r="V4284" s="16"/>
      <c r="W4284" s="13"/>
      <c r="X4284" s="34">
        <v>4280</v>
      </c>
      <c r="Y4284" s="34" t="s">
        <v>2248</v>
      </c>
      <c r="Z4284" s="34" t="s">
        <v>4184</v>
      </c>
      <c r="AA4284" s="35">
        <v>4.4213709677419358E-7</v>
      </c>
      <c r="AB4284" s="13"/>
      <c r="AC4284" s="13"/>
      <c r="AD4284" s="13"/>
      <c r="AE4284" s="13"/>
      <c r="AF4284" s="13"/>
    </row>
    <row r="4285" spans="19:32" x14ac:dyDescent="0.35">
      <c r="S4285" s="13"/>
      <c r="T4285" s="16"/>
      <c r="U4285" s="16"/>
      <c r="V4285" s="16"/>
      <c r="W4285" s="13"/>
      <c r="X4285" s="34">
        <v>4281</v>
      </c>
      <c r="Y4285" s="34" t="s">
        <v>2248</v>
      </c>
      <c r="Z4285" s="34" t="s">
        <v>2581</v>
      </c>
      <c r="AA4285" s="35">
        <v>3.1052419354838713E-4</v>
      </c>
      <c r="AB4285" s="13"/>
      <c r="AC4285" s="13"/>
      <c r="AD4285" s="13"/>
      <c r="AE4285" s="13"/>
      <c r="AF4285" s="13"/>
    </row>
    <row r="4286" spans="19:32" x14ac:dyDescent="0.35">
      <c r="S4286" s="13"/>
      <c r="T4286" s="16"/>
      <c r="U4286" s="16"/>
      <c r="V4286" s="16"/>
      <c r="W4286" s="13"/>
      <c r="X4286" s="47">
        <v>4282</v>
      </c>
      <c r="Y4286" s="47" t="s">
        <v>2248</v>
      </c>
      <c r="Z4286" s="47" t="s">
        <v>3176</v>
      </c>
      <c r="AA4286" s="56">
        <v>6.4092741935483873E-4</v>
      </c>
      <c r="AB4286" s="13"/>
      <c r="AC4286" s="13"/>
      <c r="AD4286" s="13"/>
      <c r="AE4286" s="13"/>
      <c r="AF4286" s="13"/>
    </row>
    <row r="4287" spans="19:32" x14ac:dyDescent="0.35">
      <c r="S4287" s="13"/>
      <c r="T4287" s="16"/>
      <c r="U4287" s="16"/>
      <c r="V4287" s="16"/>
      <c r="W4287" s="13"/>
      <c r="X4287" s="34">
        <v>4283</v>
      </c>
      <c r="Y4287" s="34" t="s">
        <v>2248</v>
      </c>
      <c r="Z4287" s="34" t="s">
        <v>4183</v>
      </c>
      <c r="AA4287" s="35">
        <v>6.2379032258064526E-5</v>
      </c>
      <c r="AB4287" s="13"/>
      <c r="AC4287" s="13"/>
      <c r="AD4287" s="13"/>
      <c r="AE4287" s="13"/>
      <c r="AF4287" s="13"/>
    </row>
    <row r="4288" spans="19:32" x14ac:dyDescent="0.35">
      <c r="S4288" s="13"/>
      <c r="T4288" s="16"/>
      <c r="U4288" s="16"/>
      <c r="V4288" s="16"/>
      <c r="W4288" s="13"/>
      <c r="X4288" s="34">
        <v>4284</v>
      </c>
      <c r="Y4288" s="34" t="s">
        <v>2248</v>
      </c>
      <c r="Z4288" s="34" t="s">
        <v>4259</v>
      </c>
      <c r="AA4288" s="35">
        <v>7.4717741935483874E-4</v>
      </c>
      <c r="AB4288" s="13"/>
      <c r="AC4288" s="13"/>
      <c r="AD4288" s="13"/>
      <c r="AE4288" s="13"/>
      <c r="AF4288" s="13"/>
    </row>
    <row r="4289" spans="19:32" x14ac:dyDescent="0.35">
      <c r="S4289" s="13"/>
      <c r="T4289" s="16"/>
      <c r="U4289" s="16"/>
      <c r="V4289" s="16"/>
      <c r="W4289" s="13"/>
      <c r="X4289" s="34">
        <v>4285</v>
      </c>
      <c r="Y4289" s="34" t="s">
        <v>2248</v>
      </c>
      <c r="Z4289" s="34" t="s">
        <v>4258</v>
      </c>
      <c r="AA4289" s="35">
        <v>1.1961693548387098E-3</v>
      </c>
      <c r="AB4289" s="13"/>
      <c r="AC4289" s="13"/>
      <c r="AD4289" s="13"/>
      <c r="AE4289" s="13"/>
      <c r="AF4289" s="13"/>
    </row>
    <row r="4290" spans="19:32" x14ac:dyDescent="0.35">
      <c r="S4290" s="13"/>
      <c r="T4290" s="16"/>
      <c r="U4290" s="16"/>
      <c r="V4290" s="16"/>
      <c r="W4290" s="13"/>
      <c r="X4290" s="34">
        <v>4286</v>
      </c>
      <c r="Y4290" s="34" t="s">
        <v>2248</v>
      </c>
      <c r="Z4290" s="34" t="s">
        <v>4181</v>
      </c>
      <c r="AA4290" s="35">
        <v>4.7641129032258069E-4</v>
      </c>
      <c r="AB4290" s="13"/>
      <c r="AC4290" s="13"/>
      <c r="AD4290" s="13"/>
      <c r="AE4290" s="13"/>
      <c r="AF4290" s="13"/>
    </row>
    <row r="4291" spans="19:32" x14ac:dyDescent="0.35">
      <c r="S4291" s="13"/>
      <c r="T4291" s="16"/>
      <c r="U4291" s="16"/>
      <c r="V4291" s="16"/>
      <c r="W4291" s="13"/>
      <c r="X4291" s="34">
        <v>4287</v>
      </c>
      <c r="Y4291" s="34" t="s">
        <v>2248</v>
      </c>
      <c r="Z4291" s="34" t="s">
        <v>4257</v>
      </c>
      <c r="AA4291" s="35">
        <v>3.6673387096774197E-5</v>
      </c>
      <c r="AB4291" s="13"/>
      <c r="AC4291" s="13"/>
      <c r="AD4291" s="13"/>
      <c r="AE4291" s="13"/>
      <c r="AF4291" s="13"/>
    </row>
    <row r="4292" spans="19:32" x14ac:dyDescent="0.35">
      <c r="S4292" s="13"/>
      <c r="T4292" s="16"/>
      <c r="U4292" s="16"/>
      <c r="V4292" s="16"/>
      <c r="W4292" s="13"/>
      <c r="X4292" s="47">
        <v>4288</v>
      </c>
      <c r="Y4292" s="47" t="s">
        <v>2248</v>
      </c>
      <c r="Z4292" s="47" t="s">
        <v>4256</v>
      </c>
      <c r="AA4292" s="56">
        <v>1.0625000000000001E-5</v>
      </c>
      <c r="AB4292" s="13"/>
      <c r="AC4292" s="13"/>
      <c r="AD4292" s="13"/>
      <c r="AE4292" s="13"/>
      <c r="AF4292" s="13"/>
    </row>
    <row r="4293" spans="19:32" x14ac:dyDescent="0.35">
      <c r="S4293" s="13"/>
      <c r="T4293" s="16"/>
      <c r="U4293" s="16"/>
      <c r="V4293" s="16"/>
      <c r="W4293" s="13"/>
      <c r="X4293" s="34">
        <v>4289</v>
      </c>
      <c r="Y4293" s="34" t="s">
        <v>2248</v>
      </c>
      <c r="Z4293" s="34" t="s">
        <v>4180</v>
      </c>
      <c r="AA4293" s="35">
        <v>8.8770161290322586E-3</v>
      </c>
      <c r="AB4293" s="13"/>
      <c r="AC4293" s="13"/>
      <c r="AD4293" s="13"/>
      <c r="AE4293" s="13"/>
      <c r="AF4293" s="13"/>
    </row>
    <row r="4294" spans="19:32" x14ac:dyDescent="0.35">
      <c r="S4294" s="13"/>
      <c r="T4294" s="16"/>
      <c r="U4294" s="16"/>
      <c r="V4294" s="16"/>
      <c r="W4294" s="13"/>
      <c r="X4294" s="34">
        <v>4290</v>
      </c>
      <c r="Y4294" s="34" t="s">
        <v>2248</v>
      </c>
      <c r="Z4294" s="34" t="s">
        <v>4255</v>
      </c>
      <c r="AA4294" s="35">
        <v>7.7802419354838713E-9</v>
      </c>
      <c r="AB4294" s="13"/>
      <c r="AC4294" s="13"/>
      <c r="AD4294" s="13"/>
      <c r="AE4294" s="13"/>
      <c r="AF4294" s="13"/>
    </row>
    <row r="4295" spans="19:32" x14ac:dyDescent="0.35">
      <c r="S4295" s="13"/>
      <c r="T4295" s="16"/>
      <c r="U4295" s="16"/>
      <c r="V4295" s="16"/>
      <c r="W4295" s="13"/>
      <c r="X4295" s="34">
        <v>4291</v>
      </c>
      <c r="Y4295" s="34" t="s">
        <v>2248</v>
      </c>
      <c r="Z4295" s="34" t="s">
        <v>4178</v>
      </c>
      <c r="AA4295" s="35">
        <v>3.9758064516129038E-2</v>
      </c>
      <c r="AB4295" s="13"/>
      <c r="AC4295" s="13"/>
      <c r="AD4295" s="13"/>
      <c r="AE4295" s="13"/>
      <c r="AF4295" s="13"/>
    </row>
    <row r="4296" spans="19:32" x14ac:dyDescent="0.35">
      <c r="S4296" s="13"/>
      <c r="T4296" s="16"/>
      <c r="U4296" s="16"/>
      <c r="V4296" s="16"/>
      <c r="W4296" s="13"/>
      <c r="X4296" s="34">
        <v>4292</v>
      </c>
      <c r="Y4296" s="34" t="s">
        <v>2248</v>
      </c>
      <c r="Z4296" s="34" t="s">
        <v>4254</v>
      </c>
      <c r="AA4296" s="35">
        <v>7.0947580645161295E-4</v>
      </c>
      <c r="AB4296" s="13"/>
      <c r="AC4296" s="13"/>
      <c r="AD4296" s="13"/>
      <c r="AE4296" s="13"/>
      <c r="AF4296" s="13"/>
    </row>
    <row r="4297" spans="19:32" x14ac:dyDescent="0.35">
      <c r="S4297" s="13"/>
      <c r="T4297" s="16"/>
      <c r="U4297" s="16"/>
      <c r="V4297" s="16"/>
      <c r="W4297" s="13"/>
      <c r="X4297" s="47">
        <v>4293</v>
      </c>
      <c r="Y4297" s="47" t="s">
        <v>2248</v>
      </c>
      <c r="Z4297" s="47" t="s">
        <v>3175</v>
      </c>
      <c r="AA4297" s="56">
        <v>2.0427419354838712E-3</v>
      </c>
      <c r="AB4297" s="13"/>
      <c r="AC4297" s="13"/>
      <c r="AD4297" s="13"/>
      <c r="AE4297" s="13"/>
      <c r="AF4297" s="13"/>
    </row>
    <row r="4298" spans="19:32" x14ac:dyDescent="0.35">
      <c r="S4298" s="13"/>
      <c r="T4298" s="16"/>
      <c r="U4298" s="16"/>
      <c r="V4298" s="16"/>
      <c r="W4298" s="13"/>
      <c r="X4298" s="34">
        <v>4294</v>
      </c>
      <c r="Y4298" s="34" t="s">
        <v>2248</v>
      </c>
      <c r="Z4298" s="34" t="s">
        <v>2518</v>
      </c>
      <c r="AA4298" s="35">
        <v>1.5423387096774195E-4</v>
      </c>
      <c r="AB4298" s="13"/>
      <c r="AC4298" s="13"/>
      <c r="AD4298" s="13"/>
      <c r="AE4298" s="13"/>
      <c r="AF4298" s="13"/>
    </row>
    <row r="4299" spans="19:32" x14ac:dyDescent="0.35">
      <c r="S4299" s="13"/>
      <c r="T4299" s="16"/>
      <c r="U4299" s="16"/>
      <c r="V4299" s="16"/>
      <c r="W4299" s="13"/>
      <c r="X4299" s="47">
        <v>4295</v>
      </c>
      <c r="Y4299" s="47" t="s">
        <v>2248</v>
      </c>
      <c r="Z4299" s="47" t="s">
        <v>2579</v>
      </c>
      <c r="AA4299" s="56">
        <v>5.0599999999999997E-5</v>
      </c>
      <c r="AB4299" s="13"/>
      <c r="AC4299" s="13"/>
      <c r="AD4299" s="13"/>
      <c r="AE4299" s="13"/>
      <c r="AF4299" s="13"/>
    </row>
    <row r="4300" spans="19:32" x14ac:dyDescent="0.35">
      <c r="S4300" s="13"/>
      <c r="T4300" s="16"/>
      <c r="U4300" s="16"/>
      <c r="V4300" s="16"/>
      <c r="W4300" s="13"/>
      <c r="X4300" s="34">
        <v>4296</v>
      </c>
      <c r="Y4300" s="34" t="s">
        <v>2248</v>
      </c>
      <c r="Z4300" s="34" t="s">
        <v>2579</v>
      </c>
      <c r="AA4300" s="35">
        <v>1.4155241935483874E-6</v>
      </c>
      <c r="AB4300" s="13"/>
      <c r="AC4300" s="13"/>
      <c r="AD4300" s="13"/>
      <c r="AE4300" s="13"/>
      <c r="AF4300" s="13"/>
    </row>
    <row r="4301" spans="19:32" x14ac:dyDescent="0.35">
      <c r="S4301" s="13"/>
      <c r="T4301" s="16"/>
      <c r="U4301" s="16"/>
      <c r="V4301" s="16"/>
      <c r="W4301" s="13"/>
      <c r="X4301" s="34">
        <v>4297</v>
      </c>
      <c r="Y4301" s="34" t="s">
        <v>2248</v>
      </c>
      <c r="Z4301" s="34" t="s">
        <v>2517</v>
      </c>
      <c r="AA4301" s="35">
        <v>2.1112903225806454E-3</v>
      </c>
      <c r="AB4301" s="13"/>
      <c r="AC4301" s="13"/>
      <c r="AD4301" s="13"/>
      <c r="AE4301" s="13"/>
      <c r="AF4301" s="13"/>
    </row>
    <row r="4302" spans="19:32" x14ac:dyDescent="0.35">
      <c r="S4302" s="13"/>
      <c r="T4302" s="16"/>
      <c r="U4302" s="16"/>
      <c r="V4302" s="16"/>
      <c r="W4302" s="13"/>
      <c r="X4302" s="47">
        <v>4298</v>
      </c>
      <c r="Y4302" s="47" t="s">
        <v>2248</v>
      </c>
      <c r="Z4302" s="47" t="s">
        <v>3172</v>
      </c>
      <c r="AA4302" s="56">
        <v>5.3810483870967749E-2</v>
      </c>
      <c r="AB4302" s="13"/>
      <c r="AC4302" s="13"/>
      <c r="AD4302" s="13"/>
      <c r="AE4302" s="13"/>
      <c r="AF4302" s="13"/>
    </row>
    <row r="4303" spans="19:32" x14ac:dyDescent="0.35">
      <c r="S4303" s="13"/>
      <c r="T4303" s="16"/>
      <c r="U4303" s="16"/>
      <c r="V4303" s="16"/>
      <c r="W4303" s="13"/>
      <c r="X4303" s="34">
        <v>4299</v>
      </c>
      <c r="Y4303" s="34" t="s">
        <v>2248</v>
      </c>
      <c r="Z4303" s="34" t="s">
        <v>4253</v>
      </c>
      <c r="AA4303" s="35">
        <v>4.0443548387096778E-7</v>
      </c>
      <c r="AB4303" s="13"/>
      <c r="AC4303" s="13"/>
      <c r="AD4303" s="13"/>
      <c r="AE4303" s="13"/>
      <c r="AF4303" s="13"/>
    </row>
    <row r="4304" spans="19:32" x14ac:dyDescent="0.35">
      <c r="S4304" s="13"/>
      <c r="T4304" s="16"/>
      <c r="U4304" s="16"/>
      <c r="V4304" s="16"/>
      <c r="W4304" s="13"/>
      <c r="X4304" s="34">
        <v>4300</v>
      </c>
      <c r="Y4304" s="34" t="s">
        <v>2248</v>
      </c>
      <c r="Z4304" s="34" t="s">
        <v>2515</v>
      </c>
      <c r="AA4304" s="35">
        <v>1.9604838709677419E-4</v>
      </c>
      <c r="AB4304" s="13"/>
      <c r="AC4304" s="13"/>
      <c r="AD4304" s="13"/>
      <c r="AE4304" s="13"/>
      <c r="AF4304" s="13"/>
    </row>
    <row r="4305" spans="19:32" x14ac:dyDescent="0.35">
      <c r="S4305" s="13"/>
      <c r="T4305" s="16"/>
      <c r="U4305" s="16"/>
      <c r="V4305" s="16"/>
      <c r="W4305" s="13"/>
      <c r="X4305" s="34">
        <v>4301</v>
      </c>
      <c r="Y4305" s="34" t="s">
        <v>2248</v>
      </c>
      <c r="Z4305" s="34" t="s">
        <v>4252</v>
      </c>
      <c r="AA4305" s="35">
        <v>1.8473790322580646E-4</v>
      </c>
      <c r="AB4305" s="13"/>
      <c r="AC4305" s="13"/>
      <c r="AD4305" s="13"/>
      <c r="AE4305" s="13"/>
      <c r="AF4305" s="13"/>
    </row>
    <row r="4306" spans="19:32" x14ac:dyDescent="0.35">
      <c r="S4306" s="13"/>
      <c r="T4306" s="16"/>
      <c r="U4306" s="16"/>
      <c r="V4306" s="16"/>
      <c r="W4306" s="13"/>
      <c r="X4306" s="34">
        <v>4302</v>
      </c>
      <c r="Y4306" s="34" t="s">
        <v>2248</v>
      </c>
      <c r="Z4306" s="34" t="s">
        <v>4251</v>
      </c>
      <c r="AA4306" s="35">
        <v>1.8987903225806453E-8</v>
      </c>
      <c r="AB4306" s="13"/>
      <c r="AC4306" s="13"/>
      <c r="AD4306" s="13"/>
      <c r="AE4306" s="13"/>
      <c r="AF4306" s="13"/>
    </row>
    <row r="4307" spans="19:32" x14ac:dyDescent="0.35">
      <c r="S4307" s="13"/>
      <c r="T4307" s="16"/>
      <c r="U4307" s="16"/>
      <c r="V4307" s="16"/>
      <c r="W4307" s="13"/>
      <c r="X4307" s="34">
        <v>4303</v>
      </c>
      <c r="Y4307" s="34" t="s">
        <v>2248</v>
      </c>
      <c r="Z4307" s="34" t="s">
        <v>4173</v>
      </c>
      <c r="AA4307" s="35">
        <v>2.1044354838709678E-5</v>
      </c>
      <c r="AB4307" s="13"/>
      <c r="AC4307" s="13"/>
      <c r="AD4307" s="13"/>
      <c r="AE4307" s="13"/>
      <c r="AF4307" s="13"/>
    </row>
    <row r="4308" spans="19:32" x14ac:dyDescent="0.35">
      <c r="S4308" s="13"/>
      <c r="T4308" s="16"/>
      <c r="U4308" s="16"/>
      <c r="V4308" s="16"/>
      <c r="W4308" s="13"/>
      <c r="X4308" s="34">
        <v>4304</v>
      </c>
      <c r="Y4308" s="34" t="s">
        <v>2248</v>
      </c>
      <c r="Z4308" s="34" t="s">
        <v>4250</v>
      </c>
      <c r="AA4308" s="35">
        <v>0.25671370967741935</v>
      </c>
      <c r="AB4308" s="13"/>
      <c r="AC4308" s="13"/>
      <c r="AD4308" s="13"/>
      <c r="AE4308" s="13"/>
      <c r="AF4308" s="13"/>
    </row>
    <row r="4309" spans="19:32" x14ac:dyDescent="0.35">
      <c r="S4309" s="13"/>
      <c r="T4309" s="16"/>
      <c r="U4309" s="16"/>
      <c r="V4309" s="16"/>
      <c r="W4309" s="13"/>
      <c r="X4309" s="47">
        <v>4305</v>
      </c>
      <c r="Y4309" s="47" t="s">
        <v>2248</v>
      </c>
      <c r="Z4309" s="47" t="s">
        <v>2577</v>
      </c>
      <c r="AA4309" s="56">
        <v>0</v>
      </c>
      <c r="AB4309" s="13"/>
      <c r="AC4309" s="13"/>
      <c r="AD4309" s="13"/>
      <c r="AE4309" s="13"/>
      <c r="AF4309" s="13"/>
    </row>
    <row r="4310" spans="19:32" x14ac:dyDescent="0.35">
      <c r="S4310" s="13"/>
      <c r="T4310" s="16"/>
      <c r="U4310" s="16"/>
      <c r="V4310" s="16"/>
      <c r="W4310" s="13"/>
      <c r="X4310" s="34">
        <v>4306</v>
      </c>
      <c r="Y4310" s="34" t="s">
        <v>2248</v>
      </c>
      <c r="Z4310" s="34" t="s">
        <v>4171</v>
      </c>
      <c r="AA4310" s="35">
        <v>2.844758064516129E-5</v>
      </c>
      <c r="AB4310" s="13"/>
      <c r="AC4310" s="13"/>
      <c r="AD4310" s="13"/>
      <c r="AE4310" s="13"/>
      <c r="AF4310" s="13"/>
    </row>
    <row r="4311" spans="19:32" x14ac:dyDescent="0.35">
      <c r="S4311" s="13"/>
      <c r="T4311" s="16"/>
      <c r="U4311" s="16"/>
      <c r="V4311" s="16"/>
      <c r="W4311" s="13"/>
      <c r="X4311" s="34">
        <v>4307</v>
      </c>
      <c r="Y4311" s="34" t="s">
        <v>2248</v>
      </c>
      <c r="Z4311" s="34" t="s">
        <v>2577</v>
      </c>
      <c r="AA4311" s="35">
        <v>1.8233870967741938E-3</v>
      </c>
      <c r="AB4311" s="13"/>
      <c r="AC4311" s="13"/>
      <c r="AD4311" s="13"/>
      <c r="AE4311" s="13"/>
      <c r="AF4311" s="13"/>
    </row>
    <row r="4312" spans="19:32" x14ac:dyDescent="0.35">
      <c r="S4312" s="13"/>
      <c r="T4312" s="16"/>
      <c r="U4312" s="16"/>
      <c r="V4312" s="16"/>
      <c r="W4312" s="13"/>
      <c r="X4312" s="47">
        <v>4308</v>
      </c>
      <c r="Y4312" s="47" t="s">
        <v>2248</v>
      </c>
      <c r="Z4312" s="47" t="s">
        <v>3170</v>
      </c>
      <c r="AA4312" s="56">
        <v>3.2766129032258068E-4</v>
      </c>
      <c r="AB4312" s="13"/>
      <c r="AC4312" s="13"/>
      <c r="AD4312" s="13"/>
      <c r="AE4312" s="13"/>
      <c r="AF4312" s="13"/>
    </row>
    <row r="4313" spans="19:32" x14ac:dyDescent="0.35">
      <c r="S4313" s="13"/>
      <c r="T4313" s="16"/>
      <c r="U4313" s="16"/>
      <c r="V4313" s="16"/>
      <c r="W4313" s="13"/>
      <c r="X4313" s="34">
        <v>4309</v>
      </c>
      <c r="Y4313" s="34" t="s">
        <v>2248</v>
      </c>
      <c r="Z4313" s="34" t="s">
        <v>4170</v>
      </c>
      <c r="AA4313" s="35">
        <v>2.3340725806451613E-3</v>
      </c>
      <c r="AB4313" s="13"/>
      <c r="AC4313" s="13"/>
      <c r="AD4313" s="13"/>
      <c r="AE4313" s="13"/>
      <c r="AF4313" s="13"/>
    </row>
    <row r="4314" spans="19:32" x14ac:dyDescent="0.35">
      <c r="S4314" s="13"/>
      <c r="T4314" s="16"/>
      <c r="U4314" s="16"/>
      <c r="V4314" s="16"/>
      <c r="W4314" s="13"/>
      <c r="X4314" s="34">
        <v>4310</v>
      </c>
      <c r="Y4314" s="34" t="s">
        <v>2248</v>
      </c>
      <c r="Z4314" s="34" t="s">
        <v>4249</v>
      </c>
      <c r="AA4314" s="35">
        <v>2.8173387096774199E-4</v>
      </c>
      <c r="AB4314" s="13"/>
      <c r="AC4314" s="13"/>
      <c r="AD4314" s="13"/>
      <c r="AE4314" s="13"/>
      <c r="AF4314" s="13"/>
    </row>
    <row r="4315" spans="19:32" x14ac:dyDescent="0.35">
      <c r="S4315" s="13"/>
      <c r="T4315" s="16"/>
      <c r="U4315" s="16"/>
      <c r="V4315" s="16"/>
      <c r="W4315" s="13"/>
      <c r="X4315" s="47">
        <v>4311</v>
      </c>
      <c r="Y4315" s="47" t="s">
        <v>2248</v>
      </c>
      <c r="Z4315" s="47" t="s">
        <v>2576</v>
      </c>
      <c r="AA4315" s="56">
        <v>3.7536E-2</v>
      </c>
      <c r="AB4315" s="13"/>
      <c r="AC4315" s="13"/>
      <c r="AD4315" s="13"/>
      <c r="AE4315" s="13"/>
      <c r="AF4315" s="13"/>
    </row>
    <row r="4316" spans="19:32" x14ac:dyDescent="0.35">
      <c r="S4316" s="13"/>
      <c r="T4316" s="16"/>
      <c r="U4316" s="16"/>
      <c r="V4316" s="16"/>
      <c r="W4316" s="13"/>
      <c r="X4316" s="34">
        <v>4312</v>
      </c>
      <c r="Y4316" s="34" t="s">
        <v>2248</v>
      </c>
      <c r="Z4316" s="34" t="s">
        <v>2513</v>
      </c>
      <c r="AA4316" s="35">
        <v>3.1395161290322583E-5</v>
      </c>
      <c r="AB4316" s="13"/>
      <c r="AC4316" s="13"/>
      <c r="AD4316" s="13"/>
      <c r="AE4316" s="13"/>
      <c r="AF4316" s="13"/>
    </row>
    <row r="4317" spans="19:32" x14ac:dyDescent="0.35">
      <c r="S4317" s="13"/>
      <c r="T4317" s="16"/>
      <c r="U4317" s="16"/>
      <c r="V4317" s="16"/>
      <c r="W4317" s="13"/>
      <c r="X4317" s="34">
        <v>4313</v>
      </c>
      <c r="Y4317" s="34" t="s">
        <v>2248</v>
      </c>
      <c r="Z4317" s="34" t="s">
        <v>4248</v>
      </c>
      <c r="AA4317" s="35">
        <v>1.004233870967742E-4</v>
      </c>
      <c r="AB4317" s="13"/>
      <c r="AC4317" s="13"/>
      <c r="AD4317" s="13"/>
      <c r="AE4317" s="13"/>
      <c r="AF4317" s="13"/>
    </row>
    <row r="4318" spans="19:32" x14ac:dyDescent="0.35">
      <c r="S4318" s="13"/>
      <c r="T4318" s="16"/>
      <c r="U4318" s="16"/>
      <c r="V4318" s="16"/>
      <c r="W4318" s="13"/>
      <c r="X4318" s="47">
        <v>4314</v>
      </c>
      <c r="Y4318" s="47" t="s">
        <v>2248</v>
      </c>
      <c r="Z4318" s="47" t="s">
        <v>2574</v>
      </c>
      <c r="AA4318" s="56">
        <v>0</v>
      </c>
      <c r="AB4318" s="13"/>
      <c r="AC4318" s="13"/>
      <c r="AD4318" s="13"/>
      <c r="AE4318" s="13"/>
      <c r="AF4318" s="13"/>
    </row>
    <row r="4319" spans="19:32" x14ac:dyDescent="0.35">
      <c r="S4319" s="13"/>
      <c r="T4319" s="16"/>
      <c r="U4319" s="16"/>
      <c r="V4319" s="16"/>
      <c r="W4319" s="13"/>
      <c r="X4319" s="34">
        <v>4315</v>
      </c>
      <c r="Y4319" s="34" t="s">
        <v>2248</v>
      </c>
      <c r="Z4319" s="34" t="s">
        <v>4168</v>
      </c>
      <c r="AA4319" s="35">
        <v>1.8233870967741938E-4</v>
      </c>
      <c r="AB4319" s="13"/>
      <c r="AC4319" s="13"/>
      <c r="AD4319" s="13"/>
      <c r="AE4319" s="13"/>
      <c r="AF4319" s="13"/>
    </row>
    <row r="4320" spans="19:32" x14ac:dyDescent="0.35">
      <c r="S4320" s="13"/>
      <c r="T4320" s="16"/>
      <c r="U4320" s="16"/>
      <c r="V4320" s="16"/>
      <c r="W4320" s="13"/>
      <c r="X4320" s="34">
        <v>4316</v>
      </c>
      <c r="Y4320" s="34" t="s">
        <v>2248</v>
      </c>
      <c r="Z4320" s="34" t="s">
        <v>4247</v>
      </c>
      <c r="AA4320" s="35">
        <v>2.8995967741935488E-4</v>
      </c>
      <c r="AB4320" s="13"/>
      <c r="AC4320" s="13"/>
      <c r="AD4320" s="13"/>
      <c r="AE4320" s="13"/>
      <c r="AF4320" s="13"/>
    </row>
    <row r="4321" spans="19:32" x14ac:dyDescent="0.35">
      <c r="S4321" s="13"/>
      <c r="T4321" s="16"/>
      <c r="U4321" s="16"/>
      <c r="V4321" s="16"/>
      <c r="W4321" s="13"/>
      <c r="X4321" s="34">
        <v>4317</v>
      </c>
      <c r="Y4321" s="34" t="s">
        <v>2248</v>
      </c>
      <c r="Z4321" s="34" t="s">
        <v>4166</v>
      </c>
      <c r="AA4321" s="35">
        <v>3.0024193548387097E-3</v>
      </c>
      <c r="AB4321" s="13"/>
      <c r="AC4321" s="13"/>
      <c r="AD4321" s="13"/>
      <c r="AE4321" s="13"/>
      <c r="AF4321" s="13"/>
    </row>
    <row r="4322" spans="19:32" x14ac:dyDescent="0.35">
      <c r="S4322" s="13"/>
      <c r="T4322" s="16"/>
      <c r="U4322" s="16"/>
      <c r="V4322" s="16"/>
      <c r="W4322" s="13"/>
      <c r="X4322" s="34">
        <v>4318</v>
      </c>
      <c r="Y4322" s="34" t="s">
        <v>2248</v>
      </c>
      <c r="Z4322" s="34" t="s">
        <v>4246</v>
      </c>
      <c r="AA4322" s="35">
        <v>7.8830645161290333E-4</v>
      </c>
      <c r="AB4322" s="13"/>
      <c r="AC4322" s="13"/>
      <c r="AD4322" s="13"/>
      <c r="AE4322" s="13"/>
      <c r="AF4322" s="13"/>
    </row>
    <row r="4323" spans="19:32" x14ac:dyDescent="0.35">
      <c r="S4323" s="13"/>
      <c r="T4323" s="16"/>
      <c r="U4323" s="16"/>
      <c r="V4323" s="16"/>
      <c r="W4323" s="13"/>
      <c r="X4323" s="47">
        <v>4319</v>
      </c>
      <c r="Y4323" s="47" t="s">
        <v>2248</v>
      </c>
      <c r="Z4323" s="47" t="s">
        <v>4245</v>
      </c>
      <c r="AA4323" s="56">
        <v>1233.8709677419356</v>
      </c>
      <c r="AB4323" s="13"/>
      <c r="AC4323" s="13"/>
      <c r="AD4323" s="13"/>
      <c r="AE4323" s="13"/>
      <c r="AF4323" s="13"/>
    </row>
    <row r="4324" spans="19:32" x14ac:dyDescent="0.35">
      <c r="S4324" s="13"/>
      <c r="T4324" s="16"/>
      <c r="U4324" s="16"/>
      <c r="V4324" s="16"/>
      <c r="W4324" s="13"/>
      <c r="X4324" s="34">
        <v>4320</v>
      </c>
      <c r="Y4324" s="34" t="s">
        <v>2248</v>
      </c>
      <c r="Z4324" s="34" t="s">
        <v>4244</v>
      </c>
      <c r="AA4324" s="35">
        <v>1.1790322580645161E-5</v>
      </c>
      <c r="AB4324" s="13"/>
      <c r="AC4324" s="13"/>
      <c r="AD4324" s="13"/>
      <c r="AE4324" s="13"/>
      <c r="AF4324" s="13"/>
    </row>
    <row r="4325" spans="19:32" x14ac:dyDescent="0.35">
      <c r="S4325" s="13"/>
      <c r="T4325" s="16"/>
      <c r="U4325" s="16"/>
      <c r="V4325" s="16"/>
      <c r="W4325" s="13"/>
      <c r="X4325" s="34">
        <v>4321</v>
      </c>
      <c r="Y4325" s="34" t="s">
        <v>2248</v>
      </c>
      <c r="Z4325" s="34" t="s">
        <v>4165</v>
      </c>
      <c r="AA4325" s="35">
        <v>3.8729838709677424E-2</v>
      </c>
      <c r="AB4325" s="13"/>
      <c r="AC4325" s="13"/>
      <c r="AD4325" s="13"/>
      <c r="AE4325" s="13"/>
      <c r="AF4325" s="13"/>
    </row>
    <row r="4326" spans="19:32" x14ac:dyDescent="0.35">
      <c r="S4326" s="13"/>
      <c r="T4326" s="16"/>
      <c r="U4326" s="16"/>
      <c r="V4326" s="16"/>
      <c r="W4326" s="13"/>
      <c r="X4326" s="47">
        <v>4322</v>
      </c>
      <c r="Y4326" s="47" t="s">
        <v>2248</v>
      </c>
      <c r="Z4326" s="47" t="s">
        <v>2573</v>
      </c>
      <c r="AA4326" s="56">
        <v>0</v>
      </c>
      <c r="AB4326" s="13"/>
      <c r="AC4326" s="13"/>
      <c r="AD4326" s="13"/>
      <c r="AE4326" s="13"/>
      <c r="AF4326" s="13"/>
    </row>
    <row r="4327" spans="19:32" x14ac:dyDescent="0.35">
      <c r="S4327" s="13"/>
      <c r="T4327" s="16"/>
      <c r="U4327" s="16"/>
      <c r="V4327" s="16"/>
      <c r="W4327" s="13"/>
      <c r="X4327" s="34">
        <v>4323</v>
      </c>
      <c r="Y4327" s="34" t="s">
        <v>2248</v>
      </c>
      <c r="Z4327" s="34" t="s">
        <v>4164</v>
      </c>
      <c r="AA4327" s="35">
        <v>8.3286290322580662E-5</v>
      </c>
      <c r="AB4327" s="13"/>
      <c r="AC4327" s="13"/>
      <c r="AD4327" s="13"/>
      <c r="AE4327" s="13"/>
      <c r="AF4327" s="13"/>
    </row>
    <row r="4328" spans="19:32" x14ac:dyDescent="0.35">
      <c r="S4328" s="13"/>
      <c r="T4328" s="16"/>
      <c r="U4328" s="16"/>
      <c r="V4328" s="16"/>
      <c r="W4328" s="13"/>
      <c r="X4328" s="34">
        <v>4324</v>
      </c>
      <c r="Y4328" s="34" t="s">
        <v>2248</v>
      </c>
      <c r="Z4328" s="34" t="s">
        <v>2573</v>
      </c>
      <c r="AA4328" s="35">
        <v>1.2612903225806453E-2</v>
      </c>
      <c r="AB4328" s="13"/>
      <c r="AC4328" s="13"/>
      <c r="AD4328" s="13"/>
      <c r="AE4328" s="13"/>
      <c r="AF4328" s="13"/>
    </row>
    <row r="4329" spans="19:32" x14ac:dyDescent="0.35">
      <c r="S4329" s="13"/>
      <c r="T4329" s="16"/>
      <c r="U4329" s="16"/>
      <c r="V4329" s="16"/>
      <c r="W4329" s="13"/>
      <c r="X4329" s="34">
        <v>4325</v>
      </c>
      <c r="Y4329" s="34" t="s">
        <v>2248</v>
      </c>
      <c r="Z4329" s="34" t="s">
        <v>4243</v>
      </c>
      <c r="AA4329" s="35">
        <v>9.5625000000000007E-4</v>
      </c>
      <c r="AB4329" s="13"/>
      <c r="AC4329" s="13"/>
      <c r="AD4329" s="13"/>
      <c r="AE4329" s="13"/>
      <c r="AF4329" s="13"/>
    </row>
    <row r="4330" spans="19:32" x14ac:dyDescent="0.35">
      <c r="S4330" s="13"/>
      <c r="T4330" s="16"/>
      <c r="U4330" s="16"/>
      <c r="V4330" s="16"/>
      <c r="W4330" s="13"/>
      <c r="X4330" s="34">
        <v>4326</v>
      </c>
      <c r="Y4330" s="34" t="s">
        <v>2248</v>
      </c>
      <c r="Z4330" s="34" t="s">
        <v>4162</v>
      </c>
      <c r="AA4330" s="35">
        <v>5.6209677419354846E-3</v>
      </c>
      <c r="AB4330" s="13"/>
      <c r="AC4330" s="13"/>
      <c r="AD4330" s="13"/>
      <c r="AE4330" s="13"/>
      <c r="AF4330" s="13"/>
    </row>
    <row r="4331" spans="19:32" x14ac:dyDescent="0.35">
      <c r="S4331" s="13"/>
      <c r="T4331" s="16"/>
      <c r="U4331" s="16"/>
      <c r="V4331" s="16"/>
      <c r="W4331" s="13"/>
      <c r="X4331" s="34">
        <v>4327</v>
      </c>
      <c r="Y4331" s="34" t="s">
        <v>2248</v>
      </c>
      <c r="Z4331" s="34" t="s">
        <v>4242</v>
      </c>
      <c r="AA4331" s="35">
        <v>1.6588709677419357E-2</v>
      </c>
      <c r="AB4331" s="13"/>
      <c r="AC4331" s="13"/>
      <c r="AD4331" s="13"/>
      <c r="AE4331" s="13"/>
      <c r="AF4331" s="13"/>
    </row>
    <row r="4332" spans="19:32" x14ac:dyDescent="0.35">
      <c r="S4332" s="13"/>
      <c r="T4332" s="16"/>
      <c r="U4332" s="16"/>
      <c r="V4332" s="16"/>
      <c r="W4332" s="13"/>
      <c r="X4332" s="47">
        <v>4328</v>
      </c>
      <c r="Y4332" s="47" t="s">
        <v>2248</v>
      </c>
      <c r="Z4332" s="47" t="s">
        <v>4241</v>
      </c>
      <c r="AA4332" s="56">
        <v>0.3530241935483871</v>
      </c>
      <c r="AB4332" s="13"/>
      <c r="AC4332" s="13"/>
      <c r="AD4332" s="13"/>
      <c r="AE4332" s="13"/>
      <c r="AF4332" s="13"/>
    </row>
    <row r="4333" spans="19:32" x14ac:dyDescent="0.35">
      <c r="S4333" s="13"/>
      <c r="T4333" s="16"/>
      <c r="U4333" s="16"/>
      <c r="V4333" s="16"/>
      <c r="W4333" s="13"/>
      <c r="X4333" s="34">
        <v>4329</v>
      </c>
      <c r="Y4333" s="34" t="s">
        <v>2248</v>
      </c>
      <c r="Z4333" s="34" t="s">
        <v>4240</v>
      </c>
      <c r="AA4333" s="35">
        <v>8.705645161290323E-4</v>
      </c>
      <c r="AB4333" s="13"/>
      <c r="AC4333" s="13"/>
      <c r="AD4333" s="13"/>
      <c r="AE4333" s="13"/>
      <c r="AF4333" s="13"/>
    </row>
    <row r="4334" spans="19:32" x14ac:dyDescent="0.35">
      <c r="S4334" s="13"/>
      <c r="T4334" s="16"/>
      <c r="U4334" s="16"/>
      <c r="V4334" s="16"/>
      <c r="W4334" s="13"/>
      <c r="X4334" s="34">
        <v>4330</v>
      </c>
      <c r="Y4334" s="34" t="s">
        <v>2248</v>
      </c>
      <c r="Z4334" s="34" t="s">
        <v>4161</v>
      </c>
      <c r="AA4334" s="35">
        <v>9.6995967741935491E-3</v>
      </c>
      <c r="AB4334" s="13"/>
      <c r="AC4334" s="13"/>
      <c r="AD4334" s="13"/>
      <c r="AE4334" s="13"/>
      <c r="AF4334" s="13"/>
    </row>
    <row r="4335" spans="19:32" x14ac:dyDescent="0.35">
      <c r="S4335" s="13"/>
      <c r="T4335" s="16"/>
      <c r="U4335" s="16"/>
      <c r="V4335" s="16"/>
      <c r="W4335" s="13"/>
      <c r="X4335" s="34">
        <v>4331</v>
      </c>
      <c r="Y4335" s="34" t="s">
        <v>2248</v>
      </c>
      <c r="Z4335" s="34" t="s">
        <v>4239</v>
      </c>
      <c r="AA4335" s="35">
        <v>3.6330645161290324E-3</v>
      </c>
      <c r="AB4335" s="13"/>
      <c r="AC4335" s="13"/>
      <c r="AD4335" s="13"/>
      <c r="AE4335" s="13"/>
      <c r="AF4335" s="13"/>
    </row>
    <row r="4336" spans="19:32" x14ac:dyDescent="0.35">
      <c r="S4336" s="13"/>
      <c r="T4336" s="16"/>
      <c r="U4336" s="16"/>
      <c r="V4336" s="16"/>
      <c r="W4336" s="13"/>
      <c r="X4336" s="34">
        <v>4332</v>
      </c>
      <c r="Y4336" s="34" t="s">
        <v>2248</v>
      </c>
      <c r="Z4336" s="34" t="s">
        <v>4159</v>
      </c>
      <c r="AA4336" s="35">
        <v>8.0544354838709689E-4</v>
      </c>
      <c r="AB4336" s="13"/>
      <c r="AC4336" s="13"/>
      <c r="AD4336" s="13"/>
      <c r="AE4336" s="13"/>
      <c r="AF4336" s="13"/>
    </row>
    <row r="4337" spans="19:32" x14ac:dyDescent="0.35">
      <c r="S4337" s="13"/>
      <c r="T4337" s="16"/>
      <c r="U4337" s="16"/>
      <c r="V4337" s="16"/>
      <c r="W4337" s="13"/>
      <c r="X4337" s="34">
        <v>4333</v>
      </c>
      <c r="Y4337" s="34" t="s">
        <v>2248</v>
      </c>
      <c r="Z4337" s="34" t="s">
        <v>4238</v>
      </c>
      <c r="AA4337" s="35">
        <v>3.564516129032258E-2</v>
      </c>
      <c r="AB4337" s="13"/>
      <c r="AC4337" s="13"/>
      <c r="AD4337" s="13"/>
      <c r="AE4337" s="13"/>
      <c r="AF4337" s="13"/>
    </row>
    <row r="4338" spans="19:32" x14ac:dyDescent="0.35">
      <c r="S4338" s="13"/>
      <c r="T4338" s="16"/>
      <c r="U4338" s="16"/>
      <c r="V4338" s="16"/>
      <c r="W4338" s="13"/>
      <c r="X4338" s="47">
        <v>4334</v>
      </c>
      <c r="Y4338" s="47" t="s">
        <v>2248</v>
      </c>
      <c r="Z4338" s="47" t="s">
        <v>4237</v>
      </c>
      <c r="AA4338" s="56">
        <v>4.8669354838709683E-2</v>
      </c>
      <c r="AB4338" s="13"/>
      <c r="AC4338" s="13"/>
      <c r="AD4338" s="13"/>
      <c r="AE4338" s="13"/>
      <c r="AF4338" s="13"/>
    </row>
    <row r="4339" spans="19:32" x14ac:dyDescent="0.35">
      <c r="S4339" s="13"/>
      <c r="T4339" s="16"/>
      <c r="U4339" s="16"/>
      <c r="V4339" s="16"/>
      <c r="W4339" s="13"/>
      <c r="X4339" s="34">
        <v>4335</v>
      </c>
      <c r="Y4339" s="34" t="s">
        <v>2248</v>
      </c>
      <c r="Z4339" s="34" t="s">
        <v>4158</v>
      </c>
      <c r="AA4339" s="35">
        <v>3.6673387096774194E-4</v>
      </c>
      <c r="AB4339" s="13"/>
      <c r="AC4339" s="13"/>
      <c r="AD4339" s="13"/>
      <c r="AE4339" s="13"/>
      <c r="AF4339" s="13"/>
    </row>
    <row r="4340" spans="19:32" x14ac:dyDescent="0.35">
      <c r="S4340" s="13"/>
      <c r="T4340" s="16"/>
      <c r="U4340" s="16"/>
      <c r="V4340" s="16"/>
      <c r="W4340" s="13"/>
      <c r="X4340" s="34">
        <v>4336</v>
      </c>
      <c r="Y4340" s="34" t="s">
        <v>2248</v>
      </c>
      <c r="Z4340" s="34" t="s">
        <v>4236</v>
      </c>
      <c r="AA4340" s="35">
        <v>1.9467741935483871E-2</v>
      </c>
      <c r="AB4340" s="13"/>
      <c r="AC4340" s="13"/>
      <c r="AD4340" s="13"/>
      <c r="AE4340" s="13"/>
      <c r="AF4340" s="13"/>
    </row>
    <row r="4341" spans="19:32" x14ac:dyDescent="0.35">
      <c r="S4341" s="13"/>
      <c r="T4341" s="16"/>
      <c r="U4341" s="16"/>
      <c r="V4341" s="16"/>
      <c r="W4341" s="13"/>
      <c r="X4341" s="47">
        <v>4337</v>
      </c>
      <c r="Y4341" s="47" t="s">
        <v>2248</v>
      </c>
      <c r="Z4341" s="47" t="s">
        <v>2571</v>
      </c>
      <c r="AA4341" s="56">
        <v>0</v>
      </c>
      <c r="AB4341" s="13"/>
      <c r="AC4341" s="13"/>
      <c r="AD4341" s="13"/>
      <c r="AE4341" s="13"/>
      <c r="AF4341" s="13"/>
    </row>
    <row r="4342" spans="19:32" x14ac:dyDescent="0.35">
      <c r="S4342" s="13"/>
      <c r="T4342" s="16"/>
      <c r="U4342" s="16"/>
      <c r="V4342" s="16"/>
      <c r="W4342" s="13"/>
      <c r="X4342" s="34">
        <v>4338</v>
      </c>
      <c r="Y4342" s="34" t="s">
        <v>2248</v>
      </c>
      <c r="Z4342" s="34" t="s">
        <v>4156</v>
      </c>
      <c r="AA4342" s="35">
        <v>1.7377016129032261E-4</v>
      </c>
      <c r="AB4342" s="13"/>
      <c r="AC4342" s="13"/>
      <c r="AD4342" s="13"/>
      <c r="AE4342" s="13"/>
      <c r="AF4342" s="13"/>
    </row>
    <row r="4343" spans="19:32" x14ac:dyDescent="0.35">
      <c r="S4343" s="13"/>
      <c r="T4343" s="16"/>
      <c r="U4343" s="16"/>
      <c r="V4343" s="16"/>
      <c r="W4343" s="13"/>
      <c r="X4343" s="47">
        <v>4339</v>
      </c>
      <c r="Y4343" s="47" t="s">
        <v>2248</v>
      </c>
      <c r="Z4343" s="47" t="s">
        <v>4235</v>
      </c>
      <c r="AA4343" s="56">
        <v>8.8770161290322588E-5</v>
      </c>
      <c r="AB4343" s="13"/>
      <c r="AC4343" s="13"/>
      <c r="AD4343" s="13"/>
      <c r="AE4343" s="13"/>
      <c r="AF4343" s="13"/>
    </row>
    <row r="4344" spans="19:32" x14ac:dyDescent="0.35">
      <c r="S4344" s="13"/>
      <c r="T4344" s="16"/>
      <c r="U4344" s="16"/>
      <c r="V4344" s="16"/>
      <c r="W4344" s="13"/>
      <c r="X4344" s="34">
        <v>4340</v>
      </c>
      <c r="Y4344" s="34" t="s">
        <v>2248</v>
      </c>
      <c r="Z4344" s="34" t="s">
        <v>4234</v>
      </c>
      <c r="AA4344" s="35">
        <v>5.2439516129032265E-5</v>
      </c>
      <c r="AB4344" s="13"/>
      <c r="AC4344" s="13"/>
      <c r="AD4344" s="13"/>
      <c r="AE4344" s="13"/>
      <c r="AF4344" s="13"/>
    </row>
    <row r="4345" spans="19:32" x14ac:dyDescent="0.35">
      <c r="S4345" s="13"/>
      <c r="T4345" s="16"/>
      <c r="U4345" s="16"/>
      <c r="V4345" s="16"/>
      <c r="W4345" s="13"/>
      <c r="X4345" s="34">
        <v>4341</v>
      </c>
      <c r="Y4345" s="34" t="s">
        <v>2248</v>
      </c>
      <c r="Z4345" s="34" t="s">
        <v>4155</v>
      </c>
      <c r="AA4345" s="35">
        <v>1.5149193548387098E-16</v>
      </c>
      <c r="AB4345" s="13"/>
      <c r="AC4345" s="13"/>
      <c r="AD4345" s="13"/>
      <c r="AE4345" s="13"/>
      <c r="AF4345" s="13"/>
    </row>
    <row r="4346" spans="19:32" x14ac:dyDescent="0.35">
      <c r="S4346" s="13"/>
      <c r="T4346" s="16"/>
      <c r="U4346" s="16"/>
      <c r="V4346" s="16"/>
      <c r="W4346" s="13"/>
      <c r="X4346" s="34">
        <v>4342</v>
      </c>
      <c r="Y4346" s="34" t="s">
        <v>2248</v>
      </c>
      <c r="Z4346" s="34" t="s">
        <v>4233</v>
      </c>
      <c r="AA4346" s="35">
        <v>3.1875000000000002E-4</v>
      </c>
      <c r="AB4346" s="13"/>
      <c r="AC4346" s="13"/>
      <c r="AD4346" s="13"/>
      <c r="AE4346" s="13"/>
      <c r="AF4346" s="13"/>
    </row>
    <row r="4347" spans="19:32" x14ac:dyDescent="0.35">
      <c r="S4347" s="13"/>
      <c r="T4347" s="16"/>
      <c r="U4347" s="16"/>
      <c r="V4347" s="16"/>
      <c r="W4347" s="13"/>
      <c r="X4347" s="34">
        <v>4343</v>
      </c>
      <c r="Y4347" s="34" t="s">
        <v>2248</v>
      </c>
      <c r="Z4347" s="34" t="s">
        <v>4154</v>
      </c>
      <c r="AA4347" s="35">
        <v>1.2270161290322583E-4</v>
      </c>
      <c r="AB4347" s="13"/>
      <c r="AC4347" s="13"/>
      <c r="AD4347" s="13"/>
      <c r="AE4347" s="13"/>
      <c r="AF4347" s="13"/>
    </row>
    <row r="4348" spans="19:32" x14ac:dyDescent="0.35">
      <c r="S4348" s="13"/>
      <c r="T4348" s="16"/>
      <c r="U4348" s="16"/>
      <c r="V4348" s="16"/>
      <c r="W4348" s="13"/>
      <c r="X4348" s="47">
        <v>4344</v>
      </c>
      <c r="Y4348" s="47" t="s">
        <v>2248</v>
      </c>
      <c r="Z4348" s="47" t="s">
        <v>2570</v>
      </c>
      <c r="AA4348" s="56">
        <v>0</v>
      </c>
      <c r="AB4348" s="13"/>
      <c r="AC4348" s="13"/>
      <c r="AD4348" s="13"/>
      <c r="AE4348" s="13"/>
      <c r="AF4348" s="13"/>
    </row>
    <row r="4349" spans="19:32" x14ac:dyDescent="0.35">
      <c r="S4349" s="13"/>
      <c r="T4349" s="16"/>
      <c r="U4349" s="16"/>
      <c r="V4349" s="16"/>
      <c r="W4349" s="13"/>
      <c r="X4349" s="47">
        <v>4345</v>
      </c>
      <c r="Y4349" s="47" t="s">
        <v>2248</v>
      </c>
      <c r="Z4349" s="47" t="s">
        <v>4232</v>
      </c>
      <c r="AA4349" s="56">
        <v>1.7754032258064517E-3</v>
      </c>
      <c r="AB4349" s="13"/>
      <c r="AC4349" s="13"/>
      <c r="AD4349" s="13"/>
      <c r="AE4349" s="13"/>
      <c r="AF4349" s="13"/>
    </row>
    <row r="4350" spans="19:32" x14ac:dyDescent="0.35">
      <c r="S4350" s="13"/>
      <c r="T4350" s="16"/>
      <c r="U4350" s="16"/>
      <c r="V4350" s="16"/>
      <c r="W4350" s="13"/>
      <c r="X4350" s="34">
        <v>4346</v>
      </c>
      <c r="Y4350" s="34" t="s">
        <v>2248</v>
      </c>
      <c r="Z4350" s="34" t="s">
        <v>4231</v>
      </c>
      <c r="AA4350" s="35">
        <v>3.3383064516129034E-6</v>
      </c>
      <c r="AB4350" s="13"/>
      <c r="AC4350" s="13"/>
      <c r="AD4350" s="13"/>
      <c r="AE4350" s="13"/>
      <c r="AF4350" s="13"/>
    </row>
    <row r="4351" spans="19:32" x14ac:dyDescent="0.35">
      <c r="S4351" s="13"/>
      <c r="T4351" s="16"/>
      <c r="U4351" s="16"/>
      <c r="V4351" s="16"/>
      <c r="W4351" s="13"/>
      <c r="X4351" s="34">
        <v>4347</v>
      </c>
      <c r="Y4351" s="34" t="s">
        <v>2248</v>
      </c>
      <c r="Z4351" s="34" t="s">
        <v>4152</v>
      </c>
      <c r="AA4351" s="35">
        <v>1.6108870967741938E-3</v>
      </c>
      <c r="AB4351" s="13"/>
      <c r="AC4351" s="13"/>
      <c r="AD4351" s="13"/>
      <c r="AE4351" s="13"/>
      <c r="AF4351" s="13"/>
    </row>
    <row r="4352" spans="19:32" x14ac:dyDescent="0.35">
      <c r="S4352" s="13"/>
      <c r="T4352" s="16"/>
      <c r="U4352" s="16"/>
      <c r="V4352" s="16"/>
      <c r="W4352" s="13"/>
      <c r="X4352" s="34">
        <v>4348</v>
      </c>
      <c r="Y4352" s="34" t="s">
        <v>2248</v>
      </c>
      <c r="Z4352" s="34" t="s">
        <v>4230</v>
      </c>
      <c r="AA4352" s="35">
        <v>3.770161290322581E-7</v>
      </c>
      <c r="AB4352" s="13"/>
      <c r="AC4352" s="13"/>
      <c r="AD4352" s="13"/>
      <c r="AE4352" s="13"/>
      <c r="AF4352" s="13"/>
    </row>
    <row r="4353" spans="19:32" x14ac:dyDescent="0.35">
      <c r="S4353" s="13"/>
      <c r="T4353" s="16"/>
      <c r="U4353" s="16"/>
      <c r="V4353" s="16"/>
      <c r="W4353" s="13"/>
      <c r="X4353" s="34">
        <v>4349</v>
      </c>
      <c r="Y4353" s="34" t="s">
        <v>2248</v>
      </c>
      <c r="Z4353" s="34" t="s">
        <v>4150</v>
      </c>
      <c r="AA4353" s="35">
        <v>4.0786290322580646E-2</v>
      </c>
      <c r="AB4353" s="13"/>
      <c r="AC4353" s="13"/>
      <c r="AD4353" s="13"/>
      <c r="AE4353" s="13"/>
      <c r="AF4353" s="13"/>
    </row>
    <row r="4354" spans="19:32" x14ac:dyDescent="0.35">
      <c r="S4354" s="13"/>
      <c r="T4354" s="16"/>
      <c r="U4354" s="16"/>
      <c r="V4354" s="16"/>
      <c r="W4354" s="13"/>
      <c r="X4354" s="34">
        <v>4350</v>
      </c>
      <c r="Y4354" s="34" t="s">
        <v>2248</v>
      </c>
      <c r="Z4354" s="34" t="s">
        <v>4229</v>
      </c>
      <c r="AA4354" s="35">
        <v>6.2036290322580647E-5</v>
      </c>
      <c r="AB4354" s="13"/>
      <c r="AC4354" s="13"/>
      <c r="AD4354" s="13"/>
      <c r="AE4354" s="13"/>
      <c r="AF4354" s="13"/>
    </row>
    <row r="4355" spans="19:32" x14ac:dyDescent="0.35">
      <c r="S4355" s="13"/>
      <c r="T4355" s="16"/>
      <c r="U4355" s="16"/>
      <c r="V4355" s="16"/>
      <c r="W4355" s="13"/>
      <c r="X4355" s="47">
        <v>4351</v>
      </c>
      <c r="Y4355" s="47" t="s">
        <v>2248</v>
      </c>
      <c r="Z4355" s="47" t="s">
        <v>2568</v>
      </c>
      <c r="AA4355" s="56">
        <v>0</v>
      </c>
      <c r="AB4355" s="13"/>
      <c r="AC4355" s="13"/>
      <c r="AD4355" s="13"/>
      <c r="AE4355" s="13"/>
      <c r="AF4355" s="13"/>
    </row>
    <row r="4356" spans="19:32" x14ac:dyDescent="0.35">
      <c r="S4356" s="13"/>
      <c r="T4356" s="16"/>
      <c r="U4356" s="16"/>
      <c r="V4356" s="16"/>
      <c r="W4356" s="13"/>
      <c r="X4356" s="34">
        <v>4352</v>
      </c>
      <c r="Y4356" s="34" t="s">
        <v>2248</v>
      </c>
      <c r="Z4356" s="34" t="s">
        <v>4149</v>
      </c>
      <c r="AA4356" s="35">
        <v>1.4875000000000001E-3</v>
      </c>
      <c r="AB4356" s="13"/>
      <c r="AC4356" s="13"/>
      <c r="AD4356" s="13"/>
      <c r="AE4356" s="13"/>
      <c r="AF4356" s="13"/>
    </row>
    <row r="4357" spans="19:32" x14ac:dyDescent="0.35">
      <c r="S4357" s="13"/>
      <c r="T4357" s="16"/>
      <c r="U4357" s="16"/>
      <c r="V4357" s="16"/>
      <c r="W4357" s="13"/>
      <c r="X4357" s="47">
        <v>4353</v>
      </c>
      <c r="Y4357" s="47" t="s">
        <v>2248</v>
      </c>
      <c r="Z4357" s="47" t="s">
        <v>2567</v>
      </c>
      <c r="AA4357" s="56">
        <v>0</v>
      </c>
      <c r="AB4357" s="13"/>
      <c r="AC4357" s="13"/>
      <c r="AD4357" s="13"/>
      <c r="AE4357" s="13"/>
      <c r="AF4357" s="13"/>
    </row>
    <row r="4358" spans="19:32" x14ac:dyDescent="0.35">
      <c r="S4358" s="13"/>
      <c r="T4358" s="16"/>
      <c r="U4358" s="16"/>
      <c r="V4358" s="16"/>
      <c r="W4358" s="13"/>
      <c r="X4358" s="47">
        <v>4354</v>
      </c>
      <c r="Y4358" s="47" t="s">
        <v>2248</v>
      </c>
      <c r="Z4358" s="47" t="s">
        <v>4228</v>
      </c>
      <c r="AA4358" s="56">
        <v>3.4137096774193549E-6</v>
      </c>
      <c r="AB4358" s="13"/>
      <c r="AC4358" s="13"/>
      <c r="AD4358" s="13"/>
      <c r="AE4358" s="13"/>
      <c r="AF4358" s="13"/>
    </row>
    <row r="4359" spans="19:32" x14ac:dyDescent="0.35">
      <c r="S4359" s="13"/>
      <c r="T4359" s="16"/>
      <c r="U4359" s="16"/>
      <c r="V4359" s="16"/>
      <c r="W4359" s="13"/>
      <c r="X4359" s="34">
        <v>4355</v>
      </c>
      <c r="Y4359" s="34" t="s">
        <v>2248</v>
      </c>
      <c r="Z4359" s="34" t="s">
        <v>4148</v>
      </c>
      <c r="AA4359" s="35">
        <v>4.010080645161291E-2</v>
      </c>
      <c r="AB4359" s="13"/>
      <c r="AC4359" s="13"/>
      <c r="AD4359" s="13"/>
      <c r="AE4359" s="13"/>
      <c r="AF4359" s="13"/>
    </row>
    <row r="4360" spans="19:32" x14ac:dyDescent="0.35">
      <c r="S4360" s="13"/>
      <c r="T4360" s="16"/>
      <c r="U4360" s="16"/>
      <c r="V4360" s="16"/>
      <c r="W4360" s="13"/>
      <c r="X4360" s="47">
        <v>4356</v>
      </c>
      <c r="Y4360" s="47" t="s">
        <v>2248</v>
      </c>
      <c r="Z4360" s="47" t="s">
        <v>2565</v>
      </c>
      <c r="AA4360" s="56">
        <v>5.5659999999999998E-4</v>
      </c>
      <c r="AB4360" s="13"/>
      <c r="AC4360" s="13"/>
      <c r="AD4360" s="13"/>
      <c r="AE4360" s="13"/>
      <c r="AF4360" s="13"/>
    </row>
    <row r="4361" spans="19:32" x14ac:dyDescent="0.35">
      <c r="S4361" s="13"/>
      <c r="T4361" s="16"/>
      <c r="U4361" s="16"/>
      <c r="V4361" s="16"/>
      <c r="W4361" s="13"/>
      <c r="X4361" s="34">
        <v>4357</v>
      </c>
      <c r="Y4361" s="34" t="s">
        <v>2248</v>
      </c>
      <c r="Z4361" s="34" t="s">
        <v>2565</v>
      </c>
      <c r="AA4361" s="35">
        <v>5.7237903225806452E-4</v>
      </c>
      <c r="AB4361" s="13"/>
      <c r="AC4361" s="13"/>
      <c r="AD4361" s="13"/>
      <c r="AE4361" s="13"/>
      <c r="AF4361" s="13"/>
    </row>
    <row r="4362" spans="19:32" x14ac:dyDescent="0.35">
      <c r="S4362" s="13"/>
      <c r="T4362" s="16"/>
      <c r="U4362" s="16"/>
      <c r="V4362" s="16"/>
      <c r="W4362" s="13"/>
      <c r="X4362" s="34">
        <v>4358</v>
      </c>
      <c r="Y4362" s="34" t="s">
        <v>2248</v>
      </c>
      <c r="Z4362" s="34" t="s">
        <v>2512</v>
      </c>
      <c r="AA4362" s="35">
        <v>0.92883064516129044</v>
      </c>
      <c r="AB4362" s="13"/>
      <c r="AC4362" s="13"/>
      <c r="AD4362" s="13"/>
      <c r="AE4362" s="13"/>
      <c r="AF4362" s="13"/>
    </row>
    <row r="4363" spans="19:32" x14ac:dyDescent="0.35">
      <c r="S4363" s="13"/>
      <c r="T4363" s="16"/>
      <c r="U4363" s="16"/>
      <c r="V4363" s="16"/>
      <c r="W4363" s="13"/>
      <c r="X4363" s="34">
        <v>4359</v>
      </c>
      <c r="Y4363" s="34" t="s">
        <v>2248</v>
      </c>
      <c r="Z4363" s="34" t="s">
        <v>4227</v>
      </c>
      <c r="AA4363" s="35">
        <v>4.3870967741935482E-9</v>
      </c>
      <c r="AB4363" s="13"/>
      <c r="AC4363" s="13"/>
      <c r="AD4363" s="13"/>
      <c r="AE4363" s="13"/>
      <c r="AF4363" s="13"/>
    </row>
    <row r="4364" spans="19:32" x14ac:dyDescent="0.35">
      <c r="S4364" s="13"/>
      <c r="T4364" s="16"/>
      <c r="U4364" s="16"/>
      <c r="V4364" s="16"/>
      <c r="W4364" s="13"/>
      <c r="X4364" s="47">
        <v>4360</v>
      </c>
      <c r="Y4364" s="47" t="s">
        <v>2248</v>
      </c>
      <c r="Z4364" s="47" t="s">
        <v>2563</v>
      </c>
      <c r="AA4364" s="56">
        <v>2.5944000000000002E-2</v>
      </c>
      <c r="AB4364" s="13"/>
      <c r="AC4364" s="13"/>
      <c r="AD4364" s="13"/>
      <c r="AE4364" s="13"/>
      <c r="AF4364" s="13"/>
    </row>
    <row r="4365" spans="19:32" x14ac:dyDescent="0.35">
      <c r="S4365" s="13"/>
      <c r="T4365" s="16"/>
      <c r="U4365" s="16"/>
      <c r="V4365" s="16"/>
      <c r="W4365" s="13"/>
      <c r="X4365" s="34">
        <v>4361</v>
      </c>
      <c r="Y4365" s="34" t="s">
        <v>2248</v>
      </c>
      <c r="Z4365" s="34" t="s">
        <v>2563</v>
      </c>
      <c r="AA4365" s="35">
        <v>2.6528225806451617E-3</v>
      </c>
      <c r="AB4365" s="13"/>
      <c r="AC4365" s="13"/>
      <c r="AD4365" s="13"/>
      <c r="AE4365" s="13"/>
      <c r="AF4365" s="13"/>
    </row>
    <row r="4366" spans="19:32" x14ac:dyDescent="0.35">
      <c r="S4366" s="13"/>
      <c r="T4366" s="16"/>
      <c r="U4366" s="16"/>
      <c r="V4366" s="16"/>
      <c r="W4366" s="13"/>
      <c r="X4366" s="34">
        <v>4362</v>
      </c>
      <c r="Y4366" s="34" t="s">
        <v>2248</v>
      </c>
      <c r="Z4366" s="34" t="s">
        <v>2509</v>
      </c>
      <c r="AA4366" s="35">
        <v>1.6931451612903227E-3</v>
      </c>
      <c r="AB4366" s="13"/>
      <c r="AC4366" s="13"/>
      <c r="AD4366" s="13"/>
      <c r="AE4366" s="13"/>
      <c r="AF4366" s="13"/>
    </row>
    <row r="4367" spans="19:32" x14ac:dyDescent="0.35">
      <c r="S4367" s="13"/>
      <c r="T4367" s="16"/>
      <c r="U4367" s="16"/>
      <c r="V4367" s="16"/>
      <c r="W4367" s="13"/>
      <c r="X4367" s="34">
        <v>4363</v>
      </c>
      <c r="Y4367" s="34" t="s">
        <v>2248</v>
      </c>
      <c r="Z4367" s="34" t="s">
        <v>4226</v>
      </c>
      <c r="AA4367" s="35">
        <v>5.4838709677419359E-4</v>
      </c>
      <c r="AB4367" s="13"/>
      <c r="AC4367" s="13"/>
      <c r="AD4367" s="13"/>
      <c r="AE4367" s="13"/>
      <c r="AF4367" s="13"/>
    </row>
    <row r="4368" spans="19:32" x14ac:dyDescent="0.35">
      <c r="S4368" s="13"/>
      <c r="T4368" s="16"/>
      <c r="U4368" s="16"/>
      <c r="V4368" s="16"/>
      <c r="W4368" s="13"/>
      <c r="X4368" s="34">
        <v>4364</v>
      </c>
      <c r="Y4368" s="34" t="s">
        <v>2248</v>
      </c>
      <c r="Z4368" s="34" t="s">
        <v>4144</v>
      </c>
      <c r="AA4368" s="35">
        <v>8.9455645161290334E-4</v>
      </c>
      <c r="AB4368" s="13"/>
      <c r="AC4368" s="13"/>
      <c r="AD4368" s="13"/>
      <c r="AE4368" s="13"/>
      <c r="AF4368" s="13"/>
    </row>
    <row r="4369" spans="19:32" x14ac:dyDescent="0.35">
      <c r="S4369" s="13"/>
      <c r="T4369" s="16"/>
      <c r="U4369" s="16"/>
      <c r="V4369" s="16"/>
      <c r="W4369" s="13"/>
      <c r="X4369" s="47">
        <v>4365</v>
      </c>
      <c r="Y4369" s="47" t="s">
        <v>2248</v>
      </c>
      <c r="Z4369" s="47" t="s">
        <v>4225</v>
      </c>
      <c r="AA4369" s="56">
        <v>1.8953629032258068E-5</v>
      </c>
      <c r="AB4369" s="13"/>
      <c r="AC4369" s="13"/>
      <c r="AD4369" s="13"/>
      <c r="AE4369" s="13"/>
      <c r="AF4369" s="13"/>
    </row>
    <row r="4370" spans="19:32" x14ac:dyDescent="0.35">
      <c r="S4370" s="13"/>
      <c r="T4370" s="16"/>
      <c r="U4370" s="16"/>
      <c r="V4370" s="16"/>
      <c r="W4370" s="13"/>
      <c r="X4370" s="34">
        <v>4366</v>
      </c>
      <c r="Y4370" s="34" t="s">
        <v>2248</v>
      </c>
      <c r="Z4370" s="34" t="s">
        <v>4224</v>
      </c>
      <c r="AA4370" s="35">
        <v>3.2766129032258068E-4</v>
      </c>
      <c r="AB4370" s="13"/>
      <c r="AC4370" s="13"/>
      <c r="AD4370" s="13"/>
      <c r="AE4370" s="13"/>
      <c r="AF4370" s="13"/>
    </row>
    <row r="4371" spans="19:32" x14ac:dyDescent="0.35">
      <c r="S4371" s="13"/>
      <c r="T4371" s="16"/>
      <c r="U4371" s="16"/>
      <c r="V4371" s="16"/>
      <c r="W4371" s="13"/>
      <c r="X4371" s="34">
        <v>4367</v>
      </c>
      <c r="Y4371" s="34" t="s">
        <v>2248</v>
      </c>
      <c r="Z4371" s="34" t="s">
        <v>4142</v>
      </c>
      <c r="AA4371" s="35">
        <v>3.6673387096774197E-5</v>
      </c>
      <c r="AB4371" s="13"/>
      <c r="AC4371" s="13"/>
      <c r="AD4371" s="13"/>
      <c r="AE4371" s="13"/>
      <c r="AF4371" s="13"/>
    </row>
    <row r="4372" spans="19:32" x14ac:dyDescent="0.35">
      <c r="S4372" s="13"/>
      <c r="T4372" s="16"/>
      <c r="U4372" s="16"/>
      <c r="V4372" s="16"/>
      <c r="W4372" s="13"/>
      <c r="X4372" s="34">
        <v>4368</v>
      </c>
      <c r="Y4372" s="34" t="s">
        <v>2248</v>
      </c>
      <c r="Z4372" s="34" t="s">
        <v>4223</v>
      </c>
      <c r="AA4372" s="35">
        <v>0.1086491935483871</v>
      </c>
      <c r="AB4372" s="13"/>
      <c r="AC4372" s="13"/>
      <c r="AD4372" s="13"/>
      <c r="AE4372" s="13"/>
      <c r="AF4372" s="13"/>
    </row>
    <row r="4373" spans="19:32" x14ac:dyDescent="0.35">
      <c r="S4373" s="13"/>
      <c r="T4373" s="16"/>
      <c r="U4373" s="16"/>
      <c r="V4373" s="16"/>
      <c r="W4373" s="13"/>
      <c r="X4373" s="34">
        <v>4369</v>
      </c>
      <c r="Y4373" s="34" t="s">
        <v>2248</v>
      </c>
      <c r="Z4373" s="34" t="s">
        <v>2504</v>
      </c>
      <c r="AA4373" s="35">
        <v>1.2030241935483871E-4</v>
      </c>
      <c r="AB4373" s="13"/>
      <c r="AC4373" s="13"/>
      <c r="AD4373" s="13"/>
      <c r="AE4373" s="13"/>
      <c r="AF4373" s="13"/>
    </row>
    <row r="4374" spans="19:32" x14ac:dyDescent="0.35">
      <c r="S4374" s="13"/>
      <c r="T4374" s="16"/>
      <c r="U4374" s="16"/>
      <c r="V4374" s="16"/>
      <c r="W4374" s="13"/>
      <c r="X4374" s="47">
        <v>4370</v>
      </c>
      <c r="Y4374" s="47" t="s">
        <v>2248</v>
      </c>
      <c r="Z4374" s="47" t="s">
        <v>2562</v>
      </c>
      <c r="AA4374" s="56">
        <v>0</v>
      </c>
      <c r="AB4374" s="13"/>
      <c r="AC4374" s="13"/>
      <c r="AD4374" s="13"/>
      <c r="AE4374" s="13"/>
      <c r="AF4374" s="13"/>
    </row>
    <row r="4375" spans="19:32" x14ac:dyDescent="0.35">
      <c r="S4375" s="13"/>
      <c r="T4375" s="16"/>
      <c r="U4375" s="16"/>
      <c r="V4375" s="16"/>
      <c r="W4375" s="13"/>
      <c r="X4375" s="34">
        <v>4371</v>
      </c>
      <c r="Y4375" s="34" t="s">
        <v>2248</v>
      </c>
      <c r="Z4375" s="34" t="s">
        <v>4222</v>
      </c>
      <c r="AA4375" s="35">
        <v>9.5282258064516138E-4</v>
      </c>
      <c r="AB4375" s="13"/>
      <c r="AC4375" s="13"/>
      <c r="AD4375" s="13"/>
      <c r="AE4375" s="13"/>
      <c r="AF4375" s="13"/>
    </row>
    <row r="4376" spans="19:32" x14ac:dyDescent="0.35">
      <c r="S4376" s="13"/>
      <c r="T4376" s="16"/>
      <c r="U4376" s="16"/>
      <c r="V4376" s="16"/>
      <c r="W4376" s="13"/>
      <c r="X4376" s="34">
        <v>4372</v>
      </c>
      <c r="Y4376" s="34" t="s">
        <v>2248</v>
      </c>
      <c r="Z4376" s="34" t="s">
        <v>4221</v>
      </c>
      <c r="AA4376" s="35">
        <v>1.5080645161290326E-4</v>
      </c>
      <c r="AB4376" s="13"/>
      <c r="AC4376" s="13"/>
      <c r="AD4376" s="13"/>
      <c r="AE4376" s="13"/>
      <c r="AF4376" s="13"/>
    </row>
    <row r="4377" spans="19:32" x14ac:dyDescent="0.35">
      <c r="S4377" s="13"/>
      <c r="T4377" s="16"/>
      <c r="U4377" s="16"/>
      <c r="V4377" s="16"/>
      <c r="W4377" s="13"/>
      <c r="X4377" s="34">
        <v>4373</v>
      </c>
      <c r="Y4377" s="34" t="s">
        <v>2248</v>
      </c>
      <c r="Z4377" s="34" t="s">
        <v>4140</v>
      </c>
      <c r="AA4377" s="35">
        <v>1.665725806451613E-2</v>
      </c>
      <c r="AB4377" s="13"/>
      <c r="AC4377" s="13"/>
      <c r="AD4377" s="13"/>
      <c r="AE4377" s="13"/>
      <c r="AF4377" s="13"/>
    </row>
    <row r="4378" spans="19:32" x14ac:dyDescent="0.35">
      <c r="S4378" s="13"/>
      <c r="T4378" s="16"/>
      <c r="U4378" s="16"/>
      <c r="V4378" s="16"/>
      <c r="W4378" s="13"/>
      <c r="X4378" s="47">
        <v>4374</v>
      </c>
      <c r="Y4378" s="47" t="s">
        <v>2248</v>
      </c>
      <c r="Z4378" s="47" t="s">
        <v>2560</v>
      </c>
      <c r="AA4378" s="56">
        <v>6.0719999999999996E-2</v>
      </c>
      <c r="AB4378" s="13"/>
      <c r="AC4378" s="13"/>
      <c r="AD4378" s="13"/>
      <c r="AE4378" s="13"/>
      <c r="AF4378" s="13"/>
    </row>
    <row r="4379" spans="19:32" x14ac:dyDescent="0.35">
      <c r="S4379" s="13"/>
      <c r="T4379" s="16"/>
      <c r="U4379" s="16"/>
      <c r="V4379" s="16"/>
      <c r="W4379" s="13"/>
      <c r="X4379" s="47">
        <v>4375</v>
      </c>
      <c r="Y4379" s="47" t="s">
        <v>2248</v>
      </c>
      <c r="Z4379" s="47" t="s">
        <v>4220</v>
      </c>
      <c r="AA4379" s="56">
        <v>0.10625000000000001</v>
      </c>
      <c r="AB4379" s="13"/>
      <c r="AC4379" s="13"/>
      <c r="AD4379" s="13"/>
      <c r="AE4379" s="13"/>
      <c r="AF4379" s="13"/>
    </row>
    <row r="4380" spans="19:32" x14ac:dyDescent="0.35">
      <c r="S4380" s="13"/>
      <c r="T4380" s="16"/>
      <c r="U4380" s="16"/>
      <c r="V4380" s="16"/>
      <c r="W4380" s="13"/>
      <c r="X4380" s="34">
        <v>4376</v>
      </c>
      <c r="Y4380" s="34" t="s">
        <v>2248</v>
      </c>
      <c r="Z4380" s="34" t="s">
        <v>2502</v>
      </c>
      <c r="AA4380" s="35">
        <v>1.2784274193548388E-3</v>
      </c>
      <c r="AB4380" s="13"/>
      <c r="AC4380" s="13"/>
      <c r="AD4380" s="13"/>
      <c r="AE4380" s="13"/>
      <c r="AF4380" s="13"/>
    </row>
    <row r="4381" spans="19:32" x14ac:dyDescent="0.35">
      <c r="S4381" s="13"/>
      <c r="T4381" s="16"/>
      <c r="U4381" s="16"/>
      <c r="V4381" s="16"/>
      <c r="W4381" s="13"/>
      <c r="X4381" s="47">
        <v>4377</v>
      </c>
      <c r="Y4381" s="47" t="s">
        <v>2248</v>
      </c>
      <c r="Z4381" s="47" t="s">
        <v>2559</v>
      </c>
      <c r="AA4381" s="56">
        <v>4.7748000000000001E-3</v>
      </c>
      <c r="AB4381" s="13"/>
      <c r="AC4381" s="13"/>
      <c r="AD4381" s="13"/>
      <c r="AE4381" s="13"/>
      <c r="AF4381" s="13"/>
    </row>
    <row r="4382" spans="19:32" x14ac:dyDescent="0.35">
      <c r="S4382" s="13"/>
      <c r="T4382" s="16"/>
      <c r="U4382" s="16"/>
      <c r="V4382" s="16"/>
      <c r="W4382" s="13"/>
      <c r="X4382" s="34">
        <v>4378</v>
      </c>
      <c r="Y4382" s="34" t="s">
        <v>2248</v>
      </c>
      <c r="Z4382" s="34" t="s">
        <v>2559</v>
      </c>
      <c r="AA4382" s="35">
        <v>1.370967741935484E-3</v>
      </c>
      <c r="AB4382" s="13"/>
      <c r="AC4382" s="13"/>
      <c r="AD4382" s="13"/>
      <c r="AE4382" s="13"/>
      <c r="AF4382" s="13"/>
    </row>
    <row r="4383" spans="19:32" x14ac:dyDescent="0.35">
      <c r="S4383" s="13"/>
      <c r="T4383" s="16"/>
      <c r="U4383" s="16"/>
      <c r="V4383" s="16"/>
      <c r="W4383" s="13"/>
      <c r="X4383" s="34">
        <v>4379</v>
      </c>
      <c r="Y4383" s="34" t="s">
        <v>2248</v>
      </c>
      <c r="Z4383" s="34" t="s">
        <v>4138</v>
      </c>
      <c r="AA4383" s="35">
        <v>1.7034274193548388E-2</v>
      </c>
      <c r="AB4383" s="13"/>
      <c r="AC4383" s="13"/>
      <c r="AD4383" s="13"/>
      <c r="AE4383" s="13"/>
      <c r="AF4383" s="13"/>
    </row>
    <row r="4384" spans="19:32" x14ac:dyDescent="0.35">
      <c r="S4384" s="13"/>
      <c r="T4384" s="16"/>
      <c r="U4384" s="16"/>
      <c r="V4384" s="16"/>
      <c r="W4384" s="13"/>
      <c r="X4384" s="47">
        <v>4380</v>
      </c>
      <c r="Y4384" s="47" t="s">
        <v>2248</v>
      </c>
      <c r="Z4384" s="47" t="s">
        <v>4219</v>
      </c>
      <c r="AA4384" s="56">
        <v>1.0110887096774195E-3</v>
      </c>
      <c r="AB4384" s="13"/>
      <c r="AC4384" s="13"/>
      <c r="AD4384" s="13"/>
      <c r="AE4384" s="13"/>
      <c r="AF4384" s="13"/>
    </row>
    <row r="4385" spans="19:32" x14ac:dyDescent="0.35">
      <c r="S4385" s="13"/>
      <c r="T4385" s="16"/>
      <c r="U4385" s="16"/>
      <c r="V4385" s="16"/>
      <c r="W4385" s="13"/>
      <c r="X4385" s="34">
        <v>4381</v>
      </c>
      <c r="Y4385" s="34" t="s">
        <v>2248</v>
      </c>
      <c r="Z4385" s="34" t="s">
        <v>4218</v>
      </c>
      <c r="AA4385" s="35">
        <v>2.6425403225806455E-4</v>
      </c>
      <c r="AB4385" s="13"/>
      <c r="AC4385" s="13"/>
      <c r="AD4385" s="13"/>
      <c r="AE4385" s="13"/>
      <c r="AF4385" s="13"/>
    </row>
    <row r="4386" spans="19:32" x14ac:dyDescent="0.35">
      <c r="S4386" s="13"/>
      <c r="T4386" s="16"/>
      <c r="U4386" s="16"/>
      <c r="V4386" s="16"/>
      <c r="W4386" s="13"/>
      <c r="X4386" s="34">
        <v>4382</v>
      </c>
      <c r="Y4386" s="34" t="s">
        <v>2248</v>
      </c>
      <c r="Z4386" s="34" t="s">
        <v>4137</v>
      </c>
      <c r="AA4386" s="35">
        <v>1.9879032258064517E-3</v>
      </c>
      <c r="AB4386" s="13"/>
      <c r="AC4386" s="13"/>
      <c r="AD4386" s="13"/>
      <c r="AE4386" s="13"/>
      <c r="AF4386" s="13"/>
    </row>
    <row r="4387" spans="19:32" x14ac:dyDescent="0.35">
      <c r="S4387" s="13"/>
      <c r="T4387" s="16"/>
      <c r="U4387" s="16"/>
      <c r="V4387" s="16"/>
      <c r="W4387" s="13"/>
      <c r="X4387" s="34">
        <v>4383</v>
      </c>
      <c r="Y4387" s="34" t="s">
        <v>2248</v>
      </c>
      <c r="Z4387" s="34" t="s">
        <v>4217</v>
      </c>
      <c r="AA4387" s="35">
        <v>4.0443548387096772E-5</v>
      </c>
      <c r="AB4387" s="13"/>
      <c r="AC4387" s="13"/>
      <c r="AD4387" s="13"/>
      <c r="AE4387" s="13"/>
      <c r="AF4387" s="13"/>
    </row>
    <row r="4388" spans="19:32" x14ac:dyDescent="0.35">
      <c r="S4388" s="13"/>
      <c r="T4388" s="16"/>
      <c r="U4388" s="16"/>
      <c r="V4388" s="16"/>
      <c r="W4388" s="13"/>
      <c r="X4388" s="34">
        <v>4384</v>
      </c>
      <c r="Y4388" s="34" t="s">
        <v>2248</v>
      </c>
      <c r="Z4388" s="34" t="s">
        <v>4135</v>
      </c>
      <c r="AA4388" s="35">
        <v>2.1592741935483873E-4</v>
      </c>
      <c r="AB4388" s="13"/>
      <c r="AC4388" s="13"/>
      <c r="AD4388" s="13"/>
      <c r="AE4388" s="13"/>
      <c r="AF4388" s="13"/>
    </row>
    <row r="4389" spans="19:32" x14ac:dyDescent="0.35">
      <c r="S4389" s="13"/>
      <c r="T4389" s="16"/>
      <c r="U4389" s="16"/>
      <c r="V4389" s="16"/>
      <c r="W4389" s="13"/>
      <c r="X4389" s="47">
        <v>4385</v>
      </c>
      <c r="Y4389" s="47" t="s">
        <v>2248</v>
      </c>
      <c r="Z4389" s="47" t="s">
        <v>2557</v>
      </c>
      <c r="AA4389" s="56">
        <v>0</v>
      </c>
      <c r="AB4389" s="13"/>
      <c r="AC4389" s="13"/>
      <c r="AD4389" s="13"/>
      <c r="AE4389" s="13"/>
      <c r="AF4389" s="13"/>
    </row>
    <row r="4390" spans="19:32" x14ac:dyDescent="0.35">
      <c r="S4390" s="13"/>
      <c r="T4390" s="16"/>
      <c r="U4390" s="16"/>
      <c r="V4390" s="16"/>
      <c r="W4390" s="13"/>
      <c r="X4390" s="47">
        <v>4386</v>
      </c>
      <c r="Y4390" s="47" t="s">
        <v>2248</v>
      </c>
      <c r="Z4390" s="47" t="s">
        <v>4216</v>
      </c>
      <c r="AA4390" s="56">
        <v>2.7590725806451617E-5</v>
      </c>
      <c r="AB4390" s="13"/>
      <c r="AC4390" s="13"/>
      <c r="AD4390" s="13"/>
      <c r="AE4390" s="13"/>
      <c r="AF4390" s="13"/>
    </row>
    <row r="4391" spans="19:32" x14ac:dyDescent="0.35">
      <c r="S4391" s="13"/>
      <c r="T4391" s="16"/>
      <c r="U4391" s="16"/>
      <c r="V4391" s="16"/>
      <c r="W4391" s="13"/>
      <c r="X4391" s="34">
        <v>4387</v>
      </c>
      <c r="Y4391" s="34" t="s">
        <v>2248</v>
      </c>
      <c r="Z4391" s="34" t="s">
        <v>2499</v>
      </c>
      <c r="AA4391" s="35">
        <v>3.7358870967741939E-3</v>
      </c>
      <c r="AB4391" s="13"/>
      <c r="AC4391" s="13"/>
      <c r="AD4391" s="13"/>
      <c r="AE4391" s="13"/>
      <c r="AF4391" s="13"/>
    </row>
    <row r="4392" spans="19:32" x14ac:dyDescent="0.35">
      <c r="S4392" s="13"/>
      <c r="T4392" s="16"/>
      <c r="U4392" s="16"/>
      <c r="V4392" s="16"/>
      <c r="W4392" s="13"/>
      <c r="X4392" s="47">
        <v>4388</v>
      </c>
      <c r="Y4392" s="47" t="s">
        <v>2248</v>
      </c>
      <c r="Z4392" s="47" t="s">
        <v>2556</v>
      </c>
      <c r="AA4392" s="56">
        <v>0</v>
      </c>
      <c r="AB4392" s="13"/>
      <c r="AC4392" s="13"/>
      <c r="AD4392" s="13"/>
      <c r="AE4392" s="13"/>
      <c r="AF4392" s="13"/>
    </row>
    <row r="4393" spans="19:32" x14ac:dyDescent="0.35">
      <c r="S4393" s="13"/>
      <c r="T4393" s="16"/>
      <c r="U4393" s="16"/>
      <c r="V4393" s="16"/>
      <c r="W4393" s="13"/>
      <c r="X4393" s="34">
        <v>4389</v>
      </c>
      <c r="Y4393" s="34" t="s">
        <v>2248</v>
      </c>
      <c r="Z4393" s="34" t="s">
        <v>2556</v>
      </c>
      <c r="AA4393" s="35">
        <v>2.1421370967741937E-2</v>
      </c>
      <c r="AB4393" s="13"/>
      <c r="AC4393" s="13"/>
      <c r="AD4393" s="13"/>
      <c r="AE4393" s="13"/>
      <c r="AF4393" s="13"/>
    </row>
    <row r="4394" spans="19:32" x14ac:dyDescent="0.35">
      <c r="S4394" s="13"/>
      <c r="T4394" s="16"/>
      <c r="U4394" s="16"/>
      <c r="V4394" s="16"/>
      <c r="W4394" s="13"/>
      <c r="X4394" s="34">
        <v>4390</v>
      </c>
      <c r="Y4394" s="34" t="s">
        <v>2248</v>
      </c>
      <c r="Z4394" s="34" t="s">
        <v>4132</v>
      </c>
      <c r="AA4394" s="35">
        <v>4.3870967741935489E-4</v>
      </c>
      <c r="AB4394" s="13"/>
      <c r="AC4394" s="13"/>
      <c r="AD4394" s="13"/>
      <c r="AE4394" s="13"/>
      <c r="AF4394" s="13"/>
    </row>
    <row r="4395" spans="19:32" x14ac:dyDescent="0.35">
      <c r="S4395" s="13"/>
      <c r="T4395" s="16"/>
      <c r="U4395" s="16"/>
      <c r="V4395" s="16"/>
      <c r="W4395" s="13"/>
      <c r="X4395" s="47">
        <v>4391</v>
      </c>
      <c r="Y4395" s="47" t="s">
        <v>2248</v>
      </c>
      <c r="Z4395" s="47" t="s">
        <v>4215</v>
      </c>
      <c r="AA4395" s="56">
        <v>1.6897177419354838E-3</v>
      </c>
      <c r="AB4395" s="13"/>
      <c r="AC4395" s="13"/>
      <c r="AD4395" s="13"/>
      <c r="AE4395" s="13"/>
      <c r="AF4395" s="13"/>
    </row>
    <row r="4396" spans="19:32" x14ac:dyDescent="0.35">
      <c r="S4396" s="13"/>
      <c r="T4396" s="16"/>
      <c r="U4396" s="16"/>
      <c r="V4396" s="16"/>
      <c r="W4396" s="13"/>
      <c r="X4396" s="34">
        <v>4392</v>
      </c>
      <c r="Y4396" s="34" t="s">
        <v>2248</v>
      </c>
      <c r="Z4396" s="34" t="s">
        <v>4214</v>
      </c>
      <c r="AA4396" s="35">
        <v>5.3467741935483877E-3</v>
      </c>
      <c r="AB4396" s="13"/>
      <c r="AC4396" s="13"/>
      <c r="AD4396" s="13"/>
      <c r="AE4396" s="13"/>
      <c r="AF4396" s="13"/>
    </row>
    <row r="4397" spans="19:32" x14ac:dyDescent="0.35">
      <c r="S4397" s="13"/>
      <c r="T4397" s="16"/>
      <c r="U4397" s="16"/>
      <c r="V4397" s="16"/>
      <c r="W4397" s="13"/>
      <c r="X4397" s="34">
        <v>4393</v>
      </c>
      <c r="Y4397" s="34" t="s">
        <v>2248</v>
      </c>
      <c r="Z4397" s="34" t="s">
        <v>4131</v>
      </c>
      <c r="AA4397" s="35">
        <v>9.4939516129032261E-5</v>
      </c>
      <c r="AB4397" s="13"/>
      <c r="AC4397" s="13"/>
      <c r="AD4397" s="13"/>
      <c r="AE4397" s="13"/>
      <c r="AF4397" s="13"/>
    </row>
    <row r="4398" spans="19:32" x14ac:dyDescent="0.35">
      <c r="S4398" s="13"/>
      <c r="T4398" s="16"/>
      <c r="U4398" s="16"/>
      <c r="V4398" s="16"/>
      <c r="W4398" s="13"/>
      <c r="X4398" s="34">
        <v>4394</v>
      </c>
      <c r="Y4398" s="34" t="s">
        <v>2248</v>
      </c>
      <c r="Z4398" s="34" t="s">
        <v>4213</v>
      </c>
      <c r="AA4398" s="35">
        <v>5.0040322580645162E-3</v>
      </c>
      <c r="AB4398" s="13"/>
      <c r="AC4398" s="13"/>
      <c r="AD4398" s="13"/>
      <c r="AE4398" s="13"/>
      <c r="AF4398" s="13"/>
    </row>
    <row r="4399" spans="19:32" x14ac:dyDescent="0.35">
      <c r="S4399" s="13"/>
      <c r="T4399" s="16"/>
      <c r="U4399" s="16"/>
      <c r="V4399" s="16"/>
      <c r="W4399" s="13"/>
      <c r="X4399" s="34">
        <v>4395</v>
      </c>
      <c r="Y4399" s="34" t="s">
        <v>2248</v>
      </c>
      <c r="Z4399" s="34" t="s">
        <v>4129</v>
      </c>
      <c r="AA4399" s="35">
        <v>2.5260080645161293E-5</v>
      </c>
      <c r="AB4399" s="13"/>
      <c r="AC4399" s="13"/>
      <c r="AD4399" s="13"/>
      <c r="AE4399" s="13"/>
      <c r="AF4399" s="13"/>
    </row>
    <row r="4400" spans="19:32" x14ac:dyDescent="0.35">
      <c r="S4400" s="13"/>
      <c r="T4400" s="16"/>
      <c r="U4400" s="16"/>
      <c r="V4400" s="16"/>
      <c r="W4400" s="13"/>
      <c r="X4400" s="47">
        <v>4396</v>
      </c>
      <c r="Y4400" s="47" t="s">
        <v>2248</v>
      </c>
      <c r="Z4400" s="47" t="s">
        <v>2554</v>
      </c>
      <c r="AA4400" s="56">
        <v>2.7415999999999999E-2</v>
      </c>
      <c r="AB4400" s="13"/>
      <c r="AC4400" s="13"/>
      <c r="AD4400" s="13"/>
      <c r="AE4400" s="13"/>
      <c r="AF4400" s="13"/>
    </row>
    <row r="4401" spans="19:32" x14ac:dyDescent="0.35">
      <c r="S4401" s="13"/>
      <c r="T4401" s="16"/>
      <c r="U4401" s="16"/>
      <c r="V4401" s="16"/>
      <c r="W4401" s="13"/>
      <c r="X4401" s="34">
        <v>4397</v>
      </c>
      <c r="Y4401" s="34" t="s">
        <v>2248</v>
      </c>
      <c r="Z4401" s="34" t="s">
        <v>3164</v>
      </c>
      <c r="AA4401" s="35">
        <v>0.19639112903225808</v>
      </c>
      <c r="AB4401" s="13"/>
      <c r="AC4401" s="13"/>
      <c r="AD4401" s="13"/>
      <c r="AE4401" s="13"/>
      <c r="AF4401" s="13"/>
    </row>
    <row r="4402" spans="19:32" x14ac:dyDescent="0.35">
      <c r="S4402" s="13"/>
      <c r="T4402" s="16"/>
      <c r="U4402" s="16"/>
      <c r="V4402" s="16"/>
      <c r="W4402" s="13"/>
      <c r="X4402" s="34">
        <v>4398</v>
      </c>
      <c r="Y4402" s="34" t="s">
        <v>2248</v>
      </c>
      <c r="Z4402" s="34" t="s">
        <v>4212</v>
      </c>
      <c r="AA4402" s="35">
        <v>1.2235887096774195E-3</v>
      </c>
      <c r="AB4402" s="13"/>
      <c r="AC4402" s="13"/>
      <c r="AD4402" s="13"/>
      <c r="AE4402" s="13"/>
      <c r="AF4402" s="13"/>
    </row>
    <row r="4403" spans="19:32" x14ac:dyDescent="0.35">
      <c r="S4403" s="13"/>
      <c r="T4403" s="16"/>
      <c r="U4403" s="16"/>
      <c r="V4403" s="16"/>
      <c r="W4403" s="13"/>
      <c r="X4403" s="34">
        <v>4399</v>
      </c>
      <c r="Y4403" s="34" t="s">
        <v>2248</v>
      </c>
      <c r="Z4403" s="34" t="s">
        <v>4128</v>
      </c>
      <c r="AA4403" s="35">
        <v>3.2286290322580648E-5</v>
      </c>
      <c r="AB4403" s="13"/>
      <c r="AC4403" s="13"/>
      <c r="AD4403" s="13"/>
      <c r="AE4403" s="13"/>
      <c r="AF4403" s="13"/>
    </row>
    <row r="4404" spans="19:32" x14ac:dyDescent="0.35">
      <c r="S4404" s="13"/>
      <c r="T4404" s="16"/>
      <c r="U4404" s="16"/>
      <c r="V4404" s="16"/>
      <c r="W4404" s="13"/>
      <c r="X4404" s="47">
        <v>4400</v>
      </c>
      <c r="Y4404" s="47" t="s">
        <v>2248</v>
      </c>
      <c r="Z4404" s="47" t="s">
        <v>4211</v>
      </c>
      <c r="AA4404" s="56">
        <v>7.0262096774193553E-3</v>
      </c>
      <c r="AB4404" s="13"/>
      <c r="AC4404" s="13"/>
      <c r="AD4404" s="13"/>
      <c r="AE4404" s="13"/>
      <c r="AF4404" s="13"/>
    </row>
    <row r="4405" spans="19:32" x14ac:dyDescent="0.35">
      <c r="S4405" s="13"/>
      <c r="T4405" s="16"/>
      <c r="U4405" s="16"/>
      <c r="V4405" s="16"/>
      <c r="W4405" s="13"/>
      <c r="X4405" s="47">
        <v>4401</v>
      </c>
      <c r="Y4405" s="47" t="s">
        <v>2248</v>
      </c>
      <c r="Z4405" s="47" t="s">
        <v>2552</v>
      </c>
      <c r="AA4405" s="56">
        <v>1.5456000000000001</v>
      </c>
      <c r="AB4405" s="13"/>
      <c r="AC4405" s="13"/>
      <c r="AD4405" s="13"/>
      <c r="AE4405" s="13"/>
      <c r="AF4405" s="13"/>
    </row>
    <row r="4406" spans="19:32" x14ac:dyDescent="0.35">
      <c r="S4406" s="13"/>
      <c r="T4406" s="16"/>
      <c r="U4406" s="16"/>
      <c r="V4406" s="16"/>
      <c r="W4406" s="13"/>
      <c r="X4406" s="34">
        <v>4402</v>
      </c>
      <c r="Y4406" s="34" t="s">
        <v>2248</v>
      </c>
      <c r="Z4406" s="34" t="s">
        <v>4127</v>
      </c>
      <c r="AA4406" s="35">
        <v>4.8669354838709683E-2</v>
      </c>
      <c r="AB4406" s="13"/>
      <c r="AC4406" s="13"/>
      <c r="AD4406" s="13"/>
      <c r="AE4406" s="13"/>
      <c r="AF4406" s="13"/>
    </row>
    <row r="4407" spans="19:32" x14ac:dyDescent="0.35">
      <c r="S4407" s="13"/>
      <c r="T4407" s="16"/>
      <c r="U4407" s="16"/>
      <c r="V4407" s="16"/>
      <c r="W4407" s="13"/>
      <c r="X4407" s="34">
        <v>4403</v>
      </c>
      <c r="Y4407" s="34" t="s">
        <v>2248</v>
      </c>
      <c r="Z4407" s="34" t="s">
        <v>2552</v>
      </c>
      <c r="AA4407" s="35">
        <v>2.882459677419355E-3</v>
      </c>
      <c r="AB4407" s="13"/>
      <c r="AC4407" s="13"/>
      <c r="AD4407" s="13"/>
      <c r="AE4407" s="13"/>
      <c r="AF4407" s="13"/>
    </row>
    <row r="4408" spans="19:32" x14ac:dyDescent="0.35">
      <c r="S4408" s="13"/>
      <c r="T4408" s="16"/>
      <c r="U4408" s="16"/>
      <c r="V4408" s="16"/>
      <c r="W4408" s="13"/>
      <c r="X4408" s="34">
        <v>4404</v>
      </c>
      <c r="Y4408" s="34" t="s">
        <v>2248</v>
      </c>
      <c r="Z4408" s="34" t="s">
        <v>4125</v>
      </c>
      <c r="AA4408" s="35">
        <v>5.7580645161290325E-5</v>
      </c>
      <c r="AB4408" s="13"/>
      <c r="AC4408" s="13"/>
      <c r="AD4408" s="13"/>
      <c r="AE4408" s="13"/>
      <c r="AF4408" s="13"/>
    </row>
    <row r="4409" spans="19:32" x14ac:dyDescent="0.35">
      <c r="S4409" s="13"/>
      <c r="T4409" s="16"/>
      <c r="U4409" s="16"/>
      <c r="V4409" s="16"/>
      <c r="W4409" s="13"/>
      <c r="X4409" s="47">
        <v>4405</v>
      </c>
      <c r="Y4409" s="47" t="s">
        <v>2248</v>
      </c>
      <c r="Z4409" s="47" t="s">
        <v>2551</v>
      </c>
      <c r="AA4409" s="56">
        <v>118.67999999999999</v>
      </c>
      <c r="AB4409" s="13"/>
      <c r="AC4409" s="13"/>
      <c r="AD4409" s="13"/>
      <c r="AE4409" s="13"/>
      <c r="AF4409" s="13"/>
    </row>
    <row r="4410" spans="19:32" x14ac:dyDescent="0.35">
      <c r="S4410" s="13"/>
      <c r="T4410" s="16"/>
      <c r="U4410" s="16"/>
      <c r="V4410" s="16"/>
      <c r="W4410" s="13"/>
      <c r="X4410" s="34">
        <v>4406</v>
      </c>
      <c r="Y4410" s="34" t="s">
        <v>2248</v>
      </c>
      <c r="Z4410" s="34" t="s">
        <v>3162</v>
      </c>
      <c r="AA4410" s="35">
        <v>3.7701612903225811E-4</v>
      </c>
      <c r="AB4410" s="13"/>
      <c r="AC4410" s="13"/>
      <c r="AD4410" s="13"/>
      <c r="AE4410" s="13"/>
      <c r="AF4410" s="13"/>
    </row>
    <row r="4411" spans="19:32" x14ac:dyDescent="0.35">
      <c r="S4411" s="13"/>
      <c r="T4411" s="16"/>
      <c r="U4411" s="16"/>
      <c r="V4411" s="16"/>
      <c r="W4411" s="13"/>
      <c r="X4411" s="34">
        <v>4407</v>
      </c>
      <c r="Y4411" s="34" t="s">
        <v>2248</v>
      </c>
      <c r="Z4411" s="34" t="s">
        <v>2551</v>
      </c>
      <c r="AA4411" s="35">
        <v>1.1653225806451614E-2</v>
      </c>
      <c r="AB4411" s="13"/>
      <c r="AC4411" s="13"/>
      <c r="AD4411" s="13"/>
      <c r="AE4411" s="13"/>
      <c r="AF4411" s="13"/>
    </row>
    <row r="4412" spans="19:32" x14ac:dyDescent="0.35">
      <c r="S4412" s="13"/>
      <c r="T4412" s="16"/>
      <c r="U4412" s="16"/>
      <c r="V4412" s="16"/>
      <c r="W4412" s="13"/>
      <c r="X4412" s="34">
        <v>4408</v>
      </c>
      <c r="Y4412" s="34" t="s">
        <v>2248</v>
      </c>
      <c r="Z4412" s="34" t="s">
        <v>2498</v>
      </c>
      <c r="AA4412" s="35">
        <v>2.0461693548387101E-3</v>
      </c>
      <c r="AB4412" s="13"/>
      <c r="AC4412" s="13"/>
      <c r="AD4412" s="13"/>
      <c r="AE4412" s="13"/>
      <c r="AF4412" s="13"/>
    </row>
    <row r="4413" spans="19:32" x14ac:dyDescent="0.35">
      <c r="S4413" s="13"/>
      <c r="T4413" s="16"/>
      <c r="U4413" s="16"/>
      <c r="V4413" s="16"/>
      <c r="W4413" s="13"/>
      <c r="X4413" s="47">
        <v>4409</v>
      </c>
      <c r="Y4413" s="47" t="s">
        <v>2248</v>
      </c>
      <c r="Z4413" s="47" t="s">
        <v>2549</v>
      </c>
      <c r="AA4413" s="56">
        <v>24.195999999999998</v>
      </c>
      <c r="AB4413" s="13"/>
      <c r="AC4413" s="13"/>
      <c r="AD4413" s="13"/>
      <c r="AE4413" s="13"/>
      <c r="AF4413" s="13"/>
    </row>
    <row r="4414" spans="19:32" x14ac:dyDescent="0.35">
      <c r="S4414" s="13"/>
      <c r="T4414" s="16"/>
      <c r="U4414" s="16"/>
      <c r="V4414" s="16"/>
      <c r="W4414" s="13"/>
      <c r="X4414" s="34">
        <v>4410</v>
      </c>
      <c r="Y4414" s="34" t="s">
        <v>2248</v>
      </c>
      <c r="Z4414" s="34" t="s">
        <v>2496</v>
      </c>
      <c r="AA4414" s="35">
        <v>2.8927419354838713E-2</v>
      </c>
      <c r="AB4414" s="13"/>
      <c r="AC4414" s="13"/>
      <c r="AD4414" s="13"/>
      <c r="AE4414" s="13"/>
      <c r="AF4414" s="13"/>
    </row>
    <row r="4415" spans="19:32" x14ac:dyDescent="0.35">
      <c r="S4415" s="13"/>
      <c r="T4415" s="16"/>
      <c r="U4415" s="16"/>
      <c r="V4415" s="16"/>
      <c r="W4415" s="13"/>
      <c r="X4415" s="34">
        <v>4411</v>
      </c>
      <c r="Y4415" s="34" t="s">
        <v>2248</v>
      </c>
      <c r="Z4415" s="34" t="s">
        <v>2549</v>
      </c>
      <c r="AA4415" s="35">
        <v>8.705645161290323E-5</v>
      </c>
      <c r="AB4415" s="13"/>
      <c r="AC4415" s="13"/>
      <c r="AD4415" s="13"/>
      <c r="AE4415" s="13"/>
      <c r="AF4415" s="13"/>
    </row>
    <row r="4416" spans="19:32" x14ac:dyDescent="0.35">
      <c r="S4416" s="13"/>
      <c r="T4416" s="16"/>
      <c r="U4416" s="16"/>
      <c r="V4416" s="16"/>
      <c r="W4416" s="13"/>
      <c r="X4416" s="47">
        <v>4412</v>
      </c>
      <c r="Y4416" s="47" t="s">
        <v>2248</v>
      </c>
      <c r="Z4416" s="47" t="s">
        <v>3161</v>
      </c>
      <c r="AA4416" s="56">
        <v>0.23957661290322582</v>
      </c>
      <c r="AB4416" s="13"/>
      <c r="AC4416" s="13"/>
      <c r="AD4416" s="13"/>
      <c r="AE4416" s="13"/>
      <c r="AF4416" s="13"/>
    </row>
    <row r="4417" spans="19:32" x14ac:dyDescent="0.35">
      <c r="S4417" s="13"/>
      <c r="T4417" s="16"/>
      <c r="U4417" s="16"/>
      <c r="V4417" s="16"/>
      <c r="W4417" s="13"/>
      <c r="X4417" s="34">
        <v>4413</v>
      </c>
      <c r="Y4417" s="34" t="s">
        <v>2248</v>
      </c>
      <c r="Z4417" s="34" t="s">
        <v>4122</v>
      </c>
      <c r="AA4417" s="35">
        <v>3.2217741935483872E-7</v>
      </c>
      <c r="AB4417" s="13"/>
      <c r="AC4417" s="13"/>
      <c r="AD4417" s="13"/>
      <c r="AE4417" s="13"/>
      <c r="AF4417" s="13"/>
    </row>
    <row r="4418" spans="19:32" x14ac:dyDescent="0.35">
      <c r="S4418" s="13"/>
      <c r="T4418" s="16"/>
      <c r="U4418" s="16"/>
      <c r="V4418" s="16"/>
      <c r="W4418" s="13"/>
      <c r="X4418" s="47">
        <v>4414</v>
      </c>
      <c r="Y4418" s="47" t="s">
        <v>2248</v>
      </c>
      <c r="Z4418" s="47" t="s">
        <v>2548</v>
      </c>
      <c r="AA4418" s="56">
        <v>8.8411999999999988</v>
      </c>
      <c r="AB4418" s="13"/>
      <c r="AC4418" s="13"/>
      <c r="AD4418" s="13"/>
      <c r="AE4418" s="13"/>
      <c r="AF4418" s="13"/>
    </row>
    <row r="4419" spans="19:32" x14ac:dyDescent="0.35">
      <c r="S4419" s="13"/>
      <c r="T4419" s="16"/>
      <c r="U4419" s="16"/>
      <c r="V4419" s="16"/>
      <c r="W4419" s="13"/>
      <c r="X4419" s="34">
        <v>4415</v>
      </c>
      <c r="Y4419" s="34" t="s">
        <v>2248</v>
      </c>
      <c r="Z4419" s="34" t="s">
        <v>2548</v>
      </c>
      <c r="AA4419" s="35">
        <v>1.0556451612903227E-3</v>
      </c>
      <c r="AB4419" s="13"/>
      <c r="AC4419" s="13"/>
      <c r="AD4419" s="13"/>
      <c r="AE4419" s="13"/>
      <c r="AF4419" s="13"/>
    </row>
    <row r="4420" spans="19:32" x14ac:dyDescent="0.35">
      <c r="S4420" s="13"/>
      <c r="T4420" s="16"/>
      <c r="U4420" s="16"/>
      <c r="V4420" s="16"/>
      <c r="W4420" s="13"/>
      <c r="X4420" s="34">
        <v>4416</v>
      </c>
      <c r="Y4420" s="34" t="s">
        <v>2248</v>
      </c>
      <c r="Z4420" s="34" t="s">
        <v>2495</v>
      </c>
      <c r="AA4420" s="35">
        <v>7.5403225806451619E-6</v>
      </c>
      <c r="AB4420" s="13"/>
      <c r="AC4420" s="13"/>
      <c r="AD4420" s="13"/>
      <c r="AE4420" s="13"/>
      <c r="AF4420" s="13"/>
    </row>
    <row r="4421" spans="19:32" x14ac:dyDescent="0.35">
      <c r="S4421" s="13"/>
      <c r="T4421" s="16"/>
      <c r="U4421" s="16"/>
      <c r="V4421" s="16"/>
      <c r="W4421" s="13"/>
      <c r="X4421" s="34">
        <v>4417</v>
      </c>
      <c r="Y4421" s="34" t="s">
        <v>2248</v>
      </c>
      <c r="Z4421" s="34" t="s">
        <v>3159</v>
      </c>
      <c r="AA4421" s="35">
        <v>5.1411290322580646E-3</v>
      </c>
      <c r="AB4421" s="13"/>
      <c r="AC4421" s="13"/>
      <c r="AD4421" s="13"/>
      <c r="AE4421" s="13"/>
      <c r="AF4421" s="13"/>
    </row>
    <row r="4422" spans="19:32" x14ac:dyDescent="0.35">
      <c r="S4422" s="13"/>
      <c r="T4422" s="16"/>
      <c r="U4422" s="16"/>
      <c r="V4422" s="16"/>
      <c r="W4422" s="13"/>
      <c r="X4422" s="47">
        <v>4418</v>
      </c>
      <c r="Y4422" s="47" t="s">
        <v>2248</v>
      </c>
      <c r="Z4422" s="47" t="s">
        <v>2546</v>
      </c>
      <c r="AA4422" s="56">
        <v>0.65780000000000005</v>
      </c>
      <c r="AB4422" s="13"/>
      <c r="AC4422" s="13"/>
      <c r="AD4422" s="13"/>
      <c r="AE4422" s="13"/>
      <c r="AF4422" s="13"/>
    </row>
    <row r="4423" spans="19:32" x14ac:dyDescent="0.35">
      <c r="S4423" s="13"/>
      <c r="T4423" s="16"/>
      <c r="U4423" s="16"/>
      <c r="V4423" s="16"/>
      <c r="W4423" s="13"/>
      <c r="X4423" s="34">
        <v>4419</v>
      </c>
      <c r="Y4423" s="34" t="s">
        <v>2248</v>
      </c>
      <c r="Z4423" s="34" t="s">
        <v>4119</v>
      </c>
      <c r="AA4423" s="35">
        <v>4.1471774193548391E-5</v>
      </c>
      <c r="AB4423" s="13"/>
      <c r="AC4423" s="13"/>
      <c r="AD4423" s="13"/>
      <c r="AE4423" s="13"/>
      <c r="AF4423" s="13"/>
    </row>
    <row r="4424" spans="19:32" x14ac:dyDescent="0.35">
      <c r="S4424" s="13"/>
      <c r="T4424" s="16"/>
      <c r="U4424" s="16"/>
      <c r="V4424" s="16"/>
      <c r="W4424" s="13"/>
      <c r="X4424" s="34">
        <v>4420</v>
      </c>
      <c r="Y4424" s="34" t="s">
        <v>2248</v>
      </c>
      <c r="Z4424" s="34" t="s">
        <v>4210</v>
      </c>
      <c r="AA4424" s="35">
        <v>0.23203629032258066</v>
      </c>
      <c r="AB4424" s="13"/>
      <c r="AC4424" s="13"/>
      <c r="AD4424" s="13"/>
      <c r="AE4424" s="13"/>
      <c r="AF4424" s="13"/>
    </row>
    <row r="4425" spans="19:32" x14ac:dyDescent="0.35">
      <c r="S4425" s="13"/>
      <c r="T4425" s="16"/>
      <c r="U4425" s="16"/>
      <c r="V4425" s="16"/>
      <c r="W4425" s="13"/>
      <c r="X4425" s="47">
        <v>4421</v>
      </c>
      <c r="Y4425" s="47" t="s">
        <v>2248</v>
      </c>
      <c r="Z4425" s="47" t="s">
        <v>4209</v>
      </c>
      <c r="AA4425" s="56">
        <v>1.5697580645161291E-3</v>
      </c>
      <c r="AB4425" s="13"/>
      <c r="AC4425" s="13"/>
      <c r="AD4425" s="13"/>
      <c r="AE4425" s="13"/>
      <c r="AF4425" s="13"/>
    </row>
    <row r="4426" spans="19:32" x14ac:dyDescent="0.35">
      <c r="S4426" s="13"/>
      <c r="T4426" s="16"/>
      <c r="U4426" s="16"/>
      <c r="V4426" s="16"/>
      <c r="W4426" s="13"/>
      <c r="X4426" s="34">
        <v>4422</v>
      </c>
      <c r="Y4426" s="34" t="s">
        <v>2248</v>
      </c>
      <c r="Z4426" s="34" t="s">
        <v>2493</v>
      </c>
      <c r="AA4426" s="35">
        <v>1.8816532258064518E-4</v>
      </c>
      <c r="AB4426" s="13"/>
      <c r="AC4426" s="13"/>
      <c r="AD4426" s="13"/>
      <c r="AE4426" s="13"/>
      <c r="AF4426" s="13"/>
    </row>
    <row r="4427" spans="19:32" x14ac:dyDescent="0.35">
      <c r="S4427" s="13"/>
      <c r="T4427" s="16"/>
      <c r="U4427" s="16"/>
      <c r="V4427" s="16"/>
      <c r="W4427" s="13"/>
      <c r="X4427" s="34">
        <v>4423</v>
      </c>
      <c r="Y4427" s="34" t="s">
        <v>2248</v>
      </c>
      <c r="Z4427" s="34" t="s">
        <v>4208</v>
      </c>
      <c r="AA4427" s="35">
        <v>6.3407258064516131E-3</v>
      </c>
      <c r="AB4427" s="13"/>
      <c r="AC4427" s="13"/>
      <c r="AD4427" s="13"/>
      <c r="AE4427" s="13"/>
      <c r="AF4427" s="13"/>
    </row>
    <row r="4428" spans="19:32" x14ac:dyDescent="0.35">
      <c r="S4428" s="13"/>
      <c r="T4428" s="16"/>
      <c r="U4428" s="16"/>
      <c r="V4428" s="16"/>
      <c r="W4428" s="13"/>
      <c r="X4428" s="34">
        <v>4424</v>
      </c>
      <c r="Y4428" s="34" t="s">
        <v>2248</v>
      </c>
      <c r="Z4428" s="34" t="s">
        <v>4207</v>
      </c>
      <c r="AA4428" s="35">
        <v>1.3092741935483872E-2</v>
      </c>
      <c r="AB4428" s="13"/>
      <c r="AC4428" s="13"/>
      <c r="AD4428" s="13"/>
      <c r="AE4428" s="13"/>
      <c r="AF4428" s="13"/>
    </row>
    <row r="4429" spans="19:32" x14ac:dyDescent="0.35">
      <c r="S4429" s="13"/>
      <c r="T4429" s="16"/>
      <c r="U4429" s="16"/>
      <c r="V4429" s="16"/>
      <c r="W4429" s="13"/>
      <c r="X4429" s="34">
        <v>4425</v>
      </c>
      <c r="Y4429" s="34" t="s">
        <v>2248</v>
      </c>
      <c r="Z4429" s="34" t="s">
        <v>2492</v>
      </c>
      <c r="AA4429" s="35">
        <v>6.8205645161290331E-3</v>
      </c>
      <c r="AB4429" s="13"/>
      <c r="AC4429" s="13"/>
      <c r="AD4429" s="13"/>
      <c r="AE4429" s="13"/>
      <c r="AF4429" s="13"/>
    </row>
    <row r="4430" spans="19:32" x14ac:dyDescent="0.35">
      <c r="S4430" s="13"/>
      <c r="T4430" s="16"/>
      <c r="U4430" s="16"/>
      <c r="V4430" s="16"/>
      <c r="W4430" s="13"/>
      <c r="X4430" s="34">
        <v>4426</v>
      </c>
      <c r="Y4430" s="34" t="s">
        <v>2248</v>
      </c>
      <c r="Z4430" s="34" t="s">
        <v>4206</v>
      </c>
      <c r="AA4430" s="35">
        <v>1.7171370967741937E-2</v>
      </c>
      <c r="AB4430" s="13"/>
      <c r="AC4430" s="13"/>
      <c r="AD4430" s="13"/>
      <c r="AE4430" s="13"/>
      <c r="AF4430" s="13"/>
    </row>
    <row r="4431" spans="19:32" x14ac:dyDescent="0.35">
      <c r="S4431" s="13"/>
      <c r="T4431" s="16"/>
      <c r="U4431" s="16"/>
      <c r="V4431" s="16"/>
      <c r="W4431" s="13"/>
      <c r="X4431" s="47">
        <v>4427</v>
      </c>
      <c r="Y4431" s="47" t="s">
        <v>2248</v>
      </c>
      <c r="Z4431" s="47" t="s">
        <v>3158</v>
      </c>
      <c r="AA4431" s="56">
        <v>7.1975806451612903E-2</v>
      </c>
      <c r="AB4431" s="13"/>
      <c r="AC4431" s="13"/>
      <c r="AD4431" s="13"/>
      <c r="AE4431" s="13"/>
      <c r="AF4431" s="13"/>
    </row>
    <row r="4432" spans="19:32" x14ac:dyDescent="0.35">
      <c r="S4432" s="13"/>
      <c r="T4432" s="16"/>
      <c r="U4432" s="16"/>
      <c r="V4432" s="16"/>
      <c r="W4432" s="13"/>
      <c r="X4432" s="34">
        <v>4428</v>
      </c>
      <c r="Y4432" s="34" t="s">
        <v>2248</v>
      </c>
      <c r="Z4432" s="34" t="s">
        <v>4117</v>
      </c>
      <c r="AA4432" s="35">
        <v>3.8729838709677424E-4</v>
      </c>
      <c r="AB4432" s="13"/>
      <c r="AC4432" s="13"/>
      <c r="AD4432" s="13"/>
      <c r="AE4432" s="13"/>
      <c r="AF4432" s="13"/>
    </row>
    <row r="4433" spans="19:32" x14ac:dyDescent="0.35">
      <c r="S4433" s="13"/>
      <c r="T4433" s="16"/>
      <c r="U4433" s="16"/>
      <c r="V4433" s="16"/>
      <c r="W4433" s="13"/>
      <c r="X4433" s="47">
        <v>4429</v>
      </c>
      <c r="Y4433" s="47" t="s">
        <v>2248</v>
      </c>
      <c r="Z4433" s="47" t="s">
        <v>2545</v>
      </c>
      <c r="AA4433" s="56">
        <v>0</v>
      </c>
      <c r="AB4433" s="13"/>
      <c r="AC4433" s="13"/>
      <c r="AD4433" s="13"/>
      <c r="AE4433" s="13"/>
      <c r="AF4433" s="13"/>
    </row>
    <row r="4434" spans="19:32" x14ac:dyDescent="0.35">
      <c r="S4434" s="13"/>
      <c r="T4434" s="16"/>
      <c r="U4434" s="16"/>
      <c r="V4434" s="16"/>
      <c r="W4434" s="13"/>
      <c r="X4434" s="34">
        <v>4430</v>
      </c>
      <c r="Y4434" s="34" t="s">
        <v>2248</v>
      </c>
      <c r="Z4434" s="34" t="s">
        <v>2545</v>
      </c>
      <c r="AA4434" s="35">
        <v>5.1068548387096777E-2</v>
      </c>
      <c r="AB4434" s="13"/>
      <c r="AC4434" s="13"/>
      <c r="AD4434" s="13"/>
      <c r="AE4434" s="13"/>
      <c r="AF4434" s="13"/>
    </row>
    <row r="4435" spans="19:32" x14ac:dyDescent="0.35">
      <c r="S4435" s="13"/>
      <c r="T4435" s="16"/>
      <c r="U4435" s="16"/>
      <c r="V4435" s="16"/>
      <c r="W4435" s="13"/>
      <c r="X4435" s="34">
        <v>4431</v>
      </c>
      <c r="Y4435" s="34" t="s">
        <v>2248</v>
      </c>
      <c r="Z4435" s="34" t="s">
        <v>4116</v>
      </c>
      <c r="AA4435" s="35">
        <v>0.22552419354838713</v>
      </c>
      <c r="AB4435" s="13"/>
      <c r="AC4435" s="13"/>
      <c r="AD4435" s="13"/>
      <c r="AE4435" s="13"/>
      <c r="AF4435" s="13"/>
    </row>
    <row r="4436" spans="19:32" x14ac:dyDescent="0.35">
      <c r="S4436" s="13"/>
      <c r="T4436" s="16"/>
      <c r="U4436" s="16"/>
      <c r="V4436" s="16"/>
      <c r="W4436" s="13"/>
      <c r="X4436" s="47">
        <v>4432</v>
      </c>
      <c r="Y4436" s="47" t="s">
        <v>2248</v>
      </c>
      <c r="Z4436" s="47" t="s">
        <v>4205</v>
      </c>
      <c r="AA4436" s="56">
        <v>7.6774193548387101E-3</v>
      </c>
      <c r="AB4436" s="13"/>
      <c r="AC4436" s="13"/>
      <c r="AD4436" s="13"/>
      <c r="AE4436" s="13"/>
      <c r="AF4436" s="13"/>
    </row>
    <row r="4437" spans="19:32" x14ac:dyDescent="0.35">
      <c r="S4437" s="13"/>
      <c r="T4437" s="16"/>
      <c r="U4437" s="16"/>
      <c r="V4437" s="16"/>
      <c r="W4437" s="13"/>
      <c r="X4437" s="47">
        <v>4433</v>
      </c>
      <c r="Y4437" s="47" t="s">
        <v>2248</v>
      </c>
      <c r="Z4437" s="47" t="s">
        <v>2543</v>
      </c>
      <c r="AA4437" s="56">
        <v>0</v>
      </c>
      <c r="AB4437" s="13"/>
      <c r="AC4437" s="13"/>
      <c r="AD4437" s="13"/>
      <c r="AE4437" s="13"/>
      <c r="AF4437" s="13"/>
    </row>
    <row r="4438" spans="19:32" x14ac:dyDescent="0.35">
      <c r="S4438" s="13"/>
      <c r="T4438" s="16"/>
      <c r="U4438" s="16"/>
      <c r="V4438" s="16"/>
      <c r="W4438" s="13"/>
      <c r="X4438" s="34">
        <v>4434</v>
      </c>
      <c r="Y4438" s="34" t="s">
        <v>2248</v>
      </c>
      <c r="Z4438" s="34" t="s">
        <v>4114</v>
      </c>
      <c r="AA4438" s="35">
        <v>4.4213709677419361E-5</v>
      </c>
      <c r="AB4438" s="13"/>
      <c r="AC4438" s="13"/>
      <c r="AD4438" s="13"/>
      <c r="AE4438" s="13"/>
      <c r="AF4438" s="13"/>
    </row>
    <row r="4439" spans="19:32" x14ac:dyDescent="0.35">
      <c r="S4439" s="13"/>
      <c r="T4439" s="16"/>
      <c r="U4439" s="16"/>
      <c r="V4439" s="16"/>
      <c r="W4439" s="13"/>
      <c r="X4439" s="47">
        <v>4435</v>
      </c>
      <c r="Y4439" s="47" t="s">
        <v>2248</v>
      </c>
      <c r="Z4439" s="47" t="s">
        <v>2542</v>
      </c>
      <c r="AA4439" s="56">
        <v>0</v>
      </c>
      <c r="AB4439" s="13"/>
      <c r="AC4439" s="13"/>
      <c r="AD4439" s="13"/>
      <c r="AE4439" s="13"/>
      <c r="AF4439" s="13"/>
    </row>
    <row r="4440" spans="19:32" x14ac:dyDescent="0.35">
      <c r="S4440" s="13"/>
      <c r="T4440" s="16"/>
      <c r="U4440" s="16"/>
      <c r="V4440" s="16"/>
      <c r="W4440" s="13"/>
      <c r="X4440" s="34">
        <v>4436</v>
      </c>
      <c r="Y4440" s="34" t="s">
        <v>2248</v>
      </c>
      <c r="Z4440" s="34" t="s">
        <v>4113</v>
      </c>
      <c r="AA4440" s="35">
        <v>6.5463709677419363E-5</v>
      </c>
      <c r="AB4440" s="13"/>
      <c r="AC4440" s="13"/>
      <c r="AD4440" s="13"/>
      <c r="AE4440" s="13"/>
      <c r="AF4440" s="13"/>
    </row>
    <row r="4441" spans="19:32" x14ac:dyDescent="0.35">
      <c r="S4441" s="13"/>
      <c r="T4441" s="16"/>
      <c r="U4441" s="16"/>
      <c r="V4441" s="16"/>
      <c r="W4441" s="13"/>
      <c r="X4441" s="34">
        <v>4437</v>
      </c>
      <c r="Y4441" s="34" t="s">
        <v>2248</v>
      </c>
      <c r="Z4441" s="34" t="s">
        <v>2542</v>
      </c>
      <c r="AA4441" s="35">
        <v>1.4018145161290322E-3</v>
      </c>
      <c r="AB4441" s="13"/>
      <c r="AC4441" s="13"/>
      <c r="AD4441" s="13"/>
      <c r="AE4441" s="13"/>
      <c r="AF4441" s="13"/>
    </row>
    <row r="4442" spans="19:32" x14ac:dyDescent="0.35">
      <c r="S4442" s="13"/>
      <c r="T4442" s="16"/>
      <c r="U4442" s="16"/>
      <c r="V4442" s="16"/>
      <c r="W4442" s="13"/>
      <c r="X4442" s="47">
        <v>4438</v>
      </c>
      <c r="Y4442" s="47" t="s">
        <v>2248</v>
      </c>
      <c r="Z4442" s="47" t="s">
        <v>4204</v>
      </c>
      <c r="AA4442" s="56">
        <v>4.9697580645161298E-2</v>
      </c>
      <c r="AB4442" s="13"/>
      <c r="AC4442" s="13"/>
      <c r="AD4442" s="13"/>
      <c r="AE4442" s="13"/>
      <c r="AF4442" s="13"/>
    </row>
    <row r="4443" spans="19:32" x14ac:dyDescent="0.35">
      <c r="S4443" s="13"/>
      <c r="T4443" s="16"/>
      <c r="U4443" s="16"/>
      <c r="V4443" s="16"/>
      <c r="W4443" s="13"/>
      <c r="X4443" s="34">
        <v>4439</v>
      </c>
      <c r="Y4443" s="34" t="s">
        <v>2248</v>
      </c>
      <c r="Z4443" s="34" t="s">
        <v>2487</v>
      </c>
      <c r="AA4443" s="35">
        <v>3.6330645161290324E-3</v>
      </c>
      <c r="AB4443" s="13"/>
      <c r="AC4443" s="13"/>
      <c r="AD4443" s="13"/>
      <c r="AE4443" s="13"/>
      <c r="AF4443" s="13"/>
    </row>
    <row r="4444" spans="19:32" x14ac:dyDescent="0.35">
      <c r="S4444" s="13"/>
      <c r="T4444" s="16"/>
      <c r="U4444" s="16"/>
      <c r="V4444" s="16"/>
      <c r="W4444" s="13"/>
      <c r="X4444" s="47">
        <v>4440</v>
      </c>
      <c r="Y4444" s="47" t="s">
        <v>2248</v>
      </c>
      <c r="Z4444" s="47" t="s">
        <v>2540</v>
      </c>
      <c r="AA4444" s="56">
        <v>1.4627999999999999E-4</v>
      </c>
      <c r="AB4444" s="13"/>
      <c r="AC4444" s="13"/>
      <c r="AD4444" s="13"/>
      <c r="AE4444" s="13"/>
      <c r="AF4444" s="13"/>
    </row>
    <row r="4445" spans="19:32" x14ac:dyDescent="0.35">
      <c r="S4445" s="13"/>
      <c r="T4445" s="16"/>
      <c r="U4445" s="16"/>
      <c r="V4445" s="16"/>
      <c r="W4445" s="13"/>
      <c r="X4445" s="47">
        <v>4441</v>
      </c>
      <c r="Y4445" s="47" t="s">
        <v>2248</v>
      </c>
      <c r="Z4445" s="47" t="s">
        <v>2538</v>
      </c>
      <c r="AA4445" s="56">
        <v>0</v>
      </c>
      <c r="AB4445" s="13"/>
      <c r="AC4445" s="13"/>
      <c r="AD4445" s="13"/>
      <c r="AE4445" s="13"/>
      <c r="AF4445" s="13"/>
    </row>
    <row r="4446" spans="19:32" x14ac:dyDescent="0.35">
      <c r="S4446" s="13"/>
      <c r="T4446" s="16"/>
      <c r="U4446" s="16"/>
      <c r="V4446" s="16"/>
      <c r="W4446" s="13"/>
      <c r="X4446" s="34">
        <v>4442</v>
      </c>
      <c r="Y4446" s="34" t="s">
        <v>2248</v>
      </c>
      <c r="Z4446" s="34" t="s">
        <v>4111</v>
      </c>
      <c r="AA4446" s="35">
        <v>1.0145161290322582E-2</v>
      </c>
      <c r="AB4446" s="13"/>
      <c r="AC4446" s="13"/>
      <c r="AD4446" s="13"/>
      <c r="AE4446" s="13"/>
      <c r="AF4446" s="13"/>
    </row>
    <row r="4447" spans="19:32" x14ac:dyDescent="0.35">
      <c r="S4447" s="13"/>
      <c r="T4447" s="16"/>
      <c r="U4447" s="16"/>
      <c r="V4447" s="16"/>
      <c r="W4447" s="13"/>
      <c r="X4447" s="34">
        <v>4443</v>
      </c>
      <c r="Y4447" s="34" t="s">
        <v>2248</v>
      </c>
      <c r="Z4447" s="34" t="s">
        <v>4203</v>
      </c>
      <c r="AA4447" s="35">
        <v>3.2149193548387101E-4</v>
      </c>
      <c r="AB4447" s="13"/>
      <c r="AC4447" s="13"/>
      <c r="AD4447" s="13"/>
      <c r="AE4447" s="13"/>
      <c r="AF4447" s="13"/>
    </row>
    <row r="4448" spans="19:32" x14ac:dyDescent="0.35">
      <c r="S4448" s="13"/>
      <c r="T4448" s="16"/>
      <c r="U4448" s="16"/>
      <c r="V4448" s="16"/>
      <c r="W4448" s="13"/>
      <c r="X4448" s="34">
        <v>4444</v>
      </c>
      <c r="Y4448" s="34" t="s">
        <v>2248</v>
      </c>
      <c r="Z4448" s="34" t="s">
        <v>4202</v>
      </c>
      <c r="AA4448" s="35">
        <v>1.2612903225806453</v>
      </c>
      <c r="AB4448" s="13"/>
      <c r="AC4448" s="13"/>
      <c r="AD4448" s="13"/>
      <c r="AE4448" s="13"/>
      <c r="AF4448" s="13"/>
    </row>
    <row r="4449" spans="19:32" x14ac:dyDescent="0.35">
      <c r="S4449" s="13"/>
      <c r="T4449" s="16"/>
      <c r="U4449" s="16"/>
      <c r="V4449" s="16"/>
      <c r="W4449" s="13"/>
      <c r="X4449" s="34">
        <v>4445</v>
      </c>
      <c r="Y4449" s="34" t="s">
        <v>2248</v>
      </c>
      <c r="Z4449" s="34" t="s">
        <v>4109</v>
      </c>
      <c r="AA4449" s="35">
        <v>1.5663306451612905E-4</v>
      </c>
      <c r="AB4449" s="13"/>
      <c r="AC4449" s="13"/>
      <c r="AD4449" s="13"/>
      <c r="AE4449" s="13"/>
      <c r="AF4449" s="13"/>
    </row>
    <row r="4450" spans="19:32" x14ac:dyDescent="0.35">
      <c r="S4450" s="13"/>
      <c r="T4450" s="16"/>
      <c r="U4450" s="16"/>
      <c r="V4450" s="16"/>
      <c r="W4450" s="13"/>
      <c r="X4450" s="47">
        <v>4446</v>
      </c>
      <c r="Y4450" s="47" t="s">
        <v>2248</v>
      </c>
      <c r="Z4450" s="47" t="s">
        <v>2537</v>
      </c>
      <c r="AA4450" s="56">
        <v>7.5440000000000007E-2</v>
      </c>
      <c r="AB4450" s="13"/>
      <c r="AC4450" s="13"/>
      <c r="AD4450" s="13"/>
      <c r="AE4450" s="13"/>
      <c r="AF4450" s="13"/>
    </row>
    <row r="4451" spans="19:32" x14ac:dyDescent="0.35">
      <c r="S4451" s="13"/>
      <c r="T4451" s="16"/>
      <c r="U4451" s="16"/>
      <c r="V4451" s="16"/>
      <c r="W4451" s="13"/>
      <c r="X4451" s="47">
        <v>4447</v>
      </c>
      <c r="Y4451" s="47" t="s">
        <v>2248</v>
      </c>
      <c r="Z4451" s="47" t="s">
        <v>4201</v>
      </c>
      <c r="AA4451" s="56">
        <v>1.1070564516129034E-5</v>
      </c>
      <c r="AB4451" s="13"/>
      <c r="AC4451" s="13"/>
      <c r="AD4451" s="13"/>
      <c r="AE4451" s="13"/>
      <c r="AF4451" s="13"/>
    </row>
    <row r="4452" spans="19:32" x14ac:dyDescent="0.35">
      <c r="S4452" s="13"/>
      <c r="T4452" s="16"/>
      <c r="U4452" s="16"/>
      <c r="V4452" s="16"/>
      <c r="W4452" s="13"/>
      <c r="X4452" s="34">
        <v>4448</v>
      </c>
      <c r="Y4452" s="34" t="s">
        <v>2248</v>
      </c>
      <c r="Z4452" s="34" t="s">
        <v>4108</v>
      </c>
      <c r="AA4452" s="35">
        <v>1.1653225806451613E-4</v>
      </c>
      <c r="AB4452" s="13"/>
      <c r="AC4452" s="13"/>
      <c r="AD4452" s="13"/>
      <c r="AE4452" s="13"/>
      <c r="AF4452" s="13"/>
    </row>
    <row r="4453" spans="19:32" x14ac:dyDescent="0.35">
      <c r="S4453" s="13"/>
      <c r="T4453" s="16"/>
      <c r="U4453" s="16"/>
      <c r="V4453" s="16"/>
      <c r="W4453" s="13"/>
      <c r="X4453" s="47">
        <v>4449</v>
      </c>
      <c r="Y4453" s="47" t="s">
        <v>2248</v>
      </c>
      <c r="Z4453" s="47" t="s">
        <v>2535</v>
      </c>
      <c r="AA4453" s="56">
        <v>0</v>
      </c>
      <c r="AB4453" s="13"/>
      <c r="AC4453" s="13"/>
      <c r="AD4453" s="13"/>
      <c r="AE4453" s="13"/>
      <c r="AF4453" s="13"/>
    </row>
    <row r="4454" spans="19:32" x14ac:dyDescent="0.35">
      <c r="S4454" s="13"/>
      <c r="T4454" s="16"/>
      <c r="U4454" s="16"/>
      <c r="V4454" s="16"/>
      <c r="W4454" s="13"/>
      <c r="X4454" s="34">
        <v>4450</v>
      </c>
      <c r="Y4454" s="34" t="s">
        <v>2248</v>
      </c>
      <c r="Z4454" s="34" t="s">
        <v>2484</v>
      </c>
      <c r="AA4454" s="35">
        <v>1.3572580645161293E-3</v>
      </c>
      <c r="AB4454" s="13"/>
      <c r="AC4454" s="13"/>
      <c r="AD4454" s="13"/>
      <c r="AE4454" s="13"/>
      <c r="AF4454" s="13"/>
    </row>
    <row r="4455" spans="19:32" x14ac:dyDescent="0.35">
      <c r="S4455" s="13"/>
      <c r="T4455" s="16"/>
      <c r="U4455" s="16"/>
      <c r="V4455" s="16"/>
      <c r="W4455" s="13"/>
      <c r="X4455" s="47">
        <v>4451</v>
      </c>
      <c r="Y4455" s="47" t="s">
        <v>2248</v>
      </c>
      <c r="Z4455" s="47" t="s">
        <v>2534</v>
      </c>
      <c r="AA4455" s="56">
        <v>0</v>
      </c>
      <c r="AB4455" s="13"/>
      <c r="AC4455" s="13"/>
      <c r="AD4455" s="13"/>
      <c r="AE4455" s="13"/>
      <c r="AF4455" s="13"/>
    </row>
    <row r="4456" spans="19:32" x14ac:dyDescent="0.35">
      <c r="S4456" s="13"/>
      <c r="T4456" s="16"/>
      <c r="U4456" s="16"/>
      <c r="V4456" s="16"/>
      <c r="W4456" s="13"/>
      <c r="X4456" s="34">
        <v>4452</v>
      </c>
      <c r="Y4456" s="34" t="s">
        <v>2248</v>
      </c>
      <c r="Z4456" s="34" t="s">
        <v>2534</v>
      </c>
      <c r="AA4456" s="35">
        <v>1.2270161290322582E-2</v>
      </c>
      <c r="AB4456" s="13"/>
      <c r="AC4456" s="13"/>
      <c r="AD4456" s="13"/>
      <c r="AE4456" s="13"/>
      <c r="AF4456" s="13"/>
    </row>
    <row r="4457" spans="19:32" x14ac:dyDescent="0.35">
      <c r="S4457" s="13"/>
      <c r="T4457" s="16"/>
      <c r="U4457" s="16"/>
      <c r="V4457" s="16"/>
      <c r="W4457" s="13"/>
      <c r="X4457" s="34">
        <v>4453</v>
      </c>
      <c r="Y4457" s="34" t="s">
        <v>2248</v>
      </c>
      <c r="Z4457" s="34" t="s">
        <v>4200</v>
      </c>
      <c r="AA4457" s="35">
        <v>4.4213709677419358E-4</v>
      </c>
      <c r="AB4457" s="13"/>
      <c r="AC4457" s="13"/>
      <c r="AD4457" s="13"/>
      <c r="AE4457" s="13"/>
      <c r="AF4457" s="13"/>
    </row>
    <row r="4458" spans="19:32" x14ac:dyDescent="0.35">
      <c r="S4458" s="13"/>
      <c r="T4458" s="16"/>
      <c r="U4458" s="16"/>
      <c r="V4458" s="16"/>
      <c r="W4458" s="13"/>
      <c r="X4458" s="34">
        <v>4454</v>
      </c>
      <c r="Y4458" s="34" t="s">
        <v>2248</v>
      </c>
      <c r="Z4458" s="34" t="s">
        <v>4105</v>
      </c>
      <c r="AA4458" s="35">
        <v>7.3689516129032259E-5</v>
      </c>
      <c r="AB4458" s="13"/>
      <c r="AC4458" s="13"/>
      <c r="AD4458" s="13"/>
      <c r="AE4458" s="13"/>
      <c r="AF4458" s="13"/>
    </row>
    <row r="4459" spans="19:32" x14ac:dyDescent="0.35">
      <c r="S4459" s="13"/>
      <c r="T4459" s="16"/>
      <c r="U4459" s="16"/>
      <c r="V4459" s="16"/>
      <c r="W4459" s="13"/>
      <c r="X4459" s="47">
        <v>4455</v>
      </c>
      <c r="Y4459" s="47" t="s">
        <v>2248</v>
      </c>
      <c r="Z4459" s="47" t="s">
        <v>2532</v>
      </c>
      <c r="AA4459" s="56">
        <v>7.9764000000000002E-2</v>
      </c>
      <c r="AB4459" s="13"/>
      <c r="AC4459" s="13"/>
      <c r="AD4459" s="13"/>
      <c r="AE4459" s="13"/>
      <c r="AF4459" s="13"/>
    </row>
    <row r="4460" spans="19:32" x14ac:dyDescent="0.35">
      <c r="S4460" s="13"/>
      <c r="T4460" s="16"/>
      <c r="U4460" s="16"/>
      <c r="V4460" s="16"/>
      <c r="W4460" s="13"/>
      <c r="X4460" s="34">
        <v>4456</v>
      </c>
      <c r="Y4460" s="34" t="s">
        <v>2248</v>
      </c>
      <c r="Z4460" s="34" t="s">
        <v>4104</v>
      </c>
      <c r="AA4460" s="35">
        <v>7.4375000000000005E-3</v>
      </c>
      <c r="AB4460" s="13"/>
      <c r="AC4460" s="13"/>
      <c r="AD4460" s="13"/>
      <c r="AE4460" s="13"/>
      <c r="AF4460" s="13"/>
    </row>
    <row r="4461" spans="19:32" x14ac:dyDescent="0.35">
      <c r="S4461" s="13"/>
      <c r="T4461" s="16"/>
      <c r="U4461" s="16"/>
      <c r="V4461" s="16"/>
      <c r="W4461" s="13"/>
      <c r="X4461" s="47">
        <v>4457</v>
      </c>
      <c r="Y4461" s="47" t="s">
        <v>2248</v>
      </c>
      <c r="Z4461" s="47" t="s">
        <v>2531</v>
      </c>
      <c r="AA4461" s="56">
        <v>26.036000000000001</v>
      </c>
      <c r="AB4461" s="13"/>
      <c r="AC4461" s="13"/>
      <c r="AD4461" s="13"/>
      <c r="AE4461" s="13"/>
      <c r="AF4461" s="13"/>
    </row>
    <row r="4462" spans="19:32" x14ac:dyDescent="0.35">
      <c r="S4462" s="13"/>
      <c r="T4462" s="16"/>
      <c r="U4462" s="16"/>
      <c r="V4462" s="16"/>
      <c r="W4462" s="13"/>
      <c r="X4462" s="47">
        <v>4458</v>
      </c>
      <c r="Y4462" s="47" t="s">
        <v>2248</v>
      </c>
      <c r="Z4462" s="47" t="s">
        <v>3155</v>
      </c>
      <c r="AA4462" s="56">
        <v>0.54153225806451621</v>
      </c>
      <c r="AB4462" s="13"/>
      <c r="AC4462" s="13"/>
      <c r="AD4462" s="13"/>
      <c r="AE4462" s="13"/>
      <c r="AF4462" s="13"/>
    </row>
    <row r="4463" spans="19:32" x14ac:dyDescent="0.35">
      <c r="S4463" s="13"/>
      <c r="T4463" s="16"/>
      <c r="U4463" s="16"/>
      <c r="V4463" s="16"/>
      <c r="W4463" s="13"/>
      <c r="X4463" s="47">
        <v>4459</v>
      </c>
      <c r="Y4463" s="47" t="s">
        <v>2248</v>
      </c>
      <c r="Z4463" s="47" t="s">
        <v>2529</v>
      </c>
      <c r="AA4463" s="56">
        <v>0</v>
      </c>
      <c r="AB4463" s="13"/>
      <c r="AC4463" s="13"/>
      <c r="AD4463" s="13"/>
      <c r="AE4463" s="13"/>
      <c r="AF4463" s="13"/>
    </row>
    <row r="4464" spans="19:32" x14ac:dyDescent="0.35">
      <c r="S4464" s="13"/>
      <c r="T4464" s="16"/>
      <c r="U4464" s="16"/>
      <c r="V4464" s="16"/>
      <c r="W4464" s="13"/>
      <c r="X4464" s="34">
        <v>4460</v>
      </c>
      <c r="Y4464" s="34" t="s">
        <v>2248</v>
      </c>
      <c r="Z4464" s="34" t="s">
        <v>4103</v>
      </c>
      <c r="AA4464" s="35">
        <v>0.16040322580645164</v>
      </c>
      <c r="AB4464" s="13"/>
      <c r="AC4464" s="13"/>
      <c r="AD4464" s="13"/>
      <c r="AE4464" s="13"/>
      <c r="AF4464" s="13"/>
    </row>
    <row r="4465" spans="19:32" x14ac:dyDescent="0.35">
      <c r="S4465" s="13"/>
      <c r="T4465" s="16"/>
      <c r="U4465" s="16"/>
      <c r="V4465" s="16"/>
      <c r="W4465" s="13"/>
      <c r="X4465" s="34">
        <v>4461</v>
      </c>
      <c r="Y4465" s="34" t="s">
        <v>2248</v>
      </c>
      <c r="Z4465" s="34" t="s">
        <v>4199</v>
      </c>
      <c r="AA4465" s="35">
        <v>8.3971774193548399E-2</v>
      </c>
      <c r="AB4465" s="13"/>
      <c r="AC4465" s="13"/>
      <c r="AD4465" s="13"/>
      <c r="AE4465" s="13"/>
      <c r="AF4465" s="13"/>
    </row>
    <row r="4466" spans="19:32" x14ac:dyDescent="0.35">
      <c r="S4466" s="13"/>
      <c r="T4466" s="16"/>
      <c r="U4466" s="16"/>
      <c r="V4466" s="16"/>
      <c r="W4466" s="13"/>
      <c r="X4466" s="34">
        <v>4462</v>
      </c>
      <c r="Y4466" s="34" t="s">
        <v>2248</v>
      </c>
      <c r="Z4466" s="34" t="s">
        <v>4102</v>
      </c>
      <c r="AA4466" s="35">
        <v>1.5320564516129034E-2</v>
      </c>
      <c r="AB4466" s="13"/>
      <c r="AC4466" s="13"/>
      <c r="AD4466" s="13"/>
      <c r="AE4466" s="13"/>
      <c r="AF4466" s="13"/>
    </row>
    <row r="4467" spans="19:32" x14ac:dyDescent="0.35">
      <c r="S4467" s="13"/>
      <c r="T4467" s="16"/>
      <c r="U4467" s="16"/>
      <c r="V4467" s="16"/>
      <c r="W4467" s="13"/>
      <c r="X4467" s="34">
        <v>4463</v>
      </c>
      <c r="Y4467" s="34" t="s">
        <v>2248</v>
      </c>
      <c r="Z4467" s="34" t="s">
        <v>4198</v>
      </c>
      <c r="AA4467" s="35">
        <v>1.5423387096774196E-3</v>
      </c>
      <c r="AB4467" s="13"/>
      <c r="AC4467" s="13"/>
      <c r="AD4467" s="13"/>
      <c r="AE4467" s="13"/>
      <c r="AF4467" s="13"/>
    </row>
    <row r="4468" spans="19:32" x14ac:dyDescent="0.35">
      <c r="S4468" s="13"/>
      <c r="T4468" s="16"/>
      <c r="U4468" s="16"/>
      <c r="V4468" s="16"/>
      <c r="W4468" s="13"/>
      <c r="X4468" s="47">
        <v>4464</v>
      </c>
      <c r="Y4468" s="47" t="s">
        <v>2248</v>
      </c>
      <c r="Z4468" s="47" t="s">
        <v>2527</v>
      </c>
      <c r="AA4468" s="56">
        <v>1.3431999999999999</v>
      </c>
      <c r="AB4468" s="13"/>
      <c r="AC4468" s="13"/>
      <c r="AD4468" s="13"/>
      <c r="AE4468" s="13"/>
      <c r="AF4468" s="13"/>
    </row>
    <row r="4469" spans="19:32" x14ac:dyDescent="0.35">
      <c r="S4469" s="13"/>
      <c r="T4469" s="16"/>
      <c r="U4469" s="16"/>
      <c r="V4469" s="16"/>
      <c r="W4469" s="13"/>
      <c r="X4469" s="34">
        <v>4465</v>
      </c>
      <c r="Y4469" s="34" t="s">
        <v>2248</v>
      </c>
      <c r="Z4469" s="34" t="s">
        <v>4101</v>
      </c>
      <c r="AA4469" s="35">
        <v>1.5560483870967742E-2</v>
      </c>
      <c r="AB4469" s="13"/>
      <c r="AC4469" s="13"/>
      <c r="AD4469" s="13"/>
      <c r="AE4469" s="13"/>
      <c r="AF4469" s="13"/>
    </row>
    <row r="4470" spans="19:32" x14ac:dyDescent="0.35">
      <c r="S4470" s="13"/>
      <c r="T4470" s="16"/>
      <c r="U4470" s="16"/>
      <c r="V4470" s="16"/>
      <c r="W4470" s="13"/>
      <c r="X4470" s="34">
        <v>4466</v>
      </c>
      <c r="Y4470" s="34" t="s">
        <v>2248</v>
      </c>
      <c r="Z4470" s="34" t="s">
        <v>4197</v>
      </c>
      <c r="AA4470" s="35">
        <v>0.60322580645161294</v>
      </c>
      <c r="AB4470" s="13"/>
      <c r="AC4470" s="13"/>
      <c r="AD4470" s="13"/>
      <c r="AE4470" s="13"/>
      <c r="AF4470" s="13"/>
    </row>
    <row r="4471" spans="19:32" x14ac:dyDescent="0.35">
      <c r="S4471" s="13"/>
      <c r="T4471" s="16"/>
      <c r="U4471" s="16"/>
      <c r="V4471" s="16"/>
      <c r="W4471" s="13"/>
      <c r="X4471" s="47">
        <v>4467</v>
      </c>
      <c r="Y4471" s="47" t="s">
        <v>2248</v>
      </c>
      <c r="Z4471" s="47" t="s">
        <v>4196</v>
      </c>
      <c r="AA4471" s="56">
        <v>1.4840725806451614E-5</v>
      </c>
      <c r="AB4471" s="13"/>
      <c r="AC4471" s="13"/>
      <c r="AD4471" s="13"/>
      <c r="AE4471" s="13"/>
      <c r="AF4471" s="13"/>
    </row>
    <row r="4472" spans="19:32" x14ac:dyDescent="0.35">
      <c r="S4472" s="13"/>
      <c r="T4472" s="16"/>
      <c r="U4472" s="16"/>
      <c r="V4472" s="16"/>
      <c r="W4472" s="13"/>
      <c r="X4472" s="47">
        <v>4468</v>
      </c>
      <c r="Y4472" s="47" t="s">
        <v>2248</v>
      </c>
      <c r="Z4472" s="47" t="s">
        <v>2526</v>
      </c>
      <c r="AA4472" s="56">
        <v>8.4640000000000007E-2</v>
      </c>
      <c r="AB4472" s="13"/>
      <c r="AC4472" s="13"/>
      <c r="AD4472" s="13"/>
      <c r="AE4472" s="13"/>
      <c r="AF4472" s="13"/>
    </row>
    <row r="4473" spans="19:32" x14ac:dyDescent="0.35">
      <c r="S4473" s="13"/>
      <c r="T4473" s="16"/>
      <c r="U4473" s="16"/>
      <c r="V4473" s="16"/>
      <c r="W4473" s="13"/>
      <c r="X4473" s="34">
        <v>4469</v>
      </c>
      <c r="Y4473" s="34" t="s">
        <v>2248</v>
      </c>
      <c r="Z4473" s="34" t="s">
        <v>2482</v>
      </c>
      <c r="AA4473" s="35">
        <v>0.23340725806451615</v>
      </c>
      <c r="AB4473" s="13"/>
      <c r="AC4473" s="13"/>
      <c r="AD4473" s="13"/>
      <c r="AE4473" s="13"/>
      <c r="AF4473" s="13"/>
    </row>
    <row r="4474" spans="19:32" x14ac:dyDescent="0.35">
      <c r="S4474" s="13"/>
      <c r="T4474" s="16"/>
      <c r="U4474" s="16"/>
      <c r="V4474" s="16"/>
      <c r="W4474" s="13"/>
      <c r="X4474" s="47">
        <v>4470</v>
      </c>
      <c r="Y4474" s="47" t="s">
        <v>2248</v>
      </c>
      <c r="Z4474" s="47" t="s">
        <v>2524</v>
      </c>
      <c r="AA4474" s="56">
        <v>0.37719999999999998</v>
      </c>
      <c r="AB4474" s="13"/>
      <c r="AC4474" s="13"/>
      <c r="AD4474" s="13"/>
      <c r="AE4474" s="13"/>
      <c r="AF4474" s="13"/>
    </row>
    <row r="4475" spans="19:32" x14ac:dyDescent="0.35">
      <c r="S4475" s="13"/>
      <c r="T4475" s="16"/>
      <c r="U4475" s="16"/>
      <c r="V4475" s="16"/>
      <c r="W4475" s="13"/>
      <c r="X4475" s="34">
        <v>4471</v>
      </c>
      <c r="Y4475" s="34" t="s">
        <v>2248</v>
      </c>
      <c r="Z4475" s="34" t="s">
        <v>4099</v>
      </c>
      <c r="AA4475" s="35">
        <v>0.84657258064516139</v>
      </c>
      <c r="AB4475" s="13"/>
      <c r="AC4475" s="13"/>
      <c r="AD4475" s="13"/>
      <c r="AE4475" s="13"/>
      <c r="AF4475" s="13"/>
    </row>
    <row r="4476" spans="19:32" x14ac:dyDescent="0.35">
      <c r="S4476" s="13"/>
      <c r="T4476" s="16"/>
      <c r="U4476" s="16"/>
      <c r="V4476" s="16"/>
      <c r="W4476" s="13"/>
      <c r="X4476" s="34">
        <v>4472</v>
      </c>
      <c r="Y4476" s="34" t="s">
        <v>2248</v>
      </c>
      <c r="Z4476" s="34" t="s">
        <v>2524</v>
      </c>
      <c r="AA4476" s="35">
        <v>3.3862903225806457E-2</v>
      </c>
      <c r="AB4476" s="13"/>
      <c r="AC4476" s="13"/>
      <c r="AD4476" s="13"/>
      <c r="AE4476" s="13"/>
      <c r="AF4476" s="13"/>
    </row>
    <row r="4477" spans="19:32" x14ac:dyDescent="0.35">
      <c r="S4477" s="13"/>
      <c r="T4477" s="16"/>
      <c r="U4477" s="16"/>
      <c r="V4477" s="16"/>
      <c r="W4477" s="13"/>
      <c r="X4477" s="47">
        <v>4473</v>
      </c>
      <c r="Y4477" s="47" t="s">
        <v>2248</v>
      </c>
      <c r="Z4477" s="47" t="s">
        <v>4195</v>
      </c>
      <c r="AA4477" s="56">
        <v>1.182459677419355E-4</v>
      </c>
      <c r="AB4477" s="13"/>
      <c r="AC4477" s="13"/>
      <c r="AD4477" s="13"/>
      <c r="AE4477" s="13"/>
      <c r="AF4477" s="13"/>
    </row>
    <row r="4478" spans="19:32" x14ac:dyDescent="0.35">
      <c r="S4478" s="13"/>
      <c r="T4478" s="16"/>
      <c r="U4478" s="16"/>
      <c r="V4478" s="16"/>
      <c r="W4478" s="13"/>
      <c r="X4478" s="34">
        <v>4474</v>
      </c>
      <c r="Y4478" s="34" t="s">
        <v>2248</v>
      </c>
      <c r="Z4478" s="34" t="s">
        <v>4097</v>
      </c>
      <c r="AA4478" s="35">
        <v>5.7237903225806452E-4</v>
      </c>
      <c r="AB4478" s="13"/>
      <c r="AC4478" s="13"/>
      <c r="AD4478" s="13"/>
      <c r="AE4478" s="13"/>
      <c r="AF4478" s="13"/>
    </row>
    <row r="4479" spans="19:32" x14ac:dyDescent="0.35">
      <c r="S4479" s="13"/>
      <c r="T4479" s="16"/>
      <c r="U4479" s="16"/>
      <c r="V4479" s="16"/>
      <c r="W4479" s="13"/>
      <c r="X4479" s="34">
        <v>4475</v>
      </c>
      <c r="Y4479" s="34" t="s">
        <v>2248</v>
      </c>
      <c r="Z4479" s="34" t="s">
        <v>4194</v>
      </c>
      <c r="AA4479" s="35">
        <v>6.5120967741935491E-4</v>
      </c>
      <c r="AB4479" s="13"/>
      <c r="AC4479" s="13"/>
      <c r="AD4479" s="13"/>
      <c r="AE4479" s="13"/>
      <c r="AF4479" s="13"/>
    </row>
    <row r="4480" spans="19:32" x14ac:dyDescent="0.35">
      <c r="S4480" s="13"/>
      <c r="T4480" s="16"/>
      <c r="U4480" s="16"/>
      <c r="V4480" s="16"/>
      <c r="W4480" s="13"/>
      <c r="X4480" s="34">
        <v>4476</v>
      </c>
      <c r="Y4480" s="34" t="s">
        <v>2248</v>
      </c>
      <c r="Z4480" s="34" t="s">
        <v>4193</v>
      </c>
      <c r="AA4480" s="35">
        <v>9.45967741935484E-4</v>
      </c>
      <c r="AB4480" s="13"/>
      <c r="AC4480" s="13"/>
      <c r="AD4480" s="13"/>
      <c r="AE4480" s="13"/>
      <c r="AF4480" s="13"/>
    </row>
    <row r="4481" spans="19:32" x14ac:dyDescent="0.35">
      <c r="S4481" s="13"/>
      <c r="T4481" s="16"/>
      <c r="U4481" s="16"/>
      <c r="V4481" s="16"/>
      <c r="W4481" s="13"/>
      <c r="X4481" s="34">
        <v>4477</v>
      </c>
      <c r="Y4481" s="34" t="s">
        <v>2248</v>
      </c>
      <c r="Z4481" s="34" t="s">
        <v>4096</v>
      </c>
      <c r="AA4481" s="35">
        <v>5.6895161290322594E-4</v>
      </c>
      <c r="AB4481" s="13"/>
      <c r="AC4481" s="13"/>
      <c r="AD4481" s="13"/>
      <c r="AE4481" s="13"/>
      <c r="AF4481" s="13"/>
    </row>
    <row r="4482" spans="19:32" x14ac:dyDescent="0.35">
      <c r="S4482" s="13"/>
      <c r="T4482" s="16"/>
      <c r="U4482" s="16"/>
      <c r="V4482" s="16"/>
      <c r="W4482" s="13"/>
      <c r="X4482" s="47">
        <v>4478</v>
      </c>
      <c r="Y4482" s="47" t="s">
        <v>2248</v>
      </c>
      <c r="Z4482" s="47" t="s">
        <v>4192</v>
      </c>
      <c r="AA4482" s="56">
        <v>7.4717741935483878E-6</v>
      </c>
      <c r="AB4482" s="13"/>
      <c r="AC4482" s="13"/>
      <c r="AD4482" s="13"/>
      <c r="AE4482" s="13"/>
      <c r="AF4482" s="13"/>
    </row>
    <row r="4483" spans="19:32" x14ac:dyDescent="0.35">
      <c r="S4483" s="13"/>
      <c r="T4483" s="16"/>
      <c r="U4483" s="16"/>
      <c r="V4483" s="16"/>
      <c r="W4483" s="13"/>
      <c r="X4483" s="34">
        <v>4479</v>
      </c>
      <c r="Y4483" s="34" t="s">
        <v>2248</v>
      </c>
      <c r="Z4483" s="34" t="s">
        <v>4191</v>
      </c>
      <c r="AA4483" s="35">
        <v>2.8961693548387097E-3</v>
      </c>
      <c r="AB4483" s="13"/>
      <c r="AC4483" s="13"/>
      <c r="AD4483" s="13"/>
      <c r="AE4483" s="13"/>
      <c r="AF4483" s="13"/>
    </row>
    <row r="4484" spans="19:32" x14ac:dyDescent="0.35">
      <c r="S4484" s="13"/>
      <c r="T4484" s="16"/>
      <c r="U4484" s="16"/>
      <c r="V4484" s="16"/>
      <c r="W4484" s="13"/>
      <c r="X4484" s="34">
        <v>4480</v>
      </c>
      <c r="Y4484" s="34" t="s">
        <v>2248</v>
      </c>
      <c r="Z4484" s="34" t="s">
        <v>4094</v>
      </c>
      <c r="AA4484" s="35">
        <v>2.1010080645161291E-3</v>
      </c>
      <c r="AB4484" s="13"/>
      <c r="AC4484" s="13"/>
      <c r="AD4484" s="13"/>
      <c r="AE4484" s="13"/>
      <c r="AF4484" s="13"/>
    </row>
    <row r="4485" spans="19:32" x14ac:dyDescent="0.35">
      <c r="S4485" s="13"/>
      <c r="T4485" s="16"/>
      <c r="U4485" s="16"/>
      <c r="V4485" s="16"/>
      <c r="W4485" s="13"/>
      <c r="X4485" s="34">
        <v>4481</v>
      </c>
      <c r="Y4485" s="34" t="s">
        <v>2248</v>
      </c>
      <c r="Z4485" s="34" t="s">
        <v>4190</v>
      </c>
      <c r="AA4485" s="35">
        <v>0.95625000000000004</v>
      </c>
      <c r="AB4485" s="13"/>
      <c r="AC4485" s="13"/>
      <c r="AD4485" s="13"/>
      <c r="AE4485" s="13"/>
      <c r="AF4485" s="13"/>
    </row>
    <row r="4486" spans="19:32" x14ac:dyDescent="0.35">
      <c r="S4486" s="13"/>
      <c r="T4486" s="16"/>
      <c r="U4486" s="16"/>
      <c r="V4486" s="16"/>
      <c r="W4486" s="13"/>
      <c r="X4486" s="34">
        <v>4482</v>
      </c>
      <c r="Y4486" s="34" t="s">
        <v>2248</v>
      </c>
      <c r="Z4486" s="34" t="s">
        <v>4093</v>
      </c>
      <c r="AA4486" s="35">
        <v>6.4778225806451616E-3</v>
      </c>
      <c r="AB4486" s="13"/>
      <c r="AC4486" s="13"/>
      <c r="AD4486" s="13"/>
      <c r="AE4486" s="13"/>
      <c r="AF4486" s="13"/>
    </row>
    <row r="4487" spans="19:32" x14ac:dyDescent="0.35">
      <c r="S4487" s="13"/>
      <c r="T4487" s="16"/>
      <c r="U4487" s="16"/>
      <c r="V4487" s="16"/>
      <c r="W4487" s="13"/>
      <c r="X4487" s="34">
        <v>4483</v>
      </c>
      <c r="Y4487" s="34" t="s">
        <v>2248</v>
      </c>
      <c r="Z4487" s="34" t="s">
        <v>4189</v>
      </c>
      <c r="AA4487" s="35">
        <v>2.4677419354838713E-2</v>
      </c>
      <c r="AB4487" s="13"/>
      <c r="AC4487" s="13"/>
      <c r="AD4487" s="13"/>
      <c r="AE4487" s="13"/>
      <c r="AF4487" s="13"/>
    </row>
    <row r="4488" spans="19:32" x14ac:dyDescent="0.35">
      <c r="S4488" s="13"/>
      <c r="T4488" s="16"/>
      <c r="U4488" s="16"/>
      <c r="V4488" s="16"/>
      <c r="W4488" s="13"/>
      <c r="X4488" s="47">
        <v>4484</v>
      </c>
      <c r="Y4488" s="47" t="s">
        <v>2248</v>
      </c>
      <c r="Z4488" s="47" t="s">
        <v>3153</v>
      </c>
      <c r="AA4488" s="56">
        <v>2.3786290322580649E-3</v>
      </c>
      <c r="AB4488" s="13"/>
      <c r="AC4488" s="13"/>
      <c r="AD4488" s="13"/>
      <c r="AE4488" s="13"/>
      <c r="AF4488" s="13"/>
    </row>
    <row r="4489" spans="19:32" x14ac:dyDescent="0.35">
      <c r="S4489" s="13"/>
      <c r="T4489" s="16"/>
      <c r="U4489" s="16"/>
      <c r="V4489" s="16"/>
      <c r="W4489" s="13"/>
      <c r="X4489" s="34">
        <v>4485</v>
      </c>
      <c r="Y4489" s="34" t="s">
        <v>2248</v>
      </c>
      <c r="Z4489" s="34" t="s">
        <v>4188</v>
      </c>
      <c r="AA4489" s="35">
        <v>0.30092741935483874</v>
      </c>
      <c r="AB4489" s="13"/>
      <c r="AC4489" s="13"/>
      <c r="AD4489" s="13"/>
      <c r="AE4489" s="13"/>
      <c r="AF4489" s="13"/>
    </row>
    <row r="4490" spans="19:32" x14ac:dyDescent="0.35">
      <c r="S4490" s="13"/>
      <c r="T4490" s="16"/>
      <c r="U4490" s="16"/>
      <c r="V4490" s="16"/>
      <c r="W4490" s="13"/>
      <c r="X4490" s="34">
        <v>4486</v>
      </c>
      <c r="Y4490" s="34" t="s">
        <v>2248</v>
      </c>
      <c r="Z4490" s="34" t="s">
        <v>4092</v>
      </c>
      <c r="AA4490" s="35">
        <v>5.0383064516129032E-6</v>
      </c>
      <c r="AB4490" s="13"/>
      <c r="AC4490" s="13"/>
      <c r="AD4490" s="13"/>
      <c r="AE4490" s="13"/>
      <c r="AF4490" s="13"/>
    </row>
    <row r="4491" spans="19:32" x14ac:dyDescent="0.35">
      <c r="S4491" s="13"/>
      <c r="T4491" s="16"/>
      <c r="U4491" s="16"/>
      <c r="V4491" s="16"/>
      <c r="W4491" s="13"/>
      <c r="X4491" s="47">
        <v>4487</v>
      </c>
      <c r="Y4491" s="47" t="s">
        <v>2248</v>
      </c>
      <c r="Z4491" s="47" t="s">
        <v>2523</v>
      </c>
      <c r="AA4491" s="56">
        <v>0.17111999999999999</v>
      </c>
      <c r="AB4491" s="13"/>
      <c r="AC4491" s="13"/>
      <c r="AD4491" s="13"/>
      <c r="AE4491" s="13"/>
      <c r="AF4491" s="13"/>
    </row>
    <row r="4492" spans="19:32" x14ac:dyDescent="0.35">
      <c r="S4492" s="13"/>
      <c r="T4492" s="16"/>
      <c r="U4492" s="16"/>
      <c r="V4492" s="16"/>
      <c r="W4492" s="13"/>
      <c r="X4492" s="34">
        <v>4488</v>
      </c>
      <c r="Y4492" s="34" t="s">
        <v>2248</v>
      </c>
      <c r="Z4492" s="34" t="s">
        <v>2479</v>
      </c>
      <c r="AA4492" s="35">
        <v>2.1352822580645165E-4</v>
      </c>
      <c r="AB4492" s="13"/>
      <c r="AC4492" s="13"/>
      <c r="AD4492" s="13"/>
      <c r="AE4492" s="13"/>
      <c r="AF4492" s="13"/>
    </row>
    <row r="4493" spans="19:32" x14ac:dyDescent="0.35">
      <c r="S4493" s="13"/>
      <c r="T4493" s="16"/>
      <c r="U4493" s="16"/>
      <c r="V4493" s="16"/>
      <c r="W4493" s="13"/>
      <c r="X4493" s="34">
        <v>4489</v>
      </c>
      <c r="Y4493" s="34" t="s">
        <v>2248</v>
      </c>
      <c r="Z4493" s="34" t="s">
        <v>2523</v>
      </c>
      <c r="AA4493" s="35">
        <v>9.0826612903225808E-3</v>
      </c>
      <c r="AB4493" s="13"/>
      <c r="AC4493" s="13"/>
      <c r="AD4493" s="13"/>
      <c r="AE4493" s="13"/>
      <c r="AF4493" s="13"/>
    </row>
    <row r="4494" spans="19:32" x14ac:dyDescent="0.35">
      <c r="S4494" s="13"/>
      <c r="T4494" s="16"/>
      <c r="U4494" s="16"/>
      <c r="V4494" s="16"/>
      <c r="W4494" s="13"/>
      <c r="X4494" s="34">
        <v>4490</v>
      </c>
      <c r="Y4494" s="34" t="s">
        <v>2248</v>
      </c>
      <c r="Z4494" s="34" t="s">
        <v>4187</v>
      </c>
      <c r="AA4494" s="35">
        <v>5.6895161290322594E-4</v>
      </c>
      <c r="AB4494" s="13"/>
      <c r="AC4494" s="13"/>
      <c r="AD4494" s="13"/>
      <c r="AE4494" s="13"/>
      <c r="AF4494" s="13"/>
    </row>
    <row r="4495" spans="19:32" x14ac:dyDescent="0.35">
      <c r="S4495" s="13"/>
      <c r="T4495" s="16"/>
      <c r="U4495" s="16"/>
      <c r="V4495" s="16"/>
      <c r="W4495" s="13"/>
      <c r="X4495" s="34">
        <v>4491</v>
      </c>
      <c r="Y4495" s="34" t="s">
        <v>2248</v>
      </c>
      <c r="Z4495" s="34" t="s">
        <v>4089</v>
      </c>
      <c r="AA4495" s="35">
        <v>5.5866935483870967E-5</v>
      </c>
      <c r="AB4495" s="13"/>
      <c r="AC4495" s="13"/>
      <c r="AD4495" s="13"/>
      <c r="AE4495" s="13"/>
      <c r="AF4495" s="13"/>
    </row>
    <row r="4496" spans="19:32" x14ac:dyDescent="0.35">
      <c r="S4496" s="13"/>
      <c r="T4496" s="16"/>
      <c r="U4496" s="16"/>
      <c r="V4496" s="16"/>
      <c r="W4496" s="13"/>
      <c r="X4496" s="47">
        <v>4492</v>
      </c>
      <c r="Y4496" s="47" t="s">
        <v>2248</v>
      </c>
      <c r="Z4496" s="47" t="s">
        <v>2521</v>
      </c>
      <c r="AA4496" s="56">
        <v>0</v>
      </c>
      <c r="AB4496" s="13"/>
      <c r="AC4496" s="13"/>
      <c r="AD4496" s="13"/>
      <c r="AE4496" s="13"/>
      <c r="AF4496" s="13"/>
    </row>
    <row r="4497" spans="19:32" x14ac:dyDescent="0.35">
      <c r="S4497" s="13"/>
      <c r="T4497" s="16"/>
      <c r="U4497" s="16"/>
      <c r="V4497" s="16"/>
      <c r="W4497" s="13"/>
      <c r="X4497" s="47">
        <v>4493</v>
      </c>
      <c r="Y4497" s="47" t="s">
        <v>2248</v>
      </c>
      <c r="Z4497" s="47" t="s">
        <v>4186</v>
      </c>
      <c r="AA4497" s="56">
        <v>4.1471774193548391E-4</v>
      </c>
      <c r="AB4497" s="13"/>
      <c r="AC4497" s="13"/>
      <c r="AD4497" s="13"/>
      <c r="AE4497" s="13"/>
      <c r="AF4497" s="13"/>
    </row>
    <row r="4498" spans="19:32" x14ac:dyDescent="0.35">
      <c r="S4498" s="13"/>
      <c r="T4498" s="16"/>
      <c r="U4498" s="16"/>
      <c r="V4498" s="16"/>
      <c r="W4498" s="13"/>
      <c r="X4498" s="34">
        <v>4494</v>
      </c>
      <c r="Y4498" s="34" t="s">
        <v>2248</v>
      </c>
      <c r="Z4498" s="34" t="s">
        <v>4185</v>
      </c>
      <c r="AA4498" s="35">
        <v>1.2475806451612904E-2</v>
      </c>
      <c r="AB4498" s="13"/>
      <c r="AC4498" s="13"/>
      <c r="AD4498" s="13"/>
      <c r="AE4498" s="13"/>
      <c r="AF4498" s="13"/>
    </row>
    <row r="4499" spans="19:32" x14ac:dyDescent="0.35">
      <c r="S4499" s="13"/>
      <c r="T4499" s="16"/>
      <c r="U4499" s="16"/>
      <c r="V4499" s="16"/>
      <c r="W4499" s="13"/>
      <c r="X4499" s="34">
        <v>4495</v>
      </c>
      <c r="Y4499" s="34" t="s">
        <v>2248</v>
      </c>
      <c r="Z4499" s="34" t="s">
        <v>4087</v>
      </c>
      <c r="AA4499" s="35">
        <v>2.5020161290322581E-4</v>
      </c>
      <c r="AB4499" s="13"/>
      <c r="AC4499" s="13"/>
      <c r="AD4499" s="13"/>
      <c r="AE4499" s="13"/>
      <c r="AF4499" s="13"/>
    </row>
    <row r="4500" spans="19:32" x14ac:dyDescent="0.35">
      <c r="S4500" s="13"/>
      <c r="T4500" s="16"/>
      <c r="U4500" s="16"/>
      <c r="V4500" s="16"/>
      <c r="W4500" s="13"/>
      <c r="X4500" s="34">
        <v>4496</v>
      </c>
      <c r="Y4500" s="34" t="s">
        <v>2248</v>
      </c>
      <c r="Z4500" s="34" t="s">
        <v>4184</v>
      </c>
      <c r="AA4500" s="35">
        <v>4.3870967741935488E-7</v>
      </c>
      <c r="AB4500" s="13"/>
      <c r="AC4500" s="13"/>
      <c r="AD4500" s="13"/>
      <c r="AE4500" s="13"/>
      <c r="AF4500" s="13"/>
    </row>
    <row r="4501" spans="19:32" x14ac:dyDescent="0.35">
      <c r="S4501" s="13"/>
      <c r="T4501" s="16"/>
      <c r="U4501" s="16"/>
      <c r="V4501" s="16"/>
      <c r="W4501" s="13"/>
      <c r="X4501" s="34">
        <v>4497</v>
      </c>
      <c r="Y4501" s="34" t="s">
        <v>2248</v>
      </c>
      <c r="Z4501" s="34" t="s">
        <v>4086</v>
      </c>
      <c r="AA4501" s="35">
        <v>0.40100806451612908</v>
      </c>
      <c r="AB4501" s="13"/>
      <c r="AC4501" s="13"/>
      <c r="AD4501" s="13"/>
      <c r="AE4501" s="13"/>
      <c r="AF4501" s="13"/>
    </row>
    <row r="4502" spans="19:32" x14ac:dyDescent="0.35">
      <c r="S4502" s="13"/>
      <c r="T4502" s="16"/>
      <c r="U4502" s="16"/>
      <c r="V4502" s="16"/>
      <c r="W4502" s="13"/>
      <c r="X4502" s="34">
        <v>4498</v>
      </c>
      <c r="Y4502" s="34" t="s">
        <v>2248</v>
      </c>
      <c r="Z4502" s="34" t="s">
        <v>4183</v>
      </c>
      <c r="AA4502" s="35">
        <v>6.2379032258064526E-5</v>
      </c>
      <c r="AB4502" s="13"/>
      <c r="AC4502" s="13"/>
      <c r="AD4502" s="13"/>
      <c r="AE4502" s="13"/>
      <c r="AF4502" s="13"/>
    </row>
    <row r="4503" spans="19:32" x14ac:dyDescent="0.35">
      <c r="S4503" s="13"/>
      <c r="T4503" s="16"/>
      <c r="U4503" s="16"/>
      <c r="V4503" s="16"/>
      <c r="W4503" s="13"/>
      <c r="X4503" s="34">
        <v>4499</v>
      </c>
      <c r="Y4503" s="34" t="s">
        <v>2248</v>
      </c>
      <c r="Z4503" s="34" t="s">
        <v>4182</v>
      </c>
      <c r="AA4503" s="35">
        <v>9.0483870967741941E-4</v>
      </c>
      <c r="AB4503" s="13"/>
      <c r="AC4503" s="13"/>
      <c r="AD4503" s="13"/>
      <c r="AE4503" s="13"/>
      <c r="AF4503" s="13"/>
    </row>
    <row r="4504" spans="19:32" x14ac:dyDescent="0.35">
      <c r="S4504" s="13"/>
      <c r="T4504" s="16"/>
      <c r="U4504" s="16"/>
      <c r="V4504" s="16"/>
      <c r="W4504" s="13"/>
      <c r="X4504" s="34">
        <v>4500</v>
      </c>
      <c r="Y4504" s="34" t="s">
        <v>2248</v>
      </c>
      <c r="Z4504" s="34" t="s">
        <v>4084</v>
      </c>
      <c r="AA4504" s="35">
        <v>2.3614919354838712E-2</v>
      </c>
      <c r="AB4504" s="13"/>
      <c r="AC4504" s="13"/>
      <c r="AD4504" s="13"/>
      <c r="AE4504" s="13"/>
      <c r="AF4504" s="13"/>
    </row>
    <row r="4505" spans="19:32" x14ac:dyDescent="0.35">
      <c r="S4505" s="13"/>
      <c r="T4505" s="16"/>
      <c r="U4505" s="16"/>
      <c r="V4505" s="16"/>
      <c r="W4505" s="13"/>
      <c r="X4505" s="34">
        <v>4501</v>
      </c>
      <c r="Y4505" s="34" t="s">
        <v>2248</v>
      </c>
      <c r="Z4505" s="34" t="s">
        <v>4181</v>
      </c>
      <c r="AA4505" s="35">
        <v>4.7641129032258069E-4</v>
      </c>
      <c r="AB4505" s="13"/>
      <c r="AC4505" s="13"/>
      <c r="AD4505" s="13"/>
      <c r="AE4505" s="13"/>
      <c r="AF4505" s="13"/>
    </row>
    <row r="4506" spans="19:32" x14ac:dyDescent="0.35">
      <c r="S4506" s="13"/>
      <c r="T4506" s="16"/>
      <c r="U4506" s="16"/>
      <c r="V4506" s="16"/>
      <c r="W4506" s="13"/>
      <c r="X4506" s="34">
        <v>4502</v>
      </c>
      <c r="Y4506" s="34" t="s">
        <v>2248</v>
      </c>
      <c r="Z4506" s="34" t="s">
        <v>2473</v>
      </c>
      <c r="AA4506" s="35">
        <v>3.5302419354838713E-3</v>
      </c>
      <c r="AB4506" s="13"/>
      <c r="AC4506" s="13"/>
      <c r="AD4506" s="13"/>
      <c r="AE4506" s="13"/>
      <c r="AF4506" s="13"/>
    </row>
    <row r="4507" spans="19:32" x14ac:dyDescent="0.35">
      <c r="S4507" s="13"/>
      <c r="T4507" s="16"/>
      <c r="U4507" s="16"/>
      <c r="V4507" s="16"/>
      <c r="W4507" s="13"/>
      <c r="X4507" s="34">
        <v>4503</v>
      </c>
      <c r="Y4507" s="34" t="s">
        <v>2248</v>
      </c>
      <c r="Z4507" s="34" t="s">
        <v>4180</v>
      </c>
      <c r="AA4507" s="35">
        <v>8.8770161290322586E-3</v>
      </c>
      <c r="AB4507" s="13"/>
      <c r="AC4507" s="13"/>
      <c r="AD4507" s="13"/>
      <c r="AE4507" s="13"/>
      <c r="AF4507" s="13"/>
    </row>
    <row r="4508" spans="19:32" x14ac:dyDescent="0.35">
      <c r="S4508" s="13"/>
      <c r="T4508" s="16"/>
      <c r="U4508" s="16"/>
      <c r="V4508" s="16"/>
      <c r="W4508" s="13"/>
      <c r="X4508" s="47">
        <v>4504</v>
      </c>
      <c r="Y4508" s="47" t="s">
        <v>2248</v>
      </c>
      <c r="Z4508" s="47" t="s">
        <v>4179</v>
      </c>
      <c r="AA4508" s="56">
        <v>9.6310483870967757E-7</v>
      </c>
      <c r="AB4508" s="13"/>
      <c r="AC4508" s="13"/>
      <c r="AD4508" s="13"/>
      <c r="AE4508" s="13"/>
      <c r="AF4508" s="13"/>
    </row>
    <row r="4509" spans="19:32" x14ac:dyDescent="0.35">
      <c r="S4509" s="13"/>
      <c r="T4509" s="16"/>
      <c r="U4509" s="16"/>
      <c r="V4509" s="16"/>
      <c r="W4509" s="13"/>
      <c r="X4509" s="34">
        <v>4505</v>
      </c>
      <c r="Y4509" s="34" t="s">
        <v>2248</v>
      </c>
      <c r="Z4509" s="34" t="s">
        <v>4082</v>
      </c>
      <c r="AA4509" s="35">
        <v>1.5629032258064517E-3</v>
      </c>
      <c r="AB4509" s="13"/>
      <c r="AC4509" s="13"/>
      <c r="AD4509" s="13"/>
      <c r="AE4509" s="13"/>
      <c r="AF4509" s="13"/>
    </row>
    <row r="4510" spans="19:32" x14ac:dyDescent="0.35">
      <c r="S4510" s="13"/>
      <c r="T4510" s="16"/>
      <c r="U4510" s="16"/>
      <c r="V4510" s="16"/>
      <c r="W4510" s="13"/>
      <c r="X4510" s="34">
        <v>4506</v>
      </c>
      <c r="Y4510" s="34" t="s">
        <v>2248</v>
      </c>
      <c r="Z4510" s="34" t="s">
        <v>4178</v>
      </c>
      <c r="AA4510" s="35">
        <v>3.9758064516129038E-2</v>
      </c>
      <c r="AB4510" s="13"/>
      <c r="AC4510" s="13"/>
      <c r="AD4510" s="13"/>
      <c r="AE4510" s="13"/>
      <c r="AF4510" s="13"/>
    </row>
    <row r="4511" spans="19:32" x14ac:dyDescent="0.35">
      <c r="S4511" s="13"/>
      <c r="T4511" s="16"/>
      <c r="U4511" s="16"/>
      <c r="V4511" s="16"/>
      <c r="W4511" s="13"/>
      <c r="X4511" s="34">
        <v>4507</v>
      </c>
      <c r="Y4511" s="34" t="s">
        <v>2248</v>
      </c>
      <c r="Z4511" s="34" t="s">
        <v>4080</v>
      </c>
      <c r="AA4511" s="35">
        <v>5.0040322580645162E-3</v>
      </c>
      <c r="AB4511" s="13"/>
      <c r="AC4511" s="13"/>
      <c r="AD4511" s="13"/>
      <c r="AE4511" s="13"/>
      <c r="AF4511" s="13"/>
    </row>
    <row r="4512" spans="19:32" x14ac:dyDescent="0.35">
      <c r="S4512" s="13"/>
      <c r="T4512" s="16"/>
      <c r="U4512" s="16"/>
      <c r="V4512" s="16"/>
      <c r="W4512" s="13"/>
      <c r="X4512" s="47">
        <v>4508</v>
      </c>
      <c r="Y4512" s="47" t="s">
        <v>2248</v>
      </c>
      <c r="Z4512" s="47" t="s">
        <v>2520</v>
      </c>
      <c r="AA4512" s="56">
        <v>3.8824000000000001</v>
      </c>
      <c r="AB4512" s="13"/>
      <c r="AC4512" s="13"/>
      <c r="AD4512" s="13"/>
      <c r="AE4512" s="13"/>
      <c r="AF4512" s="13"/>
    </row>
    <row r="4513" spans="19:32" x14ac:dyDescent="0.35">
      <c r="S4513" s="13"/>
      <c r="T4513" s="16"/>
      <c r="U4513" s="16"/>
      <c r="V4513" s="16"/>
      <c r="W4513" s="13"/>
      <c r="X4513" s="34">
        <v>4509</v>
      </c>
      <c r="Y4513" s="34" t="s">
        <v>2248</v>
      </c>
      <c r="Z4513" s="34" t="s">
        <v>3151</v>
      </c>
      <c r="AA4513" s="35">
        <v>0.14635080645161291</v>
      </c>
      <c r="AB4513" s="13"/>
      <c r="AC4513" s="13"/>
      <c r="AD4513" s="13"/>
      <c r="AE4513" s="13"/>
      <c r="AF4513" s="13"/>
    </row>
    <row r="4514" spans="19:32" x14ac:dyDescent="0.35">
      <c r="S4514" s="13"/>
      <c r="T4514" s="16"/>
      <c r="U4514" s="16"/>
      <c r="V4514" s="16"/>
      <c r="W4514" s="13"/>
      <c r="X4514" s="34">
        <v>4510</v>
      </c>
      <c r="Y4514" s="34" t="s">
        <v>2248</v>
      </c>
      <c r="Z4514" s="34" t="s">
        <v>4079</v>
      </c>
      <c r="AA4514" s="35">
        <v>1.3572580645161293E-3</v>
      </c>
      <c r="AB4514" s="13"/>
      <c r="AC4514" s="13"/>
      <c r="AD4514" s="13"/>
      <c r="AE4514" s="13"/>
      <c r="AF4514" s="13"/>
    </row>
    <row r="4515" spans="19:32" x14ac:dyDescent="0.35">
      <c r="S4515" s="13"/>
      <c r="T4515" s="16"/>
      <c r="U4515" s="16"/>
      <c r="V4515" s="16"/>
      <c r="W4515" s="13"/>
      <c r="X4515" s="47">
        <v>4511</v>
      </c>
      <c r="Y4515" s="47" t="s">
        <v>2248</v>
      </c>
      <c r="Z4515" s="47" t="s">
        <v>3150</v>
      </c>
      <c r="AA4515" s="56">
        <v>7.026209677419355E-6</v>
      </c>
      <c r="AB4515" s="13"/>
      <c r="AC4515" s="13"/>
      <c r="AD4515" s="13"/>
      <c r="AE4515" s="13"/>
      <c r="AF4515" s="13"/>
    </row>
    <row r="4516" spans="19:32" x14ac:dyDescent="0.35">
      <c r="S4516" s="13"/>
      <c r="T4516" s="16"/>
      <c r="U4516" s="16"/>
      <c r="V4516" s="16"/>
      <c r="W4516" s="13"/>
      <c r="X4516" s="34">
        <v>4512</v>
      </c>
      <c r="Y4516" s="34" t="s">
        <v>2248</v>
      </c>
      <c r="Z4516" s="34" t="s">
        <v>4077</v>
      </c>
      <c r="AA4516" s="35">
        <v>4.7641129032258069E-2</v>
      </c>
      <c r="AB4516" s="13"/>
      <c r="AC4516" s="13"/>
      <c r="AD4516" s="13"/>
      <c r="AE4516" s="13"/>
      <c r="AF4516" s="13"/>
    </row>
    <row r="4517" spans="19:32" x14ac:dyDescent="0.35">
      <c r="S4517" s="13"/>
      <c r="T4517" s="16"/>
      <c r="U4517" s="16"/>
      <c r="V4517" s="16"/>
      <c r="W4517" s="13"/>
      <c r="X4517" s="34">
        <v>4513</v>
      </c>
      <c r="Y4517" s="34" t="s">
        <v>2248</v>
      </c>
      <c r="Z4517" s="34" t="s">
        <v>4076</v>
      </c>
      <c r="AA4517" s="35">
        <v>1.0727822580645162E-2</v>
      </c>
      <c r="AB4517" s="13"/>
      <c r="AC4517" s="13"/>
      <c r="AD4517" s="13"/>
      <c r="AE4517" s="13"/>
      <c r="AF4517" s="13"/>
    </row>
    <row r="4518" spans="19:32" x14ac:dyDescent="0.35">
      <c r="S4518" s="13"/>
      <c r="T4518" s="16"/>
      <c r="U4518" s="16"/>
      <c r="V4518" s="16"/>
      <c r="W4518" s="13"/>
      <c r="X4518" s="47">
        <v>4514</v>
      </c>
      <c r="Y4518" s="47" t="s">
        <v>2248</v>
      </c>
      <c r="Z4518" s="47" t="s">
        <v>4177</v>
      </c>
      <c r="AA4518" s="56">
        <v>6.3750000000000005E-4</v>
      </c>
      <c r="AB4518" s="13"/>
      <c r="AC4518" s="13"/>
      <c r="AD4518" s="13"/>
      <c r="AE4518" s="13"/>
      <c r="AF4518" s="13"/>
    </row>
    <row r="4519" spans="19:32" x14ac:dyDescent="0.35">
      <c r="S4519" s="13"/>
      <c r="T4519" s="16"/>
      <c r="U4519" s="16"/>
      <c r="V4519" s="16"/>
      <c r="W4519" s="13"/>
      <c r="X4519" s="34">
        <v>4515</v>
      </c>
      <c r="Y4519" s="34" t="s">
        <v>2248</v>
      </c>
      <c r="Z4519" s="34" t="s">
        <v>4075</v>
      </c>
      <c r="AA4519" s="35">
        <v>2.78991935483871E-4</v>
      </c>
      <c r="AB4519" s="13"/>
      <c r="AC4519" s="13"/>
      <c r="AD4519" s="13"/>
      <c r="AE4519" s="13"/>
      <c r="AF4519" s="13"/>
    </row>
    <row r="4520" spans="19:32" x14ac:dyDescent="0.35">
      <c r="S4520" s="13"/>
      <c r="T4520" s="16"/>
      <c r="U4520" s="16"/>
      <c r="V4520" s="16"/>
      <c r="W4520" s="13"/>
      <c r="X4520" s="34">
        <v>4516</v>
      </c>
      <c r="Y4520" s="34" t="s">
        <v>2248</v>
      </c>
      <c r="Z4520" s="34" t="s">
        <v>4073</v>
      </c>
      <c r="AA4520" s="35">
        <v>6.7177419354838715E-4</v>
      </c>
      <c r="AB4520" s="13"/>
      <c r="AC4520" s="13"/>
      <c r="AD4520" s="13"/>
      <c r="AE4520" s="13"/>
      <c r="AF4520" s="13"/>
    </row>
    <row r="4521" spans="19:32" x14ac:dyDescent="0.35">
      <c r="S4521" s="13"/>
      <c r="T4521" s="16"/>
      <c r="U4521" s="16"/>
      <c r="V4521" s="16"/>
      <c r="W4521" s="13"/>
      <c r="X4521" s="47">
        <v>4517</v>
      </c>
      <c r="Y4521" s="47" t="s">
        <v>2248</v>
      </c>
      <c r="Z4521" s="47" t="s">
        <v>2518</v>
      </c>
      <c r="AA4521" s="56">
        <v>3.9008000000000003</v>
      </c>
      <c r="AB4521" s="13"/>
      <c r="AC4521" s="13"/>
      <c r="AD4521" s="13"/>
      <c r="AE4521" s="13"/>
      <c r="AF4521" s="13"/>
    </row>
    <row r="4522" spans="19:32" x14ac:dyDescent="0.35">
      <c r="S4522" s="13"/>
      <c r="T4522" s="16"/>
      <c r="U4522" s="16"/>
      <c r="V4522" s="16"/>
      <c r="W4522" s="13"/>
      <c r="X4522" s="47">
        <v>4518</v>
      </c>
      <c r="Y4522" s="47" t="s">
        <v>2248</v>
      </c>
      <c r="Z4522" s="47" t="s">
        <v>4176</v>
      </c>
      <c r="AA4522" s="56">
        <v>1.2235887096774195E-4</v>
      </c>
      <c r="AB4522" s="13"/>
      <c r="AC4522" s="13"/>
      <c r="AD4522" s="13"/>
      <c r="AE4522" s="13"/>
      <c r="AF4522" s="13"/>
    </row>
    <row r="4523" spans="19:32" x14ac:dyDescent="0.35">
      <c r="S4523" s="13"/>
      <c r="T4523" s="16"/>
      <c r="U4523" s="16"/>
      <c r="V4523" s="16"/>
      <c r="W4523" s="13"/>
      <c r="X4523" s="34">
        <v>4519</v>
      </c>
      <c r="Y4523" s="34" t="s">
        <v>2248</v>
      </c>
      <c r="Z4523" s="34" t="s">
        <v>2518</v>
      </c>
      <c r="AA4523" s="35">
        <v>1.5423387096774195E-4</v>
      </c>
      <c r="AB4523" s="13"/>
      <c r="AC4523" s="13"/>
      <c r="AD4523" s="13"/>
      <c r="AE4523" s="13"/>
      <c r="AF4523" s="13"/>
    </row>
    <row r="4524" spans="19:32" x14ac:dyDescent="0.35">
      <c r="S4524" s="13"/>
      <c r="T4524" s="16"/>
      <c r="U4524" s="16"/>
      <c r="V4524" s="16"/>
      <c r="W4524" s="13"/>
      <c r="X4524" s="34">
        <v>4520</v>
      </c>
      <c r="Y4524" s="34" t="s">
        <v>2248</v>
      </c>
      <c r="Z4524" s="34" t="s">
        <v>4071</v>
      </c>
      <c r="AA4524" s="35">
        <v>5.7237903225806452E-5</v>
      </c>
      <c r="AB4524" s="13"/>
      <c r="AC4524" s="13"/>
      <c r="AD4524" s="13"/>
      <c r="AE4524" s="13"/>
      <c r="AF4524" s="13"/>
    </row>
    <row r="4525" spans="19:32" x14ac:dyDescent="0.35">
      <c r="S4525" s="13"/>
      <c r="T4525" s="16"/>
      <c r="U4525" s="16"/>
      <c r="V4525" s="16"/>
      <c r="W4525" s="13"/>
      <c r="X4525" s="47">
        <v>4521</v>
      </c>
      <c r="Y4525" s="47" t="s">
        <v>2248</v>
      </c>
      <c r="Z4525" s="47" t="s">
        <v>2517</v>
      </c>
      <c r="AA4525" s="56">
        <v>32.751999999999995</v>
      </c>
      <c r="AB4525" s="13"/>
      <c r="AC4525" s="13"/>
      <c r="AD4525" s="13"/>
      <c r="AE4525" s="13"/>
      <c r="AF4525" s="13"/>
    </row>
    <row r="4526" spans="19:32" x14ac:dyDescent="0.35">
      <c r="S4526" s="13"/>
      <c r="T4526" s="16"/>
      <c r="U4526" s="16"/>
      <c r="V4526" s="16"/>
      <c r="W4526" s="13"/>
      <c r="X4526" s="34">
        <v>4522</v>
      </c>
      <c r="Y4526" s="34" t="s">
        <v>2248</v>
      </c>
      <c r="Z4526" s="34" t="s">
        <v>4069</v>
      </c>
      <c r="AA4526" s="35">
        <v>5.2096774193548386E-4</v>
      </c>
      <c r="AB4526" s="13"/>
      <c r="AC4526" s="13"/>
      <c r="AD4526" s="13"/>
      <c r="AE4526" s="13"/>
      <c r="AF4526" s="13"/>
    </row>
    <row r="4527" spans="19:32" x14ac:dyDescent="0.35">
      <c r="S4527" s="13"/>
      <c r="T4527" s="16"/>
      <c r="U4527" s="16"/>
      <c r="V4527" s="16"/>
      <c r="W4527" s="13"/>
      <c r="X4527" s="34">
        <v>4523</v>
      </c>
      <c r="Y4527" s="34" t="s">
        <v>2248</v>
      </c>
      <c r="Z4527" s="34" t="s">
        <v>2517</v>
      </c>
      <c r="AA4527" s="35">
        <v>2.1112903225806454E-3</v>
      </c>
      <c r="AB4527" s="13"/>
      <c r="AC4527" s="13"/>
      <c r="AD4527" s="13"/>
      <c r="AE4527" s="13"/>
      <c r="AF4527" s="13"/>
    </row>
    <row r="4528" spans="19:32" x14ac:dyDescent="0.35">
      <c r="S4528" s="13"/>
      <c r="T4528" s="16"/>
      <c r="U4528" s="16"/>
      <c r="V4528" s="16"/>
      <c r="W4528" s="13"/>
      <c r="X4528" s="47">
        <v>4524</v>
      </c>
      <c r="Y4528" s="47" t="s">
        <v>2248</v>
      </c>
      <c r="Z4528" s="47" t="s">
        <v>4175</v>
      </c>
      <c r="AA4528" s="56">
        <v>2.7385080645161292E-4</v>
      </c>
      <c r="AB4528" s="13"/>
      <c r="AC4528" s="13"/>
      <c r="AD4528" s="13"/>
      <c r="AE4528" s="13"/>
      <c r="AF4528" s="13"/>
    </row>
    <row r="4529" spans="19:32" x14ac:dyDescent="0.35">
      <c r="S4529" s="13"/>
      <c r="T4529" s="16"/>
      <c r="U4529" s="16"/>
      <c r="V4529" s="16"/>
      <c r="W4529" s="13"/>
      <c r="X4529" s="34">
        <v>4525</v>
      </c>
      <c r="Y4529" s="34" t="s">
        <v>2248</v>
      </c>
      <c r="Z4529" s="34" t="s">
        <v>4068</v>
      </c>
      <c r="AA4529" s="35">
        <v>2.4643145161290327E-3</v>
      </c>
      <c r="AB4529" s="13"/>
      <c r="AC4529" s="13"/>
      <c r="AD4529" s="13"/>
      <c r="AE4529" s="13"/>
      <c r="AF4529" s="13"/>
    </row>
    <row r="4530" spans="19:32" x14ac:dyDescent="0.35">
      <c r="S4530" s="13"/>
      <c r="T4530" s="16"/>
      <c r="U4530" s="16"/>
      <c r="V4530" s="16"/>
      <c r="W4530" s="13"/>
      <c r="X4530" s="47">
        <v>4526</v>
      </c>
      <c r="Y4530" s="47" t="s">
        <v>2248</v>
      </c>
      <c r="Z4530" s="47" t="s">
        <v>2515</v>
      </c>
      <c r="AA4530" s="56">
        <v>6.3112000000000001E-2</v>
      </c>
      <c r="AB4530" s="13"/>
      <c r="AC4530" s="13"/>
      <c r="AD4530" s="13"/>
      <c r="AE4530" s="13"/>
      <c r="AF4530" s="13"/>
    </row>
    <row r="4531" spans="19:32" x14ac:dyDescent="0.35">
      <c r="S4531" s="13"/>
      <c r="T4531" s="16"/>
      <c r="U4531" s="16"/>
      <c r="V4531" s="16"/>
      <c r="W4531" s="13"/>
      <c r="X4531" s="34">
        <v>4527</v>
      </c>
      <c r="Y4531" s="34" t="s">
        <v>2248</v>
      </c>
      <c r="Z4531" s="34" t="s">
        <v>2515</v>
      </c>
      <c r="AA4531" s="35">
        <v>1.9604838709677419E-4</v>
      </c>
      <c r="AB4531" s="13"/>
      <c r="AC4531" s="13"/>
      <c r="AD4531" s="13"/>
      <c r="AE4531" s="13"/>
      <c r="AF4531" s="13"/>
    </row>
    <row r="4532" spans="19:32" x14ac:dyDescent="0.35">
      <c r="S4532" s="13"/>
      <c r="T4532" s="16"/>
      <c r="U4532" s="16"/>
      <c r="V4532" s="16"/>
      <c r="W4532" s="13"/>
      <c r="X4532" s="34">
        <v>4528</v>
      </c>
      <c r="Y4532" s="34" t="s">
        <v>2248</v>
      </c>
      <c r="Z4532" s="34" t="s">
        <v>4067</v>
      </c>
      <c r="AA4532" s="35">
        <v>1.7137096774193551E-2</v>
      </c>
      <c r="AB4532" s="13"/>
      <c r="AC4532" s="13"/>
      <c r="AD4532" s="13"/>
      <c r="AE4532" s="13"/>
      <c r="AF4532" s="13"/>
    </row>
    <row r="4533" spans="19:32" x14ac:dyDescent="0.35">
      <c r="S4533" s="13"/>
      <c r="T4533" s="16"/>
      <c r="U4533" s="16"/>
      <c r="V4533" s="16"/>
      <c r="W4533" s="13"/>
      <c r="X4533" s="34">
        <v>4529</v>
      </c>
      <c r="Y4533" s="34" t="s">
        <v>2248</v>
      </c>
      <c r="Z4533" s="34" t="s">
        <v>4174</v>
      </c>
      <c r="AA4533" s="35">
        <v>2.4403225806451616E-4</v>
      </c>
      <c r="AB4533" s="13"/>
      <c r="AC4533" s="13"/>
      <c r="AD4533" s="13"/>
      <c r="AE4533" s="13"/>
      <c r="AF4533" s="13"/>
    </row>
    <row r="4534" spans="19:32" x14ac:dyDescent="0.35">
      <c r="S4534" s="13"/>
      <c r="T4534" s="16"/>
      <c r="U4534" s="16"/>
      <c r="V4534" s="16"/>
      <c r="W4534" s="13"/>
      <c r="X4534" s="34">
        <v>4530</v>
      </c>
      <c r="Y4534" s="34" t="s">
        <v>2248</v>
      </c>
      <c r="Z4534" s="34" t="s">
        <v>4066</v>
      </c>
      <c r="AA4534" s="35">
        <v>4.2842741935483876E-5</v>
      </c>
      <c r="AB4534" s="13"/>
      <c r="AC4534" s="13"/>
      <c r="AD4534" s="13"/>
      <c r="AE4534" s="13"/>
      <c r="AF4534" s="13"/>
    </row>
    <row r="4535" spans="19:32" x14ac:dyDescent="0.35">
      <c r="S4535" s="13"/>
      <c r="T4535" s="16"/>
      <c r="U4535" s="16"/>
      <c r="V4535" s="16"/>
      <c r="W4535" s="13"/>
      <c r="X4535" s="34">
        <v>4531</v>
      </c>
      <c r="Y4535" s="34" t="s">
        <v>2248</v>
      </c>
      <c r="Z4535" s="34" t="s">
        <v>4173</v>
      </c>
      <c r="AA4535" s="35">
        <v>2.1044354838709678E-5</v>
      </c>
      <c r="AB4535" s="13"/>
      <c r="AC4535" s="13"/>
      <c r="AD4535" s="13"/>
      <c r="AE4535" s="13"/>
      <c r="AF4535" s="13"/>
    </row>
    <row r="4536" spans="19:32" x14ac:dyDescent="0.35">
      <c r="S4536" s="13"/>
      <c r="T4536" s="16"/>
      <c r="U4536" s="16"/>
      <c r="V4536" s="16"/>
      <c r="W4536" s="13"/>
      <c r="X4536" s="47">
        <v>4532</v>
      </c>
      <c r="Y4536" s="47" t="s">
        <v>2248</v>
      </c>
      <c r="Z4536" s="47" t="s">
        <v>4172</v>
      </c>
      <c r="AA4536" s="56">
        <v>1.7239919354838709E-3</v>
      </c>
      <c r="AB4536" s="13"/>
      <c r="AC4536" s="13"/>
      <c r="AD4536" s="13"/>
      <c r="AE4536" s="13"/>
      <c r="AF4536" s="13"/>
    </row>
    <row r="4537" spans="19:32" x14ac:dyDescent="0.35">
      <c r="S4537" s="13"/>
      <c r="T4537" s="16"/>
      <c r="U4537" s="16"/>
      <c r="V4537" s="16"/>
      <c r="W4537" s="13"/>
      <c r="X4537" s="34">
        <v>4533</v>
      </c>
      <c r="Y4537" s="34" t="s">
        <v>2248</v>
      </c>
      <c r="Z4537" s="34" t="s">
        <v>2468</v>
      </c>
      <c r="AA4537" s="35">
        <v>6.8205645161290333E-5</v>
      </c>
      <c r="AB4537" s="13"/>
      <c r="AC4537" s="13"/>
      <c r="AD4537" s="13"/>
      <c r="AE4537" s="13"/>
      <c r="AF4537" s="13"/>
    </row>
    <row r="4538" spans="19:32" x14ac:dyDescent="0.35">
      <c r="S4538" s="13"/>
      <c r="T4538" s="16"/>
      <c r="U4538" s="16"/>
      <c r="V4538" s="16"/>
      <c r="W4538" s="13"/>
      <c r="X4538" s="34">
        <v>4534</v>
      </c>
      <c r="Y4538" s="34" t="s">
        <v>2248</v>
      </c>
      <c r="Z4538" s="34" t="s">
        <v>4171</v>
      </c>
      <c r="AA4538" s="35">
        <v>2.844758064516129E-5</v>
      </c>
      <c r="AB4538" s="13"/>
      <c r="AC4538" s="13"/>
      <c r="AD4538" s="13"/>
      <c r="AE4538" s="13"/>
      <c r="AF4538" s="13"/>
    </row>
    <row r="4539" spans="19:32" x14ac:dyDescent="0.35">
      <c r="S4539" s="13"/>
      <c r="T4539" s="16"/>
      <c r="U4539" s="16"/>
      <c r="V4539" s="16"/>
      <c r="W4539" s="13"/>
      <c r="X4539" s="34">
        <v>4535</v>
      </c>
      <c r="Y4539" s="34" t="s">
        <v>2248</v>
      </c>
      <c r="Z4539" s="34" t="s">
        <v>4063</v>
      </c>
      <c r="AA4539" s="35">
        <v>0.39072580645161292</v>
      </c>
      <c r="AB4539" s="13"/>
      <c r="AC4539" s="13"/>
      <c r="AD4539" s="13"/>
      <c r="AE4539" s="13"/>
      <c r="AF4539" s="13"/>
    </row>
    <row r="4540" spans="19:32" x14ac:dyDescent="0.35">
      <c r="S4540" s="13"/>
      <c r="T4540" s="16"/>
      <c r="U4540" s="16"/>
      <c r="V4540" s="16"/>
      <c r="W4540" s="13"/>
      <c r="X4540" s="34">
        <v>4536</v>
      </c>
      <c r="Y4540" s="34" t="s">
        <v>2248</v>
      </c>
      <c r="Z4540" s="34" t="s">
        <v>4170</v>
      </c>
      <c r="AA4540" s="35">
        <v>2.3340725806451613E-3</v>
      </c>
      <c r="AB4540" s="13"/>
      <c r="AC4540" s="13"/>
      <c r="AD4540" s="13"/>
      <c r="AE4540" s="13"/>
      <c r="AF4540" s="13"/>
    </row>
    <row r="4541" spans="19:32" x14ac:dyDescent="0.35">
      <c r="S4541" s="13"/>
      <c r="T4541" s="16"/>
      <c r="U4541" s="16"/>
      <c r="V4541" s="16"/>
      <c r="W4541" s="13"/>
      <c r="X4541" s="34">
        <v>4537</v>
      </c>
      <c r="Y4541" s="34" t="s">
        <v>2248</v>
      </c>
      <c r="Z4541" s="34" t="s">
        <v>3148</v>
      </c>
      <c r="AA4541" s="35">
        <v>1.7445564516129032E-2</v>
      </c>
      <c r="AB4541" s="13"/>
      <c r="AC4541" s="13"/>
      <c r="AD4541" s="13"/>
      <c r="AE4541" s="13"/>
      <c r="AF4541" s="13"/>
    </row>
    <row r="4542" spans="19:32" x14ac:dyDescent="0.35">
      <c r="S4542" s="13"/>
      <c r="T4542" s="16"/>
      <c r="U4542" s="16"/>
      <c r="V4542" s="16"/>
      <c r="W4542" s="13"/>
      <c r="X4542" s="34">
        <v>4538</v>
      </c>
      <c r="Y4542" s="34" t="s">
        <v>2248</v>
      </c>
      <c r="Z4542" s="34" t="s">
        <v>2463</v>
      </c>
      <c r="AA4542" s="35">
        <v>0.24197580645161293</v>
      </c>
      <c r="AB4542" s="13"/>
      <c r="AC4542" s="13"/>
      <c r="AD4542" s="13"/>
      <c r="AE4542" s="13"/>
      <c r="AF4542" s="13"/>
    </row>
    <row r="4543" spans="19:32" x14ac:dyDescent="0.35">
      <c r="S4543" s="13"/>
      <c r="T4543" s="16"/>
      <c r="U4543" s="16"/>
      <c r="V4543" s="16"/>
      <c r="W4543" s="13"/>
      <c r="X4543" s="47">
        <v>4539</v>
      </c>
      <c r="Y4543" s="47" t="s">
        <v>2248</v>
      </c>
      <c r="Z4543" s="47" t="s">
        <v>2513</v>
      </c>
      <c r="AA4543" s="56">
        <v>0</v>
      </c>
      <c r="AB4543" s="13"/>
      <c r="AC4543" s="13"/>
      <c r="AD4543" s="13"/>
      <c r="AE4543" s="13"/>
      <c r="AF4543" s="13"/>
    </row>
    <row r="4544" spans="19:32" x14ac:dyDescent="0.35">
      <c r="S4544" s="13"/>
      <c r="T4544" s="16"/>
      <c r="U4544" s="16"/>
      <c r="V4544" s="16"/>
      <c r="W4544" s="13"/>
      <c r="X4544" s="34">
        <v>4540</v>
      </c>
      <c r="Y4544" s="34" t="s">
        <v>2248</v>
      </c>
      <c r="Z4544" s="34" t="s">
        <v>2513</v>
      </c>
      <c r="AA4544" s="35">
        <v>3.1395161290322583E-5</v>
      </c>
      <c r="AB4544" s="13"/>
      <c r="AC4544" s="13"/>
      <c r="AD4544" s="13"/>
      <c r="AE4544" s="13"/>
      <c r="AF4544" s="13"/>
    </row>
    <row r="4545" spans="19:32" x14ac:dyDescent="0.35">
      <c r="S4545" s="13"/>
      <c r="T4545" s="16"/>
      <c r="U4545" s="16"/>
      <c r="V4545" s="16"/>
      <c r="W4545" s="13"/>
      <c r="X4545" s="34">
        <v>4541</v>
      </c>
      <c r="Y4545" s="34" t="s">
        <v>2248</v>
      </c>
      <c r="Z4545" s="34" t="s">
        <v>4061</v>
      </c>
      <c r="AA4545" s="35">
        <v>1.7445564516129032E-2</v>
      </c>
      <c r="AB4545" s="13"/>
      <c r="AC4545" s="13"/>
      <c r="AD4545" s="13"/>
      <c r="AE4545" s="13"/>
      <c r="AF4545" s="13"/>
    </row>
    <row r="4546" spans="19:32" x14ac:dyDescent="0.35">
      <c r="S4546" s="13"/>
      <c r="T4546" s="16"/>
      <c r="U4546" s="16"/>
      <c r="V4546" s="16"/>
      <c r="W4546" s="13"/>
      <c r="X4546" s="47">
        <v>4542</v>
      </c>
      <c r="Y4546" s="47" t="s">
        <v>2248</v>
      </c>
      <c r="Z4546" s="47" t="s">
        <v>4169</v>
      </c>
      <c r="AA4546" s="56">
        <v>1.0179435483870969E-3</v>
      </c>
      <c r="AB4546" s="13"/>
      <c r="AC4546" s="13"/>
      <c r="AD4546" s="13"/>
      <c r="AE4546" s="13"/>
      <c r="AF4546" s="13"/>
    </row>
    <row r="4547" spans="19:32" x14ac:dyDescent="0.35">
      <c r="S4547" s="13"/>
      <c r="T4547" s="16"/>
      <c r="U4547" s="16"/>
      <c r="V4547" s="16"/>
      <c r="W4547" s="13"/>
      <c r="X4547" s="34">
        <v>4543</v>
      </c>
      <c r="Y4547" s="34" t="s">
        <v>2248</v>
      </c>
      <c r="Z4547" s="34" t="s">
        <v>2457</v>
      </c>
      <c r="AA4547" s="35">
        <v>0.10796370967741936</v>
      </c>
      <c r="AB4547" s="13"/>
      <c r="AC4547" s="13"/>
      <c r="AD4547" s="13"/>
      <c r="AE4547" s="13"/>
      <c r="AF4547" s="13"/>
    </row>
    <row r="4548" spans="19:32" x14ac:dyDescent="0.35">
      <c r="S4548" s="13"/>
      <c r="T4548" s="16"/>
      <c r="U4548" s="16"/>
      <c r="V4548" s="16"/>
      <c r="W4548" s="13"/>
      <c r="X4548" s="34">
        <v>4544</v>
      </c>
      <c r="Y4548" s="34" t="s">
        <v>2248</v>
      </c>
      <c r="Z4548" s="34" t="s">
        <v>4168</v>
      </c>
      <c r="AA4548" s="35">
        <v>1.8233870967741938E-4</v>
      </c>
      <c r="AB4548" s="13"/>
      <c r="AC4548" s="13"/>
      <c r="AD4548" s="13"/>
      <c r="AE4548" s="13"/>
      <c r="AF4548" s="13"/>
    </row>
    <row r="4549" spans="19:32" x14ac:dyDescent="0.35">
      <c r="S4549" s="13"/>
      <c r="T4549" s="16"/>
      <c r="U4549" s="16"/>
      <c r="V4549" s="16"/>
      <c r="W4549" s="13"/>
      <c r="X4549" s="34">
        <v>4545</v>
      </c>
      <c r="Y4549" s="34" t="s">
        <v>2248</v>
      </c>
      <c r="Z4549" s="34" t="s">
        <v>4059</v>
      </c>
      <c r="AA4549" s="35">
        <v>1.0487903225806453E-2</v>
      </c>
      <c r="AB4549" s="13"/>
      <c r="AC4549" s="13"/>
      <c r="AD4549" s="13"/>
      <c r="AE4549" s="13"/>
      <c r="AF4549" s="13"/>
    </row>
    <row r="4550" spans="19:32" x14ac:dyDescent="0.35">
      <c r="S4550" s="13"/>
      <c r="T4550" s="16"/>
      <c r="U4550" s="16"/>
      <c r="V4550" s="16"/>
      <c r="W4550" s="13"/>
      <c r="X4550" s="34">
        <v>4546</v>
      </c>
      <c r="Y4550" s="34" t="s">
        <v>2248</v>
      </c>
      <c r="Z4550" s="34" t="s">
        <v>4167</v>
      </c>
      <c r="AA4550" s="35">
        <v>5.0040322580645162E-2</v>
      </c>
      <c r="AB4550" s="13"/>
      <c r="AC4550" s="13"/>
      <c r="AD4550" s="13"/>
      <c r="AE4550" s="13"/>
      <c r="AF4550" s="13"/>
    </row>
    <row r="4551" spans="19:32" x14ac:dyDescent="0.35">
      <c r="S4551" s="13"/>
      <c r="T4551" s="16"/>
      <c r="U4551" s="16"/>
      <c r="V4551" s="16"/>
      <c r="W4551" s="13"/>
      <c r="X4551" s="34">
        <v>4547</v>
      </c>
      <c r="Y4551" s="34" t="s">
        <v>2248</v>
      </c>
      <c r="Z4551" s="34" t="s">
        <v>4166</v>
      </c>
      <c r="AA4551" s="35">
        <v>3.0024193548387097E-3</v>
      </c>
      <c r="AB4551" s="13"/>
      <c r="AC4551" s="13"/>
      <c r="AD4551" s="13"/>
      <c r="AE4551" s="13"/>
      <c r="AF4551" s="13"/>
    </row>
    <row r="4552" spans="19:32" x14ac:dyDescent="0.35">
      <c r="S4552" s="13"/>
      <c r="T4552" s="16"/>
      <c r="U4552" s="16"/>
      <c r="V4552" s="16"/>
      <c r="W4552" s="13"/>
      <c r="X4552" s="34">
        <v>4548</v>
      </c>
      <c r="Y4552" s="34" t="s">
        <v>2248</v>
      </c>
      <c r="Z4552" s="34" t="s">
        <v>2456</v>
      </c>
      <c r="AA4552" s="35">
        <v>3.1120967741935486E-3</v>
      </c>
      <c r="AB4552" s="13"/>
      <c r="AC4552" s="13"/>
      <c r="AD4552" s="13"/>
      <c r="AE4552" s="13"/>
      <c r="AF4552" s="13"/>
    </row>
    <row r="4553" spans="19:32" x14ac:dyDescent="0.35">
      <c r="S4553" s="13"/>
      <c r="T4553" s="16"/>
      <c r="U4553" s="16"/>
      <c r="V4553" s="16"/>
      <c r="W4553" s="13"/>
      <c r="X4553" s="34">
        <v>4549</v>
      </c>
      <c r="Y4553" s="34" t="s">
        <v>2248</v>
      </c>
      <c r="Z4553" s="34" t="s">
        <v>4165</v>
      </c>
      <c r="AA4553" s="35">
        <v>3.8729838709677424E-2</v>
      </c>
      <c r="AB4553" s="13"/>
      <c r="AC4553" s="13"/>
      <c r="AD4553" s="13"/>
      <c r="AE4553" s="13"/>
      <c r="AF4553" s="13"/>
    </row>
    <row r="4554" spans="19:32" x14ac:dyDescent="0.35">
      <c r="S4554" s="13"/>
      <c r="T4554" s="16"/>
      <c r="U4554" s="16"/>
      <c r="V4554" s="16"/>
      <c r="W4554" s="13"/>
      <c r="X4554" s="34">
        <v>4550</v>
      </c>
      <c r="Y4554" s="34" t="s">
        <v>2248</v>
      </c>
      <c r="Z4554" s="34" t="s">
        <v>2453</v>
      </c>
      <c r="AA4554" s="35">
        <v>0.64778225806451617</v>
      </c>
      <c r="AB4554" s="13"/>
      <c r="AC4554" s="13"/>
      <c r="AD4554" s="13"/>
      <c r="AE4554" s="13"/>
      <c r="AF4554" s="13"/>
    </row>
    <row r="4555" spans="19:32" x14ac:dyDescent="0.35">
      <c r="S4555" s="13"/>
      <c r="T4555" s="16"/>
      <c r="U4555" s="16"/>
      <c r="V4555" s="16"/>
      <c r="W4555" s="13"/>
      <c r="X4555" s="34">
        <v>4551</v>
      </c>
      <c r="Y4555" s="34" t="s">
        <v>2248</v>
      </c>
      <c r="Z4555" s="34" t="s">
        <v>4164</v>
      </c>
      <c r="AA4555" s="35">
        <v>6.2036290322580647E-5</v>
      </c>
      <c r="AB4555" s="13"/>
      <c r="AC4555" s="13"/>
      <c r="AD4555" s="13"/>
      <c r="AE4555" s="13"/>
      <c r="AF4555" s="13"/>
    </row>
    <row r="4556" spans="19:32" x14ac:dyDescent="0.35">
      <c r="S4556" s="13"/>
      <c r="T4556" s="16"/>
      <c r="U4556" s="16"/>
      <c r="V4556" s="16"/>
      <c r="W4556" s="13"/>
      <c r="X4556" s="47">
        <v>4552</v>
      </c>
      <c r="Y4556" s="47" t="s">
        <v>2248</v>
      </c>
      <c r="Z4556" s="47" t="s">
        <v>4163</v>
      </c>
      <c r="AA4556" s="56">
        <v>7.3004032258064521E-3</v>
      </c>
      <c r="AB4556" s="13"/>
      <c r="AC4556" s="13"/>
      <c r="AD4556" s="13"/>
      <c r="AE4556" s="13"/>
      <c r="AF4556" s="13"/>
    </row>
    <row r="4557" spans="19:32" x14ac:dyDescent="0.35">
      <c r="S4557" s="13"/>
      <c r="T4557" s="16"/>
      <c r="U4557" s="16"/>
      <c r="V4557" s="16"/>
      <c r="W4557" s="13"/>
      <c r="X4557" s="34">
        <v>4553</v>
      </c>
      <c r="Y4557" s="34" t="s">
        <v>2248</v>
      </c>
      <c r="Z4557" s="34" t="s">
        <v>4162</v>
      </c>
      <c r="AA4557" s="35">
        <v>5.6209677419354846E-3</v>
      </c>
      <c r="AB4557" s="13"/>
      <c r="AC4557" s="13"/>
      <c r="AD4557" s="13"/>
      <c r="AE4557" s="13"/>
      <c r="AF4557" s="13"/>
    </row>
    <row r="4558" spans="19:32" x14ac:dyDescent="0.35">
      <c r="S4558" s="13"/>
      <c r="T4558" s="16"/>
      <c r="U4558" s="16"/>
      <c r="V4558" s="16"/>
      <c r="W4558" s="13"/>
      <c r="X4558" s="34">
        <v>4554</v>
      </c>
      <c r="Y4558" s="34" t="s">
        <v>2248</v>
      </c>
      <c r="Z4558" s="34" t="s">
        <v>4055</v>
      </c>
      <c r="AA4558" s="35">
        <v>4.9697580645161298E-3</v>
      </c>
      <c r="AB4558" s="13"/>
      <c r="AC4558" s="13"/>
      <c r="AD4558" s="13"/>
      <c r="AE4558" s="13"/>
      <c r="AF4558" s="13"/>
    </row>
    <row r="4559" spans="19:32" x14ac:dyDescent="0.35">
      <c r="S4559" s="13"/>
      <c r="T4559" s="16"/>
      <c r="U4559" s="16"/>
      <c r="V4559" s="16"/>
      <c r="W4559" s="13"/>
      <c r="X4559" s="34">
        <v>4555</v>
      </c>
      <c r="Y4559" s="34" t="s">
        <v>2248</v>
      </c>
      <c r="Z4559" s="34" t="s">
        <v>4161</v>
      </c>
      <c r="AA4559" s="35">
        <v>9.6995967741935491E-3</v>
      </c>
      <c r="AB4559" s="13"/>
      <c r="AC4559" s="13"/>
      <c r="AD4559" s="13"/>
      <c r="AE4559" s="13"/>
      <c r="AF4559" s="13"/>
    </row>
    <row r="4560" spans="19:32" x14ac:dyDescent="0.35">
      <c r="S4560" s="13"/>
      <c r="T4560" s="16"/>
      <c r="U4560" s="16"/>
      <c r="V4560" s="16"/>
      <c r="W4560" s="13"/>
      <c r="X4560" s="34">
        <v>4556</v>
      </c>
      <c r="Y4560" s="34" t="s">
        <v>2248</v>
      </c>
      <c r="Z4560" s="34" t="s">
        <v>4053</v>
      </c>
      <c r="AA4560" s="35">
        <v>2.1592741935483873E-2</v>
      </c>
      <c r="AB4560" s="13"/>
      <c r="AC4560" s="13"/>
      <c r="AD4560" s="13"/>
      <c r="AE4560" s="13"/>
      <c r="AF4560" s="13"/>
    </row>
    <row r="4561" spans="19:32" x14ac:dyDescent="0.35">
      <c r="S4561" s="13"/>
      <c r="T4561" s="16"/>
      <c r="U4561" s="16"/>
      <c r="V4561" s="16"/>
      <c r="W4561" s="13"/>
      <c r="X4561" s="47">
        <v>4557</v>
      </c>
      <c r="Y4561" s="47" t="s">
        <v>2248</v>
      </c>
      <c r="Z4561" s="47" t="s">
        <v>4160</v>
      </c>
      <c r="AA4561" s="56">
        <v>1.7102822580645163E-5</v>
      </c>
      <c r="AB4561" s="13"/>
      <c r="AC4561" s="13"/>
      <c r="AD4561" s="13"/>
      <c r="AE4561" s="13"/>
      <c r="AF4561" s="13"/>
    </row>
    <row r="4562" spans="19:32" x14ac:dyDescent="0.35">
      <c r="S4562" s="13"/>
      <c r="T4562" s="16"/>
      <c r="U4562" s="16"/>
      <c r="V4562" s="16"/>
      <c r="W4562" s="13"/>
      <c r="X4562" s="34">
        <v>4558</v>
      </c>
      <c r="Y4562" s="34" t="s">
        <v>2248</v>
      </c>
      <c r="Z4562" s="34" t="s">
        <v>4159</v>
      </c>
      <c r="AA4562" s="35">
        <v>8.0544354838709689E-4</v>
      </c>
      <c r="AB4562" s="13"/>
      <c r="AC4562" s="13"/>
      <c r="AD4562" s="13"/>
      <c r="AE4562" s="13"/>
      <c r="AF4562" s="13"/>
    </row>
    <row r="4563" spans="19:32" x14ac:dyDescent="0.35">
      <c r="S4563" s="13"/>
      <c r="T4563" s="16"/>
      <c r="U4563" s="16"/>
      <c r="V4563" s="16"/>
      <c r="W4563" s="13"/>
      <c r="X4563" s="34">
        <v>4559</v>
      </c>
      <c r="Y4563" s="34" t="s">
        <v>2248</v>
      </c>
      <c r="Z4563" s="34" t="s">
        <v>4052</v>
      </c>
      <c r="AA4563" s="35">
        <v>4.4213709677419361E-2</v>
      </c>
      <c r="AB4563" s="13"/>
      <c r="AC4563" s="13"/>
      <c r="AD4563" s="13"/>
      <c r="AE4563" s="13"/>
      <c r="AF4563" s="13"/>
    </row>
    <row r="4564" spans="19:32" x14ac:dyDescent="0.35">
      <c r="S4564" s="13"/>
      <c r="T4564" s="16"/>
      <c r="U4564" s="16"/>
      <c r="V4564" s="16"/>
      <c r="W4564" s="13"/>
      <c r="X4564" s="34">
        <v>4560</v>
      </c>
      <c r="Y4564" s="34" t="s">
        <v>2248</v>
      </c>
      <c r="Z4564" s="34" t="s">
        <v>4158</v>
      </c>
      <c r="AA4564" s="35">
        <v>3.6673387096774194E-4</v>
      </c>
      <c r="AB4564" s="13"/>
      <c r="AC4564" s="13"/>
      <c r="AD4564" s="13"/>
      <c r="AE4564" s="13"/>
      <c r="AF4564" s="13"/>
    </row>
    <row r="4565" spans="19:32" x14ac:dyDescent="0.35">
      <c r="S4565" s="13"/>
      <c r="T4565" s="16"/>
      <c r="U4565" s="16"/>
      <c r="V4565" s="16"/>
      <c r="W4565" s="13"/>
      <c r="X4565" s="47">
        <v>4561</v>
      </c>
      <c r="Y4565" s="47" t="s">
        <v>2248</v>
      </c>
      <c r="Z4565" s="47" t="s">
        <v>4157</v>
      </c>
      <c r="AA4565" s="56">
        <v>4.9697580645161298E-2</v>
      </c>
      <c r="AB4565" s="13"/>
      <c r="AC4565" s="13"/>
      <c r="AD4565" s="13"/>
      <c r="AE4565" s="13"/>
      <c r="AF4565" s="13"/>
    </row>
    <row r="4566" spans="19:32" x14ac:dyDescent="0.35">
      <c r="S4566" s="13"/>
      <c r="T4566" s="16"/>
      <c r="U4566" s="16"/>
      <c r="V4566" s="16"/>
      <c r="W4566" s="13"/>
      <c r="X4566" s="34">
        <v>4562</v>
      </c>
      <c r="Y4566" s="34" t="s">
        <v>2248</v>
      </c>
      <c r="Z4566" s="34" t="s">
        <v>4156</v>
      </c>
      <c r="AA4566" s="35">
        <v>1.7377016129032261E-4</v>
      </c>
      <c r="AB4566" s="13"/>
      <c r="AC4566" s="13"/>
      <c r="AD4566" s="13"/>
      <c r="AE4566" s="13"/>
      <c r="AF4566" s="13"/>
    </row>
    <row r="4567" spans="19:32" x14ac:dyDescent="0.35">
      <c r="S4567" s="13"/>
      <c r="T4567" s="16"/>
      <c r="U4567" s="16"/>
      <c r="V4567" s="16"/>
      <c r="W4567" s="13"/>
      <c r="X4567" s="34">
        <v>4563</v>
      </c>
      <c r="Y4567" s="34" t="s">
        <v>2248</v>
      </c>
      <c r="Z4567" s="34" t="s">
        <v>4051</v>
      </c>
      <c r="AA4567" s="35">
        <v>5.7237903225806457E-3</v>
      </c>
      <c r="AB4567" s="13"/>
      <c r="AC4567" s="13"/>
      <c r="AD4567" s="13"/>
      <c r="AE4567" s="13"/>
      <c r="AF4567" s="13"/>
    </row>
    <row r="4568" spans="19:32" x14ac:dyDescent="0.35">
      <c r="S4568" s="13"/>
      <c r="T4568" s="16"/>
      <c r="U4568" s="16"/>
      <c r="V4568" s="16"/>
      <c r="W4568" s="13"/>
      <c r="X4568" s="34">
        <v>4564</v>
      </c>
      <c r="Y4568" s="34" t="s">
        <v>2248</v>
      </c>
      <c r="Z4568" s="34" t="s">
        <v>4155</v>
      </c>
      <c r="AA4568" s="35">
        <v>1.5149193548387098E-16</v>
      </c>
      <c r="AB4568" s="13"/>
      <c r="AC4568" s="13"/>
      <c r="AD4568" s="13"/>
      <c r="AE4568" s="13"/>
      <c r="AF4568" s="13"/>
    </row>
    <row r="4569" spans="19:32" x14ac:dyDescent="0.35">
      <c r="S4569" s="13"/>
      <c r="T4569" s="16"/>
      <c r="U4569" s="16"/>
      <c r="V4569" s="16"/>
      <c r="W4569" s="13"/>
      <c r="X4569" s="34">
        <v>4565</v>
      </c>
      <c r="Y4569" s="34" t="s">
        <v>2248</v>
      </c>
      <c r="Z4569" s="34" t="s">
        <v>2446</v>
      </c>
      <c r="AA4569" s="35">
        <v>2.9750000000000002E-2</v>
      </c>
      <c r="AB4569" s="13"/>
      <c r="AC4569" s="13"/>
      <c r="AD4569" s="13"/>
      <c r="AE4569" s="13"/>
      <c r="AF4569" s="13"/>
    </row>
    <row r="4570" spans="19:32" x14ac:dyDescent="0.35">
      <c r="S4570" s="13"/>
      <c r="T4570" s="16"/>
      <c r="U4570" s="16"/>
      <c r="V4570" s="16"/>
      <c r="W4570" s="13"/>
      <c r="X4570" s="34">
        <v>4566</v>
      </c>
      <c r="Y4570" s="34" t="s">
        <v>2248</v>
      </c>
      <c r="Z4570" s="34" t="s">
        <v>4154</v>
      </c>
      <c r="AA4570" s="35">
        <v>1.2270161290322583E-4</v>
      </c>
      <c r="AB4570" s="13"/>
      <c r="AC4570" s="13"/>
      <c r="AD4570" s="13"/>
      <c r="AE4570" s="13"/>
      <c r="AF4570" s="13"/>
    </row>
    <row r="4571" spans="19:32" x14ac:dyDescent="0.35">
      <c r="S4571" s="13"/>
      <c r="T4571" s="16"/>
      <c r="U4571" s="16"/>
      <c r="V4571" s="16"/>
      <c r="W4571" s="13"/>
      <c r="X4571" s="47">
        <v>4567</v>
      </c>
      <c r="Y4571" s="47" t="s">
        <v>2248</v>
      </c>
      <c r="Z4571" s="47" t="s">
        <v>4153</v>
      </c>
      <c r="AA4571" s="56">
        <v>8.6028225806451624E-4</v>
      </c>
      <c r="AB4571" s="13"/>
      <c r="AC4571" s="13"/>
      <c r="AD4571" s="13"/>
      <c r="AE4571" s="13"/>
      <c r="AF4571" s="13"/>
    </row>
    <row r="4572" spans="19:32" x14ac:dyDescent="0.35">
      <c r="S4572" s="13"/>
      <c r="T4572" s="16"/>
      <c r="U4572" s="16"/>
      <c r="V4572" s="16"/>
      <c r="W4572" s="13"/>
      <c r="X4572" s="34">
        <v>4568</v>
      </c>
      <c r="Y4572" s="34" t="s">
        <v>2248</v>
      </c>
      <c r="Z4572" s="34" t="s">
        <v>2443</v>
      </c>
      <c r="AA4572" s="35">
        <v>3.9758064516129035E-3</v>
      </c>
      <c r="AB4572" s="13"/>
      <c r="AC4572" s="13"/>
      <c r="AD4572" s="13"/>
      <c r="AE4572" s="13"/>
      <c r="AF4572" s="13"/>
    </row>
    <row r="4573" spans="19:32" x14ac:dyDescent="0.35">
      <c r="S4573" s="13"/>
      <c r="T4573" s="16"/>
      <c r="U4573" s="16"/>
      <c r="V4573" s="16"/>
      <c r="W4573" s="13"/>
      <c r="X4573" s="34">
        <v>4569</v>
      </c>
      <c r="Y4573" s="34" t="s">
        <v>2248</v>
      </c>
      <c r="Z4573" s="34" t="s">
        <v>4152</v>
      </c>
      <c r="AA4573" s="35">
        <v>1.6108870967741938E-3</v>
      </c>
      <c r="AB4573" s="13"/>
      <c r="AC4573" s="13"/>
      <c r="AD4573" s="13"/>
      <c r="AE4573" s="13"/>
      <c r="AF4573" s="13"/>
    </row>
    <row r="4574" spans="19:32" x14ac:dyDescent="0.35">
      <c r="S4574" s="13"/>
      <c r="T4574" s="16"/>
      <c r="U4574" s="16"/>
      <c r="V4574" s="16"/>
      <c r="W4574" s="13"/>
      <c r="X4574" s="34">
        <v>4570</v>
      </c>
      <c r="Y4574" s="34" t="s">
        <v>2248</v>
      </c>
      <c r="Z4574" s="34" t="s">
        <v>4047</v>
      </c>
      <c r="AA4574" s="35">
        <v>6.2721774193548394E-3</v>
      </c>
      <c r="AB4574" s="13"/>
      <c r="AC4574" s="13"/>
      <c r="AD4574" s="13"/>
      <c r="AE4574" s="13"/>
      <c r="AF4574" s="13"/>
    </row>
    <row r="4575" spans="19:32" x14ac:dyDescent="0.35">
      <c r="S4575" s="13"/>
      <c r="T4575" s="16"/>
      <c r="U4575" s="16"/>
      <c r="V4575" s="16"/>
      <c r="W4575" s="13"/>
      <c r="X4575" s="34">
        <v>4571</v>
      </c>
      <c r="Y4575" s="34" t="s">
        <v>2248</v>
      </c>
      <c r="Z4575" s="34" t="s">
        <v>4151</v>
      </c>
      <c r="AA4575" s="35">
        <v>3.7016129032258069E-7</v>
      </c>
      <c r="AB4575" s="13"/>
      <c r="AC4575" s="13"/>
      <c r="AD4575" s="13"/>
      <c r="AE4575" s="13"/>
      <c r="AF4575" s="13"/>
    </row>
    <row r="4576" spans="19:32" x14ac:dyDescent="0.35">
      <c r="S4576" s="13"/>
      <c r="T4576" s="16"/>
      <c r="U4576" s="16"/>
      <c r="V4576" s="16"/>
      <c r="W4576" s="13"/>
      <c r="X4576" s="34">
        <v>4572</v>
      </c>
      <c r="Y4576" s="34" t="s">
        <v>2248</v>
      </c>
      <c r="Z4576" s="34" t="s">
        <v>4150</v>
      </c>
      <c r="AA4576" s="35">
        <v>4.0786290322580646E-2</v>
      </c>
      <c r="AB4576" s="13"/>
      <c r="AC4576" s="13"/>
      <c r="AD4576" s="13"/>
      <c r="AE4576" s="13"/>
      <c r="AF4576" s="13"/>
    </row>
    <row r="4577" spans="19:32" x14ac:dyDescent="0.35">
      <c r="S4577" s="13"/>
      <c r="T4577" s="16"/>
      <c r="U4577" s="16"/>
      <c r="V4577" s="16"/>
      <c r="W4577" s="13"/>
      <c r="X4577" s="34">
        <v>4573</v>
      </c>
      <c r="Y4577" s="34" t="s">
        <v>2248</v>
      </c>
      <c r="Z4577" s="34" t="s">
        <v>4046</v>
      </c>
      <c r="AA4577" s="35">
        <v>8.4657258064516142E-2</v>
      </c>
      <c r="AB4577" s="13"/>
      <c r="AC4577" s="13"/>
      <c r="AD4577" s="13"/>
      <c r="AE4577" s="13"/>
      <c r="AF4577" s="13"/>
    </row>
    <row r="4578" spans="19:32" x14ac:dyDescent="0.35">
      <c r="S4578" s="13"/>
      <c r="T4578" s="16"/>
      <c r="U4578" s="16"/>
      <c r="V4578" s="16"/>
      <c r="W4578" s="13"/>
      <c r="X4578" s="34">
        <v>4574</v>
      </c>
      <c r="Y4578" s="34" t="s">
        <v>2248</v>
      </c>
      <c r="Z4578" s="34" t="s">
        <v>4149</v>
      </c>
      <c r="AA4578" s="35">
        <v>1.4875000000000001E-3</v>
      </c>
      <c r="AB4578" s="13"/>
      <c r="AC4578" s="13"/>
      <c r="AD4578" s="13"/>
      <c r="AE4578" s="13"/>
      <c r="AF4578" s="13"/>
    </row>
    <row r="4579" spans="19:32" x14ac:dyDescent="0.35">
      <c r="S4579" s="13"/>
      <c r="T4579" s="16"/>
      <c r="U4579" s="16"/>
      <c r="V4579" s="16"/>
      <c r="W4579" s="13"/>
      <c r="X4579" s="34">
        <v>4575</v>
      </c>
      <c r="Y4579" s="34" t="s">
        <v>2248</v>
      </c>
      <c r="Z4579" s="34" t="s">
        <v>4044</v>
      </c>
      <c r="AA4579" s="35">
        <v>0.41814516129032259</v>
      </c>
      <c r="AB4579" s="13"/>
      <c r="AC4579" s="13"/>
      <c r="AD4579" s="13"/>
      <c r="AE4579" s="13"/>
      <c r="AF4579" s="13"/>
    </row>
    <row r="4580" spans="19:32" x14ac:dyDescent="0.35">
      <c r="S4580" s="13"/>
      <c r="T4580" s="16"/>
      <c r="U4580" s="16"/>
      <c r="V4580" s="16"/>
      <c r="W4580" s="13"/>
      <c r="X4580" s="34">
        <v>4576</v>
      </c>
      <c r="Y4580" s="34" t="s">
        <v>2248</v>
      </c>
      <c r="Z4580" s="34" t="s">
        <v>4148</v>
      </c>
      <c r="AA4580" s="35">
        <v>4.010080645161291E-2</v>
      </c>
      <c r="AB4580" s="13"/>
      <c r="AC4580" s="13"/>
      <c r="AD4580" s="13"/>
      <c r="AE4580" s="13"/>
      <c r="AF4580" s="13"/>
    </row>
    <row r="4581" spans="19:32" x14ac:dyDescent="0.35">
      <c r="S4581" s="13"/>
      <c r="T4581" s="16"/>
      <c r="U4581" s="16"/>
      <c r="V4581" s="16"/>
      <c r="W4581" s="13"/>
      <c r="X4581" s="47">
        <v>4577</v>
      </c>
      <c r="Y4581" s="47" t="s">
        <v>2248</v>
      </c>
      <c r="Z4581" s="47" t="s">
        <v>4147</v>
      </c>
      <c r="AA4581" s="56">
        <v>5.0383064516129034E-5</v>
      </c>
      <c r="AB4581" s="13"/>
      <c r="AC4581" s="13"/>
      <c r="AD4581" s="13"/>
      <c r="AE4581" s="13"/>
      <c r="AF4581" s="13"/>
    </row>
    <row r="4582" spans="19:32" x14ac:dyDescent="0.35">
      <c r="S4582" s="13"/>
      <c r="T4582" s="16"/>
      <c r="U4582" s="16"/>
      <c r="V4582" s="16"/>
      <c r="W4582" s="13"/>
      <c r="X4582" s="34">
        <v>4578</v>
      </c>
      <c r="Y4582" s="34" t="s">
        <v>2248</v>
      </c>
      <c r="Z4582" s="34" t="s">
        <v>2435</v>
      </c>
      <c r="AA4582" s="35">
        <v>1.0590725806451614E-5</v>
      </c>
      <c r="AB4582" s="13"/>
      <c r="AC4582" s="13"/>
      <c r="AD4582" s="13"/>
      <c r="AE4582" s="13"/>
      <c r="AF4582" s="13"/>
    </row>
    <row r="4583" spans="19:32" x14ac:dyDescent="0.35">
      <c r="S4583" s="13"/>
      <c r="T4583" s="16"/>
      <c r="U4583" s="16"/>
      <c r="V4583" s="16"/>
      <c r="W4583" s="13"/>
      <c r="X4583" s="47">
        <v>4579</v>
      </c>
      <c r="Y4583" s="47" t="s">
        <v>2248</v>
      </c>
      <c r="Z4583" s="47" t="s">
        <v>2512</v>
      </c>
      <c r="AA4583" s="56">
        <v>0</v>
      </c>
      <c r="AB4583" s="13"/>
      <c r="AC4583" s="13"/>
      <c r="AD4583" s="13"/>
      <c r="AE4583" s="13"/>
      <c r="AF4583" s="13"/>
    </row>
    <row r="4584" spans="19:32" x14ac:dyDescent="0.35">
      <c r="S4584" s="13"/>
      <c r="T4584" s="16"/>
      <c r="U4584" s="16"/>
      <c r="V4584" s="16"/>
      <c r="W4584" s="13"/>
      <c r="X4584" s="34">
        <v>4580</v>
      </c>
      <c r="Y4584" s="34" t="s">
        <v>2248</v>
      </c>
      <c r="Z4584" s="34" t="s">
        <v>2512</v>
      </c>
      <c r="AA4584" s="35">
        <v>0.92883064516129044</v>
      </c>
      <c r="AB4584" s="13"/>
      <c r="AC4584" s="13"/>
      <c r="AD4584" s="13"/>
      <c r="AE4584" s="13"/>
      <c r="AF4584" s="13"/>
    </row>
    <row r="4585" spans="19:32" x14ac:dyDescent="0.35">
      <c r="S4585" s="13"/>
      <c r="T4585" s="16"/>
      <c r="U4585" s="16"/>
      <c r="V4585" s="16"/>
      <c r="W4585" s="13"/>
      <c r="X4585" s="34">
        <v>4581</v>
      </c>
      <c r="Y4585" s="34" t="s">
        <v>2248</v>
      </c>
      <c r="Z4585" s="34" t="s">
        <v>4146</v>
      </c>
      <c r="AA4585" s="35">
        <v>1.2201612903225808E-6</v>
      </c>
      <c r="AB4585" s="13"/>
      <c r="AC4585" s="13"/>
      <c r="AD4585" s="13"/>
      <c r="AE4585" s="13"/>
      <c r="AF4585" s="13"/>
    </row>
    <row r="4586" spans="19:32" x14ac:dyDescent="0.35">
      <c r="S4586" s="13"/>
      <c r="T4586" s="16"/>
      <c r="U4586" s="16"/>
      <c r="V4586" s="16"/>
      <c r="W4586" s="13"/>
      <c r="X4586" s="34">
        <v>4582</v>
      </c>
      <c r="Y4586" s="34" t="s">
        <v>2248</v>
      </c>
      <c r="Z4586" s="34" t="s">
        <v>4041</v>
      </c>
      <c r="AA4586" s="35">
        <v>2.2243951612903226E-2</v>
      </c>
      <c r="AB4586" s="13"/>
      <c r="AC4586" s="13"/>
      <c r="AD4586" s="13"/>
      <c r="AE4586" s="13"/>
      <c r="AF4586" s="13"/>
    </row>
    <row r="4587" spans="19:32" x14ac:dyDescent="0.35">
      <c r="S4587" s="13"/>
      <c r="T4587" s="16"/>
      <c r="U4587" s="16"/>
      <c r="V4587" s="16"/>
      <c r="W4587" s="13"/>
      <c r="X4587" s="47">
        <v>4583</v>
      </c>
      <c r="Y4587" s="47" t="s">
        <v>2248</v>
      </c>
      <c r="Z4587" s="47" t="s">
        <v>2510</v>
      </c>
      <c r="AA4587" s="56">
        <v>0</v>
      </c>
      <c r="AB4587" s="13"/>
      <c r="AC4587" s="13"/>
      <c r="AD4587" s="13"/>
      <c r="AE4587" s="13"/>
      <c r="AF4587" s="13"/>
    </row>
    <row r="4588" spans="19:32" x14ac:dyDescent="0.35">
      <c r="S4588" s="13"/>
      <c r="T4588" s="16"/>
      <c r="U4588" s="16"/>
      <c r="V4588" s="16"/>
      <c r="W4588" s="13"/>
      <c r="X4588" s="34">
        <v>4584</v>
      </c>
      <c r="Y4588" s="34" t="s">
        <v>2248</v>
      </c>
      <c r="Z4588" s="34" t="s">
        <v>4040</v>
      </c>
      <c r="AA4588" s="35">
        <v>5.1411290322580649E-4</v>
      </c>
      <c r="AB4588" s="13"/>
      <c r="AC4588" s="13"/>
      <c r="AD4588" s="13"/>
      <c r="AE4588" s="13"/>
      <c r="AF4588" s="13"/>
    </row>
    <row r="4589" spans="19:32" x14ac:dyDescent="0.35">
      <c r="S4589" s="13"/>
      <c r="T4589" s="16"/>
      <c r="U4589" s="16"/>
      <c r="V4589" s="16"/>
      <c r="W4589" s="13"/>
      <c r="X4589" s="47">
        <v>4585</v>
      </c>
      <c r="Y4589" s="47" t="s">
        <v>2248</v>
      </c>
      <c r="Z4589" s="47" t="s">
        <v>2509</v>
      </c>
      <c r="AA4589" s="56">
        <v>4.4712000000000002E-2</v>
      </c>
      <c r="AB4589" s="13"/>
      <c r="AC4589" s="13"/>
      <c r="AD4589" s="13"/>
      <c r="AE4589" s="13"/>
      <c r="AF4589" s="13"/>
    </row>
    <row r="4590" spans="19:32" x14ac:dyDescent="0.35">
      <c r="S4590" s="13"/>
      <c r="T4590" s="16"/>
      <c r="U4590" s="16"/>
      <c r="V4590" s="16"/>
      <c r="W4590" s="13"/>
      <c r="X4590" s="47">
        <v>4586</v>
      </c>
      <c r="Y4590" s="47" t="s">
        <v>2248</v>
      </c>
      <c r="Z4590" s="47" t="s">
        <v>4145</v>
      </c>
      <c r="AA4590" s="56">
        <v>4.3870967741935489E-4</v>
      </c>
      <c r="AB4590" s="13"/>
      <c r="AC4590" s="13"/>
      <c r="AD4590" s="13"/>
      <c r="AE4590" s="13"/>
      <c r="AF4590" s="13"/>
    </row>
    <row r="4591" spans="19:32" x14ac:dyDescent="0.35">
      <c r="S4591" s="13"/>
      <c r="T4591" s="16"/>
      <c r="U4591" s="16"/>
      <c r="V4591" s="16"/>
      <c r="W4591" s="13"/>
      <c r="X4591" s="34">
        <v>4587</v>
      </c>
      <c r="Y4591" s="34" t="s">
        <v>2248</v>
      </c>
      <c r="Z4591" s="34" t="s">
        <v>2509</v>
      </c>
      <c r="AA4591" s="35">
        <v>1.6931451612903227E-3</v>
      </c>
      <c r="AB4591" s="13"/>
      <c r="AC4591" s="13"/>
      <c r="AD4591" s="13"/>
      <c r="AE4591" s="13"/>
      <c r="AF4591" s="13"/>
    </row>
    <row r="4592" spans="19:32" x14ac:dyDescent="0.35">
      <c r="S4592" s="13"/>
      <c r="T4592" s="16"/>
      <c r="U4592" s="16"/>
      <c r="V4592" s="16"/>
      <c r="W4592" s="13"/>
      <c r="X4592" s="34">
        <v>4588</v>
      </c>
      <c r="Y4592" s="34" t="s">
        <v>2248</v>
      </c>
      <c r="Z4592" s="34" t="s">
        <v>4038</v>
      </c>
      <c r="AA4592" s="35">
        <v>3.094959677419355E-3</v>
      </c>
      <c r="AB4592" s="13"/>
      <c r="AC4592" s="13"/>
      <c r="AD4592" s="13"/>
      <c r="AE4592" s="13"/>
      <c r="AF4592" s="13"/>
    </row>
    <row r="4593" spans="19:32" x14ac:dyDescent="0.35">
      <c r="S4593" s="13"/>
      <c r="T4593" s="16"/>
      <c r="U4593" s="16"/>
      <c r="V4593" s="16"/>
      <c r="W4593" s="13"/>
      <c r="X4593" s="34">
        <v>4589</v>
      </c>
      <c r="Y4593" s="34" t="s">
        <v>2248</v>
      </c>
      <c r="Z4593" s="34" t="s">
        <v>4144</v>
      </c>
      <c r="AA4593" s="35">
        <v>8.9455645161290334E-4</v>
      </c>
      <c r="AB4593" s="13"/>
      <c r="AC4593" s="13"/>
      <c r="AD4593" s="13"/>
      <c r="AE4593" s="13"/>
      <c r="AF4593" s="13"/>
    </row>
    <row r="4594" spans="19:32" x14ac:dyDescent="0.35">
      <c r="S4594" s="13"/>
      <c r="T4594" s="16"/>
      <c r="U4594" s="16"/>
      <c r="V4594" s="16"/>
      <c r="W4594" s="13"/>
      <c r="X4594" s="34">
        <v>4590</v>
      </c>
      <c r="Y4594" s="34" t="s">
        <v>2248</v>
      </c>
      <c r="Z4594" s="34" t="s">
        <v>4037</v>
      </c>
      <c r="AA4594" s="35">
        <v>3.7358870967741943E-5</v>
      </c>
      <c r="AB4594" s="13"/>
      <c r="AC4594" s="13"/>
      <c r="AD4594" s="13"/>
      <c r="AE4594" s="13"/>
      <c r="AF4594" s="13"/>
    </row>
    <row r="4595" spans="19:32" x14ac:dyDescent="0.35">
      <c r="S4595" s="13"/>
      <c r="T4595" s="16"/>
      <c r="U4595" s="16"/>
      <c r="V4595" s="16"/>
      <c r="W4595" s="13"/>
      <c r="X4595" s="34">
        <v>4591</v>
      </c>
      <c r="Y4595" s="34" t="s">
        <v>2248</v>
      </c>
      <c r="Z4595" s="34" t="s">
        <v>4143</v>
      </c>
      <c r="AA4595" s="35">
        <v>5.8266129032258064E-8</v>
      </c>
      <c r="AB4595" s="13"/>
      <c r="AC4595" s="13"/>
      <c r="AD4595" s="13"/>
      <c r="AE4595" s="13"/>
      <c r="AF4595" s="13"/>
    </row>
    <row r="4596" spans="19:32" x14ac:dyDescent="0.35">
      <c r="S4596" s="13"/>
      <c r="T4596" s="16"/>
      <c r="U4596" s="16"/>
      <c r="V4596" s="16"/>
      <c r="W4596" s="13"/>
      <c r="X4596" s="47">
        <v>4592</v>
      </c>
      <c r="Y4596" s="47" t="s">
        <v>2248</v>
      </c>
      <c r="Z4596" s="47" t="s">
        <v>2507</v>
      </c>
      <c r="AA4596" s="56">
        <v>0.47748000000000002</v>
      </c>
      <c r="AB4596" s="13"/>
      <c r="AC4596" s="13"/>
      <c r="AD4596" s="13"/>
      <c r="AE4596" s="13"/>
      <c r="AF4596" s="13"/>
    </row>
    <row r="4597" spans="19:32" x14ac:dyDescent="0.35">
      <c r="S4597" s="13"/>
      <c r="T4597" s="16"/>
      <c r="U4597" s="16"/>
      <c r="V4597" s="16"/>
      <c r="W4597" s="13"/>
      <c r="X4597" s="34">
        <v>4593</v>
      </c>
      <c r="Y4597" s="34" t="s">
        <v>2248</v>
      </c>
      <c r="Z4597" s="34" t="s">
        <v>4035</v>
      </c>
      <c r="AA4597" s="35">
        <v>3.3760080645161292E-3</v>
      </c>
      <c r="AB4597" s="13"/>
      <c r="AC4597" s="13"/>
      <c r="AD4597" s="13"/>
      <c r="AE4597" s="13"/>
      <c r="AF4597" s="13"/>
    </row>
    <row r="4598" spans="19:32" x14ac:dyDescent="0.35">
      <c r="S4598" s="13"/>
      <c r="T4598" s="16"/>
      <c r="U4598" s="16"/>
      <c r="V4598" s="16"/>
      <c r="W4598" s="13"/>
      <c r="X4598" s="47">
        <v>4594</v>
      </c>
      <c r="Y4598" s="47" t="s">
        <v>2248</v>
      </c>
      <c r="Z4598" s="47" t="s">
        <v>2506</v>
      </c>
      <c r="AA4598" s="56">
        <v>0.10764</v>
      </c>
      <c r="AB4598" s="13"/>
      <c r="AC4598" s="13"/>
      <c r="AD4598" s="13"/>
      <c r="AE4598" s="13"/>
      <c r="AF4598" s="13"/>
    </row>
    <row r="4599" spans="19:32" x14ac:dyDescent="0.35">
      <c r="S4599" s="13"/>
      <c r="T4599" s="16"/>
      <c r="U4599" s="16"/>
      <c r="V4599" s="16"/>
      <c r="W4599" s="13"/>
      <c r="X4599" s="34">
        <v>4595</v>
      </c>
      <c r="Y4599" s="34" t="s">
        <v>2248</v>
      </c>
      <c r="Z4599" s="34" t="s">
        <v>4034</v>
      </c>
      <c r="AA4599" s="35">
        <v>2.0256048387096777E-2</v>
      </c>
      <c r="AB4599" s="13"/>
      <c r="AC4599" s="13"/>
      <c r="AD4599" s="13"/>
      <c r="AE4599" s="13"/>
      <c r="AF4599" s="13"/>
    </row>
    <row r="4600" spans="19:32" x14ac:dyDescent="0.35">
      <c r="S4600" s="13"/>
      <c r="T4600" s="16"/>
      <c r="U4600" s="16"/>
      <c r="V4600" s="16"/>
      <c r="W4600" s="13"/>
      <c r="X4600" s="34">
        <v>4596</v>
      </c>
      <c r="Y4600" s="34" t="s">
        <v>2248</v>
      </c>
      <c r="Z4600" s="34" t="s">
        <v>4142</v>
      </c>
      <c r="AA4600" s="35">
        <v>3.6673387096774197E-5</v>
      </c>
      <c r="AB4600" s="13"/>
      <c r="AC4600" s="13"/>
      <c r="AD4600" s="13"/>
      <c r="AE4600" s="13"/>
      <c r="AF4600" s="13"/>
    </row>
    <row r="4601" spans="19:32" x14ac:dyDescent="0.35">
      <c r="S4601" s="13"/>
      <c r="T4601" s="16"/>
      <c r="U4601" s="16"/>
      <c r="V4601" s="16"/>
      <c r="W4601" s="13"/>
      <c r="X4601" s="47">
        <v>4597</v>
      </c>
      <c r="Y4601" s="47" t="s">
        <v>2248</v>
      </c>
      <c r="Z4601" s="47" t="s">
        <v>3142</v>
      </c>
      <c r="AA4601" s="56">
        <v>3.804435483870968E-6</v>
      </c>
      <c r="AB4601" s="13"/>
      <c r="AC4601" s="13"/>
      <c r="AD4601" s="13"/>
      <c r="AE4601" s="13"/>
      <c r="AF4601" s="13"/>
    </row>
    <row r="4602" spans="19:32" x14ac:dyDescent="0.35">
      <c r="S4602" s="13"/>
      <c r="T4602" s="16"/>
      <c r="U4602" s="16"/>
      <c r="V4602" s="16"/>
      <c r="W4602" s="13"/>
      <c r="X4602" s="34">
        <v>4598</v>
      </c>
      <c r="Y4602" s="34" t="s">
        <v>2248</v>
      </c>
      <c r="Z4602" s="34" t="s">
        <v>2431</v>
      </c>
      <c r="AA4602" s="35">
        <v>0.12612903225806452</v>
      </c>
      <c r="AB4602" s="13"/>
      <c r="AC4602" s="13"/>
      <c r="AD4602" s="13"/>
      <c r="AE4602" s="13"/>
      <c r="AF4602" s="13"/>
    </row>
    <row r="4603" spans="19:32" x14ac:dyDescent="0.35">
      <c r="S4603" s="13"/>
      <c r="T4603" s="16"/>
      <c r="U4603" s="16"/>
      <c r="V4603" s="16"/>
      <c r="W4603" s="13"/>
      <c r="X4603" s="47">
        <v>4599</v>
      </c>
      <c r="Y4603" s="47" t="s">
        <v>2248</v>
      </c>
      <c r="Z4603" s="47" t="s">
        <v>2504</v>
      </c>
      <c r="AA4603" s="56">
        <v>9.0895999999999989E-4</v>
      </c>
      <c r="AB4603" s="13"/>
      <c r="AC4603" s="13"/>
      <c r="AD4603" s="13"/>
      <c r="AE4603" s="13"/>
      <c r="AF4603" s="13"/>
    </row>
    <row r="4604" spans="19:32" x14ac:dyDescent="0.35">
      <c r="S4604" s="13"/>
      <c r="T4604" s="16"/>
      <c r="U4604" s="16"/>
      <c r="V4604" s="16"/>
      <c r="W4604" s="13"/>
      <c r="X4604" s="34">
        <v>4600</v>
      </c>
      <c r="Y4604" s="34" t="s">
        <v>2248</v>
      </c>
      <c r="Z4604" s="34" t="s">
        <v>2504</v>
      </c>
      <c r="AA4604" s="35">
        <v>1.2030241935483871E-4</v>
      </c>
      <c r="AB4604" s="13"/>
      <c r="AC4604" s="13"/>
      <c r="AD4604" s="13"/>
      <c r="AE4604" s="13"/>
      <c r="AF4604" s="13"/>
    </row>
    <row r="4605" spans="19:32" x14ac:dyDescent="0.35">
      <c r="S4605" s="13"/>
      <c r="T4605" s="16"/>
      <c r="U4605" s="16"/>
      <c r="V4605" s="16"/>
      <c r="W4605" s="13"/>
      <c r="X4605" s="34">
        <v>4601</v>
      </c>
      <c r="Y4605" s="34" t="s">
        <v>2248</v>
      </c>
      <c r="Z4605" s="34" t="s">
        <v>4031</v>
      </c>
      <c r="AA4605" s="35">
        <v>2.7625000000000002E-4</v>
      </c>
      <c r="AB4605" s="13"/>
      <c r="AC4605" s="13"/>
      <c r="AD4605" s="13"/>
      <c r="AE4605" s="13"/>
      <c r="AF4605" s="13"/>
    </row>
    <row r="4606" spans="19:32" x14ac:dyDescent="0.35">
      <c r="S4606" s="13"/>
      <c r="T4606" s="16"/>
      <c r="U4606" s="16"/>
      <c r="V4606" s="16"/>
      <c r="W4606" s="13"/>
      <c r="X4606" s="47">
        <v>4602</v>
      </c>
      <c r="Y4606" s="47" t="s">
        <v>2248</v>
      </c>
      <c r="Z4606" s="47" t="s">
        <v>4141</v>
      </c>
      <c r="AA4606" s="56">
        <v>3.4959677419354838E-6</v>
      </c>
      <c r="AB4606" s="13"/>
      <c r="AC4606" s="13"/>
      <c r="AD4606" s="13"/>
      <c r="AE4606" s="13"/>
      <c r="AF4606" s="13"/>
    </row>
    <row r="4607" spans="19:32" x14ac:dyDescent="0.35">
      <c r="S4607" s="13"/>
      <c r="T4607" s="16"/>
      <c r="U4607" s="16"/>
      <c r="V4607" s="16"/>
      <c r="W4607" s="13"/>
      <c r="X4607" s="34">
        <v>4603</v>
      </c>
      <c r="Y4607" s="34" t="s">
        <v>2248</v>
      </c>
      <c r="Z4607" s="34" t="s">
        <v>4140</v>
      </c>
      <c r="AA4607" s="35">
        <v>1.665725806451613E-2</v>
      </c>
      <c r="AB4607" s="13"/>
      <c r="AC4607" s="13"/>
      <c r="AD4607" s="13"/>
      <c r="AE4607" s="13"/>
      <c r="AF4607" s="13"/>
    </row>
    <row r="4608" spans="19:32" x14ac:dyDescent="0.35">
      <c r="S4608" s="13"/>
      <c r="T4608" s="16"/>
      <c r="U4608" s="16"/>
      <c r="V4608" s="16"/>
      <c r="W4608" s="13"/>
      <c r="X4608" s="34">
        <v>4604</v>
      </c>
      <c r="Y4608" s="34" t="s">
        <v>2248</v>
      </c>
      <c r="Z4608" s="34" t="s">
        <v>4030</v>
      </c>
      <c r="AA4608" s="35">
        <v>3.5987903225806452E-2</v>
      </c>
      <c r="AB4608" s="13"/>
      <c r="AC4608" s="13"/>
      <c r="AD4608" s="13"/>
      <c r="AE4608" s="13"/>
      <c r="AF4608" s="13"/>
    </row>
    <row r="4609" spans="19:32" x14ac:dyDescent="0.35">
      <c r="S4609" s="13"/>
      <c r="T4609" s="16"/>
      <c r="U4609" s="16"/>
      <c r="V4609" s="16"/>
      <c r="W4609" s="13"/>
      <c r="X4609" s="47">
        <v>4605</v>
      </c>
      <c r="Y4609" s="47" t="s">
        <v>2248</v>
      </c>
      <c r="Z4609" s="47" t="s">
        <v>2502</v>
      </c>
      <c r="AA4609" s="56">
        <v>0</v>
      </c>
      <c r="AB4609" s="13"/>
      <c r="AC4609" s="13"/>
      <c r="AD4609" s="13"/>
      <c r="AE4609" s="13"/>
      <c r="AF4609" s="13"/>
    </row>
    <row r="4610" spans="19:32" x14ac:dyDescent="0.35">
      <c r="S4610" s="13"/>
      <c r="T4610" s="16"/>
      <c r="U4610" s="16"/>
      <c r="V4610" s="16"/>
      <c r="W4610" s="13"/>
      <c r="X4610" s="34">
        <v>4606</v>
      </c>
      <c r="Y4610" s="34" t="s">
        <v>2248</v>
      </c>
      <c r="Z4610" s="34" t="s">
        <v>2502</v>
      </c>
      <c r="AA4610" s="35">
        <v>1.2784274193548388E-3</v>
      </c>
      <c r="AB4610" s="13"/>
      <c r="AC4610" s="13"/>
      <c r="AD4610" s="13"/>
      <c r="AE4610" s="13"/>
      <c r="AF4610" s="13"/>
    </row>
    <row r="4611" spans="19:32" x14ac:dyDescent="0.35">
      <c r="S4611" s="13"/>
      <c r="T4611" s="16"/>
      <c r="U4611" s="16"/>
      <c r="V4611" s="16"/>
      <c r="W4611" s="13"/>
      <c r="X4611" s="47">
        <v>4607</v>
      </c>
      <c r="Y4611" s="47" t="s">
        <v>2248</v>
      </c>
      <c r="Z4611" s="47" t="s">
        <v>4139</v>
      </c>
      <c r="AA4611" s="56">
        <v>5.0383064516129034E-5</v>
      </c>
      <c r="AB4611" s="13"/>
      <c r="AC4611" s="13"/>
      <c r="AD4611" s="13"/>
      <c r="AE4611" s="13"/>
      <c r="AF4611" s="13"/>
    </row>
    <row r="4612" spans="19:32" x14ac:dyDescent="0.35">
      <c r="S4612" s="13"/>
      <c r="T4612" s="16"/>
      <c r="U4612" s="16"/>
      <c r="V4612" s="16"/>
      <c r="W4612" s="13"/>
      <c r="X4612" s="34">
        <v>4608</v>
      </c>
      <c r="Y4612" s="34" t="s">
        <v>2248</v>
      </c>
      <c r="Z4612" s="34" t="s">
        <v>4028</v>
      </c>
      <c r="AA4612" s="35">
        <v>3.461693548387097</v>
      </c>
      <c r="AB4612" s="13"/>
      <c r="AC4612" s="13"/>
      <c r="AD4612" s="13"/>
      <c r="AE4612" s="13"/>
      <c r="AF4612" s="13"/>
    </row>
    <row r="4613" spans="19:32" x14ac:dyDescent="0.35">
      <c r="S4613" s="13"/>
      <c r="T4613" s="16"/>
      <c r="U4613" s="16"/>
      <c r="V4613" s="16"/>
      <c r="W4613" s="13"/>
      <c r="X4613" s="34">
        <v>4609</v>
      </c>
      <c r="Y4613" s="34" t="s">
        <v>2248</v>
      </c>
      <c r="Z4613" s="34" t="s">
        <v>4138</v>
      </c>
      <c r="AA4613" s="35">
        <v>1.7034274193548388E-2</v>
      </c>
      <c r="AB4613" s="13"/>
      <c r="AC4613" s="13"/>
      <c r="AD4613" s="13"/>
      <c r="AE4613" s="13"/>
      <c r="AF4613" s="13"/>
    </row>
    <row r="4614" spans="19:32" x14ac:dyDescent="0.35">
      <c r="S4614" s="13"/>
      <c r="T4614" s="16"/>
      <c r="U4614" s="16"/>
      <c r="V4614" s="16"/>
      <c r="W4614" s="13"/>
      <c r="X4614" s="34">
        <v>4610</v>
      </c>
      <c r="Y4614" s="34" t="s">
        <v>2248</v>
      </c>
      <c r="Z4614" s="34" t="s">
        <v>2426</v>
      </c>
      <c r="AA4614" s="35">
        <v>0.3530241935483871</v>
      </c>
      <c r="AB4614" s="13"/>
      <c r="AC4614" s="13"/>
      <c r="AD4614" s="13"/>
      <c r="AE4614" s="13"/>
      <c r="AF4614" s="13"/>
    </row>
    <row r="4615" spans="19:32" x14ac:dyDescent="0.35">
      <c r="S4615" s="13"/>
      <c r="T4615" s="16"/>
      <c r="U4615" s="16"/>
      <c r="V4615" s="16"/>
      <c r="W4615" s="13"/>
      <c r="X4615" s="34">
        <v>4611</v>
      </c>
      <c r="Y4615" s="34" t="s">
        <v>2248</v>
      </c>
      <c r="Z4615" s="34" t="s">
        <v>4137</v>
      </c>
      <c r="AA4615" s="35">
        <v>1.9879032258064517E-3</v>
      </c>
      <c r="AB4615" s="13"/>
      <c r="AC4615" s="13"/>
      <c r="AD4615" s="13"/>
      <c r="AE4615" s="13"/>
      <c r="AF4615" s="13"/>
    </row>
    <row r="4616" spans="19:32" x14ac:dyDescent="0.35">
      <c r="S4616" s="13"/>
      <c r="T4616" s="16"/>
      <c r="U4616" s="16"/>
      <c r="V4616" s="16"/>
      <c r="W4616" s="13"/>
      <c r="X4616" s="47">
        <v>4612</v>
      </c>
      <c r="Y4616" s="47" t="s">
        <v>2248</v>
      </c>
      <c r="Z4616" s="47" t="s">
        <v>4136</v>
      </c>
      <c r="AA4616" s="56">
        <v>7.0604838709677431E-2</v>
      </c>
      <c r="AB4616" s="13"/>
      <c r="AC4616" s="13"/>
      <c r="AD4616" s="13"/>
      <c r="AE4616" s="13"/>
      <c r="AF4616" s="13"/>
    </row>
    <row r="4617" spans="19:32" x14ac:dyDescent="0.35">
      <c r="S4617" s="13"/>
      <c r="T4617" s="16"/>
      <c r="U4617" s="16"/>
      <c r="V4617" s="16"/>
      <c r="W4617" s="13"/>
      <c r="X4617" s="34">
        <v>4613</v>
      </c>
      <c r="Y4617" s="34" t="s">
        <v>2248</v>
      </c>
      <c r="Z4617" s="34" t="s">
        <v>4026</v>
      </c>
      <c r="AA4617" s="35">
        <v>4.558467741935484E-2</v>
      </c>
      <c r="AB4617" s="13"/>
      <c r="AC4617" s="13"/>
      <c r="AD4617" s="13"/>
      <c r="AE4617" s="13"/>
      <c r="AF4617" s="13"/>
    </row>
    <row r="4618" spans="19:32" x14ac:dyDescent="0.35">
      <c r="S4618" s="13"/>
      <c r="T4618" s="16"/>
      <c r="U4618" s="16"/>
      <c r="V4618" s="16"/>
      <c r="W4618" s="13"/>
      <c r="X4618" s="47">
        <v>4614</v>
      </c>
      <c r="Y4618" s="47" t="s">
        <v>2248</v>
      </c>
      <c r="Z4618" s="47" t="s">
        <v>2501</v>
      </c>
      <c r="AA4618" s="56">
        <v>21.436</v>
      </c>
      <c r="AB4618" s="13"/>
      <c r="AC4618" s="13"/>
      <c r="AD4618" s="13"/>
      <c r="AE4618" s="13"/>
      <c r="AF4618" s="13"/>
    </row>
    <row r="4619" spans="19:32" x14ac:dyDescent="0.35">
      <c r="S4619" s="13"/>
      <c r="T4619" s="16"/>
      <c r="U4619" s="16"/>
      <c r="V4619" s="16"/>
      <c r="W4619" s="13"/>
      <c r="X4619" s="34">
        <v>4615</v>
      </c>
      <c r="Y4619" s="34" t="s">
        <v>2248</v>
      </c>
      <c r="Z4619" s="34" t="s">
        <v>4024</v>
      </c>
      <c r="AA4619" s="35">
        <v>3.3211693548387101E-5</v>
      </c>
      <c r="AB4619" s="13"/>
      <c r="AC4619" s="13"/>
      <c r="AD4619" s="13"/>
      <c r="AE4619" s="13"/>
      <c r="AF4619" s="13"/>
    </row>
    <row r="4620" spans="19:32" x14ac:dyDescent="0.35">
      <c r="S4620" s="13"/>
      <c r="T4620" s="16"/>
      <c r="U4620" s="16"/>
      <c r="V4620" s="16"/>
      <c r="W4620" s="13"/>
      <c r="X4620" s="34">
        <v>4616</v>
      </c>
      <c r="Y4620" s="34" t="s">
        <v>2248</v>
      </c>
      <c r="Z4620" s="34" t="s">
        <v>4135</v>
      </c>
      <c r="AA4620" s="35">
        <v>2.1592741935483873E-4</v>
      </c>
      <c r="AB4620" s="13"/>
      <c r="AC4620" s="13"/>
      <c r="AD4620" s="13"/>
      <c r="AE4620" s="13"/>
      <c r="AF4620" s="13"/>
    </row>
    <row r="4621" spans="19:32" x14ac:dyDescent="0.35">
      <c r="S4621" s="13"/>
      <c r="T4621" s="16"/>
      <c r="U4621" s="16"/>
      <c r="V4621" s="16"/>
      <c r="W4621" s="13"/>
      <c r="X4621" s="34">
        <v>4617</v>
      </c>
      <c r="Y4621" s="34" t="s">
        <v>2248</v>
      </c>
      <c r="Z4621" s="34" t="s">
        <v>4134</v>
      </c>
      <c r="AA4621" s="35">
        <v>4.6955645161290327E-7</v>
      </c>
      <c r="AB4621" s="13"/>
      <c r="AC4621" s="13"/>
      <c r="AD4621" s="13"/>
      <c r="AE4621" s="13"/>
      <c r="AF4621" s="13"/>
    </row>
    <row r="4622" spans="19:32" x14ac:dyDescent="0.35">
      <c r="S4622" s="13"/>
      <c r="T4622" s="16"/>
      <c r="U4622" s="16"/>
      <c r="V4622" s="16"/>
      <c r="W4622" s="13"/>
      <c r="X4622" s="34">
        <v>4618</v>
      </c>
      <c r="Y4622" s="34" t="s">
        <v>2248</v>
      </c>
      <c r="Z4622" s="34" t="s">
        <v>4023</v>
      </c>
      <c r="AA4622" s="35">
        <v>1.984475806451613E-4</v>
      </c>
      <c r="AB4622" s="13"/>
      <c r="AC4622" s="13"/>
      <c r="AD4622" s="13"/>
      <c r="AE4622" s="13"/>
      <c r="AF4622" s="13"/>
    </row>
    <row r="4623" spans="19:32" x14ac:dyDescent="0.35">
      <c r="S4623" s="13"/>
      <c r="T4623" s="16"/>
      <c r="U4623" s="16"/>
      <c r="V4623" s="16"/>
      <c r="W4623" s="13"/>
      <c r="X4623" s="47">
        <v>4619</v>
      </c>
      <c r="Y4623" s="47" t="s">
        <v>2248</v>
      </c>
      <c r="Z4623" s="47" t="s">
        <v>2499</v>
      </c>
      <c r="AA4623" s="56">
        <v>0</v>
      </c>
      <c r="AB4623" s="13"/>
      <c r="AC4623" s="13"/>
      <c r="AD4623" s="13"/>
      <c r="AE4623" s="13"/>
      <c r="AF4623" s="13"/>
    </row>
    <row r="4624" spans="19:32" x14ac:dyDescent="0.35">
      <c r="S4624" s="13"/>
      <c r="T4624" s="16"/>
      <c r="U4624" s="16"/>
      <c r="V4624" s="16"/>
      <c r="W4624" s="13"/>
      <c r="X4624" s="34">
        <v>4620</v>
      </c>
      <c r="Y4624" s="34" t="s">
        <v>2248</v>
      </c>
      <c r="Z4624" s="34" t="s">
        <v>2499</v>
      </c>
      <c r="AA4624" s="35">
        <v>3.7358870967741939E-3</v>
      </c>
      <c r="AB4624" s="13"/>
      <c r="AC4624" s="13"/>
      <c r="AD4624" s="13"/>
      <c r="AE4624" s="13"/>
      <c r="AF4624" s="13"/>
    </row>
    <row r="4625" spans="19:32" x14ac:dyDescent="0.35">
      <c r="S4625" s="13"/>
      <c r="T4625" s="16"/>
      <c r="U4625" s="16"/>
      <c r="V4625" s="16"/>
      <c r="W4625" s="13"/>
      <c r="X4625" s="34">
        <v>4621</v>
      </c>
      <c r="Y4625" s="34" t="s">
        <v>2248</v>
      </c>
      <c r="Z4625" s="34" t="s">
        <v>4022</v>
      </c>
      <c r="AA4625" s="35">
        <v>2.7282258064516129E-3</v>
      </c>
      <c r="AB4625" s="13"/>
      <c r="AC4625" s="13"/>
      <c r="AD4625" s="13"/>
      <c r="AE4625" s="13"/>
      <c r="AF4625" s="13"/>
    </row>
    <row r="4626" spans="19:32" x14ac:dyDescent="0.35">
      <c r="S4626" s="13"/>
      <c r="T4626" s="16"/>
      <c r="U4626" s="16"/>
      <c r="V4626" s="16"/>
      <c r="W4626" s="13"/>
      <c r="X4626" s="47">
        <v>4622</v>
      </c>
      <c r="Y4626" s="47" t="s">
        <v>2248</v>
      </c>
      <c r="Z4626" s="47" t="s">
        <v>4133</v>
      </c>
      <c r="AA4626" s="56">
        <v>3.3828629032258067E-7</v>
      </c>
      <c r="AB4626" s="13"/>
      <c r="AC4626" s="13"/>
      <c r="AD4626" s="13"/>
      <c r="AE4626" s="13"/>
      <c r="AF4626" s="13"/>
    </row>
    <row r="4627" spans="19:32" x14ac:dyDescent="0.35">
      <c r="S4627" s="13"/>
      <c r="T4627" s="16"/>
      <c r="U4627" s="16"/>
      <c r="V4627" s="16"/>
      <c r="W4627" s="13"/>
      <c r="X4627" s="34">
        <v>4623</v>
      </c>
      <c r="Y4627" s="34" t="s">
        <v>2248</v>
      </c>
      <c r="Z4627" s="34" t="s">
        <v>4132</v>
      </c>
      <c r="AA4627" s="35">
        <v>4.3870967741935489E-4</v>
      </c>
      <c r="AB4627" s="13"/>
      <c r="AC4627" s="13"/>
      <c r="AD4627" s="13"/>
      <c r="AE4627" s="13"/>
      <c r="AF4627" s="13"/>
    </row>
    <row r="4628" spans="19:32" x14ac:dyDescent="0.35">
      <c r="S4628" s="13"/>
      <c r="T4628" s="16"/>
      <c r="U4628" s="16"/>
      <c r="V4628" s="16"/>
      <c r="W4628" s="13"/>
      <c r="X4628" s="34">
        <v>4624</v>
      </c>
      <c r="Y4628" s="34" t="s">
        <v>2248</v>
      </c>
      <c r="Z4628" s="34" t="s">
        <v>2423</v>
      </c>
      <c r="AA4628" s="35">
        <v>2.515725806451613E-2</v>
      </c>
      <c r="AB4628" s="13"/>
      <c r="AC4628" s="13"/>
      <c r="AD4628" s="13"/>
      <c r="AE4628" s="13"/>
      <c r="AF4628" s="13"/>
    </row>
    <row r="4629" spans="19:32" x14ac:dyDescent="0.35">
      <c r="S4629" s="13"/>
      <c r="T4629" s="16"/>
      <c r="U4629" s="16"/>
      <c r="V4629" s="16"/>
      <c r="W4629" s="13"/>
      <c r="X4629" s="34">
        <v>4625</v>
      </c>
      <c r="Y4629" s="34" t="s">
        <v>2248</v>
      </c>
      <c r="Z4629" s="34" t="s">
        <v>4131</v>
      </c>
      <c r="AA4629" s="35">
        <v>9.4939516129032261E-5</v>
      </c>
      <c r="AB4629" s="13"/>
      <c r="AC4629" s="13"/>
      <c r="AD4629" s="13"/>
      <c r="AE4629" s="13"/>
      <c r="AF4629" s="13"/>
    </row>
    <row r="4630" spans="19:32" x14ac:dyDescent="0.35">
      <c r="S4630" s="13"/>
      <c r="T4630" s="16"/>
      <c r="U4630" s="16"/>
      <c r="V4630" s="16"/>
      <c r="W4630" s="13"/>
      <c r="X4630" s="34">
        <v>4626</v>
      </c>
      <c r="Y4630" s="34" t="s">
        <v>2248</v>
      </c>
      <c r="Z4630" s="34" t="s">
        <v>4130</v>
      </c>
      <c r="AA4630" s="35">
        <v>6.7177419354838716E-2</v>
      </c>
      <c r="AB4630" s="13"/>
      <c r="AC4630" s="13"/>
      <c r="AD4630" s="13"/>
      <c r="AE4630" s="13"/>
      <c r="AF4630" s="13"/>
    </row>
    <row r="4631" spans="19:32" x14ac:dyDescent="0.35">
      <c r="S4631" s="13"/>
      <c r="T4631" s="16"/>
      <c r="U4631" s="16"/>
      <c r="V4631" s="16"/>
      <c r="W4631" s="13"/>
      <c r="X4631" s="34">
        <v>4627</v>
      </c>
      <c r="Y4631" s="34" t="s">
        <v>2248</v>
      </c>
      <c r="Z4631" s="34" t="s">
        <v>4129</v>
      </c>
      <c r="AA4631" s="35">
        <v>2.5260080645161293E-5</v>
      </c>
      <c r="AB4631" s="13"/>
      <c r="AC4631" s="13"/>
      <c r="AD4631" s="13"/>
      <c r="AE4631" s="13"/>
      <c r="AF4631" s="13"/>
    </row>
    <row r="4632" spans="19:32" x14ac:dyDescent="0.35">
      <c r="S4632" s="13"/>
      <c r="T4632" s="16"/>
      <c r="U4632" s="16"/>
      <c r="V4632" s="16"/>
      <c r="W4632" s="13"/>
      <c r="X4632" s="34">
        <v>4628</v>
      </c>
      <c r="Y4632" s="34" t="s">
        <v>2248</v>
      </c>
      <c r="Z4632" s="34" t="s">
        <v>2421</v>
      </c>
      <c r="AA4632" s="35">
        <v>1.6828629032258067E-3</v>
      </c>
      <c r="AB4632" s="13"/>
      <c r="AC4632" s="13"/>
      <c r="AD4632" s="13"/>
      <c r="AE4632" s="13"/>
      <c r="AF4632" s="13"/>
    </row>
    <row r="4633" spans="19:32" x14ac:dyDescent="0.35">
      <c r="S4633" s="13"/>
      <c r="T4633" s="16"/>
      <c r="U4633" s="16"/>
      <c r="V4633" s="16"/>
      <c r="W4633" s="13"/>
      <c r="X4633" s="34">
        <v>4629</v>
      </c>
      <c r="Y4633" s="34" t="s">
        <v>2248</v>
      </c>
      <c r="Z4633" s="34" t="s">
        <v>4128</v>
      </c>
      <c r="AA4633" s="35">
        <v>3.2286290322580648E-5</v>
      </c>
      <c r="AB4633" s="13"/>
      <c r="AC4633" s="13"/>
      <c r="AD4633" s="13"/>
      <c r="AE4633" s="13"/>
      <c r="AF4633" s="13"/>
    </row>
    <row r="4634" spans="19:32" x14ac:dyDescent="0.35">
      <c r="S4634" s="13"/>
      <c r="T4634" s="16"/>
      <c r="U4634" s="16"/>
      <c r="V4634" s="16"/>
      <c r="W4634" s="13"/>
      <c r="X4634" s="34">
        <v>4630</v>
      </c>
      <c r="Y4634" s="34" t="s">
        <v>2248</v>
      </c>
      <c r="Z4634" s="34" t="s">
        <v>4018</v>
      </c>
      <c r="AA4634" s="35">
        <v>5.4495967741935488E-3</v>
      </c>
      <c r="AB4634" s="13"/>
      <c r="AC4634" s="13"/>
      <c r="AD4634" s="13"/>
      <c r="AE4634" s="13"/>
      <c r="AF4634" s="13"/>
    </row>
    <row r="4635" spans="19:32" x14ac:dyDescent="0.35">
      <c r="S4635" s="13"/>
      <c r="T4635" s="16"/>
      <c r="U4635" s="16"/>
      <c r="V4635" s="16"/>
      <c r="W4635" s="13"/>
      <c r="X4635" s="34">
        <v>4631</v>
      </c>
      <c r="Y4635" s="34" t="s">
        <v>2248</v>
      </c>
      <c r="Z4635" s="34" t="s">
        <v>4127</v>
      </c>
      <c r="AA4635" s="35">
        <v>4.8669354838709683E-2</v>
      </c>
      <c r="AB4635" s="13"/>
      <c r="AC4635" s="13"/>
      <c r="AD4635" s="13"/>
      <c r="AE4635" s="13"/>
      <c r="AF4635" s="13"/>
    </row>
    <row r="4636" spans="19:32" x14ac:dyDescent="0.35">
      <c r="S4636" s="13"/>
      <c r="T4636" s="16"/>
      <c r="U4636" s="16"/>
      <c r="V4636" s="16"/>
      <c r="W4636" s="13"/>
      <c r="X4636" s="47">
        <v>4632</v>
      </c>
      <c r="Y4636" s="47" t="s">
        <v>2248</v>
      </c>
      <c r="Z4636" s="47" t="s">
        <v>4126</v>
      </c>
      <c r="AA4636" s="56">
        <v>4.4556451612903225E-3</v>
      </c>
      <c r="AB4636" s="13"/>
      <c r="AC4636" s="13"/>
      <c r="AD4636" s="13"/>
      <c r="AE4636" s="13"/>
      <c r="AF4636" s="13"/>
    </row>
    <row r="4637" spans="19:32" x14ac:dyDescent="0.35">
      <c r="S4637" s="13"/>
      <c r="T4637" s="16"/>
      <c r="U4637" s="16"/>
      <c r="V4637" s="16"/>
      <c r="W4637" s="13"/>
      <c r="X4637" s="34">
        <v>4633</v>
      </c>
      <c r="Y4637" s="34" t="s">
        <v>2248</v>
      </c>
      <c r="Z4637" s="34" t="s">
        <v>4017</v>
      </c>
      <c r="AA4637" s="35">
        <v>2.3272177419354843E-5</v>
      </c>
      <c r="AB4637" s="13"/>
      <c r="AC4637" s="13"/>
      <c r="AD4637" s="13"/>
      <c r="AE4637" s="13"/>
      <c r="AF4637" s="13"/>
    </row>
    <row r="4638" spans="19:32" x14ac:dyDescent="0.35">
      <c r="S4638" s="13"/>
      <c r="T4638" s="16"/>
      <c r="U4638" s="16"/>
      <c r="V4638" s="16"/>
      <c r="W4638" s="13"/>
      <c r="X4638" s="34">
        <v>4634</v>
      </c>
      <c r="Y4638" s="34" t="s">
        <v>2248</v>
      </c>
      <c r="Z4638" s="34" t="s">
        <v>4125</v>
      </c>
      <c r="AA4638" s="35">
        <v>5.7580645161290325E-5</v>
      </c>
      <c r="AB4638" s="13"/>
      <c r="AC4638" s="13"/>
      <c r="AD4638" s="13"/>
      <c r="AE4638" s="13"/>
      <c r="AF4638" s="13"/>
    </row>
    <row r="4639" spans="19:32" x14ac:dyDescent="0.35">
      <c r="S4639" s="13"/>
      <c r="T4639" s="16"/>
      <c r="U4639" s="16"/>
      <c r="V4639" s="16"/>
      <c r="W4639" s="13"/>
      <c r="X4639" s="34">
        <v>4635</v>
      </c>
      <c r="Y4639" s="34" t="s">
        <v>2248</v>
      </c>
      <c r="Z4639" s="34" t="s">
        <v>2420</v>
      </c>
      <c r="AA4639" s="35">
        <v>14.909274193548388</v>
      </c>
      <c r="AB4639" s="13"/>
      <c r="AC4639" s="13"/>
      <c r="AD4639" s="13"/>
      <c r="AE4639" s="13"/>
      <c r="AF4639" s="13"/>
    </row>
    <row r="4640" spans="19:32" x14ac:dyDescent="0.35">
      <c r="S4640" s="13"/>
      <c r="T4640" s="16"/>
      <c r="U4640" s="16"/>
      <c r="V4640" s="16"/>
      <c r="W4640" s="13"/>
      <c r="X4640" s="47">
        <v>4636</v>
      </c>
      <c r="Y4640" s="47" t="s">
        <v>2248</v>
      </c>
      <c r="Z4640" s="47" t="s">
        <v>2498</v>
      </c>
      <c r="AA4640" s="56">
        <v>0</v>
      </c>
      <c r="AB4640" s="13"/>
      <c r="AC4640" s="13"/>
      <c r="AD4640" s="13"/>
      <c r="AE4640" s="13"/>
      <c r="AF4640" s="13"/>
    </row>
    <row r="4641" spans="19:32" x14ac:dyDescent="0.35">
      <c r="S4641" s="13"/>
      <c r="T4641" s="16"/>
      <c r="U4641" s="16"/>
      <c r="V4641" s="16"/>
      <c r="W4641" s="13"/>
      <c r="X4641" s="34">
        <v>4637</v>
      </c>
      <c r="Y4641" s="34" t="s">
        <v>2248</v>
      </c>
      <c r="Z4641" s="34" t="s">
        <v>4124</v>
      </c>
      <c r="AA4641" s="35">
        <v>7.2318548387096783E-3</v>
      </c>
      <c r="AB4641" s="13"/>
      <c r="AC4641" s="13"/>
      <c r="AD4641" s="13"/>
      <c r="AE4641" s="13"/>
      <c r="AF4641" s="13"/>
    </row>
    <row r="4642" spans="19:32" x14ac:dyDescent="0.35">
      <c r="S4642" s="13"/>
      <c r="T4642" s="16"/>
      <c r="U4642" s="16"/>
      <c r="V4642" s="16"/>
      <c r="W4642" s="13"/>
      <c r="X4642" s="34">
        <v>4638</v>
      </c>
      <c r="Y4642" s="34" t="s">
        <v>2248</v>
      </c>
      <c r="Z4642" s="34" t="s">
        <v>2498</v>
      </c>
      <c r="AA4642" s="35">
        <v>2.0461693548387101E-3</v>
      </c>
      <c r="AB4642" s="13"/>
      <c r="AC4642" s="13"/>
      <c r="AD4642" s="13"/>
      <c r="AE4642" s="13"/>
      <c r="AF4642" s="13"/>
    </row>
    <row r="4643" spans="19:32" x14ac:dyDescent="0.35">
      <c r="S4643" s="13"/>
      <c r="T4643" s="16"/>
      <c r="U4643" s="16"/>
      <c r="V4643" s="16"/>
      <c r="W4643" s="13"/>
      <c r="X4643" s="34">
        <v>4639</v>
      </c>
      <c r="Y4643" s="34" t="s">
        <v>2248</v>
      </c>
      <c r="Z4643" s="34" t="s">
        <v>4014</v>
      </c>
      <c r="AA4643" s="35">
        <v>1.0179435483870968E-2</v>
      </c>
      <c r="AB4643" s="13"/>
      <c r="AC4643" s="13"/>
      <c r="AD4643" s="13"/>
      <c r="AE4643" s="13"/>
      <c r="AF4643" s="13"/>
    </row>
    <row r="4644" spans="19:32" x14ac:dyDescent="0.35">
      <c r="S4644" s="13"/>
      <c r="T4644" s="16"/>
      <c r="U4644" s="16"/>
      <c r="V4644" s="16"/>
      <c r="W4644" s="13"/>
      <c r="X4644" s="47">
        <v>4640</v>
      </c>
      <c r="Y4644" s="47" t="s">
        <v>2248</v>
      </c>
      <c r="Z4644" s="47" t="s">
        <v>2496</v>
      </c>
      <c r="AA4644" s="56">
        <v>0</v>
      </c>
      <c r="AB4644" s="13"/>
      <c r="AC4644" s="13"/>
      <c r="AD4644" s="13"/>
      <c r="AE4644" s="13"/>
      <c r="AF4644" s="13"/>
    </row>
    <row r="4645" spans="19:32" x14ac:dyDescent="0.35">
      <c r="S4645" s="13"/>
      <c r="T4645" s="16"/>
      <c r="U4645" s="16"/>
      <c r="V4645" s="16"/>
      <c r="W4645" s="13"/>
      <c r="X4645" s="34">
        <v>4641</v>
      </c>
      <c r="Y4645" s="34" t="s">
        <v>2248</v>
      </c>
      <c r="Z4645" s="34" t="s">
        <v>4013</v>
      </c>
      <c r="AA4645" s="35">
        <v>9.2883064516129047E-3</v>
      </c>
      <c r="AB4645" s="13"/>
      <c r="AC4645" s="13"/>
      <c r="AD4645" s="13"/>
      <c r="AE4645" s="13"/>
      <c r="AF4645" s="13"/>
    </row>
    <row r="4646" spans="19:32" x14ac:dyDescent="0.35">
      <c r="S4646" s="13"/>
      <c r="T4646" s="16"/>
      <c r="U4646" s="16"/>
      <c r="V4646" s="16"/>
      <c r="W4646" s="13"/>
      <c r="X4646" s="34">
        <v>4642</v>
      </c>
      <c r="Y4646" s="34" t="s">
        <v>2248</v>
      </c>
      <c r="Z4646" s="34" t="s">
        <v>2496</v>
      </c>
      <c r="AA4646" s="35">
        <v>2.8927419354838713E-2</v>
      </c>
      <c r="AB4646" s="13"/>
      <c r="AC4646" s="13"/>
      <c r="AD4646" s="13"/>
      <c r="AE4646" s="13"/>
      <c r="AF4646" s="13"/>
    </row>
    <row r="4647" spans="19:32" x14ac:dyDescent="0.35">
      <c r="S4647" s="13"/>
      <c r="T4647" s="16"/>
      <c r="U4647" s="16"/>
      <c r="V4647" s="16"/>
      <c r="W4647" s="13"/>
      <c r="X4647" s="47">
        <v>4643</v>
      </c>
      <c r="Y4647" s="47" t="s">
        <v>2248</v>
      </c>
      <c r="Z4647" s="47" t="s">
        <v>4123</v>
      </c>
      <c r="AA4647" s="56">
        <v>0.19639112903225808</v>
      </c>
      <c r="AB4647" s="13"/>
      <c r="AC4647" s="13"/>
      <c r="AD4647" s="13"/>
      <c r="AE4647" s="13"/>
      <c r="AF4647" s="13"/>
    </row>
    <row r="4648" spans="19:32" x14ac:dyDescent="0.35">
      <c r="S4648" s="13"/>
      <c r="T4648" s="16"/>
      <c r="U4648" s="16"/>
      <c r="V4648" s="16"/>
      <c r="W4648" s="13"/>
      <c r="X4648" s="34">
        <v>4644</v>
      </c>
      <c r="Y4648" s="34" t="s">
        <v>2248</v>
      </c>
      <c r="Z4648" s="34" t="s">
        <v>4011</v>
      </c>
      <c r="AA4648" s="35">
        <v>0.76088709677419364</v>
      </c>
      <c r="AB4648" s="13"/>
      <c r="AC4648" s="13"/>
      <c r="AD4648" s="13"/>
      <c r="AE4648" s="13"/>
      <c r="AF4648" s="13"/>
    </row>
    <row r="4649" spans="19:32" x14ac:dyDescent="0.35">
      <c r="S4649" s="13"/>
      <c r="T4649" s="16"/>
      <c r="U4649" s="16"/>
      <c r="V4649" s="16"/>
      <c r="W4649" s="13"/>
      <c r="X4649" s="34">
        <v>4645</v>
      </c>
      <c r="Y4649" s="34" t="s">
        <v>2248</v>
      </c>
      <c r="Z4649" s="34" t="s">
        <v>4122</v>
      </c>
      <c r="AA4649" s="35">
        <v>3.2183467741935488E-7</v>
      </c>
      <c r="AB4649" s="13"/>
      <c r="AC4649" s="13"/>
      <c r="AD4649" s="13"/>
      <c r="AE4649" s="13"/>
      <c r="AF4649" s="13"/>
    </row>
    <row r="4650" spans="19:32" x14ac:dyDescent="0.35">
      <c r="S4650" s="13"/>
      <c r="T4650" s="16"/>
      <c r="U4650" s="16"/>
      <c r="V4650" s="16"/>
      <c r="W4650" s="13"/>
      <c r="X4650" s="34">
        <v>4646</v>
      </c>
      <c r="Y4650" s="34" t="s">
        <v>2248</v>
      </c>
      <c r="Z4650" s="34" t="s">
        <v>4010</v>
      </c>
      <c r="AA4650" s="35">
        <v>2.882459677419355E-2</v>
      </c>
      <c r="AB4650" s="13"/>
      <c r="AC4650" s="13"/>
      <c r="AD4650" s="13"/>
      <c r="AE4650" s="13"/>
      <c r="AF4650" s="13"/>
    </row>
    <row r="4651" spans="19:32" x14ac:dyDescent="0.35">
      <c r="S4651" s="13"/>
      <c r="T4651" s="16"/>
      <c r="U4651" s="16"/>
      <c r="V4651" s="16"/>
      <c r="W4651" s="13"/>
      <c r="X4651" s="47">
        <v>4647</v>
      </c>
      <c r="Y4651" s="47" t="s">
        <v>2248</v>
      </c>
      <c r="Z4651" s="47" t="s">
        <v>4121</v>
      </c>
      <c r="AA4651" s="56">
        <v>3.7358870967741938E-2</v>
      </c>
      <c r="AB4651" s="13"/>
      <c r="AC4651" s="13"/>
      <c r="AD4651" s="13"/>
      <c r="AE4651" s="13"/>
      <c r="AF4651" s="13"/>
    </row>
    <row r="4652" spans="19:32" x14ac:dyDescent="0.35">
      <c r="S4652" s="13"/>
      <c r="T4652" s="16"/>
      <c r="U4652" s="16"/>
      <c r="V4652" s="16"/>
      <c r="W4652" s="13"/>
      <c r="X4652" s="47">
        <v>4648</v>
      </c>
      <c r="Y4652" s="47" t="s">
        <v>2248</v>
      </c>
      <c r="Z4652" s="47" t="s">
        <v>2495</v>
      </c>
      <c r="AA4652" s="56">
        <v>0</v>
      </c>
      <c r="AB4652" s="13"/>
      <c r="AC4652" s="13"/>
      <c r="AD4652" s="13"/>
      <c r="AE4652" s="13"/>
      <c r="AF4652" s="13"/>
    </row>
    <row r="4653" spans="19:32" x14ac:dyDescent="0.35">
      <c r="S4653" s="13"/>
      <c r="T4653" s="16"/>
      <c r="U4653" s="16"/>
      <c r="V4653" s="16"/>
      <c r="W4653" s="13"/>
      <c r="X4653" s="34">
        <v>4649</v>
      </c>
      <c r="Y4653" s="34" t="s">
        <v>2248</v>
      </c>
      <c r="Z4653" s="34" t="s">
        <v>2495</v>
      </c>
      <c r="AA4653" s="35">
        <v>7.5403225806451619E-6</v>
      </c>
      <c r="AB4653" s="13"/>
      <c r="AC4653" s="13"/>
      <c r="AD4653" s="13"/>
      <c r="AE4653" s="13"/>
      <c r="AF4653" s="13"/>
    </row>
    <row r="4654" spans="19:32" x14ac:dyDescent="0.35">
      <c r="S4654" s="13"/>
      <c r="T4654" s="16"/>
      <c r="U4654" s="16"/>
      <c r="V4654" s="16"/>
      <c r="W4654" s="13"/>
      <c r="X4654" s="34">
        <v>4650</v>
      </c>
      <c r="Y4654" s="34" t="s">
        <v>2248</v>
      </c>
      <c r="Z4654" s="34" t="s">
        <v>4008</v>
      </c>
      <c r="AA4654" s="35">
        <v>2.1489919354838711E-5</v>
      </c>
      <c r="AB4654" s="13"/>
      <c r="AC4654" s="13"/>
      <c r="AD4654" s="13"/>
      <c r="AE4654" s="13"/>
      <c r="AF4654" s="13"/>
    </row>
    <row r="4655" spans="19:32" x14ac:dyDescent="0.35">
      <c r="S4655" s="13"/>
      <c r="T4655" s="16"/>
      <c r="U4655" s="16"/>
      <c r="V4655" s="16"/>
      <c r="W4655" s="13"/>
      <c r="X4655" s="47">
        <v>4651</v>
      </c>
      <c r="Y4655" s="47" t="s">
        <v>2248</v>
      </c>
      <c r="Z4655" s="47" t="s">
        <v>4120</v>
      </c>
      <c r="AA4655" s="56">
        <v>5.3810483870967745E-6</v>
      </c>
      <c r="AB4655" s="13"/>
      <c r="AC4655" s="13"/>
      <c r="AD4655" s="13"/>
      <c r="AE4655" s="13"/>
      <c r="AF4655" s="13"/>
    </row>
    <row r="4656" spans="19:32" x14ac:dyDescent="0.35">
      <c r="S4656" s="13"/>
      <c r="T4656" s="16"/>
      <c r="U4656" s="16"/>
      <c r="V4656" s="16"/>
      <c r="W4656" s="13"/>
      <c r="X4656" s="34">
        <v>4652</v>
      </c>
      <c r="Y4656" s="34" t="s">
        <v>2248</v>
      </c>
      <c r="Z4656" s="34" t="s">
        <v>4119</v>
      </c>
      <c r="AA4656" s="35">
        <v>4.1471774193548391E-5</v>
      </c>
      <c r="AB4656" s="13"/>
      <c r="AC4656" s="13"/>
      <c r="AD4656" s="13"/>
      <c r="AE4656" s="13"/>
      <c r="AF4656" s="13"/>
    </row>
    <row r="4657" spans="19:32" x14ac:dyDescent="0.35">
      <c r="S4657" s="13"/>
      <c r="T4657" s="16"/>
      <c r="U4657" s="16"/>
      <c r="V4657" s="16"/>
      <c r="W4657" s="13"/>
      <c r="X4657" s="34">
        <v>4653</v>
      </c>
      <c r="Y4657" s="34" t="s">
        <v>2248</v>
      </c>
      <c r="Z4657" s="34" t="s">
        <v>4007</v>
      </c>
      <c r="AA4657" s="35">
        <v>1.2612903225806453E-2</v>
      </c>
      <c r="AB4657" s="13"/>
      <c r="AC4657" s="13"/>
      <c r="AD4657" s="13"/>
      <c r="AE4657" s="13"/>
      <c r="AF4657" s="13"/>
    </row>
    <row r="4658" spans="19:32" x14ac:dyDescent="0.35">
      <c r="S4658" s="13"/>
      <c r="T4658" s="16"/>
      <c r="U4658" s="16"/>
      <c r="V4658" s="16"/>
      <c r="W4658" s="13"/>
      <c r="X4658" s="34">
        <v>4654</v>
      </c>
      <c r="Y4658" s="34" t="s">
        <v>2248</v>
      </c>
      <c r="Z4658" s="34" t="s">
        <v>4005</v>
      </c>
      <c r="AA4658" s="35">
        <v>5.3125000000000004E-5</v>
      </c>
      <c r="AB4658" s="13"/>
      <c r="AC4658" s="13"/>
      <c r="AD4658" s="13"/>
      <c r="AE4658" s="13"/>
      <c r="AF4658" s="13"/>
    </row>
    <row r="4659" spans="19:32" x14ac:dyDescent="0.35">
      <c r="S4659" s="13"/>
      <c r="T4659" s="16"/>
      <c r="U4659" s="16"/>
      <c r="V4659" s="16"/>
      <c r="W4659" s="13"/>
      <c r="X4659" s="47">
        <v>4655</v>
      </c>
      <c r="Y4659" s="47" t="s">
        <v>2248</v>
      </c>
      <c r="Z4659" s="47" t="s">
        <v>2493</v>
      </c>
      <c r="AA4659" s="56">
        <v>9.3840000000000007E-2</v>
      </c>
      <c r="AB4659" s="13"/>
      <c r="AC4659" s="13"/>
      <c r="AD4659" s="13"/>
      <c r="AE4659" s="13"/>
      <c r="AF4659" s="13"/>
    </row>
    <row r="4660" spans="19:32" x14ac:dyDescent="0.35">
      <c r="S4660" s="13"/>
      <c r="T4660" s="16"/>
      <c r="U4660" s="16"/>
      <c r="V4660" s="16"/>
      <c r="W4660" s="13"/>
      <c r="X4660" s="34">
        <v>4656</v>
      </c>
      <c r="Y4660" s="34" t="s">
        <v>2248</v>
      </c>
      <c r="Z4660" s="34" t="s">
        <v>2493</v>
      </c>
      <c r="AA4660" s="35">
        <v>1.8816532258064518E-4</v>
      </c>
      <c r="AB4660" s="13"/>
      <c r="AC4660" s="13"/>
      <c r="AD4660" s="13"/>
      <c r="AE4660" s="13"/>
      <c r="AF4660" s="13"/>
    </row>
    <row r="4661" spans="19:32" x14ac:dyDescent="0.35">
      <c r="S4661" s="13"/>
      <c r="T4661" s="16"/>
      <c r="U4661" s="16"/>
      <c r="V4661" s="16"/>
      <c r="W4661" s="13"/>
      <c r="X4661" s="47">
        <v>4657</v>
      </c>
      <c r="Y4661" s="47" t="s">
        <v>2248</v>
      </c>
      <c r="Z4661" s="47" t="s">
        <v>3139</v>
      </c>
      <c r="AA4661" s="56">
        <v>4.2842741935483875E-2</v>
      </c>
      <c r="AB4661" s="13"/>
      <c r="AC4661" s="13"/>
      <c r="AD4661" s="13"/>
      <c r="AE4661" s="13"/>
      <c r="AF4661" s="13"/>
    </row>
    <row r="4662" spans="19:32" x14ac:dyDescent="0.35">
      <c r="S4662" s="13"/>
      <c r="T4662" s="16"/>
      <c r="U4662" s="16"/>
      <c r="V4662" s="16"/>
      <c r="W4662" s="13"/>
      <c r="X4662" s="34">
        <v>4658</v>
      </c>
      <c r="Y4662" s="34" t="s">
        <v>2248</v>
      </c>
      <c r="Z4662" s="34" t="s">
        <v>2415</v>
      </c>
      <c r="AA4662" s="35">
        <v>3.3485887096774199E-2</v>
      </c>
      <c r="AB4662" s="13"/>
      <c r="AC4662" s="13"/>
      <c r="AD4662" s="13"/>
      <c r="AE4662" s="13"/>
      <c r="AF4662" s="13"/>
    </row>
    <row r="4663" spans="19:32" x14ac:dyDescent="0.35">
      <c r="S4663" s="13"/>
      <c r="T4663" s="16"/>
      <c r="U4663" s="16"/>
      <c r="V4663" s="16"/>
      <c r="W4663" s="13"/>
      <c r="X4663" s="47">
        <v>4659</v>
      </c>
      <c r="Y4663" s="47" t="s">
        <v>2248</v>
      </c>
      <c r="Z4663" s="47" t="s">
        <v>2492</v>
      </c>
      <c r="AA4663" s="56">
        <v>1.3800000000000001</v>
      </c>
      <c r="AB4663" s="13"/>
      <c r="AC4663" s="13"/>
      <c r="AD4663" s="13"/>
      <c r="AE4663" s="13"/>
      <c r="AF4663" s="13"/>
    </row>
    <row r="4664" spans="19:32" x14ac:dyDescent="0.35">
      <c r="S4664" s="13"/>
      <c r="T4664" s="16"/>
      <c r="U4664" s="16"/>
      <c r="V4664" s="16"/>
      <c r="W4664" s="13"/>
      <c r="X4664" s="34">
        <v>4660</v>
      </c>
      <c r="Y4664" s="34" t="s">
        <v>2248</v>
      </c>
      <c r="Z4664" s="34" t="s">
        <v>2492</v>
      </c>
      <c r="AA4664" s="35">
        <v>6.8205645161290331E-3</v>
      </c>
      <c r="AB4664" s="13"/>
      <c r="AC4664" s="13"/>
      <c r="AD4664" s="13"/>
      <c r="AE4664" s="13"/>
      <c r="AF4664" s="13"/>
    </row>
    <row r="4665" spans="19:32" x14ac:dyDescent="0.35">
      <c r="S4665" s="13"/>
      <c r="T4665" s="16"/>
      <c r="U4665" s="16"/>
      <c r="V4665" s="16"/>
      <c r="W4665" s="13"/>
      <c r="X4665" s="34">
        <v>4661</v>
      </c>
      <c r="Y4665" s="34" t="s">
        <v>2248</v>
      </c>
      <c r="Z4665" s="34" t="s">
        <v>4003</v>
      </c>
      <c r="AA4665" s="35">
        <v>7.1290322580645169E-5</v>
      </c>
      <c r="AB4665" s="13"/>
      <c r="AC4665" s="13"/>
      <c r="AD4665" s="13"/>
      <c r="AE4665" s="13"/>
      <c r="AF4665" s="13"/>
    </row>
    <row r="4666" spans="19:32" x14ac:dyDescent="0.35">
      <c r="S4666" s="13"/>
      <c r="T4666" s="16"/>
      <c r="U4666" s="16"/>
      <c r="V4666" s="16"/>
      <c r="W4666" s="13"/>
      <c r="X4666" s="34">
        <v>4662</v>
      </c>
      <c r="Y4666" s="34" t="s">
        <v>2248</v>
      </c>
      <c r="Z4666" s="34" t="s">
        <v>4118</v>
      </c>
      <c r="AA4666" s="35">
        <v>5.0725806451612909E-3</v>
      </c>
      <c r="AB4666" s="13"/>
      <c r="AC4666" s="13"/>
      <c r="AD4666" s="13"/>
      <c r="AE4666" s="13"/>
      <c r="AF4666" s="13"/>
    </row>
    <row r="4667" spans="19:32" x14ac:dyDescent="0.35">
      <c r="S4667" s="13"/>
      <c r="T4667" s="16"/>
      <c r="U4667" s="16"/>
      <c r="V4667" s="16"/>
      <c r="W4667" s="13"/>
      <c r="X4667" s="47">
        <v>4663</v>
      </c>
      <c r="Y4667" s="47" t="s">
        <v>2248</v>
      </c>
      <c r="Z4667" s="47" t="s">
        <v>2490</v>
      </c>
      <c r="AA4667" s="56">
        <v>0</v>
      </c>
      <c r="AB4667" s="13"/>
      <c r="AC4667" s="13"/>
      <c r="AD4667" s="13"/>
      <c r="AE4667" s="13"/>
      <c r="AF4667" s="13"/>
    </row>
    <row r="4668" spans="19:32" x14ac:dyDescent="0.35">
      <c r="S4668" s="13"/>
      <c r="T4668" s="16"/>
      <c r="U4668" s="16"/>
      <c r="V4668" s="16"/>
      <c r="W4668" s="13"/>
      <c r="X4668" s="34">
        <v>4664</v>
      </c>
      <c r="Y4668" s="34" t="s">
        <v>2248</v>
      </c>
      <c r="Z4668" s="34" t="s">
        <v>4002</v>
      </c>
      <c r="AA4668" s="35">
        <v>2.6733870967741938E-5</v>
      </c>
      <c r="AB4668" s="13"/>
      <c r="AC4668" s="13"/>
      <c r="AD4668" s="13"/>
      <c r="AE4668" s="13"/>
      <c r="AF4668" s="13"/>
    </row>
    <row r="4669" spans="19:32" x14ac:dyDescent="0.35">
      <c r="S4669" s="13"/>
      <c r="T4669" s="16"/>
      <c r="U4669" s="16"/>
      <c r="V4669" s="16"/>
      <c r="W4669" s="13"/>
      <c r="X4669" s="47">
        <v>4665</v>
      </c>
      <c r="Y4669" s="47" t="s">
        <v>2248</v>
      </c>
      <c r="Z4669" s="47" t="s">
        <v>2488</v>
      </c>
      <c r="AA4669" s="56">
        <v>0.24287999999999998</v>
      </c>
      <c r="AB4669" s="13"/>
      <c r="AC4669" s="13"/>
      <c r="AD4669" s="13"/>
      <c r="AE4669" s="13"/>
      <c r="AF4669" s="13"/>
    </row>
    <row r="4670" spans="19:32" x14ac:dyDescent="0.35">
      <c r="S4670" s="13"/>
      <c r="T4670" s="16"/>
      <c r="U4670" s="16"/>
      <c r="V4670" s="16"/>
      <c r="W4670" s="13"/>
      <c r="X4670" s="34">
        <v>4666</v>
      </c>
      <c r="Y4670" s="34" t="s">
        <v>2248</v>
      </c>
      <c r="Z4670" s="34" t="s">
        <v>2412</v>
      </c>
      <c r="AA4670" s="35">
        <v>1.1756048387096776E-5</v>
      </c>
      <c r="AB4670" s="13"/>
      <c r="AC4670" s="13"/>
      <c r="AD4670" s="13"/>
      <c r="AE4670" s="13"/>
      <c r="AF4670" s="13"/>
    </row>
    <row r="4671" spans="19:32" x14ac:dyDescent="0.35">
      <c r="S4671" s="13"/>
      <c r="T4671" s="16"/>
      <c r="U4671" s="16"/>
      <c r="V4671" s="16"/>
      <c r="W4671" s="13"/>
      <c r="X4671" s="47">
        <v>4667</v>
      </c>
      <c r="Y4671" s="47" t="s">
        <v>2248</v>
      </c>
      <c r="Z4671" s="47" t="s">
        <v>3137</v>
      </c>
      <c r="AA4671" s="56">
        <v>3.0881048387096776E-3</v>
      </c>
      <c r="AB4671" s="13"/>
      <c r="AC4671" s="13"/>
      <c r="AD4671" s="13"/>
      <c r="AE4671" s="13"/>
      <c r="AF4671" s="13"/>
    </row>
    <row r="4672" spans="19:32" x14ac:dyDescent="0.35">
      <c r="S4672" s="13"/>
      <c r="T4672" s="16"/>
      <c r="U4672" s="16"/>
      <c r="V4672" s="16"/>
      <c r="W4672" s="13"/>
      <c r="X4672" s="34">
        <v>4668</v>
      </c>
      <c r="Y4672" s="34" t="s">
        <v>2248</v>
      </c>
      <c r="Z4672" s="34" t="s">
        <v>4117</v>
      </c>
      <c r="AA4672" s="35">
        <v>3.8729838709677424E-4</v>
      </c>
      <c r="AB4672" s="13"/>
      <c r="AC4672" s="13"/>
      <c r="AD4672" s="13"/>
      <c r="AE4672" s="13"/>
      <c r="AF4672" s="13"/>
    </row>
    <row r="4673" spans="19:32" x14ac:dyDescent="0.35">
      <c r="S4673" s="13"/>
      <c r="T4673" s="16"/>
      <c r="U4673" s="16"/>
      <c r="V4673" s="16"/>
      <c r="W4673" s="13"/>
      <c r="X4673" s="34">
        <v>4669</v>
      </c>
      <c r="Y4673" s="34" t="s">
        <v>2248</v>
      </c>
      <c r="Z4673" s="34" t="s">
        <v>3999</v>
      </c>
      <c r="AA4673" s="35">
        <v>1.2578629032258066E-4</v>
      </c>
      <c r="AB4673" s="13"/>
      <c r="AC4673" s="13"/>
      <c r="AD4673" s="13"/>
      <c r="AE4673" s="13"/>
      <c r="AF4673" s="13"/>
    </row>
    <row r="4674" spans="19:32" x14ac:dyDescent="0.35">
      <c r="S4674" s="13"/>
      <c r="T4674" s="16"/>
      <c r="U4674" s="16"/>
      <c r="V4674" s="16"/>
      <c r="W4674" s="13"/>
      <c r="X4674" s="34">
        <v>4670</v>
      </c>
      <c r="Y4674" s="34" t="s">
        <v>2248</v>
      </c>
      <c r="Z4674" s="34" t="s">
        <v>4116</v>
      </c>
      <c r="AA4674" s="35">
        <v>0.22552419354838713</v>
      </c>
      <c r="AB4674" s="13"/>
      <c r="AC4674" s="13"/>
      <c r="AD4674" s="13"/>
      <c r="AE4674" s="13"/>
      <c r="AF4674" s="13"/>
    </row>
    <row r="4675" spans="19:32" x14ac:dyDescent="0.35">
      <c r="S4675" s="13"/>
      <c r="T4675" s="16"/>
      <c r="U4675" s="16"/>
      <c r="V4675" s="16"/>
      <c r="W4675" s="13"/>
      <c r="X4675" s="34">
        <v>4671</v>
      </c>
      <c r="Y4675" s="34" t="s">
        <v>2248</v>
      </c>
      <c r="Z4675" s="34" t="s">
        <v>4115</v>
      </c>
      <c r="AA4675" s="35">
        <v>3.7016129032258066E-3</v>
      </c>
      <c r="AB4675" s="13"/>
      <c r="AC4675" s="13"/>
      <c r="AD4675" s="13"/>
      <c r="AE4675" s="13"/>
      <c r="AF4675" s="13"/>
    </row>
    <row r="4676" spans="19:32" x14ac:dyDescent="0.35">
      <c r="S4676" s="13"/>
      <c r="T4676" s="16"/>
      <c r="U4676" s="16"/>
      <c r="V4676" s="16"/>
      <c r="W4676" s="13"/>
      <c r="X4676" s="34">
        <v>4672</v>
      </c>
      <c r="Y4676" s="34" t="s">
        <v>2248</v>
      </c>
      <c r="Z4676" s="34" t="s">
        <v>4114</v>
      </c>
      <c r="AA4676" s="35">
        <v>4.4213709677419361E-5</v>
      </c>
      <c r="AB4676" s="13"/>
      <c r="AC4676" s="13"/>
      <c r="AD4676" s="13"/>
      <c r="AE4676" s="13"/>
      <c r="AF4676" s="13"/>
    </row>
    <row r="4677" spans="19:32" x14ac:dyDescent="0.35">
      <c r="S4677" s="13"/>
      <c r="T4677" s="16"/>
      <c r="U4677" s="16"/>
      <c r="V4677" s="16"/>
      <c r="W4677" s="13"/>
      <c r="X4677" s="34">
        <v>4673</v>
      </c>
      <c r="Y4677" s="34" t="s">
        <v>2248</v>
      </c>
      <c r="Z4677" s="34" t="s">
        <v>3998</v>
      </c>
      <c r="AA4677" s="35">
        <v>2.1078629032258066E-2</v>
      </c>
      <c r="AB4677" s="13"/>
      <c r="AC4677" s="13"/>
      <c r="AD4677" s="13"/>
      <c r="AE4677" s="13"/>
      <c r="AF4677" s="13"/>
    </row>
    <row r="4678" spans="19:32" x14ac:dyDescent="0.35">
      <c r="S4678" s="13"/>
      <c r="T4678" s="16"/>
      <c r="U4678" s="16"/>
      <c r="V4678" s="16"/>
      <c r="W4678" s="13"/>
      <c r="X4678" s="34">
        <v>4674</v>
      </c>
      <c r="Y4678" s="34" t="s">
        <v>2248</v>
      </c>
      <c r="Z4678" s="34" t="s">
        <v>4113</v>
      </c>
      <c r="AA4678" s="35">
        <v>6.5463709677419363E-5</v>
      </c>
      <c r="AB4678" s="13"/>
      <c r="AC4678" s="13"/>
      <c r="AD4678" s="13"/>
      <c r="AE4678" s="13"/>
      <c r="AF4678" s="13"/>
    </row>
    <row r="4679" spans="19:32" x14ac:dyDescent="0.35">
      <c r="S4679" s="13"/>
      <c r="T4679" s="16"/>
      <c r="U4679" s="16"/>
      <c r="V4679" s="16"/>
      <c r="W4679" s="13"/>
      <c r="X4679" s="34">
        <v>4675</v>
      </c>
      <c r="Y4679" s="34" t="s">
        <v>2248</v>
      </c>
      <c r="Z4679" s="34" t="s">
        <v>2410</v>
      </c>
      <c r="AA4679" s="35">
        <v>1.8199596774193552E-5</v>
      </c>
      <c r="AB4679" s="13"/>
      <c r="AC4679" s="13"/>
      <c r="AD4679" s="13"/>
      <c r="AE4679" s="13"/>
      <c r="AF4679" s="13"/>
    </row>
    <row r="4680" spans="19:32" x14ac:dyDescent="0.35">
      <c r="S4680" s="13"/>
      <c r="T4680" s="16"/>
      <c r="U4680" s="16"/>
      <c r="V4680" s="16"/>
      <c r="W4680" s="13"/>
      <c r="X4680" s="47">
        <v>4676</v>
      </c>
      <c r="Y4680" s="47" t="s">
        <v>2248</v>
      </c>
      <c r="Z4680" s="47" t="s">
        <v>2487</v>
      </c>
      <c r="AA4680" s="56">
        <v>0</v>
      </c>
      <c r="AB4680" s="13"/>
      <c r="AC4680" s="13"/>
      <c r="AD4680" s="13"/>
      <c r="AE4680" s="13"/>
      <c r="AF4680" s="13"/>
    </row>
    <row r="4681" spans="19:32" x14ac:dyDescent="0.35">
      <c r="S4681" s="13"/>
      <c r="T4681" s="16"/>
      <c r="U4681" s="16"/>
      <c r="V4681" s="16"/>
      <c r="W4681" s="13"/>
      <c r="X4681" s="47">
        <v>4677</v>
      </c>
      <c r="Y4681" s="47" t="s">
        <v>2248</v>
      </c>
      <c r="Z4681" s="47" t="s">
        <v>4112</v>
      </c>
      <c r="AA4681" s="56">
        <v>2.0633064516129032E-4</v>
      </c>
      <c r="AB4681" s="13"/>
      <c r="AC4681" s="13"/>
      <c r="AD4681" s="13"/>
      <c r="AE4681" s="13"/>
      <c r="AF4681" s="13"/>
    </row>
    <row r="4682" spans="19:32" x14ac:dyDescent="0.35">
      <c r="S4682" s="13"/>
      <c r="T4682" s="16"/>
      <c r="U4682" s="16"/>
      <c r="V4682" s="16"/>
      <c r="W4682" s="13"/>
      <c r="X4682" s="34">
        <v>4678</v>
      </c>
      <c r="Y4682" s="34" t="s">
        <v>2248</v>
      </c>
      <c r="Z4682" s="34" t="s">
        <v>2487</v>
      </c>
      <c r="AA4682" s="35">
        <v>3.6330645161290324E-3</v>
      </c>
      <c r="AB4682" s="13"/>
      <c r="AC4682" s="13"/>
      <c r="AD4682" s="13"/>
      <c r="AE4682" s="13"/>
      <c r="AF4682" s="13"/>
    </row>
    <row r="4683" spans="19:32" x14ac:dyDescent="0.35">
      <c r="S4683" s="13"/>
      <c r="T4683" s="16"/>
      <c r="U4683" s="16"/>
      <c r="V4683" s="16"/>
      <c r="W4683" s="13"/>
      <c r="X4683" s="34">
        <v>4679</v>
      </c>
      <c r="Y4683" s="34" t="s">
        <v>2248</v>
      </c>
      <c r="Z4683" s="34" t="s">
        <v>3995</v>
      </c>
      <c r="AA4683" s="35">
        <v>1.9433467741935484E-5</v>
      </c>
      <c r="AB4683" s="13"/>
      <c r="AC4683" s="13"/>
      <c r="AD4683" s="13"/>
      <c r="AE4683" s="13"/>
      <c r="AF4683" s="13"/>
    </row>
    <row r="4684" spans="19:32" x14ac:dyDescent="0.35">
      <c r="S4684" s="13"/>
      <c r="T4684" s="16"/>
      <c r="U4684" s="16"/>
      <c r="V4684" s="16"/>
      <c r="W4684" s="13"/>
      <c r="X4684" s="34">
        <v>4680</v>
      </c>
      <c r="Y4684" s="34" t="s">
        <v>2248</v>
      </c>
      <c r="Z4684" s="34" t="s">
        <v>4111</v>
      </c>
      <c r="AA4684" s="35">
        <v>1.0145161290322582E-2</v>
      </c>
      <c r="AB4684" s="13"/>
      <c r="AC4684" s="13"/>
      <c r="AD4684" s="13"/>
      <c r="AE4684" s="13"/>
      <c r="AF4684" s="13"/>
    </row>
    <row r="4685" spans="19:32" x14ac:dyDescent="0.35">
      <c r="S4685" s="13"/>
      <c r="T4685" s="16"/>
      <c r="U4685" s="16"/>
      <c r="V4685" s="16"/>
      <c r="W4685" s="13"/>
      <c r="X4685" s="34">
        <v>4681</v>
      </c>
      <c r="Y4685" s="34" t="s">
        <v>2248</v>
      </c>
      <c r="Z4685" s="34" t="s">
        <v>3994</v>
      </c>
      <c r="AA4685" s="35">
        <v>1.0727822580645161E-3</v>
      </c>
      <c r="AB4685" s="13"/>
      <c r="AC4685" s="13"/>
      <c r="AD4685" s="13"/>
      <c r="AE4685" s="13"/>
      <c r="AF4685" s="13"/>
    </row>
    <row r="4686" spans="19:32" x14ac:dyDescent="0.35">
      <c r="S4686" s="13"/>
      <c r="T4686" s="16"/>
      <c r="U4686" s="16"/>
      <c r="V4686" s="16"/>
      <c r="W4686" s="13"/>
      <c r="X4686" s="34">
        <v>4682</v>
      </c>
      <c r="Y4686" s="34" t="s">
        <v>2248</v>
      </c>
      <c r="Z4686" s="34" t="s">
        <v>4110</v>
      </c>
      <c r="AA4686" s="35">
        <v>2.4266129032258065E-3</v>
      </c>
      <c r="AB4686" s="13"/>
      <c r="AC4686" s="13"/>
      <c r="AD4686" s="13"/>
      <c r="AE4686" s="13"/>
      <c r="AF4686" s="13"/>
    </row>
    <row r="4687" spans="19:32" x14ac:dyDescent="0.35">
      <c r="S4687" s="13"/>
      <c r="T4687" s="16"/>
      <c r="U4687" s="16"/>
      <c r="V4687" s="16"/>
      <c r="W4687" s="13"/>
      <c r="X4687" s="34">
        <v>4683</v>
      </c>
      <c r="Y4687" s="34" t="s">
        <v>2248</v>
      </c>
      <c r="Z4687" s="34" t="s">
        <v>4109</v>
      </c>
      <c r="AA4687" s="35">
        <v>1.5663306451612905E-4</v>
      </c>
      <c r="AB4687" s="13"/>
      <c r="AC4687" s="13"/>
      <c r="AD4687" s="13"/>
      <c r="AE4687" s="13"/>
      <c r="AF4687" s="13"/>
    </row>
    <row r="4688" spans="19:32" x14ac:dyDescent="0.35">
      <c r="S4688" s="13"/>
      <c r="T4688" s="16"/>
      <c r="U4688" s="16"/>
      <c r="V4688" s="16"/>
      <c r="W4688" s="13"/>
      <c r="X4688" s="34">
        <v>4684</v>
      </c>
      <c r="Y4688" s="34" t="s">
        <v>2248</v>
      </c>
      <c r="Z4688" s="34" t="s">
        <v>3992</v>
      </c>
      <c r="AA4688" s="35">
        <v>1.6383064516129035E-2</v>
      </c>
      <c r="AB4688" s="13"/>
      <c r="AC4688" s="13"/>
      <c r="AD4688" s="13"/>
      <c r="AE4688" s="13"/>
      <c r="AF4688" s="13"/>
    </row>
    <row r="4689" spans="19:32" x14ac:dyDescent="0.35">
      <c r="S4689" s="13"/>
      <c r="T4689" s="16"/>
      <c r="U4689" s="16"/>
      <c r="V4689" s="16"/>
      <c r="W4689" s="13"/>
      <c r="X4689" s="47">
        <v>4685</v>
      </c>
      <c r="Y4689" s="47" t="s">
        <v>2248</v>
      </c>
      <c r="Z4689" s="47" t="s">
        <v>2485</v>
      </c>
      <c r="AA4689" s="56">
        <v>1.7203999999999997E-2</v>
      </c>
      <c r="AB4689" s="13"/>
      <c r="AC4689" s="13"/>
      <c r="AD4689" s="13"/>
      <c r="AE4689" s="13"/>
      <c r="AF4689" s="13"/>
    </row>
    <row r="4690" spans="19:32" x14ac:dyDescent="0.35">
      <c r="S4690" s="13"/>
      <c r="T4690" s="16"/>
      <c r="U4690" s="16"/>
      <c r="V4690" s="16"/>
      <c r="W4690" s="13"/>
      <c r="X4690" s="34">
        <v>4686</v>
      </c>
      <c r="Y4690" s="34" t="s">
        <v>2248</v>
      </c>
      <c r="Z4690" s="34" t="s">
        <v>3991</v>
      </c>
      <c r="AA4690" s="35">
        <v>3.770161290322581</v>
      </c>
      <c r="AB4690" s="13"/>
      <c r="AC4690" s="13"/>
      <c r="AD4690" s="13"/>
      <c r="AE4690" s="13"/>
      <c r="AF4690" s="13"/>
    </row>
    <row r="4691" spans="19:32" x14ac:dyDescent="0.35">
      <c r="S4691" s="13"/>
      <c r="T4691" s="16"/>
      <c r="U4691" s="16"/>
      <c r="V4691" s="16"/>
      <c r="W4691" s="13"/>
      <c r="X4691" s="34">
        <v>4687</v>
      </c>
      <c r="Y4691" s="34" t="s">
        <v>2248</v>
      </c>
      <c r="Z4691" s="34" t="s">
        <v>4108</v>
      </c>
      <c r="AA4691" s="35">
        <v>1.1653225806451613E-4</v>
      </c>
      <c r="AB4691" s="13"/>
      <c r="AC4691" s="13"/>
      <c r="AD4691" s="13"/>
      <c r="AE4691" s="13"/>
      <c r="AF4691" s="13"/>
    </row>
    <row r="4692" spans="19:32" x14ac:dyDescent="0.35">
      <c r="S4692" s="13"/>
      <c r="T4692" s="16"/>
      <c r="U4692" s="16"/>
      <c r="V4692" s="16"/>
      <c r="W4692" s="13"/>
      <c r="X4692" s="47">
        <v>4688</v>
      </c>
      <c r="Y4692" s="47" t="s">
        <v>2248</v>
      </c>
      <c r="Z4692" s="47" t="s">
        <v>4107</v>
      </c>
      <c r="AA4692" s="56">
        <v>1.6828629032258065E-2</v>
      </c>
      <c r="AB4692" s="13"/>
      <c r="AC4692" s="13"/>
      <c r="AD4692" s="13"/>
      <c r="AE4692" s="13"/>
      <c r="AF4692" s="13"/>
    </row>
    <row r="4693" spans="19:32" x14ac:dyDescent="0.35">
      <c r="S4693" s="13"/>
      <c r="T4693" s="16"/>
      <c r="U4693" s="16"/>
      <c r="V4693" s="16"/>
      <c r="W4693" s="13"/>
      <c r="X4693" s="34">
        <v>4689</v>
      </c>
      <c r="Y4693" s="34" t="s">
        <v>2248</v>
      </c>
      <c r="Z4693" s="34" t="s">
        <v>3990</v>
      </c>
      <c r="AA4693" s="35">
        <v>4.1129032258064517E-2</v>
      </c>
      <c r="AB4693" s="13"/>
      <c r="AC4693" s="13"/>
      <c r="AD4693" s="13"/>
      <c r="AE4693" s="13"/>
      <c r="AF4693" s="13"/>
    </row>
    <row r="4694" spans="19:32" x14ac:dyDescent="0.35">
      <c r="S4694" s="13"/>
      <c r="T4694" s="16"/>
      <c r="U4694" s="16"/>
      <c r="V4694" s="16"/>
      <c r="W4694" s="13"/>
      <c r="X4694" s="47">
        <v>4690</v>
      </c>
      <c r="Y4694" s="47" t="s">
        <v>2248</v>
      </c>
      <c r="Z4694" s="47" t="s">
        <v>2484</v>
      </c>
      <c r="AA4694" s="56">
        <v>5.6948000000000003E-4</v>
      </c>
      <c r="AB4694" s="13"/>
      <c r="AC4694" s="13"/>
      <c r="AD4694" s="13"/>
      <c r="AE4694" s="13"/>
      <c r="AF4694" s="13"/>
    </row>
    <row r="4695" spans="19:32" x14ac:dyDescent="0.35">
      <c r="S4695" s="13"/>
      <c r="T4695" s="16"/>
      <c r="U4695" s="16"/>
      <c r="V4695" s="16"/>
      <c r="W4695" s="13"/>
      <c r="X4695" s="34">
        <v>4691</v>
      </c>
      <c r="Y4695" s="34" t="s">
        <v>2248</v>
      </c>
      <c r="Z4695" s="34" t="s">
        <v>2484</v>
      </c>
      <c r="AA4695" s="35">
        <v>1.3572580645161293E-3</v>
      </c>
      <c r="AB4695" s="13"/>
      <c r="AC4695" s="13"/>
      <c r="AD4695" s="13"/>
      <c r="AE4695" s="13"/>
      <c r="AF4695" s="13"/>
    </row>
    <row r="4696" spans="19:32" x14ac:dyDescent="0.35">
      <c r="S4696" s="13"/>
      <c r="T4696" s="16"/>
      <c r="U4696" s="16"/>
      <c r="V4696" s="16"/>
      <c r="W4696" s="13"/>
      <c r="X4696" s="34">
        <v>4692</v>
      </c>
      <c r="Y4696" s="34" t="s">
        <v>2248</v>
      </c>
      <c r="Z4696" s="34" t="s">
        <v>3989</v>
      </c>
      <c r="AA4696" s="35">
        <v>3.4274193548387101E-4</v>
      </c>
      <c r="AB4696" s="13"/>
      <c r="AC4696" s="13"/>
      <c r="AD4696" s="13"/>
      <c r="AE4696" s="13"/>
      <c r="AF4696" s="13"/>
    </row>
    <row r="4697" spans="19:32" x14ac:dyDescent="0.35">
      <c r="S4697" s="13"/>
      <c r="T4697" s="16"/>
      <c r="U4697" s="16"/>
      <c r="V4697" s="16"/>
      <c r="W4697" s="13"/>
      <c r="X4697" s="47">
        <v>4693</v>
      </c>
      <c r="Y4697" s="47" t="s">
        <v>2248</v>
      </c>
      <c r="Z4697" s="47" t="s">
        <v>4106</v>
      </c>
      <c r="AA4697" s="56">
        <v>1.3264112903225807E-10</v>
      </c>
      <c r="AB4697" s="13"/>
      <c r="AC4697" s="13"/>
      <c r="AD4697" s="13"/>
      <c r="AE4697" s="13"/>
      <c r="AF4697" s="13"/>
    </row>
    <row r="4698" spans="19:32" x14ac:dyDescent="0.35">
      <c r="S4698" s="13"/>
      <c r="T4698" s="16"/>
      <c r="U4698" s="16"/>
      <c r="V4698" s="16"/>
      <c r="W4698" s="13"/>
      <c r="X4698" s="34">
        <v>4694</v>
      </c>
      <c r="Y4698" s="34" t="s">
        <v>2248</v>
      </c>
      <c r="Z4698" s="34" t="s">
        <v>4105</v>
      </c>
      <c r="AA4698" s="35">
        <v>7.3689516129032259E-5</v>
      </c>
      <c r="AB4698" s="13"/>
      <c r="AC4698" s="13"/>
      <c r="AD4698" s="13"/>
      <c r="AE4698" s="13"/>
      <c r="AF4698" s="13"/>
    </row>
    <row r="4699" spans="19:32" x14ac:dyDescent="0.35">
      <c r="S4699" s="13"/>
      <c r="T4699" s="16"/>
      <c r="U4699" s="16"/>
      <c r="V4699" s="16"/>
      <c r="W4699" s="13"/>
      <c r="X4699" s="34">
        <v>4695</v>
      </c>
      <c r="Y4699" s="34" t="s">
        <v>2248</v>
      </c>
      <c r="Z4699" s="34" t="s">
        <v>3988</v>
      </c>
      <c r="AA4699" s="35">
        <v>6.9919354838709676E-6</v>
      </c>
      <c r="AB4699" s="13"/>
      <c r="AC4699" s="13"/>
      <c r="AD4699" s="13"/>
      <c r="AE4699" s="13"/>
      <c r="AF4699" s="13"/>
    </row>
    <row r="4700" spans="19:32" x14ac:dyDescent="0.35">
      <c r="S4700" s="13"/>
      <c r="T4700" s="16"/>
      <c r="U4700" s="16"/>
      <c r="V4700" s="16"/>
      <c r="W4700" s="13"/>
      <c r="X4700" s="34">
        <v>4696</v>
      </c>
      <c r="Y4700" s="34" t="s">
        <v>2248</v>
      </c>
      <c r="Z4700" s="34" t="s">
        <v>4104</v>
      </c>
      <c r="AA4700" s="35">
        <v>5.6895161290322583E-3</v>
      </c>
      <c r="AB4700" s="13"/>
      <c r="AC4700" s="13"/>
      <c r="AD4700" s="13"/>
      <c r="AE4700" s="13"/>
      <c r="AF4700" s="13"/>
    </row>
    <row r="4701" spans="19:32" x14ac:dyDescent="0.35">
      <c r="S4701" s="13"/>
      <c r="T4701" s="16"/>
      <c r="U4701" s="16"/>
      <c r="V4701" s="16"/>
      <c r="W4701" s="13"/>
      <c r="X4701" s="47">
        <v>4697</v>
      </c>
      <c r="Y4701" s="47" t="s">
        <v>2248</v>
      </c>
      <c r="Z4701" s="47" t="s">
        <v>3136</v>
      </c>
      <c r="AA4701" s="56">
        <v>3.4034274193548386E-5</v>
      </c>
      <c r="AB4701" s="13"/>
      <c r="AC4701" s="13"/>
      <c r="AD4701" s="13"/>
      <c r="AE4701" s="13"/>
      <c r="AF4701" s="13"/>
    </row>
    <row r="4702" spans="19:32" x14ac:dyDescent="0.35">
      <c r="S4702" s="13"/>
      <c r="T4702" s="16"/>
      <c r="U4702" s="16"/>
      <c r="V4702" s="16"/>
      <c r="W4702" s="13"/>
      <c r="X4702" s="34">
        <v>4698</v>
      </c>
      <c r="Y4702" s="34" t="s">
        <v>2248</v>
      </c>
      <c r="Z4702" s="34" t="s">
        <v>3986</v>
      </c>
      <c r="AA4702" s="35">
        <v>2.6493951612903226</v>
      </c>
      <c r="AB4702" s="13"/>
      <c r="AC4702" s="13"/>
      <c r="AD4702" s="13"/>
      <c r="AE4702" s="13"/>
      <c r="AF4702" s="13"/>
    </row>
    <row r="4703" spans="19:32" x14ac:dyDescent="0.35">
      <c r="S4703" s="13"/>
      <c r="T4703" s="16"/>
      <c r="U4703" s="16"/>
      <c r="V4703" s="16"/>
      <c r="W4703" s="13"/>
      <c r="X4703" s="34">
        <v>4699</v>
      </c>
      <c r="Y4703" s="34" t="s">
        <v>2248</v>
      </c>
      <c r="Z4703" s="34" t="s">
        <v>4103</v>
      </c>
      <c r="AA4703" s="35">
        <v>0.1607459677419355</v>
      </c>
      <c r="AB4703" s="13"/>
      <c r="AC4703" s="13"/>
      <c r="AD4703" s="13"/>
      <c r="AE4703" s="13"/>
      <c r="AF4703" s="13"/>
    </row>
    <row r="4704" spans="19:32" x14ac:dyDescent="0.35">
      <c r="S4704" s="13"/>
      <c r="T4704" s="16"/>
      <c r="U4704" s="16"/>
      <c r="V4704" s="16"/>
      <c r="W4704" s="13"/>
      <c r="X4704" s="34">
        <v>4700</v>
      </c>
      <c r="Y4704" s="34" t="s">
        <v>2248</v>
      </c>
      <c r="Z4704" s="34" t="s">
        <v>4102</v>
      </c>
      <c r="AA4704" s="35">
        <v>1.9536290322580648E-2</v>
      </c>
      <c r="AB4704" s="13"/>
      <c r="AC4704" s="13"/>
      <c r="AD4704" s="13"/>
      <c r="AE4704" s="13"/>
      <c r="AF4704" s="13"/>
    </row>
    <row r="4705" spans="19:32" x14ac:dyDescent="0.35">
      <c r="S4705" s="13"/>
      <c r="T4705" s="16"/>
      <c r="U4705" s="16"/>
      <c r="V4705" s="16"/>
      <c r="W4705" s="13"/>
      <c r="X4705" s="34">
        <v>4701</v>
      </c>
      <c r="Y4705" s="34" t="s">
        <v>2248</v>
      </c>
      <c r="Z4705" s="34" t="s">
        <v>3985</v>
      </c>
      <c r="AA4705" s="35">
        <v>6.1350806451612909E-3</v>
      </c>
      <c r="AB4705" s="13"/>
      <c r="AC4705" s="13"/>
      <c r="AD4705" s="13"/>
      <c r="AE4705" s="13"/>
      <c r="AF4705" s="13"/>
    </row>
    <row r="4706" spans="19:32" x14ac:dyDescent="0.35">
      <c r="S4706" s="13"/>
      <c r="T4706" s="16"/>
      <c r="U4706" s="16"/>
      <c r="V4706" s="16"/>
      <c r="W4706" s="13"/>
      <c r="X4706" s="47">
        <v>4702</v>
      </c>
      <c r="Y4706" s="47" t="s">
        <v>2248</v>
      </c>
      <c r="Z4706" s="47" t="s">
        <v>3134</v>
      </c>
      <c r="AA4706" s="56">
        <v>7.7116935483870978E-4</v>
      </c>
      <c r="AB4706" s="13"/>
      <c r="AC4706" s="13"/>
      <c r="AD4706" s="13"/>
      <c r="AE4706" s="13"/>
      <c r="AF4706" s="13"/>
    </row>
    <row r="4707" spans="19:32" x14ac:dyDescent="0.35">
      <c r="S4707" s="13"/>
      <c r="T4707" s="16"/>
      <c r="U4707" s="16"/>
      <c r="V4707" s="16"/>
      <c r="W4707" s="13"/>
      <c r="X4707" s="34">
        <v>4703</v>
      </c>
      <c r="Y4707" s="34" t="s">
        <v>2248</v>
      </c>
      <c r="Z4707" s="34" t="s">
        <v>4101</v>
      </c>
      <c r="AA4707" s="35">
        <v>1.5560483870967742E-2</v>
      </c>
      <c r="AB4707" s="13"/>
      <c r="AC4707" s="13"/>
      <c r="AD4707" s="13"/>
      <c r="AE4707" s="13"/>
      <c r="AF4707" s="13"/>
    </row>
    <row r="4708" spans="19:32" x14ac:dyDescent="0.35">
      <c r="S4708" s="13"/>
      <c r="T4708" s="16"/>
      <c r="U4708" s="16"/>
      <c r="V4708" s="16"/>
      <c r="W4708" s="13"/>
      <c r="X4708" s="34">
        <v>4704</v>
      </c>
      <c r="Y4708" s="34" t="s">
        <v>2248</v>
      </c>
      <c r="Z4708" s="34" t="s">
        <v>2404</v>
      </c>
      <c r="AA4708" s="35">
        <v>2.8824596774193549E-5</v>
      </c>
      <c r="AB4708" s="13"/>
      <c r="AC4708" s="13"/>
      <c r="AD4708" s="13"/>
      <c r="AE4708" s="13"/>
      <c r="AF4708" s="13"/>
    </row>
    <row r="4709" spans="19:32" x14ac:dyDescent="0.35">
      <c r="S4709" s="13"/>
      <c r="T4709" s="16"/>
      <c r="U4709" s="16"/>
      <c r="V4709" s="16"/>
      <c r="W4709" s="13"/>
      <c r="X4709" s="47">
        <v>4705</v>
      </c>
      <c r="Y4709" s="47" t="s">
        <v>2248</v>
      </c>
      <c r="Z4709" s="47" t="s">
        <v>2482</v>
      </c>
      <c r="AA4709" s="56">
        <v>0.49495999999999996</v>
      </c>
      <c r="AB4709" s="13"/>
      <c r="AC4709" s="13"/>
      <c r="AD4709" s="13"/>
      <c r="AE4709" s="13"/>
      <c r="AF4709" s="13"/>
    </row>
    <row r="4710" spans="19:32" x14ac:dyDescent="0.35">
      <c r="S4710" s="13"/>
      <c r="T4710" s="16"/>
      <c r="U4710" s="16"/>
      <c r="V4710" s="16"/>
      <c r="W4710" s="13"/>
      <c r="X4710" s="34">
        <v>4706</v>
      </c>
      <c r="Y4710" s="34" t="s">
        <v>2248</v>
      </c>
      <c r="Z4710" s="34" t="s">
        <v>2482</v>
      </c>
      <c r="AA4710" s="35">
        <v>0.23340725806451615</v>
      </c>
      <c r="AB4710" s="13"/>
      <c r="AC4710" s="13"/>
      <c r="AD4710" s="13"/>
      <c r="AE4710" s="13"/>
      <c r="AF4710" s="13"/>
    </row>
    <row r="4711" spans="19:32" x14ac:dyDescent="0.35">
      <c r="S4711" s="13"/>
      <c r="T4711" s="16"/>
      <c r="U4711" s="16"/>
      <c r="V4711" s="16"/>
      <c r="W4711" s="13"/>
      <c r="X4711" s="34">
        <v>4707</v>
      </c>
      <c r="Y4711" s="34" t="s">
        <v>2248</v>
      </c>
      <c r="Z4711" s="34" t="s">
        <v>3981</v>
      </c>
      <c r="AA4711" s="35">
        <v>0.15766129032258067</v>
      </c>
      <c r="AB4711" s="13"/>
      <c r="AC4711" s="13"/>
      <c r="AD4711" s="13"/>
      <c r="AE4711" s="13"/>
      <c r="AF4711" s="13"/>
    </row>
    <row r="4712" spans="19:32" x14ac:dyDescent="0.35">
      <c r="S4712" s="13"/>
      <c r="T4712" s="16"/>
      <c r="U4712" s="16"/>
      <c r="V4712" s="16"/>
      <c r="W4712" s="13"/>
      <c r="X4712" s="34">
        <v>4708</v>
      </c>
      <c r="Y4712" s="34" t="s">
        <v>2248</v>
      </c>
      <c r="Z4712" s="34" t="s">
        <v>4100</v>
      </c>
      <c r="AA4712" s="35">
        <v>1.2818548387096775E-3</v>
      </c>
      <c r="AB4712" s="13"/>
      <c r="AC4712" s="13"/>
      <c r="AD4712" s="13"/>
      <c r="AE4712" s="13"/>
      <c r="AF4712" s="13"/>
    </row>
    <row r="4713" spans="19:32" x14ac:dyDescent="0.35">
      <c r="S4713" s="13"/>
      <c r="T4713" s="16"/>
      <c r="U4713" s="16"/>
      <c r="V4713" s="16"/>
      <c r="W4713" s="13"/>
      <c r="X4713" s="47">
        <v>4709</v>
      </c>
      <c r="Y4713" s="47" t="s">
        <v>2248</v>
      </c>
      <c r="Z4713" s="47" t="s">
        <v>2481</v>
      </c>
      <c r="AA4713" s="56">
        <v>3.2568000000000001</v>
      </c>
      <c r="AB4713" s="13"/>
      <c r="AC4713" s="13"/>
      <c r="AD4713" s="13"/>
      <c r="AE4713" s="13"/>
      <c r="AF4713" s="13"/>
    </row>
    <row r="4714" spans="19:32" x14ac:dyDescent="0.35">
      <c r="S4714" s="13"/>
      <c r="T4714" s="16"/>
      <c r="U4714" s="16"/>
      <c r="V4714" s="16"/>
      <c r="W4714" s="13"/>
      <c r="X4714" s="34">
        <v>4710</v>
      </c>
      <c r="Y4714" s="34" t="s">
        <v>2248</v>
      </c>
      <c r="Z4714" s="34" t="s">
        <v>3980</v>
      </c>
      <c r="AA4714" s="35">
        <v>0.11824596774193549</v>
      </c>
      <c r="AB4714" s="13"/>
      <c r="AC4714" s="13"/>
      <c r="AD4714" s="13"/>
      <c r="AE4714" s="13"/>
      <c r="AF4714" s="13"/>
    </row>
    <row r="4715" spans="19:32" x14ac:dyDescent="0.35">
      <c r="S4715" s="13"/>
      <c r="T4715" s="16"/>
      <c r="U4715" s="16"/>
      <c r="V4715" s="16"/>
      <c r="W4715" s="13"/>
      <c r="X4715" s="34">
        <v>4711</v>
      </c>
      <c r="Y4715" s="34" t="s">
        <v>2248</v>
      </c>
      <c r="Z4715" s="34" t="s">
        <v>4099</v>
      </c>
      <c r="AA4715" s="35">
        <v>0.84657258064516139</v>
      </c>
      <c r="AB4715" s="13"/>
      <c r="AC4715" s="13"/>
      <c r="AD4715" s="13"/>
      <c r="AE4715" s="13"/>
      <c r="AF4715" s="13"/>
    </row>
    <row r="4716" spans="19:32" x14ac:dyDescent="0.35">
      <c r="S4716" s="13"/>
      <c r="T4716" s="16"/>
      <c r="U4716" s="16"/>
      <c r="V4716" s="16"/>
      <c r="W4716" s="13"/>
      <c r="X4716" s="34">
        <v>4712</v>
      </c>
      <c r="Y4716" s="34" t="s">
        <v>2248</v>
      </c>
      <c r="Z4716" s="34" t="s">
        <v>2396</v>
      </c>
      <c r="AA4716" s="35">
        <v>1.4155241935483872E-2</v>
      </c>
      <c r="AB4716" s="13"/>
      <c r="AC4716" s="13"/>
      <c r="AD4716" s="13"/>
      <c r="AE4716" s="13"/>
      <c r="AF4716" s="13"/>
    </row>
    <row r="4717" spans="19:32" x14ac:dyDescent="0.35">
      <c r="S4717" s="13"/>
      <c r="T4717" s="16"/>
      <c r="U4717" s="16"/>
      <c r="V4717" s="16"/>
      <c r="W4717" s="13"/>
      <c r="X4717" s="47">
        <v>4713</v>
      </c>
      <c r="Y4717" s="47" t="s">
        <v>2248</v>
      </c>
      <c r="Z4717" s="47" t="s">
        <v>4098</v>
      </c>
      <c r="AA4717" s="56">
        <v>5.6209677419354835E-4</v>
      </c>
      <c r="AB4717" s="13"/>
      <c r="AC4717" s="13"/>
      <c r="AD4717" s="13"/>
      <c r="AE4717" s="13"/>
      <c r="AF4717" s="13"/>
    </row>
    <row r="4718" spans="19:32" x14ac:dyDescent="0.35">
      <c r="S4718" s="13"/>
      <c r="T4718" s="16"/>
      <c r="U4718" s="16"/>
      <c r="V4718" s="16"/>
      <c r="W4718" s="13"/>
      <c r="X4718" s="34">
        <v>4714</v>
      </c>
      <c r="Y4718" s="34" t="s">
        <v>2248</v>
      </c>
      <c r="Z4718" s="34" t="s">
        <v>4097</v>
      </c>
      <c r="AA4718" s="35">
        <v>5.7237903225806452E-4</v>
      </c>
      <c r="AB4718" s="13"/>
      <c r="AC4718" s="13"/>
      <c r="AD4718" s="13"/>
      <c r="AE4718" s="13"/>
      <c r="AF4718" s="13"/>
    </row>
    <row r="4719" spans="19:32" x14ac:dyDescent="0.35">
      <c r="S4719" s="13"/>
      <c r="T4719" s="16"/>
      <c r="U4719" s="16"/>
      <c r="V4719" s="16"/>
      <c r="W4719" s="13"/>
      <c r="X4719" s="34">
        <v>4715</v>
      </c>
      <c r="Y4719" s="34" t="s">
        <v>2248</v>
      </c>
      <c r="Z4719" s="34" t="s">
        <v>2393</v>
      </c>
      <c r="AA4719" s="35">
        <v>4.1471774193548389E-2</v>
      </c>
      <c r="AB4719" s="13"/>
      <c r="AC4719" s="13"/>
      <c r="AD4719" s="13"/>
      <c r="AE4719" s="13"/>
      <c r="AF4719" s="13"/>
    </row>
    <row r="4720" spans="19:32" x14ac:dyDescent="0.35">
      <c r="S4720" s="13"/>
      <c r="T4720" s="16"/>
      <c r="U4720" s="16"/>
      <c r="V4720" s="16"/>
      <c r="W4720" s="13"/>
      <c r="X4720" s="34">
        <v>4716</v>
      </c>
      <c r="Y4720" s="34" t="s">
        <v>2248</v>
      </c>
      <c r="Z4720" s="34" t="s">
        <v>4096</v>
      </c>
      <c r="AA4720" s="35">
        <v>5.6895161290322594E-4</v>
      </c>
      <c r="AB4720" s="13"/>
      <c r="AC4720" s="13"/>
      <c r="AD4720" s="13"/>
      <c r="AE4720" s="13"/>
      <c r="AF4720" s="13"/>
    </row>
    <row r="4721" spans="19:32" x14ac:dyDescent="0.35">
      <c r="S4721" s="13"/>
      <c r="T4721" s="16"/>
      <c r="U4721" s="16"/>
      <c r="V4721" s="16"/>
      <c r="W4721" s="13"/>
      <c r="X4721" s="34">
        <v>4717</v>
      </c>
      <c r="Y4721" s="34" t="s">
        <v>2248</v>
      </c>
      <c r="Z4721" s="34" t="s">
        <v>4095</v>
      </c>
      <c r="AA4721" s="35">
        <v>9.2540322580645174E-6</v>
      </c>
      <c r="AB4721" s="13"/>
      <c r="AC4721" s="13"/>
      <c r="AD4721" s="13"/>
      <c r="AE4721" s="13"/>
      <c r="AF4721" s="13"/>
    </row>
    <row r="4722" spans="19:32" x14ac:dyDescent="0.35">
      <c r="S4722" s="13"/>
      <c r="T4722" s="16"/>
      <c r="U4722" s="16"/>
      <c r="V4722" s="16"/>
      <c r="W4722" s="13"/>
      <c r="X4722" s="34">
        <v>4718</v>
      </c>
      <c r="Y4722" s="34" t="s">
        <v>2248</v>
      </c>
      <c r="Z4722" s="34" t="s">
        <v>4094</v>
      </c>
      <c r="AA4722" s="35">
        <v>2.1010080645161291E-3</v>
      </c>
      <c r="AB4722" s="13"/>
      <c r="AC4722" s="13"/>
      <c r="AD4722" s="13"/>
      <c r="AE4722" s="13"/>
      <c r="AF4722" s="13"/>
    </row>
    <row r="4723" spans="19:32" x14ac:dyDescent="0.35">
      <c r="S4723" s="13"/>
      <c r="T4723" s="16"/>
      <c r="U4723" s="16"/>
      <c r="V4723" s="16"/>
      <c r="W4723" s="13"/>
      <c r="X4723" s="34">
        <v>4719</v>
      </c>
      <c r="Y4723" s="34" t="s">
        <v>2248</v>
      </c>
      <c r="Z4723" s="34" t="s">
        <v>3976</v>
      </c>
      <c r="AA4723" s="35">
        <v>4.6270161290322583E-3</v>
      </c>
      <c r="AB4723" s="13"/>
      <c r="AC4723" s="13"/>
      <c r="AD4723" s="13"/>
      <c r="AE4723" s="13"/>
      <c r="AF4723" s="13"/>
    </row>
    <row r="4724" spans="19:32" x14ac:dyDescent="0.35">
      <c r="S4724" s="13"/>
      <c r="T4724" s="16"/>
      <c r="U4724" s="16"/>
      <c r="V4724" s="16"/>
      <c r="W4724" s="13"/>
      <c r="X4724" s="34">
        <v>4720</v>
      </c>
      <c r="Y4724" s="34" t="s">
        <v>2248</v>
      </c>
      <c r="Z4724" s="34" t="s">
        <v>4093</v>
      </c>
      <c r="AA4724" s="35">
        <v>6.4778225806451616E-3</v>
      </c>
      <c r="AB4724" s="13"/>
      <c r="AC4724" s="13"/>
      <c r="AD4724" s="13"/>
      <c r="AE4724" s="13"/>
      <c r="AF4724" s="13"/>
    </row>
    <row r="4725" spans="19:32" x14ac:dyDescent="0.35">
      <c r="S4725" s="13"/>
      <c r="T4725" s="16"/>
      <c r="U4725" s="16"/>
      <c r="V4725" s="16"/>
      <c r="W4725" s="13"/>
      <c r="X4725" s="34">
        <v>4721</v>
      </c>
      <c r="Y4725" s="34" t="s">
        <v>2248</v>
      </c>
      <c r="Z4725" s="34" t="s">
        <v>3975</v>
      </c>
      <c r="AA4725" s="35">
        <v>1.8713709677419357E-4</v>
      </c>
      <c r="AB4725" s="13"/>
      <c r="AC4725" s="13"/>
      <c r="AD4725" s="13"/>
      <c r="AE4725" s="13"/>
      <c r="AF4725" s="13"/>
    </row>
    <row r="4726" spans="19:32" x14ac:dyDescent="0.35">
      <c r="S4726" s="13"/>
      <c r="T4726" s="16"/>
      <c r="U4726" s="16"/>
      <c r="V4726" s="16"/>
      <c r="W4726" s="13"/>
      <c r="X4726" s="34">
        <v>4722</v>
      </c>
      <c r="Y4726" s="34" t="s">
        <v>2248</v>
      </c>
      <c r="Z4726" s="34" t="s">
        <v>4092</v>
      </c>
      <c r="AA4726" s="35">
        <v>5.0383064516129032E-6</v>
      </c>
      <c r="AB4726" s="13"/>
      <c r="AC4726" s="13"/>
      <c r="AD4726" s="13"/>
      <c r="AE4726" s="13"/>
      <c r="AF4726" s="13"/>
    </row>
    <row r="4727" spans="19:32" x14ac:dyDescent="0.35">
      <c r="S4727" s="13"/>
      <c r="T4727" s="16"/>
      <c r="U4727" s="16"/>
      <c r="V4727" s="16"/>
      <c r="W4727" s="13"/>
      <c r="X4727" s="47">
        <v>4723</v>
      </c>
      <c r="Y4727" s="47" t="s">
        <v>2248</v>
      </c>
      <c r="Z4727" s="47" t="s">
        <v>4091</v>
      </c>
      <c r="AA4727" s="56">
        <v>5.2096774193548388E-6</v>
      </c>
      <c r="AB4727" s="13"/>
      <c r="AC4727" s="13"/>
      <c r="AD4727" s="13"/>
      <c r="AE4727" s="13"/>
      <c r="AF4727" s="13"/>
    </row>
    <row r="4728" spans="19:32" x14ac:dyDescent="0.35">
      <c r="S4728" s="13"/>
      <c r="T4728" s="16"/>
      <c r="U4728" s="16"/>
      <c r="V4728" s="16"/>
      <c r="W4728" s="13"/>
      <c r="X4728" s="34">
        <v>4724</v>
      </c>
      <c r="Y4728" s="34" t="s">
        <v>2248</v>
      </c>
      <c r="Z4728" s="34" t="s">
        <v>3973</v>
      </c>
      <c r="AA4728" s="35">
        <v>0.36673387096774196</v>
      </c>
      <c r="AB4728" s="13"/>
      <c r="AC4728" s="13"/>
      <c r="AD4728" s="13"/>
      <c r="AE4728" s="13"/>
      <c r="AF4728" s="13"/>
    </row>
    <row r="4729" spans="19:32" x14ac:dyDescent="0.35">
      <c r="S4729" s="13"/>
      <c r="T4729" s="16"/>
      <c r="U4729" s="16"/>
      <c r="V4729" s="16"/>
      <c r="W4729" s="13"/>
      <c r="X4729" s="47">
        <v>4725</v>
      </c>
      <c r="Y4729" s="47" t="s">
        <v>2248</v>
      </c>
      <c r="Z4729" s="47" t="s">
        <v>2479</v>
      </c>
      <c r="AA4729" s="56">
        <v>0.11132000000000002</v>
      </c>
      <c r="AB4729" s="13"/>
      <c r="AC4729" s="13"/>
      <c r="AD4729" s="13"/>
      <c r="AE4729" s="13"/>
      <c r="AF4729" s="13"/>
    </row>
    <row r="4730" spans="19:32" x14ac:dyDescent="0.35">
      <c r="S4730" s="13"/>
      <c r="T4730" s="16"/>
      <c r="U4730" s="16"/>
      <c r="V4730" s="16"/>
      <c r="W4730" s="13"/>
      <c r="X4730" s="34">
        <v>4726</v>
      </c>
      <c r="Y4730" s="34" t="s">
        <v>2248</v>
      </c>
      <c r="Z4730" s="34" t="s">
        <v>2479</v>
      </c>
      <c r="AA4730" s="35">
        <v>6.0665322580645168E-5</v>
      </c>
      <c r="AB4730" s="13"/>
      <c r="AC4730" s="13"/>
      <c r="AD4730" s="13"/>
      <c r="AE4730" s="13"/>
      <c r="AF4730" s="13"/>
    </row>
    <row r="4731" spans="19:32" x14ac:dyDescent="0.35">
      <c r="S4731" s="13"/>
      <c r="T4731" s="16"/>
      <c r="U4731" s="16"/>
      <c r="V4731" s="16"/>
      <c r="W4731" s="13"/>
      <c r="X4731" s="34">
        <v>4727</v>
      </c>
      <c r="Y4731" s="34" t="s">
        <v>2248</v>
      </c>
      <c r="Z4731" s="34" t="s">
        <v>3971</v>
      </c>
      <c r="AA4731" s="35">
        <v>1.2098790322580646</v>
      </c>
      <c r="AB4731" s="13"/>
      <c r="AC4731" s="13"/>
      <c r="AD4731" s="13"/>
      <c r="AE4731" s="13"/>
      <c r="AF4731" s="13"/>
    </row>
    <row r="4732" spans="19:32" x14ac:dyDescent="0.35">
      <c r="S4732" s="13"/>
      <c r="T4732" s="16"/>
      <c r="U4732" s="16"/>
      <c r="V4732" s="16"/>
      <c r="W4732" s="13"/>
      <c r="X4732" s="34">
        <v>4728</v>
      </c>
      <c r="Y4732" s="34" t="s">
        <v>2248</v>
      </c>
      <c r="Z4732" s="34" t="s">
        <v>4090</v>
      </c>
      <c r="AA4732" s="35">
        <v>0.19673387096774195</v>
      </c>
      <c r="AB4732" s="13"/>
      <c r="AC4732" s="13"/>
      <c r="AD4732" s="13"/>
      <c r="AE4732" s="13"/>
      <c r="AF4732" s="13"/>
    </row>
    <row r="4733" spans="19:32" x14ac:dyDescent="0.35">
      <c r="S4733" s="13"/>
      <c r="T4733" s="16"/>
      <c r="U4733" s="16"/>
      <c r="V4733" s="16"/>
      <c r="W4733" s="13"/>
      <c r="X4733" s="47">
        <v>4729</v>
      </c>
      <c r="Y4733" s="47" t="s">
        <v>2248</v>
      </c>
      <c r="Z4733" s="47" t="s">
        <v>2477</v>
      </c>
      <c r="AA4733" s="56">
        <v>0.17572000000000002</v>
      </c>
      <c r="AB4733" s="13"/>
      <c r="AC4733" s="13"/>
      <c r="AD4733" s="13"/>
      <c r="AE4733" s="13"/>
      <c r="AF4733" s="13"/>
    </row>
    <row r="4734" spans="19:32" x14ac:dyDescent="0.35">
      <c r="S4734" s="13"/>
      <c r="T4734" s="16"/>
      <c r="U4734" s="16"/>
      <c r="V4734" s="16"/>
      <c r="W4734" s="13"/>
      <c r="X4734" s="34">
        <v>4730</v>
      </c>
      <c r="Y4734" s="34" t="s">
        <v>2248</v>
      </c>
      <c r="Z4734" s="34" t="s">
        <v>3969</v>
      </c>
      <c r="AA4734" s="35">
        <v>4.010080645161291E-2</v>
      </c>
      <c r="AB4734" s="13"/>
      <c r="AC4734" s="13"/>
      <c r="AD4734" s="13"/>
      <c r="AE4734" s="13"/>
      <c r="AF4734" s="13"/>
    </row>
    <row r="4735" spans="19:32" x14ac:dyDescent="0.35">
      <c r="S4735" s="13"/>
      <c r="T4735" s="16"/>
      <c r="U4735" s="16"/>
      <c r="V4735" s="16"/>
      <c r="W4735" s="13"/>
      <c r="X4735" s="34">
        <v>4731</v>
      </c>
      <c r="Y4735" s="34" t="s">
        <v>2248</v>
      </c>
      <c r="Z4735" s="34" t="s">
        <v>4089</v>
      </c>
      <c r="AA4735" s="35">
        <v>1.3881048387096777E-5</v>
      </c>
      <c r="AB4735" s="13"/>
      <c r="AC4735" s="13"/>
      <c r="AD4735" s="13"/>
      <c r="AE4735" s="13"/>
      <c r="AF4735" s="13"/>
    </row>
    <row r="4736" spans="19:32" x14ac:dyDescent="0.35">
      <c r="S4736" s="13"/>
      <c r="T4736" s="16"/>
      <c r="U4736" s="16"/>
      <c r="V4736" s="16"/>
      <c r="W4736" s="13"/>
      <c r="X4736" s="34">
        <v>4732</v>
      </c>
      <c r="Y4736" s="34" t="s">
        <v>2248</v>
      </c>
      <c r="Z4736" s="34" t="s">
        <v>3968</v>
      </c>
      <c r="AA4736" s="35">
        <v>0.15766129032258067</v>
      </c>
      <c r="AB4736" s="13"/>
      <c r="AC4736" s="13"/>
      <c r="AD4736" s="13"/>
      <c r="AE4736" s="13"/>
      <c r="AF4736" s="13"/>
    </row>
    <row r="4737" spans="19:32" x14ac:dyDescent="0.35">
      <c r="S4737" s="13"/>
      <c r="T4737" s="16"/>
      <c r="U4737" s="16"/>
      <c r="V4737" s="16"/>
      <c r="W4737" s="13"/>
      <c r="X4737" s="47">
        <v>4733</v>
      </c>
      <c r="Y4737" s="47" t="s">
        <v>2248</v>
      </c>
      <c r="Z4737" s="47" t="s">
        <v>2476</v>
      </c>
      <c r="AA4737" s="56">
        <v>311.88</v>
      </c>
      <c r="AB4737" s="13"/>
      <c r="AC4737" s="13"/>
      <c r="AD4737" s="13"/>
      <c r="AE4737" s="13"/>
      <c r="AF4737" s="13"/>
    </row>
    <row r="4738" spans="19:32" x14ac:dyDescent="0.35">
      <c r="S4738" s="13"/>
      <c r="T4738" s="16"/>
      <c r="U4738" s="16"/>
      <c r="V4738" s="16"/>
      <c r="W4738" s="13"/>
      <c r="X4738" s="47">
        <v>4734</v>
      </c>
      <c r="Y4738" s="47" t="s">
        <v>2248</v>
      </c>
      <c r="Z4738" s="47" t="s">
        <v>4088</v>
      </c>
      <c r="AA4738" s="56">
        <v>4.3185483870967749</v>
      </c>
      <c r="AB4738" s="13"/>
      <c r="AC4738" s="13"/>
      <c r="AD4738" s="13"/>
      <c r="AE4738" s="13"/>
      <c r="AF4738" s="13"/>
    </row>
    <row r="4739" spans="19:32" x14ac:dyDescent="0.35">
      <c r="S4739" s="13"/>
      <c r="T4739" s="16"/>
      <c r="U4739" s="16"/>
      <c r="V4739" s="16"/>
      <c r="W4739" s="13"/>
      <c r="X4739" s="34">
        <v>4735</v>
      </c>
      <c r="Y4739" s="34" t="s">
        <v>2248</v>
      </c>
      <c r="Z4739" s="34" t="s">
        <v>4087</v>
      </c>
      <c r="AA4739" s="35">
        <v>2.5020161290322581E-4</v>
      </c>
      <c r="AB4739" s="13"/>
      <c r="AC4739" s="13"/>
      <c r="AD4739" s="13"/>
      <c r="AE4739" s="13"/>
      <c r="AF4739" s="13"/>
    </row>
    <row r="4740" spans="19:32" x14ac:dyDescent="0.35">
      <c r="S4740" s="13"/>
      <c r="T4740" s="16"/>
      <c r="U4740" s="16"/>
      <c r="V4740" s="16"/>
      <c r="W4740" s="13"/>
      <c r="X4740" s="34">
        <v>4736</v>
      </c>
      <c r="Y4740" s="34" t="s">
        <v>2248</v>
      </c>
      <c r="Z4740" s="34" t="s">
        <v>3958</v>
      </c>
      <c r="AA4740" s="35">
        <v>1.8816532258064517E-3</v>
      </c>
      <c r="AB4740" s="13"/>
      <c r="AC4740" s="13"/>
      <c r="AD4740" s="13"/>
      <c r="AE4740" s="13"/>
      <c r="AF4740" s="13"/>
    </row>
    <row r="4741" spans="19:32" x14ac:dyDescent="0.35">
      <c r="S4741" s="13"/>
      <c r="T4741" s="16"/>
      <c r="U4741" s="16"/>
      <c r="V4741" s="16"/>
      <c r="W4741" s="13"/>
      <c r="X4741" s="34">
        <v>4737</v>
      </c>
      <c r="Y4741" s="34" t="s">
        <v>2248</v>
      </c>
      <c r="Z4741" s="34" t="s">
        <v>4086</v>
      </c>
      <c r="AA4741" s="35">
        <v>0.40100806451612908</v>
      </c>
      <c r="AB4741" s="13"/>
      <c r="AC4741" s="13"/>
      <c r="AD4741" s="13"/>
      <c r="AE4741" s="13"/>
      <c r="AF4741" s="13"/>
    </row>
    <row r="4742" spans="19:32" x14ac:dyDescent="0.35">
      <c r="S4742" s="13"/>
      <c r="T4742" s="16"/>
      <c r="U4742" s="16"/>
      <c r="V4742" s="16"/>
      <c r="W4742" s="13"/>
      <c r="X4742" s="34">
        <v>4738</v>
      </c>
      <c r="Y4742" s="34" t="s">
        <v>2248</v>
      </c>
      <c r="Z4742" s="34" t="s">
        <v>3957</v>
      </c>
      <c r="AA4742" s="35">
        <v>1.2338709677419357E-2</v>
      </c>
      <c r="AB4742" s="13"/>
      <c r="AC4742" s="13"/>
      <c r="AD4742" s="13"/>
      <c r="AE4742" s="13"/>
      <c r="AF4742" s="13"/>
    </row>
    <row r="4743" spans="19:32" x14ac:dyDescent="0.35">
      <c r="S4743" s="13"/>
      <c r="T4743" s="16"/>
      <c r="U4743" s="16"/>
      <c r="V4743" s="16"/>
      <c r="W4743" s="13"/>
      <c r="X4743" s="47">
        <v>4739</v>
      </c>
      <c r="Y4743" s="47" t="s">
        <v>2248</v>
      </c>
      <c r="Z4743" s="47" t="s">
        <v>4085</v>
      </c>
      <c r="AA4743" s="56">
        <v>1.2475806451612904E-3</v>
      </c>
      <c r="AB4743" s="13"/>
      <c r="AC4743" s="13"/>
      <c r="AD4743" s="13"/>
      <c r="AE4743" s="13"/>
      <c r="AF4743" s="13"/>
    </row>
    <row r="4744" spans="19:32" x14ac:dyDescent="0.35">
      <c r="S4744" s="13"/>
      <c r="T4744" s="16"/>
      <c r="U4744" s="16"/>
      <c r="V4744" s="16"/>
      <c r="W4744" s="13"/>
      <c r="X4744" s="34">
        <v>4740</v>
      </c>
      <c r="Y4744" s="34" t="s">
        <v>2248</v>
      </c>
      <c r="Z4744" s="34" t="s">
        <v>4084</v>
      </c>
      <c r="AA4744" s="35">
        <v>2.7522177419354841E-2</v>
      </c>
      <c r="AB4744" s="13"/>
      <c r="AC4744" s="13"/>
      <c r="AD4744" s="13"/>
      <c r="AE4744" s="13"/>
      <c r="AF4744" s="13"/>
    </row>
    <row r="4745" spans="19:32" x14ac:dyDescent="0.35">
      <c r="S4745" s="13"/>
      <c r="T4745" s="16"/>
      <c r="U4745" s="16"/>
      <c r="V4745" s="16"/>
      <c r="W4745" s="13"/>
      <c r="X4745" s="34">
        <v>4741</v>
      </c>
      <c r="Y4745" s="34" t="s">
        <v>2248</v>
      </c>
      <c r="Z4745" s="34" t="s">
        <v>3956</v>
      </c>
      <c r="AA4745" s="35">
        <v>1.6965725806451615E-2</v>
      </c>
      <c r="AB4745" s="13"/>
      <c r="AC4745" s="13"/>
      <c r="AD4745" s="13"/>
      <c r="AE4745" s="13"/>
      <c r="AF4745" s="13"/>
    </row>
    <row r="4746" spans="19:32" x14ac:dyDescent="0.35">
      <c r="S4746" s="13"/>
      <c r="T4746" s="16"/>
      <c r="U4746" s="16"/>
      <c r="V4746" s="16"/>
      <c r="W4746" s="13"/>
      <c r="X4746" s="47">
        <v>4742</v>
      </c>
      <c r="Y4746" s="47" t="s">
        <v>2248</v>
      </c>
      <c r="Z4746" s="47" t="s">
        <v>2474</v>
      </c>
      <c r="AA4746" s="56">
        <v>0.13891999999999999</v>
      </c>
      <c r="AB4746" s="13"/>
      <c r="AC4746" s="13"/>
      <c r="AD4746" s="13"/>
      <c r="AE4746" s="13"/>
      <c r="AF4746" s="13"/>
    </row>
    <row r="4747" spans="19:32" x14ac:dyDescent="0.35">
      <c r="S4747" s="13"/>
      <c r="T4747" s="16"/>
      <c r="U4747" s="16"/>
      <c r="V4747" s="16"/>
      <c r="W4747" s="13"/>
      <c r="X4747" s="47">
        <v>4743</v>
      </c>
      <c r="Y4747" s="47" t="s">
        <v>2248</v>
      </c>
      <c r="Z4747" s="47" t="s">
        <v>4083</v>
      </c>
      <c r="AA4747" s="56">
        <v>2.4334677419354838E-6</v>
      </c>
      <c r="AB4747" s="13"/>
      <c r="AC4747" s="13"/>
      <c r="AD4747" s="13"/>
      <c r="AE4747" s="13"/>
      <c r="AF4747" s="13"/>
    </row>
    <row r="4748" spans="19:32" x14ac:dyDescent="0.35">
      <c r="S4748" s="13"/>
      <c r="T4748" s="16"/>
      <c r="U4748" s="16"/>
      <c r="V4748" s="16"/>
      <c r="W4748" s="13"/>
      <c r="X4748" s="34">
        <v>4744</v>
      </c>
      <c r="Y4748" s="34" t="s">
        <v>2248</v>
      </c>
      <c r="Z4748" s="34" t="s">
        <v>3954</v>
      </c>
      <c r="AA4748" s="35">
        <v>8.5685483870967744E-4</v>
      </c>
      <c r="AB4748" s="13"/>
      <c r="AC4748" s="13"/>
      <c r="AD4748" s="13"/>
      <c r="AE4748" s="13"/>
      <c r="AF4748" s="13"/>
    </row>
    <row r="4749" spans="19:32" x14ac:dyDescent="0.35">
      <c r="S4749" s="13"/>
      <c r="T4749" s="16"/>
      <c r="U4749" s="16"/>
      <c r="V4749" s="16"/>
      <c r="W4749" s="13"/>
      <c r="X4749" s="47">
        <v>4745</v>
      </c>
      <c r="Y4749" s="47" t="s">
        <v>2248</v>
      </c>
      <c r="Z4749" s="47" t="s">
        <v>2473</v>
      </c>
      <c r="AA4749" s="56">
        <v>0</v>
      </c>
      <c r="AB4749" s="13"/>
      <c r="AC4749" s="13"/>
      <c r="AD4749" s="13"/>
      <c r="AE4749" s="13"/>
      <c r="AF4749" s="13"/>
    </row>
    <row r="4750" spans="19:32" x14ac:dyDescent="0.35">
      <c r="S4750" s="13"/>
      <c r="T4750" s="16"/>
      <c r="U4750" s="16"/>
      <c r="V4750" s="16"/>
      <c r="W4750" s="13"/>
      <c r="X4750" s="34">
        <v>4746</v>
      </c>
      <c r="Y4750" s="34" t="s">
        <v>2248</v>
      </c>
      <c r="Z4750" s="34" t="s">
        <v>2473</v>
      </c>
      <c r="AA4750" s="35">
        <v>1.9810483870967743E-3</v>
      </c>
      <c r="AB4750" s="13"/>
      <c r="AC4750" s="13"/>
      <c r="AD4750" s="13"/>
      <c r="AE4750" s="13"/>
      <c r="AF4750" s="13"/>
    </row>
    <row r="4751" spans="19:32" x14ac:dyDescent="0.35">
      <c r="S4751" s="13"/>
      <c r="T4751" s="16"/>
      <c r="U4751" s="16"/>
      <c r="V4751" s="16"/>
      <c r="W4751" s="13"/>
      <c r="X4751" s="34">
        <v>4747</v>
      </c>
      <c r="Y4751" s="34" t="s">
        <v>2248</v>
      </c>
      <c r="Z4751" s="34" t="s">
        <v>3953</v>
      </c>
      <c r="AA4751" s="35">
        <v>2.0153225806451612E-3</v>
      </c>
      <c r="AB4751" s="13"/>
      <c r="AC4751" s="13"/>
      <c r="AD4751" s="13"/>
      <c r="AE4751" s="13"/>
      <c r="AF4751" s="13"/>
    </row>
    <row r="4752" spans="19:32" x14ac:dyDescent="0.35">
      <c r="S4752" s="13"/>
      <c r="T4752" s="16"/>
      <c r="U4752" s="16"/>
      <c r="V4752" s="16"/>
      <c r="W4752" s="13"/>
      <c r="X4752" s="34">
        <v>4748</v>
      </c>
      <c r="Y4752" s="34" t="s">
        <v>2248</v>
      </c>
      <c r="Z4752" s="34" t="s">
        <v>4082</v>
      </c>
      <c r="AA4752" s="35">
        <v>1.6108870967741938E-3</v>
      </c>
      <c r="AB4752" s="13"/>
      <c r="AC4752" s="13"/>
      <c r="AD4752" s="13"/>
      <c r="AE4752" s="13"/>
      <c r="AF4752" s="13"/>
    </row>
    <row r="4753" spans="19:32" x14ac:dyDescent="0.35">
      <c r="S4753" s="13"/>
      <c r="T4753" s="16"/>
      <c r="U4753" s="16"/>
      <c r="V4753" s="16"/>
      <c r="W4753" s="13"/>
      <c r="X4753" s="47">
        <v>4749</v>
      </c>
      <c r="Y4753" s="47" t="s">
        <v>2248</v>
      </c>
      <c r="Z4753" s="47" t="s">
        <v>4081</v>
      </c>
      <c r="AA4753" s="56">
        <v>18.816532258064516</v>
      </c>
      <c r="AB4753" s="13"/>
      <c r="AC4753" s="13"/>
      <c r="AD4753" s="13"/>
      <c r="AE4753" s="13"/>
      <c r="AF4753" s="13"/>
    </row>
    <row r="4754" spans="19:32" x14ac:dyDescent="0.35">
      <c r="S4754" s="13"/>
      <c r="T4754" s="16"/>
      <c r="U4754" s="16"/>
      <c r="V4754" s="16"/>
      <c r="W4754" s="13"/>
      <c r="X4754" s="34">
        <v>4750</v>
      </c>
      <c r="Y4754" s="34" t="s">
        <v>2248</v>
      </c>
      <c r="Z4754" s="34" t="s">
        <v>3951</v>
      </c>
      <c r="AA4754" s="35">
        <v>1.1756048387096775E-2</v>
      </c>
      <c r="AB4754" s="13"/>
      <c r="AC4754" s="13"/>
      <c r="AD4754" s="13"/>
      <c r="AE4754" s="13"/>
      <c r="AF4754" s="13"/>
    </row>
    <row r="4755" spans="19:32" x14ac:dyDescent="0.35">
      <c r="S4755" s="13"/>
      <c r="T4755" s="16"/>
      <c r="U4755" s="16"/>
      <c r="V4755" s="16"/>
      <c r="W4755" s="13"/>
      <c r="X4755" s="34">
        <v>4751</v>
      </c>
      <c r="Y4755" s="34" t="s">
        <v>2248</v>
      </c>
      <c r="Z4755" s="34" t="s">
        <v>4080</v>
      </c>
      <c r="AA4755" s="35">
        <v>5.655241935483871E-3</v>
      </c>
      <c r="AB4755" s="13"/>
      <c r="AC4755" s="13"/>
      <c r="AD4755" s="13"/>
      <c r="AE4755" s="13"/>
      <c r="AF4755" s="13"/>
    </row>
    <row r="4756" spans="19:32" x14ac:dyDescent="0.35">
      <c r="S4756" s="13"/>
      <c r="T4756" s="16"/>
      <c r="U4756" s="16"/>
      <c r="V4756" s="16"/>
      <c r="W4756" s="13"/>
      <c r="X4756" s="34">
        <v>4752</v>
      </c>
      <c r="Y4756" s="34" t="s">
        <v>2248</v>
      </c>
      <c r="Z4756" s="34" t="s">
        <v>4079</v>
      </c>
      <c r="AA4756" s="35">
        <v>1.360685483870968E-3</v>
      </c>
      <c r="AB4756" s="13"/>
      <c r="AC4756" s="13"/>
      <c r="AD4756" s="13"/>
      <c r="AE4756" s="13"/>
      <c r="AF4756" s="13"/>
    </row>
    <row r="4757" spans="19:32" x14ac:dyDescent="0.35">
      <c r="S4757" s="13"/>
      <c r="T4757" s="16"/>
      <c r="U4757" s="16"/>
      <c r="V4757" s="16"/>
      <c r="W4757" s="13"/>
      <c r="X4757" s="34">
        <v>4753</v>
      </c>
      <c r="Y4757" s="34" t="s">
        <v>2248</v>
      </c>
      <c r="Z4757" s="34" t="s">
        <v>3950</v>
      </c>
      <c r="AA4757" s="35">
        <v>7.4032258064516136E-4</v>
      </c>
      <c r="AB4757" s="13"/>
      <c r="AC4757" s="13"/>
      <c r="AD4757" s="13"/>
      <c r="AE4757" s="13"/>
      <c r="AF4757" s="13"/>
    </row>
    <row r="4758" spans="19:32" x14ac:dyDescent="0.35">
      <c r="S4758" s="13"/>
      <c r="T4758" s="16"/>
      <c r="U4758" s="16"/>
      <c r="V4758" s="16"/>
      <c r="W4758" s="13"/>
      <c r="X4758" s="34">
        <v>4754</v>
      </c>
      <c r="Y4758" s="34" t="s">
        <v>2248</v>
      </c>
      <c r="Z4758" s="34" t="s">
        <v>4078</v>
      </c>
      <c r="AA4758" s="35">
        <v>5.4153225806451623E-5</v>
      </c>
      <c r="AB4758" s="13"/>
      <c r="AC4758" s="13"/>
      <c r="AD4758" s="13"/>
      <c r="AE4758" s="13"/>
      <c r="AF4758" s="13"/>
    </row>
    <row r="4759" spans="19:32" x14ac:dyDescent="0.35">
      <c r="S4759" s="13"/>
      <c r="T4759" s="16"/>
      <c r="U4759" s="16"/>
      <c r="V4759" s="16"/>
      <c r="W4759" s="13"/>
      <c r="X4759" s="34">
        <v>4755</v>
      </c>
      <c r="Y4759" s="34" t="s">
        <v>2248</v>
      </c>
      <c r="Z4759" s="34" t="s">
        <v>4077</v>
      </c>
      <c r="AA4759" s="35">
        <v>4.7641129032258069E-2</v>
      </c>
      <c r="AB4759" s="13"/>
      <c r="AC4759" s="13"/>
      <c r="AD4759" s="13"/>
      <c r="AE4759" s="13"/>
      <c r="AF4759" s="13"/>
    </row>
    <row r="4760" spans="19:32" x14ac:dyDescent="0.35">
      <c r="S4760" s="13"/>
      <c r="T4760" s="16"/>
      <c r="U4760" s="16"/>
      <c r="V4760" s="16"/>
      <c r="W4760" s="13"/>
      <c r="X4760" s="34">
        <v>4756</v>
      </c>
      <c r="Y4760" s="34" t="s">
        <v>2248</v>
      </c>
      <c r="Z4760" s="34" t="s">
        <v>2389</v>
      </c>
      <c r="AA4760" s="35">
        <v>1.5766129032258065</v>
      </c>
      <c r="AB4760" s="13"/>
      <c r="AC4760" s="13"/>
      <c r="AD4760" s="13"/>
      <c r="AE4760" s="13"/>
      <c r="AF4760" s="13"/>
    </row>
    <row r="4761" spans="19:32" x14ac:dyDescent="0.35">
      <c r="S4761" s="13"/>
      <c r="T4761" s="16"/>
      <c r="U4761" s="16"/>
      <c r="V4761" s="16"/>
      <c r="W4761" s="13"/>
      <c r="X4761" s="34">
        <v>4757</v>
      </c>
      <c r="Y4761" s="34" t="s">
        <v>2248</v>
      </c>
      <c r="Z4761" s="34" t="s">
        <v>4076</v>
      </c>
      <c r="AA4761" s="35">
        <v>1.0727822580645162E-2</v>
      </c>
      <c r="AB4761" s="13"/>
      <c r="AC4761" s="13"/>
      <c r="AD4761" s="13"/>
      <c r="AE4761" s="13"/>
      <c r="AF4761" s="13"/>
    </row>
    <row r="4762" spans="19:32" x14ac:dyDescent="0.35">
      <c r="S4762" s="13"/>
      <c r="T4762" s="16"/>
      <c r="U4762" s="16"/>
      <c r="V4762" s="16"/>
      <c r="W4762" s="13"/>
      <c r="X4762" s="34">
        <v>4758</v>
      </c>
      <c r="Y4762" s="34" t="s">
        <v>2248</v>
      </c>
      <c r="Z4762" s="34" t="s">
        <v>3948</v>
      </c>
      <c r="AA4762" s="35">
        <v>9.3911290322580651E-2</v>
      </c>
      <c r="AB4762" s="13"/>
      <c r="AC4762" s="13"/>
      <c r="AD4762" s="13"/>
      <c r="AE4762" s="13"/>
      <c r="AF4762" s="13"/>
    </row>
    <row r="4763" spans="19:32" x14ac:dyDescent="0.35">
      <c r="S4763" s="13"/>
      <c r="T4763" s="16"/>
      <c r="U4763" s="16"/>
      <c r="V4763" s="16"/>
      <c r="W4763" s="13"/>
      <c r="X4763" s="34">
        <v>4759</v>
      </c>
      <c r="Y4763" s="34" t="s">
        <v>2248</v>
      </c>
      <c r="Z4763" s="34" t="s">
        <v>4075</v>
      </c>
      <c r="AA4763" s="35">
        <v>2.78991935483871E-4</v>
      </c>
      <c r="AB4763" s="13"/>
      <c r="AC4763" s="13"/>
      <c r="AD4763" s="13"/>
      <c r="AE4763" s="13"/>
      <c r="AF4763" s="13"/>
    </row>
    <row r="4764" spans="19:32" x14ac:dyDescent="0.35">
      <c r="S4764" s="13"/>
      <c r="T4764" s="16"/>
      <c r="U4764" s="16"/>
      <c r="V4764" s="16"/>
      <c r="W4764" s="13"/>
      <c r="X4764" s="47">
        <v>4760</v>
      </c>
      <c r="Y4764" s="47" t="s">
        <v>2248</v>
      </c>
      <c r="Z4764" s="47" t="s">
        <v>4074</v>
      </c>
      <c r="AA4764" s="56">
        <v>42.842741935483872</v>
      </c>
      <c r="AB4764" s="13"/>
      <c r="AC4764" s="13"/>
      <c r="AD4764" s="13"/>
      <c r="AE4764" s="13"/>
      <c r="AF4764" s="13"/>
    </row>
    <row r="4765" spans="19:32" x14ac:dyDescent="0.35">
      <c r="S4765" s="13"/>
      <c r="T4765" s="16"/>
      <c r="U4765" s="16"/>
      <c r="V4765" s="16"/>
      <c r="W4765" s="13"/>
      <c r="X4765" s="47">
        <v>4761</v>
      </c>
      <c r="Y4765" s="47" t="s">
        <v>2248</v>
      </c>
      <c r="Z4765" s="47" t="s">
        <v>2471</v>
      </c>
      <c r="AA4765" s="56">
        <v>92</v>
      </c>
      <c r="AB4765" s="13"/>
      <c r="AC4765" s="13"/>
      <c r="AD4765" s="13"/>
      <c r="AE4765" s="13"/>
      <c r="AF4765" s="13"/>
    </row>
    <row r="4766" spans="19:32" x14ac:dyDescent="0.35">
      <c r="S4766" s="13"/>
      <c r="T4766" s="16"/>
      <c r="U4766" s="16"/>
      <c r="V4766" s="16"/>
      <c r="W4766" s="13"/>
      <c r="X4766" s="34">
        <v>4762</v>
      </c>
      <c r="Y4766" s="34" t="s">
        <v>2248</v>
      </c>
      <c r="Z4766" s="34" t="s">
        <v>2387</v>
      </c>
      <c r="AA4766" s="35">
        <v>3.564516129032258E-2</v>
      </c>
      <c r="AB4766" s="13"/>
      <c r="AC4766" s="13"/>
      <c r="AD4766" s="13"/>
      <c r="AE4766" s="13"/>
      <c r="AF4766" s="13"/>
    </row>
    <row r="4767" spans="19:32" x14ac:dyDescent="0.35">
      <c r="S4767" s="13"/>
      <c r="T4767" s="16"/>
      <c r="U4767" s="16"/>
      <c r="V4767" s="16"/>
      <c r="W4767" s="13"/>
      <c r="X4767" s="34">
        <v>4763</v>
      </c>
      <c r="Y4767" s="34" t="s">
        <v>2248</v>
      </c>
      <c r="Z4767" s="34" t="s">
        <v>4073</v>
      </c>
      <c r="AA4767" s="35">
        <v>6.7177419354838715E-4</v>
      </c>
      <c r="AB4767" s="13"/>
      <c r="AC4767" s="13"/>
      <c r="AD4767" s="13"/>
      <c r="AE4767" s="13"/>
      <c r="AF4767" s="13"/>
    </row>
    <row r="4768" spans="19:32" x14ac:dyDescent="0.35">
      <c r="S4768" s="13"/>
      <c r="T4768" s="16"/>
      <c r="U4768" s="16"/>
      <c r="V4768" s="16"/>
      <c r="W4768" s="13"/>
      <c r="X4768" s="34">
        <v>4764</v>
      </c>
      <c r="Y4768" s="34" t="s">
        <v>2248</v>
      </c>
      <c r="Z4768" s="34" t="s">
        <v>4072</v>
      </c>
      <c r="AA4768" s="35">
        <v>9.3911290322580658E-3</v>
      </c>
      <c r="AB4768" s="13"/>
      <c r="AC4768" s="13"/>
      <c r="AD4768" s="13"/>
      <c r="AE4768" s="13"/>
      <c r="AF4768" s="13"/>
    </row>
    <row r="4769" spans="19:32" x14ac:dyDescent="0.35">
      <c r="S4769" s="13"/>
      <c r="T4769" s="16"/>
      <c r="U4769" s="16"/>
      <c r="V4769" s="16"/>
      <c r="W4769" s="13"/>
      <c r="X4769" s="34">
        <v>4765</v>
      </c>
      <c r="Y4769" s="34" t="s">
        <v>2248</v>
      </c>
      <c r="Z4769" s="34" t="s">
        <v>3946</v>
      </c>
      <c r="AA4769" s="35">
        <v>1.583467741935484E-4</v>
      </c>
      <c r="AB4769" s="13"/>
      <c r="AC4769" s="13"/>
      <c r="AD4769" s="13"/>
      <c r="AE4769" s="13"/>
      <c r="AF4769" s="13"/>
    </row>
    <row r="4770" spans="19:32" x14ac:dyDescent="0.35">
      <c r="S4770" s="13"/>
      <c r="T4770" s="16"/>
      <c r="U4770" s="16"/>
      <c r="V4770" s="16"/>
      <c r="W4770" s="13"/>
      <c r="X4770" s="47">
        <v>4766</v>
      </c>
      <c r="Y4770" s="47" t="s">
        <v>2248</v>
      </c>
      <c r="Z4770" s="47" t="s">
        <v>2470</v>
      </c>
      <c r="AA4770" s="56">
        <v>0.31556000000000001</v>
      </c>
      <c r="AB4770" s="13"/>
      <c r="AC4770" s="13"/>
      <c r="AD4770" s="13"/>
      <c r="AE4770" s="13"/>
      <c r="AF4770" s="13"/>
    </row>
    <row r="4771" spans="19:32" x14ac:dyDescent="0.35">
      <c r="S4771" s="13"/>
      <c r="T4771" s="16"/>
      <c r="U4771" s="16"/>
      <c r="V4771" s="16"/>
      <c r="W4771" s="13"/>
      <c r="X4771" s="34">
        <v>4767</v>
      </c>
      <c r="Y4771" s="34" t="s">
        <v>2248</v>
      </c>
      <c r="Z4771" s="34" t="s">
        <v>2385</v>
      </c>
      <c r="AA4771" s="35">
        <v>9.8709677419354843E-5</v>
      </c>
      <c r="AB4771" s="13"/>
      <c r="AC4771" s="13"/>
      <c r="AD4771" s="13"/>
      <c r="AE4771" s="13"/>
      <c r="AF4771" s="13"/>
    </row>
    <row r="4772" spans="19:32" x14ac:dyDescent="0.35">
      <c r="S4772" s="13"/>
      <c r="T4772" s="16"/>
      <c r="U4772" s="16"/>
      <c r="V4772" s="16"/>
      <c r="W4772" s="13"/>
      <c r="X4772" s="34">
        <v>4768</v>
      </c>
      <c r="Y4772" s="34" t="s">
        <v>2248</v>
      </c>
      <c r="Z4772" s="34" t="s">
        <v>4071</v>
      </c>
      <c r="AA4772" s="35">
        <v>5.7237903225806452E-5</v>
      </c>
      <c r="AB4772" s="13"/>
      <c r="AC4772" s="13"/>
      <c r="AD4772" s="13"/>
      <c r="AE4772" s="13"/>
      <c r="AF4772" s="13"/>
    </row>
    <row r="4773" spans="19:32" x14ac:dyDescent="0.35">
      <c r="S4773" s="13"/>
      <c r="T4773" s="16"/>
      <c r="U4773" s="16"/>
      <c r="V4773" s="16"/>
      <c r="W4773" s="13"/>
      <c r="X4773" s="47">
        <v>4769</v>
      </c>
      <c r="Y4773" s="47" t="s">
        <v>2248</v>
      </c>
      <c r="Z4773" s="47" t="s">
        <v>4070</v>
      </c>
      <c r="AA4773" s="56">
        <v>6.5806451612903229E-4</v>
      </c>
      <c r="AB4773" s="13"/>
      <c r="AC4773" s="13"/>
      <c r="AD4773" s="13"/>
      <c r="AE4773" s="13"/>
      <c r="AF4773" s="13"/>
    </row>
    <row r="4774" spans="19:32" x14ac:dyDescent="0.35">
      <c r="S4774" s="13"/>
      <c r="T4774" s="16"/>
      <c r="U4774" s="16"/>
      <c r="V4774" s="16"/>
      <c r="W4774" s="13"/>
      <c r="X4774" s="34">
        <v>4770</v>
      </c>
      <c r="Y4774" s="34" t="s">
        <v>2248</v>
      </c>
      <c r="Z4774" s="34" t="s">
        <v>4069</v>
      </c>
      <c r="AA4774" s="35">
        <v>5.2096774193548386E-4</v>
      </c>
      <c r="AB4774" s="13"/>
      <c r="AC4774" s="13"/>
      <c r="AD4774" s="13"/>
      <c r="AE4774" s="13"/>
      <c r="AF4774" s="13"/>
    </row>
    <row r="4775" spans="19:32" x14ac:dyDescent="0.35">
      <c r="S4775" s="13"/>
      <c r="T4775" s="16"/>
      <c r="U4775" s="16"/>
      <c r="V4775" s="16"/>
      <c r="W4775" s="13"/>
      <c r="X4775" s="34">
        <v>4771</v>
      </c>
      <c r="Y4775" s="34" t="s">
        <v>2248</v>
      </c>
      <c r="Z4775" s="34" t="s">
        <v>3944</v>
      </c>
      <c r="AA4775" s="35">
        <v>1.5046370967741936E-4</v>
      </c>
      <c r="AB4775" s="13"/>
      <c r="AC4775" s="13"/>
      <c r="AD4775" s="13"/>
      <c r="AE4775" s="13"/>
      <c r="AF4775" s="13"/>
    </row>
    <row r="4776" spans="19:32" x14ac:dyDescent="0.35">
      <c r="S4776" s="13"/>
      <c r="T4776" s="16"/>
      <c r="U4776" s="16"/>
      <c r="V4776" s="16"/>
      <c r="W4776" s="13"/>
      <c r="X4776" s="34">
        <v>4772</v>
      </c>
      <c r="Y4776" s="34" t="s">
        <v>2248</v>
      </c>
      <c r="Z4776" s="34" t="s">
        <v>4068</v>
      </c>
      <c r="AA4776" s="35">
        <v>2.4643145161290327E-3</v>
      </c>
      <c r="AB4776" s="13"/>
      <c r="AC4776" s="13"/>
      <c r="AD4776" s="13"/>
      <c r="AE4776" s="13"/>
      <c r="AF4776" s="13"/>
    </row>
    <row r="4777" spans="19:32" x14ac:dyDescent="0.35">
      <c r="S4777" s="13"/>
      <c r="T4777" s="16"/>
      <c r="U4777" s="16"/>
      <c r="V4777" s="16"/>
      <c r="W4777" s="13"/>
      <c r="X4777" s="34">
        <v>4773</v>
      </c>
      <c r="Y4777" s="34" t="s">
        <v>2248</v>
      </c>
      <c r="Z4777" s="34" t="s">
        <v>3943</v>
      </c>
      <c r="AA4777" s="35">
        <v>8.2258064516129036E-6</v>
      </c>
      <c r="AB4777" s="13"/>
      <c r="AC4777" s="13"/>
      <c r="AD4777" s="13"/>
      <c r="AE4777" s="13"/>
      <c r="AF4777" s="13"/>
    </row>
    <row r="4778" spans="19:32" x14ac:dyDescent="0.35">
      <c r="S4778" s="13"/>
      <c r="T4778" s="16"/>
      <c r="U4778" s="16"/>
      <c r="V4778" s="16"/>
      <c r="W4778" s="13"/>
      <c r="X4778" s="34">
        <v>4774</v>
      </c>
      <c r="Y4778" s="34" t="s">
        <v>2248</v>
      </c>
      <c r="Z4778" s="34" t="s">
        <v>4067</v>
      </c>
      <c r="AA4778" s="35">
        <v>1.7993951612903226E-2</v>
      </c>
      <c r="AB4778" s="13"/>
      <c r="AC4778" s="13"/>
      <c r="AD4778" s="13"/>
      <c r="AE4778" s="13"/>
      <c r="AF4778" s="13"/>
    </row>
    <row r="4779" spans="19:32" x14ac:dyDescent="0.35">
      <c r="S4779" s="13"/>
      <c r="T4779" s="16"/>
      <c r="U4779" s="16"/>
      <c r="V4779" s="16"/>
      <c r="W4779" s="13"/>
      <c r="X4779" s="34">
        <v>4775</v>
      </c>
      <c r="Y4779" s="34" t="s">
        <v>2248</v>
      </c>
      <c r="Z4779" s="34" t="s">
        <v>3128</v>
      </c>
      <c r="AA4779" s="35">
        <v>0.25705645161290325</v>
      </c>
      <c r="AB4779" s="13"/>
      <c r="AC4779" s="13"/>
      <c r="AD4779" s="13"/>
      <c r="AE4779" s="13"/>
      <c r="AF4779" s="13"/>
    </row>
    <row r="4780" spans="19:32" x14ac:dyDescent="0.35">
      <c r="S4780" s="13"/>
      <c r="T4780" s="16"/>
      <c r="U4780" s="16"/>
      <c r="V4780" s="16"/>
      <c r="W4780" s="13"/>
      <c r="X4780" s="34">
        <v>4776</v>
      </c>
      <c r="Y4780" s="34" t="s">
        <v>2248</v>
      </c>
      <c r="Z4780" s="34" t="s">
        <v>2382</v>
      </c>
      <c r="AA4780" s="35">
        <v>2.3649193548387095E-5</v>
      </c>
      <c r="AB4780" s="13"/>
      <c r="AC4780" s="13"/>
      <c r="AD4780" s="13"/>
      <c r="AE4780" s="13"/>
      <c r="AF4780" s="13"/>
    </row>
    <row r="4781" spans="19:32" x14ac:dyDescent="0.35">
      <c r="S4781" s="13"/>
      <c r="T4781" s="16"/>
      <c r="U4781" s="16"/>
      <c r="V4781" s="16"/>
      <c r="W4781" s="13"/>
      <c r="X4781" s="34">
        <v>4777</v>
      </c>
      <c r="Y4781" s="34" t="s">
        <v>2248</v>
      </c>
      <c r="Z4781" s="34" t="s">
        <v>4066</v>
      </c>
      <c r="AA4781" s="35">
        <v>1.9056451612903227E-5</v>
      </c>
      <c r="AB4781" s="13"/>
      <c r="AC4781" s="13"/>
      <c r="AD4781" s="13"/>
      <c r="AE4781" s="13"/>
      <c r="AF4781" s="13"/>
    </row>
    <row r="4782" spans="19:32" x14ac:dyDescent="0.35">
      <c r="S4782" s="13"/>
      <c r="T4782" s="16"/>
      <c r="U4782" s="16"/>
      <c r="V4782" s="16"/>
      <c r="W4782" s="13"/>
      <c r="X4782" s="34">
        <v>4778</v>
      </c>
      <c r="Y4782" s="34" t="s">
        <v>2248</v>
      </c>
      <c r="Z4782" s="34" t="s">
        <v>2381</v>
      </c>
      <c r="AA4782" s="35">
        <v>2.1352822580645161E-5</v>
      </c>
      <c r="AB4782" s="13"/>
      <c r="AC4782" s="13"/>
      <c r="AD4782" s="13"/>
      <c r="AE4782" s="13"/>
      <c r="AF4782" s="13"/>
    </row>
    <row r="4783" spans="19:32" x14ac:dyDescent="0.35">
      <c r="S4783" s="13"/>
      <c r="T4783" s="16"/>
      <c r="U4783" s="16"/>
      <c r="V4783" s="16"/>
      <c r="W4783" s="13"/>
      <c r="X4783" s="47">
        <v>4779</v>
      </c>
      <c r="Y4783" s="47" t="s">
        <v>2248</v>
      </c>
      <c r="Z4783" s="47" t="s">
        <v>2468</v>
      </c>
      <c r="AA4783" s="56">
        <v>0.39651999999999998</v>
      </c>
      <c r="AB4783" s="13"/>
      <c r="AC4783" s="13"/>
      <c r="AD4783" s="13"/>
      <c r="AE4783" s="13"/>
      <c r="AF4783" s="13"/>
    </row>
    <row r="4784" spans="19:32" x14ac:dyDescent="0.35">
      <c r="S4784" s="13"/>
      <c r="T4784" s="16"/>
      <c r="U4784" s="16"/>
      <c r="V4784" s="16"/>
      <c r="W4784" s="13"/>
      <c r="X4784" s="47">
        <v>4780</v>
      </c>
      <c r="Y4784" s="47" t="s">
        <v>2248</v>
      </c>
      <c r="Z4784" s="47" t="s">
        <v>4065</v>
      </c>
      <c r="AA4784" s="56">
        <v>0.11447580645161291</v>
      </c>
      <c r="AB4784" s="13"/>
      <c r="AC4784" s="13"/>
      <c r="AD4784" s="13"/>
      <c r="AE4784" s="13"/>
      <c r="AF4784" s="13"/>
    </row>
    <row r="4785" spans="19:32" x14ac:dyDescent="0.35">
      <c r="S4785" s="13"/>
      <c r="T4785" s="16"/>
      <c r="U4785" s="16"/>
      <c r="V4785" s="16"/>
      <c r="W4785" s="13"/>
      <c r="X4785" s="34">
        <v>4781</v>
      </c>
      <c r="Y4785" s="34" t="s">
        <v>2248</v>
      </c>
      <c r="Z4785" s="34" t="s">
        <v>2468</v>
      </c>
      <c r="AA4785" s="35">
        <v>8.0544354838709692E-5</v>
      </c>
      <c r="AB4785" s="13"/>
      <c r="AC4785" s="13"/>
      <c r="AD4785" s="13"/>
      <c r="AE4785" s="13"/>
      <c r="AF4785" s="13"/>
    </row>
    <row r="4786" spans="19:32" x14ac:dyDescent="0.35">
      <c r="S4786" s="13"/>
      <c r="T4786" s="16"/>
      <c r="U4786" s="16"/>
      <c r="V4786" s="16"/>
      <c r="W4786" s="13"/>
      <c r="X4786" s="34">
        <v>4782</v>
      </c>
      <c r="Y4786" s="34" t="s">
        <v>2248</v>
      </c>
      <c r="Z4786" s="34" t="s">
        <v>3939</v>
      </c>
      <c r="AA4786" s="35">
        <v>3.4000000000000001E-6</v>
      </c>
      <c r="AB4786" s="13"/>
      <c r="AC4786" s="13"/>
      <c r="AD4786" s="13"/>
      <c r="AE4786" s="13"/>
      <c r="AF4786" s="13"/>
    </row>
    <row r="4787" spans="19:32" x14ac:dyDescent="0.35">
      <c r="S4787" s="13"/>
      <c r="T4787" s="16"/>
      <c r="U4787" s="16"/>
      <c r="V4787" s="16"/>
      <c r="W4787" s="13"/>
      <c r="X4787" s="47">
        <v>4783</v>
      </c>
      <c r="Y4787" s="47" t="s">
        <v>2248</v>
      </c>
      <c r="Z4787" s="47" t="s">
        <v>2467</v>
      </c>
      <c r="AA4787" s="56">
        <v>28.611999999999998</v>
      </c>
      <c r="AB4787" s="13"/>
      <c r="AC4787" s="13"/>
      <c r="AD4787" s="13"/>
      <c r="AE4787" s="13"/>
      <c r="AF4787" s="13"/>
    </row>
    <row r="4788" spans="19:32" x14ac:dyDescent="0.35">
      <c r="S4788" s="13"/>
      <c r="T4788" s="16"/>
      <c r="U4788" s="16"/>
      <c r="V4788" s="16"/>
      <c r="W4788" s="13"/>
      <c r="X4788" s="34">
        <v>4784</v>
      </c>
      <c r="Y4788" s="34" t="s">
        <v>2248</v>
      </c>
      <c r="Z4788" s="34" t="s">
        <v>3938</v>
      </c>
      <c r="AA4788" s="35">
        <v>7.9173387096774206E-6</v>
      </c>
      <c r="AB4788" s="13"/>
      <c r="AC4788" s="13"/>
      <c r="AD4788" s="13"/>
      <c r="AE4788" s="13"/>
      <c r="AF4788" s="13"/>
    </row>
    <row r="4789" spans="19:32" x14ac:dyDescent="0.35">
      <c r="S4789" s="13"/>
      <c r="T4789" s="16"/>
      <c r="U4789" s="16"/>
      <c r="V4789" s="16"/>
      <c r="W4789" s="13"/>
      <c r="X4789" s="47">
        <v>4785</v>
      </c>
      <c r="Y4789" s="47" t="s">
        <v>2248</v>
      </c>
      <c r="Z4789" s="47" t="s">
        <v>2465</v>
      </c>
      <c r="AA4789" s="56">
        <v>17.295999999999999</v>
      </c>
      <c r="AB4789" s="13"/>
      <c r="AC4789" s="13"/>
      <c r="AD4789" s="13"/>
      <c r="AE4789" s="13"/>
      <c r="AF4789" s="13"/>
    </row>
    <row r="4790" spans="19:32" x14ac:dyDescent="0.35">
      <c r="S4790" s="13"/>
      <c r="T4790" s="16"/>
      <c r="U4790" s="16"/>
      <c r="V4790" s="16"/>
      <c r="W4790" s="13"/>
      <c r="X4790" s="47">
        <v>4786</v>
      </c>
      <c r="Y4790" s="47" t="s">
        <v>2248</v>
      </c>
      <c r="Z4790" s="47" t="s">
        <v>4064</v>
      </c>
      <c r="AA4790" s="56">
        <v>4.9012096774193551E-3</v>
      </c>
      <c r="AB4790" s="13"/>
      <c r="AC4790" s="13"/>
      <c r="AD4790" s="13"/>
      <c r="AE4790" s="13"/>
      <c r="AF4790" s="13"/>
    </row>
    <row r="4791" spans="19:32" x14ac:dyDescent="0.35">
      <c r="S4791" s="13"/>
      <c r="T4791" s="16"/>
      <c r="U4791" s="16"/>
      <c r="V4791" s="16"/>
      <c r="W4791" s="13"/>
      <c r="X4791" s="34">
        <v>4787</v>
      </c>
      <c r="Y4791" s="34" t="s">
        <v>2248</v>
      </c>
      <c r="Z4791" s="34" t="s">
        <v>4063</v>
      </c>
      <c r="AA4791" s="35">
        <v>0.39072580645161292</v>
      </c>
      <c r="AB4791" s="13"/>
      <c r="AC4791" s="13"/>
      <c r="AD4791" s="13"/>
      <c r="AE4791" s="13"/>
      <c r="AF4791" s="13"/>
    </row>
    <row r="4792" spans="19:32" x14ac:dyDescent="0.35">
      <c r="S4792" s="13"/>
      <c r="T4792" s="16"/>
      <c r="U4792" s="16"/>
      <c r="V4792" s="16"/>
      <c r="W4792" s="13"/>
      <c r="X4792" s="34">
        <v>4788</v>
      </c>
      <c r="Y4792" s="34" t="s">
        <v>2248</v>
      </c>
      <c r="Z4792" s="34" t="s">
        <v>3937</v>
      </c>
      <c r="AA4792" s="35">
        <v>1.3469758064516129E-4</v>
      </c>
      <c r="AB4792" s="13"/>
      <c r="AC4792" s="13"/>
      <c r="AD4792" s="13"/>
      <c r="AE4792" s="13"/>
      <c r="AF4792" s="13"/>
    </row>
    <row r="4793" spans="19:32" x14ac:dyDescent="0.35">
      <c r="S4793" s="13"/>
      <c r="T4793" s="16"/>
      <c r="U4793" s="16"/>
      <c r="V4793" s="16"/>
      <c r="W4793" s="13"/>
      <c r="X4793" s="47">
        <v>4789</v>
      </c>
      <c r="Y4793" s="47" t="s">
        <v>2248</v>
      </c>
      <c r="Z4793" s="47" t="s">
        <v>4062</v>
      </c>
      <c r="AA4793" s="56">
        <v>0.20564516129032259</v>
      </c>
      <c r="AB4793" s="13"/>
      <c r="AC4793" s="13"/>
      <c r="AD4793" s="13"/>
      <c r="AE4793" s="13"/>
      <c r="AF4793" s="13"/>
    </row>
    <row r="4794" spans="19:32" x14ac:dyDescent="0.35">
      <c r="S4794" s="13"/>
      <c r="T4794" s="16"/>
      <c r="U4794" s="16"/>
      <c r="V4794" s="16"/>
      <c r="W4794" s="13"/>
      <c r="X4794" s="47">
        <v>4790</v>
      </c>
      <c r="Y4794" s="47" t="s">
        <v>2248</v>
      </c>
      <c r="Z4794" s="47" t="s">
        <v>2463</v>
      </c>
      <c r="AA4794" s="56">
        <v>1.1039999999999999</v>
      </c>
      <c r="AB4794" s="13"/>
      <c r="AC4794" s="13"/>
      <c r="AD4794" s="13"/>
      <c r="AE4794" s="13"/>
      <c r="AF4794" s="13"/>
    </row>
    <row r="4795" spans="19:32" x14ac:dyDescent="0.35">
      <c r="S4795" s="13"/>
      <c r="T4795" s="16"/>
      <c r="U4795" s="16"/>
      <c r="V4795" s="16"/>
      <c r="W4795" s="13"/>
      <c r="X4795" s="34">
        <v>4791</v>
      </c>
      <c r="Y4795" s="34" t="s">
        <v>2248</v>
      </c>
      <c r="Z4795" s="34" t="s">
        <v>3936</v>
      </c>
      <c r="AA4795" s="35">
        <v>2.5842741935483873E-2</v>
      </c>
      <c r="AB4795" s="13"/>
      <c r="AC4795" s="13"/>
      <c r="AD4795" s="13"/>
      <c r="AE4795" s="13"/>
      <c r="AF4795" s="13"/>
    </row>
    <row r="4796" spans="19:32" x14ac:dyDescent="0.35">
      <c r="S4796" s="13"/>
      <c r="T4796" s="16"/>
      <c r="U4796" s="16"/>
      <c r="V4796" s="16"/>
      <c r="W4796" s="13"/>
      <c r="X4796" s="34">
        <v>4792</v>
      </c>
      <c r="Y4796" s="34" t="s">
        <v>2248</v>
      </c>
      <c r="Z4796" s="34" t="s">
        <v>2463</v>
      </c>
      <c r="AA4796" s="35">
        <v>0.24197580645161293</v>
      </c>
      <c r="AB4796" s="13"/>
      <c r="AC4796" s="13"/>
      <c r="AD4796" s="13"/>
      <c r="AE4796" s="13"/>
      <c r="AF4796" s="13"/>
    </row>
    <row r="4797" spans="19:32" x14ac:dyDescent="0.35">
      <c r="S4797" s="13"/>
      <c r="T4797" s="16"/>
      <c r="U4797" s="16"/>
      <c r="V4797" s="16"/>
      <c r="W4797" s="13"/>
      <c r="X4797" s="34">
        <v>4793</v>
      </c>
      <c r="Y4797" s="34" t="s">
        <v>2248</v>
      </c>
      <c r="Z4797" s="34" t="s">
        <v>3935</v>
      </c>
      <c r="AA4797" s="35">
        <v>5.8608870967741941E-3</v>
      </c>
      <c r="AB4797" s="13"/>
      <c r="AC4797" s="13"/>
      <c r="AD4797" s="13"/>
      <c r="AE4797" s="13"/>
      <c r="AF4797" s="13"/>
    </row>
    <row r="4798" spans="19:32" x14ac:dyDescent="0.35">
      <c r="S4798" s="13"/>
      <c r="T4798" s="16"/>
      <c r="U4798" s="16"/>
      <c r="V4798" s="16"/>
      <c r="W4798" s="13"/>
      <c r="X4798" s="47">
        <v>4794</v>
      </c>
      <c r="Y4798" s="47" t="s">
        <v>2248</v>
      </c>
      <c r="Z4798" s="47" t="s">
        <v>2462</v>
      </c>
      <c r="AA4798" s="56">
        <v>2.3643999999999998E-2</v>
      </c>
      <c r="AB4798" s="13"/>
      <c r="AC4798" s="13"/>
      <c r="AD4798" s="13"/>
      <c r="AE4798" s="13"/>
      <c r="AF4798" s="13"/>
    </row>
    <row r="4799" spans="19:32" x14ac:dyDescent="0.35">
      <c r="S4799" s="13"/>
      <c r="T4799" s="16"/>
      <c r="U4799" s="16"/>
      <c r="V4799" s="16"/>
      <c r="W4799" s="13"/>
      <c r="X4799" s="47">
        <v>4795</v>
      </c>
      <c r="Y4799" s="47" t="s">
        <v>2248</v>
      </c>
      <c r="Z4799" s="47" t="s">
        <v>3127</v>
      </c>
      <c r="AA4799" s="56">
        <v>4.8326612903225813E-3</v>
      </c>
      <c r="AB4799" s="13"/>
      <c r="AC4799" s="13"/>
      <c r="AD4799" s="13"/>
      <c r="AE4799" s="13"/>
      <c r="AF4799" s="13"/>
    </row>
    <row r="4800" spans="19:32" x14ac:dyDescent="0.35">
      <c r="S4800" s="13"/>
      <c r="T4800" s="16"/>
      <c r="U4800" s="16"/>
      <c r="V4800" s="16"/>
      <c r="W4800" s="13"/>
      <c r="X4800" s="47">
        <v>4796</v>
      </c>
      <c r="Y4800" s="47" t="s">
        <v>2248</v>
      </c>
      <c r="Z4800" s="47" t="s">
        <v>2460</v>
      </c>
      <c r="AA4800" s="56">
        <v>4.1399999999999999E-2</v>
      </c>
      <c r="AB4800" s="13"/>
      <c r="AC4800" s="13"/>
      <c r="AD4800" s="13"/>
      <c r="AE4800" s="13"/>
      <c r="AF4800" s="13"/>
    </row>
    <row r="4801" spans="19:32" x14ac:dyDescent="0.35">
      <c r="S4801" s="13"/>
      <c r="T4801" s="16"/>
      <c r="U4801" s="16"/>
      <c r="V4801" s="16"/>
      <c r="W4801" s="13"/>
      <c r="X4801" s="34">
        <v>4797</v>
      </c>
      <c r="Y4801" s="34" t="s">
        <v>2248</v>
      </c>
      <c r="Z4801" s="34" t="s">
        <v>3933</v>
      </c>
      <c r="AA4801" s="35">
        <v>0.92197580645161292</v>
      </c>
      <c r="AB4801" s="13"/>
      <c r="AC4801" s="13"/>
      <c r="AD4801" s="13"/>
      <c r="AE4801" s="13"/>
      <c r="AF4801" s="13"/>
    </row>
    <row r="4802" spans="19:32" x14ac:dyDescent="0.35">
      <c r="S4802" s="13"/>
      <c r="T4802" s="16"/>
      <c r="U4802" s="16"/>
      <c r="V4802" s="16"/>
      <c r="W4802" s="13"/>
      <c r="X4802" s="34">
        <v>4798</v>
      </c>
      <c r="Y4802" s="34" t="s">
        <v>2248</v>
      </c>
      <c r="Z4802" s="34" t="s">
        <v>4061</v>
      </c>
      <c r="AA4802" s="35">
        <v>1.7445564516129032E-2</v>
      </c>
      <c r="AB4802" s="13"/>
      <c r="AC4802" s="13"/>
      <c r="AD4802" s="13"/>
      <c r="AE4802" s="13"/>
      <c r="AF4802" s="13"/>
    </row>
    <row r="4803" spans="19:32" x14ac:dyDescent="0.35">
      <c r="S4803" s="13"/>
      <c r="T4803" s="16"/>
      <c r="U4803" s="16"/>
      <c r="V4803" s="16"/>
      <c r="W4803" s="13"/>
      <c r="X4803" s="34">
        <v>4799</v>
      </c>
      <c r="Y4803" s="34" t="s">
        <v>2248</v>
      </c>
      <c r="Z4803" s="34" t="s">
        <v>3932</v>
      </c>
      <c r="AA4803" s="35">
        <v>0.1607459677419355</v>
      </c>
      <c r="AB4803" s="13"/>
      <c r="AC4803" s="13"/>
      <c r="AD4803" s="13"/>
      <c r="AE4803" s="13"/>
      <c r="AF4803" s="13"/>
    </row>
    <row r="4804" spans="19:32" x14ac:dyDescent="0.35">
      <c r="S4804" s="13"/>
      <c r="T4804" s="16"/>
      <c r="U4804" s="16"/>
      <c r="V4804" s="16"/>
      <c r="W4804" s="13"/>
      <c r="X4804" s="47">
        <v>4800</v>
      </c>
      <c r="Y4804" s="47" t="s">
        <v>2248</v>
      </c>
      <c r="Z4804" s="47" t="s">
        <v>2459</v>
      </c>
      <c r="AA4804" s="56">
        <v>1.2695999999999998</v>
      </c>
      <c r="AB4804" s="13"/>
      <c r="AC4804" s="13"/>
      <c r="AD4804" s="13"/>
      <c r="AE4804" s="13"/>
      <c r="AF4804" s="13"/>
    </row>
    <row r="4805" spans="19:32" x14ac:dyDescent="0.35">
      <c r="S4805" s="13"/>
      <c r="T4805" s="16"/>
      <c r="U4805" s="16"/>
      <c r="V4805" s="16"/>
      <c r="W4805" s="13"/>
      <c r="X4805" s="34">
        <v>4801</v>
      </c>
      <c r="Y4805" s="34" t="s">
        <v>2248</v>
      </c>
      <c r="Z4805" s="34" t="s">
        <v>4060</v>
      </c>
      <c r="AA4805" s="35">
        <v>0.873991935483871</v>
      </c>
      <c r="AB4805" s="13"/>
      <c r="AC4805" s="13"/>
      <c r="AD4805" s="13"/>
      <c r="AE4805" s="13"/>
      <c r="AF4805" s="13"/>
    </row>
    <row r="4806" spans="19:32" x14ac:dyDescent="0.35">
      <c r="S4806" s="13"/>
      <c r="T4806" s="16"/>
      <c r="U4806" s="16"/>
      <c r="V4806" s="16"/>
      <c r="W4806" s="13"/>
      <c r="X4806" s="34">
        <v>4802</v>
      </c>
      <c r="Y4806" s="34" t="s">
        <v>2248</v>
      </c>
      <c r="Z4806" s="34" t="s">
        <v>3931</v>
      </c>
      <c r="AA4806" s="35">
        <v>3.1737903225806455E-2</v>
      </c>
      <c r="AB4806" s="13"/>
      <c r="AC4806" s="13"/>
      <c r="AD4806" s="13"/>
      <c r="AE4806" s="13"/>
      <c r="AF4806" s="13"/>
    </row>
    <row r="4807" spans="19:32" x14ac:dyDescent="0.35">
      <c r="S4807" s="13"/>
      <c r="T4807" s="16"/>
      <c r="U4807" s="16"/>
      <c r="V4807" s="16"/>
      <c r="W4807" s="13"/>
      <c r="X4807" s="47">
        <v>4803</v>
      </c>
      <c r="Y4807" s="47" t="s">
        <v>2248</v>
      </c>
      <c r="Z4807" s="47" t="s">
        <v>2457</v>
      </c>
      <c r="AA4807" s="56">
        <v>3.0636E-2</v>
      </c>
      <c r="AB4807" s="13"/>
      <c r="AC4807" s="13"/>
      <c r="AD4807" s="13"/>
      <c r="AE4807" s="13"/>
      <c r="AF4807" s="13"/>
    </row>
    <row r="4808" spans="19:32" x14ac:dyDescent="0.35">
      <c r="S4808" s="13"/>
      <c r="T4808" s="16"/>
      <c r="U4808" s="16"/>
      <c r="V4808" s="16"/>
      <c r="W4808" s="13"/>
      <c r="X4808" s="34">
        <v>4804</v>
      </c>
      <c r="Y4808" s="34" t="s">
        <v>2248</v>
      </c>
      <c r="Z4808" s="34" t="s">
        <v>2457</v>
      </c>
      <c r="AA4808" s="35">
        <v>0.10796370967741936</v>
      </c>
      <c r="AB4808" s="13"/>
      <c r="AC4808" s="13"/>
      <c r="AD4808" s="13"/>
      <c r="AE4808" s="13"/>
      <c r="AF4808" s="13"/>
    </row>
    <row r="4809" spans="19:32" x14ac:dyDescent="0.35">
      <c r="S4809" s="13"/>
      <c r="T4809" s="16"/>
      <c r="U4809" s="16"/>
      <c r="V4809" s="16"/>
      <c r="W4809" s="13"/>
      <c r="X4809" s="34">
        <v>4805</v>
      </c>
      <c r="Y4809" s="34" t="s">
        <v>2248</v>
      </c>
      <c r="Z4809" s="34" t="s">
        <v>3930</v>
      </c>
      <c r="AA4809" s="35">
        <v>2.5431451612903229E-2</v>
      </c>
      <c r="AB4809" s="13"/>
      <c r="AC4809" s="13"/>
      <c r="AD4809" s="13"/>
      <c r="AE4809" s="13"/>
      <c r="AF4809" s="13"/>
    </row>
    <row r="4810" spans="19:32" x14ac:dyDescent="0.35">
      <c r="S4810" s="13"/>
      <c r="T4810" s="16"/>
      <c r="U4810" s="16"/>
      <c r="V4810" s="16"/>
      <c r="W4810" s="13"/>
      <c r="X4810" s="34">
        <v>4806</v>
      </c>
      <c r="Y4810" s="34" t="s">
        <v>2248</v>
      </c>
      <c r="Z4810" s="34" t="s">
        <v>4059</v>
      </c>
      <c r="AA4810" s="35">
        <v>1.0487903225806453E-2</v>
      </c>
      <c r="AB4810" s="13"/>
      <c r="AC4810" s="13"/>
      <c r="AD4810" s="13"/>
      <c r="AE4810" s="13"/>
      <c r="AF4810" s="13"/>
    </row>
    <row r="4811" spans="19:32" x14ac:dyDescent="0.35">
      <c r="S4811" s="13"/>
      <c r="T4811" s="16"/>
      <c r="U4811" s="16"/>
      <c r="V4811" s="16"/>
      <c r="W4811" s="13"/>
      <c r="X4811" s="47">
        <v>4807</v>
      </c>
      <c r="Y4811" s="47" t="s">
        <v>2248</v>
      </c>
      <c r="Z4811" s="47" t="s">
        <v>4058</v>
      </c>
      <c r="AA4811" s="56">
        <v>2.1421370967741936E-4</v>
      </c>
      <c r="AB4811" s="13"/>
      <c r="AC4811" s="13"/>
      <c r="AD4811" s="13"/>
      <c r="AE4811" s="13"/>
      <c r="AF4811" s="13"/>
    </row>
    <row r="4812" spans="19:32" x14ac:dyDescent="0.35">
      <c r="S4812" s="13"/>
      <c r="T4812" s="16"/>
      <c r="U4812" s="16"/>
      <c r="V4812" s="16"/>
      <c r="W4812" s="13"/>
      <c r="X4812" s="34">
        <v>4808</v>
      </c>
      <c r="Y4812" s="34" t="s">
        <v>2248</v>
      </c>
      <c r="Z4812" s="34" t="s">
        <v>3928</v>
      </c>
      <c r="AA4812" s="35">
        <v>4.3528225806451615E-5</v>
      </c>
      <c r="AB4812" s="13"/>
      <c r="AC4812" s="13"/>
      <c r="AD4812" s="13"/>
      <c r="AE4812" s="13"/>
      <c r="AF4812" s="13"/>
    </row>
    <row r="4813" spans="19:32" x14ac:dyDescent="0.35">
      <c r="S4813" s="13"/>
      <c r="T4813" s="16"/>
      <c r="U4813" s="16"/>
      <c r="V4813" s="16"/>
      <c r="W4813" s="13"/>
      <c r="X4813" s="47">
        <v>4809</v>
      </c>
      <c r="Y4813" s="47" t="s">
        <v>2248</v>
      </c>
      <c r="Z4813" s="47" t="s">
        <v>2456</v>
      </c>
      <c r="AA4813" s="56">
        <v>0</v>
      </c>
      <c r="AB4813" s="13"/>
      <c r="AC4813" s="13"/>
      <c r="AD4813" s="13"/>
      <c r="AE4813" s="13"/>
      <c r="AF4813" s="13"/>
    </row>
    <row r="4814" spans="19:32" x14ac:dyDescent="0.35">
      <c r="S4814" s="13"/>
      <c r="T4814" s="16"/>
      <c r="U4814" s="16"/>
      <c r="V4814" s="16"/>
      <c r="W4814" s="13"/>
      <c r="X4814" s="34">
        <v>4810</v>
      </c>
      <c r="Y4814" s="34" t="s">
        <v>2248</v>
      </c>
      <c r="Z4814" s="34" t="s">
        <v>2456</v>
      </c>
      <c r="AA4814" s="35">
        <v>3.1120967741935486E-3</v>
      </c>
      <c r="AB4814" s="13"/>
      <c r="AC4814" s="13"/>
      <c r="AD4814" s="13"/>
      <c r="AE4814" s="13"/>
      <c r="AF4814" s="13"/>
    </row>
    <row r="4815" spans="19:32" x14ac:dyDescent="0.35">
      <c r="S4815" s="13"/>
      <c r="T4815" s="16"/>
      <c r="U4815" s="16"/>
      <c r="V4815" s="16"/>
      <c r="W4815" s="13"/>
      <c r="X4815" s="34">
        <v>4811</v>
      </c>
      <c r="Y4815" s="34" t="s">
        <v>2248</v>
      </c>
      <c r="Z4815" s="34" t="s">
        <v>4057</v>
      </c>
      <c r="AA4815" s="35">
        <v>1.5903225806451615E-5</v>
      </c>
      <c r="AB4815" s="13"/>
      <c r="AC4815" s="13"/>
      <c r="AD4815" s="13"/>
      <c r="AE4815" s="13"/>
      <c r="AF4815" s="13"/>
    </row>
    <row r="4816" spans="19:32" x14ac:dyDescent="0.35">
      <c r="S4816" s="13"/>
      <c r="T4816" s="16"/>
      <c r="U4816" s="16"/>
      <c r="V4816" s="16"/>
      <c r="W4816" s="13"/>
      <c r="X4816" s="34">
        <v>4812</v>
      </c>
      <c r="Y4816" s="34" t="s">
        <v>2248</v>
      </c>
      <c r="Z4816" s="34" t="s">
        <v>3926</v>
      </c>
      <c r="AA4816" s="35">
        <v>4.4899193548387102E-4</v>
      </c>
      <c r="AB4816" s="13"/>
      <c r="AC4816" s="13"/>
      <c r="AD4816" s="13"/>
      <c r="AE4816" s="13"/>
      <c r="AF4816" s="13"/>
    </row>
    <row r="4817" spans="19:32" x14ac:dyDescent="0.35">
      <c r="S4817" s="13"/>
      <c r="T4817" s="16"/>
      <c r="U4817" s="16"/>
      <c r="V4817" s="16"/>
      <c r="W4817" s="13"/>
      <c r="X4817" s="47">
        <v>4813</v>
      </c>
      <c r="Y4817" s="47" t="s">
        <v>2248</v>
      </c>
      <c r="Z4817" s="47" t="s">
        <v>2454</v>
      </c>
      <c r="AA4817" s="56">
        <v>7.7556000000000003</v>
      </c>
      <c r="AB4817" s="13"/>
      <c r="AC4817" s="13"/>
      <c r="AD4817" s="13"/>
      <c r="AE4817" s="13"/>
      <c r="AF4817" s="13"/>
    </row>
    <row r="4818" spans="19:32" x14ac:dyDescent="0.35">
      <c r="S4818" s="13"/>
      <c r="T4818" s="16"/>
      <c r="U4818" s="16"/>
      <c r="V4818" s="16"/>
      <c r="W4818" s="13"/>
      <c r="X4818" s="34">
        <v>4814</v>
      </c>
      <c r="Y4818" s="34" t="s">
        <v>2248</v>
      </c>
      <c r="Z4818" s="34" t="s">
        <v>3925</v>
      </c>
      <c r="AA4818" s="35">
        <v>0.10796370967741936</v>
      </c>
      <c r="AB4818" s="13"/>
      <c r="AC4818" s="13"/>
      <c r="AD4818" s="13"/>
      <c r="AE4818" s="13"/>
      <c r="AF4818" s="13"/>
    </row>
    <row r="4819" spans="19:32" x14ac:dyDescent="0.35">
      <c r="S4819" s="13"/>
      <c r="T4819" s="16"/>
      <c r="U4819" s="16"/>
      <c r="V4819" s="16"/>
      <c r="W4819" s="13"/>
      <c r="X4819" s="47">
        <v>4815</v>
      </c>
      <c r="Y4819" s="47" t="s">
        <v>2248</v>
      </c>
      <c r="Z4819" s="47" t="s">
        <v>2453</v>
      </c>
      <c r="AA4819" s="56">
        <v>0</v>
      </c>
      <c r="AB4819" s="13"/>
      <c r="AC4819" s="13"/>
      <c r="AD4819" s="13"/>
      <c r="AE4819" s="13"/>
      <c r="AF4819" s="13"/>
    </row>
    <row r="4820" spans="19:32" x14ac:dyDescent="0.35">
      <c r="S4820" s="13"/>
      <c r="T4820" s="16"/>
      <c r="U4820" s="16"/>
      <c r="V4820" s="16"/>
      <c r="W4820" s="13"/>
      <c r="X4820" s="34">
        <v>4816</v>
      </c>
      <c r="Y4820" s="34" t="s">
        <v>2248</v>
      </c>
      <c r="Z4820" s="34" t="s">
        <v>2453</v>
      </c>
      <c r="AA4820" s="35">
        <v>0.64778225806451617</v>
      </c>
      <c r="AB4820" s="13"/>
      <c r="AC4820" s="13"/>
      <c r="AD4820" s="13"/>
      <c r="AE4820" s="13"/>
      <c r="AF4820" s="13"/>
    </row>
    <row r="4821" spans="19:32" x14ac:dyDescent="0.35">
      <c r="S4821" s="13"/>
      <c r="T4821" s="16"/>
      <c r="U4821" s="16"/>
      <c r="V4821" s="16"/>
      <c r="W4821" s="13"/>
      <c r="X4821" s="47">
        <v>4817</v>
      </c>
      <c r="Y4821" s="47" t="s">
        <v>2248</v>
      </c>
      <c r="Z4821" s="47" t="s">
        <v>3126</v>
      </c>
      <c r="AA4821" s="56">
        <v>4.4899193548387104E-2</v>
      </c>
      <c r="AB4821" s="13"/>
      <c r="AC4821" s="13"/>
      <c r="AD4821" s="13"/>
      <c r="AE4821" s="13"/>
      <c r="AF4821" s="13"/>
    </row>
    <row r="4822" spans="19:32" x14ac:dyDescent="0.35">
      <c r="S4822" s="13"/>
      <c r="T4822" s="16"/>
      <c r="U4822" s="16"/>
      <c r="V4822" s="16"/>
      <c r="W4822" s="13"/>
      <c r="X4822" s="34">
        <v>4818</v>
      </c>
      <c r="Y4822" s="34" t="s">
        <v>2248</v>
      </c>
      <c r="Z4822" s="34" t="s">
        <v>3924</v>
      </c>
      <c r="AA4822" s="35">
        <v>0.342741935483871</v>
      </c>
      <c r="AB4822" s="13"/>
      <c r="AC4822" s="13"/>
      <c r="AD4822" s="13"/>
      <c r="AE4822" s="13"/>
      <c r="AF4822" s="13"/>
    </row>
    <row r="4823" spans="19:32" x14ac:dyDescent="0.35">
      <c r="S4823" s="13"/>
      <c r="T4823" s="16"/>
      <c r="U4823" s="16"/>
      <c r="V4823" s="16"/>
      <c r="W4823" s="13"/>
      <c r="X4823" s="47">
        <v>4819</v>
      </c>
      <c r="Y4823" s="47" t="s">
        <v>2248</v>
      </c>
      <c r="Z4823" s="47" t="s">
        <v>2451</v>
      </c>
      <c r="AA4823" s="56">
        <v>1.196E-3</v>
      </c>
      <c r="AB4823" s="13"/>
      <c r="AC4823" s="13"/>
      <c r="AD4823" s="13"/>
      <c r="AE4823" s="13"/>
      <c r="AF4823" s="13"/>
    </row>
    <row r="4824" spans="19:32" x14ac:dyDescent="0.35">
      <c r="S4824" s="13"/>
      <c r="T4824" s="16"/>
      <c r="U4824" s="16"/>
      <c r="V4824" s="16"/>
      <c r="W4824" s="13"/>
      <c r="X4824" s="34">
        <v>4820</v>
      </c>
      <c r="Y4824" s="34" t="s">
        <v>2248</v>
      </c>
      <c r="Z4824" s="34" t="s">
        <v>3922</v>
      </c>
      <c r="AA4824" s="35">
        <v>9.4596774193548387E-3</v>
      </c>
      <c r="AB4824" s="13"/>
      <c r="AC4824" s="13"/>
      <c r="AD4824" s="13"/>
      <c r="AE4824" s="13"/>
      <c r="AF4824" s="13"/>
    </row>
    <row r="4825" spans="19:32" x14ac:dyDescent="0.35">
      <c r="S4825" s="13"/>
      <c r="T4825" s="16"/>
      <c r="U4825" s="16"/>
      <c r="V4825" s="16"/>
      <c r="W4825" s="13"/>
      <c r="X4825" s="47">
        <v>4821</v>
      </c>
      <c r="Y4825" s="47" t="s">
        <v>2248</v>
      </c>
      <c r="Z4825" s="47" t="s">
        <v>2450</v>
      </c>
      <c r="AA4825" s="56">
        <v>1.5087999999999999</v>
      </c>
      <c r="AB4825" s="13"/>
      <c r="AC4825" s="13"/>
      <c r="AD4825" s="13"/>
      <c r="AE4825" s="13"/>
      <c r="AF4825" s="13"/>
    </row>
    <row r="4826" spans="19:32" x14ac:dyDescent="0.35">
      <c r="S4826" s="13"/>
      <c r="T4826" s="16"/>
      <c r="U4826" s="16"/>
      <c r="V4826" s="16"/>
      <c r="W4826" s="13"/>
      <c r="X4826" s="34">
        <v>4822</v>
      </c>
      <c r="Y4826" s="34" t="s">
        <v>2248</v>
      </c>
      <c r="Z4826" s="34" t="s">
        <v>4056</v>
      </c>
      <c r="AA4826" s="35">
        <v>1.1618951612903228</v>
      </c>
      <c r="AB4826" s="13"/>
      <c r="AC4826" s="13"/>
      <c r="AD4826" s="13"/>
      <c r="AE4826" s="13"/>
      <c r="AF4826" s="13"/>
    </row>
    <row r="4827" spans="19:32" x14ac:dyDescent="0.35">
      <c r="S4827" s="13"/>
      <c r="T4827" s="16"/>
      <c r="U4827" s="16"/>
      <c r="V4827" s="16"/>
      <c r="W4827" s="13"/>
      <c r="X4827" s="34">
        <v>4823</v>
      </c>
      <c r="Y4827" s="34" t="s">
        <v>2248</v>
      </c>
      <c r="Z4827" s="34" t="s">
        <v>3920</v>
      </c>
      <c r="AA4827" s="35">
        <v>0.42157258064516134</v>
      </c>
      <c r="AB4827" s="13"/>
      <c r="AC4827" s="13"/>
      <c r="AD4827" s="13"/>
      <c r="AE4827" s="13"/>
      <c r="AF4827" s="13"/>
    </row>
    <row r="4828" spans="19:32" x14ac:dyDescent="0.35">
      <c r="S4828" s="13"/>
      <c r="T4828" s="16"/>
      <c r="U4828" s="16"/>
      <c r="V4828" s="16"/>
      <c r="W4828" s="13"/>
      <c r="X4828" s="34">
        <v>4824</v>
      </c>
      <c r="Y4828" s="34" t="s">
        <v>2248</v>
      </c>
      <c r="Z4828" s="34" t="s">
        <v>4055</v>
      </c>
      <c r="AA4828" s="35">
        <v>4.9697580645161298E-3</v>
      </c>
      <c r="AB4828" s="13"/>
      <c r="AC4828" s="13"/>
      <c r="AD4828" s="13"/>
      <c r="AE4828" s="13"/>
      <c r="AF4828" s="13"/>
    </row>
    <row r="4829" spans="19:32" x14ac:dyDescent="0.35">
      <c r="S4829" s="13"/>
      <c r="T4829" s="16"/>
      <c r="U4829" s="16"/>
      <c r="V4829" s="16"/>
      <c r="W4829" s="13"/>
      <c r="X4829" s="47">
        <v>4825</v>
      </c>
      <c r="Y4829" s="47" t="s">
        <v>2248</v>
      </c>
      <c r="Z4829" s="47" t="s">
        <v>2448</v>
      </c>
      <c r="AA4829" s="56">
        <v>0.29255999999999999</v>
      </c>
      <c r="AB4829" s="13"/>
      <c r="AC4829" s="13"/>
      <c r="AD4829" s="13"/>
      <c r="AE4829" s="13"/>
      <c r="AF4829" s="13"/>
    </row>
    <row r="4830" spans="19:32" x14ac:dyDescent="0.35">
      <c r="S4830" s="13"/>
      <c r="T4830" s="16"/>
      <c r="U4830" s="16"/>
      <c r="V4830" s="16"/>
      <c r="W4830" s="13"/>
      <c r="X4830" s="34">
        <v>4826</v>
      </c>
      <c r="Y4830" s="34" t="s">
        <v>2248</v>
      </c>
      <c r="Z4830" s="34" t="s">
        <v>3919</v>
      </c>
      <c r="AA4830" s="35">
        <v>4.1129032258064517E-2</v>
      </c>
      <c r="AB4830" s="13"/>
      <c r="AC4830" s="13"/>
      <c r="AD4830" s="13"/>
      <c r="AE4830" s="13"/>
      <c r="AF4830" s="13"/>
    </row>
    <row r="4831" spans="19:32" x14ac:dyDescent="0.35">
      <c r="S4831" s="13"/>
      <c r="T4831" s="16"/>
      <c r="U4831" s="16"/>
      <c r="V4831" s="16"/>
      <c r="W4831" s="13"/>
      <c r="X4831" s="47">
        <v>4827</v>
      </c>
      <c r="Y4831" s="47" t="s">
        <v>2248</v>
      </c>
      <c r="Z4831" s="47" t="s">
        <v>4054</v>
      </c>
      <c r="AA4831" s="56">
        <v>5.963709677419355E-2</v>
      </c>
      <c r="AB4831" s="13"/>
      <c r="AC4831" s="13"/>
      <c r="AD4831" s="13"/>
      <c r="AE4831" s="13"/>
      <c r="AF4831" s="13"/>
    </row>
    <row r="4832" spans="19:32" x14ac:dyDescent="0.35">
      <c r="S4832" s="13"/>
      <c r="T4832" s="16"/>
      <c r="U4832" s="16"/>
      <c r="V4832" s="16"/>
      <c r="W4832" s="13"/>
      <c r="X4832" s="34">
        <v>4828</v>
      </c>
      <c r="Y4832" s="34" t="s">
        <v>2248</v>
      </c>
      <c r="Z4832" s="34" t="s">
        <v>4053</v>
      </c>
      <c r="AA4832" s="35">
        <v>2.090725806451613E-2</v>
      </c>
      <c r="AB4832" s="13"/>
      <c r="AC4832" s="13"/>
      <c r="AD4832" s="13"/>
      <c r="AE4832" s="13"/>
      <c r="AF4832" s="13"/>
    </row>
    <row r="4833" spans="19:32" x14ac:dyDescent="0.35">
      <c r="S4833" s="13"/>
      <c r="T4833" s="16"/>
      <c r="U4833" s="16"/>
      <c r="V4833" s="16"/>
      <c r="W4833" s="13"/>
      <c r="X4833" s="34">
        <v>4829</v>
      </c>
      <c r="Y4833" s="34" t="s">
        <v>2248</v>
      </c>
      <c r="Z4833" s="34" t="s">
        <v>2375</v>
      </c>
      <c r="AA4833" s="35">
        <v>3.9758064516129036E-4</v>
      </c>
      <c r="AB4833" s="13"/>
      <c r="AC4833" s="13"/>
      <c r="AD4833" s="13"/>
      <c r="AE4833" s="13"/>
      <c r="AF4833" s="13"/>
    </row>
    <row r="4834" spans="19:32" x14ac:dyDescent="0.35">
      <c r="S4834" s="13"/>
      <c r="T4834" s="16"/>
      <c r="U4834" s="16"/>
      <c r="V4834" s="16"/>
      <c r="W4834" s="13"/>
      <c r="X4834" s="34">
        <v>4830</v>
      </c>
      <c r="Y4834" s="34" t="s">
        <v>2248</v>
      </c>
      <c r="Z4834" s="34" t="s">
        <v>4052</v>
      </c>
      <c r="AA4834" s="35">
        <v>4.1471774193548389E-2</v>
      </c>
      <c r="AB4834" s="13"/>
      <c r="AC4834" s="13"/>
      <c r="AD4834" s="13"/>
      <c r="AE4834" s="13"/>
      <c r="AF4834" s="13"/>
    </row>
    <row r="4835" spans="19:32" x14ac:dyDescent="0.35">
      <c r="S4835" s="13"/>
      <c r="T4835" s="16"/>
      <c r="U4835" s="16"/>
      <c r="V4835" s="16"/>
      <c r="W4835" s="13"/>
      <c r="X4835" s="34">
        <v>4831</v>
      </c>
      <c r="Y4835" s="34" t="s">
        <v>2248</v>
      </c>
      <c r="Z4835" s="34" t="s">
        <v>3918</v>
      </c>
      <c r="AA4835" s="35">
        <v>3.5987903225806456E-4</v>
      </c>
      <c r="AB4835" s="13"/>
      <c r="AC4835" s="13"/>
      <c r="AD4835" s="13"/>
      <c r="AE4835" s="13"/>
      <c r="AF4835" s="13"/>
    </row>
    <row r="4836" spans="19:32" x14ac:dyDescent="0.35">
      <c r="S4836" s="13"/>
      <c r="T4836" s="16"/>
      <c r="U4836" s="16"/>
      <c r="V4836" s="16"/>
      <c r="W4836" s="13"/>
      <c r="X4836" s="34">
        <v>4832</v>
      </c>
      <c r="Y4836" s="34" t="s">
        <v>2248</v>
      </c>
      <c r="Z4836" s="34" t="s">
        <v>4051</v>
      </c>
      <c r="AA4836" s="35">
        <v>5.7237903225806457E-3</v>
      </c>
      <c r="AB4836" s="13"/>
      <c r="AC4836" s="13"/>
      <c r="AD4836" s="13"/>
      <c r="AE4836" s="13"/>
      <c r="AF4836" s="13"/>
    </row>
    <row r="4837" spans="19:32" x14ac:dyDescent="0.35">
      <c r="S4837" s="13"/>
      <c r="T4837" s="16"/>
      <c r="U4837" s="16"/>
      <c r="V4837" s="16"/>
      <c r="W4837" s="13"/>
      <c r="X4837" s="47">
        <v>4833</v>
      </c>
      <c r="Y4837" s="47" t="s">
        <v>2248</v>
      </c>
      <c r="Z4837" s="47" t="s">
        <v>4050</v>
      </c>
      <c r="AA4837" s="56">
        <v>5.5181451612903235E-5</v>
      </c>
      <c r="AB4837" s="13"/>
      <c r="AC4837" s="13"/>
      <c r="AD4837" s="13"/>
      <c r="AE4837" s="13"/>
      <c r="AF4837" s="13"/>
    </row>
    <row r="4838" spans="19:32" x14ac:dyDescent="0.35">
      <c r="S4838" s="13"/>
      <c r="T4838" s="16"/>
      <c r="U4838" s="16"/>
      <c r="V4838" s="16"/>
      <c r="W4838" s="13"/>
      <c r="X4838" s="34">
        <v>4834</v>
      </c>
      <c r="Y4838" s="34" t="s">
        <v>2248</v>
      </c>
      <c r="Z4838" s="34" t="s">
        <v>3917</v>
      </c>
      <c r="AA4838" s="35">
        <v>4.215725806451613E-5</v>
      </c>
      <c r="AB4838" s="13"/>
      <c r="AC4838" s="13"/>
      <c r="AD4838" s="13"/>
      <c r="AE4838" s="13"/>
      <c r="AF4838" s="13"/>
    </row>
    <row r="4839" spans="19:32" x14ac:dyDescent="0.35">
      <c r="S4839" s="13"/>
      <c r="T4839" s="16"/>
      <c r="U4839" s="16"/>
      <c r="V4839" s="16"/>
      <c r="W4839" s="13"/>
      <c r="X4839" s="47">
        <v>4835</v>
      </c>
      <c r="Y4839" s="47" t="s">
        <v>2248</v>
      </c>
      <c r="Z4839" s="47" t="s">
        <v>2446</v>
      </c>
      <c r="AA4839" s="56">
        <v>0</v>
      </c>
      <c r="AB4839" s="13"/>
      <c r="AC4839" s="13"/>
      <c r="AD4839" s="13"/>
      <c r="AE4839" s="13"/>
      <c r="AF4839" s="13"/>
    </row>
    <row r="4840" spans="19:32" x14ac:dyDescent="0.35">
      <c r="S4840" s="13"/>
      <c r="T4840" s="16"/>
      <c r="U4840" s="16"/>
      <c r="V4840" s="16"/>
      <c r="W4840" s="13"/>
      <c r="X4840" s="34">
        <v>4836</v>
      </c>
      <c r="Y4840" s="34" t="s">
        <v>2248</v>
      </c>
      <c r="Z4840" s="34" t="s">
        <v>2446</v>
      </c>
      <c r="AA4840" s="35">
        <v>2.9750000000000002E-2</v>
      </c>
      <c r="AB4840" s="13"/>
      <c r="AC4840" s="13"/>
      <c r="AD4840" s="13"/>
      <c r="AE4840" s="13"/>
      <c r="AF4840" s="13"/>
    </row>
    <row r="4841" spans="19:32" x14ac:dyDescent="0.35">
      <c r="S4841" s="13"/>
      <c r="T4841" s="16"/>
      <c r="U4841" s="16"/>
      <c r="V4841" s="16"/>
      <c r="W4841" s="13"/>
      <c r="X4841" s="47">
        <v>4837</v>
      </c>
      <c r="Y4841" s="47" t="s">
        <v>2248</v>
      </c>
      <c r="Z4841" s="47" t="s">
        <v>4049</v>
      </c>
      <c r="AA4841" s="56">
        <v>6.7520161290322587E-5</v>
      </c>
      <c r="AB4841" s="13"/>
      <c r="AC4841" s="13"/>
      <c r="AD4841" s="13"/>
      <c r="AE4841" s="13"/>
      <c r="AF4841" s="13"/>
    </row>
    <row r="4842" spans="19:32" x14ac:dyDescent="0.35">
      <c r="S4842" s="13"/>
      <c r="T4842" s="16"/>
      <c r="U4842" s="16"/>
      <c r="V4842" s="16"/>
      <c r="W4842" s="13"/>
      <c r="X4842" s="34">
        <v>4838</v>
      </c>
      <c r="Y4842" s="34" t="s">
        <v>2248</v>
      </c>
      <c r="Z4842" s="34" t="s">
        <v>3916</v>
      </c>
      <c r="AA4842" s="35">
        <v>1.5491935483870969E-3</v>
      </c>
      <c r="AB4842" s="13"/>
      <c r="AC4842" s="13"/>
      <c r="AD4842" s="13"/>
      <c r="AE4842" s="13"/>
      <c r="AF4842" s="13"/>
    </row>
    <row r="4843" spans="19:32" x14ac:dyDescent="0.35">
      <c r="S4843" s="13"/>
      <c r="T4843" s="16"/>
      <c r="U4843" s="16"/>
      <c r="V4843" s="16"/>
      <c r="W4843" s="13"/>
      <c r="X4843" s="47">
        <v>4839</v>
      </c>
      <c r="Y4843" s="47" t="s">
        <v>2248</v>
      </c>
      <c r="Z4843" s="47" t="s">
        <v>2445</v>
      </c>
      <c r="AA4843" s="56">
        <v>1.8031999999999999</v>
      </c>
      <c r="AB4843" s="13"/>
      <c r="AC4843" s="13"/>
      <c r="AD4843" s="13"/>
      <c r="AE4843" s="13"/>
      <c r="AF4843" s="13"/>
    </row>
    <row r="4844" spans="19:32" x14ac:dyDescent="0.35">
      <c r="S4844" s="13"/>
      <c r="T4844" s="16"/>
      <c r="U4844" s="16"/>
      <c r="V4844" s="16"/>
      <c r="W4844" s="13"/>
      <c r="X4844" s="34">
        <v>4840</v>
      </c>
      <c r="Y4844" s="34" t="s">
        <v>2248</v>
      </c>
      <c r="Z4844" s="34" t="s">
        <v>3915</v>
      </c>
      <c r="AA4844" s="35">
        <v>1.3127016129032259E-3</v>
      </c>
      <c r="AB4844" s="13"/>
      <c r="AC4844" s="13"/>
      <c r="AD4844" s="13"/>
      <c r="AE4844" s="13"/>
      <c r="AF4844" s="13"/>
    </row>
    <row r="4845" spans="19:32" x14ac:dyDescent="0.35">
      <c r="S4845" s="13"/>
      <c r="T4845" s="16"/>
      <c r="U4845" s="16"/>
      <c r="V4845" s="16"/>
      <c r="W4845" s="13"/>
      <c r="X4845" s="47">
        <v>4841</v>
      </c>
      <c r="Y4845" s="47" t="s">
        <v>2248</v>
      </c>
      <c r="Z4845" s="47" t="s">
        <v>2443</v>
      </c>
      <c r="AA4845" s="56">
        <v>0</v>
      </c>
      <c r="AB4845" s="13"/>
      <c r="AC4845" s="13"/>
      <c r="AD4845" s="13"/>
      <c r="AE4845" s="13"/>
      <c r="AF4845" s="13"/>
    </row>
    <row r="4846" spans="19:32" x14ac:dyDescent="0.35">
      <c r="S4846" s="13"/>
      <c r="T4846" s="16"/>
      <c r="U4846" s="16"/>
      <c r="V4846" s="16"/>
      <c r="W4846" s="13"/>
      <c r="X4846" s="47">
        <v>4842</v>
      </c>
      <c r="Y4846" s="47" t="s">
        <v>2248</v>
      </c>
      <c r="Z4846" s="47" t="s">
        <v>4048</v>
      </c>
      <c r="AA4846" s="56">
        <v>6.4435483870967753E-4</v>
      </c>
      <c r="AB4846" s="13"/>
      <c r="AC4846" s="13"/>
      <c r="AD4846" s="13"/>
      <c r="AE4846" s="13"/>
      <c r="AF4846" s="13"/>
    </row>
    <row r="4847" spans="19:32" x14ac:dyDescent="0.35">
      <c r="S4847" s="13"/>
      <c r="T4847" s="16"/>
      <c r="U4847" s="16"/>
      <c r="V4847" s="16"/>
      <c r="W4847" s="13"/>
      <c r="X4847" s="34">
        <v>4843</v>
      </c>
      <c r="Y4847" s="34" t="s">
        <v>2248</v>
      </c>
      <c r="Z4847" s="34" t="s">
        <v>2443</v>
      </c>
      <c r="AA4847" s="35">
        <v>3.9758064516129035E-3</v>
      </c>
      <c r="AB4847" s="13"/>
      <c r="AC4847" s="13"/>
      <c r="AD4847" s="13"/>
      <c r="AE4847" s="13"/>
      <c r="AF4847" s="13"/>
    </row>
    <row r="4848" spans="19:32" x14ac:dyDescent="0.35">
      <c r="S4848" s="13"/>
      <c r="T4848" s="16"/>
      <c r="U4848" s="16"/>
      <c r="V4848" s="16"/>
      <c r="W4848" s="13"/>
      <c r="X4848" s="34">
        <v>4844</v>
      </c>
      <c r="Y4848" s="34" t="s">
        <v>2248</v>
      </c>
      <c r="Z4848" s="34" t="s">
        <v>3914</v>
      </c>
      <c r="AA4848" s="35">
        <v>1.3778225806451614E-2</v>
      </c>
      <c r="AB4848" s="13"/>
      <c r="AC4848" s="13"/>
      <c r="AD4848" s="13"/>
      <c r="AE4848" s="13"/>
      <c r="AF4848" s="13"/>
    </row>
    <row r="4849" spans="19:32" x14ac:dyDescent="0.35">
      <c r="S4849" s="13"/>
      <c r="T4849" s="16"/>
      <c r="U4849" s="16"/>
      <c r="V4849" s="16"/>
      <c r="W4849" s="13"/>
      <c r="X4849" s="34">
        <v>4845</v>
      </c>
      <c r="Y4849" s="34" t="s">
        <v>2248</v>
      </c>
      <c r="Z4849" s="34" t="s">
        <v>4047</v>
      </c>
      <c r="AA4849" s="35">
        <v>6.2721774193548394E-3</v>
      </c>
      <c r="AB4849" s="13"/>
      <c r="AC4849" s="13"/>
      <c r="AD4849" s="13"/>
      <c r="AE4849" s="13"/>
      <c r="AF4849" s="13"/>
    </row>
    <row r="4850" spans="19:32" x14ac:dyDescent="0.35">
      <c r="S4850" s="13"/>
      <c r="T4850" s="16"/>
      <c r="U4850" s="16"/>
      <c r="V4850" s="16"/>
      <c r="W4850" s="13"/>
      <c r="X4850" s="34">
        <v>4846</v>
      </c>
      <c r="Y4850" s="34" t="s">
        <v>2248</v>
      </c>
      <c r="Z4850" s="34" t="s">
        <v>3913</v>
      </c>
      <c r="AA4850" s="35">
        <v>1.1995967741935486E-7</v>
      </c>
      <c r="AB4850" s="13"/>
      <c r="AC4850" s="13"/>
      <c r="AD4850" s="13"/>
      <c r="AE4850" s="13"/>
      <c r="AF4850" s="13"/>
    </row>
    <row r="4851" spans="19:32" x14ac:dyDescent="0.35">
      <c r="S4851" s="13"/>
      <c r="T4851" s="16"/>
      <c r="U4851" s="16"/>
      <c r="V4851" s="16"/>
      <c r="W4851" s="13"/>
      <c r="X4851" s="47">
        <v>4847</v>
      </c>
      <c r="Y4851" s="47" t="s">
        <v>2248</v>
      </c>
      <c r="Z4851" s="47" t="s">
        <v>2442</v>
      </c>
      <c r="AA4851" s="56">
        <v>0</v>
      </c>
      <c r="AB4851" s="13"/>
      <c r="AC4851" s="13"/>
      <c r="AD4851" s="13"/>
      <c r="AE4851" s="13"/>
      <c r="AF4851" s="13"/>
    </row>
    <row r="4852" spans="19:32" x14ac:dyDescent="0.35">
      <c r="S4852" s="13"/>
      <c r="T4852" s="16"/>
      <c r="U4852" s="16"/>
      <c r="V4852" s="16"/>
      <c r="W4852" s="13"/>
      <c r="X4852" s="34">
        <v>4848</v>
      </c>
      <c r="Y4852" s="34" t="s">
        <v>2248</v>
      </c>
      <c r="Z4852" s="34" t="s">
        <v>3124</v>
      </c>
      <c r="AA4852" s="35">
        <v>8.8770161290322586E-2</v>
      </c>
      <c r="AB4852" s="13"/>
      <c r="AC4852" s="13"/>
      <c r="AD4852" s="13"/>
      <c r="AE4852" s="13"/>
      <c r="AF4852" s="13"/>
    </row>
    <row r="4853" spans="19:32" x14ac:dyDescent="0.35">
      <c r="S4853" s="13"/>
      <c r="T4853" s="16"/>
      <c r="U4853" s="16"/>
      <c r="V4853" s="16"/>
      <c r="W4853" s="13"/>
      <c r="X4853" s="34">
        <v>4849</v>
      </c>
      <c r="Y4853" s="34" t="s">
        <v>2248</v>
      </c>
      <c r="Z4853" s="34" t="s">
        <v>3912</v>
      </c>
      <c r="AA4853" s="35">
        <v>0.10179435483870969</v>
      </c>
      <c r="AB4853" s="13"/>
      <c r="AC4853" s="13"/>
      <c r="AD4853" s="13"/>
      <c r="AE4853" s="13"/>
      <c r="AF4853" s="13"/>
    </row>
    <row r="4854" spans="19:32" x14ac:dyDescent="0.35">
      <c r="S4854" s="13"/>
      <c r="T4854" s="16"/>
      <c r="U4854" s="16"/>
      <c r="V4854" s="16"/>
      <c r="W4854" s="13"/>
      <c r="X4854" s="47">
        <v>4850</v>
      </c>
      <c r="Y4854" s="47" t="s">
        <v>2248</v>
      </c>
      <c r="Z4854" s="47" t="s">
        <v>2440</v>
      </c>
      <c r="AA4854" s="56">
        <v>0</v>
      </c>
      <c r="AB4854" s="13"/>
      <c r="AC4854" s="13"/>
      <c r="AD4854" s="13"/>
      <c r="AE4854" s="13"/>
      <c r="AF4854" s="13"/>
    </row>
    <row r="4855" spans="19:32" x14ac:dyDescent="0.35">
      <c r="S4855" s="13"/>
      <c r="T4855" s="16"/>
      <c r="U4855" s="16"/>
      <c r="V4855" s="16"/>
      <c r="W4855" s="13"/>
      <c r="X4855" s="47">
        <v>4851</v>
      </c>
      <c r="Y4855" s="47" t="s">
        <v>2248</v>
      </c>
      <c r="Z4855" s="47" t="s">
        <v>2439</v>
      </c>
      <c r="AA4855" s="56">
        <v>0</v>
      </c>
      <c r="AB4855" s="13"/>
      <c r="AC4855" s="13"/>
      <c r="AD4855" s="13"/>
      <c r="AE4855" s="13"/>
      <c r="AF4855" s="13"/>
    </row>
    <row r="4856" spans="19:32" x14ac:dyDescent="0.35">
      <c r="S4856" s="13"/>
      <c r="T4856" s="16"/>
      <c r="U4856" s="16"/>
      <c r="V4856" s="16"/>
      <c r="W4856" s="13"/>
      <c r="X4856" s="34">
        <v>4852</v>
      </c>
      <c r="Y4856" s="34" t="s">
        <v>2248</v>
      </c>
      <c r="Z4856" s="34" t="s">
        <v>3911</v>
      </c>
      <c r="AA4856" s="35">
        <v>0.11036290322580646</v>
      </c>
      <c r="AB4856" s="13"/>
      <c r="AC4856" s="13"/>
      <c r="AD4856" s="13"/>
      <c r="AE4856" s="13"/>
      <c r="AF4856" s="13"/>
    </row>
    <row r="4857" spans="19:32" x14ac:dyDescent="0.35">
      <c r="S4857" s="13"/>
      <c r="T4857" s="16"/>
      <c r="U4857" s="16"/>
      <c r="V4857" s="16"/>
      <c r="W4857" s="13"/>
      <c r="X4857" s="47">
        <v>4853</v>
      </c>
      <c r="Y4857" s="47" t="s">
        <v>2248</v>
      </c>
      <c r="Z4857" s="47" t="s">
        <v>3123</v>
      </c>
      <c r="AA4857" s="56">
        <v>12.372983870967744</v>
      </c>
      <c r="AB4857" s="13"/>
      <c r="AC4857" s="13"/>
      <c r="AD4857" s="13"/>
      <c r="AE4857" s="13"/>
      <c r="AF4857" s="13"/>
    </row>
    <row r="4858" spans="19:32" x14ac:dyDescent="0.35">
      <c r="S4858" s="13"/>
      <c r="T4858" s="16"/>
      <c r="U4858" s="16"/>
      <c r="V4858" s="16"/>
      <c r="W4858" s="13"/>
      <c r="X4858" s="34">
        <v>4854</v>
      </c>
      <c r="Y4858" s="34" t="s">
        <v>2248</v>
      </c>
      <c r="Z4858" s="34" t="s">
        <v>4046</v>
      </c>
      <c r="AA4858" s="35">
        <v>8.4657258064516142E-2</v>
      </c>
      <c r="AB4858" s="13"/>
      <c r="AC4858" s="13"/>
      <c r="AD4858" s="13"/>
      <c r="AE4858" s="13"/>
      <c r="AF4858" s="13"/>
    </row>
    <row r="4859" spans="19:32" x14ac:dyDescent="0.35">
      <c r="S4859" s="13"/>
      <c r="T4859" s="16"/>
      <c r="U4859" s="16"/>
      <c r="V4859" s="16"/>
      <c r="W4859" s="13"/>
      <c r="X4859" s="34">
        <v>4855</v>
      </c>
      <c r="Y4859" s="34" t="s">
        <v>2248</v>
      </c>
      <c r="Z4859" s="34" t="s">
        <v>3910</v>
      </c>
      <c r="AA4859" s="35">
        <v>0.20975806451612905</v>
      </c>
      <c r="AB4859" s="13"/>
      <c r="AC4859" s="13"/>
      <c r="AD4859" s="13"/>
      <c r="AE4859" s="13"/>
      <c r="AF4859" s="13"/>
    </row>
    <row r="4860" spans="19:32" x14ac:dyDescent="0.35">
      <c r="S4860" s="13"/>
      <c r="T4860" s="16"/>
      <c r="U4860" s="16"/>
      <c r="V4860" s="16"/>
      <c r="W4860" s="13"/>
      <c r="X4860" s="47">
        <v>4856</v>
      </c>
      <c r="Y4860" s="47" t="s">
        <v>2248</v>
      </c>
      <c r="Z4860" s="47" t="s">
        <v>2437</v>
      </c>
      <c r="AA4860" s="56">
        <v>1.9596</v>
      </c>
      <c r="AB4860" s="13"/>
      <c r="AC4860" s="13"/>
      <c r="AD4860" s="13"/>
      <c r="AE4860" s="13"/>
      <c r="AF4860" s="13"/>
    </row>
    <row r="4861" spans="19:32" x14ac:dyDescent="0.35">
      <c r="S4861" s="13"/>
      <c r="T4861" s="16"/>
      <c r="U4861" s="16"/>
      <c r="V4861" s="16"/>
      <c r="W4861" s="13"/>
      <c r="X4861" s="34">
        <v>4857</v>
      </c>
      <c r="Y4861" s="34" t="s">
        <v>2248</v>
      </c>
      <c r="Z4861" s="34" t="s">
        <v>4045</v>
      </c>
      <c r="AA4861" s="35">
        <v>8.8770161290322587E-7</v>
      </c>
      <c r="AB4861" s="13"/>
      <c r="AC4861" s="13"/>
      <c r="AD4861" s="13"/>
      <c r="AE4861" s="13"/>
      <c r="AF4861" s="13"/>
    </row>
    <row r="4862" spans="19:32" x14ac:dyDescent="0.35">
      <c r="S4862" s="13"/>
      <c r="T4862" s="16"/>
      <c r="U4862" s="16"/>
      <c r="V4862" s="16"/>
      <c r="W4862" s="13"/>
      <c r="X4862" s="34">
        <v>4858</v>
      </c>
      <c r="Y4862" s="34" t="s">
        <v>2248</v>
      </c>
      <c r="Z4862" s="34" t="s">
        <v>3909</v>
      </c>
      <c r="AA4862" s="35">
        <v>1.2030241935483871E-4</v>
      </c>
      <c r="AB4862" s="13"/>
      <c r="AC4862" s="13"/>
      <c r="AD4862" s="13"/>
      <c r="AE4862" s="13"/>
      <c r="AF4862" s="13"/>
    </row>
    <row r="4863" spans="19:32" x14ac:dyDescent="0.35">
      <c r="S4863" s="13"/>
      <c r="T4863" s="16"/>
      <c r="U4863" s="16"/>
      <c r="V4863" s="16"/>
      <c r="W4863" s="13"/>
      <c r="X4863" s="34">
        <v>4859</v>
      </c>
      <c r="Y4863" s="34" t="s">
        <v>2248</v>
      </c>
      <c r="Z4863" s="34" t="s">
        <v>4044</v>
      </c>
      <c r="AA4863" s="35">
        <v>0.41814516129032259</v>
      </c>
      <c r="AB4863" s="13"/>
      <c r="AC4863" s="13"/>
      <c r="AD4863" s="13"/>
      <c r="AE4863" s="13"/>
      <c r="AF4863" s="13"/>
    </row>
    <row r="4864" spans="19:32" x14ac:dyDescent="0.35">
      <c r="S4864" s="13"/>
      <c r="T4864" s="16"/>
      <c r="U4864" s="16"/>
      <c r="V4864" s="16"/>
      <c r="W4864" s="13"/>
      <c r="X4864" s="47">
        <v>4860</v>
      </c>
      <c r="Y4864" s="47" t="s">
        <v>2248</v>
      </c>
      <c r="Z4864" s="47" t="s">
        <v>2435</v>
      </c>
      <c r="AA4864" s="56">
        <v>0</v>
      </c>
      <c r="AB4864" s="13"/>
      <c r="AC4864" s="13"/>
      <c r="AD4864" s="13"/>
      <c r="AE4864" s="13"/>
      <c r="AF4864" s="13"/>
    </row>
    <row r="4865" spans="19:32" x14ac:dyDescent="0.35">
      <c r="S4865" s="13"/>
      <c r="T4865" s="16"/>
      <c r="U4865" s="16"/>
      <c r="V4865" s="16"/>
      <c r="W4865" s="13"/>
      <c r="X4865" s="34">
        <v>4861</v>
      </c>
      <c r="Y4865" s="34" t="s">
        <v>2248</v>
      </c>
      <c r="Z4865" s="34" t="s">
        <v>3908</v>
      </c>
      <c r="AA4865" s="35">
        <v>2.3203629032258069E-3</v>
      </c>
      <c r="AB4865" s="13"/>
      <c r="AC4865" s="13"/>
      <c r="AD4865" s="13"/>
      <c r="AE4865" s="13"/>
      <c r="AF4865" s="13"/>
    </row>
    <row r="4866" spans="19:32" x14ac:dyDescent="0.35">
      <c r="S4866" s="13"/>
      <c r="T4866" s="16"/>
      <c r="U4866" s="16"/>
      <c r="V4866" s="16"/>
      <c r="W4866" s="13"/>
      <c r="X4866" s="34">
        <v>4862</v>
      </c>
      <c r="Y4866" s="34" t="s">
        <v>2248</v>
      </c>
      <c r="Z4866" s="34" t="s">
        <v>2435</v>
      </c>
      <c r="AA4866" s="35">
        <v>1.0590725806451614E-5</v>
      </c>
      <c r="AB4866" s="13"/>
      <c r="AC4866" s="13"/>
      <c r="AD4866" s="13"/>
      <c r="AE4866" s="13"/>
      <c r="AF4866" s="13"/>
    </row>
    <row r="4867" spans="19:32" x14ac:dyDescent="0.35">
      <c r="S4867" s="13"/>
      <c r="T4867" s="16"/>
      <c r="U4867" s="16"/>
      <c r="V4867" s="16"/>
      <c r="W4867" s="13"/>
      <c r="X4867" s="47">
        <v>4863</v>
      </c>
      <c r="Y4867" s="47" t="s">
        <v>2248</v>
      </c>
      <c r="Z4867" s="47" t="s">
        <v>4043</v>
      </c>
      <c r="AA4867" s="56">
        <v>7.3689516129032268E-4</v>
      </c>
      <c r="AB4867" s="13"/>
      <c r="AC4867" s="13"/>
      <c r="AD4867" s="13"/>
      <c r="AE4867" s="13"/>
      <c r="AF4867" s="13"/>
    </row>
    <row r="4868" spans="19:32" x14ac:dyDescent="0.35">
      <c r="S4868" s="13"/>
      <c r="T4868" s="16"/>
      <c r="U4868" s="16"/>
      <c r="V4868" s="16"/>
      <c r="W4868" s="13"/>
      <c r="X4868" s="34">
        <v>4864</v>
      </c>
      <c r="Y4868" s="34" t="s">
        <v>2248</v>
      </c>
      <c r="Z4868" s="34" t="s">
        <v>3907</v>
      </c>
      <c r="AA4868" s="35">
        <v>2.6322580645161292E-3</v>
      </c>
      <c r="AB4868" s="13"/>
      <c r="AC4868" s="13"/>
      <c r="AD4868" s="13"/>
      <c r="AE4868" s="13"/>
      <c r="AF4868" s="13"/>
    </row>
    <row r="4869" spans="19:32" x14ac:dyDescent="0.35">
      <c r="S4869" s="13"/>
      <c r="T4869" s="16"/>
      <c r="U4869" s="16"/>
      <c r="V4869" s="16"/>
      <c r="W4869" s="13"/>
      <c r="X4869" s="47">
        <v>4865</v>
      </c>
      <c r="Y4869" s="47" t="s">
        <v>2248</v>
      </c>
      <c r="Z4869" s="47" t="s">
        <v>2434</v>
      </c>
      <c r="AA4869" s="56">
        <v>2.622E-2</v>
      </c>
      <c r="AB4869" s="13"/>
      <c r="AC4869" s="13"/>
      <c r="AD4869" s="13"/>
      <c r="AE4869" s="13"/>
      <c r="AF4869" s="13"/>
    </row>
    <row r="4870" spans="19:32" x14ac:dyDescent="0.35">
      <c r="S4870" s="13"/>
      <c r="T4870" s="16"/>
      <c r="U4870" s="16"/>
      <c r="V4870" s="16"/>
      <c r="W4870" s="13"/>
      <c r="X4870" s="47">
        <v>4866</v>
      </c>
      <c r="Y4870" s="47" t="s">
        <v>2248</v>
      </c>
      <c r="Z4870" s="47" t="s">
        <v>2432</v>
      </c>
      <c r="AA4870" s="56">
        <v>2.0424000000000001E-4</v>
      </c>
      <c r="AB4870" s="13"/>
      <c r="AC4870" s="13"/>
      <c r="AD4870" s="13"/>
      <c r="AE4870" s="13"/>
      <c r="AF4870" s="13"/>
    </row>
    <row r="4871" spans="19:32" x14ac:dyDescent="0.35">
      <c r="S4871" s="13"/>
      <c r="T4871" s="16"/>
      <c r="U4871" s="16"/>
      <c r="V4871" s="16"/>
      <c r="W4871" s="13"/>
      <c r="X4871" s="34">
        <v>4867</v>
      </c>
      <c r="Y4871" s="34" t="s">
        <v>2248</v>
      </c>
      <c r="Z4871" s="34" t="s">
        <v>2373</v>
      </c>
      <c r="AA4871" s="35">
        <v>0.20084677419354841</v>
      </c>
      <c r="AB4871" s="13"/>
      <c r="AC4871" s="13"/>
      <c r="AD4871" s="13"/>
      <c r="AE4871" s="13"/>
      <c r="AF4871" s="13"/>
    </row>
    <row r="4872" spans="19:32" x14ac:dyDescent="0.35">
      <c r="S4872" s="13"/>
      <c r="T4872" s="16"/>
      <c r="U4872" s="16"/>
      <c r="V4872" s="16"/>
      <c r="W4872" s="13"/>
      <c r="X4872" s="34">
        <v>4868</v>
      </c>
      <c r="Y4872" s="34" t="s">
        <v>2248</v>
      </c>
      <c r="Z4872" s="34" t="s">
        <v>4042</v>
      </c>
      <c r="AA4872" s="35">
        <v>6.4435483870967751E-3</v>
      </c>
      <c r="AB4872" s="13"/>
      <c r="AC4872" s="13"/>
      <c r="AD4872" s="13"/>
      <c r="AE4872" s="13"/>
      <c r="AF4872" s="13"/>
    </row>
    <row r="4873" spans="19:32" x14ac:dyDescent="0.35">
      <c r="S4873" s="13"/>
      <c r="T4873" s="16"/>
      <c r="U4873" s="16"/>
      <c r="V4873" s="16"/>
      <c r="W4873" s="13"/>
      <c r="X4873" s="34">
        <v>4869</v>
      </c>
      <c r="Y4873" s="34" t="s">
        <v>2248</v>
      </c>
      <c r="Z4873" s="34" t="s">
        <v>4041</v>
      </c>
      <c r="AA4873" s="35">
        <v>2.2243951612903226E-2</v>
      </c>
      <c r="AB4873" s="13"/>
      <c r="AC4873" s="13"/>
      <c r="AD4873" s="13"/>
      <c r="AE4873" s="13"/>
      <c r="AF4873" s="13"/>
    </row>
    <row r="4874" spans="19:32" x14ac:dyDescent="0.35">
      <c r="S4874" s="13"/>
      <c r="T4874" s="16"/>
      <c r="U4874" s="16"/>
      <c r="V4874" s="16"/>
      <c r="W4874" s="13"/>
      <c r="X4874" s="34">
        <v>4870</v>
      </c>
      <c r="Y4874" s="34" t="s">
        <v>2248</v>
      </c>
      <c r="Z4874" s="34" t="s">
        <v>2371</v>
      </c>
      <c r="AA4874" s="35">
        <v>8.3971774193548395E-3</v>
      </c>
      <c r="AB4874" s="13"/>
      <c r="AC4874" s="13"/>
      <c r="AD4874" s="13"/>
      <c r="AE4874" s="13"/>
      <c r="AF4874" s="13"/>
    </row>
    <row r="4875" spans="19:32" x14ac:dyDescent="0.35">
      <c r="S4875" s="13"/>
      <c r="T4875" s="16"/>
      <c r="U4875" s="16"/>
      <c r="V4875" s="16"/>
      <c r="W4875" s="13"/>
      <c r="X4875" s="34">
        <v>4871</v>
      </c>
      <c r="Y4875" s="34" t="s">
        <v>2248</v>
      </c>
      <c r="Z4875" s="34" t="s">
        <v>4040</v>
      </c>
      <c r="AA4875" s="35">
        <v>5.1411290322580649E-4</v>
      </c>
      <c r="AB4875" s="13"/>
      <c r="AC4875" s="13"/>
      <c r="AD4875" s="13"/>
      <c r="AE4875" s="13"/>
      <c r="AF4875" s="13"/>
    </row>
    <row r="4876" spans="19:32" x14ac:dyDescent="0.35">
      <c r="S4876" s="13"/>
      <c r="T4876" s="16"/>
      <c r="U4876" s="16"/>
      <c r="V4876" s="16"/>
      <c r="W4876" s="13"/>
      <c r="X4876" s="47">
        <v>4872</v>
      </c>
      <c r="Y4876" s="47" t="s">
        <v>2248</v>
      </c>
      <c r="Z4876" s="47" t="s">
        <v>4039</v>
      </c>
      <c r="AA4876" s="56">
        <v>4.1471774193548391E-4</v>
      </c>
      <c r="AB4876" s="13"/>
      <c r="AC4876" s="13"/>
      <c r="AD4876" s="13"/>
      <c r="AE4876" s="13"/>
      <c r="AF4876" s="13"/>
    </row>
    <row r="4877" spans="19:32" x14ac:dyDescent="0.35">
      <c r="S4877" s="13"/>
      <c r="T4877" s="16"/>
      <c r="U4877" s="16"/>
      <c r="V4877" s="16"/>
      <c r="W4877" s="13"/>
      <c r="X4877" s="34">
        <v>4873</v>
      </c>
      <c r="Y4877" s="34" t="s">
        <v>2248</v>
      </c>
      <c r="Z4877" s="34" t="s">
        <v>3905</v>
      </c>
      <c r="AA4877" s="35">
        <v>1.5423387096774195E-4</v>
      </c>
      <c r="AB4877" s="13"/>
      <c r="AC4877" s="13"/>
      <c r="AD4877" s="13"/>
      <c r="AE4877" s="13"/>
      <c r="AF4877" s="13"/>
    </row>
    <row r="4878" spans="19:32" x14ac:dyDescent="0.35">
      <c r="S4878" s="13"/>
      <c r="T4878" s="16"/>
      <c r="U4878" s="16"/>
      <c r="V4878" s="16"/>
      <c r="W4878" s="13"/>
      <c r="X4878" s="34">
        <v>4874</v>
      </c>
      <c r="Y4878" s="34" t="s">
        <v>2248</v>
      </c>
      <c r="Z4878" s="34" t="s">
        <v>4038</v>
      </c>
      <c r="AA4878" s="35">
        <v>3.094959677419355E-3</v>
      </c>
      <c r="AB4878" s="13"/>
      <c r="AC4878" s="13"/>
      <c r="AD4878" s="13"/>
      <c r="AE4878" s="13"/>
      <c r="AF4878" s="13"/>
    </row>
    <row r="4879" spans="19:32" x14ac:dyDescent="0.35">
      <c r="S4879" s="13"/>
      <c r="T4879" s="16"/>
      <c r="U4879" s="16"/>
      <c r="V4879" s="16"/>
      <c r="W4879" s="13"/>
      <c r="X4879" s="34">
        <v>4875</v>
      </c>
      <c r="Y4879" s="34" t="s">
        <v>2248</v>
      </c>
      <c r="Z4879" s="34" t="s">
        <v>3904</v>
      </c>
      <c r="AA4879" s="35">
        <v>8.3971774193548389E-4</v>
      </c>
      <c r="AB4879" s="13"/>
      <c r="AC4879" s="13"/>
      <c r="AD4879" s="13"/>
      <c r="AE4879" s="13"/>
      <c r="AF4879" s="13"/>
    </row>
    <row r="4880" spans="19:32" x14ac:dyDescent="0.35">
      <c r="S4880" s="13"/>
      <c r="T4880" s="16"/>
      <c r="U4880" s="16"/>
      <c r="V4880" s="16"/>
      <c r="W4880" s="13"/>
      <c r="X4880" s="34">
        <v>4876</v>
      </c>
      <c r="Y4880" s="34" t="s">
        <v>2248</v>
      </c>
      <c r="Z4880" s="34" t="s">
        <v>4037</v>
      </c>
      <c r="AA4880" s="35">
        <v>3.7358870967741943E-5</v>
      </c>
      <c r="AB4880" s="13"/>
      <c r="AC4880" s="13"/>
      <c r="AD4880" s="13"/>
      <c r="AE4880" s="13"/>
      <c r="AF4880" s="13"/>
    </row>
    <row r="4881" spans="19:32" x14ac:dyDescent="0.35">
      <c r="S4881" s="13"/>
      <c r="T4881" s="16"/>
      <c r="U4881" s="16"/>
      <c r="V4881" s="16"/>
      <c r="W4881" s="13"/>
      <c r="X4881" s="47">
        <v>4877</v>
      </c>
      <c r="Y4881" s="47" t="s">
        <v>2248</v>
      </c>
      <c r="Z4881" s="47" t="s">
        <v>4036</v>
      </c>
      <c r="AA4881" s="56">
        <v>2.0872983870967744E-2</v>
      </c>
      <c r="AB4881" s="13"/>
      <c r="AC4881" s="13"/>
      <c r="AD4881" s="13"/>
      <c r="AE4881" s="13"/>
      <c r="AF4881" s="13"/>
    </row>
    <row r="4882" spans="19:32" x14ac:dyDescent="0.35">
      <c r="S4882" s="13"/>
      <c r="T4882" s="16"/>
      <c r="U4882" s="16"/>
      <c r="V4882" s="16"/>
      <c r="W4882" s="13"/>
      <c r="X4882" s="34">
        <v>4878</v>
      </c>
      <c r="Y4882" s="34" t="s">
        <v>2248</v>
      </c>
      <c r="Z4882" s="34" t="s">
        <v>4035</v>
      </c>
      <c r="AA4882" s="35">
        <v>3.3897177419354844E-3</v>
      </c>
      <c r="AB4882" s="13"/>
      <c r="AC4882" s="13"/>
      <c r="AD4882" s="13"/>
      <c r="AE4882" s="13"/>
      <c r="AF4882" s="13"/>
    </row>
    <row r="4883" spans="19:32" x14ac:dyDescent="0.35">
      <c r="S4883" s="13"/>
      <c r="T4883" s="16"/>
      <c r="U4883" s="16"/>
      <c r="V4883" s="16"/>
      <c r="W4883" s="13"/>
      <c r="X4883" s="34">
        <v>4879</v>
      </c>
      <c r="Y4883" s="34" t="s">
        <v>2248</v>
      </c>
      <c r="Z4883" s="34" t="s">
        <v>3903</v>
      </c>
      <c r="AA4883" s="35">
        <v>0.18233870967741936</v>
      </c>
      <c r="AB4883" s="13"/>
      <c r="AC4883" s="13"/>
      <c r="AD4883" s="13"/>
      <c r="AE4883" s="13"/>
      <c r="AF4883" s="13"/>
    </row>
    <row r="4884" spans="19:32" x14ac:dyDescent="0.35">
      <c r="S4884" s="13"/>
      <c r="T4884" s="16"/>
      <c r="U4884" s="16"/>
      <c r="V4884" s="16"/>
      <c r="W4884" s="13"/>
      <c r="X4884" s="34">
        <v>4880</v>
      </c>
      <c r="Y4884" s="34" t="s">
        <v>2248</v>
      </c>
      <c r="Z4884" s="34" t="s">
        <v>4034</v>
      </c>
      <c r="AA4884" s="35">
        <v>2.0256048387096777E-2</v>
      </c>
      <c r="AB4884" s="13"/>
      <c r="AC4884" s="13"/>
      <c r="AD4884" s="13"/>
      <c r="AE4884" s="13"/>
      <c r="AF4884" s="13"/>
    </row>
    <row r="4885" spans="19:32" x14ac:dyDescent="0.35">
      <c r="S4885" s="13"/>
      <c r="T4885" s="16"/>
      <c r="U4885" s="16"/>
      <c r="V4885" s="16"/>
      <c r="W4885" s="13"/>
      <c r="X4885" s="34">
        <v>4881</v>
      </c>
      <c r="Y4885" s="34" t="s">
        <v>2248</v>
      </c>
      <c r="Z4885" s="34" t="s">
        <v>3902</v>
      </c>
      <c r="AA4885" s="35">
        <v>1.6485887096774192E-4</v>
      </c>
      <c r="AB4885" s="13"/>
      <c r="AC4885" s="13"/>
      <c r="AD4885" s="13"/>
      <c r="AE4885" s="13"/>
      <c r="AF4885" s="13"/>
    </row>
    <row r="4886" spans="19:32" x14ac:dyDescent="0.35">
      <c r="S4886" s="13"/>
      <c r="T4886" s="16"/>
      <c r="U4886" s="16"/>
      <c r="V4886" s="16"/>
      <c r="W4886" s="13"/>
      <c r="X4886" s="47">
        <v>4882</v>
      </c>
      <c r="Y4886" s="47" t="s">
        <v>2248</v>
      </c>
      <c r="Z4886" s="47" t="s">
        <v>4033</v>
      </c>
      <c r="AA4886" s="56">
        <v>7.0604838709677426E-4</v>
      </c>
      <c r="AB4886" s="13"/>
      <c r="AC4886" s="13"/>
      <c r="AD4886" s="13"/>
      <c r="AE4886" s="13"/>
      <c r="AF4886" s="13"/>
    </row>
    <row r="4887" spans="19:32" x14ac:dyDescent="0.35">
      <c r="S4887" s="13"/>
      <c r="T4887" s="16"/>
      <c r="U4887" s="16"/>
      <c r="V4887" s="16"/>
      <c r="W4887" s="13"/>
      <c r="X4887" s="47">
        <v>4883</v>
      </c>
      <c r="Y4887" s="47" t="s">
        <v>2248</v>
      </c>
      <c r="Z4887" s="47" t="s">
        <v>2431</v>
      </c>
      <c r="AA4887" s="56">
        <v>0</v>
      </c>
      <c r="AB4887" s="13"/>
      <c r="AC4887" s="13"/>
      <c r="AD4887" s="13"/>
      <c r="AE4887" s="13"/>
      <c r="AF4887" s="13"/>
    </row>
    <row r="4888" spans="19:32" x14ac:dyDescent="0.35">
      <c r="S4888" s="13"/>
      <c r="T4888" s="16"/>
      <c r="U4888" s="16"/>
      <c r="V4888" s="16"/>
      <c r="W4888" s="13"/>
      <c r="X4888" s="34">
        <v>4884</v>
      </c>
      <c r="Y4888" s="34" t="s">
        <v>2248</v>
      </c>
      <c r="Z4888" s="34" t="s">
        <v>2431</v>
      </c>
      <c r="AA4888" s="35">
        <v>0.12612903225806452</v>
      </c>
      <c r="AB4888" s="13"/>
      <c r="AC4888" s="13"/>
      <c r="AD4888" s="13"/>
      <c r="AE4888" s="13"/>
      <c r="AF4888" s="13"/>
    </row>
    <row r="4889" spans="19:32" x14ac:dyDescent="0.35">
      <c r="S4889" s="13"/>
      <c r="T4889" s="16"/>
      <c r="U4889" s="16"/>
      <c r="V4889" s="16"/>
      <c r="W4889" s="13"/>
      <c r="X4889" s="34">
        <v>4885</v>
      </c>
      <c r="Y4889" s="34" t="s">
        <v>2248</v>
      </c>
      <c r="Z4889" s="34" t="s">
        <v>3901</v>
      </c>
      <c r="AA4889" s="35">
        <v>1.158467741935484E-4</v>
      </c>
      <c r="AB4889" s="13"/>
      <c r="AC4889" s="13"/>
      <c r="AD4889" s="13"/>
      <c r="AE4889" s="13"/>
      <c r="AF4889" s="13"/>
    </row>
    <row r="4890" spans="19:32" x14ac:dyDescent="0.35">
      <c r="S4890" s="13"/>
      <c r="T4890" s="16"/>
      <c r="U4890" s="16"/>
      <c r="V4890" s="16"/>
      <c r="W4890" s="13"/>
      <c r="X4890" s="47">
        <v>4886</v>
      </c>
      <c r="Y4890" s="47" t="s">
        <v>2248</v>
      </c>
      <c r="Z4890" s="47" t="s">
        <v>2429</v>
      </c>
      <c r="AA4890" s="56">
        <v>56.580000000000005</v>
      </c>
      <c r="AB4890" s="13"/>
      <c r="AC4890" s="13"/>
      <c r="AD4890" s="13"/>
      <c r="AE4890" s="13"/>
      <c r="AF4890" s="13"/>
    </row>
    <row r="4891" spans="19:32" x14ac:dyDescent="0.35">
      <c r="S4891" s="13"/>
      <c r="T4891" s="16"/>
      <c r="U4891" s="16"/>
      <c r="V4891" s="16"/>
      <c r="W4891" s="13"/>
      <c r="X4891" s="34">
        <v>4887</v>
      </c>
      <c r="Y4891" s="34" t="s">
        <v>2248</v>
      </c>
      <c r="Z4891" s="34" t="s">
        <v>3899</v>
      </c>
      <c r="AA4891" s="35">
        <v>2.9407258064516129E-3</v>
      </c>
      <c r="AB4891" s="13"/>
      <c r="AC4891" s="13"/>
      <c r="AD4891" s="13"/>
      <c r="AE4891" s="13"/>
      <c r="AF4891" s="13"/>
    </row>
    <row r="4892" spans="19:32" x14ac:dyDescent="0.35">
      <c r="S4892" s="13"/>
      <c r="T4892" s="16"/>
      <c r="U4892" s="16"/>
      <c r="V4892" s="16"/>
      <c r="W4892" s="13"/>
      <c r="X4892" s="47">
        <v>4888</v>
      </c>
      <c r="Y4892" s="47" t="s">
        <v>2248</v>
      </c>
      <c r="Z4892" s="47" t="s">
        <v>4032</v>
      </c>
      <c r="AA4892" s="56">
        <v>2.6631048387096776E-2</v>
      </c>
      <c r="AB4892" s="13"/>
      <c r="AC4892" s="13"/>
      <c r="AD4892" s="13"/>
      <c r="AE4892" s="13"/>
      <c r="AF4892" s="13"/>
    </row>
    <row r="4893" spans="19:32" x14ac:dyDescent="0.35">
      <c r="S4893" s="13"/>
      <c r="T4893" s="16"/>
      <c r="U4893" s="16"/>
      <c r="V4893" s="16"/>
      <c r="W4893" s="13"/>
      <c r="X4893" s="47">
        <v>4889</v>
      </c>
      <c r="Y4893" s="47" t="s">
        <v>2248</v>
      </c>
      <c r="Z4893" s="47" t="s">
        <v>2428</v>
      </c>
      <c r="AA4893" s="56">
        <v>2.1803999999999999E-3</v>
      </c>
      <c r="AB4893" s="13"/>
      <c r="AC4893" s="13"/>
      <c r="AD4893" s="13"/>
      <c r="AE4893" s="13"/>
      <c r="AF4893" s="13"/>
    </row>
    <row r="4894" spans="19:32" x14ac:dyDescent="0.35">
      <c r="S4894" s="13"/>
      <c r="T4894" s="16"/>
      <c r="U4894" s="16"/>
      <c r="V4894" s="16"/>
      <c r="W4894" s="13"/>
      <c r="X4894" s="34">
        <v>4890</v>
      </c>
      <c r="Y4894" s="34" t="s">
        <v>2248</v>
      </c>
      <c r="Z4894" s="34" t="s">
        <v>3898</v>
      </c>
      <c r="AA4894" s="35">
        <v>1.144758064516129</v>
      </c>
      <c r="AB4894" s="13"/>
      <c r="AC4894" s="13"/>
      <c r="AD4894" s="13"/>
      <c r="AE4894" s="13"/>
      <c r="AF4894" s="13"/>
    </row>
    <row r="4895" spans="19:32" x14ac:dyDescent="0.35">
      <c r="S4895" s="13"/>
      <c r="T4895" s="16"/>
      <c r="U4895" s="16"/>
      <c r="V4895" s="16"/>
      <c r="W4895" s="13"/>
      <c r="X4895" s="34">
        <v>4891</v>
      </c>
      <c r="Y4895" s="34" t="s">
        <v>2248</v>
      </c>
      <c r="Z4895" s="34" t="s">
        <v>4031</v>
      </c>
      <c r="AA4895" s="35">
        <v>2.7625000000000002E-4</v>
      </c>
      <c r="AB4895" s="13"/>
      <c r="AC4895" s="13"/>
      <c r="AD4895" s="13"/>
      <c r="AE4895" s="13"/>
      <c r="AF4895" s="13"/>
    </row>
    <row r="4896" spans="19:32" x14ac:dyDescent="0.35">
      <c r="S4896" s="13"/>
      <c r="T4896" s="16"/>
      <c r="U4896" s="16"/>
      <c r="V4896" s="16"/>
      <c r="W4896" s="13"/>
      <c r="X4896" s="34">
        <v>4892</v>
      </c>
      <c r="Y4896" s="34" t="s">
        <v>2248</v>
      </c>
      <c r="Z4896" s="34" t="s">
        <v>3897</v>
      </c>
      <c r="AA4896" s="35">
        <v>5.3467741935483877E-5</v>
      </c>
      <c r="AB4896" s="13"/>
      <c r="AC4896" s="13"/>
      <c r="AD4896" s="13"/>
      <c r="AE4896" s="13"/>
      <c r="AF4896" s="13"/>
    </row>
    <row r="4897" spans="19:32" x14ac:dyDescent="0.35">
      <c r="S4897" s="13"/>
      <c r="T4897" s="16"/>
      <c r="U4897" s="16"/>
      <c r="V4897" s="16"/>
      <c r="W4897" s="13"/>
      <c r="X4897" s="34">
        <v>4893</v>
      </c>
      <c r="Y4897" s="34" t="s">
        <v>2248</v>
      </c>
      <c r="Z4897" s="34" t="s">
        <v>4030</v>
      </c>
      <c r="AA4897" s="35">
        <v>3.5987903225806452E-2</v>
      </c>
      <c r="AB4897" s="13"/>
      <c r="AC4897" s="13"/>
      <c r="AD4897" s="13"/>
      <c r="AE4897" s="13"/>
      <c r="AF4897" s="13"/>
    </row>
    <row r="4898" spans="19:32" x14ac:dyDescent="0.35">
      <c r="S4898" s="13"/>
      <c r="T4898" s="16"/>
      <c r="U4898" s="16"/>
      <c r="V4898" s="16"/>
      <c r="W4898" s="13"/>
      <c r="X4898" s="34">
        <v>4894</v>
      </c>
      <c r="Y4898" s="34" t="s">
        <v>2248</v>
      </c>
      <c r="Z4898" s="34" t="s">
        <v>4029</v>
      </c>
      <c r="AA4898" s="35">
        <v>6.2379032258064522E-2</v>
      </c>
      <c r="AB4898" s="13"/>
      <c r="AC4898" s="13"/>
      <c r="AD4898" s="13"/>
      <c r="AE4898" s="13"/>
      <c r="AF4898" s="13"/>
    </row>
    <row r="4899" spans="19:32" x14ac:dyDescent="0.35">
      <c r="S4899" s="13"/>
      <c r="T4899" s="16"/>
      <c r="U4899" s="16"/>
      <c r="V4899" s="16"/>
      <c r="W4899" s="13"/>
      <c r="X4899" s="34">
        <v>4895</v>
      </c>
      <c r="Y4899" s="34" t="s">
        <v>2248</v>
      </c>
      <c r="Z4899" s="34" t="s">
        <v>4028</v>
      </c>
      <c r="AA4899" s="35">
        <v>3.461693548387097</v>
      </c>
      <c r="AB4899" s="13"/>
      <c r="AC4899" s="13"/>
      <c r="AD4899" s="13"/>
      <c r="AE4899" s="13"/>
      <c r="AF4899" s="13"/>
    </row>
    <row r="4900" spans="19:32" x14ac:dyDescent="0.35">
      <c r="S4900" s="13"/>
      <c r="T4900" s="16"/>
      <c r="U4900" s="16"/>
      <c r="V4900" s="16"/>
      <c r="W4900" s="13"/>
      <c r="X4900" s="34">
        <v>4896</v>
      </c>
      <c r="Y4900" s="34" t="s">
        <v>2248</v>
      </c>
      <c r="Z4900" s="34" t="s">
        <v>3895</v>
      </c>
      <c r="AA4900" s="35">
        <v>1.0213709677419356E-3</v>
      </c>
      <c r="AB4900" s="13"/>
      <c r="AC4900" s="13"/>
      <c r="AD4900" s="13"/>
      <c r="AE4900" s="13"/>
      <c r="AF4900" s="13"/>
    </row>
    <row r="4901" spans="19:32" x14ac:dyDescent="0.35">
      <c r="S4901" s="13"/>
      <c r="T4901" s="16"/>
      <c r="U4901" s="16"/>
      <c r="V4901" s="16"/>
      <c r="W4901" s="13"/>
      <c r="X4901" s="34">
        <v>4897</v>
      </c>
      <c r="Y4901" s="34" t="s">
        <v>2248</v>
      </c>
      <c r="Z4901" s="34" t="s">
        <v>4027</v>
      </c>
      <c r="AA4901" s="35">
        <v>153.54838709677421</v>
      </c>
      <c r="AB4901" s="13"/>
      <c r="AC4901" s="13"/>
      <c r="AD4901" s="13"/>
      <c r="AE4901" s="13"/>
      <c r="AF4901" s="13"/>
    </row>
    <row r="4902" spans="19:32" x14ac:dyDescent="0.35">
      <c r="S4902" s="13"/>
      <c r="T4902" s="16"/>
      <c r="U4902" s="16"/>
      <c r="V4902" s="16"/>
      <c r="W4902" s="13"/>
      <c r="X4902" s="47">
        <v>4898</v>
      </c>
      <c r="Y4902" s="47" t="s">
        <v>2248</v>
      </c>
      <c r="Z4902" s="47" t="s">
        <v>2426</v>
      </c>
      <c r="AA4902" s="56">
        <v>0</v>
      </c>
      <c r="AB4902" s="13"/>
      <c r="AC4902" s="13"/>
      <c r="AD4902" s="13"/>
      <c r="AE4902" s="13"/>
      <c r="AF4902" s="13"/>
    </row>
    <row r="4903" spans="19:32" x14ac:dyDescent="0.35">
      <c r="S4903" s="13"/>
      <c r="T4903" s="16"/>
      <c r="U4903" s="16"/>
      <c r="V4903" s="16"/>
      <c r="W4903" s="13"/>
      <c r="X4903" s="34">
        <v>4899</v>
      </c>
      <c r="Y4903" s="34" t="s">
        <v>2248</v>
      </c>
      <c r="Z4903" s="34" t="s">
        <v>3894</v>
      </c>
      <c r="AA4903" s="35">
        <v>5.0040322580645162E-4</v>
      </c>
      <c r="AB4903" s="13"/>
      <c r="AC4903" s="13"/>
      <c r="AD4903" s="13"/>
      <c r="AE4903" s="13"/>
      <c r="AF4903" s="13"/>
    </row>
    <row r="4904" spans="19:32" x14ac:dyDescent="0.35">
      <c r="S4904" s="13"/>
      <c r="T4904" s="16"/>
      <c r="U4904" s="16"/>
      <c r="V4904" s="16"/>
      <c r="W4904" s="13"/>
      <c r="X4904" s="34">
        <v>4900</v>
      </c>
      <c r="Y4904" s="34" t="s">
        <v>2248</v>
      </c>
      <c r="Z4904" s="34" t="s">
        <v>2426</v>
      </c>
      <c r="AA4904" s="35">
        <v>0.3530241935483871</v>
      </c>
      <c r="AB4904" s="13"/>
      <c r="AC4904" s="13"/>
      <c r="AD4904" s="13"/>
      <c r="AE4904" s="13"/>
      <c r="AF4904" s="13"/>
    </row>
    <row r="4905" spans="19:32" x14ac:dyDescent="0.35">
      <c r="S4905" s="13"/>
      <c r="T4905" s="16"/>
      <c r="U4905" s="16"/>
      <c r="V4905" s="16"/>
      <c r="W4905" s="13"/>
      <c r="X4905" s="34">
        <v>4901</v>
      </c>
      <c r="Y4905" s="34" t="s">
        <v>2248</v>
      </c>
      <c r="Z4905" s="34" t="s">
        <v>3892</v>
      </c>
      <c r="AA4905" s="35">
        <v>1.2681451612903228E-4</v>
      </c>
      <c r="AB4905" s="13"/>
      <c r="AC4905" s="13"/>
      <c r="AD4905" s="13"/>
      <c r="AE4905" s="13"/>
      <c r="AF4905" s="13"/>
    </row>
    <row r="4906" spans="19:32" x14ac:dyDescent="0.35">
      <c r="S4906" s="13"/>
      <c r="T4906" s="16"/>
      <c r="U4906" s="16"/>
      <c r="V4906" s="16"/>
      <c r="W4906" s="13"/>
      <c r="X4906" s="34">
        <v>4902</v>
      </c>
      <c r="Y4906" s="34" t="s">
        <v>2248</v>
      </c>
      <c r="Z4906" s="34" t="s">
        <v>4026</v>
      </c>
      <c r="AA4906" s="35">
        <v>4.6270161290322583E-2</v>
      </c>
      <c r="AB4906" s="13"/>
      <c r="AC4906" s="13"/>
      <c r="AD4906" s="13"/>
      <c r="AE4906" s="13"/>
      <c r="AF4906" s="13"/>
    </row>
    <row r="4907" spans="19:32" x14ac:dyDescent="0.35">
      <c r="S4907" s="13"/>
      <c r="T4907" s="16"/>
      <c r="U4907" s="16"/>
      <c r="V4907" s="16"/>
      <c r="W4907" s="13"/>
      <c r="X4907" s="34">
        <v>4903</v>
      </c>
      <c r="Y4907" s="34" t="s">
        <v>2248</v>
      </c>
      <c r="Z4907" s="34" t="s">
        <v>4025</v>
      </c>
      <c r="AA4907" s="35">
        <v>7.4032258064516136E-4</v>
      </c>
      <c r="AB4907" s="13"/>
      <c r="AC4907" s="13"/>
      <c r="AD4907" s="13"/>
      <c r="AE4907" s="13"/>
      <c r="AF4907" s="13"/>
    </row>
    <row r="4908" spans="19:32" x14ac:dyDescent="0.35">
      <c r="S4908" s="13"/>
      <c r="T4908" s="16"/>
      <c r="U4908" s="16"/>
      <c r="V4908" s="16"/>
      <c r="W4908" s="13"/>
      <c r="X4908" s="34">
        <v>4904</v>
      </c>
      <c r="Y4908" s="34" t="s">
        <v>2248</v>
      </c>
      <c r="Z4908" s="34" t="s">
        <v>4024</v>
      </c>
      <c r="AA4908" s="35">
        <v>3.3211693548387101E-5</v>
      </c>
      <c r="AB4908" s="13"/>
      <c r="AC4908" s="13"/>
      <c r="AD4908" s="13"/>
      <c r="AE4908" s="13"/>
      <c r="AF4908" s="13"/>
    </row>
    <row r="4909" spans="19:32" x14ac:dyDescent="0.35">
      <c r="S4909" s="13"/>
      <c r="T4909" s="16"/>
      <c r="U4909" s="16"/>
      <c r="V4909" s="16"/>
      <c r="W4909" s="13"/>
      <c r="X4909" s="34">
        <v>4905</v>
      </c>
      <c r="Y4909" s="34" t="s">
        <v>2248</v>
      </c>
      <c r="Z4909" s="34" t="s">
        <v>3890</v>
      </c>
      <c r="AA4909" s="35">
        <v>5.0040322580645162E-4</v>
      </c>
      <c r="AB4909" s="13"/>
      <c r="AC4909" s="13"/>
      <c r="AD4909" s="13"/>
      <c r="AE4909" s="13"/>
      <c r="AF4909" s="13"/>
    </row>
    <row r="4910" spans="19:32" x14ac:dyDescent="0.35">
      <c r="S4910" s="13"/>
      <c r="T4910" s="16"/>
      <c r="U4910" s="16"/>
      <c r="V4910" s="16"/>
      <c r="W4910" s="13"/>
      <c r="X4910" s="34">
        <v>4906</v>
      </c>
      <c r="Y4910" s="34" t="s">
        <v>2248</v>
      </c>
      <c r="Z4910" s="34" t="s">
        <v>4023</v>
      </c>
      <c r="AA4910" s="35">
        <v>1.984475806451613E-4</v>
      </c>
      <c r="AB4910" s="13"/>
      <c r="AC4910" s="13"/>
      <c r="AD4910" s="13"/>
      <c r="AE4910" s="13"/>
      <c r="AF4910" s="13"/>
    </row>
    <row r="4911" spans="19:32" x14ac:dyDescent="0.35">
      <c r="S4911" s="13"/>
      <c r="T4911" s="16"/>
      <c r="U4911" s="16"/>
      <c r="V4911" s="16"/>
      <c r="W4911" s="13"/>
      <c r="X4911" s="34">
        <v>4907</v>
      </c>
      <c r="Y4911" s="34" t="s">
        <v>2248</v>
      </c>
      <c r="Z4911" s="34" t="s">
        <v>3889</v>
      </c>
      <c r="AA4911" s="35">
        <v>3.0264112903225811E-6</v>
      </c>
      <c r="AB4911" s="13"/>
      <c r="AC4911" s="13"/>
      <c r="AD4911" s="13"/>
      <c r="AE4911" s="13"/>
      <c r="AF4911" s="13"/>
    </row>
    <row r="4912" spans="19:32" x14ac:dyDescent="0.35">
      <c r="S4912" s="13"/>
      <c r="T4912" s="16"/>
      <c r="U4912" s="16"/>
      <c r="V4912" s="16"/>
      <c r="W4912" s="13"/>
      <c r="X4912" s="34">
        <v>4908</v>
      </c>
      <c r="Y4912" s="34" t="s">
        <v>2248</v>
      </c>
      <c r="Z4912" s="34" t="s">
        <v>4022</v>
      </c>
      <c r="AA4912" s="35">
        <v>2.7282258064516129E-3</v>
      </c>
      <c r="AB4912" s="13"/>
      <c r="AC4912" s="13"/>
      <c r="AD4912" s="13"/>
      <c r="AE4912" s="13"/>
      <c r="AF4912" s="13"/>
    </row>
    <row r="4913" spans="19:32" x14ac:dyDescent="0.35">
      <c r="S4913" s="13"/>
      <c r="T4913" s="16"/>
      <c r="U4913" s="16"/>
      <c r="V4913" s="16"/>
      <c r="W4913" s="13"/>
      <c r="X4913" s="34">
        <v>4909</v>
      </c>
      <c r="Y4913" s="34" t="s">
        <v>2248</v>
      </c>
      <c r="Z4913" s="34" t="s">
        <v>4021</v>
      </c>
      <c r="AA4913" s="35">
        <v>4.1471774193548392E-3</v>
      </c>
      <c r="AB4913" s="13"/>
      <c r="AC4913" s="13"/>
      <c r="AD4913" s="13"/>
      <c r="AE4913" s="13"/>
      <c r="AF4913" s="13"/>
    </row>
    <row r="4914" spans="19:32" x14ac:dyDescent="0.35">
      <c r="S4914" s="13"/>
      <c r="T4914" s="16"/>
      <c r="U4914" s="16"/>
      <c r="V4914" s="16"/>
      <c r="W4914" s="13"/>
      <c r="X4914" s="34">
        <v>4910</v>
      </c>
      <c r="Y4914" s="34" t="s">
        <v>2248</v>
      </c>
      <c r="Z4914" s="34" t="s">
        <v>3887</v>
      </c>
      <c r="AA4914" s="35">
        <v>10.625</v>
      </c>
      <c r="AB4914" s="13"/>
      <c r="AC4914" s="13"/>
      <c r="AD4914" s="13"/>
      <c r="AE4914" s="13"/>
      <c r="AF4914" s="13"/>
    </row>
    <row r="4915" spans="19:32" x14ac:dyDescent="0.35">
      <c r="S4915" s="13"/>
      <c r="T4915" s="16"/>
      <c r="U4915" s="16"/>
      <c r="V4915" s="16"/>
      <c r="W4915" s="13"/>
      <c r="X4915" s="47">
        <v>4911</v>
      </c>
      <c r="Y4915" s="47" t="s">
        <v>2248</v>
      </c>
      <c r="Z4915" s="47" t="s">
        <v>2425</v>
      </c>
      <c r="AA4915" s="56">
        <v>0</v>
      </c>
      <c r="AB4915" s="13"/>
      <c r="AC4915" s="13"/>
      <c r="AD4915" s="13"/>
      <c r="AE4915" s="13"/>
      <c r="AF4915" s="13"/>
    </row>
    <row r="4916" spans="19:32" x14ac:dyDescent="0.35">
      <c r="S4916" s="13"/>
      <c r="T4916" s="16"/>
      <c r="U4916" s="16"/>
      <c r="V4916" s="16"/>
      <c r="W4916" s="13"/>
      <c r="X4916" s="34">
        <v>4912</v>
      </c>
      <c r="Y4916" s="34" t="s">
        <v>2248</v>
      </c>
      <c r="Z4916" s="34" t="s">
        <v>3886</v>
      </c>
      <c r="AA4916" s="35">
        <v>4.6612903225806451E-4</v>
      </c>
      <c r="AB4916" s="13"/>
      <c r="AC4916" s="13"/>
      <c r="AD4916" s="13"/>
      <c r="AE4916" s="13"/>
      <c r="AF4916" s="13"/>
    </row>
    <row r="4917" spans="19:32" x14ac:dyDescent="0.35">
      <c r="S4917" s="13"/>
      <c r="T4917" s="16"/>
      <c r="U4917" s="16"/>
      <c r="V4917" s="16"/>
      <c r="W4917" s="13"/>
      <c r="X4917" s="47">
        <v>4913</v>
      </c>
      <c r="Y4917" s="47" t="s">
        <v>2248</v>
      </c>
      <c r="Z4917" s="47" t="s">
        <v>2423</v>
      </c>
      <c r="AA4917" s="56">
        <v>0</v>
      </c>
      <c r="AB4917" s="13"/>
      <c r="AC4917" s="13"/>
      <c r="AD4917" s="13"/>
      <c r="AE4917" s="13"/>
      <c r="AF4917" s="13"/>
    </row>
    <row r="4918" spans="19:32" x14ac:dyDescent="0.35">
      <c r="S4918" s="13"/>
      <c r="T4918" s="16"/>
      <c r="U4918" s="16"/>
      <c r="V4918" s="16"/>
      <c r="W4918" s="13"/>
      <c r="X4918" s="34">
        <v>4914</v>
      </c>
      <c r="Y4918" s="34" t="s">
        <v>2248</v>
      </c>
      <c r="Z4918" s="34" t="s">
        <v>4020</v>
      </c>
      <c r="AA4918" s="35">
        <v>4.7641129032258069E-6</v>
      </c>
      <c r="AB4918" s="13"/>
      <c r="AC4918" s="13"/>
      <c r="AD4918" s="13"/>
      <c r="AE4918" s="13"/>
      <c r="AF4918" s="13"/>
    </row>
    <row r="4919" spans="19:32" x14ac:dyDescent="0.35">
      <c r="S4919" s="13"/>
      <c r="T4919" s="16"/>
      <c r="U4919" s="16"/>
      <c r="V4919" s="16"/>
      <c r="W4919" s="13"/>
      <c r="X4919" s="34">
        <v>4915</v>
      </c>
      <c r="Y4919" s="34" t="s">
        <v>2248</v>
      </c>
      <c r="Z4919" s="34" t="s">
        <v>2423</v>
      </c>
      <c r="AA4919" s="35">
        <v>2.515725806451613E-2</v>
      </c>
      <c r="AB4919" s="13"/>
      <c r="AC4919" s="13"/>
      <c r="AD4919" s="13"/>
      <c r="AE4919" s="13"/>
      <c r="AF4919" s="13"/>
    </row>
    <row r="4920" spans="19:32" x14ac:dyDescent="0.35">
      <c r="S4920" s="13"/>
      <c r="T4920" s="16"/>
      <c r="U4920" s="16"/>
      <c r="V4920" s="16"/>
      <c r="W4920" s="13"/>
      <c r="X4920" s="34">
        <v>4916</v>
      </c>
      <c r="Y4920" s="34" t="s">
        <v>2248</v>
      </c>
      <c r="Z4920" s="34" t="s">
        <v>2363</v>
      </c>
      <c r="AA4920" s="35">
        <v>1.4840725806451613</v>
      </c>
      <c r="AB4920" s="13"/>
      <c r="AC4920" s="13"/>
      <c r="AD4920" s="13"/>
      <c r="AE4920" s="13"/>
      <c r="AF4920" s="13"/>
    </row>
    <row r="4921" spans="19:32" x14ac:dyDescent="0.35">
      <c r="S4921" s="13"/>
      <c r="T4921" s="16"/>
      <c r="U4921" s="16"/>
      <c r="V4921" s="16"/>
      <c r="W4921" s="13"/>
      <c r="X4921" s="47">
        <v>4917</v>
      </c>
      <c r="Y4921" s="47" t="s">
        <v>2248</v>
      </c>
      <c r="Z4921" s="47" t="s">
        <v>2421</v>
      </c>
      <c r="AA4921" s="56">
        <v>0</v>
      </c>
      <c r="AB4921" s="13"/>
      <c r="AC4921" s="13"/>
      <c r="AD4921" s="13"/>
      <c r="AE4921" s="13"/>
      <c r="AF4921" s="13"/>
    </row>
    <row r="4922" spans="19:32" x14ac:dyDescent="0.35">
      <c r="S4922" s="13"/>
      <c r="T4922" s="16"/>
      <c r="U4922" s="16"/>
      <c r="V4922" s="16"/>
      <c r="W4922" s="13"/>
      <c r="X4922" s="34">
        <v>4918</v>
      </c>
      <c r="Y4922" s="34" t="s">
        <v>2248</v>
      </c>
      <c r="Z4922" s="34" t="s">
        <v>4019</v>
      </c>
      <c r="AA4922" s="35">
        <v>1.0042338709677419E-3</v>
      </c>
      <c r="AB4922" s="13"/>
      <c r="AC4922" s="13"/>
      <c r="AD4922" s="13"/>
      <c r="AE4922" s="13"/>
      <c r="AF4922" s="13"/>
    </row>
    <row r="4923" spans="19:32" x14ac:dyDescent="0.35">
      <c r="S4923" s="13"/>
      <c r="T4923" s="16"/>
      <c r="U4923" s="16"/>
      <c r="V4923" s="16"/>
      <c r="W4923" s="13"/>
      <c r="X4923" s="34">
        <v>4919</v>
      </c>
      <c r="Y4923" s="34" t="s">
        <v>2248</v>
      </c>
      <c r="Z4923" s="34" t="s">
        <v>2421</v>
      </c>
      <c r="AA4923" s="35">
        <v>1.6828629032258067E-3</v>
      </c>
      <c r="AB4923" s="13"/>
      <c r="AC4923" s="13"/>
      <c r="AD4923" s="13"/>
      <c r="AE4923" s="13"/>
      <c r="AF4923" s="13"/>
    </row>
    <row r="4924" spans="19:32" x14ac:dyDescent="0.35">
      <c r="S4924" s="13"/>
      <c r="T4924" s="16"/>
      <c r="U4924" s="16"/>
      <c r="V4924" s="16"/>
      <c r="W4924" s="13"/>
      <c r="X4924" s="34">
        <v>4920</v>
      </c>
      <c r="Y4924" s="34" t="s">
        <v>2248</v>
      </c>
      <c r="Z4924" s="34" t="s">
        <v>3884</v>
      </c>
      <c r="AA4924" s="35">
        <v>4.3528225806451615E-5</v>
      </c>
      <c r="AB4924" s="13"/>
      <c r="AC4924" s="13"/>
      <c r="AD4924" s="13"/>
      <c r="AE4924" s="13"/>
      <c r="AF4924" s="13"/>
    </row>
    <row r="4925" spans="19:32" x14ac:dyDescent="0.35">
      <c r="S4925" s="13"/>
      <c r="T4925" s="16"/>
      <c r="U4925" s="16"/>
      <c r="V4925" s="16"/>
      <c r="W4925" s="13"/>
      <c r="X4925" s="34">
        <v>4921</v>
      </c>
      <c r="Y4925" s="34" t="s">
        <v>2248</v>
      </c>
      <c r="Z4925" s="34" t="s">
        <v>4018</v>
      </c>
      <c r="AA4925" s="35">
        <v>5.4495967741935488E-3</v>
      </c>
      <c r="AB4925" s="13"/>
      <c r="AC4925" s="13"/>
      <c r="AD4925" s="13"/>
      <c r="AE4925" s="13"/>
      <c r="AF4925" s="13"/>
    </row>
    <row r="4926" spans="19:32" x14ac:dyDescent="0.35">
      <c r="S4926" s="13"/>
      <c r="T4926" s="16"/>
      <c r="U4926" s="16"/>
      <c r="V4926" s="16"/>
      <c r="W4926" s="13"/>
      <c r="X4926" s="34">
        <v>4922</v>
      </c>
      <c r="Y4926" s="34" t="s">
        <v>2248</v>
      </c>
      <c r="Z4926" s="34" t="s">
        <v>3882</v>
      </c>
      <c r="AA4926" s="35">
        <v>6.1693548387096783E-3</v>
      </c>
      <c r="AB4926" s="13"/>
      <c r="AC4926" s="13"/>
      <c r="AD4926" s="13"/>
      <c r="AE4926" s="13"/>
      <c r="AF4926" s="13"/>
    </row>
    <row r="4927" spans="19:32" x14ac:dyDescent="0.35">
      <c r="S4927" s="13"/>
      <c r="T4927" s="16"/>
      <c r="U4927" s="16"/>
      <c r="V4927" s="16"/>
      <c r="W4927" s="13"/>
      <c r="X4927" s="34">
        <v>4923</v>
      </c>
      <c r="Y4927" s="34" t="s">
        <v>2248</v>
      </c>
      <c r="Z4927" s="34" t="s">
        <v>4017</v>
      </c>
      <c r="AA4927" s="35">
        <v>2.3272177419354843E-5</v>
      </c>
      <c r="AB4927" s="13"/>
      <c r="AC4927" s="13"/>
      <c r="AD4927" s="13"/>
      <c r="AE4927" s="13"/>
      <c r="AF4927" s="13"/>
    </row>
    <row r="4928" spans="19:32" x14ac:dyDescent="0.35">
      <c r="S4928" s="13"/>
      <c r="T4928" s="16"/>
      <c r="U4928" s="16"/>
      <c r="V4928" s="16"/>
      <c r="W4928" s="13"/>
      <c r="X4928" s="34">
        <v>4924</v>
      </c>
      <c r="Y4928" s="34" t="s">
        <v>2248</v>
      </c>
      <c r="Z4928" s="34" t="s">
        <v>4016</v>
      </c>
      <c r="AA4928" s="35">
        <v>0.16657258064516131</v>
      </c>
      <c r="AB4928" s="13"/>
      <c r="AC4928" s="13"/>
      <c r="AD4928" s="13"/>
      <c r="AE4928" s="13"/>
      <c r="AF4928" s="13"/>
    </row>
    <row r="4929" spans="19:32" x14ac:dyDescent="0.35">
      <c r="S4929" s="13"/>
      <c r="T4929" s="16"/>
      <c r="U4929" s="16"/>
      <c r="V4929" s="16"/>
      <c r="W4929" s="13"/>
      <c r="X4929" s="34">
        <v>4925</v>
      </c>
      <c r="Y4929" s="34" t="s">
        <v>2248</v>
      </c>
      <c r="Z4929" s="34" t="s">
        <v>3881</v>
      </c>
      <c r="AA4929" s="35">
        <v>1.1790322580645161E-6</v>
      </c>
      <c r="AB4929" s="13"/>
      <c r="AC4929" s="13"/>
      <c r="AD4929" s="13"/>
      <c r="AE4929" s="13"/>
      <c r="AF4929" s="13"/>
    </row>
    <row r="4930" spans="19:32" x14ac:dyDescent="0.35">
      <c r="S4930" s="13"/>
      <c r="T4930" s="16"/>
      <c r="U4930" s="16"/>
      <c r="V4930" s="16"/>
      <c r="W4930" s="13"/>
      <c r="X4930" s="47">
        <v>4926</v>
      </c>
      <c r="Y4930" s="47" t="s">
        <v>2248</v>
      </c>
      <c r="Z4930" s="47" t="s">
        <v>2420</v>
      </c>
      <c r="AA4930" s="56">
        <v>3.7168E-2</v>
      </c>
      <c r="AB4930" s="13"/>
      <c r="AC4930" s="13"/>
      <c r="AD4930" s="13"/>
      <c r="AE4930" s="13"/>
      <c r="AF4930" s="13"/>
    </row>
    <row r="4931" spans="19:32" x14ac:dyDescent="0.35">
      <c r="S4931" s="13"/>
      <c r="T4931" s="16"/>
      <c r="U4931" s="16"/>
      <c r="V4931" s="16"/>
      <c r="W4931" s="13"/>
      <c r="X4931" s="34">
        <v>4927</v>
      </c>
      <c r="Y4931" s="34" t="s">
        <v>2248</v>
      </c>
      <c r="Z4931" s="34" t="s">
        <v>2420</v>
      </c>
      <c r="AA4931" s="35">
        <v>14.909274193548388</v>
      </c>
      <c r="AB4931" s="13"/>
      <c r="AC4931" s="13"/>
      <c r="AD4931" s="13"/>
      <c r="AE4931" s="13"/>
      <c r="AF4931" s="13"/>
    </row>
    <row r="4932" spans="19:32" x14ac:dyDescent="0.35">
      <c r="S4932" s="13"/>
      <c r="T4932" s="16"/>
      <c r="U4932" s="16"/>
      <c r="V4932" s="16"/>
      <c r="W4932" s="13"/>
      <c r="X4932" s="34">
        <v>4928</v>
      </c>
      <c r="Y4932" s="34" t="s">
        <v>2248</v>
      </c>
      <c r="Z4932" s="34" t="s">
        <v>3879</v>
      </c>
      <c r="AA4932" s="35">
        <v>9.3568548387096783E-7</v>
      </c>
      <c r="AB4932" s="13"/>
      <c r="AC4932" s="13"/>
      <c r="AD4932" s="13"/>
      <c r="AE4932" s="13"/>
      <c r="AF4932" s="13"/>
    </row>
    <row r="4933" spans="19:32" x14ac:dyDescent="0.35">
      <c r="S4933" s="13"/>
      <c r="T4933" s="16"/>
      <c r="U4933" s="16"/>
      <c r="V4933" s="16"/>
      <c r="W4933" s="13"/>
      <c r="X4933" s="34">
        <v>4929</v>
      </c>
      <c r="Y4933" s="34" t="s">
        <v>2248</v>
      </c>
      <c r="Z4933" s="34" t="s">
        <v>4015</v>
      </c>
      <c r="AA4933" s="35">
        <v>2.5122983870967746</v>
      </c>
      <c r="AB4933" s="13"/>
      <c r="AC4933" s="13"/>
      <c r="AD4933" s="13"/>
      <c r="AE4933" s="13"/>
      <c r="AF4933" s="13"/>
    </row>
    <row r="4934" spans="19:32" x14ac:dyDescent="0.35">
      <c r="S4934" s="13"/>
      <c r="T4934" s="16"/>
      <c r="U4934" s="16"/>
      <c r="V4934" s="16"/>
      <c r="W4934" s="13"/>
      <c r="X4934" s="34">
        <v>4930</v>
      </c>
      <c r="Y4934" s="34" t="s">
        <v>2248</v>
      </c>
      <c r="Z4934" s="34" t="s">
        <v>4014</v>
      </c>
      <c r="AA4934" s="35">
        <v>1.0179435483870968E-2</v>
      </c>
      <c r="AB4934" s="13"/>
      <c r="AC4934" s="13"/>
      <c r="AD4934" s="13"/>
      <c r="AE4934" s="13"/>
      <c r="AF4934" s="13"/>
    </row>
    <row r="4935" spans="19:32" x14ac:dyDescent="0.35">
      <c r="S4935" s="13"/>
      <c r="T4935" s="16"/>
      <c r="U4935" s="16"/>
      <c r="V4935" s="16"/>
      <c r="W4935" s="13"/>
      <c r="X4935" s="34">
        <v>4931</v>
      </c>
      <c r="Y4935" s="34" t="s">
        <v>2248</v>
      </c>
      <c r="Z4935" s="34" t="s">
        <v>2362</v>
      </c>
      <c r="AA4935" s="35">
        <v>4.4213709677419356E-6</v>
      </c>
      <c r="AB4935" s="13"/>
      <c r="AC4935" s="13"/>
      <c r="AD4935" s="13"/>
      <c r="AE4935" s="13"/>
      <c r="AF4935" s="13"/>
    </row>
    <row r="4936" spans="19:32" x14ac:dyDescent="0.35">
      <c r="S4936" s="13"/>
      <c r="T4936" s="16"/>
      <c r="U4936" s="16"/>
      <c r="V4936" s="16"/>
      <c r="W4936" s="13"/>
      <c r="X4936" s="34">
        <v>4932</v>
      </c>
      <c r="Y4936" s="34" t="s">
        <v>2248</v>
      </c>
      <c r="Z4936" s="34" t="s">
        <v>4013</v>
      </c>
      <c r="AA4936" s="35">
        <v>9.2883064516129047E-3</v>
      </c>
      <c r="AB4936" s="13"/>
      <c r="AC4936" s="13"/>
      <c r="AD4936" s="13"/>
      <c r="AE4936" s="13"/>
      <c r="AF4936" s="13"/>
    </row>
    <row r="4937" spans="19:32" x14ac:dyDescent="0.35">
      <c r="S4937" s="13"/>
      <c r="T4937" s="16"/>
      <c r="U4937" s="16"/>
      <c r="V4937" s="16"/>
      <c r="W4937" s="13"/>
      <c r="X4937" s="34">
        <v>4933</v>
      </c>
      <c r="Y4937" s="34" t="s">
        <v>2248</v>
      </c>
      <c r="Z4937" s="34" t="s">
        <v>3877</v>
      </c>
      <c r="AA4937" s="35">
        <v>2.8070564516129035E-2</v>
      </c>
      <c r="AB4937" s="13"/>
      <c r="AC4937" s="13"/>
      <c r="AD4937" s="13"/>
      <c r="AE4937" s="13"/>
      <c r="AF4937" s="13"/>
    </row>
    <row r="4938" spans="19:32" x14ac:dyDescent="0.35">
      <c r="S4938" s="13"/>
      <c r="T4938" s="16"/>
      <c r="U4938" s="16"/>
      <c r="V4938" s="16"/>
      <c r="W4938" s="13"/>
      <c r="X4938" s="34">
        <v>4934</v>
      </c>
      <c r="Y4938" s="34" t="s">
        <v>2248</v>
      </c>
      <c r="Z4938" s="34" t="s">
        <v>4012</v>
      </c>
      <c r="AA4938" s="35">
        <v>9.3568548387096776E-3</v>
      </c>
      <c r="AB4938" s="13"/>
      <c r="AC4938" s="13"/>
      <c r="AD4938" s="13"/>
      <c r="AE4938" s="13"/>
      <c r="AF4938" s="13"/>
    </row>
    <row r="4939" spans="19:32" x14ac:dyDescent="0.35">
      <c r="S4939" s="13"/>
      <c r="T4939" s="16"/>
      <c r="U4939" s="16"/>
      <c r="V4939" s="16"/>
      <c r="W4939" s="13"/>
      <c r="X4939" s="34">
        <v>4935</v>
      </c>
      <c r="Y4939" s="34" t="s">
        <v>2248</v>
      </c>
      <c r="Z4939" s="34" t="s">
        <v>4011</v>
      </c>
      <c r="AA4939" s="35">
        <v>0.76088709677419364</v>
      </c>
      <c r="AB4939" s="13"/>
      <c r="AC4939" s="13"/>
      <c r="AD4939" s="13"/>
      <c r="AE4939" s="13"/>
      <c r="AF4939" s="13"/>
    </row>
    <row r="4940" spans="19:32" x14ac:dyDescent="0.35">
      <c r="S4940" s="13"/>
      <c r="T4940" s="16"/>
      <c r="U4940" s="16"/>
      <c r="V4940" s="16"/>
      <c r="W4940" s="13"/>
      <c r="X4940" s="34">
        <v>4936</v>
      </c>
      <c r="Y4940" s="34" t="s">
        <v>2248</v>
      </c>
      <c r="Z4940" s="34" t="s">
        <v>3876</v>
      </c>
      <c r="AA4940" s="35">
        <v>0.60322580645161294</v>
      </c>
      <c r="AB4940" s="13"/>
      <c r="AC4940" s="13"/>
      <c r="AD4940" s="13"/>
      <c r="AE4940" s="13"/>
      <c r="AF4940" s="13"/>
    </row>
    <row r="4941" spans="19:32" x14ac:dyDescent="0.35">
      <c r="S4941" s="13"/>
      <c r="T4941" s="16"/>
      <c r="U4941" s="16"/>
      <c r="V4941" s="16"/>
      <c r="W4941" s="13"/>
      <c r="X4941" s="34">
        <v>4937</v>
      </c>
      <c r="Y4941" s="34" t="s">
        <v>2248</v>
      </c>
      <c r="Z4941" s="34" t="s">
        <v>4010</v>
      </c>
      <c r="AA4941" s="35">
        <v>2.882459677419355E-2</v>
      </c>
      <c r="AB4941" s="13"/>
      <c r="AC4941" s="13"/>
      <c r="AD4941" s="13"/>
      <c r="AE4941" s="13"/>
      <c r="AF4941" s="13"/>
    </row>
    <row r="4942" spans="19:32" x14ac:dyDescent="0.35">
      <c r="S4942" s="13"/>
      <c r="T4942" s="16"/>
      <c r="U4942" s="16"/>
      <c r="V4942" s="16"/>
      <c r="W4942" s="13"/>
      <c r="X4942" s="47">
        <v>4938</v>
      </c>
      <c r="Y4942" s="47" t="s">
        <v>2248</v>
      </c>
      <c r="Z4942" s="47" t="s">
        <v>2418</v>
      </c>
      <c r="AA4942" s="56">
        <v>0</v>
      </c>
      <c r="AB4942" s="13"/>
      <c r="AC4942" s="13"/>
      <c r="AD4942" s="13"/>
      <c r="AE4942" s="13"/>
      <c r="AF4942" s="13"/>
    </row>
    <row r="4943" spans="19:32" x14ac:dyDescent="0.35">
      <c r="S4943" s="13"/>
      <c r="T4943" s="16"/>
      <c r="U4943" s="16"/>
      <c r="V4943" s="16"/>
      <c r="W4943" s="13"/>
      <c r="X4943" s="34">
        <v>4939</v>
      </c>
      <c r="Y4943" s="34" t="s">
        <v>2248</v>
      </c>
      <c r="Z4943" s="34" t="s">
        <v>3874</v>
      </c>
      <c r="AA4943" s="35">
        <v>1.9879032258064519E-2</v>
      </c>
      <c r="AB4943" s="13"/>
      <c r="AC4943" s="13"/>
      <c r="AD4943" s="13"/>
      <c r="AE4943" s="13"/>
      <c r="AF4943" s="13"/>
    </row>
    <row r="4944" spans="19:32" x14ac:dyDescent="0.35">
      <c r="S4944" s="13"/>
      <c r="T4944" s="16"/>
      <c r="U4944" s="16"/>
      <c r="V4944" s="16"/>
      <c r="W4944" s="13"/>
      <c r="X4944" s="34">
        <v>4940</v>
      </c>
      <c r="Y4944" s="34" t="s">
        <v>2248</v>
      </c>
      <c r="Z4944" s="34" t="s">
        <v>4009</v>
      </c>
      <c r="AA4944" s="35">
        <v>6.8548387096774195E-3</v>
      </c>
      <c r="AB4944" s="13"/>
      <c r="AC4944" s="13"/>
      <c r="AD4944" s="13"/>
      <c r="AE4944" s="13"/>
      <c r="AF4944" s="13"/>
    </row>
    <row r="4945" spans="19:32" x14ac:dyDescent="0.35">
      <c r="S4945" s="13"/>
      <c r="T4945" s="16"/>
      <c r="U4945" s="16"/>
      <c r="V4945" s="16"/>
      <c r="W4945" s="13"/>
      <c r="X4945" s="34">
        <v>4941</v>
      </c>
      <c r="Y4945" s="34" t="s">
        <v>2248</v>
      </c>
      <c r="Z4945" s="34" t="s">
        <v>4008</v>
      </c>
      <c r="AA4945" s="35">
        <v>2.1489919354838711E-5</v>
      </c>
      <c r="AB4945" s="13"/>
      <c r="AC4945" s="13"/>
      <c r="AD4945" s="13"/>
      <c r="AE4945" s="13"/>
      <c r="AF4945" s="13"/>
    </row>
    <row r="4946" spans="19:32" x14ac:dyDescent="0.35">
      <c r="S4946" s="13"/>
      <c r="T4946" s="16"/>
      <c r="U4946" s="16"/>
      <c r="V4946" s="16"/>
      <c r="W4946" s="13"/>
      <c r="X4946" s="34">
        <v>4942</v>
      </c>
      <c r="Y4946" s="34" t="s">
        <v>2248</v>
      </c>
      <c r="Z4946" s="34" t="s">
        <v>2357</v>
      </c>
      <c r="AA4946" s="35">
        <v>0.10727822580645162</v>
      </c>
      <c r="AB4946" s="13"/>
      <c r="AC4946" s="13"/>
      <c r="AD4946" s="13"/>
      <c r="AE4946" s="13"/>
      <c r="AF4946" s="13"/>
    </row>
    <row r="4947" spans="19:32" x14ac:dyDescent="0.35">
      <c r="S4947" s="13"/>
      <c r="T4947" s="16"/>
      <c r="U4947" s="16"/>
      <c r="V4947" s="16"/>
      <c r="W4947" s="13"/>
      <c r="X4947" s="34">
        <v>4943</v>
      </c>
      <c r="Y4947" s="34" t="s">
        <v>2248</v>
      </c>
      <c r="Z4947" s="34" t="s">
        <v>4007</v>
      </c>
      <c r="AA4947" s="35">
        <v>1.2612903225806453E-2</v>
      </c>
      <c r="AB4947" s="13"/>
      <c r="AC4947" s="13"/>
      <c r="AD4947" s="13"/>
      <c r="AE4947" s="13"/>
      <c r="AF4947" s="13"/>
    </row>
    <row r="4948" spans="19:32" x14ac:dyDescent="0.35">
      <c r="S4948" s="13"/>
      <c r="T4948" s="16"/>
      <c r="U4948" s="16"/>
      <c r="V4948" s="16"/>
      <c r="W4948" s="13"/>
      <c r="X4948" s="34">
        <v>4944</v>
      </c>
      <c r="Y4948" s="34" t="s">
        <v>2248</v>
      </c>
      <c r="Z4948" s="34" t="s">
        <v>4006</v>
      </c>
      <c r="AA4948" s="35">
        <v>8.054435483870968E-3</v>
      </c>
      <c r="AB4948" s="13"/>
      <c r="AC4948" s="13"/>
      <c r="AD4948" s="13"/>
      <c r="AE4948" s="13"/>
      <c r="AF4948" s="13"/>
    </row>
    <row r="4949" spans="19:32" x14ac:dyDescent="0.35">
      <c r="S4949" s="13"/>
      <c r="T4949" s="16"/>
      <c r="U4949" s="16"/>
      <c r="V4949" s="16"/>
      <c r="W4949" s="13"/>
      <c r="X4949" s="34">
        <v>4945</v>
      </c>
      <c r="Y4949" s="34" t="s">
        <v>2248</v>
      </c>
      <c r="Z4949" s="34" t="s">
        <v>3871</v>
      </c>
      <c r="AA4949" s="35">
        <v>3.9758064516129035E-3</v>
      </c>
      <c r="AB4949" s="13"/>
      <c r="AC4949" s="13"/>
      <c r="AD4949" s="13"/>
      <c r="AE4949" s="13"/>
      <c r="AF4949" s="13"/>
    </row>
    <row r="4950" spans="19:32" x14ac:dyDescent="0.35">
      <c r="S4950" s="13"/>
      <c r="T4950" s="16"/>
      <c r="U4950" s="16"/>
      <c r="V4950" s="16"/>
      <c r="W4950" s="13"/>
      <c r="X4950" s="34">
        <v>4946</v>
      </c>
      <c r="Y4950" s="34" t="s">
        <v>2248</v>
      </c>
      <c r="Z4950" s="34" t="s">
        <v>4005</v>
      </c>
      <c r="AA4950" s="35">
        <v>5.3125000000000004E-5</v>
      </c>
      <c r="AB4950" s="13"/>
      <c r="AC4950" s="13"/>
      <c r="AD4950" s="13"/>
      <c r="AE4950" s="13"/>
      <c r="AF4950" s="13"/>
    </row>
    <row r="4951" spans="19:32" x14ac:dyDescent="0.35">
      <c r="S4951" s="13"/>
      <c r="T4951" s="16"/>
      <c r="U4951" s="16"/>
      <c r="V4951" s="16"/>
      <c r="W4951" s="13"/>
      <c r="X4951" s="47">
        <v>4947</v>
      </c>
      <c r="Y4951" s="47" t="s">
        <v>2248</v>
      </c>
      <c r="Z4951" s="47" t="s">
        <v>2417</v>
      </c>
      <c r="AA4951" s="56">
        <v>0</v>
      </c>
      <c r="AB4951" s="13"/>
      <c r="AC4951" s="13"/>
      <c r="AD4951" s="13"/>
      <c r="AE4951" s="13"/>
      <c r="AF4951" s="13"/>
    </row>
    <row r="4952" spans="19:32" x14ac:dyDescent="0.35">
      <c r="S4952" s="13"/>
      <c r="T4952" s="16"/>
      <c r="U4952" s="16"/>
      <c r="V4952" s="16"/>
      <c r="W4952" s="13"/>
      <c r="X4952" s="34">
        <v>4948</v>
      </c>
      <c r="Y4952" s="34" t="s">
        <v>2248</v>
      </c>
      <c r="Z4952" s="34" t="s">
        <v>3870</v>
      </c>
      <c r="AA4952" s="35">
        <v>1.7137096774193551E-2</v>
      </c>
      <c r="AB4952" s="13"/>
      <c r="AC4952" s="13"/>
      <c r="AD4952" s="13"/>
      <c r="AE4952" s="13"/>
      <c r="AF4952" s="13"/>
    </row>
    <row r="4953" spans="19:32" x14ac:dyDescent="0.35">
      <c r="S4953" s="13"/>
      <c r="T4953" s="16"/>
      <c r="U4953" s="16"/>
      <c r="V4953" s="16"/>
      <c r="W4953" s="13"/>
      <c r="X4953" s="34">
        <v>4949</v>
      </c>
      <c r="Y4953" s="34" t="s">
        <v>2248</v>
      </c>
      <c r="Z4953" s="34" t="s">
        <v>4004</v>
      </c>
      <c r="AA4953" s="35">
        <v>5.758064516129033E-3</v>
      </c>
      <c r="AB4953" s="13"/>
      <c r="AC4953" s="13"/>
      <c r="AD4953" s="13"/>
      <c r="AE4953" s="13"/>
      <c r="AF4953" s="13"/>
    </row>
    <row r="4954" spans="19:32" x14ac:dyDescent="0.35">
      <c r="S4954" s="13"/>
      <c r="T4954" s="16"/>
      <c r="U4954" s="16"/>
      <c r="V4954" s="16"/>
      <c r="W4954" s="13"/>
      <c r="X4954" s="47">
        <v>4950</v>
      </c>
      <c r="Y4954" s="47" t="s">
        <v>2248</v>
      </c>
      <c r="Z4954" s="47" t="s">
        <v>2415</v>
      </c>
      <c r="AA4954" s="56">
        <v>3.3304E-2</v>
      </c>
      <c r="AB4954" s="13"/>
      <c r="AC4954" s="13"/>
      <c r="AD4954" s="13"/>
      <c r="AE4954" s="13"/>
      <c r="AF4954" s="13"/>
    </row>
    <row r="4955" spans="19:32" x14ac:dyDescent="0.35">
      <c r="S4955" s="13"/>
      <c r="T4955" s="16"/>
      <c r="U4955" s="16"/>
      <c r="V4955" s="16"/>
      <c r="W4955" s="13"/>
      <c r="X4955" s="34">
        <v>4951</v>
      </c>
      <c r="Y4955" s="34" t="s">
        <v>2248</v>
      </c>
      <c r="Z4955" s="34" t="s">
        <v>3866</v>
      </c>
      <c r="AA4955" s="35">
        <v>0.20564516129032259</v>
      </c>
      <c r="AB4955" s="13"/>
      <c r="AC4955" s="13"/>
      <c r="AD4955" s="13"/>
      <c r="AE4955" s="13"/>
      <c r="AF4955" s="13"/>
    </row>
    <row r="4956" spans="19:32" x14ac:dyDescent="0.35">
      <c r="S4956" s="13"/>
      <c r="T4956" s="16"/>
      <c r="U4956" s="16"/>
      <c r="V4956" s="16"/>
      <c r="W4956" s="13"/>
      <c r="X4956" s="34">
        <v>4952</v>
      </c>
      <c r="Y4956" s="34" t="s">
        <v>2248</v>
      </c>
      <c r="Z4956" s="34" t="s">
        <v>2415</v>
      </c>
      <c r="AA4956" s="35">
        <v>3.3485887096774199E-2</v>
      </c>
      <c r="AB4956" s="13"/>
      <c r="AC4956" s="13"/>
      <c r="AD4956" s="13"/>
      <c r="AE4956" s="13"/>
      <c r="AF4956" s="13"/>
    </row>
    <row r="4957" spans="19:32" x14ac:dyDescent="0.35">
      <c r="S4957" s="13"/>
      <c r="T4957" s="16"/>
      <c r="U4957" s="16"/>
      <c r="V4957" s="16"/>
      <c r="W4957" s="13"/>
      <c r="X4957" s="34">
        <v>4953</v>
      </c>
      <c r="Y4957" s="34" t="s">
        <v>2248</v>
      </c>
      <c r="Z4957" s="34" t="s">
        <v>3865</v>
      </c>
      <c r="AA4957" s="35">
        <v>3.2354838709677425E-2</v>
      </c>
      <c r="AB4957" s="13"/>
      <c r="AC4957" s="13"/>
      <c r="AD4957" s="13"/>
      <c r="AE4957" s="13"/>
      <c r="AF4957" s="13"/>
    </row>
    <row r="4958" spans="19:32" x14ac:dyDescent="0.35">
      <c r="S4958" s="13"/>
      <c r="T4958" s="16"/>
      <c r="U4958" s="16"/>
      <c r="V4958" s="16"/>
      <c r="W4958" s="13"/>
      <c r="X4958" s="34">
        <v>4954</v>
      </c>
      <c r="Y4958" s="34" t="s">
        <v>2248</v>
      </c>
      <c r="Z4958" s="34" t="s">
        <v>4003</v>
      </c>
      <c r="AA4958" s="35">
        <v>7.1290322580645169E-5</v>
      </c>
      <c r="AB4958" s="13"/>
      <c r="AC4958" s="13"/>
      <c r="AD4958" s="13"/>
      <c r="AE4958" s="13"/>
      <c r="AF4958" s="13"/>
    </row>
    <row r="4959" spans="19:32" x14ac:dyDescent="0.35">
      <c r="S4959" s="13"/>
      <c r="T4959" s="16"/>
      <c r="U4959" s="16"/>
      <c r="V4959" s="16"/>
      <c r="W4959" s="13"/>
      <c r="X4959" s="34">
        <v>4955</v>
      </c>
      <c r="Y4959" s="34" t="s">
        <v>2248</v>
      </c>
      <c r="Z4959" s="34" t="s">
        <v>3116</v>
      </c>
      <c r="AA4959" s="35">
        <v>8.6713709677419357E-2</v>
      </c>
      <c r="AB4959" s="13"/>
      <c r="AC4959" s="13"/>
      <c r="AD4959" s="13"/>
      <c r="AE4959" s="13"/>
      <c r="AF4959" s="13"/>
    </row>
    <row r="4960" spans="19:32" x14ac:dyDescent="0.35">
      <c r="S4960" s="13"/>
      <c r="T4960" s="16"/>
      <c r="U4960" s="16"/>
      <c r="V4960" s="16"/>
      <c r="W4960" s="13"/>
      <c r="X4960" s="47">
        <v>4956</v>
      </c>
      <c r="Y4960" s="47" t="s">
        <v>2248</v>
      </c>
      <c r="Z4960" s="47" t="s">
        <v>2414</v>
      </c>
      <c r="AA4960" s="56">
        <v>2.1619999999999999</v>
      </c>
      <c r="AB4960" s="13"/>
      <c r="AC4960" s="13"/>
      <c r="AD4960" s="13"/>
      <c r="AE4960" s="13"/>
      <c r="AF4960" s="13"/>
    </row>
    <row r="4961" spans="19:32" x14ac:dyDescent="0.35">
      <c r="S4961" s="13"/>
      <c r="T4961" s="16"/>
      <c r="U4961" s="16"/>
      <c r="V4961" s="16"/>
      <c r="W4961" s="13"/>
      <c r="X4961" s="34">
        <v>4957</v>
      </c>
      <c r="Y4961" s="34" t="s">
        <v>2248</v>
      </c>
      <c r="Z4961" s="34" t="s">
        <v>3864</v>
      </c>
      <c r="AA4961" s="35">
        <v>0.18199596774193549</v>
      </c>
      <c r="AB4961" s="13"/>
      <c r="AC4961" s="13"/>
      <c r="AD4961" s="13"/>
      <c r="AE4961" s="13"/>
      <c r="AF4961" s="13"/>
    </row>
    <row r="4962" spans="19:32" x14ac:dyDescent="0.35">
      <c r="S4962" s="13"/>
      <c r="T4962" s="16"/>
      <c r="U4962" s="16"/>
      <c r="V4962" s="16"/>
      <c r="W4962" s="13"/>
      <c r="X4962" s="34">
        <v>4958</v>
      </c>
      <c r="Y4962" s="34" t="s">
        <v>2248</v>
      </c>
      <c r="Z4962" s="34" t="s">
        <v>4002</v>
      </c>
      <c r="AA4962" s="35">
        <v>2.6733870967741938E-5</v>
      </c>
      <c r="AB4962" s="13"/>
      <c r="AC4962" s="13"/>
      <c r="AD4962" s="13"/>
      <c r="AE4962" s="13"/>
      <c r="AF4962" s="13"/>
    </row>
    <row r="4963" spans="19:32" x14ac:dyDescent="0.35">
      <c r="S4963" s="13"/>
      <c r="T4963" s="16"/>
      <c r="U4963" s="16"/>
      <c r="V4963" s="16"/>
      <c r="W4963" s="13"/>
      <c r="X4963" s="34">
        <v>4959</v>
      </c>
      <c r="Y4963" s="34" t="s">
        <v>2248</v>
      </c>
      <c r="Z4963" s="34" t="s">
        <v>3863</v>
      </c>
      <c r="AA4963" s="35">
        <v>2.1729838709677422E-2</v>
      </c>
      <c r="AB4963" s="13"/>
      <c r="AC4963" s="13"/>
      <c r="AD4963" s="13"/>
      <c r="AE4963" s="13"/>
      <c r="AF4963" s="13"/>
    </row>
    <row r="4964" spans="19:32" x14ac:dyDescent="0.35">
      <c r="S4964" s="13"/>
      <c r="T4964" s="16"/>
      <c r="U4964" s="16"/>
      <c r="V4964" s="16"/>
      <c r="W4964" s="13"/>
      <c r="X4964" s="34">
        <v>4960</v>
      </c>
      <c r="Y4964" s="34" t="s">
        <v>2248</v>
      </c>
      <c r="Z4964" s="34" t="s">
        <v>4001</v>
      </c>
      <c r="AA4964" s="35">
        <v>0.10659274193548388</v>
      </c>
      <c r="AB4964" s="13"/>
      <c r="AC4964" s="13"/>
      <c r="AD4964" s="13"/>
      <c r="AE4964" s="13"/>
      <c r="AF4964" s="13"/>
    </row>
    <row r="4965" spans="19:32" x14ac:dyDescent="0.35">
      <c r="S4965" s="13"/>
      <c r="T4965" s="16"/>
      <c r="U4965" s="16"/>
      <c r="V4965" s="16"/>
      <c r="W4965" s="13"/>
      <c r="X4965" s="47">
        <v>4961</v>
      </c>
      <c r="Y4965" s="47" t="s">
        <v>2248</v>
      </c>
      <c r="Z4965" s="47" t="s">
        <v>2412</v>
      </c>
      <c r="AA4965" s="56">
        <v>6.4767999999999996E-3</v>
      </c>
      <c r="AB4965" s="13"/>
      <c r="AC4965" s="13"/>
      <c r="AD4965" s="13"/>
      <c r="AE4965" s="13"/>
      <c r="AF4965" s="13"/>
    </row>
    <row r="4966" spans="19:32" x14ac:dyDescent="0.35">
      <c r="S4966" s="13"/>
      <c r="T4966" s="16"/>
      <c r="U4966" s="16"/>
      <c r="V4966" s="16"/>
      <c r="W4966" s="13"/>
      <c r="X4966" s="34">
        <v>4962</v>
      </c>
      <c r="Y4966" s="34" t="s">
        <v>2248</v>
      </c>
      <c r="Z4966" s="34" t="s">
        <v>2412</v>
      </c>
      <c r="AA4966" s="35">
        <v>1.1756048387096776E-5</v>
      </c>
      <c r="AB4966" s="13"/>
      <c r="AC4966" s="13"/>
      <c r="AD4966" s="13"/>
      <c r="AE4966" s="13"/>
      <c r="AF4966" s="13"/>
    </row>
    <row r="4967" spans="19:32" x14ac:dyDescent="0.35">
      <c r="S4967" s="13"/>
      <c r="T4967" s="16"/>
      <c r="U4967" s="16"/>
      <c r="V4967" s="16"/>
      <c r="W4967" s="13"/>
      <c r="X4967" s="34">
        <v>4963</v>
      </c>
      <c r="Y4967" s="34" t="s">
        <v>2248</v>
      </c>
      <c r="Z4967" s="34" t="s">
        <v>2345</v>
      </c>
      <c r="AA4967" s="35">
        <v>1.878225806451613E-3</v>
      </c>
      <c r="AB4967" s="13"/>
      <c r="AC4967" s="13"/>
      <c r="AD4967" s="13"/>
      <c r="AE4967" s="13"/>
      <c r="AF4967" s="13"/>
    </row>
    <row r="4968" spans="19:32" x14ac:dyDescent="0.35">
      <c r="S4968" s="13"/>
      <c r="T4968" s="16"/>
      <c r="U4968" s="16"/>
      <c r="V4968" s="16"/>
      <c r="W4968" s="13"/>
      <c r="X4968" s="34">
        <v>4964</v>
      </c>
      <c r="Y4968" s="34" t="s">
        <v>2248</v>
      </c>
      <c r="Z4968" s="34" t="s">
        <v>4000</v>
      </c>
      <c r="AA4968" s="35">
        <v>11.207661290322582</v>
      </c>
      <c r="AB4968" s="13"/>
      <c r="AC4968" s="13"/>
      <c r="AD4968" s="13"/>
      <c r="AE4968" s="13"/>
      <c r="AF4968" s="13"/>
    </row>
    <row r="4969" spans="19:32" x14ac:dyDescent="0.35">
      <c r="S4969" s="13"/>
      <c r="T4969" s="16"/>
      <c r="U4969" s="16"/>
      <c r="V4969" s="16"/>
      <c r="W4969" s="13"/>
      <c r="X4969" s="34">
        <v>4965</v>
      </c>
      <c r="Y4969" s="34" t="s">
        <v>2248</v>
      </c>
      <c r="Z4969" s="34" t="s">
        <v>3999</v>
      </c>
      <c r="AA4969" s="35">
        <v>1.2578629032258066E-4</v>
      </c>
      <c r="AB4969" s="13"/>
      <c r="AC4969" s="13"/>
      <c r="AD4969" s="13"/>
      <c r="AE4969" s="13"/>
      <c r="AF4969" s="13"/>
    </row>
    <row r="4970" spans="19:32" x14ac:dyDescent="0.35">
      <c r="S4970" s="13"/>
      <c r="T4970" s="16"/>
      <c r="U4970" s="16"/>
      <c r="V4970" s="16"/>
      <c r="W4970" s="13"/>
      <c r="X4970" s="34">
        <v>4966</v>
      </c>
      <c r="Y4970" s="34" t="s">
        <v>2248</v>
      </c>
      <c r="Z4970" s="34" t="s">
        <v>3861</v>
      </c>
      <c r="AA4970" s="35">
        <v>1.4977822580645164E-3</v>
      </c>
      <c r="AB4970" s="13"/>
      <c r="AC4970" s="13"/>
      <c r="AD4970" s="13"/>
      <c r="AE4970" s="13"/>
      <c r="AF4970" s="13"/>
    </row>
    <row r="4971" spans="19:32" x14ac:dyDescent="0.35">
      <c r="S4971" s="13"/>
      <c r="T4971" s="16"/>
      <c r="U4971" s="16"/>
      <c r="V4971" s="16"/>
      <c r="W4971" s="13"/>
      <c r="X4971" s="34">
        <v>4967</v>
      </c>
      <c r="Y4971" s="34" t="s">
        <v>2248</v>
      </c>
      <c r="Z4971" s="34" t="s">
        <v>3998</v>
      </c>
      <c r="AA4971" s="35">
        <v>2.1078629032258066E-2</v>
      </c>
      <c r="AB4971" s="13"/>
      <c r="AC4971" s="13"/>
      <c r="AD4971" s="13"/>
      <c r="AE4971" s="13"/>
      <c r="AF4971" s="13"/>
    </row>
    <row r="4972" spans="19:32" x14ac:dyDescent="0.35">
      <c r="S4972" s="13"/>
      <c r="T4972" s="16"/>
      <c r="U4972" s="16"/>
      <c r="V4972" s="16"/>
      <c r="W4972" s="13"/>
      <c r="X4972" s="34">
        <v>4968</v>
      </c>
      <c r="Y4972" s="34" t="s">
        <v>2248</v>
      </c>
      <c r="Z4972" s="34" t="s">
        <v>3859</v>
      </c>
      <c r="AA4972" s="35">
        <v>1.9262096774193551E-3</v>
      </c>
      <c r="AB4972" s="13"/>
      <c r="AC4972" s="13"/>
      <c r="AD4972" s="13"/>
      <c r="AE4972" s="13"/>
      <c r="AF4972" s="13"/>
    </row>
    <row r="4973" spans="19:32" x14ac:dyDescent="0.35">
      <c r="S4973" s="13"/>
      <c r="T4973" s="16"/>
      <c r="U4973" s="16"/>
      <c r="V4973" s="16"/>
      <c r="W4973" s="13"/>
      <c r="X4973" s="34">
        <v>4969</v>
      </c>
      <c r="Y4973" s="34" t="s">
        <v>2248</v>
      </c>
      <c r="Z4973" s="34" t="s">
        <v>3997</v>
      </c>
      <c r="AA4973" s="35">
        <v>4.8669354838709683E-2</v>
      </c>
      <c r="AB4973" s="13"/>
      <c r="AC4973" s="13"/>
      <c r="AD4973" s="13"/>
      <c r="AE4973" s="13"/>
      <c r="AF4973" s="13"/>
    </row>
    <row r="4974" spans="19:32" x14ac:dyDescent="0.35">
      <c r="S4974" s="13"/>
      <c r="T4974" s="16"/>
      <c r="U4974" s="16"/>
      <c r="V4974" s="16"/>
      <c r="W4974" s="13"/>
      <c r="X4974" s="47">
        <v>4970</v>
      </c>
      <c r="Y4974" s="47" t="s">
        <v>2248</v>
      </c>
      <c r="Z4974" s="47" t="s">
        <v>2410</v>
      </c>
      <c r="AA4974" s="56">
        <v>0</v>
      </c>
      <c r="AB4974" s="13"/>
      <c r="AC4974" s="13"/>
      <c r="AD4974" s="13"/>
      <c r="AE4974" s="13"/>
      <c r="AF4974" s="13"/>
    </row>
    <row r="4975" spans="19:32" x14ac:dyDescent="0.35">
      <c r="S4975" s="13"/>
      <c r="T4975" s="16"/>
      <c r="U4975" s="16"/>
      <c r="V4975" s="16"/>
      <c r="W4975" s="13"/>
      <c r="X4975" s="34">
        <v>4971</v>
      </c>
      <c r="Y4975" s="34" t="s">
        <v>2248</v>
      </c>
      <c r="Z4975" s="34" t="s">
        <v>3858</v>
      </c>
      <c r="AA4975" s="35">
        <v>1.3538306451612904E-3</v>
      </c>
      <c r="AB4975" s="13"/>
      <c r="AC4975" s="13"/>
      <c r="AD4975" s="13"/>
      <c r="AE4975" s="13"/>
      <c r="AF4975" s="13"/>
    </row>
    <row r="4976" spans="19:32" x14ac:dyDescent="0.35">
      <c r="S4976" s="13"/>
      <c r="T4976" s="16"/>
      <c r="U4976" s="16"/>
      <c r="V4976" s="16"/>
      <c r="W4976" s="13"/>
      <c r="X4976" s="34">
        <v>4972</v>
      </c>
      <c r="Y4976" s="34" t="s">
        <v>2248</v>
      </c>
      <c r="Z4976" s="34" t="s">
        <v>2410</v>
      </c>
      <c r="AA4976" s="35">
        <v>1.8199596774193552E-5</v>
      </c>
      <c r="AB4976" s="13"/>
      <c r="AC4976" s="13"/>
      <c r="AD4976" s="13"/>
      <c r="AE4976" s="13"/>
      <c r="AF4976" s="13"/>
    </row>
    <row r="4977" spans="19:32" x14ac:dyDescent="0.35">
      <c r="S4977" s="13"/>
      <c r="T4977" s="16"/>
      <c r="U4977" s="16"/>
      <c r="V4977" s="16"/>
      <c r="W4977" s="13"/>
      <c r="X4977" s="34">
        <v>4973</v>
      </c>
      <c r="Y4977" s="34" t="s">
        <v>2248</v>
      </c>
      <c r="Z4977" s="34" t="s">
        <v>3857</v>
      </c>
      <c r="AA4977" s="35">
        <v>3.0504032258064518E-3</v>
      </c>
      <c r="AB4977" s="13"/>
      <c r="AC4977" s="13"/>
      <c r="AD4977" s="13"/>
      <c r="AE4977" s="13"/>
      <c r="AF4977" s="13"/>
    </row>
    <row r="4978" spans="19:32" x14ac:dyDescent="0.35">
      <c r="S4978" s="13"/>
      <c r="T4978" s="16"/>
      <c r="U4978" s="16"/>
      <c r="V4978" s="16"/>
      <c r="W4978" s="13"/>
      <c r="X4978" s="47">
        <v>4974</v>
      </c>
      <c r="Y4978" s="47" t="s">
        <v>2248</v>
      </c>
      <c r="Z4978" s="47" t="s">
        <v>2409</v>
      </c>
      <c r="AA4978" s="56">
        <v>0</v>
      </c>
      <c r="AB4978" s="13"/>
      <c r="AC4978" s="13"/>
      <c r="AD4978" s="13"/>
      <c r="AE4978" s="13"/>
      <c r="AF4978" s="13"/>
    </row>
    <row r="4979" spans="19:32" x14ac:dyDescent="0.35">
      <c r="S4979" s="13"/>
      <c r="T4979" s="16"/>
      <c r="U4979" s="16"/>
      <c r="V4979" s="16"/>
      <c r="W4979" s="13"/>
      <c r="X4979" s="34">
        <v>4975</v>
      </c>
      <c r="Y4979" s="34" t="s">
        <v>2248</v>
      </c>
      <c r="Z4979" s="34" t="s">
        <v>3996</v>
      </c>
      <c r="AA4979" s="35">
        <v>0.11824596774193549</v>
      </c>
      <c r="AB4979" s="13"/>
      <c r="AC4979" s="13"/>
      <c r="AD4979" s="13"/>
      <c r="AE4979" s="13"/>
      <c r="AF4979" s="13"/>
    </row>
    <row r="4980" spans="19:32" x14ac:dyDescent="0.35">
      <c r="S4980" s="13"/>
      <c r="T4980" s="16"/>
      <c r="U4980" s="16"/>
      <c r="V4980" s="16"/>
      <c r="W4980" s="13"/>
      <c r="X4980" s="34">
        <v>4976</v>
      </c>
      <c r="Y4980" s="34" t="s">
        <v>2248</v>
      </c>
      <c r="Z4980" s="34" t="s">
        <v>3995</v>
      </c>
      <c r="AA4980" s="35">
        <v>1.8987903225806454E-5</v>
      </c>
      <c r="AB4980" s="13"/>
      <c r="AC4980" s="13"/>
      <c r="AD4980" s="13"/>
      <c r="AE4980" s="13"/>
      <c r="AF4980" s="13"/>
    </row>
    <row r="4981" spans="19:32" x14ac:dyDescent="0.35">
      <c r="S4981" s="13"/>
      <c r="T4981" s="16"/>
      <c r="U4981" s="16"/>
      <c r="V4981" s="16"/>
      <c r="W4981" s="13"/>
      <c r="X4981" s="34">
        <v>4977</v>
      </c>
      <c r="Y4981" s="34" t="s">
        <v>2248</v>
      </c>
      <c r="Z4981" s="34" t="s">
        <v>3856</v>
      </c>
      <c r="AA4981" s="35">
        <v>1.1276209677419356E-2</v>
      </c>
      <c r="AB4981" s="13"/>
      <c r="AC4981" s="13"/>
      <c r="AD4981" s="13"/>
      <c r="AE4981" s="13"/>
      <c r="AF4981" s="13"/>
    </row>
    <row r="4982" spans="19:32" x14ac:dyDescent="0.35">
      <c r="S4982" s="13"/>
      <c r="T4982" s="16"/>
      <c r="U4982" s="16"/>
      <c r="V4982" s="16"/>
      <c r="W4982" s="13"/>
      <c r="X4982" s="34">
        <v>4978</v>
      </c>
      <c r="Y4982" s="34" t="s">
        <v>2248</v>
      </c>
      <c r="Z4982" s="34" t="s">
        <v>3994</v>
      </c>
      <c r="AA4982" s="35">
        <v>1.0727822580645161E-3</v>
      </c>
      <c r="AB4982" s="13"/>
      <c r="AC4982" s="13"/>
      <c r="AD4982" s="13"/>
      <c r="AE4982" s="13"/>
      <c r="AF4982" s="13"/>
    </row>
    <row r="4983" spans="19:32" x14ac:dyDescent="0.35">
      <c r="S4983" s="13"/>
      <c r="T4983" s="16"/>
      <c r="U4983" s="16"/>
      <c r="V4983" s="16"/>
      <c r="W4983" s="13"/>
      <c r="X4983" s="34">
        <v>4979</v>
      </c>
      <c r="Y4983" s="34" t="s">
        <v>2248</v>
      </c>
      <c r="Z4983" s="34" t="s">
        <v>3855</v>
      </c>
      <c r="AA4983" s="35">
        <v>4.0443548387096774E-2</v>
      </c>
      <c r="AB4983" s="13"/>
      <c r="AC4983" s="13"/>
      <c r="AD4983" s="13"/>
      <c r="AE4983" s="13"/>
      <c r="AF4983" s="13"/>
    </row>
    <row r="4984" spans="19:32" x14ac:dyDescent="0.35">
      <c r="S4984" s="13"/>
      <c r="T4984" s="16"/>
      <c r="U4984" s="16"/>
      <c r="V4984" s="16"/>
      <c r="W4984" s="13"/>
      <c r="X4984" s="34">
        <v>4980</v>
      </c>
      <c r="Y4984" s="34" t="s">
        <v>2248</v>
      </c>
      <c r="Z4984" s="34" t="s">
        <v>3993</v>
      </c>
      <c r="AA4984" s="35">
        <v>3.2697580645161292E-10</v>
      </c>
      <c r="AB4984" s="13"/>
      <c r="AC4984" s="13"/>
      <c r="AD4984" s="13"/>
      <c r="AE4984" s="13"/>
      <c r="AF4984" s="13"/>
    </row>
    <row r="4985" spans="19:32" x14ac:dyDescent="0.35">
      <c r="S4985" s="13"/>
      <c r="T4985" s="16"/>
      <c r="U4985" s="16"/>
      <c r="V4985" s="16"/>
      <c r="W4985" s="13"/>
      <c r="X4985" s="34">
        <v>4981</v>
      </c>
      <c r="Y4985" s="34" t="s">
        <v>2248</v>
      </c>
      <c r="Z4985" s="34" t="s">
        <v>3992</v>
      </c>
      <c r="AA4985" s="35">
        <v>1.6383064516129035E-2</v>
      </c>
      <c r="AB4985" s="13"/>
      <c r="AC4985" s="13"/>
      <c r="AD4985" s="13"/>
      <c r="AE4985" s="13"/>
      <c r="AF4985" s="13"/>
    </row>
    <row r="4986" spans="19:32" x14ac:dyDescent="0.35">
      <c r="S4986" s="13"/>
      <c r="T4986" s="16"/>
      <c r="U4986" s="16"/>
      <c r="V4986" s="16"/>
      <c r="W4986" s="13"/>
      <c r="X4986" s="34">
        <v>4982</v>
      </c>
      <c r="Y4986" s="34" t="s">
        <v>2248</v>
      </c>
      <c r="Z4986" s="34" t="s">
        <v>3853</v>
      </c>
      <c r="AA4986" s="35">
        <v>1.6965725806451615E-2</v>
      </c>
      <c r="AB4986" s="13"/>
      <c r="AC4986" s="13"/>
      <c r="AD4986" s="13"/>
      <c r="AE4986" s="13"/>
      <c r="AF4986" s="13"/>
    </row>
    <row r="4987" spans="19:32" x14ac:dyDescent="0.35">
      <c r="S4987" s="13"/>
      <c r="T4987" s="16"/>
      <c r="U4987" s="16"/>
      <c r="V4987" s="16"/>
      <c r="W4987" s="13"/>
      <c r="X4987" s="34">
        <v>4983</v>
      </c>
      <c r="Y4987" s="34" t="s">
        <v>2248</v>
      </c>
      <c r="Z4987" s="34" t="s">
        <v>3991</v>
      </c>
      <c r="AA4987" s="35">
        <v>3.770161290322581</v>
      </c>
      <c r="AB4987" s="13"/>
      <c r="AC4987" s="13"/>
      <c r="AD4987" s="13"/>
      <c r="AE4987" s="13"/>
      <c r="AF4987" s="13"/>
    </row>
    <row r="4988" spans="19:32" x14ac:dyDescent="0.35">
      <c r="S4988" s="13"/>
      <c r="T4988" s="16"/>
      <c r="U4988" s="16"/>
      <c r="V4988" s="16"/>
      <c r="W4988" s="13"/>
      <c r="X4988" s="34">
        <v>4984</v>
      </c>
      <c r="Y4988" s="34" t="s">
        <v>2248</v>
      </c>
      <c r="Z4988" s="34" t="s">
        <v>3990</v>
      </c>
      <c r="AA4988" s="35">
        <v>4.1129032258064517E-2</v>
      </c>
      <c r="AB4988" s="13"/>
      <c r="AC4988" s="13"/>
      <c r="AD4988" s="13"/>
      <c r="AE4988" s="13"/>
      <c r="AF4988" s="13"/>
    </row>
    <row r="4989" spans="19:32" x14ac:dyDescent="0.35">
      <c r="S4989" s="13"/>
      <c r="T4989" s="16"/>
      <c r="U4989" s="16"/>
      <c r="V4989" s="16"/>
      <c r="W4989" s="13"/>
      <c r="X4989" s="34">
        <v>4985</v>
      </c>
      <c r="Y4989" s="34" t="s">
        <v>2248</v>
      </c>
      <c r="Z4989" s="34" t="s">
        <v>3852</v>
      </c>
      <c r="AA4989" s="35">
        <v>2.2243951612903228E-4</v>
      </c>
      <c r="AB4989" s="13"/>
      <c r="AC4989" s="13"/>
      <c r="AD4989" s="13"/>
      <c r="AE4989" s="13"/>
      <c r="AF4989" s="13"/>
    </row>
    <row r="4990" spans="19:32" x14ac:dyDescent="0.35">
      <c r="S4990" s="13"/>
      <c r="T4990" s="16"/>
      <c r="U4990" s="16"/>
      <c r="V4990" s="16"/>
      <c r="W4990" s="13"/>
      <c r="X4990" s="34">
        <v>4986</v>
      </c>
      <c r="Y4990" s="34" t="s">
        <v>2248</v>
      </c>
      <c r="Z4990" s="34" t="s">
        <v>3115</v>
      </c>
      <c r="AA4990" s="35">
        <v>0.15903225806451615</v>
      </c>
      <c r="AB4990" s="13"/>
      <c r="AC4990" s="13"/>
      <c r="AD4990" s="13"/>
      <c r="AE4990" s="13"/>
      <c r="AF4990" s="13"/>
    </row>
    <row r="4991" spans="19:32" x14ac:dyDescent="0.35">
      <c r="S4991" s="13"/>
      <c r="T4991" s="16"/>
      <c r="U4991" s="16"/>
      <c r="V4991" s="16"/>
      <c r="W4991" s="13"/>
      <c r="X4991" s="34">
        <v>4987</v>
      </c>
      <c r="Y4991" s="34" t="s">
        <v>2248</v>
      </c>
      <c r="Z4991" s="34" t="s">
        <v>3989</v>
      </c>
      <c r="AA4991" s="35">
        <v>3.4274193548387101E-4</v>
      </c>
      <c r="AB4991" s="13"/>
      <c r="AC4991" s="13"/>
      <c r="AD4991" s="13"/>
      <c r="AE4991" s="13"/>
      <c r="AF4991" s="13"/>
    </row>
    <row r="4992" spans="19:32" x14ac:dyDescent="0.35">
      <c r="S4992" s="13"/>
      <c r="T4992" s="16"/>
      <c r="U4992" s="16"/>
      <c r="V4992" s="16"/>
      <c r="W4992" s="13"/>
      <c r="X4992" s="34">
        <v>4988</v>
      </c>
      <c r="Y4992" s="34" t="s">
        <v>2248</v>
      </c>
      <c r="Z4992" s="34" t="s">
        <v>3850</v>
      </c>
      <c r="AA4992" s="35">
        <v>0.17582661290322582</v>
      </c>
      <c r="AB4992" s="13"/>
      <c r="AC4992" s="13"/>
      <c r="AD4992" s="13"/>
      <c r="AE4992" s="13"/>
      <c r="AF4992" s="13"/>
    </row>
    <row r="4993" spans="19:32" x14ac:dyDescent="0.35">
      <c r="S4993" s="13"/>
      <c r="T4993" s="16"/>
      <c r="U4993" s="16"/>
      <c r="V4993" s="16"/>
      <c r="W4993" s="13"/>
      <c r="X4993" s="47">
        <v>4989</v>
      </c>
      <c r="Y4993" s="47" t="s">
        <v>2248</v>
      </c>
      <c r="Z4993" s="47" t="s">
        <v>2407</v>
      </c>
      <c r="AA4993" s="56">
        <v>7.2772000000000006</v>
      </c>
      <c r="AB4993" s="13"/>
      <c r="AC4993" s="13"/>
      <c r="AD4993" s="13"/>
      <c r="AE4993" s="13"/>
      <c r="AF4993" s="13"/>
    </row>
    <row r="4994" spans="19:32" x14ac:dyDescent="0.35">
      <c r="S4994" s="13"/>
      <c r="T4994" s="16"/>
      <c r="U4994" s="16"/>
      <c r="V4994" s="16"/>
      <c r="W4994" s="13"/>
      <c r="X4994" s="34">
        <v>4990</v>
      </c>
      <c r="Y4994" s="34" t="s">
        <v>2248</v>
      </c>
      <c r="Z4994" s="34" t="s">
        <v>3112</v>
      </c>
      <c r="AA4994" s="35">
        <v>7.7802419354838725E-6</v>
      </c>
      <c r="AB4994" s="13"/>
      <c r="AC4994" s="13"/>
      <c r="AD4994" s="13"/>
      <c r="AE4994" s="13"/>
      <c r="AF4994" s="13"/>
    </row>
    <row r="4995" spans="19:32" x14ac:dyDescent="0.35">
      <c r="S4995" s="13"/>
      <c r="T4995" s="16"/>
      <c r="U4995" s="16"/>
      <c r="V4995" s="16"/>
      <c r="W4995" s="13"/>
      <c r="X4995" s="34">
        <v>4991</v>
      </c>
      <c r="Y4995" s="34" t="s">
        <v>2248</v>
      </c>
      <c r="Z4995" s="34" t="s">
        <v>3849</v>
      </c>
      <c r="AA4995" s="35">
        <v>2.0427419354838713E-2</v>
      </c>
      <c r="AB4995" s="13"/>
      <c r="AC4995" s="13"/>
      <c r="AD4995" s="13"/>
      <c r="AE4995" s="13"/>
      <c r="AF4995" s="13"/>
    </row>
    <row r="4996" spans="19:32" x14ac:dyDescent="0.35">
      <c r="S4996" s="13"/>
      <c r="T4996" s="16"/>
      <c r="U4996" s="16"/>
      <c r="V4996" s="16"/>
      <c r="W4996" s="13"/>
      <c r="X4996" s="47">
        <v>4992</v>
      </c>
      <c r="Y4996" s="47" t="s">
        <v>2248</v>
      </c>
      <c r="Z4996" s="47" t="s">
        <v>2406</v>
      </c>
      <c r="AA4996" s="56">
        <v>0</v>
      </c>
      <c r="AB4996" s="13"/>
      <c r="AC4996" s="13"/>
      <c r="AD4996" s="13"/>
      <c r="AE4996" s="13"/>
      <c r="AF4996" s="13"/>
    </row>
    <row r="4997" spans="19:32" x14ac:dyDescent="0.35">
      <c r="S4997" s="13"/>
      <c r="T4997" s="16"/>
      <c r="U4997" s="16"/>
      <c r="V4997" s="16"/>
      <c r="W4997" s="13"/>
      <c r="X4997" s="34">
        <v>4993</v>
      </c>
      <c r="Y4997" s="34" t="s">
        <v>2248</v>
      </c>
      <c r="Z4997" s="34" t="s">
        <v>3988</v>
      </c>
      <c r="AA4997" s="35">
        <v>6.9919354838709676E-6</v>
      </c>
      <c r="AB4997" s="13"/>
      <c r="AC4997" s="13"/>
      <c r="AD4997" s="13"/>
      <c r="AE4997" s="13"/>
      <c r="AF4997" s="13"/>
    </row>
    <row r="4998" spans="19:32" x14ac:dyDescent="0.35">
      <c r="S4998" s="13"/>
      <c r="T4998" s="16"/>
      <c r="U4998" s="16"/>
      <c r="V4998" s="16"/>
      <c r="W4998" s="13"/>
      <c r="X4998" s="34">
        <v>4994</v>
      </c>
      <c r="Y4998" s="34" t="s">
        <v>2248</v>
      </c>
      <c r="Z4998" s="34" t="s">
        <v>3846</v>
      </c>
      <c r="AA4998" s="35">
        <v>5.2439516129032266E-4</v>
      </c>
      <c r="AB4998" s="13"/>
      <c r="AC4998" s="13"/>
      <c r="AD4998" s="13"/>
      <c r="AE4998" s="13"/>
      <c r="AF4998" s="13"/>
    </row>
    <row r="4999" spans="19:32" x14ac:dyDescent="0.35">
      <c r="S4999" s="13"/>
      <c r="T4999" s="16"/>
      <c r="U4999" s="16"/>
      <c r="V4999" s="16"/>
      <c r="W4999" s="13"/>
      <c r="X4999" s="34">
        <v>4995</v>
      </c>
      <c r="Y4999" s="34" t="s">
        <v>2248</v>
      </c>
      <c r="Z4999" s="34" t="s">
        <v>3987</v>
      </c>
      <c r="AA4999" s="35">
        <v>0.21215725806451616</v>
      </c>
      <c r="AB4999" s="13"/>
      <c r="AC4999" s="13"/>
      <c r="AD4999" s="13"/>
      <c r="AE4999" s="13"/>
      <c r="AF4999" s="13"/>
    </row>
    <row r="5000" spans="19:32" x14ac:dyDescent="0.35">
      <c r="S5000" s="13"/>
      <c r="T5000" s="16"/>
      <c r="U5000" s="16"/>
      <c r="V5000" s="16"/>
      <c r="W5000" s="13"/>
      <c r="X5000" s="34">
        <v>4996</v>
      </c>
      <c r="Y5000" s="34" t="s">
        <v>2248</v>
      </c>
      <c r="Z5000" s="34" t="s">
        <v>3986</v>
      </c>
      <c r="AA5000" s="35">
        <v>2.6493951612903226</v>
      </c>
      <c r="AB5000" s="13"/>
      <c r="AC5000" s="13"/>
      <c r="AD5000" s="13"/>
      <c r="AE5000" s="13"/>
      <c r="AF5000" s="13"/>
    </row>
    <row r="5001" spans="19:32" x14ac:dyDescent="0.35">
      <c r="S5001" s="13"/>
      <c r="T5001" s="16"/>
      <c r="U5001" s="16"/>
      <c r="V5001" s="16"/>
      <c r="W5001" s="13"/>
      <c r="X5001" s="34">
        <v>4997</v>
      </c>
      <c r="Y5001" s="34" t="s">
        <v>2248</v>
      </c>
      <c r="Z5001" s="34" t="s">
        <v>3844</v>
      </c>
      <c r="AA5001" s="35">
        <v>1.9570564516129034E-4</v>
      </c>
      <c r="AB5001" s="13"/>
      <c r="AC5001" s="13"/>
      <c r="AD5001" s="13"/>
      <c r="AE5001" s="13"/>
      <c r="AF5001" s="13"/>
    </row>
    <row r="5002" spans="19:32" x14ac:dyDescent="0.35">
      <c r="S5002" s="13"/>
      <c r="T5002" s="16"/>
      <c r="U5002" s="16"/>
      <c r="V5002" s="16"/>
      <c r="W5002" s="13"/>
      <c r="X5002" s="34">
        <v>4998</v>
      </c>
      <c r="Y5002" s="34" t="s">
        <v>2248</v>
      </c>
      <c r="Z5002" s="34" t="s">
        <v>3985</v>
      </c>
      <c r="AA5002" s="35">
        <v>5.8951612903225814E-3</v>
      </c>
      <c r="AB5002" s="13"/>
      <c r="AC5002" s="13"/>
      <c r="AD5002" s="13"/>
      <c r="AE5002" s="13"/>
      <c r="AF5002" s="13"/>
    </row>
    <row r="5003" spans="19:32" x14ac:dyDescent="0.35">
      <c r="S5003" s="13"/>
      <c r="T5003" s="16"/>
      <c r="U5003" s="16"/>
      <c r="V5003" s="16"/>
      <c r="W5003" s="13"/>
      <c r="X5003" s="34">
        <v>4999</v>
      </c>
      <c r="Y5003" s="34" t="s">
        <v>2248</v>
      </c>
      <c r="Z5003" s="34" t="s">
        <v>3842</v>
      </c>
      <c r="AA5003" s="35">
        <v>1.4018145161290323E-5</v>
      </c>
      <c r="AB5003" s="13"/>
      <c r="AC5003" s="13"/>
      <c r="AD5003" s="13"/>
      <c r="AE5003" s="13"/>
      <c r="AF5003" s="13"/>
    </row>
    <row r="5004" spans="19:32" x14ac:dyDescent="0.35">
      <c r="S5004" s="13"/>
      <c r="T5004" s="16"/>
      <c r="U5004" s="16"/>
      <c r="V5004" s="16"/>
      <c r="W5004" s="13"/>
      <c r="X5004" s="34">
        <v>5000</v>
      </c>
      <c r="Y5004" s="34" t="s">
        <v>2248</v>
      </c>
      <c r="Z5004" s="34" t="s">
        <v>3984</v>
      </c>
      <c r="AA5004" s="35">
        <v>3.32116935483871E-2</v>
      </c>
      <c r="AB5004" s="13"/>
      <c r="AC5004" s="13"/>
      <c r="AD5004" s="13"/>
      <c r="AE5004" s="13"/>
      <c r="AF5004" s="13"/>
    </row>
    <row r="5005" spans="19:32" x14ac:dyDescent="0.35">
      <c r="S5005" s="13"/>
      <c r="T5005" s="16"/>
      <c r="U5005" s="16"/>
      <c r="V5005" s="16"/>
      <c r="W5005" s="13"/>
      <c r="X5005" s="47">
        <v>5001</v>
      </c>
      <c r="Y5005" s="47" t="s">
        <v>2248</v>
      </c>
      <c r="Z5005" s="47" t="s">
        <v>2404</v>
      </c>
      <c r="AA5005" s="56">
        <v>7.0656E-3</v>
      </c>
      <c r="AB5005" s="13"/>
      <c r="AC5005" s="13"/>
      <c r="AD5005" s="13"/>
      <c r="AE5005" s="13"/>
      <c r="AF5005" s="13"/>
    </row>
    <row r="5006" spans="19:32" x14ac:dyDescent="0.35">
      <c r="S5006" s="13"/>
      <c r="T5006" s="16"/>
      <c r="U5006" s="16"/>
      <c r="V5006" s="16"/>
      <c r="W5006" s="13"/>
      <c r="X5006" s="34">
        <v>5002</v>
      </c>
      <c r="Y5006" s="34" t="s">
        <v>2248</v>
      </c>
      <c r="Z5006" s="34" t="s">
        <v>2404</v>
      </c>
      <c r="AA5006" s="35">
        <v>2.8824596774193549E-5</v>
      </c>
      <c r="AB5006" s="13"/>
      <c r="AC5006" s="13"/>
      <c r="AD5006" s="13"/>
      <c r="AE5006" s="13"/>
      <c r="AF5006" s="13"/>
    </row>
    <row r="5007" spans="19:32" x14ac:dyDescent="0.35">
      <c r="S5007" s="13"/>
      <c r="T5007" s="16"/>
      <c r="U5007" s="16"/>
      <c r="V5007" s="16"/>
      <c r="W5007" s="13"/>
      <c r="X5007" s="34">
        <v>5003</v>
      </c>
      <c r="Y5007" s="34" t="s">
        <v>2248</v>
      </c>
      <c r="Z5007" s="34" t="s">
        <v>2343</v>
      </c>
      <c r="AA5007" s="35">
        <v>8.4657258064516142E-3</v>
      </c>
      <c r="AB5007" s="13"/>
      <c r="AC5007" s="13"/>
      <c r="AD5007" s="13"/>
      <c r="AE5007" s="13"/>
      <c r="AF5007" s="13"/>
    </row>
    <row r="5008" spans="19:32" x14ac:dyDescent="0.35">
      <c r="S5008" s="13"/>
      <c r="T5008" s="16"/>
      <c r="U5008" s="16"/>
      <c r="V5008" s="16"/>
      <c r="W5008" s="13"/>
      <c r="X5008" s="47">
        <v>5004</v>
      </c>
      <c r="Y5008" s="47" t="s">
        <v>2248</v>
      </c>
      <c r="Z5008" s="47" t="s">
        <v>2403</v>
      </c>
      <c r="AA5008" s="56">
        <v>0</v>
      </c>
      <c r="AB5008" s="13"/>
      <c r="AC5008" s="13"/>
      <c r="AD5008" s="13"/>
      <c r="AE5008" s="13"/>
      <c r="AF5008" s="13"/>
    </row>
    <row r="5009" spans="19:32" x14ac:dyDescent="0.35">
      <c r="S5009" s="13"/>
      <c r="T5009" s="16"/>
      <c r="U5009" s="16"/>
      <c r="V5009" s="16"/>
      <c r="W5009" s="13"/>
      <c r="X5009" s="34">
        <v>5005</v>
      </c>
      <c r="Y5009" s="34" t="s">
        <v>2248</v>
      </c>
      <c r="Z5009" s="34" t="s">
        <v>2342</v>
      </c>
      <c r="AA5009" s="35">
        <v>1.6280241935483872E-6</v>
      </c>
      <c r="AB5009" s="13"/>
      <c r="AC5009" s="13"/>
      <c r="AD5009" s="13"/>
      <c r="AE5009" s="13"/>
      <c r="AF5009" s="13"/>
    </row>
    <row r="5010" spans="19:32" x14ac:dyDescent="0.35">
      <c r="S5010" s="13"/>
      <c r="T5010" s="16"/>
      <c r="U5010" s="16"/>
      <c r="V5010" s="16"/>
      <c r="W5010" s="13"/>
      <c r="X5010" s="34">
        <v>5006</v>
      </c>
      <c r="Y5010" s="34" t="s">
        <v>2248</v>
      </c>
      <c r="Z5010" s="34" t="s">
        <v>3983</v>
      </c>
      <c r="AA5010" s="35">
        <v>1.1207661290322581E-4</v>
      </c>
      <c r="AB5010" s="13"/>
      <c r="AC5010" s="13"/>
      <c r="AD5010" s="13"/>
      <c r="AE5010" s="13"/>
      <c r="AF5010" s="13"/>
    </row>
    <row r="5011" spans="19:32" x14ac:dyDescent="0.35">
      <c r="S5011" s="13"/>
      <c r="T5011" s="16"/>
      <c r="U5011" s="16"/>
      <c r="V5011" s="16"/>
      <c r="W5011" s="13"/>
      <c r="X5011" s="47">
        <v>5007</v>
      </c>
      <c r="Y5011" s="47" t="s">
        <v>2248</v>
      </c>
      <c r="Z5011" s="47" t="s">
        <v>2401</v>
      </c>
      <c r="AA5011" s="56">
        <v>0</v>
      </c>
      <c r="AB5011" s="13"/>
      <c r="AC5011" s="13"/>
      <c r="AD5011" s="13"/>
      <c r="AE5011" s="13"/>
      <c r="AF5011" s="13"/>
    </row>
    <row r="5012" spans="19:32" x14ac:dyDescent="0.35">
      <c r="S5012" s="13"/>
      <c r="T5012" s="16"/>
      <c r="U5012" s="16"/>
      <c r="V5012" s="16"/>
      <c r="W5012" s="13"/>
      <c r="X5012" s="34">
        <v>5008</v>
      </c>
      <c r="Y5012" s="34" t="s">
        <v>2248</v>
      </c>
      <c r="Z5012" s="34" t="s">
        <v>2340</v>
      </c>
      <c r="AA5012" s="35">
        <v>1.9296370967741936E-3</v>
      </c>
      <c r="AB5012" s="13"/>
      <c r="AC5012" s="13"/>
      <c r="AD5012" s="13"/>
      <c r="AE5012" s="13"/>
      <c r="AF5012" s="13"/>
    </row>
    <row r="5013" spans="19:32" x14ac:dyDescent="0.35">
      <c r="S5013" s="13"/>
      <c r="T5013" s="16"/>
      <c r="U5013" s="16"/>
      <c r="V5013" s="16"/>
      <c r="W5013" s="13"/>
      <c r="X5013" s="47">
        <v>5009</v>
      </c>
      <c r="Y5013" s="47" t="s">
        <v>2248</v>
      </c>
      <c r="Z5013" s="47" t="s">
        <v>2400</v>
      </c>
      <c r="AA5013" s="56">
        <v>0</v>
      </c>
      <c r="AB5013" s="13"/>
      <c r="AC5013" s="13"/>
      <c r="AD5013" s="13"/>
      <c r="AE5013" s="13"/>
      <c r="AF5013" s="13"/>
    </row>
    <row r="5014" spans="19:32" x14ac:dyDescent="0.35">
      <c r="S5014" s="13"/>
      <c r="T5014" s="16"/>
      <c r="U5014" s="16"/>
      <c r="V5014" s="16"/>
      <c r="W5014" s="13"/>
      <c r="X5014" s="34">
        <v>5010</v>
      </c>
      <c r="Y5014" s="34" t="s">
        <v>2248</v>
      </c>
      <c r="Z5014" s="34" t="s">
        <v>3982</v>
      </c>
      <c r="AA5014" s="35">
        <v>8.6028225806451616E-10</v>
      </c>
      <c r="AB5014" s="13"/>
      <c r="AC5014" s="13"/>
      <c r="AD5014" s="13"/>
      <c r="AE5014" s="13"/>
      <c r="AF5014" s="13"/>
    </row>
    <row r="5015" spans="19:32" x14ac:dyDescent="0.35">
      <c r="S5015" s="13"/>
      <c r="T5015" s="16"/>
      <c r="U5015" s="16"/>
      <c r="V5015" s="16"/>
      <c r="W5015" s="13"/>
      <c r="X5015" s="34">
        <v>5011</v>
      </c>
      <c r="Y5015" s="34" t="s">
        <v>2248</v>
      </c>
      <c r="Z5015" s="34" t="s">
        <v>2337</v>
      </c>
      <c r="AA5015" s="35">
        <v>1.8953629032258067E-4</v>
      </c>
      <c r="AB5015" s="13"/>
      <c r="AC5015" s="13"/>
      <c r="AD5015" s="13"/>
      <c r="AE5015" s="13"/>
      <c r="AF5015" s="13"/>
    </row>
    <row r="5016" spans="19:32" x14ac:dyDescent="0.35">
      <c r="S5016" s="13"/>
      <c r="T5016" s="16"/>
      <c r="U5016" s="16"/>
      <c r="V5016" s="16"/>
      <c r="W5016" s="13"/>
      <c r="X5016" s="47">
        <v>5012</v>
      </c>
      <c r="Y5016" s="47" t="s">
        <v>2248</v>
      </c>
      <c r="Z5016" s="47" t="s">
        <v>2398</v>
      </c>
      <c r="AA5016" s="56">
        <v>0</v>
      </c>
      <c r="AB5016" s="13"/>
      <c r="AC5016" s="13"/>
      <c r="AD5016" s="13"/>
      <c r="AE5016" s="13"/>
      <c r="AF5016" s="13"/>
    </row>
    <row r="5017" spans="19:32" x14ac:dyDescent="0.35">
      <c r="S5017" s="13"/>
      <c r="T5017" s="16"/>
      <c r="U5017" s="16"/>
      <c r="V5017" s="16"/>
      <c r="W5017" s="13"/>
      <c r="X5017" s="34">
        <v>5013</v>
      </c>
      <c r="Y5017" s="34" t="s">
        <v>2248</v>
      </c>
      <c r="Z5017" s="34" t="s">
        <v>3981</v>
      </c>
      <c r="AA5017" s="35">
        <v>0.15766129032258067</v>
      </c>
      <c r="AB5017" s="13"/>
      <c r="AC5017" s="13"/>
      <c r="AD5017" s="13"/>
      <c r="AE5017" s="13"/>
      <c r="AF5017" s="13"/>
    </row>
    <row r="5018" spans="19:32" x14ac:dyDescent="0.35">
      <c r="S5018" s="13"/>
      <c r="T5018" s="16"/>
      <c r="U5018" s="16"/>
      <c r="V5018" s="16"/>
      <c r="W5018" s="13"/>
      <c r="X5018" s="34">
        <v>5014</v>
      </c>
      <c r="Y5018" s="34" t="s">
        <v>2248</v>
      </c>
      <c r="Z5018" s="34" t="s">
        <v>3830</v>
      </c>
      <c r="AA5018" s="35">
        <v>1.5457661290322583E-3</v>
      </c>
      <c r="AB5018" s="13"/>
      <c r="AC5018" s="13"/>
      <c r="AD5018" s="13"/>
      <c r="AE5018" s="13"/>
      <c r="AF5018" s="13"/>
    </row>
    <row r="5019" spans="19:32" x14ac:dyDescent="0.35">
      <c r="S5019" s="13"/>
      <c r="T5019" s="16"/>
      <c r="U5019" s="16"/>
      <c r="V5019" s="16"/>
      <c r="W5019" s="13"/>
      <c r="X5019" s="34">
        <v>5015</v>
      </c>
      <c r="Y5019" s="34" t="s">
        <v>2248</v>
      </c>
      <c r="Z5019" s="34" t="s">
        <v>3980</v>
      </c>
      <c r="AA5019" s="35">
        <v>0.11824596774193549</v>
      </c>
      <c r="AB5019" s="13"/>
      <c r="AC5019" s="13"/>
      <c r="AD5019" s="13"/>
      <c r="AE5019" s="13"/>
      <c r="AF5019" s="13"/>
    </row>
    <row r="5020" spans="19:32" x14ac:dyDescent="0.35">
      <c r="S5020" s="13"/>
      <c r="T5020" s="16"/>
      <c r="U5020" s="16"/>
      <c r="V5020" s="16"/>
      <c r="W5020" s="13"/>
      <c r="X5020" s="34">
        <v>5016</v>
      </c>
      <c r="Y5020" s="34" t="s">
        <v>2248</v>
      </c>
      <c r="Z5020" s="34" t="s">
        <v>3979</v>
      </c>
      <c r="AA5020" s="35">
        <v>2.4026209677419358E-8</v>
      </c>
      <c r="AB5020" s="13"/>
      <c r="AC5020" s="13"/>
      <c r="AD5020" s="13"/>
      <c r="AE5020" s="13"/>
      <c r="AF5020" s="13"/>
    </row>
    <row r="5021" spans="19:32" x14ac:dyDescent="0.35">
      <c r="S5021" s="13"/>
      <c r="T5021" s="16"/>
      <c r="U5021" s="16"/>
      <c r="V5021" s="16"/>
      <c r="W5021" s="13"/>
      <c r="X5021" s="34">
        <v>5017</v>
      </c>
      <c r="Y5021" s="34" t="s">
        <v>2248</v>
      </c>
      <c r="Z5021" s="34" t="s">
        <v>2335</v>
      </c>
      <c r="AA5021" s="35">
        <v>5.2439516129032265E-5</v>
      </c>
      <c r="AB5021" s="13"/>
      <c r="AC5021" s="13"/>
      <c r="AD5021" s="13"/>
      <c r="AE5021" s="13"/>
      <c r="AF5021" s="13"/>
    </row>
    <row r="5022" spans="19:32" x14ac:dyDescent="0.35">
      <c r="S5022" s="13"/>
      <c r="T5022" s="16"/>
      <c r="U5022" s="16"/>
      <c r="V5022" s="16"/>
      <c r="W5022" s="13"/>
      <c r="X5022" s="47">
        <v>5018</v>
      </c>
      <c r="Y5022" s="47" t="s">
        <v>2248</v>
      </c>
      <c r="Z5022" s="47" t="s">
        <v>2396</v>
      </c>
      <c r="AA5022" s="56">
        <v>0.12052</v>
      </c>
      <c r="AB5022" s="13"/>
      <c r="AC5022" s="13"/>
      <c r="AD5022" s="13"/>
      <c r="AE5022" s="13"/>
      <c r="AF5022" s="13"/>
    </row>
    <row r="5023" spans="19:32" x14ac:dyDescent="0.35">
      <c r="S5023" s="13"/>
      <c r="T5023" s="16"/>
      <c r="U5023" s="16"/>
      <c r="V5023" s="16"/>
      <c r="W5023" s="13"/>
      <c r="X5023" s="34">
        <v>5019</v>
      </c>
      <c r="Y5023" s="34" t="s">
        <v>2248</v>
      </c>
      <c r="Z5023" s="34" t="s">
        <v>2396</v>
      </c>
      <c r="AA5023" s="35">
        <v>1.4155241935483872E-2</v>
      </c>
      <c r="AB5023" s="13"/>
      <c r="AC5023" s="13"/>
      <c r="AD5023" s="13"/>
      <c r="AE5023" s="13"/>
      <c r="AF5023" s="13"/>
    </row>
    <row r="5024" spans="19:32" x14ac:dyDescent="0.35">
      <c r="S5024" s="13"/>
      <c r="T5024" s="16"/>
      <c r="U5024" s="16"/>
      <c r="V5024" s="16"/>
      <c r="W5024" s="13"/>
      <c r="X5024" s="34">
        <v>5020</v>
      </c>
      <c r="Y5024" s="34" t="s">
        <v>2248</v>
      </c>
      <c r="Z5024" s="34" t="s">
        <v>2333</v>
      </c>
      <c r="AA5024" s="35">
        <v>0.11447580645161291</v>
      </c>
      <c r="AB5024" s="13"/>
      <c r="AC5024" s="13"/>
      <c r="AD5024" s="13"/>
      <c r="AE5024" s="13"/>
      <c r="AF5024" s="13"/>
    </row>
    <row r="5025" spans="19:32" x14ac:dyDescent="0.35">
      <c r="S5025" s="13"/>
      <c r="T5025" s="16"/>
      <c r="U5025" s="16"/>
      <c r="V5025" s="16"/>
      <c r="W5025" s="13"/>
      <c r="X5025" s="34">
        <v>5021</v>
      </c>
      <c r="Y5025" s="34" t="s">
        <v>2248</v>
      </c>
      <c r="Z5025" s="34" t="s">
        <v>3978</v>
      </c>
      <c r="AA5025" s="35">
        <v>3.3245967741935483E-4</v>
      </c>
      <c r="AB5025" s="13"/>
      <c r="AC5025" s="13"/>
      <c r="AD5025" s="13"/>
      <c r="AE5025" s="13"/>
      <c r="AF5025" s="13"/>
    </row>
    <row r="5026" spans="19:32" x14ac:dyDescent="0.35">
      <c r="S5026" s="13"/>
      <c r="T5026" s="16"/>
      <c r="U5026" s="16"/>
      <c r="V5026" s="16"/>
      <c r="W5026" s="13"/>
      <c r="X5026" s="47">
        <v>5022</v>
      </c>
      <c r="Y5026" s="47" t="s">
        <v>2248</v>
      </c>
      <c r="Z5026" s="47" t="s">
        <v>2395</v>
      </c>
      <c r="AA5026" s="56">
        <v>2.4748000000000001E-4</v>
      </c>
      <c r="AB5026" s="13"/>
      <c r="AC5026" s="13"/>
      <c r="AD5026" s="13"/>
      <c r="AE5026" s="13"/>
      <c r="AF5026" s="13"/>
    </row>
    <row r="5027" spans="19:32" x14ac:dyDescent="0.35">
      <c r="S5027" s="13"/>
      <c r="T5027" s="16"/>
      <c r="U5027" s="16"/>
      <c r="V5027" s="16"/>
      <c r="W5027" s="13"/>
      <c r="X5027" s="34">
        <v>5023</v>
      </c>
      <c r="Y5027" s="34" t="s">
        <v>2248</v>
      </c>
      <c r="Z5027" s="34" t="s">
        <v>3822</v>
      </c>
      <c r="AA5027" s="35">
        <v>1.5526209677419356E-4</v>
      </c>
      <c r="AB5027" s="13"/>
      <c r="AC5027" s="13"/>
      <c r="AD5027" s="13"/>
      <c r="AE5027" s="13"/>
      <c r="AF5027" s="13"/>
    </row>
    <row r="5028" spans="19:32" x14ac:dyDescent="0.35">
      <c r="S5028" s="13"/>
      <c r="T5028" s="16"/>
      <c r="U5028" s="16"/>
      <c r="V5028" s="16"/>
      <c r="W5028" s="13"/>
      <c r="X5028" s="47">
        <v>5024</v>
      </c>
      <c r="Y5028" s="47" t="s">
        <v>2248</v>
      </c>
      <c r="Z5028" s="47" t="s">
        <v>2393</v>
      </c>
      <c r="AA5028" s="56">
        <v>0</v>
      </c>
      <c r="AB5028" s="13"/>
      <c r="AC5028" s="13"/>
      <c r="AD5028" s="13"/>
      <c r="AE5028" s="13"/>
      <c r="AF5028" s="13"/>
    </row>
    <row r="5029" spans="19:32" x14ac:dyDescent="0.35">
      <c r="S5029" s="13"/>
      <c r="T5029" s="16"/>
      <c r="U5029" s="16"/>
      <c r="V5029" s="16"/>
      <c r="W5029" s="13"/>
      <c r="X5029" s="34">
        <v>5025</v>
      </c>
      <c r="Y5029" s="34" t="s">
        <v>2248</v>
      </c>
      <c r="Z5029" s="34" t="s">
        <v>2330</v>
      </c>
      <c r="AA5029" s="35">
        <v>5.8608870967741943E-2</v>
      </c>
      <c r="AB5029" s="13"/>
      <c r="AC5029" s="13"/>
      <c r="AD5029" s="13"/>
      <c r="AE5029" s="13"/>
      <c r="AF5029" s="13"/>
    </row>
    <row r="5030" spans="19:32" x14ac:dyDescent="0.35">
      <c r="S5030" s="13"/>
      <c r="T5030" s="16"/>
      <c r="U5030" s="16"/>
      <c r="V5030" s="16"/>
      <c r="W5030" s="13"/>
      <c r="X5030" s="34">
        <v>5026</v>
      </c>
      <c r="Y5030" s="34" t="s">
        <v>2248</v>
      </c>
      <c r="Z5030" s="34" t="s">
        <v>2393</v>
      </c>
      <c r="AA5030" s="35">
        <v>4.1471774193548389E-2</v>
      </c>
      <c r="AB5030" s="13"/>
      <c r="AC5030" s="13"/>
      <c r="AD5030" s="13"/>
      <c r="AE5030" s="13"/>
      <c r="AF5030" s="13"/>
    </row>
    <row r="5031" spans="19:32" x14ac:dyDescent="0.35">
      <c r="S5031" s="13"/>
      <c r="T5031" s="16"/>
      <c r="U5031" s="16"/>
      <c r="V5031" s="16"/>
      <c r="W5031" s="13"/>
      <c r="X5031" s="34">
        <v>5027</v>
      </c>
      <c r="Y5031" s="34" t="s">
        <v>2248</v>
      </c>
      <c r="Z5031" s="34" t="s">
        <v>3977</v>
      </c>
      <c r="AA5031" s="35">
        <v>3.0778225806451615E-10</v>
      </c>
      <c r="AB5031" s="13"/>
      <c r="AC5031" s="13"/>
      <c r="AD5031" s="13"/>
      <c r="AE5031" s="13"/>
      <c r="AF5031" s="13"/>
    </row>
    <row r="5032" spans="19:32" x14ac:dyDescent="0.35">
      <c r="S5032" s="13"/>
      <c r="T5032" s="16"/>
      <c r="U5032" s="16"/>
      <c r="V5032" s="16"/>
      <c r="W5032" s="13"/>
      <c r="X5032" s="34">
        <v>5028</v>
      </c>
      <c r="Y5032" s="34" t="s">
        <v>2248</v>
      </c>
      <c r="Z5032" s="34" t="s">
        <v>3818</v>
      </c>
      <c r="AA5032" s="35">
        <v>1.0830645161290323E-2</v>
      </c>
      <c r="AB5032" s="13"/>
      <c r="AC5032" s="13"/>
      <c r="AD5032" s="13"/>
      <c r="AE5032" s="13"/>
      <c r="AF5032" s="13"/>
    </row>
    <row r="5033" spans="19:32" x14ac:dyDescent="0.35">
      <c r="S5033" s="13"/>
      <c r="T5033" s="16"/>
      <c r="U5033" s="16"/>
      <c r="V5033" s="16"/>
      <c r="W5033" s="13"/>
      <c r="X5033" s="34">
        <v>5029</v>
      </c>
      <c r="Y5033" s="34" t="s">
        <v>2248</v>
      </c>
      <c r="Z5033" s="34" t="s">
        <v>3976</v>
      </c>
      <c r="AA5033" s="35">
        <v>4.6270161290322583E-3</v>
      </c>
      <c r="AB5033" s="13"/>
      <c r="AC5033" s="13"/>
      <c r="AD5033" s="13"/>
      <c r="AE5033" s="13"/>
      <c r="AF5033" s="13"/>
    </row>
    <row r="5034" spans="19:32" x14ac:dyDescent="0.35">
      <c r="S5034" s="13"/>
      <c r="T5034" s="16"/>
      <c r="U5034" s="16"/>
      <c r="V5034" s="16"/>
      <c r="W5034" s="13"/>
      <c r="X5034" s="34">
        <v>5030</v>
      </c>
      <c r="Y5034" s="34" t="s">
        <v>2248</v>
      </c>
      <c r="Z5034" s="34" t="s">
        <v>3975</v>
      </c>
      <c r="AA5034" s="35">
        <v>1.8713709677419357E-4</v>
      </c>
      <c r="AB5034" s="13"/>
      <c r="AC5034" s="13"/>
      <c r="AD5034" s="13"/>
      <c r="AE5034" s="13"/>
      <c r="AF5034" s="13"/>
    </row>
    <row r="5035" spans="19:32" x14ac:dyDescent="0.35">
      <c r="S5035" s="13"/>
      <c r="T5035" s="16"/>
      <c r="U5035" s="16"/>
      <c r="V5035" s="16"/>
      <c r="W5035" s="13"/>
      <c r="X5035" s="34">
        <v>5031</v>
      </c>
      <c r="Y5035" s="34" t="s">
        <v>2248</v>
      </c>
      <c r="Z5035" s="34" t="s">
        <v>3813</v>
      </c>
      <c r="AA5035" s="35">
        <v>1.902217741935484E-4</v>
      </c>
      <c r="AB5035" s="13"/>
      <c r="AC5035" s="13"/>
      <c r="AD5035" s="13"/>
      <c r="AE5035" s="13"/>
      <c r="AF5035" s="13"/>
    </row>
    <row r="5036" spans="19:32" x14ac:dyDescent="0.35">
      <c r="S5036" s="13"/>
      <c r="T5036" s="16"/>
      <c r="U5036" s="16"/>
      <c r="V5036" s="16"/>
      <c r="W5036" s="13"/>
      <c r="X5036" s="34">
        <v>5032</v>
      </c>
      <c r="Y5036" s="34" t="s">
        <v>2248</v>
      </c>
      <c r="Z5036" s="34" t="s">
        <v>3974</v>
      </c>
      <c r="AA5036" s="35">
        <v>1.7479838709677419E-6</v>
      </c>
      <c r="AB5036" s="13"/>
      <c r="AC5036" s="13"/>
      <c r="AD5036" s="13"/>
      <c r="AE5036" s="13"/>
      <c r="AF5036" s="13"/>
    </row>
    <row r="5037" spans="19:32" x14ac:dyDescent="0.35">
      <c r="S5037" s="13"/>
      <c r="T5037" s="16"/>
      <c r="U5037" s="16"/>
      <c r="V5037" s="16"/>
      <c r="W5037" s="13"/>
      <c r="X5037" s="47">
        <v>5033</v>
      </c>
      <c r="Y5037" s="47" t="s">
        <v>2248</v>
      </c>
      <c r="Z5037" s="47" t="s">
        <v>2392</v>
      </c>
      <c r="AA5037" s="56">
        <v>7.9671999999999989E-3</v>
      </c>
      <c r="AB5037" s="13"/>
      <c r="AC5037" s="13"/>
      <c r="AD5037" s="13"/>
      <c r="AE5037" s="13"/>
      <c r="AF5037" s="13"/>
    </row>
    <row r="5038" spans="19:32" x14ac:dyDescent="0.35">
      <c r="S5038" s="13"/>
      <c r="T5038" s="16"/>
      <c r="U5038" s="16"/>
      <c r="V5038" s="16"/>
      <c r="W5038" s="13"/>
      <c r="X5038" s="34">
        <v>5034</v>
      </c>
      <c r="Y5038" s="34" t="s">
        <v>2248</v>
      </c>
      <c r="Z5038" s="34" t="s">
        <v>2324</v>
      </c>
      <c r="AA5038" s="35">
        <v>2.4026209677419355E-5</v>
      </c>
      <c r="AB5038" s="13"/>
      <c r="AC5038" s="13"/>
      <c r="AD5038" s="13"/>
      <c r="AE5038" s="13"/>
      <c r="AF5038" s="13"/>
    </row>
    <row r="5039" spans="19:32" x14ac:dyDescent="0.35">
      <c r="S5039" s="13"/>
      <c r="T5039" s="16"/>
      <c r="U5039" s="16"/>
      <c r="V5039" s="16"/>
      <c r="W5039" s="13"/>
      <c r="X5039" s="34">
        <v>5035</v>
      </c>
      <c r="Y5039" s="34" t="s">
        <v>2248</v>
      </c>
      <c r="Z5039" s="34" t="s">
        <v>3973</v>
      </c>
      <c r="AA5039" s="35">
        <v>0.36673387096774196</v>
      </c>
      <c r="AB5039" s="13"/>
      <c r="AC5039" s="13"/>
      <c r="AD5039" s="13"/>
      <c r="AE5039" s="13"/>
      <c r="AF5039" s="13"/>
    </row>
    <row r="5040" spans="19:32" x14ac:dyDescent="0.35">
      <c r="S5040" s="13"/>
      <c r="T5040" s="16"/>
      <c r="U5040" s="16"/>
      <c r="V5040" s="16"/>
      <c r="W5040" s="13"/>
      <c r="X5040" s="34">
        <v>5036</v>
      </c>
      <c r="Y5040" s="34" t="s">
        <v>2248</v>
      </c>
      <c r="Z5040" s="34" t="s">
        <v>3972</v>
      </c>
      <c r="AA5040" s="35">
        <v>4.5241935483870972E-3</v>
      </c>
      <c r="AB5040" s="13"/>
      <c r="AC5040" s="13"/>
      <c r="AD5040" s="13"/>
      <c r="AE5040" s="13"/>
      <c r="AF5040" s="13"/>
    </row>
    <row r="5041" spans="19:32" x14ac:dyDescent="0.35">
      <c r="S5041" s="13"/>
      <c r="T5041" s="16"/>
      <c r="U5041" s="16"/>
      <c r="V5041" s="16"/>
      <c r="W5041" s="13"/>
      <c r="X5041" s="34">
        <v>5037</v>
      </c>
      <c r="Y5041" s="34" t="s">
        <v>2248</v>
      </c>
      <c r="Z5041" s="34" t="s">
        <v>2323</v>
      </c>
      <c r="AA5041" s="35">
        <v>6.2721774193548392E-6</v>
      </c>
      <c r="AB5041" s="13"/>
      <c r="AC5041" s="13"/>
      <c r="AD5041" s="13"/>
      <c r="AE5041" s="13"/>
      <c r="AF5041" s="13"/>
    </row>
    <row r="5042" spans="19:32" x14ac:dyDescent="0.35">
      <c r="S5042" s="13"/>
      <c r="T5042" s="16"/>
      <c r="U5042" s="16"/>
      <c r="V5042" s="16"/>
      <c r="W5042" s="13"/>
      <c r="X5042" s="47">
        <v>5038</v>
      </c>
      <c r="Y5042" s="47" t="s">
        <v>2248</v>
      </c>
      <c r="Z5042" s="47" t="s">
        <v>2390</v>
      </c>
      <c r="AA5042" s="56">
        <v>0</v>
      </c>
      <c r="AB5042" s="13"/>
      <c r="AC5042" s="13"/>
      <c r="AD5042" s="13"/>
      <c r="AE5042" s="13"/>
      <c r="AF5042" s="13"/>
    </row>
    <row r="5043" spans="19:32" x14ac:dyDescent="0.35">
      <c r="S5043" s="13"/>
      <c r="T5043" s="16"/>
      <c r="U5043" s="16"/>
      <c r="V5043" s="16"/>
      <c r="W5043" s="13"/>
      <c r="X5043" s="34">
        <v>5039</v>
      </c>
      <c r="Y5043" s="34" t="s">
        <v>2248</v>
      </c>
      <c r="Z5043" s="34" t="s">
        <v>3971</v>
      </c>
      <c r="AA5043" s="35">
        <v>1.1995967741935485</v>
      </c>
      <c r="AB5043" s="13"/>
      <c r="AC5043" s="13"/>
      <c r="AD5043" s="13"/>
      <c r="AE5043" s="13"/>
      <c r="AF5043" s="13"/>
    </row>
    <row r="5044" spans="19:32" x14ac:dyDescent="0.35">
      <c r="S5044" s="13"/>
      <c r="T5044" s="16"/>
      <c r="U5044" s="16"/>
      <c r="V5044" s="16"/>
      <c r="W5044" s="13"/>
      <c r="X5044" s="34">
        <v>5040</v>
      </c>
      <c r="Y5044" s="34" t="s">
        <v>2248</v>
      </c>
      <c r="Z5044" s="34" t="s">
        <v>2321</v>
      </c>
      <c r="AA5044" s="35">
        <v>0.11207661290322582</v>
      </c>
      <c r="AB5044" s="13"/>
      <c r="AC5044" s="13"/>
      <c r="AD5044" s="13"/>
      <c r="AE5044" s="13"/>
      <c r="AF5044" s="13"/>
    </row>
    <row r="5045" spans="19:32" x14ac:dyDescent="0.35">
      <c r="S5045" s="13"/>
      <c r="T5045" s="16"/>
      <c r="U5045" s="16"/>
      <c r="V5045" s="16"/>
      <c r="W5045" s="13"/>
      <c r="X5045" s="34">
        <v>5041</v>
      </c>
      <c r="Y5045" s="34" t="s">
        <v>2248</v>
      </c>
      <c r="Z5045" s="34" t="s">
        <v>3970</v>
      </c>
      <c r="AA5045" s="35">
        <v>2.0358870967741937E-10</v>
      </c>
      <c r="AB5045" s="13"/>
      <c r="AC5045" s="13"/>
      <c r="AD5045" s="13"/>
      <c r="AE5045" s="13"/>
      <c r="AF5045" s="13"/>
    </row>
    <row r="5046" spans="19:32" x14ac:dyDescent="0.35">
      <c r="S5046" s="13"/>
      <c r="T5046" s="16"/>
      <c r="U5046" s="16"/>
      <c r="V5046" s="16"/>
      <c r="W5046" s="13"/>
      <c r="X5046" s="34">
        <v>5042</v>
      </c>
      <c r="Y5046" s="34" t="s">
        <v>2248</v>
      </c>
      <c r="Z5046" s="34" t="s">
        <v>3969</v>
      </c>
      <c r="AA5046" s="35">
        <v>4.010080645161291E-2</v>
      </c>
      <c r="AB5046" s="13"/>
      <c r="AC5046" s="13"/>
      <c r="AD5046" s="13"/>
      <c r="AE5046" s="13"/>
      <c r="AF5046" s="13"/>
    </row>
    <row r="5047" spans="19:32" x14ac:dyDescent="0.35">
      <c r="S5047" s="13"/>
      <c r="T5047" s="16"/>
      <c r="U5047" s="16"/>
      <c r="V5047" s="16"/>
      <c r="W5047" s="13"/>
      <c r="X5047" s="34">
        <v>5043</v>
      </c>
      <c r="Y5047" s="34" t="s">
        <v>2248</v>
      </c>
      <c r="Z5047" s="34" t="s">
        <v>2319</v>
      </c>
      <c r="AA5047" s="35">
        <v>1.2989919354838709E-3</v>
      </c>
      <c r="AB5047" s="13"/>
      <c r="AC5047" s="13"/>
      <c r="AD5047" s="13"/>
      <c r="AE5047" s="13"/>
      <c r="AF5047" s="13"/>
    </row>
    <row r="5048" spans="19:32" x14ac:dyDescent="0.35">
      <c r="S5048" s="13"/>
      <c r="T5048" s="16"/>
      <c r="U5048" s="16"/>
      <c r="V5048" s="16"/>
      <c r="W5048" s="13"/>
      <c r="X5048" s="34">
        <v>5044</v>
      </c>
      <c r="Y5048" s="34" t="s">
        <v>2248</v>
      </c>
      <c r="Z5048" s="34" t="s">
        <v>3968</v>
      </c>
      <c r="AA5048" s="35">
        <v>0.15766129032258067</v>
      </c>
      <c r="AB5048" s="13"/>
      <c r="AC5048" s="13"/>
      <c r="AD5048" s="13"/>
      <c r="AE5048" s="13"/>
      <c r="AF5048" s="13"/>
    </row>
    <row r="5049" spans="19:32" x14ac:dyDescent="0.35">
      <c r="S5049" s="13"/>
      <c r="T5049" s="16"/>
      <c r="U5049" s="16"/>
      <c r="V5049" s="16"/>
      <c r="W5049" s="13"/>
      <c r="X5049" s="34">
        <v>5045</v>
      </c>
      <c r="Y5049" s="34" t="s">
        <v>2248</v>
      </c>
      <c r="Z5049" s="34" t="s">
        <v>3801</v>
      </c>
      <c r="AA5049" s="35">
        <v>1.6485887096774194E-5</v>
      </c>
      <c r="AB5049" s="13"/>
      <c r="AC5049" s="13"/>
      <c r="AD5049" s="13"/>
      <c r="AE5049" s="13"/>
      <c r="AF5049" s="13"/>
    </row>
    <row r="5050" spans="19:32" x14ac:dyDescent="0.35">
      <c r="S5050" s="13"/>
      <c r="T5050" s="16"/>
      <c r="U5050" s="16"/>
      <c r="V5050" s="16"/>
      <c r="W5050" s="13"/>
      <c r="X5050" s="34">
        <v>5046</v>
      </c>
      <c r="Y5050" s="34" t="s">
        <v>2248</v>
      </c>
      <c r="Z5050" s="34" t="s">
        <v>3967</v>
      </c>
      <c r="AA5050" s="35">
        <v>7.0262096774193553E-3</v>
      </c>
      <c r="AB5050" s="13"/>
      <c r="AC5050" s="13"/>
      <c r="AD5050" s="13"/>
      <c r="AE5050" s="13"/>
      <c r="AF5050" s="13"/>
    </row>
    <row r="5051" spans="19:32" x14ac:dyDescent="0.35">
      <c r="S5051" s="13"/>
      <c r="T5051" s="16"/>
      <c r="U5051" s="16"/>
      <c r="V5051" s="16"/>
      <c r="W5051" s="13"/>
      <c r="X5051" s="34">
        <v>5047</v>
      </c>
      <c r="Y5051" s="34" t="s">
        <v>2248</v>
      </c>
      <c r="Z5051" s="34" t="s">
        <v>2316</v>
      </c>
      <c r="AA5051" s="35">
        <v>7.5745967741935497E-2</v>
      </c>
      <c r="AB5051" s="13"/>
      <c r="AC5051" s="13"/>
      <c r="AD5051" s="13"/>
      <c r="AE5051" s="13"/>
      <c r="AF5051" s="13"/>
    </row>
    <row r="5052" spans="19:32" x14ac:dyDescent="0.35">
      <c r="S5052" s="13"/>
      <c r="T5052" s="16"/>
      <c r="U5052" s="16"/>
      <c r="V5052" s="16"/>
      <c r="W5052" s="13"/>
      <c r="X5052" s="34">
        <v>5048</v>
      </c>
      <c r="Y5052" s="34" t="s">
        <v>2248</v>
      </c>
      <c r="Z5052" s="34" t="s">
        <v>2315</v>
      </c>
      <c r="AA5052" s="35">
        <v>7.0604838709677426E-3</v>
      </c>
      <c r="AB5052" s="13"/>
      <c r="AC5052" s="13"/>
      <c r="AD5052" s="13"/>
      <c r="AE5052" s="13"/>
      <c r="AF5052" s="13"/>
    </row>
    <row r="5053" spans="19:32" x14ac:dyDescent="0.35">
      <c r="S5053" s="13"/>
      <c r="T5053" s="16"/>
      <c r="U5053" s="16"/>
      <c r="V5053" s="16"/>
      <c r="W5053" s="13"/>
      <c r="X5053" s="34">
        <v>5049</v>
      </c>
      <c r="Y5053" s="34" t="s">
        <v>2248</v>
      </c>
      <c r="Z5053" s="34" t="s">
        <v>3966</v>
      </c>
      <c r="AA5053" s="35">
        <v>1.1413306451612905E-2</v>
      </c>
      <c r="AB5053" s="13"/>
      <c r="AC5053" s="13"/>
      <c r="AD5053" s="13"/>
      <c r="AE5053" s="13"/>
      <c r="AF5053" s="13"/>
    </row>
    <row r="5054" spans="19:32" x14ac:dyDescent="0.35">
      <c r="S5054" s="13"/>
      <c r="T5054" s="16"/>
      <c r="U5054" s="16"/>
      <c r="V5054" s="16"/>
      <c r="W5054" s="13"/>
      <c r="X5054" s="34">
        <v>5050</v>
      </c>
      <c r="Y5054" s="34" t="s">
        <v>2248</v>
      </c>
      <c r="Z5054" s="34" t="s">
        <v>3794</v>
      </c>
      <c r="AA5054" s="35">
        <v>6.4778225806451617E-5</v>
      </c>
      <c r="AB5054" s="13"/>
      <c r="AC5054" s="13"/>
      <c r="AD5054" s="13"/>
      <c r="AE5054" s="13"/>
      <c r="AF5054" s="13"/>
    </row>
    <row r="5055" spans="19:32" x14ac:dyDescent="0.35">
      <c r="S5055" s="13"/>
      <c r="T5055" s="16"/>
      <c r="U5055" s="16"/>
      <c r="V5055" s="16"/>
      <c r="W5055" s="13"/>
      <c r="X5055" s="34">
        <v>5051</v>
      </c>
      <c r="Y5055" s="34" t="s">
        <v>2248</v>
      </c>
      <c r="Z5055" s="34" t="s">
        <v>3965</v>
      </c>
      <c r="AA5055" s="35">
        <v>5.1068548387096779E-12</v>
      </c>
      <c r="AB5055" s="13"/>
      <c r="AC5055" s="13"/>
      <c r="AD5055" s="13"/>
      <c r="AE5055" s="13"/>
      <c r="AF5055" s="13"/>
    </row>
    <row r="5056" spans="19:32" x14ac:dyDescent="0.35">
      <c r="S5056" s="13"/>
      <c r="T5056" s="16"/>
      <c r="U5056" s="16"/>
      <c r="V5056" s="16"/>
      <c r="W5056" s="13"/>
      <c r="X5056" s="34">
        <v>5052</v>
      </c>
      <c r="Y5056" s="34" t="s">
        <v>2248</v>
      </c>
      <c r="Z5056" s="34" t="s">
        <v>3791</v>
      </c>
      <c r="AA5056" s="35">
        <v>1.5868951612903228E-4</v>
      </c>
      <c r="AB5056" s="13"/>
      <c r="AC5056" s="13"/>
      <c r="AD5056" s="13"/>
      <c r="AE5056" s="13"/>
      <c r="AF5056" s="13"/>
    </row>
    <row r="5057" spans="19:32" x14ac:dyDescent="0.35">
      <c r="S5057" s="13"/>
      <c r="T5057" s="16"/>
      <c r="U5057" s="16"/>
      <c r="V5057" s="16"/>
      <c r="W5057" s="13"/>
      <c r="X5057" s="34">
        <v>5053</v>
      </c>
      <c r="Y5057" s="34" t="s">
        <v>2248</v>
      </c>
      <c r="Z5057" s="34" t="s">
        <v>3782</v>
      </c>
      <c r="AA5057" s="35">
        <v>1.1002016129032259E-2</v>
      </c>
      <c r="AB5057" s="13"/>
      <c r="AC5057" s="13"/>
      <c r="AD5057" s="13"/>
      <c r="AE5057" s="13"/>
      <c r="AF5057" s="13"/>
    </row>
    <row r="5058" spans="19:32" x14ac:dyDescent="0.35">
      <c r="S5058" s="13"/>
      <c r="T5058" s="16"/>
      <c r="U5058" s="16"/>
      <c r="V5058" s="16"/>
      <c r="W5058" s="13"/>
      <c r="X5058" s="34">
        <v>5054</v>
      </c>
      <c r="Y5058" s="34" t="s">
        <v>2248</v>
      </c>
      <c r="Z5058" s="34" t="s">
        <v>3964</v>
      </c>
      <c r="AA5058" s="35">
        <v>0.22038306451612905</v>
      </c>
      <c r="AB5058" s="13"/>
      <c r="AC5058" s="13"/>
      <c r="AD5058" s="13"/>
      <c r="AE5058" s="13"/>
      <c r="AF5058" s="13"/>
    </row>
    <row r="5059" spans="19:32" x14ac:dyDescent="0.35">
      <c r="S5059" s="13"/>
      <c r="T5059" s="16"/>
      <c r="U5059" s="16"/>
      <c r="V5059" s="16"/>
      <c r="W5059" s="13"/>
      <c r="X5059" s="34">
        <v>5055</v>
      </c>
      <c r="Y5059" s="34" t="s">
        <v>2248</v>
      </c>
      <c r="Z5059" s="34" t="s">
        <v>2305</v>
      </c>
      <c r="AA5059" s="35">
        <v>1.5903225806451614E-3</v>
      </c>
      <c r="AB5059" s="13"/>
      <c r="AC5059" s="13"/>
      <c r="AD5059" s="13"/>
      <c r="AE5059" s="13"/>
      <c r="AF5059" s="13"/>
    </row>
    <row r="5060" spans="19:32" x14ac:dyDescent="0.35">
      <c r="S5060" s="13"/>
      <c r="T5060" s="16"/>
      <c r="U5060" s="16"/>
      <c r="V5060" s="16"/>
      <c r="W5060" s="13"/>
      <c r="X5060" s="34">
        <v>5056</v>
      </c>
      <c r="Y5060" s="34" t="s">
        <v>2248</v>
      </c>
      <c r="Z5060" s="34" t="s">
        <v>3778</v>
      </c>
      <c r="AA5060" s="35">
        <v>1.2030241935483872E-3</v>
      </c>
      <c r="AB5060" s="13"/>
      <c r="AC5060" s="13"/>
      <c r="AD5060" s="13"/>
      <c r="AE5060" s="13"/>
      <c r="AF5060" s="13"/>
    </row>
    <row r="5061" spans="19:32" x14ac:dyDescent="0.35">
      <c r="S5061" s="13"/>
      <c r="T5061" s="16"/>
      <c r="U5061" s="16"/>
      <c r="V5061" s="16"/>
      <c r="W5061" s="13"/>
      <c r="X5061" s="34">
        <v>5057</v>
      </c>
      <c r="Y5061" s="34" t="s">
        <v>2248</v>
      </c>
      <c r="Z5061" s="34" t="s">
        <v>3963</v>
      </c>
      <c r="AA5061" s="35">
        <v>1.2407258064516132E-3</v>
      </c>
      <c r="AB5061" s="13"/>
      <c r="AC5061" s="13"/>
      <c r="AD5061" s="13"/>
      <c r="AE5061" s="13"/>
      <c r="AF5061" s="13"/>
    </row>
    <row r="5062" spans="19:32" x14ac:dyDescent="0.35">
      <c r="S5062" s="13"/>
      <c r="T5062" s="16"/>
      <c r="U5062" s="16"/>
      <c r="V5062" s="16"/>
      <c r="W5062" s="13"/>
      <c r="X5062" s="34">
        <v>5058</v>
      </c>
      <c r="Y5062" s="34" t="s">
        <v>2248</v>
      </c>
      <c r="Z5062" s="34" t="s">
        <v>3775</v>
      </c>
      <c r="AA5062" s="35">
        <v>0.15868951612903226</v>
      </c>
      <c r="AB5062" s="13"/>
      <c r="AC5062" s="13"/>
      <c r="AD5062" s="13"/>
      <c r="AE5062" s="13"/>
      <c r="AF5062" s="13"/>
    </row>
    <row r="5063" spans="19:32" x14ac:dyDescent="0.35">
      <c r="S5063" s="13"/>
      <c r="T5063" s="16"/>
      <c r="U5063" s="16"/>
      <c r="V5063" s="16"/>
      <c r="W5063" s="13"/>
      <c r="X5063" s="34">
        <v>5059</v>
      </c>
      <c r="Y5063" s="34" t="s">
        <v>2248</v>
      </c>
      <c r="Z5063" s="34" t="s">
        <v>3774</v>
      </c>
      <c r="AA5063" s="35">
        <v>0.10967741935483871</v>
      </c>
      <c r="AB5063" s="13"/>
      <c r="AC5063" s="13"/>
      <c r="AD5063" s="13"/>
      <c r="AE5063" s="13"/>
      <c r="AF5063" s="13"/>
    </row>
    <row r="5064" spans="19:32" x14ac:dyDescent="0.35">
      <c r="S5064" s="13"/>
      <c r="T5064" s="16"/>
      <c r="U5064" s="16"/>
      <c r="V5064" s="16"/>
      <c r="W5064" s="13"/>
      <c r="X5064" s="34">
        <v>5060</v>
      </c>
      <c r="Y5064" s="34" t="s">
        <v>2248</v>
      </c>
      <c r="Z5064" s="34" t="s">
        <v>3108</v>
      </c>
      <c r="AA5064" s="35">
        <v>2.1455645161290324E-4</v>
      </c>
      <c r="AB5064" s="13"/>
      <c r="AC5064" s="13"/>
      <c r="AD5064" s="13"/>
      <c r="AE5064" s="13"/>
      <c r="AF5064" s="13"/>
    </row>
    <row r="5065" spans="19:32" x14ac:dyDescent="0.35">
      <c r="S5065" s="13"/>
      <c r="T5065" s="16"/>
      <c r="U5065" s="16"/>
      <c r="V5065" s="16"/>
      <c r="W5065" s="13"/>
      <c r="X5065" s="34">
        <v>5061</v>
      </c>
      <c r="Y5065" s="34" t="s">
        <v>2248</v>
      </c>
      <c r="Z5065" s="34" t="s">
        <v>3768</v>
      </c>
      <c r="AA5065" s="35">
        <v>7.9858870967741946E-5</v>
      </c>
      <c r="AB5065" s="13"/>
      <c r="AC5065" s="13"/>
      <c r="AD5065" s="13"/>
      <c r="AE5065" s="13"/>
      <c r="AF5065" s="13"/>
    </row>
    <row r="5066" spans="19:32" x14ac:dyDescent="0.35">
      <c r="S5066" s="13"/>
      <c r="T5066" s="16"/>
      <c r="U5066" s="16"/>
      <c r="V5066" s="16"/>
      <c r="W5066" s="13"/>
      <c r="X5066" s="34">
        <v>5062</v>
      </c>
      <c r="Y5066" s="34" t="s">
        <v>2248</v>
      </c>
      <c r="Z5066" s="34" t="s">
        <v>3766</v>
      </c>
      <c r="AA5066" s="35">
        <v>1.2441532258064518E-2</v>
      </c>
      <c r="AB5066" s="13"/>
      <c r="AC5066" s="13"/>
      <c r="AD5066" s="13"/>
      <c r="AE5066" s="13"/>
      <c r="AF5066" s="13"/>
    </row>
    <row r="5067" spans="19:32" x14ac:dyDescent="0.35">
      <c r="S5067" s="13"/>
      <c r="T5067" s="16"/>
      <c r="U5067" s="16"/>
      <c r="V5067" s="16"/>
      <c r="W5067" s="13"/>
      <c r="X5067" s="34">
        <v>5063</v>
      </c>
      <c r="Y5067" s="34" t="s">
        <v>2248</v>
      </c>
      <c r="Z5067" s="34" t="s">
        <v>3107</v>
      </c>
      <c r="AA5067" s="35">
        <v>0.5278225806451613</v>
      </c>
      <c r="AB5067" s="13"/>
      <c r="AC5067" s="13"/>
      <c r="AD5067" s="13"/>
      <c r="AE5067" s="13"/>
      <c r="AF5067" s="13"/>
    </row>
    <row r="5068" spans="19:32" x14ac:dyDescent="0.35">
      <c r="S5068" s="13"/>
      <c r="T5068" s="16"/>
      <c r="U5068" s="16"/>
      <c r="V5068" s="16"/>
      <c r="W5068" s="13"/>
      <c r="X5068" s="34">
        <v>5064</v>
      </c>
      <c r="Y5068" s="34" t="s">
        <v>2248</v>
      </c>
      <c r="Z5068" s="34" t="s">
        <v>3764</v>
      </c>
      <c r="AA5068" s="35">
        <v>2.3306451612903227E-2</v>
      </c>
      <c r="AB5068" s="13"/>
      <c r="AC5068" s="13"/>
      <c r="AD5068" s="13"/>
      <c r="AE5068" s="13"/>
      <c r="AF5068" s="13"/>
    </row>
    <row r="5069" spans="19:32" x14ac:dyDescent="0.35">
      <c r="S5069" s="13"/>
      <c r="T5069" s="16"/>
      <c r="U5069" s="16"/>
      <c r="V5069" s="16"/>
      <c r="W5069" s="13"/>
      <c r="X5069" s="34">
        <v>5065</v>
      </c>
      <c r="Y5069" s="34" t="s">
        <v>2248</v>
      </c>
      <c r="Z5069" s="34" t="s">
        <v>3962</v>
      </c>
      <c r="AA5069" s="35">
        <v>3.2183467741935486E-3</v>
      </c>
      <c r="AB5069" s="13"/>
      <c r="AC5069" s="13"/>
      <c r="AD5069" s="13"/>
      <c r="AE5069" s="13"/>
      <c r="AF5069" s="13"/>
    </row>
    <row r="5070" spans="19:32" x14ac:dyDescent="0.35">
      <c r="S5070" s="13"/>
      <c r="T5070" s="16"/>
      <c r="U5070" s="16"/>
      <c r="V5070" s="16"/>
      <c r="W5070" s="13"/>
      <c r="X5070" s="34">
        <v>5066</v>
      </c>
      <c r="Y5070" s="34" t="s">
        <v>2248</v>
      </c>
      <c r="Z5070" s="34" t="s">
        <v>3762</v>
      </c>
      <c r="AA5070" s="35">
        <v>4.0100806451612911E-6</v>
      </c>
      <c r="AB5070" s="13"/>
      <c r="AC5070" s="13"/>
      <c r="AD5070" s="13"/>
      <c r="AE5070" s="13"/>
      <c r="AF5070" s="13"/>
    </row>
    <row r="5071" spans="19:32" x14ac:dyDescent="0.35">
      <c r="S5071" s="13"/>
      <c r="T5071" s="16"/>
      <c r="U5071" s="16"/>
      <c r="V5071" s="16"/>
      <c r="W5071" s="13"/>
      <c r="X5071" s="34">
        <v>5067</v>
      </c>
      <c r="Y5071" s="34" t="s">
        <v>2248</v>
      </c>
      <c r="Z5071" s="34" t="s">
        <v>3759</v>
      </c>
      <c r="AA5071" s="35">
        <v>4.8669354838709676E-5</v>
      </c>
      <c r="AB5071" s="13"/>
      <c r="AC5071" s="13"/>
      <c r="AD5071" s="13"/>
      <c r="AE5071" s="13"/>
      <c r="AF5071" s="13"/>
    </row>
    <row r="5072" spans="19:32" x14ac:dyDescent="0.35">
      <c r="S5072" s="13"/>
      <c r="T5072" s="16"/>
      <c r="U5072" s="16"/>
      <c r="V5072" s="16"/>
      <c r="W5072" s="13"/>
      <c r="X5072" s="34">
        <v>5068</v>
      </c>
      <c r="Y5072" s="34" t="s">
        <v>2248</v>
      </c>
      <c r="Z5072" s="34" t="s">
        <v>3961</v>
      </c>
      <c r="AA5072" s="35">
        <v>5.8608870967741949E-4</v>
      </c>
      <c r="AB5072" s="13"/>
      <c r="AC5072" s="13"/>
      <c r="AD5072" s="13"/>
      <c r="AE5072" s="13"/>
      <c r="AF5072" s="13"/>
    </row>
    <row r="5073" spans="19:32" x14ac:dyDescent="0.35">
      <c r="S5073" s="13"/>
      <c r="T5073" s="16"/>
      <c r="U5073" s="16"/>
      <c r="V5073" s="16"/>
      <c r="W5073" s="13"/>
      <c r="X5073" s="34">
        <v>5069</v>
      </c>
      <c r="Y5073" s="34" t="s">
        <v>2248</v>
      </c>
      <c r="Z5073" s="34" t="s">
        <v>3758</v>
      </c>
      <c r="AA5073" s="35">
        <v>2.5739919354838708E-3</v>
      </c>
      <c r="AB5073" s="13"/>
      <c r="AC5073" s="13"/>
      <c r="AD5073" s="13"/>
      <c r="AE5073" s="13"/>
      <c r="AF5073" s="13"/>
    </row>
    <row r="5074" spans="19:32" x14ac:dyDescent="0.35">
      <c r="S5074" s="13"/>
      <c r="T5074" s="16"/>
      <c r="U5074" s="16"/>
      <c r="V5074" s="16"/>
      <c r="W5074" s="13"/>
      <c r="X5074" s="34">
        <v>5070</v>
      </c>
      <c r="Y5074" s="34" t="s">
        <v>2248</v>
      </c>
      <c r="Z5074" s="34" t="s">
        <v>3755</v>
      </c>
      <c r="AA5074" s="35">
        <v>6.237903225806452E-3</v>
      </c>
      <c r="AB5074" s="13"/>
      <c r="AC5074" s="13"/>
      <c r="AD5074" s="13"/>
      <c r="AE5074" s="13"/>
      <c r="AF5074" s="13"/>
    </row>
    <row r="5075" spans="19:32" x14ac:dyDescent="0.35">
      <c r="S5075" s="13"/>
      <c r="T5075" s="16"/>
      <c r="U5075" s="16"/>
      <c r="V5075" s="16"/>
      <c r="W5075" s="13"/>
      <c r="X5075" s="34">
        <v>5071</v>
      </c>
      <c r="Y5075" s="34" t="s">
        <v>2248</v>
      </c>
      <c r="Z5075" s="34" t="s">
        <v>3960</v>
      </c>
      <c r="AA5075" s="35">
        <v>6.2379032258064518E-4</v>
      </c>
      <c r="AB5075" s="13"/>
      <c r="AC5075" s="13"/>
      <c r="AD5075" s="13"/>
      <c r="AE5075" s="13"/>
      <c r="AF5075" s="13"/>
    </row>
    <row r="5076" spans="19:32" x14ac:dyDescent="0.35">
      <c r="S5076" s="13"/>
      <c r="T5076" s="16"/>
      <c r="U5076" s="16"/>
      <c r="V5076" s="16"/>
      <c r="W5076" s="13"/>
      <c r="X5076" s="34">
        <v>5072</v>
      </c>
      <c r="Y5076" s="34" t="s">
        <v>2248</v>
      </c>
      <c r="Z5076" s="34" t="s">
        <v>3753</v>
      </c>
      <c r="AA5076" s="35">
        <v>3.3862903225806455E-3</v>
      </c>
      <c r="AB5076" s="13"/>
      <c r="AC5076" s="13"/>
      <c r="AD5076" s="13"/>
      <c r="AE5076" s="13"/>
      <c r="AF5076" s="13"/>
    </row>
    <row r="5077" spans="19:32" x14ac:dyDescent="0.35">
      <c r="S5077" s="13"/>
      <c r="T5077" s="16"/>
      <c r="U5077" s="16"/>
      <c r="V5077" s="16"/>
      <c r="W5077" s="13"/>
      <c r="X5077" s="34">
        <v>5073</v>
      </c>
      <c r="Y5077" s="34" t="s">
        <v>2248</v>
      </c>
      <c r="Z5077" s="34" t="s">
        <v>3751</v>
      </c>
      <c r="AA5077" s="35">
        <v>4.010080645161291E-2</v>
      </c>
      <c r="AB5077" s="13"/>
      <c r="AC5077" s="13"/>
      <c r="AD5077" s="13"/>
      <c r="AE5077" s="13"/>
      <c r="AF5077" s="13"/>
    </row>
    <row r="5078" spans="19:32" x14ac:dyDescent="0.35">
      <c r="S5078" s="13"/>
      <c r="T5078" s="16"/>
      <c r="U5078" s="16"/>
      <c r="V5078" s="16"/>
      <c r="W5078" s="13"/>
      <c r="X5078" s="34">
        <v>5074</v>
      </c>
      <c r="Y5078" s="34" t="s">
        <v>2248</v>
      </c>
      <c r="Z5078" s="34" t="s">
        <v>3959</v>
      </c>
      <c r="AA5078" s="35">
        <v>4.318548387096775E-3</v>
      </c>
      <c r="AB5078" s="13"/>
      <c r="AC5078" s="13"/>
      <c r="AD5078" s="13"/>
      <c r="AE5078" s="13"/>
      <c r="AF5078" s="13"/>
    </row>
    <row r="5079" spans="19:32" x14ac:dyDescent="0.35">
      <c r="S5079" s="13"/>
      <c r="T5079" s="16"/>
      <c r="U5079" s="16"/>
      <c r="V5079" s="16"/>
      <c r="W5079" s="13"/>
      <c r="X5079" s="34">
        <v>5075</v>
      </c>
      <c r="Y5079" s="34" t="s">
        <v>2248</v>
      </c>
      <c r="Z5079" s="34" t="s">
        <v>3747</v>
      </c>
      <c r="AA5079" s="35">
        <v>1.6280241935483872E-2</v>
      </c>
      <c r="AB5079" s="13"/>
      <c r="AC5079" s="13"/>
      <c r="AD5079" s="13"/>
      <c r="AE5079" s="13"/>
      <c r="AF5079" s="13"/>
    </row>
    <row r="5080" spans="19:32" x14ac:dyDescent="0.35">
      <c r="S5080" s="13"/>
      <c r="T5080" s="16"/>
      <c r="U5080" s="16"/>
      <c r="V5080" s="16"/>
      <c r="W5080" s="13"/>
      <c r="X5080" s="34">
        <v>5076</v>
      </c>
      <c r="Y5080" s="34" t="s">
        <v>2248</v>
      </c>
      <c r="Z5080" s="34" t="s">
        <v>3099</v>
      </c>
      <c r="AA5080" s="35">
        <v>4.558467741935484E-2</v>
      </c>
      <c r="AB5080" s="13"/>
      <c r="AC5080" s="13"/>
      <c r="AD5080" s="13"/>
      <c r="AE5080" s="13"/>
      <c r="AF5080" s="13"/>
    </row>
    <row r="5081" spans="19:32" x14ac:dyDescent="0.35">
      <c r="S5081" s="13"/>
      <c r="T5081" s="16"/>
      <c r="U5081" s="16"/>
      <c r="V5081" s="16"/>
      <c r="W5081" s="13"/>
      <c r="X5081" s="34">
        <v>5077</v>
      </c>
      <c r="Y5081" s="34" t="s">
        <v>2248</v>
      </c>
      <c r="Z5081" s="34" t="s">
        <v>3745</v>
      </c>
      <c r="AA5081" s="35">
        <v>7.8145161290322585E-4</v>
      </c>
      <c r="AB5081" s="13"/>
      <c r="AC5081" s="13"/>
      <c r="AD5081" s="13"/>
      <c r="AE5081" s="13"/>
      <c r="AF5081" s="13"/>
    </row>
    <row r="5082" spans="19:32" x14ac:dyDescent="0.35">
      <c r="S5082" s="13"/>
      <c r="T5082" s="16"/>
      <c r="U5082" s="16"/>
      <c r="V5082" s="16"/>
      <c r="W5082" s="13"/>
      <c r="X5082" s="34">
        <v>5078</v>
      </c>
      <c r="Y5082" s="34" t="s">
        <v>2248</v>
      </c>
      <c r="Z5082" s="34" t="s">
        <v>3958</v>
      </c>
      <c r="AA5082" s="35">
        <v>1.8816532258064517E-3</v>
      </c>
      <c r="AB5082" s="13"/>
      <c r="AC5082" s="13"/>
      <c r="AD5082" s="13"/>
      <c r="AE5082" s="13"/>
      <c r="AF5082" s="13"/>
    </row>
    <row r="5083" spans="19:32" x14ac:dyDescent="0.35">
      <c r="S5083" s="13"/>
      <c r="T5083" s="16"/>
      <c r="U5083" s="16"/>
      <c r="V5083" s="16"/>
      <c r="W5083" s="13"/>
      <c r="X5083" s="34">
        <v>5079</v>
      </c>
      <c r="Y5083" s="34" t="s">
        <v>2248</v>
      </c>
      <c r="Z5083" s="34" t="s">
        <v>3957</v>
      </c>
      <c r="AA5083" s="35">
        <v>1.2338709677419357E-2</v>
      </c>
      <c r="AB5083" s="13"/>
      <c r="AC5083" s="13"/>
      <c r="AD5083" s="13"/>
      <c r="AE5083" s="13"/>
      <c r="AF5083" s="13"/>
    </row>
    <row r="5084" spans="19:32" x14ac:dyDescent="0.35">
      <c r="S5084" s="13"/>
      <c r="T5084" s="16"/>
      <c r="U5084" s="16"/>
      <c r="V5084" s="16"/>
      <c r="W5084" s="13"/>
      <c r="X5084" s="34">
        <v>5080</v>
      </c>
      <c r="Y5084" s="34" t="s">
        <v>2248</v>
      </c>
      <c r="Z5084" s="34" t="s">
        <v>3743</v>
      </c>
      <c r="AA5084" s="35">
        <v>2.423185483870968E-3</v>
      </c>
      <c r="AB5084" s="13"/>
      <c r="AC5084" s="13"/>
      <c r="AD5084" s="13"/>
      <c r="AE5084" s="13"/>
      <c r="AF5084" s="13"/>
    </row>
    <row r="5085" spans="19:32" x14ac:dyDescent="0.35">
      <c r="S5085" s="13"/>
      <c r="T5085" s="16"/>
      <c r="U5085" s="16"/>
      <c r="V5085" s="16"/>
      <c r="W5085" s="13"/>
      <c r="X5085" s="34">
        <v>5081</v>
      </c>
      <c r="Y5085" s="34" t="s">
        <v>2248</v>
      </c>
      <c r="Z5085" s="34" t="s">
        <v>3956</v>
      </c>
      <c r="AA5085" s="35">
        <v>1.6965725806451615E-2</v>
      </c>
      <c r="AB5085" s="13"/>
      <c r="AC5085" s="13"/>
      <c r="AD5085" s="13"/>
      <c r="AE5085" s="13"/>
      <c r="AF5085" s="13"/>
    </row>
    <row r="5086" spans="19:32" x14ac:dyDescent="0.35">
      <c r="S5086" s="13"/>
      <c r="T5086" s="16"/>
      <c r="U5086" s="16"/>
      <c r="V5086" s="16"/>
      <c r="W5086" s="13"/>
      <c r="X5086" s="34">
        <v>5082</v>
      </c>
      <c r="Y5086" s="34" t="s">
        <v>2248</v>
      </c>
      <c r="Z5086" s="34" t="s">
        <v>3955</v>
      </c>
      <c r="AA5086" s="35">
        <v>0.14018145161290324</v>
      </c>
      <c r="AB5086" s="13"/>
      <c r="AC5086" s="13"/>
      <c r="AD5086" s="13"/>
      <c r="AE5086" s="13"/>
      <c r="AF5086" s="13"/>
    </row>
    <row r="5087" spans="19:32" x14ac:dyDescent="0.35">
      <c r="S5087" s="13"/>
      <c r="T5087" s="16"/>
      <c r="U5087" s="16"/>
      <c r="V5087" s="16"/>
      <c r="W5087" s="13"/>
      <c r="X5087" s="34">
        <v>5083</v>
      </c>
      <c r="Y5087" s="34" t="s">
        <v>2248</v>
      </c>
      <c r="Z5087" s="34" t="s">
        <v>3741</v>
      </c>
      <c r="AA5087" s="35">
        <v>0.2316935483870968</v>
      </c>
      <c r="AB5087" s="13"/>
      <c r="AC5087" s="13"/>
      <c r="AD5087" s="13"/>
      <c r="AE5087" s="13"/>
      <c r="AF5087" s="13"/>
    </row>
    <row r="5088" spans="19:32" x14ac:dyDescent="0.35">
      <c r="S5088" s="13"/>
      <c r="T5088" s="16"/>
      <c r="U5088" s="16"/>
      <c r="V5088" s="16"/>
      <c r="W5088" s="13"/>
      <c r="X5088" s="34">
        <v>5084</v>
      </c>
      <c r="Y5088" s="34" t="s">
        <v>2248</v>
      </c>
      <c r="Z5088" s="34" t="s">
        <v>3954</v>
      </c>
      <c r="AA5088" s="35">
        <v>8.5685483870967744E-4</v>
      </c>
      <c r="AB5088" s="13"/>
      <c r="AC5088" s="13"/>
      <c r="AD5088" s="13"/>
      <c r="AE5088" s="13"/>
      <c r="AF5088" s="13"/>
    </row>
    <row r="5089" spans="19:32" x14ac:dyDescent="0.35">
      <c r="S5089" s="13"/>
      <c r="T5089" s="16"/>
      <c r="U5089" s="16"/>
      <c r="V5089" s="16"/>
      <c r="W5089" s="13"/>
      <c r="X5089" s="34">
        <v>5085</v>
      </c>
      <c r="Y5089" s="34" t="s">
        <v>2248</v>
      </c>
      <c r="Z5089" s="34" t="s">
        <v>3739</v>
      </c>
      <c r="AA5089" s="35">
        <v>2.423185483870968E-3</v>
      </c>
      <c r="AB5089" s="13"/>
      <c r="AC5089" s="13"/>
      <c r="AD5089" s="13"/>
      <c r="AE5089" s="13"/>
      <c r="AF5089" s="13"/>
    </row>
    <row r="5090" spans="19:32" x14ac:dyDescent="0.35">
      <c r="S5090" s="13"/>
      <c r="T5090" s="16"/>
      <c r="U5090" s="16"/>
      <c r="V5090" s="16"/>
      <c r="W5090" s="13"/>
      <c r="X5090" s="34">
        <v>5086</v>
      </c>
      <c r="Y5090" s="34" t="s">
        <v>2248</v>
      </c>
      <c r="Z5090" s="34" t="s">
        <v>3953</v>
      </c>
      <c r="AA5090" s="35">
        <v>2.0153225806451612E-3</v>
      </c>
      <c r="AB5090" s="13"/>
      <c r="AC5090" s="13"/>
      <c r="AD5090" s="13"/>
      <c r="AE5090" s="13"/>
      <c r="AF5090" s="13"/>
    </row>
    <row r="5091" spans="19:32" x14ac:dyDescent="0.35">
      <c r="S5091" s="13"/>
      <c r="T5091" s="16"/>
      <c r="U5091" s="16"/>
      <c r="V5091" s="16"/>
      <c r="W5091" s="13"/>
      <c r="X5091" s="34">
        <v>5087</v>
      </c>
      <c r="Y5091" s="34" t="s">
        <v>2248</v>
      </c>
      <c r="Z5091" s="34" t="s">
        <v>3952</v>
      </c>
      <c r="AA5091" s="35">
        <v>0.49354838709677423</v>
      </c>
      <c r="AB5091" s="13"/>
      <c r="AC5091" s="13"/>
      <c r="AD5091" s="13"/>
      <c r="AE5091" s="13"/>
      <c r="AF5091" s="13"/>
    </row>
    <row r="5092" spans="19:32" x14ac:dyDescent="0.35">
      <c r="S5092" s="13"/>
      <c r="T5092" s="16"/>
      <c r="U5092" s="16"/>
      <c r="V5092" s="16"/>
      <c r="W5092" s="13"/>
      <c r="X5092" s="34">
        <v>5088</v>
      </c>
      <c r="Y5092" s="34" t="s">
        <v>2248</v>
      </c>
      <c r="Z5092" s="34" t="s">
        <v>3737</v>
      </c>
      <c r="AA5092" s="35">
        <v>5.2096774193548391E-2</v>
      </c>
      <c r="AB5092" s="13"/>
      <c r="AC5092" s="13"/>
      <c r="AD5092" s="13"/>
      <c r="AE5092" s="13"/>
      <c r="AF5092" s="13"/>
    </row>
    <row r="5093" spans="19:32" x14ac:dyDescent="0.35">
      <c r="S5093" s="13"/>
      <c r="T5093" s="16"/>
      <c r="U5093" s="16"/>
      <c r="V5093" s="16"/>
      <c r="W5093" s="13"/>
      <c r="X5093" s="34">
        <v>5089</v>
      </c>
      <c r="Y5093" s="34" t="s">
        <v>2248</v>
      </c>
      <c r="Z5093" s="34" t="s">
        <v>3951</v>
      </c>
      <c r="AA5093" s="35">
        <v>1.1756048387096775E-2</v>
      </c>
      <c r="AB5093" s="13"/>
      <c r="AC5093" s="13"/>
      <c r="AD5093" s="13"/>
      <c r="AE5093" s="13"/>
      <c r="AF5093" s="13"/>
    </row>
    <row r="5094" spans="19:32" x14ac:dyDescent="0.35">
      <c r="S5094" s="13"/>
      <c r="T5094" s="16"/>
      <c r="U5094" s="16"/>
      <c r="V5094" s="16"/>
      <c r="W5094" s="13"/>
      <c r="X5094" s="34">
        <v>5090</v>
      </c>
      <c r="Y5094" s="34" t="s">
        <v>2248</v>
      </c>
      <c r="Z5094" s="34" t="s">
        <v>3950</v>
      </c>
      <c r="AA5094" s="35">
        <v>7.4032258064516136E-4</v>
      </c>
      <c r="AB5094" s="13"/>
      <c r="AC5094" s="13"/>
      <c r="AD5094" s="13"/>
      <c r="AE5094" s="13"/>
      <c r="AF5094" s="13"/>
    </row>
    <row r="5095" spans="19:32" x14ac:dyDescent="0.35">
      <c r="S5095" s="13"/>
      <c r="T5095" s="16"/>
      <c r="U5095" s="16"/>
      <c r="V5095" s="16"/>
      <c r="W5095" s="13"/>
      <c r="X5095" s="34">
        <v>5091</v>
      </c>
      <c r="Y5095" s="34" t="s">
        <v>2248</v>
      </c>
      <c r="Z5095" s="34" t="s">
        <v>2296</v>
      </c>
      <c r="AA5095" s="35">
        <v>8.2258064516129036E-5</v>
      </c>
      <c r="AB5095" s="13"/>
      <c r="AC5095" s="13"/>
      <c r="AD5095" s="13"/>
      <c r="AE5095" s="13"/>
      <c r="AF5095" s="13"/>
    </row>
    <row r="5096" spans="19:32" x14ac:dyDescent="0.35">
      <c r="S5096" s="13"/>
      <c r="T5096" s="16"/>
      <c r="U5096" s="16"/>
      <c r="V5096" s="16"/>
      <c r="W5096" s="13"/>
      <c r="X5096" s="34">
        <v>5092</v>
      </c>
      <c r="Y5096" s="34" t="s">
        <v>2248</v>
      </c>
      <c r="Z5096" s="34" t="s">
        <v>3949</v>
      </c>
      <c r="AA5096" s="35">
        <v>4.9697580645161293E-4</v>
      </c>
      <c r="AB5096" s="13"/>
      <c r="AC5096" s="13"/>
      <c r="AD5096" s="13"/>
      <c r="AE5096" s="13"/>
      <c r="AF5096" s="13"/>
    </row>
    <row r="5097" spans="19:32" x14ac:dyDescent="0.35">
      <c r="S5097" s="13"/>
      <c r="T5097" s="16"/>
      <c r="U5097" s="16"/>
      <c r="V5097" s="16"/>
      <c r="W5097" s="13"/>
      <c r="X5097" s="47">
        <v>5093</v>
      </c>
      <c r="Y5097" s="47" t="s">
        <v>2248</v>
      </c>
      <c r="Z5097" s="47" t="s">
        <v>2389</v>
      </c>
      <c r="AA5097" s="56">
        <v>26.771999999999998</v>
      </c>
      <c r="AB5097" s="13"/>
      <c r="AC5097" s="13"/>
      <c r="AD5097" s="13"/>
      <c r="AE5097" s="13"/>
      <c r="AF5097" s="13"/>
    </row>
    <row r="5098" spans="19:32" x14ac:dyDescent="0.35">
      <c r="S5098" s="13"/>
      <c r="T5098" s="16"/>
      <c r="U5098" s="16"/>
      <c r="V5098" s="16"/>
      <c r="W5098" s="13"/>
      <c r="X5098" s="34">
        <v>5094</v>
      </c>
      <c r="Y5098" s="34" t="s">
        <v>2248</v>
      </c>
      <c r="Z5098" s="34" t="s">
        <v>3734</v>
      </c>
      <c r="AA5098" s="35">
        <v>8.1229838709677424E-5</v>
      </c>
      <c r="AB5098" s="13"/>
      <c r="AC5098" s="13"/>
      <c r="AD5098" s="13"/>
      <c r="AE5098" s="13"/>
      <c r="AF5098" s="13"/>
    </row>
    <row r="5099" spans="19:32" x14ac:dyDescent="0.35">
      <c r="S5099" s="13"/>
      <c r="T5099" s="16"/>
      <c r="U5099" s="16"/>
      <c r="V5099" s="16"/>
      <c r="W5099" s="13"/>
      <c r="X5099" s="34">
        <v>5095</v>
      </c>
      <c r="Y5099" s="34" t="s">
        <v>2248</v>
      </c>
      <c r="Z5099" s="34" t="s">
        <v>2389</v>
      </c>
      <c r="AA5099" s="35">
        <v>1.5766129032258065</v>
      </c>
      <c r="AB5099" s="13"/>
      <c r="AC5099" s="13"/>
      <c r="AD5099" s="13"/>
      <c r="AE5099" s="13"/>
      <c r="AF5099" s="13"/>
    </row>
    <row r="5100" spans="19:32" x14ac:dyDescent="0.35">
      <c r="S5100" s="13"/>
      <c r="T5100" s="16"/>
      <c r="U5100" s="16"/>
      <c r="V5100" s="16"/>
      <c r="W5100" s="13"/>
      <c r="X5100" s="34">
        <v>5096</v>
      </c>
      <c r="Y5100" s="34" t="s">
        <v>2248</v>
      </c>
      <c r="Z5100" s="34" t="s">
        <v>3732</v>
      </c>
      <c r="AA5100" s="35">
        <v>0.5175403225806452</v>
      </c>
      <c r="AB5100" s="13"/>
      <c r="AC5100" s="13"/>
      <c r="AD5100" s="13"/>
      <c r="AE5100" s="13"/>
      <c r="AF5100" s="13"/>
    </row>
    <row r="5101" spans="19:32" x14ac:dyDescent="0.35">
      <c r="S5101" s="13"/>
      <c r="T5101" s="16"/>
      <c r="U5101" s="16"/>
      <c r="V5101" s="16"/>
      <c r="W5101" s="13"/>
      <c r="X5101" s="34">
        <v>5097</v>
      </c>
      <c r="Y5101" s="34" t="s">
        <v>2248</v>
      </c>
      <c r="Z5101" s="34" t="s">
        <v>3948</v>
      </c>
      <c r="AA5101" s="35">
        <v>9.3911290322580651E-2</v>
      </c>
      <c r="AB5101" s="13"/>
      <c r="AC5101" s="13"/>
      <c r="AD5101" s="13"/>
      <c r="AE5101" s="13"/>
      <c r="AF5101" s="13"/>
    </row>
    <row r="5102" spans="19:32" x14ac:dyDescent="0.35">
      <c r="S5102" s="13"/>
      <c r="T5102" s="16"/>
      <c r="U5102" s="16"/>
      <c r="V5102" s="16"/>
      <c r="W5102" s="13"/>
      <c r="X5102" s="34">
        <v>5098</v>
      </c>
      <c r="Y5102" s="34" t="s">
        <v>2248</v>
      </c>
      <c r="Z5102" s="34" t="s">
        <v>3097</v>
      </c>
      <c r="AA5102" s="35">
        <v>22.963709677419356</v>
      </c>
      <c r="AB5102" s="13"/>
      <c r="AC5102" s="13"/>
      <c r="AD5102" s="13"/>
      <c r="AE5102" s="13"/>
      <c r="AF5102" s="13"/>
    </row>
    <row r="5103" spans="19:32" x14ac:dyDescent="0.35">
      <c r="S5103" s="13"/>
      <c r="T5103" s="16"/>
      <c r="U5103" s="16"/>
      <c r="V5103" s="16"/>
      <c r="W5103" s="13"/>
      <c r="X5103" s="34">
        <v>5099</v>
      </c>
      <c r="Y5103" s="34" t="s">
        <v>2248</v>
      </c>
      <c r="Z5103" s="34" t="s">
        <v>3731</v>
      </c>
      <c r="AA5103" s="35">
        <v>4.5584677419354845E-3</v>
      </c>
      <c r="AB5103" s="13"/>
      <c r="AC5103" s="13"/>
      <c r="AD5103" s="13"/>
      <c r="AE5103" s="13"/>
      <c r="AF5103" s="13"/>
    </row>
    <row r="5104" spans="19:32" x14ac:dyDescent="0.35">
      <c r="S5104" s="13"/>
      <c r="T5104" s="16"/>
      <c r="U5104" s="16"/>
      <c r="V5104" s="16"/>
      <c r="W5104" s="13"/>
      <c r="X5104" s="47">
        <v>5100</v>
      </c>
      <c r="Y5104" s="47" t="s">
        <v>2248</v>
      </c>
      <c r="Z5104" s="47" t="s">
        <v>2387</v>
      </c>
      <c r="AA5104" s="56">
        <v>0</v>
      </c>
      <c r="AB5104" s="13"/>
      <c r="AC5104" s="13"/>
      <c r="AD5104" s="13"/>
      <c r="AE5104" s="13"/>
      <c r="AF5104" s="13"/>
    </row>
    <row r="5105" spans="19:32" x14ac:dyDescent="0.35">
      <c r="S5105" s="13"/>
      <c r="T5105" s="16"/>
      <c r="U5105" s="16"/>
      <c r="V5105" s="16"/>
      <c r="W5105" s="13"/>
      <c r="X5105" s="34">
        <v>5101</v>
      </c>
      <c r="Y5105" s="34" t="s">
        <v>2248</v>
      </c>
      <c r="Z5105" s="34" t="s">
        <v>2387</v>
      </c>
      <c r="AA5105" s="35">
        <v>3.564516129032258E-2</v>
      </c>
      <c r="AB5105" s="13"/>
      <c r="AC5105" s="13"/>
      <c r="AD5105" s="13"/>
      <c r="AE5105" s="13"/>
      <c r="AF5105" s="13"/>
    </row>
    <row r="5106" spans="19:32" x14ac:dyDescent="0.35">
      <c r="S5106" s="13"/>
      <c r="T5106" s="16"/>
      <c r="U5106" s="16"/>
      <c r="V5106" s="16"/>
      <c r="W5106" s="13"/>
      <c r="X5106" s="34">
        <v>5102</v>
      </c>
      <c r="Y5106" s="34" t="s">
        <v>2248</v>
      </c>
      <c r="Z5106" s="34" t="s">
        <v>3947</v>
      </c>
      <c r="AA5106" s="35">
        <v>2.0050403225806452E-4</v>
      </c>
      <c r="AB5106" s="13"/>
      <c r="AC5106" s="13"/>
      <c r="AD5106" s="13"/>
      <c r="AE5106" s="13"/>
      <c r="AF5106" s="13"/>
    </row>
    <row r="5107" spans="19:32" x14ac:dyDescent="0.35">
      <c r="S5107" s="13"/>
      <c r="T5107" s="16"/>
      <c r="U5107" s="16"/>
      <c r="V5107" s="16"/>
      <c r="W5107" s="13"/>
      <c r="X5107" s="34">
        <v>5103</v>
      </c>
      <c r="Y5107" s="34" t="s">
        <v>2248</v>
      </c>
      <c r="Z5107" s="34" t="s">
        <v>2294</v>
      </c>
      <c r="AA5107" s="35">
        <v>0.16554435483870969</v>
      </c>
      <c r="AB5107" s="13"/>
      <c r="AC5107" s="13"/>
      <c r="AD5107" s="13"/>
      <c r="AE5107" s="13"/>
      <c r="AF5107" s="13"/>
    </row>
    <row r="5108" spans="19:32" x14ac:dyDescent="0.35">
      <c r="S5108" s="13"/>
      <c r="T5108" s="16"/>
      <c r="U5108" s="16"/>
      <c r="V5108" s="16"/>
      <c r="W5108" s="13"/>
      <c r="X5108" s="34">
        <v>5104</v>
      </c>
      <c r="Y5108" s="34" t="s">
        <v>2248</v>
      </c>
      <c r="Z5108" s="34" t="s">
        <v>3946</v>
      </c>
      <c r="AA5108" s="35">
        <v>1.583467741935484E-4</v>
      </c>
      <c r="AB5108" s="13"/>
      <c r="AC5108" s="13"/>
      <c r="AD5108" s="13"/>
      <c r="AE5108" s="13"/>
      <c r="AF5108" s="13"/>
    </row>
    <row r="5109" spans="19:32" x14ac:dyDescent="0.35">
      <c r="S5109" s="13"/>
      <c r="T5109" s="16"/>
      <c r="U5109" s="16"/>
      <c r="V5109" s="16"/>
      <c r="W5109" s="13"/>
      <c r="X5109" s="34">
        <v>5105</v>
      </c>
      <c r="Y5109" s="34" t="s">
        <v>2248</v>
      </c>
      <c r="Z5109" s="34" t="s">
        <v>3726</v>
      </c>
      <c r="AA5109" s="35">
        <v>3.3040322580645166E-4</v>
      </c>
      <c r="AB5109" s="13"/>
      <c r="AC5109" s="13"/>
      <c r="AD5109" s="13"/>
      <c r="AE5109" s="13"/>
      <c r="AF5109" s="13"/>
    </row>
    <row r="5110" spans="19:32" x14ac:dyDescent="0.35">
      <c r="S5110" s="13"/>
      <c r="T5110" s="16"/>
      <c r="U5110" s="16"/>
      <c r="V5110" s="16"/>
      <c r="W5110" s="13"/>
      <c r="X5110" s="47">
        <v>5106</v>
      </c>
      <c r="Y5110" s="47" t="s">
        <v>2248</v>
      </c>
      <c r="Z5110" s="47" t="s">
        <v>2385</v>
      </c>
      <c r="AA5110" s="56">
        <v>0</v>
      </c>
      <c r="AB5110" s="13"/>
      <c r="AC5110" s="13"/>
      <c r="AD5110" s="13"/>
      <c r="AE5110" s="13"/>
      <c r="AF5110" s="13"/>
    </row>
    <row r="5111" spans="19:32" x14ac:dyDescent="0.35">
      <c r="S5111" s="13"/>
      <c r="T5111" s="16"/>
      <c r="U5111" s="16"/>
      <c r="V5111" s="16"/>
      <c r="W5111" s="13"/>
      <c r="X5111" s="34">
        <v>5107</v>
      </c>
      <c r="Y5111" s="34" t="s">
        <v>2248</v>
      </c>
      <c r="Z5111" s="34" t="s">
        <v>3945</v>
      </c>
      <c r="AA5111" s="35">
        <v>38.04435483870968</v>
      </c>
      <c r="AB5111" s="13"/>
      <c r="AC5111" s="13"/>
      <c r="AD5111" s="13"/>
      <c r="AE5111" s="13"/>
      <c r="AF5111" s="13"/>
    </row>
    <row r="5112" spans="19:32" x14ac:dyDescent="0.35">
      <c r="S5112" s="13"/>
      <c r="T5112" s="16"/>
      <c r="U5112" s="16"/>
      <c r="V5112" s="16"/>
      <c r="W5112" s="13"/>
      <c r="X5112" s="34">
        <v>5108</v>
      </c>
      <c r="Y5112" s="34" t="s">
        <v>2248</v>
      </c>
      <c r="Z5112" s="34" t="s">
        <v>2385</v>
      </c>
      <c r="AA5112" s="35">
        <v>9.8709677419354843E-5</v>
      </c>
      <c r="AB5112" s="13"/>
      <c r="AC5112" s="13"/>
      <c r="AD5112" s="13"/>
      <c r="AE5112" s="13"/>
      <c r="AF5112" s="13"/>
    </row>
    <row r="5113" spans="19:32" x14ac:dyDescent="0.35">
      <c r="S5113" s="13"/>
      <c r="T5113" s="16"/>
      <c r="U5113" s="16"/>
      <c r="V5113" s="16"/>
      <c r="W5113" s="13"/>
      <c r="X5113" s="34">
        <v>5109</v>
      </c>
      <c r="Y5113" s="34" t="s">
        <v>2248</v>
      </c>
      <c r="Z5113" s="34" t="s">
        <v>2293</v>
      </c>
      <c r="AA5113" s="35">
        <v>0.42157258064516134</v>
      </c>
      <c r="AB5113" s="13"/>
      <c r="AC5113" s="13"/>
      <c r="AD5113" s="13"/>
      <c r="AE5113" s="13"/>
      <c r="AF5113" s="13"/>
    </row>
    <row r="5114" spans="19:32" x14ac:dyDescent="0.35">
      <c r="S5114" s="13"/>
      <c r="T5114" s="16"/>
      <c r="U5114" s="16"/>
      <c r="V5114" s="16"/>
      <c r="W5114" s="13"/>
      <c r="X5114" s="34">
        <v>5110</v>
      </c>
      <c r="Y5114" s="34" t="s">
        <v>2248</v>
      </c>
      <c r="Z5114" s="34" t="s">
        <v>3944</v>
      </c>
      <c r="AA5114" s="35">
        <v>1.5046370967741936E-4</v>
      </c>
      <c r="AB5114" s="13"/>
      <c r="AC5114" s="13"/>
      <c r="AD5114" s="13"/>
      <c r="AE5114" s="13"/>
      <c r="AF5114" s="13"/>
    </row>
    <row r="5115" spans="19:32" x14ac:dyDescent="0.35">
      <c r="S5115" s="13"/>
      <c r="T5115" s="16"/>
      <c r="U5115" s="16"/>
      <c r="V5115" s="16"/>
      <c r="W5115" s="13"/>
      <c r="X5115" s="34">
        <v>5111</v>
      </c>
      <c r="Y5115" s="34" t="s">
        <v>2248</v>
      </c>
      <c r="Z5115" s="34" t="s">
        <v>2291</v>
      </c>
      <c r="AA5115" s="35">
        <v>2.385483870967742E-4</v>
      </c>
      <c r="AB5115" s="13"/>
      <c r="AC5115" s="13"/>
      <c r="AD5115" s="13"/>
      <c r="AE5115" s="13"/>
      <c r="AF5115" s="13"/>
    </row>
    <row r="5116" spans="19:32" x14ac:dyDescent="0.35">
      <c r="S5116" s="13"/>
      <c r="T5116" s="16"/>
      <c r="U5116" s="16"/>
      <c r="V5116" s="16"/>
      <c r="W5116" s="13"/>
      <c r="X5116" s="47">
        <v>5112</v>
      </c>
      <c r="Y5116" s="47" t="s">
        <v>2248</v>
      </c>
      <c r="Z5116" s="47" t="s">
        <v>2384</v>
      </c>
      <c r="AA5116" s="56">
        <v>0</v>
      </c>
      <c r="AB5116" s="13"/>
      <c r="AC5116" s="13"/>
      <c r="AD5116" s="13"/>
      <c r="AE5116" s="13"/>
      <c r="AF5116" s="13"/>
    </row>
    <row r="5117" spans="19:32" x14ac:dyDescent="0.35">
      <c r="S5117" s="13"/>
      <c r="T5117" s="16"/>
      <c r="U5117" s="16"/>
      <c r="V5117" s="16"/>
      <c r="W5117" s="13"/>
      <c r="X5117" s="34">
        <v>5113</v>
      </c>
      <c r="Y5117" s="34" t="s">
        <v>2248</v>
      </c>
      <c r="Z5117" s="34" t="s">
        <v>3092</v>
      </c>
      <c r="AA5117" s="35">
        <v>1.9399193548387099E-3</v>
      </c>
      <c r="AB5117" s="13"/>
      <c r="AC5117" s="13"/>
      <c r="AD5117" s="13"/>
      <c r="AE5117" s="13"/>
      <c r="AF5117" s="13"/>
    </row>
    <row r="5118" spans="19:32" x14ac:dyDescent="0.35">
      <c r="S5118" s="13"/>
      <c r="T5118" s="16"/>
      <c r="U5118" s="16"/>
      <c r="V5118" s="16"/>
      <c r="W5118" s="13"/>
      <c r="X5118" s="34">
        <v>5114</v>
      </c>
      <c r="Y5118" s="34" t="s">
        <v>2248</v>
      </c>
      <c r="Z5118" s="34" t="s">
        <v>3720</v>
      </c>
      <c r="AA5118" s="35">
        <v>7.3004032258064519E-4</v>
      </c>
      <c r="AB5118" s="13"/>
      <c r="AC5118" s="13"/>
      <c r="AD5118" s="13"/>
      <c r="AE5118" s="13"/>
      <c r="AF5118" s="13"/>
    </row>
    <row r="5119" spans="19:32" x14ac:dyDescent="0.35">
      <c r="S5119" s="13"/>
      <c r="T5119" s="16"/>
      <c r="U5119" s="16"/>
      <c r="V5119" s="16"/>
      <c r="W5119" s="13"/>
      <c r="X5119" s="34">
        <v>5115</v>
      </c>
      <c r="Y5119" s="34" t="s">
        <v>2248</v>
      </c>
      <c r="Z5119" s="34" t="s">
        <v>3943</v>
      </c>
      <c r="AA5119" s="35">
        <v>8.2258064516129036E-6</v>
      </c>
      <c r="AB5119" s="13"/>
      <c r="AC5119" s="13"/>
      <c r="AD5119" s="13"/>
      <c r="AE5119" s="13"/>
      <c r="AF5119" s="13"/>
    </row>
    <row r="5120" spans="19:32" x14ac:dyDescent="0.35">
      <c r="S5120" s="13"/>
      <c r="T5120" s="16"/>
      <c r="U5120" s="16"/>
      <c r="V5120" s="16"/>
      <c r="W5120" s="13"/>
      <c r="X5120" s="34">
        <v>5116</v>
      </c>
      <c r="Y5120" s="34" t="s">
        <v>2248</v>
      </c>
      <c r="Z5120" s="34" t="s">
        <v>3717</v>
      </c>
      <c r="AA5120" s="35">
        <v>7.1975806451612912E-4</v>
      </c>
      <c r="AB5120" s="13"/>
      <c r="AC5120" s="13"/>
      <c r="AD5120" s="13"/>
      <c r="AE5120" s="13"/>
      <c r="AF5120" s="13"/>
    </row>
    <row r="5121" spans="19:32" x14ac:dyDescent="0.35">
      <c r="S5121" s="13"/>
      <c r="T5121" s="16"/>
      <c r="U5121" s="16"/>
      <c r="V5121" s="16"/>
      <c r="W5121" s="13"/>
      <c r="X5121" s="34">
        <v>5117</v>
      </c>
      <c r="Y5121" s="34" t="s">
        <v>2248</v>
      </c>
      <c r="Z5121" s="34" t="s">
        <v>3942</v>
      </c>
      <c r="AA5121" s="35">
        <v>3.7358870967741938E-2</v>
      </c>
      <c r="AB5121" s="13"/>
      <c r="AC5121" s="13"/>
      <c r="AD5121" s="13"/>
      <c r="AE5121" s="13"/>
      <c r="AF5121" s="13"/>
    </row>
    <row r="5122" spans="19:32" x14ac:dyDescent="0.35">
      <c r="S5122" s="13"/>
      <c r="T5122" s="16"/>
      <c r="U5122" s="16"/>
      <c r="V5122" s="16"/>
      <c r="W5122" s="13"/>
      <c r="X5122" s="47">
        <v>5118</v>
      </c>
      <c r="Y5122" s="47" t="s">
        <v>2248</v>
      </c>
      <c r="Z5122" s="47" t="s">
        <v>2382</v>
      </c>
      <c r="AA5122" s="56">
        <v>0.12787999999999999</v>
      </c>
      <c r="AB5122" s="13"/>
      <c r="AC5122" s="13"/>
      <c r="AD5122" s="13"/>
      <c r="AE5122" s="13"/>
      <c r="AF5122" s="13"/>
    </row>
    <row r="5123" spans="19:32" x14ac:dyDescent="0.35">
      <c r="S5123" s="13"/>
      <c r="T5123" s="16"/>
      <c r="U5123" s="16"/>
      <c r="V5123" s="16"/>
      <c r="W5123" s="13"/>
      <c r="X5123" s="34">
        <v>5119</v>
      </c>
      <c r="Y5123" s="34" t="s">
        <v>2248</v>
      </c>
      <c r="Z5123" s="34" t="s">
        <v>2382</v>
      </c>
      <c r="AA5123" s="35">
        <v>2.3649193548387095E-5</v>
      </c>
      <c r="AB5123" s="13"/>
      <c r="AC5123" s="13"/>
      <c r="AD5123" s="13"/>
      <c r="AE5123" s="13"/>
      <c r="AF5123" s="13"/>
    </row>
    <row r="5124" spans="19:32" x14ac:dyDescent="0.35">
      <c r="S5124" s="13"/>
      <c r="T5124" s="16"/>
      <c r="U5124" s="16"/>
      <c r="V5124" s="16"/>
      <c r="W5124" s="13"/>
      <c r="X5124" s="34">
        <v>5120</v>
      </c>
      <c r="Y5124" s="34" t="s">
        <v>2248</v>
      </c>
      <c r="Z5124" s="34" t="s">
        <v>3715</v>
      </c>
      <c r="AA5124" s="35">
        <v>3.0332661290322582E-2</v>
      </c>
      <c r="AB5124" s="13"/>
      <c r="AC5124" s="13"/>
      <c r="AD5124" s="13"/>
      <c r="AE5124" s="13"/>
      <c r="AF5124" s="13"/>
    </row>
    <row r="5125" spans="19:32" x14ac:dyDescent="0.35">
      <c r="S5125" s="13"/>
      <c r="T5125" s="16"/>
      <c r="U5125" s="16"/>
      <c r="V5125" s="16"/>
      <c r="W5125" s="13"/>
      <c r="X5125" s="34">
        <v>5121</v>
      </c>
      <c r="Y5125" s="34" t="s">
        <v>2248</v>
      </c>
      <c r="Z5125" s="34" t="s">
        <v>3941</v>
      </c>
      <c r="AA5125" s="35">
        <v>6.3064516129032272E-5</v>
      </c>
      <c r="AB5125" s="13"/>
      <c r="AC5125" s="13"/>
      <c r="AD5125" s="13"/>
      <c r="AE5125" s="13"/>
      <c r="AF5125" s="13"/>
    </row>
    <row r="5126" spans="19:32" x14ac:dyDescent="0.35">
      <c r="S5126" s="13"/>
      <c r="T5126" s="16"/>
      <c r="U5126" s="16"/>
      <c r="V5126" s="16"/>
      <c r="W5126" s="13"/>
      <c r="X5126" s="34">
        <v>5122</v>
      </c>
      <c r="Y5126" s="34" t="s">
        <v>2248</v>
      </c>
      <c r="Z5126" s="34" t="s">
        <v>3713</v>
      </c>
      <c r="AA5126" s="35">
        <v>3.4616935483870973E-2</v>
      </c>
      <c r="AB5126" s="13"/>
      <c r="AC5126" s="13"/>
      <c r="AD5126" s="13"/>
      <c r="AE5126" s="13"/>
      <c r="AF5126" s="13"/>
    </row>
    <row r="5127" spans="19:32" x14ac:dyDescent="0.35">
      <c r="S5127" s="13"/>
      <c r="T5127" s="16"/>
      <c r="U5127" s="16"/>
      <c r="V5127" s="16"/>
      <c r="W5127" s="13"/>
      <c r="X5127" s="47">
        <v>5123</v>
      </c>
      <c r="Y5127" s="47" t="s">
        <v>2248</v>
      </c>
      <c r="Z5127" s="47" t="s">
        <v>2381</v>
      </c>
      <c r="AA5127" s="56">
        <v>9.1079999999999998E-3</v>
      </c>
      <c r="AB5127" s="13"/>
      <c r="AC5127" s="13"/>
      <c r="AD5127" s="13"/>
      <c r="AE5127" s="13"/>
      <c r="AF5127" s="13"/>
    </row>
    <row r="5128" spans="19:32" x14ac:dyDescent="0.35">
      <c r="S5128" s="13"/>
      <c r="T5128" s="16"/>
      <c r="U5128" s="16"/>
      <c r="V5128" s="16"/>
      <c r="W5128" s="13"/>
      <c r="X5128" s="34">
        <v>5124</v>
      </c>
      <c r="Y5128" s="34" t="s">
        <v>2248</v>
      </c>
      <c r="Z5128" s="34" t="s">
        <v>2381</v>
      </c>
      <c r="AA5128" s="35">
        <v>2.1352822580645161E-5</v>
      </c>
      <c r="AB5128" s="13"/>
      <c r="AC5128" s="13"/>
      <c r="AD5128" s="13"/>
      <c r="AE5128" s="13"/>
      <c r="AF5128" s="13"/>
    </row>
    <row r="5129" spans="19:32" x14ac:dyDescent="0.35">
      <c r="S5129" s="13"/>
      <c r="T5129" s="16"/>
      <c r="U5129" s="16"/>
      <c r="V5129" s="16"/>
      <c r="W5129" s="13"/>
      <c r="X5129" s="34">
        <v>5125</v>
      </c>
      <c r="Y5129" s="34" t="s">
        <v>2248</v>
      </c>
      <c r="Z5129" s="34" t="s">
        <v>3711</v>
      </c>
      <c r="AA5129" s="35">
        <v>2.4334677419354839E-3</v>
      </c>
      <c r="AB5129" s="13"/>
      <c r="AC5129" s="13"/>
      <c r="AD5129" s="13"/>
      <c r="AE5129" s="13"/>
      <c r="AF5129" s="13"/>
    </row>
    <row r="5130" spans="19:32" x14ac:dyDescent="0.35">
      <c r="S5130" s="13"/>
      <c r="T5130" s="16"/>
      <c r="U5130" s="16"/>
      <c r="V5130" s="16"/>
      <c r="W5130" s="13"/>
      <c r="X5130" s="34">
        <v>5126</v>
      </c>
      <c r="Y5130" s="34" t="s">
        <v>2248</v>
      </c>
      <c r="Z5130" s="34" t="s">
        <v>3940</v>
      </c>
      <c r="AA5130" s="35">
        <v>9.2197580645161301E-3</v>
      </c>
      <c r="AB5130" s="13"/>
      <c r="AC5130" s="13"/>
      <c r="AD5130" s="13"/>
      <c r="AE5130" s="13"/>
      <c r="AF5130" s="13"/>
    </row>
    <row r="5131" spans="19:32" x14ac:dyDescent="0.35">
      <c r="S5131" s="13"/>
      <c r="T5131" s="16"/>
      <c r="U5131" s="16"/>
      <c r="V5131" s="16"/>
      <c r="W5131" s="13"/>
      <c r="X5131" s="34">
        <v>5127</v>
      </c>
      <c r="Y5131" s="34" t="s">
        <v>2248</v>
      </c>
      <c r="Z5131" s="34" t="s">
        <v>3939</v>
      </c>
      <c r="AA5131" s="35">
        <v>3.3965725806451611E-6</v>
      </c>
      <c r="AB5131" s="13"/>
      <c r="AC5131" s="13"/>
      <c r="AD5131" s="13"/>
      <c r="AE5131" s="13"/>
      <c r="AF5131" s="13"/>
    </row>
    <row r="5132" spans="19:32" x14ac:dyDescent="0.35">
      <c r="S5132" s="13"/>
      <c r="T5132" s="16"/>
      <c r="U5132" s="16"/>
      <c r="V5132" s="16"/>
      <c r="W5132" s="13"/>
      <c r="X5132" s="34">
        <v>5128</v>
      </c>
      <c r="Y5132" s="34" t="s">
        <v>2248</v>
      </c>
      <c r="Z5132" s="34" t="s">
        <v>3709</v>
      </c>
      <c r="AA5132" s="35">
        <v>0.26391129032258065</v>
      </c>
      <c r="AB5132" s="13"/>
      <c r="AC5132" s="13"/>
      <c r="AD5132" s="13"/>
      <c r="AE5132" s="13"/>
      <c r="AF5132" s="13"/>
    </row>
    <row r="5133" spans="19:32" x14ac:dyDescent="0.35">
      <c r="S5133" s="13"/>
      <c r="T5133" s="16"/>
      <c r="U5133" s="16"/>
      <c r="V5133" s="16"/>
      <c r="W5133" s="13"/>
      <c r="X5133" s="34">
        <v>5129</v>
      </c>
      <c r="Y5133" s="34" t="s">
        <v>2248</v>
      </c>
      <c r="Z5133" s="34" t="s">
        <v>3938</v>
      </c>
      <c r="AA5133" s="35">
        <v>7.9173387096774206E-6</v>
      </c>
      <c r="AB5133" s="13"/>
      <c r="AC5133" s="13"/>
      <c r="AD5133" s="13"/>
      <c r="AE5133" s="13"/>
      <c r="AF5133" s="13"/>
    </row>
    <row r="5134" spans="19:32" x14ac:dyDescent="0.35">
      <c r="S5134" s="13"/>
      <c r="T5134" s="16"/>
      <c r="U5134" s="16"/>
      <c r="V5134" s="16"/>
      <c r="W5134" s="13"/>
      <c r="X5134" s="34">
        <v>5130</v>
      </c>
      <c r="Y5134" s="34" t="s">
        <v>2248</v>
      </c>
      <c r="Z5134" s="34" t="s">
        <v>3707</v>
      </c>
      <c r="AA5134" s="35">
        <v>1.4875000000000001E-2</v>
      </c>
      <c r="AB5134" s="13"/>
      <c r="AC5134" s="13"/>
      <c r="AD5134" s="13"/>
      <c r="AE5134" s="13"/>
      <c r="AF5134" s="13"/>
    </row>
    <row r="5135" spans="19:32" x14ac:dyDescent="0.35">
      <c r="S5135" s="13"/>
      <c r="T5135" s="16"/>
      <c r="U5135" s="16"/>
      <c r="V5135" s="16"/>
      <c r="W5135" s="13"/>
      <c r="X5135" s="34">
        <v>5131</v>
      </c>
      <c r="Y5135" s="34" t="s">
        <v>2248</v>
      </c>
      <c r="Z5135" s="34" t="s">
        <v>3937</v>
      </c>
      <c r="AA5135" s="35">
        <v>1.3469758064516129E-4</v>
      </c>
      <c r="AB5135" s="13"/>
      <c r="AC5135" s="13"/>
      <c r="AD5135" s="13"/>
      <c r="AE5135" s="13"/>
      <c r="AF5135" s="13"/>
    </row>
    <row r="5136" spans="19:32" x14ac:dyDescent="0.35">
      <c r="S5136" s="13"/>
      <c r="T5136" s="16"/>
      <c r="U5136" s="16"/>
      <c r="V5136" s="16"/>
      <c r="W5136" s="13"/>
      <c r="X5136" s="34">
        <v>5132</v>
      </c>
      <c r="Y5136" s="34" t="s">
        <v>2248</v>
      </c>
      <c r="Z5136" s="34" t="s">
        <v>3091</v>
      </c>
      <c r="AA5136" s="35">
        <v>2.186693548387097E-3</v>
      </c>
      <c r="AB5136" s="13"/>
      <c r="AC5136" s="13"/>
      <c r="AD5136" s="13"/>
      <c r="AE5136" s="13"/>
      <c r="AF5136" s="13"/>
    </row>
    <row r="5137" spans="19:32" x14ac:dyDescent="0.35">
      <c r="S5137" s="13"/>
      <c r="T5137" s="16"/>
      <c r="U5137" s="16"/>
      <c r="V5137" s="16"/>
      <c r="W5137" s="13"/>
      <c r="X5137" s="34">
        <v>5133</v>
      </c>
      <c r="Y5137" s="34" t="s">
        <v>2248</v>
      </c>
      <c r="Z5137" s="34" t="s">
        <v>3705</v>
      </c>
      <c r="AA5137" s="35">
        <v>1.2167338709677421E-2</v>
      </c>
      <c r="AB5137" s="13"/>
      <c r="AC5137" s="13"/>
      <c r="AD5137" s="13"/>
      <c r="AE5137" s="13"/>
      <c r="AF5137" s="13"/>
    </row>
    <row r="5138" spans="19:32" x14ac:dyDescent="0.35">
      <c r="S5138" s="13"/>
      <c r="T5138" s="16"/>
      <c r="U5138" s="16"/>
      <c r="V5138" s="16"/>
      <c r="W5138" s="13"/>
      <c r="X5138" s="34">
        <v>5134</v>
      </c>
      <c r="Y5138" s="34" t="s">
        <v>2248</v>
      </c>
      <c r="Z5138" s="34" t="s">
        <v>3936</v>
      </c>
      <c r="AA5138" s="35">
        <v>2.5842741935483873E-2</v>
      </c>
      <c r="AB5138" s="13"/>
      <c r="AC5138" s="13"/>
      <c r="AD5138" s="13"/>
      <c r="AE5138" s="13"/>
      <c r="AF5138" s="13"/>
    </row>
    <row r="5139" spans="19:32" x14ac:dyDescent="0.35">
      <c r="S5139" s="13"/>
      <c r="T5139" s="16"/>
      <c r="U5139" s="16"/>
      <c r="V5139" s="16"/>
      <c r="W5139" s="13"/>
      <c r="X5139" s="34">
        <v>5135</v>
      </c>
      <c r="Y5139" s="34" t="s">
        <v>2248</v>
      </c>
      <c r="Z5139" s="34" t="s">
        <v>3935</v>
      </c>
      <c r="AA5139" s="35">
        <v>5.8608870967741941E-3</v>
      </c>
      <c r="AB5139" s="13"/>
      <c r="AC5139" s="13"/>
      <c r="AD5139" s="13"/>
      <c r="AE5139" s="13"/>
      <c r="AF5139" s="13"/>
    </row>
    <row r="5140" spans="19:32" x14ac:dyDescent="0.35">
      <c r="S5140" s="13"/>
      <c r="T5140" s="16"/>
      <c r="U5140" s="16"/>
      <c r="V5140" s="16"/>
      <c r="W5140" s="13"/>
      <c r="X5140" s="34">
        <v>5136</v>
      </c>
      <c r="Y5140" s="34" t="s">
        <v>2248</v>
      </c>
      <c r="Z5140" s="34" t="s">
        <v>3703</v>
      </c>
      <c r="AA5140" s="35">
        <v>2.1832661290322582E-2</v>
      </c>
      <c r="AB5140" s="13"/>
      <c r="AC5140" s="13"/>
      <c r="AD5140" s="13"/>
      <c r="AE5140" s="13"/>
      <c r="AF5140" s="13"/>
    </row>
    <row r="5141" spans="19:32" x14ac:dyDescent="0.35">
      <c r="S5141" s="13"/>
      <c r="T5141" s="16"/>
      <c r="U5141" s="16"/>
      <c r="V5141" s="16"/>
      <c r="W5141" s="13"/>
      <c r="X5141" s="34">
        <v>5137</v>
      </c>
      <c r="Y5141" s="34" t="s">
        <v>2248</v>
      </c>
      <c r="Z5141" s="34" t="s">
        <v>3934</v>
      </c>
      <c r="AA5141" s="35">
        <v>1.4120967741935484</v>
      </c>
      <c r="AB5141" s="13"/>
      <c r="AC5141" s="13"/>
      <c r="AD5141" s="13"/>
      <c r="AE5141" s="13"/>
      <c r="AF5141" s="13"/>
    </row>
    <row r="5142" spans="19:32" x14ac:dyDescent="0.35">
      <c r="S5142" s="13"/>
      <c r="T5142" s="16"/>
      <c r="U5142" s="16"/>
      <c r="V5142" s="16"/>
      <c r="W5142" s="13"/>
      <c r="X5142" s="34">
        <v>5138</v>
      </c>
      <c r="Y5142" s="34" t="s">
        <v>2248</v>
      </c>
      <c r="Z5142" s="34" t="s">
        <v>3933</v>
      </c>
      <c r="AA5142" s="35">
        <v>0.92197580645161292</v>
      </c>
      <c r="AB5142" s="13"/>
      <c r="AC5142" s="13"/>
      <c r="AD5142" s="13"/>
      <c r="AE5142" s="13"/>
      <c r="AF5142" s="13"/>
    </row>
    <row r="5143" spans="19:32" x14ac:dyDescent="0.35">
      <c r="S5143" s="13"/>
      <c r="T5143" s="16"/>
      <c r="U5143" s="16"/>
      <c r="V5143" s="16"/>
      <c r="W5143" s="13"/>
      <c r="X5143" s="34">
        <v>5139</v>
      </c>
      <c r="Y5143" s="34" t="s">
        <v>2248</v>
      </c>
      <c r="Z5143" s="34" t="s">
        <v>2290</v>
      </c>
      <c r="AA5143" s="35">
        <v>1.9330645161290324E-5</v>
      </c>
      <c r="AB5143" s="13"/>
      <c r="AC5143" s="13"/>
      <c r="AD5143" s="13"/>
      <c r="AE5143" s="13"/>
      <c r="AF5143" s="13"/>
    </row>
    <row r="5144" spans="19:32" x14ac:dyDescent="0.35">
      <c r="S5144" s="13"/>
      <c r="T5144" s="16"/>
      <c r="U5144" s="16"/>
      <c r="V5144" s="16"/>
      <c r="W5144" s="13"/>
      <c r="X5144" s="34">
        <v>5140</v>
      </c>
      <c r="Y5144" s="34" t="s">
        <v>2248</v>
      </c>
      <c r="Z5144" s="34" t="s">
        <v>3932</v>
      </c>
      <c r="AA5144" s="35">
        <v>0.1607459677419355</v>
      </c>
      <c r="AB5144" s="13"/>
      <c r="AC5144" s="13"/>
      <c r="AD5144" s="13"/>
      <c r="AE5144" s="13"/>
      <c r="AF5144" s="13"/>
    </row>
    <row r="5145" spans="19:32" x14ac:dyDescent="0.35">
      <c r="S5145" s="13"/>
      <c r="T5145" s="16"/>
      <c r="U5145" s="16"/>
      <c r="V5145" s="16"/>
      <c r="W5145" s="13"/>
      <c r="X5145" s="34">
        <v>5141</v>
      </c>
      <c r="Y5145" s="34" t="s">
        <v>2248</v>
      </c>
      <c r="Z5145" s="34" t="s">
        <v>3698</v>
      </c>
      <c r="AA5145" s="35">
        <v>2.7899193548387101E-3</v>
      </c>
      <c r="AB5145" s="13"/>
      <c r="AC5145" s="13"/>
      <c r="AD5145" s="13"/>
      <c r="AE5145" s="13"/>
      <c r="AF5145" s="13"/>
    </row>
    <row r="5146" spans="19:32" x14ac:dyDescent="0.35">
      <c r="S5146" s="13"/>
      <c r="T5146" s="16"/>
      <c r="U5146" s="16"/>
      <c r="V5146" s="16"/>
      <c r="W5146" s="13"/>
      <c r="X5146" s="34">
        <v>5142</v>
      </c>
      <c r="Y5146" s="34" t="s">
        <v>2248</v>
      </c>
      <c r="Z5146" s="34" t="s">
        <v>3931</v>
      </c>
      <c r="AA5146" s="35">
        <v>3.1737903225806455E-2</v>
      </c>
      <c r="AB5146" s="13"/>
      <c r="AC5146" s="13"/>
      <c r="AD5146" s="13"/>
      <c r="AE5146" s="13"/>
      <c r="AF5146" s="13"/>
    </row>
    <row r="5147" spans="19:32" x14ac:dyDescent="0.35">
      <c r="S5147" s="13"/>
      <c r="T5147" s="16"/>
      <c r="U5147" s="16"/>
      <c r="V5147" s="16"/>
      <c r="W5147" s="13"/>
      <c r="X5147" s="34">
        <v>5143</v>
      </c>
      <c r="Y5147" s="34" t="s">
        <v>2248</v>
      </c>
      <c r="Z5147" s="34" t="s">
        <v>3089</v>
      </c>
      <c r="AA5147" s="35">
        <v>80.201612903225808</v>
      </c>
      <c r="AB5147" s="13"/>
      <c r="AC5147" s="13"/>
      <c r="AD5147" s="13"/>
      <c r="AE5147" s="13"/>
      <c r="AF5147" s="13"/>
    </row>
    <row r="5148" spans="19:32" x14ac:dyDescent="0.35">
      <c r="S5148" s="13"/>
      <c r="T5148" s="16"/>
      <c r="U5148" s="16"/>
      <c r="V5148" s="16"/>
      <c r="W5148" s="13"/>
      <c r="X5148" s="34">
        <v>5144</v>
      </c>
      <c r="Y5148" s="34" t="s">
        <v>2248</v>
      </c>
      <c r="Z5148" s="34" t="s">
        <v>3930</v>
      </c>
      <c r="AA5148" s="35">
        <v>2.5431451612903229E-2</v>
      </c>
      <c r="AB5148" s="13"/>
      <c r="AC5148" s="13"/>
      <c r="AD5148" s="13"/>
      <c r="AE5148" s="13"/>
      <c r="AF5148" s="13"/>
    </row>
    <row r="5149" spans="19:32" x14ac:dyDescent="0.35">
      <c r="S5149" s="13"/>
      <c r="T5149" s="16"/>
      <c r="U5149" s="16"/>
      <c r="V5149" s="16"/>
      <c r="W5149" s="13"/>
      <c r="X5149" s="34">
        <v>5145</v>
      </c>
      <c r="Y5149" s="34" t="s">
        <v>2248</v>
      </c>
      <c r="Z5149" s="34" t="s">
        <v>3697</v>
      </c>
      <c r="AA5149" s="35">
        <v>2.1558467741935485E-4</v>
      </c>
      <c r="AB5149" s="13"/>
      <c r="AC5149" s="13"/>
      <c r="AD5149" s="13"/>
      <c r="AE5149" s="13"/>
      <c r="AF5149" s="13"/>
    </row>
    <row r="5150" spans="19:32" x14ac:dyDescent="0.35">
      <c r="S5150" s="13"/>
      <c r="T5150" s="16"/>
      <c r="U5150" s="16"/>
      <c r="V5150" s="16"/>
      <c r="W5150" s="13"/>
      <c r="X5150" s="47">
        <v>5146</v>
      </c>
      <c r="Y5150" s="47" t="s">
        <v>2248</v>
      </c>
      <c r="Z5150" s="47" t="s">
        <v>2379</v>
      </c>
      <c r="AA5150" s="56">
        <v>0</v>
      </c>
      <c r="AB5150" s="13"/>
      <c r="AC5150" s="13"/>
      <c r="AD5150" s="13"/>
      <c r="AE5150" s="13"/>
      <c r="AF5150" s="13"/>
    </row>
    <row r="5151" spans="19:32" x14ac:dyDescent="0.35">
      <c r="S5151" s="13"/>
      <c r="T5151" s="16"/>
      <c r="U5151" s="16"/>
      <c r="V5151" s="16"/>
      <c r="W5151" s="13"/>
      <c r="X5151" s="34">
        <v>5147</v>
      </c>
      <c r="Y5151" s="34" t="s">
        <v>2248</v>
      </c>
      <c r="Z5151" s="34" t="s">
        <v>3929</v>
      </c>
      <c r="AA5151" s="35">
        <v>1.9536290322580648E-2</v>
      </c>
      <c r="AB5151" s="13"/>
      <c r="AC5151" s="13"/>
      <c r="AD5151" s="13"/>
      <c r="AE5151" s="13"/>
      <c r="AF5151" s="13"/>
    </row>
    <row r="5152" spans="19:32" x14ac:dyDescent="0.35">
      <c r="S5152" s="13"/>
      <c r="T5152" s="16"/>
      <c r="U5152" s="16"/>
      <c r="V5152" s="16"/>
      <c r="W5152" s="13"/>
      <c r="X5152" s="34">
        <v>5148</v>
      </c>
      <c r="Y5152" s="34" t="s">
        <v>2248</v>
      </c>
      <c r="Z5152" s="34" t="s">
        <v>3695</v>
      </c>
      <c r="AA5152" s="35">
        <v>1.0796370967741937E-3</v>
      </c>
      <c r="AB5152" s="13"/>
      <c r="AC5152" s="13"/>
      <c r="AD5152" s="13"/>
      <c r="AE5152" s="13"/>
      <c r="AF5152" s="13"/>
    </row>
    <row r="5153" spans="19:32" x14ac:dyDescent="0.35">
      <c r="S5153" s="13"/>
      <c r="T5153" s="16"/>
      <c r="U5153" s="16"/>
      <c r="V5153" s="16"/>
      <c r="W5153" s="13"/>
      <c r="X5153" s="47">
        <v>5149</v>
      </c>
      <c r="Y5153" s="47" t="s">
        <v>2248</v>
      </c>
      <c r="Z5153" s="47" t="s">
        <v>2378</v>
      </c>
      <c r="AA5153" s="56">
        <v>0</v>
      </c>
      <c r="AB5153" s="13"/>
      <c r="AC5153" s="13"/>
      <c r="AD5153" s="13"/>
      <c r="AE5153" s="13"/>
      <c r="AF5153" s="13"/>
    </row>
    <row r="5154" spans="19:32" x14ac:dyDescent="0.35">
      <c r="S5154" s="13"/>
      <c r="T5154" s="16"/>
      <c r="U5154" s="16"/>
      <c r="V5154" s="16"/>
      <c r="W5154" s="13"/>
      <c r="X5154" s="34">
        <v>5150</v>
      </c>
      <c r="Y5154" s="34" t="s">
        <v>2248</v>
      </c>
      <c r="Z5154" s="34" t="s">
        <v>3693</v>
      </c>
      <c r="AA5154" s="35">
        <v>1.7993951612903228E-3</v>
      </c>
      <c r="AB5154" s="13"/>
      <c r="AC5154" s="13"/>
      <c r="AD5154" s="13"/>
      <c r="AE5154" s="13"/>
      <c r="AF5154" s="13"/>
    </row>
    <row r="5155" spans="19:32" x14ac:dyDescent="0.35">
      <c r="S5155" s="13"/>
      <c r="T5155" s="16"/>
      <c r="U5155" s="16"/>
      <c r="V5155" s="16"/>
      <c r="W5155" s="13"/>
      <c r="X5155" s="34">
        <v>5151</v>
      </c>
      <c r="Y5155" s="34" t="s">
        <v>2248</v>
      </c>
      <c r="Z5155" s="34" t="s">
        <v>3928</v>
      </c>
      <c r="AA5155" s="35">
        <v>4.3528225806451615E-5</v>
      </c>
      <c r="AB5155" s="13"/>
      <c r="AC5155" s="13"/>
      <c r="AD5155" s="13"/>
      <c r="AE5155" s="13"/>
      <c r="AF5155" s="13"/>
    </row>
    <row r="5156" spans="19:32" x14ac:dyDescent="0.35">
      <c r="S5156" s="13"/>
      <c r="T5156" s="16"/>
      <c r="U5156" s="16"/>
      <c r="V5156" s="16"/>
      <c r="W5156" s="13"/>
      <c r="X5156" s="34">
        <v>5152</v>
      </c>
      <c r="Y5156" s="34" t="s">
        <v>2248</v>
      </c>
      <c r="Z5156" s="34" t="s">
        <v>3927</v>
      </c>
      <c r="AA5156" s="35">
        <v>2.8721774193548388E-2</v>
      </c>
      <c r="AB5156" s="13"/>
      <c r="AC5156" s="13"/>
      <c r="AD5156" s="13"/>
      <c r="AE5156" s="13"/>
      <c r="AF5156" s="13"/>
    </row>
    <row r="5157" spans="19:32" x14ac:dyDescent="0.35">
      <c r="S5157" s="13"/>
      <c r="T5157" s="16"/>
      <c r="U5157" s="16"/>
      <c r="V5157" s="16"/>
      <c r="W5157" s="13"/>
      <c r="X5157" s="34">
        <v>5153</v>
      </c>
      <c r="Y5157" s="34" t="s">
        <v>2248</v>
      </c>
      <c r="Z5157" s="34" t="s">
        <v>3926</v>
      </c>
      <c r="AA5157" s="35">
        <v>4.4899193548387102E-4</v>
      </c>
      <c r="AB5157" s="13"/>
      <c r="AC5157" s="13"/>
      <c r="AD5157" s="13"/>
      <c r="AE5157" s="13"/>
      <c r="AF5157" s="13"/>
    </row>
    <row r="5158" spans="19:32" x14ac:dyDescent="0.35">
      <c r="S5158" s="13"/>
      <c r="T5158" s="16"/>
      <c r="U5158" s="16"/>
      <c r="V5158" s="16"/>
      <c r="W5158" s="13"/>
      <c r="X5158" s="34">
        <v>5154</v>
      </c>
      <c r="Y5158" s="34" t="s">
        <v>2248</v>
      </c>
      <c r="Z5158" s="34" t="s">
        <v>3691</v>
      </c>
      <c r="AA5158" s="35">
        <v>1.0487903225806453E-3</v>
      </c>
      <c r="AB5158" s="13"/>
      <c r="AC5158" s="13"/>
      <c r="AD5158" s="13"/>
      <c r="AE5158" s="13"/>
      <c r="AF5158" s="13"/>
    </row>
    <row r="5159" spans="19:32" x14ac:dyDescent="0.35">
      <c r="S5159" s="13"/>
      <c r="T5159" s="16"/>
      <c r="U5159" s="16"/>
      <c r="V5159" s="16"/>
      <c r="W5159" s="13"/>
      <c r="X5159" s="34">
        <v>5155</v>
      </c>
      <c r="Y5159" s="34" t="s">
        <v>2248</v>
      </c>
      <c r="Z5159" s="34" t="s">
        <v>3925</v>
      </c>
      <c r="AA5159" s="35">
        <v>0.10796370967741936</v>
      </c>
      <c r="AB5159" s="13"/>
      <c r="AC5159" s="13"/>
      <c r="AD5159" s="13"/>
      <c r="AE5159" s="13"/>
      <c r="AF5159" s="13"/>
    </row>
    <row r="5160" spans="19:32" x14ac:dyDescent="0.35">
      <c r="S5160" s="13"/>
      <c r="T5160" s="16"/>
      <c r="U5160" s="16"/>
      <c r="V5160" s="16"/>
      <c r="W5160" s="13"/>
      <c r="X5160" s="34">
        <v>5156</v>
      </c>
      <c r="Y5160" s="34" t="s">
        <v>2248</v>
      </c>
      <c r="Z5160" s="34" t="s">
        <v>3690</v>
      </c>
      <c r="AA5160" s="35">
        <v>1.2750000000000001E-2</v>
      </c>
      <c r="AB5160" s="13"/>
      <c r="AC5160" s="13"/>
      <c r="AD5160" s="13"/>
      <c r="AE5160" s="13"/>
      <c r="AF5160" s="13"/>
    </row>
    <row r="5161" spans="19:32" x14ac:dyDescent="0.35">
      <c r="S5161" s="13"/>
      <c r="T5161" s="16"/>
      <c r="U5161" s="16"/>
      <c r="V5161" s="16"/>
      <c r="W5161" s="13"/>
      <c r="X5161" s="34">
        <v>5157</v>
      </c>
      <c r="Y5161" s="34" t="s">
        <v>2248</v>
      </c>
      <c r="Z5161" s="34" t="s">
        <v>3924</v>
      </c>
      <c r="AA5161" s="35">
        <v>0.342741935483871</v>
      </c>
      <c r="AB5161" s="13"/>
      <c r="AC5161" s="13"/>
      <c r="AD5161" s="13"/>
      <c r="AE5161" s="13"/>
      <c r="AF5161" s="13"/>
    </row>
    <row r="5162" spans="19:32" x14ac:dyDescent="0.35">
      <c r="S5162" s="13"/>
      <c r="T5162" s="16"/>
      <c r="U5162" s="16"/>
      <c r="V5162" s="16"/>
      <c r="W5162" s="13"/>
      <c r="X5162" s="34">
        <v>5158</v>
      </c>
      <c r="Y5162" s="34" t="s">
        <v>2248</v>
      </c>
      <c r="Z5162" s="34" t="s">
        <v>3923</v>
      </c>
      <c r="AA5162" s="35">
        <v>6.9919354838709676E-6</v>
      </c>
      <c r="AB5162" s="13"/>
      <c r="AC5162" s="13"/>
      <c r="AD5162" s="13"/>
      <c r="AE5162" s="13"/>
      <c r="AF5162" s="13"/>
    </row>
    <row r="5163" spans="19:32" x14ac:dyDescent="0.35">
      <c r="S5163" s="13"/>
      <c r="T5163" s="16"/>
      <c r="U5163" s="16"/>
      <c r="V5163" s="16"/>
      <c r="W5163" s="13"/>
      <c r="X5163" s="34">
        <v>5159</v>
      </c>
      <c r="Y5163" s="34" t="s">
        <v>2248</v>
      </c>
      <c r="Z5163" s="34" t="s">
        <v>2288</v>
      </c>
      <c r="AA5163" s="35">
        <v>7.3346774193548388E-6</v>
      </c>
      <c r="AB5163" s="13"/>
      <c r="AC5163" s="13"/>
      <c r="AD5163" s="13"/>
      <c r="AE5163" s="13"/>
      <c r="AF5163" s="13"/>
    </row>
    <row r="5164" spans="19:32" x14ac:dyDescent="0.35">
      <c r="S5164" s="13"/>
      <c r="T5164" s="16"/>
      <c r="U5164" s="16"/>
      <c r="V5164" s="16"/>
      <c r="W5164" s="13"/>
      <c r="X5164" s="34">
        <v>5160</v>
      </c>
      <c r="Y5164" s="34" t="s">
        <v>2248</v>
      </c>
      <c r="Z5164" s="34" t="s">
        <v>3922</v>
      </c>
      <c r="AA5164" s="35">
        <v>9.7338709677419356E-3</v>
      </c>
      <c r="AB5164" s="13"/>
      <c r="AC5164" s="13"/>
      <c r="AD5164" s="13"/>
      <c r="AE5164" s="13"/>
      <c r="AF5164" s="13"/>
    </row>
    <row r="5165" spans="19:32" x14ac:dyDescent="0.35">
      <c r="S5165" s="13"/>
      <c r="T5165" s="16"/>
      <c r="U5165" s="16"/>
      <c r="V5165" s="16"/>
      <c r="W5165" s="13"/>
      <c r="X5165" s="47">
        <v>5161</v>
      </c>
      <c r="Y5165" s="47" t="s">
        <v>2248</v>
      </c>
      <c r="Z5165" s="47" t="s">
        <v>2376</v>
      </c>
      <c r="AA5165" s="56">
        <v>2.4288000000000002E-5</v>
      </c>
      <c r="AB5165" s="13"/>
      <c r="AC5165" s="13"/>
      <c r="AD5165" s="13"/>
      <c r="AE5165" s="13"/>
      <c r="AF5165" s="13"/>
    </row>
    <row r="5166" spans="19:32" x14ac:dyDescent="0.35">
      <c r="S5166" s="13"/>
      <c r="T5166" s="16"/>
      <c r="U5166" s="16"/>
      <c r="V5166" s="16"/>
      <c r="W5166" s="13"/>
      <c r="X5166" s="34">
        <v>5162</v>
      </c>
      <c r="Y5166" s="34" t="s">
        <v>2248</v>
      </c>
      <c r="Z5166" s="34" t="s">
        <v>3685</v>
      </c>
      <c r="AA5166" s="35">
        <v>2.8756048387096777E-6</v>
      </c>
      <c r="AB5166" s="13"/>
      <c r="AC5166" s="13"/>
      <c r="AD5166" s="13"/>
      <c r="AE5166" s="13"/>
      <c r="AF5166" s="13"/>
    </row>
    <row r="5167" spans="19:32" x14ac:dyDescent="0.35">
      <c r="S5167" s="13"/>
      <c r="T5167" s="16"/>
      <c r="U5167" s="16"/>
      <c r="V5167" s="16"/>
      <c r="W5167" s="13"/>
      <c r="X5167" s="34">
        <v>5163</v>
      </c>
      <c r="Y5167" s="34" t="s">
        <v>2248</v>
      </c>
      <c r="Z5167" s="34" t="s">
        <v>3921</v>
      </c>
      <c r="AA5167" s="35">
        <v>1.3675403225806453E-2</v>
      </c>
      <c r="AB5167" s="13"/>
      <c r="AC5167" s="13"/>
      <c r="AD5167" s="13"/>
      <c r="AE5167" s="13"/>
      <c r="AF5167" s="13"/>
    </row>
    <row r="5168" spans="19:32" x14ac:dyDescent="0.35">
      <c r="S5168" s="13"/>
      <c r="T5168" s="16"/>
      <c r="U5168" s="16"/>
      <c r="V5168" s="16"/>
      <c r="W5168" s="13"/>
      <c r="X5168" s="34">
        <v>5164</v>
      </c>
      <c r="Y5168" s="34" t="s">
        <v>2248</v>
      </c>
      <c r="Z5168" s="34" t="s">
        <v>3920</v>
      </c>
      <c r="AA5168" s="35">
        <v>0.42157258064516134</v>
      </c>
      <c r="AB5168" s="13"/>
      <c r="AC5168" s="13"/>
      <c r="AD5168" s="13"/>
      <c r="AE5168" s="13"/>
      <c r="AF5168" s="13"/>
    </row>
    <row r="5169" spans="19:32" x14ac:dyDescent="0.35">
      <c r="S5169" s="13"/>
      <c r="T5169" s="16"/>
      <c r="U5169" s="16"/>
      <c r="V5169" s="16"/>
      <c r="W5169" s="13"/>
      <c r="X5169" s="34">
        <v>5165</v>
      </c>
      <c r="Y5169" s="34" t="s">
        <v>2248</v>
      </c>
      <c r="Z5169" s="34" t="s">
        <v>3684</v>
      </c>
      <c r="AA5169" s="35">
        <v>1.5389112903225807E-4</v>
      </c>
      <c r="AB5169" s="13"/>
      <c r="AC5169" s="13"/>
      <c r="AD5169" s="13"/>
      <c r="AE5169" s="13"/>
      <c r="AF5169" s="13"/>
    </row>
    <row r="5170" spans="19:32" x14ac:dyDescent="0.35">
      <c r="S5170" s="13"/>
      <c r="T5170" s="16"/>
      <c r="U5170" s="16"/>
      <c r="V5170" s="16"/>
      <c r="W5170" s="13"/>
      <c r="X5170" s="34">
        <v>5166</v>
      </c>
      <c r="Y5170" s="34" t="s">
        <v>2248</v>
      </c>
      <c r="Z5170" s="34" t="s">
        <v>3919</v>
      </c>
      <c r="AA5170" s="35">
        <v>4.1471774193548389E-2</v>
      </c>
      <c r="AB5170" s="13"/>
      <c r="AC5170" s="13"/>
      <c r="AD5170" s="13"/>
      <c r="AE5170" s="13"/>
      <c r="AF5170" s="13"/>
    </row>
    <row r="5171" spans="19:32" x14ac:dyDescent="0.35">
      <c r="S5171" s="13"/>
      <c r="T5171" s="16"/>
      <c r="U5171" s="16"/>
      <c r="V5171" s="16"/>
      <c r="W5171" s="13"/>
      <c r="X5171" s="34">
        <v>5167</v>
      </c>
      <c r="Y5171" s="34" t="s">
        <v>2248</v>
      </c>
      <c r="Z5171" s="34" t="s">
        <v>3087</v>
      </c>
      <c r="AA5171" s="35">
        <v>2.0941532258064518E-4</v>
      </c>
      <c r="AB5171" s="13"/>
      <c r="AC5171" s="13"/>
      <c r="AD5171" s="13"/>
      <c r="AE5171" s="13"/>
      <c r="AF5171" s="13"/>
    </row>
    <row r="5172" spans="19:32" x14ac:dyDescent="0.35">
      <c r="S5172" s="13"/>
      <c r="T5172" s="16"/>
      <c r="U5172" s="16"/>
      <c r="V5172" s="16"/>
      <c r="W5172" s="13"/>
      <c r="X5172" s="34">
        <v>5168</v>
      </c>
      <c r="Y5172" s="34" t="s">
        <v>2248</v>
      </c>
      <c r="Z5172" s="34" t="s">
        <v>3682</v>
      </c>
      <c r="AA5172" s="35">
        <v>5.8951612903225814E-3</v>
      </c>
      <c r="AB5172" s="13"/>
      <c r="AC5172" s="13"/>
      <c r="AD5172" s="13"/>
      <c r="AE5172" s="13"/>
      <c r="AF5172" s="13"/>
    </row>
    <row r="5173" spans="19:32" x14ac:dyDescent="0.35">
      <c r="S5173" s="13"/>
      <c r="T5173" s="16"/>
      <c r="U5173" s="16"/>
      <c r="V5173" s="16"/>
      <c r="W5173" s="13"/>
      <c r="X5173" s="47">
        <v>5169</v>
      </c>
      <c r="Y5173" s="47" t="s">
        <v>2248</v>
      </c>
      <c r="Z5173" s="47" t="s">
        <v>2375</v>
      </c>
      <c r="AA5173" s="56">
        <v>0</v>
      </c>
      <c r="AB5173" s="13"/>
      <c r="AC5173" s="13"/>
      <c r="AD5173" s="13"/>
      <c r="AE5173" s="13"/>
      <c r="AF5173" s="13"/>
    </row>
    <row r="5174" spans="19:32" x14ac:dyDescent="0.35">
      <c r="S5174" s="13"/>
      <c r="T5174" s="16"/>
      <c r="U5174" s="16"/>
      <c r="V5174" s="16"/>
      <c r="W5174" s="13"/>
      <c r="X5174" s="34">
        <v>5170</v>
      </c>
      <c r="Y5174" s="34" t="s">
        <v>2248</v>
      </c>
      <c r="Z5174" s="34" t="s">
        <v>2375</v>
      </c>
      <c r="AA5174" s="35">
        <v>3.9758064516129036E-4</v>
      </c>
      <c r="AB5174" s="13"/>
      <c r="AC5174" s="13"/>
      <c r="AD5174" s="13"/>
      <c r="AE5174" s="13"/>
      <c r="AF5174" s="13"/>
    </row>
    <row r="5175" spans="19:32" x14ac:dyDescent="0.35">
      <c r="S5175" s="13"/>
      <c r="T5175" s="16"/>
      <c r="U5175" s="16"/>
      <c r="V5175" s="16"/>
      <c r="W5175" s="13"/>
      <c r="X5175" s="34">
        <v>5171</v>
      </c>
      <c r="Y5175" s="34" t="s">
        <v>2248</v>
      </c>
      <c r="Z5175" s="34" t="s">
        <v>2287</v>
      </c>
      <c r="AA5175" s="35">
        <v>4.4556451612903231E-6</v>
      </c>
      <c r="AB5175" s="13"/>
      <c r="AC5175" s="13"/>
      <c r="AD5175" s="13"/>
      <c r="AE5175" s="13"/>
      <c r="AF5175" s="13"/>
    </row>
    <row r="5176" spans="19:32" x14ac:dyDescent="0.35">
      <c r="S5176" s="13"/>
      <c r="T5176" s="16"/>
      <c r="U5176" s="16"/>
      <c r="V5176" s="16"/>
      <c r="W5176" s="13"/>
      <c r="X5176" s="34">
        <v>5172</v>
      </c>
      <c r="Y5176" s="34" t="s">
        <v>2248</v>
      </c>
      <c r="Z5176" s="34" t="s">
        <v>3918</v>
      </c>
      <c r="AA5176" s="35">
        <v>3.5987903225806456E-4</v>
      </c>
      <c r="AB5176" s="13"/>
      <c r="AC5176" s="13"/>
      <c r="AD5176" s="13"/>
      <c r="AE5176" s="13"/>
      <c r="AF5176" s="13"/>
    </row>
    <row r="5177" spans="19:32" x14ac:dyDescent="0.35">
      <c r="S5177" s="13"/>
      <c r="T5177" s="16"/>
      <c r="U5177" s="16"/>
      <c r="V5177" s="16"/>
      <c r="W5177" s="13"/>
      <c r="X5177" s="34">
        <v>5173</v>
      </c>
      <c r="Y5177" s="34" t="s">
        <v>2248</v>
      </c>
      <c r="Z5177" s="34" t="s">
        <v>3085</v>
      </c>
      <c r="AA5177" s="35">
        <v>2.1764112903225808E-5</v>
      </c>
      <c r="AB5177" s="13"/>
      <c r="AC5177" s="13"/>
      <c r="AD5177" s="13"/>
      <c r="AE5177" s="13"/>
      <c r="AF5177" s="13"/>
    </row>
    <row r="5178" spans="19:32" x14ac:dyDescent="0.35">
      <c r="S5178" s="13"/>
      <c r="T5178" s="16"/>
      <c r="U5178" s="16"/>
      <c r="V5178" s="16"/>
      <c r="W5178" s="13"/>
      <c r="X5178" s="34">
        <v>5174</v>
      </c>
      <c r="Y5178" s="34" t="s">
        <v>2248</v>
      </c>
      <c r="Z5178" s="34" t="s">
        <v>3678</v>
      </c>
      <c r="AA5178" s="35">
        <v>2.2381048387096778E-4</v>
      </c>
      <c r="AB5178" s="13"/>
      <c r="AC5178" s="13"/>
      <c r="AD5178" s="13"/>
      <c r="AE5178" s="13"/>
      <c r="AF5178" s="13"/>
    </row>
    <row r="5179" spans="19:32" x14ac:dyDescent="0.35">
      <c r="S5179" s="13"/>
      <c r="T5179" s="16"/>
      <c r="U5179" s="16"/>
      <c r="V5179" s="16"/>
      <c r="W5179" s="13"/>
      <c r="X5179" s="34">
        <v>5175</v>
      </c>
      <c r="Y5179" s="34" t="s">
        <v>2248</v>
      </c>
      <c r="Z5179" s="34" t="s">
        <v>3917</v>
      </c>
      <c r="AA5179" s="35">
        <v>4.215725806451613E-5</v>
      </c>
      <c r="AB5179" s="13"/>
      <c r="AC5179" s="13"/>
      <c r="AD5179" s="13"/>
      <c r="AE5179" s="13"/>
      <c r="AF5179" s="13"/>
    </row>
    <row r="5180" spans="19:32" x14ac:dyDescent="0.35">
      <c r="S5180" s="13"/>
      <c r="T5180" s="16"/>
      <c r="U5180" s="16"/>
      <c r="V5180" s="16"/>
      <c r="W5180" s="13"/>
      <c r="X5180" s="34">
        <v>5176</v>
      </c>
      <c r="Y5180" s="34" t="s">
        <v>2248</v>
      </c>
      <c r="Z5180" s="34" t="s">
        <v>3675</v>
      </c>
      <c r="AA5180" s="35">
        <v>8.8427419354838717E-4</v>
      </c>
      <c r="AB5180" s="13"/>
      <c r="AC5180" s="13"/>
      <c r="AD5180" s="13"/>
      <c r="AE5180" s="13"/>
      <c r="AF5180" s="13"/>
    </row>
    <row r="5181" spans="19:32" x14ac:dyDescent="0.35">
      <c r="S5181" s="13"/>
      <c r="T5181" s="16"/>
      <c r="U5181" s="16"/>
      <c r="V5181" s="16"/>
      <c r="W5181" s="13"/>
      <c r="X5181" s="34">
        <v>5177</v>
      </c>
      <c r="Y5181" s="34" t="s">
        <v>2248</v>
      </c>
      <c r="Z5181" s="34" t="s">
        <v>3916</v>
      </c>
      <c r="AA5181" s="35">
        <v>1.5491935483870969E-3</v>
      </c>
      <c r="AB5181" s="13"/>
      <c r="AC5181" s="13"/>
      <c r="AD5181" s="13"/>
      <c r="AE5181" s="13"/>
      <c r="AF5181" s="13"/>
    </row>
    <row r="5182" spans="19:32" x14ac:dyDescent="0.35">
      <c r="S5182" s="13"/>
      <c r="T5182" s="16"/>
      <c r="U5182" s="16"/>
      <c r="V5182" s="16"/>
      <c r="W5182" s="13"/>
      <c r="X5182" s="34">
        <v>5178</v>
      </c>
      <c r="Y5182" s="34" t="s">
        <v>2248</v>
      </c>
      <c r="Z5182" s="34" t="s">
        <v>3083</v>
      </c>
      <c r="AA5182" s="35">
        <v>1.1413306451612904E-3</v>
      </c>
      <c r="AB5182" s="13"/>
      <c r="AC5182" s="13"/>
      <c r="AD5182" s="13"/>
      <c r="AE5182" s="13"/>
      <c r="AF5182" s="13"/>
    </row>
    <row r="5183" spans="19:32" x14ac:dyDescent="0.35">
      <c r="S5183" s="13"/>
      <c r="T5183" s="16"/>
      <c r="U5183" s="16"/>
      <c r="V5183" s="16"/>
      <c r="W5183" s="13"/>
      <c r="X5183" s="34">
        <v>5179</v>
      </c>
      <c r="Y5183" s="34" t="s">
        <v>2248</v>
      </c>
      <c r="Z5183" s="34" t="s">
        <v>3915</v>
      </c>
      <c r="AA5183" s="35">
        <v>1.3127016129032259E-3</v>
      </c>
      <c r="AB5183" s="13"/>
      <c r="AC5183" s="13"/>
      <c r="AD5183" s="13"/>
      <c r="AE5183" s="13"/>
      <c r="AF5183" s="13"/>
    </row>
    <row r="5184" spans="19:32" x14ac:dyDescent="0.35">
      <c r="S5184" s="13"/>
      <c r="T5184" s="16"/>
      <c r="U5184" s="16"/>
      <c r="V5184" s="16"/>
      <c r="W5184" s="13"/>
      <c r="X5184" s="34">
        <v>5180</v>
      </c>
      <c r="Y5184" s="34" t="s">
        <v>2248</v>
      </c>
      <c r="Z5184" s="34" t="s">
        <v>3673</v>
      </c>
      <c r="AA5184" s="35">
        <v>0.61008064516129035</v>
      </c>
      <c r="AB5184" s="13"/>
      <c r="AC5184" s="13"/>
      <c r="AD5184" s="13"/>
      <c r="AE5184" s="13"/>
      <c r="AF5184" s="13"/>
    </row>
    <row r="5185" spans="19:32" x14ac:dyDescent="0.35">
      <c r="S5185" s="13"/>
      <c r="T5185" s="16"/>
      <c r="U5185" s="16"/>
      <c r="V5185" s="16"/>
      <c r="W5185" s="13"/>
      <c r="X5185" s="34">
        <v>5181</v>
      </c>
      <c r="Y5185" s="34" t="s">
        <v>2248</v>
      </c>
      <c r="Z5185" s="34" t="s">
        <v>3914</v>
      </c>
      <c r="AA5185" s="35">
        <v>1.3778225806451614E-2</v>
      </c>
      <c r="AB5185" s="13"/>
      <c r="AC5185" s="13"/>
      <c r="AD5185" s="13"/>
      <c r="AE5185" s="13"/>
      <c r="AF5185" s="13"/>
    </row>
    <row r="5186" spans="19:32" x14ac:dyDescent="0.35">
      <c r="S5186" s="13"/>
      <c r="T5186" s="16"/>
      <c r="U5186" s="16"/>
      <c r="V5186" s="16"/>
      <c r="W5186" s="13"/>
      <c r="X5186" s="34">
        <v>5182</v>
      </c>
      <c r="Y5186" s="34" t="s">
        <v>2248</v>
      </c>
      <c r="Z5186" s="34" t="s">
        <v>3670</v>
      </c>
      <c r="AA5186" s="35">
        <v>0.16725806451612904</v>
      </c>
      <c r="AB5186" s="13"/>
      <c r="AC5186" s="13"/>
      <c r="AD5186" s="13"/>
      <c r="AE5186" s="13"/>
      <c r="AF5186" s="13"/>
    </row>
    <row r="5187" spans="19:32" x14ac:dyDescent="0.35">
      <c r="S5187" s="13"/>
      <c r="T5187" s="16"/>
      <c r="U5187" s="16"/>
      <c r="V5187" s="16"/>
      <c r="W5187" s="13"/>
      <c r="X5187" s="34">
        <v>5183</v>
      </c>
      <c r="Y5187" s="34" t="s">
        <v>2248</v>
      </c>
      <c r="Z5187" s="34" t="s">
        <v>3081</v>
      </c>
      <c r="AA5187" s="35">
        <v>9.6310483870967753E-5</v>
      </c>
      <c r="AB5187" s="13"/>
      <c r="AC5187" s="13"/>
      <c r="AD5187" s="13"/>
      <c r="AE5187" s="13"/>
      <c r="AF5187" s="13"/>
    </row>
    <row r="5188" spans="19:32" x14ac:dyDescent="0.35">
      <c r="S5188" s="13"/>
      <c r="T5188" s="16"/>
      <c r="U5188" s="16"/>
      <c r="V5188" s="16"/>
      <c r="W5188" s="13"/>
      <c r="X5188" s="34">
        <v>5184</v>
      </c>
      <c r="Y5188" s="34" t="s">
        <v>2248</v>
      </c>
      <c r="Z5188" s="34" t="s">
        <v>3913</v>
      </c>
      <c r="AA5188" s="35">
        <v>1.1995967741935486E-7</v>
      </c>
      <c r="AB5188" s="13"/>
      <c r="AC5188" s="13"/>
      <c r="AD5188" s="13"/>
      <c r="AE5188" s="13"/>
      <c r="AF5188" s="13"/>
    </row>
    <row r="5189" spans="19:32" x14ac:dyDescent="0.35">
      <c r="S5189" s="13"/>
      <c r="T5189" s="16"/>
      <c r="U5189" s="16"/>
      <c r="V5189" s="16"/>
      <c r="W5189" s="13"/>
      <c r="X5189" s="34">
        <v>5185</v>
      </c>
      <c r="Y5189" s="34" t="s">
        <v>2248</v>
      </c>
      <c r="Z5189" s="34" t="s">
        <v>3669</v>
      </c>
      <c r="AA5189" s="35">
        <v>7.0262096774193553E-2</v>
      </c>
      <c r="AB5189" s="13"/>
      <c r="AC5189" s="13"/>
      <c r="AD5189" s="13"/>
      <c r="AE5189" s="13"/>
      <c r="AF5189" s="13"/>
    </row>
    <row r="5190" spans="19:32" x14ac:dyDescent="0.35">
      <c r="S5190" s="13"/>
      <c r="T5190" s="16"/>
      <c r="U5190" s="16"/>
      <c r="V5190" s="16"/>
      <c r="W5190" s="13"/>
      <c r="X5190" s="34">
        <v>5186</v>
      </c>
      <c r="Y5190" s="34" t="s">
        <v>2248</v>
      </c>
      <c r="Z5190" s="34" t="s">
        <v>3912</v>
      </c>
      <c r="AA5190" s="35">
        <v>0.10179435483870969</v>
      </c>
      <c r="AB5190" s="13"/>
      <c r="AC5190" s="13"/>
      <c r="AD5190" s="13"/>
      <c r="AE5190" s="13"/>
      <c r="AF5190" s="13"/>
    </row>
    <row r="5191" spans="19:32" x14ac:dyDescent="0.35">
      <c r="S5191" s="13"/>
      <c r="T5191" s="16"/>
      <c r="U5191" s="16"/>
      <c r="V5191" s="16"/>
      <c r="W5191" s="13"/>
      <c r="X5191" s="34">
        <v>5187</v>
      </c>
      <c r="Y5191" s="34" t="s">
        <v>2248</v>
      </c>
      <c r="Z5191" s="34" t="s">
        <v>3911</v>
      </c>
      <c r="AA5191" s="35">
        <v>0.11036290322580646</v>
      </c>
      <c r="AB5191" s="13"/>
      <c r="AC5191" s="13"/>
      <c r="AD5191" s="13"/>
      <c r="AE5191" s="13"/>
      <c r="AF5191" s="13"/>
    </row>
    <row r="5192" spans="19:32" x14ac:dyDescent="0.35">
      <c r="S5192" s="13"/>
      <c r="T5192" s="16"/>
      <c r="U5192" s="16"/>
      <c r="V5192" s="16"/>
      <c r="W5192" s="13"/>
      <c r="X5192" s="34">
        <v>5188</v>
      </c>
      <c r="Y5192" s="34" t="s">
        <v>2248</v>
      </c>
      <c r="Z5192" s="34" t="s">
        <v>3667</v>
      </c>
      <c r="AA5192" s="35">
        <v>0.28104838709677421</v>
      </c>
      <c r="AB5192" s="13"/>
      <c r="AC5192" s="13"/>
      <c r="AD5192" s="13"/>
      <c r="AE5192" s="13"/>
      <c r="AF5192" s="13"/>
    </row>
    <row r="5193" spans="19:32" x14ac:dyDescent="0.35">
      <c r="S5193" s="13"/>
      <c r="T5193" s="16"/>
      <c r="U5193" s="16"/>
      <c r="V5193" s="16"/>
      <c r="W5193" s="13"/>
      <c r="X5193" s="34">
        <v>5189</v>
      </c>
      <c r="Y5193" s="34" t="s">
        <v>2248</v>
      </c>
      <c r="Z5193" s="34" t="s">
        <v>3075</v>
      </c>
      <c r="AA5193" s="35">
        <v>2.7316532258064518E-3</v>
      </c>
      <c r="AB5193" s="13"/>
      <c r="AC5193" s="13"/>
      <c r="AD5193" s="13"/>
      <c r="AE5193" s="13"/>
      <c r="AF5193" s="13"/>
    </row>
    <row r="5194" spans="19:32" x14ac:dyDescent="0.35">
      <c r="S5194" s="13"/>
      <c r="T5194" s="16"/>
      <c r="U5194" s="16"/>
      <c r="V5194" s="16"/>
      <c r="W5194" s="13"/>
      <c r="X5194" s="34">
        <v>5190</v>
      </c>
      <c r="Y5194" s="34" t="s">
        <v>2248</v>
      </c>
      <c r="Z5194" s="34" t="s">
        <v>3910</v>
      </c>
      <c r="AA5194" s="35">
        <v>0.20975806451612905</v>
      </c>
      <c r="AB5194" s="13"/>
      <c r="AC5194" s="13"/>
      <c r="AD5194" s="13"/>
      <c r="AE5194" s="13"/>
      <c r="AF5194" s="13"/>
    </row>
    <row r="5195" spans="19:32" x14ac:dyDescent="0.35">
      <c r="S5195" s="13"/>
      <c r="T5195" s="16"/>
      <c r="U5195" s="16"/>
      <c r="V5195" s="16"/>
      <c r="W5195" s="13"/>
      <c r="X5195" s="34">
        <v>5191</v>
      </c>
      <c r="Y5195" s="34" t="s">
        <v>2248</v>
      </c>
      <c r="Z5195" s="34" t="s">
        <v>3664</v>
      </c>
      <c r="AA5195" s="35">
        <v>1.1481854838709678E-6</v>
      </c>
      <c r="AB5195" s="13"/>
      <c r="AC5195" s="13"/>
      <c r="AD5195" s="13"/>
      <c r="AE5195" s="13"/>
      <c r="AF5195" s="13"/>
    </row>
    <row r="5196" spans="19:32" x14ac:dyDescent="0.35">
      <c r="S5196" s="13"/>
      <c r="T5196" s="16"/>
      <c r="U5196" s="16"/>
      <c r="V5196" s="16"/>
      <c r="W5196" s="13"/>
      <c r="X5196" s="34">
        <v>5192</v>
      </c>
      <c r="Y5196" s="34" t="s">
        <v>2248</v>
      </c>
      <c r="Z5196" s="34" t="s">
        <v>3909</v>
      </c>
      <c r="AA5196" s="35">
        <v>1.2030241935483871E-4</v>
      </c>
      <c r="AB5196" s="13"/>
      <c r="AC5196" s="13"/>
      <c r="AD5196" s="13"/>
      <c r="AE5196" s="13"/>
      <c r="AF5196" s="13"/>
    </row>
    <row r="5197" spans="19:32" x14ac:dyDescent="0.35">
      <c r="S5197" s="13"/>
      <c r="T5197" s="16"/>
      <c r="U5197" s="16"/>
      <c r="V5197" s="16"/>
      <c r="W5197" s="13"/>
      <c r="X5197" s="34">
        <v>5193</v>
      </c>
      <c r="Y5197" s="34" t="s">
        <v>2248</v>
      </c>
      <c r="Z5197" s="34" t="s">
        <v>3074</v>
      </c>
      <c r="AA5197" s="35">
        <v>4.0100806451612906E-5</v>
      </c>
      <c r="AB5197" s="13"/>
      <c r="AC5197" s="13"/>
      <c r="AD5197" s="13"/>
      <c r="AE5197" s="13"/>
      <c r="AF5197" s="13"/>
    </row>
    <row r="5198" spans="19:32" x14ac:dyDescent="0.35">
      <c r="S5198" s="13"/>
      <c r="T5198" s="16"/>
      <c r="U5198" s="16"/>
      <c r="V5198" s="16"/>
      <c r="W5198" s="13"/>
      <c r="X5198" s="34">
        <v>5194</v>
      </c>
      <c r="Y5198" s="34" t="s">
        <v>2248</v>
      </c>
      <c r="Z5198" s="34" t="s">
        <v>2285</v>
      </c>
      <c r="AA5198" s="35">
        <v>1.0556451612903226E-2</v>
      </c>
      <c r="AB5198" s="13"/>
      <c r="AC5198" s="13"/>
      <c r="AD5198" s="13"/>
      <c r="AE5198" s="13"/>
      <c r="AF5198" s="13"/>
    </row>
    <row r="5199" spans="19:32" x14ac:dyDescent="0.35">
      <c r="S5199" s="13"/>
      <c r="T5199" s="16"/>
      <c r="U5199" s="16"/>
      <c r="V5199" s="16"/>
      <c r="W5199" s="13"/>
      <c r="X5199" s="34">
        <v>5195</v>
      </c>
      <c r="Y5199" s="34" t="s">
        <v>2248</v>
      </c>
      <c r="Z5199" s="34" t="s">
        <v>3908</v>
      </c>
      <c r="AA5199" s="35">
        <v>2.3203629032258069E-3</v>
      </c>
      <c r="AB5199" s="13"/>
      <c r="AC5199" s="13"/>
      <c r="AD5199" s="13"/>
      <c r="AE5199" s="13"/>
      <c r="AF5199" s="13"/>
    </row>
    <row r="5200" spans="19:32" x14ac:dyDescent="0.35">
      <c r="S5200" s="13"/>
      <c r="T5200" s="16"/>
      <c r="U5200" s="16"/>
      <c r="V5200" s="16"/>
      <c r="W5200" s="13"/>
      <c r="X5200" s="34">
        <v>5196</v>
      </c>
      <c r="Y5200" s="34" t="s">
        <v>2248</v>
      </c>
      <c r="Z5200" s="34" t="s">
        <v>3658</v>
      </c>
      <c r="AA5200" s="35">
        <v>2.3306451612903227E-2</v>
      </c>
      <c r="AB5200" s="13"/>
      <c r="AC5200" s="13"/>
      <c r="AD5200" s="13"/>
      <c r="AE5200" s="13"/>
      <c r="AF5200" s="13"/>
    </row>
    <row r="5201" spans="19:32" x14ac:dyDescent="0.35">
      <c r="S5201" s="13"/>
      <c r="T5201" s="16"/>
      <c r="U5201" s="16"/>
      <c r="V5201" s="16"/>
      <c r="W5201" s="13"/>
      <c r="X5201" s="34">
        <v>5197</v>
      </c>
      <c r="Y5201" s="34" t="s">
        <v>2248</v>
      </c>
      <c r="Z5201" s="34" t="s">
        <v>3907</v>
      </c>
      <c r="AA5201" s="35">
        <v>2.6322580645161292E-3</v>
      </c>
      <c r="AB5201" s="13"/>
      <c r="AC5201" s="13"/>
      <c r="AD5201" s="13"/>
      <c r="AE5201" s="13"/>
      <c r="AF5201" s="13"/>
    </row>
    <row r="5202" spans="19:32" x14ac:dyDescent="0.35">
      <c r="S5202" s="13"/>
      <c r="T5202" s="16"/>
      <c r="U5202" s="16"/>
      <c r="V5202" s="16"/>
      <c r="W5202" s="13"/>
      <c r="X5202" s="34">
        <v>5198</v>
      </c>
      <c r="Y5202" s="34" t="s">
        <v>2248</v>
      </c>
      <c r="Z5202" s="34" t="s">
        <v>3072</v>
      </c>
      <c r="AA5202" s="35">
        <v>9.4939516129032261E-5</v>
      </c>
      <c r="AB5202" s="13"/>
      <c r="AC5202" s="13"/>
      <c r="AD5202" s="13"/>
      <c r="AE5202" s="13"/>
      <c r="AF5202" s="13"/>
    </row>
    <row r="5203" spans="19:32" x14ac:dyDescent="0.35">
      <c r="S5203" s="13"/>
      <c r="T5203" s="16"/>
      <c r="U5203" s="16"/>
      <c r="V5203" s="16"/>
      <c r="W5203" s="13"/>
      <c r="X5203" s="34">
        <v>5199</v>
      </c>
      <c r="Y5203" s="34" t="s">
        <v>2248</v>
      </c>
      <c r="Z5203" s="34" t="s">
        <v>3656</v>
      </c>
      <c r="AA5203" s="35">
        <v>4.6955645161290329E-3</v>
      </c>
      <c r="AB5203" s="13"/>
      <c r="AC5203" s="13"/>
      <c r="AD5203" s="13"/>
      <c r="AE5203" s="13"/>
      <c r="AF5203" s="13"/>
    </row>
    <row r="5204" spans="19:32" x14ac:dyDescent="0.35">
      <c r="S5204" s="13"/>
      <c r="T5204" s="16"/>
      <c r="U5204" s="16"/>
      <c r="V5204" s="16"/>
      <c r="W5204" s="13"/>
      <c r="X5204" s="47">
        <v>5200</v>
      </c>
      <c r="Y5204" s="47" t="s">
        <v>2248</v>
      </c>
      <c r="Z5204" s="47" t="s">
        <v>2373</v>
      </c>
      <c r="AA5204" s="56">
        <v>0</v>
      </c>
      <c r="AB5204" s="13"/>
      <c r="AC5204" s="13"/>
      <c r="AD5204" s="13"/>
      <c r="AE5204" s="13"/>
      <c r="AF5204" s="13"/>
    </row>
    <row r="5205" spans="19:32" x14ac:dyDescent="0.35">
      <c r="S5205" s="13"/>
      <c r="T5205" s="16"/>
      <c r="U5205" s="16"/>
      <c r="V5205" s="16"/>
      <c r="W5205" s="13"/>
      <c r="X5205" s="34">
        <v>5201</v>
      </c>
      <c r="Y5205" s="34" t="s">
        <v>2248</v>
      </c>
      <c r="Z5205" s="34" t="s">
        <v>2373</v>
      </c>
      <c r="AA5205" s="35">
        <v>0.20084677419354841</v>
      </c>
      <c r="AB5205" s="13"/>
      <c r="AC5205" s="13"/>
      <c r="AD5205" s="13"/>
      <c r="AE5205" s="13"/>
      <c r="AF5205" s="13"/>
    </row>
    <row r="5206" spans="19:32" x14ac:dyDescent="0.35">
      <c r="S5206" s="13"/>
      <c r="T5206" s="16"/>
      <c r="U5206" s="16"/>
      <c r="V5206" s="16"/>
      <c r="W5206" s="13"/>
      <c r="X5206" s="34">
        <v>5202</v>
      </c>
      <c r="Y5206" s="34" t="s">
        <v>2248</v>
      </c>
      <c r="Z5206" s="34" t="s">
        <v>3654</v>
      </c>
      <c r="AA5206" s="35">
        <v>9.8366935483870967E-6</v>
      </c>
      <c r="AB5206" s="13"/>
      <c r="AC5206" s="13"/>
      <c r="AD5206" s="13"/>
      <c r="AE5206" s="13"/>
      <c r="AF5206" s="13"/>
    </row>
    <row r="5207" spans="19:32" x14ac:dyDescent="0.35">
      <c r="S5207" s="13"/>
      <c r="T5207" s="16"/>
      <c r="U5207" s="16"/>
      <c r="V5207" s="16"/>
      <c r="W5207" s="13"/>
      <c r="X5207" s="34">
        <v>5203</v>
      </c>
      <c r="Y5207" s="34" t="s">
        <v>2248</v>
      </c>
      <c r="Z5207" s="34" t="s">
        <v>3906</v>
      </c>
      <c r="AA5207" s="35">
        <v>2.4266129032258065E-5</v>
      </c>
      <c r="AB5207" s="13"/>
      <c r="AC5207" s="13"/>
      <c r="AD5207" s="13"/>
      <c r="AE5207" s="13"/>
      <c r="AF5207" s="13"/>
    </row>
    <row r="5208" spans="19:32" x14ac:dyDescent="0.35">
      <c r="S5208" s="13"/>
      <c r="T5208" s="16"/>
      <c r="U5208" s="16"/>
      <c r="V5208" s="16"/>
      <c r="W5208" s="13"/>
      <c r="X5208" s="47">
        <v>5204</v>
      </c>
      <c r="Y5208" s="47" t="s">
        <v>2248</v>
      </c>
      <c r="Z5208" s="47" t="s">
        <v>2371</v>
      </c>
      <c r="AA5208" s="56">
        <v>0</v>
      </c>
      <c r="AB5208" s="13"/>
      <c r="AC5208" s="13"/>
      <c r="AD5208" s="13"/>
      <c r="AE5208" s="13"/>
      <c r="AF5208" s="13"/>
    </row>
    <row r="5209" spans="19:32" x14ac:dyDescent="0.35">
      <c r="S5209" s="13"/>
      <c r="T5209" s="16"/>
      <c r="U5209" s="16"/>
      <c r="V5209" s="16"/>
      <c r="W5209" s="13"/>
      <c r="X5209" s="34">
        <v>5205</v>
      </c>
      <c r="Y5209" s="34" t="s">
        <v>2248</v>
      </c>
      <c r="Z5209" s="34" t="s">
        <v>3652</v>
      </c>
      <c r="AA5209" s="35">
        <v>3.3622983870967745E-6</v>
      </c>
      <c r="AB5209" s="13"/>
      <c r="AC5209" s="13"/>
      <c r="AD5209" s="13"/>
      <c r="AE5209" s="13"/>
      <c r="AF5209" s="13"/>
    </row>
    <row r="5210" spans="19:32" x14ac:dyDescent="0.35">
      <c r="S5210" s="13"/>
      <c r="T5210" s="16"/>
      <c r="U5210" s="16"/>
      <c r="V5210" s="16"/>
      <c r="W5210" s="13"/>
      <c r="X5210" s="34">
        <v>5206</v>
      </c>
      <c r="Y5210" s="34" t="s">
        <v>2248</v>
      </c>
      <c r="Z5210" s="34" t="s">
        <v>2371</v>
      </c>
      <c r="AA5210" s="35">
        <v>8.3971774193548395E-3</v>
      </c>
      <c r="AB5210" s="13"/>
      <c r="AC5210" s="13"/>
      <c r="AD5210" s="13"/>
      <c r="AE5210" s="13"/>
      <c r="AF5210" s="13"/>
    </row>
    <row r="5211" spans="19:32" x14ac:dyDescent="0.35">
      <c r="S5211" s="13"/>
      <c r="T5211" s="16"/>
      <c r="U5211" s="16"/>
      <c r="V5211" s="16"/>
      <c r="W5211" s="13"/>
      <c r="X5211" s="34">
        <v>5207</v>
      </c>
      <c r="Y5211" s="34" t="s">
        <v>2248</v>
      </c>
      <c r="Z5211" s="34" t="s">
        <v>2282</v>
      </c>
      <c r="AA5211" s="35">
        <v>1.3264112903225809E-3</v>
      </c>
      <c r="AB5211" s="13"/>
      <c r="AC5211" s="13"/>
      <c r="AD5211" s="13"/>
      <c r="AE5211" s="13"/>
      <c r="AF5211" s="13"/>
    </row>
    <row r="5212" spans="19:32" x14ac:dyDescent="0.35">
      <c r="S5212" s="13"/>
      <c r="T5212" s="16"/>
      <c r="U5212" s="16"/>
      <c r="V5212" s="16"/>
      <c r="W5212" s="13"/>
      <c r="X5212" s="34">
        <v>5208</v>
      </c>
      <c r="Y5212" s="34" t="s">
        <v>2248</v>
      </c>
      <c r="Z5212" s="34" t="s">
        <v>3905</v>
      </c>
      <c r="AA5212" s="35">
        <v>1.5423387096774195E-4</v>
      </c>
      <c r="AB5212" s="13"/>
      <c r="AC5212" s="13"/>
      <c r="AD5212" s="13"/>
      <c r="AE5212" s="13"/>
      <c r="AF5212" s="13"/>
    </row>
    <row r="5213" spans="19:32" x14ac:dyDescent="0.35">
      <c r="S5213" s="13"/>
      <c r="T5213" s="16"/>
      <c r="U5213" s="16"/>
      <c r="V5213" s="16"/>
      <c r="W5213" s="13"/>
      <c r="X5213" s="34">
        <v>5209</v>
      </c>
      <c r="Y5213" s="34" t="s">
        <v>2248</v>
      </c>
      <c r="Z5213" s="34" t="s">
        <v>3065</v>
      </c>
      <c r="AA5213" s="35">
        <v>1.0796370967741937E-3</v>
      </c>
      <c r="AB5213" s="13"/>
      <c r="AC5213" s="13"/>
      <c r="AD5213" s="13"/>
      <c r="AE5213" s="13"/>
      <c r="AF5213" s="13"/>
    </row>
    <row r="5214" spans="19:32" x14ac:dyDescent="0.35">
      <c r="S5214" s="13"/>
      <c r="T5214" s="16"/>
      <c r="U5214" s="16"/>
      <c r="V5214" s="16"/>
      <c r="W5214" s="13"/>
      <c r="X5214" s="34">
        <v>5210</v>
      </c>
      <c r="Y5214" s="34" t="s">
        <v>2248</v>
      </c>
      <c r="Z5214" s="34" t="s">
        <v>3904</v>
      </c>
      <c r="AA5214" s="35">
        <v>8.3971774193548389E-4</v>
      </c>
      <c r="AB5214" s="13"/>
      <c r="AC5214" s="13"/>
      <c r="AD5214" s="13"/>
      <c r="AE5214" s="13"/>
      <c r="AF5214" s="13"/>
    </row>
    <row r="5215" spans="19:32" x14ac:dyDescent="0.35">
      <c r="S5215" s="13"/>
      <c r="T5215" s="16"/>
      <c r="U5215" s="16"/>
      <c r="V5215" s="16"/>
      <c r="W5215" s="13"/>
      <c r="X5215" s="34">
        <v>5211</v>
      </c>
      <c r="Y5215" s="34" t="s">
        <v>2248</v>
      </c>
      <c r="Z5215" s="34" t="s">
        <v>3646</v>
      </c>
      <c r="AA5215" s="35">
        <v>5.175403225806452E-2</v>
      </c>
      <c r="AB5215" s="13"/>
      <c r="AC5215" s="13"/>
      <c r="AD5215" s="13"/>
      <c r="AE5215" s="13"/>
      <c r="AF5215" s="13"/>
    </row>
    <row r="5216" spans="19:32" x14ac:dyDescent="0.35">
      <c r="S5216" s="13"/>
      <c r="T5216" s="16"/>
      <c r="U5216" s="16"/>
      <c r="V5216" s="16"/>
      <c r="W5216" s="13"/>
      <c r="X5216" s="34">
        <v>5212</v>
      </c>
      <c r="Y5216" s="34" t="s">
        <v>2248</v>
      </c>
      <c r="Z5216" s="34" t="s">
        <v>3903</v>
      </c>
      <c r="AA5216" s="35">
        <v>0.18233870967741936</v>
      </c>
      <c r="AB5216" s="13"/>
      <c r="AC5216" s="13"/>
      <c r="AD5216" s="13"/>
      <c r="AE5216" s="13"/>
      <c r="AF5216" s="13"/>
    </row>
    <row r="5217" spans="19:32" x14ac:dyDescent="0.35">
      <c r="S5217" s="13"/>
      <c r="T5217" s="16"/>
      <c r="U5217" s="16"/>
      <c r="V5217" s="16"/>
      <c r="W5217" s="13"/>
      <c r="X5217" s="34">
        <v>5213</v>
      </c>
      <c r="Y5217" s="34" t="s">
        <v>2248</v>
      </c>
      <c r="Z5217" s="34" t="s">
        <v>3064</v>
      </c>
      <c r="AA5217" s="35">
        <v>5.7237903225806452E-4</v>
      </c>
      <c r="AB5217" s="13"/>
      <c r="AC5217" s="13"/>
      <c r="AD5217" s="13"/>
      <c r="AE5217" s="13"/>
      <c r="AF5217" s="13"/>
    </row>
    <row r="5218" spans="19:32" x14ac:dyDescent="0.35">
      <c r="S5218" s="13"/>
      <c r="T5218" s="16"/>
      <c r="U5218" s="16"/>
      <c r="V5218" s="16"/>
      <c r="W5218" s="13"/>
      <c r="X5218" s="34">
        <v>5214</v>
      </c>
      <c r="Y5218" s="34" t="s">
        <v>2248</v>
      </c>
      <c r="Z5218" s="34" t="s">
        <v>3644</v>
      </c>
      <c r="AA5218" s="35">
        <v>1.1173387096774193E-4</v>
      </c>
      <c r="AB5218" s="13"/>
      <c r="AC5218" s="13"/>
      <c r="AD5218" s="13"/>
      <c r="AE5218" s="13"/>
      <c r="AF5218" s="13"/>
    </row>
    <row r="5219" spans="19:32" x14ac:dyDescent="0.35">
      <c r="S5219" s="13"/>
      <c r="T5219" s="16"/>
      <c r="U5219" s="16"/>
      <c r="V5219" s="16"/>
      <c r="W5219" s="13"/>
      <c r="X5219" s="34">
        <v>5215</v>
      </c>
      <c r="Y5219" s="34" t="s">
        <v>2248</v>
      </c>
      <c r="Z5219" s="34" t="s">
        <v>3902</v>
      </c>
      <c r="AA5219" s="35">
        <v>1.6485887096774192E-4</v>
      </c>
      <c r="AB5219" s="13"/>
      <c r="AC5219" s="13"/>
      <c r="AD5219" s="13"/>
      <c r="AE5219" s="13"/>
      <c r="AF5219" s="13"/>
    </row>
    <row r="5220" spans="19:32" x14ac:dyDescent="0.35">
      <c r="S5220" s="13"/>
      <c r="T5220" s="16"/>
      <c r="U5220" s="16"/>
      <c r="V5220" s="16"/>
      <c r="W5220" s="13"/>
      <c r="X5220" s="34">
        <v>5216</v>
      </c>
      <c r="Y5220" s="34" t="s">
        <v>2248</v>
      </c>
      <c r="Z5220" s="34" t="s">
        <v>3642</v>
      </c>
      <c r="AA5220" s="35">
        <v>1.3812500000000001E-6</v>
      </c>
      <c r="AB5220" s="13"/>
      <c r="AC5220" s="13"/>
      <c r="AD5220" s="13"/>
      <c r="AE5220" s="13"/>
      <c r="AF5220" s="13"/>
    </row>
    <row r="5221" spans="19:32" x14ac:dyDescent="0.35">
      <c r="S5221" s="13"/>
      <c r="T5221" s="16"/>
      <c r="U5221" s="16"/>
      <c r="V5221" s="16"/>
      <c r="W5221" s="13"/>
      <c r="X5221" s="34">
        <v>5217</v>
      </c>
      <c r="Y5221" s="34" t="s">
        <v>2248</v>
      </c>
      <c r="Z5221" s="34" t="s">
        <v>3901</v>
      </c>
      <c r="AA5221" s="35">
        <v>1.158467741935484E-4</v>
      </c>
      <c r="AB5221" s="13"/>
      <c r="AC5221" s="13"/>
      <c r="AD5221" s="13"/>
      <c r="AE5221" s="13"/>
      <c r="AF5221" s="13"/>
    </row>
    <row r="5222" spans="19:32" x14ac:dyDescent="0.35">
      <c r="S5222" s="13"/>
      <c r="T5222" s="16"/>
      <c r="U5222" s="16"/>
      <c r="V5222" s="16"/>
      <c r="W5222" s="13"/>
      <c r="X5222" s="34">
        <v>5218</v>
      </c>
      <c r="Y5222" s="34" t="s">
        <v>2248</v>
      </c>
      <c r="Z5222" s="34" t="s">
        <v>3900</v>
      </c>
      <c r="AA5222" s="35">
        <v>4.2842741935483872E-4</v>
      </c>
      <c r="AB5222" s="13"/>
      <c r="AC5222" s="13"/>
      <c r="AD5222" s="13"/>
      <c r="AE5222" s="13"/>
      <c r="AF5222" s="13"/>
    </row>
    <row r="5223" spans="19:32" x14ac:dyDescent="0.35">
      <c r="S5223" s="13"/>
      <c r="T5223" s="16"/>
      <c r="U5223" s="16"/>
      <c r="V5223" s="16"/>
      <c r="W5223" s="13"/>
      <c r="X5223" s="34">
        <v>5219</v>
      </c>
      <c r="Y5223" s="34" t="s">
        <v>2248</v>
      </c>
      <c r="Z5223" s="34" t="s">
        <v>3899</v>
      </c>
      <c r="AA5223" s="35">
        <v>2.875604838709678E-3</v>
      </c>
      <c r="AB5223" s="13"/>
      <c r="AC5223" s="13"/>
      <c r="AD5223" s="13"/>
      <c r="AE5223" s="13"/>
      <c r="AF5223" s="13"/>
    </row>
    <row r="5224" spans="19:32" x14ac:dyDescent="0.35">
      <c r="S5224" s="13"/>
      <c r="T5224" s="16"/>
      <c r="U5224" s="16"/>
      <c r="V5224" s="16"/>
      <c r="W5224" s="13"/>
      <c r="X5224" s="34">
        <v>5220</v>
      </c>
      <c r="Y5224" s="34" t="s">
        <v>2248</v>
      </c>
      <c r="Z5224" s="34" t="s">
        <v>3639</v>
      </c>
      <c r="AA5224" s="35">
        <v>1.5320564516129034E-2</v>
      </c>
      <c r="AB5224" s="13"/>
      <c r="AC5224" s="13"/>
      <c r="AD5224" s="13"/>
      <c r="AE5224" s="13"/>
      <c r="AF5224" s="13"/>
    </row>
    <row r="5225" spans="19:32" x14ac:dyDescent="0.35">
      <c r="S5225" s="13"/>
      <c r="T5225" s="16"/>
      <c r="U5225" s="16"/>
      <c r="V5225" s="16"/>
      <c r="W5225" s="13"/>
      <c r="X5225" s="47">
        <v>5221</v>
      </c>
      <c r="Y5225" s="47" t="s">
        <v>2248</v>
      </c>
      <c r="Z5225" s="47" t="s">
        <v>2370</v>
      </c>
      <c r="AA5225" s="56">
        <v>0.44988</v>
      </c>
      <c r="AB5225" s="13"/>
      <c r="AC5225" s="13"/>
      <c r="AD5225" s="13"/>
      <c r="AE5225" s="13"/>
      <c r="AF5225" s="13"/>
    </row>
    <row r="5226" spans="19:32" x14ac:dyDescent="0.35">
      <c r="S5226" s="13"/>
      <c r="T5226" s="16"/>
      <c r="U5226" s="16"/>
      <c r="V5226" s="16"/>
      <c r="W5226" s="13"/>
      <c r="X5226" s="34">
        <v>5222</v>
      </c>
      <c r="Y5226" s="34" t="s">
        <v>2248</v>
      </c>
      <c r="Z5226" s="34" t="s">
        <v>3635</v>
      </c>
      <c r="AA5226" s="35">
        <v>2.0221774193548389E-4</v>
      </c>
      <c r="AB5226" s="13"/>
      <c r="AC5226" s="13"/>
      <c r="AD5226" s="13"/>
      <c r="AE5226" s="13"/>
      <c r="AF5226" s="13"/>
    </row>
    <row r="5227" spans="19:32" x14ac:dyDescent="0.35">
      <c r="S5227" s="13"/>
      <c r="T5227" s="16"/>
      <c r="U5227" s="16"/>
      <c r="V5227" s="16"/>
      <c r="W5227" s="13"/>
      <c r="X5227" s="34">
        <v>5223</v>
      </c>
      <c r="Y5227" s="34" t="s">
        <v>2248</v>
      </c>
      <c r="Z5227" s="34" t="s">
        <v>3061</v>
      </c>
      <c r="AA5227" s="35">
        <v>2.0461693548387099E-5</v>
      </c>
      <c r="AB5227" s="13"/>
      <c r="AC5227" s="13"/>
      <c r="AD5227" s="13"/>
      <c r="AE5227" s="13"/>
      <c r="AF5227" s="13"/>
    </row>
    <row r="5228" spans="19:32" x14ac:dyDescent="0.35">
      <c r="S5228" s="13"/>
      <c r="T5228" s="16"/>
      <c r="U5228" s="16"/>
      <c r="V5228" s="16"/>
      <c r="W5228" s="13"/>
      <c r="X5228" s="47">
        <v>5224</v>
      </c>
      <c r="Y5228" s="47" t="s">
        <v>2248</v>
      </c>
      <c r="Z5228" s="47" t="s">
        <v>2368</v>
      </c>
      <c r="AA5228" s="56">
        <v>1.4996</v>
      </c>
      <c r="AB5228" s="13"/>
      <c r="AC5228" s="13"/>
      <c r="AD5228" s="13"/>
      <c r="AE5228" s="13"/>
      <c r="AF5228" s="13"/>
    </row>
    <row r="5229" spans="19:32" x14ac:dyDescent="0.35">
      <c r="S5229" s="13"/>
      <c r="T5229" s="16"/>
      <c r="U5229" s="16"/>
      <c r="V5229" s="16"/>
      <c r="W5229" s="13"/>
      <c r="X5229" s="34">
        <v>5225</v>
      </c>
      <c r="Y5229" s="34" t="s">
        <v>2248</v>
      </c>
      <c r="Z5229" s="34" t="s">
        <v>3632</v>
      </c>
      <c r="AA5229" s="35">
        <v>11.893145161290324</v>
      </c>
      <c r="AB5229" s="13"/>
      <c r="AC5229" s="13"/>
      <c r="AD5229" s="13"/>
      <c r="AE5229" s="13"/>
      <c r="AF5229" s="13"/>
    </row>
    <row r="5230" spans="19:32" x14ac:dyDescent="0.35">
      <c r="S5230" s="13"/>
      <c r="T5230" s="16"/>
      <c r="U5230" s="16"/>
      <c r="V5230" s="16"/>
      <c r="W5230" s="13"/>
      <c r="X5230" s="34">
        <v>5226</v>
      </c>
      <c r="Y5230" s="34" t="s">
        <v>2248</v>
      </c>
      <c r="Z5230" s="34" t="s">
        <v>3898</v>
      </c>
      <c r="AA5230" s="35">
        <v>1.144758064516129</v>
      </c>
      <c r="AB5230" s="13"/>
      <c r="AC5230" s="13"/>
      <c r="AD5230" s="13"/>
      <c r="AE5230" s="13"/>
      <c r="AF5230" s="13"/>
    </row>
    <row r="5231" spans="19:32" x14ac:dyDescent="0.35">
      <c r="S5231" s="13"/>
      <c r="T5231" s="16"/>
      <c r="U5231" s="16"/>
      <c r="V5231" s="16"/>
      <c r="W5231" s="13"/>
      <c r="X5231" s="34">
        <v>5227</v>
      </c>
      <c r="Y5231" s="34" t="s">
        <v>2248</v>
      </c>
      <c r="Z5231" s="34" t="s">
        <v>3631</v>
      </c>
      <c r="AA5231" s="35">
        <v>1.7993951612903228E-3</v>
      </c>
      <c r="AB5231" s="13"/>
      <c r="AC5231" s="13"/>
      <c r="AD5231" s="13"/>
      <c r="AE5231" s="13"/>
      <c r="AF5231" s="13"/>
    </row>
    <row r="5232" spans="19:32" x14ac:dyDescent="0.35">
      <c r="S5232" s="13"/>
      <c r="T5232" s="16"/>
      <c r="U5232" s="16"/>
      <c r="V5232" s="16"/>
      <c r="W5232" s="13"/>
      <c r="X5232" s="34">
        <v>5228</v>
      </c>
      <c r="Y5232" s="34" t="s">
        <v>2248</v>
      </c>
      <c r="Z5232" s="34" t="s">
        <v>3897</v>
      </c>
      <c r="AA5232" s="35">
        <v>5.3467741935483877E-5</v>
      </c>
      <c r="AB5232" s="13"/>
      <c r="AC5232" s="13"/>
      <c r="AD5232" s="13"/>
      <c r="AE5232" s="13"/>
      <c r="AF5232" s="13"/>
    </row>
    <row r="5233" spans="19:32" x14ac:dyDescent="0.35">
      <c r="S5233" s="13"/>
      <c r="T5233" s="16"/>
      <c r="U5233" s="16"/>
      <c r="V5233" s="16"/>
      <c r="W5233" s="13"/>
      <c r="X5233" s="34">
        <v>5229</v>
      </c>
      <c r="Y5233" s="34" t="s">
        <v>2248</v>
      </c>
      <c r="Z5233" s="34" t="s">
        <v>3896</v>
      </c>
      <c r="AA5233" s="35">
        <v>1.2510080645161291E-3</v>
      </c>
      <c r="AB5233" s="13"/>
      <c r="AC5233" s="13"/>
      <c r="AD5233" s="13"/>
      <c r="AE5233" s="13"/>
      <c r="AF5233" s="13"/>
    </row>
    <row r="5234" spans="19:32" x14ac:dyDescent="0.35">
      <c r="S5234" s="13"/>
      <c r="T5234" s="16"/>
      <c r="U5234" s="16"/>
      <c r="V5234" s="16"/>
      <c r="W5234" s="13"/>
      <c r="X5234" s="34">
        <v>5230</v>
      </c>
      <c r="Y5234" s="34" t="s">
        <v>2248</v>
      </c>
      <c r="Z5234" s="34" t="s">
        <v>3895</v>
      </c>
      <c r="AA5234" s="35">
        <v>1.0213709677419356E-3</v>
      </c>
      <c r="AB5234" s="13"/>
      <c r="AC5234" s="13"/>
      <c r="AD5234" s="13"/>
      <c r="AE5234" s="13"/>
      <c r="AF5234" s="13"/>
    </row>
    <row r="5235" spans="19:32" x14ac:dyDescent="0.35">
      <c r="S5235" s="13"/>
      <c r="T5235" s="16"/>
      <c r="U5235" s="16"/>
      <c r="V5235" s="16"/>
      <c r="W5235" s="13"/>
      <c r="X5235" s="34">
        <v>5231</v>
      </c>
      <c r="Y5235" s="34" t="s">
        <v>2248</v>
      </c>
      <c r="Z5235" s="34" t="s">
        <v>3629</v>
      </c>
      <c r="AA5235" s="35">
        <v>2.1866935483870971E-5</v>
      </c>
      <c r="AB5235" s="13"/>
      <c r="AC5235" s="13"/>
      <c r="AD5235" s="13"/>
      <c r="AE5235" s="13"/>
      <c r="AF5235" s="13"/>
    </row>
    <row r="5236" spans="19:32" x14ac:dyDescent="0.35">
      <c r="S5236" s="13"/>
      <c r="T5236" s="16"/>
      <c r="U5236" s="16"/>
      <c r="V5236" s="16"/>
      <c r="W5236" s="13"/>
      <c r="X5236" s="34">
        <v>5232</v>
      </c>
      <c r="Y5236" s="34" t="s">
        <v>2248</v>
      </c>
      <c r="Z5236" s="34" t="s">
        <v>3894</v>
      </c>
      <c r="AA5236" s="35">
        <v>5.0040322580645162E-4</v>
      </c>
      <c r="AB5236" s="13"/>
      <c r="AC5236" s="13"/>
      <c r="AD5236" s="13"/>
      <c r="AE5236" s="13"/>
      <c r="AF5236" s="13"/>
    </row>
    <row r="5237" spans="19:32" x14ac:dyDescent="0.35">
      <c r="S5237" s="13"/>
      <c r="T5237" s="16"/>
      <c r="U5237" s="16"/>
      <c r="V5237" s="16"/>
      <c r="W5237" s="13"/>
      <c r="X5237" s="34">
        <v>5233</v>
      </c>
      <c r="Y5237" s="34" t="s">
        <v>2248</v>
      </c>
      <c r="Z5237" s="34" t="s">
        <v>3625</v>
      </c>
      <c r="AA5237" s="35">
        <v>2.6185483870967744E-3</v>
      </c>
      <c r="AB5237" s="13"/>
      <c r="AC5237" s="13"/>
      <c r="AD5237" s="13"/>
      <c r="AE5237" s="13"/>
      <c r="AF5237" s="13"/>
    </row>
    <row r="5238" spans="19:32" x14ac:dyDescent="0.35">
      <c r="S5238" s="13"/>
      <c r="T5238" s="16"/>
      <c r="U5238" s="16"/>
      <c r="V5238" s="16"/>
      <c r="W5238" s="13"/>
      <c r="X5238" s="34">
        <v>5234</v>
      </c>
      <c r="Y5238" s="34" t="s">
        <v>2248</v>
      </c>
      <c r="Z5238" s="34" t="s">
        <v>3893</v>
      </c>
      <c r="AA5238" s="35">
        <v>8.5000000000000006E-5</v>
      </c>
      <c r="AB5238" s="13"/>
      <c r="AC5238" s="13"/>
      <c r="AD5238" s="13"/>
      <c r="AE5238" s="13"/>
      <c r="AF5238" s="13"/>
    </row>
    <row r="5239" spans="19:32" x14ac:dyDescent="0.35">
      <c r="S5239" s="13"/>
      <c r="T5239" s="16"/>
      <c r="U5239" s="16"/>
      <c r="V5239" s="16"/>
      <c r="W5239" s="13"/>
      <c r="X5239" s="47">
        <v>5235</v>
      </c>
      <c r="Y5239" s="47" t="s">
        <v>2248</v>
      </c>
      <c r="Z5239" s="47" t="s">
        <v>2367</v>
      </c>
      <c r="AA5239" s="56">
        <v>0</v>
      </c>
      <c r="AB5239" s="13"/>
      <c r="AC5239" s="13"/>
      <c r="AD5239" s="13"/>
      <c r="AE5239" s="13"/>
      <c r="AF5239" s="13"/>
    </row>
    <row r="5240" spans="19:32" x14ac:dyDescent="0.35">
      <c r="S5240" s="13"/>
      <c r="T5240" s="16"/>
      <c r="U5240" s="16"/>
      <c r="V5240" s="16"/>
      <c r="W5240" s="13"/>
      <c r="X5240" s="34">
        <v>5236</v>
      </c>
      <c r="Y5240" s="34" t="s">
        <v>2248</v>
      </c>
      <c r="Z5240" s="34" t="s">
        <v>3624</v>
      </c>
      <c r="AA5240" s="35">
        <v>2.2004032258064517E-3</v>
      </c>
      <c r="AB5240" s="13"/>
      <c r="AC5240" s="13"/>
      <c r="AD5240" s="13"/>
      <c r="AE5240" s="13"/>
      <c r="AF5240" s="13"/>
    </row>
    <row r="5241" spans="19:32" x14ac:dyDescent="0.35">
      <c r="S5241" s="13"/>
      <c r="T5241" s="16"/>
      <c r="U5241" s="16"/>
      <c r="V5241" s="16"/>
      <c r="W5241" s="13"/>
      <c r="X5241" s="34">
        <v>5237</v>
      </c>
      <c r="Y5241" s="34" t="s">
        <v>2248</v>
      </c>
      <c r="Z5241" s="34" t="s">
        <v>3892</v>
      </c>
      <c r="AA5241" s="35">
        <v>1.2681451612903228E-4</v>
      </c>
      <c r="AB5241" s="13"/>
      <c r="AC5241" s="13"/>
      <c r="AD5241" s="13"/>
      <c r="AE5241" s="13"/>
      <c r="AF5241" s="13"/>
    </row>
    <row r="5242" spans="19:32" x14ac:dyDescent="0.35">
      <c r="S5242" s="13"/>
      <c r="T5242" s="16"/>
      <c r="U5242" s="16"/>
      <c r="V5242" s="16"/>
      <c r="W5242" s="13"/>
      <c r="X5242" s="34">
        <v>5238</v>
      </c>
      <c r="Y5242" s="34" t="s">
        <v>2248</v>
      </c>
      <c r="Z5242" s="34" t="s">
        <v>3891</v>
      </c>
      <c r="AA5242" s="35">
        <v>2.7762096774193554E-5</v>
      </c>
      <c r="AB5242" s="13"/>
      <c r="AC5242" s="13"/>
      <c r="AD5242" s="13"/>
      <c r="AE5242" s="13"/>
      <c r="AF5242" s="13"/>
    </row>
    <row r="5243" spans="19:32" x14ac:dyDescent="0.35">
      <c r="S5243" s="13"/>
      <c r="T5243" s="16"/>
      <c r="U5243" s="16"/>
      <c r="V5243" s="16"/>
      <c r="W5243" s="13"/>
      <c r="X5243" s="34">
        <v>5239</v>
      </c>
      <c r="Y5243" s="34" t="s">
        <v>2248</v>
      </c>
      <c r="Z5243" s="34" t="s">
        <v>3890</v>
      </c>
      <c r="AA5243" s="35">
        <v>5.0040322580645162E-4</v>
      </c>
      <c r="AB5243" s="13"/>
      <c r="AC5243" s="13"/>
      <c r="AD5243" s="13"/>
      <c r="AE5243" s="13"/>
      <c r="AF5243" s="13"/>
    </row>
    <row r="5244" spans="19:32" x14ac:dyDescent="0.35">
      <c r="S5244" s="13"/>
      <c r="T5244" s="16"/>
      <c r="U5244" s="16"/>
      <c r="V5244" s="16"/>
      <c r="W5244" s="13"/>
      <c r="X5244" s="34">
        <v>5240</v>
      </c>
      <c r="Y5244" s="34" t="s">
        <v>2248</v>
      </c>
      <c r="Z5244" s="34" t="s">
        <v>3622</v>
      </c>
      <c r="AA5244" s="35">
        <v>0.42157258064516134</v>
      </c>
      <c r="AB5244" s="13"/>
      <c r="AC5244" s="13"/>
      <c r="AD5244" s="13"/>
      <c r="AE5244" s="13"/>
      <c r="AF5244" s="13"/>
    </row>
    <row r="5245" spans="19:32" x14ac:dyDescent="0.35">
      <c r="S5245" s="13"/>
      <c r="T5245" s="16"/>
      <c r="U5245" s="16"/>
      <c r="V5245" s="16"/>
      <c r="W5245" s="13"/>
      <c r="X5245" s="34">
        <v>5241</v>
      </c>
      <c r="Y5245" s="34" t="s">
        <v>2248</v>
      </c>
      <c r="Z5245" s="34" t="s">
        <v>3889</v>
      </c>
      <c r="AA5245" s="35">
        <v>3.0264112903225811E-6</v>
      </c>
      <c r="AB5245" s="13"/>
      <c r="AC5245" s="13"/>
      <c r="AD5245" s="13"/>
      <c r="AE5245" s="13"/>
      <c r="AF5245" s="13"/>
    </row>
    <row r="5246" spans="19:32" x14ac:dyDescent="0.35">
      <c r="S5246" s="13"/>
      <c r="T5246" s="16"/>
      <c r="U5246" s="16"/>
      <c r="V5246" s="16"/>
      <c r="W5246" s="13"/>
      <c r="X5246" s="34">
        <v>5242</v>
      </c>
      <c r="Y5246" s="34" t="s">
        <v>2248</v>
      </c>
      <c r="Z5246" s="34" t="s">
        <v>3620</v>
      </c>
      <c r="AA5246" s="35">
        <v>1.1276209677419357E-5</v>
      </c>
      <c r="AB5246" s="13"/>
      <c r="AC5246" s="13"/>
      <c r="AD5246" s="13"/>
      <c r="AE5246" s="13"/>
      <c r="AF5246" s="13"/>
    </row>
    <row r="5247" spans="19:32" x14ac:dyDescent="0.35">
      <c r="S5247" s="13"/>
      <c r="T5247" s="16"/>
      <c r="U5247" s="16"/>
      <c r="V5247" s="16"/>
      <c r="W5247" s="13"/>
      <c r="X5247" s="47">
        <v>5243</v>
      </c>
      <c r="Y5247" s="47" t="s">
        <v>2248</v>
      </c>
      <c r="Z5247" s="47" t="s">
        <v>2365</v>
      </c>
      <c r="AA5247" s="56">
        <v>0.56211999999999995</v>
      </c>
      <c r="AB5247" s="13"/>
      <c r="AC5247" s="13"/>
      <c r="AD5247" s="13"/>
      <c r="AE5247" s="13"/>
      <c r="AF5247" s="13"/>
    </row>
    <row r="5248" spans="19:32" x14ac:dyDescent="0.35">
      <c r="S5248" s="13"/>
      <c r="T5248" s="16"/>
      <c r="U5248" s="16"/>
      <c r="V5248" s="16"/>
      <c r="W5248" s="13"/>
      <c r="X5248" s="34">
        <v>5244</v>
      </c>
      <c r="Y5248" s="34" t="s">
        <v>2248</v>
      </c>
      <c r="Z5248" s="34" t="s">
        <v>3888</v>
      </c>
      <c r="AA5248" s="35">
        <v>1.5320564516129035E-5</v>
      </c>
      <c r="AB5248" s="13"/>
      <c r="AC5248" s="13"/>
      <c r="AD5248" s="13"/>
      <c r="AE5248" s="13"/>
      <c r="AF5248" s="13"/>
    </row>
    <row r="5249" spans="19:32" x14ac:dyDescent="0.35">
      <c r="S5249" s="13"/>
      <c r="T5249" s="16"/>
      <c r="U5249" s="16"/>
      <c r="V5249" s="16"/>
      <c r="W5249" s="13"/>
      <c r="X5249" s="34">
        <v>5245</v>
      </c>
      <c r="Y5249" s="34" t="s">
        <v>2248</v>
      </c>
      <c r="Z5249" s="34" t="s">
        <v>3617</v>
      </c>
      <c r="AA5249" s="35">
        <v>3.8387096774193555E-6</v>
      </c>
      <c r="AB5249" s="13"/>
      <c r="AC5249" s="13"/>
      <c r="AD5249" s="13"/>
      <c r="AE5249" s="13"/>
      <c r="AF5249" s="13"/>
    </row>
    <row r="5250" spans="19:32" x14ac:dyDescent="0.35">
      <c r="S5250" s="13"/>
      <c r="T5250" s="16"/>
      <c r="U5250" s="16"/>
      <c r="V5250" s="16"/>
      <c r="W5250" s="13"/>
      <c r="X5250" s="34">
        <v>5246</v>
      </c>
      <c r="Y5250" s="34" t="s">
        <v>2248</v>
      </c>
      <c r="Z5250" s="34" t="s">
        <v>3887</v>
      </c>
      <c r="AA5250" s="35">
        <v>10.625</v>
      </c>
      <c r="AB5250" s="13"/>
      <c r="AC5250" s="13"/>
      <c r="AD5250" s="13"/>
      <c r="AE5250" s="13"/>
      <c r="AF5250" s="13"/>
    </row>
    <row r="5251" spans="19:32" x14ac:dyDescent="0.35">
      <c r="S5251" s="13"/>
      <c r="T5251" s="16"/>
      <c r="U5251" s="16"/>
      <c r="V5251" s="16"/>
      <c r="W5251" s="13"/>
      <c r="X5251" s="34">
        <v>5247</v>
      </c>
      <c r="Y5251" s="34" t="s">
        <v>2248</v>
      </c>
      <c r="Z5251" s="34" t="s">
        <v>3886</v>
      </c>
      <c r="AA5251" s="35">
        <v>4.6612903225806451E-4</v>
      </c>
      <c r="AB5251" s="13"/>
      <c r="AC5251" s="13"/>
      <c r="AD5251" s="13"/>
      <c r="AE5251" s="13"/>
      <c r="AF5251" s="13"/>
    </row>
    <row r="5252" spans="19:32" x14ac:dyDescent="0.35">
      <c r="S5252" s="13"/>
      <c r="T5252" s="16"/>
      <c r="U5252" s="16"/>
      <c r="V5252" s="16"/>
      <c r="W5252" s="13"/>
      <c r="X5252" s="34">
        <v>5248</v>
      </c>
      <c r="Y5252" s="34" t="s">
        <v>2248</v>
      </c>
      <c r="Z5252" s="34" t="s">
        <v>2276</v>
      </c>
      <c r="AA5252" s="35">
        <v>5.5524193548387099E-2</v>
      </c>
      <c r="AB5252" s="13"/>
      <c r="AC5252" s="13"/>
      <c r="AD5252" s="13"/>
      <c r="AE5252" s="13"/>
      <c r="AF5252" s="13"/>
    </row>
    <row r="5253" spans="19:32" x14ac:dyDescent="0.35">
      <c r="S5253" s="13"/>
      <c r="T5253" s="16"/>
      <c r="U5253" s="16"/>
      <c r="V5253" s="16"/>
      <c r="W5253" s="13"/>
      <c r="X5253" s="34">
        <v>5249</v>
      </c>
      <c r="Y5253" s="34" t="s">
        <v>2248</v>
      </c>
      <c r="Z5253" s="34" t="s">
        <v>3885</v>
      </c>
      <c r="AA5253" s="35">
        <v>9.8709677419354843E-5</v>
      </c>
      <c r="AB5253" s="13"/>
      <c r="AC5253" s="13"/>
      <c r="AD5253" s="13"/>
      <c r="AE5253" s="13"/>
      <c r="AF5253" s="13"/>
    </row>
    <row r="5254" spans="19:32" x14ac:dyDescent="0.35">
      <c r="S5254" s="13"/>
      <c r="T5254" s="16"/>
      <c r="U5254" s="16"/>
      <c r="V5254" s="16"/>
      <c r="W5254" s="13"/>
      <c r="X5254" s="47">
        <v>5250</v>
      </c>
      <c r="Y5254" s="47" t="s">
        <v>2248</v>
      </c>
      <c r="Z5254" s="47" t="s">
        <v>2363</v>
      </c>
      <c r="AA5254" s="56">
        <v>0</v>
      </c>
      <c r="AB5254" s="13"/>
      <c r="AC5254" s="13"/>
      <c r="AD5254" s="13"/>
      <c r="AE5254" s="13"/>
      <c r="AF5254" s="13"/>
    </row>
    <row r="5255" spans="19:32" x14ac:dyDescent="0.35">
      <c r="S5255" s="13"/>
      <c r="T5255" s="16"/>
      <c r="U5255" s="16"/>
      <c r="V5255" s="16"/>
      <c r="W5255" s="13"/>
      <c r="X5255" s="34">
        <v>5251</v>
      </c>
      <c r="Y5255" s="34" t="s">
        <v>2248</v>
      </c>
      <c r="Z5255" s="34" t="s">
        <v>2274</v>
      </c>
      <c r="AA5255" s="35">
        <v>3.9415322580645161E-3</v>
      </c>
      <c r="AB5255" s="13"/>
      <c r="AC5255" s="13"/>
      <c r="AD5255" s="13"/>
      <c r="AE5255" s="13"/>
      <c r="AF5255" s="13"/>
    </row>
    <row r="5256" spans="19:32" x14ac:dyDescent="0.35">
      <c r="S5256" s="13"/>
      <c r="T5256" s="16"/>
      <c r="U5256" s="16"/>
      <c r="V5256" s="16"/>
      <c r="W5256" s="13"/>
      <c r="X5256" s="34">
        <v>5252</v>
      </c>
      <c r="Y5256" s="34" t="s">
        <v>2248</v>
      </c>
      <c r="Z5256" s="34" t="s">
        <v>2363</v>
      </c>
      <c r="AA5256" s="35">
        <v>1.4840725806451613</v>
      </c>
      <c r="AB5256" s="13"/>
      <c r="AC5256" s="13"/>
      <c r="AD5256" s="13"/>
      <c r="AE5256" s="13"/>
      <c r="AF5256" s="13"/>
    </row>
    <row r="5257" spans="19:32" x14ac:dyDescent="0.35">
      <c r="S5257" s="13"/>
      <c r="T5257" s="16"/>
      <c r="U5257" s="16"/>
      <c r="V5257" s="16"/>
      <c r="W5257" s="13"/>
      <c r="X5257" s="34">
        <v>5253</v>
      </c>
      <c r="Y5257" s="34" t="s">
        <v>2248</v>
      </c>
      <c r="Z5257" s="34" t="s">
        <v>2273</v>
      </c>
      <c r="AA5257" s="35">
        <v>1.2818548387096776E-9</v>
      </c>
      <c r="AB5257" s="13"/>
      <c r="AC5257" s="13"/>
      <c r="AD5257" s="13"/>
      <c r="AE5257" s="13"/>
      <c r="AF5257" s="13"/>
    </row>
    <row r="5258" spans="19:32" x14ac:dyDescent="0.35">
      <c r="S5258" s="13"/>
      <c r="T5258" s="16"/>
      <c r="U5258" s="16"/>
      <c r="V5258" s="16"/>
      <c r="W5258" s="13"/>
      <c r="X5258" s="34">
        <v>5254</v>
      </c>
      <c r="Y5258" s="34" t="s">
        <v>2248</v>
      </c>
      <c r="Z5258" s="34" t="s">
        <v>3884</v>
      </c>
      <c r="AA5258" s="35">
        <v>4.3528225806451615E-5</v>
      </c>
      <c r="AB5258" s="13"/>
      <c r="AC5258" s="13"/>
      <c r="AD5258" s="13"/>
      <c r="AE5258" s="13"/>
      <c r="AF5258" s="13"/>
    </row>
    <row r="5259" spans="19:32" x14ac:dyDescent="0.35">
      <c r="S5259" s="13"/>
      <c r="T5259" s="16"/>
      <c r="U5259" s="16"/>
      <c r="V5259" s="16"/>
      <c r="W5259" s="13"/>
      <c r="X5259" s="34">
        <v>5255</v>
      </c>
      <c r="Y5259" s="34" t="s">
        <v>2248</v>
      </c>
      <c r="Z5259" s="34" t="s">
        <v>3883</v>
      </c>
      <c r="AA5259" s="35">
        <v>9.1512096774193561E-7</v>
      </c>
      <c r="AB5259" s="13"/>
      <c r="AC5259" s="13"/>
      <c r="AD5259" s="13"/>
      <c r="AE5259" s="13"/>
      <c r="AF5259" s="13"/>
    </row>
    <row r="5260" spans="19:32" x14ac:dyDescent="0.35">
      <c r="S5260" s="13"/>
      <c r="T5260" s="16"/>
      <c r="U5260" s="16"/>
      <c r="V5260" s="16"/>
      <c r="W5260" s="13"/>
      <c r="X5260" s="34">
        <v>5256</v>
      </c>
      <c r="Y5260" s="34" t="s">
        <v>2248</v>
      </c>
      <c r="Z5260" s="34" t="s">
        <v>3882</v>
      </c>
      <c r="AA5260" s="35">
        <v>6.1693548387096783E-3</v>
      </c>
      <c r="AB5260" s="13"/>
      <c r="AC5260" s="13"/>
      <c r="AD5260" s="13"/>
      <c r="AE5260" s="13"/>
      <c r="AF5260" s="13"/>
    </row>
    <row r="5261" spans="19:32" x14ac:dyDescent="0.35">
      <c r="S5261" s="13"/>
      <c r="T5261" s="16"/>
      <c r="U5261" s="16"/>
      <c r="V5261" s="16"/>
      <c r="W5261" s="13"/>
      <c r="X5261" s="34">
        <v>5257</v>
      </c>
      <c r="Y5261" s="34" t="s">
        <v>2248</v>
      </c>
      <c r="Z5261" s="34" t="s">
        <v>3610</v>
      </c>
      <c r="AA5261" s="35">
        <v>2.6391129032258067E-4</v>
      </c>
      <c r="AB5261" s="13"/>
      <c r="AC5261" s="13"/>
      <c r="AD5261" s="13"/>
      <c r="AE5261" s="13"/>
      <c r="AF5261" s="13"/>
    </row>
    <row r="5262" spans="19:32" x14ac:dyDescent="0.35">
      <c r="S5262" s="13"/>
      <c r="T5262" s="16"/>
      <c r="U5262" s="16"/>
      <c r="V5262" s="16"/>
      <c r="W5262" s="13"/>
      <c r="X5262" s="34">
        <v>5258</v>
      </c>
      <c r="Y5262" s="34" t="s">
        <v>2248</v>
      </c>
      <c r="Z5262" s="34" t="s">
        <v>3881</v>
      </c>
      <c r="AA5262" s="35">
        <v>1.1790322580645161E-6</v>
      </c>
      <c r="AB5262" s="13"/>
      <c r="AC5262" s="13"/>
      <c r="AD5262" s="13"/>
      <c r="AE5262" s="13"/>
      <c r="AF5262" s="13"/>
    </row>
    <row r="5263" spans="19:32" x14ac:dyDescent="0.35">
      <c r="S5263" s="13"/>
      <c r="T5263" s="16"/>
      <c r="U5263" s="16"/>
      <c r="V5263" s="16"/>
      <c r="W5263" s="13"/>
      <c r="X5263" s="34">
        <v>5259</v>
      </c>
      <c r="Y5263" s="34" t="s">
        <v>2248</v>
      </c>
      <c r="Z5263" s="34" t="s">
        <v>3880</v>
      </c>
      <c r="AA5263" s="35">
        <v>5.2439516129032266E-3</v>
      </c>
      <c r="AB5263" s="13"/>
      <c r="AC5263" s="13"/>
      <c r="AD5263" s="13"/>
      <c r="AE5263" s="13"/>
      <c r="AF5263" s="13"/>
    </row>
    <row r="5264" spans="19:32" x14ac:dyDescent="0.35">
      <c r="S5264" s="13"/>
      <c r="T5264" s="16"/>
      <c r="U5264" s="16"/>
      <c r="V5264" s="16"/>
      <c r="W5264" s="13"/>
      <c r="X5264" s="34">
        <v>5260</v>
      </c>
      <c r="Y5264" s="34" t="s">
        <v>2248</v>
      </c>
      <c r="Z5264" s="34" t="s">
        <v>3605</v>
      </c>
      <c r="AA5264" s="35">
        <v>2.0735887096774195E-4</v>
      </c>
      <c r="AB5264" s="13"/>
      <c r="AC5264" s="13"/>
      <c r="AD5264" s="13"/>
      <c r="AE5264" s="13"/>
      <c r="AF5264" s="13"/>
    </row>
    <row r="5265" spans="19:32" x14ac:dyDescent="0.35">
      <c r="S5265" s="13"/>
      <c r="T5265" s="16"/>
      <c r="U5265" s="16"/>
      <c r="V5265" s="16"/>
      <c r="W5265" s="13"/>
      <c r="X5265" s="34">
        <v>5261</v>
      </c>
      <c r="Y5265" s="34" t="s">
        <v>2248</v>
      </c>
      <c r="Z5265" s="34" t="s">
        <v>3879</v>
      </c>
      <c r="AA5265" s="35">
        <v>9.3568548387096783E-7</v>
      </c>
      <c r="AB5265" s="13"/>
      <c r="AC5265" s="13"/>
      <c r="AD5265" s="13"/>
      <c r="AE5265" s="13"/>
      <c r="AF5265" s="13"/>
    </row>
    <row r="5266" spans="19:32" x14ac:dyDescent="0.35">
      <c r="S5266" s="13"/>
      <c r="T5266" s="16"/>
      <c r="U5266" s="16"/>
      <c r="V5266" s="16"/>
      <c r="W5266" s="13"/>
      <c r="X5266" s="34">
        <v>5262</v>
      </c>
      <c r="Y5266" s="34" t="s">
        <v>2248</v>
      </c>
      <c r="Z5266" s="34" t="s">
        <v>3604</v>
      </c>
      <c r="AA5266" s="35">
        <v>1.2304435483870969E-5</v>
      </c>
      <c r="AB5266" s="13"/>
      <c r="AC5266" s="13"/>
      <c r="AD5266" s="13"/>
      <c r="AE5266" s="13"/>
      <c r="AF5266" s="13"/>
    </row>
    <row r="5267" spans="19:32" x14ac:dyDescent="0.35">
      <c r="S5267" s="13"/>
      <c r="T5267" s="16"/>
      <c r="U5267" s="16"/>
      <c r="V5267" s="16"/>
      <c r="W5267" s="13"/>
      <c r="X5267" s="47">
        <v>5263</v>
      </c>
      <c r="Y5267" s="47" t="s">
        <v>2248</v>
      </c>
      <c r="Z5267" s="47" t="s">
        <v>2362</v>
      </c>
      <c r="AA5267" s="56">
        <v>0</v>
      </c>
      <c r="AB5267" s="13"/>
      <c r="AC5267" s="13"/>
      <c r="AD5267" s="13"/>
      <c r="AE5267" s="13"/>
      <c r="AF5267" s="13"/>
    </row>
    <row r="5268" spans="19:32" x14ac:dyDescent="0.35">
      <c r="S5268" s="13"/>
      <c r="T5268" s="16"/>
      <c r="U5268" s="16"/>
      <c r="V5268" s="16"/>
      <c r="W5268" s="13"/>
      <c r="X5268" s="34">
        <v>5264</v>
      </c>
      <c r="Y5268" s="34" t="s">
        <v>2248</v>
      </c>
      <c r="Z5268" s="34" t="s">
        <v>2362</v>
      </c>
      <c r="AA5268" s="35">
        <v>4.4213709677419356E-6</v>
      </c>
      <c r="AB5268" s="13"/>
      <c r="AC5268" s="13"/>
      <c r="AD5268" s="13"/>
      <c r="AE5268" s="13"/>
      <c r="AF5268" s="13"/>
    </row>
    <row r="5269" spans="19:32" x14ac:dyDescent="0.35">
      <c r="S5269" s="13"/>
      <c r="T5269" s="16"/>
      <c r="U5269" s="16"/>
      <c r="V5269" s="16"/>
      <c r="W5269" s="13"/>
      <c r="X5269" s="34">
        <v>5265</v>
      </c>
      <c r="Y5269" s="34" t="s">
        <v>2248</v>
      </c>
      <c r="Z5269" s="34" t="s">
        <v>3878</v>
      </c>
      <c r="AA5269" s="35">
        <v>1.9502016129032261E-4</v>
      </c>
      <c r="AB5269" s="13"/>
      <c r="AC5269" s="13"/>
      <c r="AD5269" s="13"/>
      <c r="AE5269" s="13"/>
      <c r="AF5269" s="13"/>
    </row>
    <row r="5270" spans="19:32" x14ac:dyDescent="0.35">
      <c r="S5270" s="13"/>
      <c r="T5270" s="16"/>
      <c r="U5270" s="16"/>
      <c r="V5270" s="16"/>
      <c r="W5270" s="13"/>
      <c r="X5270" s="34">
        <v>5266</v>
      </c>
      <c r="Y5270" s="34" t="s">
        <v>2248</v>
      </c>
      <c r="Z5270" s="34" t="s">
        <v>3602</v>
      </c>
      <c r="AA5270" s="35">
        <v>3.8729838709677424E-4</v>
      </c>
      <c r="AB5270" s="13"/>
      <c r="AC5270" s="13"/>
      <c r="AD5270" s="13"/>
      <c r="AE5270" s="13"/>
      <c r="AF5270" s="13"/>
    </row>
    <row r="5271" spans="19:32" x14ac:dyDescent="0.35">
      <c r="S5271" s="13"/>
      <c r="T5271" s="16"/>
      <c r="U5271" s="16"/>
      <c r="V5271" s="16"/>
      <c r="W5271" s="13"/>
      <c r="X5271" s="34">
        <v>5267</v>
      </c>
      <c r="Y5271" s="34" t="s">
        <v>2248</v>
      </c>
      <c r="Z5271" s="34" t="s">
        <v>3877</v>
      </c>
      <c r="AA5271" s="35">
        <v>2.8070564516129035E-2</v>
      </c>
      <c r="AB5271" s="13"/>
      <c r="AC5271" s="13"/>
      <c r="AD5271" s="13"/>
      <c r="AE5271" s="13"/>
      <c r="AF5271" s="13"/>
    </row>
    <row r="5272" spans="19:32" x14ac:dyDescent="0.35">
      <c r="S5272" s="13"/>
      <c r="T5272" s="16"/>
      <c r="U5272" s="16"/>
      <c r="V5272" s="16"/>
      <c r="W5272" s="13"/>
      <c r="X5272" s="34">
        <v>5268</v>
      </c>
      <c r="Y5272" s="34" t="s">
        <v>2248</v>
      </c>
      <c r="Z5272" s="34" t="s">
        <v>3598</v>
      </c>
      <c r="AA5272" s="35">
        <v>3.9415322580645167E-2</v>
      </c>
      <c r="AB5272" s="13"/>
      <c r="AC5272" s="13"/>
      <c r="AD5272" s="13"/>
      <c r="AE5272" s="13"/>
      <c r="AF5272" s="13"/>
    </row>
    <row r="5273" spans="19:32" x14ac:dyDescent="0.35">
      <c r="S5273" s="13"/>
      <c r="T5273" s="16"/>
      <c r="U5273" s="16"/>
      <c r="V5273" s="16"/>
      <c r="W5273" s="13"/>
      <c r="X5273" s="34">
        <v>5269</v>
      </c>
      <c r="Y5273" s="34" t="s">
        <v>2248</v>
      </c>
      <c r="Z5273" s="34" t="s">
        <v>3876</v>
      </c>
      <c r="AA5273" s="35">
        <v>0.60322580645161294</v>
      </c>
      <c r="AB5273" s="13"/>
      <c r="AC5273" s="13"/>
      <c r="AD5273" s="13"/>
      <c r="AE5273" s="13"/>
      <c r="AF5273" s="13"/>
    </row>
    <row r="5274" spans="19:32" x14ac:dyDescent="0.35">
      <c r="S5274" s="13"/>
      <c r="T5274" s="16"/>
      <c r="U5274" s="16"/>
      <c r="V5274" s="16"/>
      <c r="W5274" s="13"/>
      <c r="X5274" s="34">
        <v>5270</v>
      </c>
      <c r="Y5274" s="34" t="s">
        <v>2248</v>
      </c>
      <c r="Z5274" s="34" t="s">
        <v>3875</v>
      </c>
      <c r="AA5274" s="35">
        <v>8.6370967741935493E-4</v>
      </c>
      <c r="AB5274" s="13"/>
      <c r="AC5274" s="13"/>
      <c r="AD5274" s="13"/>
      <c r="AE5274" s="13"/>
      <c r="AF5274" s="13"/>
    </row>
    <row r="5275" spans="19:32" x14ac:dyDescent="0.35">
      <c r="S5275" s="13"/>
      <c r="T5275" s="16"/>
      <c r="U5275" s="16"/>
      <c r="V5275" s="16"/>
      <c r="W5275" s="13"/>
      <c r="X5275" s="34">
        <v>5271</v>
      </c>
      <c r="Y5275" s="34" t="s">
        <v>2248</v>
      </c>
      <c r="Z5275" s="34" t="s">
        <v>2265</v>
      </c>
      <c r="AA5275" s="35">
        <v>1.0453629032258065E-4</v>
      </c>
      <c r="AB5275" s="13"/>
      <c r="AC5275" s="13"/>
      <c r="AD5275" s="13"/>
      <c r="AE5275" s="13"/>
      <c r="AF5275" s="13"/>
    </row>
    <row r="5276" spans="19:32" x14ac:dyDescent="0.35">
      <c r="S5276" s="13"/>
      <c r="T5276" s="16"/>
      <c r="U5276" s="16"/>
      <c r="V5276" s="16"/>
      <c r="W5276" s="13"/>
      <c r="X5276" s="34">
        <v>5272</v>
      </c>
      <c r="Y5276" s="34" t="s">
        <v>2248</v>
      </c>
      <c r="Z5276" s="34" t="s">
        <v>3874</v>
      </c>
      <c r="AA5276" s="35">
        <v>1.9879032258064519E-2</v>
      </c>
      <c r="AB5276" s="13"/>
      <c r="AC5276" s="13"/>
      <c r="AD5276" s="13"/>
      <c r="AE5276" s="13"/>
      <c r="AF5276" s="13"/>
    </row>
    <row r="5277" spans="19:32" x14ac:dyDescent="0.35">
      <c r="S5277" s="13"/>
      <c r="T5277" s="16"/>
      <c r="U5277" s="16"/>
      <c r="V5277" s="16"/>
      <c r="W5277" s="13"/>
      <c r="X5277" s="47">
        <v>5273</v>
      </c>
      <c r="Y5277" s="47" t="s">
        <v>2248</v>
      </c>
      <c r="Z5277" s="47" t="s">
        <v>2360</v>
      </c>
      <c r="AA5277" s="56">
        <v>0</v>
      </c>
      <c r="AB5277" s="13"/>
      <c r="AC5277" s="13"/>
      <c r="AD5277" s="13"/>
      <c r="AE5277" s="13"/>
      <c r="AF5277" s="13"/>
    </row>
    <row r="5278" spans="19:32" x14ac:dyDescent="0.35">
      <c r="S5278" s="13"/>
      <c r="T5278" s="16"/>
      <c r="U5278" s="16"/>
      <c r="V5278" s="16"/>
      <c r="W5278" s="13"/>
      <c r="X5278" s="34">
        <v>5274</v>
      </c>
      <c r="Y5278" s="34" t="s">
        <v>2248</v>
      </c>
      <c r="Z5278" s="34" t="s">
        <v>3593</v>
      </c>
      <c r="AA5278" s="35">
        <v>3.2663306451612904E-4</v>
      </c>
      <c r="AB5278" s="13"/>
      <c r="AC5278" s="13"/>
      <c r="AD5278" s="13"/>
      <c r="AE5278" s="13"/>
      <c r="AF5278" s="13"/>
    </row>
    <row r="5279" spans="19:32" x14ac:dyDescent="0.35">
      <c r="S5279" s="13"/>
      <c r="T5279" s="16"/>
      <c r="U5279" s="16"/>
      <c r="V5279" s="16"/>
      <c r="W5279" s="13"/>
      <c r="X5279" s="34">
        <v>5275</v>
      </c>
      <c r="Y5279" s="34" t="s">
        <v>2248</v>
      </c>
      <c r="Z5279" s="34" t="s">
        <v>3059</v>
      </c>
      <c r="AA5279" s="35">
        <v>4.7983870967741937E-5</v>
      </c>
      <c r="AB5279" s="13"/>
      <c r="AC5279" s="13"/>
      <c r="AD5279" s="13"/>
      <c r="AE5279" s="13"/>
      <c r="AF5279" s="13"/>
    </row>
    <row r="5280" spans="19:32" x14ac:dyDescent="0.35">
      <c r="S5280" s="13"/>
      <c r="T5280" s="16"/>
      <c r="U5280" s="16"/>
      <c r="V5280" s="16"/>
      <c r="W5280" s="13"/>
      <c r="X5280" s="47">
        <v>5276</v>
      </c>
      <c r="Y5280" s="47" t="s">
        <v>2248</v>
      </c>
      <c r="Z5280" s="47" t="s">
        <v>2359</v>
      </c>
      <c r="AA5280" s="56">
        <v>0</v>
      </c>
      <c r="AB5280" s="13"/>
      <c r="AC5280" s="13"/>
      <c r="AD5280" s="13"/>
      <c r="AE5280" s="13"/>
      <c r="AF5280" s="13"/>
    </row>
    <row r="5281" spans="19:32" x14ac:dyDescent="0.35">
      <c r="S5281" s="13"/>
      <c r="T5281" s="16"/>
      <c r="U5281" s="16"/>
      <c r="V5281" s="16"/>
      <c r="W5281" s="13"/>
      <c r="X5281" s="34">
        <v>5277</v>
      </c>
      <c r="Y5281" s="34" t="s">
        <v>2248</v>
      </c>
      <c r="Z5281" s="34" t="s">
        <v>3592</v>
      </c>
      <c r="AA5281" s="35">
        <v>1.7822580645161291E-3</v>
      </c>
      <c r="AB5281" s="13"/>
      <c r="AC5281" s="13"/>
      <c r="AD5281" s="13"/>
      <c r="AE5281" s="13"/>
      <c r="AF5281" s="13"/>
    </row>
    <row r="5282" spans="19:32" x14ac:dyDescent="0.35">
      <c r="S5282" s="13"/>
      <c r="T5282" s="16"/>
      <c r="U5282" s="16"/>
      <c r="V5282" s="16"/>
      <c r="W5282" s="13"/>
      <c r="X5282" s="47">
        <v>5278</v>
      </c>
      <c r="Y5282" s="47" t="s">
        <v>2248</v>
      </c>
      <c r="Z5282" s="47" t="s">
        <v>2357</v>
      </c>
      <c r="AA5282" s="56">
        <v>0</v>
      </c>
      <c r="AB5282" s="13"/>
      <c r="AC5282" s="13"/>
      <c r="AD5282" s="13"/>
      <c r="AE5282" s="13"/>
      <c r="AF5282" s="13"/>
    </row>
    <row r="5283" spans="19:32" x14ac:dyDescent="0.35">
      <c r="S5283" s="13"/>
      <c r="T5283" s="16"/>
      <c r="U5283" s="16"/>
      <c r="V5283" s="16"/>
      <c r="W5283" s="13"/>
      <c r="X5283" s="34">
        <v>5279</v>
      </c>
      <c r="Y5283" s="34" t="s">
        <v>2248</v>
      </c>
      <c r="Z5283" s="34" t="s">
        <v>2357</v>
      </c>
      <c r="AA5283" s="35">
        <v>0.13264112903225808</v>
      </c>
      <c r="AB5283" s="13"/>
      <c r="AC5283" s="13"/>
      <c r="AD5283" s="13"/>
      <c r="AE5283" s="13"/>
      <c r="AF5283" s="13"/>
    </row>
    <row r="5284" spans="19:32" x14ac:dyDescent="0.35">
      <c r="S5284" s="13"/>
      <c r="T5284" s="16"/>
      <c r="U5284" s="16"/>
      <c r="V5284" s="16"/>
      <c r="W5284" s="13"/>
      <c r="X5284" s="34">
        <v>5280</v>
      </c>
      <c r="Y5284" s="34" t="s">
        <v>2248</v>
      </c>
      <c r="Z5284" s="34" t="s">
        <v>3589</v>
      </c>
      <c r="AA5284" s="35">
        <v>7.0604838709677423E-5</v>
      </c>
      <c r="AB5284" s="13"/>
      <c r="AC5284" s="13"/>
      <c r="AD5284" s="13"/>
      <c r="AE5284" s="13"/>
      <c r="AF5284" s="13"/>
    </row>
    <row r="5285" spans="19:32" x14ac:dyDescent="0.35">
      <c r="S5285" s="13"/>
      <c r="T5285" s="16"/>
      <c r="U5285" s="16"/>
      <c r="V5285" s="16"/>
      <c r="W5285" s="13"/>
      <c r="X5285" s="34">
        <v>5281</v>
      </c>
      <c r="Y5285" s="34" t="s">
        <v>2248</v>
      </c>
      <c r="Z5285" s="34" t="s">
        <v>3873</v>
      </c>
      <c r="AA5285" s="35">
        <v>3.1840725806451614E-4</v>
      </c>
      <c r="AB5285" s="13"/>
      <c r="AC5285" s="13"/>
      <c r="AD5285" s="13"/>
      <c r="AE5285" s="13"/>
      <c r="AF5285" s="13"/>
    </row>
    <row r="5286" spans="19:32" x14ac:dyDescent="0.35">
      <c r="S5286" s="13"/>
      <c r="T5286" s="16"/>
      <c r="U5286" s="16"/>
      <c r="V5286" s="16"/>
      <c r="W5286" s="13"/>
      <c r="X5286" s="47">
        <v>5282</v>
      </c>
      <c r="Y5286" s="47" t="s">
        <v>2248</v>
      </c>
      <c r="Z5286" s="47" t="s">
        <v>2356</v>
      </c>
      <c r="AA5286" s="56">
        <v>40.756</v>
      </c>
      <c r="AB5286" s="13"/>
      <c r="AC5286" s="13"/>
      <c r="AD5286" s="13"/>
      <c r="AE5286" s="13"/>
      <c r="AF5286" s="13"/>
    </row>
    <row r="5287" spans="19:32" x14ac:dyDescent="0.35">
      <c r="S5287" s="13"/>
      <c r="T5287" s="16"/>
      <c r="U5287" s="16"/>
      <c r="V5287" s="16"/>
      <c r="W5287" s="13"/>
      <c r="X5287" s="34">
        <v>5283</v>
      </c>
      <c r="Y5287" s="34" t="s">
        <v>2248</v>
      </c>
      <c r="Z5287" s="34" t="s">
        <v>3587</v>
      </c>
      <c r="AA5287" s="35">
        <v>3.249193548387097E-4</v>
      </c>
      <c r="AB5287" s="13"/>
      <c r="AC5287" s="13"/>
      <c r="AD5287" s="13"/>
      <c r="AE5287" s="13"/>
      <c r="AF5287" s="13"/>
    </row>
    <row r="5288" spans="19:32" x14ac:dyDescent="0.35">
      <c r="S5288" s="13"/>
      <c r="T5288" s="16"/>
      <c r="U5288" s="16"/>
      <c r="V5288" s="16"/>
      <c r="W5288" s="13"/>
      <c r="X5288" s="47">
        <v>5284</v>
      </c>
      <c r="Y5288" s="47" t="s">
        <v>2248</v>
      </c>
      <c r="Z5288" s="47" t="s">
        <v>2354</v>
      </c>
      <c r="AA5288" s="56">
        <v>0</v>
      </c>
      <c r="AB5288" s="13"/>
      <c r="AC5288" s="13"/>
      <c r="AD5288" s="13"/>
      <c r="AE5288" s="13"/>
      <c r="AF5288" s="13"/>
    </row>
    <row r="5289" spans="19:32" x14ac:dyDescent="0.35">
      <c r="S5289" s="13"/>
      <c r="T5289" s="16"/>
      <c r="U5289" s="16"/>
      <c r="V5289" s="16"/>
      <c r="W5289" s="13"/>
      <c r="X5289" s="34">
        <v>5285</v>
      </c>
      <c r="Y5289" s="34" t="s">
        <v>2248</v>
      </c>
      <c r="Z5289" s="34" t="s">
        <v>3872</v>
      </c>
      <c r="AA5289" s="35">
        <v>3.8729838709677424E-3</v>
      </c>
      <c r="AB5289" s="13"/>
      <c r="AC5289" s="13"/>
      <c r="AD5289" s="13"/>
      <c r="AE5289" s="13"/>
      <c r="AF5289" s="13"/>
    </row>
    <row r="5290" spans="19:32" x14ac:dyDescent="0.35">
      <c r="S5290" s="13"/>
      <c r="T5290" s="16"/>
      <c r="U5290" s="16"/>
      <c r="V5290" s="16"/>
      <c r="W5290" s="13"/>
      <c r="X5290" s="34">
        <v>5286</v>
      </c>
      <c r="Y5290" s="34" t="s">
        <v>2248</v>
      </c>
      <c r="Z5290" s="34" t="s">
        <v>3585</v>
      </c>
      <c r="AA5290" s="35">
        <v>1.7993951612903229E-5</v>
      </c>
      <c r="AB5290" s="13"/>
      <c r="AC5290" s="13"/>
      <c r="AD5290" s="13"/>
      <c r="AE5290" s="13"/>
      <c r="AF5290" s="13"/>
    </row>
    <row r="5291" spans="19:32" x14ac:dyDescent="0.35">
      <c r="S5291" s="13"/>
      <c r="T5291" s="16"/>
      <c r="U5291" s="16"/>
      <c r="V5291" s="16"/>
      <c r="W5291" s="13"/>
      <c r="X5291" s="34">
        <v>5287</v>
      </c>
      <c r="Y5291" s="34" t="s">
        <v>2248</v>
      </c>
      <c r="Z5291" s="34" t="s">
        <v>3871</v>
      </c>
      <c r="AA5291" s="35">
        <v>3.9758064516129035E-3</v>
      </c>
      <c r="AB5291" s="13"/>
      <c r="AC5291" s="13"/>
      <c r="AD5291" s="13"/>
      <c r="AE5291" s="13"/>
      <c r="AF5291" s="13"/>
    </row>
    <row r="5292" spans="19:32" x14ac:dyDescent="0.35">
      <c r="S5292" s="13"/>
      <c r="T5292" s="16"/>
      <c r="U5292" s="16"/>
      <c r="V5292" s="16"/>
      <c r="W5292" s="13"/>
      <c r="X5292" s="34">
        <v>5288</v>
      </c>
      <c r="Y5292" s="34" t="s">
        <v>2248</v>
      </c>
      <c r="Z5292" s="34" t="s">
        <v>3583</v>
      </c>
      <c r="AA5292" s="35">
        <v>1.9913306451612904</v>
      </c>
      <c r="AB5292" s="13"/>
      <c r="AC5292" s="13"/>
      <c r="AD5292" s="13"/>
      <c r="AE5292" s="13"/>
      <c r="AF5292" s="13"/>
    </row>
    <row r="5293" spans="19:32" x14ac:dyDescent="0.35">
      <c r="S5293" s="13"/>
      <c r="T5293" s="16"/>
      <c r="U5293" s="16"/>
      <c r="V5293" s="16"/>
      <c r="W5293" s="13"/>
      <c r="X5293" s="34">
        <v>5289</v>
      </c>
      <c r="Y5293" s="34" t="s">
        <v>2248</v>
      </c>
      <c r="Z5293" s="34" t="s">
        <v>3870</v>
      </c>
      <c r="AA5293" s="35">
        <v>1.7137096774193551E-2</v>
      </c>
      <c r="AB5293" s="13"/>
      <c r="AC5293" s="13"/>
      <c r="AD5293" s="13"/>
      <c r="AE5293" s="13"/>
      <c r="AF5293" s="13"/>
    </row>
    <row r="5294" spans="19:32" x14ac:dyDescent="0.35">
      <c r="S5294" s="13"/>
      <c r="T5294" s="16"/>
      <c r="U5294" s="16"/>
      <c r="V5294" s="16"/>
      <c r="W5294" s="13"/>
      <c r="X5294" s="34">
        <v>5290</v>
      </c>
      <c r="Y5294" s="34" t="s">
        <v>2248</v>
      </c>
      <c r="Z5294" s="34" t="s">
        <v>3869</v>
      </c>
      <c r="AA5294" s="35">
        <v>1.1310483870967743E-5</v>
      </c>
      <c r="AB5294" s="13"/>
      <c r="AC5294" s="13"/>
      <c r="AD5294" s="13"/>
      <c r="AE5294" s="13"/>
      <c r="AF5294" s="13"/>
    </row>
    <row r="5295" spans="19:32" x14ac:dyDescent="0.35">
      <c r="S5295" s="13"/>
      <c r="T5295" s="16"/>
      <c r="U5295" s="16"/>
      <c r="V5295" s="16"/>
      <c r="W5295" s="13"/>
      <c r="X5295" s="47">
        <v>5291</v>
      </c>
      <c r="Y5295" s="47" t="s">
        <v>2248</v>
      </c>
      <c r="Z5295" s="47" t="s">
        <v>2352</v>
      </c>
      <c r="AA5295" s="56">
        <v>0.98439999999999994</v>
      </c>
      <c r="AB5295" s="13"/>
      <c r="AC5295" s="13"/>
      <c r="AD5295" s="13"/>
      <c r="AE5295" s="13"/>
      <c r="AF5295" s="13"/>
    </row>
    <row r="5296" spans="19:32" x14ac:dyDescent="0.35">
      <c r="S5296" s="13"/>
      <c r="T5296" s="16"/>
      <c r="U5296" s="16"/>
      <c r="V5296" s="16"/>
      <c r="W5296" s="13"/>
      <c r="X5296" s="34">
        <v>5292</v>
      </c>
      <c r="Y5296" s="34" t="s">
        <v>2248</v>
      </c>
      <c r="Z5296" s="34" t="s">
        <v>3581</v>
      </c>
      <c r="AA5296" s="35">
        <v>1.7548387096774196E-3</v>
      </c>
      <c r="AB5296" s="13"/>
      <c r="AC5296" s="13"/>
      <c r="AD5296" s="13"/>
      <c r="AE5296" s="13"/>
      <c r="AF5296" s="13"/>
    </row>
    <row r="5297" spans="19:32" x14ac:dyDescent="0.35">
      <c r="S5297" s="13"/>
      <c r="T5297" s="16"/>
      <c r="U5297" s="16"/>
      <c r="V5297" s="16"/>
      <c r="W5297" s="13"/>
      <c r="X5297" s="47">
        <v>5293</v>
      </c>
      <c r="Y5297" s="47" t="s">
        <v>2248</v>
      </c>
      <c r="Z5297" s="47" t="s">
        <v>2351</v>
      </c>
      <c r="AA5297" s="56">
        <v>0.51427999999999996</v>
      </c>
      <c r="AB5297" s="13"/>
      <c r="AC5297" s="13"/>
      <c r="AD5297" s="13"/>
      <c r="AE5297" s="13"/>
      <c r="AF5297" s="13"/>
    </row>
    <row r="5298" spans="19:32" x14ac:dyDescent="0.35">
      <c r="S5298" s="13"/>
      <c r="T5298" s="16"/>
      <c r="U5298" s="16"/>
      <c r="V5298" s="16"/>
      <c r="W5298" s="13"/>
      <c r="X5298" s="34">
        <v>5294</v>
      </c>
      <c r="Y5298" s="34" t="s">
        <v>2248</v>
      </c>
      <c r="Z5298" s="34" t="s">
        <v>3578</v>
      </c>
      <c r="AA5298" s="35">
        <v>2.5122983870967744E-3</v>
      </c>
      <c r="AB5298" s="13"/>
      <c r="AC5298" s="13"/>
      <c r="AD5298" s="13"/>
      <c r="AE5298" s="13"/>
      <c r="AF5298" s="13"/>
    </row>
    <row r="5299" spans="19:32" x14ac:dyDescent="0.35">
      <c r="S5299" s="13"/>
      <c r="T5299" s="16"/>
      <c r="U5299" s="16"/>
      <c r="V5299" s="16"/>
      <c r="W5299" s="13"/>
      <c r="X5299" s="47">
        <v>5295</v>
      </c>
      <c r="Y5299" s="47" t="s">
        <v>2248</v>
      </c>
      <c r="Z5299" s="47" t="s">
        <v>2349</v>
      </c>
      <c r="AA5299" s="56">
        <v>2.3552</v>
      </c>
      <c r="AB5299" s="13"/>
      <c r="AC5299" s="13"/>
      <c r="AD5299" s="13"/>
      <c r="AE5299" s="13"/>
      <c r="AF5299" s="13"/>
    </row>
    <row r="5300" spans="19:32" x14ac:dyDescent="0.35">
      <c r="S5300" s="13"/>
      <c r="T5300" s="16"/>
      <c r="U5300" s="16"/>
      <c r="V5300" s="16"/>
      <c r="W5300" s="13"/>
      <c r="X5300" s="34">
        <v>5296</v>
      </c>
      <c r="Y5300" s="34" t="s">
        <v>2248</v>
      </c>
      <c r="Z5300" s="34" t="s">
        <v>3868</v>
      </c>
      <c r="AA5300" s="35">
        <v>3.3622983870967745E-6</v>
      </c>
      <c r="AB5300" s="13"/>
      <c r="AC5300" s="13"/>
      <c r="AD5300" s="13"/>
      <c r="AE5300" s="13"/>
      <c r="AF5300" s="13"/>
    </row>
    <row r="5301" spans="19:32" x14ac:dyDescent="0.35">
      <c r="S5301" s="13"/>
      <c r="T5301" s="16"/>
      <c r="U5301" s="16"/>
      <c r="V5301" s="16"/>
      <c r="W5301" s="13"/>
      <c r="X5301" s="34">
        <v>5297</v>
      </c>
      <c r="Y5301" s="34" t="s">
        <v>2248</v>
      </c>
      <c r="Z5301" s="34" t="s">
        <v>3576</v>
      </c>
      <c r="AA5301" s="35">
        <v>6.6491935483870973E-3</v>
      </c>
      <c r="AB5301" s="13"/>
      <c r="AC5301" s="13"/>
      <c r="AD5301" s="13"/>
      <c r="AE5301" s="13"/>
      <c r="AF5301" s="13"/>
    </row>
    <row r="5302" spans="19:32" x14ac:dyDescent="0.35">
      <c r="S5302" s="13"/>
      <c r="T5302" s="16"/>
      <c r="U5302" s="16"/>
      <c r="V5302" s="16"/>
      <c r="W5302" s="13"/>
      <c r="X5302" s="47">
        <v>5298</v>
      </c>
      <c r="Y5302" s="47" t="s">
        <v>2248</v>
      </c>
      <c r="Z5302" s="47" t="s">
        <v>2348</v>
      </c>
      <c r="AA5302" s="56">
        <v>2.484</v>
      </c>
      <c r="AB5302" s="13"/>
      <c r="AC5302" s="13"/>
      <c r="AD5302" s="13"/>
      <c r="AE5302" s="13"/>
      <c r="AF5302" s="13"/>
    </row>
    <row r="5303" spans="19:32" x14ac:dyDescent="0.35">
      <c r="S5303" s="13"/>
      <c r="T5303" s="16"/>
      <c r="U5303" s="16"/>
      <c r="V5303" s="16"/>
      <c r="W5303" s="13"/>
      <c r="X5303" s="47">
        <v>5299</v>
      </c>
      <c r="Y5303" s="47" t="s">
        <v>2248</v>
      </c>
      <c r="Z5303" s="47" t="s">
        <v>2346</v>
      </c>
      <c r="AA5303" s="56">
        <v>1.6099999999999999</v>
      </c>
      <c r="AB5303" s="13"/>
      <c r="AC5303" s="13"/>
      <c r="AD5303" s="13"/>
      <c r="AE5303" s="13"/>
      <c r="AF5303" s="13"/>
    </row>
    <row r="5304" spans="19:32" x14ac:dyDescent="0.35">
      <c r="S5304" s="13"/>
      <c r="T5304" s="16"/>
      <c r="U5304" s="16"/>
      <c r="V5304" s="16"/>
      <c r="W5304" s="13"/>
      <c r="X5304" s="34">
        <v>5300</v>
      </c>
      <c r="Y5304" s="34" t="s">
        <v>2248</v>
      </c>
      <c r="Z5304" s="34" t="s">
        <v>2263</v>
      </c>
      <c r="AA5304" s="35">
        <v>3.4274193548387101E-4</v>
      </c>
      <c r="AB5304" s="13"/>
      <c r="AC5304" s="13"/>
      <c r="AD5304" s="13"/>
      <c r="AE5304" s="13"/>
      <c r="AF5304" s="13"/>
    </row>
    <row r="5305" spans="19:32" x14ac:dyDescent="0.35">
      <c r="S5305" s="13"/>
      <c r="T5305" s="16"/>
      <c r="U5305" s="16"/>
      <c r="V5305" s="16"/>
      <c r="W5305" s="13"/>
      <c r="X5305" s="34">
        <v>5301</v>
      </c>
      <c r="Y5305" s="34" t="s">
        <v>2248</v>
      </c>
      <c r="Z5305" s="34" t="s">
        <v>3867</v>
      </c>
      <c r="AA5305" s="35">
        <v>1.6074596774193549E-3</v>
      </c>
      <c r="AB5305" s="13"/>
      <c r="AC5305" s="13"/>
      <c r="AD5305" s="13"/>
      <c r="AE5305" s="13"/>
      <c r="AF5305" s="13"/>
    </row>
    <row r="5306" spans="19:32" x14ac:dyDescent="0.35">
      <c r="S5306" s="13"/>
      <c r="T5306" s="16"/>
      <c r="U5306" s="16"/>
      <c r="V5306" s="16"/>
      <c r="W5306" s="13"/>
      <c r="X5306" s="34">
        <v>5302</v>
      </c>
      <c r="Y5306" s="34" t="s">
        <v>2248</v>
      </c>
      <c r="Z5306" s="34" t="s">
        <v>3866</v>
      </c>
      <c r="AA5306" s="35">
        <v>0.25260080645161292</v>
      </c>
      <c r="AB5306" s="13"/>
      <c r="AC5306" s="13"/>
      <c r="AD5306" s="13"/>
      <c r="AE5306" s="13"/>
      <c r="AF5306" s="13"/>
    </row>
    <row r="5307" spans="19:32" x14ac:dyDescent="0.35">
      <c r="S5307" s="13"/>
      <c r="T5307" s="16"/>
      <c r="U5307" s="16"/>
      <c r="V5307" s="16"/>
      <c r="W5307" s="13"/>
      <c r="X5307" s="34">
        <v>5303</v>
      </c>
      <c r="Y5307" s="34" t="s">
        <v>2248</v>
      </c>
      <c r="Z5307" s="34" t="s">
        <v>3572</v>
      </c>
      <c r="AA5307" s="35">
        <v>1.8199596774193548E-4</v>
      </c>
      <c r="AB5307" s="13"/>
      <c r="AC5307" s="13"/>
      <c r="AD5307" s="13"/>
      <c r="AE5307" s="13"/>
      <c r="AF5307" s="13"/>
    </row>
    <row r="5308" spans="19:32" x14ac:dyDescent="0.35">
      <c r="S5308" s="13"/>
      <c r="T5308" s="16"/>
      <c r="U5308" s="16"/>
      <c r="V5308" s="16"/>
      <c r="W5308" s="13"/>
      <c r="X5308" s="34">
        <v>5304</v>
      </c>
      <c r="Y5308" s="34" t="s">
        <v>2248</v>
      </c>
      <c r="Z5308" s="34" t="s">
        <v>3865</v>
      </c>
      <c r="AA5308" s="35">
        <v>3.2354838709677425E-2</v>
      </c>
      <c r="AB5308" s="13"/>
      <c r="AC5308" s="13"/>
      <c r="AD5308" s="13"/>
      <c r="AE5308" s="13"/>
      <c r="AF5308" s="13"/>
    </row>
    <row r="5309" spans="19:32" x14ac:dyDescent="0.35">
      <c r="S5309" s="13"/>
      <c r="T5309" s="16"/>
      <c r="U5309" s="16"/>
      <c r="V5309" s="16"/>
      <c r="W5309" s="13"/>
      <c r="X5309" s="34">
        <v>5305</v>
      </c>
      <c r="Y5309" s="34" t="s">
        <v>2248</v>
      </c>
      <c r="Z5309" s="34" t="s">
        <v>3056</v>
      </c>
      <c r="AA5309" s="35">
        <v>1.6143145161290324E-5</v>
      </c>
      <c r="AB5309" s="13"/>
      <c r="AC5309" s="13"/>
      <c r="AD5309" s="13"/>
      <c r="AE5309" s="13"/>
      <c r="AF5309" s="13"/>
    </row>
    <row r="5310" spans="19:32" x14ac:dyDescent="0.35">
      <c r="S5310" s="13"/>
      <c r="T5310" s="16"/>
      <c r="U5310" s="16"/>
      <c r="V5310" s="16"/>
      <c r="W5310" s="13"/>
      <c r="X5310" s="34">
        <v>5306</v>
      </c>
      <c r="Y5310" s="34" t="s">
        <v>2248</v>
      </c>
      <c r="Z5310" s="34" t="s">
        <v>3564</v>
      </c>
      <c r="AA5310" s="35">
        <v>1.0145161290322581E-4</v>
      </c>
      <c r="AB5310" s="13"/>
      <c r="AC5310" s="13"/>
      <c r="AD5310" s="13"/>
      <c r="AE5310" s="13"/>
      <c r="AF5310" s="13"/>
    </row>
    <row r="5311" spans="19:32" x14ac:dyDescent="0.35">
      <c r="S5311" s="13"/>
      <c r="T5311" s="16"/>
      <c r="U5311" s="16"/>
      <c r="V5311" s="16"/>
      <c r="W5311" s="13"/>
      <c r="X5311" s="34">
        <v>5307</v>
      </c>
      <c r="Y5311" s="34" t="s">
        <v>2248</v>
      </c>
      <c r="Z5311" s="34" t="s">
        <v>3864</v>
      </c>
      <c r="AA5311" s="35">
        <v>0.18199596774193549</v>
      </c>
      <c r="AB5311" s="13"/>
      <c r="AC5311" s="13"/>
      <c r="AD5311" s="13"/>
      <c r="AE5311" s="13"/>
      <c r="AF5311" s="13"/>
    </row>
    <row r="5312" spans="19:32" x14ac:dyDescent="0.35">
      <c r="S5312" s="13"/>
      <c r="T5312" s="16"/>
      <c r="U5312" s="16"/>
      <c r="V5312" s="16"/>
      <c r="W5312" s="13"/>
      <c r="X5312" s="34">
        <v>5308</v>
      </c>
      <c r="Y5312" s="34" t="s">
        <v>2248</v>
      </c>
      <c r="Z5312" s="34" t="s">
        <v>3863</v>
      </c>
      <c r="AA5312" s="35">
        <v>2.1729838709677422E-2</v>
      </c>
      <c r="AB5312" s="13"/>
      <c r="AC5312" s="13"/>
      <c r="AD5312" s="13"/>
      <c r="AE5312" s="13"/>
      <c r="AF5312" s="13"/>
    </row>
    <row r="5313" spans="19:32" x14ac:dyDescent="0.35">
      <c r="S5313" s="13"/>
      <c r="T5313" s="16"/>
      <c r="U5313" s="16"/>
      <c r="V5313" s="16"/>
      <c r="W5313" s="13"/>
      <c r="X5313" s="34">
        <v>5309</v>
      </c>
      <c r="Y5313" s="34" t="s">
        <v>2248</v>
      </c>
      <c r="Z5313" s="34" t="s">
        <v>2255</v>
      </c>
      <c r="AA5313" s="35">
        <v>2.9544354838709678E-5</v>
      </c>
      <c r="AB5313" s="13"/>
      <c r="AC5313" s="13"/>
      <c r="AD5313" s="13"/>
      <c r="AE5313" s="13"/>
      <c r="AF5313" s="13"/>
    </row>
    <row r="5314" spans="19:32" x14ac:dyDescent="0.35">
      <c r="S5314" s="13"/>
      <c r="T5314" s="16"/>
      <c r="U5314" s="16"/>
      <c r="V5314" s="16"/>
      <c r="W5314" s="13"/>
      <c r="X5314" s="34">
        <v>5310</v>
      </c>
      <c r="Y5314" s="34" t="s">
        <v>2248</v>
      </c>
      <c r="Z5314" s="34" t="s">
        <v>3862</v>
      </c>
      <c r="AA5314" s="35">
        <v>3.5645161290322585E-5</v>
      </c>
      <c r="AB5314" s="13"/>
      <c r="AC5314" s="13"/>
      <c r="AD5314" s="13"/>
      <c r="AE5314" s="13"/>
      <c r="AF5314" s="13"/>
    </row>
    <row r="5315" spans="19:32" x14ac:dyDescent="0.35">
      <c r="S5315" s="13"/>
      <c r="T5315" s="16"/>
      <c r="U5315" s="16"/>
      <c r="V5315" s="16"/>
      <c r="W5315" s="13"/>
      <c r="X5315" s="47">
        <v>5311</v>
      </c>
      <c r="Y5315" s="47" t="s">
        <v>2248</v>
      </c>
      <c r="Z5315" s="47" t="s">
        <v>2345</v>
      </c>
      <c r="AA5315" s="56">
        <v>1.7848000000000002</v>
      </c>
      <c r="AB5315" s="13"/>
      <c r="AC5315" s="13"/>
      <c r="AD5315" s="13"/>
      <c r="AE5315" s="13"/>
      <c r="AF5315" s="13"/>
    </row>
    <row r="5316" spans="19:32" x14ac:dyDescent="0.35">
      <c r="S5316" s="13"/>
      <c r="T5316" s="16"/>
      <c r="U5316" s="16"/>
      <c r="V5316" s="16"/>
      <c r="W5316" s="13"/>
      <c r="X5316" s="34">
        <v>5312</v>
      </c>
      <c r="Y5316" s="34" t="s">
        <v>2248</v>
      </c>
      <c r="Z5316" s="34" t="s">
        <v>2251</v>
      </c>
      <c r="AA5316" s="35">
        <v>2.5020161290322585</v>
      </c>
      <c r="AB5316" s="13"/>
      <c r="AC5316" s="13"/>
      <c r="AD5316" s="13"/>
      <c r="AE5316" s="13"/>
      <c r="AF5316" s="13"/>
    </row>
    <row r="5317" spans="19:32" x14ac:dyDescent="0.35">
      <c r="S5317" s="13"/>
      <c r="T5317" s="16"/>
      <c r="U5317" s="16"/>
      <c r="V5317" s="16"/>
      <c r="W5317" s="13"/>
      <c r="X5317" s="34">
        <v>5313</v>
      </c>
      <c r="Y5317" s="34" t="s">
        <v>2248</v>
      </c>
      <c r="Z5317" s="34" t="s">
        <v>2345</v>
      </c>
      <c r="AA5317" s="35">
        <v>1.878225806451613E-3</v>
      </c>
      <c r="AB5317" s="13"/>
      <c r="AC5317" s="13"/>
      <c r="AD5317" s="13"/>
      <c r="AE5317" s="13"/>
      <c r="AF5317" s="13"/>
    </row>
    <row r="5318" spans="19:32" x14ac:dyDescent="0.35">
      <c r="S5318" s="13"/>
      <c r="T5318" s="16"/>
      <c r="U5318" s="16"/>
      <c r="V5318" s="16"/>
      <c r="W5318" s="13"/>
      <c r="X5318" s="34">
        <v>5314</v>
      </c>
      <c r="Y5318" s="34" t="s">
        <v>2248</v>
      </c>
      <c r="Z5318" s="34" t="s">
        <v>3555</v>
      </c>
      <c r="AA5318" s="35">
        <v>16.383064516129032</v>
      </c>
      <c r="AB5318" s="13"/>
      <c r="AC5318" s="13"/>
      <c r="AD5318" s="13"/>
      <c r="AE5318" s="13"/>
      <c r="AF5318" s="13"/>
    </row>
    <row r="5319" spans="19:32" x14ac:dyDescent="0.35">
      <c r="S5319" s="13"/>
      <c r="T5319" s="16"/>
      <c r="U5319" s="16"/>
      <c r="V5319" s="16"/>
      <c r="W5319" s="13"/>
      <c r="X5319" s="34">
        <v>5315</v>
      </c>
      <c r="Y5319" s="34" t="s">
        <v>2248</v>
      </c>
      <c r="Z5319" s="34" t="s">
        <v>3861</v>
      </c>
      <c r="AA5319" s="35">
        <v>1.4977822580645164E-3</v>
      </c>
      <c r="AB5319" s="13"/>
      <c r="AC5319" s="13"/>
      <c r="AD5319" s="13"/>
      <c r="AE5319" s="13"/>
      <c r="AF5319" s="13"/>
    </row>
    <row r="5320" spans="19:32" x14ac:dyDescent="0.35">
      <c r="S5320" s="13"/>
      <c r="T5320" s="16"/>
      <c r="U5320" s="16"/>
      <c r="V5320" s="16"/>
      <c r="W5320" s="13"/>
      <c r="X5320" s="34">
        <v>5316</v>
      </c>
      <c r="Y5320" s="34" t="s">
        <v>2248</v>
      </c>
      <c r="Z5320" s="34" t="s">
        <v>3860</v>
      </c>
      <c r="AA5320" s="35">
        <v>2.4094758064516128E-5</v>
      </c>
      <c r="AB5320" s="13"/>
      <c r="AC5320" s="13"/>
      <c r="AD5320" s="13"/>
      <c r="AE5320" s="13"/>
      <c r="AF5320" s="13"/>
    </row>
    <row r="5321" spans="19:32" x14ac:dyDescent="0.35">
      <c r="S5321" s="13"/>
      <c r="T5321" s="16"/>
      <c r="U5321" s="16"/>
      <c r="V5321" s="16"/>
      <c r="W5321" s="13"/>
      <c r="X5321" s="34">
        <v>5317</v>
      </c>
      <c r="Y5321" s="34" t="s">
        <v>2248</v>
      </c>
      <c r="Z5321" s="34" t="s">
        <v>3859</v>
      </c>
      <c r="AA5321" s="35">
        <v>1.9262096774193551E-3</v>
      </c>
      <c r="AB5321" s="13"/>
      <c r="AC5321" s="13"/>
      <c r="AD5321" s="13"/>
      <c r="AE5321" s="13"/>
      <c r="AF5321" s="13"/>
    </row>
    <row r="5322" spans="19:32" x14ac:dyDescent="0.35">
      <c r="S5322" s="13"/>
      <c r="T5322" s="16"/>
      <c r="U5322" s="16"/>
      <c r="V5322" s="16"/>
      <c r="W5322" s="13"/>
      <c r="X5322" s="34">
        <v>5318</v>
      </c>
      <c r="Y5322" s="34" t="s">
        <v>2248</v>
      </c>
      <c r="Z5322" s="34" t="s">
        <v>3553</v>
      </c>
      <c r="AA5322" s="35">
        <v>1.4360887096774195E-7</v>
      </c>
      <c r="AB5322" s="13"/>
      <c r="AC5322" s="13"/>
      <c r="AD5322" s="13"/>
      <c r="AE5322" s="13"/>
      <c r="AF5322" s="13"/>
    </row>
    <row r="5323" spans="19:32" x14ac:dyDescent="0.35">
      <c r="S5323" s="13"/>
      <c r="T5323" s="16"/>
      <c r="U5323" s="16"/>
      <c r="V5323" s="16"/>
      <c r="W5323" s="13"/>
      <c r="X5323" s="34">
        <v>5319</v>
      </c>
      <c r="Y5323" s="34" t="s">
        <v>2248</v>
      </c>
      <c r="Z5323" s="34" t="s">
        <v>3858</v>
      </c>
      <c r="AA5323" s="35">
        <v>1.3538306451612904E-3</v>
      </c>
      <c r="AB5323" s="13"/>
      <c r="AC5323" s="13"/>
      <c r="AD5323" s="13"/>
      <c r="AE5323" s="13"/>
      <c r="AF5323" s="13"/>
    </row>
    <row r="5324" spans="19:32" x14ac:dyDescent="0.35">
      <c r="S5324" s="13"/>
      <c r="T5324" s="16"/>
      <c r="U5324" s="16"/>
      <c r="V5324" s="16"/>
      <c r="W5324" s="13"/>
      <c r="X5324" s="34">
        <v>5320</v>
      </c>
      <c r="Y5324" s="34" t="s">
        <v>2248</v>
      </c>
      <c r="Z5324" s="34" t="s">
        <v>3550</v>
      </c>
      <c r="AA5324" s="35">
        <v>2.1558467741935485E-6</v>
      </c>
      <c r="AB5324" s="13"/>
      <c r="AC5324" s="13"/>
      <c r="AD5324" s="13"/>
      <c r="AE5324" s="13"/>
      <c r="AF5324" s="13"/>
    </row>
    <row r="5325" spans="19:32" x14ac:dyDescent="0.35">
      <c r="S5325" s="13"/>
      <c r="T5325" s="16"/>
      <c r="U5325" s="16"/>
      <c r="V5325" s="16"/>
      <c r="W5325" s="13"/>
      <c r="X5325" s="34">
        <v>5321</v>
      </c>
      <c r="Y5325" s="34" t="s">
        <v>2248</v>
      </c>
      <c r="Z5325" s="34" t="s">
        <v>3051</v>
      </c>
      <c r="AA5325" s="35">
        <v>2.9955645161290325E-4</v>
      </c>
      <c r="AB5325" s="13"/>
      <c r="AC5325" s="13"/>
      <c r="AD5325" s="13"/>
      <c r="AE5325" s="13"/>
      <c r="AF5325" s="13"/>
    </row>
    <row r="5326" spans="19:32" x14ac:dyDescent="0.35">
      <c r="S5326" s="13"/>
      <c r="T5326" s="16"/>
      <c r="U5326" s="16"/>
      <c r="V5326" s="16"/>
      <c r="W5326" s="13"/>
      <c r="X5326" s="34">
        <v>5322</v>
      </c>
      <c r="Y5326" s="34" t="s">
        <v>2248</v>
      </c>
      <c r="Z5326" s="34" t="s">
        <v>3857</v>
      </c>
      <c r="AA5326" s="35">
        <v>3.0504032258064518E-3</v>
      </c>
      <c r="AB5326" s="13"/>
      <c r="AC5326" s="13"/>
      <c r="AD5326" s="13"/>
      <c r="AE5326" s="13"/>
      <c r="AF5326" s="13"/>
    </row>
    <row r="5327" spans="19:32" x14ac:dyDescent="0.35">
      <c r="S5327" s="13"/>
      <c r="T5327" s="16"/>
      <c r="U5327" s="16"/>
      <c r="V5327" s="16"/>
      <c r="W5327" s="13"/>
      <c r="X5327" s="34">
        <v>5323</v>
      </c>
      <c r="Y5327" s="34" t="s">
        <v>2248</v>
      </c>
      <c r="Z5327" s="34" t="s">
        <v>3548</v>
      </c>
      <c r="AA5327" s="35">
        <v>8.0544354838709681E-8</v>
      </c>
      <c r="AB5327" s="13"/>
      <c r="AC5327" s="13"/>
      <c r="AD5327" s="13"/>
      <c r="AE5327" s="13"/>
      <c r="AF5327" s="13"/>
    </row>
    <row r="5328" spans="19:32" x14ac:dyDescent="0.35">
      <c r="S5328" s="13"/>
      <c r="T5328" s="16"/>
      <c r="U5328" s="16"/>
      <c r="V5328" s="16"/>
      <c r="W5328" s="13"/>
      <c r="X5328" s="34">
        <v>5324</v>
      </c>
      <c r="Y5328" s="34" t="s">
        <v>2248</v>
      </c>
      <c r="Z5328" s="34" t="s">
        <v>3856</v>
      </c>
      <c r="AA5328" s="35">
        <v>1.1276209677419356E-2</v>
      </c>
      <c r="AB5328" s="13"/>
      <c r="AC5328" s="13"/>
      <c r="AD5328" s="13"/>
      <c r="AE5328" s="13"/>
      <c r="AF5328" s="13"/>
    </row>
    <row r="5329" spans="19:32" x14ac:dyDescent="0.35">
      <c r="S5329" s="13"/>
      <c r="T5329" s="16"/>
      <c r="U5329" s="16"/>
      <c r="V5329" s="16"/>
      <c r="W5329" s="13"/>
      <c r="X5329" s="34">
        <v>5325</v>
      </c>
      <c r="Y5329" s="34" t="s">
        <v>2248</v>
      </c>
      <c r="Z5329" s="34" t="s">
        <v>3855</v>
      </c>
      <c r="AA5329" s="35">
        <v>4.0443548387096774E-2</v>
      </c>
      <c r="AB5329" s="13"/>
      <c r="AC5329" s="13"/>
      <c r="AD5329" s="13"/>
      <c r="AE5329" s="13"/>
      <c r="AF5329" s="13"/>
    </row>
    <row r="5330" spans="19:32" x14ac:dyDescent="0.35">
      <c r="S5330" s="13"/>
      <c r="T5330" s="16"/>
      <c r="U5330" s="16"/>
      <c r="V5330" s="16"/>
      <c r="W5330" s="13"/>
      <c r="X5330" s="34">
        <v>5326</v>
      </c>
      <c r="Y5330" s="34" t="s">
        <v>2248</v>
      </c>
      <c r="Z5330" s="34" t="s">
        <v>2249</v>
      </c>
      <c r="AA5330" s="35">
        <v>1.1653225806451614E-2</v>
      </c>
      <c r="AB5330" s="13"/>
      <c r="AC5330" s="13"/>
      <c r="AD5330" s="13"/>
      <c r="AE5330" s="13"/>
      <c r="AF5330" s="13"/>
    </row>
    <row r="5331" spans="19:32" x14ac:dyDescent="0.35">
      <c r="S5331" s="13"/>
      <c r="T5331" s="16"/>
      <c r="U5331" s="16"/>
      <c r="V5331" s="16"/>
      <c r="W5331" s="13"/>
      <c r="X5331" s="34">
        <v>5327</v>
      </c>
      <c r="Y5331" s="34" t="s">
        <v>2248</v>
      </c>
      <c r="Z5331" s="34" t="s">
        <v>3854</v>
      </c>
      <c r="AA5331" s="35">
        <v>1.8439516129032258E-4</v>
      </c>
      <c r="AB5331" s="13"/>
      <c r="AC5331" s="13"/>
      <c r="AD5331" s="13"/>
      <c r="AE5331" s="13"/>
      <c r="AF5331" s="13"/>
    </row>
    <row r="5332" spans="19:32" x14ac:dyDescent="0.35">
      <c r="S5332" s="13"/>
      <c r="T5332" s="16"/>
      <c r="U5332" s="16"/>
      <c r="V5332" s="16"/>
      <c r="W5332" s="13"/>
      <c r="X5332" s="34">
        <v>5328</v>
      </c>
      <c r="Y5332" s="34" t="s">
        <v>2248</v>
      </c>
      <c r="Z5332" s="34" t="s">
        <v>3853</v>
      </c>
      <c r="AA5332" s="35">
        <v>1.6965725806451615E-2</v>
      </c>
      <c r="AB5332" s="13"/>
      <c r="AC5332" s="13"/>
      <c r="AD5332" s="13"/>
      <c r="AE5332" s="13"/>
      <c r="AF5332" s="13"/>
    </row>
    <row r="5333" spans="19:32" x14ac:dyDescent="0.35">
      <c r="S5333" s="13"/>
      <c r="T5333" s="16"/>
      <c r="U5333" s="16"/>
      <c r="V5333" s="16"/>
      <c r="W5333" s="13"/>
      <c r="X5333" s="34">
        <v>5329</v>
      </c>
      <c r="Y5333" s="34" t="s">
        <v>2248</v>
      </c>
      <c r="Z5333" s="34" t="s">
        <v>2247</v>
      </c>
      <c r="AA5333" s="35">
        <v>4.5927419354838711E-2</v>
      </c>
      <c r="AB5333" s="13"/>
      <c r="AC5333" s="13"/>
      <c r="AD5333" s="13"/>
      <c r="AE5333" s="13"/>
      <c r="AF5333" s="13"/>
    </row>
    <row r="5334" spans="19:32" x14ac:dyDescent="0.35">
      <c r="S5334" s="13"/>
      <c r="T5334" s="16"/>
      <c r="U5334" s="16"/>
      <c r="V5334" s="16"/>
      <c r="W5334" s="13"/>
      <c r="X5334" s="34">
        <v>5330</v>
      </c>
      <c r="Y5334" s="34" t="s">
        <v>2248</v>
      </c>
      <c r="Z5334" s="34" t="s">
        <v>3852</v>
      </c>
      <c r="AA5334" s="35">
        <v>2.2243951612903228E-4</v>
      </c>
      <c r="AB5334" s="13"/>
      <c r="AC5334" s="13"/>
      <c r="AD5334" s="13"/>
      <c r="AE5334" s="13"/>
      <c r="AF5334" s="13"/>
    </row>
    <row r="5335" spans="19:32" x14ac:dyDescent="0.35">
      <c r="S5335" s="13"/>
      <c r="T5335" s="16"/>
      <c r="U5335" s="16"/>
      <c r="V5335" s="16"/>
      <c r="W5335" s="13"/>
      <c r="X5335" s="34">
        <v>5331</v>
      </c>
      <c r="Y5335" s="34" t="s">
        <v>2248</v>
      </c>
      <c r="Z5335" s="34" t="s">
        <v>3050</v>
      </c>
      <c r="AA5335" s="35">
        <v>5.8608870967741937E-5</v>
      </c>
      <c r="AB5335" s="13"/>
      <c r="AC5335" s="13"/>
      <c r="AD5335" s="13"/>
      <c r="AE5335" s="13"/>
      <c r="AF5335" s="13"/>
    </row>
    <row r="5336" spans="19:32" x14ac:dyDescent="0.35">
      <c r="S5336" s="13"/>
      <c r="T5336" s="16"/>
      <c r="U5336" s="16"/>
      <c r="V5336" s="16"/>
      <c r="W5336" s="13"/>
      <c r="X5336" s="34">
        <v>5332</v>
      </c>
      <c r="Y5336" s="34" t="s">
        <v>2248</v>
      </c>
      <c r="Z5336" s="34" t="s">
        <v>3851</v>
      </c>
      <c r="AA5336" s="35">
        <v>3.5327999999999995</v>
      </c>
      <c r="AB5336" s="13"/>
      <c r="AC5336" s="13"/>
      <c r="AD5336" s="13"/>
      <c r="AE5336" s="13"/>
      <c r="AF5336" s="13"/>
    </row>
    <row r="5337" spans="19:32" x14ac:dyDescent="0.35">
      <c r="S5337" s="13"/>
      <c r="T5337" s="16"/>
      <c r="U5337" s="16"/>
      <c r="V5337" s="16"/>
      <c r="W5337" s="13"/>
      <c r="X5337" s="34">
        <v>5333</v>
      </c>
      <c r="Y5337" s="34" t="s">
        <v>2248</v>
      </c>
      <c r="Z5337" s="34" t="s">
        <v>3850</v>
      </c>
      <c r="AA5337" s="35">
        <v>0.17582661290322582</v>
      </c>
      <c r="AB5337" s="13"/>
      <c r="AC5337" s="13"/>
      <c r="AD5337" s="13"/>
      <c r="AE5337" s="13"/>
      <c r="AF5337" s="13"/>
    </row>
    <row r="5338" spans="19:32" x14ac:dyDescent="0.35">
      <c r="S5338" s="13"/>
      <c r="T5338" s="16"/>
      <c r="U5338" s="16"/>
      <c r="V5338" s="16"/>
      <c r="W5338" s="13"/>
      <c r="X5338" s="34">
        <v>5334</v>
      </c>
      <c r="Y5338" s="34" t="s">
        <v>2248</v>
      </c>
      <c r="Z5338" s="34" t="s">
        <v>3849</v>
      </c>
      <c r="AA5338" s="35">
        <v>2.0427419354838713E-2</v>
      </c>
      <c r="AB5338" s="13"/>
      <c r="AC5338" s="13"/>
      <c r="AD5338" s="13"/>
      <c r="AE5338" s="13"/>
      <c r="AF5338" s="13"/>
    </row>
    <row r="5339" spans="19:32" x14ac:dyDescent="0.35">
      <c r="S5339" s="13"/>
      <c r="T5339" s="16"/>
      <c r="U5339" s="16"/>
      <c r="V5339" s="16"/>
      <c r="W5339" s="13"/>
      <c r="X5339" s="34">
        <v>5335</v>
      </c>
      <c r="Y5339" s="34" t="s">
        <v>2248</v>
      </c>
      <c r="Z5339" s="34" t="s">
        <v>3848</v>
      </c>
      <c r="AA5339" s="35">
        <v>3.2476000000000003</v>
      </c>
      <c r="AB5339" s="13"/>
      <c r="AC5339" s="13"/>
      <c r="AD5339" s="13"/>
      <c r="AE5339" s="13"/>
      <c r="AF5339" s="13"/>
    </row>
    <row r="5340" spans="19:32" x14ac:dyDescent="0.35">
      <c r="S5340" s="13"/>
      <c r="T5340" s="16"/>
      <c r="U5340" s="16"/>
      <c r="V5340" s="16"/>
      <c r="W5340" s="13"/>
      <c r="X5340" s="34">
        <v>5336</v>
      </c>
      <c r="Y5340" s="34" t="s">
        <v>2248</v>
      </c>
      <c r="Z5340" s="34" t="s">
        <v>3847</v>
      </c>
      <c r="AA5340" s="35">
        <v>3.495967741935484E-3</v>
      </c>
      <c r="AB5340" s="13"/>
      <c r="AC5340" s="13"/>
      <c r="AD5340" s="13"/>
      <c r="AE5340" s="13"/>
      <c r="AF5340" s="13"/>
    </row>
    <row r="5341" spans="19:32" x14ac:dyDescent="0.35">
      <c r="S5341" s="13"/>
      <c r="T5341" s="16"/>
      <c r="U5341" s="16"/>
      <c r="V5341" s="16"/>
      <c r="W5341" s="13"/>
      <c r="X5341" s="34">
        <v>5337</v>
      </c>
      <c r="Y5341" s="34" t="s">
        <v>2248</v>
      </c>
      <c r="Z5341" s="34" t="s">
        <v>3846</v>
      </c>
      <c r="AA5341" s="35">
        <v>5.2439516129032266E-4</v>
      </c>
      <c r="AB5341" s="13"/>
      <c r="AC5341" s="13"/>
      <c r="AD5341" s="13"/>
      <c r="AE5341" s="13"/>
      <c r="AF5341" s="13"/>
    </row>
    <row r="5342" spans="19:32" x14ac:dyDescent="0.35">
      <c r="S5342" s="13"/>
      <c r="T5342" s="16"/>
      <c r="U5342" s="16"/>
      <c r="V5342" s="16"/>
      <c r="W5342" s="13"/>
      <c r="X5342" s="34">
        <v>5338</v>
      </c>
      <c r="Y5342" s="34" t="s">
        <v>2248</v>
      </c>
      <c r="Z5342" s="34" t="s">
        <v>3845</v>
      </c>
      <c r="AA5342" s="35">
        <v>0</v>
      </c>
      <c r="AB5342" s="13"/>
      <c r="AC5342" s="13"/>
      <c r="AD5342" s="13"/>
      <c r="AE5342" s="13"/>
      <c r="AF5342" s="13"/>
    </row>
    <row r="5343" spans="19:32" x14ac:dyDescent="0.35">
      <c r="S5343" s="13"/>
      <c r="T5343" s="16"/>
      <c r="U5343" s="16"/>
      <c r="V5343" s="16"/>
      <c r="W5343" s="13"/>
      <c r="X5343" s="34">
        <v>5339</v>
      </c>
      <c r="Y5343" s="34" t="s">
        <v>2248</v>
      </c>
      <c r="Z5343" s="34" t="s">
        <v>3844</v>
      </c>
      <c r="AA5343" s="35">
        <v>1.9570564516129034E-4</v>
      </c>
      <c r="AB5343" s="13"/>
      <c r="AC5343" s="13"/>
      <c r="AD5343" s="13"/>
      <c r="AE5343" s="13"/>
      <c r="AF5343" s="13"/>
    </row>
    <row r="5344" spans="19:32" x14ac:dyDescent="0.35">
      <c r="S5344" s="13"/>
      <c r="T5344" s="16"/>
      <c r="U5344" s="16"/>
      <c r="V5344" s="16"/>
      <c r="W5344" s="13"/>
      <c r="X5344" s="34">
        <v>5340</v>
      </c>
      <c r="Y5344" s="34" t="s">
        <v>2248</v>
      </c>
      <c r="Z5344" s="34" t="s">
        <v>3843</v>
      </c>
      <c r="AA5344" s="35">
        <v>0</v>
      </c>
      <c r="AB5344" s="13"/>
      <c r="AC5344" s="13"/>
      <c r="AD5344" s="13"/>
      <c r="AE5344" s="13"/>
      <c r="AF5344" s="13"/>
    </row>
    <row r="5345" spans="19:32" x14ac:dyDescent="0.35">
      <c r="S5345" s="13"/>
      <c r="T5345" s="16"/>
      <c r="U5345" s="16"/>
      <c r="V5345" s="16"/>
      <c r="W5345" s="13"/>
      <c r="X5345" s="34">
        <v>5341</v>
      </c>
      <c r="Y5345" s="34" t="s">
        <v>2248</v>
      </c>
      <c r="Z5345" s="34" t="s">
        <v>3842</v>
      </c>
      <c r="AA5345" s="35">
        <v>1.4018145161290323E-5</v>
      </c>
      <c r="AB5345" s="13"/>
      <c r="AC5345" s="13"/>
      <c r="AD5345" s="13"/>
      <c r="AE5345" s="13"/>
      <c r="AF5345" s="13"/>
    </row>
    <row r="5346" spans="19:32" x14ac:dyDescent="0.35">
      <c r="S5346" s="13"/>
      <c r="T5346" s="16"/>
      <c r="U5346" s="16"/>
      <c r="V5346" s="16"/>
      <c r="W5346" s="13"/>
      <c r="X5346" s="34">
        <v>5342</v>
      </c>
      <c r="Y5346" s="34" t="s">
        <v>2248</v>
      </c>
      <c r="Z5346" s="34" t="s">
        <v>3841</v>
      </c>
      <c r="AA5346" s="35">
        <v>5.758064516129033E-3</v>
      </c>
      <c r="AB5346" s="13"/>
      <c r="AC5346" s="13"/>
      <c r="AD5346" s="13"/>
      <c r="AE5346" s="13"/>
      <c r="AF5346" s="13"/>
    </row>
    <row r="5347" spans="19:32" x14ac:dyDescent="0.35">
      <c r="S5347" s="13"/>
      <c r="T5347" s="16"/>
      <c r="U5347" s="16"/>
      <c r="V5347" s="16"/>
      <c r="W5347" s="13"/>
      <c r="X5347" s="34">
        <v>5343</v>
      </c>
      <c r="Y5347" s="34" t="s">
        <v>2248</v>
      </c>
      <c r="Z5347" s="34" t="s">
        <v>3840</v>
      </c>
      <c r="AA5347" s="35">
        <v>0</v>
      </c>
      <c r="AB5347" s="13"/>
      <c r="AC5347" s="13"/>
      <c r="AD5347" s="13"/>
      <c r="AE5347" s="13"/>
      <c r="AF5347" s="13"/>
    </row>
    <row r="5348" spans="19:32" x14ac:dyDescent="0.35">
      <c r="S5348" s="13"/>
      <c r="T5348" s="16"/>
      <c r="U5348" s="16"/>
      <c r="V5348" s="16"/>
      <c r="W5348" s="13"/>
      <c r="X5348" s="47">
        <v>5344</v>
      </c>
      <c r="Y5348" s="47" t="s">
        <v>2248</v>
      </c>
      <c r="Z5348" s="47" t="s">
        <v>2343</v>
      </c>
      <c r="AA5348" s="56">
        <v>0</v>
      </c>
      <c r="AB5348" s="13"/>
      <c r="AC5348" s="13"/>
      <c r="AD5348" s="13"/>
      <c r="AE5348" s="13"/>
      <c r="AF5348" s="13"/>
    </row>
    <row r="5349" spans="19:32" x14ac:dyDescent="0.35">
      <c r="S5349" s="13"/>
      <c r="T5349" s="16"/>
      <c r="U5349" s="16"/>
      <c r="V5349" s="16"/>
      <c r="W5349" s="13"/>
      <c r="X5349" s="34">
        <v>5345</v>
      </c>
      <c r="Y5349" s="34" t="s">
        <v>2248</v>
      </c>
      <c r="Z5349" s="34" t="s">
        <v>2343</v>
      </c>
      <c r="AA5349" s="35">
        <v>8.4657258064516142E-3</v>
      </c>
      <c r="AB5349" s="13"/>
      <c r="AC5349" s="13"/>
      <c r="AD5349" s="13"/>
      <c r="AE5349" s="13"/>
      <c r="AF5349" s="13"/>
    </row>
    <row r="5350" spans="19:32" x14ac:dyDescent="0.35">
      <c r="S5350" s="13"/>
      <c r="T5350" s="16"/>
      <c r="U5350" s="16"/>
      <c r="V5350" s="16"/>
      <c r="W5350" s="13"/>
      <c r="X5350" s="34">
        <v>5346</v>
      </c>
      <c r="Y5350" s="34" t="s">
        <v>2248</v>
      </c>
      <c r="Z5350" s="34" t="s">
        <v>3839</v>
      </c>
      <c r="AA5350" s="35">
        <v>5.1151999999999994E-3</v>
      </c>
      <c r="AB5350" s="13"/>
      <c r="AC5350" s="13"/>
      <c r="AD5350" s="13"/>
      <c r="AE5350" s="13"/>
      <c r="AF5350" s="13"/>
    </row>
    <row r="5351" spans="19:32" x14ac:dyDescent="0.35">
      <c r="S5351" s="13"/>
      <c r="T5351" s="16"/>
      <c r="U5351" s="16"/>
      <c r="V5351" s="16"/>
      <c r="W5351" s="13"/>
      <c r="X5351" s="34">
        <v>5347</v>
      </c>
      <c r="Y5351" s="34" t="s">
        <v>2248</v>
      </c>
      <c r="Z5351" s="34" t="s">
        <v>3046</v>
      </c>
      <c r="AA5351" s="35">
        <v>2.6459677419354839</v>
      </c>
      <c r="AB5351" s="13"/>
      <c r="AC5351" s="13"/>
      <c r="AD5351" s="13"/>
      <c r="AE5351" s="13"/>
      <c r="AF5351" s="13"/>
    </row>
    <row r="5352" spans="19:32" x14ac:dyDescent="0.35">
      <c r="S5352" s="13"/>
      <c r="T5352" s="16"/>
      <c r="U5352" s="16"/>
      <c r="V5352" s="16"/>
      <c r="W5352" s="13"/>
      <c r="X5352" s="47">
        <v>5348</v>
      </c>
      <c r="Y5352" s="47" t="s">
        <v>2248</v>
      </c>
      <c r="Z5352" s="47" t="s">
        <v>2342</v>
      </c>
      <c r="AA5352" s="56">
        <v>8.8043999999999999E-5</v>
      </c>
      <c r="AB5352" s="13"/>
      <c r="AC5352" s="13"/>
      <c r="AD5352" s="13"/>
      <c r="AE5352" s="13"/>
      <c r="AF5352" s="13"/>
    </row>
    <row r="5353" spans="19:32" x14ac:dyDescent="0.35">
      <c r="S5353" s="13"/>
      <c r="T5353" s="16"/>
      <c r="U5353" s="16"/>
      <c r="V5353" s="16"/>
      <c r="W5353" s="13"/>
      <c r="X5353" s="34">
        <v>5349</v>
      </c>
      <c r="Y5353" s="34" t="s">
        <v>2248</v>
      </c>
      <c r="Z5353" s="34" t="s">
        <v>2342</v>
      </c>
      <c r="AA5353" s="35">
        <v>1.6280241935483872E-6</v>
      </c>
      <c r="AB5353" s="13"/>
      <c r="AC5353" s="13"/>
      <c r="AD5353" s="13"/>
      <c r="AE5353" s="13"/>
      <c r="AF5353" s="13"/>
    </row>
    <row r="5354" spans="19:32" x14ac:dyDescent="0.35">
      <c r="S5354" s="13"/>
      <c r="T5354" s="16"/>
      <c r="U5354" s="16"/>
      <c r="V5354" s="16"/>
      <c r="W5354" s="13"/>
      <c r="X5354" s="34">
        <v>5350</v>
      </c>
      <c r="Y5354" s="34" t="s">
        <v>2248</v>
      </c>
      <c r="Z5354" s="34" t="s">
        <v>3838</v>
      </c>
      <c r="AA5354" s="35">
        <v>0.57591999999999999</v>
      </c>
      <c r="AB5354" s="13"/>
      <c r="AC5354" s="13"/>
      <c r="AD5354" s="13"/>
      <c r="AE5354" s="13"/>
      <c r="AF5354" s="13"/>
    </row>
    <row r="5355" spans="19:32" x14ac:dyDescent="0.35">
      <c r="S5355" s="13"/>
      <c r="T5355" s="16"/>
      <c r="U5355" s="16"/>
      <c r="V5355" s="16"/>
      <c r="W5355" s="13"/>
      <c r="X5355" s="34">
        <v>5351</v>
      </c>
      <c r="Y5355" s="34" t="s">
        <v>2248</v>
      </c>
      <c r="Z5355" s="34" t="s">
        <v>3837</v>
      </c>
      <c r="AA5355" s="35">
        <v>8.5342741935483871E-3</v>
      </c>
      <c r="AB5355" s="13"/>
      <c r="AC5355" s="13"/>
      <c r="AD5355" s="13"/>
      <c r="AE5355" s="13"/>
      <c r="AF5355" s="13"/>
    </row>
    <row r="5356" spans="19:32" x14ac:dyDescent="0.35">
      <c r="S5356" s="13"/>
      <c r="T5356" s="16"/>
      <c r="U5356" s="16"/>
      <c r="V5356" s="16"/>
      <c r="W5356" s="13"/>
      <c r="X5356" s="34">
        <v>5352</v>
      </c>
      <c r="Y5356" s="34" t="s">
        <v>2248</v>
      </c>
      <c r="Z5356" s="34" t="s">
        <v>3836</v>
      </c>
      <c r="AA5356" s="35">
        <v>9.4759999999999997E-2</v>
      </c>
      <c r="AB5356" s="13"/>
      <c r="AC5356" s="13"/>
      <c r="AD5356" s="13"/>
      <c r="AE5356" s="13"/>
      <c r="AF5356" s="13"/>
    </row>
    <row r="5357" spans="19:32" x14ac:dyDescent="0.35">
      <c r="S5357" s="13"/>
      <c r="T5357" s="16"/>
      <c r="U5357" s="16"/>
      <c r="V5357" s="16"/>
      <c r="W5357" s="13"/>
      <c r="X5357" s="47">
        <v>5353</v>
      </c>
      <c r="Y5357" s="47" t="s">
        <v>2248</v>
      </c>
      <c r="Z5357" s="47" t="s">
        <v>2340</v>
      </c>
      <c r="AA5357" s="56">
        <v>0.11592</v>
      </c>
      <c r="AB5357" s="13"/>
      <c r="AC5357" s="13"/>
      <c r="AD5357" s="13"/>
      <c r="AE5357" s="13"/>
      <c r="AF5357" s="13"/>
    </row>
    <row r="5358" spans="19:32" x14ac:dyDescent="0.35">
      <c r="S5358" s="13"/>
      <c r="T5358" s="16"/>
      <c r="U5358" s="16"/>
      <c r="V5358" s="16"/>
      <c r="W5358" s="13"/>
      <c r="X5358" s="34">
        <v>5354</v>
      </c>
      <c r="Y5358" s="34" t="s">
        <v>2248</v>
      </c>
      <c r="Z5358" s="34" t="s">
        <v>2340</v>
      </c>
      <c r="AA5358" s="35">
        <v>1.9296370967741936E-3</v>
      </c>
      <c r="AB5358" s="13"/>
      <c r="AC5358" s="13"/>
      <c r="AD5358" s="13"/>
      <c r="AE5358" s="13"/>
      <c r="AF5358" s="13"/>
    </row>
    <row r="5359" spans="19:32" x14ac:dyDescent="0.35">
      <c r="S5359" s="13"/>
      <c r="T5359" s="16"/>
      <c r="U5359" s="16"/>
      <c r="V5359" s="16"/>
      <c r="W5359" s="13"/>
      <c r="X5359" s="34">
        <v>5355</v>
      </c>
      <c r="Y5359" s="34" t="s">
        <v>2248</v>
      </c>
      <c r="Z5359" s="34" t="s">
        <v>3835</v>
      </c>
      <c r="AA5359" s="35">
        <v>0</v>
      </c>
      <c r="AB5359" s="13"/>
      <c r="AC5359" s="13"/>
      <c r="AD5359" s="13"/>
      <c r="AE5359" s="13"/>
      <c r="AF5359" s="13"/>
    </row>
    <row r="5360" spans="19:32" x14ac:dyDescent="0.35">
      <c r="S5360" s="13"/>
      <c r="T5360" s="16"/>
      <c r="U5360" s="16"/>
      <c r="V5360" s="16"/>
      <c r="W5360" s="13"/>
      <c r="X5360" s="47">
        <v>5356</v>
      </c>
      <c r="Y5360" s="47" t="s">
        <v>2248</v>
      </c>
      <c r="Z5360" s="47" t="s">
        <v>2338</v>
      </c>
      <c r="AA5360" s="56">
        <v>0</v>
      </c>
      <c r="AB5360" s="13"/>
      <c r="AC5360" s="13"/>
      <c r="AD5360" s="13"/>
      <c r="AE5360" s="13"/>
      <c r="AF5360" s="13"/>
    </row>
    <row r="5361" spans="19:32" x14ac:dyDescent="0.35">
      <c r="S5361" s="13"/>
      <c r="T5361" s="16"/>
      <c r="U5361" s="16"/>
      <c r="V5361" s="16"/>
      <c r="W5361" s="13"/>
      <c r="X5361" s="34">
        <v>5357</v>
      </c>
      <c r="Y5361" s="34" t="s">
        <v>2248</v>
      </c>
      <c r="Z5361" s="34" t="s">
        <v>3834</v>
      </c>
      <c r="AA5361" s="35">
        <v>1.5697580645161292E-2</v>
      </c>
      <c r="AB5361" s="13"/>
      <c r="AC5361" s="13"/>
      <c r="AD5361" s="13"/>
      <c r="AE5361" s="13"/>
      <c r="AF5361" s="13"/>
    </row>
    <row r="5362" spans="19:32" x14ac:dyDescent="0.35">
      <c r="S5362" s="13"/>
      <c r="T5362" s="16"/>
      <c r="U5362" s="16"/>
      <c r="V5362" s="16"/>
      <c r="W5362" s="13"/>
      <c r="X5362" s="34">
        <v>5358</v>
      </c>
      <c r="Y5362" s="34" t="s">
        <v>2248</v>
      </c>
      <c r="Z5362" s="34" t="s">
        <v>3833</v>
      </c>
      <c r="AA5362" s="35">
        <v>0</v>
      </c>
      <c r="AB5362" s="13"/>
      <c r="AC5362" s="13"/>
      <c r="AD5362" s="13"/>
      <c r="AE5362" s="13"/>
      <c r="AF5362" s="13"/>
    </row>
    <row r="5363" spans="19:32" x14ac:dyDescent="0.35">
      <c r="S5363" s="13"/>
      <c r="T5363" s="16"/>
      <c r="U5363" s="16"/>
      <c r="V5363" s="16"/>
      <c r="W5363" s="13"/>
      <c r="X5363" s="47">
        <v>5359</v>
      </c>
      <c r="Y5363" s="47" t="s">
        <v>2248</v>
      </c>
      <c r="Z5363" s="47" t="s">
        <v>2337</v>
      </c>
      <c r="AA5363" s="56">
        <v>6.1915999999999999E-2</v>
      </c>
      <c r="AB5363" s="13"/>
      <c r="AC5363" s="13"/>
      <c r="AD5363" s="13"/>
      <c r="AE5363" s="13"/>
      <c r="AF5363" s="13"/>
    </row>
    <row r="5364" spans="19:32" x14ac:dyDescent="0.35">
      <c r="S5364" s="13"/>
      <c r="T5364" s="16"/>
      <c r="U5364" s="16"/>
      <c r="V5364" s="16"/>
      <c r="W5364" s="13"/>
      <c r="X5364" s="34">
        <v>5360</v>
      </c>
      <c r="Y5364" s="34" t="s">
        <v>2248</v>
      </c>
      <c r="Z5364" s="34" t="s">
        <v>2337</v>
      </c>
      <c r="AA5364" s="35">
        <v>1.8953629032258067E-4</v>
      </c>
      <c r="AB5364" s="13"/>
      <c r="AC5364" s="13"/>
      <c r="AD5364" s="13"/>
      <c r="AE5364" s="13"/>
      <c r="AF5364" s="13"/>
    </row>
    <row r="5365" spans="19:32" x14ac:dyDescent="0.35">
      <c r="S5365" s="13"/>
      <c r="T5365" s="16"/>
      <c r="U5365" s="16"/>
      <c r="V5365" s="16"/>
      <c r="W5365" s="13"/>
      <c r="X5365" s="34">
        <v>5361</v>
      </c>
      <c r="Y5365" s="34" t="s">
        <v>2248</v>
      </c>
      <c r="Z5365" s="34" t="s">
        <v>3832</v>
      </c>
      <c r="AA5365" s="35">
        <v>3.8824000000000001</v>
      </c>
      <c r="AB5365" s="13"/>
      <c r="AC5365" s="13"/>
      <c r="AD5365" s="13"/>
      <c r="AE5365" s="13"/>
      <c r="AF5365" s="13"/>
    </row>
    <row r="5366" spans="19:32" x14ac:dyDescent="0.35">
      <c r="S5366" s="13"/>
      <c r="T5366" s="16"/>
      <c r="U5366" s="16"/>
      <c r="V5366" s="16"/>
      <c r="W5366" s="13"/>
      <c r="X5366" s="34">
        <v>5362</v>
      </c>
      <c r="Y5366" s="34" t="s">
        <v>2248</v>
      </c>
      <c r="Z5366" s="34" t="s">
        <v>3831</v>
      </c>
      <c r="AA5366" s="35">
        <v>5.3125000000000004E-3</v>
      </c>
      <c r="AB5366" s="13"/>
      <c r="AC5366" s="13"/>
      <c r="AD5366" s="13"/>
      <c r="AE5366" s="13"/>
      <c r="AF5366" s="13"/>
    </row>
    <row r="5367" spans="19:32" x14ac:dyDescent="0.35">
      <c r="S5367" s="13"/>
      <c r="T5367" s="16"/>
      <c r="U5367" s="16"/>
      <c r="V5367" s="16"/>
      <c r="W5367" s="13"/>
      <c r="X5367" s="34">
        <v>5363</v>
      </c>
      <c r="Y5367" s="34" t="s">
        <v>2248</v>
      </c>
      <c r="Z5367" s="34" t="s">
        <v>3830</v>
      </c>
      <c r="AA5367" s="35">
        <v>1.5457661290322583E-3</v>
      </c>
      <c r="AB5367" s="13"/>
      <c r="AC5367" s="13"/>
      <c r="AD5367" s="13"/>
      <c r="AE5367" s="13"/>
      <c r="AF5367" s="13"/>
    </row>
    <row r="5368" spans="19:32" x14ac:dyDescent="0.35">
      <c r="S5368" s="13"/>
      <c r="T5368" s="16"/>
      <c r="U5368" s="16"/>
      <c r="V5368" s="16"/>
      <c r="W5368" s="13"/>
      <c r="X5368" s="34">
        <v>5364</v>
      </c>
      <c r="Y5368" s="34" t="s">
        <v>2248</v>
      </c>
      <c r="Z5368" s="34" t="s">
        <v>3829</v>
      </c>
      <c r="AA5368" s="35">
        <v>0.41768</v>
      </c>
      <c r="AB5368" s="13"/>
      <c r="AC5368" s="13"/>
      <c r="AD5368" s="13"/>
      <c r="AE5368" s="13"/>
      <c r="AF5368" s="13"/>
    </row>
    <row r="5369" spans="19:32" x14ac:dyDescent="0.35">
      <c r="S5369" s="13"/>
      <c r="T5369" s="16"/>
      <c r="U5369" s="16"/>
      <c r="V5369" s="16"/>
      <c r="W5369" s="13"/>
      <c r="X5369" s="47">
        <v>5365</v>
      </c>
      <c r="Y5369" s="47" t="s">
        <v>2248</v>
      </c>
      <c r="Z5369" s="47" t="s">
        <v>2335</v>
      </c>
      <c r="AA5369" s="56">
        <v>0.10212</v>
      </c>
      <c r="AB5369" s="13"/>
      <c r="AC5369" s="13"/>
      <c r="AD5369" s="13"/>
      <c r="AE5369" s="13"/>
      <c r="AF5369" s="13"/>
    </row>
    <row r="5370" spans="19:32" x14ac:dyDescent="0.35">
      <c r="S5370" s="13"/>
      <c r="T5370" s="16"/>
      <c r="U5370" s="16"/>
      <c r="V5370" s="16"/>
      <c r="W5370" s="13"/>
      <c r="X5370" s="34">
        <v>5366</v>
      </c>
      <c r="Y5370" s="34" t="s">
        <v>2248</v>
      </c>
      <c r="Z5370" s="34" t="s">
        <v>2335</v>
      </c>
      <c r="AA5370" s="35">
        <v>5.2439516129032265E-5</v>
      </c>
      <c r="AB5370" s="13"/>
      <c r="AC5370" s="13"/>
      <c r="AD5370" s="13"/>
      <c r="AE5370" s="13"/>
      <c r="AF5370" s="13"/>
    </row>
    <row r="5371" spans="19:32" x14ac:dyDescent="0.35">
      <c r="S5371" s="13"/>
      <c r="T5371" s="16"/>
      <c r="U5371" s="16"/>
      <c r="V5371" s="16"/>
      <c r="W5371" s="13"/>
      <c r="X5371" s="34">
        <v>5367</v>
      </c>
      <c r="Y5371" s="34" t="s">
        <v>2248</v>
      </c>
      <c r="Z5371" s="34" t="s">
        <v>3828</v>
      </c>
      <c r="AA5371" s="35">
        <v>0</v>
      </c>
      <c r="AB5371" s="13"/>
      <c r="AC5371" s="13"/>
      <c r="AD5371" s="13"/>
      <c r="AE5371" s="13"/>
      <c r="AF5371" s="13"/>
    </row>
    <row r="5372" spans="19:32" x14ac:dyDescent="0.35">
      <c r="S5372" s="13"/>
      <c r="T5372" s="16"/>
      <c r="U5372" s="16"/>
      <c r="V5372" s="16"/>
      <c r="W5372" s="13"/>
      <c r="X5372" s="34">
        <v>5368</v>
      </c>
      <c r="Y5372" s="34" t="s">
        <v>2248</v>
      </c>
      <c r="Z5372" s="34" t="s">
        <v>3827</v>
      </c>
      <c r="AA5372" s="35">
        <v>1.8987903225806452E-3</v>
      </c>
      <c r="AB5372" s="13"/>
      <c r="AC5372" s="13"/>
      <c r="AD5372" s="13"/>
      <c r="AE5372" s="13"/>
      <c r="AF5372" s="13"/>
    </row>
    <row r="5373" spans="19:32" x14ac:dyDescent="0.35">
      <c r="S5373" s="13"/>
      <c r="T5373" s="16"/>
      <c r="U5373" s="16"/>
      <c r="V5373" s="16"/>
      <c r="W5373" s="13"/>
      <c r="X5373" s="34">
        <v>5369</v>
      </c>
      <c r="Y5373" s="34" t="s">
        <v>2248</v>
      </c>
      <c r="Z5373" s="34" t="s">
        <v>3826</v>
      </c>
      <c r="AA5373" s="35">
        <v>0</v>
      </c>
      <c r="AB5373" s="13"/>
      <c r="AC5373" s="13"/>
      <c r="AD5373" s="13"/>
      <c r="AE5373" s="13"/>
      <c r="AF5373" s="13"/>
    </row>
    <row r="5374" spans="19:32" x14ac:dyDescent="0.35">
      <c r="S5374" s="13"/>
      <c r="T5374" s="16"/>
      <c r="U5374" s="16"/>
      <c r="V5374" s="16"/>
      <c r="W5374" s="13"/>
      <c r="X5374" s="47">
        <v>5370</v>
      </c>
      <c r="Y5374" s="47" t="s">
        <v>2248</v>
      </c>
      <c r="Z5374" s="47" t="s">
        <v>2333</v>
      </c>
      <c r="AA5374" s="56">
        <v>0</v>
      </c>
      <c r="AB5374" s="13"/>
      <c r="AC5374" s="13"/>
      <c r="AD5374" s="13"/>
      <c r="AE5374" s="13"/>
      <c r="AF5374" s="13"/>
    </row>
    <row r="5375" spans="19:32" x14ac:dyDescent="0.35">
      <c r="S5375" s="13"/>
      <c r="T5375" s="16"/>
      <c r="U5375" s="16"/>
      <c r="V5375" s="16"/>
      <c r="W5375" s="13"/>
      <c r="X5375" s="34">
        <v>5371</v>
      </c>
      <c r="Y5375" s="34" t="s">
        <v>2248</v>
      </c>
      <c r="Z5375" s="34" t="s">
        <v>2333</v>
      </c>
      <c r="AA5375" s="35">
        <v>0.11447580645161291</v>
      </c>
      <c r="AB5375" s="13"/>
      <c r="AC5375" s="13"/>
      <c r="AD5375" s="13"/>
      <c r="AE5375" s="13"/>
      <c r="AF5375" s="13"/>
    </row>
    <row r="5376" spans="19:32" x14ac:dyDescent="0.35">
      <c r="S5376" s="13"/>
      <c r="T5376" s="16"/>
      <c r="U5376" s="16"/>
      <c r="V5376" s="16"/>
      <c r="W5376" s="13"/>
      <c r="X5376" s="34">
        <v>5372</v>
      </c>
      <c r="Y5376" s="34" t="s">
        <v>2248</v>
      </c>
      <c r="Z5376" s="34" t="s">
        <v>3825</v>
      </c>
      <c r="AA5376" s="35">
        <v>0</v>
      </c>
      <c r="AB5376" s="13"/>
      <c r="AC5376" s="13"/>
      <c r="AD5376" s="13"/>
      <c r="AE5376" s="13"/>
      <c r="AF5376" s="13"/>
    </row>
    <row r="5377" spans="19:32" x14ac:dyDescent="0.35">
      <c r="S5377" s="13"/>
      <c r="T5377" s="16"/>
      <c r="U5377" s="16"/>
      <c r="V5377" s="16"/>
      <c r="W5377" s="13"/>
      <c r="X5377" s="34">
        <v>5373</v>
      </c>
      <c r="Y5377" s="34" t="s">
        <v>2248</v>
      </c>
      <c r="Z5377" s="34" t="s">
        <v>3824</v>
      </c>
      <c r="AA5377" s="35">
        <v>0.47641129032258067</v>
      </c>
      <c r="AB5377" s="13"/>
      <c r="AC5377" s="13"/>
      <c r="AD5377" s="13"/>
      <c r="AE5377" s="13"/>
      <c r="AF5377" s="13"/>
    </row>
    <row r="5378" spans="19:32" x14ac:dyDescent="0.35">
      <c r="S5378" s="13"/>
      <c r="T5378" s="16"/>
      <c r="U5378" s="16"/>
      <c r="V5378" s="16"/>
      <c r="W5378" s="13"/>
      <c r="X5378" s="47">
        <v>5374</v>
      </c>
      <c r="Y5378" s="47" t="s">
        <v>2248</v>
      </c>
      <c r="Z5378" s="47" t="s">
        <v>2332</v>
      </c>
      <c r="AA5378" s="56">
        <v>7.9119999999999996E-2</v>
      </c>
      <c r="AB5378" s="13"/>
      <c r="AC5378" s="13"/>
      <c r="AD5378" s="13"/>
      <c r="AE5378" s="13"/>
      <c r="AF5378" s="13"/>
    </row>
    <row r="5379" spans="19:32" x14ac:dyDescent="0.35">
      <c r="S5379" s="13"/>
      <c r="T5379" s="16"/>
      <c r="U5379" s="16"/>
      <c r="V5379" s="16"/>
      <c r="W5379" s="13"/>
      <c r="X5379" s="34">
        <v>5375</v>
      </c>
      <c r="Y5379" s="34" t="s">
        <v>2248</v>
      </c>
      <c r="Z5379" s="34" t="s">
        <v>3823</v>
      </c>
      <c r="AA5379" s="35">
        <v>0.26495999999999997</v>
      </c>
      <c r="AB5379" s="13"/>
      <c r="AC5379" s="13"/>
      <c r="AD5379" s="13"/>
      <c r="AE5379" s="13"/>
      <c r="AF5379" s="13"/>
    </row>
    <row r="5380" spans="19:32" x14ac:dyDescent="0.35">
      <c r="S5380" s="13"/>
      <c r="T5380" s="16"/>
      <c r="U5380" s="16"/>
      <c r="V5380" s="16"/>
      <c r="W5380" s="13"/>
      <c r="X5380" s="34">
        <v>5376</v>
      </c>
      <c r="Y5380" s="34" t="s">
        <v>2248</v>
      </c>
      <c r="Z5380" s="34" t="s">
        <v>3822</v>
      </c>
      <c r="AA5380" s="35">
        <v>1.5526209677419356E-4</v>
      </c>
      <c r="AB5380" s="13"/>
      <c r="AC5380" s="13"/>
      <c r="AD5380" s="13"/>
      <c r="AE5380" s="13"/>
      <c r="AF5380" s="13"/>
    </row>
    <row r="5381" spans="19:32" x14ac:dyDescent="0.35">
      <c r="S5381" s="13"/>
      <c r="T5381" s="16"/>
      <c r="U5381" s="16"/>
      <c r="V5381" s="16"/>
      <c r="W5381" s="13"/>
      <c r="X5381" s="34">
        <v>5377</v>
      </c>
      <c r="Y5381" s="34" t="s">
        <v>2248</v>
      </c>
      <c r="Z5381" s="34" t="s">
        <v>3821</v>
      </c>
      <c r="AA5381" s="35">
        <v>3.9072580645161292E-4</v>
      </c>
      <c r="AB5381" s="13"/>
      <c r="AC5381" s="13"/>
      <c r="AD5381" s="13"/>
      <c r="AE5381" s="13"/>
      <c r="AF5381" s="13"/>
    </row>
    <row r="5382" spans="19:32" x14ac:dyDescent="0.35">
      <c r="S5382" s="13"/>
      <c r="T5382" s="16"/>
      <c r="U5382" s="16"/>
      <c r="V5382" s="16"/>
      <c r="W5382" s="13"/>
      <c r="X5382" s="34">
        <v>5378</v>
      </c>
      <c r="Y5382" s="34" t="s">
        <v>2248</v>
      </c>
      <c r="Z5382" s="34" t="s">
        <v>3820</v>
      </c>
      <c r="AA5382" s="35">
        <v>0</v>
      </c>
      <c r="AB5382" s="13"/>
      <c r="AC5382" s="13"/>
      <c r="AD5382" s="13"/>
      <c r="AE5382" s="13"/>
      <c r="AF5382" s="13"/>
    </row>
    <row r="5383" spans="19:32" x14ac:dyDescent="0.35">
      <c r="S5383" s="13"/>
      <c r="T5383" s="16"/>
      <c r="U5383" s="16"/>
      <c r="V5383" s="16"/>
      <c r="W5383" s="13"/>
      <c r="X5383" s="47">
        <v>5379</v>
      </c>
      <c r="Y5383" s="47" t="s">
        <v>2248</v>
      </c>
      <c r="Z5383" s="47" t="s">
        <v>2330</v>
      </c>
      <c r="AA5383" s="56">
        <v>0</v>
      </c>
      <c r="AB5383" s="13"/>
      <c r="AC5383" s="13"/>
      <c r="AD5383" s="13"/>
      <c r="AE5383" s="13"/>
      <c r="AF5383" s="13"/>
    </row>
    <row r="5384" spans="19:32" x14ac:dyDescent="0.35">
      <c r="S5384" s="13"/>
      <c r="T5384" s="16"/>
      <c r="U5384" s="16"/>
      <c r="V5384" s="16"/>
      <c r="W5384" s="13"/>
      <c r="X5384" s="34">
        <v>5380</v>
      </c>
      <c r="Y5384" s="34" t="s">
        <v>2248</v>
      </c>
      <c r="Z5384" s="34" t="s">
        <v>2330</v>
      </c>
      <c r="AA5384" s="35">
        <v>5.8608870967741943E-2</v>
      </c>
      <c r="AB5384" s="13"/>
      <c r="AC5384" s="13"/>
      <c r="AD5384" s="13"/>
      <c r="AE5384" s="13"/>
      <c r="AF5384" s="13"/>
    </row>
    <row r="5385" spans="19:32" x14ac:dyDescent="0.35">
      <c r="S5385" s="13"/>
      <c r="T5385" s="16"/>
      <c r="U5385" s="16"/>
      <c r="V5385" s="16"/>
      <c r="W5385" s="13"/>
      <c r="X5385" s="34">
        <v>5381</v>
      </c>
      <c r="Y5385" s="34" t="s">
        <v>2248</v>
      </c>
      <c r="Z5385" s="34" t="s">
        <v>3819</v>
      </c>
      <c r="AA5385" s="35">
        <v>0</v>
      </c>
      <c r="AB5385" s="13"/>
      <c r="AC5385" s="13"/>
      <c r="AD5385" s="13"/>
      <c r="AE5385" s="13"/>
      <c r="AF5385" s="13"/>
    </row>
    <row r="5386" spans="19:32" x14ac:dyDescent="0.35">
      <c r="S5386" s="13"/>
      <c r="T5386" s="16"/>
      <c r="U5386" s="16"/>
      <c r="V5386" s="16"/>
      <c r="W5386" s="13"/>
      <c r="X5386" s="34">
        <v>5382</v>
      </c>
      <c r="Y5386" s="34" t="s">
        <v>2248</v>
      </c>
      <c r="Z5386" s="34" t="s">
        <v>3818</v>
      </c>
      <c r="AA5386" s="35">
        <v>1.0830645161290323E-2</v>
      </c>
      <c r="AB5386" s="13"/>
      <c r="AC5386" s="13"/>
      <c r="AD5386" s="13"/>
      <c r="AE5386" s="13"/>
      <c r="AF5386" s="13"/>
    </row>
    <row r="5387" spans="19:32" x14ac:dyDescent="0.35">
      <c r="S5387" s="13"/>
      <c r="T5387" s="16"/>
      <c r="U5387" s="16"/>
      <c r="V5387" s="16"/>
      <c r="W5387" s="13"/>
      <c r="X5387" s="34">
        <v>5383</v>
      </c>
      <c r="Y5387" s="34" t="s">
        <v>2248</v>
      </c>
      <c r="Z5387" s="34" t="s">
        <v>3042</v>
      </c>
      <c r="AA5387" s="35">
        <v>3.4000000000000002E-3</v>
      </c>
      <c r="AB5387" s="13"/>
      <c r="AC5387" s="13"/>
      <c r="AD5387" s="13"/>
      <c r="AE5387" s="13"/>
      <c r="AF5387" s="13"/>
    </row>
    <row r="5388" spans="19:32" x14ac:dyDescent="0.35">
      <c r="S5388" s="13"/>
      <c r="T5388" s="16"/>
      <c r="U5388" s="16"/>
      <c r="V5388" s="16"/>
      <c r="W5388" s="13"/>
      <c r="X5388" s="34">
        <v>5384</v>
      </c>
      <c r="Y5388" s="34" t="s">
        <v>2248</v>
      </c>
      <c r="Z5388" s="34" t="s">
        <v>3817</v>
      </c>
      <c r="AA5388" s="35">
        <v>1.3063999999999999E-2</v>
      </c>
      <c r="AB5388" s="13"/>
      <c r="AC5388" s="13"/>
      <c r="AD5388" s="13"/>
      <c r="AE5388" s="13"/>
      <c r="AF5388" s="13"/>
    </row>
    <row r="5389" spans="19:32" x14ac:dyDescent="0.35">
      <c r="S5389" s="13"/>
      <c r="T5389" s="16"/>
      <c r="U5389" s="16"/>
      <c r="V5389" s="16"/>
      <c r="W5389" s="13"/>
      <c r="X5389" s="47">
        <v>5385</v>
      </c>
      <c r="Y5389" s="47" t="s">
        <v>2248</v>
      </c>
      <c r="Z5389" s="47" t="s">
        <v>2329</v>
      </c>
      <c r="AA5389" s="56">
        <v>0</v>
      </c>
      <c r="AB5389" s="13"/>
      <c r="AC5389" s="13"/>
      <c r="AD5389" s="13"/>
      <c r="AE5389" s="13"/>
      <c r="AF5389" s="13"/>
    </row>
    <row r="5390" spans="19:32" x14ac:dyDescent="0.35">
      <c r="S5390" s="13"/>
      <c r="T5390" s="16"/>
      <c r="U5390" s="16"/>
      <c r="V5390" s="16"/>
      <c r="W5390" s="13"/>
      <c r="X5390" s="47">
        <v>5386</v>
      </c>
      <c r="Y5390" s="47" t="s">
        <v>2248</v>
      </c>
      <c r="Z5390" s="47" t="s">
        <v>2327</v>
      </c>
      <c r="AA5390" s="56">
        <v>0</v>
      </c>
      <c r="AB5390" s="13"/>
      <c r="AC5390" s="13"/>
      <c r="AD5390" s="13"/>
      <c r="AE5390" s="13"/>
      <c r="AF5390" s="13"/>
    </row>
    <row r="5391" spans="19:32" x14ac:dyDescent="0.35">
      <c r="S5391" s="13"/>
      <c r="T5391" s="16"/>
      <c r="U5391" s="16"/>
      <c r="V5391" s="16"/>
      <c r="W5391" s="13"/>
      <c r="X5391" s="34">
        <v>5387</v>
      </c>
      <c r="Y5391" s="34" t="s">
        <v>2248</v>
      </c>
      <c r="Z5391" s="34" t="s">
        <v>3816</v>
      </c>
      <c r="AA5391" s="35">
        <v>1.7756000000000001</v>
      </c>
      <c r="AB5391" s="13"/>
      <c r="AC5391" s="13"/>
      <c r="AD5391" s="13"/>
      <c r="AE5391" s="13"/>
      <c r="AF5391" s="13"/>
    </row>
    <row r="5392" spans="19:32" x14ac:dyDescent="0.35">
      <c r="S5392" s="13"/>
      <c r="T5392" s="16"/>
      <c r="U5392" s="16"/>
      <c r="V5392" s="16"/>
      <c r="W5392" s="13"/>
      <c r="X5392" s="34">
        <v>5388</v>
      </c>
      <c r="Y5392" s="34" t="s">
        <v>2248</v>
      </c>
      <c r="Z5392" s="34" t="s">
        <v>3815</v>
      </c>
      <c r="AA5392" s="35">
        <v>1.984475806451613E-4</v>
      </c>
      <c r="AB5392" s="13"/>
      <c r="AC5392" s="13"/>
      <c r="AD5392" s="13"/>
      <c r="AE5392" s="13"/>
      <c r="AF5392" s="13"/>
    </row>
    <row r="5393" spans="19:32" x14ac:dyDescent="0.35">
      <c r="S5393" s="13"/>
      <c r="T5393" s="16"/>
      <c r="U5393" s="16"/>
      <c r="V5393" s="16"/>
      <c r="W5393" s="13"/>
      <c r="X5393" s="47">
        <v>5389</v>
      </c>
      <c r="Y5393" s="47" t="s">
        <v>2248</v>
      </c>
      <c r="Z5393" s="47" t="s">
        <v>2326</v>
      </c>
      <c r="AA5393" s="56">
        <v>0</v>
      </c>
      <c r="AB5393" s="13"/>
      <c r="AC5393" s="13"/>
      <c r="AD5393" s="13"/>
      <c r="AE5393" s="13"/>
      <c r="AF5393" s="13"/>
    </row>
    <row r="5394" spans="19:32" x14ac:dyDescent="0.35">
      <c r="S5394" s="13"/>
      <c r="T5394" s="16"/>
      <c r="U5394" s="16"/>
      <c r="V5394" s="16"/>
      <c r="W5394" s="13"/>
      <c r="X5394" s="34">
        <v>5390</v>
      </c>
      <c r="Y5394" s="34" t="s">
        <v>2248</v>
      </c>
      <c r="Z5394" s="34" t="s">
        <v>3814</v>
      </c>
      <c r="AA5394" s="35">
        <v>0.62468000000000001</v>
      </c>
      <c r="AB5394" s="13"/>
      <c r="AC5394" s="13"/>
      <c r="AD5394" s="13"/>
      <c r="AE5394" s="13"/>
      <c r="AF5394" s="13"/>
    </row>
    <row r="5395" spans="19:32" x14ac:dyDescent="0.35">
      <c r="S5395" s="13"/>
      <c r="T5395" s="16"/>
      <c r="U5395" s="16"/>
      <c r="V5395" s="16"/>
      <c r="W5395" s="13"/>
      <c r="X5395" s="34">
        <v>5391</v>
      </c>
      <c r="Y5395" s="34" t="s">
        <v>2248</v>
      </c>
      <c r="Z5395" s="34" t="s">
        <v>3813</v>
      </c>
      <c r="AA5395" s="35">
        <v>1.902217741935484E-4</v>
      </c>
      <c r="AB5395" s="13"/>
      <c r="AC5395" s="13"/>
      <c r="AD5395" s="13"/>
      <c r="AE5395" s="13"/>
      <c r="AF5395" s="13"/>
    </row>
    <row r="5396" spans="19:32" x14ac:dyDescent="0.35">
      <c r="S5396" s="13"/>
      <c r="T5396" s="16"/>
      <c r="U5396" s="16"/>
      <c r="V5396" s="16"/>
      <c r="W5396" s="13"/>
      <c r="X5396" s="34">
        <v>5392</v>
      </c>
      <c r="Y5396" s="34" t="s">
        <v>2248</v>
      </c>
      <c r="Z5396" s="34" t="s">
        <v>3812</v>
      </c>
      <c r="AA5396" s="35">
        <v>0</v>
      </c>
      <c r="AB5396" s="13"/>
      <c r="AC5396" s="13"/>
      <c r="AD5396" s="13"/>
      <c r="AE5396" s="13"/>
      <c r="AF5396" s="13"/>
    </row>
    <row r="5397" spans="19:32" x14ac:dyDescent="0.35">
      <c r="S5397" s="13"/>
      <c r="T5397" s="16"/>
      <c r="U5397" s="16"/>
      <c r="V5397" s="16"/>
      <c r="W5397" s="13"/>
      <c r="X5397" s="34">
        <v>5393</v>
      </c>
      <c r="Y5397" s="34" t="s">
        <v>2248</v>
      </c>
      <c r="Z5397" s="34" t="s">
        <v>3811</v>
      </c>
      <c r="AA5397" s="35">
        <v>2.4608870967741936E-4</v>
      </c>
      <c r="AB5397" s="13"/>
      <c r="AC5397" s="13"/>
      <c r="AD5397" s="13"/>
      <c r="AE5397" s="13"/>
      <c r="AF5397" s="13"/>
    </row>
    <row r="5398" spans="19:32" x14ac:dyDescent="0.35">
      <c r="S5398" s="13"/>
      <c r="T5398" s="16"/>
      <c r="U5398" s="16"/>
      <c r="V5398" s="16"/>
      <c r="W5398" s="13"/>
      <c r="X5398" s="47">
        <v>5394</v>
      </c>
      <c r="Y5398" s="47" t="s">
        <v>2248</v>
      </c>
      <c r="Z5398" s="47" t="s">
        <v>2324</v>
      </c>
      <c r="AA5398" s="56">
        <v>4.0480000000000005E-5</v>
      </c>
      <c r="AB5398" s="13"/>
      <c r="AC5398" s="13"/>
      <c r="AD5398" s="13"/>
      <c r="AE5398" s="13"/>
      <c r="AF5398" s="13"/>
    </row>
    <row r="5399" spans="19:32" x14ac:dyDescent="0.35">
      <c r="S5399" s="13"/>
      <c r="T5399" s="16"/>
      <c r="U5399" s="16"/>
      <c r="V5399" s="16"/>
      <c r="W5399" s="13"/>
      <c r="X5399" s="34">
        <v>5395</v>
      </c>
      <c r="Y5399" s="34" t="s">
        <v>2248</v>
      </c>
      <c r="Z5399" s="34" t="s">
        <v>2324</v>
      </c>
      <c r="AA5399" s="35">
        <v>2.4026209677419355E-5</v>
      </c>
      <c r="AB5399" s="13"/>
      <c r="AC5399" s="13"/>
      <c r="AD5399" s="13"/>
      <c r="AE5399" s="13"/>
      <c r="AF5399" s="13"/>
    </row>
    <row r="5400" spans="19:32" x14ac:dyDescent="0.35">
      <c r="S5400" s="13"/>
      <c r="T5400" s="16"/>
      <c r="U5400" s="16"/>
      <c r="V5400" s="16"/>
      <c r="W5400" s="13"/>
      <c r="X5400" s="34">
        <v>5396</v>
      </c>
      <c r="Y5400" s="34" t="s">
        <v>2248</v>
      </c>
      <c r="Z5400" s="34" t="s">
        <v>3810</v>
      </c>
      <c r="AA5400" s="35">
        <v>84.364000000000004</v>
      </c>
      <c r="AB5400" s="13"/>
      <c r="AC5400" s="13"/>
      <c r="AD5400" s="13"/>
      <c r="AE5400" s="13"/>
      <c r="AF5400" s="13"/>
    </row>
    <row r="5401" spans="19:32" x14ac:dyDescent="0.35">
      <c r="S5401" s="13"/>
      <c r="T5401" s="16"/>
      <c r="U5401" s="16"/>
      <c r="V5401" s="16"/>
      <c r="W5401" s="13"/>
      <c r="X5401" s="34">
        <v>5397</v>
      </c>
      <c r="Y5401" s="34" t="s">
        <v>2248</v>
      </c>
      <c r="Z5401" s="34" t="s">
        <v>3809</v>
      </c>
      <c r="AA5401" s="35">
        <v>3.0161290322580648E-5</v>
      </c>
      <c r="AB5401" s="13"/>
      <c r="AC5401" s="13"/>
      <c r="AD5401" s="13"/>
      <c r="AE5401" s="13"/>
      <c r="AF5401" s="13"/>
    </row>
    <row r="5402" spans="19:32" x14ac:dyDescent="0.35">
      <c r="S5402" s="13"/>
      <c r="T5402" s="16"/>
      <c r="U5402" s="16"/>
      <c r="V5402" s="16"/>
      <c r="W5402" s="13"/>
      <c r="X5402" s="34">
        <v>5398</v>
      </c>
      <c r="Y5402" s="34" t="s">
        <v>2248</v>
      </c>
      <c r="Z5402" s="34" t="s">
        <v>3808</v>
      </c>
      <c r="AA5402" s="35">
        <v>0</v>
      </c>
      <c r="AB5402" s="13"/>
      <c r="AC5402" s="13"/>
      <c r="AD5402" s="13"/>
      <c r="AE5402" s="13"/>
      <c r="AF5402" s="13"/>
    </row>
    <row r="5403" spans="19:32" x14ac:dyDescent="0.35">
      <c r="S5403" s="13"/>
      <c r="T5403" s="16"/>
      <c r="U5403" s="16"/>
      <c r="V5403" s="16"/>
      <c r="W5403" s="13"/>
      <c r="X5403" s="47">
        <v>5399</v>
      </c>
      <c r="Y5403" s="47" t="s">
        <v>2248</v>
      </c>
      <c r="Z5403" s="47" t="s">
        <v>2323</v>
      </c>
      <c r="AA5403" s="56">
        <v>3.5879999999999995E-2</v>
      </c>
      <c r="AB5403" s="13"/>
      <c r="AC5403" s="13"/>
      <c r="AD5403" s="13"/>
      <c r="AE5403" s="13"/>
      <c r="AF5403" s="13"/>
    </row>
    <row r="5404" spans="19:32" x14ac:dyDescent="0.35">
      <c r="S5404" s="13"/>
      <c r="T5404" s="16"/>
      <c r="U5404" s="16"/>
      <c r="V5404" s="16"/>
      <c r="W5404" s="13"/>
      <c r="X5404" s="34">
        <v>5400</v>
      </c>
      <c r="Y5404" s="34" t="s">
        <v>2248</v>
      </c>
      <c r="Z5404" s="34" t="s">
        <v>2323</v>
      </c>
      <c r="AA5404" s="35">
        <v>6.2721774193548392E-6</v>
      </c>
      <c r="AB5404" s="13"/>
      <c r="AC5404" s="13"/>
      <c r="AD5404" s="13"/>
      <c r="AE5404" s="13"/>
      <c r="AF5404" s="13"/>
    </row>
    <row r="5405" spans="19:32" x14ac:dyDescent="0.35">
      <c r="S5405" s="13"/>
      <c r="T5405" s="16"/>
      <c r="U5405" s="16"/>
      <c r="V5405" s="16"/>
      <c r="W5405" s="13"/>
      <c r="X5405" s="34">
        <v>5401</v>
      </c>
      <c r="Y5405" s="34" t="s">
        <v>2248</v>
      </c>
      <c r="Z5405" s="34" t="s">
        <v>3807</v>
      </c>
      <c r="AA5405" s="35">
        <v>1665.2</v>
      </c>
      <c r="AB5405" s="13"/>
      <c r="AC5405" s="13"/>
      <c r="AD5405" s="13"/>
      <c r="AE5405" s="13"/>
      <c r="AF5405" s="13"/>
    </row>
    <row r="5406" spans="19:32" x14ac:dyDescent="0.35">
      <c r="S5406" s="13"/>
      <c r="T5406" s="16"/>
      <c r="U5406" s="16"/>
      <c r="V5406" s="16"/>
      <c r="W5406" s="13"/>
      <c r="X5406" s="47">
        <v>5402</v>
      </c>
      <c r="Y5406" s="47" t="s">
        <v>2248</v>
      </c>
      <c r="Z5406" s="47" t="s">
        <v>2321</v>
      </c>
      <c r="AA5406" s="56">
        <v>0.41123999999999999</v>
      </c>
      <c r="AB5406" s="13"/>
      <c r="AC5406" s="13"/>
      <c r="AD5406" s="13"/>
      <c r="AE5406" s="13"/>
      <c r="AF5406" s="13"/>
    </row>
    <row r="5407" spans="19:32" x14ac:dyDescent="0.35">
      <c r="S5407" s="13"/>
      <c r="T5407" s="16"/>
      <c r="U5407" s="16"/>
      <c r="V5407" s="16"/>
      <c r="W5407" s="13"/>
      <c r="X5407" s="34">
        <v>5403</v>
      </c>
      <c r="Y5407" s="34" t="s">
        <v>2248</v>
      </c>
      <c r="Z5407" s="34" t="s">
        <v>3039</v>
      </c>
      <c r="AA5407" s="35">
        <v>2.0084677419354839E-3</v>
      </c>
      <c r="AB5407" s="13"/>
      <c r="AC5407" s="13"/>
      <c r="AD5407" s="13"/>
      <c r="AE5407" s="13"/>
      <c r="AF5407" s="13"/>
    </row>
    <row r="5408" spans="19:32" x14ac:dyDescent="0.35">
      <c r="S5408" s="13"/>
      <c r="T5408" s="16"/>
      <c r="U5408" s="16"/>
      <c r="V5408" s="16"/>
      <c r="W5408" s="13"/>
      <c r="X5408" s="34">
        <v>5404</v>
      </c>
      <c r="Y5408" s="34" t="s">
        <v>2248</v>
      </c>
      <c r="Z5408" s="34" t="s">
        <v>2321</v>
      </c>
      <c r="AA5408" s="35">
        <v>0.11207661290322582</v>
      </c>
      <c r="AB5408" s="13"/>
      <c r="AC5408" s="13"/>
      <c r="AD5408" s="13"/>
      <c r="AE5408" s="13"/>
      <c r="AF5408" s="13"/>
    </row>
    <row r="5409" spans="19:32" x14ac:dyDescent="0.35">
      <c r="S5409" s="13"/>
      <c r="T5409" s="16"/>
      <c r="U5409" s="16"/>
      <c r="V5409" s="16"/>
      <c r="W5409" s="13"/>
      <c r="X5409" s="34">
        <v>5405</v>
      </c>
      <c r="Y5409" s="34" t="s">
        <v>2248</v>
      </c>
      <c r="Z5409" s="34" t="s">
        <v>3806</v>
      </c>
      <c r="AA5409" s="35">
        <v>0</v>
      </c>
      <c r="AB5409" s="13"/>
      <c r="AC5409" s="13"/>
      <c r="AD5409" s="13"/>
      <c r="AE5409" s="13"/>
      <c r="AF5409" s="13"/>
    </row>
    <row r="5410" spans="19:32" x14ac:dyDescent="0.35">
      <c r="S5410" s="13"/>
      <c r="T5410" s="16"/>
      <c r="U5410" s="16"/>
      <c r="V5410" s="16"/>
      <c r="W5410" s="13"/>
      <c r="X5410" s="34">
        <v>5406</v>
      </c>
      <c r="Y5410" s="34" t="s">
        <v>2248</v>
      </c>
      <c r="Z5410" s="34" t="s">
        <v>3805</v>
      </c>
      <c r="AA5410" s="35">
        <v>1.0579999999999999E-3</v>
      </c>
      <c r="AB5410" s="13"/>
      <c r="AC5410" s="13"/>
      <c r="AD5410" s="13"/>
      <c r="AE5410" s="13"/>
      <c r="AF5410" s="13"/>
    </row>
    <row r="5411" spans="19:32" x14ac:dyDescent="0.35">
      <c r="S5411" s="13"/>
      <c r="T5411" s="16"/>
      <c r="U5411" s="16"/>
      <c r="V5411" s="16"/>
      <c r="W5411" s="13"/>
      <c r="X5411" s="47">
        <v>5407</v>
      </c>
      <c r="Y5411" s="47" t="s">
        <v>2248</v>
      </c>
      <c r="Z5411" s="47" t="s">
        <v>2319</v>
      </c>
      <c r="AA5411" s="56">
        <v>2.1343999999999999</v>
      </c>
      <c r="AB5411" s="13"/>
      <c r="AC5411" s="13"/>
      <c r="AD5411" s="13"/>
      <c r="AE5411" s="13"/>
      <c r="AF5411" s="13"/>
    </row>
    <row r="5412" spans="19:32" x14ac:dyDescent="0.35">
      <c r="S5412" s="13"/>
      <c r="T5412" s="16"/>
      <c r="U5412" s="16"/>
      <c r="V5412" s="16"/>
      <c r="W5412" s="13"/>
      <c r="X5412" s="34">
        <v>5408</v>
      </c>
      <c r="Y5412" s="34" t="s">
        <v>2248</v>
      </c>
      <c r="Z5412" s="34" t="s">
        <v>2319</v>
      </c>
      <c r="AA5412" s="35">
        <v>3.2971774193548385E-4</v>
      </c>
      <c r="AB5412" s="13"/>
      <c r="AC5412" s="13"/>
      <c r="AD5412" s="13"/>
      <c r="AE5412" s="13"/>
      <c r="AF5412" s="13"/>
    </row>
    <row r="5413" spans="19:32" x14ac:dyDescent="0.35">
      <c r="S5413" s="13"/>
      <c r="T5413" s="16"/>
      <c r="U5413" s="16"/>
      <c r="V5413" s="16"/>
      <c r="W5413" s="13"/>
      <c r="X5413" s="34">
        <v>5409</v>
      </c>
      <c r="Y5413" s="34" t="s">
        <v>2248</v>
      </c>
      <c r="Z5413" s="34" t="s">
        <v>3804</v>
      </c>
      <c r="AA5413" s="35">
        <v>8.5000000000000006E-5</v>
      </c>
      <c r="AB5413" s="13"/>
      <c r="AC5413" s="13"/>
      <c r="AD5413" s="13"/>
      <c r="AE5413" s="13"/>
      <c r="AF5413" s="13"/>
    </row>
    <row r="5414" spans="19:32" x14ac:dyDescent="0.35">
      <c r="S5414" s="13"/>
      <c r="T5414" s="16"/>
      <c r="U5414" s="16"/>
      <c r="V5414" s="16"/>
      <c r="W5414" s="13"/>
      <c r="X5414" s="34">
        <v>5410</v>
      </c>
      <c r="Y5414" s="34" t="s">
        <v>2248</v>
      </c>
      <c r="Z5414" s="34" t="s">
        <v>3803</v>
      </c>
      <c r="AA5414" s="35">
        <v>0</v>
      </c>
      <c r="AB5414" s="13"/>
      <c r="AC5414" s="13"/>
      <c r="AD5414" s="13"/>
      <c r="AE5414" s="13"/>
      <c r="AF5414" s="13"/>
    </row>
    <row r="5415" spans="19:32" x14ac:dyDescent="0.35">
      <c r="S5415" s="13"/>
      <c r="T5415" s="16"/>
      <c r="U5415" s="16"/>
      <c r="V5415" s="16"/>
      <c r="W5415" s="13"/>
      <c r="X5415" s="47">
        <v>5411</v>
      </c>
      <c r="Y5415" s="47" t="s">
        <v>2248</v>
      </c>
      <c r="Z5415" s="47" t="s">
        <v>2318</v>
      </c>
      <c r="AA5415" s="56">
        <v>10.948</v>
      </c>
      <c r="AB5415" s="13"/>
      <c r="AC5415" s="13"/>
      <c r="AD5415" s="13"/>
      <c r="AE5415" s="13"/>
      <c r="AF5415" s="13"/>
    </row>
    <row r="5416" spans="19:32" x14ac:dyDescent="0.35">
      <c r="S5416" s="13"/>
      <c r="T5416" s="16"/>
      <c r="U5416" s="16"/>
      <c r="V5416" s="16"/>
      <c r="W5416" s="13"/>
      <c r="X5416" s="34">
        <v>5412</v>
      </c>
      <c r="Y5416" s="34" t="s">
        <v>2248</v>
      </c>
      <c r="Z5416" s="34" t="s">
        <v>3802</v>
      </c>
      <c r="AA5416" s="35">
        <v>1.1224000000000001</v>
      </c>
      <c r="AB5416" s="13"/>
      <c r="AC5416" s="13"/>
      <c r="AD5416" s="13"/>
      <c r="AE5416" s="13"/>
      <c r="AF5416" s="13"/>
    </row>
    <row r="5417" spans="19:32" x14ac:dyDescent="0.35">
      <c r="S5417" s="13"/>
      <c r="T5417" s="16"/>
      <c r="U5417" s="16"/>
      <c r="V5417" s="16"/>
      <c r="W5417" s="13"/>
      <c r="X5417" s="34">
        <v>5413</v>
      </c>
      <c r="Y5417" s="34" t="s">
        <v>2248</v>
      </c>
      <c r="Z5417" s="34" t="s">
        <v>3801</v>
      </c>
      <c r="AA5417" s="35">
        <v>1.6485887096774194E-5</v>
      </c>
      <c r="AB5417" s="13"/>
      <c r="AC5417" s="13"/>
      <c r="AD5417" s="13"/>
      <c r="AE5417" s="13"/>
      <c r="AF5417" s="13"/>
    </row>
    <row r="5418" spans="19:32" x14ac:dyDescent="0.35">
      <c r="S5418" s="13"/>
      <c r="T5418" s="16"/>
      <c r="U5418" s="16"/>
      <c r="V5418" s="16"/>
      <c r="W5418" s="13"/>
      <c r="X5418" s="34">
        <v>5414</v>
      </c>
      <c r="Y5418" s="34" t="s">
        <v>2248</v>
      </c>
      <c r="Z5418" s="34" t="s">
        <v>3800</v>
      </c>
      <c r="AA5418" s="35">
        <v>4.3185483870967746E-4</v>
      </c>
      <c r="AB5418" s="13"/>
      <c r="AC5418" s="13"/>
      <c r="AD5418" s="13"/>
      <c r="AE5418" s="13"/>
      <c r="AF5418" s="13"/>
    </row>
    <row r="5419" spans="19:32" x14ac:dyDescent="0.35">
      <c r="S5419" s="13"/>
      <c r="T5419" s="16"/>
      <c r="U5419" s="16"/>
      <c r="V5419" s="16"/>
      <c r="W5419" s="13"/>
      <c r="X5419" s="34">
        <v>5415</v>
      </c>
      <c r="Y5419" s="34" t="s">
        <v>2248</v>
      </c>
      <c r="Z5419" s="34" t="s">
        <v>3799</v>
      </c>
      <c r="AA5419" s="35">
        <v>2.5116000000000001</v>
      </c>
      <c r="AB5419" s="13"/>
      <c r="AC5419" s="13"/>
      <c r="AD5419" s="13"/>
      <c r="AE5419" s="13"/>
      <c r="AF5419" s="13"/>
    </row>
    <row r="5420" spans="19:32" x14ac:dyDescent="0.35">
      <c r="S5420" s="13"/>
      <c r="T5420" s="16"/>
      <c r="U5420" s="16"/>
      <c r="V5420" s="16"/>
      <c r="W5420" s="13"/>
      <c r="X5420" s="47">
        <v>5416</v>
      </c>
      <c r="Y5420" s="47" t="s">
        <v>2248</v>
      </c>
      <c r="Z5420" s="47" t="s">
        <v>2316</v>
      </c>
      <c r="AA5420" s="56">
        <v>0</v>
      </c>
      <c r="AB5420" s="13"/>
      <c r="AC5420" s="13"/>
      <c r="AD5420" s="13"/>
      <c r="AE5420" s="13"/>
      <c r="AF5420" s="13"/>
    </row>
    <row r="5421" spans="19:32" x14ac:dyDescent="0.35">
      <c r="S5421" s="13"/>
      <c r="T5421" s="16"/>
      <c r="U5421" s="16"/>
      <c r="V5421" s="16"/>
      <c r="W5421" s="13"/>
      <c r="X5421" s="34">
        <v>5417</v>
      </c>
      <c r="Y5421" s="34" t="s">
        <v>2248</v>
      </c>
      <c r="Z5421" s="34" t="s">
        <v>2316</v>
      </c>
      <c r="AA5421" s="35">
        <v>7.5745967741935497E-2</v>
      </c>
      <c r="AB5421" s="13"/>
      <c r="AC5421" s="13"/>
      <c r="AD5421" s="13"/>
      <c r="AE5421" s="13"/>
      <c r="AF5421" s="13"/>
    </row>
    <row r="5422" spans="19:32" x14ac:dyDescent="0.35">
      <c r="S5422" s="13"/>
      <c r="T5422" s="16"/>
      <c r="U5422" s="16"/>
      <c r="V5422" s="16"/>
      <c r="W5422" s="13"/>
      <c r="X5422" s="34">
        <v>5418</v>
      </c>
      <c r="Y5422" s="34" t="s">
        <v>2248</v>
      </c>
      <c r="Z5422" s="34" t="s">
        <v>3798</v>
      </c>
      <c r="AA5422" s="35">
        <v>2.0147999999999999E-2</v>
      </c>
      <c r="AB5422" s="13"/>
      <c r="AC5422" s="13"/>
      <c r="AD5422" s="13"/>
      <c r="AE5422" s="13"/>
      <c r="AF5422" s="13"/>
    </row>
    <row r="5423" spans="19:32" x14ac:dyDescent="0.35">
      <c r="S5423" s="13"/>
      <c r="T5423" s="16"/>
      <c r="U5423" s="16"/>
      <c r="V5423" s="16"/>
      <c r="W5423" s="13"/>
      <c r="X5423" s="34">
        <v>5419</v>
      </c>
      <c r="Y5423" s="34" t="s">
        <v>2248</v>
      </c>
      <c r="Z5423" s="34" t="s">
        <v>3797</v>
      </c>
      <c r="AA5423" s="35">
        <v>1.9947580645161292E-2</v>
      </c>
      <c r="AB5423" s="13"/>
      <c r="AC5423" s="13"/>
      <c r="AD5423" s="13"/>
      <c r="AE5423" s="13"/>
      <c r="AF5423" s="13"/>
    </row>
    <row r="5424" spans="19:32" x14ac:dyDescent="0.35">
      <c r="S5424" s="13"/>
      <c r="T5424" s="16"/>
      <c r="U5424" s="16"/>
      <c r="V5424" s="16"/>
      <c r="W5424" s="13"/>
      <c r="X5424" s="47">
        <v>5420</v>
      </c>
      <c r="Y5424" s="47" t="s">
        <v>2248</v>
      </c>
      <c r="Z5424" s="47" t="s">
        <v>2315</v>
      </c>
      <c r="AA5424" s="56">
        <v>77.555999999999997</v>
      </c>
      <c r="AB5424" s="13"/>
      <c r="AC5424" s="13"/>
      <c r="AD5424" s="13"/>
      <c r="AE5424" s="13"/>
      <c r="AF5424" s="13"/>
    </row>
    <row r="5425" spans="19:32" x14ac:dyDescent="0.35">
      <c r="S5425" s="13"/>
      <c r="T5425" s="16"/>
      <c r="U5425" s="16"/>
      <c r="V5425" s="16"/>
      <c r="W5425" s="13"/>
      <c r="X5425" s="34">
        <v>5421</v>
      </c>
      <c r="Y5425" s="34" t="s">
        <v>2248</v>
      </c>
      <c r="Z5425" s="34" t="s">
        <v>2315</v>
      </c>
      <c r="AA5425" s="35">
        <v>7.0604838709677426E-3</v>
      </c>
      <c r="AB5425" s="13"/>
      <c r="AC5425" s="13"/>
      <c r="AD5425" s="13"/>
      <c r="AE5425" s="13"/>
      <c r="AF5425" s="13"/>
    </row>
    <row r="5426" spans="19:32" x14ac:dyDescent="0.35">
      <c r="S5426" s="13"/>
      <c r="T5426" s="16"/>
      <c r="U5426" s="16"/>
      <c r="V5426" s="16"/>
      <c r="W5426" s="13"/>
      <c r="X5426" s="34">
        <v>5422</v>
      </c>
      <c r="Y5426" s="34" t="s">
        <v>2248</v>
      </c>
      <c r="Z5426" s="34" t="s">
        <v>3796</v>
      </c>
      <c r="AA5426" s="35">
        <v>0</v>
      </c>
      <c r="AB5426" s="13"/>
      <c r="AC5426" s="13"/>
      <c r="AD5426" s="13"/>
      <c r="AE5426" s="13"/>
      <c r="AF5426" s="13"/>
    </row>
    <row r="5427" spans="19:32" x14ac:dyDescent="0.35">
      <c r="S5427" s="13"/>
      <c r="T5427" s="16"/>
      <c r="U5427" s="16"/>
      <c r="V5427" s="16"/>
      <c r="W5427" s="13"/>
      <c r="X5427" s="34">
        <v>5423</v>
      </c>
      <c r="Y5427" s="34" t="s">
        <v>2248</v>
      </c>
      <c r="Z5427" s="34" t="s">
        <v>3795</v>
      </c>
      <c r="AA5427" s="35">
        <v>6.3407258064516133E-6</v>
      </c>
      <c r="AB5427" s="13"/>
      <c r="AC5427" s="13"/>
      <c r="AD5427" s="13"/>
      <c r="AE5427" s="13"/>
      <c r="AF5427" s="13"/>
    </row>
    <row r="5428" spans="19:32" x14ac:dyDescent="0.35">
      <c r="S5428" s="13"/>
      <c r="T5428" s="16"/>
      <c r="U5428" s="16"/>
      <c r="V5428" s="16"/>
      <c r="W5428" s="13"/>
      <c r="X5428" s="34">
        <v>5424</v>
      </c>
      <c r="Y5428" s="34" t="s">
        <v>2248</v>
      </c>
      <c r="Z5428" s="34" t="s">
        <v>3794</v>
      </c>
      <c r="AA5428" s="35">
        <v>6.4778225806451617E-5</v>
      </c>
      <c r="AB5428" s="13"/>
      <c r="AC5428" s="13"/>
      <c r="AD5428" s="13"/>
      <c r="AE5428" s="13"/>
      <c r="AF5428" s="13"/>
    </row>
    <row r="5429" spans="19:32" x14ac:dyDescent="0.35">
      <c r="S5429" s="13"/>
      <c r="T5429" s="16"/>
      <c r="U5429" s="16"/>
      <c r="V5429" s="16"/>
      <c r="W5429" s="13"/>
      <c r="X5429" s="34">
        <v>5425</v>
      </c>
      <c r="Y5429" s="34" t="s">
        <v>2248</v>
      </c>
      <c r="Z5429" s="34" t="s">
        <v>3793</v>
      </c>
      <c r="AA5429" s="35">
        <v>0</v>
      </c>
      <c r="AB5429" s="13"/>
      <c r="AC5429" s="13"/>
      <c r="AD5429" s="13"/>
      <c r="AE5429" s="13"/>
      <c r="AF5429" s="13"/>
    </row>
    <row r="5430" spans="19:32" x14ac:dyDescent="0.35">
      <c r="S5430" s="13"/>
      <c r="T5430" s="16"/>
      <c r="U5430" s="16"/>
      <c r="V5430" s="16"/>
      <c r="W5430" s="13"/>
      <c r="X5430" s="34">
        <v>5426</v>
      </c>
      <c r="Y5430" s="34" t="s">
        <v>2248</v>
      </c>
      <c r="Z5430" s="34" t="s">
        <v>3792</v>
      </c>
      <c r="AA5430" s="35">
        <v>0</v>
      </c>
      <c r="AB5430" s="13"/>
      <c r="AC5430" s="13"/>
      <c r="AD5430" s="13"/>
      <c r="AE5430" s="13"/>
      <c r="AF5430" s="13"/>
    </row>
    <row r="5431" spans="19:32" x14ac:dyDescent="0.35">
      <c r="S5431" s="13"/>
      <c r="T5431" s="16"/>
      <c r="U5431" s="16"/>
      <c r="V5431" s="16"/>
      <c r="W5431" s="13"/>
      <c r="X5431" s="34">
        <v>5427</v>
      </c>
      <c r="Y5431" s="34" t="s">
        <v>2248</v>
      </c>
      <c r="Z5431" s="34" t="s">
        <v>3791</v>
      </c>
      <c r="AA5431" s="35">
        <v>1.5868951612903228E-4</v>
      </c>
      <c r="AB5431" s="13"/>
      <c r="AC5431" s="13"/>
      <c r="AD5431" s="13"/>
      <c r="AE5431" s="13"/>
      <c r="AF5431" s="13"/>
    </row>
    <row r="5432" spans="19:32" x14ac:dyDescent="0.35">
      <c r="S5432" s="13"/>
      <c r="T5432" s="16"/>
      <c r="U5432" s="16"/>
      <c r="V5432" s="16"/>
      <c r="W5432" s="13"/>
      <c r="X5432" s="34">
        <v>5428</v>
      </c>
      <c r="Y5432" s="34" t="s">
        <v>2248</v>
      </c>
      <c r="Z5432" s="34" t="s">
        <v>3790</v>
      </c>
      <c r="AA5432" s="35">
        <v>2.7864919354838712E-4</v>
      </c>
      <c r="AB5432" s="13"/>
      <c r="AC5432" s="13"/>
      <c r="AD5432" s="13"/>
      <c r="AE5432" s="13"/>
      <c r="AF5432" s="13"/>
    </row>
    <row r="5433" spans="19:32" x14ac:dyDescent="0.35">
      <c r="S5433" s="13"/>
      <c r="T5433" s="16"/>
      <c r="U5433" s="16"/>
      <c r="V5433" s="16"/>
      <c r="W5433" s="13"/>
      <c r="X5433" s="34">
        <v>5429</v>
      </c>
      <c r="Y5433" s="34" t="s">
        <v>2248</v>
      </c>
      <c r="Z5433" s="34" t="s">
        <v>3789</v>
      </c>
      <c r="AA5433" s="35">
        <v>0</v>
      </c>
      <c r="AB5433" s="13"/>
      <c r="AC5433" s="13"/>
      <c r="AD5433" s="13"/>
      <c r="AE5433" s="13"/>
      <c r="AF5433" s="13"/>
    </row>
    <row r="5434" spans="19:32" x14ac:dyDescent="0.35">
      <c r="S5434" s="13"/>
      <c r="T5434" s="16"/>
      <c r="U5434" s="16"/>
      <c r="V5434" s="16"/>
      <c r="W5434" s="13"/>
      <c r="X5434" s="47">
        <v>5430</v>
      </c>
      <c r="Y5434" s="47" t="s">
        <v>2248</v>
      </c>
      <c r="Z5434" s="47" t="s">
        <v>2313</v>
      </c>
      <c r="AA5434" s="56">
        <v>2.1252</v>
      </c>
      <c r="AB5434" s="13"/>
      <c r="AC5434" s="13"/>
      <c r="AD5434" s="13"/>
      <c r="AE5434" s="13"/>
      <c r="AF5434" s="13"/>
    </row>
    <row r="5435" spans="19:32" x14ac:dyDescent="0.35">
      <c r="S5435" s="13"/>
      <c r="T5435" s="16"/>
      <c r="U5435" s="16"/>
      <c r="V5435" s="16"/>
      <c r="W5435" s="13"/>
      <c r="X5435" s="34">
        <v>5431</v>
      </c>
      <c r="Y5435" s="34" t="s">
        <v>2248</v>
      </c>
      <c r="Z5435" s="34" t="s">
        <v>3788</v>
      </c>
      <c r="AA5435" s="35">
        <v>0</v>
      </c>
      <c r="AB5435" s="13"/>
      <c r="AC5435" s="13"/>
      <c r="AD5435" s="13"/>
      <c r="AE5435" s="13"/>
      <c r="AF5435" s="13"/>
    </row>
    <row r="5436" spans="19:32" x14ac:dyDescent="0.35">
      <c r="S5436" s="13"/>
      <c r="T5436" s="16"/>
      <c r="U5436" s="16"/>
      <c r="V5436" s="16"/>
      <c r="W5436" s="13"/>
      <c r="X5436" s="47">
        <v>5432</v>
      </c>
      <c r="Y5436" s="47" t="s">
        <v>2248</v>
      </c>
      <c r="Z5436" s="47" t="s">
        <v>2312</v>
      </c>
      <c r="AA5436" s="56">
        <v>1.8860000000000002E-2</v>
      </c>
      <c r="AB5436" s="13"/>
      <c r="AC5436" s="13"/>
      <c r="AD5436" s="13"/>
      <c r="AE5436" s="13"/>
      <c r="AF5436" s="13"/>
    </row>
    <row r="5437" spans="19:32" x14ac:dyDescent="0.35">
      <c r="S5437" s="13"/>
      <c r="T5437" s="16"/>
      <c r="U5437" s="16"/>
      <c r="V5437" s="16"/>
      <c r="W5437" s="13"/>
      <c r="X5437" s="34">
        <v>5433</v>
      </c>
      <c r="Y5437" s="34" t="s">
        <v>2248</v>
      </c>
      <c r="Z5437" s="34" t="s">
        <v>3787</v>
      </c>
      <c r="AA5437" s="35">
        <v>3.2903225806451615E-2</v>
      </c>
      <c r="AB5437" s="13"/>
      <c r="AC5437" s="13"/>
      <c r="AD5437" s="13"/>
      <c r="AE5437" s="13"/>
      <c r="AF5437" s="13"/>
    </row>
    <row r="5438" spans="19:32" x14ac:dyDescent="0.35">
      <c r="S5438" s="13"/>
      <c r="T5438" s="16"/>
      <c r="U5438" s="16"/>
      <c r="V5438" s="16"/>
      <c r="W5438" s="13"/>
      <c r="X5438" s="47">
        <v>5434</v>
      </c>
      <c r="Y5438" s="47" t="s">
        <v>2248</v>
      </c>
      <c r="Z5438" s="47" t="s">
        <v>2310</v>
      </c>
      <c r="AA5438" s="56">
        <v>5.5384000000000006E-3</v>
      </c>
      <c r="AB5438" s="13"/>
      <c r="AC5438" s="13"/>
      <c r="AD5438" s="13"/>
      <c r="AE5438" s="13"/>
      <c r="AF5438" s="13"/>
    </row>
    <row r="5439" spans="19:32" x14ac:dyDescent="0.35">
      <c r="S5439" s="13"/>
      <c r="T5439" s="16"/>
      <c r="U5439" s="16"/>
      <c r="V5439" s="16"/>
      <c r="W5439" s="13"/>
      <c r="X5439" s="34">
        <v>5435</v>
      </c>
      <c r="Y5439" s="34" t="s">
        <v>2248</v>
      </c>
      <c r="Z5439" s="34" t="s">
        <v>3786</v>
      </c>
      <c r="AA5439" s="35">
        <v>0</v>
      </c>
      <c r="AB5439" s="13"/>
      <c r="AC5439" s="13"/>
      <c r="AD5439" s="13"/>
      <c r="AE5439" s="13"/>
      <c r="AF5439" s="13"/>
    </row>
    <row r="5440" spans="19:32" x14ac:dyDescent="0.35">
      <c r="S5440" s="13"/>
      <c r="T5440" s="16"/>
      <c r="U5440" s="16"/>
      <c r="V5440" s="16"/>
      <c r="W5440" s="13"/>
      <c r="X5440" s="47">
        <v>5436</v>
      </c>
      <c r="Y5440" s="47" t="s">
        <v>2248</v>
      </c>
      <c r="Z5440" s="47" t="s">
        <v>2308</v>
      </c>
      <c r="AA5440" s="56">
        <v>5.5107999999999997E-2</v>
      </c>
      <c r="AB5440" s="13"/>
      <c r="AC5440" s="13"/>
      <c r="AD5440" s="13"/>
      <c r="AE5440" s="13"/>
      <c r="AF5440" s="13"/>
    </row>
    <row r="5441" spans="19:32" x14ac:dyDescent="0.35">
      <c r="S5441" s="13"/>
      <c r="T5441" s="16"/>
      <c r="U5441" s="16"/>
      <c r="V5441" s="16"/>
      <c r="W5441" s="13"/>
      <c r="X5441" s="34">
        <v>5437</v>
      </c>
      <c r="Y5441" s="34" t="s">
        <v>2248</v>
      </c>
      <c r="Z5441" s="34" t="s">
        <v>3785</v>
      </c>
      <c r="AA5441" s="35">
        <v>0</v>
      </c>
      <c r="AB5441" s="13"/>
      <c r="AC5441" s="13"/>
      <c r="AD5441" s="13"/>
      <c r="AE5441" s="13"/>
      <c r="AF5441" s="13"/>
    </row>
    <row r="5442" spans="19:32" x14ac:dyDescent="0.35">
      <c r="S5442" s="13"/>
      <c r="T5442" s="16"/>
      <c r="U5442" s="16"/>
      <c r="V5442" s="16"/>
      <c r="W5442" s="13"/>
      <c r="X5442" s="34">
        <v>5438</v>
      </c>
      <c r="Y5442" s="34" t="s">
        <v>2248</v>
      </c>
      <c r="Z5442" s="34" t="s">
        <v>3784</v>
      </c>
      <c r="AA5442" s="35">
        <v>2.0975806451612906E-4</v>
      </c>
      <c r="AB5442" s="13"/>
      <c r="AC5442" s="13"/>
      <c r="AD5442" s="13"/>
      <c r="AE5442" s="13"/>
      <c r="AF5442" s="13"/>
    </row>
    <row r="5443" spans="19:32" x14ac:dyDescent="0.35">
      <c r="S5443" s="13"/>
      <c r="T5443" s="16"/>
      <c r="U5443" s="16"/>
      <c r="V5443" s="16"/>
      <c r="W5443" s="13"/>
      <c r="X5443" s="47">
        <v>5439</v>
      </c>
      <c r="Y5443" s="47" t="s">
        <v>2248</v>
      </c>
      <c r="Z5443" s="47" t="s">
        <v>2307</v>
      </c>
      <c r="AA5443" s="56">
        <v>2.0424000000000001E-2</v>
      </c>
      <c r="AB5443" s="13"/>
      <c r="AC5443" s="13"/>
      <c r="AD5443" s="13"/>
      <c r="AE5443" s="13"/>
      <c r="AF5443" s="13"/>
    </row>
    <row r="5444" spans="19:32" x14ac:dyDescent="0.35">
      <c r="S5444" s="13"/>
      <c r="T5444" s="16"/>
      <c r="U5444" s="16"/>
      <c r="V5444" s="16"/>
      <c r="W5444" s="13"/>
      <c r="X5444" s="34">
        <v>5440</v>
      </c>
      <c r="Y5444" s="34" t="s">
        <v>2248</v>
      </c>
      <c r="Z5444" s="34" t="s">
        <v>3783</v>
      </c>
      <c r="AA5444" s="35">
        <v>400.2</v>
      </c>
      <c r="AB5444" s="13"/>
      <c r="AC5444" s="13"/>
      <c r="AD5444" s="13"/>
      <c r="AE5444" s="13"/>
      <c r="AF5444" s="13"/>
    </row>
    <row r="5445" spans="19:32" x14ac:dyDescent="0.35">
      <c r="S5445" s="13"/>
      <c r="T5445" s="16"/>
      <c r="U5445" s="16"/>
      <c r="V5445" s="16"/>
      <c r="W5445" s="13"/>
      <c r="X5445" s="34">
        <v>5441</v>
      </c>
      <c r="Y5445" s="34" t="s">
        <v>2248</v>
      </c>
      <c r="Z5445" s="34" t="s">
        <v>3782</v>
      </c>
      <c r="AA5445" s="35">
        <v>1.1002016129032259E-2</v>
      </c>
      <c r="AB5445" s="13"/>
      <c r="AC5445" s="13"/>
      <c r="AD5445" s="13"/>
      <c r="AE5445" s="13"/>
      <c r="AF5445" s="13"/>
    </row>
    <row r="5446" spans="19:32" x14ac:dyDescent="0.35">
      <c r="S5446" s="13"/>
      <c r="T5446" s="16"/>
      <c r="U5446" s="16"/>
      <c r="V5446" s="16"/>
      <c r="W5446" s="13"/>
      <c r="X5446" s="34">
        <v>5442</v>
      </c>
      <c r="Y5446" s="34" t="s">
        <v>2248</v>
      </c>
      <c r="Z5446" s="34" t="s">
        <v>3781</v>
      </c>
      <c r="AA5446" s="35">
        <v>0.39072580645161292</v>
      </c>
      <c r="AB5446" s="13"/>
      <c r="AC5446" s="13"/>
      <c r="AD5446" s="13"/>
      <c r="AE5446" s="13"/>
      <c r="AF5446" s="13"/>
    </row>
    <row r="5447" spans="19:32" x14ac:dyDescent="0.35">
      <c r="S5447" s="13"/>
      <c r="T5447" s="16"/>
      <c r="U5447" s="16"/>
      <c r="V5447" s="16"/>
      <c r="W5447" s="13"/>
      <c r="X5447" s="34">
        <v>5443</v>
      </c>
      <c r="Y5447" s="34" t="s">
        <v>2248</v>
      </c>
      <c r="Z5447" s="34" t="s">
        <v>3780</v>
      </c>
      <c r="AA5447" s="35">
        <v>3.0636000000000001</v>
      </c>
      <c r="AB5447" s="13"/>
      <c r="AC5447" s="13"/>
      <c r="AD5447" s="13"/>
      <c r="AE5447" s="13"/>
      <c r="AF5447" s="13"/>
    </row>
    <row r="5448" spans="19:32" x14ac:dyDescent="0.35">
      <c r="S5448" s="13"/>
      <c r="T5448" s="16"/>
      <c r="U5448" s="16"/>
      <c r="V5448" s="16"/>
      <c r="W5448" s="13"/>
      <c r="X5448" s="47">
        <v>5444</v>
      </c>
      <c r="Y5448" s="47" t="s">
        <v>2248</v>
      </c>
      <c r="Z5448" s="47" t="s">
        <v>2305</v>
      </c>
      <c r="AA5448" s="56">
        <v>0.87583999999999995</v>
      </c>
      <c r="AB5448" s="13"/>
      <c r="AC5448" s="13"/>
      <c r="AD5448" s="13"/>
      <c r="AE5448" s="13"/>
      <c r="AF5448" s="13"/>
    </row>
    <row r="5449" spans="19:32" x14ac:dyDescent="0.35">
      <c r="S5449" s="13"/>
      <c r="T5449" s="16"/>
      <c r="U5449" s="16"/>
      <c r="V5449" s="16"/>
      <c r="W5449" s="13"/>
      <c r="X5449" s="34">
        <v>5445</v>
      </c>
      <c r="Y5449" s="34" t="s">
        <v>2248</v>
      </c>
      <c r="Z5449" s="34" t="s">
        <v>2305</v>
      </c>
      <c r="AA5449" s="35">
        <v>1.5903225806451614E-3</v>
      </c>
      <c r="AB5449" s="13"/>
      <c r="AC5449" s="13"/>
      <c r="AD5449" s="13"/>
      <c r="AE5449" s="13"/>
      <c r="AF5449" s="13"/>
    </row>
    <row r="5450" spans="19:32" x14ac:dyDescent="0.35">
      <c r="S5450" s="13"/>
      <c r="T5450" s="16"/>
      <c r="U5450" s="16"/>
      <c r="V5450" s="16"/>
      <c r="W5450" s="13"/>
      <c r="X5450" s="34">
        <v>5446</v>
      </c>
      <c r="Y5450" s="34" t="s">
        <v>2248</v>
      </c>
      <c r="Z5450" s="34" t="s">
        <v>3779</v>
      </c>
      <c r="AA5450" s="35">
        <v>0</v>
      </c>
      <c r="AB5450" s="13"/>
      <c r="AC5450" s="13"/>
      <c r="AD5450" s="13"/>
      <c r="AE5450" s="13"/>
      <c r="AF5450" s="13"/>
    </row>
    <row r="5451" spans="19:32" x14ac:dyDescent="0.35">
      <c r="S5451" s="13"/>
      <c r="T5451" s="16"/>
      <c r="U5451" s="16"/>
      <c r="V5451" s="16"/>
      <c r="W5451" s="13"/>
      <c r="X5451" s="34">
        <v>5447</v>
      </c>
      <c r="Y5451" s="34" t="s">
        <v>2248</v>
      </c>
      <c r="Z5451" s="34" t="s">
        <v>3778</v>
      </c>
      <c r="AA5451" s="35">
        <v>1.2030241935483872E-3</v>
      </c>
      <c r="AB5451" s="13"/>
      <c r="AC5451" s="13"/>
      <c r="AD5451" s="13"/>
      <c r="AE5451" s="13"/>
      <c r="AF5451" s="13"/>
    </row>
    <row r="5452" spans="19:32" x14ac:dyDescent="0.35">
      <c r="S5452" s="13"/>
      <c r="T5452" s="16"/>
      <c r="U5452" s="16"/>
      <c r="V5452" s="16"/>
      <c r="W5452" s="13"/>
      <c r="X5452" s="34">
        <v>5448</v>
      </c>
      <c r="Y5452" s="34" t="s">
        <v>2248</v>
      </c>
      <c r="Z5452" s="34" t="s">
        <v>3777</v>
      </c>
      <c r="AA5452" s="35">
        <v>3.5302419354838716E-2</v>
      </c>
      <c r="AB5452" s="13"/>
      <c r="AC5452" s="13"/>
      <c r="AD5452" s="13"/>
      <c r="AE5452" s="13"/>
      <c r="AF5452" s="13"/>
    </row>
    <row r="5453" spans="19:32" x14ac:dyDescent="0.35">
      <c r="S5453" s="13"/>
      <c r="T5453" s="16"/>
      <c r="U5453" s="16"/>
      <c r="V5453" s="16"/>
      <c r="W5453" s="13"/>
      <c r="X5453" s="34">
        <v>5449</v>
      </c>
      <c r="Y5453" s="34" t="s">
        <v>2248</v>
      </c>
      <c r="Z5453" s="34" t="s">
        <v>3776</v>
      </c>
      <c r="AA5453" s="35">
        <v>75.163999999999987</v>
      </c>
      <c r="AB5453" s="13"/>
      <c r="AC5453" s="13"/>
      <c r="AD5453" s="13"/>
      <c r="AE5453" s="13"/>
      <c r="AF5453" s="13"/>
    </row>
    <row r="5454" spans="19:32" x14ac:dyDescent="0.35">
      <c r="S5454" s="13"/>
      <c r="T5454" s="16"/>
      <c r="U5454" s="16"/>
      <c r="V5454" s="16"/>
      <c r="W5454" s="13"/>
      <c r="X5454" s="34">
        <v>5450</v>
      </c>
      <c r="Y5454" s="34" t="s">
        <v>2248</v>
      </c>
      <c r="Z5454" s="34" t="s">
        <v>3775</v>
      </c>
      <c r="AA5454" s="35">
        <v>0.15868951612903226</v>
      </c>
      <c r="AB5454" s="13"/>
      <c r="AC5454" s="13"/>
      <c r="AD5454" s="13"/>
      <c r="AE5454" s="13"/>
      <c r="AF5454" s="13"/>
    </row>
    <row r="5455" spans="19:32" x14ac:dyDescent="0.35">
      <c r="S5455" s="13"/>
      <c r="T5455" s="16"/>
      <c r="U5455" s="16"/>
      <c r="V5455" s="16"/>
      <c r="W5455" s="13"/>
      <c r="X5455" s="34">
        <v>5451</v>
      </c>
      <c r="Y5455" s="34" t="s">
        <v>2248</v>
      </c>
      <c r="Z5455" s="34" t="s">
        <v>3774</v>
      </c>
      <c r="AA5455" s="35">
        <v>0.10967741935483871</v>
      </c>
      <c r="AB5455" s="13"/>
      <c r="AC5455" s="13"/>
      <c r="AD5455" s="13"/>
      <c r="AE5455" s="13"/>
      <c r="AF5455" s="13"/>
    </row>
    <row r="5456" spans="19:32" x14ac:dyDescent="0.35">
      <c r="S5456" s="13"/>
      <c r="T5456" s="16"/>
      <c r="U5456" s="16"/>
      <c r="V5456" s="16"/>
      <c r="W5456" s="13"/>
      <c r="X5456" s="34">
        <v>5452</v>
      </c>
      <c r="Y5456" s="34" t="s">
        <v>2248</v>
      </c>
      <c r="Z5456" s="34" t="s">
        <v>3773</v>
      </c>
      <c r="AA5456" s="35">
        <v>0</v>
      </c>
      <c r="AB5456" s="13"/>
      <c r="AC5456" s="13"/>
      <c r="AD5456" s="13"/>
      <c r="AE5456" s="13"/>
      <c r="AF5456" s="13"/>
    </row>
    <row r="5457" spans="19:32" x14ac:dyDescent="0.35">
      <c r="S5457" s="13"/>
      <c r="T5457" s="16"/>
      <c r="U5457" s="16"/>
      <c r="V5457" s="16"/>
      <c r="W5457" s="13"/>
      <c r="X5457" s="34">
        <v>5453</v>
      </c>
      <c r="Y5457" s="34" t="s">
        <v>2248</v>
      </c>
      <c r="Z5457" s="34" t="s">
        <v>3772</v>
      </c>
      <c r="AA5457" s="35">
        <v>3.166935483870968E-4</v>
      </c>
      <c r="AB5457" s="13"/>
      <c r="AC5457" s="13"/>
      <c r="AD5457" s="13"/>
      <c r="AE5457" s="13"/>
      <c r="AF5457" s="13"/>
    </row>
    <row r="5458" spans="19:32" x14ac:dyDescent="0.35">
      <c r="S5458" s="13"/>
      <c r="T5458" s="16"/>
      <c r="U5458" s="16"/>
      <c r="V5458" s="16"/>
      <c r="W5458" s="13"/>
      <c r="X5458" s="47">
        <v>5454</v>
      </c>
      <c r="Y5458" s="47" t="s">
        <v>2248</v>
      </c>
      <c r="Z5458" s="47" t="s">
        <v>2304</v>
      </c>
      <c r="AA5458" s="56">
        <v>0</v>
      </c>
      <c r="AB5458" s="13"/>
      <c r="AC5458" s="13"/>
      <c r="AD5458" s="13"/>
      <c r="AE5458" s="13"/>
      <c r="AF5458" s="13"/>
    </row>
    <row r="5459" spans="19:32" x14ac:dyDescent="0.35">
      <c r="S5459" s="13"/>
      <c r="T5459" s="16"/>
      <c r="U5459" s="16"/>
      <c r="V5459" s="16"/>
      <c r="W5459" s="13"/>
      <c r="X5459" s="34">
        <v>5455</v>
      </c>
      <c r="Y5459" s="34" t="s">
        <v>2248</v>
      </c>
      <c r="Z5459" s="34" t="s">
        <v>3771</v>
      </c>
      <c r="AA5459" s="35">
        <v>7.0287999999999995</v>
      </c>
      <c r="AB5459" s="13"/>
      <c r="AC5459" s="13"/>
      <c r="AD5459" s="13"/>
      <c r="AE5459" s="13"/>
      <c r="AF5459" s="13"/>
    </row>
    <row r="5460" spans="19:32" x14ac:dyDescent="0.35">
      <c r="S5460" s="13"/>
      <c r="T5460" s="16"/>
      <c r="U5460" s="16"/>
      <c r="V5460" s="16"/>
      <c r="W5460" s="13"/>
      <c r="X5460" s="47">
        <v>5456</v>
      </c>
      <c r="Y5460" s="47" t="s">
        <v>2248</v>
      </c>
      <c r="Z5460" s="47" t="s">
        <v>2302</v>
      </c>
      <c r="AA5460" s="56">
        <v>4.3331999999999996E-2</v>
      </c>
      <c r="AB5460" s="13"/>
      <c r="AC5460" s="13"/>
      <c r="AD5460" s="13"/>
      <c r="AE5460" s="13"/>
      <c r="AF5460" s="13"/>
    </row>
    <row r="5461" spans="19:32" x14ac:dyDescent="0.35">
      <c r="S5461" s="13"/>
      <c r="T5461" s="16"/>
      <c r="U5461" s="16"/>
      <c r="V5461" s="16"/>
      <c r="W5461" s="13"/>
      <c r="X5461" s="34">
        <v>5457</v>
      </c>
      <c r="Y5461" s="34" t="s">
        <v>2248</v>
      </c>
      <c r="Z5461" s="34" t="s">
        <v>3770</v>
      </c>
      <c r="AA5461" s="35">
        <v>0</v>
      </c>
      <c r="AB5461" s="13"/>
      <c r="AC5461" s="13"/>
      <c r="AD5461" s="13"/>
      <c r="AE5461" s="13"/>
      <c r="AF5461" s="13"/>
    </row>
    <row r="5462" spans="19:32" x14ac:dyDescent="0.35">
      <c r="S5462" s="13"/>
      <c r="T5462" s="16"/>
      <c r="U5462" s="16"/>
      <c r="V5462" s="16"/>
      <c r="W5462" s="13"/>
      <c r="X5462" s="34">
        <v>5458</v>
      </c>
      <c r="Y5462" s="34" t="s">
        <v>2248</v>
      </c>
      <c r="Z5462" s="34" t="s">
        <v>3769</v>
      </c>
      <c r="AA5462" s="35">
        <v>8.4657258064516133E-6</v>
      </c>
      <c r="AB5462" s="13"/>
      <c r="AC5462" s="13"/>
      <c r="AD5462" s="13"/>
      <c r="AE5462" s="13"/>
      <c r="AF5462" s="13"/>
    </row>
    <row r="5463" spans="19:32" x14ac:dyDescent="0.35">
      <c r="S5463" s="13"/>
      <c r="T5463" s="16"/>
      <c r="U5463" s="16"/>
      <c r="V5463" s="16"/>
      <c r="W5463" s="13"/>
      <c r="X5463" s="34">
        <v>5459</v>
      </c>
      <c r="Y5463" s="34" t="s">
        <v>2248</v>
      </c>
      <c r="Z5463" s="34" t="s">
        <v>3768</v>
      </c>
      <c r="AA5463" s="35">
        <v>7.9858870967741946E-5</v>
      </c>
      <c r="AB5463" s="13"/>
      <c r="AC5463" s="13"/>
      <c r="AD5463" s="13"/>
      <c r="AE5463" s="13"/>
      <c r="AF5463" s="13"/>
    </row>
    <row r="5464" spans="19:32" x14ac:dyDescent="0.35">
      <c r="S5464" s="13"/>
      <c r="T5464" s="16"/>
      <c r="U5464" s="16"/>
      <c r="V5464" s="16"/>
      <c r="W5464" s="13"/>
      <c r="X5464" s="34">
        <v>5460</v>
      </c>
      <c r="Y5464" s="34" t="s">
        <v>2248</v>
      </c>
      <c r="Z5464" s="34" t="s">
        <v>3767</v>
      </c>
      <c r="AA5464" s="35">
        <v>0</v>
      </c>
      <c r="AB5464" s="13"/>
      <c r="AC5464" s="13"/>
      <c r="AD5464" s="13"/>
      <c r="AE5464" s="13"/>
      <c r="AF5464" s="13"/>
    </row>
    <row r="5465" spans="19:32" x14ac:dyDescent="0.35">
      <c r="S5465" s="13"/>
      <c r="T5465" s="16"/>
      <c r="U5465" s="16"/>
      <c r="V5465" s="16"/>
      <c r="W5465" s="13"/>
      <c r="X5465" s="47">
        <v>5461</v>
      </c>
      <c r="Y5465" s="47" t="s">
        <v>2248</v>
      </c>
      <c r="Z5465" s="47" t="s">
        <v>2301</v>
      </c>
      <c r="AA5465" s="56">
        <v>0</v>
      </c>
      <c r="AB5465" s="13"/>
      <c r="AC5465" s="13"/>
      <c r="AD5465" s="13"/>
      <c r="AE5465" s="13"/>
      <c r="AF5465" s="13"/>
    </row>
    <row r="5466" spans="19:32" x14ac:dyDescent="0.35">
      <c r="S5466" s="13"/>
      <c r="T5466" s="16"/>
      <c r="U5466" s="16"/>
      <c r="V5466" s="16"/>
      <c r="W5466" s="13"/>
      <c r="X5466" s="34">
        <v>5462</v>
      </c>
      <c r="Y5466" s="34" t="s">
        <v>2248</v>
      </c>
      <c r="Z5466" s="34" t="s">
        <v>3766</v>
      </c>
      <c r="AA5466" s="35">
        <v>1.2441532258064518E-2</v>
      </c>
      <c r="AB5466" s="13"/>
      <c r="AC5466" s="13"/>
      <c r="AD5466" s="13"/>
      <c r="AE5466" s="13"/>
      <c r="AF5466" s="13"/>
    </row>
    <row r="5467" spans="19:32" x14ac:dyDescent="0.35">
      <c r="S5467" s="13"/>
      <c r="T5467" s="16"/>
      <c r="U5467" s="16"/>
      <c r="V5467" s="16"/>
      <c r="W5467" s="13"/>
      <c r="X5467" s="34">
        <v>5463</v>
      </c>
      <c r="Y5467" s="34" t="s">
        <v>2248</v>
      </c>
      <c r="Z5467" s="34" t="s">
        <v>3765</v>
      </c>
      <c r="AA5467" s="35">
        <v>0</v>
      </c>
      <c r="AB5467" s="13"/>
      <c r="AC5467" s="13"/>
      <c r="AD5467" s="13"/>
      <c r="AE5467" s="13"/>
      <c r="AF5467" s="13"/>
    </row>
    <row r="5468" spans="19:32" x14ac:dyDescent="0.35">
      <c r="S5468" s="13"/>
      <c r="T5468" s="16"/>
      <c r="U5468" s="16"/>
      <c r="V5468" s="16"/>
      <c r="W5468" s="13"/>
      <c r="X5468" s="34">
        <v>5464</v>
      </c>
      <c r="Y5468" s="34" t="s">
        <v>2248</v>
      </c>
      <c r="Z5468" s="34" t="s">
        <v>3034</v>
      </c>
      <c r="AA5468" s="35">
        <v>0.18199596774193549</v>
      </c>
      <c r="AB5468" s="13"/>
      <c r="AC5468" s="13"/>
      <c r="AD5468" s="13"/>
      <c r="AE5468" s="13"/>
      <c r="AF5468" s="13"/>
    </row>
    <row r="5469" spans="19:32" x14ac:dyDescent="0.35">
      <c r="S5469" s="13"/>
      <c r="T5469" s="16"/>
      <c r="U5469" s="16"/>
      <c r="V5469" s="16"/>
      <c r="W5469" s="13"/>
      <c r="X5469" s="34">
        <v>5465</v>
      </c>
      <c r="Y5469" s="34" t="s">
        <v>2248</v>
      </c>
      <c r="Z5469" s="34" t="s">
        <v>3764</v>
      </c>
      <c r="AA5469" s="35">
        <v>2.3306451612903227E-2</v>
      </c>
      <c r="AB5469" s="13"/>
      <c r="AC5469" s="13"/>
      <c r="AD5469" s="13"/>
      <c r="AE5469" s="13"/>
      <c r="AF5469" s="13"/>
    </row>
    <row r="5470" spans="19:32" x14ac:dyDescent="0.35">
      <c r="S5470" s="13"/>
      <c r="T5470" s="16"/>
      <c r="U5470" s="16"/>
      <c r="V5470" s="16"/>
      <c r="W5470" s="13"/>
      <c r="X5470" s="34">
        <v>5466</v>
      </c>
      <c r="Y5470" s="34" t="s">
        <v>2248</v>
      </c>
      <c r="Z5470" s="34" t="s">
        <v>3763</v>
      </c>
      <c r="AA5470" s="35">
        <v>0</v>
      </c>
      <c r="AB5470" s="13"/>
      <c r="AC5470" s="13"/>
      <c r="AD5470" s="13"/>
      <c r="AE5470" s="13"/>
      <c r="AF5470" s="13"/>
    </row>
    <row r="5471" spans="19:32" x14ac:dyDescent="0.35">
      <c r="S5471" s="13"/>
      <c r="T5471" s="16"/>
      <c r="U5471" s="16"/>
      <c r="V5471" s="16"/>
      <c r="W5471" s="13"/>
      <c r="X5471" s="34">
        <v>5467</v>
      </c>
      <c r="Y5471" s="34" t="s">
        <v>2248</v>
      </c>
      <c r="Z5471" s="34" t="s">
        <v>3762</v>
      </c>
      <c r="AA5471" s="35">
        <v>4.0100806451612911E-6</v>
      </c>
      <c r="AB5471" s="13"/>
      <c r="AC5471" s="13"/>
      <c r="AD5471" s="13"/>
      <c r="AE5471" s="13"/>
      <c r="AF5471" s="13"/>
    </row>
    <row r="5472" spans="19:32" x14ac:dyDescent="0.35">
      <c r="S5472" s="13"/>
      <c r="T5472" s="16"/>
      <c r="U5472" s="16"/>
      <c r="V5472" s="16"/>
      <c r="W5472" s="13"/>
      <c r="X5472" s="34">
        <v>5468</v>
      </c>
      <c r="Y5472" s="34" t="s">
        <v>2248</v>
      </c>
      <c r="Z5472" s="34" t="s">
        <v>3761</v>
      </c>
      <c r="AA5472" s="35">
        <v>1.2887096774193549E-6</v>
      </c>
      <c r="AB5472" s="13"/>
      <c r="AC5472" s="13"/>
      <c r="AD5472" s="13"/>
      <c r="AE5472" s="13"/>
      <c r="AF5472" s="13"/>
    </row>
    <row r="5473" spans="19:32" x14ac:dyDescent="0.35">
      <c r="S5473" s="13"/>
      <c r="T5473" s="16"/>
      <c r="U5473" s="16"/>
      <c r="V5473" s="16"/>
      <c r="W5473" s="13"/>
      <c r="X5473" s="34">
        <v>5469</v>
      </c>
      <c r="Y5473" s="34" t="s">
        <v>2248</v>
      </c>
      <c r="Z5473" s="34" t="s">
        <v>3760</v>
      </c>
      <c r="AA5473" s="35">
        <v>0</v>
      </c>
      <c r="AB5473" s="13"/>
      <c r="AC5473" s="13"/>
      <c r="AD5473" s="13"/>
      <c r="AE5473" s="13"/>
      <c r="AF5473" s="13"/>
    </row>
    <row r="5474" spans="19:32" x14ac:dyDescent="0.35">
      <c r="S5474" s="13"/>
      <c r="T5474" s="16"/>
      <c r="U5474" s="16"/>
      <c r="V5474" s="16"/>
      <c r="W5474" s="13"/>
      <c r="X5474" s="34">
        <v>5470</v>
      </c>
      <c r="Y5474" s="34" t="s">
        <v>2248</v>
      </c>
      <c r="Z5474" s="34" t="s">
        <v>3759</v>
      </c>
      <c r="AA5474" s="35">
        <v>4.8669354838709676E-5</v>
      </c>
      <c r="AB5474" s="13"/>
      <c r="AC5474" s="13"/>
      <c r="AD5474" s="13"/>
      <c r="AE5474" s="13"/>
      <c r="AF5474" s="13"/>
    </row>
    <row r="5475" spans="19:32" x14ac:dyDescent="0.35">
      <c r="S5475" s="13"/>
      <c r="T5475" s="16"/>
      <c r="U5475" s="16"/>
      <c r="V5475" s="16"/>
      <c r="W5475" s="13"/>
      <c r="X5475" s="34">
        <v>5471</v>
      </c>
      <c r="Y5475" s="34" t="s">
        <v>2248</v>
      </c>
      <c r="Z5475" s="34" t="s">
        <v>3758</v>
      </c>
      <c r="AA5475" s="35">
        <v>2.5739919354838708E-3</v>
      </c>
      <c r="AB5475" s="13"/>
      <c r="AC5475" s="13"/>
      <c r="AD5475" s="13"/>
      <c r="AE5475" s="13"/>
      <c r="AF5475" s="13"/>
    </row>
    <row r="5476" spans="19:32" x14ac:dyDescent="0.35">
      <c r="S5476" s="13"/>
      <c r="T5476" s="16"/>
      <c r="U5476" s="16"/>
      <c r="V5476" s="16"/>
      <c r="W5476" s="13"/>
      <c r="X5476" s="34">
        <v>5472</v>
      </c>
      <c r="Y5476" s="34" t="s">
        <v>2248</v>
      </c>
      <c r="Z5476" s="34" t="s">
        <v>3757</v>
      </c>
      <c r="AA5476" s="35">
        <v>0</v>
      </c>
      <c r="AB5476" s="13"/>
      <c r="AC5476" s="13"/>
      <c r="AD5476" s="13"/>
      <c r="AE5476" s="13"/>
      <c r="AF5476" s="13"/>
    </row>
    <row r="5477" spans="19:32" x14ac:dyDescent="0.35">
      <c r="S5477" s="13"/>
      <c r="T5477" s="16"/>
      <c r="U5477" s="16"/>
      <c r="V5477" s="16"/>
      <c r="W5477" s="13"/>
      <c r="X5477" s="34">
        <v>5473</v>
      </c>
      <c r="Y5477" s="34" t="s">
        <v>2248</v>
      </c>
      <c r="Z5477" s="34" t="s">
        <v>3756</v>
      </c>
      <c r="AA5477" s="35">
        <v>4.4213709677419358E-4</v>
      </c>
      <c r="AB5477" s="13"/>
      <c r="AC5477" s="13"/>
      <c r="AD5477" s="13"/>
      <c r="AE5477" s="13"/>
      <c r="AF5477" s="13"/>
    </row>
    <row r="5478" spans="19:32" x14ac:dyDescent="0.35">
      <c r="S5478" s="13"/>
      <c r="T5478" s="16"/>
      <c r="U5478" s="16"/>
      <c r="V5478" s="16"/>
      <c r="W5478" s="13"/>
      <c r="X5478" s="34">
        <v>5474</v>
      </c>
      <c r="Y5478" s="34" t="s">
        <v>2248</v>
      </c>
      <c r="Z5478" s="34" t="s">
        <v>3755</v>
      </c>
      <c r="AA5478" s="35">
        <v>6.237903225806452E-3</v>
      </c>
      <c r="AB5478" s="13"/>
      <c r="AC5478" s="13"/>
      <c r="AD5478" s="13"/>
      <c r="AE5478" s="13"/>
      <c r="AF5478" s="13"/>
    </row>
    <row r="5479" spans="19:32" x14ac:dyDescent="0.35">
      <c r="S5479" s="13"/>
      <c r="T5479" s="16"/>
      <c r="U5479" s="16"/>
      <c r="V5479" s="16"/>
      <c r="W5479" s="13"/>
      <c r="X5479" s="34">
        <v>5475</v>
      </c>
      <c r="Y5479" s="34" t="s">
        <v>2248</v>
      </c>
      <c r="Z5479" s="34" t="s">
        <v>3754</v>
      </c>
      <c r="AA5479" s="35">
        <v>0.72311999999999999</v>
      </c>
      <c r="AB5479" s="13"/>
      <c r="AC5479" s="13"/>
      <c r="AD5479" s="13"/>
      <c r="AE5479" s="13"/>
      <c r="AF5479" s="13"/>
    </row>
    <row r="5480" spans="19:32" x14ac:dyDescent="0.35">
      <c r="S5480" s="13"/>
      <c r="T5480" s="16"/>
      <c r="U5480" s="16"/>
      <c r="V5480" s="16"/>
      <c r="W5480" s="13"/>
      <c r="X5480" s="34">
        <v>5476</v>
      </c>
      <c r="Y5480" s="34" t="s">
        <v>2248</v>
      </c>
      <c r="Z5480" s="34" t="s">
        <v>3753</v>
      </c>
      <c r="AA5480" s="35">
        <v>3.3862903225806455E-3</v>
      </c>
      <c r="AB5480" s="13"/>
      <c r="AC5480" s="13"/>
      <c r="AD5480" s="13"/>
      <c r="AE5480" s="13"/>
      <c r="AF5480" s="13"/>
    </row>
    <row r="5481" spans="19:32" x14ac:dyDescent="0.35">
      <c r="S5481" s="13"/>
      <c r="T5481" s="16"/>
      <c r="U5481" s="16"/>
      <c r="V5481" s="16"/>
      <c r="W5481" s="13"/>
      <c r="X5481" s="34">
        <v>5477</v>
      </c>
      <c r="Y5481" s="34" t="s">
        <v>2248</v>
      </c>
      <c r="Z5481" s="34" t="s">
        <v>3752</v>
      </c>
      <c r="AA5481" s="35">
        <v>0</v>
      </c>
      <c r="AB5481" s="13"/>
      <c r="AC5481" s="13"/>
      <c r="AD5481" s="13"/>
      <c r="AE5481" s="13"/>
      <c r="AF5481" s="13"/>
    </row>
    <row r="5482" spans="19:32" x14ac:dyDescent="0.35">
      <c r="S5482" s="13"/>
      <c r="T5482" s="16"/>
      <c r="U5482" s="16"/>
      <c r="V5482" s="16"/>
      <c r="W5482" s="13"/>
      <c r="X5482" s="47">
        <v>5478</v>
      </c>
      <c r="Y5482" s="47" t="s">
        <v>2248</v>
      </c>
      <c r="Z5482" s="47" t="s">
        <v>2299</v>
      </c>
      <c r="AA5482" s="56">
        <v>902.5200000000001</v>
      </c>
      <c r="AB5482" s="13"/>
      <c r="AC5482" s="13"/>
      <c r="AD5482" s="13"/>
      <c r="AE5482" s="13"/>
      <c r="AF5482" s="13"/>
    </row>
    <row r="5483" spans="19:32" x14ac:dyDescent="0.35">
      <c r="S5483" s="13"/>
      <c r="T5483" s="16"/>
      <c r="U5483" s="16"/>
      <c r="V5483" s="16"/>
      <c r="W5483" s="13"/>
      <c r="X5483" s="34">
        <v>5479</v>
      </c>
      <c r="Y5483" s="34" t="s">
        <v>2248</v>
      </c>
      <c r="Z5483" s="34" t="s">
        <v>3032</v>
      </c>
      <c r="AA5483" s="35">
        <v>1.3298387096774194E-5</v>
      </c>
      <c r="AB5483" s="13"/>
      <c r="AC5483" s="13"/>
      <c r="AD5483" s="13"/>
      <c r="AE5483" s="13"/>
      <c r="AF5483" s="13"/>
    </row>
    <row r="5484" spans="19:32" x14ac:dyDescent="0.35">
      <c r="S5484" s="13"/>
      <c r="T5484" s="16"/>
      <c r="U5484" s="16"/>
      <c r="V5484" s="16"/>
      <c r="W5484" s="13"/>
      <c r="X5484" s="34">
        <v>5480</v>
      </c>
      <c r="Y5484" s="34" t="s">
        <v>2248</v>
      </c>
      <c r="Z5484" s="34" t="s">
        <v>3751</v>
      </c>
      <c r="AA5484" s="35">
        <v>4.010080645161291E-2</v>
      </c>
      <c r="AB5484" s="13"/>
      <c r="AC5484" s="13"/>
      <c r="AD5484" s="13"/>
      <c r="AE5484" s="13"/>
      <c r="AF5484" s="13"/>
    </row>
    <row r="5485" spans="19:32" x14ac:dyDescent="0.35">
      <c r="S5485" s="13"/>
      <c r="T5485" s="16"/>
      <c r="U5485" s="16"/>
      <c r="V5485" s="16"/>
      <c r="W5485" s="13"/>
      <c r="X5485" s="34">
        <v>5481</v>
      </c>
      <c r="Y5485" s="34" t="s">
        <v>2248</v>
      </c>
      <c r="Z5485" s="34" t="s">
        <v>3750</v>
      </c>
      <c r="AA5485" s="35">
        <v>0</v>
      </c>
      <c r="AB5485" s="13"/>
      <c r="AC5485" s="13"/>
      <c r="AD5485" s="13"/>
      <c r="AE5485" s="13"/>
      <c r="AF5485" s="13"/>
    </row>
    <row r="5486" spans="19:32" x14ac:dyDescent="0.35">
      <c r="S5486" s="13"/>
      <c r="T5486" s="16"/>
      <c r="U5486" s="16"/>
      <c r="V5486" s="16"/>
      <c r="W5486" s="13"/>
      <c r="X5486" s="47">
        <v>5482</v>
      </c>
      <c r="Y5486" s="47" t="s">
        <v>2248</v>
      </c>
      <c r="Z5486" s="47" t="s">
        <v>2298</v>
      </c>
      <c r="AA5486" s="56">
        <v>14.075999999999999</v>
      </c>
      <c r="AB5486" s="13"/>
      <c r="AC5486" s="13"/>
      <c r="AD5486" s="13"/>
      <c r="AE5486" s="13"/>
      <c r="AF5486" s="13"/>
    </row>
    <row r="5487" spans="19:32" x14ac:dyDescent="0.35">
      <c r="S5487" s="13"/>
      <c r="T5487" s="16"/>
      <c r="U5487" s="16"/>
      <c r="V5487" s="16"/>
      <c r="W5487" s="13"/>
      <c r="X5487" s="34">
        <v>5483</v>
      </c>
      <c r="Y5487" s="34" t="s">
        <v>2248</v>
      </c>
      <c r="Z5487" s="34" t="s">
        <v>3749</v>
      </c>
      <c r="AA5487" s="35">
        <v>0</v>
      </c>
      <c r="AB5487" s="13"/>
      <c r="AC5487" s="13"/>
      <c r="AD5487" s="13"/>
      <c r="AE5487" s="13"/>
      <c r="AF5487" s="13"/>
    </row>
    <row r="5488" spans="19:32" x14ac:dyDescent="0.35">
      <c r="S5488" s="13"/>
      <c r="T5488" s="16"/>
      <c r="U5488" s="16"/>
      <c r="V5488" s="16"/>
      <c r="W5488" s="13"/>
      <c r="X5488" s="34">
        <v>5484</v>
      </c>
      <c r="Y5488" s="34" t="s">
        <v>2248</v>
      </c>
      <c r="Z5488" s="34" t="s">
        <v>3748</v>
      </c>
      <c r="AA5488" s="35">
        <v>2.2449596774193549E-3</v>
      </c>
      <c r="AB5488" s="13"/>
      <c r="AC5488" s="13"/>
      <c r="AD5488" s="13"/>
      <c r="AE5488" s="13"/>
      <c r="AF5488" s="13"/>
    </row>
    <row r="5489" spans="19:32" x14ac:dyDescent="0.35">
      <c r="S5489" s="13"/>
      <c r="T5489" s="16"/>
      <c r="U5489" s="16"/>
      <c r="V5489" s="16"/>
      <c r="W5489" s="13"/>
      <c r="X5489" s="34">
        <v>5485</v>
      </c>
      <c r="Y5489" s="34" t="s">
        <v>2248</v>
      </c>
      <c r="Z5489" s="34" t="s">
        <v>3747</v>
      </c>
      <c r="AA5489" s="35">
        <v>1.6280241935483872E-2</v>
      </c>
      <c r="AB5489" s="13"/>
      <c r="AC5489" s="13"/>
      <c r="AD5489" s="13"/>
      <c r="AE5489" s="13"/>
      <c r="AF5489" s="13"/>
    </row>
    <row r="5490" spans="19:32" x14ac:dyDescent="0.35">
      <c r="S5490" s="13"/>
      <c r="T5490" s="16"/>
      <c r="U5490" s="16"/>
      <c r="V5490" s="16"/>
      <c r="W5490" s="13"/>
      <c r="X5490" s="34">
        <v>5486</v>
      </c>
      <c r="Y5490" s="34" t="s">
        <v>2248</v>
      </c>
      <c r="Z5490" s="34" t="s">
        <v>3746</v>
      </c>
      <c r="AA5490" s="35">
        <v>0</v>
      </c>
      <c r="AB5490" s="13"/>
      <c r="AC5490" s="13"/>
      <c r="AD5490" s="13"/>
      <c r="AE5490" s="13"/>
      <c r="AF5490" s="13"/>
    </row>
    <row r="5491" spans="19:32" x14ac:dyDescent="0.35">
      <c r="S5491" s="13"/>
      <c r="T5491" s="16"/>
      <c r="U5491" s="16"/>
      <c r="V5491" s="16"/>
      <c r="W5491" s="13"/>
      <c r="X5491" s="34">
        <v>5487</v>
      </c>
      <c r="Y5491" s="34" t="s">
        <v>2248</v>
      </c>
      <c r="Z5491" s="34" t="s">
        <v>3745</v>
      </c>
      <c r="AA5491" s="35">
        <v>7.8145161290322585E-4</v>
      </c>
      <c r="AB5491" s="13"/>
      <c r="AC5491" s="13"/>
      <c r="AD5491" s="13"/>
      <c r="AE5491" s="13"/>
      <c r="AF5491" s="13"/>
    </row>
    <row r="5492" spans="19:32" x14ac:dyDescent="0.35">
      <c r="S5492" s="13"/>
      <c r="T5492" s="16"/>
      <c r="U5492" s="16"/>
      <c r="V5492" s="16"/>
      <c r="W5492" s="13"/>
      <c r="X5492" s="34">
        <v>5488</v>
      </c>
      <c r="Y5492" s="34" t="s">
        <v>2248</v>
      </c>
      <c r="Z5492" s="34" t="s">
        <v>3744</v>
      </c>
      <c r="AA5492" s="35">
        <v>4.3185483870967746E-2</v>
      </c>
      <c r="AB5492" s="13"/>
      <c r="AC5492" s="13"/>
      <c r="AD5492" s="13"/>
      <c r="AE5492" s="13"/>
      <c r="AF5492" s="13"/>
    </row>
    <row r="5493" spans="19:32" x14ac:dyDescent="0.35">
      <c r="S5493" s="13"/>
      <c r="T5493" s="16"/>
      <c r="U5493" s="16"/>
      <c r="V5493" s="16"/>
      <c r="W5493" s="13"/>
      <c r="X5493" s="34">
        <v>5489</v>
      </c>
      <c r="Y5493" s="34" t="s">
        <v>2248</v>
      </c>
      <c r="Z5493" s="34" t="s">
        <v>3743</v>
      </c>
      <c r="AA5493" s="35">
        <v>2.423185483870968E-3</v>
      </c>
      <c r="AB5493" s="13"/>
      <c r="AC5493" s="13"/>
      <c r="AD5493" s="13"/>
      <c r="AE5493" s="13"/>
      <c r="AF5493" s="13"/>
    </row>
    <row r="5494" spans="19:32" x14ac:dyDescent="0.35">
      <c r="S5494" s="13"/>
      <c r="T5494" s="16"/>
      <c r="U5494" s="16"/>
      <c r="V5494" s="16"/>
      <c r="W5494" s="13"/>
      <c r="X5494" s="34">
        <v>5490</v>
      </c>
      <c r="Y5494" s="34" t="s">
        <v>2248</v>
      </c>
      <c r="Z5494" s="34" t="s">
        <v>3742</v>
      </c>
      <c r="AA5494" s="35">
        <v>0.40755999999999998</v>
      </c>
      <c r="AB5494" s="13"/>
      <c r="AC5494" s="13"/>
      <c r="AD5494" s="13"/>
      <c r="AE5494" s="13"/>
      <c r="AF5494" s="13"/>
    </row>
    <row r="5495" spans="19:32" x14ac:dyDescent="0.35">
      <c r="S5495" s="13"/>
      <c r="T5495" s="16"/>
      <c r="U5495" s="16"/>
      <c r="V5495" s="16"/>
      <c r="W5495" s="13"/>
      <c r="X5495" s="34">
        <v>5491</v>
      </c>
      <c r="Y5495" s="34" t="s">
        <v>2248</v>
      </c>
      <c r="Z5495" s="34" t="s">
        <v>3741</v>
      </c>
      <c r="AA5495" s="35">
        <v>0.2316935483870968</v>
      </c>
      <c r="AB5495" s="13"/>
      <c r="AC5495" s="13"/>
      <c r="AD5495" s="13"/>
      <c r="AE5495" s="13"/>
      <c r="AF5495" s="13"/>
    </row>
    <row r="5496" spans="19:32" x14ac:dyDescent="0.35">
      <c r="S5496" s="13"/>
      <c r="T5496" s="16"/>
      <c r="U5496" s="16"/>
      <c r="V5496" s="16"/>
      <c r="W5496" s="13"/>
      <c r="X5496" s="34">
        <v>5492</v>
      </c>
      <c r="Y5496" s="34" t="s">
        <v>2248</v>
      </c>
      <c r="Z5496" s="34" t="s">
        <v>3740</v>
      </c>
      <c r="AA5496" s="35">
        <v>0</v>
      </c>
      <c r="AB5496" s="13"/>
      <c r="AC5496" s="13"/>
      <c r="AD5496" s="13"/>
      <c r="AE5496" s="13"/>
      <c r="AF5496" s="13"/>
    </row>
    <row r="5497" spans="19:32" x14ac:dyDescent="0.35">
      <c r="S5497" s="13"/>
      <c r="T5497" s="16"/>
      <c r="U5497" s="16"/>
      <c r="V5497" s="16"/>
      <c r="W5497" s="13"/>
      <c r="X5497" s="34">
        <v>5493</v>
      </c>
      <c r="Y5497" s="34" t="s">
        <v>2248</v>
      </c>
      <c r="Z5497" s="34" t="s">
        <v>3739</v>
      </c>
      <c r="AA5497" s="35">
        <v>2.423185483870968E-3</v>
      </c>
      <c r="AB5497" s="13"/>
      <c r="AC5497" s="13"/>
      <c r="AD5497" s="13"/>
      <c r="AE5497" s="13"/>
      <c r="AF5497" s="13"/>
    </row>
    <row r="5498" spans="19:32" x14ac:dyDescent="0.35">
      <c r="S5498" s="13"/>
      <c r="T5498" s="16"/>
      <c r="U5498" s="16"/>
      <c r="V5498" s="16"/>
      <c r="W5498" s="13"/>
      <c r="X5498" s="34">
        <v>5494</v>
      </c>
      <c r="Y5498" s="34" t="s">
        <v>2248</v>
      </c>
      <c r="Z5498" s="34" t="s">
        <v>3031</v>
      </c>
      <c r="AA5498" s="35">
        <v>1.3435483870967741E-4</v>
      </c>
      <c r="AB5498" s="13"/>
      <c r="AC5498" s="13"/>
      <c r="AD5498" s="13"/>
      <c r="AE5498" s="13"/>
      <c r="AF5498" s="13"/>
    </row>
    <row r="5499" spans="19:32" x14ac:dyDescent="0.35">
      <c r="S5499" s="13"/>
      <c r="T5499" s="16"/>
      <c r="U5499" s="16"/>
      <c r="V5499" s="16"/>
      <c r="W5499" s="13"/>
      <c r="X5499" s="34">
        <v>5495</v>
      </c>
      <c r="Y5499" s="34" t="s">
        <v>2248</v>
      </c>
      <c r="Z5499" s="34" t="s">
        <v>3738</v>
      </c>
      <c r="AA5499" s="35">
        <v>0.26035999999999998</v>
      </c>
      <c r="AB5499" s="13"/>
      <c r="AC5499" s="13"/>
      <c r="AD5499" s="13"/>
      <c r="AE5499" s="13"/>
      <c r="AF5499" s="13"/>
    </row>
    <row r="5500" spans="19:32" x14ac:dyDescent="0.35">
      <c r="S5500" s="13"/>
      <c r="T5500" s="16"/>
      <c r="U5500" s="16"/>
      <c r="V5500" s="16"/>
      <c r="W5500" s="13"/>
      <c r="X5500" s="34">
        <v>5496</v>
      </c>
      <c r="Y5500" s="34" t="s">
        <v>2248</v>
      </c>
      <c r="Z5500" s="34" t="s">
        <v>3737</v>
      </c>
      <c r="AA5500" s="35">
        <v>5.2096774193548391E-2</v>
      </c>
      <c r="AB5500" s="13"/>
      <c r="AC5500" s="13"/>
      <c r="AD5500" s="13"/>
      <c r="AE5500" s="13"/>
      <c r="AF5500" s="13"/>
    </row>
    <row r="5501" spans="19:32" x14ac:dyDescent="0.35">
      <c r="S5501" s="13"/>
      <c r="T5501" s="16"/>
      <c r="U5501" s="16"/>
      <c r="V5501" s="16"/>
      <c r="W5501" s="13"/>
      <c r="X5501" s="34">
        <v>5497</v>
      </c>
      <c r="Y5501" s="34" t="s">
        <v>2248</v>
      </c>
      <c r="Z5501" s="34" t="s">
        <v>3736</v>
      </c>
      <c r="AA5501" s="35">
        <v>0</v>
      </c>
      <c r="AB5501" s="13"/>
      <c r="AC5501" s="13"/>
      <c r="AD5501" s="13"/>
      <c r="AE5501" s="13"/>
      <c r="AF5501" s="13"/>
    </row>
    <row r="5502" spans="19:32" x14ac:dyDescent="0.35">
      <c r="S5502" s="13"/>
      <c r="T5502" s="16"/>
      <c r="U5502" s="16"/>
      <c r="V5502" s="16"/>
      <c r="W5502" s="13"/>
      <c r="X5502" s="47">
        <v>5498</v>
      </c>
      <c r="Y5502" s="47" t="s">
        <v>2248</v>
      </c>
      <c r="Z5502" s="47" t="s">
        <v>2296</v>
      </c>
      <c r="AA5502" s="56">
        <v>1.3891999999999999E-3</v>
      </c>
      <c r="AB5502" s="13"/>
      <c r="AC5502" s="13"/>
      <c r="AD5502" s="13"/>
      <c r="AE5502" s="13"/>
      <c r="AF5502" s="13"/>
    </row>
    <row r="5503" spans="19:32" x14ac:dyDescent="0.35">
      <c r="S5503" s="13"/>
      <c r="T5503" s="16"/>
      <c r="U5503" s="16"/>
      <c r="V5503" s="16"/>
      <c r="W5503" s="13"/>
      <c r="X5503" s="34">
        <v>5499</v>
      </c>
      <c r="Y5503" s="34" t="s">
        <v>2248</v>
      </c>
      <c r="Z5503" s="34" t="s">
        <v>2296</v>
      </c>
      <c r="AA5503" s="35">
        <v>8.2258064516129036E-5</v>
      </c>
      <c r="AB5503" s="13"/>
      <c r="AC5503" s="13"/>
      <c r="AD5503" s="13"/>
      <c r="AE5503" s="13"/>
      <c r="AF5503" s="13"/>
    </row>
    <row r="5504" spans="19:32" x14ac:dyDescent="0.35">
      <c r="S5504" s="13"/>
      <c r="T5504" s="16"/>
      <c r="U5504" s="16"/>
      <c r="V5504" s="16"/>
      <c r="W5504" s="13"/>
      <c r="X5504" s="34">
        <v>5500</v>
      </c>
      <c r="Y5504" s="34" t="s">
        <v>2248</v>
      </c>
      <c r="Z5504" s="34" t="s">
        <v>3029</v>
      </c>
      <c r="AA5504" s="35">
        <v>2.0050403225806453E-5</v>
      </c>
      <c r="AB5504" s="13"/>
      <c r="AC5504" s="13"/>
      <c r="AD5504" s="13"/>
      <c r="AE5504" s="13"/>
      <c r="AF5504" s="13"/>
    </row>
    <row r="5505" spans="19:32" x14ac:dyDescent="0.35">
      <c r="S5505" s="13"/>
      <c r="T5505" s="16"/>
      <c r="U5505" s="16"/>
      <c r="V5505" s="16"/>
      <c r="W5505" s="13"/>
      <c r="X5505" s="34">
        <v>5501</v>
      </c>
      <c r="Y5505" s="34" t="s">
        <v>2248</v>
      </c>
      <c r="Z5505" s="34" t="s">
        <v>3735</v>
      </c>
      <c r="AA5505" s="35">
        <v>5.8604000000000003</v>
      </c>
      <c r="AB5505" s="13"/>
      <c r="AC5505" s="13"/>
      <c r="AD5505" s="13"/>
      <c r="AE5505" s="13"/>
      <c r="AF5505" s="13"/>
    </row>
    <row r="5506" spans="19:32" x14ac:dyDescent="0.35">
      <c r="S5506" s="13"/>
      <c r="T5506" s="16"/>
      <c r="U5506" s="16"/>
      <c r="V5506" s="16"/>
      <c r="W5506" s="13"/>
      <c r="X5506" s="34">
        <v>5502</v>
      </c>
      <c r="Y5506" s="34" t="s">
        <v>2248</v>
      </c>
      <c r="Z5506" s="34" t="s">
        <v>3734</v>
      </c>
      <c r="AA5506" s="35">
        <v>8.1229838709677424E-5</v>
      </c>
      <c r="AB5506" s="13"/>
      <c r="AC5506" s="13"/>
      <c r="AD5506" s="13"/>
      <c r="AE5506" s="13"/>
      <c r="AF5506" s="13"/>
    </row>
    <row r="5507" spans="19:32" x14ac:dyDescent="0.35">
      <c r="S5507" s="13"/>
      <c r="T5507" s="16"/>
      <c r="U5507" s="16"/>
      <c r="V5507" s="16"/>
      <c r="W5507" s="13"/>
      <c r="X5507" s="34">
        <v>5503</v>
      </c>
      <c r="Y5507" s="34" t="s">
        <v>2248</v>
      </c>
      <c r="Z5507" s="34" t="s">
        <v>3733</v>
      </c>
      <c r="AA5507" s="35">
        <v>0</v>
      </c>
      <c r="AB5507" s="13"/>
      <c r="AC5507" s="13"/>
      <c r="AD5507" s="13"/>
      <c r="AE5507" s="13"/>
      <c r="AF5507" s="13"/>
    </row>
    <row r="5508" spans="19:32" x14ac:dyDescent="0.35">
      <c r="S5508" s="13"/>
      <c r="T5508" s="16"/>
      <c r="U5508" s="16"/>
      <c r="V5508" s="16"/>
      <c r="W5508" s="13"/>
      <c r="X5508" s="34">
        <v>5504</v>
      </c>
      <c r="Y5508" s="34" t="s">
        <v>2248</v>
      </c>
      <c r="Z5508" s="34" t="s">
        <v>3732</v>
      </c>
      <c r="AA5508" s="35">
        <v>0.5175403225806452</v>
      </c>
      <c r="AB5508" s="13"/>
      <c r="AC5508" s="13"/>
      <c r="AD5508" s="13"/>
      <c r="AE5508" s="13"/>
      <c r="AF5508" s="13"/>
    </row>
    <row r="5509" spans="19:32" x14ac:dyDescent="0.35">
      <c r="S5509" s="13"/>
      <c r="T5509" s="16"/>
      <c r="U5509" s="16"/>
      <c r="V5509" s="16"/>
      <c r="W5509" s="13"/>
      <c r="X5509" s="34">
        <v>5505</v>
      </c>
      <c r="Y5509" s="34" t="s">
        <v>2248</v>
      </c>
      <c r="Z5509" s="34" t="s">
        <v>3028</v>
      </c>
      <c r="AA5509" s="35">
        <v>1.1893145161290325E-4</v>
      </c>
      <c r="AB5509" s="13"/>
      <c r="AC5509" s="13"/>
      <c r="AD5509" s="13"/>
      <c r="AE5509" s="13"/>
      <c r="AF5509" s="13"/>
    </row>
    <row r="5510" spans="19:32" x14ac:dyDescent="0.35">
      <c r="S5510" s="13"/>
      <c r="T5510" s="16"/>
      <c r="U5510" s="16"/>
      <c r="V5510" s="16"/>
      <c r="W5510" s="13"/>
      <c r="X5510" s="34">
        <v>5506</v>
      </c>
      <c r="Y5510" s="34" t="s">
        <v>2248</v>
      </c>
      <c r="Z5510" s="34" t="s">
        <v>3731</v>
      </c>
      <c r="AA5510" s="35">
        <v>4.5584677419354845E-3</v>
      </c>
      <c r="AB5510" s="13"/>
      <c r="AC5510" s="13"/>
      <c r="AD5510" s="13"/>
      <c r="AE5510" s="13"/>
      <c r="AF5510" s="13"/>
    </row>
    <row r="5511" spans="19:32" x14ac:dyDescent="0.35">
      <c r="S5511" s="13"/>
      <c r="T5511" s="16"/>
      <c r="U5511" s="16"/>
      <c r="V5511" s="16"/>
      <c r="W5511" s="13"/>
      <c r="X5511" s="34">
        <v>5507</v>
      </c>
      <c r="Y5511" s="34" t="s">
        <v>2248</v>
      </c>
      <c r="Z5511" s="34" t="s">
        <v>3730</v>
      </c>
      <c r="AA5511" s="35">
        <v>0.27692</v>
      </c>
      <c r="AB5511" s="13"/>
      <c r="AC5511" s="13"/>
      <c r="AD5511" s="13"/>
      <c r="AE5511" s="13"/>
      <c r="AF5511" s="13"/>
    </row>
    <row r="5512" spans="19:32" x14ac:dyDescent="0.35">
      <c r="S5512" s="13"/>
      <c r="T5512" s="16"/>
      <c r="U5512" s="16"/>
      <c r="V5512" s="16"/>
      <c r="W5512" s="13"/>
      <c r="X5512" s="47">
        <v>5508</v>
      </c>
      <c r="Y5512" s="47" t="s">
        <v>2248</v>
      </c>
      <c r="Z5512" s="47" t="s">
        <v>2294</v>
      </c>
      <c r="AA5512" s="56">
        <v>0</v>
      </c>
      <c r="AB5512" s="13"/>
      <c r="AC5512" s="13"/>
      <c r="AD5512" s="13"/>
      <c r="AE5512" s="13"/>
      <c r="AF5512" s="13"/>
    </row>
    <row r="5513" spans="19:32" x14ac:dyDescent="0.35">
      <c r="S5513" s="13"/>
      <c r="T5513" s="16"/>
      <c r="U5513" s="16"/>
      <c r="V5513" s="16"/>
      <c r="W5513" s="13"/>
      <c r="X5513" s="34">
        <v>5509</v>
      </c>
      <c r="Y5513" s="34" t="s">
        <v>2248</v>
      </c>
      <c r="Z5513" s="34" t="s">
        <v>3729</v>
      </c>
      <c r="AA5513" s="35">
        <v>0</v>
      </c>
      <c r="AB5513" s="13"/>
      <c r="AC5513" s="13"/>
      <c r="AD5513" s="13"/>
      <c r="AE5513" s="13"/>
      <c r="AF5513" s="13"/>
    </row>
    <row r="5514" spans="19:32" x14ac:dyDescent="0.35">
      <c r="S5514" s="13"/>
      <c r="T5514" s="16"/>
      <c r="U5514" s="16"/>
      <c r="V5514" s="16"/>
      <c r="W5514" s="13"/>
      <c r="X5514" s="34">
        <v>5510</v>
      </c>
      <c r="Y5514" s="34" t="s">
        <v>2248</v>
      </c>
      <c r="Z5514" s="34" t="s">
        <v>2294</v>
      </c>
      <c r="AA5514" s="35">
        <v>0.16554435483870969</v>
      </c>
      <c r="AB5514" s="13"/>
      <c r="AC5514" s="13"/>
      <c r="AD5514" s="13"/>
      <c r="AE5514" s="13"/>
      <c r="AF5514" s="13"/>
    </row>
    <row r="5515" spans="19:32" x14ac:dyDescent="0.35">
      <c r="S5515" s="13"/>
      <c r="T5515" s="16"/>
      <c r="U5515" s="16"/>
      <c r="V5515" s="16"/>
      <c r="W5515" s="13"/>
      <c r="X5515" s="34">
        <v>5511</v>
      </c>
      <c r="Y5515" s="34" t="s">
        <v>2248</v>
      </c>
      <c r="Z5515" s="34" t="s">
        <v>3728</v>
      </c>
      <c r="AA5515" s="35">
        <v>4.2500000000000003E-2</v>
      </c>
      <c r="AB5515" s="13"/>
      <c r="AC5515" s="13"/>
      <c r="AD5515" s="13"/>
      <c r="AE5515" s="13"/>
      <c r="AF5515" s="13"/>
    </row>
    <row r="5516" spans="19:32" x14ac:dyDescent="0.35">
      <c r="S5516" s="13"/>
      <c r="T5516" s="16"/>
      <c r="U5516" s="16"/>
      <c r="V5516" s="16"/>
      <c r="W5516" s="13"/>
      <c r="X5516" s="34">
        <v>5512</v>
      </c>
      <c r="Y5516" s="34" t="s">
        <v>2248</v>
      </c>
      <c r="Z5516" s="34" t="s">
        <v>3727</v>
      </c>
      <c r="AA5516" s="35">
        <v>16.192</v>
      </c>
      <c r="AB5516" s="13"/>
      <c r="AC5516" s="13"/>
      <c r="AD5516" s="13"/>
      <c r="AE5516" s="13"/>
      <c r="AF5516" s="13"/>
    </row>
    <row r="5517" spans="19:32" x14ac:dyDescent="0.35">
      <c r="S5517" s="13"/>
      <c r="T5517" s="16"/>
      <c r="U5517" s="16"/>
      <c r="V5517" s="16"/>
      <c r="W5517" s="13"/>
      <c r="X5517" s="34">
        <v>5513</v>
      </c>
      <c r="Y5517" s="34" t="s">
        <v>2248</v>
      </c>
      <c r="Z5517" s="34" t="s">
        <v>3726</v>
      </c>
      <c r="AA5517" s="35">
        <v>3.3245967741935483E-4</v>
      </c>
      <c r="AB5517" s="13"/>
      <c r="AC5517" s="13"/>
      <c r="AD5517" s="13"/>
      <c r="AE5517" s="13"/>
      <c r="AF5517" s="13"/>
    </row>
    <row r="5518" spans="19:32" x14ac:dyDescent="0.35">
      <c r="S5518" s="13"/>
      <c r="T5518" s="16"/>
      <c r="U5518" s="16"/>
      <c r="V5518" s="16"/>
      <c r="W5518" s="13"/>
      <c r="X5518" s="34">
        <v>5514</v>
      </c>
      <c r="Y5518" s="34" t="s">
        <v>2248</v>
      </c>
      <c r="Z5518" s="34" t="s">
        <v>3725</v>
      </c>
      <c r="AA5518" s="35">
        <v>1.2544354838709678E-6</v>
      </c>
      <c r="AB5518" s="13"/>
      <c r="AC5518" s="13"/>
      <c r="AD5518" s="13"/>
      <c r="AE5518" s="13"/>
      <c r="AF5518" s="13"/>
    </row>
    <row r="5519" spans="19:32" x14ac:dyDescent="0.35">
      <c r="S5519" s="13"/>
      <c r="T5519" s="16"/>
      <c r="U5519" s="16"/>
      <c r="V5519" s="16"/>
      <c r="W5519" s="13"/>
      <c r="X5519" s="34">
        <v>5515</v>
      </c>
      <c r="Y5519" s="34" t="s">
        <v>2248</v>
      </c>
      <c r="Z5519" s="34" t="s">
        <v>3724</v>
      </c>
      <c r="AA5519" s="35">
        <v>17.204000000000001</v>
      </c>
      <c r="AB5519" s="13"/>
      <c r="AC5519" s="13"/>
      <c r="AD5519" s="13"/>
      <c r="AE5519" s="13"/>
      <c r="AF5519" s="13"/>
    </row>
    <row r="5520" spans="19:32" x14ac:dyDescent="0.35">
      <c r="S5520" s="13"/>
      <c r="T5520" s="16"/>
      <c r="U5520" s="16"/>
      <c r="V5520" s="16"/>
      <c r="W5520" s="13"/>
      <c r="X5520" s="47">
        <v>5516</v>
      </c>
      <c r="Y5520" s="47" t="s">
        <v>2248</v>
      </c>
      <c r="Z5520" s="47" t="s">
        <v>2293</v>
      </c>
      <c r="AA5520" s="56">
        <v>0</v>
      </c>
      <c r="AB5520" s="13"/>
      <c r="AC5520" s="13"/>
      <c r="AD5520" s="13"/>
      <c r="AE5520" s="13"/>
      <c r="AF5520" s="13"/>
    </row>
    <row r="5521" spans="19:32" x14ac:dyDescent="0.35">
      <c r="S5521" s="13"/>
      <c r="T5521" s="16"/>
      <c r="U5521" s="16"/>
      <c r="V5521" s="16"/>
      <c r="W5521" s="13"/>
      <c r="X5521" s="34">
        <v>5517</v>
      </c>
      <c r="Y5521" s="34" t="s">
        <v>2248</v>
      </c>
      <c r="Z5521" s="34" t="s">
        <v>2293</v>
      </c>
      <c r="AA5521" s="35">
        <v>0.42157258064516134</v>
      </c>
      <c r="AB5521" s="13"/>
      <c r="AC5521" s="13"/>
      <c r="AD5521" s="13"/>
      <c r="AE5521" s="13"/>
      <c r="AF5521" s="13"/>
    </row>
    <row r="5522" spans="19:32" x14ac:dyDescent="0.35">
      <c r="S5522" s="13"/>
      <c r="T5522" s="16"/>
      <c r="U5522" s="16"/>
      <c r="V5522" s="16"/>
      <c r="W5522" s="13"/>
      <c r="X5522" s="34">
        <v>5518</v>
      </c>
      <c r="Y5522" s="34" t="s">
        <v>2248</v>
      </c>
      <c r="Z5522" s="34" t="s">
        <v>3723</v>
      </c>
      <c r="AA5522" s="35">
        <v>0</v>
      </c>
      <c r="AB5522" s="13"/>
      <c r="AC5522" s="13"/>
      <c r="AD5522" s="13"/>
      <c r="AE5522" s="13"/>
      <c r="AF5522" s="13"/>
    </row>
    <row r="5523" spans="19:32" x14ac:dyDescent="0.35">
      <c r="S5523" s="13"/>
      <c r="T5523" s="16"/>
      <c r="U5523" s="16"/>
      <c r="V5523" s="16"/>
      <c r="W5523" s="13"/>
      <c r="X5523" s="34">
        <v>5519</v>
      </c>
      <c r="Y5523" s="34" t="s">
        <v>2248</v>
      </c>
      <c r="Z5523" s="34" t="s">
        <v>3722</v>
      </c>
      <c r="AA5523" s="35">
        <v>2.7008064516129032E-7</v>
      </c>
      <c r="AB5523" s="13"/>
      <c r="AC5523" s="13"/>
      <c r="AD5523" s="13"/>
      <c r="AE5523" s="13"/>
      <c r="AF5523" s="13"/>
    </row>
    <row r="5524" spans="19:32" x14ac:dyDescent="0.35">
      <c r="S5524" s="13"/>
      <c r="T5524" s="16"/>
      <c r="U5524" s="16"/>
      <c r="V5524" s="16"/>
      <c r="W5524" s="13"/>
      <c r="X5524" s="47">
        <v>5520</v>
      </c>
      <c r="Y5524" s="47" t="s">
        <v>2248</v>
      </c>
      <c r="Z5524" s="47" t="s">
        <v>2291</v>
      </c>
      <c r="AA5524" s="56">
        <v>5.4739999999999997E-2</v>
      </c>
      <c r="AB5524" s="13"/>
      <c r="AC5524" s="13"/>
      <c r="AD5524" s="13"/>
      <c r="AE5524" s="13"/>
      <c r="AF5524" s="13"/>
    </row>
    <row r="5525" spans="19:32" x14ac:dyDescent="0.35">
      <c r="S5525" s="13"/>
      <c r="T5525" s="16"/>
      <c r="U5525" s="16"/>
      <c r="V5525" s="16"/>
      <c r="W5525" s="13"/>
      <c r="X5525" s="34">
        <v>5521</v>
      </c>
      <c r="Y5525" s="34" t="s">
        <v>2248</v>
      </c>
      <c r="Z5525" s="34" t="s">
        <v>2291</v>
      </c>
      <c r="AA5525" s="35">
        <v>2.385483870967742E-4</v>
      </c>
      <c r="AB5525" s="13"/>
      <c r="AC5525" s="13"/>
      <c r="AD5525" s="13"/>
      <c r="AE5525" s="13"/>
      <c r="AF5525" s="13"/>
    </row>
    <row r="5526" spans="19:32" x14ac:dyDescent="0.35">
      <c r="S5526" s="13"/>
      <c r="T5526" s="16"/>
      <c r="U5526" s="16"/>
      <c r="V5526" s="16"/>
      <c r="W5526" s="13"/>
      <c r="X5526" s="34">
        <v>5522</v>
      </c>
      <c r="Y5526" s="34" t="s">
        <v>2248</v>
      </c>
      <c r="Z5526" s="34" t="s">
        <v>3721</v>
      </c>
      <c r="AA5526" s="35">
        <v>0</v>
      </c>
      <c r="AB5526" s="13"/>
      <c r="AC5526" s="13"/>
      <c r="AD5526" s="13"/>
      <c r="AE5526" s="13"/>
      <c r="AF5526" s="13"/>
    </row>
    <row r="5527" spans="19:32" x14ac:dyDescent="0.35">
      <c r="S5527" s="13"/>
      <c r="T5527" s="16"/>
      <c r="U5527" s="16"/>
      <c r="V5527" s="16"/>
      <c r="W5527" s="13"/>
      <c r="X5527" s="34">
        <v>5523</v>
      </c>
      <c r="Y5527" s="34" t="s">
        <v>2248</v>
      </c>
      <c r="Z5527" s="34" t="s">
        <v>3720</v>
      </c>
      <c r="AA5527" s="35">
        <v>7.3004032258064519E-4</v>
      </c>
      <c r="AB5527" s="13"/>
      <c r="AC5527" s="13"/>
      <c r="AD5527" s="13"/>
      <c r="AE5527" s="13"/>
      <c r="AF5527" s="13"/>
    </row>
    <row r="5528" spans="19:32" x14ac:dyDescent="0.35">
      <c r="S5528" s="13"/>
      <c r="T5528" s="16"/>
      <c r="U5528" s="16"/>
      <c r="V5528" s="16"/>
      <c r="W5528" s="13"/>
      <c r="X5528" s="34">
        <v>5524</v>
      </c>
      <c r="Y5528" s="34" t="s">
        <v>2248</v>
      </c>
      <c r="Z5528" s="34" t="s">
        <v>3719</v>
      </c>
      <c r="AA5528" s="35">
        <v>25.576000000000001</v>
      </c>
      <c r="AB5528" s="13"/>
      <c r="AC5528" s="13"/>
      <c r="AD5528" s="13"/>
      <c r="AE5528" s="13"/>
      <c r="AF5528" s="13"/>
    </row>
    <row r="5529" spans="19:32" x14ac:dyDescent="0.35">
      <c r="S5529" s="13"/>
      <c r="T5529" s="16"/>
      <c r="U5529" s="16"/>
      <c r="V5529" s="16"/>
      <c r="W5529" s="13"/>
      <c r="X5529" s="34">
        <v>5525</v>
      </c>
      <c r="Y5529" s="34" t="s">
        <v>2248</v>
      </c>
      <c r="Z5529" s="34" t="s">
        <v>3718</v>
      </c>
      <c r="AA5529" s="35">
        <v>8.8084677419354839E-3</v>
      </c>
      <c r="AB5529" s="13"/>
      <c r="AC5529" s="13"/>
      <c r="AD5529" s="13"/>
      <c r="AE5529" s="13"/>
      <c r="AF5529" s="13"/>
    </row>
    <row r="5530" spans="19:32" x14ac:dyDescent="0.35">
      <c r="S5530" s="13"/>
      <c r="T5530" s="16"/>
      <c r="U5530" s="16"/>
      <c r="V5530" s="16"/>
      <c r="W5530" s="13"/>
      <c r="X5530" s="34">
        <v>5526</v>
      </c>
      <c r="Y5530" s="34" t="s">
        <v>2248</v>
      </c>
      <c r="Z5530" s="34" t="s">
        <v>3717</v>
      </c>
      <c r="AA5530" s="35">
        <v>7.1975806451612912E-4</v>
      </c>
      <c r="AB5530" s="13"/>
      <c r="AC5530" s="13"/>
      <c r="AD5530" s="13"/>
      <c r="AE5530" s="13"/>
      <c r="AF5530" s="13"/>
    </row>
    <row r="5531" spans="19:32" x14ac:dyDescent="0.35">
      <c r="S5531" s="13"/>
      <c r="T5531" s="16"/>
      <c r="U5531" s="16"/>
      <c r="V5531" s="16"/>
      <c r="W5531" s="13"/>
      <c r="X5531" s="34">
        <v>5527</v>
      </c>
      <c r="Y5531" s="34" t="s">
        <v>2248</v>
      </c>
      <c r="Z5531" s="34" t="s">
        <v>3716</v>
      </c>
      <c r="AA5531" s="35">
        <v>0</v>
      </c>
      <c r="AB5531" s="13"/>
      <c r="AC5531" s="13"/>
      <c r="AD5531" s="13"/>
      <c r="AE5531" s="13"/>
      <c r="AF5531" s="13"/>
    </row>
    <row r="5532" spans="19:32" x14ac:dyDescent="0.35">
      <c r="S5532" s="13"/>
      <c r="T5532" s="16"/>
      <c r="U5532" s="16"/>
      <c r="V5532" s="16"/>
      <c r="W5532" s="13"/>
      <c r="X5532" s="34">
        <v>5528</v>
      </c>
      <c r="Y5532" s="34" t="s">
        <v>2248</v>
      </c>
      <c r="Z5532" s="34" t="s">
        <v>3715</v>
      </c>
      <c r="AA5532" s="35">
        <v>3.0332661290322582E-2</v>
      </c>
      <c r="AB5532" s="13"/>
      <c r="AC5532" s="13"/>
      <c r="AD5532" s="13"/>
      <c r="AE5532" s="13"/>
      <c r="AF5532" s="13"/>
    </row>
    <row r="5533" spans="19:32" x14ac:dyDescent="0.35">
      <c r="S5533" s="13"/>
      <c r="T5533" s="16"/>
      <c r="U5533" s="16"/>
      <c r="V5533" s="16"/>
      <c r="W5533" s="13"/>
      <c r="X5533" s="34">
        <v>5529</v>
      </c>
      <c r="Y5533" s="34" t="s">
        <v>2248</v>
      </c>
      <c r="Z5533" s="34" t="s">
        <v>3714</v>
      </c>
      <c r="AA5533" s="35">
        <v>0</v>
      </c>
      <c r="AB5533" s="13"/>
      <c r="AC5533" s="13"/>
      <c r="AD5533" s="13"/>
      <c r="AE5533" s="13"/>
      <c r="AF5533" s="13"/>
    </row>
    <row r="5534" spans="19:32" x14ac:dyDescent="0.35">
      <c r="S5534" s="13"/>
      <c r="T5534" s="16"/>
      <c r="U5534" s="16"/>
      <c r="V5534" s="16"/>
      <c r="W5534" s="13"/>
      <c r="X5534" s="34">
        <v>5530</v>
      </c>
      <c r="Y5534" s="34" t="s">
        <v>2248</v>
      </c>
      <c r="Z5534" s="34" t="s">
        <v>3713</v>
      </c>
      <c r="AA5534" s="35">
        <v>3.4616935483870973E-2</v>
      </c>
      <c r="AB5534" s="13"/>
      <c r="AC5534" s="13"/>
      <c r="AD5534" s="13"/>
      <c r="AE5534" s="13"/>
      <c r="AF5534" s="13"/>
    </row>
    <row r="5535" spans="19:32" x14ac:dyDescent="0.35">
      <c r="S5535" s="13"/>
      <c r="T5535" s="16"/>
      <c r="U5535" s="16"/>
      <c r="V5535" s="16"/>
      <c r="W5535" s="13"/>
      <c r="X5535" s="34">
        <v>5531</v>
      </c>
      <c r="Y5535" s="34" t="s">
        <v>2248</v>
      </c>
      <c r="Z5535" s="34" t="s">
        <v>3712</v>
      </c>
      <c r="AA5535" s="35">
        <v>3.4102822580645162E-2</v>
      </c>
      <c r="AB5535" s="13"/>
      <c r="AC5535" s="13"/>
      <c r="AD5535" s="13"/>
      <c r="AE5535" s="13"/>
      <c r="AF5535" s="13"/>
    </row>
    <row r="5536" spans="19:32" x14ac:dyDescent="0.35">
      <c r="S5536" s="13"/>
      <c r="T5536" s="16"/>
      <c r="U5536" s="16"/>
      <c r="V5536" s="16"/>
      <c r="W5536" s="13"/>
      <c r="X5536" s="34">
        <v>5532</v>
      </c>
      <c r="Y5536" s="34" t="s">
        <v>2248</v>
      </c>
      <c r="Z5536" s="34" t="s">
        <v>3711</v>
      </c>
      <c r="AA5536" s="35">
        <v>2.4334677419354839E-3</v>
      </c>
      <c r="AB5536" s="13"/>
      <c r="AC5536" s="13"/>
      <c r="AD5536" s="13"/>
      <c r="AE5536" s="13"/>
      <c r="AF5536" s="13"/>
    </row>
    <row r="5537" spans="19:32" x14ac:dyDescent="0.35">
      <c r="S5537" s="13"/>
      <c r="T5537" s="16"/>
      <c r="U5537" s="16"/>
      <c r="V5537" s="16"/>
      <c r="W5537" s="13"/>
      <c r="X5537" s="34">
        <v>5533</v>
      </c>
      <c r="Y5537" s="34" t="s">
        <v>2248</v>
      </c>
      <c r="Z5537" s="34" t="s">
        <v>3710</v>
      </c>
      <c r="AA5537" s="35">
        <v>0</v>
      </c>
      <c r="AB5537" s="13"/>
      <c r="AC5537" s="13"/>
      <c r="AD5537" s="13"/>
      <c r="AE5537" s="13"/>
      <c r="AF5537" s="13"/>
    </row>
    <row r="5538" spans="19:32" x14ac:dyDescent="0.35">
      <c r="S5538" s="13"/>
      <c r="T5538" s="16"/>
      <c r="U5538" s="16"/>
      <c r="V5538" s="16"/>
      <c r="W5538" s="13"/>
      <c r="X5538" s="34">
        <v>5534</v>
      </c>
      <c r="Y5538" s="34" t="s">
        <v>2248</v>
      </c>
      <c r="Z5538" s="34" t="s">
        <v>3709</v>
      </c>
      <c r="AA5538" s="35">
        <v>0.26391129032258065</v>
      </c>
      <c r="AB5538" s="13"/>
      <c r="AC5538" s="13"/>
      <c r="AD5538" s="13"/>
      <c r="AE5538" s="13"/>
      <c r="AF5538" s="13"/>
    </row>
    <row r="5539" spans="19:32" x14ac:dyDescent="0.35">
      <c r="S5539" s="13"/>
      <c r="T5539" s="16"/>
      <c r="U5539" s="16"/>
      <c r="V5539" s="16"/>
      <c r="W5539" s="13"/>
      <c r="X5539" s="34">
        <v>5535</v>
      </c>
      <c r="Y5539" s="34" t="s">
        <v>2248</v>
      </c>
      <c r="Z5539" s="34" t="s">
        <v>3023</v>
      </c>
      <c r="AA5539" s="35">
        <v>7.4717741935483874E-4</v>
      </c>
      <c r="AB5539" s="13"/>
      <c r="AC5539" s="13"/>
      <c r="AD5539" s="13"/>
      <c r="AE5539" s="13"/>
      <c r="AF5539" s="13"/>
    </row>
    <row r="5540" spans="19:32" x14ac:dyDescent="0.35">
      <c r="S5540" s="13"/>
      <c r="T5540" s="16"/>
      <c r="U5540" s="16"/>
      <c r="V5540" s="16"/>
      <c r="W5540" s="13"/>
      <c r="X5540" s="34">
        <v>5536</v>
      </c>
      <c r="Y5540" s="34" t="s">
        <v>2248</v>
      </c>
      <c r="Z5540" s="34" t="s">
        <v>3708</v>
      </c>
      <c r="AA5540" s="35">
        <v>0.3266</v>
      </c>
      <c r="AB5540" s="13"/>
      <c r="AC5540" s="13"/>
      <c r="AD5540" s="13"/>
      <c r="AE5540" s="13"/>
      <c r="AF5540" s="13"/>
    </row>
    <row r="5541" spans="19:32" x14ac:dyDescent="0.35">
      <c r="S5541" s="13"/>
      <c r="T5541" s="16"/>
      <c r="U5541" s="16"/>
      <c r="V5541" s="16"/>
      <c r="W5541" s="13"/>
      <c r="X5541" s="34">
        <v>5537</v>
      </c>
      <c r="Y5541" s="34" t="s">
        <v>2248</v>
      </c>
      <c r="Z5541" s="34" t="s">
        <v>3707</v>
      </c>
      <c r="AA5541" s="35">
        <v>1.4875000000000001E-2</v>
      </c>
      <c r="AB5541" s="13"/>
      <c r="AC5541" s="13"/>
      <c r="AD5541" s="13"/>
      <c r="AE5541" s="13"/>
      <c r="AF5541" s="13"/>
    </row>
    <row r="5542" spans="19:32" x14ac:dyDescent="0.35">
      <c r="S5542" s="13"/>
      <c r="T5542" s="16"/>
      <c r="U5542" s="16"/>
      <c r="V5542" s="16"/>
      <c r="W5542" s="13"/>
      <c r="X5542" s="34">
        <v>5538</v>
      </c>
      <c r="Y5542" s="34" t="s">
        <v>2248</v>
      </c>
      <c r="Z5542" s="34" t="s">
        <v>3706</v>
      </c>
      <c r="AA5542" s="35">
        <v>11.592000000000001</v>
      </c>
      <c r="AB5542" s="13"/>
      <c r="AC5542" s="13"/>
      <c r="AD5542" s="13"/>
      <c r="AE5542" s="13"/>
      <c r="AF5542" s="13"/>
    </row>
    <row r="5543" spans="19:32" x14ac:dyDescent="0.35">
      <c r="S5543" s="13"/>
      <c r="T5543" s="16"/>
      <c r="U5543" s="16"/>
      <c r="V5543" s="16"/>
      <c r="W5543" s="13"/>
      <c r="X5543" s="34">
        <v>5539</v>
      </c>
      <c r="Y5543" s="34" t="s">
        <v>2248</v>
      </c>
      <c r="Z5543" s="34" t="s">
        <v>3705</v>
      </c>
      <c r="AA5543" s="35">
        <v>1.2167338709677421E-2</v>
      </c>
      <c r="AB5543" s="13"/>
      <c r="AC5543" s="13"/>
      <c r="AD5543" s="13"/>
      <c r="AE5543" s="13"/>
      <c r="AF5543" s="13"/>
    </row>
    <row r="5544" spans="19:32" x14ac:dyDescent="0.35">
      <c r="S5544" s="13"/>
      <c r="T5544" s="16"/>
      <c r="U5544" s="16"/>
      <c r="V5544" s="16"/>
      <c r="W5544" s="13"/>
      <c r="X5544" s="34">
        <v>5540</v>
      </c>
      <c r="Y5544" s="34" t="s">
        <v>2248</v>
      </c>
      <c r="Z5544" s="34" t="s">
        <v>3704</v>
      </c>
      <c r="AA5544" s="35">
        <v>5.2782258064516135E-4</v>
      </c>
      <c r="AB5544" s="13"/>
      <c r="AC5544" s="13"/>
      <c r="AD5544" s="13"/>
      <c r="AE5544" s="13"/>
      <c r="AF5544" s="13"/>
    </row>
    <row r="5545" spans="19:32" x14ac:dyDescent="0.35">
      <c r="S5545" s="13"/>
      <c r="T5545" s="16"/>
      <c r="U5545" s="16"/>
      <c r="V5545" s="16"/>
      <c r="W5545" s="13"/>
      <c r="X5545" s="34">
        <v>5541</v>
      </c>
      <c r="Y5545" s="34" t="s">
        <v>2248</v>
      </c>
      <c r="Z5545" s="34" t="s">
        <v>3703</v>
      </c>
      <c r="AA5545" s="35">
        <v>2.1832661290322582E-2</v>
      </c>
      <c r="AB5545" s="13"/>
      <c r="AC5545" s="13"/>
      <c r="AD5545" s="13"/>
      <c r="AE5545" s="13"/>
      <c r="AF5545" s="13"/>
    </row>
    <row r="5546" spans="19:32" x14ac:dyDescent="0.35">
      <c r="S5546" s="13"/>
      <c r="T5546" s="16"/>
      <c r="U5546" s="16"/>
      <c r="V5546" s="16"/>
      <c r="W5546" s="13"/>
      <c r="X5546" s="34">
        <v>5542</v>
      </c>
      <c r="Y5546" s="34" t="s">
        <v>2248</v>
      </c>
      <c r="Z5546" s="34" t="s">
        <v>3702</v>
      </c>
      <c r="AA5546" s="35">
        <v>1.5456000000000001</v>
      </c>
      <c r="AB5546" s="13"/>
      <c r="AC5546" s="13"/>
      <c r="AD5546" s="13"/>
      <c r="AE5546" s="13"/>
      <c r="AF5546" s="13"/>
    </row>
    <row r="5547" spans="19:32" x14ac:dyDescent="0.35">
      <c r="S5547" s="13"/>
      <c r="T5547" s="16"/>
      <c r="U5547" s="16"/>
      <c r="V5547" s="16"/>
      <c r="W5547" s="13"/>
      <c r="X5547" s="47">
        <v>5543</v>
      </c>
      <c r="Y5547" s="47" t="s">
        <v>2248</v>
      </c>
      <c r="Z5547" s="47" t="s">
        <v>2290</v>
      </c>
      <c r="AA5547" s="56">
        <v>0</v>
      </c>
      <c r="AB5547" s="13"/>
      <c r="AC5547" s="13"/>
      <c r="AD5547" s="13"/>
      <c r="AE5547" s="13"/>
      <c r="AF5547" s="13"/>
    </row>
    <row r="5548" spans="19:32" x14ac:dyDescent="0.35">
      <c r="S5548" s="13"/>
      <c r="T5548" s="16"/>
      <c r="U5548" s="16"/>
      <c r="V5548" s="16"/>
      <c r="W5548" s="13"/>
      <c r="X5548" s="34">
        <v>5544</v>
      </c>
      <c r="Y5548" s="34" t="s">
        <v>2248</v>
      </c>
      <c r="Z5548" s="34" t="s">
        <v>3701</v>
      </c>
      <c r="AA5548" s="35">
        <v>2.6588000000000001E-2</v>
      </c>
      <c r="AB5548" s="13"/>
      <c r="AC5548" s="13"/>
      <c r="AD5548" s="13"/>
      <c r="AE5548" s="13"/>
      <c r="AF5548" s="13"/>
    </row>
    <row r="5549" spans="19:32" x14ac:dyDescent="0.35">
      <c r="S5549" s="13"/>
      <c r="T5549" s="16"/>
      <c r="U5549" s="16"/>
      <c r="V5549" s="16"/>
      <c r="W5549" s="13"/>
      <c r="X5549" s="34">
        <v>5545</v>
      </c>
      <c r="Y5549" s="34" t="s">
        <v>2248</v>
      </c>
      <c r="Z5549" s="34" t="s">
        <v>2290</v>
      </c>
      <c r="AA5549" s="35">
        <v>1.9330645161290324E-5</v>
      </c>
      <c r="AB5549" s="13"/>
      <c r="AC5549" s="13"/>
      <c r="AD5549" s="13"/>
      <c r="AE5549" s="13"/>
      <c r="AF5549" s="13"/>
    </row>
    <row r="5550" spans="19:32" x14ac:dyDescent="0.35">
      <c r="S5550" s="13"/>
      <c r="T5550" s="16"/>
      <c r="U5550" s="16"/>
      <c r="V5550" s="16"/>
      <c r="W5550" s="13"/>
      <c r="X5550" s="34">
        <v>5546</v>
      </c>
      <c r="Y5550" s="34" t="s">
        <v>2248</v>
      </c>
      <c r="Z5550" s="34" t="s">
        <v>3700</v>
      </c>
      <c r="AA5550" s="35">
        <v>2.4608870967741936E-4</v>
      </c>
      <c r="AB5550" s="13"/>
      <c r="AC5550" s="13"/>
      <c r="AD5550" s="13"/>
      <c r="AE5550" s="13"/>
      <c r="AF5550" s="13"/>
    </row>
    <row r="5551" spans="19:32" x14ac:dyDescent="0.35">
      <c r="S5551" s="13"/>
      <c r="T5551" s="16"/>
      <c r="U5551" s="16"/>
      <c r="V5551" s="16"/>
      <c r="W5551" s="13"/>
      <c r="X5551" s="34">
        <v>5547</v>
      </c>
      <c r="Y5551" s="34" t="s">
        <v>2248</v>
      </c>
      <c r="Z5551" s="34" t="s">
        <v>3699</v>
      </c>
      <c r="AA5551" s="35">
        <v>7.084E-2</v>
      </c>
      <c r="AB5551" s="13"/>
      <c r="AC5551" s="13"/>
      <c r="AD5551" s="13"/>
      <c r="AE5551" s="13"/>
      <c r="AF5551" s="13"/>
    </row>
    <row r="5552" spans="19:32" x14ac:dyDescent="0.35">
      <c r="S5552" s="13"/>
      <c r="T5552" s="16"/>
      <c r="U5552" s="16"/>
      <c r="V5552" s="16"/>
      <c r="W5552" s="13"/>
      <c r="X5552" s="34">
        <v>5548</v>
      </c>
      <c r="Y5552" s="34" t="s">
        <v>2248</v>
      </c>
      <c r="Z5552" s="34" t="s">
        <v>3698</v>
      </c>
      <c r="AA5552" s="35">
        <v>2.7899193548387101E-3</v>
      </c>
      <c r="AB5552" s="13"/>
      <c r="AC5552" s="13"/>
      <c r="AD5552" s="13"/>
      <c r="AE5552" s="13"/>
      <c r="AF5552" s="13"/>
    </row>
    <row r="5553" spans="19:32" x14ac:dyDescent="0.35">
      <c r="S5553" s="13"/>
      <c r="T5553" s="16"/>
      <c r="U5553" s="16"/>
      <c r="V5553" s="16"/>
      <c r="W5553" s="13"/>
      <c r="X5553" s="34">
        <v>5549</v>
      </c>
      <c r="Y5553" s="34" t="s">
        <v>2248</v>
      </c>
      <c r="Z5553" s="34" t="s">
        <v>3697</v>
      </c>
      <c r="AA5553" s="35">
        <v>2.1558467741935485E-4</v>
      </c>
      <c r="AB5553" s="13"/>
      <c r="AC5553" s="13"/>
      <c r="AD5553" s="13"/>
      <c r="AE5553" s="13"/>
      <c r="AF5553" s="13"/>
    </row>
    <row r="5554" spans="19:32" x14ac:dyDescent="0.35">
      <c r="S5554" s="13"/>
      <c r="T5554" s="16"/>
      <c r="U5554" s="16"/>
      <c r="V5554" s="16"/>
      <c r="W5554" s="13"/>
      <c r="X5554" s="34">
        <v>5550</v>
      </c>
      <c r="Y5554" s="34" t="s">
        <v>2248</v>
      </c>
      <c r="Z5554" s="34" t="s">
        <v>3696</v>
      </c>
      <c r="AA5554" s="35">
        <v>0.30268</v>
      </c>
      <c r="AB5554" s="13"/>
      <c r="AC5554" s="13"/>
      <c r="AD5554" s="13"/>
      <c r="AE5554" s="13"/>
      <c r="AF5554" s="13"/>
    </row>
    <row r="5555" spans="19:32" x14ac:dyDescent="0.35">
      <c r="S5555" s="13"/>
      <c r="T5555" s="16"/>
      <c r="U5555" s="16"/>
      <c r="V5555" s="16"/>
      <c r="W5555" s="13"/>
      <c r="X5555" s="34">
        <v>5551</v>
      </c>
      <c r="Y5555" s="34" t="s">
        <v>2248</v>
      </c>
      <c r="Z5555" s="34" t="s">
        <v>3021</v>
      </c>
      <c r="AA5555" s="35">
        <v>8.2600806451612913E-4</v>
      </c>
      <c r="AB5555" s="13"/>
      <c r="AC5555" s="13"/>
      <c r="AD5555" s="13"/>
      <c r="AE5555" s="13"/>
      <c r="AF5555" s="13"/>
    </row>
    <row r="5556" spans="19:32" x14ac:dyDescent="0.35">
      <c r="S5556" s="13"/>
      <c r="T5556" s="16"/>
      <c r="U5556" s="16"/>
      <c r="V5556" s="16"/>
      <c r="W5556" s="13"/>
      <c r="X5556" s="34">
        <v>5552</v>
      </c>
      <c r="Y5556" s="34" t="s">
        <v>2248</v>
      </c>
      <c r="Z5556" s="34" t="s">
        <v>3695</v>
      </c>
      <c r="AA5556" s="35">
        <v>1.0796370967741937E-3</v>
      </c>
      <c r="AB5556" s="13"/>
      <c r="AC5556" s="13"/>
      <c r="AD5556" s="13"/>
      <c r="AE5556" s="13"/>
      <c r="AF5556" s="13"/>
    </row>
    <row r="5557" spans="19:32" x14ac:dyDescent="0.35">
      <c r="S5557" s="13"/>
      <c r="T5557" s="16"/>
      <c r="U5557" s="16"/>
      <c r="V5557" s="16"/>
      <c r="W5557" s="13"/>
      <c r="X5557" s="34">
        <v>5553</v>
      </c>
      <c r="Y5557" s="34" t="s">
        <v>2248</v>
      </c>
      <c r="Z5557" s="34" t="s">
        <v>3694</v>
      </c>
      <c r="AA5557" s="35">
        <v>63.112000000000002</v>
      </c>
      <c r="AB5557" s="13"/>
      <c r="AC5557" s="13"/>
      <c r="AD5557" s="13"/>
      <c r="AE5557" s="13"/>
      <c r="AF5557" s="13"/>
    </row>
    <row r="5558" spans="19:32" x14ac:dyDescent="0.35">
      <c r="S5558" s="13"/>
      <c r="T5558" s="16"/>
      <c r="U5558" s="16"/>
      <c r="V5558" s="16"/>
      <c r="W5558" s="13"/>
      <c r="X5558" s="34">
        <v>5554</v>
      </c>
      <c r="Y5558" s="34" t="s">
        <v>2248</v>
      </c>
      <c r="Z5558" s="34" t="s">
        <v>3693</v>
      </c>
      <c r="AA5558" s="35">
        <v>1.7993951612903228E-3</v>
      </c>
      <c r="AB5558" s="13"/>
      <c r="AC5558" s="13"/>
      <c r="AD5558" s="13"/>
      <c r="AE5558" s="13"/>
      <c r="AF5558" s="13"/>
    </row>
    <row r="5559" spans="19:32" x14ac:dyDescent="0.35">
      <c r="S5559" s="13"/>
      <c r="T5559" s="16"/>
      <c r="U5559" s="16"/>
      <c r="V5559" s="16"/>
      <c r="W5559" s="13"/>
      <c r="X5559" s="34">
        <v>5555</v>
      </c>
      <c r="Y5559" s="34" t="s">
        <v>2248</v>
      </c>
      <c r="Z5559" s="34" t="s">
        <v>3692</v>
      </c>
      <c r="AA5559" s="35">
        <v>58.512</v>
      </c>
      <c r="AB5559" s="13"/>
      <c r="AC5559" s="13"/>
      <c r="AD5559" s="13"/>
      <c r="AE5559" s="13"/>
      <c r="AF5559" s="13"/>
    </row>
    <row r="5560" spans="19:32" x14ac:dyDescent="0.35">
      <c r="S5560" s="13"/>
      <c r="T5560" s="16"/>
      <c r="U5560" s="16"/>
      <c r="V5560" s="16"/>
      <c r="W5560" s="13"/>
      <c r="X5560" s="34">
        <v>5556</v>
      </c>
      <c r="Y5560" s="34" t="s">
        <v>2248</v>
      </c>
      <c r="Z5560" s="34" t="s">
        <v>3691</v>
      </c>
      <c r="AA5560" s="35">
        <v>1.8850806451612904E-3</v>
      </c>
      <c r="AB5560" s="13"/>
      <c r="AC5560" s="13"/>
      <c r="AD5560" s="13"/>
      <c r="AE5560" s="13"/>
      <c r="AF5560" s="13"/>
    </row>
    <row r="5561" spans="19:32" x14ac:dyDescent="0.35">
      <c r="S5561" s="13"/>
      <c r="T5561" s="16"/>
      <c r="U5561" s="16"/>
      <c r="V5561" s="16"/>
      <c r="W5561" s="13"/>
      <c r="X5561" s="34">
        <v>5557</v>
      </c>
      <c r="Y5561" s="34" t="s">
        <v>2248</v>
      </c>
      <c r="Z5561" s="34" t="s">
        <v>3020</v>
      </c>
      <c r="AA5561" s="35">
        <v>1.5183467741935483E-3</v>
      </c>
      <c r="AB5561" s="13"/>
      <c r="AC5561" s="13"/>
      <c r="AD5561" s="13"/>
      <c r="AE5561" s="13"/>
      <c r="AF5561" s="13"/>
    </row>
    <row r="5562" spans="19:32" x14ac:dyDescent="0.35">
      <c r="S5562" s="13"/>
      <c r="T5562" s="16"/>
      <c r="U5562" s="16"/>
      <c r="V5562" s="16"/>
      <c r="W5562" s="13"/>
      <c r="X5562" s="34">
        <v>5558</v>
      </c>
      <c r="Y5562" s="34" t="s">
        <v>2248</v>
      </c>
      <c r="Z5562" s="34" t="s">
        <v>3690</v>
      </c>
      <c r="AA5562" s="35">
        <v>1.2750000000000001E-2</v>
      </c>
      <c r="AB5562" s="13"/>
      <c r="AC5562" s="13"/>
      <c r="AD5562" s="13"/>
      <c r="AE5562" s="13"/>
      <c r="AF5562" s="13"/>
    </row>
    <row r="5563" spans="19:32" x14ac:dyDescent="0.35">
      <c r="S5563" s="13"/>
      <c r="T5563" s="16"/>
      <c r="U5563" s="16"/>
      <c r="V5563" s="16"/>
      <c r="W5563" s="13"/>
      <c r="X5563" s="34">
        <v>5559</v>
      </c>
      <c r="Y5563" s="34" t="s">
        <v>2248</v>
      </c>
      <c r="Z5563" s="34" t="s">
        <v>3689</v>
      </c>
      <c r="AA5563" s="35">
        <v>0</v>
      </c>
      <c r="AB5563" s="13"/>
      <c r="AC5563" s="13"/>
      <c r="AD5563" s="13"/>
      <c r="AE5563" s="13"/>
      <c r="AF5563" s="13"/>
    </row>
    <row r="5564" spans="19:32" x14ac:dyDescent="0.35">
      <c r="S5564" s="13"/>
      <c r="T5564" s="16"/>
      <c r="U5564" s="16"/>
      <c r="V5564" s="16"/>
      <c r="W5564" s="13"/>
      <c r="X5564" s="34">
        <v>5560</v>
      </c>
      <c r="Y5564" s="34" t="s">
        <v>2248</v>
      </c>
      <c r="Z5564" s="34" t="s">
        <v>3688</v>
      </c>
      <c r="AA5564" s="35">
        <v>2.2243951612903226E-2</v>
      </c>
      <c r="AB5564" s="13"/>
      <c r="AC5564" s="13"/>
      <c r="AD5564" s="13"/>
      <c r="AE5564" s="13"/>
      <c r="AF5564" s="13"/>
    </row>
    <row r="5565" spans="19:32" x14ac:dyDescent="0.35">
      <c r="S5565" s="13"/>
      <c r="T5565" s="16"/>
      <c r="U5565" s="16"/>
      <c r="V5565" s="16"/>
      <c r="W5565" s="13"/>
      <c r="X5565" s="34">
        <v>5561</v>
      </c>
      <c r="Y5565" s="34" t="s">
        <v>2248</v>
      </c>
      <c r="Z5565" s="34" t="s">
        <v>2288</v>
      </c>
      <c r="AA5565" s="35">
        <v>6.6149193548387105E-6</v>
      </c>
      <c r="AB5565" s="13"/>
      <c r="AC5565" s="13"/>
      <c r="AD5565" s="13"/>
      <c r="AE5565" s="13"/>
      <c r="AF5565" s="13"/>
    </row>
    <row r="5566" spans="19:32" x14ac:dyDescent="0.35">
      <c r="S5566" s="13"/>
      <c r="T5566" s="16"/>
      <c r="U5566" s="16"/>
      <c r="V5566" s="16"/>
      <c r="W5566" s="13"/>
      <c r="X5566" s="34">
        <v>5562</v>
      </c>
      <c r="Y5566" s="34" t="s">
        <v>2248</v>
      </c>
      <c r="Z5566" s="34" t="s">
        <v>3687</v>
      </c>
      <c r="AA5566" s="35">
        <v>0</v>
      </c>
      <c r="AB5566" s="13"/>
      <c r="AC5566" s="13"/>
      <c r="AD5566" s="13"/>
      <c r="AE5566" s="13"/>
      <c r="AF5566" s="13"/>
    </row>
    <row r="5567" spans="19:32" x14ac:dyDescent="0.35">
      <c r="S5567" s="13"/>
      <c r="T5567" s="16"/>
      <c r="U5567" s="16"/>
      <c r="V5567" s="16"/>
      <c r="W5567" s="13"/>
      <c r="X5567" s="47">
        <v>5563</v>
      </c>
      <c r="Y5567" s="47" t="s">
        <v>2248</v>
      </c>
      <c r="Z5567" s="47" t="s">
        <v>2288</v>
      </c>
      <c r="AA5567" s="56">
        <v>1.0303999999999999E-2</v>
      </c>
      <c r="AB5567" s="13"/>
      <c r="AC5567" s="13"/>
      <c r="AD5567" s="13"/>
      <c r="AE5567" s="13"/>
      <c r="AF5567" s="13"/>
    </row>
    <row r="5568" spans="19:32" x14ac:dyDescent="0.35">
      <c r="S5568" s="13"/>
      <c r="T5568" s="16"/>
      <c r="U5568" s="16"/>
      <c r="V5568" s="16"/>
      <c r="W5568" s="13"/>
      <c r="X5568" s="34">
        <v>5564</v>
      </c>
      <c r="Y5568" s="34" t="s">
        <v>2248</v>
      </c>
      <c r="Z5568" s="34" t="s">
        <v>3686</v>
      </c>
      <c r="AA5568" s="35">
        <v>0</v>
      </c>
      <c r="AB5568" s="13"/>
      <c r="AC5568" s="13"/>
      <c r="AD5568" s="13"/>
      <c r="AE5568" s="13"/>
      <c r="AF5568" s="13"/>
    </row>
    <row r="5569" spans="19:32" x14ac:dyDescent="0.35">
      <c r="S5569" s="13"/>
      <c r="T5569" s="16"/>
      <c r="U5569" s="16"/>
      <c r="V5569" s="16"/>
      <c r="W5569" s="13"/>
      <c r="X5569" s="34">
        <v>5565</v>
      </c>
      <c r="Y5569" s="34" t="s">
        <v>2248</v>
      </c>
      <c r="Z5569" s="34" t="s">
        <v>3685</v>
      </c>
      <c r="AA5569" s="35">
        <v>2.8687500000000003E-6</v>
      </c>
      <c r="AB5569" s="13"/>
      <c r="AC5569" s="13"/>
      <c r="AD5569" s="13"/>
      <c r="AE5569" s="13"/>
      <c r="AF5569" s="13"/>
    </row>
    <row r="5570" spans="19:32" x14ac:dyDescent="0.35">
      <c r="S5570" s="13"/>
      <c r="T5570" s="16"/>
      <c r="U5570" s="16"/>
      <c r="V5570" s="16"/>
      <c r="W5570" s="13"/>
      <c r="X5570" s="34">
        <v>5566</v>
      </c>
      <c r="Y5570" s="34" t="s">
        <v>2248</v>
      </c>
      <c r="Z5570" s="34" t="s">
        <v>3014</v>
      </c>
      <c r="AA5570" s="35">
        <v>1.7274193548387099E-3</v>
      </c>
      <c r="AB5570" s="13"/>
      <c r="AC5570" s="13"/>
      <c r="AD5570" s="13"/>
      <c r="AE5570" s="13"/>
      <c r="AF5570" s="13"/>
    </row>
    <row r="5571" spans="19:32" x14ac:dyDescent="0.35">
      <c r="S5571" s="13"/>
      <c r="T5571" s="16"/>
      <c r="U5571" s="16"/>
      <c r="V5571" s="16"/>
      <c r="W5571" s="13"/>
      <c r="X5571" s="34">
        <v>5567</v>
      </c>
      <c r="Y5571" s="34" t="s">
        <v>2248</v>
      </c>
      <c r="Z5571" s="34" t="s">
        <v>3684</v>
      </c>
      <c r="AA5571" s="35">
        <v>1.5389112903225807E-4</v>
      </c>
      <c r="AB5571" s="13"/>
      <c r="AC5571" s="13"/>
      <c r="AD5571" s="13"/>
      <c r="AE5571" s="13"/>
      <c r="AF5571" s="13"/>
    </row>
    <row r="5572" spans="19:32" x14ac:dyDescent="0.35">
      <c r="S5572" s="13"/>
      <c r="T5572" s="16"/>
      <c r="U5572" s="16"/>
      <c r="V5572" s="16"/>
      <c r="W5572" s="13"/>
      <c r="X5572" s="34">
        <v>5568</v>
      </c>
      <c r="Y5572" s="34" t="s">
        <v>2248</v>
      </c>
      <c r="Z5572" s="34" t="s">
        <v>3683</v>
      </c>
      <c r="AA5572" s="35">
        <v>4.3331999999999997</v>
      </c>
      <c r="AB5572" s="13"/>
      <c r="AC5572" s="13"/>
      <c r="AD5572" s="13"/>
      <c r="AE5572" s="13"/>
      <c r="AF5572" s="13"/>
    </row>
    <row r="5573" spans="19:32" x14ac:dyDescent="0.35">
      <c r="S5573" s="13"/>
      <c r="T5573" s="16"/>
      <c r="U5573" s="16"/>
      <c r="V5573" s="16"/>
      <c r="W5573" s="13"/>
      <c r="X5573" s="34">
        <v>5569</v>
      </c>
      <c r="Y5573" s="34" t="s">
        <v>2248</v>
      </c>
      <c r="Z5573" s="34" t="s">
        <v>3682</v>
      </c>
      <c r="AA5573" s="35">
        <v>5.8951612903225814E-3</v>
      </c>
      <c r="AB5573" s="13"/>
      <c r="AC5573" s="13"/>
      <c r="AD5573" s="13"/>
      <c r="AE5573" s="13"/>
      <c r="AF5573" s="13"/>
    </row>
    <row r="5574" spans="19:32" x14ac:dyDescent="0.35">
      <c r="S5574" s="13"/>
      <c r="T5574" s="16"/>
      <c r="U5574" s="16"/>
      <c r="V5574" s="16"/>
      <c r="W5574" s="13"/>
      <c r="X5574" s="34">
        <v>5570</v>
      </c>
      <c r="Y5574" s="34" t="s">
        <v>2248</v>
      </c>
      <c r="Z5574" s="34" t="s">
        <v>3681</v>
      </c>
      <c r="AA5574" s="35">
        <v>0</v>
      </c>
      <c r="AB5574" s="13"/>
      <c r="AC5574" s="13"/>
      <c r="AD5574" s="13"/>
      <c r="AE5574" s="13"/>
      <c r="AF5574" s="13"/>
    </row>
    <row r="5575" spans="19:32" x14ac:dyDescent="0.35">
      <c r="S5575" s="13"/>
      <c r="T5575" s="16"/>
      <c r="U5575" s="16"/>
      <c r="V5575" s="16"/>
      <c r="W5575" s="13"/>
      <c r="X5575" s="34">
        <v>5571</v>
      </c>
      <c r="Y5575" s="34" t="s">
        <v>2248</v>
      </c>
      <c r="Z5575" s="34" t="s">
        <v>3680</v>
      </c>
      <c r="AA5575" s="35">
        <v>2.5705645161290324E-2</v>
      </c>
      <c r="AB5575" s="13"/>
      <c r="AC5575" s="13"/>
      <c r="AD5575" s="13"/>
      <c r="AE5575" s="13"/>
      <c r="AF5575" s="13"/>
    </row>
    <row r="5576" spans="19:32" x14ac:dyDescent="0.35">
      <c r="S5576" s="13"/>
      <c r="T5576" s="16"/>
      <c r="U5576" s="16"/>
      <c r="V5576" s="16"/>
      <c r="W5576" s="13"/>
      <c r="X5576" s="34">
        <v>5572</v>
      </c>
      <c r="Y5576" s="34" t="s">
        <v>2248</v>
      </c>
      <c r="Z5576" s="34" t="s">
        <v>2287</v>
      </c>
      <c r="AA5576" s="35">
        <v>4.4556451612903231E-6</v>
      </c>
      <c r="AB5576" s="13"/>
      <c r="AC5576" s="13"/>
      <c r="AD5576" s="13"/>
      <c r="AE5576" s="13"/>
      <c r="AF5576" s="13"/>
    </row>
    <row r="5577" spans="19:32" x14ac:dyDescent="0.35">
      <c r="S5577" s="13"/>
      <c r="T5577" s="16"/>
      <c r="U5577" s="16"/>
      <c r="V5577" s="16"/>
      <c r="W5577" s="13"/>
      <c r="X5577" s="47">
        <v>5573</v>
      </c>
      <c r="Y5577" s="47" t="s">
        <v>2248</v>
      </c>
      <c r="Z5577" s="47" t="s">
        <v>2287</v>
      </c>
      <c r="AA5577" s="56">
        <v>0</v>
      </c>
      <c r="AB5577" s="13"/>
      <c r="AC5577" s="13"/>
      <c r="AD5577" s="13"/>
      <c r="AE5577" s="13"/>
      <c r="AF5577" s="13"/>
    </row>
    <row r="5578" spans="19:32" x14ac:dyDescent="0.35">
      <c r="S5578" s="13"/>
      <c r="T5578" s="16"/>
      <c r="U5578" s="16"/>
      <c r="V5578" s="16"/>
      <c r="W5578" s="13"/>
      <c r="X5578" s="34">
        <v>5574</v>
      </c>
      <c r="Y5578" s="34" t="s">
        <v>2248</v>
      </c>
      <c r="Z5578" s="34" t="s">
        <v>3679</v>
      </c>
      <c r="AA5578" s="35">
        <v>1.0396000000000001</v>
      </c>
      <c r="AB5578" s="13"/>
      <c r="AC5578" s="13"/>
      <c r="AD5578" s="13"/>
      <c r="AE5578" s="13"/>
      <c r="AF5578" s="13"/>
    </row>
    <row r="5579" spans="19:32" x14ac:dyDescent="0.35">
      <c r="S5579" s="13"/>
      <c r="T5579" s="16"/>
      <c r="U5579" s="16"/>
      <c r="V5579" s="16"/>
      <c r="W5579" s="13"/>
      <c r="X5579" s="34">
        <v>5575</v>
      </c>
      <c r="Y5579" s="34" t="s">
        <v>2248</v>
      </c>
      <c r="Z5579" s="34" t="s">
        <v>3678</v>
      </c>
      <c r="AA5579" s="35">
        <v>2.2381048387096778E-4</v>
      </c>
      <c r="AB5579" s="13"/>
      <c r="AC5579" s="13"/>
      <c r="AD5579" s="13"/>
      <c r="AE5579" s="13"/>
      <c r="AF5579" s="13"/>
    </row>
    <row r="5580" spans="19:32" x14ac:dyDescent="0.35">
      <c r="S5580" s="13"/>
      <c r="T5580" s="16"/>
      <c r="U5580" s="16"/>
      <c r="V5580" s="16"/>
      <c r="W5580" s="13"/>
      <c r="X5580" s="34">
        <v>5576</v>
      </c>
      <c r="Y5580" s="34" t="s">
        <v>2248</v>
      </c>
      <c r="Z5580" s="34" t="s">
        <v>3677</v>
      </c>
      <c r="AA5580" s="35">
        <v>0</v>
      </c>
      <c r="AB5580" s="13"/>
      <c r="AC5580" s="13"/>
      <c r="AD5580" s="13"/>
      <c r="AE5580" s="13"/>
      <c r="AF5580" s="13"/>
    </row>
    <row r="5581" spans="19:32" x14ac:dyDescent="0.35">
      <c r="S5581" s="13"/>
      <c r="T5581" s="16"/>
      <c r="U5581" s="16"/>
      <c r="V5581" s="16"/>
      <c r="W5581" s="13"/>
      <c r="X5581" s="34">
        <v>5577</v>
      </c>
      <c r="Y5581" s="34" t="s">
        <v>2248</v>
      </c>
      <c r="Z5581" s="34" t="s">
        <v>3676</v>
      </c>
      <c r="AA5581" s="35">
        <v>3.5987903225806452E-2</v>
      </c>
      <c r="AB5581" s="13"/>
      <c r="AC5581" s="13"/>
      <c r="AD5581" s="13"/>
      <c r="AE5581" s="13"/>
      <c r="AF5581" s="13"/>
    </row>
    <row r="5582" spans="19:32" x14ac:dyDescent="0.35">
      <c r="S5582" s="13"/>
      <c r="T5582" s="16"/>
      <c r="U5582" s="16"/>
      <c r="V5582" s="16"/>
      <c r="W5582" s="13"/>
      <c r="X5582" s="34">
        <v>5578</v>
      </c>
      <c r="Y5582" s="34" t="s">
        <v>2248</v>
      </c>
      <c r="Z5582" s="34" t="s">
        <v>3675</v>
      </c>
      <c r="AA5582" s="35">
        <v>8.8084677419354848E-4</v>
      </c>
      <c r="AB5582" s="13"/>
      <c r="AC5582" s="13"/>
      <c r="AD5582" s="13"/>
      <c r="AE5582" s="13"/>
      <c r="AF5582" s="13"/>
    </row>
    <row r="5583" spans="19:32" x14ac:dyDescent="0.35">
      <c r="S5583" s="13"/>
      <c r="T5583" s="16"/>
      <c r="U5583" s="16"/>
      <c r="V5583" s="16"/>
      <c r="W5583" s="13"/>
      <c r="X5583" s="34">
        <v>5579</v>
      </c>
      <c r="Y5583" s="34" t="s">
        <v>2248</v>
      </c>
      <c r="Z5583" s="34" t="s">
        <v>3674</v>
      </c>
      <c r="AA5583" s="35">
        <v>3.6707999999999998</v>
      </c>
      <c r="AB5583" s="13"/>
      <c r="AC5583" s="13"/>
      <c r="AD5583" s="13"/>
      <c r="AE5583" s="13"/>
      <c r="AF5583" s="13"/>
    </row>
    <row r="5584" spans="19:32" x14ac:dyDescent="0.35">
      <c r="S5584" s="13"/>
      <c r="T5584" s="16"/>
      <c r="U5584" s="16"/>
      <c r="V5584" s="16"/>
      <c r="W5584" s="13"/>
      <c r="X5584" s="34">
        <v>5580</v>
      </c>
      <c r="Y5584" s="34" t="s">
        <v>2248</v>
      </c>
      <c r="Z5584" s="34" t="s">
        <v>3673</v>
      </c>
      <c r="AA5584" s="35">
        <v>0.61008064516129035</v>
      </c>
      <c r="AB5584" s="13"/>
      <c r="AC5584" s="13"/>
      <c r="AD5584" s="13"/>
      <c r="AE5584" s="13"/>
      <c r="AF5584" s="13"/>
    </row>
    <row r="5585" spans="19:32" x14ac:dyDescent="0.35">
      <c r="S5585" s="13"/>
      <c r="T5585" s="16"/>
      <c r="U5585" s="16"/>
      <c r="V5585" s="16"/>
      <c r="W5585" s="13"/>
      <c r="X5585" s="34">
        <v>5581</v>
      </c>
      <c r="Y5585" s="34" t="s">
        <v>2248</v>
      </c>
      <c r="Z5585" s="34" t="s">
        <v>3672</v>
      </c>
      <c r="AA5585" s="35">
        <v>7.9516129032258076E-2</v>
      </c>
      <c r="AB5585" s="13"/>
      <c r="AC5585" s="13"/>
      <c r="AD5585" s="13"/>
      <c r="AE5585" s="13"/>
      <c r="AF5585" s="13"/>
    </row>
    <row r="5586" spans="19:32" x14ac:dyDescent="0.35">
      <c r="S5586" s="13"/>
      <c r="T5586" s="16"/>
      <c r="U5586" s="16"/>
      <c r="V5586" s="16"/>
      <c r="W5586" s="13"/>
      <c r="X5586" s="34">
        <v>5582</v>
      </c>
      <c r="Y5586" s="34" t="s">
        <v>2248</v>
      </c>
      <c r="Z5586" s="34" t="s">
        <v>3671</v>
      </c>
      <c r="AA5586" s="35">
        <v>8.095999999999999E-3</v>
      </c>
      <c r="AB5586" s="13"/>
      <c r="AC5586" s="13"/>
      <c r="AD5586" s="13"/>
      <c r="AE5586" s="13"/>
      <c r="AF5586" s="13"/>
    </row>
    <row r="5587" spans="19:32" x14ac:dyDescent="0.35">
      <c r="S5587" s="13"/>
      <c r="T5587" s="16"/>
      <c r="U5587" s="16"/>
      <c r="V5587" s="16"/>
      <c r="W5587" s="13"/>
      <c r="X5587" s="34">
        <v>5583</v>
      </c>
      <c r="Y5587" s="34" t="s">
        <v>2248</v>
      </c>
      <c r="Z5587" s="34" t="s">
        <v>3670</v>
      </c>
      <c r="AA5587" s="35">
        <v>0.21421370967741937</v>
      </c>
      <c r="AB5587" s="13"/>
      <c r="AC5587" s="13"/>
      <c r="AD5587" s="13"/>
      <c r="AE5587" s="13"/>
      <c r="AF5587" s="13"/>
    </row>
    <row r="5588" spans="19:32" x14ac:dyDescent="0.35">
      <c r="S5588" s="13"/>
      <c r="T5588" s="16"/>
      <c r="U5588" s="16"/>
      <c r="V5588" s="16"/>
      <c r="W5588" s="13"/>
      <c r="X5588" s="34">
        <v>5584</v>
      </c>
      <c r="Y5588" s="34" t="s">
        <v>2248</v>
      </c>
      <c r="Z5588" s="34" t="s">
        <v>3669</v>
      </c>
      <c r="AA5588" s="35">
        <v>7.1633064516129039E-2</v>
      </c>
      <c r="AB5588" s="13"/>
      <c r="AC5588" s="13"/>
      <c r="AD5588" s="13"/>
      <c r="AE5588" s="13"/>
      <c r="AF5588" s="13"/>
    </row>
    <row r="5589" spans="19:32" x14ac:dyDescent="0.35">
      <c r="S5589" s="13"/>
      <c r="T5589" s="16"/>
      <c r="U5589" s="16"/>
      <c r="V5589" s="16"/>
      <c r="W5589" s="13"/>
      <c r="X5589" s="34">
        <v>5585</v>
      </c>
      <c r="Y5589" s="34" t="s">
        <v>2248</v>
      </c>
      <c r="Z5589" s="34" t="s">
        <v>3668</v>
      </c>
      <c r="AA5589" s="35">
        <v>0</v>
      </c>
      <c r="AB5589" s="13"/>
      <c r="AC5589" s="13"/>
      <c r="AD5589" s="13"/>
      <c r="AE5589" s="13"/>
      <c r="AF5589" s="13"/>
    </row>
    <row r="5590" spans="19:32" x14ac:dyDescent="0.35">
      <c r="S5590" s="13"/>
      <c r="T5590" s="16"/>
      <c r="U5590" s="16"/>
      <c r="V5590" s="16"/>
      <c r="W5590" s="13"/>
      <c r="X5590" s="34">
        <v>5586</v>
      </c>
      <c r="Y5590" s="34" t="s">
        <v>2248</v>
      </c>
      <c r="Z5590" s="34" t="s">
        <v>3667</v>
      </c>
      <c r="AA5590" s="35">
        <v>0.28104838709677421</v>
      </c>
      <c r="AB5590" s="13"/>
      <c r="AC5590" s="13"/>
      <c r="AD5590" s="13"/>
      <c r="AE5590" s="13"/>
      <c r="AF5590" s="13"/>
    </row>
    <row r="5591" spans="19:32" x14ac:dyDescent="0.35">
      <c r="S5591" s="13"/>
      <c r="T5591" s="16"/>
      <c r="U5591" s="16"/>
      <c r="V5591" s="16"/>
      <c r="W5591" s="13"/>
      <c r="X5591" s="34">
        <v>5587</v>
      </c>
      <c r="Y5591" s="34" t="s">
        <v>2248</v>
      </c>
      <c r="Z5591" s="34" t="s">
        <v>3666</v>
      </c>
      <c r="AA5591" s="35">
        <v>8.3971774193548387E-10</v>
      </c>
      <c r="AB5591" s="13"/>
      <c r="AC5591" s="13"/>
      <c r="AD5591" s="13"/>
      <c r="AE5591" s="13"/>
      <c r="AF5591" s="13"/>
    </row>
    <row r="5592" spans="19:32" x14ac:dyDescent="0.35">
      <c r="S5592" s="13"/>
      <c r="T5592" s="16"/>
      <c r="U5592" s="16"/>
      <c r="V5592" s="16"/>
      <c r="W5592" s="13"/>
      <c r="X5592" s="34">
        <v>5588</v>
      </c>
      <c r="Y5592" s="34" t="s">
        <v>2248</v>
      </c>
      <c r="Z5592" s="34" t="s">
        <v>3665</v>
      </c>
      <c r="AA5592" s="35">
        <v>2.2632000000000003</v>
      </c>
      <c r="AB5592" s="13"/>
      <c r="AC5592" s="13"/>
      <c r="AD5592" s="13"/>
      <c r="AE5592" s="13"/>
      <c r="AF5592" s="13"/>
    </row>
    <row r="5593" spans="19:32" x14ac:dyDescent="0.35">
      <c r="S5593" s="13"/>
      <c r="T5593" s="16"/>
      <c r="U5593" s="16"/>
      <c r="V5593" s="16"/>
      <c r="W5593" s="13"/>
      <c r="X5593" s="34">
        <v>5589</v>
      </c>
      <c r="Y5593" s="34" t="s">
        <v>2248</v>
      </c>
      <c r="Z5593" s="34" t="s">
        <v>3664</v>
      </c>
      <c r="AA5593" s="35">
        <v>1.1481854838709678E-6</v>
      </c>
      <c r="AB5593" s="13"/>
      <c r="AC5593" s="13"/>
      <c r="AD5593" s="13"/>
      <c r="AE5593" s="13"/>
      <c r="AF5593" s="13"/>
    </row>
    <row r="5594" spans="19:32" x14ac:dyDescent="0.35">
      <c r="S5594" s="13"/>
      <c r="T5594" s="16"/>
      <c r="U5594" s="16"/>
      <c r="V5594" s="16"/>
      <c r="W5594" s="13"/>
      <c r="X5594" s="34">
        <v>5590</v>
      </c>
      <c r="Y5594" s="34" t="s">
        <v>2248</v>
      </c>
      <c r="Z5594" s="34" t="s">
        <v>3663</v>
      </c>
      <c r="AA5594" s="35">
        <v>0</v>
      </c>
      <c r="AB5594" s="13"/>
      <c r="AC5594" s="13"/>
      <c r="AD5594" s="13"/>
      <c r="AE5594" s="13"/>
      <c r="AF5594" s="13"/>
    </row>
    <row r="5595" spans="19:32" x14ac:dyDescent="0.35">
      <c r="S5595" s="13"/>
      <c r="T5595" s="16"/>
      <c r="U5595" s="16"/>
      <c r="V5595" s="16"/>
      <c r="W5595" s="13"/>
      <c r="X5595" s="34">
        <v>5591</v>
      </c>
      <c r="Y5595" s="34" t="s">
        <v>2248</v>
      </c>
      <c r="Z5595" s="34" t="s">
        <v>3662</v>
      </c>
      <c r="AA5595" s="35">
        <v>8.0544354838709689E-4</v>
      </c>
      <c r="AB5595" s="13"/>
      <c r="AC5595" s="13"/>
      <c r="AD5595" s="13"/>
      <c r="AE5595" s="13"/>
      <c r="AF5595" s="13"/>
    </row>
    <row r="5596" spans="19:32" x14ac:dyDescent="0.35">
      <c r="S5596" s="13"/>
      <c r="T5596" s="16"/>
      <c r="U5596" s="16"/>
      <c r="V5596" s="16"/>
      <c r="W5596" s="13"/>
      <c r="X5596" s="34">
        <v>5592</v>
      </c>
      <c r="Y5596" s="34" t="s">
        <v>2248</v>
      </c>
      <c r="Z5596" s="34" t="s">
        <v>3661</v>
      </c>
      <c r="AA5596" s="35">
        <v>0</v>
      </c>
      <c r="AB5596" s="13"/>
      <c r="AC5596" s="13"/>
      <c r="AD5596" s="13"/>
      <c r="AE5596" s="13"/>
      <c r="AF5596" s="13"/>
    </row>
    <row r="5597" spans="19:32" x14ac:dyDescent="0.35">
      <c r="S5597" s="13"/>
      <c r="T5597" s="16"/>
      <c r="U5597" s="16"/>
      <c r="V5597" s="16"/>
      <c r="W5597" s="13"/>
      <c r="X5597" s="34">
        <v>5593</v>
      </c>
      <c r="Y5597" s="34" t="s">
        <v>2248</v>
      </c>
      <c r="Z5597" s="34" t="s">
        <v>2285</v>
      </c>
      <c r="AA5597" s="35">
        <v>1.0556451612903226E-2</v>
      </c>
      <c r="AB5597" s="13"/>
      <c r="AC5597" s="13"/>
      <c r="AD5597" s="13"/>
      <c r="AE5597" s="13"/>
      <c r="AF5597" s="13"/>
    </row>
    <row r="5598" spans="19:32" x14ac:dyDescent="0.35">
      <c r="S5598" s="13"/>
      <c r="T5598" s="16"/>
      <c r="U5598" s="16"/>
      <c r="V5598" s="16"/>
      <c r="W5598" s="13"/>
      <c r="X5598" s="47">
        <v>5594</v>
      </c>
      <c r="Y5598" s="47" t="s">
        <v>2248</v>
      </c>
      <c r="Z5598" s="47" t="s">
        <v>2285</v>
      </c>
      <c r="AA5598" s="56">
        <v>1.8307999999999998E-2</v>
      </c>
      <c r="AB5598" s="13"/>
      <c r="AC5598" s="13"/>
      <c r="AD5598" s="13"/>
      <c r="AE5598" s="13"/>
      <c r="AF5598" s="13"/>
    </row>
    <row r="5599" spans="19:32" x14ac:dyDescent="0.35">
      <c r="S5599" s="13"/>
      <c r="T5599" s="16"/>
      <c r="U5599" s="16"/>
      <c r="V5599" s="16"/>
      <c r="W5599" s="13"/>
      <c r="X5599" s="34">
        <v>5595</v>
      </c>
      <c r="Y5599" s="34" t="s">
        <v>2248</v>
      </c>
      <c r="Z5599" s="34" t="s">
        <v>3660</v>
      </c>
      <c r="AA5599" s="35">
        <v>0</v>
      </c>
      <c r="AB5599" s="13"/>
      <c r="AC5599" s="13"/>
      <c r="AD5599" s="13"/>
      <c r="AE5599" s="13"/>
      <c r="AF5599" s="13"/>
    </row>
    <row r="5600" spans="19:32" x14ac:dyDescent="0.35">
      <c r="S5600" s="13"/>
      <c r="T5600" s="16"/>
      <c r="U5600" s="16"/>
      <c r="V5600" s="16"/>
      <c r="W5600" s="13"/>
      <c r="X5600" s="34">
        <v>5596</v>
      </c>
      <c r="Y5600" s="34" t="s">
        <v>2248</v>
      </c>
      <c r="Z5600" s="34" t="s">
        <v>3659</v>
      </c>
      <c r="AA5600" s="35">
        <v>4.0786290322580646E-3</v>
      </c>
      <c r="AB5600" s="13"/>
      <c r="AC5600" s="13"/>
      <c r="AD5600" s="13"/>
      <c r="AE5600" s="13"/>
      <c r="AF5600" s="13"/>
    </row>
    <row r="5601" spans="19:32" x14ac:dyDescent="0.35">
      <c r="S5601" s="13"/>
      <c r="T5601" s="16"/>
      <c r="U5601" s="16"/>
      <c r="V5601" s="16"/>
      <c r="W5601" s="13"/>
      <c r="X5601" s="34">
        <v>5597</v>
      </c>
      <c r="Y5601" s="34" t="s">
        <v>2248</v>
      </c>
      <c r="Z5601" s="34" t="s">
        <v>3658</v>
      </c>
      <c r="AA5601" s="35">
        <v>2.3306451612903227E-2</v>
      </c>
      <c r="AB5601" s="13"/>
      <c r="AC5601" s="13"/>
      <c r="AD5601" s="13"/>
      <c r="AE5601" s="13"/>
      <c r="AF5601" s="13"/>
    </row>
    <row r="5602" spans="19:32" x14ac:dyDescent="0.35">
      <c r="S5602" s="13"/>
      <c r="T5602" s="16"/>
      <c r="U5602" s="16"/>
      <c r="V5602" s="16"/>
      <c r="W5602" s="13"/>
      <c r="X5602" s="34">
        <v>5598</v>
      </c>
      <c r="Y5602" s="34" t="s">
        <v>2248</v>
      </c>
      <c r="Z5602" s="34" t="s">
        <v>3657</v>
      </c>
      <c r="AA5602" s="35">
        <v>1.6284E-2</v>
      </c>
      <c r="AB5602" s="13"/>
      <c r="AC5602" s="13"/>
      <c r="AD5602" s="13"/>
      <c r="AE5602" s="13"/>
      <c r="AF5602" s="13"/>
    </row>
    <row r="5603" spans="19:32" x14ac:dyDescent="0.35">
      <c r="S5603" s="13"/>
      <c r="T5603" s="16"/>
      <c r="U5603" s="16"/>
      <c r="V5603" s="16"/>
      <c r="W5603" s="13"/>
      <c r="X5603" s="34">
        <v>5599</v>
      </c>
      <c r="Y5603" s="34" t="s">
        <v>2248</v>
      </c>
      <c r="Z5603" s="34" t="s">
        <v>3656</v>
      </c>
      <c r="AA5603" s="35">
        <v>4.3528225806451614E-3</v>
      </c>
      <c r="AB5603" s="13"/>
      <c r="AC5603" s="13"/>
      <c r="AD5603" s="13"/>
      <c r="AE5603" s="13"/>
      <c r="AF5603" s="13"/>
    </row>
    <row r="5604" spans="19:32" x14ac:dyDescent="0.35">
      <c r="S5604" s="13"/>
      <c r="T5604" s="16"/>
      <c r="U5604" s="16"/>
      <c r="V5604" s="16"/>
      <c r="W5604" s="13"/>
      <c r="X5604" s="34">
        <v>5600</v>
      </c>
      <c r="Y5604" s="34" t="s">
        <v>2248</v>
      </c>
      <c r="Z5604" s="34" t="s">
        <v>3655</v>
      </c>
      <c r="AA5604" s="35">
        <v>0</v>
      </c>
      <c r="AB5604" s="13"/>
      <c r="AC5604" s="13"/>
      <c r="AD5604" s="13"/>
      <c r="AE5604" s="13"/>
      <c r="AF5604" s="13"/>
    </row>
    <row r="5605" spans="19:32" x14ac:dyDescent="0.35">
      <c r="S5605" s="13"/>
      <c r="T5605" s="16"/>
      <c r="U5605" s="16"/>
      <c r="V5605" s="16"/>
      <c r="W5605" s="13"/>
      <c r="X5605" s="34">
        <v>5601</v>
      </c>
      <c r="Y5605" s="34" t="s">
        <v>2248</v>
      </c>
      <c r="Z5605" s="34" t="s">
        <v>3654</v>
      </c>
      <c r="AA5605" s="35">
        <v>9.8366935483870967E-6</v>
      </c>
      <c r="AB5605" s="13"/>
      <c r="AC5605" s="13"/>
      <c r="AD5605" s="13"/>
      <c r="AE5605" s="13"/>
      <c r="AF5605" s="13"/>
    </row>
    <row r="5606" spans="19:32" x14ac:dyDescent="0.35">
      <c r="S5606" s="13"/>
      <c r="T5606" s="16"/>
      <c r="U5606" s="16"/>
      <c r="V5606" s="16"/>
      <c r="W5606" s="13"/>
      <c r="X5606" s="34">
        <v>5602</v>
      </c>
      <c r="Y5606" s="34" t="s">
        <v>2248</v>
      </c>
      <c r="Z5606" s="34" t="s">
        <v>3653</v>
      </c>
      <c r="AA5606" s="35">
        <v>1.1207661290322581E-2</v>
      </c>
      <c r="AB5606" s="13"/>
      <c r="AC5606" s="13"/>
      <c r="AD5606" s="13"/>
      <c r="AE5606" s="13"/>
      <c r="AF5606" s="13"/>
    </row>
    <row r="5607" spans="19:32" x14ac:dyDescent="0.35">
      <c r="S5607" s="13"/>
      <c r="T5607" s="16"/>
      <c r="U5607" s="16"/>
      <c r="V5607" s="16"/>
      <c r="W5607" s="13"/>
      <c r="X5607" s="34">
        <v>5603</v>
      </c>
      <c r="Y5607" s="34" t="s">
        <v>2248</v>
      </c>
      <c r="Z5607" s="34" t="s">
        <v>3652</v>
      </c>
      <c r="AA5607" s="35">
        <v>3.3622983870967745E-6</v>
      </c>
      <c r="AB5607" s="13"/>
      <c r="AC5607" s="13"/>
      <c r="AD5607" s="13"/>
      <c r="AE5607" s="13"/>
      <c r="AF5607" s="13"/>
    </row>
    <row r="5608" spans="19:32" x14ac:dyDescent="0.35">
      <c r="S5608" s="13"/>
      <c r="T5608" s="16"/>
      <c r="U5608" s="16"/>
      <c r="V5608" s="16"/>
      <c r="W5608" s="13"/>
      <c r="X5608" s="34">
        <v>5604</v>
      </c>
      <c r="Y5608" s="34" t="s">
        <v>2248</v>
      </c>
      <c r="Z5608" s="34" t="s">
        <v>3651</v>
      </c>
      <c r="AA5608" s="35">
        <v>8.8319999999999996E-2</v>
      </c>
      <c r="AB5608" s="13"/>
      <c r="AC5608" s="13"/>
      <c r="AD5608" s="13"/>
      <c r="AE5608" s="13"/>
      <c r="AF5608" s="13"/>
    </row>
    <row r="5609" spans="19:32" x14ac:dyDescent="0.35">
      <c r="S5609" s="13"/>
      <c r="T5609" s="16"/>
      <c r="U5609" s="16"/>
      <c r="V5609" s="16"/>
      <c r="W5609" s="13"/>
      <c r="X5609" s="47">
        <v>5605</v>
      </c>
      <c r="Y5609" s="47" t="s">
        <v>2248</v>
      </c>
      <c r="Z5609" s="47" t="s">
        <v>2283</v>
      </c>
      <c r="AA5609" s="56">
        <v>0</v>
      </c>
      <c r="AB5609" s="13"/>
      <c r="AC5609" s="13"/>
      <c r="AD5609" s="13"/>
      <c r="AE5609" s="13"/>
      <c r="AF5609" s="13"/>
    </row>
    <row r="5610" spans="19:32" x14ac:dyDescent="0.35">
      <c r="S5610" s="13"/>
      <c r="T5610" s="16"/>
      <c r="U5610" s="16"/>
      <c r="V5610" s="16"/>
      <c r="W5610" s="13"/>
      <c r="X5610" s="34">
        <v>5606</v>
      </c>
      <c r="Y5610" s="34" t="s">
        <v>2248</v>
      </c>
      <c r="Z5610" s="34" t="s">
        <v>3650</v>
      </c>
      <c r="AA5610" s="35">
        <v>1.9570564516129034E-4</v>
      </c>
      <c r="AB5610" s="13"/>
      <c r="AC5610" s="13"/>
      <c r="AD5610" s="13"/>
      <c r="AE5610" s="13"/>
      <c r="AF5610" s="13"/>
    </row>
    <row r="5611" spans="19:32" x14ac:dyDescent="0.35">
      <c r="S5611" s="13"/>
      <c r="T5611" s="16"/>
      <c r="U5611" s="16"/>
      <c r="V5611" s="16"/>
      <c r="W5611" s="13"/>
      <c r="X5611" s="34">
        <v>5607</v>
      </c>
      <c r="Y5611" s="34" t="s">
        <v>2248</v>
      </c>
      <c r="Z5611" s="34" t="s">
        <v>3649</v>
      </c>
      <c r="AA5611" s="35">
        <v>0</v>
      </c>
      <c r="AB5611" s="13"/>
      <c r="AC5611" s="13"/>
      <c r="AD5611" s="13"/>
      <c r="AE5611" s="13"/>
      <c r="AF5611" s="13"/>
    </row>
    <row r="5612" spans="19:32" x14ac:dyDescent="0.35">
      <c r="S5612" s="13"/>
      <c r="T5612" s="16"/>
      <c r="U5612" s="16"/>
      <c r="V5612" s="16"/>
      <c r="W5612" s="13"/>
      <c r="X5612" s="34">
        <v>5608</v>
      </c>
      <c r="Y5612" s="34" t="s">
        <v>2248</v>
      </c>
      <c r="Z5612" s="34" t="s">
        <v>2282</v>
      </c>
      <c r="AA5612" s="35">
        <v>4.524193548387097E-4</v>
      </c>
      <c r="AB5612" s="13"/>
      <c r="AC5612" s="13"/>
      <c r="AD5612" s="13"/>
      <c r="AE5612" s="13"/>
      <c r="AF5612" s="13"/>
    </row>
    <row r="5613" spans="19:32" x14ac:dyDescent="0.35">
      <c r="S5613" s="13"/>
      <c r="T5613" s="16"/>
      <c r="U5613" s="16"/>
      <c r="V5613" s="16"/>
      <c r="W5613" s="13"/>
      <c r="X5613" s="47">
        <v>5609</v>
      </c>
      <c r="Y5613" s="47" t="s">
        <v>2248</v>
      </c>
      <c r="Z5613" s="47" t="s">
        <v>2282</v>
      </c>
      <c r="AA5613" s="56">
        <v>0</v>
      </c>
      <c r="AB5613" s="13"/>
      <c r="AC5613" s="13"/>
      <c r="AD5613" s="13"/>
      <c r="AE5613" s="13"/>
      <c r="AF5613" s="13"/>
    </row>
    <row r="5614" spans="19:32" x14ac:dyDescent="0.35">
      <c r="S5614" s="13"/>
      <c r="T5614" s="16"/>
      <c r="U5614" s="16"/>
      <c r="V5614" s="16"/>
      <c r="W5614" s="13"/>
      <c r="X5614" s="34">
        <v>5610</v>
      </c>
      <c r="Y5614" s="34" t="s">
        <v>2248</v>
      </c>
      <c r="Z5614" s="34" t="s">
        <v>3648</v>
      </c>
      <c r="AA5614" s="35">
        <v>7.0104E-2</v>
      </c>
      <c r="AB5614" s="13"/>
      <c r="AC5614" s="13"/>
      <c r="AD5614" s="13"/>
      <c r="AE5614" s="13"/>
      <c r="AF5614" s="13"/>
    </row>
    <row r="5615" spans="19:32" x14ac:dyDescent="0.35">
      <c r="S5615" s="13"/>
      <c r="T5615" s="16"/>
      <c r="U5615" s="16"/>
      <c r="V5615" s="16"/>
      <c r="W5615" s="13"/>
      <c r="X5615" s="34">
        <v>5611</v>
      </c>
      <c r="Y5615" s="34" t="s">
        <v>2248</v>
      </c>
      <c r="Z5615" s="34" t="s">
        <v>3647</v>
      </c>
      <c r="AA5615" s="35">
        <v>1.7719758064516132E-5</v>
      </c>
      <c r="AB5615" s="13"/>
      <c r="AC5615" s="13"/>
      <c r="AD5615" s="13"/>
      <c r="AE5615" s="13"/>
      <c r="AF5615" s="13"/>
    </row>
    <row r="5616" spans="19:32" x14ac:dyDescent="0.35">
      <c r="S5616" s="13"/>
      <c r="T5616" s="16"/>
      <c r="U5616" s="16"/>
      <c r="V5616" s="16"/>
      <c r="W5616" s="13"/>
      <c r="X5616" s="34">
        <v>5612</v>
      </c>
      <c r="Y5616" s="34" t="s">
        <v>2248</v>
      </c>
      <c r="Z5616" s="34" t="s">
        <v>3646</v>
      </c>
      <c r="AA5616" s="35">
        <v>5.175403225806452E-2</v>
      </c>
      <c r="AB5616" s="13"/>
      <c r="AC5616" s="13"/>
      <c r="AD5616" s="13"/>
      <c r="AE5616" s="13"/>
      <c r="AF5616" s="13"/>
    </row>
    <row r="5617" spans="19:32" x14ac:dyDescent="0.35">
      <c r="S5617" s="13"/>
      <c r="T5617" s="16"/>
      <c r="U5617" s="16"/>
      <c r="V5617" s="16"/>
      <c r="W5617" s="13"/>
      <c r="X5617" s="34">
        <v>5613</v>
      </c>
      <c r="Y5617" s="34" t="s">
        <v>2248</v>
      </c>
      <c r="Z5617" s="34" t="s">
        <v>3645</v>
      </c>
      <c r="AA5617" s="35">
        <v>1.8952000000000002</v>
      </c>
      <c r="AB5617" s="13"/>
      <c r="AC5617" s="13"/>
      <c r="AD5617" s="13"/>
      <c r="AE5617" s="13"/>
      <c r="AF5617" s="13"/>
    </row>
    <row r="5618" spans="19:32" x14ac:dyDescent="0.35">
      <c r="S5618" s="13"/>
      <c r="T5618" s="16"/>
      <c r="U5618" s="16"/>
      <c r="V5618" s="16"/>
      <c r="W5618" s="13"/>
      <c r="X5618" s="34">
        <v>5614</v>
      </c>
      <c r="Y5618" s="34" t="s">
        <v>2248</v>
      </c>
      <c r="Z5618" s="34" t="s">
        <v>3644</v>
      </c>
      <c r="AA5618" s="35">
        <v>1.1173387096774193E-4</v>
      </c>
      <c r="AB5618" s="13"/>
      <c r="AC5618" s="13"/>
      <c r="AD5618" s="13"/>
      <c r="AE5618" s="13"/>
      <c r="AF5618" s="13"/>
    </row>
    <row r="5619" spans="19:32" x14ac:dyDescent="0.35">
      <c r="S5619" s="13"/>
      <c r="T5619" s="16"/>
      <c r="U5619" s="16"/>
      <c r="V5619" s="16"/>
      <c r="W5619" s="13"/>
      <c r="X5619" s="34">
        <v>5615</v>
      </c>
      <c r="Y5619" s="34" t="s">
        <v>2248</v>
      </c>
      <c r="Z5619" s="34" t="s">
        <v>3643</v>
      </c>
      <c r="AA5619" s="35">
        <v>0</v>
      </c>
      <c r="AB5619" s="13"/>
      <c r="AC5619" s="13"/>
      <c r="AD5619" s="13"/>
      <c r="AE5619" s="13"/>
      <c r="AF5619" s="13"/>
    </row>
    <row r="5620" spans="19:32" x14ac:dyDescent="0.35">
      <c r="S5620" s="13"/>
      <c r="T5620" s="16"/>
      <c r="U5620" s="16"/>
      <c r="V5620" s="16"/>
      <c r="W5620" s="13"/>
      <c r="X5620" s="34">
        <v>5616</v>
      </c>
      <c r="Y5620" s="34" t="s">
        <v>2248</v>
      </c>
      <c r="Z5620" s="34" t="s">
        <v>3642</v>
      </c>
      <c r="AA5620" s="35">
        <v>1.3743951612903225E-6</v>
      </c>
      <c r="AB5620" s="13"/>
      <c r="AC5620" s="13"/>
      <c r="AD5620" s="13"/>
      <c r="AE5620" s="13"/>
      <c r="AF5620" s="13"/>
    </row>
    <row r="5621" spans="19:32" x14ac:dyDescent="0.35">
      <c r="S5621" s="13"/>
      <c r="T5621" s="16"/>
      <c r="U5621" s="16"/>
      <c r="V5621" s="16"/>
      <c r="W5621" s="13"/>
      <c r="X5621" s="34">
        <v>5617</v>
      </c>
      <c r="Y5621" s="34" t="s">
        <v>2248</v>
      </c>
      <c r="Z5621" s="34" t="s">
        <v>3641</v>
      </c>
      <c r="AA5621" s="35">
        <v>1.7788306451612904E-3</v>
      </c>
      <c r="AB5621" s="13"/>
      <c r="AC5621" s="13"/>
      <c r="AD5621" s="13"/>
      <c r="AE5621" s="13"/>
      <c r="AF5621" s="13"/>
    </row>
    <row r="5622" spans="19:32" x14ac:dyDescent="0.35">
      <c r="S5622" s="13"/>
      <c r="T5622" s="16"/>
      <c r="U5622" s="16"/>
      <c r="V5622" s="16"/>
      <c r="W5622" s="13"/>
      <c r="X5622" s="34">
        <v>5618</v>
      </c>
      <c r="Y5622" s="34" t="s">
        <v>2248</v>
      </c>
      <c r="Z5622" s="34" t="s">
        <v>3640</v>
      </c>
      <c r="AA5622" s="35">
        <v>0</v>
      </c>
      <c r="AB5622" s="13"/>
      <c r="AC5622" s="13"/>
      <c r="AD5622" s="13"/>
      <c r="AE5622" s="13"/>
      <c r="AF5622" s="13"/>
    </row>
    <row r="5623" spans="19:32" x14ac:dyDescent="0.35">
      <c r="S5623" s="13"/>
      <c r="T5623" s="16"/>
      <c r="U5623" s="16"/>
      <c r="V5623" s="16"/>
      <c r="W5623" s="13"/>
      <c r="X5623" s="34">
        <v>5619</v>
      </c>
      <c r="Y5623" s="34" t="s">
        <v>2248</v>
      </c>
      <c r="Z5623" s="34" t="s">
        <v>3639</v>
      </c>
      <c r="AA5623" s="35">
        <v>1.5320564516129034E-2</v>
      </c>
      <c r="AB5623" s="13"/>
      <c r="AC5623" s="13"/>
      <c r="AD5623" s="13"/>
      <c r="AE5623" s="13"/>
      <c r="AF5623" s="13"/>
    </row>
    <row r="5624" spans="19:32" x14ac:dyDescent="0.35">
      <c r="S5624" s="13"/>
      <c r="T5624" s="16"/>
      <c r="U5624" s="16"/>
      <c r="V5624" s="16"/>
      <c r="W5624" s="13"/>
      <c r="X5624" s="47">
        <v>5620</v>
      </c>
      <c r="Y5624" s="47" t="s">
        <v>2248</v>
      </c>
      <c r="Z5624" s="47" t="s">
        <v>2280</v>
      </c>
      <c r="AA5624" s="56">
        <v>0.34683999999999998</v>
      </c>
      <c r="AB5624" s="13"/>
      <c r="AC5624" s="13"/>
      <c r="AD5624" s="13"/>
      <c r="AE5624" s="13"/>
      <c r="AF5624" s="13"/>
    </row>
    <row r="5625" spans="19:32" x14ac:dyDescent="0.35">
      <c r="S5625" s="13"/>
      <c r="T5625" s="16"/>
      <c r="U5625" s="16"/>
      <c r="V5625" s="16"/>
      <c r="W5625" s="13"/>
      <c r="X5625" s="34">
        <v>5621</v>
      </c>
      <c r="Y5625" s="34" t="s">
        <v>2248</v>
      </c>
      <c r="Z5625" s="34" t="s">
        <v>3638</v>
      </c>
      <c r="AA5625" s="35">
        <v>11.132</v>
      </c>
      <c r="AB5625" s="13"/>
      <c r="AC5625" s="13"/>
      <c r="AD5625" s="13"/>
      <c r="AE5625" s="13"/>
      <c r="AF5625" s="13"/>
    </row>
    <row r="5626" spans="19:32" x14ac:dyDescent="0.35">
      <c r="S5626" s="13"/>
      <c r="T5626" s="16"/>
      <c r="U5626" s="16"/>
      <c r="V5626" s="16"/>
      <c r="W5626" s="13"/>
      <c r="X5626" s="34">
        <v>5622</v>
      </c>
      <c r="Y5626" s="34" t="s">
        <v>2248</v>
      </c>
      <c r="Z5626" s="34" t="s">
        <v>3637</v>
      </c>
      <c r="AA5626" s="35">
        <v>8.3971774193548399E-2</v>
      </c>
      <c r="AB5626" s="13"/>
      <c r="AC5626" s="13"/>
      <c r="AD5626" s="13"/>
      <c r="AE5626" s="13"/>
      <c r="AF5626" s="13"/>
    </row>
    <row r="5627" spans="19:32" x14ac:dyDescent="0.35">
      <c r="S5627" s="13"/>
      <c r="T5627" s="16"/>
      <c r="U5627" s="16"/>
      <c r="V5627" s="16"/>
      <c r="W5627" s="13"/>
      <c r="X5627" s="47">
        <v>5623</v>
      </c>
      <c r="Y5627" s="47" t="s">
        <v>2248</v>
      </c>
      <c r="Z5627" s="47" t="s">
        <v>2279</v>
      </c>
      <c r="AA5627" s="56">
        <v>0.58051999999999992</v>
      </c>
      <c r="AB5627" s="13"/>
      <c r="AC5627" s="13"/>
      <c r="AD5627" s="13"/>
      <c r="AE5627" s="13"/>
      <c r="AF5627" s="13"/>
    </row>
    <row r="5628" spans="19:32" x14ac:dyDescent="0.35">
      <c r="S5628" s="13"/>
      <c r="T5628" s="16"/>
      <c r="U5628" s="16"/>
      <c r="V5628" s="16"/>
      <c r="W5628" s="13"/>
      <c r="X5628" s="34">
        <v>5624</v>
      </c>
      <c r="Y5628" s="34" t="s">
        <v>2248</v>
      </c>
      <c r="Z5628" s="34" t="s">
        <v>3636</v>
      </c>
      <c r="AA5628" s="35">
        <v>1.0119999999999999E-2</v>
      </c>
      <c r="AB5628" s="13"/>
      <c r="AC5628" s="13"/>
      <c r="AD5628" s="13"/>
      <c r="AE5628" s="13"/>
      <c r="AF5628" s="13"/>
    </row>
    <row r="5629" spans="19:32" x14ac:dyDescent="0.35">
      <c r="S5629" s="13"/>
      <c r="T5629" s="16"/>
      <c r="U5629" s="16"/>
      <c r="V5629" s="16"/>
      <c r="W5629" s="13"/>
      <c r="X5629" s="34">
        <v>5625</v>
      </c>
      <c r="Y5629" s="34" t="s">
        <v>2248</v>
      </c>
      <c r="Z5629" s="34" t="s">
        <v>3635</v>
      </c>
      <c r="AA5629" s="35">
        <v>2.0221774193548389E-4</v>
      </c>
      <c r="AB5629" s="13"/>
      <c r="AC5629" s="13"/>
      <c r="AD5629" s="13"/>
      <c r="AE5629" s="13"/>
      <c r="AF5629" s="13"/>
    </row>
    <row r="5630" spans="19:32" x14ac:dyDescent="0.35">
      <c r="S5630" s="13"/>
      <c r="T5630" s="16"/>
      <c r="U5630" s="16"/>
      <c r="V5630" s="16"/>
      <c r="W5630" s="13"/>
      <c r="X5630" s="34">
        <v>5626</v>
      </c>
      <c r="Y5630" s="34" t="s">
        <v>2248</v>
      </c>
      <c r="Z5630" s="34" t="s">
        <v>3634</v>
      </c>
      <c r="AA5630" s="35">
        <v>1.7582661290322581</v>
      </c>
      <c r="AB5630" s="13"/>
      <c r="AC5630" s="13"/>
      <c r="AD5630" s="13"/>
      <c r="AE5630" s="13"/>
      <c r="AF5630" s="13"/>
    </row>
    <row r="5631" spans="19:32" x14ac:dyDescent="0.35">
      <c r="S5631" s="13"/>
      <c r="T5631" s="16"/>
      <c r="U5631" s="16"/>
      <c r="V5631" s="16"/>
      <c r="W5631" s="13"/>
      <c r="X5631" s="34">
        <v>5627</v>
      </c>
      <c r="Y5631" s="34" t="s">
        <v>2248</v>
      </c>
      <c r="Z5631" s="34" t="s">
        <v>3633</v>
      </c>
      <c r="AA5631" s="35">
        <v>0.1288</v>
      </c>
      <c r="AB5631" s="13"/>
      <c r="AC5631" s="13"/>
      <c r="AD5631" s="13"/>
      <c r="AE5631" s="13"/>
      <c r="AF5631" s="13"/>
    </row>
    <row r="5632" spans="19:32" x14ac:dyDescent="0.35">
      <c r="S5632" s="13"/>
      <c r="T5632" s="16"/>
      <c r="U5632" s="16"/>
      <c r="V5632" s="16"/>
      <c r="W5632" s="13"/>
      <c r="X5632" s="34">
        <v>5628</v>
      </c>
      <c r="Y5632" s="34" t="s">
        <v>2248</v>
      </c>
      <c r="Z5632" s="34" t="s">
        <v>3632</v>
      </c>
      <c r="AA5632" s="35">
        <v>11.893145161290324</v>
      </c>
      <c r="AB5632" s="13"/>
      <c r="AC5632" s="13"/>
      <c r="AD5632" s="13"/>
      <c r="AE5632" s="13"/>
      <c r="AF5632" s="13"/>
    </row>
    <row r="5633" spans="19:32" x14ac:dyDescent="0.35">
      <c r="S5633" s="13"/>
      <c r="T5633" s="16"/>
      <c r="U5633" s="16"/>
      <c r="V5633" s="16"/>
      <c r="W5633" s="13"/>
      <c r="X5633" s="34">
        <v>5629</v>
      </c>
      <c r="Y5633" s="34" t="s">
        <v>2248</v>
      </c>
      <c r="Z5633" s="34" t="s">
        <v>3631</v>
      </c>
      <c r="AA5633" s="35">
        <v>1.7993951612903228E-3</v>
      </c>
      <c r="AB5633" s="13"/>
      <c r="AC5633" s="13"/>
      <c r="AD5633" s="13"/>
      <c r="AE5633" s="13"/>
      <c r="AF5633" s="13"/>
    </row>
    <row r="5634" spans="19:32" x14ac:dyDescent="0.35">
      <c r="S5634" s="13"/>
      <c r="T5634" s="16"/>
      <c r="U5634" s="16"/>
      <c r="V5634" s="16"/>
      <c r="W5634" s="13"/>
      <c r="X5634" s="34">
        <v>5630</v>
      </c>
      <c r="Y5634" s="34" t="s">
        <v>2248</v>
      </c>
      <c r="Z5634" s="34" t="s">
        <v>3630</v>
      </c>
      <c r="AA5634" s="35">
        <v>13.523999999999999</v>
      </c>
      <c r="AB5634" s="13"/>
      <c r="AC5634" s="13"/>
      <c r="AD5634" s="13"/>
      <c r="AE5634" s="13"/>
      <c r="AF5634" s="13"/>
    </row>
    <row r="5635" spans="19:32" x14ac:dyDescent="0.35">
      <c r="S5635" s="13"/>
      <c r="T5635" s="16"/>
      <c r="U5635" s="16"/>
      <c r="V5635" s="16"/>
      <c r="W5635" s="13"/>
      <c r="X5635" s="34">
        <v>5631</v>
      </c>
      <c r="Y5635" s="34" t="s">
        <v>2248</v>
      </c>
      <c r="Z5635" s="34" t="s">
        <v>3629</v>
      </c>
      <c r="AA5635" s="35">
        <v>2.1866935483870971E-5</v>
      </c>
      <c r="AB5635" s="13"/>
      <c r="AC5635" s="13"/>
      <c r="AD5635" s="13"/>
      <c r="AE5635" s="13"/>
      <c r="AF5635" s="13"/>
    </row>
    <row r="5636" spans="19:32" x14ac:dyDescent="0.35">
      <c r="S5636" s="13"/>
      <c r="T5636" s="16"/>
      <c r="U5636" s="16"/>
      <c r="V5636" s="16"/>
      <c r="W5636" s="13"/>
      <c r="X5636" s="34">
        <v>5632</v>
      </c>
      <c r="Y5636" s="34" t="s">
        <v>2248</v>
      </c>
      <c r="Z5636" s="34" t="s">
        <v>3628</v>
      </c>
      <c r="AA5636" s="35">
        <v>8.5000000000000006E-2</v>
      </c>
      <c r="AB5636" s="13"/>
      <c r="AC5636" s="13"/>
      <c r="AD5636" s="13"/>
      <c r="AE5636" s="13"/>
      <c r="AF5636" s="13"/>
    </row>
    <row r="5637" spans="19:32" x14ac:dyDescent="0.35">
      <c r="S5637" s="13"/>
      <c r="T5637" s="16"/>
      <c r="U5637" s="16"/>
      <c r="V5637" s="16"/>
      <c r="W5637" s="13"/>
      <c r="X5637" s="34">
        <v>5633</v>
      </c>
      <c r="Y5637" s="34" t="s">
        <v>2248</v>
      </c>
      <c r="Z5637" s="34" t="s">
        <v>3627</v>
      </c>
      <c r="AA5637" s="35">
        <v>61.64</v>
      </c>
      <c r="AB5637" s="13"/>
      <c r="AC5637" s="13"/>
      <c r="AD5637" s="13"/>
      <c r="AE5637" s="13"/>
      <c r="AF5637" s="13"/>
    </row>
    <row r="5638" spans="19:32" x14ac:dyDescent="0.35">
      <c r="S5638" s="13"/>
      <c r="T5638" s="16"/>
      <c r="U5638" s="16"/>
      <c r="V5638" s="16"/>
      <c r="W5638" s="13"/>
      <c r="X5638" s="47">
        <v>5634</v>
      </c>
      <c r="Y5638" s="47" t="s">
        <v>2248</v>
      </c>
      <c r="Z5638" s="47" t="s">
        <v>2277</v>
      </c>
      <c r="AA5638" s="56">
        <v>1.3708000000000001E-4</v>
      </c>
      <c r="AB5638" s="13"/>
      <c r="AC5638" s="13"/>
      <c r="AD5638" s="13"/>
      <c r="AE5638" s="13"/>
      <c r="AF5638" s="13"/>
    </row>
    <row r="5639" spans="19:32" x14ac:dyDescent="0.35">
      <c r="S5639" s="13"/>
      <c r="T5639" s="16"/>
      <c r="U5639" s="16"/>
      <c r="V5639" s="16"/>
      <c r="W5639" s="13"/>
      <c r="X5639" s="34">
        <v>5635</v>
      </c>
      <c r="Y5639" s="34" t="s">
        <v>2248</v>
      </c>
      <c r="Z5639" s="34" t="s">
        <v>3626</v>
      </c>
      <c r="AA5639" s="35">
        <v>676.19999999999993</v>
      </c>
      <c r="AB5639" s="13"/>
      <c r="AC5639" s="13"/>
      <c r="AD5639" s="13"/>
      <c r="AE5639" s="13"/>
      <c r="AF5639" s="13"/>
    </row>
    <row r="5640" spans="19:32" x14ac:dyDescent="0.35">
      <c r="S5640" s="13"/>
      <c r="T5640" s="16"/>
      <c r="U5640" s="16"/>
      <c r="V5640" s="16"/>
      <c r="W5640" s="13"/>
      <c r="X5640" s="34">
        <v>5636</v>
      </c>
      <c r="Y5640" s="34" t="s">
        <v>2248</v>
      </c>
      <c r="Z5640" s="34" t="s">
        <v>3625</v>
      </c>
      <c r="AA5640" s="35">
        <v>2.6185483870967744E-3</v>
      </c>
      <c r="AB5640" s="13"/>
      <c r="AC5640" s="13"/>
      <c r="AD5640" s="13"/>
      <c r="AE5640" s="13"/>
      <c r="AF5640" s="13"/>
    </row>
    <row r="5641" spans="19:32" x14ac:dyDescent="0.35">
      <c r="S5641" s="13"/>
      <c r="T5641" s="16"/>
      <c r="U5641" s="16"/>
      <c r="V5641" s="16"/>
      <c r="W5641" s="13"/>
      <c r="X5641" s="34">
        <v>5637</v>
      </c>
      <c r="Y5641" s="34" t="s">
        <v>2248</v>
      </c>
      <c r="Z5641" s="34" t="s">
        <v>3012</v>
      </c>
      <c r="AA5641" s="35">
        <v>2.573991935483871E-2</v>
      </c>
      <c r="AB5641" s="13"/>
      <c r="AC5641" s="13"/>
      <c r="AD5641" s="13"/>
      <c r="AE5641" s="13"/>
      <c r="AF5641" s="13"/>
    </row>
    <row r="5642" spans="19:32" x14ac:dyDescent="0.35">
      <c r="S5642" s="13"/>
      <c r="T5642" s="16"/>
      <c r="U5642" s="16"/>
      <c r="V5642" s="16"/>
      <c r="W5642" s="13"/>
      <c r="X5642" s="34">
        <v>5638</v>
      </c>
      <c r="Y5642" s="34" t="s">
        <v>2248</v>
      </c>
      <c r="Z5642" s="34" t="s">
        <v>3624</v>
      </c>
      <c r="AA5642" s="35">
        <v>2.2004032258064517E-3</v>
      </c>
      <c r="AB5642" s="13"/>
      <c r="AC5642" s="13"/>
      <c r="AD5642" s="13"/>
      <c r="AE5642" s="13"/>
      <c r="AF5642" s="13"/>
    </row>
    <row r="5643" spans="19:32" x14ac:dyDescent="0.35">
      <c r="S5643" s="13"/>
      <c r="T5643" s="16"/>
      <c r="U5643" s="16"/>
      <c r="V5643" s="16"/>
      <c r="W5643" s="13"/>
      <c r="X5643" s="34">
        <v>5639</v>
      </c>
      <c r="Y5643" s="34" t="s">
        <v>2248</v>
      </c>
      <c r="Z5643" s="34" t="s">
        <v>3623</v>
      </c>
      <c r="AA5643" s="35">
        <v>0</v>
      </c>
      <c r="AB5643" s="13"/>
      <c r="AC5643" s="13"/>
      <c r="AD5643" s="13"/>
      <c r="AE5643" s="13"/>
      <c r="AF5643" s="13"/>
    </row>
    <row r="5644" spans="19:32" x14ac:dyDescent="0.35">
      <c r="S5644" s="13"/>
      <c r="T5644" s="16"/>
      <c r="U5644" s="16"/>
      <c r="V5644" s="16"/>
      <c r="W5644" s="13"/>
      <c r="X5644" s="34">
        <v>5640</v>
      </c>
      <c r="Y5644" s="34" t="s">
        <v>2248</v>
      </c>
      <c r="Z5644" s="34" t="s">
        <v>3622</v>
      </c>
      <c r="AA5644" s="35">
        <v>0.42157258064516134</v>
      </c>
      <c r="AB5644" s="13"/>
      <c r="AC5644" s="13"/>
      <c r="AD5644" s="13"/>
      <c r="AE5644" s="13"/>
      <c r="AF5644" s="13"/>
    </row>
    <row r="5645" spans="19:32" x14ac:dyDescent="0.35">
      <c r="S5645" s="13"/>
      <c r="T5645" s="16"/>
      <c r="U5645" s="16"/>
      <c r="V5645" s="16"/>
      <c r="W5645" s="13"/>
      <c r="X5645" s="34">
        <v>5641</v>
      </c>
      <c r="Y5645" s="34" t="s">
        <v>2248</v>
      </c>
      <c r="Z5645" s="34" t="s">
        <v>3621</v>
      </c>
      <c r="AA5645" s="35">
        <v>7.0563999999999991</v>
      </c>
      <c r="AB5645" s="13"/>
      <c r="AC5645" s="13"/>
      <c r="AD5645" s="13"/>
      <c r="AE5645" s="13"/>
      <c r="AF5645" s="13"/>
    </row>
    <row r="5646" spans="19:32" x14ac:dyDescent="0.35">
      <c r="S5646" s="13"/>
      <c r="T5646" s="16"/>
      <c r="U5646" s="16"/>
      <c r="V5646" s="16"/>
      <c r="W5646" s="13"/>
      <c r="X5646" s="34">
        <v>5642</v>
      </c>
      <c r="Y5646" s="34" t="s">
        <v>2248</v>
      </c>
      <c r="Z5646" s="34" t="s">
        <v>3620</v>
      </c>
      <c r="AA5646" s="35">
        <v>1.1241935483870968E-5</v>
      </c>
      <c r="AB5646" s="13"/>
      <c r="AC5646" s="13"/>
      <c r="AD5646" s="13"/>
      <c r="AE5646" s="13"/>
      <c r="AF5646" s="13"/>
    </row>
    <row r="5647" spans="19:32" x14ac:dyDescent="0.35">
      <c r="S5647" s="13"/>
      <c r="T5647" s="16"/>
      <c r="U5647" s="16"/>
      <c r="V5647" s="16"/>
      <c r="W5647" s="13"/>
      <c r="X5647" s="34">
        <v>5643</v>
      </c>
      <c r="Y5647" s="34" t="s">
        <v>2248</v>
      </c>
      <c r="Z5647" s="34" t="s">
        <v>3619</v>
      </c>
      <c r="AA5647" s="35">
        <v>8.2258064516129034E-2</v>
      </c>
      <c r="AB5647" s="13"/>
      <c r="AC5647" s="13"/>
      <c r="AD5647" s="13"/>
      <c r="AE5647" s="13"/>
      <c r="AF5647" s="13"/>
    </row>
    <row r="5648" spans="19:32" x14ac:dyDescent="0.35">
      <c r="S5648" s="13"/>
      <c r="T5648" s="16"/>
      <c r="U5648" s="16"/>
      <c r="V5648" s="16"/>
      <c r="W5648" s="13"/>
      <c r="X5648" s="34">
        <v>5644</v>
      </c>
      <c r="Y5648" s="34" t="s">
        <v>2248</v>
      </c>
      <c r="Z5648" s="34" t="s">
        <v>3618</v>
      </c>
      <c r="AA5648" s="35">
        <v>2.2355999999999998</v>
      </c>
      <c r="AB5648" s="13"/>
      <c r="AC5648" s="13"/>
      <c r="AD5648" s="13"/>
      <c r="AE5648" s="13"/>
      <c r="AF5648" s="13"/>
    </row>
    <row r="5649" spans="19:32" x14ac:dyDescent="0.35">
      <c r="S5649" s="13"/>
      <c r="T5649" s="16"/>
      <c r="U5649" s="16"/>
      <c r="V5649" s="16"/>
      <c r="W5649" s="13"/>
      <c r="X5649" s="34">
        <v>5645</v>
      </c>
      <c r="Y5649" s="34" t="s">
        <v>2248</v>
      </c>
      <c r="Z5649" s="34" t="s">
        <v>3617</v>
      </c>
      <c r="AA5649" s="35">
        <v>3.8387096774193555E-6</v>
      </c>
      <c r="AB5649" s="13"/>
      <c r="AC5649" s="13"/>
      <c r="AD5649" s="13"/>
      <c r="AE5649" s="13"/>
      <c r="AF5649" s="13"/>
    </row>
    <row r="5650" spans="19:32" x14ac:dyDescent="0.35">
      <c r="S5650" s="13"/>
      <c r="T5650" s="16"/>
      <c r="U5650" s="16"/>
      <c r="V5650" s="16"/>
      <c r="W5650" s="13"/>
      <c r="X5650" s="34">
        <v>5646</v>
      </c>
      <c r="Y5650" s="34" t="s">
        <v>2248</v>
      </c>
      <c r="Z5650" s="34" t="s">
        <v>3616</v>
      </c>
      <c r="AA5650" s="35">
        <v>14.443999999999999</v>
      </c>
      <c r="AB5650" s="13"/>
      <c r="AC5650" s="13"/>
      <c r="AD5650" s="13"/>
      <c r="AE5650" s="13"/>
      <c r="AF5650" s="13"/>
    </row>
    <row r="5651" spans="19:32" x14ac:dyDescent="0.35">
      <c r="S5651" s="13"/>
      <c r="T5651" s="16"/>
      <c r="U5651" s="16"/>
      <c r="V5651" s="16"/>
      <c r="W5651" s="13"/>
      <c r="X5651" s="34">
        <v>5647</v>
      </c>
      <c r="Y5651" s="34" t="s">
        <v>2248</v>
      </c>
      <c r="Z5651" s="34" t="s">
        <v>2276</v>
      </c>
      <c r="AA5651" s="35">
        <v>5.5524193548387099E-2</v>
      </c>
      <c r="AB5651" s="13"/>
      <c r="AC5651" s="13"/>
      <c r="AD5651" s="13"/>
      <c r="AE5651" s="13"/>
      <c r="AF5651" s="13"/>
    </row>
    <row r="5652" spans="19:32" x14ac:dyDescent="0.35">
      <c r="S5652" s="13"/>
      <c r="T5652" s="16"/>
      <c r="U5652" s="16"/>
      <c r="V5652" s="16"/>
      <c r="W5652" s="13"/>
      <c r="X5652" s="34">
        <v>5648</v>
      </c>
      <c r="Y5652" s="34" t="s">
        <v>2248</v>
      </c>
      <c r="Z5652" s="34" t="s">
        <v>3010</v>
      </c>
      <c r="AA5652" s="35">
        <v>472.98387096774195</v>
      </c>
      <c r="AB5652" s="13"/>
      <c r="AC5652" s="13"/>
      <c r="AD5652" s="13"/>
      <c r="AE5652" s="13"/>
      <c r="AF5652" s="13"/>
    </row>
    <row r="5653" spans="19:32" x14ac:dyDescent="0.35">
      <c r="S5653" s="13"/>
      <c r="T5653" s="16"/>
      <c r="U5653" s="16"/>
      <c r="V5653" s="16"/>
      <c r="W5653" s="13"/>
      <c r="X5653" s="47">
        <v>5649</v>
      </c>
      <c r="Y5653" s="47" t="s">
        <v>2248</v>
      </c>
      <c r="Z5653" s="47" t="s">
        <v>2276</v>
      </c>
      <c r="AA5653" s="56">
        <v>0.34500000000000003</v>
      </c>
      <c r="AB5653" s="13"/>
      <c r="AC5653" s="13"/>
      <c r="AD5653" s="13"/>
      <c r="AE5653" s="13"/>
      <c r="AF5653" s="13"/>
    </row>
    <row r="5654" spans="19:32" x14ac:dyDescent="0.35">
      <c r="S5654" s="13"/>
      <c r="T5654" s="16"/>
      <c r="U5654" s="16"/>
      <c r="V5654" s="16"/>
      <c r="W5654" s="13"/>
      <c r="X5654" s="34">
        <v>5650</v>
      </c>
      <c r="Y5654" s="34" t="s">
        <v>2248</v>
      </c>
      <c r="Z5654" s="34" t="s">
        <v>3615</v>
      </c>
      <c r="AA5654" s="35">
        <v>7.6727999999999996</v>
      </c>
      <c r="AB5654" s="13"/>
      <c r="AC5654" s="13"/>
      <c r="AD5654" s="13"/>
      <c r="AE5654" s="13"/>
      <c r="AF5654" s="13"/>
    </row>
    <row r="5655" spans="19:32" x14ac:dyDescent="0.35">
      <c r="S5655" s="13"/>
      <c r="T5655" s="16"/>
      <c r="U5655" s="16"/>
      <c r="V5655" s="16"/>
      <c r="W5655" s="13"/>
      <c r="X5655" s="34">
        <v>5651</v>
      </c>
      <c r="Y5655" s="34" t="s">
        <v>2248</v>
      </c>
      <c r="Z5655" s="34" t="s">
        <v>2274</v>
      </c>
      <c r="AA5655" s="35">
        <v>3.9415322580645161E-3</v>
      </c>
      <c r="AB5655" s="13"/>
      <c r="AC5655" s="13"/>
      <c r="AD5655" s="13"/>
      <c r="AE5655" s="13"/>
      <c r="AF5655" s="13"/>
    </row>
    <row r="5656" spans="19:32" x14ac:dyDescent="0.35">
      <c r="S5656" s="13"/>
      <c r="T5656" s="16"/>
      <c r="U5656" s="16"/>
      <c r="V5656" s="16"/>
      <c r="W5656" s="13"/>
      <c r="X5656" s="34">
        <v>5652</v>
      </c>
      <c r="Y5656" s="34" t="s">
        <v>2248</v>
      </c>
      <c r="Z5656" s="34" t="s">
        <v>3614</v>
      </c>
      <c r="AA5656" s="35">
        <v>4.0443548387096779</v>
      </c>
      <c r="AB5656" s="13"/>
      <c r="AC5656" s="13"/>
      <c r="AD5656" s="13"/>
      <c r="AE5656" s="13"/>
      <c r="AF5656" s="13"/>
    </row>
    <row r="5657" spans="19:32" x14ac:dyDescent="0.35">
      <c r="S5657" s="13"/>
      <c r="T5657" s="16"/>
      <c r="U5657" s="16"/>
      <c r="V5657" s="16"/>
      <c r="W5657" s="13"/>
      <c r="X5657" s="47">
        <v>5653</v>
      </c>
      <c r="Y5657" s="47" t="s">
        <v>2248</v>
      </c>
      <c r="Z5657" s="47" t="s">
        <v>2274</v>
      </c>
      <c r="AA5657" s="56">
        <v>0.69184000000000001</v>
      </c>
      <c r="AB5657" s="13"/>
      <c r="AC5657" s="13"/>
      <c r="AD5657" s="13"/>
      <c r="AE5657" s="13"/>
      <c r="AF5657" s="13"/>
    </row>
    <row r="5658" spans="19:32" x14ac:dyDescent="0.35">
      <c r="S5658" s="13"/>
      <c r="T5658" s="16"/>
      <c r="U5658" s="16"/>
      <c r="V5658" s="16"/>
      <c r="W5658" s="13"/>
      <c r="X5658" s="34">
        <v>5654</v>
      </c>
      <c r="Y5658" s="34" t="s">
        <v>2248</v>
      </c>
      <c r="Z5658" s="34" t="s">
        <v>3613</v>
      </c>
      <c r="AA5658" s="35">
        <v>6.2468000000000004</v>
      </c>
      <c r="AB5658" s="13"/>
      <c r="AC5658" s="13"/>
      <c r="AD5658" s="13"/>
      <c r="AE5658" s="13"/>
      <c r="AF5658" s="13"/>
    </row>
    <row r="5659" spans="19:32" x14ac:dyDescent="0.35">
      <c r="S5659" s="13"/>
      <c r="T5659" s="16"/>
      <c r="U5659" s="16"/>
      <c r="V5659" s="16"/>
      <c r="W5659" s="13"/>
      <c r="X5659" s="34">
        <v>5655</v>
      </c>
      <c r="Y5659" s="34" t="s">
        <v>2248</v>
      </c>
      <c r="Z5659" s="34" t="s">
        <v>3612</v>
      </c>
      <c r="AA5659" s="35">
        <v>3.7719999999999998</v>
      </c>
      <c r="AB5659" s="13"/>
      <c r="AC5659" s="13"/>
      <c r="AD5659" s="13"/>
      <c r="AE5659" s="13"/>
      <c r="AF5659" s="13"/>
    </row>
    <row r="5660" spans="19:32" x14ac:dyDescent="0.35">
      <c r="S5660" s="13"/>
      <c r="T5660" s="16"/>
      <c r="U5660" s="16"/>
      <c r="V5660" s="16"/>
      <c r="W5660" s="13"/>
      <c r="X5660" s="34">
        <v>5656</v>
      </c>
      <c r="Y5660" s="34" t="s">
        <v>2248</v>
      </c>
      <c r="Z5660" s="34" t="s">
        <v>2273</v>
      </c>
      <c r="AA5660" s="35">
        <v>1.2818548387096776E-9</v>
      </c>
      <c r="AB5660" s="13"/>
      <c r="AC5660" s="13"/>
      <c r="AD5660" s="13"/>
      <c r="AE5660" s="13"/>
      <c r="AF5660" s="13"/>
    </row>
    <row r="5661" spans="19:32" x14ac:dyDescent="0.35">
      <c r="S5661" s="13"/>
      <c r="T5661" s="16"/>
      <c r="U5661" s="16"/>
      <c r="V5661" s="16"/>
      <c r="W5661" s="13"/>
      <c r="X5661" s="47">
        <v>5657</v>
      </c>
      <c r="Y5661" s="47" t="s">
        <v>2248</v>
      </c>
      <c r="Z5661" s="47" t="s">
        <v>2273</v>
      </c>
      <c r="AA5661" s="56">
        <v>3.5235999999999999E-8</v>
      </c>
      <c r="AB5661" s="13"/>
      <c r="AC5661" s="13"/>
      <c r="AD5661" s="13"/>
      <c r="AE5661" s="13"/>
      <c r="AF5661" s="13"/>
    </row>
    <row r="5662" spans="19:32" x14ac:dyDescent="0.35">
      <c r="S5662" s="13"/>
      <c r="T5662" s="16"/>
      <c r="U5662" s="16"/>
      <c r="V5662" s="16"/>
      <c r="W5662" s="13"/>
      <c r="X5662" s="34">
        <v>5658</v>
      </c>
      <c r="Y5662" s="34" t="s">
        <v>2248</v>
      </c>
      <c r="Z5662" s="34" t="s">
        <v>3009</v>
      </c>
      <c r="AA5662" s="35">
        <v>42.5</v>
      </c>
      <c r="AB5662" s="13"/>
      <c r="AC5662" s="13"/>
      <c r="AD5662" s="13"/>
      <c r="AE5662" s="13"/>
      <c r="AF5662" s="13"/>
    </row>
    <row r="5663" spans="19:32" x14ac:dyDescent="0.35">
      <c r="S5663" s="13"/>
      <c r="T5663" s="16"/>
      <c r="U5663" s="16"/>
      <c r="V5663" s="16"/>
      <c r="W5663" s="13"/>
      <c r="X5663" s="34">
        <v>5659</v>
      </c>
      <c r="Y5663" s="34" t="s">
        <v>2248</v>
      </c>
      <c r="Z5663" s="34" t="s">
        <v>3611</v>
      </c>
      <c r="AA5663" s="35">
        <v>1.2972000000000001</v>
      </c>
      <c r="AB5663" s="13"/>
      <c r="AC5663" s="13"/>
      <c r="AD5663" s="13"/>
      <c r="AE5663" s="13"/>
      <c r="AF5663" s="13"/>
    </row>
    <row r="5664" spans="19:32" x14ac:dyDescent="0.35">
      <c r="S5664" s="13"/>
      <c r="T5664" s="16"/>
      <c r="U5664" s="16"/>
      <c r="V5664" s="16"/>
      <c r="W5664" s="13"/>
      <c r="X5664" s="34">
        <v>5660</v>
      </c>
      <c r="Y5664" s="34" t="s">
        <v>2248</v>
      </c>
      <c r="Z5664" s="34" t="s">
        <v>3610</v>
      </c>
      <c r="AA5664" s="35">
        <v>2.6391129032258067E-4</v>
      </c>
      <c r="AB5664" s="13"/>
      <c r="AC5664" s="13"/>
      <c r="AD5664" s="13"/>
      <c r="AE5664" s="13"/>
      <c r="AF5664" s="13"/>
    </row>
    <row r="5665" spans="19:32" x14ac:dyDescent="0.35">
      <c r="S5665" s="13"/>
      <c r="T5665" s="16"/>
      <c r="U5665" s="16"/>
      <c r="V5665" s="16"/>
      <c r="W5665" s="13"/>
      <c r="X5665" s="34">
        <v>5661</v>
      </c>
      <c r="Y5665" s="34" t="s">
        <v>2248</v>
      </c>
      <c r="Z5665" s="34" t="s">
        <v>3609</v>
      </c>
      <c r="AA5665" s="35">
        <v>7.2496000000000009</v>
      </c>
      <c r="AB5665" s="13"/>
      <c r="AC5665" s="13"/>
      <c r="AD5665" s="13"/>
      <c r="AE5665" s="13"/>
      <c r="AF5665" s="13"/>
    </row>
    <row r="5666" spans="19:32" x14ac:dyDescent="0.35">
      <c r="S5666" s="13"/>
      <c r="T5666" s="16"/>
      <c r="U5666" s="16"/>
      <c r="V5666" s="16"/>
      <c r="W5666" s="13"/>
      <c r="X5666" s="47">
        <v>5662</v>
      </c>
      <c r="Y5666" s="47" t="s">
        <v>2248</v>
      </c>
      <c r="Z5666" s="47" t="s">
        <v>2271</v>
      </c>
      <c r="AA5666" s="56">
        <v>1.8584E-2</v>
      </c>
      <c r="AB5666" s="13"/>
      <c r="AC5666" s="13"/>
      <c r="AD5666" s="13"/>
      <c r="AE5666" s="13"/>
      <c r="AF5666" s="13"/>
    </row>
    <row r="5667" spans="19:32" x14ac:dyDescent="0.35">
      <c r="S5667" s="13"/>
      <c r="T5667" s="16"/>
      <c r="U5667" s="16"/>
      <c r="V5667" s="16"/>
      <c r="W5667" s="13"/>
      <c r="X5667" s="34">
        <v>5663</v>
      </c>
      <c r="Y5667" s="34" t="s">
        <v>2248</v>
      </c>
      <c r="Z5667" s="34" t="s">
        <v>3608</v>
      </c>
      <c r="AA5667" s="35">
        <v>2.3546370967741936E-2</v>
      </c>
      <c r="AB5667" s="13"/>
      <c r="AC5667" s="13"/>
      <c r="AD5667" s="13"/>
      <c r="AE5667" s="13"/>
      <c r="AF5667" s="13"/>
    </row>
    <row r="5668" spans="19:32" x14ac:dyDescent="0.35">
      <c r="S5668" s="13"/>
      <c r="T5668" s="16"/>
      <c r="U5668" s="16"/>
      <c r="V5668" s="16"/>
      <c r="W5668" s="13"/>
      <c r="X5668" s="47">
        <v>5664</v>
      </c>
      <c r="Y5668" s="47" t="s">
        <v>2248</v>
      </c>
      <c r="Z5668" s="47" t="s">
        <v>2269</v>
      </c>
      <c r="AA5668" s="56">
        <v>0</v>
      </c>
      <c r="AB5668" s="13"/>
      <c r="AC5668" s="13"/>
      <c r="AD5668" s="13"/>
      <c r="AE5668" s="13"/>
      <c r="AF5668" s="13"/>
    </row>
    <row r="5669" spans="19:32" x14ac:dyDescent="0.35">
      <c r="S5669" s="13"/>
      <c r="T5669" s="16"/>
      <c r="U5669" s="16"/>
      <c r="V5669" s="16"/>
      <c r="W5669" s="13"/>
      <c r="X5669" s="34">
        <v>5665</v>
      </c>
      <c r="Y5669" s="34" t="s">
        <v>2248</v>
      </c>
      <c r="Z5669" s="34" t="s">
        <v>3607</v>
      </c>
      <c r="AA5669" s="35">
        <v>29.348000000000003</v>
      </c>
      <c r="AB5669" s="13"/>
      <c r="AC5669" s="13"/>
      <c r="AD5669" s="13"/>
      <c r="AE5669" s="13"/>
      <c r="AF5669" s="13"/>
    </row>
    <row r="5670" spans="19:32" x14ac:dyDescent="0.35">
      <c r="S5670" s="13"/>
      <c r="T5670" s="16"/>
      <c r="U5670" s="16"/>
      <c r="V5670" s="16"/>
      <c r="W5670" s="13"/>
      <c r="X5670" s="34">
        <v>5666</v>
      </c>
      <c r="Y5670" s="34" t="s">
        <v>2248</v>
      </c>
      <c r="Z5670" s="34" t="s">
        <v>3606</v>
      </c>
      <c r="AA5670" s="35">
        <v>1.2972000000000001</v>
      </c>
      <c r="AB5670" s="13"/>
      <c r="AC5670" s="13"/>
      <c r="AD5670" s="13"/>
      <c r="AE5670" s="13"/>
      <c r="AF5670" s="13"/>
    </row>
    <row r="5671" spans="19:32" x14ac:dyDescent="0.35">
      <c r="S5671" s="13"/>
      <c r="T5671" s="16"/>
      <c r="U5671" s="16"/>
      <c r="V5671" s="16"/>
      <c r="W5671" s="13"/>
      <c r="X5671" s="34">
        <v>5667</v>
      </c>
      <c r="Y5671" s="34" t="s">
        <v>2248</v>
      </c>
      <c r="Z5671" s="34" t="s">
        <v>3605</v>
      </c>
      <c r="AA5671" s="35">
        <v>2.0735887096774195E-4</v>
      </c>
      <c r="AB5671" s="13"/>
      <c r="AC5671" s="13"/>
      <c r="AD5671" s="13"/>
      <c r="AE5671" s="13"/>
      <c r="AF5671" s="13"/>
    </row>
    <row r="5672" spans="19:32" x14ac:dyDescent="0.35">
      <c r="S5672" s="13"/>
      <c r="T5672" s="16"/>
      <c r="U5672" s="16"/>
      <c r="V5672" s="16"/>
      <c r="W5672" s="13"/>
      <c r="X5672" s="34">
        <v>5668</v>
      </c>
      <c r="Y5672" s="34" t="s">
        <v>2248</v>
      </c>
      <c r="Z5672" s="34" t="s">
        <v>3007</v>
      </c>
      <c r="AA5672" s="35">
        <v>2.1832661290322584</v>
      </c>
      <c r="AB5672" s="13"/>
      <c r="AC5672" s="13"/>
      <c r="AD5672" s="13"/>
      <c r="AE5672" s="13"/>
      <c r="AF5672" s="13"/>
    </row>
    <row r="5673" spans="19:32" x14ac:dyDescent="0.35">
      <c r="S5673" s="13"/>
      <c r="T5673" s="16"/>
      <c r="U5673" s="16"/>
      <c r="V5673" s="16"/>
      <c r="W5673" s="13"/>
      <c r="X5673" s="34">
        <v>5669</v>
      </c>
      <c r="Y5673" s="34" t="s">
        <v>2248</v>
      </c>
      <c r="Z5673" s="34" t="s">
        <v>3604</v>
      </c>
      <c r="AA5673" s="35">
        <v>1.2304435483870969E-5</v>
      </c>
      <c r="AB5673" s="13"/>
      <c r="AC5673" s="13"/>
      <c r="AD5673" s="13"/>
      <c r="AE5673" s="13"/>
      <c r="AF5673" s="13"/>
    </row>
    <row r="5674" spans="19:32" x14ac:dyDescent="0.35">
      <c r="S5674" s="13"/>
      <c r="T5674" s="16"/>
      <c r="U5674" s="16"/>
      <c r="V5674" s="16"/>
      <c r="W5674" s="13"/>
      <c r="X5674" s="34">
        <v>5670</v>
      </c>
      <c r="Y5674" s="34" t="s">
        <v>2248</v>
      </c>
      <c r="Z5674" s="34" t="s">
        <v>3603</v>
      </c>
      <c r="AA5674" s="35">
        <v>8.9700000000000002E-2</v>
      </c>
      <c r="AB5674" s="13"/>
      <c r="AC5674" s="13"/>
      <c r="AD5674" s="13"/>
      <c r="AE5674" s="13"/>
      <c r="AF5674" s="13"/>
    </row>
    <row r="5675" spans="19:32" x14ac:dyDescent="0.35">
      <c r="S5675" s="13"/>
      <c r="T5675" s="16"/>
      <c r="U5675" s="16"/>
      <c r="V5675" s="16"/>
      <c r="W5675" s="13"/>
      <c r="X5675" s="34">
        <v>5671</v>
      </c>
      <c r="Y5675" s="34" t="s">
        <v>2248</v>
      </c>
      <c r="Z5675" s="34" t="s">
        <v>3602</v>
      </c>
      <c r="AA5675" s="35">
        <v>3.8729838709677424E-4</v>
      </c>
      <c r="AB5675" s="13"/>
      <c r="AC5675" s="13"/>
      <c r="AD5675" s="13"/>
      <c r="AE5675" s="13"/>
      <c r="AF5675" s="13"/>
    </row>
    <row r="5676" spans="19:32" x14ac:dyDescent="0.35">
      <c r="S5676" s="13"/>
      <c r="T5676" s="16"/>
      <c r="U5676" s="16"/>
      <c r="V5676" s="16"/>
      <c r="W5676" s="13"/>
      <c r="X5676" s="34">
        <v>5672</v>
      </c>
      <c r="Y5676" s="34" t="s">
        <v>2248</v>
      </c>
      <c r="Z5676" s="34" t="s">
        <v>3601</v>
      </c>
      <c r="AA5676" s="35">
        <v>44.988</v>
      </c>
      <c r="AB5676" s="13"/>
      <c r="AC5676" s="13"/>
      <c r="AD5676" s="13"/>
      <c r="AE5676" s="13"/>
      <c r="AF5676" s="13"/>
    </row>
    <row r="5677" spans="19:32" x14ac:dyDescent="0.35">
      <c r="S5677" s="13"/>
      <c r="T5677" s="16"/>
      <c r="U5677" s="16"/>
      <c r="V5677" s="16"/>
      <c r="W5677" s="13"/>
      <c r="X5677" s="34">
        <v>5673</v>
      </c>
      <c r="Y5677" s="34" t="s">
        <v>2248</v>
      </c>
      <c r="Z5677" s="34" t="s">
        <v>3006</v>
      </c>
      <c r="AA5677" s="35">
        <v>3.9072580645161294</v>
      </c>
      <c r="AB5677" s="13"/>
      <c r="AC5677" s="13"/>
      <c r="AD5677" s="13"/>
      <c r="AE5677" s="13"/>
      <c r="AF5677" s="13"/>
    </row>
    <row r="5678" spans="19:32" x14ac:dyDescent="0.35">
      <c r="S5678" s="13"/>
      <c r="T5678" s="16"/>
      <c r="U5678" s="16"/>
      <c r="V5678" s="16"/>
      <c r="W5678" s="13"/>
      <c r="X5678" s="47">
        <v>5674</v>
      </c>
      <c r="Y5678" s="47" t="s">
        <v>2248</v>
      </c>
      <c r="Z5678" s="47" t="s">
        <v>2268</v>
      </c>
      <c r="AA5678" s="56">
        <v>1.84E-2</v>
      </c>
      <c r="AB5678" s="13"/>
      <c r="AC5678" s="13"/>
      <c r="AD5678" s="13"/>
      <c r="AE5678" s="13"/>
      <c r="AF5678" s="13"/>
    </row>
    <row r="5679" spans="19:32" x14ac:dyDescent="0.35">
      <c r="S5679" s="13"/>
      <c r="T5679" s="16"/>
      <c r="U5679" s="16"/>
      <c r="V5679" s="16"/>
      <c r="W5679" s="13"/>
      <c r="X5679" s="34">
        <v>5675</v>
      </c>
      <c r="Y5679" s="34" t="s">
        <v>2248</v>
      </c>
      <c r="Z5679" s="34" t="s">
        <v>3600</v>
      </c>
      <c r="AA5679" s="35">
        <v>5.5292000000000003</v>
      </c>
      <c r="AB5679" s="13"/>
      <c r="AC5679" s="13"/>
      <c r="AD5679" s="13"/>
      <c r="AE5679" s="13"/>
      <c r="AF5679" s="13"/>
    </row>
    <row r="5680" spans="19:32" x14ac:dyDescent="0.35">
      <c r="S5680" s="13"/>
      <c r="T5680" s="16"/>
      <c r="U5680" s="16"/>
      <c r="V5680" s="16"/>
      <c r="W5680" s="13"/>
      <c r="X5680" s="47">
        <v>5676</v>
      </c>
      <c r="Y5680" s="47" t="s">
        <v>2248</v>
      </c>
      <c r="Z5680" s="47" t="s">
        <v>2266</v>
      </c>
      <c r="AA5680" s="56">
        <v>0</v>
      </c>
      <c r="AB5680" s="13"/>
      <c r="AC5680" s="13"/>
      <c r="AD5680" s="13"/>
      <c r="AE5680" s="13"/>
      <c r="AF5680" s="13"/>
    </row>
    <row r="5681" spans="19:32" x14ac:dyDescent="0.35">
      <c r="S5681" s="13"/>
      <c r="T5681" s="16"/>
      <c r="U5681" s="16"/>
      <c r="V5681" s="16"/>
      <c r="W5681" s="13"/>
      <c r="X5681" s="34">
        <v>5677</v>
      </c>
      <c r="Y5681" s="34" t="s">
        <v>2248</v>
      </c>
      <c r="Z5681" s="34" t="s">
        <v>3599</v>
      </c>
      <c r="AA5681" s="35">
        <v>7.5060483870967754E-2</v>
      </c>
      <c r="AB5681" s="13"/>
      <c r="AC5681" s="13"/>
      <c r="AD5681" s="13"/>
      <c r="AE5681" s="13"/>
      <c r="AF5681" s="13"/>
    </row>
    <row r="5682" spans="19:32" x14ac:dyDescent="0.35">
      <c r="S5682" s="13"/>
      <c r="T5682" s="16"/>
      <c r="U5682" s="16"/>
      <c r="V5682" s="16"/>
      <c r="W5682" s="13"/>
      <c r="X5682" s="34">
        <v>5678</v>
      </c>
      <c r="Y5682" s="34" t="s">
        <v>2248</v>
      </c>
      <c r="Z5682" s="34" t="s">
        <v>3598</v>
      </c>
      <c r="AA5682" s="35">
        <v>3.9415322580645167E-2</v>
      </c>
      <c r="AB5682" s="13"/>
      <c r="AC5682" s="13"/>
      <c r="AD5682" s="13"/>
      <c r="AE5682" s="13"/>
      <c r="AF5682" s="13"/>
    </row>
    <row r="5683" spans="19:32" x14ac:dyDescent="0.35">
      <c r="S5683" s="13"/>
      <c r="T5683" s="16"/>
      <c r="U5683" s="16"/>
      <c r="V5683" s="16"/>
      <c r="W5683" s="13"/>
      <c r="X5683" s="34">
        <v>5679</v>
      </c>
      <c r="Y5683" s="34" t="s">
        <v>2248</v>
      </c>
      <c r="Z5683" s="34" t="s">
        <v>3597</v>
      </c>
      <c r="AA5683" s="35">
        <v>73.691999999999993</v>
      </c>
      <c r="AB5683" s="13"/>
      <c r="AC5683" s="13"/>
      <c r="AD5683" s="13"/>
      <c r="AE5683" s="13"/>
      <c r="AF5683" s="13"/>
    </row>
    <row r="5684" spans="19:32" x14ac:dyDescent="0.35">
      <c r="S5684" s="13"/>
      <c r="T5684" s="16"/>
      <c r="U5684" s="16"/>
      <c r="V5684" s="16"/>
      <c r="W5684" s="13"/>
      <c r="X5684" s="34">
        <v>5680</v>
      </c>
      <c r="Y5684" s="34" t="s">
        <v>2248</v>
      </c>
      <c r="Z5684" s="34" t="s">
        <v>2265</v>
      </c>
      <c r="AA5684" s="35">
        <v>1.0453629032258065E-4</v>
      </c>
      <c r="AB5684" s="13"/>
      <c r="AC5684" s="13"/>
      <c r="AD5684" s="13"/>
      <c r="AE5684" s="13"/>
      <c r="AF5684" s="13"/>
    </row>
    <row r="5685" spans="19:32" x14ac:dyDescent="0.35">
      <c r="S5685" s="13"/>
      <c r="T5685" s="16"/>
      <c r="U5685" s="16"/>
      <c r="V5685" s="16"/>
      <c r="W5685" s="13"/>
      <c r="X5685" s="34">
        <v>5681</v>
      </c>
      <c r="Y5685" s="34" t="s">
        <v>2248</v>
      </c>
      <c r="Z5685" s="34" t="s">
        <v>3596</v>
      </c>
      <c r="AA5685" s="35">
        <v>0</v>
      </c>
      <c r="AB5685" s="13"/>
      <c r="AC5685" s="13"/>
      <c r="AD5685" s="13"/>
      <c r="AE5685" s="13"/>
      <c r="AF5685" s="13"/>
    </row>
    <row r="5686" spans="19:32" x14ac:dyDescent="0.35">
      <c r="S5686" s="13"/>
      <c r="T5686" s="16"/>
      <c r="U5686" s="16"/>
      <c r="V5686" s="16"/>
      <c r="W5686" s="13"/>
      <c r="X5686" s="47">
        <v>5682</v>
      </c>
      <c r="Y5686" s="47" t="s">
        <v>2248</v>
      </c>
      <c r="Z5686" s="47" t="s">
        <v>2265</v>
      </c>
      <c r="AA5686" s="56">
        <v>0</v>
      </c>
      <c r="AB5686" s="13"/>
      <c r="AC5686" s="13"/>
      <c r="AD5686" s="13"/>
      <c r="AE5686" s="13"/>
      <c r="AF5686" s="13"/>
    </row>
    <row r="5687" spans="19:32" x14ac:dyDescent="0.35">
      <c r="S5687" s="13"/>
      <c r="T5687" s="16"/>
      <c r="U5687" s="16"/>
      <c r="V5687" s="16"/>
      <c r="W5687" s="13"/>
      <c r="X5687" s="34">
        <v>5683</v>
      </c>
      <c r="Y5687" s="34" t="s">
        <v>2248</v>
      </c>
      <c r="Z5687" s="34" t="s">
        <v>3595</v>
      </c>
      <c r="AA5687" s="35">
        <v>0.58266129032258074</v>
      </c>
      <c r="AB5687" s="13"/>
      <c r="AC5687" s="13"/>
      <c r="AD5687" s="13"/>
      <c r="AE5687" s="13"/>
      <c r="AF5687" s="13"/>
    </row>
    <row r="5688" spans="19:32" x14ac:dyDescent="0.35">
      <c r="S5688" s="13"/>
      <c r="T5688" s="16"/>
      <c r="U5688" s="16"/>
      <c r="V5688" s="16"/>
      <c r="W5688" s="13"/>
      <c r="X5688" s="34">
        <v>5684</v>
      </c>
      <c r="Y5688" s="34" t="s">
        <v>2248</v>
      </c>
      <c r="Z5688" s="34" t="s">
        <v>3594</v>
      </c>
      <c r="AA5688" s="35">
        <v>0.10947999999999999</v>
      </c>
      <c r="AB5688" s="13"/>
      <c r="AC5688" s="13"/>
      <c r="AD5688" s="13"/>
      <c r="AE5688" s="13"/>
      <c r="AF5688" s="13"/>
    </row>
    <row r="5689" spans="19:32" x14ac:dyDescent="0.35">
      <c r="S5689" s="13"/>
      <c r="T5689" s="16"/>
      <c r="U5689" s="16"/>
      <c r="V5689" s="16"/>
      <c r="W5689" s="13"/>
      <c r="X5689" s="34">
        <v>5685</v>
      </c>
      <c r="Y5689" s="34" t="s">
        <v>2248</v>
      </c>
      <c r="Z5689" s="34" t="s">
        <v>3593</v>
      </c>
      <c r="AA5689" s="35">
        <v>3.2663306451612904E-4</v>
      </c>
      <c r="AB5689" s="13"/>
      <c r="AC5689" s="13"/>
      <c r="AD5689" s="13"/>
      <c r="AE5689" s="13"/>
      <c r="AF5689" s="13"/>
    </row>
    <row r="5690" spans="19:32" x14ac:dyDescent="0.35">
      <c r="S5690" s="13"/>
      <c r="T5690" s="16"/>
      <c r="U5690" s="16"/>
      <c r="V5690" s="16"/>
      <c r="W5690" s="13"/>
      <c r="X5690" s="34">
        <v>5686</v>
      </c>
      <c r="Y5690" s="34" t="s">
        <v>2248</v>
      </c>
      <c r="Z5690" s="34" t="s">
        <v>3592</v>
      </c>
      <c r="AA5690" s="35">
        <v>1.7822580645161291E-3</v>
      </c>
      <c r="AB5690" s="13"/>
      <c r="AC5690" s="13"/>
      <c r="AD5690" s="13"/>
      <c r="AE5690" s="13"/>
      <c r="AF5690" s="13"/>
    </row>
    <row r="5691" spans="19:32" x14ac:dyDescent="0.35">
      <c r="S5691" s="13"/>
      <c r="T5691" s="16"/>
      <c r="U5691" s="16"/>
      <c r="V5691" s="16"/>
      <c r="W5691" s="13"/>
      <c r="X5691" s="34">
        <v>5687</v>
      </c>
      <c r="Y5691" s="34" t="s">
        <v>2248</v>
      </c>
      <c r="Z5691" s="34" t="s">
        <v>3591</v>
      </c>
      <c r="AA5691" s="35">
        <v>13.984</v>
      </c>
      <c r="AB5691" s="13"/>
      <c r="AC5691" s="13"/>
      <c r="AD5691" s="13"/>
      <c r="AE5691" s="13"/>
      <c r="AF5691" s="13"/>
    </row>
    <row r="5692" spans="19:32" x14ac:dyDescent="0.35">
      <c r="S5692" s="13"/>
      <c r="T5692" s="16"/>
      <c r="U5692" s="16"/>
      <c r="V5692" s="16"/>
      <c r="W5692" s="13"/>
      <c r="X5692" s="34">
        <v>5688</v>
      </c>
      <c r="Y5692" s="34" t="s">
        <v>2248</v>
      </c>
      <c r="Z5692" s="34" t="s">
        <v>3590</v>
      </c>
      <c r="AA5692" s="35">
        <v>2.6322580645161291E-2</v>
      </c>
      <c r="AB5692" s="13"/>
      <c r="AC5692" s="13"/>
      <c r="AD5692" s="13"/>
      <c r="AE5692" s="13"/>
      <c r="AF5692" s="13"/>
    </row>
    <row r="5693" spans="19:32" x14ac:dyDescent="0.35">
      <c r="S5693" s="13"/>
      <c r="T5693" s="16"/>
      <c r="U5693" s="16"/>
      <c r="V5693" s="16"/>
      <c r="W5693" s="13"/>
      <c r="X5693" s="34">
        <v>5689</v>
      </c>
      <c r="Y5693" s="34" t="s">
        <v>2248</v>
      </c>
      <c r="Z5693" s="34" t="s">
        <v>3589</v>
      </c>
      <c r="AA5693" s="35">
        <v>6.3064516129032272E-5</v>
      </c>
      <c r="AB5693" s="13"/>
      <c r="AC5693" s="13"/>
      <c r="AD5693" s="13"/>
      <c r="AE5693" s="13"/>
      <c r="AF5693" s="13"/>
    </row>
    <row r="5694" spans="19:32" x14ac:dyDescent="0.35">
      <c r="S5694" s="13"/>
      <c r="T5694" s="16"/>
      <c r="U5694" s="16"/>
      <c r="V5694" s="16"/>
      <c r="W5694" s="13"/>
      <c r="X5694" s="34">
        <v>5690</v>
      </c>
      <c r="Y5694" s="34" t="s">
        <v>2248</v>
      </c>
      <c r="Z5694" s="34" t="s">
        <v>3588</v>
      </c>
      <c r="AA5694" s="35">
        <v>0.29624</v>
      </c>
      <c r="AB5694" s="13"/>
      <c r="AC5694" s="13"/>
      <c r="AD5694" s="13"/>
      <c r="AE5694" s="13"/>
      <c r="AF5694" s="13"/>
    </row>
    <row r="5695" spans="19:32" x14ac:dyDescent="0.35">
      <c r="S5695" s="13"/>
      <c r="T5695" s="16"/>
      <c r="U5695" s="16"/>
      <c r="V5695" s="16"/>
      <c r="W5695" s="13"/>
      <c r="X5695" s="34">
        <v>5691</v>
      </c>
      <c r="Y5695" s="34" t="s">
        <v>2248</v>
      </c>
      <c r="Z5695" s="34" t="s">
        <v>3587</v>
      </c>
      <c r="AA5695" s="35">
        <v>3.249193548387097E-4</v>
      </c>
      <c r="AB5695" s="13"/>
      <c r="AC5695" s="13"/>
      <c r="AD5695" s="13"/>
      <c r="AE5695" s="13"/>
      <c r="AF5695" s="13"/>
    </row>
    <row r="5696" spans="19:32" x14ac:dyDescent="0.35">
      <c r="S5696" s="13"/>
      <c r="T5696" s="16"/>
      <c r="U5696" s="16"/>
      <c r="V5696" s="16"/>
      <c r="W5696" s="13"/>
      <c r="X5696" s="34">
        <v>5692</v>
      </c>
      <c r="Y5696" s="34" t="s">
        <v>2248</v>
      </c>
      <c r="Z5696" s="34" t="s">
        <v>3586</v>
      </c>
      <c r="AA5696" s="35">
        <v>0.17111999999999999</v>
      </c>
      <c r="AB5696" s="13"/>
      <c r="AC5696" s="13"/>
      <c r="AD5696" s="13"/>
      <c r="AE5696" s="13"/>
      <c r="AF5696" s="13"/>
    </row>
    <row r="5697" spans="19:32" x14ac:dyDescent="0.35">
      <c r="S5697" s="13"/>
      <c r="T5697" s="16"/>
      <c r="U5697" s="16"/>
      <c r="V5697" s="16"/>
      <c r="W5697" s="13"/>
      <c r="X5697" s="34">
        <v>5693</v>
      </c>
      <c r="Y5697" s="34" t="s">
        <v>2248</v>
      </c>
      <c r="Z5697" s="34" t="s">
        <v>3585</v>
      </c>
      <c r="AA5697" s="35">
        <v>1.7993951612903229E-5</v>
      </c>
      <c r="AB5697" s="13"/>
      <c r="AC5697" s="13"/>
      <c r="AD5697" s="13"/>
      <c r="AE5697" s="13"/>
      <c r="AF5697" s="13"/>
    </row>
    <row r="5698" spans="19:32" x14ac:dyDescent="0.35">
      <c r="S5698" s="13"/>
      <c r="T5698" s="16"/>
      <c r="U5698" s="16"/>
      <c r="V5698" s="16"/>
      <c r="W5698" s="13"/>
      <c r="X5698" s="34">
        <v>5694</v>
      </c>
      <c r="Y5698" s="34" t="s">
        <v>2248</v>
      </c>
      <c r="Z5698" s="34" t="s">
        <v>3584</v>
      </c>
      <c r="AA5698" s="35">
        <v>7.3004032258064521E-3</v>
      </c>
      <c r="AB5698" s="13"/>
      <c r="AC5698" s="13"/>
      <c r="AD5698" s="13"/>
      <c r="AE5698" s="13"/>
      <c r="AF5698" s="13"/>
    </row>
    <row r="5699" spans="19:32" x14ac:dyDescent="0.35">
      <c r="S5699" s="13"/>
      <c r="T5699" s="16"/>
      <c r="U5699" s="16"/>
      <c r="V5699" s="16"/>
      <c r="W5699" s="13"/>
      <c r="X5699" s="34">
        <v>5695</v>
      </c>
      <c r="Y5699" s="34" t="s">
        <v>2248</v>
      </c>
      <c r="Z5699" s="34" t="s">
        <v>3583</v>
      </c>
      <c r="AA5699" s="35">
        <v>1.9913306451612904</v>
      </c>
      <c r="AB5699" s="13"/>
      <c r="AC5699" s="13"/>
      <c r="AD5699" s="13"/>
      <c r="AE5699" s="13"/>
      <c r="AF5699" s="13"/>
    </row>
    <row r="5700" spans="19:32" x14ac:dyDescent="0.35">
      <c r="S5700" s="13"/>
      <c r="T5700" s="16"/>
      <c r="U5700" s="16"/>
      <c r="V5700" s="16"/>
      <c r="W5700" s="13"/>
      <c r="X5700" s="34">
        <v>5696</v>
      </c>
      <c r="Y5700" s="34" t="s">
        <v>2248</v>
      </c>
      <c r="Z5700" s="34" t="s">
        <v>3582</v>
      </c>
      <c r="AA5700" s="35">
        <v>0</v>
      </c>
      <c r="AB5700" s="13"/>
      <c r="AC5700" s="13"/>
      <c r="AD5700" s="13"/>
      <c r="AE5700" s="13"/>
      <c r="AF5700" s="13"/>
    </row>
    <row r="5701" spans="19:32" x14ac:dyDescent="0.35">
      <c r="S5701" s="13"/>
      <c r="T5701" s="16"/>
      <c r="U5701" s="16"/>
      <c r="V5701" s="16"/>
      <c r="W5701" s="13"/>
      <c r="X5701" s="34">
        <v>5697</v>
      </c>
      <c r="Y5701" s="34" t="s">
        <v>2248</v>
      </c>
      <c r="Z5701" s="34" t="s">
        <v>3581</v>
      </c>
      <c r="AA5701" s="35">
        <v>1.7548387096774196E-3</v>
      </c>
      <c r="AB5701" s="13"/>
      <c r="AC5701" s="13"/>
      <c r="AD5701" s="13"/>
      <c r="AE5701" s="13"/>
      <c r="AF5701" s="13"/>
    </row>
    <row r="5702" spans="19:32" x14ac:dyDescent="0.35">
      <c r="S5702" s="13"/>
      <c r="T5702" s="16"/>
      <c r="U5702" s="16"/>
      <c r="V5702" s="16"/>
      <c r="W5702" s="13"/>
      <c r="X5702" s="34">
        <v>5698</v>
      </c>
      <c r="Y5702" s="34" t="s">
        <v>2248</v>
      </c>
      <c r="Z5702" s="34" t="s">
        <v>3580</v>
      </c>
      <c r="AA5702" s="35">
        <v>6.8205645161290322E-4</v>
      </c>
      <c r="AB5702" s="13"/>
      <c r="AC5702" s="13"/>
      <c r="AD5702" s="13"/>
      <c r="AE5702" s="13"/>
      <c r="AF5702" s="13"/>
    </row>
    <row r="5703" spans="19:32" x14ac:dyDescent="0.35">
      <c r="S5703" s="13"/>
      <c r="T5703" s="16"/>
      <c r="U5703" s="16"/>
      <c r="V5703" s="16"/>
      <c r="W5703" s="13"/>
      <c r="X5703" s="34">
        <v>5699</v>
      </c>
      <c r="Y5703" s="34" t="s">
        <v>2248</v>
      </c>
      <c r="Z5703" s="34" t="s">
        <v>3579</v>
      </c>
      <c r="AA5703" s="35">
        <v>0</v>
      </c>
      <c r="AB5703" s="13"/>
      <c r="AC5703" s="13"/>
      <c r="AD5703" s="13"/>
      <c r="AE5703" s="13"/>
      <c r="AF5703" s="13"/>
    </row>
    <row r="5704" spans="19:32" x14ac:dyDescent="0.35">
      <c r="S5704" s="13"/>
      <c r="T5704" s="16"/>
      <c r="U5704" s="16"/>
      <c r="V5704" s="16"/>
      <c r="W5704" s="13"/>
      <c r="X5704" s="34">
        <v>5700</v>
      </c>
      <c r="Y5704" s="34" t="s">
        <v>2248</v>
      </c>
      <c r="Z5704" s="34" t="s">
        <v>3578</v>
      </c>
      <c r="AA5704" s="35">
        <v>2.5122983870967744E-3</v>
      </c>
      <c r="AB5704" s="13"/>
      <c r="AC5704" s="13"/>
      <c r="AD5704" s="13"/>
      <c r="AE5704" s="13"/>
      <c r="AF5704" s="13"/>
    </row>
    <row r="5705" spans="19:32" x14ac:dyDescent="0.35">
      <c r="S5705" s="13"/>
      <c r="T5705" s="16"/>
      <c r="U5705" s="16"/>
      <c r="V5705" s="16"/>
      <c r="W5705" s="13"/>
      <c r="X5705" s="34">
        <v>5701</v>
      </c>
      <c r="Y5705" s="34" t="s">
        <v>2248</v>
      </c>
      <c r="Z5705" s="34" t="s">
        <v>3577</v>
      </c>
      <c r="AA5705" s="35">
        <v>0</v>
      </c>
      <c r="AB5705" s="13"/>
      <c r="AC5705" s="13"/>
      <c r="AD5705" s="13"/>
      <c r="AE5705" s="13"/>
      <c r="AF5705" s="13"/>
    </row>
    <row r="5706" spans="19:32" x14ac:dyDescent="0.35">
      <c r="S5706" s="13"/>
      <c r="T5706" s="16"/>
      <c r="U5706" s="16"/>
      <c r="V5706" s="16"/>
      <c r="W5706" s="13"/>
      <c r="X5706" s="34">
        <v>5702</v>
      </c>
      <c r="Y5706" s="34" t="s">
        <v>2248</v>
      </c>
      <c r="Z5706" s="34" t="s">
        <v>3576</v>
      </c>
      <c r="AA5706" s="35">
        <v>6.6491935483870973E-3</v>
      </c>
      <c r="AB5706" s="13"/>
      <c r="AC5706" s="13"/>
      <c r="AD5706" s="13"/>
      <c r="AE5706" s="13"/>
      <c r="AF5706" s="13"/>
    </row>
    <row r="5707" spans="19:32" x14ac:dyDescent="0.35">
      <c r="S5707" s="13"/>
      <c r="T5707" s="16"/>
      <c r="U5707" s="16"/>
      <c r="V5707" s="16"/>
      <c r="W5707" s="13"/>
      <c r="X5707" s="34">
        <v>5703</v>
      </c>
      <c r="Y5707" s="34" t="s">
        <v>2248</v>
      </c>
      <c r="Z5707" s="34" t="s">
        <v>3575</v>
      </c>
      <c r="AA5707" s="35">
        <v>3.9072580645161292E-4</v>
      </c>
      <c r="AB5707" s="13"/>
      <c r="AC5707" s="13"/>
      <c r="AD5707" s="13"/>
      <c r="AE5707" s="13"/>
      <c r="AF5707" s="13"/>
    </row>
    <row r="5708" spans="19:32" x14ac:dyDescent="0.35">
      <c r="S5708" s="13"/>
      <c r="T5708" s="16"/>
      <c r="U5708" s="16"/>
      <c r="V5708" s="16"/>
      <c r="W5708" s="13"/>
      <c r="X5708" s="34">
        <v>5704</v>
      </c>
      <c r="Y5708" s="34" t="s">
        <v>2248</v>
      </c>
      <c r="Z5708" s="34" t="s">
        <v>3574</v>
      </c>
      <c r="AA5708" s="35">
        <v>0</v>
      </c>
      <c r="AB5708" s="13"/>
      <c r="AC5708" s="13"/>
      <c r="AD5708" s="13"/>
      <c r="AE5708" s="13"/>
      <c r="AF5708" s="13"/>
    </row>
    <row r="5709" spans="19:32" x14ac:dyDescent="0.35">
      <c r="S5709" s="13"/>
      <c r="T5709" s="16"/>
      <c r="U5709" s="16"/>
      <c r="V5709" s="16"/>
      <c r="W5709" s="13"/>
      <c r="X5709" s="34">
        <v>5705</v>
      </c>
      <c r="Y5709" s="34" t="s">
        <v>2248</v>
      </c>
      <c r="Z5709" s="34" t="s">
        <v>2263</v>
      </c>
      <c r="AA5709" s="35">
        <v>3.4274193548387101E-4</v>
      </c>
      <c r="AB5709" s="13"/>
      <c r="AC5709" s="13"/>
      <c r="AD5709" s="13"/>
      <c r="AE5709" s="13"/>
      <c r="AF5709" s="13"/>
    </row>
    <row r="5710" spans="19:32" x14ac:dyDescent="0.35">
      <c r="S5710" s="13"/>
      <c r="T5710" s="16"/>
      <c r="U5710" s="16"/>
      <c r="V5710" s="16"/>
      <c r="W5710" s="13"/>
      <c r="X5710" s="47">
        <v>5706</v>
      </c>
      <c r="Y5710" s="47" t="s">
        <v>2248</v>
      </c>
      <c r="Z5710" s="47" t="s">
        <v>2263</v>
      </c>
      <c r="AA5710" s="56">
        <v>5.2256000000000004E-3</v>
      </c>
      <c r="AB5710" s="13"/>
      <c r="AC5710" s="13"/>
      <c r="AD5710" s="13"/>
      <c r="AE5710" s="13"/>
      <c r="AF5710" s="13"/>
    </row>
    <row r="5711" spans="19:32" x14ac:dyDescent="0.35">
      <c r="S5711" s="13"/>
      <c r="T5711" s="16"/>
      <c r="U5711" s="16"/>
      <c r="V5711" s="16"/>
      <c r="W5711" s="13"/>
      <c r="X5711" s="34">
        <v>5707</v>
      </c>
      <c r="Y5711" s="34" t="s">
        <v>2248</v>
      </c>
      <c r="Z5711" s="34" t="s">
        <v>3573</v>
      </c>
      <c r="AA5711" s="35">
        <v>0</v>
      </c>
      <c r="AB5711" s="13"/>
      <c r="AC5711" s="13"/>
      <c r="AD5711" s="13"/>
      <c r="AE5711" s="13"/>
      <c r="AF5711" s="13"/>
    </row>
    <row r="5712" spans="19:32" x14ac:dyDescent="0.35">
      <c r="S5712" s="13"/>
      <c r="T5712" s="16"/>
      <c r="U5712" s="16"/>
      <c r="V5712" s="16"/>
      <c r="W5712" s="13"/>
      <c r="X5712" s="34">
        <v>5708</v>
      </c>
      <c r="Y5712" s="34" t="s">
        <v>2248</v>
      </c>
      <c r="Z5712" s="34" t="s">
        <v>3572</v>
      </c>
      <c r="AA5712" s="35">
        <v>1.8199596774193548E-4</v>
      </c>
      <c r="AB5712" s="13"/>
      <c r="AC5712" s="13"/>
      <c r="AD5712" s="13"/>
      <c r="AE5712" s="13"/>
      <c r="AF5712" s="13"/>
    </row>
    <row r="5713" spans="19:32" x14ac:dyDescent="0.35">
      <c r="S5713" s="13"/>
      <c r="T5713" s="16"/>
      <c r="U5713" s="16"/>
      <c r="V5713" s="16"/>
      <c r="W5713" s="13"/>
      <c r="X5713" s="34">
        <v>5709</v>
      </c>
      <c r="Y5713" s="34" t="s">
        <v>2248</v>
      </c>
      <c r="Z5713" s="34" t="s">
        <v>3571</v>
      </c>
      <c r="AA5713" s="35">
        <v>6.7177419354838711E-3</v>
      </c>
      <c r="AB5713" s="13"/>
      <c r="AC5713" s="13"/>
      <c r="AD5713" s="13"/>
      <c r="AE5713" s="13"/>
      <c r="AF5713" s="13"/>
    </row>
    <row r="5714" spans="19:32" x14ac:dyDescent="0.35">
      <c r="S5714" s="13"/>
      <c r="T5714" s="16"/>
      <c r="U5714" s="16"/>
      <c r="V5714" s="16"/>
      <c r="W5714" s="13"/>
      <c r="X5714" s="34">
        <v>5710</v>
      </c>
      <c r="Y5714" s="34" t="s">
        <v>2248</v>
      </c>
      <c r="Z5714" s="34" t="s">
        <v>3570</v>
      </c>
      <c r="AA5714" s="35">
        <v>0</v>
      </c>
      <c r="AB5714" s="13"/>
      <c r="AC5714" s="13"/>
      <c r="AD5714" s="13"/>
      <c r="AE5714" s="13"/>
      <c r="AF5714" s="13"/>
    </row>
    <row r="5715" spans="19:32" x14ac:dyDescent="0.35">
      <c r="S5715" s="13"/>
      <c r="T5715" s="16"/>
      <c r="U5715" s="16"/>
      <c r="V5715" s="16"/>
      <c r="W5715" s="13"/>
      <c r="X5715" s="47">
        <v>5711</v>
      </c>
      <c r="Y5715" s="47" t="s">
        <v>2248</v>
      </c>
      <c r="Z5715" s="47" t="s">
        <v>2262</v>
      </c>
      <c r="AA5715" s="56">
        <v>0.53544000000000003</v>
      </c>
      <c r="AB5715" s="13"/>
      <c r="AC5715" s="13"/>
      <c r="AD5715" s="13"/>
      <c r="AE5715" s="13"/>
      <c r="AF5715" s="13"/>
    </row>
    <row r="5716" spans="19:32" x14ac:dyDescent="0.35">
      <c r="S5716" s="13"/>
      <c r="T5716" s="16"/>
      <c r="U5716" s="16"/>
      <c r="V5716" s="16"/>
      <c r="W5716" s="13"/>
      <c r="X5716" s="34">
        <v>5712</v>
      </c>
      <c r="Y5716" s="34" t="s">
        <v>2248</v>
      </c>
      <c r="Z5716" s="34" t="s">
        <v>3569</v>
      </c>
      <c r="AA5716" s="35">
        <v>221.72</v>
      </c>
      <c r="AB5716" s="13"/>
      <c r="AC5716" s="13"/>
      <c r="AD5716" s="13"/>
      <c r="AE5716" s="13"/>
      <c r="AF5716" s="13"/>
    </row>
    <row r="5717" spans="19:32" x14ac:dyDescent="0.35">
      <c r="S5717" s="13"/>
      <c r="T5717" s="16"/>
      <c r="U5717" s="16"/>
      <c r="V5717" s="16"/>
      <c r="W5717" s="13"/>
      <c r="X5717" s="47">
        <v>5713</v>
      </c>
      <c r="Y5717" s="47" t="s">
        <v>2248</v>
      </c>
      <c r="Z5717" s="47" t="s">
        <v>2260</v>
      </c>
      <c r="AA5717" s="56">
        <v>0</v>
      </c>
      <c r="AB5717" s="13"/>
      <c r="AC5717" s="13"/>
      <c r="AD5717" s="13"/>
      <c r="AE5717" s="13"/>
      <c r="AF5717" s="13"/>
    </row>
    <row r="5718" spans="19:32" x14ac:dyDescent="0.35">
      <c r="S5718" s="13"/>
      <c r="T5718" s="16"/>
      <c r="U5718" s="16"/>
      <c r="V5718" s="16"/>
      <c r="W5718" s="13"/>
      <c r="X5718" s="34">
        <v>5714</v>
      </c>
      <c r="Y5718" s="34" t="s">
        <v>2248</v>
      </c>
      <c r="Z5718" s="34" t="s">
        <v>3568</v>
      </c>
      <c r="AA5718" s="35">
        <v>0.14635080645161291</v>
      </c>
      <c r="AB5718" s="13"/>
      <c r="AC5718" s="13"/>
      <c r="AD5718" s="13"/>
      <c r="AE5718" s="13"/>
      <c r="AF5718" s="13"/>
    </row>
    <row r="5719" spans="19:32" x14ac:dyDescent="0.35">
      <c r="S5719" s="13"/>
      <c r="T5719" s="16"/>
      <c r="U5719" s="16"/>
      <c r="V5719" s="16"/>
      <c r="W5719" s="13"/>
      <c r="X5719" s="47">
        <v>5715</v>
      </c>
      <c r="Y5719" s="47" t="s">
        <v>2248</v>
      </c>
      <c r="Z5719" s="47" t="s">
        <v>2258</v>
      </c>
      <c r="AA5719" s="56">
        <v>0</v>
      </c>
      <c r="AB5719" s="13"/>
      <c r="AC5719" s="13"/>
      <c r="AD5719" s="13"/>
      <c r="AE5719" s="13"/>
      <c r="AF5719" s="13"/>
    </row>
    <row r="5720" spans="19:32" x14ac:dyDescent="0.35">
      <c r="S5720" s="13"/>
      <c r="T5720" s="16"/>
      <c r="U5720" s="16"/>
      <c r="V5720" s="16"/>
      <c r="W5720" s="13"/>
      <c r="X5720" s="34">
        <v>5716</v>
      </c>
      <c r="Y5720" s="34" t="s">
        <v>2248</v>
      </c>
      <c r="Z5720" s="34" t="s">
        <v>3567</v>
      </c>
      <c r="AA5720" s="35">
        <v>0</v>
      </c>
      <c r="AB5720" s="13"/>
      <c r="AC5720" s="13"/>
      <c r="AD5720" s="13"/>
      <c r="AE5720" s="13"/>
      <c r="AF5720" s="13"/>
    </row>
    <row r="5721" spans="19:32" x14ac:dyDescent="0.35">
      <c r="S5721" s="13"/>
      <c r="T5721" s="16"/>
      <c r="U5721" s="16"/>
      <c r="V5721" s="16"/>
      <c r="W5721" s="13"/>
      <c r="X5721" s="47">
        <v>5717</v>
      </c>
      <c r="Y5721" s="47" t="s">
        <v>2248</v>
      </c>
      <c r="Z5721" s="47" t="s">
        <v>2257</v>
      </c>
      <c r="AA5721" s="56">
        <v>0</v>
      </c>
      <c r="AB5721" s="13"/>
      <c r="AC5721" s="13"/>
      <c r="AD5721" s="13"/>
      <c r="AE5721" s="13"/>
      <c r="AF5721" s="13"/>
    </row>
    <row r="5722" spans="19:32" x14ac:dyDescent="0.35">
      <c r="S5722" s="13"/>
      <c r="T5722" s="16"/>
      <c r="U5722" s="16"/>
      <c r="V5722" s="16"/>
      <c r="W5722" s="13"/>
      <c r="X5722" s="34">
        <v>5718</v>
      </c>
      <c r="Y5722" s="34" t="s">
        <v>2248</v>
      </c>
      <c r="Z5722" s="34" t="s">
        <v>3566</v>
      </c>
      <c r="AA5722" s="35">
        <v>1.2604</v>
      </c>
      <c r="AB5722" s="13"/>
      <c r="AC5722" s="13"/>
      <c r="AD5722" s="13"/>
      <c r="AE5722" s="13"/>
      <c r="AF5722" s="13"/>
    </row>
    <row r="5723" spans="19:32" x14ac:dyDescent="0.35">
      <c r="S5723" s="13"/>
      <c r="T5723" s="16"/>
      <c r="U5723" s="16"/>
      <c r="V5723" s="16"/>
      <c r="W5723" s="13"/>
      <c r="X5723" s="34">
        <v>5719</v>
      </c>
      <c r="Y5723" s="34" t="s">
        <v>2248</v>
      </c>
      <c r="Z5723" s="34" t="s">
        <v>3565</v>
      </c>
      <c r="AA5723" s="35">
        <v>0.75745967741935494</v>
      </c>
      <c r="AB5723" s="13"/>
      <c r="AC5723" s="13"/>
      <c r="AD5723" s="13"/>
      <c r="AE5723" s="13"/>
      <c r="AF5723" s="13"/>
    </row>
    <row r="5724" spans="19:32" x14ac:dyDescent="0.35">
      <c r="S5724" s="13"/>
      <c r="T5724" s="16"/>
      <c r="U5724" s="16"/>
      <c r="V5724" s="16"/>
      <c r="W5724" s="13"/>
      <c r="X5724" s="34">
        <v>5720</v>
      </c>
      <c r="Y5724" s="34" t="s">
        <v>2248</v>
      </c>
      <c r="Z5724" s="34" t="s">
        <v>3564</v>
      </c>
      <c r="AA5724" s="35">
        <v>1.0145161290322581E-4</v>
      </c>
      <c r="AB5724" s="13"/>
      <c r="AC5724" s="13"/>
      <c r="AD5724" s="13"/>
      <c r="AE5724" s="13"/>
      <c r="AF5724" s="13"/>
    </row>
    <row r="5725" spans="19:32" x14ac:dyDescent="0.35">
      <c r="S5725" s="13"/>
      <c r="T5725" s="16"/>
      <c r="U5725" s="16"/>
      <c r="V5725" s="16"/>
      <c r="W5725" s="13"/>
      <c r="X5725" s="34">
        <v>5721</v>
      </c>
      <c r="Y5725" s="34" t="s">
        <v>2248</v>
      </c>
      <c r="Z5725" s="34" t="s">
        <v>3563</v>
      </c>
      <c r="AA5725" s="35">
        <v>0</v>
      </c>
      <c r="AB5725" s="13"/>
      <c r="AC5725" s="13"/>
      <c r="AD5725" s="13"/>
      <c r="AE5725" s="13"/>
      <c r="AF5725" s="13"/>
    </row>
    <row r="5726" spans="19:32" x14ac:dyDescent="0.35">
      <c r="S5726" s="13"/>
      <c r="T5726" s="16"/>
      <c r="U5726" s="16"/>
      <c r="V5726" s="16"/>
      <c r="W5726" s="13"/>
      <c r="X5726" s="34">
        <v>5722</v>
      </c>
      <c r="Y5726" s="34" t="s">
        <v>2248</v>
      </c>
      <c r="Z5726" s="34" t="s">
        <v>2255</v>
      </c>
      <c r="AA5726" s="35">
        <v>2.9544354838709678E-5</v>
      </c>
      <c r="AB5726" s="13"/>
      <c r="AC5726" s="13"/>
      <c r="AD5726" s="13"/>
      <c r="AE5726" s="13"/>
      <c r="AF5726" s="13"/>
    </row>
    <row r="5727" spans="19:32" x14ac:dyDescent="0.35">
      <c r="S5727" s="13"/>
      <c r="T5727" s="16"/>
      <c r="U5727" s="16"/>
      <c r="V5727" s="16"/>
      <c r="W5727" s="13"/>
      <c r="X5727" s="34">
        <v>5723</v>
      </c>
      <c r="Y5727" s="34" t="s">
        <v>2248</v>
      </c>
      <c r="Z5727" s="34" t="s">
        <v>3562</v>
      </c>
      <c r="AA5727" s="35">
        <v>0.25397177419354838</v>
      </c>
      <c r="AB5727" s="13"/>
      <c r="AC5727" s="13"/>
      <c r="AD5727" s="13"/>
      <c r="AE5727" s="13"/>
      <c r="AF5727" s="13"/>
    </row>
    <row r="5728" spans="19:32" x14ac:dyDescent="0.35">
      <c r="S5728" s="13"/>
      <c r="T5728" s="16"/>
      <c r="U5728" s="16"/>
      <c r="V5728" s="16"/>
      <c r="W5728" s="13"/>
      <c r="X5728" s="47">
        <v>5724</v>
      </c>
      <c r="Y5728" s="47" t="s">
        <v>2248</v>
      </c>
      <c r="Z5728" s="47" t="s">
        <v>2255</v>
      </c>
      <c r="AA5728" s="56">
        <v>3.3396000000000001E-4</v>
      </c>
      <c r="AB5728" s="13"/>
      <c r="AC5728" s="13"/>
      <c r="AD5728" s="13"/>
      <c r="AE5728" s="13"/>
      <c r="AF5728" s="13"/>
    </row>
    <row r="5729" spans="19:32" x14ac:dyDescent="0.35">
      <c r="S5729" s="13"/>
      <c r="T5729" s="16"/>
      <c r="U5729" s="16"/>
      <c r="V5729" s="16"/>
      <c r="W5729" s="13"/>
      <c r="X5729" s="34">
        <v>5725</v>
      </c>
      <c r="Y5729" s="34" t="s">
        <v>2248</v>
      </c>
      <c r="Z5729" s="34" t="s">
        <v>3561</v>
      </c>
      <c r="AA5729" s="35">
        <v>0</v>
      </c>
      <c r="AB5729" s="13"/>
      <c r="AC5729" s="13"/>
      <c r="AD5729" s="13"/>
      <c r="AE5729" s="13"/>
      <c r="AF5729" s="13"/>
    </row>
    <row r="5730" spans="19:32" x14ac:dyDescent="0.35">
      <c r="S5730" s="13"/>
      <c r="T5730" s="16"/>
      <c r="U5730" s="16"/>
      <c r="V5730" s="16"/>
      <c r="W5730" s="13"/>
      <c r="X5730" s="47">
        <v>5726</v>
      </c>
      <c r="Y5730" s="47" t="s">
        <v>2248</v>
      </c>
      <c r="Z5730" s="47" t="s">
        <v>2254</v>
      </c>
      <c r="AA5730" s="56">
        <v>7.4428000000000008E-2</v>
      </c>
      <c r="AB5730" s="13"/>
      <c r="AC5730" s="13"/>
      <c r="AD5730" s="13"/>
      <c r="AE5730" s="13"/>
      <c r="AF5730" s="13"/>
    </row>
    <row r="5731" spans="19:32" x14ac:dyDescent="0.35">
      <c r="S5731" s="13"/>
      <c r="T5731" s="16"/>
      <c r="U5731" s="16"/>
      <c r="V5731" s="16"/>
      <c r="W5731" s="13"/>
      <c r="X5731" s="34">
        <v>5727</v>
      </c>
      <c r="Y5731" s="34" t="s">
        <v>2248</v>
      </c>
      <c r="Z5731" s="34" t="s">
        <v>3560</v>
      </c>
      <c r="AA5731" s="35">
        <v>0</v>
      </c>
      <c r="AB5731" s="13"/>
      <c r="AC5731" s="13"/>
      <c r="AD5731" s="13"/>
      <c r="AE5731" s="13"/>
      <c r="AF5731" s="13"/>
    </row>
    <row r="5732" spans="19:32" x14ac:dyDescent="0.35">
      <c r="S5732" s="13"/>
      <c r="T5732" s="16"/>
      <c r="U5732" s="16"/>
      <c r="V5732" s="16"/>
      <c r="W5732" s="13"/>
      <c r="X5732" s="34">
        <v>5728</v>
      </c>
      <c r="Y5732" s="34" t="s">
        <v>2248</v>
      </c>
      <c r="Z5732" s="34" t="s">
        <v>3559</v>
      </c>
      <c r="AA5732" s="35">
        <v>8.5342741935483871E-3</v>
      </c>
      <c r="AB5732" s="13"/>
      <c r="AC5732" s="13"/>
      <c r="AD5732" s="13"/>
      <c r="AE5732" s="13"/>
      <c r="AF5732" s="13"/>
    </row>
    <row r="5733" spans="19:32" x14ac:dyDescent="0.35">
      <c r="S5733" s="13"/>
      <c r="T5733" s="16"/>
      <c r="U5733" s="16"/>
      <c r="V5733" s="16"/>
      <c r="W5733" s="13"/>
      <c r="X5733" s="47">
        <v>5729</v>
      </c>
      <c r="Y5733" s="47" t="s">
        <v>2248</v>
      </c>
      <c r="Z5733" s="47" t="s">
        <v>2252</v>
      </c>
      <c r="AA5733" s="56">
        <v>0</v>
      </c>
      <c r="AB5733" s="13"/>
      <c r="AC5733" s="13"/>
      <c r="AD5733" s="13"/>
      <c r="AE5733" s="13"/>
      <c r="AF5733" s="13"/>
    </row>
    <row r="5734" spans="19:32" x14ac:dyDescent="0.35">
      <c r="S5734" s="13"/>
      <c r="T5734" s="16"/>
      <c r="U5734" s="16"/>
      <c r="V5734" s="16"/>
      <c r="W5734" s="13"/>
      <c r="X5734" s="34">
        <v>5730</v>
      </c>
      <c r="Y5734" s="34" t="s">
        <v>2248</v>
      </c>
      <c r="Z5734" s="34" t="s">
        <v>3558</v>
      </c>
      <c r="AA5734" s="35">
        <v>0.75715999999999994</v>
      </c>
      <c r="AB5734" s="13"/>
      <c r="AC5734" s="13"/>
      <c r="AD5734" s="13"/>
      <c r="AE5734" s="13"/>
      <c r="AF5734" s="13"/>
    </row>
    <row r="5735" spans="19:32" x14ac:dyDescent="0.35">
      <c r="S5735" s="13"/>
      <c r="T5735" s="16"/>
      <c r="U5735" s="16"/>
      <c r="V5735" s="16"/>
      <c r="W5735" s="13"/>
      <c r="X5735" s="34">
        <v>5731</v>
      </c>
      <c r="Y5735" s="34" t="s">
        <v>2248</v>
      </c>
      <c r="Z5735" s="34" t="s">
        <v>2251</v>
      </c>
      <c r="AA5735" s="35">
        <v>2.5020161290322585</v>
      </c>
      <c r="AB5735" s="13"/>
      <c r="AC5735" s="13"/>
      <c r="AD5735" s="13"/>
      <c r="AE5735" s="13"/>
      <c r="AF5735" s="13"/>
    </row>
    <row r="5736" spans="19:32" x14ac:dyDescent="0.35">
      <c r="S5736" s="13"/>
      <c r="T5736" s="16"/>
      <c r="U5736" s="16"/>
      <c r="V5736" s="16"/>
      <c r="W5736" s="13"/>
      <c r="X5736" s="47">
        <v>5732</v>
      </c>
      <c r="Y5736" s="47" t="s">
        <v>2248</v>
      </c>
      <c r="Z5736" s="47" t="s">
        <v>2251</v>
      </c>
      <c r="AA5736" s="56">
        <v>0</v>
      </c>
      <c r="AB5736" s="13"/>
      <c r="AC5736" s="13"/>
      <c r="AD5736" s="13"/>
      <c r="AE5736" s="13"/>
      <c r="AF5736" s="13"/>
    </row>
    <row r="5737" spans="19:32" x14ac:dyDescent="0.35">
      <c r="S5737" s="13"/>
      <c r="T5737" s="16"/>
      <c r="U5737" s="16"/>
      <c r="V5737" s="16"/>
      <c r="W5737" s="13"/>
      <c r="X5737" s="34">
        <v>5733</v>
      </c>
      <c r="Y5737" s="34" t="s">
        <v>2248</v>
      </c>
      <c r="Z5737" s="34" t="s">
        <v>3557</v>
      </c>
      <c r="AA5737" s="35">
        <v>1.0488000000000002</v>
      </c>
      <c r="AB5737" s="13"/>
      <c r="AC5737" s="13"/>
      <c r="AD5737" s="13"/>
      <c r="AE5737" s="13"/>
      <c r="AF5737" s="13"/>
    </row>
    <row r="5738" spans="19:32" x14ac:dyDescent="0.35">
      <c r="S5738" s="13"/>
      <c r="T5738" s="16"/>
      <c r="U5738" s="16"/>
      <c r="V5738" s="16"/>
      <c r="W5738" s="13"/>
      <c r="X5738" s="34">
        <v>5734</v>
      </c>
      <c r="Y5738" s="34" t="s">
        <v>2248</v>
      </c>
      <c r="Z5738" s="34" t="s">
        <v>3556</v>
      </c>
      <c r="AA5738" s="35">
        <v>0.12201612903225807</v>
      </c>
      <c r="AB5738" s="13"/>
      <c r="AC5738" s="13"/>
      <c r="AD5738" s="13"/>
      <c r="AE5738" s="13"/>
      <c r="AF5738" s="13"/>
    </row>
    <row r="5739" spans="19:32" x14ac:dyDescent="0.35">
      <c r="S5739" s="13"/>
      <c r="T5739" s="16"/>
      <c r="U5739" s="16"/>
      <c r="V5739" s="16"/>
      <c r="W5739" s="13"/>
      <c r="X5739" s="34">
        <v>5735</v>
      </c>
      <c r="Y5739" s="34" t="s">
        <v>2248</v>
      </c>
      <c r="Z5739" s="34" t="s">
        <v>3555</v>
      </c>
      <c r="AA5739" s="35">
        <v>16.383064516129032</v>
      </c>
      <c r="AB5739" s="13"/>
      <c r="AC5739" s="13"/>
      <c r="AD5739" s="13"/>
      <c r="AE5739" s="13"/>
      <c r="AF5739" s="13"/>
    </row>
    <row r="5740" spans="19:32" x14ac:dyDescent="0.35">
      <c r="S5740" s="13"/>
      <c r="T5740" s="16"/>
      <c r="U5740" s="16"/>
      <c r="V5740" s="16"/>
      <c r="W5740" s="13"/>
      <c r="X5740" s="34">
        <v>5736</v>
      </c>
      <c r="Y5740" s="34" t="s">
        <v>2248</v>
      </c>
      <c r="Z5740" s="34" t="s">
        <v>3554</v>
      </c>
      <c r="AA5740" s="35">
        <v>4.508</v>
      </c>
      <c r="AB5740" s="13"/>
      <c r="AC5740" s="13"/>
      <c r="AD5740" s="13"/>
      <c r="AE5740" s="13"/>
      <c r="AF5740" s="13"/>
    </row>
    <row r="5741" spans="19:32" x14ac:dyDescent="0.35">
      <c r="S5741" s="13"/>
      <c r="T5741" s="16"/>
      <c r="U5741" s="16"/>
      <c r="V5741" s="16"/>
      <c r="W5741" s="13"/>
      <c r="X5741" s="34">
        <v>5737</v>
      </c>
      <c r="Y5741" s="34" t="s">
        <v>2248</v>
      </c>
      <c r="Z5741" s="34" t="s">
        <v>3553</v>
      </c>
      <c r="AA5741" s="35">
        <v>1.4360887096774195E-7</v>
      </c>
      <c r="AB5741" s="13"/>
      <c r="AC5741" s="13"/>
      <c r="AD5741" s="13"/>
      <c r="AE5741" s="13"/>
      <c r="AF5741" s="13"/>
    </row>
    <row r="5742" spans="19:32" x14ac:dyDescent="0.35">
      <c r="S5742" s="13"/>
      <c r="T5742" s="16"/>
      <c r="U5742" s="16"/>
      <c r="V5742" s="16"/>
      <c r="W5742" s="13"/>
      <c r="X5742" s="34">
        <v>5738</v>
      </c>
      <c r="Y5742" s="34" t="s">
        <v>2248</v>
      </c>
      <c r="Z5742" s="34" t="s">
        <v>3552</v>
      </c>
      <c r="AA5742" s="35">
        <v>2.6772</v>
      </c>
      <c r="AB5742" s="13"/>
      <c r="AC5742" s="13"/>
      <c r="AD5742" s="13"/>
      <c r="AE5742" s="13"/>
      <c r="AF5742" s="13"/>
    </row>
    <row r="5743" spans="19:32" x14ac:dyDescent="0.35">
      <c r="S5743" s="13"/>
      <c r="T5743" s="16"/>
      <c r="U5743" s="16"/>
      <c r="V5743" s="16"/>
      <c r="W5743" s="13"/>
      <c r="X5743" s="34">
        <v>5739</v>
      </c>
      <c r="Y5743" s="34" t="s">
        <v>2248</v>
      </c>
      <c r="Z5743" s="34" t="s">
        <v>3551</v>
      </c>
      <c r="AA5743" s="35">
        <v>7.4032258064516132E-2</v>
      </c>
      <c r="AB5743" s="13"/>
      <c r="AC5743" s="13"/>
      <c r="AD5743" s="13"/>
      <c r="AE5743" s="13"/>
      <c r="AF5743" s="13"/>
    </row>
    <row r="5744" spans="19:32" x14ac:dyDescent="0.35">
      <c r="S5744" s="13"/>
      <c r="T5744" s="16"/>
      <c r="U5744" s="16"/>
      <c r="V5744" s="16"/>
      <c r="W5744" s="13"/>
      <c r="X5744" s="34">
        <v>5740</v>
      </c>
      <c r="Y5744" s="34" t="s">
        <v>2248</v>
      </c>
      <c r="Z5744" s="34" t="s">
        <v>3550</v>
      </c>
      <c r="AA5744" s="35">
        <v>2.1558467741935485E-6</v>
      </c>
      <c r="AB5744" s="13"/>
      <c r="AC5744" s="13"/>
      <c r="AD5744" s="13"/>
      <c r="AE5744" s="13"/>
      <c r="AF5744" s="13"/>
    </row>
    <row r="5745" spans="19:32" x14ac:dyDescent="0.35">
      <c r="S5745" s="13"/>
      <c r="T5745" s="16"/>
      <c r="U5745" s="16"/>
      <c r="V5745" s="16"/>
      <c r="W5745" s="13"/>
      <c r="X5745" s="34">
        <v>5741</v>
      </c>
      <c r="Y5745" s="34" t="s">
        <v>2248</v>
      </c>
      <c r="Z5745" s="34" t="s">
        <v>3549</v>
      </c>
      <c r="AA5745" s="35">
        <v>3.3763999999999995E-2</v>
      </c>
      <c r="AB5745" s="13"/>
      <c r="AC5745" s="13"/>
      <c r="AD5745" s="13"/>
      <c r="AE5745" s="13"/>
      <c r="AF5745" s="13"/>
    </row>
    <row r="5746" spans="19:32" x14ac:dyDescent="0.35">
      <c r="S5746" s="13"/>
      <c r="T5746" s="16"/>
      <c r="U5746" s="16"/>
      <c r="V5746" s="16"/>
      <c r="W5746" s="13"/>
      <c r="X5746" s="34">
        <v>5742</v>
      </c>
      <c r="Y5746" s="34" t="s">
        <v>2248</v>
      </c>
      <c r="Z5746" s="34" t="s">
        <v>3548</v>
      </c>
      <c r="AA5746" s="35">
        <v>8.0544354838709681E-8</v>
      </c>
      <c r="AB5746" s="13"/>
      <c r="AC5746" s="13"/>
      <c r="AD5746" s="13"/>
      <c r="AE5746" s="13"/>
      <c r="AF5746" s="13"/>
    </row>
    <row r="5747" spans="19:32" x14ac:dyDescent="0.35">
      <c r="S5747" s="13"/>
      <c r="T5747" s="16"/>
      <c r="U5747" s="16"/>
      <c r="V5747" s="16"/>
      <c r="W5747" s="13"/>
      <c r="X5747" s="34">
        <v>5743</v>
      </c>
      <c r="Y5747" s="34" t="s">
        <v>2248</v>
      </c>
      <c r="Z5747" s="34" t="s">
        <v>3547</v>
      </c>
      <c r="AA5747" s="35">
        <v>3.8044354838709681E-3</v>
      </c>
      <c r="AB5747" s="13"/>
      <c r="AC5747" s="13"/>
      <c r="AD5747" s="13"/>
      <c r="AE5747" s="13"/>
      <c r="AF5747" s="13"/>
    </row>
    <row r="5748" spans="19:32" x14ac:dyDescent="0.35">
      <c r="S5748" s="13"/>
      <c r="T5748" s="16"/>
      <c r="U5748" s="16"/>
      <c r="V5748" s="16"/>
      <c r="W5748" s="13"/>
      <c r="X5748" s="34">
        <v>5744</v>
      </c>
      <c r="Y5748" s="34" t="s">
        <v>2248</v>
      </c>
      <c r="Z5748" s="34" t="s">
        <v>3546</v>
      </c>
      <c r="AA5748" s="35">
        <v>0.12787999999999999</v>
      </c>
      <c r="AB5748" s="13"/>
      <c r="AC5748" s="13"/>
      <c r="AD5748" s="13"/>
      <c r="AE5748" s="13"/>
      <c r="AF5748" s="13"/>
    </row>
    <row r="5749" spans="19:32" x14ac:dyDescent="0.35">
      <c r="S5749" s="13"/>
      <c r="T5749" s="16"/>
      <c r="U5749" s="16"/>
      <c r="V5749" s="16"/>
      <c r="W5749" s="13"/>
      <c r="X5749" s="34">
        <v>5745</v>
      </c>
      <c r="Y5749" s="34" t="s">
        <v>2248</v>
      </c>
      <c r="Z5749" s="34" t="s">
        <v>2249</v>
      </c>
      <c r="AA5749" s="35">
        <v>1.1653225806451614E-2</v>
      </c>
      <c r="AB5749" s="13"/>
      <c r="AC5749" s="13"/>
      <c r="AD5749" s="13"/>
      <c r="AE5749" s="13"/>
      <c r="AF5749" s="13"/>
    </row>
    <row r="5750" spans="19:32" x14ac:dyDescent="0.35">
      <c r="S5750" s="13"/>
      <c r="T5750" s="16"/>
      <c r="U5750" s="16"/>
      <c r="V5750" s="16"/>
      <c r="W5750" s="13"/>
      <c r="X5750" s="47">
        <v>5746</v>
      </c>
      <c r="Y5750" s="47" t="s">
        <v>2248</v>
      </c>
      <c r="Z5750" s="47" t="s">
        <v>2249</v>
      </c>
      <c r="AA5750" s="56">
        <v>1.6927999999999999E-3</v>
      </c>
      <c r="AB5750" s="13"/>
      <c r="AC5750" s="13"/>
      <c r="AD5750" s="13"/>
      <c r="AE5750" s="13"/>
      <c r="AF5750" s="13"/>
    </row>
    <row r="5751" spans="19:32" x14ac:dyDescent="0.35">
      <c r="S5751" s="13"/>
      <c r="T5751" s="16"/>
      <c r="U5751" s="16"/>
      <c r="V5751" s="16"/>
      <c r="W5751" s="13"/>
      <c r="X5751" s="34">
        <v>5747</v>
      </c>
      <c r="Y5751" s="34" t="s">
        <v>2248</v>
      </c>
      <c r="Z5751" s="34" t="s">
        <v>3545</v>
      </c>
      <c r="AA5751" s="35">
        <v>0</v>
      </c>
      <c r="AB5751" s="13"/>
      <c r="AC5751" s="13"/>
      <c r="AD5751" s="13"/>
      <c r="AE5751" s="13"/>
      <c r="AF5751" s="13"/>
    </row>
    <row r="5752" spans="19:32" x14ac:dyDescent="0.35">
      <c r="S5752" s="13"/>
      <c r="T5752" s="16"/>
      <c r="U5752" s="16"/>
      <c r="V5752" s="16"/>
      <c r="W5752" s="13"/>
      <c r="X5752" s="34">
        <v>5748</v>
      </c>
      <c r="Y5752" s="34" t="s">
        <v>2248</v>
      </c>
      <c r="Z5752" s="34" t="s">
        <v>2247</v>
      </c>
      <c r="AA5752" s="35">
        <v>4.5927419354838711E-2</v>
      </c>
      <c r="AB5752" s="13"/>
      <c r="AC5752" s="13"/>
      <c r="AD5752" s="13"/>
      <c r="AE5752" s="13"/>
      <c r="AF5752" s="13"/>
    </row>
    <row r="5753" spans="19:32" x14ac:dyDescent="0.35">
      <c r="S5753" s="13"/>
      <c r="T5753" s="16"/>
      <c r="U5753" s="16"/>
      <c r="V5753" s="16"/>
      <c r="W5753" s="13"/>
      <c r="X5753" s="34">
        <v>5749</v>
      </c>
      <c r="Y5753" s="34" t="s">
        <v>2248</v>
      </c>
      <c r="Z5753" s="34" t="s">
        <v>3544</v>
      </c>
      <c r="AA5753" s="35">
        <v>0.10213709677419355</v>
      </c>
      <c r="AB5753" s="13"/>
      <c r="AC5753" s="13"/>
      <c r="AD5753" s="13"/>
      <c r="AE5753" s="13"/>
      <c r="AF5753" s="13"/>
    </row>
    <row r="5754" spans="19:32" x14ac:dyDescent="0.35">
      <c r="S5754" s="13"/>
      <c r="T5754" s="16"/>
      <c r="U5754" s="16"/>
      <c r="V5754" s="16"/>
      <c r="W5754" s="13"/>
      <c r="X5754" s="47">
        <v>5750</v>
      </c>
      <c r="Y5754" s="47" t="s">
        <v>2248</v>
      </c>
      <c r="Z5754" s="47" t="s">
        <v>2247</v>
      </c>
      <c r="AA5754" s="56">
        <v>8.6940000000000003E-3</v>
      </c>
      <c r="AB5754" s="13"/>
      <c r="AC5754" s="13"/>
      <c r="AD5754" s="13"/>
      <c r="AE5754" s="13"/>
      <c r="AF5754" s="13"/>
    </row>
    <row r="5755" spans="19:32" x14ac:dyDescent="0.35">
      <c r="S5755" s="13"/>
      <c r="T5755" s="16"/>
      <c r="U5755" s="16"/>
      <c r="V5755" s="16"/>
      <c r="W5755" s="13"/>
      <c r="X5755" s="34">
        <v>5751</v>
      </c>
      <c r="Y5755" s="34" t="s">
        <v>2248</v>
      </c>
      <c r="Z5755" s="34" t="s">
        <v>3543</v>
      </c>
      <c r="AA5755" s="35">
        <v>1.0855999999999999</v>
      </c>
      <c r="AB5755" s="13"/>
      <c r="AC5755" s="13"/>
      <c r="AD5755" s="13"/>
      <c r="AE5755" s="13"/>
      <c r="AF5755" s="13"/>
    </row>
    <row r="5756" spans="19:32" x14ac:dyDescent="0.35">
      <c r="S5756" s="13"/>
      <c r="T5756" s="16"/>
      <c r="U5756" s="16"/>
      <c r="V5756" s="16"/>
      <c r="W5756" s="13"/>
      <c r="X5756" s="34">
        <v>5752</v>
      </c>
      <c r="Y5756" s="34" t="s">
        <v>2248</v>
      </c>
      <c r="Z5756" s="34" t="s">
        <v>3542</v>
      </c>
      <c r="AA5756" s="35">
        <v>0.253</v>
      </c>
      <c r="AB5756" s="13"/>
      <c r="AC5756" s="13"/>
      <c r="AD5756" s="13"/>
      <c r="AE5756" s="13"/>
      <c r="AF5756" s="13"/>
    </row>
    <row r="5757" spans="19:32" x14ac:dyDescent="0.35">
      <c r="S5757" s="13"/>
      <c r="T5757" s="16"/>
      <c r="U5757" s="16"/>
      <c r="V5757" s="16"/>
      <c r="W5757" s="13"/>
      <c r="X5757" s="34">
        <v>5753</v>
      </c>
      <c r="Y5757" s="34" t="s">
        <v>2248</v>
      </c>
      <c r="Z5757" s="34" t="s">
        <v>3541</v>
      </c>
      <c r="AA5757" s="35">
        <v>3.2354838709677418E-4</v>
      </c>
      <c r="AB5757" s="13"/>
      <c r="AC5757" s="13"/>
      <c r="AD5757" s="13"/>
      <c r="AE5757" s="13"/>
      <c r="AF5757" s="13"/>
    </row>
    <row r="5758" spans="19:32" x14ac:dyDescent="0.35">
      <c r="S5758" s="13"/>
      <c r="T5758" s="16"/>
      <c r="U5758" s="16"/>
      <c r="V5758" s="16"/>
      <c r="W5758" s="13"/>
      <c r="X5758" s="34">
        <v>5754</v>
      </c>
      <c r="Y5758" s="34" t="s">
        <v>2248</v>
      </c>
      <c r="Z5758" s="34" t="s">
        <v>3540</v>
      </c>
      <c r="AA5758" s="35">
        <v>48.943999999999996</v>
      </c>
      <c r="AB5758" s="13"/>
      <c r="AC5758" s="13"/>
      <c r="AD5758" s="13"/>
      <c r="AE5758" s="13"/>
      <c r="AF5758" s="13"/>
    </row>
    <row r="5759" spans="19:32" x14ac:dyDescent="0.35">
      <c r="S5759" s="13"/>
      <c r="T5759" s="16"/>
      <c r="U5759" s="16"/>
      <c r="V5759" s="16"/>
      <c r="W5759" s="13"/>
      <c r="X5759" s="34">
        <v>5755</v>
      </c>
      <c r="Y5759" s="34" t="s">
        <v>2248</v>
      </c>
      <c r="Z5759" s="34" t="s">
        <v>3539</v>
      </c>
      <c r="AA5759" s="35">
        <v>5.6120000000000001</v>
      </c>
      <c r="AB5759" s="13"/>
      <c r="AC5759" s="13"/>
      <c r="AD5759" s="13"/>
      <c r="AE5759" s="13"/>
      <c r="AF5759" s="13"/>
    </row>
    <row r="5760" spans="19:32" x14ac:dyDescent="0.35">
      <c r="S5760" s="13"/>
      <c r="T5760" s="16"/>
      <c r="U5760" s="16"/>
      <c r="V5760" s="16"/>
      <c r="W5760" s="13"/>
      <c r="X5760" s="34">
        <v>5756</v>
      </c>
      <c r="Y5760" s="34" t="s">
        <v>2248</v>
      </c>
      <c r="Z5760" s="34" t="s">
        <v>3538</v>
      </c>
      <c r="AA5760" s="35">
        <v>0.50725806451612909</v>
      </c>
      <c r="AB5760" s="13"/>
      <c r="AC5760" s="13"/>
      <c r="AD5760" s="13"/>
      <c r="AE5760" s="13"/>
      <c r="AF5760" s="13"/>
    </row>
    <row r="5761" spans="19:32" x14ac:dyDescent="0.35">
      <c r="S5761" s="13"/>
      <c r="T5761" s="16"/>
      <c r="U5761" s="16"/>
      <c r="V5761" s="16"/>
      <c r="W5761" s="13"/>
      <c r="X5761" s="34">
        <v>5757</v>
      </c>
      <c r="Y5761" s="34" t="s">
        <v>2248</v>
      </c>
      <c r="Z5761" s="34" t="s">
        <v>3537</v>
      </c>
      <c r="AA5761" s="35">
        <v>1.1776</v>
      </c>
      <c r="AB5761" s="13"/>
      <c r="AC5761" s="13"/>
      <c r="AD5761" s="13"/>
      <c r="AE5761" s="13"/>
      <c r="AF5761" s="13"/>
    </row>
    <row r="5762" spans="19:32" x14ac:dyDescent="0.35">
      <c r="S5762" s="13"/>
      <c r="T5762" s="16"/>
      <c r="U5762" s="16"/>
      <c r="V5762" s="16"/>
      <c r="W5762" s="13"/>
      <c r="X5762" s="34">
        <v>5758</v>
      </c>
      <c r="Y5762" s="34" t="s">
        <v>2248</v>
      </c>
      <c r="Z5762" s="34" t="s">
        <v>3536</v>
      </c>
      <c r="AA5762" s="35">
        <v>56.948</v>
      </c>
      <c r="AB5762" s="13"/>
      <c r="AC5762" s="13"/>
      <c r="AD5762" s="13"/>
      <c r="AE5762" s="13"/>
      <c r="AF5762" s="13"/>
    </row>
    <row r="5763" spans="19:32" x14ac:dyDescent="0.35">
      <c r="S5763" s="13"/>
      <c r="T5763" s="16"/>
      <c r="U5763" s="16"/>
      <c r="V5763" s="16"/>
      <c r="W5763" s="13"/>
      <c r="X5763" s="34">
        <v>5759</v>
      </c>
      <c r="Y5763" s="34" t="s">
        <v>2248</v>
      </c>
      <c r="Z5763" s="34" t="s">
        <v>3003</v>
      </c>
      <c r="AA5763" s="35">
        <v>0.23991935483870969</v>
      </c>
      <c r="AB5763" s="13"/>
      <c r="AC5763" s="13"/>
      <c r="AD5763" s="13"/>
      <c r="AE5763" s="13"/>
      <c r="AF5763" s="13"/>
    </row>
    <row r="5764" spans="19:32" x14ac:dyDescent="0.35">
      <c r="S5764" s="13"/>
      <c r="T5764" s="16"/>
      <c r="U5764" s="16"/>
      <c r="V5764" s="16"/>
      <c r="W5764" s="13"/>
      <c r="X5764" s="34">
        <v>5760</v>
      </c>
      <c r="Y5764" s="34" t="s">
        <v>2248</v>
      </c>
      <c r="Z5764" s="34" t="s">
        <v>3535</v>
      </c>
      <c r="AA5764" s="35">
        <v>7.7647999999999995E-2</v>
      </c>
      <c r="AB5764" s="13"/>
      <c r="AC5764" s="13"/>
      <c r="AD5764" s="13"/>
      <c r="AE5764" s="13"/>
      <c r="AF5764" s="13"/>
    </row>
    <row r="5765" spans="19:32" x14ac:dyDescent="0.35">
      <c r="S5765" s="13"/>
      <c r="T5765" s="16"/>
      <c r="U5765" s="16"/>
      <c r="V5765" s="16"/>
      <c r="W5765" s="13"/>
      <c r="X5765" s="34">
        <v>5761</v>
      </c>
      <c r="Y5765" s="34" t="s">
        <v>2248</v>
      </c>
      <c r="Z5765" s="34" t="s">
        <v>3002</v>
      </c>
      <c r="AA5765" s="35">
        <v>1.0727822580645162E-2</v>
      </c>
      <c r="AB5765" s="13"/>
      <c r="AC5765" s="13"/>
      <c r="AD5765" s="13"/>
      <c r="AE5765" s="13"/>
      <c r="AF5765" s="13"/>
    </row>
    <row r="5766" spans="19:32" x14ac:dyDescent="0.35">
      <c r="S5766" s="13"/>
      <c r="T5766" s="16"/>
      <c r="U5766" s="16"/>
      <c r="V5766" s="16"/>
      <c r="W5766" s="13"/>
      <c r="X5766" s="34">
        <v>5762</v>
      </c>
      <c r="Y5766" s="34" t="s">
        <v>2248</v>
      </c>
      <c r="Z5766" s="34" t="s">
        <v>3534</v>
      </c>
      <c r="AA5766" s="35">
        <v>163.76</v>
      </c>
      <c r="AB5766" s="13"/>
      <c r="AC5766" s="13"/>
      <c r="AD5766" s="13"/>
      <c r="AE5766" s="13"/>
      <c r="AF5766" s="13"/>
    </row>
    <row r="5767" spans="19:32" x14ac:dyDescent="0.35">
      <c r="S5767" s="13"/>
      <c r="T5767" s="16"/>
      <c r="U5767" s="16"/>
      <c r="V5767" s="16"/>
      <c r="W5767" s="13"/>
      <c r="X5767" s="34">
        <v>5763</v>
      </c>
      <c r="Y5767" s="34" t="s">
        <v>2248</v>
      </c>
      <c r="Z5767" s="34" t="s">
        <v>3533</v>
      </c>
      <c r="AA5767" s="35">
        <v>11.5</v>
      </c>
      <c r="AB5767" s="13"/>
      <c r="AC5767" s="13"/>
      <c r="AD5767" s="13"/>
      <c r="AE5767" s="13"/>
      <c r="AF5767" s="13"/>
    </row>
    <row r="5768" spans="19:32" x14ac:dyDescent="0.35">
      <c r="S5768" s="13"/>
      <c r="T5768" s="16"/>
      <c r="U5768" s="16"/>
      <c r="V5768" s="16"/>
      <c r="W5768" s="13"/>
      <c r="X5768" s="34">
        <v>5764</v>
      </c>
      <c r="Y5768" s="34" t="s">
        <v>2248</v>
      </c>
      <c r="Z5768" s="34" t="s">
        <v>3001</v>
      </c>
      <c r="AA5768" s="35">
        <v>5.6895161290322594E-4</v>
      </c>
      <c r="AB5768" s="13"/>
      <c r="AC5768" s="13"/>
      <c r="AD5768" s="13"/>
      <c r="AE5768" s="13"/>
      <c r="AF5768" s="13"/>
    </row>
    <row r="5769" spans="19:32" x14ac:dyDescent="0.35">
      <c r="S5769" s="13"/>
      <c r="T5769" s="16"/>
      <c r="U5769" s="16"/>
      <c r="V5769" s="16"/>
      <c r="W5769" s="13"/>
      <c r="X5769" s="34">
        <v>5765</v>
      </c>
      <c r="Y5769" s="34" t="s">
        <v>2248</v>
      </c>
      <c r="Z5769" s="34" t="s">
        <v>3532</v>
      </c>
      <c r="AA5769" s="35">
        <v>0</v>
      </c>
      <c r="AB5769" s="13"/>
      <c r="AC5769" s="13"/>
      <c r="AD5769" s="13"/>
      <c r="AE5769" s="13"/>
      <c r="AF5769" s="13"/>
    </row>
    <row r="5770" spans="19:32" x14ac:dyDescent="0.35">
      <c r="S5770" s="13"/>
      <c r="T5770" s="16"/>
      <c r="U5770" s="16"/>
      <c r="V5770" s="16"/>
      <c r="W5770" s="13"/>
      <c r="X5770" s="34">
        <v>5766</v>
      </c>
      <c r="Y5770" s="34" t="s">
        <v>2248</v>
      </c>
      <c r="Z5770" s="34" t="s">
        <v>3531</v>
      </c>
      <c r="AA5770" s="35">
        <v>0.2898</v>
      </c>
      <c r="AB5770" s="13"/>
      <c r="AC5770" s="13"/>
      <c r="AD5770" s="13"/>
      <c r="AE5770" s="13"/>
      <c r="AF5770" s="13"/>
    </row>
    <row r="5771" spans="19:32" x14ac:dyDescent="0.35">
      <c r="S5771" s="13"/>
      <c r="T5771" s="16"/>
      <c r="U5771" s="16"/>
      <c r="V5771" s="16"/>
      <c r="W5771" s="13"/>
      <c r="X5771" s="34">
        <v>5767</v>
      </c>
      <c r="Y5771" s="34" t="s">
        <v>2248</v>
      </c>
      <c r="Z5771" s="34" t="s">
        <v>3530</v>
      </c>
      <c r="AA5771" s="35">
        <v>7.643145161290323E-4</v>
      </c>
      <c r="AB5771" s="13"/>
      <c r="AC5771" s="13"/>
      <c r="AD5771" s="13"/>
      <c r="AE5771" s="13"/>
      <c r="AF5771" s="13"/>
    </row>
    <row r="5772" spans="19:32" x14ac:dyDescent="0.35">
      <c r="S5772" s="13"/>
      <c r="T5772" s="16"/>
      <c r="U5772" s="16"/>
      <c r="V5772" s="16"/>
      <c r="W5772" s="13"/>
      <c r="X5772" s="34">
        <v>5768</v>
      </c>
      <c r="Y5772" s="34" t="s">
        <v>2248</v>
      </c>
      <c r="Z5772" s="34" t="s">
        <v>3529</v>
      </c>
      <c r="AA5772" s="35">
        <v>7.7464000000000004</v>
      </c>
      <c r="AB5772" s="13"/>
      <c r="AC5772" s="13"/>
      <c r="AD5772" s="13"/>
      <c r="AE5772" s="13"/>
      <c r="AF5772" s="13"/>
    </row>
    <row r="5773" spans="19:32" x14ac:dyDescent="0.35">
      <c r="S5773" s="13"/>
      <c r="T5773" s="16"/>
      <c r="U5773" s="16"/>
      <c r="V5773" s="16"/>
      <c r="W5773" s="13"/>
      <c r="X5773" s="34">
        <v>5769</v>
      </c>
      <c r="Y5773" s="34" t="s">
        <v>2248</v>
      </c>
      <c r="Z5773" s="34" t="s">
        <v>3528</v>
      </c>
      <c r="AA5773" s="35">
        <v>0</v>
      </c>
      <c r="AB5773" s="13"/>
      <c r="AC5773" s="13"/>
      <c r="AD5773" s="13"/>
      <c r="AE5773" s="13"/>
      <c r="AF5773" s="13"/>
    </row>
    <row r="5774" spans="19:32" x14ac:dyDescent="0.35">
      <c r="S5774" s="13"/>
      <c r="T5774" s="16"/>
      <c r="U5774" s="16"/>
      <c r="V5774" s="16"/>
      <c r="W5774" s="13"/>
      <c r="X5774" s="34">
        <v>5770</v>
      </c>
      <c r="Y5774" s="34" t="s">
        <v>2248</v>
      </c>
      <c r="Z5774" s="34" t="s">
        <v>3527</v>
      </c>
      <c r="AA5774" s="35">
        <v>3.0949596774193549E-4</v>
      </c>
      <c r="AB5774" s="13"/>
      <c r="AC5774" s="13"/>
      <c r="AD5774" s="13"/>
      <c r="AE5774" s="13"/>
      <c r="AF5774" s="13"/>
    </row>
    <row r="5775" spans="19:32" x14ac:dyDescent="0.35">
      <c r="S5775" s="13"/>
      <c r="T5775" s="16"/>
      <c r="U5775" s="16"/>
      <c r="V5775" s="16"/>
      <c r="W5775" s="13"/>
      <c r="X5775" s="34">
        <v>5771</v>
      </c>
      <c r="Y5775" s="34" t="s">
        <v>2248</v>
      </c>
      <c r="Z5775" s="34" t="s">
        <v>3526</v>
      </c>
      <c r="AA5775" s="35">
        <v>3.2199999999999999E-2</v>
      </c>
      <c r="AB5775" s="13"/>
      <c r="AC5775" s="13"/>
      <c r="AD5775" s="13"/>
      <c r="AE5775" s="13"/>
      <c r="AF5775" s="13"/>
    </row>
    <row r="5776" spans="19:32" x14ac:dyDescent="0.35">
      <c r="S5776" s="13"/>
      <c r="T5776" s="16"/>
      <c r="U5776" s="16"/>
      <c r="V5776" s="16"/>
      <c r="W5776" s="13"/>
      <c r="X5776" s="34">
        <v>5772</v>
      </c>
      <c r="Y5776" s="34" t="s">
        <v>2248</v>
      </c>
      <c r="Z5776" s="34" t="s">
        <v>3525</v>
      </c>
      <c r="AA5776" s="35">
        <v>2.7385080645161292E-4</v>
      </c>
      <c r="AB5776" s="13"/>
      <c r="AC5776" s="13"/>
      <c r="AD5776" s="13"/>
      <c r="AE5776" s="13"/>
      <c r="AF5776" s="13"/>
    </row>
    <row r="5777" spans="19:32" x14ac:dyDescent="0.35">
      <c r="S5777" s="13"/>
      <c r="T5777" s="16"/>
      <c r="U5777" s="16"/>
      <c r="V5777" s="16"/>
      <c r="W5777" s="13"/>
      <c r="X5777" s="34">
        <v>5773</v>
      </c>
      <c r="Y5777" s="34" t="s">
        <v>2248</v>
      </c>
      <c r="Z5777" s="34" t="s">
        <v>3524</v>
      </c>
      <c r="AA5777" s="35">
        <v>39.744</v>
      </c>
      <c r="AB5777" s="13"/>
      <c r="AC5777" s="13"/>
      <c r="AD5777" s="13"/>
      <c r="AE5777" s="13"/>
      <c r="AF5777" s="13"/>
    </row>
    <row r="5778" spans="19:32" x14ac:dyDescent="0.35">
      <c r="S5778" s="13"/>
      <c r="T5778" s="16"/>
      <c r="U5778" s="16"/>
      <c r="V5778" s="16"/>
      <c r="W5778" s="13"/>
      <c r="X5778" s="34">
        <v>5774</v>
      </c>
      <c r="Y5778" s="34" t="s">
        <v>2248</v>
      </c>
      <c r="Z5778" s="34" t="s">
        <v>3523</v>
      </c>
      <c r="AA5778" s="35">
        <v>0</v>
      </c>
      <c r="AB5778" s="13"/>
      <c r="AC5778" s="13"/>
      <c r="AD5778" s="13"/>
      <c r="AE5778" s="13"/>
      <c r="AF5778" s="13"/>
    </row>
    <row r="5779" spans="19:32" x14ac:dyDescent="0.35">
      <c r="S5779" s="13"/>
      <c r="T5779" s="16"/>
      <c r="U5779" s="16"/>
      <c r="V5779" s="16"/>
      <c r="W5779" s="13"/>
      <c r="X5779" s="34">
        <v>5775</v>
      </c>
      <c r="Y5779" s="34" t="s">
        <v>2248</v>
      </c>
      <c r="Z5779" s="34" t="s">
        <v>3522</v>
      </c>
      <c r="AA5779" s="35">
        <v>5.3467741935483873E-4</v>
      </c>
      <c r="AB5779" s="13"/>
      <c r="AC5779" s="13"/>
      <c r="AD5779" s="13"/>
      <c r="AE5779" s="13"/>
      <c r="AF5779" s="13"/>
    </row>
    <row r="5780" spans="19:32" x14ac:dyDescent="0.35">
      <c r="S5780" s="13"/>
      <c r="T5780" s="16"/>
      <c r="U5780" s="16"/>
      <c r="V5780" s="16"/>
      <c r="W5780" s="13"/>
      <c r="X5780" s="34">
        <v>5776</v>
      </c>
      <c r="Y5780" s="34" t="s">
        <v>2248</v>
      </c>
      <c r="Z5780" s="34" t="s">
        <v>3521</v>
      </c>
      <c r="AA5780" s="35">
        <v>4.7471999999999994</v>
      </c>
      <c r="AB5780" s="13"/>
      <c r="AC5780" s="13"/>
      <c r="AD5780" s="13"/>
      <c r="AE5780" s="13"/>
      <c r="AF5780" s="13"/>
    </row>
    <row r="5781" spans="19:32" x14ac:dyDescent="0.35">
      <c r="S5781" s="13"/>
      <c r="T5781" s="16"/>
      <c r="U5781" s="16"/>
      <c r="V5781" s="16"/>
      <c r="W5781" s="13"/>
      <c r="X5781" s="34">
        <v>5777</v>
      </c>
      <c r="Y5781" s="34" t="s">
        <v>2248</v>
      </c>
      <c r="Z5781" s="34" t="s">
        <v>3520</v>
      </c>
      <c r="AA5781" s="35">
        <v>0</v>
      </c>
      <c r="AB5781" s="13"/>
      <c r="AC5781" s="13"/>
      <c r="AD5781" s="13"/>
      <c r="AE5781" s="13"/>
      <c r="AF5781" s="13"/>
    </row>
    <row r="5782" spans="19:32" x14ac:dyDescent="0.35">
      <c r="S5782" s="13"/>
      <c r="T5782" s="16"/>
      <c r="U5782" s="16"/>
      <c r="V5782" s="16"/>
      <c r="W5782" s="13"/>
      <c r="X5782" s="34">
        <v>5778</v>
      </c>
      <c r="Y5782" s="34" t="s">
        <v>2248</v>
      </c>
      <c r="Z5782" s="34" t="s">
        <v>3519</v>
      </c>
      <c r="AA5782" s="35">
        <v>3.2389112903225811E-2</v>
      </c>
      <c r="AB5782" s="13"/>
      <c r="AC5782" s="13"/>
      <c r="AD5782" s="13"/>
      <c r="AE5782" s="13"/>
      <c r="AF5782" s="13"/>
    </row>
    <row r="5783" spans="19:32" x14ac:dyDescent="0.35">
      <c r="S5783" s="13"/>
      <c r="T5783" s="16"/>
      <c r="U5783" s="16"/>
      <c r="V5783" s="16"/>
      <c r="W5783" s="13"/>
      <c r="X5783" s="34">
        <v>5779</v>
      </c>
      <c r="Y5783" s="34" t="s">
        <v>2248</v>
      </c>
      <c r="Z5783" s="34" t="s">
        <v>3518</v>
      </c>
      <c r="AA5783" s="35">
        <v>6.0167999999999999</v>
      </c>
      <c r="AB5783" s="13"/>
      <c r="AC5783" s="13"/>
      <c r="AD5783" s="13"/>
      <c r="AE5783" s="13"/>
      <c r="AF5783" s="13"/>
    </row>
    <row r="5784" spans="19:32" x14ac:dyDescent="0.35">
      <c r="S5784" s="13"/>
      <c r="T5784" s="16"/>
      <c r="U5784" s="16"/>
      <c r="V5784" s="16"/>
      <c r="W5784" s="13"/>
      <c r="X5784" s="34">
        <v>5780</v>
      </c>
      <c r="Y5784" s="34" t="s">
        <v>2248</v>
      </c>
      <c r="Z5784" s="34" t="s">
        <v>3517</v>
      </c>
      <c r="AA5784" s="35">
        <v>0</v>
      </c>
      <c r="AB5784" s="13"/>
      <c r="AC5784" s="13"/>
      <c r="AD5784" s="13"/>
      <c r="AE5784" s="13"/>
      <c r="AF5784" s="13"/>
    </row>
    <row r="5785" spans="19:32" x14ac:dyDescent="0.35">
      <c r="S5785" s="13"/>
      <c r="T5785" s="16"/>
      <c r="U5785" s="16"/>
      <c r="V5785" s="16"/>
      <c r="W5785" s="13"/>
      <c r="X5785" s="34">
        <v>5781</v>
      </c>
      <c r="Y5785" s="34" t="s">
        <v>2248</v>
      </c>
      <c r="Z5785" s="34" t="s">
        <v>3516</v>
      </c>
      <c r="AA5785" s="35">
        <v>3.7358870967741937E-4</v>
      </c>
      <c r="AB5785" s="13"/>
      <c r="AC5785" s="13"/>
      <c r="AD5785" s="13"/>
      <c r="AE5785" s="13"/>
      <c r="AF5785" s="13"/>
    </row>
    <row r="5786" spans="19:32" x14ac:dyDescent="0.35">
      <c r="S5786" s="13"/>
      <c r="T5786" s="16"/>
      <c r="U5786" s="16"/>
      <c r="V5786" s="16"/>
      <c r="W5786" s="13"/>
      <c r="X5786" s="34">
        <v>5782</v>
      </c>
      <c r="Y5786" s="34" t="s">
        <v>2248</v>
      </c>
      <c r="Z5786" s="34" t="s">
        <v>3515</v>
      </c>
      <c r="AA5786" s="35">
        <v>4.7563999999999993</v>
      </c>
      <c r="AB5786" s="13"/>
      <c r="AC5786" s="13"/>
      <c r="AD5786" s="13"/>
      <c r="AE5786" s="13"/>
      <c r="AF5786" s="13"/>
    </row>
    <row r="5787" spans="19:32" x14ac:dyDescent="0.35">
      <c r="S5787" s="13"/>
      <c r="T5787" s="16"/>
      <c r="U5787" s="16"/>
      <c r="V5787" s="16"/>
      <c r="W5787" s="13"/>
      <c r="X5787" s="34">
        <v>5783</v>
      </c>
      <c r="Y5787" s="34" t="s">
        <v>2248</v>
      </c>
      <c r="Z5787" s="34" t="s">
        <v>3514</v>
      </c>
      <c r="AA5787" s="35">
        <v>0</v>
      </c>
      <c r="AB5787" s="13"/>
      <c r="AC5787" s="13"/>
      <c r="AD5787" s="13"/>
      <c r="AE5787" s="13"/>
      <c r="AF5787" s="13"/>
    </row>
    <row r="5788" spans="19:32" x14ac:dyDescent="0.35">
      <c r="S5788" s="13"/>
      <c r="T5788" s="16"/>
      <c r="U5788" s="16"/>
      <c r="V5788" s="16"/>
      <c r="W5788" s="13"/>
      <c r="X5788" s="34">
        <v>5784</v>
      </c>
      <c r="Y5788" s="34" t="s">
        <v>2248</v>
      </c>
      <c r="Z5788" s="34" t="s">
        <v>3513</v>
      </c>
      <c r="AA5788" s="35">
        <v>5.8951612903225814E-3</v>
      </c>
      <c r="AB5788" s="13"/>
      <c r="AC5788" s="13"/>
      <c r="AD5788" s="13"/>
      <c r="AE5788" s="13"/>
      <c r="AF5788" s="13"/>
    </row>
    <row r="5789" spans="19:32" x14ac:dyDescent="0.35">
      <c r="S5789" s="13"/>
      <c r="T5789" s="16"/>
      <c r="U5789" s="16"/>
      <c r="V5789" s="16"/>
      <c r="W5789" s="13"/>
      <c r="X5789" s="34">
        <v>5785</v>
      </c>
      <c r="Y5789" s="34" t="s">
        <v>2248</v>
      </c>
      <c r="Z5789" s="34" t="s">
        <v>3512</v>
      </c>
      <c r="AA5789" s="35">
        <v>3.2383999999999998E-3</v>
      </c>
      <c r="AB5789" s="13"/>
      <c r="AC5789" s="13"/>
      <c r="AD5789" s="13"/>
      <c r="AE5789" s="13"/>
      <c r="AF5789" s="13"/>
    </row>
    <row r="5790" spans="19:32" x14ac:dyDescent="0.35">
      <c r="S5790" s="13"/>
      <c r="T5790" s="16"/>
      <c r="U5790" s="16"/>
      <c r="V5790" s="16"/>
      <c r="W5790" s="13"/>
      <c r="X5790" s="34">
        <v>5786</v>
      </c>
      <c r="Y5790" s="34" t="s">
        <v>2248</v>
      </c>
      <c r="Z5790" s="34" t="s">
        <v>3511</v>
      </c>
      <c r="AA5790" s="35">
        <v>1.1241935483870969E-2</v>
      </c>
      <c r="AB5790" s="13"/>
      <c r="AC5790" s="13"/>
      <c r="AD5790" s="13"/>
      <c r="AE5790" s="13"/>
      <c r="AF5790" s="13"/>
    </row>
    <row r="5791" spans="19:32" x14ac:dyDescent="0.35">
      <c r="S5791" s="13"/>
      <c r="T5791" s="16"/>
      <c r="U5791" s="16"/>
      <c r="V5791" s="16"/>
      <c r="W5791" s="13"/>
      <c r="X5791" s="34">
        <v>5787</v>
      </c>
      <c r="Y5791" s="34" t="s">
        <v>2248</v>
      </c>
      <c r="Z5791" s="34" t="s">
        <v>3510</v>
      </c>
      <c r="AA5791" s="35">
        <v>3.266</v>
      </c>
      <c r="AB5791" s="13"/>
      <c r="AC5791" s="13"/>
      <c r="AD5791" s="13"/>
      <c r="AE5791" s="13"/>
      <c r="AF5791" s="13"/>
    </row>
    <row r="5792" spans="19:32" x14ac:dyDescent="0.35">
      <c r="S5792" s="13"/>
      <c r="T5792" s="16"/>
      <c r="U5792" s="16"/>
      <c r="V5792" s="16"/>
      <c r="W5792" s="13"/>
      <c r="X5792" s="34">
        <v>5788</v>
      </c>
      <c r="Y5792" s="34" t="s">
        <v>2248</v>
      </c>
      <c r="Z5792" s="34" t="s">
        <v>3509</v>
      </c>
      <c r="AA5792" s="35">
        <v>35052</v>
      </c>
      <c r="AB5792" s="13"/>
      <c r="AC5792" s="13"/>
      <c r="AD5792" s="13"/>
      <c r="AE5792" s="13"/>
      <c r="AF5792" s="13"/>
    </row>
    <row r="5793" spans="19:32" x14ac:dyDescent="0.35">
      <c r="S5793" s="13"/>
      <c r="T5793" s="16"/>
      <c r="U5793" s="16"/>
      <c r="V5793" s="16"/>
      <c r="W5793" s="13"/>
      <c r="X5793" s="34">
        <v>5789</v>
      </c>
      <c r="Y5793" s="34" t="s">
        <v>2248</v>
      </c>
      <c r="Z5793" s="34" t="s">
        <v>3508</v>
      </c>
      <c r="AA5793" s="35">
        <v>1.6622983870967743E-2</v>
      </c>
      <c r="AB5793" s="13"/>
      <c r="AC5793" s="13"/>
      <c r="AD5793" s="13"/>
      <c r="AE5793" s="13"/>
      <c r="AF5793" s="13"/>
    </row>
    <row r="5794" spans="19:32" x14ac:dyDescent="0.35">
      <c r="S5794" s="13"/>
      <c r="T5794" s="16"/>
      <c r="U5794" s="16"/>
      <c r="V5794" s="16"/>
      <c r="W5794" s="13"/>
      <c r="X5794" s="34">
        <v>5790</v>
      </c>
      <c r="Y5794" s="34" t="s">
        <v>2248</v>
      </c>
      <c r="Z5794" s="34" t="s">
        <v>3507</v>
      </c>
      <c r="AA5794" s="35">
        <v>36432</v>
      </c>
      <c r="AB5794" s="13"/>
      <c r="AC5794" s="13"/>
      <c r="AD5794" s="13"/>
      <c r="AE5794" s="13"/>
      <c r="AF5794" s="13"/>
    </row>
    <row r="5795" spans="19:32" x14ac:dyDescent="0.35">
      <c r="S5795" s="13"/>
      <c r="T5795" s="16"/>
      <c r="U5795" s="16"/>
      <c r="V5795" s="16"/>
      <c r="W5795" s="13"/>
      <c r="X5795" s="34">
        <v>5791</v>
      </c>
      <c r="Y5795" s="34" t="s">
        <v>2248</v>
      </c>
      <c r="Z5795" s="34" t="s">
        <v>3506</v>
      </c>
      <c r="AA5795" s="35">
        <v>0</v>
      </c>
      <c r="AB5795" s="13"/>
      <c r="AC5795" s="13"/>
      <c r="AD5795" s="13"/>
      <c r="AE5795" s="13"/>
      <c r="AF5795" s="13"/>
    </row>
    <row r="5796" spans="19:32" x14ac:dyDescent="0.35">
      <c r="S5796" s="13"/>
      <c r="T5796" s="16"/>
      <c r="U5796" s="16"/>
      <c r="V5796" s="16"/>
      <c r="W5796" s="13"/>
      <c r="X5796" s="34">
        <v>5792</v>
      </c>
      <c r="Y5796" s="34" t="s">
        <v>2248</v>
      </c>
      <c r="Z5796" s="34" t="s">
        <v>3505</v>
      </c>
      <c r="AA5796" s="35">
        <v>1.5868951612903225E-3</v>
      </c>
      <c r="AB5796" s="13"/>
      <c r="AC5796" s="13"/>
      <c r="AD5796" s="13"/>
      <c r="AE5796" s="13"/>
      <c r="AF5796" s="13"/>
    </row>
    <row r="5797" spans="19:32" x14ac:dyDescent="0.35">
      <c r="S5797" s="13"/>
      <c r="T5797" s="16"/>
      <c r="U5797" s="16"/>
      <c r="V5797" s="16"/>
      <c r="W5797" s="13"/>
      <c r="X5797" s="34">
        <v>5793</v>
      </c>
      <c r="Y5797" s="34" t="s">
        <v>2248</v>
      </c>
      <c r="Z5797" s="34" t="s">
        <v>3504</v>
      </c>
      <c r="AA5797" s="35">
        <v>0</v>
      </c>
      <c r="AB5797" s="13"/>
      <c r="AC5797" s="13"/>
      <c r="AD5797" s="13"/>
      <c r="AE5797" s="13"/>
      <c r="AF5797" s="13"/>
    </row>
    <row r="5798" spans="19:32" x14ac:dyDescent="0.35">
      <c r="S5798" s="13"/>
      <c r="T5798" s="16"/>
      <c r="U5798" s="16"/>
      <c r="V5798" s="16"/>
      <c r="W5798" s="13"/>
      <c r="X5798" s="34">
        <v>5794</v>
      </c>
      <c r="Y5798" s="34" t="s">
        <v>2248</v>
      </c>
      <c r="Z5798" s="34" t="s">
        <v>3503</v>
      </c>
      <c r="AA5798" s="35">
        <v>0</v>
      </c>
      <c r="AB5798" s="13"/>
      <c r="AC5798" s="13"/>
      <c r="AD5798" s="13"/>
      <c r="AE5798" s="13"/>
      <c r="AF5798" s="13"/>
    </row>
    <row r="5799" spans="19:32" x14ac:dyDescent="0.35">
      <c r="S5799" s="13"/>
      <c r="T5799" s="16"/>
      <c r="U5799" s="16"/>
      <c r="V5799" s="16"/>
      <c r="W5799" s="13"/>
      <c r="X5799" s="34">
        <v>5795</v>
      </c>
      <c r="Y5799" s="34" t="s">
        <v>2248</v>
      </c>
      <c r="Z5799" s="34" t="s">
        <v>3502</v>
      </c>
      <c r="AA5799" s="35">
        <v>0.16280241935483872</v>
      </c>
      <c r="AB5799" s="13"/>
      <c r="AC5799" s="13"/>
      <c r="AD5799" s="13"/>
      <c r="AE5799" s="13"/>
      <c r="AF5799" s="13"/>
    </row>
    <row r="5800" spans="19:32" x14ac:dyDescent="0.35">
      <c r="S5800" s="13"/>
      <c r="T5800" s="16"/>
      <c r="U5800" s="16"/>
      <c r="V5800" s="16"/>
      <c r="W5800" s="13"/>
      <c r="X5800" s="34">
        <v>5796</v>
      </c>
      <c r="Y5800" s="34" t="s">
        <v>2248</v>
      </c>
      <c r="Z5800" s="34" t="s">
        <v>3501</v>
      </c>
      <c r="AA5800" s="35">
        <v>64.49199999999999</v>
      </c>
      <c r="AB5800" s="13"/>
      <c r="AC5800" s="13"/>
      <c r="AD5800" s="13"/>
      <c r="AE5800" s="13"/>
      <c r="AF5800" s="13"/>
    </row>
    <row r="5801" spans="19:32" x14ac:dyDescent="0.35">
      <c r="S5801" s="13"/>
      <c r="T5801" s="16"/>
      <c r="U5801" s="16"/>
      <c r="V5801" s="16"/>
      <c r="W5801" s="13"/>
      <c r="X5801" s="34">
        <v>5797</v>
      </c>
      <c r="Y5801" s="34" t="s">
        <v>2248</v>
      </c>
      <c r="Z5801" s="34" t="s">
        <v>3500</v>
      </c>
      <c r="AA5801" s="35">
        <v>1.1858870967741936E-2</v>
      </c>
      <c r="AB5801" s="13"/>
      <c r="AC5801" s="13"/>
      <c r="AD5801" s="13"/>
      <c r="AE5801" s="13"/>
      <c r="AF5801" s="13"/>
    </row>
    <row r="5802" spans="19:32" x14ac:dyDescent="0.35">
      <c r="S5802" s="13"/>
      <c r="T5802" s="16"/>
      <c r="U5802" s="16"/>
      <c r="V5802" s="16"/>
      <c r="W5802" s="13"/>
      <c r="X5802" s="34">
        <v>5798</v>
      </c>
      <c r="Y5802" s="34" t="s">
        <v>2248</v>
      </c>
      <c r="Z5802" s="34" t="s">
        <v>3499</v>
      </c>
      <c r="AA5802" s="35">
        <v>0</v>
      </c>
      <c r="AB5802" s="13"/>
      <c r="AC5802" s="13"/>
      <c r="AD5802" s="13"/>
      <c r="AE5802" s="13"/>
      <c r="AF5802" s="13"/>
    </row>
    <row r="5803" spans="19:32" x14ac:dyDescent="0.35">
      <c r="S5803" s="13"/>
      <c r="T5803" s="16"/>
      <c r="U5803" s="16"/>
      <c r="V5803" s="16"/>
      <c r="W5803" s="13"/>
      <c r="X5803" s="34">
        <v>5799</v>
      </c>
      <c r="Y5803" s="34" t="s">
        <v>2248</v>
      </c>
      <c r="Z5803" s="34" t="s">
        <v>3498</v>
      </c>
      <c r="AA5803" s="35">
        <v>0</v>
      </c>
      <c r="AB5803" s="13"/>
      <c r="AC5803" s="13"/>
      <c r="AD5803" s="13"/>
      <c r="AE5803" s="13"/>
      <c r="AF5803" s="13"/>
    </row>
    <row r="5804" spans="19:32" x14ac:dyDescent="0.35">
      <c r="S5804" s="13"/>
      <c r="T5804" s="16"/>
      <c r="U5804" s="16"/>
      <c r="V5804" s="16"/>
      <c r="W5804" s="13"/>
      <c r="X5804" s="34">
        <v>5800</v>
      </c>
      <c r="Y5804" s="34" t="s">
        <v>2248</v>
      </c>
      <c r="Z5804" s="34" t="s">
        <v>3497</v>
      </c>
      <c r="AA5804" s="35">
        <v>2.5431451612903228E-3</v>
      </c>
      <c r="AB5804" s="13"/>
      <c r="AC5804" s="13"/>
      <c r="AD5804" s="13"/>
      <c r="AE5804" s="13"/>
      <c r="AF5804" s="13"/>
    </row>
    <row r="5805" spans="19:32" x14ac:dyDescent="0.35">
      <c r="S5805" s="13"/>
      <c r="T5805" s="16"/>
      <c r="U5805" s="16"/>
      <c r="V5805" s="16"/>
      <c r="W5805" s="13"/>
      <c r="X5805" s="34">
        <v>5801</v>
      </c>
      <c r="Y5805" s="34" t="s">
        <v>2248</v>
      </c>
      <c r="Z5805" s="34" t="s">
        <v>3496</v>
      </c>
      <c r="AA5805" s="35">
        <v>0</v>
      </c>
      <c r="AB5805" s="13"/>
      <c r="AC5805" s="13"/>
      <c r="AD5805" s="13"/>
      <c r="AE5805" s="13"/>
      <c r="AF5805" s="13"/>
    </row>
    <row r="5806" spans="19:32" x14ac:dyDescent="0.35">
      <c r="S5806" s="13"/>
      <c r="T5806" s="16"/>
      <c r="U5806" s="16"/>
      <c r="V5806" s="16"/>
      <c r="W5806" s="13"/>
      <c r="X5806" s="34">
        <v>5802</v>
      </c>
      <c r="Y5806" s="34" t="s">
        <v>2248</v>
      </c>
      <c r="Z5806" s="34" t="s">
        <v>3495</v>
      </c>
      <c r="AA5806" s="35">
        <v>7.1576000000000001E-2</v>
      </c>
      <c r="AB5806" s="13"/>
      <c r="AC5806" s="13"/>
      <c r="AD5806" s="13"/>
      <c r="AE5806" s="13"/>
      <c r="AF5806" s="13"/>
    </row>
    <row r="5807" spans="19:32" x14ac:dyDescent="0.35">
      <c r="S5807" s="13"/>
      <c r="T5807" s="16"/>
      <c r="U5807" s="16"/>
      <c r="V5807" s="16"/>
      <c r="W5807" s="13"/>
      <c r="X5807" s="34">
        <v>5803</v>
      </c>
      <c r="Y5807" s="34" t="s">
        <v>2248</v>
      </c>
      <c r="Z5807" s="34" t="s">
        <v>2997</v>
      </c>
      <c r="AA5807" s="35">
        <v>0.11550403225806452</v>
      </c>
      <c r="AB5807" s="13"/>
      <c r="AC5807" s="13"/>
      <c r="AD5807" s="13"/>
      <c r="AE5807" s="13"/>
      <c r="AF5807" s="13"/>
    </row>
    <row r="5808" spans="19:32" x14ac:dyDescent="0.35">
      <c r="S5808" s="13"/>
      <c r="T5808" s="16"/>
      <c r="U5808" s="16"/>
      <c r="V5808" s="16"/>
      <c r="W5808" s="13"/>
      <c r="X5808" s="34">
        <v>5804</v>
      </c>
      <c r="Y5808" s="34" t="s">
        <v>2248</v>
      </c>
      <c r="Z5808" s="34" t="s">
        <v>3494</v>
      </c>
      <c r="AA5808" s="35">
        <v>8.0315999999999999E-3</v>
      </c>
      <c r="AB5808" s="13"/>
      <c r="AC5808" s="13"/>
      <c r="AD5808" s="13"/>
      <c r="AE5808" s="13"/>
      <c r="AF5808" s="13"/>
    </row>
    <row r="5809" spans="19:32" x14ac:dyDescent="0.35">
      <c r="S5809" s="13"/>
      <c r="T5809" s="16"/>
      <c r="U5809" s="16"/>
      <c r="V5809" s="16"/>
      <c r="W5809" s="13"/>
      <c r="X5809" s="34">
        <v>5805</v>
      </c>
      <c r="Y5809" s="34" t="s">
        <v>2248</v>
      </c>
      <c r="Z5809" s="34" t="s">
        <v>3493</v>
      </c>
      <c r="AA5809" s="35">
        <v>0</v>
      </c>
      <c r="AB5809" s="13"/>
      <c r="AC5809" s="13"/>
      <c r="AD5809" s="13"/>
      <c r="AE5809" s="13"/>
      <c r="AF5809" s="13"/>
    </row>
    <row r="5810" spans="19:32" x14ac:dyDescent="0.35">
      <c r="S5810" s="13"/>
      <c r="T5810" s="16"/>
      <c r="U5810" s="16"/>
      <c r="V5810" s="16"/>
      <c r="W5810" s="13"/>
      <c r="X5810" s="34">
        <v>5806</v>
      </c>
      <c r="Y5810" s="34" t="s">
        <v>2248</v>
      </c>
      <c r="Z5810" s="34" t="s">
        <v>2996</v>
      </c>
      <c r="AA5810" s="35">
        <v>2.3889112903225807E-3</v>
      </c>
      <c r="AB5810" s="13"/>
      <c r="AC5810" s="13"/>
      <c r="AD5810" s="13"/>
      <c r="AE5810" s="13"/>
      <c r="AF5810" s="13"/>
    </row>
    <row r="5811" spans="19:32" x14ac:dyDescent="0.35">
      <c r="S5811" s="13"/>
      <c r="T5811" s="16"/>
      <c r="U5811" s="16"/>
      <c r="V5811" s="16"/>
      <c r="W5811" s="13"/>
      <c r="X5811" s="34">
        <v>5807</v>
      </c>
      <c r="Y5811" s="34" t="s">
        <v>2248</v>
      </c>
      <c r="Z5811" s="34" t="s">
        <v>3492</v>
      </c>
      <c r="AA5811" s="35">
        <v>1.9596</v>
      </c>
      <c r="AB5811" s="13"/>
      <c r="AC5811" s="13"/>
      <c r="AD5811" s="13"/>
      <c r="AE5811" s="13"/>
      <c r="AF5811" s="13"/>
    </row>
    <row r="5812" spans="19:32" x14ac:dyDescent="0.35">
      <c r="S5812" s="13"/>
      <c r="T5812" s="16"/>
      <c r="U5812" s="16"/>
      <c r="V5812" s="16"/>
      <c r="W5812" s="13"/>
      <c r="X5812" s="34">
        <v>5808</v>
      </c>
      <c r="Y5812" s="34" t="s">
        <v>2248</v>
      </c>
      <c r="Z5812" s="34" t="s">
        <v>3491</v>
      </c>
      <c r="AA5812" s="35">
        <v>0</v>
      </c>
      <c r="AB5812" s="13"/>
      <c r="AC5812" s="13"/>
      <c r="AD5812" s="13"/>
      <c r="AE5812" s="13"/>
      <c r="AF5812" s="13"/>
    </row>
    <row r="5813" spans="19:32" x14ac:dyDescent="0.35">
      <c r="S5813" s="13"/>
      <c r="T5813" s="16"/>
      <c r="U5813" s="16"/>
      <c r="V5813" s="16"/>
      <c r="W5813" s="13"/>
      <c r="X5813" s="34">
        <v>5809</v>
      </c>
      <c r="Y5813" s="34" t="s">
        <v>2248</v>
      </c>
      <c r="Z5813" s="34" t="s">
        <v>3490</v>
      </c>
      <c r="AA5813" s="35">
        <v>1.1721774193548389</v>
      </c>
      <c r="AB5813" s="13"/>
      <c r="AC5813" s="13"/>
      <c r="AD5813" s="13"/>
      <c r="AE5813" s="13"/>
      <c r="AF5813" s="13"/>
    </row>
    <row r="5814" spans="19:32" x14ac:dyDescent="0.35">
      <c r="S5814" s="13"/>
      <c r="T5814" s="16"/>
      <c r="U5814" s="16"/>
      <c r="V5814" s="16"/>
      <c r="W5814" s="13"/>
      <c r="X5814" s="34">
        <v>5810</v>
      </c>
      <c r="Y5814" s="34" t="s">
        <v>2248</v>
      </c>
      <c r="Z5814" s="34" t="s">
        <v>3489</v>
      </c>
      <c r="AA5814" s="35">
        <v>0</v>
      </c>
      <c r="AB5814" s="13"/>
      <c r="AC5814" s="13"/>
      <c r="AD5814" s="13"/>
      <c r="AE5814" s="13"/>
      <c r="AF5814" s="13"/>
    </row>
    <row r="5815" spans="19:32" x14ac:dyDescent="0.35">
      <c r="S5815" s="13"/>
      <c r="T5815" s="16"/>
      <c r="U5815" s="16"/>
      <c r="V5815" s="16"/>
      <c r="W5815" s="13"/>
      <c r="X5815" s="34">
        <v>5811</v>
      </c>
      <c r="Y5815" s="34" t="s">
        <v>2248</v>
      </c>
      <c r="Z5815" s="34" t="s">
        <v>2994</v>
      </c>
      <c r="AA5815" s="35">
        <v>1.1550403225806453E-3</v>
      </c>
      <c r="AB5815" s="13"/>
      <c r="AC5815" s="13"/>
      <c r="AD5815" s="13"/>
      <c r="AE5815" s="13"/>
      <c r="AF5815" s="13"/>
    </row>
    <row r="5816" spans="19:32" x14ac:dyDescent="0.35">
      <c r="S5816" s="13"/>
      <c r="T5816" s="16"/>
      <c r="U5816" s="16"/>
      <c r="V5816" s="16"/>
      <c r="W5816" s="13"/>
      <c r="X5816" s="34">
        <v>5812</v>
      </c>
      <c r="Y5816" s="34" t="s">
        <v>2248</v>
      </c>
      <c r="Z5816" s="34" t="s">
        <v>3488</v>
      </c>
      <c r="AA5816" s="35">
        <v>0</v>
      </c>
      <c r="AB5816" s="13"/>
      <c r="AC5816" s="13"/>
      <c r="AD5816" s="13"/>
      <c r="AE5816" s="13"/>
      <c r="AF5816" s="13"/>
    </row>
    <row r="5817" spans="19:32" x14ac:dyDescent="0.35">
      <c r="S5817" s="13"/>
      <c r="T5817" s="16"/>
      <c r="U5817" s="16"/>
      <c r="V5817" s="16"/>
      <c r="W5817" s="13"/>
      <c r="X5817" s="34">
        <v>5813</v>
      </c>
      <c r="Y5817" s="34" t="s">
        <v>2248</v>
      </c>
      <c r="Z5817" s="34" t="s">
        <v>3487</v>
      </c>
      <c r="AA5817" s="35">
        <v>0</v>
      </c>
      <c r="AB5817" s="13"/>
      <c r="AC5817" s="13"/>
      <c r="AD5817" s="13"/>
      <c r="AE5817" s="13"/>
      <c r="AF5817" s="13"/>
    </row>
    <row r="5818" spans="19:32" x14ac:dyDescent="0.35">
      <c r="S5818" s="13"/>
      <c r="T5818" s="16"/>
      <c r="U5818" s="16"/>
      <c r="V5818" s="16"/>
      <c r="W5818" s="13"/>
      <c r="X5818" s="34">
        <v>5814</v>
      </c>
      <c r="Y5818" s="34" t="s">
        <v>2248</v>
      </c>
      <c r="Z5818" s="34" t="s">
        <v>3486</v>
      </c>
      <c r="AA5818" s="35">
        <v>7.5060483870967751E-5</v>
      </c>
      <c r="AB5818" s="13"/>
      <c r="AC5818" s="13"/>
      <c r="AD5818" s="13"/>
      <c r="AE5818" s="13"/>
      <c r="AF5818" s="13"/>
    </row>
    <row r="5819" spans="19:32" x14ac:dyDescent="0.35">
      <c r="S5819" s="13"/>
      <c r="T5819" s="16"/>
      <c r="U5819" s="16"/>
      <c r="V5819" s="16"/>
      <c r="W5819" s="13"/>
      <c r="X5819" s="34">
        <v>5815</v>
      </c>
      <c r="Y5819" s="34" t="s">
        <v>2248</v>
      </c>
      <c r="Z5819" s="34" t="s">
        <v>3485</v>
      </c>
      <c r="AA5819" s="35">
        <v>0</v>
      </c>
      <c r="AB5819" s="13"/>
      <c r="AC5819" s="13"/>
      <c r="AD5819" s="13"/>
      <c r="AE5819" s="13"/>
      <c r="AF5819" s="13"/>
    </row>
    <row r="5820" spans="19:32" x14ac:dyDescent="0.35">
      <c r="S5820" s="13"/>
      <c r="T5820" s="16"/>
      <c r="U5820" s="16"/>
      <c r="V5820" s="16"/>
      <c r="W5820" s="13"/>
      <c r="X5820" s="34">
        <v>5816</v>
      </c>
      <c r="Y5820" s="34" t="s">
        <v>2248</v>
      </c>
      <c r="Z5820" s="34" t="s">
        <v>3484</v>
      </c>
      <c r="AA5820" s="35">
        <v>2.6403999999999998E-3</v>
      </c>
      <c r="AB5820" s="13"/>
      <c r="AC5820" s="13"/>
      <c r="AD5820" s="13"/>
      <c r="AE5820" s="13"/>
      <c r="AF5820" s="13"/>
    </row>
    <row r="5821" spans="19:32" x14ac:dyDescent="0.35">
      <c r="S5821" s="13"/>
      <c r="T5821" s="16"/>
      <c r="U5821" s="16"/>
      <c r="V5821" s="16"/>
      <c r="W5821" s="13"/>
      <c r="X5821" s="34">
        <v>5817</v>
      </c>
      <c r="Y5821" s="34" t="s">
        <v>2248</v>
      </c>
      <c r="Z5821" s="34" t="s">
        <v>3483</v>
      </c>
      <c r="AA5821" s="35">
        <v>2.4608870967741938E-3</v>
      </c>
      <c r="AB5821" s="13"/>
      <c r="AC5821" s="13"/>
      <c r="AD5821" s="13"/>
      <c r="AE5821" s="13"/>
      <c r="AF5821" s="13"/>
    </row>
    <row r="5822" spans="19:32" x14ac:dyDescent="0.35">
      <c r="S5822" s="13"/>
      <c r="T5822" s="16"/>
      <c r="U5822" s="16"/>
      <c r="V5822" s="16"/>
      <c r="W5822" s="13"/>
      <c r="X5822" s="34">
        <v>5818</v>
      </c>
      <c r="Y5822" s="34" t="s">
        <v>2248</v>
      </c>
      <c r="Z5822" s="34" t="s">
        <v>3482</v>
      </c>
      <c r="AA5822" s="35">
        <v>0.16743999999999998</v>
      </c>
      <c r="AB5822" s="13"/>
      <c r="AC5822" s="13"/>
      <c r="AD5822" s="13"/>
      <c r="AE5822" s="13"/>
      <c r="AF5822" s="13"/>
    </row>
    <row r="5823" spans="19:32" x14ac:dyDescent="0.35">
      <c r="S5823" s="13"/>
      <c r="T5823" s="16"/>
      <c r="U5823" s="16"/>
      <c r="V5823" s="16"/>
      <c r="W5823" s="13"/>
      <c r="X5823" s="34">
        <v>5819</v>
      </c>
      <c r="Y5823" s="34" t="s">
        <v>2248</v>
      </c>
      <c r="Z5823" s="34" t="s">
        <v>3481</v>
      </c>
      <c r="AA5823" s="35">
        <v>0.39744000000000002</v>
      </c>
      <c r="AB5823" s="13"/>
      <c r="AC5823" s="13"/>
      <c r="AD5823" s="13"/>
      <c r="AE5823" s="13"/>
      <c r="AF5823" s="13"/>
    </row>
    <row r="5824" spans="19:32" x14ac:dyDescent="0.35">
      <c r="S5824" s="13"/>
      <c r="T5824" s="16"/>
      <c r="U5824" s="16"/>
      <c r="V5824" s="16"/>
      <c r="W5824" s="13"/>
      <c r="X5824" s="34">
        <v>5820</v>
      </c>
      <c r="Y5824" s="34" t="s">
        <v>2248</v>
      </c>
      <c r="Z5824" s="34" t="s">
        <v>3480</v>
      </c>
      <c r="AA5824" s="35">
        <v>4.010080645161291E-2</v>
      </c>
      <c r="AB5824" s="13"/>
      <c r="AC5824" s="13"/>
      <c r="AD5824" s="13"/>
      <c r="AE5824" s="13"/>
      <c r="AF5824" s="13"/>
    </row>
    <row r="5825" spans="19:32" x14ac:dyDescent="0.35">
      <c r="S5825" s="13"/>
      <c r="T5825" s="16"/>
      <c r="U5825" s="16"/>
      <c r="V5825" s="16"/>
      <c r="W5825" s="13"/>
      <c r="X5825" s="34">
        <v>5821</v>
      </c>
      <c r="Y5825" s="34" t="s">
        <v>2248</v>
      </c>
      <c r="Z5825" s="34" t="s">
        <v>3479</v>
      </c>
      <c r="AA5825" s="35">
        <v>52.531999999999996</v>
      </c>
      <c r="AB5825" s="13"/>
      <c r="AC5825" s="13"/>
      <c r="AD5825" s="13"/>
      <c r="AE5825" s="13"/>
      <c r="AF5825" s="13"/>
    </row>
    <row r="5826" spans="19:32" x14ac:dyDescent="0.35">
      <c r="S5826" s="13"/>
      <c r="T5826" s="16"/>
      <c r="U5826" s="16"/>
      <c r="V5826" s="16"/>
      <c r="W5826" s="13"/>
      <c r="X5826" s="34">
        <v>5822</v>
      </c>
      <c r="Y5826" s="34" t="s">
        <v>2248</v>
      </c>
      <c r="Z5826" s="34" t="s">
        <v>3478</v>
      </c>
      <c r="AA5826" s="35">
        <v>1.4875000000000001E-5</v>
      </c>
      <c r="AB5826" s="13"/>
      <c r="AC5826" s="13"/>
      <c r="AD5826" s="13"/>
      <c r="AE5826" s="13"/>
      <c r="AF5826" s="13"/>
    </row>
    <row r="5827" spans="19:32" x14ac:dyDescent="0.35">
      <c r="S5827" s="13"/>
      <c r="T5827" s="16"/>
      <c r="U5827" s="16"/>
      <c r="V5827" s="16"/>
      <c r="W5827" s="13"/>
      <c r="X5827" s="34">
        <v>5823</v>
      </c>
      <c r="Y5827" s="34" t="s">
        <v>2248</v>
      </c>
      <c r="Z5827" s="34" t="s">
        <v>3477</v>
      </c>
      <c r="AA5827" s="35">
        <v>0.16652</v>
      </c>
      <c r="AB5827" s="13"/>
      <c r="AC5827" s="13"/>
      <c r="AD5827" s="13"/>
      <c r="AE5827" s="13"/>
      <c r="AF5827" s="13"/>
    </row>
    <row r="5828" spans="19:32" x14ac:dyDescent="0.35">
      <c r="S5828" s="13"/>
      <c r="T5828" s="16"/>
      <c r="U5828" s="16"/>
      <c r="V5828" s="16"/>
      <c r="W5828" s="13"/>
      <c r="X5828" s="34">
        <v>5824</v>
      </c>
      <c r="Y5828" s="34" t="s">
        <v>2248</v>
      </c>
      <c r="Z5828" s="34" t="s">
        <v>3476</v>
      </c>
      <c r="AA5828" s="35">
        <v>0</v>
      </c>
      <c r="AB5828" s="13"/>
      <c r="AC5828" s="13"/>
      <c r="AD5828" s="13"/>
      <c r="AE5828" s="13"/>
      <c r="AF5828" s="13"/>
    </row>
    <row r="5829" spans="19:32" x14ac:dyDescent="0.35">
      <c r="S5829" s="13"/>
      <c r="T5829" s="16"/>
      <c r="U5829" s="16"/>
      <c r="V5829" s="16"/>
      <c r="W5829" s="13"/>
      <c r="X5829" s="34">
        <v>5825</v>
      </c>
      <c r="Y5829" s="34" t="s">
        <v>2248</v>
      </c>
      <c r="Z5829" s="34" t="s">
        <v>3475</v>
      </c>
      <c r="AA5829" s="35">
        <v>2.7042338709677423E-3</v>
      </c>
      <c r="AB5829" s="13"/>
      <c r="AC5829" s="13"/>
      <c r="AD5829" s="13"/>
      <c r="AE5829" s="13"/>
      <c r="AF5829" s="13"/>
    </row>
    <row r="5830" spans="19:32" x14ac:dyDescent="0.35">
      <c r="S5830" s="13"/>
      <c r="T5830" s="16"/>
      <c r="U5830" s="16"/>
      <c r="V5830" s="16"/>
      <c r="W5830" s="13"/>
      <c r="X5830" s="34">
        <v>5826</v>
      </c>
      <c r="Y5830" s="34" t="s">
        <v>2248</v>
      </c>
      <c r="Z5830" s="34" t="s">
        <v>3474</v>
      </c>
      <c r="AA5830" s="35">
        <v>9.8439999999999994</v>
      </c>
      <c r="AB5830" s="13"/>
      <c r="AC5830" s="13"/>
      <c r="AD5830" s="13"/>
      <c r="AE5830" s="13"/>
      <c r="AF5830" s="13"/>
    </row>
    <row r="5831" spans="19:32" x14ac:dyDescent="0.35">
      <c r="S5831" s="13"/>
      <c r="T5831" s="16"/>
      <c r="U5831" s="16"/>
      <c r="V5831" s="16"/>
      <c r="W5831" s="13"/>
      <c r="X5831" s="34">
        <v>5827</v>
      </c>
      <c r="Y5831" s="34" t="s">
        <v>2248</v>
      </c>
      <c r="Z5831" s="34" t="s">
        <v>3473</v>
      </c>
      <c r="AA5831" s="35">
        <v>3.9192</v>
      </c>
      <c r="AB5831" s="13"/>
      <c r="AC5831" s="13"/>
      <c r="AD5831" s="13"/>
      <c r="AE5831" s="13"/>
      <c r="AF5831" s="13"/>
    </row>
    <row r="5832" spans="19:32" x14ac:dyDescent="0.35">
      <c r="S5832" s="13"/>
      <c r="T5832" s="16"/>
      <c r="U5832" s="16"/>
      <c r="V5832" s="16"/>
      <c r="W5832" s="13"/>
      <c r="X5832" s="34">
        <v>5828</v>
      </c>
      <c r="Y5832" s="34" t="s">
        <v>2248</v>
      </c>
      <c r="Z5832" s="34" t="s">
        <v>3472</v>
      </c>
      <c r="AA5832" s="35">
        <v>7.1975806451612912E-4</v>
      </c>
      <c r="AB5832" s="13"/>
      <c r="AC5832" s="13"/>
      <c r="AD5832" s="13"/>
      <c r="AE5832" s="13"/>
      <c r="AF5832" s="13"/>
    </row>
    <row r="5833" spans="19:32" x14ac:dyDescent="0.35">
      <c r="S5833" s="13"/>
      <c r="T5833" s="16"/>
      <c r="U5833" s="16"/>
      <c r="V5833" s="16"/>
      <c r="W5833" s="13"/>
      <c r="X5833" s="34">
        <v>5829</v>
      </c>
      <c r="Y5833" s="34" t="s">
        <v>2248</v>
      </c>
      <c r="Z5833" s="34" t="s">
        <v>3471</v>
      </c>
      <c r="AA5833" s="35">
        <v>26.495999999999999</v>
      </c>
      <c r="AB5833" s="13"/>
      <c r="AC5833" s="13"/>
      <c r="AD5833" s="13"/>
      <c r="AE5833" s="13"/>
      <c r="AF5833" s="13"/>
    </row>
    <row r="5834" spans="19:32" x14ac:dyDescent="0.35">
      <c r="S5834" s="13"/>
      <c r="T5834" s="16"/>
      <c r="U5834" s="16"/>
      <c r="V5834" s="16"/>
      <c r="W5834" s="13"/>
      <c r="X5834" s="34">
        <v>5830</v>
      </c>
      <c r="Y5834" s="34" t="s">
        <v>2248</v>
      </c>
      <c r="Z5834" s="34" t="s">
        <v>3470</v>
      </c>
      <c r="AA5834" s="35">
        <v>0</v>
      </c>
      <c r="AB5834" s="13"/>
      <c r="AC5834" s="13"/>
      <c r="AD5834" s="13"/>
      <c r="AE5834" s="13"/>
      <c r="AF5834" s="13"/>
    </row>
    <row r="5835" spans="19:32" x14ac:dyDescent="0.35">
      <c r="S5835" s="13"/>
      <c r="T5835" s="16"/>
      <c r="U5835" s="16"/>
      <c r="V5835" s="16"/>
      <c r="W5835" s="13"/>
      <c r="X5835" s="34">
        <v>5831</v>
      </c>
      <c r="Y5835" s="34" t="s">
        <v>2248</v>
      </c>
      <c r="Z5835" s="34" t="s">
        <v>2992</v>
      </c>
      <c r="AA5835" s="35">
        <v>7.0262096774193543E-5</v>
      </c>
      <c r="AB5835" s="13"/>
      <c r="AC5835" s="13"/>
      <c r="AD5835" s="13"/>
      <c r="AE5835" s="13"/>
      <c r="AF5835" s="13"/>
    </row>
    <row r="5836" spans="19:32" x14ac:dyDescent="0.35">
      <c r="S5836" s="13"/>
      <c r="T5836" s="16"/>
      <c r="U5836" s="16"/>
      <c r="V5836" s="16"/>
      <c r="W5836" s="13"/>
      <c r="X5836" s="34">
        <v>5832</v>
      </c>
      <c r="Y5836" s="34" t="s">
        <v>2248</v>
      </c>
      <c r="Z5836" s="34" t="s">
        <v>3469</v>
      </c>
      <c r="AA5836" s="35">
        <v>0</v>
      </c>
      <c r="AB5836" s="13"/>
      <c r="AC5836" s="13"/>
      <c r="AD5836" s="13"/>
      <c r="AE5836" s="13"/>
      <c r="AF5836" s="13"/>
    </row>
    <row r="5837" spans="19:32" x14ac:dyDescent="0.35">
      <c r="S5837" s="13"/>
      <c r="T5837" s="16"/>
      <c r="U5837" s="16"/>
      <c r="V5837" s="16"/>
      <c r="W5837" s="13"/>
      <c r="X5837" s="34">
        <v>5833</v>
      </c>
      <c r="Y5837" s="34" t="s">
        <v>2248</v>
      </c>
      <c r="Z5837" s="34" t="s">
        <v>3468</v>
      </c>
      <c r="AA5837" s="35">
        <v>193.30645161290323</v>
      </c>
      <c r="AB5837" s="13"/>
      <c r="AC5837" s="13"/>
      <c r="AD5837" s="13"/>
      <c r="AE5837" s="13"/>
      <c r="AF5837" s="13"/>
    </row>
    <row r="5838" spans="19:32" x14ac:dyDescent="0.35">
      <c r="S5838" s="13"/>
      <c r="T5838" s="16"/>
      <c r="U5838" s="16"/>
      <c r="V5838" s="16"/>
      <c r="W5838" s="13"/>
      <c r="X5838" s="34">
        <v>5834</v>
      </c>
      <c r="Y5838" s="34" t="s">
        <v>2248</v>
      </c>
      <c r="Z5838" s="34" t="s">
        <v>3467</v>
      </c>
      <c r="AA5838" s="35">
        <v>0</v>
      </c>
      <c r="AB5838" s="13"/>
      <c r="AC5838" s="13"/>
      <c r="AD5838" s="13"/>
      <c r="AE5838" s="13"/>
      <c r="AF5838" s="13"/>
    </row>
    <row r="5839" spans="19:32" x14ac:dyDescent="0.35">
      <c r="S5839" s="13"/>
      <c r="T5839" s="16"/>
      <c r="U5839" s="16"/>
      <c r="V5839" s="16"/>
      <c r="W5839" s="13"/>
      <c r="X5839" s="34">
        <v>5835</v>
      </c>
      <c r="Y5839" s="34" t="s">
        <v>2248</v>
      </c>
      <c r="Z5839" s="34" t="s">
        <v>3466</v>
      </c>
      <c r="AA5839" s="35">
        <v>0</v>
      </c>
      <c r="AB5839" s="13"/>
      <c r="AC5839" s="13"/>
      <c r="AD5839" s="13"/>
      <c r="AE5839" s="13"/>
      <c r="AF5839" s="13"/>
    </row>
    <row r="5840" spans="19:32" x14ac:dyDescent="0.35">
      <c r="S5840" s="13"/>
      <c r="T5840" s="16"/>
      <c r="U5840" s="16"/>
      <c r="V5840" s="16"/>
      <c r="W5840" s="13"/>
      <c r="X5840" s="34">
        <v>5836</v>
      </c>
      <c r="Y5840" s="34" t="s">
        <v>2248</v>
      </c>
      <c r="Z5840" s="34" t="s">
        <v>3465</v>
      </c>
      <c r="AA5840" s="35">
        <v>1.1481854838709677E-3</v>
      </c>
      <c r="AB5840" s="13"/>
      <c r="AC5840" s="13"/>
      <c r="AD5840" s="13"/>
      <c r="AE5840" s="13"/>
      <c r="AF5840" s="13"/>
    </row>
    <row r="5841" spans="19:32" x14ac:dyDescent="0.35">
      <c r="S5841" s="13"/>
      <c r="T5841" s="16"/>
      <c r="U5841" s="16"/>
      <c r="V5841" s="16"/>
      <c r="W5841" s="13"/>
      <c r="X5841" s="34">
        <v>5837</v>
      </c>
      <c r="Y5841" s="34" t="s">
        <v>2248</v>
      </c>
      <c r="Z5841" s="34" t="s">
        <v>3464</v>
      </c>
      <c r="AA5841" s="35">
        <v>0</v>
      </c>
      <c r="AB5841" s="13"/>
      <c r="AC5841" s="13"/>
      <c r="AD5841" s="13"/>
      <c r="AE5841" s="13"/>
      <c r="AF5841" s="13"/>
    </row>
    <row r="5842" spans="19:32" x14ac:dyDescent="0.35">
      <c r="S5842" s="13"/>
      <c r="T5842" s="16"/>
      <c r="U5842" s="16"/>
      <c r="V5842" s="16"/>
      <c r="W5842" s="13"/>
      <c r="X5842" s="34">
        <v>5838</v>
      </c>
      <c r="Y5842" s="34" t="s">
        <v>2248</v>
      </c>
      <c r="Z5842" s="34" t="s">
        <v>3463</v>
      </c>
      <c r="AA5842" s="35">
        <v>1.4628E-2</v>
      </c>
      <c r="AB5842" s="13"/>
      <c r="AC5842" s="13"/>
      <c r="AD5842" s="13"/>
      <c r="AE5842" s="13"/>
      <c r="AF5842" s="13"/>
    </row>
    <row r="5843" spans="19:32" x14ac:dyDescent="0.35">
      <c r="S5843" s="13"/>
      <c r="T5843" s="16"/>
      <c r="U5843" s="16"/>
      <c r="V5843" s="16"/>
      <c r="W5843" s="13"/>
      <c r="X5843" s="34">
        <v>5839</v>
      </c>
      <c r="Y5843" s="34" t="s">
        <v>2248</v>
      </c>
      <c r="Z5843" s="34" t="s">
        <v>3462</v>
      </c>
      <c r="AA5843" s="35">
        <v>6.5806451612903227E-3</v>
      </c>
      <c r="AB5843" s="13"/>
      <c r="AC5843" s="13"/>
      <c r="AD5843" s="13"/>
      <c r="AE5843" s="13"/>
      <c r="AF5843" s="13"/>
    </row>
    <row r="5844" spans="19:32" x14ac:dyDescent="0.35">
      <c r="S5844" s="13"/>
      <c r="T5844" s="16"/>
      <c r="U5844" s="16"/>
      <c r="V5844" s="16"/>
      <c r="W5844" s="13"/>
      <c r="X5844" s="34">
        <v>5840</v>
      </c>
      <c r="Y5844" s="34" t="s">
        <v>2248</v>
      </c>
      <c r="Z5844" s="34" t="s">
        <v>3461</v>
      </c>
      <c r="AA5844" s="35">
        <v>0.64032</v>
      </c>
      <c r="AB5844" s="13"/>
      <c r="AC5844" s="13"/>
      <c r="AD5844" s="13"/>
      <c r="AE5844" s="13"/>
      <c r="AF5844" s="13"/>
    </row>
    <row r="5845" spans="19:32" x14ac:dyDescent="0.35">
      <c r="S5845" s="13"/>
      <c r="T5845" s="16"/>
      <c r="U5845" s="16"/>
      <c r="V5845" s="16"/>
      <c r="W5845" s="13"/>
      <c r="X5845" s="34">
        <v>5841</v>
      </c>
      <c r="Y5845" s="34" t="s">
        <v>2248</v>
      </c>
      <c r="Z5845" s="34" t="s">
        <v>3460</v>
      </c>
      <c r="AA5845" s="35">
        <v>3.4868000000000001</v>
      </c>
      <c r="AB5845" s="13"/>
      <c r="AC5845" s="13"/>
      <c r="AD5845" s="13"/>
      <c r="AE5845" s="13"/>
      <c r="AF5845" s="13"/>
    </row>
    <row r="5846" spans="19:32" x14ac:dyDescent="0.35">
      <c r="S5846" s="13"/>
      <c r="T5846" s="16"/>
      <c r="U5846" s="16"/>
      <c r="V5846" s="16"/>
      <c r="W5846" s="13"/>
      <c r="X5846" s="34">
        <v>5842</v>
      </c>
      <c r="Y5846" s="34" t="s">
        <v>2248</v>
      </c>
      <c r="Z5846" s="34" t="s">
        <v>3459</v>
      </c>
      <c r="AA5846" s="35">
        <v>2.7110887096774199E-4</v>
      </c>
      <c r="AB5846" s="13"/>
      <c r="AC5846" s="13"/>
      <c r="AD5846" s="13"/>
      <c r="AE5846" s="13"/>
      <c r="AF5846" s="13"/>
    </row>
    <row r="5847" spans="19:32" x14ac:dyDescent="0.35">
      <c r="S5847" s="13"/>
      <c r="T5847" s="16"/>
      <c r="U5847" s="16"/>
      <c r="V5847" s="16"/>
      <c r="W5847" s="13"/>
      <c r="X5847" s="34">
        <v>5843</v>
      </c>
      <c r="Y5847" s="34" t="s">
        <v>2248</v>
      </c>
      <c r="Z5847" s="34" t="s">
        <v>3458</v>
      </c>
      <c r="AA5847" s="35">
        <v>524.4</v>
      </c>
      <c r="AB5847" s="13"/>
      <c r="AC5847" s="13"/>
      <c r="AD5847" s="13"/>
      <c r="AE5847" s="13"/>
      <c r="AF5847" s="13"/>
    </row>
    <row r="5848" spans="19:32" x14ac:dyDescent="0.35">
      <c r="S5848" s="13"/>
      <c r="T5848" s="16"/>
      <c r="U5848" s="16"/>
      <c r="V5848" s="16"/>
      <c r="W5848" s="13"/>
      <c r="X5848" s="34">
        <v>5844</v>
      </c>
      <c r="Y5848" s="34" t="s">
        <v>2248</v>
      </c>
      <c r="Z5848" s="34" t="s">
        <v>3457</v>
      </c>
      <c r="AA5848" s="35">
        <v>524.4</v>
      </c>
      <c r="AB5848" s="13"/>
      <c r="AC5848" s="13"/>
      <c r="AD5848" s="13"/>
      <c r="AE5848" s="13"/>
      <c r="AF5848" s="13"/>
    </row>
    <row r="5849" spans="19:32" x14ac:dyDescent="0.35">
      <c r="S5849" s="13"/>
      <c r="T5849" s="16"/>
      <c r="U5849" s="16"/>
      <c r="V5849" s="16"/>
      <c r="W5849" s="13"/>
      <c r="X5849" s="34">
        <v>5845</v>
      </c>
      <c r="Y5849" s="34" t="s">
        <v>2248</v>
      </c>
      <c r="Z5849" s="34" t="s">
        <v>3456</v>
      </c>
      <c r="AA5849" s="35">
        <v>1.8473790322580646E-3</v>
      </c>
      <c r="AB5849" s="13"/>
      <c r="AC5849" s="13"/>
      <c r="AD5849" s="13"/>
      <c r="AE5849" s="13"/>
      <c r="AF5849" s="13"/>
    </row>
    <row r="5850" spans="19:32" x14ac:dyDescent="0.35">
      <c r="S5850" s="13"/>
      <c r="T5850" s="16"/>
      <c r="U5850" s="16"/>
      <c r="V5850" s="16"/>
      <c r="W5850" s="13"/>
      <c r="X5850" s="34">
        <v>5846</v>
      </c>
      <c r="Y5850" s="34" t="s">
        <v>2248</v>
      </c>
      <c r="Z5850" s="34" t="s">
        <v>3455</v>
      </c>
      <c r="AA5850" s="35">
        <v>524.4</v>
      </c>
      <c r="AB5850" s="13"/>
      <c r="AC5850" s="13"/>
      <c r="AD5850" s="13"/>
      <c r="AE5850" s="13"/>
      <c r="AF5850" s="13"/>
    </row>
    <row r="5851" spans="19:32" x14ac:dyDescent="0.35">
      <c r="S5851" s="13"/>
      <c r="T5851" s="16"/>
      <c r="U5851" s="16"/>
      <c r="V5851" s="16"/>
      <c r="W5851" s="13"/>
      <c r="X5851" s="34">
        <v>5847</v>
      </c>
      <c r="Y5851" s="34" t="s">
        <v>2248</v>
      </c>
      <c r="Z5851" s="34" t="s">
        <v>3454</v>
      </c>
      <c r="AA5851" s="35">
        <v>2.0461693548387101E-3</v>
      </c>
      <c r="AB5851" s="13"/>
      <c r="AC5851" s="13"/>
      <c r="AD5851" s="13"/>
      <c r="AE5851" s="13"/>
      <c r="AF5851" s="13"/>
    </row>
    <row r="5852" spans="19:32" x14ac:dyDescent="0.35">
      <c r="S5852" s="13"/>
      <c r="T5852" s="16"/>
      <c r="U5852" s="16"/>
      <c r="V5852" s="16"/>
      <c r="W5852" s="13"/>
      <c r="X5852" s="34">
        <v>5848</v>
      </c>
      <c r="Y5852" s="34" t="s">
        <v>2248</v>
      </c>
      <c r="Z5852" s="34" t="s">
        <v>3453</v>
      </c>
      <c r="AA5852" s="35">
        <v>0</v>
      </c>
      <c r="AB5852" s="13"/>
      <c r="AC5852" s="13"/>
      <c r="AD5852" s="13"/>
      <c r="AE5852" s="13"/>
      <c r="AF5852" s="13"/>
    </row>
    <row r="5853" spans="19:32" x14ac:dyDescent="0.35">
      <c r="S5853" s="13"/>
      <c r="T5853" s="16"/>
      <c r="U5853" s="16"/>
      <c r="V5853" s="16"/>
      <c r="W5853" s="13"/>
      <c r="X5853" s="34">
        <v>5849</v>
      </c>
      <c r="Y5853" s="34" t="s">
        <v>2248</v>
      </c>
      <c r="Z5853" s="34" t="s">
        <v>3452</v>
      </c>
      <c r="AA5853" s="35">
        <v>0</v>
      </c>
      <c r="AB5853" s="13"/>
      <c r="AC5853" s="13"/>
      <c r="AD5853" s="13"/>
      <c r="AE5853" s="13"/>
      <c r="AF5853" s="13"/>
    </row>
    <row r="5854" spans="19:32" x14ac:dyDescent="0.35">
      <c r="S5854" s="13"/>
      <c r="T5854" s="16"/>
      <c r="U5854" s="16"/>
      <c r="V5854" s="16"/>
      <c r="W5854" s="13"/>
      <c r="X5854" s="34">
        <v>5850</v>
      </c>
      <c r="Y5854" s="34" t="s">
        <v>2248</v>
      </c>
      <c r="Z5854" s="34" t="s">
        <v>2991</v>
      </c>
      <c r="AA5854" s="35">
        <v>5.0725806451612907E-5</v>
      </c>
      <c r="AB5854" s="13"/>
      <c r="AC5854" s="13"/>
      <c r="AD5854" s="13"/>
      <c r="AE5854" s="13"/>
      <c r="AF5854" s="13"/>
    </row>
    <row r="5855" spans="19:32" x14ac:dyDescent="0.35">
      <c r="S5855" s="13"/>
      <c r="T5855" s="16"/>
      <c r="U5855" s="16"/>
      <c r="V5855" s="16"/>
      <c r="W5855" s="13"/>
      <c r="X5855" s="34">
        <v>5851</v>
      </c>
      <c r="Y5855" s="34" t="s">
        <v>2248</v>
      </c>
      <c r="Z5855" s="34" t="s">
        <v>3451</v>
      </c>
      <c r="AA5855" s="35">
        <v>0</v>
      </c>
      <c r="AB5855" s="13"/>
      <c r="AC5855" s="13"/>
      <c r="AD5855" s="13"/>
      <c r="AE5855" s="13"/>
      <c r="AF5855" s="13"/>
    </row>
    <row r="5856" spans="19:32" x14ac:dyDescent="0.35">
      <c r="S5856" s="13"/>
      <c r="T5856" s="16"/>
      <c r="U5856" s="16"/>
      <c r="V5856" s="16"/>
      <c r="W5856" s="13"/>
      <c r="X5856" s="34">
        <v>5852</v>
      </c>
      <c r="Y5856" s="34" t="s">
        <v>2248</v>
      </c>
      <c r="Z5856" s="34" t="s">
        <v>3450</v>
      </c>
      <c r="AA5856" s="35">
        <v>0.74151999999999996</v>
      </c>
      <c r="AB5856" s="13"/>
      <c r="AC5856" s="13"/>
      <c r="AD5856" s="13"/>
      <c r="AE5856" s="13"/>
      <c r="AF5856" s="13"/>
    </row>
    <row r="5857" spans="19:32" x14ac:dyDescent="0.35">
      <c r="S5857" s="13"/>
      <c r="T5857" s="16"/>
      <c r="U5857" s="16"/>
      <c r="V5857" s="16"/>
      <c r="W5857" s="13"/>
      <c r="X5857" s="34">
        <v>5853</v>
      </c>
      <c r="Y5857" s="34" t="s">
        <v>2248</v>
      </c>
      <c r="Z5857" s="34" t="s">
        <v>3449</v>
      </c>
      <c r="AA5857" s="35">
        <v>3.4616935483870972E-5</v>
      </c>
      <c r="AB5857" s="13"/>
      <c r="AC5857" s="13"/>
      <c r="AD5857" s="13"/>
      <c r="AE5857" s="13"/>
      <c r="AF5857" s="13"/>
    </row>
    <row r="5858" spans="19:32" x14ac:dyDescent="0.35">
      <c r="S5858" s="13"/>
      <c r="T5858" s="16"/>
      <c r="U5858" s="16"/>
      <c r="V5858" s="16"/>
      <c r="W5858" s="13"/>
      <c r="X5858" s="34">
        <v>5854</v>
      </c>
      <c r="Y5858" s="34" t="s">
        <v>2248</v>
      </c>
      <c r="Z5858" s="34" t="s">
        <v>3448</v>
      </c>
      <c r="AA5858" s="35">
        <v>7.4336000000000002</v>
      </c>
      <c r="AB5858" s="13"/>
      <c r="AC5858" s="13"/>
      <c r="AD5858" s="13"/>
      <c r="AE5858" s="13"/>
      <c r="AF5858" s="13"/>
    </row>
    <row r="5859" spans="19:32" x14ac:dyDescent="0.35">
      <c r="S5859" s="13"/>
      <c r="T5859" s="16"/>
      <c r="U5859" s="16"/>
      <c r="V5859" s="16"/>
      <c r="W5859" s="13"/>
      <c r="X5859" s="34">
        <v>5855</v>
      </c>
      <c r="Y5859" s="34" t="s">
        <v>2248</v>
      </c>
      <c r="Z5859" s="34" t="s">
        <v>3447</v>
      </c>
      <c r="AA5859" s="35">
        <v>18.86</v>
      </c>
      <c r="AB5859" s="13"/>
      <c r="AC5859" s="13"/>
      <c r="AD5859" s="13"/>
      <c r="AE5859" s="13"/>
      <c r="AF5859" s="13"/>
    </row>
    <row r="5860" spans="19:32" x14ac:dyDescent="0.35">
      <c r="S5860" s="13"/>
      <c r="T5860" s="16"/>
      <c r="U5860" s="16"/>
      <c r="V5860" s="16"/>
      <c r="W5860" s="13"/>
      <c r="X5860" s="34">
        <v>5856</v>
      </c>
      <c r="Y5860" s="34" t="s">
        <v>2248</v>
      </c>
      <c r="Z5860" s="34" t="s">
        <v>2989</v>
      </c>
      <c r="AA5860" s="35">
        <v>1.0076612903225806E-5</v>
      </c>
      <c r="AB5860" s="13"/>
      <c r="AC5860" s="13"/>
      <c r="AD5860" s="13"/>
      <c r="AE5860" s="13"/>
      <c r="AF5860" s="13"/>
    </row>
    <row r="5861" spans="19:32" x14ac:dyDescent="0.35">
      <c r="S5861" s="13"/>
      <c r="T5861" s="16"/>
      <c r="U5861" s="16"/>
      <c r="V5861" s="16"/>
      <c r="W5861" s="13"/>
      <c r="X5861" s="34">
        <v>5857</v>
      </c>
      <c r="Y5861" s="34" t="s">
        <v>2248</v>
      </c>
      <c r="Z5861" s="34" t="s">
        <v>3446</v>
      </c>
      <c r="AA5861" s="35">
        <v>0</v>
      </c>
      <c r="AB5861" s="13"/>
      <c r="AC5861" s="13"/>
      <c r="AD5861" s="13"/>
      <c r="AE5861" s="13"/>
      <c r="AF5861" s="13"/>
    </row>
    <row r="5862" spans="19:32" x14ac:dyDescent="0.35">
      <c r="S5862" s="13"/>
      <c r="T5862" s="16"/>
      <c r="U5862" s="16"/>
      <c r="V5862" s="16"/>
      <c r="W5862" s="13"/>
      <c r="X5862" s="34">
        <v>5858</v>
      </c>
      <c r="Y5862" s="34" t="s">
        <v>2248</v>
      </c>
      <c r="Z5862" s="34" t="s">
        <v>3445</v>
      </c>
      <c r="AA5862" s="35">
        <v>1.1481854838709677</v>
      </c>
      <c r="AB5862" s="13"/>
      <c r="AC5862" s="13"/>
      <c r="AD5862" s="13"/>
      <c r="AE5862" s="13"/>
      <c r="AF5862" s="13"/>
    </row>
    <row r="5863" spans="19:32" x14ac:dyDescent="0.35">
      <c r="S5863" s="13"/>
      <c r="T5863" s="16"/>
      <c r="U5863" s="16"/>
      <c r="V5863" s="16"/>
      <c r="W5863" s="13"/>
      <c r="X5863" s="34">
        <v>5859</v>
      </c>
      <c r="Y5863" s="34" t="s">
        <v>2248</v>
      </c>
      <c r="Z5863" s="34" t="s">
        <v>3444</v>
      </c>
      <c r="AA5863" s="35">
        <v>1.4996</v>
      </c>
      <c r="AB5863" s="13"/>
      <c r="AC5863" s="13"/>
      <c r="AD5863" s="13"/>
      <c r="AE5863" s="13"/>
      <c r="AF5863" s="13"/>
    </row>
    <row r="5864" spans="19:32" x14ac:dyDescent="0.35">
      <c r="S5864" s="13"/>
      <c r="T5864" s="16"/>
      <c r="U5864" s="16"/>
      <c r="V5864" s="16"/>
      <c r="W5864" s="13"/>
      <c r="X5864" s="34">
        <v>5860</v>
      </c>
      <c r="Y5864" s="34" t="s">
        <v>2248</v>
      </c>
      <c r="Z5864" s="34" t="s">
        <v>3443</v>
      </c>
      <c r="AA5864" s="35">
        <v>0</v>
      </c>
      <c r="AB5864" s="13"/>
      <c r="AC5864" s="13"/>
      <c r="AD5864" s="13"/>
      <c r="AE5864" s="13"/>
      <c r="AF5864" s="13"/>
    </row>
    <row r="5865" spans="19:32" x14ac:dyDescent="0.35">
      <c r="S5865" s="13"/>
      <c r="T5865" s="16"/>
      <c r="U5865" s="16"/>
      <c r="V5865" s="16"/>
      <c r="W5865" s="13"/>
      <c r="X5865" s="34">
        <v>5861</v>
      </c>
      <c r="Y5865" s="34" t="s">
        <v>2248</v>
      </c>
      <c r="Z5865" s="34" t="s">
        <v>2987</v>
      </c>
      <c r="AA5865" s="35">
        <v>3.0504032258064521E-4</v>
      </c>
      <c r="AB5865" s="13"/>
      <c r="AC5865" s="13"/>
      <c r="AD5865" s="13"/>
      <c r="AE5865" s="13"/>
      <c r="AF5865" s="13"/>
    </row>
    <row r="5866" spans="19:32" x14ac:dyDescent="0.35">
      <c r="S5866" s="13"/>
      <c r="T5866" s="16"/>
      <c r="U5866" s="16"/>
      <c r="V5866" s="16"/>
      <c r="W5866" s="13"/>
      <c r="X5866" s="34">
        <v>5862</v>
      </c>
      <c r="Y5866" s="34" t="s">
        <v>2248</v>
      </c>
      <c r="Z5866" s="34" t="s">
        <v>3442</v>
      </c>
      <c r="AA5866" s="35">
        <v>1426</v>
      </c>
      <c r="AB5866" s="13"/>
      <c r="AC5866" s="13"/>
      <c r="AD5866" s="13"/>
      <c r="AE5866" s="13"/>
      <c r="AF5866" s="13"/>
    </row>
    <row r="5867" spans="19:32" x14ac:dyDescent="0.35">
      <c r="S5867" s="13"/>
      <c r="T5867" s="16"/>
      <c r="U5867" s="16"/>
      <c r="V5867" s="16"/>
      <c r="W5867" s="13"/>
      <c r="X5867" s="34">
        <v>5863</v>
      </c>
      <c r="Y5867" s="34" t="s">
        <v>2248</v>
      </c>
      <c r="Z5867" s="34" t="s">
        <v>3441</v>
      </c>
      <c r="AA5867" s="35">
        <v>1.6375999999999999</v>
      </c>
      <c r="AB5867" s="13"/>
      <c r="AC5867" s="13"/>
      <c r="AD5867" s="13"/>
      <c r="AE5867" s="13"/>
      <c r="AF5867" s="13"/>
    </row>
    <row r="5868" spans="19:32" x14ac:dyDescent="0.35">
      <c r="S5868" s="13"/>
      <c r="T5868" s="16"/>
      <c r="U5868" s="16"/>
      <c r="V5868" s="16"/>
      <c r="W5868" s="13"/>
      <c r="X5868" s="34">
        <v>5864</v>
      </c>
      <c r="Y5868" s="34" t="s">
        <v>2248</v>
      </c>
      <c r="Z5868" s="34" t="s">
        <v>3440</v>
      </c>
      <c r="AA5868" s="35">
        <v>3.4616935483870972E-5</v>
      </c>
      <c r="AB5868" s="13"/>
      <c r="AC5868" s="13"/>
      <c r="AD5868" s="13"/>
      <c r="AE5868" s="13"/>
      <c r="AF5868" s="13"/>
    </row>
    <row r="5869" spans="19:32" x14ac:dyDescent="0.35">
      <c r="S5869" s="13"/>
      <c r="T5869" s="16"/>
      <c r="U5869" s="16"/>
      <c r="V5869" s="16"/>
      <c r="W5869" s="13"/>
      <c r="X5869" s="34">
        <v>5865</v>
      </c>
      <c r="Y5869" s="34" t="s">
        <v>2248</v>
      </c>
      <c r="Z5869" s="34" t="s">
        <v>3439</v>
      </c>
      <c r="AA5869" s="35">
        <v>0</v>
      </c>
      <c r="AB5869" s="13"/>
      <c r="AC5869" s="13"/>
      <c r="AD5869" s="13"/>
      <c r="AE5869" s="13"/>
      <c r="AF5869" s="13"/>
    </row>
    <row r="5870" spans="19:32" x14ac:dyDescent="0.35">
      <c r="S5870" s="13"/>
      <c r="T5870" s="16"/>
      <c r="U5870" s="16"/>
      <c r="V5870" s="16"/>
      <c r="W5870" s="13"/>
      <c r="X5870" s="34">
        <v>5866</v>
      </c>
      <c r="Y5870" s="34" t="s">
        <v>2248</v>
      </c>
      <c r="Z5870" s="34" t="s">
        <v>3438</v>
      </c>
      <c r="AA5870" s="35">
        <v>0</v>
      </c>
      <c r="AB5870" s="13"/>
      <c r="AC5870" s="13"/>
      <c r="AD5870" s="13"/>
      <c r="AE5870" s="13"/>
      <c r="AF5870" s="13"/>
    </row>
    <row r="5871" spans="19:32" x14ac:dyDescent="0.35">
      <c r="S5871" s="13"/>
      <c r="T5871" s="16"/>
      <c r="U5871" s="16"/>
      <c r="V5871" s="16"/>
      <c r="W5871" s="13"/>
      <c r="X5871" s="34">
        <v>5867</v>
      </c>
      <c r="Y5871" s="34" t="s">
        <v>2248</v>
      </c>
      <c r="Z5871" s="34" t="s">
        <v>3437</v>
      </c>
      <c r="AA5871" s="35">
        <v>8.4657258064516137E-4</v>
      </c>
      <c r="AB5871" s="13"/>
      <c r="AC5871" s="13"/>
      <c r="AD5871" s="13"/>
      <c r="AE5871" s="13"/>
      <c r="AF5871" s="13"/>
    </row>
    <row r="5872" spans="19:32" x14ac:dyDescent="0.35">
      <c r="S5872" s="13"/>
      <c r="T5872" s="16"/>
      <c r="U5872" s="16"/>
      <c r="V5872" s="16"/>
      <c r="W5872" s="13"/>
      <c r="X5872" s="34">
        <v>5868</v>
      </c>
      <c r="Y5872" s="34" t="s">
        <v>2248</v>
      </c>
      <c r="Z5872" s="34" t="s">
        <v>3436</v>
      </c>
      <c r="AA5872" s="35">
        <v>2.4564000000000002E-2</v>
      </c>
      <c r="AB5872" s="13"/>
      <c r="AC5872" s="13"/>
      <c r="AD5872" s="13"/>
      <c r="AE5872" s="13"/>
      <c r="AF5872" s="13"/>
    </row>
    <row r="5873" spans="19:32" x14ac:dyDescent="0.35">
      <c r="S5873" s="13"/>
      <c r="T5873" s="16"/>
      <c r="U5873" s="16"/>
      <c r="V5873" s="16"/>
      <c r="W5873" s="13"/>
      <c r="X5873" s="34">
        <v>5869</v>
      </c>
      <c r="Y5873" s="34" t="s">
        <v>2248</v>
      </c>
      <c r="Z5873" s="34" t="s">
        <v>3435</v>
      </c>
      <c r="AA5873" s="35">
        <v>0</v>
      </c>
      <c r="AB5873" s="13"/>
      <c r="AC5873" s="13"/>
      <c r="AD5873" s="13"/>
      <c r="AE5873" s="13"/>
      <c r="AF5873" s="13"/>
    </row>
    <row r="5874" spans="19:32" x14ac:dyDescent="0.35">
      <c r="S5874" s="13"/>
      <c r="T5874" s="16"/>
      <c r="U5874" s="16"/>
      <c r="V5874" s="16"/>
      <c r="W5874" s="13"/>
      <c r="X5874" s="34">
        <v>5870</v>
      </c>
      <c r="Y5874" s="34" t="s">
        <v>2248</v>
      </c>
      <c r="Z5874" s="34" t="s">
        <v>3434</v>
      </c>
      <c r="AA5874" s="35">
        <v>1.4052419354838709E-4</v>
      </c>
      <c r="AB5874" s="13"/>
      <c r="AC5874" s="13"/>
      <c r="AD5874" s="13"/>
      <c r="AE5874" s="13"/>
      <c r="AF5874" s="13"/>
    </row>
    <row r="5875" spans="19:32" x14ac:dyDescent="0.35">
      <c r="S5875" s="13"/>
      <c r="T5875" s="16"/>
      <c r="U5875" s="16"/>
      <c r="V5875" s="16"/>
      <c r="W5875" s="13"/>
      <c r="X5875" s="34">
        <v>5871</v>
      </c>
      <c r="Y5875" s="34" t="s">
        <v>2248</v>
      </c>
      <c r="Z5875" s="34" t="s">
        <v>3433</v>
      </c>
      <c r="AA5875" s="35">
        <v>0.38363999999999998</v>
      </c>
      <c r="AB5875" s="13"/>
      <c r="AC5875" s="13"/>
      <c r="AD5875" s="13"/>
      <c r="AE5875" s="13"/>
      <c r="AF5875" s="13"/>
    </row>
    <row r="5876" spans="19:32" x14ac:dyDescent="0.35">
      <c r="S5876" s="13"/>
      <c r="T5876" s="16"/>
      <c r="U5876" s="16"/>
      <c r="V5876" s="16"/>
      <c r="W5876" s="13"/>
      <c r="X5876" s="34">
        <v>5872</v>
      </c>
      <c r="Y5876" s="34" t="s">
        <v>2248</v>
      </c>
      <c r="Z5876" s="34" t="s">
        <v>2977</v>
      </c>
      <c r="AA5876" s="35">
        <v>1.0556451612903226E-2</v>
      </c>
      <c r="AB5876" s="13"/>
      <c r="AC5876" s="13"/>
      <c r="AD5876" s="13"/>
      <c r="AE5876" s="13"/>
      <c r="AF5876" s="13"/>
    </row>
    <row r="5877" spans="19:32" x14ac:dyDescent="0.35">
      <c r="S5877" s="13"/>
      <c r="T5877" s="16"/>
      <c r="U5877" s="16"/>
      <c r="V5877" s="16"/>
      <c r="W5877" s="13"/>
      <c r="X5877" s="34">
        <v>5873</v>
      </c>
      <c r="Y5877" s="34" t="s">
        <v>2248</v>
      </c>
      <c r="Z5877" s="34" t="s">
        <v>3432</v>
      </c>
      <c r="AA5877" s="35">
        <v>0.15547999999999998</v>
      </c>
      <c r="AB5877" s="13"/>
      <c r="AC5877" s="13"/>
      <c r="AD5877" s="13"/>
      <c r="AE5877" s="13"/>
      <c r="AF5877" s="13"/>
    </row>
    <row r="5878" spans="19:32" x14ac:dyDescent="0.35">
      <c r="S5878" s="13"/>
      <c r="T5878" s="16"/>
      <c r="U5878" s="16"/>
      <c r="V5878" s="16"/>
      <c r="W5878" s="13"/>
      <c r="X5878" s="34">
        <v>5874</v>
      </c>
      <c r="Y5878" s="34" t="s">
        <v>2248</v>
      </c>
      <c r="Z5878" s="34" t="s">
        <v>3431</v>
      </c>
      <c r="AA5878" s="35">
        <v>0.16467999999999999</v>
      </c>
      <c r="AB5878" s="13"/>
      <c r="AC5878" s="13"/>
      <c r="AD5878" s="13"/>
      <c r="AE5878" s="13"/>
      <c r="AF5878" s="13"/>
    </row>
    <row r="5879" spans="19:32" x14ac:dyDescent="0.35">
      <c r="S5879" s="13"/>
      <c r="T5879" s="16"/>
      <c r="U5879" s="16"/>
      <c r="V5879" s="16"/>
      <c r="W5879" s="13"/>
      <c r="X5879" s="34">
        <v>5875</v>
      </c>
      <c r="Y5879" s="34" t="s">
        <v>2248</v>
      </c>
      <c r="Z5879" s="34" t="s">
        <v>2975</v>
      </c>
      <c r="AA5879" s="35">
        <v>1.9570564516129033E-6</v>
      </c>
      <c r="AB5879" s="13"/>
      <c r="AC5879" s="13"/>
      <c r="AD5879" s="13"/>
      <c r="AE5879" s="13"/>
      <c r="AF5879" s="13"/>
    </row>
    <row r="5880" spans="19:32" x14ac:dyDescent="0.35">
      <c r="S5880" s="13"/>
      <c r="T5880" s="16"/>
      <c r="U5880" s="16"/>
      <c r="V5880" s="16"/>
      <c r="W5880" s="13"/>
      <c r="X5880" s="34">
        <v>5876</v>
      </c>
      <c r="Y5880" s="34" t="s">
        <v>2248</v>
      </c>
      <c r="Z5880" s="34" t="s">
        <v>3430</v>
      </c>
      <c r="AA5880" s="35">
        <v>0.39836000000000005</v>
      </c>
      <c r="AB5880" s="13"/>
      <c r="AC5880" s="13"/>
      <c r="AD5880" s="13"/>
      <c r="AE5880" s="13"/>
      <c r="AF5880" s="13"/>
    </row>
    <row r="5881" spans="19:32" x14ac:dyDescent="0.35">
      <c r="S5881" s="13"/>
      <c r="T5881" s="16"/>
      <c r="U5881" s="16"/>
      <c r="V5881" s="16"/>
      <c r="W5881" s="13"/>
      <c r="X5881" s="34">
        <v>5877</v>
      </c>
      <c r="Y5881" s="34" t="s">
        <v>2248</v>
      </c>
      <c r="Z5881" s="34" t="s">
        <v>3429</v>
      </c>
      <c r="AA5881" s="35">
        <v>3.9192</v>
      </c>
      <c r="AB5881" s="13"/>
      <c r="AC5881" s="13"/>
      <c r="AD5881" s="13"/>
      <c r="AE5881" s="13"/>
      <c r="AF5881" s="13"/>
    </row>
    <row r="5882" spans="19:32" x14ac:dyDescent="0.35">
      <c r="S5882" s="13"/>
      <c r="T5882" s="16"/>
      <c r="U5882" s="16"/>
      <c r="V5882" s="16"/>
      <c r="W5882" s="13"/>
      <c r="X5882" s="34">
        <v>5878</v>
      </c>
      <c r="Y5882" s="34" t="s">
        <v>2248</v>
      </c>
      <c r="Z5882" s="34" t="s">
        <v>2973</v>
      </c>
      <c r="AA5882" s="35">
        <v>2.0118951612903228E-3</v>
      </c>
      <c r="AB5882" s="13"/>
      <c r="AC5882" s="13"/>
      <c r="AD5882" s="13"/>
      <c r="AE5882" s="13"/>
      <c r="AF5882" s="13"/>
    </row>
    <row r="5883" spans="19:32" x14ac:dyDescent="0.35">
      <c r="S5883" s="13"/>
      <c r="T5883" s="16"/>
      <c r="U5883" s="16"/>
      <c r="V5883" s="16"/>
      <c r="W5883" s="13"/>
      <c r="X5883" s="34">
        <v>5879</v>
      </c>
      <c r="Y5883" s="34" t="s">
        <v>2248</v>
      </c>
      <c r="Z5883" s="34" t="s">
        <v>3428</v>
      </c>
      <c r="AA5883" s="35">
        <v>0</v>
      </c>
      <c r="AB5883" s="13"/>
      <c r="AC5883" s="13"/>
      <c r="AD5883" s="13"/>
      <c r="AE5883" s="13"/>
      <c r="AF5883" s="13"/>
    </row>
    <row r="5884" spans="19:32" x14ac:dyDescent="0.35">
      <c r="S5884" s="13"/>
      <c r="T5884" s="16"/>
      <c r="U5884" s="16"/>
      <c r="V5884" s="16"/>
      <c r="W5884" s="13"/>
      <c r="X5884" s="34">
        <v>5880</v>
      </c>
      <c r="Y5884" s="34" t="s">
        <v>2248</v>
      </c>
      <c r="Z5884" s="34" t="s">
        <v>3427</v>
      </c>
      <c r="AA5884" s="35">
        <v>3.2292000000000002E-3</v>
      </c>
      <c r="AB5884" s="13"/>
      <c r="AC5884" s="13"/>
      <c r="AD5884" s="13"/>
      <c r="AE5884" s="13"/>
      <c r="AF5884" s="13"/>
    </row>
    <row r="5885" spans="19:32" x14ac:dyDescent="0.35">
      <c r="S5885" s="13"/>
      <c r="T5885" s="16"/>
      <c r="U5885" s="16"/>
      <c r="V5885" s="16"/>
      <c r="W5885" s="13"/>
      <c r="X5885" s="34">
        <v>5881</v>
      </c>
      <c r="Y5885" s="34" t="s">
        <v>2248</v>
      </c>
      <c r="Z5885" s="34" t="s">
        <v>3426</v>
      </c>
      <c r="AA5885" s="35">
        <v>1.3195564516129034E-4</v>
      </c>
      <c r="AB5885" s="13"/>
      <c r="AC5885" s="13"/>
      <c r="AD5885" s="13"/>
      <c r="AE5885" s="13"/>
      <c r="AF5885" s="13"/>
    </row>
    <row r="5886" spans="19:32" x14ac:dyDescent="0.35">
      <c r="S5886" s="13"/>
      <c r="T5886" s="16"/>
      <c r="U5886" s="16"/>
      <c r="V5886" s="16"/>
      <c r="W5886" s="13"/>
      <c r="X5886" s="34">
        <v>5882</v>
      </c>
      <c r="Y5886" s="34" t="s">
        <v>2248</v>
      </c>
      <c r="Z5886" s="34" t="s">
        <v>3425</v>
      </c>
      <c r="AA5886" s="35">
        <v>0</v>
      </c>
      <c r="AB5886" s="13"/>
      <c r="AC5886" s="13"/>
      <c r="AD5886" s="13"/>
      <c r="AE5886" s="13"/>
      <c r="AF5886" s="13"/>
    </row>
    <row r="5887" spans="19:32" x14ac:dyDescent="0.35">
      <c r="S5887" s="13"/>
      <c r="T5887" s="16"/>
      <c r="U5887" s="16"/>
      <c r="V5887" s="16"/>
      <c r="W5887" s="13"/>
      <c r="X5887" s="34">
        <v>5883</v>
      </c>
      <c r="Y5887" s="34" t="s">
        <v>2248</v>
      </c>
      <c r="Z5887" s="34" t="s">
        <v>3424</v>
      </c>
      <c r="AA5887" s="35">
        <v>4.5927419354838719E-5</v>
      </c>
      <c r="AB5887" s="13"/>
      <c r="AC5887" s="13"/>
      <c r="AD5887" s="13"/>
      <c r="AE5887" s="13"/>
      <c r="AF5887" s="13"/>
    </row>
    <row r="5888" spans="19:32" x14ac:dyDescent="0.35">
      <c r="S5888" s="13"/>
      <c r="T5888" s="16"/>
      <c r="U5888" s="16"/>
      <c r="V5888" s="16"/>
      <c r="W5888" s="13"/>
      <c r="X5888" s="34">
        <v>5884</v>
      </c>
      <c r="Y5888" s="34" t="s">
        <v>2248</v>
      </c>
      <c r="Z5888" s="34" t="s">
        <v>3423</v>
      </c>
      <c r="AA5888" s="35">
        <v>0.1656</v>
      </c>
      <c r="AB5888" s="13"/>
      <c r="AC5888" s="13"/>
      <c r="AD5888" s="13"/>
      <c r="AE5888" s="13"/>
      <c r="AF5888" s="13"/>
    </row>
    <row r="5889" spans="19:32" x14ac:dyDescent="0.35">
      <c r="S5889" s="13"/>
      <c r="T5889" s="16"/>
      <c r="U5889" s="16"/>
      <c r="V5889" s="16"/>
      <c r="W5889" s="13"/>
      <c r="X5889" s="34">
        <v>5885</v>
      </c>
      <c r="Y5889" s="34" t="s">
        <v>2248</v>
      </c>
      <c r="Z5889" s="34" t="s">
        <v>3422</v>
      </c>
      <c r="AA5889" s="35">
        <v>0.47931999999999997</v>
      </c>
      <c r="AB5889" s="13"/>
      <c r="AC5889" s="13"/>
      <c r="AD5889" s="13"/>
      <c r="AE5889" s="13"/>
      <c r="AF5889" s="13"/>
    </row>
    <row r="5890" spans="19:32" x14ac:dyDescent="0.35">
      <c r="S5890" s="13"/>
      <c r="T5890" s="16"/>
      <c r="U5890" s="16"/>
      <c r="V5890" s="16"/>
      <c r="W5890" s="13"/>
      <c r="X5890" s="34">
        <v>5886</v>
      </c>
      <c r="Y5890" s="34" t="s">
        <v>2248</v>
      </c>
      <c r="Z5890" s="34" t="s">
        <v>3421</v>
      </c>
      <c r="AA5890" s="35">
        <v>1.5217741935483873E-4</v>
      </c>
      <c r="AB5890" s="13"/>
      <c r="AC5890" s="13"/>
      <c r="AD5890" s="13"/>
      <c r="AE5890" s="13"/>
      <c r="AF5890" s="13"/>
    </row>
    <row r="5891" spans="19:32" x14ac:dyDescent="0.35">
      <c r="S5891" s="13"/>
      <c r="T5891" s="16"/>
      <c r="U5891" s="16"/>
      <c r="V5891" s="16"/>
      <c r="W5891" s="13"/>
      <c r="X5891" s="34">
        <v>5887</v>
      </c>
      <c r="Y5891" s="34" t="s">
        <v>2248</v>
      </c>
      <c r="Z5891" s="34" t="s">
        <v>3420</v>
      </c>
      <c r="AA5891" s="35">
        <v>0.17388000000000001</v>
      </c>
      <c r="AB5891" s="13"/>
      <c r="AC5891" s="13"/>
      <c r="AD5891" s="13"/>
      <c r="AE5891" s="13"/>
      <c r="AF5891" s="13"/>
    </row>
    <row r="5892" spans="19:32" x14ac:dyDescent="0.35">
      <c r="S5892" s="13"/>
      <c r="T5892" s="16"/>
      <c r="U5892" s="16"/>
      <c r="V5892" s="16"/>
      <c r="W5892" s="13"/>
      <c r="X5892" s="34">
        <v>5888</v>
      </c>
      <c r="Y5892" s="34" t="s">
        <v>2248</v>
      </c>
      <c r="Z5892" s="34" t="s">
        <v>3419</v>
      </c>
      <c r="AA5892" s="35">
        <v>1.012</v>
      </c>
      <c r="AB5892" s="13"/>
      <c r="AC5892" s="13"/>
      <c r="AD5892" s="13"/>
      <c r="AE5892" s="13"/>
      <c r="AF5892" s="13"/>
    </row>
    <row r="5893" spans="19:32" x14ac:dyDescent="0.35">
      <c r="S5893" s="13"/>
      <c r="T5893" s="16"/>
      <c r="U5893" s="16"/>
      <c r="V5893" s="16"/>
      <c r="W5893" s="13"/>
      <c r="X5893" s="34">
        <v>5889</v>
      </c>
      <c r="Y5893" s="34" t="s">
        <v>2248</v>
      </c>
      <c r="Z5893" s="34" t="s">
        <v>3418</v>
      </c>
      <c r="AA5893" s="35">
        <v>4.5584677419354845E-4</v>
      </c>
      <c r="AB5893" s="13"/>
      <c r="AC5893" s="13"/>
      <c r="AD5893" s="13"/>
      <c r="AE5893" s="13"/>
      <c r="AF5893" s="13"/>
    </row>
    <row r="5894" spans="19:32" x14ac:dyDescent="0.35">
      <c r="S5894" s="13"/>
      <c r="T5894" s="16"/>
      <c r="U5894" s="16"/>
      <c r="V5894" s="16"/>
      <c r="W5894" s="13"/>
      <c r="X5894" s="34">
        <v>5890</v>
      </c>
      <c r="Y5894" s="34" t="s">
        <v>2248</v>
      </c>
      <c r="Z5894" s="34" t="s">
        <v>3417</v>
      </c>
      <c r="AA5894" s="35">
        <v>8.5652000000000008</v>
      </c>
      <c r="AB5894" s="13"/>
      <c r="AC5894" s="13"/>
      <c r="AD5894" s="13"/>
      <c r="AE5894" s="13"/>
      <c r="AF5894" s="13"/>
    </row>
    <row r="5895" spans="19:32" x14ac:dyDescent="0.35">
      <c r="S5895" s="13"/>
      <c r="T5895" s="16"/>
      <c r="U5895" s="16"/>
      <c r="V5895" s="16"/>
      <c r="W5895" s="13"/>
      <c r="X5895" s="34">
        <v>5891</v>
      </c>
      <c r="Y5895" s="34" t="s">
        <v>2248</v>
      </c>
      <c r="Z5895" s="34" t="s">
        <v>3416</v>
      </c>
      <c r="AA5895" s="35">
        <v>7.4060000000000001E-2</v>
      </c>
      <c r="AB5895" s="13"/>
      <c r="AC5895" s="13"/>
      <c r="AD5895" s="13"/>
      <c r="AE5895" s="13"/>
      <c r="AF5895" s="13"/>
    </row>
    <row r="5896" spans="19:32" x14ac:dyDescent="0.35">
      <c r="S5896" s="13"/>
      <c r="T5896" s="16"/>
      <c r="U5896" s="16"/>
      <c r="V5896" s="16"/>
      <c r="W5896" s="13"/>
      <c r="X5896" s="34">
        <v>5892</v>
      </c>
      <c r="Y5896" s="34" t="s">
        <v>2248</v>
      </c>
      <c r="Z5896" s="34" t="s">
        <v>3415</v>
      </c>
      <c r="AA5896" s="35">
        <v>4.0786290322580648E-4</v>
      </c>
      <c r="AB5896" s="13"/>
      <c r="AC5896" s="13"/>
      <c r="AD5896" s="13"/>
      <c r="AE5896" s="13"/>
      <c r="AF5896" s="13"/>
    </row>
    <row r="5897" spans="19:32" x14ac:dyDescent="0.35">
      <c r="S5897" s="13"/>
      <c r="T5897" s="16"/>
      <c r="U5897" s="16"/>
      <c r="V5897" s="16"/>
      <c r="W5897" s="13"/>
      <c r="X5897" s="34">
        <v>5893</v>
      </c>
      <c r="Y5897" s="34" t="s">
        <v>2248</v>
      </c>
      <c r="Z5897" s="34" t="s">
        <v>3414</v>
      </c>
      <c r="AA5897" s="35">
        <v>1.5548</v>
      </c>
      <c r="AB5897" s="13"/>
      <c r="AC5897" s="13"/>
      <c r="AD5897" s="13"/>
      <c r="AE5897" s="13"/>
      <c r="AF5897" s="13"/>
    </row>
    <row r="5898" spans="19:32" x14ac:dyDescent="0.35">
      <c r="S5898" s="13"/>
      <c r="T5898" s="16"/>
      <c r="U5898" s="16"/>
      <c r="V5898" s="16"/>
      <c r="W5898" s="13"/>
      <c r="X5898" s="34">
        <v>5894</v>
      </c>
      <c r="Y5898" s="34" t="s">
        <v>2248</v>
      </c>
      <c r="Z5898" s="34" t="s">
        <v>3413</v>
      </c>
      <c r="AA5898" s="35">
        <v>52.531999999999996</v>
      </c>
      <c r="AB5898" s="13"/>
      <c r="AC5898" s="13"/>
      <c r="AD5898" s="13"/>
      <c r="AE5898" s="13"/>
      <c r="AF5898" s="13"/>
    </row>
    <row r="5899" spans="19:32" x14ac:dyDescent="0.35">
      <c r="S5899" s="13"/>
      <c r="T5899" s="16"/>
      <c r="U5899" s="16"/>
      <c r="V5899" s="16"/>
      <c r="W5899" s="13"/>
      <c r="X5899" s="34">
        <v>5895</v>
      </c>
      <c r="Y5899" s="34" t="s">
        <v>2248</v>
      </c>
      <c r="Z5899" s="34" t="s">
        <v>3412</v>
      </c>
      <c r="AA5899" s="35">
        <v>2.4608870967741938E-3</v>
      </c>
      <c r="AB5899" s="13"/>
      <c r="AC5899" s="13"/>
      <c r="AD5899" s="13"/>
      <c r="AE5899" s="13"/>
      <c r="AF5899" s="13"/>
    </row>
    <row r="5900" spans="19:32" x14ac:dyDescent="0.35">
      <c r="S5900" s="13"/>
      <c r="T5900" s="16"/>
      <c r="U5900" s="16"/>
      <c r="V5900" s="16"/>
      <c r="W5900" s="13"/>
      <c r="X5900" s="34">
        <v>5896</v>
      </c>
      <c r="Y5900" s="34" t="s">
        <v>2248</v>
      </c>
      <c r="Z5900" s="34" t="s">
        <v>3411</v>
      </c>
      <c r="AA5900" s="35">
        <v>6.0260000000000001E-2</v>
      </c>
      <c r="AB5900" s="13"/>
      <c r="AC5900" s="13"/>
      <c r="AD5900" s="13"/>
      <c r="AE5900" s="13"/>
      <c r="AF5900" s="13"/>
    </row>
    <row r="5901" spans="19:32" x14ac:dyDescent="0.35">
      <c r="S5901" s="13"/>
      <c r="T5901" s="16"/>
      <c r="U5901" s="16"/>
      <c r="V5901" s="16"/>
      <c r="W5901" s="13"/>
      <c r="X5901" s="34">
        <v>5897</v>
      </c>
      <c r="Y5901" s="34" t="s">
        <v>2248</v>
      </c>
      <c r="Z5901" s="34" t="s">
        <v>3410</v>
      </c>
      <c r="AA5901" s="35">
        <v>2.6699596774193554E-3</v>
      </c>
      <c r="AB5901" s="13"/>
      <c r="AC5901" s="13"/>
      <c r="AD5901" s="13"/>
      <c r="AE5901" s="13"/>
      <c r="AF5901" s="13"/>
    </row>
    <row r="5902" spans="19:32" x14ac:dyDescent="0.35">
      <c r="S5902" s="13"/>
      <c r="T5902" s="16"/>
      <c r="U5902" s="16"/>
      <c r="V5902" s="16"/>
      <c r="W5902" s="13"/>
      <c r="X5902" s="34">
        <v>5898</v>
      </c>
      <c r="Y5902" s="34" t="s">
        <v>2248</v>
      </c>
      <c r="Z5902" s="34" t="s">
        <v>3409</v>
      </c>
      <c r="AA5902" s="35">
        <v>0</v>
      </c>
      <c r="AB5902" s="13"/>
      <c r="AC5902" s="13"/>
      <c r="AD5902" s="13"/>
      <c r="AE5902" s="13"/>
      <c r="AF5902" s="13"/>
    </row>
    <row r="5903" spans="19:32" x14ac:dyDescent="0.35">
      <c r="S5903" s="13"/>
      <c r="T5903" s="16"/>
      <c r="U5903" s="16"/>
      <c r="V5903" s="16"/>
      <c r="W5903" s="13"/>
      <c r="X5903" s="34">
        <v>5899</v>
      </c>
      <c r="Y5903" s="34" t="s">
        <v>2248</v>
      </c>
      <c r="Z5903" s="34" t="s">
        <v>3408</v>
      </c>
      <c r="AA5903" s="35">
        <v>3.5327999999999998E-2</v>
      </c>
      <c r="AB5903" s="13"/>
      <c r="AC5903" s="13"/>
      <c r="AD5903" s="13"/>
      <c r="AE5903" s="13"/>
      <c r="AF5903" s="13"/>
    </row>
    <row r="5904" spans="19:32" x14ac:dyDescent="0.35">
      <c r="S5904" s="13"/>
      <c r="T5904" s="16"/>
      <c r="U5904" s="16"/>
      <c r="V5904" s="16"/>
      <c r="W5904" s="13"/>
      <c r="X5904" s="34">
        <v>5900</v>
      </c>
      <c r="Y5904" s="34" t="s">
        <v>2248</v>
      </c>
      <c r="Z5904" s="34" t="s">
        <v>3407</v>
      </c>
      <c r="AA5904" s="35">
        <v>5.2782258064516135E-4</v>
      </c>
      <c r="AB5904" s="13"/>
      <c r="AC5904" s="13"/>
      <c r="AD5904" s="13"/>
      <c r="AE5904" s="13"/>
      <c r="AF5904" s="13"/>
    </row>
    <row r="5905" spans="19:32" x14ac:dyDescent="0.35">
      <c r="S5905" s="13"/>
      <c r="T5905" s="16"/>
      <c r="U5905" s="16"/>
      <c r="V5905" s="16"/>
      <c r="W5905" s="13"/>
      <c r="X5905" s="34">
        <v>5901</v>
      </c>
      <c r="Y5905" s="34" t="s">
        <v>2248</v>
      </c>
      <c r="Z5905" s="34" t="s">
        <v>3406</v>
      </c>
      <c r="AA5905" s="35">
        <v>238.28</v>
      </c>
      <c r="AB5905" s="13"/>
      <c r="AC5905" s="13"/>
      <c r="AD5905" s="13"/>
      <c r="AE5905" s="13"/>
      <c r="AF5905" s="13"/>
    </row>
    <row r="5906" spans="19:32" x14ac:dyDescent="0.35">
      <c r="S5906" s="13"/>
      <c r="T5906" s="16"/>
      <c r="U5906" s="16"/>
      <c r="V5906" s="16"/>
      <c r="W5906" s="13"/>
      <c r="X5906" s="34">
        <v>5902</v>
      </c>
      <c r="Y5906" s="34" t="s">
        <v>2248</v>
      </c>
      <c r="Z5906" s="34" t="s">
        <v>3405</v>
      </c>
      <c r="AA5906" s="35">
        <v>2.4011999999999998</v>
      </c>
      <c r="AB5906" s="13"/>
      <c r="AC5906" s="13"/>
      <c r="AD5906" s="13"/>
      <c r="AE5906" s="13"/>
      <c r="AF5906" s="13"/>
    </row>
    <row r="5907" spans="19:32" x14ac:dyDescent="0.35">
      <c r="S5907" s="13"/>
      <c r="T5907" s="16"/>
      <c r="U5907" s="16"/>
      <c r="V5907" s="16"/>
      <c r="W5907" s="13"/>
      <c r="X5907" s="34">
        <v>5903</v>
      </c>
      <c r="Y5907" s="34" t="s">
        <v>2248</v>
      </c>
      <c r="Z5907" s="34" t="s">
        <v>3404</v>
      </c>
      <c r="AA5907" s="35">
        <v>3.4959677419354844E-2</v>
      </c>
      <c r="AB5907" s="13"/>
      <c r="AC5907" s="13"/>
      <c r="AD5907" s="13"/>
      <c r="AE5907" s="13"/>
      <c r="AF5907" s="13"/>
    </row>
    <row r="5908" spans="19:32" x14ac:dyDescent="0.35">
      <c r="S5908" s="13"/>
      <c r="T5908" s="16"/>
      <c r="U5908" s="16"/>
      <c r="V5908" s="16"/>
      <c r="W5908" s="13"/>
      <c r="X5908" s="34">
        <v>5904</v>
      </c>
      <c r="Y5908" s="34" t="s">
        <v>2248</v>
      </c>
      <c r="Z5908" s="34" t="s">
        <v>3403</v>
      </c>
      <c r="AA5908" s="35">
        <v>0</v>
      </c>
      <c r="AB5908" s="13"/>
      <c r="AC5908" s="13"/>
      <c r="AD5908" s="13"/>
      <c r="AE5908" s="13"/>
      <c r="AF5908" s="13"/>
    </row>
    <row r="5909" spans="19:32" x14ac:dyDescent="0.35">
      <c r="S5909" s="13"/>
      <c r="T5909" s="16"/>
      <c r="U5909" s="16"/>
      <c r="V5909" s="16"/>
      <c r="W5909" s="13"/>
      <c r="X5909" s="34">
        <v>5905</v>
      </c>
      <c r="Y5909" s="34" t="s">
        <v>2248</v>
      </c>
      <c r="Z5909" s="34" t="s">
        <v>3402</v>
      </c>
      <c r="AA5909" s="35">
        <v>0.1242</v>
      </c>
      <c r="AB5909" s="13"/>
      <c r="AC5909" s="13"/>
      <c r="AD5909" s="13"/>
      <c r="AE5909" s="13"/>
      <c r="AF5909" s="13"/>
    </row>
    <row r="5910" spans="19:32" x14ac:dyDescent="0.35">
      <c r="S5910" s="13"/>
      <c r="T5910" s="16"/>
      <c r="U5910" s="16"/>
      <c r="V5910" s="16"/>
      <c r="W5910" s="13"/>
      <c r="X5910" s="34">
        <v>5906</v>
      </c>
      <c r="Y5910" s="34" t="s">
        <v>2248</v>
      </c>
      <c r="Z5910" s="34" t="s">
        <v>3401</v>
      </c>
      <c r="AA5910" s="35">
        <v>0.11481854838709678</v>
      </c>
      <c r="AB5910" s="13"/>
      <c r="AC5910" s="13"/>
      <c r="AD5910" s="13"/>
      <c r="AE5910" s="13"/>
      <c r="AF5910" s="13"/>
    </row>
    <row r="5911" spans="19:32" x14ac:dyDescent="0.35">
      <c r="S5911" s="13"/>
      <c r="T5911" s="16"/>
      <c r="U5911" s="16"/>
      <c r="V5911" s="16"/>
      <c r="W5911" s="13"/>
      <c r="X5911" s="34">
        <v>5907</v>
      </c>
      <c r="Y5911" s="34" t="s">
        <v>2248</v>
      </c>
      <c r="Z5911" s="34" t="s">
        <v>3400</v>
      </c>
      <c r="AA5911" s="35">
        <v>0.12603999999999999</v>
      </c>
      <c r="AB5911" s="13"/>
      <c r="AC5911" s="13"/>
      <c r="AD5911" s="13"/>
      <c r="AE5911" s="13"/>
      <c r="AF5911" s="13"/>
    </row>
    <row r="5912" spans="19:32" x14ac:dyDescent="0.35">
      <c r="S5912" s="13"/>
      <c r="T5912" s="16"/>
      <c r="U5912" s="16"/>
      <c r="V5912" s="16"/>
      <c r="W5912" s="13"/>
      <c r="X5912" s="34">
        <v>5908</v>
      </c>
      <c r="Y5912" s="34" t="s">
        <v>2248</v>
      </c>
      <c r="Z5912" s="34" t="s">
        <v>3399</v>
      </c>
      <c r="AA5912" s="35">
        <v>0.38044354838709682</v>
      </c>
      <c r="AB5912" s="13"/>
      <c r="AC5912" s="13"/>
      <c r="AD5912" s="13"/>
      <c r="AE5912" s="13"/>
      <c r="AF5912" s="13"/>
    </row>
    <row r="5913" spans="19:32" x14ac:dyDescent="0.35">
      <c r="S5913" s="13"/>
      <c r="T5913" s="16"/>
      <c r="U5913" s="16"/>
      <c r="V5913" s="16"/>
      <c r="W5913" s="13"/>
      <c r="X5913" s="34">
        <v>5909</v>
      </c>
      <c r="Y5913" s="34" t="s">
        <v>2248</v>
      </c>
      <c r="Z5913" s="34" t="s">
        <v>3398</v>
      </c>
      <c r="AA5913" s="35">
        <v>0.10303999999999999</v>
      </c>
      <c r="AB5913" s="13"/>
      <c r="AC5913" s="13"/>
      <c r="AD5913" s="13"/>
      <c r="AE5913" s="13"/>
      <c r="AF5913" s="13"/>
    </row>
    <row r="5914" spans="19:32" x14ac:dyDescent="0.35">
      <c r="S5914" s="13"/>
      <c r="T5914" s="16"/>
      <c r="U5914" s="16"/>
      <c r="V5914" s="16"/>
      <c r="W5914" s="13"/>
      <c r="X5914" s="34">
        <v>5910</v>
      </c>
      <c r="Y5914" s="34" t="s">
        <v>2248</v>
      </c>
      <c r="Z5914" s="34" t="s">
        <v>3397</v>
      </c>
      <c r="AA5914" s="35">
        <v>0</v>
      </c>
      <c r="AB5914" s="13"/>
      <c r="AC5914" s="13"/>
      <c r="AD5914" s="13"/>
      <c r="AE5914" s="13"/>
      <c r="AF5914" s="13"/>
    </row>
    <row r="5915" spans="19:32" x14ac:dyDescent="0.35">
      <c r="S5915" s="13"/>
      <c r="T5915" s="16"/>
      <c r="U5915" s="16"/>
      <c r="V5915" s="16"/>
      <c r="W5915" s="13"/>
      <c r="X5915" s="34">
        <v>5911</v>
      </c>
      <c r="Y5915" s="34" t="s">
        <v>2248</v>
      </c>
      <c r="Z5915" s="34" t="s">
        <v>3396</v>
      </c>
      <c r="AA5915" s="35">
        <v>6.5463709677419363E-5</v>
      </c>
      <c r="AB5915" s="13"/>
      <c r="AC5915" s="13"/>
      <c r="AD5915" s="13"/>
      <c r="AE5915" s="13"/>
      <c r="AF5915" s="13"/>
    </row>
    <row r="5916" spans="19:32" x14ac:dyDescent="0.35">
      <c r="S5916" s="13"/>
      <c r="T5916" s="16"/>
      <c r="U5916" s="16"/>
      <c r="V5916" s="16"/>
      <c r="W5916" s="13"/>
      <c r="X5916" s="34">
        <v>5912</v>
      </c>
      <c r="Y5916" s="34" t="s">
        <v>2248</v>
      </c>
      <c r="Z5916" s="34" t="s">
        <v>3395</v>
      </c>
      <c r="AA5916" s="35">
        <v>276.92</v>
      </c>
      <c r="AB5916" s="13"/>
      <c r="AC5916" s="13"/>
      <c r="AD5916" s="13"/>
      <c r="AE5916" s="13"/>
      <c r="AF5916" s="13"/>
    </row>
    <row r="5917" spans="19:32" x14ac:dyDescent="0.35">
      <c r="S5917" s="13"/>
      <c r="T5917" s="16"/>
      <c r="U5917" s="16"/>
      <c r="V5917" s="16"/>
      <c r="W5917" s="13"/>
      <c r="X5917" s="34">
        <v>5913</v>
      </c>
      <c r="Y5917" s="34" t="s">
        <v>2248</v>
      </c>
      <c r="Z5917" s="34" t="s">
        <v>3394</v>
      </c>
      <c r="AA5917" s="35">
        <v>0.22539999999999999</v>
      </c>
      <c r="AB5917" s="13"/>
      <c r="AC5917" s="13"/>
      <c r="AD5917" s="13"/>
      <c r="AE5917" s="13"/>
      <c r="AF5917" s="13"/>
    </row>
    <row r="5918" spans="19:32" x14ac:dyDescent="0.35">
      <c r="S5918" s="13"/>
      <c r="T5918" s="16"/>
      <c r="U5918" s="16"/>
      <c r="V5918" s="16"/>
      <c r="W5918" s="13"/>
      <c r="X5918" s="34">
        <v>5914</v>
      </c>
      <c r="Y5918" s="34" t="s">
        <v>2248</v>
      </c>
      <c r="Z5918" s="34" t="s">
        <v>3393</v>
      </c>
      <c r="AA5918" s="35">
        <v>2.8756048387096776E-5</v>
      </c>
      <c r="AB5918" s="13"/>
      <c r="AC5918" s="13"/>
      <c r="AD5918" s="13"/>
      <c r="AE5918" s="13"/>
      <c r="AF5918" s="13"/>
    </row>
    <row r="5919" spans="19:32" x14ac:dyDescent="0.35">
      <c r="S5919" s="13"/>
      <c r="T5919" s="16"/>
      <c r="U5919" s="16"/>
      <c r="V5919" s="16"/>
      <c r="W5919" s="13"/>
      <c r="X5919" s="34">
        <v>5915</v>
      </c>
      <c r="Y5919" s="34" t="s">
        <v>2248</v>
      </c>
      <c r="Z5919" s="34" t="s">
        <v>3392</v>
      </c>
      <c r="AA5919" s="35">
        <v>0.71667999999999998</v>
      </c>
      <c r="AB5919" s="13"/>
      <c r="AC5919" s="13"/>
      <c r="AD5919" s="13"/>
      <c r="AE5919" s="13"/>
      <c r="AF5919" s="13"/>
    </row>
    <row r="5920" spans="19:32" x14ac:dyDescent="0.35">
      <c r="S5920" s="13"/>
      <c r="T5920" s="16"/>
      <c r="U5920" s="16"/>
      <c r="V5920" s="16"/>
      <c r="W5920" s="13"/>
      <c r="X5920" s="34">
        <v>5916</v>
      </c>
      <c r="Y5920" s="34" t="s">
        <v>2248</v>
      </c>
      <c r="Z5920" s="34" t="s">
        <v>3391</v>
      </c>
      <c r="AA5920" s="35">
        <v>0.61271999999999993</v>
      </c>
      <c r="AB5920" s="13"/>
      <c r="AC5920" s="13"/>
      <c r="AD5920" s="13"/>
      <c r="AE5920" s="13"/>
      <c r="AF5920" s="13"/>
    </row>
    <row r="5921" spans="19:32" x14ac:dyDescent="0.35">
      <c r="S5921" s="13"/>
      <c r="T5921" s="16"/>
      <c r="U5921" s="16"/>
      <c r="V5921" s="16"/>
      <c r="W5921" s="13"/>
      <c r="X5921" s="34">
        <v>5917</v>
      </c>
      <c r="Y5921" s="34" t="s">
        <v>2248</v>
      </c>
      <c r="Z5921" s="34" t="s">
        <v>3390</v>
      </c>
      <c r="AA5921" s="35">
        <v>4.6270161290322585E-5</v>
      </c>
      <c r="AB5921" s="13"/>
      <c r="AC5921" s="13"/>
      <c r="AD5921" s="13"/>
      <c r="AE5921" s="13"/>
      <c r="AF5921" s="13"/>
    </row>
    <row r="5922" spans="19:32" x14ac:dyDescent="0.35">
      <c r="S5922" s="13"/>
      <c r="T5922" s="16"/>
      <c r="U5922" s="16"/>
      <c r="V5922" s="16"/>
      <c r="W5922" s="13"/>
      <c r="X5922" s="34">
        <v>5918</v>
      </c>
      <c r="Y5922" s="34" t="s">
        <v>2248</v>
      </c>
      <c r="Z5922" s="34" t="s">
        <v>3389</v>
      </c>
      <c r="AA5922" s="35">
        <v>18.308</v>
      </c>
      <c r="AB5922" s="13"/>
      <c r="AC5922" s="13"/>
      <c r="AD5922" s="13"/>
      <c r="AE5922" s="13"/>
      <c r="AF5922" s="13"/>
    </row>
    <row r="5923" spans="19:32" x14ac:dyDescent="0.35">
      <c r="S5923" s="13"/>
      <c r="T5923" s="16"/>
      <c r="U5923" s="16"/>
      <c r="V5923" s="16"/>
      <c r="W5923" s="13"/>
      <c r="X5923" s="34">
        <v>5919</v>
      </c>
      <c r="Y5923" s="34" t="s">
        <v>2248</v>
      </c>
      <c r="Z5923" s="34" t="s">
        <v>3388</v>
      </c>
      <c r="AA5923" s="35">
        <v>103.03999999999999</v>
      </c>
      <c r="AB5923" s="13"/>
      <c r="AC5923" s="13"/>
      <c r="AD5923" s="13"/>
      <c r="AE5923" s="13"/>
      <c r="AF5923" s="13"/>
    </row>
    <row r="5924" spans="19:32" x14ac:dyDescent="0.35">
      <c r="S5924" s="13"/>
      <c r="T5924" s="16"/>
      <c r="U5924" s="16"/>
      <c r="V5924" s="16"/>
      <c r="W5924" s="13"/>
      <c r="X5924" s="34">
        <v>5920</v>
      </c>
      <c r="Y5924" s="34" t="s">
        <v>2248</v>
      </c>
      <c r="Z5924" s="34" t="s">
        <v>2961</v>
      </c>
      <c r="AA5924" s="35">
        <v>1.192741935483871E-2</v>
      </c>
      <c r="AB5924" s="13"/>
      <c r="AC5924" s="13"/>
      <c r="AD5924" s="13"/>
      <c r="AE5924" s="13"/>
      <c r="AF5924" s="13"/>
    </row>
    <row r="5925" spans="19:32" x14ac:dyDescent="0.35">
      <c r="S5925" s="13"/>
      <c r="T5925" s="16"/>
      <c r="U5925" s="16"/>
      <c r="V5925" s="16"/>
      <c r="W5925" s="13"/>
      <c r="X5925" s="34">
        <v>5921</v>
      </c>
      <c r="Y5925" s="34" t="s">
        <v>2248</v>
      </c>
      <c r="Z5925" s="34" t="s">
        <v>3387</v>
      </c>
      <c r="AA5925" s="35">
        <v>123.28</v>
      </c>
      <c r="AB5925" s="13"/>
      <c r="AC5925" s="13"/>
      <c r="AD5925" s="13"/>
      <c r="AE5925" s="13"/>
      <c r="AF5925" s="13"/>
    </row>
    <row r="5926" spans="19:32" x14ac:dyDescent="0.35">
      <c r="S5926" s="13"/>
      <c r="T5926" s="16"/>
      <c r="U5926" s="16"/>
      <c r="V5926" s="16"/>
      <c r="W5926" s="13"/>
      <c r="X5926" s="34">
        <v>5922</v>
      </c>
      <c r="Y5926" s="34" t="s">
        <v>2248</v>
      </c>
      <c r="Z5926" s="34" t="s">
        <v>2959</v>
      </c>
      <c r="AA5926" s="35">
        <v>0.20975806451612905</v>
      </c>
      <c r="AB5926" s="13"/>
      <c r="AC5926" s="13"/>
      <c r="AD5926" s="13"/>
      <c r="AE5926" s="13"/>
      <c r="AF5926" s="13"/>
    </row>
    <row r="5927" spans="19:32" x14ac:dyDescent="0.35">
      <c r="S5927" s="13"/>
      <c r="T5927" s="16"/>
      <c r="U5927" s="16"/>
      <c r="V5927" s="16"/>
      <c r="W5927" s="13"/>
      <c r="X5927" s="34">
        <v>5923</v>
      </c>
      <c r="Y5927" s="34" t="s">
        <v>2248</v>
      </c>
      <c r="Z5927" s="34" t="s">
        <v>3386</v>
      </c>
      <c r="AA5927" s="35">
        <v>115.92</v>
      </c>
      <c r="AB5927" s="13"/>
      <c r="AC5927" s="13"/>
      <c r="AD5927" s="13"/>
      <c r="AE5927" s="13"/>
      <c r="AF5927" s="13"/>
    </row>
    <row r="5928" spans="19:32" x14ac:dyDescent="0.35">
      <c r="S5928" s="13"/>
      <c r="T5928" s="16"/>
      <c r="U5928" s="16"/>
      <c r="V5928" s="16"/>
      <c r="W5928" s="13"/>
      <c r="X5928" s="34">
        <v>5924</v>
      </c>
      <c r="Y5928" s="34" t="s">
        <v>2248</v>
      </c>
      <c r="Z5928" s="34" t="s">
        <v>3385</v>
      </c>
      <c r="AA5928" s="35">
        <v>278.76</v>
      </c>
      <c r="AB5928" s="13"/>
      <c r="AC5928" s="13"/>
      <c r="AD5928" s="13"/>
      <c r="AE5928" s="13"/>
      <c r="AF5928" s="13"/>
    </row>
    <row r="5929" spans="19:32" x14ac:dyDescent="0.35">
      <c r="S5929" s="13"/>
      <c r="T5929" s="16"/>
      <c r="U5929" s="16"/>
      <c r="V5929" s="16"/>
      <c r="W5929" s="13"/>
      <c r="X5929" s="34">
        <v>5925</v>
      </c>
      <c r="Y5929" s="34" t="s">
        <v>2248</v>
      </c>
      <c r="Z5929" s="34" t="s">
        <v>3384</v>
      </c>
      <c r="AA5929" s="35">
        <v>4.5241935483870972E-3</v>
      </c>
      <c r="AB5929" s="13"/>
      <c r="AC5929" s="13"/>
      <c r="AD5929" s="13"/>
      <c r="AE5929" s="13"/>
      <c r="AF5929" s="13"/>
    </row>
    <row r="5930" spans="19:32" x14ac:dyDescent="0.35">
      <c r="S5930" s="13"/>
      <c r="T5930" s="16"/>
      <c r="U5930" s="16"/>
      <c r="V5930" s="16"/>
      <c r="W5930" s="13"/>
      <c r="X5930" s="34">
        <v>5926</v>
      </c>
      <c r="Y5930" s="34" t="s">
        <v>2248</v>
      </c>
      <c r="Z5930" s="34" t="s">
        <v>3383</v>
      </c>
      <c r="AA5930" s="35">
        <v>556.59999999999991</v>
      </c>
      <c r="AB5930" s="13"/>
      <c r="AC5930" s="13"/>
      <c r="AD5930" s="13"/>
      <c r="AE5930" s="13"/>
      <c r="AF5930" s="13"/>
    </row>
    <row r="5931" spans="19:32" x14ac:dyDescent="0.35">
      <c r="S5931" s="13"/>
      <c r="T5931" s="16"/>
      <c r="U5931" s="16"/>
      <c r="V5931" s="16"/>
      <c r="W5931" s="13"/>
      <c r="X5931" s="34">
        <v>5927</v>
      </c>
      <c r="Y5931" s="34" t="s">
        <v>2248</v>
      </c>
      <c r="Z5931" s="34" t="s">
        <v>3382</v>
      </c>
      <c r="AA5931" s="35">
        <v>28.887999999999998</v>
      </c>
      <c r="AB5931" s="13"/>
      <c r="AC5931" s="13"/>
      <c r="AD5931" s="13"/>
      <c r="AE5931" s="13"/>
      <c r="AF5931" s="13"/>
    </row>
    <row r="5932" spans="19:32" x14ac:dyDescent="0.35">
      <c r="S5932" s="13"/>
      <c r="T5932" s="16"/>
      <c r="U5932" s="16"/>
      <c r="V5932" s="16"/>
      <c r="W5932" s="13"/>
      <c r="X5932" s="34">
        <v>5928</v>
      </c>
      <c r="Y5932" s="34" t="s">
        <v>2248</v>
      </c>
      <c r="Z5932" s="34" t="s">
        <v>3381</v>
      </c>
      <c r="AA5932" s="35">
        <v>1.4909274193548388E-8</v>
      </c>
      <c r="AB5932" s="13"/>
      <c r="AC5932" s="13"/>
      <c r="AD5932" s="13"/>
      <c r="AE5932" s="13"/>
      <c r="AF5932" s="13"/>
    </row>
    <row r="5933" spans="19:32" x14ac:dyDescent="0.35">
      <c r="S5933" s="13"/>
      <c r="T5933" s="16"/>
      <c r="U5933" s="16"/>
      <c r="V5933" s="16"/>
      <c r="W5933" s="13"/>
      <c r="X5933" s="47">
        <v>5929</v>
      </c>
      <c r="Y5933" s="47" t="s">
        <v>2248</v>
      </c>
      <c r="Z5933" s="47" t="s">
        <v>3380</v>
      </c>
      <c r="AA5933" s="48">
        <v>1545.6000000000001</v>
      </c>
      <c r="AB5933" s="13"/>
      <c r="AC5933" s="13"/>
      <c r="AD5933" s="13"/>
      <c r="AE5933" s="13"/>
      <c r="AF5933" s="13"/>
    </row>
    <row r="5934" spans="19:32" x14ac:dyDescent="0.35">
      <c r="S5934" s="13"/>
      <c r="T5934" s="16"/>
      <c r="U5934" s="16"/>
      <c r="V5934" s="16"/>
      <c r="W5934" s="13"/>
      <c r="X5934" s="47">
        <v>5930</v>
      </c>
      <c r="Y5934" s="47" t="s">
        <v>2248</v>
      </c>
      <c r="Z5934" s="47" t="s">
        <v>3379</v>
      </c>
      <c r="AA5934" s="48">
        <v>0.97520000000000007</v>
      </c>
      <c r="AB5934" s="13"/>
      <c r="AC5934" s="13"/>
      <c r="AD5934" s="13"/>
      <c r="AE5934" s="13"/>
      <c r="AF5934" s="13"/>
    </row>
    <row r="5935" spans="19:32" x14ac:dyDescent="0.35">
      <c r="S5935" s="13"/>
      <c r="T5935" s="16"/>
      <c r="U5935" s="16"/>
      <c r="V5935" s="16"/>
      <c r="W5935" s="13"/>
      <c r="X5935" s="34">
        <v>5931</v>
      </c>
      <c r="Y5935" s="34" t="s">
        <v>2248</v>
      </c>
      <c r="Z5935" s="34" t="s">
        <v>3378</v>
      </c>
      <c r="AA5935" s="35">
        <v>1.3504032258064517E-4</v>
      </c>
      <c r="AB5935" s="13"/>
      <c r="AC5935" s="13"/>
      <c r="AD5935" s="13"/>
      <c r="AE5935" s="13"/>
      <c r="AF5935" s="13"/>
    </row>
    <row r="5936" spans="19:32" x14ac:dyDescent="0.35">
      <c r="S5936" s="13"/>
      <c r="T5936" s="16"/>
      <c r="U5936" s="16"/>
      <c r="V5936" s="16"/>
      <c r="W5936" s="13"/>
      <c r="X5936" s="47">
        <v>5932</v>
      </c>
      <c r="Y5936" s="47" t="s">
        <v>2248</v>
      </c>
      <c r="Z5936" s="47" t="s">
        <v>3377</v>
      </c>
      <c r="AA5936" s="48">
        <v>0</v>
      </c>
      <c r="AB5936" s="13"/>
      <c r="AC5936" s="13"/>
      <c r="AD5936" s="13"/>
      <c r="AE5936" s="13"/>
      <c r="AF5936" s="13"/>
    </row>
    <row r="5937" spans="19:32" x14ac:dyDescent="0.35">
      <c r="S5937" s="13"/>
      <c r="T5937" s="16"/>
      <c r="U5937" s="16"/>
      <c r="V5937" s="16"/>
      <c r="W5937" s="13"/>
      <c r="X5937" s="34">
        <v>5933</v>
      </c>
      <c r="Y5937" s="34" t="s">
        <v>2248</v>
      </c>
      <c r="Z5937" s="34" t="s">
        <v>3376</v>
      </c>
      <c r="AA5937" s="35">
        <v>2.419758064516129E-6</v>
      </c>
      <c r="AB5937" s="13"/>
      <c r="AC5937" s="13"/>
      <c r="AD5937" s="13"/>
      <c r="AE5937" s="13"/>
      <c r="AF5937" s="13"/>
    </row>
    <row r="5938" spans="19:32" x14ac:dyDescent="0.35">
      <c r="S5938" s="13"/>
      <c r="T5938" s="16"/>
      <c r="U5938" s="16"/>
      <c r="V5938" s="16"/>
      <c r="W5938" s="13"/>
      <c r="X5938" s="47">
        <v>5934</v>
      </c>
      <c r="Y5938" s="47" t="s">
        <v>2248</v>
      </c>
      <c r="Z5938" s="47" t="s">
        <v>3375</v>
      </c>
      <c r="AA5938" s="48">
        <v>0</v>
      </c>
      <c r="AB5938" s="13"/>
      <c r="AC5938" s="13"/>
      <c r="AD5938" s="13"/>
      <c r="AE5938" s="13"/>
      <c r="AF5938" s="13"/>
    </row>
    <row r="5939" spans="19:32" x14ac:dyDescent="0.35">
      <c r="S5939" s="13"/>
      <c r="T5939" s="16"/>
      <c r="U5939" s="16"/>
      <c r="V5939" s="16"/>
      <c r="W5939" s="13"/>
      <c r="X5939" s="47">
        <v>5935</v>
      </c>
      <c r="Y5939" s="47" t="s">
        <v>2248</v>
      </c>
      <c r="Z5939" s="47" t="s">
        <v>3374</v>
      </c>
      <c r="AA5939" s="48">
        <v>0</v>
      </c>
      <c r="AB5939" s="13"/>
      <c r="AC5939" s="13"/>
      <c r="AD5939" s="13"/>
      <c r="AE5939" s="13"/>
      <c r="AF5939" s="13"/>
    </row>
    <row r="5940" spans="19:32" x14ac:dyDescent="0.35">
      <c r="S5940" s="13"/>
      <c r="T5940" s="16"/>
      <c r="U5940" s="16"/>
      <c r="V5940" s="16"/>
      <c r="W5940" s="13"/>
      <c r="X5940" s="34">
        <v>5936</v>
      </c>
      <c r="Y5940" s="34" t="s">
        <v>2248</v>
      </c>
      <c r="Z5940" s="34" t="s">
        <v>3373</v>
      </c>
      <c r="AA5940" s="35">
        <v>8.8427419354838721E-3</v>
      </c>
      <c r="AB5940" s="13"/>
      <c r="AC5940" s="13"/>
      <c r="AD5940" s="13"/>
      <c r="AE5940" s="13"/>
      <c r="AF5940" s="13"/>
    </row>
    <row r="5941" spans="19:32" x14ac:dyDescent="0.35">
      <c r="S5941" s="13"/>
      <c r="T5941" s="16"/>
      <c r="U5941" s="16"/>
      <c r="V5941" s="16"/>
      <c r="W5941" s="13"/>
      <c r="X5941" s="47">
        <v>5937</v>
      </c>
      <c r="Y5941" s="47" t="s">
        <v>2248</v>
      </c>
      <c r="Z5941" s="47" t="s">
        <v>3372</v>
      </c>
      <c r="AA5941" s="48">
        <v>170.2</v>
      </c>
      <c r="AB5941" s="13"/>
      <c r="AC5941" s="13"/>
      <c r="AD5941" s="13"/>
      <c r="AE5941" s="13"/>
      <c r="AF5941" s="13"/>
    </row>
    <row r="5942" spans="19:32" x14ac:dyDescent="0.35">
      <c r="S5942" s="13"/>
      <c r="T5942" s="16"/>
      <c r="U5942" s="16"/>
      <c r="V5942" s="16"/>
      <c r="W5942" s="13"/>
      <c r="X5942" s="47">
        <v>5938</v>
      </c>
      <c r="Y5942" s="47" t="s">
        <v>2248</v>
      </c>
      <c r="Z5942" s="47" t="s">
        <v>3371</v>
      </c>
      <c r="AA5942" s="48">
        <v>7.571600000000001</v>
      </c>
      <c r="AB5942" s="13"/>
      <c r="AC5942" s="13"/>
      <c r="AD5942" s="13"/>
      <c r="AE5942" s="13"/>
      <c r="AF5942" s="13"/>
    </row>
    <row r="5943" spans="19:32" x14ac:dyDescent="0.35">
      <c r="S5943" s="13"/>
      <c r="T5943" s="16"/>
      <c r="U5943" s="16"/>
      <c r="V5943" s="16"/>
      <c r="W5943" s="13"/>
      <c r="X5943" s="34">
        <v>5939</v>
      </c>
      <c r="Y5943" s="34" t="s">
        <v>2248</v>
      </c>
      <c r="Z5943" s="34" t="s">
        <v>2958</v>
      </c>
      <c r="AA5943" s="35">
        <v>3.1909274193548389E-6</v>
      </c>
      <c r="AB5943" s="13"/>
      <c r="AC5943" s="13"/>
      <c r="AD5943" s="13"/>
      <c r="AE5943" s="13"/>
      <c r="AF5943" s="13"/>
    </row>
    <row r="5944" spans="19:32" x14ac:dyDescent="0.35">
      <c r="S5944" s="13"/>
      <c r="T5944" s="16"/>
      <c r="U5944" s="16"/>
      <c r="V5944" s="16"/>
      <c r="W5944" s="13"/>
      <c r="X5944" s="47">
        <v>5940</v>
      </c>
      <c r="Y5944" s="47" t="s">
        <v>2248</v>
      </c>
      <c r="Z5944" s="47" t="s">
        <v>3370</v>
      </c>
      <c r="AA5944" s="48">
        <v>0</v>
      </c>
      <c r="AB5944" s="13"/>
      <c r="AC5944" s="13"/>
      <c r="AD5944" s="13"/>
      <c r="AE5944" s="13"/>
      <c r="AF5944" s="13"/>
    </row>
    <row r="5945" spans="19:32" x14ac:dyDescent="0.35">
      <c r="S5945" s="13"/>
      <c r="T5945" s="16"/>
      <c r="U5945" s="16"/>
      <c r="V5945" s="16"/>
      <c r="W5945" s="13"/>
      <c r="X5945" s="47">
        <v>5941</v>
      </c>
      <c r="Y5945" s="47" t="s">
        <v>2248</v>
      </c>
      <c r="Z5945" s="47" t="s">
        <v>3369</v>
      </c>
      <c r="AA5945" s="48">
        <v>2.5944000000000002E-2</v>
      </c>
      <c r="AB5945" s="13"/>
      <c r="AC5945" s="13"/>
      <c r="AD5945" s="13"/>
      <c r="AE5945" s="13"/>
      <c r="AF5945" s="13"/>
    </row>
    <row r="5946" spans="19:32" x14ac:dyDescent="0.35">
      <c r="S5946" s="13"/>
      <c r="T5946" s="16"/>
      <c r="U5946" s="16"/>
      <c r="V5946" s="16"/>
      <c r="W5946" s="13"/>
      <c r="X5946" s="34">
        <v>5942</v>
      </c>
      <c r="Y5946" s="34" t="s">
        <v>2248</v>
      </c>
      <c r="Z5946" s="34" t="s">
        <v>2955</v>
      </c>
      <c r="AA5946" s="35">
        <v>0.32834677419354841</v>
      </c>
      <c r="AB5946" s="13"/>
      <c r="AC5946" s="13"/>
      <c r="AD5946" s="13"/>
      <c r="AE5946" s="13"/>
      <c r="AF5946" s="13"/>
    </row>
    <row r="5947" spans="19:32" x14ac:dyDescent="0.35">
      <c r="S5947" s="13"/>
      <c r="T5947" s="16"/>
      <c r="U5947" s="16"/>
      <c r="V5947" s="16"/>
      <c r="W5947" s="13"/>
      <c r="X5947" s="47">
        <v>5943</v>
      </c>
      <c r="Y5947" s="47" t="s">
        <v>2248</v>
      </c>
      <c r="Z5947" s="47" t="s">
        <v>3368</v>
      </c>
      <c r="AA5947" s="48">
        <v>0</v>
      </c>
      <c r="AB5947" s="13"/>
      <c r="AC5947" s="13"/>
      <c r="AD5947" s="13"/>
      <c r="AE5947" s="13"/>
      <c r="AF5947" s="13"/>
    </row>
    <row r="5948" spans="19:32" x14ac:dyDescent="0.35">
      <c r="S5948" s="13"/>
      <c r="T5948" s="16"/>
      <c r="U5948" s="16"/>
      <c r="V5948" s="16"/>
      <c r="W5948" s="13"/>
      <c r="X5948" s="34">
        <v>5944</v>
      </c>
      <c r="Y5948" s="34" t="s">
        <v>2248</v>
      </c>
      <c r="Z5948" s="34" t="s">
        <v>2953</v>
      </c>
      <c r="AA5948" s="35">
        <v>0.10899193548387098</v>
      </c>
      <c r="AB5948" s="13"/>
      <c r="AC5948" s="13"/>
      <c r="AD5948" s="13"/>
      <c r="AE5948" s="13"/>
      <c r="AF5948" s="13"/>
    </row>
    <row r="5949" spans="19:32" x14ac:dyDescent="0.35">
      <c r="S5949" s="13"/>
      <c r="T5949" s="16"/>
      <c r="U5949" s="16"/>
      <c r="V5949" s="16"/>
      <c r="W5949" s="13"/>
      <c r="X5949" s="47">
        <v>5945</v>
      </c>
      <c r="Y5949" s="47" t="s">
        <v>2248</v>
      </c>
      <c r="Z5949" s="47" t="s">
        <v>3367</v>
      </c>
      <c r="AA5949" s="48">
        <v>0.37168000000000001</v>
      </c>
      <c r="AB5949" s="13"/>
      <c r="AC5949" s="13"/>
      <c r="AD5949" s="13"/>
      <c r="AE5949" s="13"/>
      <c r="AF5949" s="13"/>
    </row>
    <row r="5950" spans="19:32" x14ac:dyDescent="0.35">
      <c r="S5950" s="13"/>
      <c r="T5950" s="16"/>
      <c r="U5950" s="16"/>
      <c r="V5950" s="16"/>
      <c r="W5950" s="13"/>
      <c r="X5950" s="47">
        <v>5946</v>
      </c>
      <c r="Y5950" s="47" t="s">
        <v>2248</v>
      </c>
      <c r="Z5950" s="47" t="s">
        <v>3366</v>
      </c>
      <c r="AA5950" s="48">
        <v>0</v>
      </c>
      <c r="AB5950" s="13"/>
      <c r="AC5950" s="13"/>
      <c r="AD5950" s="13"/>
      <c r="AE5950" s="13"/>
      <c r="AF5950" s="13"/>
    </row>
    <row r="5951" spans="19:32" x14ac:dyDescent="0.35">
      <c r="S5951" s="13"/>
      <c r="T5951" s="16"/>
      <c r="U5951" s="16"/>
      <c r="V5951" s="16"/>
      <c r="W5951" s="13"/>
      <c r="X5951" s="34">
        <v>5947</v>
      </c>
      <c r="Y5951" s="34" t="s">
        <v>2248</v>
      </c>
      <c r="Z5951" s="34" t="s">
        <v>3365</v>
      </c>
      <c r="AA5951" s="35">
        <v>1.7651209677419358E-2</v>
      </c>
      <c r="AB5951" s="13"/>
      <c r="AC5951" s="13"/>
      <c r="AD5951" s="13"/>
      <c r="AE5951" s="13"/>
      <c r="AF5951" s="13"/>
    </row>
    <row r="5952" spans="19:32" x14ac:dyDescent="0.35">
      <c r="S5952" s="13"/>
      <c r="T5952" s="16"/>
      <c r="U5952" s="16"/>
      <c r="V5952" s="16"/>
      <c r="W5952" s="13"/>
      <c r="X5952" s="47">
        <v>5948</v>
      </c>
      <c r="Y5952" s="47" t="s">
        <v>2248</v>
      </c>
      <c r="Z5952" s="47" t="s">
        <v>3364</v>
      </c>
      <c r="AA5952" s="48">
        <v>0</v>
      </c>
      <c r="AB5952" s="13"/>
      <c r="AC5952" s="13"/>
      <c r="AD5952" s="13"/>
      <c r="AE5952" s="13"/>
      <c r="AF5952" s="13"/>
    </row>
    <row r="5953" spans="19:32" x14ac:dyDescent="0.35">
      <c r="S5953" s="13"/>
      <c r="T5953" s="16"/>
      <c r="U5953" s="16"/>
      <c r="V5953" s="16"/>
      <c r="W5953" s="13"/>
      <c r="X5953" s="47">
        <v>5949</v>
      </c>
      <c r="Y5953" s="47" t="s">
        <v>2248</v>
      </c>
      <c r="Z5953" s="47" t="s">
        <v>3363</v>
      </c>
      <c r="AA5953" s="48">
        <v>1.5179999999999999E-18</v>
      </c>
      <c r="AB5953" s="13"/>
      <c r="AC5953" s="13"/>
      <c r="AD5953" s="13"/>
      <c r="AE5953" s="13"/>
      <c r="AF5953" s="13"/>
    </row>
    <row r="5954" spans="19:32" x14ac:dyDescent="0.35">
      <c r="S5954" s="13"/>
      <c r="T5954" s="16"/>
      <c r="U5954" s="16"/>
      <c r="V5954" s="16"/>
      <c r="W5954" s="13"/>
      <c r="X5954" s="34">
        <v>5950</v>
      </c>
      <c r="Y5954" s="34" t="s">
        <v>2248</v>
      </c>
      <c r="Z5954" s="34" t="s">
        <v>3362</v>
      </c>
      <c r="AA5954" s="35">
        <v>1.9467741935483874E-6</v>
      </c>
      <c r="AB5954" s="13"/>
      <c r="AC5954" s="13"/>
      <c r="AD5954" s="13"/>
      <c r="AE5954" s="13"/>
      <c r="AF5954" s="13"/>
    </row>
    <row r="5955" spans="19:32" x14ac:dyDescent="0.35">
      <c r="S5955" s="13"/>
      <c r="T5955" s="16"/>
      <c r="U5955" s="16"/>
      <c r="V5955" s="16"/>
      <c r="W5955" s="13"/>
      <c r="X5955" s="47">
        <v>5951</v>
      </c>
      <c r="Y5955" s="47" t="s">
        <v>2248</v>
      </c>
      <c r="Z5955" s="47" t="s">
        <v>3361</v>
      </c>
      <c r="AA5955" s="48">
        <v>0</v>
      </c>
      <c r="AB5955" s="13"/>
      <c r="AC5955" s="13"/>
      <c r="AD5955" s="13"/>
      <c r="AE5955" s="13"/>
      <c r="AF5955" s="13"/>
    </row>
    <row r="5956" spans="19:32" x14ac:dyDescent="0.35">
      <c r="S5956" s="13"/>
      <c r="T5956" s="16"/>
      <c r="U5956" s="16"/>
      <c r="V5956" s="16"/>
      <c r="W5956" s="13"/>
      <c r="X5956" s="47">
        <v>5952</v>
      </c>
      <c r="Y5956" s="47" t="s">
        <v>2248</v>
      </c>
      <c r="Z5956" s="47" t="s">
        <v>3360</v>
      </c>
      <c r="AA5956" s="48">
        <v>1.0488000000000002</v>
      </c>
      <c r="AB5956" s="13"/>
      <c r="AC5956" s="13"/>
      <c r="AD5956" s="13"/>
      <c r="AE5956" s="13"/>
      <c r="AF5956" s="13"/>
    </row>
    <row r="5957" spans="19:32" x14ac:dyDescent="0.35">
      <c r="S5957" s="13"/>
      <c r="T5957" s="16"/>
      <c r="U5957" s="16"/>
      <c r="V5957" s="16"/>
      <c r="W5957" s="13"/>
      <c r="X5957" s="34">
        <v>5953</v>
      </c>
      <c r="Y5957" s="34" t="s">
        <v>2248</v>
      </c>
      <c r="Z5957" s="34" t="s">
        <v>2952</v>
      </c>
      <c r="AA5957" s="35">
        <v>1.2715725806451613E-5</v>
      </c>
      <c r="AB5957" s="13"/>
      <c r="AC5957" s="13"/>
      <c r="AD5957" s="13"/>
      <c r="AE5957" s="13"/>
      <c r="AF5957" s="13"/>
    </row>
    <row r="5958" spans="19:32" x14ac:dyDescent="0.35">
      <c r="S5958" s="13"/>
      <c r="T5958" s="16"/>
      <c r="U5958" s="16"/>
      <c r="V5958" s="16"/>
      <c r="W5958" s="13"/>
      <c r="X5958" s="47">
        <v>5954</v>
      </c>
      <c r="Y5958" s="47" t="s">
        <v>2248</v>
      </c>
      <c r="Z5958" s="47" t="s">
        <v>3359</v>
      </c>
      <c r="AA5958" s="48">
        <v>0</v>
      </c>
      <c r="AB5958" s="13"/>
      <c r="AC5958" s="13"/>
      <c r="AD5958" s="13"/>
      <c r="AE5958" s="13"/>
      <c r="AF5958" s="13"/>
    </row>
    <row r="5959" spans="19:32" x14ac:dyDescent="0.35">
      <c r="S5959" s="13"/>
      <c r="T5959" s="16"/>
      <c r="U5959" s="16"/>
      <c r="V5959" s="16"/>
      <c r="W5959" s="13"/>
      <c r="X5959" s="47">
        <v>5955</v>
      </c>
      <c r="Y5959" s="47" t="s">
        <v>2248</v>
      </c>
      <c r="Z5959" s="47" t="s">
        <v>3358</v>
      </c>
      <c r="AA5959" s="48">
        <v>0</v>
      </c>
      <c r="AB5959" s="13"/>
      <c r="AC5959" s="13"/>
      <c r="AD5959" s="13"/>
      <c r="AE5959" s="13"/>
      <c r="AF5959" s="13"/>
    </row>
    <row r="5960" spans="19:32" x14ac:dyDescent="0.35">
      <c r="S5960" s="13"/>
      <c r="T5960" s="16"/>
      <c r="U5960" s="16"/>
      <c r="V5960" s="16"/>
      <c r="W5960" s="13"/>
      <c r="X5960" s="34">
        <v>5956</v>
      </c>
      <c r="Y5960" s="34" t="s">
        <v>2248</v>
      </c>
      <c r="Z5960" s="34" t="s">
        <v>2950</v>
      </c>
      <c r="AA5960" s="35">
        <v>9.5967741935483887E-6</v>
      </c>
      <c r="AB5960" s="13"/>
      <c r="AC5960" s="13"/>
      <c r="AD5960" s="13"/>
      <c r="AE5960" s="13"/>
      <c r="AF5960" s="13"/>
    </row>
    <row r="5961" spans="19:32" x14ac:dyDescent="0.35">
      <c r="S5961" s="13"/>
      <c r="T5961" s="16"/>
      <c r="U5961" s="16"/>
      <c r="V5961" s="16"/>
      <c r="W5961" s="13"/>
      <c r="X5961" s="47">
        <v>5957</v>
      </c>
      <c r="Y5961" s="47" t="s">
        <v>2248</v>
      </c>
      <c r="Z5961" s="47" t="s">
        <v>3357</v>
      </c>
      <c r="AA5961" s="48">
        <v>0</v>
      </c>
      <c r="AB5961" s="13"/>
      <c r="AC5961" s="13"/>
      <c r="AD5961" s="13"/>
      <c r="AE5961" s="13"/>
      <c r="AF5961" s="13"/>
    </row>
    <row r="5962" spans="19:32" x14ac:dyDescent="0.35">
      <c r="S5962" s="13"/>
      <c r="T5962" s="16"/>
      <c r="U5962" s="16"/>
      <c r="V5962" s="16"/>
      <c r="W5962" s="13"/>
      <c r="X5962" s="34">
        <v>5958</v>
      </c>
      <c r="Y5962" s="34" t="s">
        <v>2248</v>
      </c>
      <c r="Z5962" s="34" t="s">
        <v>3356</v>
      </c>
      <c r="AA5962" s="35">
        <v>3.2046370967741937E-4</v>
      </c>
      <c r="AB5962" s="13"/>
      <c r="AC5962" s="13"/>
      <c r="AD5962" s="13"/>
      <c r="AE5962" s="13"/>
      <c r="AF5962" s="13"/>
    </row>
    <row r="5963" spans="19:32" x14ac:dyDescent="0.35">
      <c r="S5963" s="13"/>
      <c r="T5963" s="16"/>
      <c r="U5963" s="16"/>
      <c r="V5963" s="16"/>
      <c r="W5963" s="13"/>
      <c r="X5963" s="47">
        <v>5959</v>
      </c>
      <c r="Y5963" s="47" t="s">
        <v>2248</v>
      </c>
      <c r="Z5963" s="47" t="s">
        <v>3355</v>
      </c>
      <c r="AA5963" s="48">
        <v>20.331999999999997</v>
      </c>
      <c r="AB5963" s="13"/>
      <c r="AC5963" s="13"/>
      <c r="AD5963" s="13"/>
      <c r="AE5963" s="13"/>
      <c r="AF5963" s="13"/>
    </row>
    <row r="5964" spans="19:32" x14ac:dyDescent="0.35">
      <c r="S5964" s="13"/>
      <c r="T5964" s="16"/>
      <c r="U5964" s="16"/>
      <c r="V5964" s="16"/>
      <c r="W5964" s="13"/>
      <c r="X5964" s="47">
        <v>5960</v>
      </c>
      <c r="Y5964" s="47" t="s">
        <v>2248</v>
      </c>
      <c r="Z5964" s="47" t="s">
        <v>3354</v>
      </c>
      <c r="AA5964" s="48">
        <v>0.49127999999999999</v>
      </c>
      <c r="AB5964" s="13"/>
      <c r="AC5964" s="13"/>
      <c r="AD5964" s="13"/>
      <c r="AE5964" s="13"/>
      <c r="AF5964" s="13"/>
    </row>
    <row r="5965" spans="19:32" x14ac:dyDescent="0.35">
      <c r="S5965" s="13"/>
      <c r="T5965" s="16"/>
      <c r="U5965" s="16"/>
      <c r="V5965" s="16"/>
      <c r="W5965" s="13"/>
      <c r="X5965" s="34">
        <v>5961</v>
      </c>
      <c r="Y5965" s="34" t="s">
        <v>2248</v>
      </c>
      <c r="Z5965" s="34" t="s">
        <v>2947</v>
      </c>
      <c r="AA5965" s="35">
        <v>3.6673387096774193E-7</v>
      </c>
      <c r="AB5965" s="13"/>
      <c r="AC5965" s="13"/>
      <c r="AD5965" s="13"/>
      <c r="AE5965" s="13"/>
      <c r="AF5965" s="13"/>
    </row>
    <row r="5966" spans="19:32" x14ac:dyDescent="0.35">
      <c r="S5966" s="13"/>
      <c r="T5966" s="16"/>
      <c r="U5966" s="16"/>
      <c r="V5966" s="16"/>
      <c r="W5966" s="13"/>
      <c r="X5966" s="47">
        <v>5962</v>
      </c>
      <c r="Y5966" s="47" t="s">
        <v>2248</v>
      </c>
      <c r="Z5966" s="47" t="s">
        <v>3353</v>
      </c>
      <c r="AA5966" s="48">
        <v>3.1463999999999999</v>
      </c>
      <c r="AB5966" s="13"/>
      <c r="AC5966" s="13"/>
      <c r="AD5966" s="13"/>
      <c r="AE5966" s="13"/>
      <c r="AF5966" s="13"/>
    </row>
    <row r="5967" spans="19:32" x14ac:dyDescent="0.35">
      <c r="S5967" s="13"/>
      <c r="T5967" s="16"/>
      <c r="U5967" s="16"/>
      <c r="V5967" s="16"/>
      <c r="W5967" s="13"/>
      <c r="X5967" s="47">
        <v>5963</v>
      </c>
      <c r="Y5967" s="47" t="s">
        <v>2248</v>
      </c>
      <c r="Z5967" s="47" t="s">
        <v>3352</v>
      </c>
      <c r="AA5967" s="48">
        <v>0</v>
      </c>
      <c r="AB5967" s="13"/>
      <c r="AC5967" s="13"/>
      <c r="AD5967" s="13"/>
      <c r="AE5967" s="13"/>
      <c r="AF5967" s="13"/>
    </row>
    <row r="5968" spans="19:32" x14ac:dyDescent="0.35">
      <c r="S5968" s="13"/>
      <c r="T5968" s="16"/>
      <c r="U5968" s="16"/>
      <c r="V5968" s="16"/>
      <c r="W5968" s="13"/>
      <c r="X5968" s="34">
        <v>5964</v>
      </c>
      <c r="Y5968" s="34" t="s">
        <v>2248</v>
      </c>
      <c r="Z5968" s="34" t="s">
        <v>3351</v>
      </c>
      <c r="AA5968" s="35">
        <v>7.7116935483870975E-5</v>
      </c>
      <c r="AB5968" s="13"/>
      <c r="AC5968" s="13"/>
      <c r="AD5968" s="13"/>
      <c r="AE5968" s="13"/>
      <c r="AF5968" s="13"/>
    </row>
    <row r="5969" spans="19:32" x14ac:dyDescent="0.35">
      <c r="S5969" s="13"/>
      <c r="T5969" s="16"/>
      <c r="U5969" s="16"/>
      <c r="V5969" s="16"/>
      <c r="W5969" s="13"/>
      <c r="X5969" s="47">
        <v>5965</v>
      </c>
      <c r="Y5969" s="47" t="s">
        <v>2248</v>
      </c>
      <c r="Z5969" s="47" t="s">
        <v>3350</v>
      </c>
      <c r="AA5969" s="48">
        <v>4443.6000000000004</v>
      </c>
      <c r="AB5969" s="13"/>
      <c r="AC5969" s="13"/>
      <c r="AD5969" s="13"/>
      <c r="AE5969" s="13"/>
      <c r="AF5969" s="13"/>
    </row>
    <row r="5970" spans="19:32" x14ac:dyDescent="0.35">
      <c r="S5970" s="13"/>
      <c r="T5970" s="16"/>
      <c r="U5970" s="16"/>
      <c r="V5970" s="16"/>
      <c r="W5970" s="13"/>
      <c r="X5970" s="47">
        <v>5966</v>
      </c>
      <c r="Y5970" s="47" t="s">
        <v>2248</v>
      </c>
      <c r="Z5970" s="47" t="s">
        <v>3349</v>
      </c>
      <c r="AA5970" s="48">
        <v>0</v>
      </c>
      <c r="AB5970" s="13"/>
      <c r="AC5970" s="13"/>
      <c r="AD5970" s="13"/>
      <c r="AE5970" s="13"/>
      <c r="AF5970" s="13"/>
    </row>
    <row r="5971" spans="19:32" x14ac:dyDescent="0.35">
      <c r="S5971" s="13"/>
      <c r="T5971" s="16"/>
      <c r="U5971" s="16"/>
      <c r="V5971" s="16"/>
      <c r="W5971" s="13"/>
      <c r="X5971" s="34">
        <v>5967</v>
      </c>
      <c r="Y5971" s="34" t="s">
        <v>2248</v>
      </c>
      <c r="Z5971" s="34" t="s">
        <v>3348</v>
      </c>
      <c r="AA5971" s="35">
        <v>3.3383064516129034E-5</v>
      </c>
      <c r="AB5971" s="13"/>
      <c r="AC5971" s="13"/>
      <c r="AD5971" s="13"/>
      <c r="AE5971" s="13"/>
      <c r="AF5971" s="13"/>
    </row>
    <row r="5972" spans="19:32" x14ac:dyDescent="0.35">
      <c r="S5972" s="13"/>
      <c r="T5972" s="16"/>
      <c r="U5972" s="16"/>
      <c r="V5972" s="16"/>
      <c r="W5972" s="13"/>
      <c r="X5972" s="47">
        <v>5968</v>
      </c>
      <c r="Y5972" s="47" t="s">
        <v>2248</v>
      </c>
      <c r="Z5972" s="47" t="s">
        <v>3347</v>
      </c>
      <c r="AA5972" s="48">
        <v>0</v>
      </c>
      <c r="AB5972" s="13"/>
      <c r="AC5972" s="13"/>
      <c r="AD5972" s="13"/>
      <c r="AE5972" s="13"/>
      <c r="AF5972" s="13"/>
    </row>
    <row r="5973" spans="19:32" x14ac:dyDescent="0.35">
      <c r="S5973" s="13"/>
      <c r="T5973" s="16"/>
      <c r="U5973" s="16"/>
      <c r="V5973" s="16"/>
      <c r="W5973" s="13"/>
      <c r="X5973" s="34">
        <v>5969</v>
      </c>
      <c r="Y5973" s="34" t="s">
        <v>2248</v>
      </c>
      <c r="Z5973" s="34" t="s">
        <v>3346</v>
      </c>
      <c r="AA5973" s="35">
        <v>1.3366935483870968E-4</v>
      </c>
      <c r="AB5973" s="13"/>
      <c r="AC5973" s="13"/>
      <c r="AD5973" s="13"/>
      <c r="AE5973" s="13"/>
      <c r="AF5973" s="13"/>
    </row>
    <row r="5974" spans="19:32" x14ac:dyDescent="0.35">
      <c r="S5974" s="13"/>
      <c r="T5974" s="16"/>
      <c r="U5974" s="16"/>
      <c r="V5974" s="16"/>
      <c r="W5974" s="13"/>
      <c r="X5974" s="47">
        <v>5970</v>
      </c>
      <c r="Y5974" s="47" t="s">
        <v>2248</v>
      </c>
      <c r="Z5974" s="47" t="s">
        <v>3345</v>
      </c>
      <c r="AA5974" s="48">
        <v>4.3515999999999999E-2</v>
      </c>
      <c r="AB5974" s="13"/>
      <c r="AC5974" s="13"/>
      <c r="AD5974" s="13"/>
      <c r="AE5974" s="13"/>
      <c r="AF5974" s="13"/>
    </row>
    <row r="5975" spans="19:32" x14ac:dyDescent="0.35">
      <c r="S5975" s="13"/>
      <c r="T5975" s="16"/>
      <c r="U5975" s="16"/>
      <c r="V5975" s="16"/>
      <c r="W5975" s="13"/>
      <c r="X5975" s="47">
        <v>5971</v>
      </c>
      <c r="Y5975" s="47" t="s">
        <v>2248</v>
      </c>
      <c r="Z5975" s="47" t="s">
        <v>3344</v>
      </c>
      <c r="AA5975" s="48">
        <v>402.96000000000004</v>
      </c>
      <c r="AB5975" s="13"/>
      <c r="AC5975" s="13"/>
      <c r="AD5975" s="13"/>
      <c r="AE5975" s="13"/>
      <c r="AF5975" s="13"/>
    </row>
    <row r="5976" spans="19:32" x14ac:dyDescent="0.35">
      <c r="S5976" s="13"/>
      <c r="T5976" s="16"/>
      <c r="U5976" s="16"/>
      <c r="V5976" s="16"/>
      <c r="W5976" s="13"/>
      <c r="X5976" s="34">
        <v>5972</v>
      </c>
      <c r="Y5976" s="34" t="s">
        <v>2248</v>
      </c>
      <c r="Z5976" s="34" t="s">
        <v>3343</v>
      </c>
      <c r="AA5976" s="35">
        <v>1.0899193548387098E-4</v>
      </c>
      <c r="AB5976" s="13"/>
      <c r="AC5976" s="13"/>
      <c r="AD5976" s="13"/>
      <c r="AE5976" s="13"/>
      <c r="AF5976" s="13"/>
    </row>
    <row r="5977" spans="19:32" x14ac:dyDescent="0.35">
      <c r="S5977" s="13"/>
      <c r="T5977" s="16"/>
      <c r="U5977" s="16"/>
      <c r="V5977" s="16"/>
      <c r="W5977" s="13"/>
      <c r="X5977" s="47">
        <v>5973</v>
      </c>
      <c r="Y5977" s="47" t="s">
        <v>2248</v>
      </c>
      <c r="Z5977" s="47" t="s">
        <v>3342</v>
      </c>
      <c r="AA5977" s="48">
        <v>7.0196000000000008E-2</v>
      </c>
      <c r="AB5977" s="13"/>
      <c r="AC5977" s="13"/>
      <c r="AD5977" s="13"/>
      <c r="AE5977" s="13"/>
      <c r="AF5977" s="13"/>
    </row>
    <row r="5978" spans="19:32" x14ac:dyDescent="0.35">
      <c r="S5978" s="13"/>
      <c r="T5978" s="16"/>
      <c r="U5978" s="16"/>
      <c r="V5978" s="16"/>
      <c r="W5978" s="13"/>
      <c r="X5978" s="47">
        <v>5974</v>
      </c>
      <c r="Y5978" s="47" t="s">
        <v>2248</v>
      </c>
      <c r="Z5978" s="47" t="s">
        <v>3341</v>
      </c>
      <c r="AA5978" s="48">
        <v>1.9412</v>
      </c>
      <c r="AB5978" s="13"/>
      <c r="AC5978" s="13"/>
      <c r="AD5978" s="13"/>
      <c r="AE5978" s="13"/>
      <c r="AF5978" s="13"/>
    </row>
    <row r="5979" spans="19:32" x14ac:dyDescent="0.35">
      <c r="S5979" s="13"/>
      <c r="T5979" s="16"/>
      <c r="U5979" s="16"/>
      <c r="V5979" s="16"/>
      <c r="W5979" s="13"/>
      <c r="X5979" s="34">
        <v>5975</v>
      </c>
      <c r="Y5979" s="34" t="s">
        <v>2248</v>
      </c>
      <c r="Z5979" s="34" t="s">
        <v>2945</v>
      </c>
      <c r="AA5979" s="35">
        <v>1.771975806451613E-4</v>
      </c>
      <c r="AB5979" s="13"/>
      <c r="AC5979" s="13"/>
      <c r="AD5979" s="13"/>
      <c r="AE5979" s="13"/>
      <c r="AF5979" s="13"/>
    </row>
    <row r="5980" spans="19:32" x14ac:dyDescent="0.35">
      <c r="S5980" s="13"/>
      <c r="T5980" s="16"/>
      <c r="U5980" s="16"/>
      <c r="V5980" s="16"/>
      <c r="W5980" s="13"/>
      <c r="X5980" s="47">
        <v>5976</v>
      </c>
      <c r="Y5980" s="47" t="s">
        <v>2248</v>
      </c>
      <c r="Z5980" s="47" t="s">
        <v>3340</v>
      </c>
      <c r="AA5980" s="48">
        <v>7.9671999999999993E-2</v>
      </c>
      <c r="AB5980" s="13"/>
      <c r="AC5980" s="13"/>
      <c r="AD5980" s="13"/>
      <c r="AE5980" s="13"/>
      <c r="AF5980" s="13"/>
    </row>
    <row r="5981" spans="19:32" x14ac:dyDescent="0.35">
      <c r="S5981" s="13"/>
      <c r="T5981" s="16"/>
      <c r="U5981" s="16"/>
      <c r="V5981" s="16"/>
      <c r="W5981" s="13"/>
      <c r="X5981" s="47">
        <v>5977</v>
      </c>
      <c r="Y5981" s="47" t="s">
        <v>2248</v>
      </c>
      <c r="Z5981" s="47" t="s">
        <v>3339</v>
      </c>
      <c r="AA5981" s="48">
        <v>0</v>
      </c>
      <c r="AB5981" s="13"/>
      <c r="AC5981" s="13"/>
      <c r="AD5981" s="13"/>
      <c r="AE5981" s="13"/>
      <c r="AF5981" s="13"/>
    </row>
    <row r="5982" spans="19:32" x14ac:dyDescent="0.35">
      <c r="S5982" s="13"/>
      <c r="T5982" s="16"/>
      <c r="U5982" s="16"/>
      <c r="V5982" s="16"/>
      <c r="W5982" s="13"/>
      <c r="X5982" s="34">
        <v>5978</v>
      </c>
      <c r="Y5982" s="34" t="s">
        <v>2248</v>
      </c>
      <c r="Z5982" s="34" t="s">
        <v>3338</v>
      </c>
      <c r="AA5982" s="35">
        <v>0.89798387096774201</v>
      </c>
      <c r="AB5982" s="13"/>
      <c r="AC5982" s="13"/>
      <c r="AD5982" s="13"/>
      <c r="AE5982" s="13"/>
      <c r="AF5982" s="13"/>
    </row>
    <row r="5983" spans="19:32" x14ac:dyDescent="0.35">
      <c r="S5983" s="13"/>
      <c r="T5983" s="16"/>
      <c r="U5983" s="16"/>
      <c r="V5983" s="16"/>
      <c r="W5983" s="13"/>
      <c r="X5983" s="47">
        <v>5979</v>
      </c>
      <c r="Y5983" s="47" t="s">
        <v>2248</v>
      </c>
      <c r="Z5983" s="47" t="s">
        <v>3337</v>
      </c>
      <c r="AA5983" s="48">
        <v>0.25575999999999999</v>
      </c>
      <c r="AB5983" s="13"/>
      <c r="AC5983" s="13"/>
      <c r="AD5983" s="13"/>
      <c r="AE5983" s="13"/>
      <c r="AF5983" s="13"/>
    </row>
    <row r="5984" spans="19:32" x14ac:dyDescent="0.35">
      <c r="S5984" s="13"/>
      <c r="T5984" s="16"/>
      <c r="U5984" s="16"/>
      <c r="V5984" s="16"/>
      <c r="W5984" s="13"/>
      <c r="X5984" s="47">
        <v>5980</v>
      </c>
      <c r="Y5984" s="47" t="s">
        <v>2248</v>
      </c>
      <c r="Z5984" s="47" t="s">
        <v>3336</v>
      </c>
      <c r="AA5984" s="48">
        <v>0</v>
      </c>
      <c r="AB5984" s="13"/>
      <c r="AC5984" s="13"/>
      <c r="AD5984" s="13"/>
      <c r="AE5984" s="13"/>
      <c r="AF5984" s="13"/>
    </row>
    <row r="5985" spans="19:32" x14ac:dyDescent="0.35">
      <c r="S5985" s="13"/>
      <c r="T5985" s="16"/>
      <c r="U5985" s="16"/>
      <c r="V5985" s="16"/>
      <c r="W5985" s="13"/>
      <c r="X5985" s="34">
        <v>5981</v>
      </c>
      <c r="Y5985" s="34" t="s">
        <v>2248</v>
      </c>
      <c r="Z5985" s="34" t="s">
        <v>3335</v>
      </c>
      <c r="AA5985" s="35">
        <v>1.0899193548387098E-6</v>
      </c>
      <c r="AB5985" s="13"/>
      <c r="AC5985" s="13"/>
      <c r="AD5985" s="13"/>
      <c r="AE5985" s="13"/>
      <c r="AF5985" s="13"/>
    </row>
    <row r="5986" spans="19:32" x14ac:dyDescent="0.35">
      <c r="S5986" s="13"/>
      <c r="T5986" s="16"/>
      <c r="U5986" s="16"/>
      <c r="V5986" s="16"/>
      <c r="W5986" s="13"/>
      <c r="X5986" s="47">
        <v>5982</v>
      </c>
      <c r="Y5986" s="47" t="s">
        <v>2248</v>
      </c>
      <c r="Z5986" s="47" t="s">
        <v>3334</v>
      </c>
      <c r="AA5986" s="48">
        <v>8.7767999999999999E-2</v>
      </c>
      <c r="AB5986" s="13"/>
      <c r="AC5986" s="13"/>
      <c r="AD5986" s="13"/>
      <c r="AE5986" s="13"/>
      <c r="AF5986" s="13"/>
    </row>
    <row r="5987" spans="19:32" x14ac:dyDescent="0.35">
      <c r="S5987" s="13"/>
      <c r="T5987" s="16"/>
      <c r="U5987" s="16"/>
      <c r="V5987" s="16"/>
      <c r="W5987" s="13"/>
      <c r="X5987" s="34">
        <v>5983</v>
      </c>
      <c r="Y5987" s="34" t="s">
        <v>2248</v>
      </c>
      <c r="Z5987" s="34" t="s">
        <v>3333</v>
      </c>
      <c r="AA5987" s="35">
        <v>3.2354838709677418E-4</v>
      </c>
      <c r="AB5987" s="13"/>
      <c r="AC5987" s="13"/>
      <c r="AD5987" s="13"/>
      <c r="AE5987" s="13"/>
      <c r="AF5987" s="13"/>
    </row>
    <row r="5988" spans="19:32" x14ac:dyDescent="0.35">
      <c r="S5988" s="13"/>
      <c r="T5988" s="16"/>
      <c r="U5988" s="16"/>
      <c r="V5988" s="16"/>
      <c r="W5988" s="13"/>
      <c r="X5988" s="47">
        <v>5984</v>
      </c>
      <c r="Y5988" s="47" t="s">
        <v>2248</v>
      </c>
      <c r="Z5988" s="47" t="s">
        <v>3332</v>
      </c>
      <c r="AA5988" s="48">
        <v>0</v>
      </c>
      <c r="AB5988" s="13"/>
      <c r="AC5988" s="13"/>
      <c r="AD5988" s="13"/>
      <c r="AE5988" s="13"/>
      <c r="AF5988" s="13"/>
    </row>
    <row r="5989" spans="19:32" x14ac:dyDescent="0.35">
      <c r="S5989" s="13"/>
      <c r="T5989" s="16"/>
      <c r="U5989" s="16"/>
      <c r="V5989" s="16"/>
      <c r="W5989" s="13"/>
      <c r="X5989" s="47">
        <v>5985</v>
      </c>
      <c r="Y5989" s="47" t="s">
        <v>2248</v>
      </c>
      <c r="Z5989" s="47" t="s">
        <v>3331</v>
      </c>
      <c r="AA5989" s="48">
        <v>0</v>
      </c>
      <c r="AB5989" s="13"/>
      <c r="AC5989" s="13"/>
      <c r="AD5989" s="13"/>
      <c r="AE5989" s="13"/>
      <c r="AF5989" s="13"/>
    </row>
    <row r="5990" spans="19:32" x14ac:dyDescent="0.35">
      <c r="S5990" s="13"/>
      <c r="T5990" s="16"/>
      <c r="U5990" s="16"/>
      <c r="V5990" s="16"/>
      <c r="W5990" s="13"/>
      <c r="X5990" s="34">
        <v>5986</v>
      </c>
      <c r="Y5990" s="34" t="s">
        <v>2248</v>
      </c>
      <c r="Z5990" s="34" t="s">
        <v>3330</v>
      </c>
      <c r="AA5990" s="35">
        <v>6.5120967741935483E-5</v>
      </c>
      <c r="AB5990" s="13"/>
      <c r="AC5990" s="13"/>
      <c r="AD5990" s="13"/>
      <c r="AE5990" s="13"/>
      <c r="AF5990" s="13"/>
    </row>
    <row r="5991" spans="19:32" x14ac:dyDescent="0.35">
      <c r="S5991" s="13"/>
      <c r="T5991" s="16"/>
      <c r="U5991" s="16"/>
      <c r="V5991" s="16"/>
      <c r="W5991" s="13"/>
      <c r="X5991" s="47">
        <v>5987</v>
      </c>
      <c r="Y5991" s="47" t="s">
        <v>2248</v>
      </c>
      <c r="Z5991" s="47" t="s">
        <v>3329</v>
      </c>
      <c r="AA5991" s="48">
        <v>2.0884</v>
      </c>
      <c r="AB5991" s="13"/>
      <c r="AC5991" s="13"/>
      <c r="AD5991" s="13"/>
      <c r="AE5991" s="13"/>
      <c r="AF5991" s="13"/>
    </row>
    <row r="5992" spans="19:32" x14ac:dyDescent="0.35">
      <c r="S5992" s="13"/>
      <c r="T5992" s="16"/>
      <c r="U5992" s="16"/>
      <c r="V5992" s="16"/>
      <c r="W5992" s="13"/>
      <c r="X5992" s="47">
        <v>5988</v>
      </c>
      <c r="Y5992" s="47" t="s">
        <v>2248</v>
      </c>
      <c r="Z5992" s="47" t="s">
        <v>3328</v>
      </c>
      <c r="AA5992" s="48">
        <v>0</v>
      </c>
      <c r="AB5992" s="13"/>
      <c r="AC5992" s="13"/>
      <c r="AD5992" s="13"/>
      <c r="AE5992" s="13"/>
      <c r="AF5992" s="13"/>
    </row>
    <row r="5993" spans="19:32" x14ac:dyDescent="0.35">
      <c r="S5993" s="13"/>
      <c r="T5993" s="16"/>
      <c r="U5993" s="16"/>
      <c r="V5993" s="16"/>
      <c r="W5993" s="13"/>
      <c r="X5993" s="34">
        <v>5989</v>
      </c>
      <c r="Y5993" s="34" t="s">
        <v>2248</v>
      </c>
      <c r="Z5993" s="34" t="s">
        <v>3327</v>
      </c>
      <c r="AA5993" s="35">
        <v>1.4600806451612904E-5</v>
      </c>
      <c r="AB5993" s="13"/>
      <c r="AC5993" s="13"/>
      <c r="AD5993" s="13"/>
      <c r="AE5993" s="13"/>
      <c r="AF5993" s="13"/>
    </row>
    <row r="5994" spans="19:32" x14ac:dyDescent="0.35">
      <c r="S5994" s="13"/>
      <c r="T5994" s="16"/>
      <c r="U5994" s="16"/>
      <c r="V5994" s="16"/>
      <c r="W5994" s="13"/>
      <c r="X5994" s="47">
        <v>5990</v>
      </c>
      <c r="Y5994" s="47" t="s">
        <v>2248</v>
      </c>
      <c r="Z5994" s="47" t="s">
        <v>3326</v>
      </c>
      <c r="AA5994" s="48">
        <v>0</v>
      </c>
      <c r="AB5994" s="13"/>
      <c r="AC5994" s="13"/>
      <c r="AD5994" s="13"/>
      <c r="AE5994" s="13"/>
      <c r="AF5994" s="13"/>
    </row>
    <row r="5995" spans="19:32" x14ac:dyDescent="0.35">
      <c r="S5995" s="13"/>
      <c r="T5995" s="16"/>
      <c r="U5995" s="16"/>
      <c r="V5995" s="16"/>
      <c r="W5995" s="13"/>
      <c r="X5995" s="47">
        <v>5991</v>
      </c>
      <c r="Y5995" s="47" t="s">
        <v>2248</v>
      </c>
      <c r="Z5995" s="47" t="s">
        <v>3325</v>
      </c>
      <c r="AA5995" s="48">
        <v>5.7315999999999999E-2</v>
      </c>
      <c r="AB5995" s="13"/>
      <c r="AC5995" s="13"/>
      <c r="AD5995" s="13"/>
      <c r="AE5995" s="13"/>
      <c r="AF5995" s="13"/>
    </row>
    <row r="5996" spans="19:32" x14ac:dyDescent="0.35">
      <c r="S5996" s="13"/>
      <c r="T5996" s="16"/>
      <c r="U5996" s="16"/>
      <c r="V5996" s="16"/>
      <c r="W5996" s="13"/>
      <c r="X5996" s="34">
        <v>5992</v>
      </c>
      <c r="Y5996" s="34" t="s">
        <v>2248</v>
      </c>
      <c r="Z5996" s="34" t="s">
        <v>2944</v>
      </c>
      <c r="AA5996" s="35">
        <v>7.3004032258064525E-2</v>
      </c>
      <c r="AB5996" s="13"/>
      <c r="AC5996" s="13"/>
      <c r="AD5996" s="13"/>
      <c r="AE5996" s="13"/>
      <c r="AF5996" s="13"/>
    </row>
    <row r="5997" spans="19:32" x14ac:dyDescent="0.35">
      <c r="S5997" s="13"/>
      <c r="T5997" s="16"/>
      <c r="U5997" s="16"/>
      <c r="V5997" s="16"/>
      <c r="W5997" s="13"/>
      <c r="X5997" s="47">
        <v>5993</v>
      </c>
      <c r="Y5997" s="47" t="s">
        <v>2248</v>
      </c>
      <c r="Z5997" s="47" t="s">
        <v>3324</v>
      </c>
      <c r="AA5997" s="48">
        <v>57.775999999999996</v>
      </c>
      <c r="AB5997" s="13"/>
      <c r="AC5997" s="13"/>
      <c r="AD5997" s="13"/>
      <c r="AE5997" s="13"/>
      <c r="AF5997" s="13"/>
    </row>
    <row r="5998" spans="19:32" x14ac:dyDescent="0.35">
      <c r="S5998" s="13"/>
      <c r="T5998" s="16"/>
      <c r="U5998" s="16"/>
      <c r="V5998" s="16"/>
      <c r="W5998" s="13"/>
      <c r="X5998" s="34">
        <v>5994</v>
      </c>
      <c r="Y5998" s="34" t="s">
        <v>2248</v>
      </c>
      <c r="Z5998" s="34" t="s">
        <v>2942</v>
      </c>
      <c r="AA5998" s="35">
        <v>1.559475806451613E-3</v>
      </c>
      <c r="AB5998" s="13"/>
      <c r="AC5998" s="13"/>
      <c r="AD5998" s="13"/>
      <c r="AE5998" s="13"/>
      <c r="AF5998" s="13"/>
    </row>
    <row r="5999" spans="19:32" x14ac:dyDescent="0.35">
      <c r="S5999" s="13"/>
      <c r="T5999" s="16"/>
      <c r="U5999" s="16"/>
      <c r="V5999" s="16"/>
      <c r="W5999" s="13"/>
      <c r="X5999" s="47">
        <v>5995</v>
      </c>
      <c r="Y5999" s="47" t="s">
        <v>2248</v>
      </c>
      <c r="Z5999" s="47" t="s">
        <v>3323</v>
      </c>
      <c r="AA5999" s="48">
        <v>5.5843999999999998E-3</v>
      </c>
      <c r="AB5999" s="13"/>
      <c r="AC5999" s="13"/>
      <c r="AD5999" s="13"/>
      <c r="AE5999" s="13"/>
      <c r="AF5999" s="13"/>
    </row>
    <row r="6000" spans="19:32" x14ac:dyDescent="0.35">
      <c r="S6000" s="13"/>
      <c r="T6000" s="16"/>
      <c r="U6000" s="16"/>
      <c r="V6000" s="16"/>
      <c r="W6000" s="13"/>
      <c r="X6000" s="47">
        <v>5996</v>
      </c>
      <c r="Y6000" s="47" t="s">
        <v>2248</v>
      </c>
      <c r="Z6000" s="47" t="s">
        <v>3322</v>
      </c>
      <c r="AA6000" s="48">
        <v>0.28151999999999999</v>
      </c>
      <c r="AB6000" s="13"/>
      <c r="AC6000" s="13"/>
      <c r="AD6000" s="13"/>
      <c r="AE6000" s="13"/>
      <c r="AF6000" s="13"/>
    </row>
    <row r="6001" spans="19:32" x14ac:dyDescent="0.35">
      <c r="S6001" s="13"/>
      <c r="T6001" s="16"/>
      <c r="U6001" s="16"/>
      <c r="V6001" s="16"/>
      <c r="W6001" s="13"/>
      <c r="X6001" s="34">
        <v>5997</v>
      </c>
      <c r="Y6001" s="34" t="s">
        <v>2248</v>
      </c>
      <c r="Z6001" s="34" t="s">
        <v>2937</v>
      </c>
      <c r="AA6001" s="35">
        <v>3.4274193548387098E-3</v>
      </c>
      <c r="AB6001" s="13"/>
      <c r="AC6001" s="13"/>
      <c r="AD6001" s="13"/>
      <c r="AE6001" s="13"/>
      <c r="AF6001" s="13"/>
    </row>
    <row r="6002" spans="19:32" x14ac:dyDescent="0.35">
      <c r="S6002" s="13"/>
      <c r="T6002" s="16"/>
      <c r="U6002" s="16"/>
      <c r="V6002" s="16"/>
      <c r="W6002" s="13"/>
      <c r="X6002" s="47">
        <v>5998</v>
      </c>
      <c r="Y6002" s="47" t="s">
        <v>2248</v>
      </c>
      <c r="Z6002" s="47" t="s">
        <v>3321</v>
      </c>
      <c r="AA6002" s="48">
        <v>0.31647999999999998</v>
      </c>
      <c r="AB6002" s="13"/>
      <c r="AC6002" s="13"/>
      <c r="AD6002" s="13"/>
      <c r="AE6002" s="13"/>
      <c r="AF6002" s="13"/>
    </row>
    <row r="6003" spans="19:32" x14ac:dyDescent="0.35">
      <c r="S6003" s="13"/>
      <c r="T6003" s="16"/>
      <c r="U6003" s="16"/>
      <c r="V6003" s="16"/>
      <c r="W6003" s="13"/>
      <c r="X6003" s="47">
        <v>5999</v>
      </c>
      <c r="Y6003" s="47" t="s">
        <v>2248</v>
      </c>
      <c r="Z6003" s="47" t="s">
        <v>3320</v>
      </c>
      <c r="AA6003" s="48">
        <v>0</v>
      </c>
      <c r="AB6003" s="13"/>
      <c r="AC6003" s="13"/>
      <c r="AD6003" s="13"/>
      <c r="AE6003" s="13"/>
      <c r="AF6003" s="13"/>
    </row>
    <row r="6004" spans="19:32" x14ac:dyDescent="0.35">
      <c r="S6004" s="13"/>
      <c r="T6004" s="16"/>
      <c r="U6004" s="16"/>
      <c r="V6004" s="16"/>
      <c r="W6004" s="13"/>
      <c r="X6004" s="34">
        <v>6000</v>
      </c>
      <c r="Y6004" s="34" t="s">
        <v>2248</v>
      </c>
      <c r="Z6004" s="34" t="s">
        <v>2931</v>
      </c>
      <c r="AA6004" s="35">
        <v>8.5000000000000006E-4</v>
      </c>
      <c r="AB6004" s="13"/>
      <c r="AC6004" s="13"/>
      <c r="AD6004" s="13"/>
      <c r="AE6004" s="13"/>
      <c r="AF6004" s="13"/>
    </row>
    <row r="6005" spans="19:32" x14ac:dyDescent="0.35">
      <c r="S6005" s="13"/>
      <c r="T6005" s="16"/>
      <c r="U6005" s="16"/>
      <c r="V6005" s="16"/>
      <c r="W6005" s="13"/>
      <c r="X6005" s="47">
        <v>6001</v>
      </c>
      <c r="Y6005" s="47" t="s">
        <v>2248</v>
      </c>
      <c r="Z6005" s="47" t="s">
        <v>3319</v>
      </c>
      <c r="AA6005" s="48">
        <v>2.5023999999999997</v>
      </c>
      <c r="AB6005" s="13"/>
      <c r="AC6005" s="13"/>
      <c r="AD6005" s="13"/>
      <c r="AE6005" s="13"/>
      <c r="AF6005" s="13"/>
    </row>
    <row r="6006" spans="19:32" x14ac:dyDescent="0.35">
      <c r="S6006" s="13"/>
      <c r="T6006" s="16"/>
      <c r="U6006" s="16"/>
      <c r="V6006" s="16"/>
      <c r="W6006" s="13"/>
      <c r="X6006" s="47">
        <v>6002</v>
      </c>
      <c r="Y6006" s="47" t="s">
        <v>2248</v>
      </c>
      <c r="Z6006" s="47" t="s">
        <v>3318</v>
      </c>
      <c r="AA6006" s="48">
        <v>0</v>
      </c>
      <c r="AB6006" s="13"/>
      <c r="AC6006" s="13"/>
      <c r="AD6006" s="13"/>
      <c r="AE6006" s="13"/>
      <c r="AF6006" s="13"/>
    </row>
    <row r="6007" spans="19:32" x14ac:dyDescent="0.35">
      <c r="S6007" s="13"/>
      <c r="T6007" s="16"/>
      <c r="U6007" s="16"/>
      <c r="V6007" s="16"/>
      <c r="W6007" s="13"/>
      <c r="X6007" s="34">
        <v>6003</v>
      </c>
      <c r="Y6007" s="34" t="s">
        <v>2248</v>
      </c>
      <c r="Z6007" s="34" t="s">
        <v>2928</v>
      </c>
      <c r="AA6007" s="35">
        <v>5.4838709677419361E-3</v>
      </c>
      <c r="AB6007" s="13"/>
      <c r="AC6007" s="13"/>
      <c r="AD6007" s="13"/>
      <c r="AE6007" s="13"/>
      <c r="AF6007" s="13"/>
    </row>
    <row r="6008" spans="19:32" x14ac:dyDescent="0.35">
      <c r="S6008" s="13"/>
      <c r="T6008" s="16"/>
      <c r="U6008" s="16"/>
      <c r="V6008" s="16"/>
      <c r="W6008" s="13"/>
      <c r="X6008" s="47">
        <v>6004</v>
      </c>
      <c r="Y6008" s="47" t="s">
        <v>2248</v>
      </c>
      <c r="Z6008" s="47" t="s">
        <v>3317</v>
      </c>
      <c r="AA6008" s="48">
        <v>4416</v>
      </c>
      <c r="AB6008" s="13"/>
      <c r="AC6008" s="13"/>
      <c r="AD6008" s="13"/>
      <c r="AE6008" s="13"/>
      <c r="AF6008" s="13"/>
    </row>
    <row r="6009" spans="19:32" x14ac:dyDescent="0.35">
      <c r="S6009" s="13"/>
      <c r="T6009" s="16"/>
      <c r="U6009" s="16"/>
      <c r="V6009" s="16"/>
      <c r="W6009" s="13"/>
      <c r="X6009" s="47">
        <v>6005</v>
      </c>
      <c r="Y6009" s="47" t="s">
        <v>2248</v>
      </c>
      <c r="Z6009" s="47" t="s">
        <v>3316</v>
      </c>
      <c r="AA6009" s="48">
        <v>5.6303999999999998</v>
      </c>
      <c r="AB6009" s="13"/>
      <c r="AC6009" s="13"/>
      <c r="AD6009" s="13"/>
      <c r="AE6009" s="13"/>
      <c r="AF6009" s="13"/>
    </row>
    <row r="6010" spans="19:32" x14ac:dyDescent="0.35">
      <c r="S6010" s="13"/>
      <c r="T6010" s="16"/>
      <c r="U6010" s="16"/>
      <c r="V6010" s="16"/>
      <c r="W6010" s="13"/>
      <c r="X6010" s="34">
        <v>6006</v>
      </c>
      <c r="Y6010" s="34" t="s">
        <v>2248</v>
      </c>
      <c r="Z6010" s="34" t="s">
        <v>2912</v>
      </c>
      <c r="AA6010" s="35">
        <v>0.20701612903225808</v>
      </c>
      <c r="AB6010" s="13"/>
      <c r="AC6010" s="13"/>
      <c r="AD6010" s="13"/>
      <c r="AE6010" s="13"/>
      <c r="AF6010" s="13"/>
    </row>
    <row r="6011" spans="19:32" x14ac:dyDescent="0.35">
      <c r="S6011" s="13"/>
      <c r="T6011" s="16"/>
      <c r="U6011" s="16"/>
      <c r="V6011" s="16"/>
      <c r="W6011" s="13"/>
      <c r="X6011" s="47">
        <v>6007</v>
      </c>
      <c r="Y6011" s="47" t="s">
        <v>2248</v>
      </c>
      <c r="Z6011" s="47" t="s">
        <v>3315</v>
      </c>
      <c r="AA6011" s="48">
        <v>88.872</v>
      </c>
      <c r="AB6011" s="13"/>
      <c r="AC6011" s="13"/>
      <c r="AD6011" s="13"/>
      <c r="AE6011" s="13"/>
      <c r="AF6011" s="13"/>
    </row>
    <row r="6012" spans="19:32" x14ac:dyDescent="0.35">
      <c r="S6012" s="13"/>
      <c r="T6012" s="16"/>
      <c r="U6012" s="16"/>
      <c r="V6012" s="16"/>
      <c r="W6012" s="13"/>
      <c r="X6012" s="34">
        <v>6008</v>
      </c>
      <c r="Y6012" s="34" t="s">
        <v>2248</v>
      </c>
      <c r="Z6012" s="34" t="s">
        <v>3314</v>
      </c>
      <c r="AA6012" s="35">
        <v>5.5524193548387097E-4</v>
      </c>
      <c r="AB6012" s="13"/>
      <c r="AC6012" s="13"/>
      <c r="AD6012" s="13"/>
      <c r="AE6012" s="13"/>
      <c r="AF6012" s="13"/>
    </row>
    <row r="6013" spans="19:32" x14ac:dyDescent="0.35">
      <c r="S6013" s="13"/>
      <c r="T6013" s="16"/>
      <c r="U6013" s="16"/>
      <c r="V6013" s="16"/>
      <c r="W6013" s="13"/>
      <c r="X6013" s="47">
        <v>6009</v>
      </c>
      <c r="Y6013" s="47" t="s">
        <v>2248</v>
      </c>
      <c r="Z6013" s="47" t="s">
        <v>3313</v>
      </c>
      <c r="AA6013" s="48">
        <v>68.356000000000009</v>
      </c>
      <c r="AB6013" s="13"/>
      <c r="AC6013" s="13"/>
      <c r="AD6013" s="13"/>
      <c r="AE6013" s="13"/>
      <c r="AF6013" s="13"/>
    </row>
    <row r="6014" spans="19:32" x14ac:dyDescent="0.35">
      <c r="S6014" s="13"/>
      <c r="T6014" s="16"/>
      <c r="U6014" s="16"/>
      <c r="V6014" s="16"/>
      <c r="W6014" s="13"/>
      <c r="X6014" s="47">
        <v>6010</v>
      </c>
      <c r="Y6014" s="47" t="s">
        <v>2248</v>
      </c>
      <c r="Z6014" s="47" t="s">
        <v>3312</v>
      </c>
      <c r="AA6014" s="48">
        <v>0.26679999999999998</v>
      </c>
      <c r="AB6014" s="13"/>
      <c r="AC6014" s="13"/>
      <c r="AD6014" s="13"/>
      <c r="AE6014" s="13"/>
      <c r="AF6014" s="13"/>
    </row>
    <row r="6015" spans="19:32" x14ac:dyDescent="0.35">
      <c r="S6015" s="13"/>
      <c r="T6015" s="16"/>
      <c r="U6015" s="16"/>
      <c r="V6015" s="16"/>
      <c r="W6015" s="13"/>
      <c r="X6015" s="34">
        <v>6011</v>
      </c>
      <c r="Y6015" s="34" t="s">
        <v>2248</v>
      </c>
      <c r="Z6015" s="34" t="s">
        <v>3311</v>
      </c>
      <c r="AA6015" s="35">
        <v>1.1207661290322582E-3</v>
      </c>
      <c r="AB6015" s="13"/>
      <c r="AC6015" s="13"/>
      <c r="AD6015" s="13"/>
      <c r="AE6015" s="13"/>
      <c r="AF6015" s="13"/>
    </row>
    <row r="6016" spans="19:32" x14ac:dyDescent="0.35">
      <c r="S6016" s="13"/>
      <c r="T6016" s="16"/>
      <c r="U6016" s="16"/>
      <c r="V6016" s="16"/>
      <c r="W6016" s="13"/>
      <c r="X6016" s="47">
        <v>6012</v>
      </c>
      <c r="Y6016" s="47" t="s">
        <v>2248</v>
      </c>
      <c r="Z6016" s="47" t="s">
        <v>3310</v>
      </c>
      <c r="AA6016" s="48">
        <v>0.27416000000000001</v>
      </c>
      <c r="AB6016" s="13"/>
      <c r="AC6016" s="13"/>
      <c r="AD6016" s="13"/>
      <c r="AE6016" s="13"/>
      <c r="AF6016" s="13"/>
    </row>
    <row r="6017" spans="19:32" x14ac:dyDescent="0.35">
      <c r="S6017" s="13"/>
      <c r="T6017" s="16"/>
      <c r="U6017" s="16"/>
      <c r="V6017" s="16"/>
      <c r="W6017" s="13"/>
      <c r="X6017" s="47">
        <v>6013</v>
      </c>
      <c r="Y6017" s="47" t="s">
        <v>2248</v>
      </c>
      <c r="Z6017" s="47" t="s">
        <v>3309</v>
      </c>
      <c r="AA6017" s="48">
        <v>0</v>
      </c>
      <c r="AB6017" s="13"/>
      <c r="AC6017" s="13"/>
      <c r="AD6017" s="13"/>
      <c r="AE6017" s="13"/>
      <c r="AF6017" s="13"/>
    </row>
    <row r="6018" spans="19:32" x14ac:dyDescent="0.35">
      <c r="S6018" s="13"/>
      <c r="T6018" s="16"/>
      <c r="U6018" s="16"/>
      <c r="V6018" s="16"/>
      <c r="W6018" s="13"/>
      <c r="X6018" s="34">
        <v>6014</v>
      </c>
      <c r="Y6018" s="34" t="s">
        <v>2248</v>
      </c>
      <c r="Z6018" s="34" t="s">
        <v>3308</v>
      </c>
      <c r="AA6018" s="35">
        <v>2.930443548387097E-3</v>
      </c>
      <c r="AB6018" s="13"/>
      <c r="AC6018" s="13"/>
      <c r="AD6018" s="13"/>
      <c r="AE6018" s="13"/>
      <c r="AF6018" s="13"/>
    </row>
    <row r="6019" spans="19:32" x14ac:dyDescent="0.35">
      <c r="S6019" s="13"/>
      <c r="T6019" s="16"/>
      <c r="U6019" s="16"/>
      <c r="V6019" s="16"/>
      <c r="W6019" s="13"/>
      <c r="X6019" s="47">
        <v>6015</v>
      </c>
      <c r="Y6019" s="47" t="s">
        <v>2248</v>
      </c>
      <c r="Z6019" s="47" t="s">
        <v>3307</v>
      </c>
      <c r="AA6019" s="48">
        <v>0</v>
      </c>
      <c r="AB6019" s="13"/>
      <c r="AC6019" s="13"/>
      <c r="AD6019" s="13"/>
      <c r="AE6019" s="13"/>
      <c r="AF6019" s="13"/>
    </row>
    <row r="6020" spans="19:32" x14ac:dyDescent="0.35">
      <c r="S6020" s="13"/>
      <c r="T6020" s="16"/>
      <c r="U6020" s="16"/>
      <c r="V6020" s="16"/>
      <c r="W6020" s="13"/>
      <c r="X6020" s="47">
        <v>6016</v>
      </c>
      <c r="Y6020" s="47" t="s">
        <v>2248</v>
      </c>
      <c r="Z6020" s="47" t="s">
        <v>3306</v>
      </c>
      <c r="AA6020" s="48">
        <v>0</v>
      </c>
      <c r="AB6020" s="13"/>
      <c r="AC6020" s="13"/>
      <c r="AD6020" s="13"/>
      <c r="AE6020" s="13"/>
      <c r="AF6020" s="13"/>
    </row>
    <row r="6021" spans="19:32" x14ac:dyDescent="0.35">
      <c r="S6021" s="13"/>
      <c r="T6021" s="16"/>
      <c r="U6021" s="16"/>
      <c r="V6021" s="16"/>
      <c r="W6021" s="13"/>
      <c r="X6021" s="34">
        <v>6017</v>
      </c>
      <c r="Y6021" s="34" t="s">
        <v>2248</v>
      </c>
      <c r="Z6021" s="34" t="s">
        <v>2911</v>
      </c>
      <c r="AA6021" s="35">
        <v>2.5157258064516133E-4</v>
      </c>
      <c r="AB6021" s="13"/>
      <c r="AC6021" s="13"/>
      <c r="AD6021" s="13"/>
      <c r="AE6021" s="13"/>
      <c r="AF6021" s="13"/>
    </row>
    <row r="6022" spans="19:32" x14ac:dyDescent="0.35">
      <c r="S6022" s="13"/>
      <c r="T6022" s="16"/>
      <c r="U6022" s="16"/>
      <c r="V6022" s="16"/>
      <c r="W6022" s="13"/>
      <c r="X6022" s="47">
        <v>6018</v>
      </c>
      <c r="Y6022" s="47" t="s">
        <v>2248</v>
      </c>
      <c r="Z6022" s="47" t="s">
        <v>3305</v>
      </c>
      <c r="AA6022" s="48">
        <v>0</v>
      </c>
      <c r="AB6022" s="13"/>
      <c r="AC6022" s="13"/>
      <c r="AD6022" s="13"/>
      <c r="AE6022" s="13"/>
      <c r="AF6022" s="13"/>
    </row>
    <row r="6023" spans="19:32" x14ac:dyDescent="0.35">
      <c r="S6023" s="13"/>
      <c r="T6023" s="16"/>
      <c r="U6023" s="16"/>
      <c r="V6023" s="16"/>
      <c r="W6023" s="13"/>
      <c r="X6023" s="34">
        <v>6019</v>
      </c>
      <c r="Y6023" s="34" t="s">
        <v>2248</v>
      </c>
      <c r="Z6023" s="34" t="s">
        <v>3304</v>
      </c>
      <c r="AA6023" s="35">
        <v>1.8645161290322583E-4</v>
      </c>
      <c r="AB6023" s="13"/>
      <c r="AC6023" s="13"/>
      <c r="AD6023" s="13"/>
      <c r="AE6023" s="13"/>
      <c r="AF6023" s="13"/>
    </row>
    <row r="6024" spans="19:32" x14ac:dyDescent="0.35">
      <c r="S6024" s="13"/>
      <c r="T6024" s="16"/>
      <c r="U6024" s="16"/>
      <c r="V6024" s="16"/>
      <c r="W6024" s="13"/>
      <c r="X6024" s="47">
        <v>6020</v>
      </c>
      <c r="Y6024" s="47" t="s">
        <v>2248</v>
      </c>
      <c r="Z6024" s="47" t="s">
        <v>3303</v>
      </c>
      <c r="AA6024" s="48">
        <v>0</v>
      </c>
      <c r="AB6024" s="13"/>
      <c r="AC6024" s="13"/>
      <c r="AD6024" s="13"/>
      <c r="AE6024" s="13"/>
      <c r="AF6024" s="13"/>
    </row>
    <row r="6025" spans="19:32" x14ac:dyDescent="0.35">
      <c r="S6025" s="13"/>
      <c r="T6025" s="16"/>
      <c r="U6025" s="16"/>
      <c r="V6025" s="16"/>
      <c r="W6025" s="13"/>
      <c r="X6025" s="47">
        <v>6021</v>
      </c>
      <c r="Y6025" s="47" t="s">
        <v>2248</v>
      </c>
      <c r="Z6025" s="47" t="s">
        <v>3302</v>
      </c>
      <c r="AA6025" s="48">
        <v>0</v>
      </c>
      <c r="AB6025" s="13"/>
      <c r="AC6025" s="13"/>
      <c r="AD6025" s="13"/>
      <c r="AE6025" s="13"/>
      <c r="AF6025" s="13"/>
    </row>
    <row r="6026" spans="19:32" x14ac:dyDescent="0.35">
      <c r="S6026" s="13"/>
      <c r="T6026" s="16"/>
      <c r="U6026" s="16"/>
      <c r="V6026" s="16"/>
      <c r="W6026" s="13"/>
      <c r="X6026" s="34">
        <v>6022</v>
      </c>
      <c r="Y6026" s="34" t="s">
        <v>2248</v>
      </c>
      <c r="Z6026" s="34" t="s">
        <v>3301</v>
      </c>
      <c r="AA6026" s="35">
        <v>1.1790322580645162E-4</v>
      </c>
      <c r="AB6026" s="13"/>
      <c r="AC6026" s="13"/>
      <c r="AD6026" s="13"/>
      <c r="AE6026" s="13"/>
      <c r="AF6026" s="13"/>
    </row>
    <row r="6027" spans="19:32" x14ac:dyDescent="0.35">
      <c r="S6027" s="13"/>
      <c r="T6027" s="16"/>
      <c r="U6027" s="16"/>
      <c r="V6027" s="16"/>
      <c r="W6027" s="13"/>
      <c r="X6027" s="47">
        <v>6023</v>
      </c>
      <c r="Y6027" s="47" t="s">
        <v>2248</v>
      </c>
      <c r="Z6027" s="47" t="s">
        <v>3300</v>
      </c>
      <c r="AA6027" s="48">
        <v>0</v>
      </c>
      <c r="AB6027" s="13"/>
      <c r="AC6027" s="13"/>
      <c r="AD6027" s="13"/>
      <c r="AE6027" s="13"/>
      <c r="AF6027" s="13"/>
    </row>
    <row r="6028" spans="19:32" x14ac:dyDescent="0.35">
      <c r="S6028" s="13"/>
      <c r="T6028" s="16"/>
      <c r="U6028" s="16"/>
      <c r="V6028" s="16"/>
      <c r="W6028" s="13"/>
      <c r="X6028" s="47">
        <v>6024</v>
      </c>
      <c r="Y6028" s="47" t="s">
        <v>2248</v>
      </c>
      <c r="Z6028" s="47" t="s">
        <v>3299</v>
      </c>
      <c r="AA6028" s="48">
        <v>2.0148000000000001</v>
      </c>
      <c r="AB6028" s="13"/>
      <c r="AC6028" s="13"/>
      <c r="AD6028" s="13"/>
      <c r="AE6028" s="13"/>
      <c r="AF6028" s="13"/>
    </row>
    <row r="6029" spans="19:32" x14ac:dyDescent="0.35">
      <c r="S6029" s="13"/>
      <c r="T6029" s="16"/>
      <c r="U6029" s="16"/>
      <c r="V6029" s="16"/>
      <c r="W6029" s="13"/>
      <c r="X6029" s="34">
        <v>6025</v>
      </c>
      <c r="Y6029" s="34" t="s">
        <v>2248</v>
      </c>
      <c r="Z6029" s="34" t="s">
        <v>3298</v>
      </c>
      <c r="AA6029" s="35">
        <v>1.8268145161290324E-2</v>
      </c>
      <c r="AB6029" s="13"/>
      <c r="AC6029" s="13"/>
      <c r="AD6029" s="13"/>
      <c r="AE6029" s="13"/>
      <c r="AF6029" s="13"/>
    </row>
    <row r="6030" spans="19:32" x14ac:dyDescent="0.35">
      <c r="S6030" s="13"/>
      <c r="T6030" s="16"/>
      <c r="U6030" s="16"/>
      <c r="V6030" s="16"/>
      <c r="W6030" s="13"/>
      <c r="X6030" s="47">
        <v>6026</v>
      </c>
      <c r="Y6030" s="47" t="s">
        <v>2248</v>
      </c>
      <c r="Z6030" s="47" t="s">
        <v>3297</v>
      </c>
      <c r="AA6030" s="48">
        <v>29.256</v>
      </c>
      <c r="AB6030" s="13"/>
      <c r="AC6030" s="13"/>
      <c r="AD6030" s="13"/>
      <c r="AE6030" s="13"/>
      <c r="AF6030" s="13"/>
    </row>
    <row r="6031" spans="19:32" x14ac:dyDescent="0.35">
      <c r="S6031" s="13"/>
      <c r="T6031" s="16"/>
      <c r="U6031" s="16"/>
      <c r="V6031" s="16"/>
      <c r="W6031" s="13"/>
      <c r="X6031" s="47">
        <v>6027</v>
      </c>
      <c r="Y6031" s="47" t="s">
        <v>2248</v>
      </c>
      <c r="Z6031" s="47" t="s">
        <v>3296</v>
      </c>
      <c r="AA6031" s="48">
        <v>0</v>
      </c>
      <c r="AB6031" s="13"/>
      <c r="AC6031" s="13"/>
      <c r="AD6031" s="13"/>
      <c r="AE6031" s="13"/>
      <c r="AF6031" s="13"/>
    </row>
    <row r="6032" spans="19:32" x14ac:dyDescent="0.35">
      <c r="S6032" s="13"/>
      <c r="T6032" s="16"/>
      <c r="U6032" s="16"/>
      <c r="V6032" s="16"/>
      <c r="W6032" s="13"/>
      <c r="X6032" s="34">
        <v>6028</v>
      </c>
      <c r="Y6032" s="34" t="s">
        <v>2248</v>
      </c>
      <c r="Z6032" s="34" t="s">
        <v>3295</v>
      </c>
      <c r="AA6032" s="35">
        <v>2.8002016129032257E-5</v>
      </c>
      <c r="AB6032" s="13"/>
      <c r="AC6032" s="13"/>
      <c r="AD6032" s="13"/>
      <c r="AE6032" s="13"/>
      <c r="AF6032" s="13"/>
    </row>
    <row r="6033" spans="19:32" x14ac:dyDescent="0.35">
      <c r="S6033" s="13"/>
      <c r="T6033" s="16"/>
      <c r="U6033" s="16"/>
      <c r="V6033" s="16"/>
      <c r="W6033" s="13"/>
      <c r="X6033" s="47">
        <v>6029</v>
      </c>
      <c r="Y6033" s="47" t="s">
        <v>2248</v>
      </c>
      <c r="Z6033" s="47" t="s">
        <v>3294</v>
      </c>
      <c r="AA6033" s="48">
        <v>2.8519999999999999</v>
      </c>
      <c r="AB6033" s="13"/>
      <c r="AC6033" s="13"/>
      <c r="AD6033" s="13"/>
      <c r="AE6033" s="13"/>
      <c r="AF6033" s="13"/>
    </row>
    <row r="6034" spans="19:32" x14ac:dyDescent="0.35">
      <c r="S6034" s="13"/>
      <c r="T6034" s="16"/>
      <c r="U6034" s="16"/>
      <c r="V6034" s="16"/>
      <c r="W6034" s="13"/>
      <c r="X6034" s="47">
        <v>6030</v>
      </c>
      <c r="Y6034" s="47" t="s">
        <v>2248</v>
      </c>
      <c r="Z6034" s="47" t="s">
        <v>3293</v>
      </c>
      <c r="AA6034" s="48">
        <v>828</v>
      </c>
      <c r="AB6034" s="13"/>
      <c r="AC6034" s="13"/>
      <c r="AD6034" s="13"/>
      <c r="AE6034" s="13"/>
      <c r="AF6034" s="13"/>
    </row>
    <row r="6035" spans="19:32" x14ac:dyDescent="0.35">
      <c r="S6035" s="13"/>
      <c r="T6035" s="16"/>
      <c r="U6035" s="16"/>
      <c r="V6035" s="16"/>
      <c r="W6035" s="13"/>
      <c r="X6035" s="34">
        <v>6031</v>
      </c>
      <c r="Y6035" s="34" t="s">
        <v>2248</v>
      </c>
      <c r="Z6035" s="34" t="s">
        <v>3292</v>
      </c>
      <c r="AA6035" s="35">
        <v>0.20187500000000003</v>
      </c>
      <c r="AB6035" s="13"/>
      <c r="AC6035" s="13"/>
      <c r="AD6035" s="13"/>
      <c r="AE6035" s="13"/>
      <c r="AF6035" s="13"/>
    </row>
    <row r="6036" spans="19:32" x14ac:dyDescent="0.35">
      <c r="S6036" s="13"/>
      <c r="T6036" s="16"/>
      <c r="U6036" s="16"/>
      <c r="V6036" s="16"/>
      <c r="W6036" s="13"/>
      <c r="X6036" s="47">
        <v>6032</v>
      </c>
      <c r="Y6036" s="47" t="s">
        <v>2248</v>
      </c>
      <c r="Z6036" s="47" t="s">
        <v>3291</v>
      </c>
      <c r="AA6036" s="48">
        <v>7.0196000000000008E-2</v>
      </c>
      <c r="AB6036" s="13"/>
      <c r="AC6036" s="13"/>
      <c r="AD6036" s="13"/>
      <c r="AE6036" s="13"/>
      <c r="AF6036" s="13"/>
    </row>
    <row r="6037" spans="19:32" x14ac:dyDescent="0.35">
      <c r="S6037" s="13"/>
      <c r="T6037" s="16"/>
      <c r="U6037" s="16"/>
      <c r="V6037" s="16"/>
      <c r="W6037" s="13"/>
      <c r="X6037" s="34">
        <v>6033</v>
      </c>
      <c r="Y6037" s="34" t="s">
        <v>2248</v>
      </c>
      <c r="Z6037" s="34" t="s">
        <v>3290</v>
      </c>
      <c r="AA6037" s="35">
        <v>5.3125000000000004E-3</v>
      </c>
      <c r="AB6037" s="13"/>
      <c r="AC6037" s="13"/>
      <c r="AD6037" s="13"/>
      <c r="AE6037" s="13"/>
      <c r="AF6037" s="13"/>
    </row>
    <row r="6038" spans="19:32" x14ac:dyDescent="0.35">
      <c r="S6038" s="13"/>
      <c r="T6038" s="16"/>
      <c r="U6038" s="16"/>
      <c r="V6038" s="16"/>
      <c r="W6038" s="13"/>
      <c r="X6038" s="47">
        <v>6034</v>
      </c>
      <c r="Y6038" s="47" t="s">
        <v>2248</v>
      </c>
      <c r="Z6038" s="47" t="s">
        <v>3289</v>
      </c>
      <c r="AA6038" s="48">
        <v>0</v>
      </c>
      <c r="AB6038" s="13"/>
      <c r="AC6038" s="13"/>
      <c r="AD6038" s="13"/>
      <c r="AE6038" s="13"/>
      <c r="AF6038" s="13"/>
    </row>
    <row r="6039" spans="19:32" x14ac:dyDescent="0.35">
      <c r="S6039" s="13"/>
      <c r="T6039" s="16"/>
      <c r="U6039" s="16"/>
      <c r="V6039" s="16"/>
      <c r="W6039" s="13"/>
      <c r="X6039" s="47">
        <v>6035</v>
      </c>
      <c r="Y6039" s="47" t="s">
        <v>2248</v>
      </c>
      <c r="Z6039" s="47" t="s">
        <v>3288</v>
      </c>
      <c r="AA6039" s="48">
        <v>0</v>
      </c>
      <c r="AB6039" s="13"/>
      <c r="AC6039" s="13"/>
      <c r="AD6039" s="13"/>
      <c r="AE6039" s="13"/>
      <c r="AF6039" s="13"/>
    </row>
    <row r="6040" spans="19:32" x14ac:dyDescent="0.35">
      <c r="S6040" s="13"/>
      <c r="T6040" s="16"/>
      <c r="U6040" s="16"/>
      <c r="V6040" s="16"/>
      <c r="W6040" s="13"/>
      <c r="X6040" s="34">
        <v>6036</v>
      </c>
      <c r="Y6040" s="34" t="s">
        <v>2248</v>
      </c>
      <c r="Z6040" s="34" t="s">
        <v>3287</v>
      </c>
      <c r="AA6040" s="35">
        <v>4.181451612903226E-2</v>
      </c>
      <c r="AB6040" s="13"/>
      <c r="AC6040" s="13"/>
      <c r="AD6040" s="13"/>
      <c r="AE6040" s="13"/>
      <c r="AF6040" s="13"/>
    </row>
    <row r="6041" spans="19:32" x14ac:dyDescent="0.35">
      <c r="S6041" s="13"/>
      <c r="T6041" s="16"/>
      <c r="U6041" s="16"/>
      <c r="V6041" s="16"/>
      <c r="W6041" s="13"/>
      <c r="X6041" s="47">
        <v>6037</v>
      </c>
      <c r="Y6041" s="47" t="s">
        <v>2248</v>
      </c>
      <c r="Z6041" s="47" t="s">
        <v>3286</v>
      </c>
      <c r="AA6041" s="48">
        <v>0</v>
      </c>
      <c r="AB6041" s="13"/>
      <c r="AC6041" s="13"/>
      <c r="AD6041" s="13"/>
      <c r="AE6041" s="13"/>
      <c r="AF6041" s="13"/>
    </row>
    <row r="6042" spans="19:32" x14ac:dyDescent="0.35">
      <c r="S6042" s="13"/>
      <c r="T6042" s="16"/>
      <c r="U6042" s="16"/>
      <c r="V6042" s="16"/>
      <c r="W6042" s="13"/>
      <c r="X6042" s="47">
        <v>6038</v>
      </c>
      <c r="Y6042" s="47" t="s">
        <v>2248</v>
      </c>
      <c r="Z6042" s="47" t="s">
        <v>3285</v>
      </c>
      <c r="AA6042" s="48">
        <v>3.2475999999999998E-2</v>
      </c>
      <c r="AB6042" s="13"/>
      <c r="AC6042" s="13"/>
      <c r="AD6042" s="13"/>
      <c r="AE6042" s="13"/>
      <c r="AF6042" s="13"/>
    </row>
    <row r="6043" spans="19:32" x14ac:dyDescent="0.35">
      <c r="S6043" s="13"/>
      <c r="T6043" s="16"/>
      <c r="U6043" s="16"/>
      <c r="V6043" s="16"/>
      <c r="W6043" s="13"/>
      <c r="X6043" s="34">
        <v>6039</v>
      </c>
      <c r="Y6043" s="34" t="s">
        <v>2248</v>
      </c>
      <c r="Z6043" s="34" t="s">
        <v>3284</v>
      </c>
      <c r="AA6043" s="35">
        <v>9.8366935483870977E-5</v>
      </c>
      <c r="AB6043" s="13"/>
      <c r="AC6043" s="13"/>
      <c r="AD6043" s="13"/>
      <c r="AE6043" s="13"/>
      <c r="AF6043" s="13"/>
    </row>
    <row r="6044" spans="19:32" x14ac:dyDescent="0.35">
      <c r="S6044" s="13"/>
      <c r="T6044" s="16"/>
      <c r="U6044" s="16"/>
      <c r="V6044" s="16"/>
      <c r="W6044" s="13"/>
      <c r="X6044" s="47">
        <v>6040</v>
      </c>
      <c r="Y6044" s="47" t="s">
        <v>2248</v>
      </c>
      <c r="Z6044" s="47" t="s">
        <v>3283</v>
      </c>
      <c r="AA6044" s="48">
        <v>3.2659999999999998E-3</v>
      </c>
      <c r="AB6044" s="13"/>
      <c r="AC6044" s="13"/>
      <c r="AD6044" s="13"/>
      <c r="AE6044" s="13"/>
      <c r="AF6044" s="13"/>
    </row>
    <row r="6045" spans="19:32" x14ac:dyDescent="0.35">
      <c r="S6045" s="13"/>
      <c r="T6045" s="16"/>
      <c r="U6045" s="16"/>
      <c r="V6045" s="16"/>
      <c r="W6045" s="13"/>
      <c r="X6045" s="47">
        <v>6041</v>
      </c>
      <c r="Y6045" s="47" t="s">
        <v>2248</v>
      </c>
      <c r="Z6045" s="47" t="s">
        <v>3282</v>
      </c>
      <c r="AA6045" s="48">
        <v>0</v>
      </c>
      <c r="AB6045" s="13"/>
      <c r="AC6045" s="13"/>
      <c r="AD6045" s="13"/>
      <c r="AE6045" s="13"/>
      <c r="AF6045" s="13"/>
    </row>
    <row r="6046" spans="19:32" x14ac:dyDescent="0.35">
      <c r="S6046" s="13"/>
      <c r="T6046" s="16"/>
      <c r="U6046" s="16"/>
      <c r="V6046" s="16"/>
      <c r="W6046" s="13"/>
      <c r="X6046" s="34">
        <v>6042</v>
      </c>
      <c r="Y6046" s="34" t="s">
        <v>2248</v>
      </c>
      <c r="Z6046" s="34" t="s">
        <v>3281</v>
      </c>
      <c r="AA6046" s="35">
        <v>1.2750000000000001E-4</v>
      </c>
      <c r="AB6046" s="13"/>
      <c r="AC6046" s="13"/>
      <c r="AD6046" s="13"/>
      <c r="AE6046" s="13"/>
      <c r="AF6046" s="13"/>
    </row>
    <row r="6047" spans="19:32" x14ac:dyDescent="0.35">
      <c r="S6047" s="13"/>
      <c r="T6047" s="16"/>
      <c r="U6047" s="16"/>
      <c r="V6047" s="16"/>
      <c r="W6047" s="13"/>
      <c r="X6047" s="47">
        <v>6043</v>
      </c>
      <c r="Y6047" s="47" t="s">
        <v>2248</v>
      </c>
      <c r="Z6047" s="47" t="s">
        <v>3280</v>
      </c>
      <c r="AA6047" s="48">
        <v>3.3304</v>
      </c>
      <c r="AB6047" s="13"/>
      <c r="AC6047" s="13"/>
      <c r="AD6047" s="13"/>
      <c r="AE6047" s="13"/>
      <c r="AF6047" s="13"/>
    </row>
    <row r="6048" spans="19:32" x14ac:dyDescent="0.35">
      <c r="S6048" s="13"/>
      <c r="T6048" s="16"/>
      <c r="U6048" s="16"/>
      <c r="V6048" s="16"/>
      <c r="W6048" s="13"/>
      <c r="X6048" s="34">
        <v>6044</v>
      </c>
      <c r="Y6048" s="34" t="s">
        <v>2248</v>
      </c>
      <c r="Z6048" s="34" t="s">
        <v>3279</v>
      </c>
      <c r="AA6048" s="35">
        <v>2.4437500000000002E-4</v>
      </c>
      <c r="AB6048" s="13"/>
      <c r="AC6048" s="13"/>
      <c r="AD6048" s="13"/>
      <c r="AE6048" s="13"/>
      <c r="AF6048" s="13"/>
    </row>
    <row r="6049" spans="19:32" x14ac:dyDescent="0.35">
      <c r="S6049" s="13"/>
      <c r="T6049" s="16"/>
      <c r="U6049" s="16"/>
      <c r="V6049" s="16"/>
      <c r="W6049" s="13"/>
      <c r="X6049" s="47">
        <v>6045</v>
      </c>
      <c r="Y6049" s="47" t="s">
        <v>2248</v>
      </c>
      <c r="Z6049" s="47" t="s">
        <v>3278</v>
      </c>
      <c r="AA6049" s="48">
        <v>0</v>
      </c>
      <c r="AB6049" s="13"/>
      <c r="AC6049" s="13"/>
      <c r="AD6049" s="13"/>
      <c r="AE6049" s="13"/>
      <c r="AF6049" s="13"/>
    </row>
    <row r="6050" spans="19:32" x14ac:dyDescent="0.35">
      <c r="S6050" s="13"/>
      <c r="T6050" s="16"/>
      <c r="U6050" s="16"/>
      <c r="V6050" s="16"/>
      <c r="W6050" s="13"/>
      <c r="X6050" s="47">
        <v>6046</v>
      </c>
      <c r="Y6050" s="47" t="s">
        <v>2248</v>
      </c>
      <c r="Z6050" s="47" t="s">
        <v>3277</v>
      </c>
      <c r="AA6050" s="48">
        <v>0.50968000000000002</v>
      </c>
      <c r="AB6050" s="13"/>
      <c r="AC6050" s="13"/>
      <c r="AD6050" s="13"/>
      <c r="AE6050" s="13"/>
      <c r="AF6050" s="13"/>
    </row>
    <row r="6051" spans="19:32" x14ac:dyDescent="0.35">
      <c r="S6051" s="13"/>
      <c r="T6051" s="16"/>
      <c r="U6051" s="16"/>
      <c r="V6051" s="16"/>
      <c r="W6051" s="13"/>
      <c r="X6051" s="34">
        <v>6047</v>
      </c>
      <c r="Y6051" s="34" t="s">
        <v>2248</v>
      </c>
      <c r="Z6051" s="34" t="s">
        <v>2908</v>
      </c>
      <c r="AA6051" s="35">
        <v>1.6211693548387099E-2</v>
      </c>
      <c r="AB6051" s="13"/>
      <c r="AC6051" s="13"/>
      <c r="AD6051" s="13"/>
      <c r="AE6051" s="13"/>
      <c r="AF6051" s="13"/>
    </row>
    <row r="6052" spans="19:32" x14ac:dyDescent="0.35">
      <c r="S6052" s="13"/>
      <c r="T6052" s="16"/>
      <c r="U6052" s="16"/>
      <c r="V6052" s="16"/>
      <c r="W6052" s="13"/>
      <c r="X6052" s="47">
        <v>6048</v>
      </c>
      <c r="Y6052" s="47" t="s">
        <v>2248</v>
      </c>
      <c r="Z6052" s="47" t="s">
        <v>3276</v>
      </c>
      <c r="AA6052" s="48">
        <v>9.2920000000000003E-2</v>
      </c>
      <c r="AB6052" s="13"/>
      <c r="AC6052" s="13"/>
      <c r="AD6052" s="13"/>
      <c r="AE6052" s="13"/>
      <c r="AF6052" s="13"/>
    </row>
    <row r="6053" spans="19:32" x14ac:dyDescent="0.35">
      <c r="S6053" s="13"/>
      <c r="T6053" s="16"/>
      <c r="U6053" s="16"/>
      <c r="V6053" s="16"/>
      <c r="W6053" s="13"/>
      <c r="X6053" s="47">
        <v>6049</v>
      </c>
      <c r="Y6053" s="47" t="s">
        <v>2248</v>
      </c>
      <c r="Z6053" s="47" t="s">
        <v>3275</v>
      </c>
      <c r="AA6053" s="48">
        <v>0</v>
      </c>
      <c r="AB6053" s="13"/>
      <c r="AC6053" s="13"/>
      <c r="AD6053" s="13"/>
      <c r="AE6053" s="13"/>
      <c r="AF6053" s="13"/>
    </row>
    <row r="6054" spans="19:32" x14ac:dyDescent="0.35">
      <c r="S6054" s="13"/>
      <c r="T6054" s="16"/>
      <c r="U6054" s="16"/>
      <c r="V6054" s="16"/>
      <c r="W6054" s="13"/>
      <c r="X6054" s="34">
        <v>6050</v>
      </c>
      <c r="Y6054" s="34" t="s">
        <v>2248</v>
      </c>
      <c r="Z6054" s="34" t="s">
        <v>3274</v>
      </c>
      <c r="AA6054" s="35">
        <v>1.0350806451612904E-2</v>
      </c>
      <c r="AB6054" s="13"/>
      <c r="AC6054" s="13"/>
      <c r="AD6054" s="13"/>
      <c r="AE6054" s="13"/>
      <c r="AF6054" s="13"/>
    </row>
    <row r="6055" spans="19:32" x14ac:dyDescent="0.35">
      <c r="S6055" s="13"/>
      <c r="T6055" s="16"/>
      <c r="U6055" s="16"/>
      <c r="V6055" s="16"/>
      <c r="W6055" s="13"/>
      <c r="X6055" s="47">
        <v>6051</v>
      </c>
      <c r="Y6055" s="47" t="s">
        <v>2248</v>
      </c>
      <c r="Z6055" s="47" t="s">
        <v>3273</v>
      </c>
      <c r="AA6055" s="48">
        <v>0</v>
      </c>
      <c r="AB6055" s="13"/>
      <c r="AC6055" s="13"/>
      <c r="AD6055" s="13"/>
      <c r="AE6055" s="13"/>
      <c r="AF6055" s="13"/>
    </row>
    <row r="6056" spans="19:32" x14ac:dyDescent="0.35">
      <c r="S6056" s="13"/>
      <c r="T6056" s="16"/>
      <c r="U6056" s="16"/>
      <c r="V6056" s="16"/>
      <c r="W6056" s="13"/>
      <c r="X6056" s="47">
        <v>6052</v>
      </c>
      <c r="Y6056" s="47" t="s">
        <v>2248</v>
      </c>
      <c r="Z6056" s="47" t="s">
        <v>3272</v>
      </c>
      <c r="AA6056" s="48">
        <v>0</v>
      </c>
      <c r="AB6056" s="13"/>
      <c r="AC6056" s="13"/>
      <c r="AD6056" s="13"/>
      <c r="AE6056" s="13"/>
      <c r="AF6056" s="13"/>
    </row>
    <row r="6057" spans="19:32" x14ac:dyDescent="0.35">
      <c r="S6057" s="13"/>
      <c r="T6057" s="16"/>
      <c r="U6057" s="16"/>
      <c r="V6057" s="16"/>
      <c r="W6057" s="13"/>
      <c r="X6057" s="34">
        <v>6053</v>
      </c>
      <c r="Y6057" s="34" t="s">
        <v>2248</v>
      </c>
      <c r="Z6057" s="34" t="s">
        <v>2906</v>
      </c>
      <c r="AA6057" s="35">
        <v>3.3211693548387102E-3</v>
      </c>
      <c r="AB6057" s="13"/>
      <c r="AC6057" s="13"/>
      <c r="AD6057" s="13"/>
      <c r="AE6057" s="13"/>
      <c r="AF6057" s="13"/>
    </row>
    <row r="6058" spans="19:32" x14ac:dyDescent="0.35">
      <c r="S6058" s="13"/>
      <c r="T6058" s="16"/>
      <c r="U6058" s="16"/>
      <c r="V6058" s="16"/>
      <c r="W6058" s="13"/>
      <c r="X6058" s="47">
        <v>6054</v>
      </c>
      <c r="Y6058" s="47" t="s">
        <v>2248</v>
      </c>
      <c r="Z6058" s="47" t="s">
        <v>3271</v>
      </c>
      <c r="AA6058" s="48">
        <v>0.47195999999999999</v>
      </c>
      <c r="AB6058" s="13"/>
      <c r="AC6058" s="13"/>
      <c r="AD6058" s="13"/>
      <c r="AE6058" s="13"/>
      <c r="AF6058" s="13"/>
    </row>
    <row r="6059" spans="19:32" x14ac:dyDescent="0.35">
      <c r="S6059" s="13"/>
      <c r="T6059" s="16"/>
      <c r="U6059" s="16"/>
      <c r="V6059" s="16"/>
      <c r="W6059" s="13"/>
      <c r="X6059" s="47">
        <v>6055</v>
      </c>
      <c r="Y6059" s="47" t="s">
        <v>2248</v>
      </c>
      <c r="Z6059" s="47" t="s">
        <v>3270</v>
      </c>
      <c r="AA6059" s="48">
        <v>0</v>
      </c>
      <c r="AB6059" s="13"/>
      <c r="AC6059" s="13"/>
      <c r="AD6059" s="13"/>
      <c r="AE6059" s="13"/>
      <c r="AF6059" s="13"/>
    </row>
    <row r="6060" spans="19:32" x14ac:dyDescent="0.35">
      <c r="S6060" s="13"/>
      <c r="T6060" s="16"/>
      <c r="U6060" s="16"/>
      <c r="V6060" s="16"/>
      <c r="W6060" s="13"/>
      <c r="X6060" s="34">
        <v>6056</v>
      </c>
      <c r="Y6060" s="34" t="s">
        <v>2248</v>
      </c>
      <c r="Z6060" s="34" t="s">
        <v>3269</v>
      </c>
      <c r="AA6060" s="35">
        <v>1.4840725806451612E-3</v>
      </c>
      <c r="AB6060" s="13"/>
      <c r="AC6060" s="13"/>
      <c r="AD6060" s="13"/>
      <c r="AE6060" s="13"/>
      <c r="AF6060" s="13"/>
    </row>
    <row r="6061" spans="19:32" x14ac:dyDescent="0.35">
      <c r="S6061" s="13"/>
      <c r="T6061" s="16"/>
      <c r="U6061" s="16"/>
      <c r="V6061" s="16"/>
      <c r="W6061" s="13"/>
      <c r="X6061" s="47">
        <v>6057</v>
      </c>
      <c r="Y6061" s="47" t="s">
        <v>2248</v>
      </c>
      <c r="Z6061" s="47" t="s">
        <v>3268</v>
      </c>
      <c r="AA6061" s="48">
        <v>0</v>
      </c>
      <c r="AB6061" s="13"/>
      <c r="AC6061" s="13"/>
      <c r="AD6061" s="13"/>
      <c r="AE6061" s="13"/>
      <c r="AF6061" s="13"/>
    </row>
    <row r="6062" spans="19:32" x14ac:dyDescent="0.35">
      <c r="S6062" s="13"/>
      <c r="T6062" s="16"/>
      <c r="U6062" s="16"/>
      <c r="V6062" s="16"/>
      <c r="W6062" s="13"/>
      <c r="X6062" s="34">
        <v>6058</v>
      </c>
      <c r="Y6062" s="34" t="s">
        <v>2248</v>
      </c>
      <c r="Z6062" s="34" t="s">
        <v>2903</v>
      </c>
      <c r="AA6062" s="35">
        <v>2.4266129032258067E-4</v>
      </c>
      <c r="AB6062" s="13"/>
      <c r="AC6062" s="13"/>
      <c r="AD6062" s="13"/>
      <c r="AE6062" s="13"/>
      <c r="AF6062" s="13"/>
    </row>
    <row r="6063" spans="19:32" x14ac:dyDescent="0.35">
      <c r="S6063" s="13"/>
      <c r="T6063" s="16"/>
      <c r="U6063" s="16"/>
      <c r="V6063" s="16"/>
      <c r="W6063" s="13"/>
      <c r="X6063" s="47">
        <v>6059</v>
      </c>
      <c r="Y6063" s="47" t="s">
        <v>2248</v>
      </c>
      <c r="Z6063" s="47" t="s">
        <v>3267</v>
      </c>
      <c r="AA6063" s="48">
        <v>0</v>
      </c>
      <c r="AB6063" s="13"/>
      <c r="AC6063" s="13"/>
      <c r="AD6063" s="13"/>
      <c r="AE6063" s="13"/>
      <c r="AF6063" s="13"/>
    </row>
    <row r="6064" spans="19:32" x14ac:dyDescent="0.35">
      <c r="S6064" s="13"/>
      <c r="T6064" s="16"/>
      <c r="U6064" s="16"/>
      <c r="V6064" s="16"/>
      <c r="W6064" s="13"/>
      <c r="X6064" s="47">
        <v>6060</v>
      </c>
      <c r="Y6064" s="47" t="s">
        <v>2248</v>
      </c>
      <c r="Z6064" s="47" t="s">
        <v>3266</v>
      </c>
      <c r="AA6064" s="48">
        <v>0.55567999999999995</v>
      </c>
      <c r="AB6064" s="13"/>
      <c r="AC6064" s="13"/>
      <c r="AD6064" s="13"/>
      <c r="AE6064" s="13"/>
      <c r="AF6064" s="13"/>
    </row>
    <row r="6065" spans="19:32" x14ac:dyDescent="0.35">
      <c r="S6065" s="13"/>
      <c r="T6065" s="16"/>
      <c r="U6065" s="16"/>
      <c r="V6065" s="16"/>
      <c r="W6065" s="13"/>
      <c r="X6065" s="34">
        <v>6061</v>
      </c>
      <c r="Y6065" s="34" t="s">
        <v>2248</v>
      </c>
      <c r="Z6065" s="34" t="s">
        <v>3265</v>
      </c>
      <c r="AA6065" s="35">
        <v>3.7701612903225815E-5</v>
      </c>
      <c r="AB6065" s="13"/>
      <c r="AC6065" s="13"/>
      <c r="AD6065" s="13"/>
      <c r="AE6065" s="13"/>
      <c r="AF6065" s="13"/>
    </row>
    <row r="6066" spans="19:32" x14ac:dyDescent="0.35">
      <c r="S6066" s="13"/>
      <c r="T6066" s="16"/>
      <c r="U6066" s="16"/>
      <c r="V6066" s="16"/>
      <c r="W6066" s="13"/>
      <c r="X6066" s="47">
        <v>6062</v>
      </c>
      <c r="Y6066" s="47" t="s">
        <v>2248</v>
      </c>
      <c r="Z6066" s="47" t="s">
        <v>3264</v>
      </c>
      <c r="AA6066" s="48">
        <v>0</v>
      </c>
      <c r="AB6066" s="13"/>
      <c r="AC6066" s="13"/>
      <c r="AD6066" s="13"/>
      <c r="AE6066" s="13"/>
      <c r="AF6066" s="13"/>
    </row>
    <row r="6067" spans="19:32" x14ac:dyDescent="0.35">
      <c r="S6067" s="13"/>
      <c r="T6067" s="16"/>
      <c r="U6067" s="16"/>
      <c r="V6067" s="16"/>
      <c r="W6067" s="13"/>
      <c r="X6067" s="47">
        <v>6063</v>
      </c>
      <c r="Y6067" s="47" t="s">
        <v>2248</v>
      </c>
      <c r="Z6067" s="47" t="s">
        <v>3263</v>
      </c>
      <c r="AA6067" s="48">
        <v>1131.5999999999999</v>
      </c>
      <c r="AB6067" s="13"/>
      <c r="AC6067" s="13"/>
      <c r="AD6067" s="13"/>
      <c r="AE6067" s="13"/>
      <c r="AF6067" s="13"/>
    </row>
    <row r="6068" spans="19:32" x14ac:dyDescent="0.35">
      <c r="S6068" s="13"/>
      <c r="T6068" s="16"/>
      <c r="U6068" s="16"/>
      <c r="V6068" s="16"/>
      <c r="W6068" s="13"/>
      <c r="X6068" s="34">
        <v>6064</v>
      </c>
      <c r="Y6068" s="34" t="s">
        <v>2248</v>
      </c>
      <c r="Z6068" s="34" t="s">
        <v>3262</v>
      </c>
      <c r="AA6068" s="35">
        <v>3.1806451612903229E-3</v>
      </c>
      <c r="AB6068" s="13"/>
      <c r="AC6068" s="13"/>
      <c r="AD6068" s="13"/>
      <c r="AE6068" s="13"/>
      <c r="AF6068" s="13"/>
    </row>
    <row r="6069" spans="19:32" x14ac:dyDescent="0.35">
      <c r="S6069" s="13"/>
      <c r="T6069" s="16"/>
      <c r="U6069" s="16"/>
      <c r="V6069" s="16"/>
      <c r="W6069" s="13"/>
      <c r="X6069" s="47">
        <v>6065</v>
      </c>
      <c r="Y6069" s="47" t="s">
        <v>2248</v>
      </c>
      <c r="Z6069" s="47" t="s">
        <v>3261</v>
      </c>
      <c r="AA6069" s="48">
        <v>0</v>
      </c>
      <c r="AB6069" s="13"/>
      <c r="AC6069" s="13"/>
      <c r="AD6069" s="13"/>
      <c r="AE6069" s="13"/>
      <c r="AF6069" s="13"/>
    </row>
    <row r="6070" spans="19:32" x14ac:dyDescent="0.35">
      <c r="S6070" s="13"/>
      <c r="T6070" s="16"/>
      <c r="U6070" s="16"/>
      <c r="V6070" s="16"/>
      <c r="W6070" s="13"/>
      <c r="X6070" s="47">
        <v>6066</v>
      </c>
      <c r="Y6070" s="47" t="s">
        <v>2248</v>
      </c>
      <c r="Z6070" s="47" t="s">
        <v>3260</v>
      </c>
      <c r="AA6070" s="48">
        <v>0</v>
      </c>
      <c r="AB6070" s="13"/>
      <c r="AC6070" s="13"/>
      <c r="AD6070" s="13"/>
      <c r="AE6070" s="13"/>
      <c r="AF6070" s="13"/>
    </row>
    <row r="6071" spans="19:32" x14ac:dyDescent="0.35">
      <c r="S6071" s="13"/>
      <c r="T6071" s="16"/>
      <c r="U6071" s="16"/>
      <c r="V6071" s="16"/>
      <c r="W6071" s="13"/>
      <c r="X6071" s="34">
        <v>6067</v>
      </c>
      <c r="Y6071" s="34" t="s">
        <v>2248</v>
      </c>
      <c r="Z6071" s="34" t="s">
        <v>2898</v>
      </c>
      <c r="AA6071" s="35">
        <v>4.1471774193548392E-3</v>
      </c>
      <c r="AB6071" s="13"/>
      <c r="AC6071" s="13"/>
      <c r="AD6071" s="13"/>
      <c r="AE6071" s="13"/>
      <c r="AF6071" s="13"/>
    </row>
    <row r="6072" spans="19:32" x14ac:dyDescent="0.35">
      <c r="S6072" s="13"/>
      <c r="T6072" s="16"/>
      <c r="U6072" s="16"/>
      <c r="V6072" s="16"/>
      <c r="W6072" s="13"/>
      <c r="X6072" s="47">
        <v>6068</v>
      </c>
      <c r="Y6072" s="47" t="s">
        <v>2248</v>
      </c>
      <c r="Z6072" s="47" t="s">
        <v>3259</v>
      </c>
      <c r="AA6072" s="48">
        <v>86.296000000000006</v>
      </c>
      <c r="AB6072" s="13"/>
      <c r="AC6072" s="13"/>
      <c r="AD6072" s="13"/>
      <c r="AE6072" s="13"/>
      <c r="AF6072" s="13"/>
    </row>
    <row r="6073" spans="19:32" x14ac:dyDescent="0.35">
      <c r="S6073" s="13"/>
      <c r="T6073" s="16"/>
      <c r="U6073" s="16"/>
      <c r="V6073" s="16"/>
      <c r="W6073" s="13"/>
      <c r="X6073" s="34">
        <v>6069</v>
      </c>
      <c r="Y6073" s="34" t="s">
        <v>2248</v>
      </c>
      <c r="Z6073" s="34" t="s">
        <v>2897</v>
      </c>
      <c r="AA6073" s="35">
        <v>3.5645161290322587E-4</v>
      </c>
      <c r="AB6073" s="13"/>
      <c r="AC6073" s="13"/>
      <c r="AD6073" s="13"/>
      <c r="AE6073" s="13"/>
      <c r="AF6073" s="13"/>
    </row>
    <row r="6074" spans="19:32" x14ac:dyDescent="0.35">
      <c r="S6074" s="13"/>
      <c r="T6074" s="16"/>
      <c r="U6074" s="16"/>
      <c r="V6074" s="16"/>
      <c r="W6074" s="13"/>
      <c r="X6074" s="47">
        <v>6070</v>
      </c>
      <c r="Y6074" s="47" t="s">
        <v>2248</v>
      </c>
      <c r="Z6074" s="47" t="s">
        <v>3258</v>
      </c>
      <c r="AA6074" s="48">
        <v>10.763999999999999</v>
      </c>
      <c r="AB6074" s="13"/>
      <c r="AC6074" s="13"/>
      <c r="AD6074" s="13"/>
      <c r="AE6074" s="13"/>
      <c r="AF6074" s="13"/>
    </row>
    <row r="6075" spans="19:32" x14ac:dyDescent="0.35">
      <c r="S6075" s="13"/>
      <c r="T6075" s="16"/>
      <c r="U6075" s="16"/>
      <c r="V6075" s="16"/>
      <c r="W6075" s="13"/>
      <c r="X6075" s="47">
        <v>6071</v>
      </c>
      <c r="Y6075" s="47" t="s">
        <v>2248</v>
      </c>
      <c r="Z6075" s="47" t="s">
        <v>3257</v>
      </c>
      <c r="AA6075" s="48">
        <v>0</v>
      </c>
      <c r="AB6075" s="13"/>
      <c r="AC6075" s="13"/>
      <c r="AD6075" s="13"/>
      <c r="AE6075" s="13"/>
      <c r="AF6075" s="13"/>
    </row>
    <row r="6076" spans="19:32" x14ac:dyDescent="0.35">
      <c r="S6076" s="13"/>
      <c r="T6076" s="16"/>
      <c r="U6076" s="16"/>
      <c r="V6076" s="16"/>
      <c r="W6076" s="13"/>
      <c r="X6076" s="34">
        <v>6072</v>
      </c>
      <c r="Y6076" s="34" t="s">
        <v>2248</v>
      </c>
      <c r="Z6076" s="34" t="s">
        <v>3256</v>
      </c>
      <c r="AA6076" s="35">
        <v>4.9354838709677424E-3</v>
      </c>
      <c r="AB6076" s="13"/>
      <c r="AC6076" s="13"/>
      <c r="AD6076" s="13"/>
      <c r="AE6076" s="13"/>
      <c r="AF6076" s="13"/>
    </row>
    <row r="6077" spans="19:32" x14ac:dyDescent="0.35">
      <c r="S6077" s="13"/>
      <c r="T6077" s="16"/>
      <c r="U6077" s="16"/>
      <c r="V6077" s="16"/>
      <c r="W6077" s="13"/>
      <c r="X6077" s="47">
        <v>6073</v>
      </c>
      <c r="Y6077" s="47" t="s">
        <v>2248</v>
      </c>
      <c r="Z6077" s="47" t="s">
        <v>3255</v>
      </c>
      <c r="AA6077" s="48">
        <v>0</v>
      </c>
      <c r="AB6077" s="13"/>
      <c r="AC6077" s="13"/>
      <c r="AD6077" s="13"/>
      <c r="AE6077" s="13"/>
      <c r="AF6077" s="13"/>
    </row>
    <row r="6078" spans="19:32" x14ac:dyDescent="0.35">
      <c r="S6078" s="13"/>
      <c r="T6078" s="16"/>
      <c r="U6078" s="16"/>
      <c r="V6078" s="16"/>
      <c r="W6078" s="13"/>
      <c r="X6078" s="47">
        <v>6074</v>
      </c>
      <c r="Y6078" s="47" t="s">
        <v>2248</v>
      </c>
      <c r="Z6078" s="47" t="s">
        <v>3254</v>
      </c>
      <c r="AA6078" s="48">
        <v>0</v>
      </c>
      <c r="AB6078" s="13"/>
      <c r="AC6078" s="13"/>
      <c r="AD6078" s="13"/>
      <c r="AE6078" s="13"/>
      <c r="AF6078" s="13"/>
    </row>
    <row r="6079" spans="19:32" x14ac:dyDescent="0.35">
      <c r="S6079" s="13"/>
      <c r="T6079" s="16"/>
      <c r="U6079" s="16"/>
      <c r="V6079" s="16"/>
      <c r="W6079" s="13"/>
      <c r="X6079" s="34">
        <v>6075</v>
      </c>
      <c r="Y6079" s="34" t="s">
        <v>2248</v>
      </c>
      <c r="Z6079" s="34" t="s">
        <v>3253</v>
      </c>
      <c r="AA6079" s="35">
        <v>3.2766129032258069E-2</v>
      </c>
      <c r="AB6079" s="13"/>
      <c r="AC6079" s="13"/>
      <c r="AD6079" s="13"/>
      <c r="AE6079" s="13"/>
      <c r="AF6079" s="13"/>
    </row>
    <row r="6080" spans="19:32" x14ac:dyDescent="0.35">
      <c r="S6080" s="13"/>
      <c r="T6080" s="16"/>
      <c r="U6080" s="16"/>
      <c r="V6080" s="16"/>
      <c r="W6080" s="13"/>
      <c r="X6080" s="47">
        <v>6076</v>
      </c>
      <c r="Y6080" s="47" t="s">
        <v>2248</v>
      </c>
      <c r="Z6080" s="47" t="s">
        <v>3252</v>
      </c>
      <c r="AA6080" s="48">
        <v>0</v>
      </c>
      <c r="AB6080" s="13"/>
      <c r="AC6080" s="13"/>
      <c r="AD6080" s="13"/>
      <c r="AE6080" s="13"/>
      <c r="AF6080" s="13"/>
    </row>
    <row r="6081" spans="19:32" x14ac:dyDescent="0.35">
      <c r="S6081" s="13"/>
      <c r="T6081" s="16"/>
      <c r="U6081" s="16"/>
      <c r="V6081" s="16"/>
      <c r="W6081" s="13"/>
      <c r="X6081" s="47">
        <v>6077</v>
      </c>
      <c r="Y6081" s="47" t="s">
        <v>2248</v>
      </c>
      <c r="Z6081" s="47" t="s">
        <v>3251</v>
      </c>
      <c r="AA6081" s="48">
        <v>0.91080000000000005</v>
      </c>
      <c r="AB6081" s="13"/>
      <c r="AC6081" s="13"/>
      <c r="AD6081" s="13"/>
      <c r="AE6081" s="13"/>
      <c r="AF6081" s="13"/>
    </row>
    <row r="6082" spans="19:32" x14ac:dyDescent="0.35">
      <c r="S6082" s="13"/>
      <c r="T6082" s="16"/>
      <c r="U6082" s="16"/>
      <c r="V6082" s="16"/>
      <c r="W6082" s="13"/>
      <c r="X6082" s="34">
        <v>6078</v>
      </c>
      <c r="Y6082" s="34" t="s">
        <v>2248</v>
      </c>
      <c r="Z6082" s="34" t="s">
        <v>3250</v>
      </c>
      <c r="AA6082" s="35">
        <v>8.1229838709677427E-2</v>
      </c>
      <c r="AB6082" s="13"/>
      <c r="AC6082" s="13"/>
      <c r="AD6082" s="13"/>
      <c r="AE6082" s="13"/>
      <c r="AF6082" s="13"/>
    </row>
    <row r="6083" spans="19:32" x14ac:dyDescent="0.35">
      <c r="S6083" s="13"/>
      <c r="T6083" s="16"/>
      <c r="U6083" s="16"/>
      <c r="V6083" s="16"/>
      <c r="W6083" s="13"/>
      <c r="X6083" s="47">
        <v>6079</v>
      </c>
      <c r="Y6083" s="47" t="s">
        <v>2248</v>
      </c>
      <c r="Z6083" s="47" t="s">
        <v>3249</v>
      </c>
      <c r="AA6083" s="48">
        <v>0.29164000000000001</v>
      </c>
      <c r="AB6083" s="13"/>
      <c r="AC6083" s="13"/>
      <c r="AD6083" s="13"/>
      <c r="AE6083" s="13"/>
      <c r="AF6083" s="13"/>
    </row>
    <row r="6084" spans="19:32" x14ac:dyDescent="0.35">
      <c r="S6084" s="13"/>
      <c r="T6084" s="16"/>
      <c r="U6084" s="16"/>
      <c r="V6084" s="16"/>
      <c r="W6084" s="13"/>
      <c r="X6084" s="47">
        <v>6080</v>
      </c>
      <c r="Y6084" s="47" t="s">
        <v>2248</v>
      </c>
      <c r="Z6084" s="47" t="s">
        <v>3248</v>
      </c>
      <c r="AA6084" s="48">
        <v>4.1859999999999999</v>
      </c>
      <c r="AB6084" s="13"/>
      <c r="AC6084" s="13"/>
      <c r="AD6084" s="13"/>
      <c r="AE6084" s="13"/>
      <c r="AF6084" s="13"/>
    </row>
    <row r="6085" spans="19:32" x14ac:dyDescent="0.35">
      <c r="S6085" s="13"/>
      <c r="T6085" s="16"/>
      <c r="U6085" s="16"/>
      <c r="V6085" s="16"/>
      <c r="W6085" s="13"/>
      <c r="X6085" s="34">
        <v>6081</v>
      </c>
      <c r="Y6085" s="34" t="s">
        <v>2248</v>
      </c>
      <c r="Z6085" s="34" t="s">
        <v>3247</v>
      </c>
      <c r="AA6085" s="35">
        <v>5.9294354838709687E-4</v>
      </c>
      <c r="AB6085" s="13"/>
      <c r="AC6085" s="13"/>
      <c r="AD6085" s="13"/>
      <c r="AE6085" s="13"/>
      <c r="AF6085" s="13"/>
    </row>
    <row r="6086" spans="19:32" x14ac:dyDescent="0.35">
      <c r="S6086" s="13"/>
      <c r="T6086" s="16"/>
      <c r="U6086" s="16"/>
      <c r="V6086" s="16"/>
      <c r="W6086" s="13"/>
      <c r="X6086" s="47">
        <v>6082</v>
      </c>
      <c r="Y6086" s="47" t="s">
        <v>2248</v>
      </c>
      <c r="Z6086" s="47" t="s">
        <v>3246</v>
      </c>
      <c r="AA6086" s="48">
        <v>0</v>
      </c>
      <c r="AB6086" s="13"/>
      <c r="AC6086" s="13"/>
      <c r="AD6086" s="13"/>
      <c r="AE6086" s="13"/>
      <c r="AF6086" s="13"/>
    </row>
    <row r="6087" spans="19:32" x14ac:dyDescent="0.35">
      <c r="S6087" s="13"/>
      <c r="T6087" s="16"/>
      <c r="U6087" s="16"/>
      <c r="V6087" s="16"/>
      <c r="W6087" s="13"/>
      <c r="X6087" s="34">
        <v>6083</v>
      </c>
      <c r="Y6087" s="34" t="s">
        <v>2248</v>
      </c>
      <c r="Z6087" s="34" t="s">
        <v>3245</v>
      </c>
      <c r="AA6087" s="35">
        <v>1.370967741935484</v>
      </c>
      <c r="AB6087" s="13"/>
      <c r="AC6087" s="13"/>
      <c r="AD6087" s="13"/>
      <c r="AE6087" s="13"/>
      <c r="AF6087" s="13"/>
    </row>
    <row r="6088" spans="19:32" x14ac:dyDescent="0.35">
      <c r="S6088" s="13"/>
      <c r="T6088" s="16"/>
      <c r="U6088" s="16"/>
      <c r="V6088" s="16"/>
      <c r="W6088" s="13"/>
      <c r="X6088" s="47">
        <v>6084</v>
      </c>
      <c r="Y6088" s="47" t="s">
        <v>2248</v>
      </c>
      <c r="Z6088" s="47" t="s">
        <v>3244</v>
      </c>
      <c r="AA6088" s="48">
        <v>0.68815999999999999</v>
      </c>
      <c r="AB6088" s="13"/>
      <c r="AC6088" s="13"/>
      <c r="AD6088" s="13"/>
      <c r="AE6088" s="13"/>
      <c r="AF6088" s="13"/>
    </row>
    <row r="6089" spans="19:32" x14ac:dyDescent="0.35">
      <c r="S6089" s="13"/>
      <c r="T6089" s="16"/>
      <c r="U6089" s="16"/>
      <c r="V6089" s="16"/>
      <c r="W6089" s="13"/>
      <c r="X6089" s="47">
        <v>6085</v>
      </c>
      <c r="Y6089" s="47" t="s">
        <v>2248</v>
      </c>
      <c r="Z6089" s="47" t="s">
        <v>3243</v>
      </c>
      <c r="AA6089" s="48">
        <v>4.0296000000000004E-3</v>
      </c>
      <c r="AB6089" s="13"/>
      <c r="AC6089" s="13"/>
      <c r="AD6089" s="13"/>
      <c r="AE6089" s="13"/>
      <c r="AF6089" s="13"/>
    </row>
    <row r="6090" spans="19:32" x14ac:dyDescent="0.35">
      <c r="S6090" s="13"/>
      <c r="T6090" s="16"/>
      <c r="U6090" s="16"/>
      <c r="V6090" s="16"/>
      <c r="W6090" s="13"/>
      <c r="X6090" s="34">
        <v>6086</v>
      </c>
      <c r="Y6090" s="34" t="s">
        <v>2248</v>
      </c>
      <c r="Z6090" s="34" t="s">
        <v>3242</v>
      </c>
      <c r="AA6090" s="35">
        <v>6.4435483870967749</v>
      </c>
      <c r="AB6090" s="13"/>
      <c r="AC6090" s="13"/>
      <c r="AD6090" s="13"/>
      <c r="AE6090" s="13"/>
      <c r="AF6090" s="13"/>
    </row>
    <row r="6091" spans="19:32" x14ac:dyDescent="0.35">
      <c r="S6091" s="13"/>
      <c r="T6091" s="16"/>
      <c r="U6091" s="16"/>
      <c r="V6091" s="16"/>
      <c r="W6091" s="13"/>
      <c r="X6091" s="47">
        <v>6087</v>
      </c>
      <c r="Y6091" s="47" t="s">
        <v>2248</v>
      </c>
      <c r="Z6091" s="47" t="s">
        <v>3241</v>
      </c>
      <c r="AA6091" s="48">
        <v>0</v>
      </c>
      <c r="AB6091" s="13"/>
      <c r="AC6091" s="13"/>
      <c r="AD6091" s="13"/>
      <c r="AE6091" s="13"/>
      <c r="AF6091" s="13"/>
    </row>
    <row r="6092" spans="19:32" x14ac:dyDescent="0.35">
      <c r="S6092" s="13"/>
      <c r="T6092" s="16"/>
      <c r="U6092" s="16"/>
      <c r="V6092" s="16"/>
      <c r="W6092" s="13"/>
      <c r="X6092" s="47">
        <v>6088</v>
      </c>
      <c r="Y6092" s="47" t="s">
        <v>2248</v>
      </c>
      <c r="Z6092" s="47" t="s">
        <v>3240</v>
      </c>
      <c r="AA6092" s="48">
        <v>0</v>
      </c>
      <c r="AB6092" s="13"/>
      <c r="AC6092" s="13"/>
      <c r="AD6092" s="13"/>
      <c r="AE6092" s="13"/>
      <c r="AF6092" s="13"/>
    </row>
    <row r="6093" spans="19:32" x14ac:dyDescent="0.35">
      <c r="S6093" s="13"/>
      <c r="T6093" s="16"/>
      <c r="U6093" s="16"/>
      <c r="V6093" s="16"/>
      <c r="W6093" s="13"/>
      <c r="X6093" s="34">
        <v>6089</v>
      </c>
      <c r="Y6093" s="34" t="s">
        <v>2248</v>
      </c>
      <c r="Z6093" s="34" t="s">
        <v>3239</v>
      </c>
      <c r="AA6093" s="35">
        <v>0.25088709677419357</v>
      </c>
      <c r="AB6093" s="13"/>
      <c r="AC6093" s="13"/>
      <c r="AD6093" s="13"/>
      <c r="AE6093" s="13"/>
      <c r="AF6093" s="13"/>
    </row>
    <row r="6094" spans="19:32" x14ac:dyDescent="0.35">
      <c r="S6094" s="13"/>
      <c r="T6094" s="16"/>
      <c r="U6094" s="16"/>
      <c r="V6094" s="16"/>
      <c r="W6094" s="13"/>
      <c r="X6094" s="47">
        <v>6090</v>
      </c>
      <c r="Y6094" s="47" t="s">
        <v>2248</v>
      </c>
      <c r="Z6094" s="47" t="s">
        <v>3238</v>
      </c>
      <c r="AA6094" s="48">
        <v>0</v>
      </c>
      <c r="AB6094" s="13"/>
      <c r="AC6094" s="13"/>
      <c r="AD6094" s="13"/>
      <c r="AE6094" s="13"/>
      <c r="AF6094" s="13"/>
    </row>
    <row r="6095" spans="19:32" x14ac:dyDescent="0.35">
      <c r="S6095" s="13"/>
      <c r="T6095" s="16"/>
      <c r="U6095" s="16"/>
      <c r="V6095" s="16"/>
      <c r="W6095" s="13"/>
      <c r="X6095" s="47">
        <v>6091</v>
      </c>
      <c r="Y6095" s="47" t="s">
        <v>2248</v>
      </c>
      <c r="Z6095" s="47" t="s">
        <v>3237</v>
      </c>
      <c r="AA6095" s="48">
        <v>0</v>
      </c>
      <c r="AB6095" s="13"/>
      <c r="AC6095" s="13"/>
      <c r="AD6095" s="13"/>
      <c r="AE6095" s="13"/>
      <c r="AF6095" s="13"/>
    </row>
    <row r="6096" spans="19:32" x14ac:dyDescent="0.35">
      <c r="S6096" s="13"/>
      <c r="T6096" s="16"/>
      <c r="U6096" s="16"/>
      <c r="V6096" s="16"/>
      <c r="W6096" s="13"/>
      <c r="X6096" s="34">
        <v>6092</v>
      </c>
      <c r="Y6096" s="34" t="s">
        <v>2248</v>
      </c>
      <c r="Z6096" s="34" t="s">
        <v>3236</v>
      </c>
      <c r="AA6096" s="35">
        <v>6.4435483870967749</v>
      </c>
      <c r="AB6096" s="13"/>
      <c r="AC6096" s="13"/>
      <c r="AD6096" s="13"/>
      <c r="AE6096" s="13"/>
      <c r="AF6096" s="13"/>
    </row>
    <row r="6097" spans="19:32" x14ac:dyDescent="0.35">
      <c r="S6097" s="13"/>
      <c r="T6097" s="16"/>
      <c r="U6097" s="16"/>
      <c r="V6097" s="16"/>
      <c r="W6097" s="13"/>
      <c r="X6097" s="47">
        <v>6093</v>
      </c>
      <c r="Y6097" s="47" t="s">
        <v>2248</v>
      </c>
      <c r="Z6097" s="47" t="s">
        <v>3235</v>
      </c>
      <c r="AA6097" s="48">
        <v>0</v>
      </c>
      <c r="AB6097" s="13"/>
      <c r="AC6097" s="13"/>
      <c r="AD6097" s="13"/>
      <c r="AE6097" s="13"/>
      <c r="AF6097" s="13"/>
    </row>
    <row r="6098" spans="19:32" x14ac:dyDescent="0.35">
      <c r="S6098" s="13"/>
      <c r="T6098" s="16"/>
      <c r="U6098" s="16"/>
      <c r="V6098" s="16"/>
      <c r="W6098" s="13"/>
      <c r="X6098" s="34">
        <v>6094</v>
      </c>
      <c r="Y6098" s="34" t="s">
        <v>2248</v>
      </c>
      <c r="Z6098" s="34" t="s">
        <v>3234</v>
      </c>
      <c r="AA6098" s="35">
        <v>4.6955645161290331E-5</v>
      </c>
      <c r="AB6098" s="13"/>
      <c r="AC6098" s="13"/>
      <c r="AD6098" s="13"/>
      <c r="AE6098" s="13"/>
      <c r="AF6098" s="13"/>
    </row>
    <row r="6099" spans="19:32" x14ac:dyDescent="0.35">
      <c r="S6099" s="13"/>
      <c r="T6099" s="16"/>
      <c r="U6099" s="16"/>
      <c r="V6099" s="16"/>
      <c r="W6099" s="13"/>
      <c r="X6099" s="47">
        <v>6095</v>
      </c>
      <c r="Y6099" s="47" t="s">
        <v>2248</v>
      </c>
      <c r="Z6099" s="47" t="s">
        <v>3233</v>
      </c>
      <c r="AA6099" s="48">
        <v>0</v>
      </c>
      <c r="AB6099" s="13"/>
      <c r="AC6099" s="13"/>
      <c r="AD6099" s="13"/>
      <c r="AE6099" s="13"/>
      <c r="AF6099" s="13"/>
    </row>
    <row r="6100" spans="19:32" x14ac:dyDescent="0.35">
      <c r="S6100" s="13"/>
      <c r="T6100" s="16"/>
      <c r="U6100" s="16"/>
      <c r="V6100" s="16"/>
      <c r="W6100" s="13"/>
      <c r="X6100" s="47">
        <v>6096</v>
      </c>
      <c r="Y6100" s="47" t="s">
        <v>2248</v>
      </c>
      <c r="Z6100" s="47" t="s">
        <v>3232</v>
      </c>
      <c r="AA6100" s="48">
        <v>0</v>
      </c>
      <c r="AB6100" s="13"/>
      <c r="AC6100" s="13"/>
      <c r="AD6100" s="13"/>
      <c r="AE6100" s="13"/>
      <c r="AF6100" s="13"/>
    </row>
    <row r="6101" spans="19:32" x14ac:dyDescent="0.35">
      <c r="S6101" s="13"/>
      <c r="T6101" s="16"/>
      <c r="U6101" s="16"/>
      <c r="V6101" s="16"/>
      <c r="W6101" s="13"/>
      <c r="X6101" s="34">
        <v>6097</v>
      </c>
      <c r="Y6101" s="34" t="s">
        <v>2248</v>
      </c>
      <c r="Z6101" s="34" t="s">
        <v>2896</v>
      </c>
      <c r="AA6101" s="35">
        <v>0.35987903225806456</v>
      </c>
      <c r="AB6101" s="13"/>
      <c r="AC6101" s="13"/>
      <c r="AD6101" s="13"/>
      <c r="AE6101" s="13"/>
      <c r="AF6101" s="13"/>
    </row>
    <row r="6102" spans="19:32" x14ac:dyDescent="0.35">
      <c r="S6102" s="13"/>
      <c r="T6102" s="16"/>
      <c r="U6102" s="16"/>
      <c r="V6102" s="16"/>
      <c r="W6102" s="13"/>
      <c r="X6102" s="47">
        <v>6098</v>
      </c>
      <c r="Y6102" s="47" t="s">
        <v>2248</v>
      </c>
      <c r="Z6102" s="47" t="s">
        <v>3231</v>
      </c>
      <c r="AA6102" s="48">
        <v>4692</v>
      </c>
      <c r="AB6102" s="13"/>
      <c r="AC6102" s="13"/>
      <c r="AD6102" s="13"/>
      <c r="AE6102" s="13"/>
      <c r="AF6102" s="13"/>
    </row>
    <row r="6103" spans="19:32" x14ac:dyDescent="0.35">
      <c r="S6103" s="13"/>
      <c r="T6103" s="16"/>
      <c r="U6103" s="16"/>
      <c r="V6103" s="16"/>
      <c r="W6103" s="13"/>
      <c r="X6103" s="47">
        <v>6099</v>
      </c>
      <c r="Y6103" s="47" t="s">
        <v>2248</v>
      </c>
      <c r="Z6103" s="47" t="s">
        <v>3230</v>
      </c>
      <c r="AA6103" s="48">
        <v>0.38640000000000002</v>
      </c>
      <c r="AB6103" s="13"/>
      <c r="AC6103" s="13"/>
      <c r="AD6103" s="13"/>
      <c r="AE6103" s="13"/>
      <c r="AF6103" s="13"/>
    </row>
    <row r="6104" spans="19:32" x14ac:dyDescent="0.35">
      <c r="S6104" s="13"/>
      <c r="T6104" s="16"/>
      <c r="U6104" s="16"/>
      <c r="V6104" s="16"/>
      <c r="W6104" s="13"/>
      <c r="X6104" s="34">
        <v>6100</v>
      </c>
      <c r="Y6104" s="34" t="s">
        <v>2248</v>
      </c>
      <c r="Z6104" s="34" t="s">
        <v>3229</v>
      </c>
      <c r="AA6104" s="35">
        <v>2.2997983870967746E-5</v>
      </c>
      <c r="AB6104" s="13"/>
      <c r="AC6104" s="13"/>
      <c r="AD6104" s="13"/>
      <c r="AE6104" s="13"/>
      <c r="AF6104" s="13"/>
    </row>
    <row r="6105" spans="19:32" x14ac:dyDescent="0.35">
      <c r="S6105" s="13"/>
      <c r="T6105" s="16"/>
      <c r="U6105" s="16"/>
      <c r="V6105" s="16"/>
      <c r="W6105" s="13"/>
      <c r="X6105" s="47">
        <v>6101</v>
      </c>
      <c r="Y6105" s="47" t="s">
        <v>2248</v>
      </c>
      <c r="Z6105" s="47" t="s">
        <v>3228</v>
      </c>
      <c r="AA6105" s="48">
        <v>97.52</v>
      </c>
      <c r="AB6105" s="13"/>
      <c r="AC6105" s="13"/>
      <c r="AD6105" s="13"/>
      <c r="AE6105" s="13"/>
      <c r="AF6105" s="13"/>
    </row>
    <row r="6106" spans="19:32" x14ac:dyDescent="0.35">
      <c r="S6106" s="13"/>
      <c r="T6106" s="16"/>
      <c r="U6106" s="16"/>
      <c r="V6106" s="16"/>
      <c r="W6106" s="13"/>
      <c r="X6106" s="47">
        <v>6102</v>
      </c>
      <c r="Y6106" s="47" t="s">
        <v>2248</v>
      </c>
      <c r="Z6106" s="47" t="s">
        <v>3227</v>
      </c>
      <c r="AA6106" s="48">
        <v>0</v>
      </c>
      <c r="AB6106" s="13"/>
      <c r="AC6106" s="13"/>
      <c r="AD6106" s="13"/>
      <c r="AE6106" s="13"/>
      <c r="AF6106" s="13"/>
    </row>
    <row r="6107" spans="19:32" x14ac:dyDescent="0.35">
      <c r="S6107" s="13"/>
      <c r="T6107" s="16"/>
      <c r="U6107" s="16"/>
      <c r="V6107" s="16"/>
      <c r="W6107" s="13"/>
      <c r="X6107" s="34">
        <v>6103</v>
      </c>
      <c r="Y6107" s="34" t="s">
        <v>2248</v>
      </c>
      <c r="Z6107" s="34" t="s">
        <v>3226</v>
      </c>
      <c r="AA6107" s="35">
        <v>2.268951612903226E-3</v>
      </c>
      <c r="AB6107" s="13"/>
      <c r="AC6107" s="13"/>
      <c r="AD6107" s="13"/>
      <c r="AE6107" s="13"/>
      <c r="AF6107" s="13"/>
    </row>
    <row r="6108" spans="19:32" x14ac:dyDescent="0.35">
      <c r="S6108" s="13"/>
      <c r="T6108" s="16"/>
      <c r="U6108" s="16"/>
      <c r="V6108" s="16"/>
      <c r="W6108" s="13"/>
      <c r="X6108" s="47">
        <v>6104</v>
      </c>
      <c r="Y6108" s="47" t="s">
        <v>2248</v>
      </c>
      <c r="Z6108" s="47" t="s">
        <v>3225</v>
      </c>
      <c r="AA6108" s="48">
        <v>7.2127999999999998E-2</v>
      </c>
      <c r="AB6108" s="13"/>
      <c r="AC6108" s="13"/>
      <c r="AD6108" s="13"/>
      <c r="AE6108" s="13"/>
      <c r="AF6108" s="13"/>
    </row>
    <row r="6109" spans="19:32" x14ac:dyDescent="0.35">
      <c r="S6109" s="13"/>
      <c r="T6109" s="16"/>
      <c r="U6109" s="16"/>
      <c r="V6109" s="16"/>
      <c r="W6109" s="13"/>
      <c r="X6109" s="47">
        <v>6105</v>
      </c>
      <c r="Y6109" s="47" t="s">
        <v>2248</v>
      </c>
      <c r="Z6109" s="47" t="s">
        <v>3224</v>
      </c>
      <c r="AA6109" s="48">
        <v>374.44</v>
      </c>
      <c r="AB6109" s="13"/>
      <c r="AC6109" s="13"/>
      <c r="AD6109" s="13"/>
      <c r="AE6109" s="13"/>
      <c r="AF6109" s="13"/>
    </row>
    <row r="6110" spans="19:32" x14ac:dyDescent="0.35">
      <c r="S6110" s="13"/>
      <c r="T6110" s="16"/>
      <c r="U6110" s="16"/>
      <c r="V6110" s="16"/>
      <c r="W6110" s="13"/>
      <c r="X6110" s="34">
        <v>6106</v>
      </c>
      <c r="Y6110" s="34" t="s">
        <v>2248</v>
      </c>
      <c r="Z6110" s="34" t="s">
        <v>3223</v>
      </c>
      <c r="AA6110" s="35">
        <v>9.0826612903225826E-6</v>
      </c>
      <c r="AB6110" s="13"/>
      <c r="AC6110" s="13"/>
      <c r="AD6110" s="13"/>
      <c r="AE6110" s="13"/>
      <c r="AF6110" s="13"/>
    </row>
    <row r="6111" spans="19:32" x14ac:dyDescent="0.35">
      <c r="S6111" s="13"/>
      <c r="T6111" s="16"/>
      <c r="U6111" s="16"/>
      <c r="V6111" s="16"/>
      <c r="W6111" s="13"/>
      <c r="X6111" s="47">
        <v>6107</v>
      </c>
      <c r="Y6111" s="47" t="s">
        <v>2248</v>
      </c>
      <c r="Z6111" s="47" t="s">
        <v>3222</v>
      </c>
      <c r="AA6111" s="48">
        <v>0</v>
      </c>
      <c r="AB6111" s="13"/>
      <c r="AC6111" s="13"/>
      <c r="AD6111" s="13"/>
      <c r="AE6111" s="13"/>
      <c r="AF6111" s="13"/>
    </row>
    <row r="6112" spans="19:32" x14ac:dyDescent="0.35">
      <c r="S6112" s="13"/>
      <c r="T6112" s="16"/>
      <c r="U6112" s="16"/>
      <c r="V6112" s="16"/>
      <c r="W6112" s="13"/>
      <c r="X6112" s="34">
        <v>6108</v>
      </c>
      <c r="Y6112" s="34" t="s">
        <v>2248</v>
      </c>
      <c r="Z6112" s="34" t="s">
        <v>2893</v>
      </c>
      <c r="AA6112" s="35">
        <v>2.3580645161290324E-4</v>
      </c>
      <c r="AB6112" s="13"/>
      <c r="AC6112" s="13"/>
      <c r="AD6112" s="13"/>
      <c r="AE6112" s="13"/>
      <c r="AF6112" s="13"/>
    </row>
    <row r="6113" spans="19:32" x14ac:dyDescent="0.35">
      <c r="S6113" s="13"/>
      <c r="T6113" s="16"/>
      <c r="U6113" s="16"/>
      <c r="V6113" s="16"/>
      <c r="W6113" s="13"/>
      <c r="X6113" s="47">
        <v>6109</v>
      </c>
      <c r="Y6113" s="47" t="s">
        <v>2248</v>
      </c>
      <c r="Z6113" s="47" t="s">
        <v>3221</v>
      </c>
      <c r="AA6113" s="48">
        <v>0</v>
      </c>
      <c r="AB6113" s="13"/>
      <c r="AC6113" s="13"/>
      <c r="AD6113" s="13"/>
      <c r="AE6113" s="13"/>
      <c r="AF6113" s="13"/>
    </row>
    <row r="6114" spans="19:32" x14ac:dyDescent="0.35">
      <c r="S6114" s="13"/>
      <c r="T6114" s="16"/>
      <c r="U6114" s="16"/>
      <c r="V6114" s="16"/>
      <c r="W6114" s="13"/>
      <c r="X6114" s="47">
        <v>6110</v>
      </c>
      <c r="Y6114" s="47" t="s">
        <v>2248</v>
      </c>
      <c r="Z6114" s="47" t="s">
        <v>3220</v>
      </c>
      <c r="AA6114" s="48">
        <v>3.7536</v>
      </c>
      <c r="AB6114" s="13"/>
      <c r="AC6114" s="13"/>
      <c r="AD6114" s="13"/>
      <c r="AE6114" s="13"/>
      <c r="AF6114" s="13"/>
    </row>
    <row r="6115" spans="19:32" x14ac:dyDescent="0.35">
      <c r="S6115" s="13"/>
      <c r="T6115" s="16"/>
      <c r="U6115" s="16"/>
      <c r="V6115" s="16"/>
      <c r="W6115" s="13"/>
      <c r="X6115" s="34">
        <v>6111</v>
      </c>
      <c r="Y6115" s="34" t="s">
        <v>2248</v>
      </c>
      <c r="Z6115" s="34" t="s">
        <v>3219</v>
      </c>
      <c r="AA6115" s="35">
        <v>1.0590725806451613E-4</v>
      </c>
      <c r="AB6115" s="13"/>
      <c r="AC6115" s="13"/>
      <c r="AD6115" s="13"/>
      <c r="AE6115" s="13"/>
      <c r="AF6115" s="13"/>
    </row>
    <row r="6116" spans="19:32" x14ac:dyDescent="0.35">
      <c r="S6116" s="13"/>
      <c r="T6116" s="16"/>
      <c r="U6116" s="16"/>
      <c r="V6116" s="16"/>
      <c r="W6116" s="13"/>
      <c r="X6116" s="47">
        <v>6112</v>
      </c>
      <c r="Y6116" s="47" t="s">
        <v>2248</v>
      </c>
      <c r="Z6116" s="47" t="s">
        <v>3218</v>
      </c>
      <c r="AA6116" s="48">
        <v>11.316000000000001</v>
      </c>
      <c r="AB6116" s="13"/>
      <c r="AC6116" s="13"/>
      <c r="AD6116" s="13"/>
      <c r="AE6116" s="13"/>
      <c r="AF6116" s="13"/>
    </row>
    <row r="6117" spans="19:32" x14ac:dyDescent="0.35">
      <c r="S6117" s="13"/>
      <c r="T6117" s="16"/>
      <c r="U6117" s="16"/>
      <c r="V6117" s="16"/>
      <c r="W6117" s="13"/>
      <c r="X6117" s="47">
        <v>6113</v>
      </c>
      <c r="Y6117" s="47" t="s">
        <v>2248</v>
      </c>
      <c r="Z6117" s="47" t="s">
        <v>3217</v>
      </c>
      <c r="AA6117" s="48">
        <v>0.21068000000000001</v>
      </c>
      <c r="AB6117" s="13"/>
      <c r="AC6117" s="13"/>
      <c r="AD6117" s="13"/>
      <c r="AE6117" s="13"/>
      <c r="AF6117" s="13"/>
    </row>
    <row r="6118" spans="19:32" x14ac:dyDescent="0.35">
      <c r="S6118" s="13"/>
      <c r="T6118" s="16"/>
      <c r="U6118" s="16"/>
      <c r="V6118" s="16"/>
      <c r="W6118" s="13"/>
      <c r="X6118" s="34">
        <v>6114</v>
      </c>
      <c r="Y6118" s="34" t="s">
        <v>2248</v>
      </c>
      <c r="Z6118" s="34" t="s">
        <v>3216</v>
      </c>
      <c r="AA6118" s="35">
        <v>3.4959677419354839E-4</v>
      </c>
      <c r="AB6118" s="13"/>
      <c r="AC6118" s="13"/>
      <c r="AD6118" s="13"/>
      <c r="AE6118" s="13"/>
      <c r="AF6118" s="13"/>
    </row>
    <row r="6119" spans="19:32" x14ac:dyDescent="0.35">
      <c r="S6119" s="13"/>
      <c r="T6119" s="16"/>
      <c r="U6119" s="16"/>
      <c r="V6119" s="16"/>
      <c r="W6119" s="13"/>
      <c r="X6119" s="47">
        <v>6115</v>
      </c>
      <c r="Y6119" s="47" t="s">
        <v>2248</v>
      </c>
      <c r="Z6119" s="47" t="s">
        <v>3215</v>
      </c>
      <c r="AA6119" s="48">
        <v>0</v>
      </c>
      <c r="AB6119" s="13"/>
      <c r="AC6119" s="13"/>
      <c r="AD6119" s="13"/>
      <c r="AE6119" s="13"/>
      <c r="AF6119" s="13"/>
    </row>
    <row r="6120" spans="19:32" x14ac:dyDescent="0.35">
      <c r="S6120" s="13"/>
      <c r="T6120" s="16"/>
      <c r="U6120" s="16"/>
      <c r="V6120" s="16"/>
      <c r="W6120" s="13"/>
      <c r="X6120" s="47">
        <v>6116</v>
      </c>
      <c r="Y6120" s="47" t="s">
        <v>2248</v>
      </c>
      <c r="Z6120" s="47" t="s">
        <v>3214</v>
      </c>
      <c r="AA6120" s="48">
        <v>4.4619999999999997</v>
      </c>
      <c r="AB6120" s="13"/>
      <c r="AC6120" s="13"/>
      <c r="AD6120" s="13"/>
      <c r="AE6120" s="13"/>
      <c r="AF6120" s="13"/>
    </row>
    <row r="6121" spans="19:32" x14ac:dyDescent="0.35">
      <c r="S6121" s="13"/>
      <c r="T6121" s="16"/>
      <c r="U6121" s="16"/>
      <c r="V6121" s="16"/>
      <c r="W6121" s="13"/>
      <c r="X6121" s="34">
        <v>6117</v>
      </c>
      <c r="Y6121" s="34" t="s">
        <v>2248</v>
      </c>
      <c r="Z6121" s="34" t="s">
        <v>3213</v>
      </c>
      <c r="AA6121" s="35">
        <v>4.1129032258064518E-5</v>
      </c>
      <c r="AB6121" s="13"/>
      <c r="AC6121" s="13"/>
      <c r="AD6121" s="13"/>
      <c r="AE6121" s="13"/>
      <c r="AF6121" s="13"/>
    </row>
    <row r="6122" spans="19:32" x14ac:dyDescent="0.35">
      <c r="S6122" s="13"/>
      <c r="T6122" s="16"/>
      <c r="U6122" s="16"/>
      <c r="V6122" s="16"/>
      <c r="W6122" s="13"/>
      <c r="X6122" s="47">
        <v>6118</v>
      </c>
      <c r="Y6122" s="47" t="s">
        <v>2248</v>
      </c>
      <c r="Z6122" s="47" t="s">
        <v>3212</v>
      </c>
      <c r="AA6122" s="48">
        <v>0</v>
      </c>
      <c r="AB6122" s="13"/>
      <c r="AC6122" s="13"/>
      <c r="AD6122" s="13"/>
      <c r="AE6122" s="13"/>
      <c r="AF6122" s="13"/>
    </row>
    <row r="6123" spans="19:32" x14ac:dyDescent="0.35">
      <c r="S6123" s="13"/>
      <c r="T6123" s="16"/>
      <c r="U6123" s="16"/>
      <c r="V6123" s="16"/>
      <c r="W6123" s="13"/>
      <c r="X6123" s="34">
        <v>6119</v>
      </c>
      <c r="Y6123" s="34" t="s">
        <v>2248</v>
      </c>
      <c r="Z6123" s="34" t="s">
        <v>3211</v>
      </c>
      <c r="AA6123" s="35">
        <v>9.2197580645161301E-2</v>
      </c>
      <c r="AB6123" s="13"/>
      <c r="AC6123" s="13"/>
      <c r="AD6123" s="13"/>
      <c r="AE6123" s="13"/>
      <c r="AF6123" s="13"/>
    </row>
    <row r="6124" spans="19:32" x14ac:dyDescent="0.35">
      <c r="S6124" s="13"/>
      <c r="T6124" s="16"/>
      <c r="U6124" s="16"/>
      <c r="V6124" s="16"/>
      <c r="W6124" s="13"/>
      <c r="X6124" s="47">
        <v>6120</v>
      </c>
      <c r="Y6124" s="47" t="s">
        <v>2248</v>
      </c>
      <c r="Z6124" s="47" t="s">
        <v>3210</v>
      </c>
      <c r="AA6124" s="48">
        <v>1.0396000000000001</v>
      </c>
      <c r="AB6124" s="13"/>
      <c r="AC6124" s="13"/>
      <c r="AD6124" s="13"/>
      <c r="AE6124" s="13"/>
      <c r="AF6124" s="13"/>
    </row>
    <row r="6125" spans="19:32" x14ac:dyDescent="0.35">
      <c r="S6125" s="13"/>
      <c r="T6125" s="16"/>
      <c r="U6125" s="16"/>
      <c r="V6125" s="16"/>
      <c r="W6125" s="13"/>
      <c r="X6125" s="47">
        <v>6121</v>
      </c>
      <c r="Y6125" s="47" t="s">
        <v>2248</v>
      </c>
      <c r="Z6125" s="47" t="s">
        <v>3209</v>
      </c>
      <c r="AA6125" s="48">
        <v>5.6120000000000001</v>
      </c>
      <c r="AB6125" s="13"/>
      <c r="AC6125" s="13"/>
      <c r="AD6125" s="13"/>
      <c r="AE6125" s="13"/>
      <c r="AF6125" s="13"/>
    </row>
    <row r="6126" spans="19:32" x14ac:dyDescent="0.35">
      <c r="S6126" s="13"/>
      <c r="T6126" s="16"/>
      <c r="U6126" s="16"/>
      <c r="V6126" s="16"/>
      <c r="W6126" s="13"/>
      <c r="X6126" s="34">
        <v>6122</v>
      </c>
      <c r="Y6126" s="34" t="s">
        <v>2248</v>
      </c>
      <c r="Z6126" s="34" t="s">
        <v>3208</v>
      </c>
      <c r="AA6126" s="35">
        <v>0.79858870967741946</v>
      </c>
      <c r="AB6126" s="13"/>
      <c r="AC6126" s="13"/>
      <c r="AD6126" s="13"/>
      <c r="AE6126" s="13"/>
      <c r="AF6126" s="13"/>
    </row>
    <row r="6127" spans="19:32" x14ac:dyDescent="0.35">
      <c r="S6127" s="13"/>
      <c r="T6127" s="16"/>
      <c r="U6127" s="16"/>
      <c r="V6127" s="16"/>
      <c r="W6127" s="13"/>
      <c r="X6127" s="47">
        <v>6123</v>
      </c>
      <c r="Y6127" s="47" t="s">
        <v>2248</v>
      </c>
      <c r="Z6127" s="47" t="s">
        <v>3207</v>
      </c>
      <c r="AA6127" s="48">
        <v>0</v>
      </c>
      <c r="AB6127" s="13"/>
      <c r="AC6127" s="13"/>
      <c r="AD6127" s="13"/>
      <c r="AE6127" s="13"/>
      <c r="AF6127" s="13"/>
    </row>
    <row r="6128" spans="19:32" x14ac:dyDescent="0.35">
      <c r="S6128" s="13"/>
      <c r="T6128" s="16"/>
      <c r="U6128" s="16"/>
      <c r="V6128" s="16"/>
      <c r="W6128" s="13"/>
      <c r="X6128" s="47">
        <v>6124</v>
      </c>
      <c r="Y6128" s="47" t="s">
        <v>2248</v>
      </c>
      <c r="Z6128" s="47" t="s">
        <v>3206</v>
      </c>
      <c r="AA6128" s="48">
        <v>5.3819999999999997</v>
      </c>
      <c r="AB6128" s="13"/>
      <c r="AC6128" s="13"/>
      <c r="AD6128" s="13"/>
      <c r="AE6128" s="13"/>
      <c r="AF6128" s="13"/>
    </row>
    <row r="6129" spans="19:32" x14ac:dyDescent="0.35">
      <c r="S6129" s="13"/>
      <c r="T6129" s="16"/>
      <c r="U6129" s="16"/>
      <c r="V6129" s="16"/>
      <c r="W6129" s="13"/>
      <c r="X6129" s="34">
        <v>6125</v>
      </c>
      <c r="Y6129" s="34" t="s">
        <v>2248</v>
      </c>
      <c r="Z6129" s="34" t="s">
        <v>3205</v>
      </c>
      <c r="AA6129" s="35">
        <v>6.4092741935483878E-3</v>
      </c>
      <c r="AB6129" s="13"/>
      <c r="AC6129" s="13"/>
      <c r="AD6129" s="13"/>
      <c r="AE6129" s="13"/>
      <c r="AF6129" s="13"/>
    </row>
    <row r="6130" spans="19:32" x14ac:dyDescent="0.35">
      <c r="S6130" s="13"/>
      <c r="T6130" s="16"/>
      <c r="U6130" s="16"/>
      <c r="V6130" s="16"/>
      <c r="W6130" s="13"/>
      <c r="X6130" s="47">
        <v>6126</v>
      </c>
      <c r="Y6130" s="47" t="s">
        <v>2248</v>
      </c>
      <c r="Z6130" s="47" t="s">
        <v>3204</v>
      </c>
      <c r="AA6130" s="48">
        <v>0</v>
      </c>
      <c r="AB6130" s="13"/>
      <c r="AC6130" s="13"/>
      <c r="AD6130" s="13"/>
      <c r="AE6130" s="13"/>
      <c r="AF6130" s="13"/>
    </row>
    <row r="6131" spans="19:32" x14ac:dyDescent="0.35">
      <c r="S6131" s="13"/>
      <c r="T6131" s="16"/>
      <c r="U6131" s="16"/>
      <c r="V6131" s="16"/>
      <c r="W6131" s="13"/>
      <c r="X6131" s="47">
        <v>6127</v>
      </c>
      <c r="Y6131" s="47" t="s">
        <v>2248</v>
      </c>
      <c r="Z6131" s="47" t="s">
        <v>3203</v>
      </c>
      <c r="AA6131" s="48">
        <v>1.7112000000000001</v>
      </c>
      <c r="AB6131" s="13"/>
      <c r="AC6131" s="13"/>
      <c r="AD6131" s="13"/>
      <c r="AE6131" s="13"/>
      <c r="AF6131" s="13"/>
    </row>
    <row r="6132" spans="19:32" x14ac:dyDescent="0.35">
      <c r="S6132" s="13"/>
      <c r="T6132" s="16"/>
      <c r="U6132" s="16"/>
      <c r="V6132" s="16"/>
      <c r="W6132" s="13"/>
      <c r="X6132" s="34">
        <v>6128</v>
      </c>
      <c r="Y6132" s="34" t="s">
        <v>2248</v>
      </c>
      <c r="Z6132" s="34" t="s">
        <v>2891</v>
      </c>
      <c r="AA6132" s="35">
        <v>0.19125</v>
      </c>
      <c r="AB6132" s="13"/>
      <c r="AC6132" s="13"/>
      <c r="AD6132" s="13"/>
      <c r="AE6132" s="13"/>
      <c r="AF6132" s="13"/>
    </row>
    <row r="6133" spans="19:32" x14ac:dyDescent="0.35">
      <c r="S6133" s="13"/>
      <c r="T6133" s="16"/>
      <c r="U6133" s="16"/>
      <c r="V6133" s="16"/>
      <c r="W6133" s="13"/>
      <c r="X6133" s="47">
        <v>6129</v>
      </c>
      <c r="Y6133" s="47" t="s">
        <v>2248</v>
      </c>
      <c r="Z6133" s="47" t="s">
        <v>3202</v>
      </c>
      <c r="AA6133" s="48">
        <v>10.763999999999999</v>
      </c>
      <c r="AB6133" s="13"/>
      <c r="AC6133" s="13"/>
      <c r="AD6133" s="13"/>
      <c r="AE6133" s="13"/>
      <c r="AF6133" s="13"/>
    </row>
    <row r="6134" spans="19:32" x14ac:dyDescent="0.35">
      <c r="S6134" s="13"/>
      <c r="T6134" s="16"/>
      <c r="U6134" s="16"/>
      <c r="V6134" s="16"/>
      <c r="W6134" s="13"/>
      <c r="X6134" s="47">
        <v>6130</v>
      </c>
      <c r="Y6134" s="47" t="s">
        <v>2248</v>
      </c>
      <c r="Z6134" s="47" t="s">
        <v>3201</v>
      </c>
      <c r="AA6134" s="48">
        <v>6.6700000000000006E-3</v>
      </c>
      <c r="AB6134" s="13"/>
      <c r="AC6134" s="13"/>
      <c r="AD6134" s="13"/>
      <c r="AE6134" s="13"/>
      <c r="AF6134" s="13"/>
    </row>
    <row r="6135" spans="19:32" x14ac:dyDescent="0.35">
      <c r="S6135" s="13"/>
      <c r="T6135" s="16"/>
      <c r="U6135" s="16"/>
      <c r="V6135" s="16"/>
      <c r="W6135" s="13"/>
      <c r="X6135" s="34">
        <v>6131</v>
      </c>
      <c r="Y6135" s="34" t="s">
        <v>2248</v>
      </c>
      <c r="Z6135" s="34" t="s">
        <v>2888</v>
      </c>
      <c r="AA6135" s="35">
        <v>5.3810483870967742E-4</v>
      </c>
      <c r="AB6135" s="13"/>
      <c r="AC6135" s="13"/>
      <c r="AD6135" s="13"/>
      <c r="AE6135" s="13"/>
      <c r="AF6135" s="13"/>
    </row>
    <row r="6136" spans="19:32" x14ac:dyDescent="0.35">
      <c r="S6136" s="13"/>
      <c r="T6136" s="16"/>
      <c r="U6136" s="16"/>
      <c r="V6136" s="16"/>
      <c r="W6136" s="13"/>
      <c r="X6136" s="47">
        <v>6132</v>
      </c>
      <c r="Y6136" s="47" t="s">
        <v>2248</v>
      </c>
      <c r="Z6136" s="47" t="s">
        <v>3200</v>
      </c>
      <c r="AA6136" s="48">
        <v>0</v>
      </c>
      <c r="AB6136" s="13"/>
      <c r="AC6136" s="13"/>
      <c r="AD6136" s="13"/>
      <c r="AE6136" s="13"/>
      <c r="AF6136" s="13"/>
    </row>
    <row r="6137" spans="19:32" x14ac:dyDescent="0.35">
      <c r="S6137" s="13"/>
      <c r="T6137" s="16"/>
      <c r="U6137" s="16"/>
      <c r="V6137" s="16"/>
      <c r="W6137" s="13"/>
      <c r="X6137" s="34">
        <v>6133</v>
      </c>
      <c r="Y6137" s="34" t="s">
        <v>2248</v>
      </c>
      <c r="Z6137" s="34" t="s">
        <v>2887</v>
      </c>
      <c r="AA6137" s="35">
        <v>2.8653225806451613E-5</v>
      </c>
      <c r="AB6137" s="13"/>
      <c r="AC6137" s="13"/>
      <c r="AD6137" s="13"/>
      <c r="AE6137" s="13"/>
      <c r="AF6137" s="13"/>
    </row>
    <row r="6138" spans="19:32" x14ac:dyDescent="0.35">
      <c r="S6138" s="13"/>
      <c r="T6138" s="16"/>
      <c r="U6138" s="16"/>
      <c r="V6138" s="16"/>
      <c r="W6138" s="13"/>
      <c r="X6138" s="47">
        <v>6134</v>
      </c>
      <c r="Y6138" s="47" t="s">
        <v>2248</v>
      </c>
      <c r="Z6138" s="47" t="s">
        <v>3199</v>
      </c>
      <c r="AA6138" s="48">
        <v>7.5808E-2</v>
      </c>
      <c r="AB6138" s="13"/>
      <c r="AC6138" s="13"/>
      <c r="AD6138" s="13"/>
      <c r="AE6138" s="13"/>
      <c r="AF6138" s="13"/>
    </row>
    <row r="6139" spans="19:32" x14ac:dyDescent="0.35">
      <c r="S6139" s="13"/>
      <c r="T6139" s="16"/>
      <c r="U6139" s="16"/>
      <c r="V6139" s="16"/>
      <c r="W6139" s="13"/>
      <c r="X6139" s="47">
        <v>6135</v>
      </c>
      <c r="Y6139" s="47" t="s">
        <v>2248</v>
      </c>
      <c r="Z6139" s="47" t="s">
        <v>3198</v>
      </c>
      <c r="AA6139" s="48">
        <v>0</v>
      </c>
      <c r="AB6139" s="13"/>
      <c r="AC6139" s="13"/>
      <c r="AD6139" s="13"/>
      <c r="AE6139" s="13"/>
      <c r="AF6139" s="13"/>
    </row>
    <row r="6140" spans="19:32" x14ac:dyDescent="0.35">
      <c r="S6140" s="13"/>
      <c r="T6140" s="16"/>
      <c r="U6140" s="16"/>
      <c r="V6140" s="16"/>
      <c r="W6140" s="13"/>
      <c r="X6140" s="34">
        <v>6136</v>
      </c>
      <c r="Y6140" s="34" t="s">
        <v>2248</v>
      </c>
      <c r="Z6140" s="34" t="s">
        <v>3197</v>
      </c>
      <c r="AA6140" s="35">
        <v>5.2439516129032266E-4</v>
      </c>
      <c r="AB6140" s="13"/>
      <c r="AC6140" s="13"/>
      <c r="AD6140" s="13"/>
      <c r="AE6140" s="13"/>
      <c r="AF6140" s="13"/>
    </row>
    <row r="6141" spans="19:32" x14ac:dyDescent="0.35">
      <c r="S6141" s="13"/>
      <c r="T6141" s="16"/>
      <c r="U6141" s="16"/>
      <c r="V6141" s="16"/>
      <c r="W6141" s="13"/>
      <c r="X6141" s="47">
        <v>6137</v>
      </c>
      <c r="Y6141" s="47" t="s">
        <v>2248</v>
      </c>
      <c r="Z6141" s="47" t="s">
        <v>3196</v>
      </c>
      <c r="AA6141" s="48">
        <v>0.72219999999999995</v>
      </c>
      <c r="AB6141" s="13"/>
      <c r="AC6141" s="13"/>
      <c r="AD6141" s="13"/>
      <c r="AE6141" s="13"/>
      <c r="AF6141" s="13"/>
    </row>
    <row r="6142" spans="19:32" x14ac:dyDescent="0.35">
      <c r="S6142" s="13"/>
      <c r="T6142" s="16"/>
      <c r="U6142" s="16"/>
      <c r="V6142" s="16"/>
      <c r="W6142" s="13"/>
      <c r="X6142" s="47">
        <v>6138</v>
      </c>
      <c r="Y6142" s="47" t="s">
        <v>2248</v>
      </c>
      <c r="Z6142" s="47" t="s">
        <v>3195</v>
      </c>
      <c r="AA6142" s="48">
        <v>3.2936000000000001</v>
      </c>
      <c r="AB6142" s="13"/>
      <c r="AC6142" s="13"/>
      <c r="AD6142" s="13"/>
      <c r="AE6142" s="13"/>
      <c r="AF6142" s="13"/>
    </row>
    <row r="6143" spans="19:32" x14ac:dyDescent="0.35">
      <c r="S6143" s="13"/>
      <c r="T6143" s="16"/>
      <c r="U6143" s="16"/>
      <c r="V6143" s="16"/>
      <c r="W6143" s="13"/>
      <c r="X6143" s="34">
        <v>6139</v>
      </c>
      <c r="Y6143" s="34" t="s">
        <v>2248</v>
      </c>
      <c r="Z6143" s="34" t="s">
        <v>3194</v>
      </c>
      <c r="AA6143" s="35">
        <v>3.0778225806451617E-5</v>
      </c>
      <c r="AB6143" s="13"/>
      <c r="AC6143" s="13"/>
      <c r="AD6143" s="13"/>
      <c r="AE6143" s="13"/>
      <c r="AF6143" s="13"/>
    </row>
    <row r="6144" spans="19:32" x14ac:dyDescent="0.35">
      <c r="S6144" s="13"/>
      <c r="T6144" s="16"/>
      <c r="U6144" s="16"/>
      <c r="V6144" s="16"/>
      <c r="W6144" s="13"/>
      <c r="X6144" s="47">
        <v>6140</v>
      </c>
      <c r="Y6144" s="47" t="s">
        <v>2248</v>
      </c>
      <c r="Z6144" s="47" t="s">
        <v>3193</v>
      </c>
      <c r="AA6144" s="48">
        <v>1.2052E-3</v>
      </c>
      <c r="AB6144" s="13"/>
      <c r="AC6144" s="13"/>
      <c r="AD6144" s="13"/>
      <c r="AE6144" s="13"/>
      <c r="AF6144" s="13"/>
    </row>
    <row r="6145" spans="19:32" x14ac:dyDescent="0.35">
      <c r="S6145" s="13"/>
      <c r="T6145" s="16"/>
      <c r="U6145" s="16"/>
      <c r="V6145" s="16"/>
      <c r="W6145" s="13"/>
      <c r="X6145" s="47">
        <v>6141</v>
      </c>
      <c r="Y6145" s="47" t="s">
        <v>2248</v>
      </c>
      <c r="Z6145" s="47" t="s">
        <v>3192</v>
      </c>
      <c r="AA6145" s="48">
        <v>235.51999999999998</v>
      </c>
      <c r="AB6145" s="13"/>
      <c r="AC6145" s="13"/>
      <c r="AD6145" s="13"/>
      <c r="AE6145" s="13"/>
      <c r="AF6145" s="13"/>
    </row>
    <row r="6146" spans="19:32" x14ac:dyDescent="0.35">
      <c r="S6146" s="13"/>
      <c r="T6146" s="16"/>
      <c r="U6146" s="16"/>
      <c r="V6146" s="16"/>
      <c r="W6146" s="13"/>
      <c r="X6146" s="34">
        <v>6142</v>
      </c>
      <c r="Y6146" s="34" t="s">
        <v>2248</v>
      </c>
      <c r="Z6146" s="34" t="s">
        <v>3191</v>
      </c>
      <c r="AA6146" s="35">
        <v>1.2715725806451613E-4</v>
      </c>
      <c r="AB6146" s="13"/>
      <c r="AC6146" s="13"/>
      <c r="AD6146" s="13"/>
      <c r="AE6146" s="13"/>
      <c r="AF6146" s="13"/>
    </row>
    <row r="6147" spans="19:32" x14ac:dyDescent="0.35">
      <c r="S6147" s="13"/>
      <c r="T6147" s="16"/>
      <c r="U6147" s="16"/>
      <c r="V6147" s="16"/>
      <c r="W6147" s="13"/>
      <c r="X6147" s="47">
        <v>6143</v>
      </c>
      <c r="Y6147" s="47" t="s">
        <v>2248</v>
      </c>
      <c r="Z6147" s="47" t="s">
        <v>3190</v>
      </c>
      <c r="AA6147" s="48">
        <v>61.088000000000001</v>
      </c>
      <c r="AB6147" s="13"/>
      <c r="AC6147" s="13"/>
      <c r="AD6147" s="13"/>
      <c r="AE6147" s="13"/>
      <c r="AF6147" s="13"/>
    </row>
    <row r="6148" spans="19:32" x14ac:dyDescent="0.35">
      <c r="S6148" s="13"/>
      <c r="T6148" s="16"/>
      <c r="U6148" s="16"/>
      <c r="V6148" s="16"/>
      <c r="W6148" s="13"/>
      <c r="X6148" s="34">
        <v>6144</v>
      </c>
      <c r="Y6148" s="34" t="s">
        <v>2248</v>
      </c>
      <c r="Z6148" s="34" t="s">
        <v>2885</v>
      </c>
      <c r="AA6148" s="35">
        <v>6.7520161290322584E-4</v>
      </c>
      <c r="AB6148" s="13"/>
      <c r="AC6148" s="13"/>
      <c r="AD6148" s="13"/>
      <c r="AE6148" s="13"/>
      <c r="AF6148" s="13"/>
    </row>
    <row r="6149" spans="19:32" x14ac:dyDescent="0.35">
      <c r="S6149" s="13"/>
      <c r="T6149" s="16"/>
      <c r="U6149" s="16"/>
      <c r="V6149" s="16"/>
      <c r="W6149" s="13"/>
      <c r="X6149" s="47">
        <v>6145</v>
      </c>
      <c r="Y6149" s="47" t="s">
        <v>2248</v>
      </c>
      <c r="Z6149" s="47" t="s">
        <v>3189</v>
      </c>
      <c r="AA6149" s="48">
        <v>34.315999999999995</v>
      </c>
      <c r="AB6149" s="13"/>
      <c r="AC6149" s="13"/>
      <c r="AD6149" s="13"/>
      <c r="AE6149" s="13"/>
      <c r="AF6149" s="13"/>
    </row>
    <row r="6150" spans="19:32" x14ac:dyDescent="0.35">
      <c r="S6150" s="13"/>
      <c r="T6150" s="16"/>
      <c r="U6150" s="16"/>
      <c r="V6150" s="16"/>
      <c r="W6150" s="13"/>
      <c r="X6150" s="47">
        <v>6146</v>
      </c>
      <c r="Y6150" s="47" t="s">
        <v>2248</v>
      </c>
      <c r="Z6150" s="47" t="s">
        <v>3188</v>
      </c>
      <c r="AA6150" s="48">
        <v>1.7664E-3</v>
      </c>
      <c r="AB6150" s="13"/>
      <c r="AC6150" s="13"/>
      <c r="AD6150" s="13"/>
      <c r="AE6150" s="13"/>
      <c r="AF6150" s="13"/>
    </row>
    <row r="6151" spans="19:32" x14ac:dyDescent="0.35">
      <c r="S6151" s="13"/>
      <c r="T6151" s="16"/>
      <c r="U6151" s="16"/>
      <c r="V6151" s="16"/>
      <c r="W6151" s="13"/>
      <c r="X6151" s="34">
        <v>6147</v>
      </c>
      <c r="Y6151" s="34" t="s">
        <v>2248</v>
      </c>
      <c r="Z6151" s="34" t="s">
        <v>3187</v>
      </c>
      <c r="AA6151" s="35">
        <v>8.5685483870967749E-6</v>
      </c>
      <c r="AB6151" s="13"/>
      <c r="AC6151" s="13"/>
      <c r="AD6151" s="13"/>
      <c r="AE6151" s="13"/>
      <c r="AF6151" s="13"/>
    </row>
    <row r="6152" spans="19:32" x14ac:dyDescent="0.35">
      <c r="S6152" s="13"/>
      <c r="T6152" s="16"/>
      <c r="U6152" s="16"/>
      <c r="V6152" s="16"/>
      <c r="W6152" s="13"/>
      <c r="X6152" s="47">
        <v>6148</v>
      </c>
      <c r="Y6152" s="47" t="s">
        <v>2248</v>
      </c>
      <c r="Z6152" s="47" t="s">
        <v>3186</v>
      </c>
      <c r="AA6152" s="48">
        <v>0</v>
      </c>
      <c r="AB6152" s="13"/>
      <c r="AC6152" s="13"/>
      <c r="AD6152" s="13"/>
      <c r="AE6152" s="13"/>
      <c r="AF6152" s="13"/>
    </row>
    <row r="6153" spans="19:32" x14ac:dyDescent="0.35">
      <c r="S6153" s="13"/>
      <c r="T6153" s="16"/>
      <c r="U6153" s="16"/>
      <c r="V6153" s="16"/>
      <c r="W6153" s="13"/>
      <c r="X6153" s="47">
        <v>6149</v>
      </c>
      <c r="Y6153" s="47" t="s">
        <v>2248</v>
      </c>
      <c r="Z6153" s="47" t="s">
        <v>3185</v>
      </c>
      <c r="AA6153" s="48">
        <v>0</v>
      </c>
      <c r="AB6153" s="13"/>
      <c r="AC6153" s="13"/>
      <c r="AD6153" s="13"/>
      <c r="AE6153" s="13"/>
      <c r="AF6153" s="13"/>
    </row>
    <row r="6154" spans="19:32" x14ac:dyDescent="0.35">
      <c r="S6154" s="13"/>
      <c r="T6154" s="16"/>
      <c r="U6154" s="16"/>
      <c r="V6154" s="16"/>
      <c r="W6154" s="13"/>
      <c r="X6154" s="34">
        <v>6150</v>
      </c>
      <c r="Y6154" s="34" t="s">
        <v>2248</v>
      </c>
      <c r="Z6154" s="34" t="s">
        <v>3184</v>
      </c>
      <c r="AA6154" s="35">
        <v>4.1814516129032263E-9</v>
      </c>
      <c r="AB6154" s="13"/>
      <c r="AC6154" s="13"/>
      <c r="AD6154" s="13"/>
      <c r="AE6154" s="13"/>
      <c r="AF6154" s="13"/>
    </row>
    <row r="6155" spans="19:32" x14ac:dyDescent="0.35">
      <c r="S6155" s="13"/>
      <c r="T6155" s="16"/>
      <c r="U6155" s="16"/>
      <c r="V6155" s="16"/>
      <c r="W6155" s="13"/>
      <c r="X6155" s="47">
        <v>6151</v>
      </c>
      <c r="Y6155" s="47" t="s">
        <v>2248</v>
      </c>
      <c r="Z6155" s="47" t="s">
        <v>3183</v>
      </c>
      <c r="AA6155" s="48">
        <v>1.288</v>
      </c>
      <c r="AB6155" s="13"/>
      <c r="AC6155" s="13"/>
      <c r="AD6155" s="13"/>
      <c r="AE6155" s="13"/>
      <c r="AF6155" s="13"/>
    </row>
    <row r="6156" spans="19:32" x14ac:dyDescent="0.35">
      <c r="S6156" s="13"/>
      <c r="T6156" s="16"/>
      <c r="U6156" s="16"/>
      <c r="V6156" s="16"/>
      <c r="W6156" s="13"/>
      <c r="X6156" s="47">
        <v>6152</v>
      </c>
      <c r="Y6156" s="47" t="s">
        <v>2248</v>
      </c>
      <c r="Z6156" s="47" t="s">
        <v>3182</v>
      </c>
      <c r="AA6156" s="48">
        <v>0</v>
      </c>
      <c r="AB6156" s="13"/>
      <c r="AC6156" s="13"/>
      <c r="AD6156" s="13"/>
      <c r="AE6156" s="13"/>
      <c r="AF6156" s="13"/>
    </row>
    <row r="6157" spans="19:32" x14ac:dyDescent="0.35">
      <c r="S6157" s="13"/>
      <c r="T6157" s="16"/>
      <c r="U6157" s="16"/>
      <c r="V6157" s="16"/>
      <c r="W6157" s="13"/>
      <c r="X6157" s="34">
        <v>6153</v>
      </c>
      <c r="Y6157" s="34" t="s">
        <v>2248</v>
      </c>
      <c r="Z6157" s="34" t="s">
        <v>3181</v>
      </c>
      <c r="AA6157" s="35">
        <v>1.0110887096774194E-2</v>
      </c>
      <c r="AB6157" s="13"/>
      <c r="AC6157" s="13"/>
      <c r="AD6157" s="13"/>
      <c r="AE6157" s="13"/>
      <c r="AF6157" s="13"/>
    </row>
    <row r="6158" spans="19:32" x14ac:dyDescent="0.35">
      <c r="S6158" s="13"/>
      <c r="T6158" s="16"/>
      <c r="U6158" s="16"/>
      <c r="V6158" s="16"/>
      <c r="W6158" s="13"/>
      <c r="X6158" s="47">
        <v>6154</v>
      </c>
      <c r="Y6158" s="47" t="s">
        <v>2248</v>
      </c>
      <c r="Z6158" s="47" t="s">
        <v>3180</v>
      </c>
      <c r="AA6158" s="48">
        <v>0</v>
      </c>
      <c r="AB6158" s="13"/>
      <c r="AC6158" s="13"/>
      <c r="AD6158" s="13"/>
      <c r="AE6158" s="13"/>
      <c r="AF6158" s="13"/>
    </row>
    <row r="6159" spans="19:32" x14ac:dyDescent="0.35">
      <c r="S6159" s="13"/>
      <c r="T6159" s="16"/>
      <c r="U6159" s="16"/>
      <c r="V6159" s="16"/>
      <c r="W6159" s="13"/>
      <c r="X6159" s="47">
        <v>6155</v>
      </c>
      <c r="Y6159" s="47" t="s">
        <v>2248</v>
      </c>
      <c r="Z6159" s="47" t="s">
        <v>3179</v>
      </c>
      <c r="AA6159" s="48">
        <v>0</v>
      </c>
      <c r="AB6159" s="13"/>
      <c r="AC6159" s="13"/>
      <c r="AD6159" s="13"/>
      <c r="AE6159" s="13"/>
      <c r="AF6159" s="13"/>
    </row>
    <row r="6160" spans="19:32" x14ac:dyDescent="0.35">
      <c r="S6160" s="13"/>
      <c r="T6160" s="16"/>
      <c r="U6160" s="16"/>
      <c r="V6160" s="16"/>
      <c r="W6160" s="13"/>
      <c r="X6160" s="34">
        <v>6156</v>
      </c>
      <c r="Y6160" s="34" t="s">
        <v>2248</v>
      </c>
      <c r="Z6160" s="34" t="s">
        <v>2884</v>
      </c>
      <c r="AA6160" s="35">
        <v>2.704233870967742E-6</v>
      </c>
      <c r="AB6160" s="13"/>
      <c r="AC6160" s="13"/>
      <c r="AD6160" s="13"/>
      <c r="AE6160" s="13"/>
      <c r="AF6160" s="13"/>
    </row>
    <row r="6161" spans="19:32" x14ac:dyDescent="0.35">
      <c r="S6161" s="13"/>
      <c r="T6161" s="16"/>
      <c r="U6161" s="16"/>
      <c r="V6161" s="16"/>
      <c r="W6161" s="13"/>
      <c r="X6161" s="47">
        <v>6157</v>
      </c>
      <c r="Y6161" s="47" t="s">
        <v>2248</v>
      </c>
      <c r="Z6161" s="47" t="s">
        <v>3178</v>
      </c>
      <c r="AA6161" s="48">
        <v>1.7756000000000001</v>
      </c>
      <c r="AB6161" s="13"/>
      <c r="AC6161" s="13"/>
      <c r="AD6161" s="13"/>
      <c r="AE6161" s="13"/>
      <c r="AF6161" s="13"/>
    </row>
    <row r="6162" spans="19:32" x14ac:dyDescent="0.35">
      <c r="S6162" s="13"/>
      <c r="T6162" s="16"/>
      <c r="U6162" s="16"/>
      <c r="V6162" s="16"/>
      <c r="W6162" s="13"/>
      <c r="X6162" s="34">
        <v>6158</v>
      </c>
      <c r="Y6162" s="34" t="s">
        <v>2248</v>
      </c>
      <c r="Z6162" s="34" t="s">
        <v>3177</v>
      </c>
      <c r="AA6162" s="35">
        <v>5.3125000000000004E-3</v>
      </c>
      <c r="AB6162" s="13"/>
      <c r="AC6162" s="13"/>
      <c r="AD6162" s="13"/>
      <c r="AE6162" s="13"/>
      <c r="AF6162" s="13"/>
    </row>
    <row r="6163" spans="19:32" x14ac:dyDescent="0.35">
      <c r="S6163" s="13"/>
      <c r="T6163" s="16"/>
      <c r="U6163" s="16"/>
      <c r="V6163" s="16"/>
      <c r="W6163" s="13"/>
      <c r="X6163" s="47">
        <v>6159</v>
      </c>
      <c r="Y6163" s="47" t="s">
        <v>2248</v>
      </c>
      <c r="Z6163" s="47" t="s">
        <v>3176</v>
      </c>
      <c r="AA6163" s="48">
        <v>2.7968000000000002</v>
      </c>
      <c r="AB6163" s="13"/>
      <c r="AC6163" s="13"/>
      <c r="AD6163" s="13"/>
      <c r="AE6163" s="13"/>
      <c r="AF6163" s="13"/>
    </row>
    <row r="6164" spans="19:32" x14ac:dyDescent="0.35">
      <c r="S6164" s="13"/>
      <c r="T6164" s="16"/>
      <c r="U6164" s="16"/>
      <c r="V6164" s="16"/>
      <c r="W6164" s="13"/>
      <c r="X6164" s="47">
        <v>6160</v>
      </c>
      <c r="Y6164" s="47" t="s">
        <v>2248</v>
      </c>
      <c r="Z6164" s="47" t="s">
        <v>3175</v>
      </c>
      <c r="AA6164" s="48">
        <v>0</v>
      </c>
      <c r="AB6164" s="13"/>
      <c r="AC6164" s="13"/>
      <c r="AD6164" s="13"/>
      <c r="AE6164" s="13"/>
      <c r="AF6164" s="13"/>
    </row>
    <row r="6165" spans="19:32" x14ac:dyDescent="0.35">
      <c r="S6165" s="13"/>
      <c r="T6165" s="16"/>
      <c r="U6165" s="16"/>
      <c r="V6165" s="16"/>
      <c r="W6165" s="13"/>
      <c r="X6165" s="34">
        <v>6161</v>
      </c>
      <c r="Y6165" s="34" t="s">
        <v>2248</v>
      </c>
      <c r="Z6165" s="34" t="s">
        <v>3174</v>
      </c>
      <c r="AA6165" s="35">
        <v>9.9395161290322586E-4</v>
      </c>
      <c r="AB6165" s="13"/>
      <c r="AC6165" s="13"/>
      <c r="AD6165" s="13"/>
      <c r="AE6165" s="13"/>
      <c r="AF6165" s="13"/>
    </row>
    <row r="6166" spans="19:32" x14ac:dyDescent="0.35">
      <c r="S6166" s="13"/>
      <c r="T6166" s="16"/>
      <c r="U6166" s="16"/>
      <c r="V6166" s="16"/>
      <c r="W6166" s="13"/>
      <c r="X6166" s="47">
        <v>6162</v>
      </c>
      <c r="Y6166" s="47" t="s">
        <v>2248</v>
      </c>
      <c r="Z6166" s="47" t="s">
        <v>3173</v>
      </c>
      <c r="AA6166" s="48">
        <v>0</v>
      </c>
      <c r="AB6166" s="13"/>
      <c r="AC6166" s="13"/>
      <c r="AD6166" s="13"/>
      <c r="AE6166" s="13"/>
      <c r="AF6166" s="13"/>
    </row>
    <row r="6167" spans="19:32" x14ac:dyDescent="0.35">
      <c r="S6167" s="13"/>
      <c r="T6167" s="16"/>
      <c r="U6167" s="16"/>
      <c r="V6167" s="16"/>
      <c r="W6167" s="13"/>
      <c r="X6167" s="47">
        <v>6163</v>
      </c>
      <c r="Y6167" s="47" t="s">
        <v>2248</v>
      </c>
      <c r="Z6167" s="47" t="s">
        <v>3172</v>
      </c>
      <c r="AA6167" s="48">
        <v>0</v>
      </c>
      <c r="AB6167" s="13"/>
      <c r="AC6167" s="13"/>
      <c r="AD6167" s="13"/>
      <c r="AE6167" s="13"/>
      <c r="AF6167" s="13"/>
    </row>
    <row r="6168" spans="19:32" x14ac:dyDescent="0.35">
      <c r="S6168" s="13"/>
      <c r="T6168" s="16"/>
      <c r="U6168" s="16"/>
      <c r="V6168" s="16"/>
      <c r="W6168" s="13"/>
      <c r="X6168" s="34">
        <v>6164</v>
      </c>
      <c r="Y6168" s="34" t="s">
        <v>2248</v>
      </c>
      <c r="Z6168" s="34" t="s">
        <v>3171</v>
      </c>
      <c r="AA6168" s="35">
        <v>1.8336693548387099E-3</v>
      </c>
      <c r="AB6168" s="13"/>
      <c r="AC6168" s="13"/>
      <c r="AD6168" s="13"/>
      <c r="AE6168" s="13"/>
      <c r="AF6168" s="13"/>
    </row>
    <row r="6169" spans="19:32" x14ac:dyDescent="0.35">
      <c r="S6169" s="13"/>
      <c r="T6169" s="16"/>
      <c r="U6169" s="16"/>
      <c r="V6169" s="16"/>
      <c r="W6169" s="13"/>
      <c r="X6169" s="47">
        <v>6165</v>
      </c>
      <c r="Y6169" s="47" t="s">
        <v>2248</v>
      </c>
      <c r="Z6169" s="47" t="s">
        <v>3170</v>
      </c>
      <c r="AA6169" s="48">
        <v>1499.6</v>
      </c>
      <c r="AB6169" s="13"/>
      <c r="AC6169" s="13"/>
      <c r="AD6169" s="13"/>
      <c r="AE6169" s="13"/>
      <c r="AF6169" s="13"/>
    </row>
    <row r="6170" spans="19:32" x14ac:dyDescent="0.35">
      <c r="S6170" s="13"/>
      <c r="T6170" s="16"/>
      <c r="U6170" s="16"/>
      <c r="V6170" s="16"/>
      <c r="W6170" s="13"/>
      <c r="X6170" s="47">
        <v>6166</v>
      </c>
      <c r="Y6170" s="47" t="s">
        <v>2248</v>
      </c>
      <c r="Z6170" s="47" t="s">
        <v>3169</v>
      </c>
      <c r="AA6170" s="48">
        <v>5.9708000000000005E-4</v>
      </c>
      <c r="AB6170" s="13"/>
      <c r="AC6170" s="13"/>
      <c r="AD6170" s="13"/>
      <c r="AE6170" s="13"/>
      <c r="AF6170" s="13"/>
    </row>
    <row r="6171" spans="19:32" x14ac:dyDescent="0.35">
      <c r="S6171" s="13"/>
      <c r="T6171" s="16"/>
      <c r="U6171" s="16"/>
      <c r="V6171" s="16"/>
      <c r="W6171" s="13"/>
      <c r="X6171" s="34">
        <v>6167</v>
      </c>
      <c r="Y6171" s="34" t="s">
        <v>2248</v>
      </c>
      <c r="Z6171" s="34" t="s">
        <v>3168</v>
      </c>
      <c r="AA6171" s="35">
        <v>3.1429435483870969E-5</v>
      </c>
      <c r="AB6171" s="13"/>
      <c r="AC6171" s="13"/>
      <c r="AD6171" s="13"/>
      <c r="AE6171" s="13"/>
      <c r="AF6171" s="13"/>
    </row>
    <row r="6172" spans="19:32" x14ac:dyDescent="0.35">
      <c r="S6172" s="13"/>
      <c r="T6172" s="16"/>
      <c r="U6172" s="16"/>
      <c r="V6172" s="16"/>
      <c r="W6172" s="13"/>
      <c r="X6172" s="47">
        <v>6168</v>
      </c>
      <c r="Y6172" s="47" t="s">
        <v>2248</v>
      </c>
      <c r="Z6172" s="47" t="s">
        <v>3167</v>
      </c>
      <c r="AA6172" s="48">
        <v>0</v>
      </c>
      <c r="AB6172" s="13"/>
      <c r="AC6172" s="13"/>
      <c r="AD6172" s="13"/>
      <c r="AE6172" s="13"/>
      <c r="AF6172" s="13"/>
    </row>
    <row r="6173" spans="19:32" x14ac:dyDescent="0.35">
      <c r="S6173" s="13"/>
      <c r="T6173" s="16"/>
      <c r="U6173" s="16"/>
      <c r="V6173" s="16"/>
      <c r="W6173" s="13"/>
      <c r="X6173" s="34">
        <v>6169</v>
      </c>
      <c r="Y6173" s="34" t="s">
        <v>2248</v>
      </c>
      <c r="Z6173" s="34" t="s">
        <v>3166</v>
      </c>
      <c r="AA6173" s="35">
        <v>6.1350806451612914E-5</v>
      </c>
      <c r="AB6173" s="13"/>
      <c r="AC6173" s="13"/>
      <c r="AD6173" s="13"/>
      <c r="AE6173" s="13"/>
      <c r="AF6173" s="13"/>
    </row>
    <row r="6174" spans="19:32" x14ac:dyDescent="0.35">
      <c r="S6174" s="13"/>
      <c r="T6174" s="16"/>
      <c r="U6174" s="16"/>
      <c r="V6174" s="16"/>
      <c r="W6174" s="13"/>
      <c r="X6174" s="47">
        <v>6170</v>
      </c>
      <c r="Y6174" s="47" t="s">
        <v>2248</v>
      </c>
      <c r="Z6174" s="47" t="s">
        <v>3165</v>
      </c>
      <c r="AA6174" s="48">
        <v>0</v>
      </c>
      <c r="AB6174" s="13"/>
      <c r="AC6174" s="13"/>
      <c r="AD6174" s="13"/>
      <c r="AE6174" s="13"/>
      <c r="AF6174" s="13"/>
    </row>
    <row r="6175" spans="19:32" x14ac:dyDescent="0.35">
      <c r="S6175" s="13"/>
      <c r="T6175" s="16"/>
      <c r="U6175" s="16"/>
      <c r="V6175" s="16"/>
      <c r="W6175" s="13"/>
      <c r="X6175" s="47">
        <v>6171</v>
      </c>
      <c r="Y6175" s="47" t="s">
        <v>2248</v>
      </c>
      <c r="Z6175" s="47" t="s">
        <v>3164</v>
      </c>
      <c r="AA6175" s="48">
        <v>0</v>
      </c>
      <c r="AB6175" s="13"/>
      <c r="AC6175" s="13"/>
      <c r="AD6175" s="13"/>
      <c r="AE6175" s="13"/>
      <c r="AF6175" s="13"/>
    </row>
    <row r="6176" spans="19:32" x14ac:dyDescent="0.35">
      <c r="S6176" s="13"/>
      <c r="T6176" s="16"/>
      <c r="U6176" s="16"/>
      <c r="V6176" s="16"/>
      <c r="W6176" s="13"/>
      <c r="X6176" s="34">
        <v>6172</v>
      </c>
      <c r="Y6176" s="34" t="s">
        <v>2248</v>
      </c>
      <c r="Z6176" s="34" t="s">
        <v>3163</v>
      </c>
      <c r="AA6176" s="35">
        <v>9.6653225806451619E-5</v>
      </c>
      <c r="AB6176" s="13"/>
      <c r="AC6176" s="13"/>
      <c r="AD6176" s="13"/>
      <c r="AE6176" s="13"/>
      <c r="AF6176" s="13"/>
    </row>
    <row r="6177" spans="19:32" x14ac:dyDescent="0.35">
      <c r="S6177" s="13"/>
      <c r="T6177" s="16"/>
      <c r="U6177" s="16"/>
      <c r="V6177" s="16"/>
      <c r="W6177" s="13"/>
      <c r="X6177" s="47">
        <v>6173</v>
      </c>
      <c r="Y6177" s="47" t="s">
        <v>2248</v>
      </c>
      <c r="Z6177" s="47" t="s">
        <v>3162</v>
      </c>
      <c r="AA6177" s="48">
        <v>0</v>
      </c>
      <c r="AB6177" s="13"/>
      <c r="AC6177" s="13"/>
      <c r="AD6177" s="13"/>
      <c r="AE6177" s="13"/>
      <c r="AF6177" s="13"/>
    </row>
    <row r="6178" spans="19:32" x14ac:dyDescent="0.35">
      <c r="S6178" s="13"/>
      <c r="T6178" s="16"/>
      <c r="U6178" s="16"/>
      <c r="V6178" s="16"/>
      <c r="W6178" s="13"/>
      <c r="X6178" s="47">
        <v>6174</v>
      </c>
      <c r="Y6178" s="47" t="s">
        <v>2248</v>
      </c>
      <c r="Z6178" s="47" t="s">
        <v>3161</v>
      </c>
      <c r="AA6178" s="48">
        <v>0.52807999999999999</v>
      </c>
      <c r="AB6178" s="13"/>
      <c r="AC6178" s="13"/>
      <c r="AD6178" s="13"/>
      <c r="AE6178" s="13"/>
      <c r="AF6178" s="13"/>
    </row>
    <row r="6179" spans="19:32" x14ac:dyDescent="0.35">
      <c r="S6179" s="13"/>
      <c r="T6179" s="16"/>
      <c r="U6179" s="16"/>
      <c r="V6179" s="16"/>
      <c r="W6179" s="13"/>
      <c r="X6179" s="34">
        <v>6175</v>
      </c>
      <c r="Y6179" s="34" t="s">
        <v>2248</v>
      </c>
      <c r="Z6179" s="34" t="s">
        <v>3160</v>
      </c>
      <c r="AA6179" s="35">
        <v>3.8044354838709677E-9</v>
      </c>
      <c r="AB6179" s="13"/>
      <c r="AC6179" s="13"/>
      <c r="AD6179" s="13"/>
      <c r="AE6179" s="13"/>
      <c r="AF6179" s="13"/>
    </row>
    <row r="6180" spans="19:32" x14ac:dyDescent="0.35">
      <c r="S6180" s="13"/>
      <c r="T6180" s="16"/>
      <c r="U6180" s="16"/>
      <c r="V6180" s="16"/>
      <c r="W6180" s="13"/>
      <c r="X6180" s="47">
        <v>6176</v>
      </c>
      <c r="Y6180" s="47" t="s">
        <v>2248</v>
      </c>
      <c r="Z6180" s="47" t="s">
        <v>3159</v>
      </c>
      <c r="AA6180" s="48">
        <v>0</v>
      </c>
      <c r="AB6180" s="13"/>
      <c r="AC6180" s="13"/>
      <c r="AD6180" s="13"/>
      <c r="AE6180" s="13"/>
      <c r="AF6180" s="13"/>
    </row>
    <row r="6181" spans="19:32" x14ac:dyDescent="0.35">
      <c r="S6181" s="13"/>
      <c r="T6181" s="16"/>
      <c r="U6181" s="16"/>
      <c r="V6181" s="16"/>
      <c r="W6181" s="13"/>
      <c r="X6181" s="47">
        <v>6177</v>
      </c>
      <c r="Y6181" s="47" t="s">
        <v>2248</v>
      </c>
      <c r="Z6181" s="47" t="s">
        <v>3158</v>
      </c>
      <c r="AA6181" s="48">
        <v>7.1116000000000001</v>
      </c>
      <c r="AB6181" s="13"/>
      <c r="AC6181" s="13"/>
      <c r="AD6181" s="13"/>
      <c r="AE6181" s="13"/>
      <c r="AF6181" s="13"/>
    </row>
    <row r="6182" spans="19:32" x14ac:dyDescent="0.35">
      <c r="S6182" s="13"/>
      <c r="T6182" s="16"/>
      <c r="U6182" s="16"/>
      <c r="V6182" s="16"/>
      <c r="W6182" s="13"/>
      <c r="X6182" s="34">
        <v>6178</v>
      </c>
      <c r="Y6182" s="34" t="s">
        <v>2248</v>
      </c>
      <c r="Z6182" s="34" t="s">
        <v>3157</v>
      </c>
      <c r="AA6182" s="35">
        <v>2.3477822580645163E-4</v>
      </c>
      <c r="AB6182" s="13"/>
      <c r="AC6182" s="13"/>
      <c r="AD6182" s="13"/>
      <c r="AE6182" s="13"/>
      <c r="AF6182" s="13"/>
    </row>
    <row r="6183" spans="19:32" x14ac:dyDescent="0.35">
      <c r="S6183" s="13"/>
      <c r="T6183" s="16"/>
      <c r="U6183" s="16"/>
      <c r="V6183" s="16"/>
      <c r="W6183" s="13"/>
      <c r="X6183" s="47">
        <v>6179</v>
      </c>
      <c r="Y6183" s="47" t="s">
        <v>2248</v>
      </c>
      <c r="Z6183" s="47" t="s">
        <v>3156</v>
      </c>
      <c r="AA6183" s="48">
        <v>0</v>
      </c>
      <c r="AB6183" s="13"/>
      <c r="AC6183" s="13"/>
      <c r="AD6183" s="13"/>
      <c r="AE6183" s="13"/>
      <c r="AF6183" s="13"/>
    </row>
    <row r="6184" spans="19:32" x14ac:dyDescent="0.35">
      <c r="S6184" s="13"/>
      <c r="T6184" s="16"/>
      <c r="U6184" s="16"/>
      <c r="V6184" s="16"/>
      <c r="W6184" s="13"/>
      <c r="X6184" s="47">
        <v>6180</v>
      </c>
      <c r="Y6184" s="47" t="s">
        <v>2248</v>
      </c>
      <c r="Z6184" s="47" t="s">
        <v>3155</v>
      </c>
      <c r="AA6184" s="48">
        <v>1232.8</v>
      </c>
      <c r="AB6184" s="13"/>
      <c r="AC6184" s="13"/>
      <c r="AD6184" s="13"/>
      <c r="AE6184" s="13"/>
      <c r="AF6184" s="13"/>
    </row>
    <row r="6185" spans="19:32" x14ac:dyDescent="0.35">
      <c r="S6185" s="13"/>
      <c r="T6185" s="16"/>
      <c r="U6185" s="16"/>
      <c r="V6185" s="16"/>
      <c r="W6185" s="13"/>
      <c r="X6185" s="34">
        <v>6181</v>
      </c>
      <c r="Y6185" s="34" t="s">
        <v>2248</v>
      </c>
      <c r="Z6185" s="34" t="s">
        <v>3154</v>
      </c>
      <c r="AA6185" s="35">
        <v>2.3066532258064519E-6</v>
      </c>
      <c r="AB6185" s="13"/>
      <c r="AC6185" s="13"/>
      <c r="AD6185" s="13"/>
      <c r="AE6185" s="13"/>
      <c r="AF6185" s="13"/>
    </row>
    <row r="6186" spans="19:32" x14ac:dyDescent="0.35">
      <c r="S6186" s="13"/>
      <c r="T6186" s="16"/>
      <c r="U6186" s="16"/>
      <c r="V6186" s="16"/>
      <c r="W6186" s="13"/>
      <c r="X6186" s="47">
        <v>6182</v>
      </c>
      <c r="Y6186" s="47" t="s">
        <v>2248</v>
      </c>
      <c r="Z6186" s="47" t="s">
        <v>3153</v>
      </c>
      <c r="AA6186" s="48">
        <v>0</v>
      </c>
      <c r="AB6186" s="13"/>
      <c r="AC6186" s="13"/>
      <c r="AD6186" s="13"/>
      <c r="AE6186" s="13"/>
      <c r="AF6186" s="13"/>
    </row>
    <row r="6187" spans="19:32" x14ac:dyDescent="0.35">
      <c r="S6187" s="13"/>
      <c r="T6187" s="16"/>
      <c r="U6187" s="16"/>
      <c r="V6187" s="16"/>
      <c r="W6187" s="13"/>
      <c r="X6187" s="34">
        <v>6183</v>
      </c>
      <c r="Y6187" s="34" t="s">
        <v>2248</v>
      </c>
      <c r="Z6187" s="34" t="s">
        <v>3152</v>
      </c>
      <c r="AA6187" s="35">
        <v>7.6431451612903236E-3</v>
      </c>
      <c r="AB6187" s="13"/>
      <c r="AC6187" s="13"/>
      <c r="AD6187" s="13"/>
      <c r="AE6187" s="13"/>
      <c r="AF6187" s="13"/>
    </row>
    <row r="6188" spans="19:32" x14ac:dyDescent="0.35">
      <c r="S6188" s="13"/>
      <c r="T6188" s="16"/>
      <c r="U6188" s="16"/>
      <c r="V6188" s="16"/>
      <c r="W6188" s="13"/>
      <c r="X6188" s="47">
        <v>6184</v>
      </c>
      <c r="Y6188" s="47" t="s">
        <v>2248</v>
      </c>
      <c r="Z6188" s="47" t="s">
        <v>3151</v>
      </c>
      <c r="AA6188" s="48">
        <v>0</v>
      </c>
      <c r="AB6188" s="13"/>
      <c r="AC6188" s="13"/>
      <c r="AD6188" s="13"/>
      <c r="AE6188" s="13"/>
      <c r="AF6188" s="13"/>
    </row>
    <row r="6189" spans="19:32" x14ac:dyDescent="0.35">
      <c r="S6189" s="13"/>
      <c r="T6189" s="16"/>
      <c r="U6189" s="16"/>
      <c r="V6189" s="16"/>
      <c r="W6189" s="13"/>
      <c r="X6189" s="47">
        <v>6185</v>
      </c>
      <c r="Y6189" s="47" t="s">
        <v>2248</v>
      </c>
      <c r="Z6189" s="47" t="s">
        <v>3150</v>
      </c>
      <c r="AA6189" s="48">
        <v>1.9504000000000001E-2</v>
      </c>
      <c r="AB6189" s="13"/>
      <c r="AC6189" s="13"/>
      <c r="AD6189" s="13"/>
      <c r="AE6189" s="13"/>
      <c r="AF6189" s="13"/>
    </row>
    <row r="6190" spans="19:32" x14ac:dyDescent="0.35">
      <c r="S6190" s="13"/>
      <c r="T6190" s="16"/>
      <c r="U6190" s="16"/>
      <c r="V6190" s="16"/>
      <c r="W6190" s="13"/>
      <c r="X6190" s="34">
        <v>6186</v>
      </c>
      <c r="Y6190" s="34" t="s">
        <v>2248</v>
      </c>
      <c r="Z6190" s="34" t="s">
        <v>3149</v>
      </c>
      <c r="AA6190" s="35">
        <v>4.0786290322580646E-2</v>
      </c>
      <c r="AB6190" s="13"/>
      <c r="AC6190" s="13"/>
      <c r="AD6190" s="13"/>
      <c r="AE6190" s="13"/>
      <c r="AF6190" s="13"/>
    </row>
    <row r="6191" spans="19:32" x14ac:dyDescent="0.35">
      <c r="S6191" s="13"/>
      <c r="T6191" s="16"/>
      <c r="U6191" s="16"/>
      <c r="V6191" s="16"/>
      <c r="W6191" s="13"/>
      <c r="X6191" s="47">
        <v>6187</v>
      </c>
      <c r="Y6191" s="47" t="s">
        <v>2248</v>
      </c>
      <c r="Z6191" s="47" t="s">
        <v>3148</v>
      </c>
      <c r="AA6191" s="48">
        <v>2934.8</v>
      </c>
      <c r="AB6191" s="13"/>
      <c r="AC6191" s="13"/>
      <c r="AD6191" s="13"/>
      <c r="AE6191" s="13"/>
      <c r="AF6191" s="13"/>
    </row>
    <row r="6192" spans="19:32" x14ac:dyDescent="0.35">
      <c r="S6192" s="13"/>
      <c r="T6192" s="16"/>
      <c r="U6192" s="16"/>
      <c r="V6192" s="16"/>
      <c r="W6192" s="13"/>
      <c r="X6192" s="47">
        <v>6188</v>
      </c>
      <c r="Y6192" s="47" t="s">
        <v>2248</v>
      </c>
      <c r="Z6192" s="47" t="s">
        <v>3147</v>
      </c>
      <c r="AA6192" s="48">
        <v>0.17756</v>
      </c>
      <c r="AB6192" s="13"/>
      <c r="AC6192" s="13"/>
      <c r="AD6192" s="13"/>
      <c r="AE6192" s="13"/>
      <c r="AF6192" s="13"/>
    </row>
    <row r="6193" spans="19:32" x14ac:dyDescent="0.35">
      <c r="S6193" s="13"/>
      <c r="T6193" s="16"/>
      <c r="U6193" s="16"/>
      <c r="V6193" s="16"/>
      <c r="W6193" s="13"/>
      <c r="X6193" s="34">
        <v>6189</v>
      </c>
      <c r="Y6193" s="34" t="s">
        <v>2248</v>
      </c>
      <c r="Z6193" s="34" t="s">
        <v>3146</v>
      </c>
      <c r="AA6193" s="35">
        <v>3.461693548387097E-4</v>
      </c>
      <c r="AB6193" s="13"/>
      <c r="AC6193" s="13"/>
      <c r="AD6193" s="13"/>
      <c r="AE6193" s="13"/>
      <c r="AF6193" s="13"/>
    </row>
    <row r="6194" spans="19:32" x14ac:dyDescent="0.35">
      <c r="S6194" s="13"/>
      <c r="T6194" s="16"/>
      <c r="U6194" s="16"/>
      <c r="V6194" s="16"/>
      <c r="W6194" s="13"/>
      <c r="X6194" s="47">
        <v>6190</v>
      </c>
      <c r="Y6194" s="47" t="s">
        <v>2248</v>
      </c>
      <c r="Z6194" s="47" t="s">
        <v>3145</v>
      </c>
      <c r="AA6194" s="48">
        <v>20.056000000000001</v>
      </c>
      <c r="AB6194" s="13"/>
      <c r="AC6194" s="13"/>
      <c r="AD6194" s="13"/>
      <c r="AE6194" s="13"/>
      <c r="AF6194" s="13"/>
    </row>
    <row r="6195" spans="19:32" x14ac:dyDescent="0.35">
      <c r="S6195" s="13"/>
      <c r="T6195" s="16"/>
      <c r="U6195" s="16"/>
      <c r="V6195" s="16"/>
      <c r="W6195" s="13"/>
      <c r="X6195" s="47">
        <v>6191</v>
      </c>
      <c r="Y6195" s="47" t="s">
        <v>2248</v>
      </c>
      <c r="Z6195" s="47" t="s">
        <v>3144</v>
      </c>
      <c r="AA6195" s="48">
        <v>0.41952</v>
      </c>
      <c r="AB6195" s="13"/>
      <c r="AC6195" s="13"/>
      <c r="AD6195" s="13"/>
      <c r="AE6195" s="13"/>
      <c r="AF6195" s="13"/>
    </row>
    <row r="6196" spans="19:32" x14ac:dyDescent="0.35">
      <c r="S6196" s="13"/>
      <c r="T6196" s="16"/>
      <c r="U6196" s="16"/>
      <c r="V6196" s="16"/>
      <c r="W6196" s="13"/>
      <c r="X6196" s="34">
        <v>6192</v>
      </c>
      <c r="Y6196" s="34" t="s">
        <v>2248</v>
      </c>
      <c r="Z6196" s="34" t="s">
        <v>3143</v>
      </c>
      <c r="AA6196" s="35">
        <v>9.2883064516129045E-4</v>
      </c>
      <c r="AB6196" s="13"/>
      <c r="AC6196" s="13"/>
      <c r="AD6196" s="13"/>
      <c r="AE6196" s="13"/>
      <c r="AF6196" s="13"/>
    </row>
    <row r="6197" spans="19:32" x14ac:dyDescent="0.35">
      <c r="S6197" s="13"/>
      <c r="T6197" s="16"/>
      <c r="U6197" s="16"/>
      <c r="V6197" s="16"/>
      <c r="W6197" s="13"/>
      <c r="X6197" s="47">
        <v>6193</v>
      </c>
      <c r="Y6197" s="47" t="s">
        <v>2248</v>
      </c>
      <c r="Z6197" s="47" t="s">
        <v>3142</v>
      </c>
      <c r="AA6197" s="48">
        <v>0</v>
      </c>
      <c r="AB6197" s="13"/>
      <c r="AC6197" s="13"/>
      <c r="AD6197" s="13"/>
      <c r="AE6197" s="13"/>
      <c r="AF6197" s="13"/>
    </row>
    <row r="6198" spans="19:32" x14ac:dyDescent="0.35">
      <c r="S6198" s="13"/>
      <c r="T6198" s="16"/>
      <c r="U6198" s="16"/>
      <c r="V6198" s="16"/>
      <c r="W6198" s="13"/>
      <c r="X6198" s="34">
        <v>6194</v>
      </c>
      <c r="Y6198" s="34" t="s">
        <v>2248</v>
      </c>
      <c r="Z6198" s="34" t="s">
        <v>3141</v>
      </c>
      <c r="AA6198" s="35">
        <v>1.5046370967741936E-4</v>
      </c>
      <c r="AB6198" s="13"/>
      <c r="AC6198" s="13"/>
      <c r="AD6198" s="13"/>
      <c r="AE6198" s="13"/>
      <c r="AF6198" s="13"/>
    </row>
    <row r="6199" spans="19:32" x14ac:dyDescent="0.35">
      <c r="S6199" s="13"/>
      <c r="T6199" s="16"/>
      <c r="U6199" s="16"/>
      <c r="V6199" s="16"/>
      <c r="W6199" s="13"/>
      <c r="X6199" s="47">
        <v>6195</v>
      </c>
      <c r="Y6199" s="47" t="s">
        <v>2248</v>
      </c>
      <c r="Z6199" s="47" t="s">
        <v>3140</v>
      </c>
      <c r="AA6199" s="48">
        <v>0</v>
      </c>
      <c r="AB6199" s="13"/>
      <c r="AC6199" s="13"/>
      <c r="AD6199" s="13"/>
      <c r="AE6199" s="13"/>
      <c r="AF6199" s="13"/>
    </row>
    <row r="6200" spans="19:32" x14ac:dyDescent="0.35">
      <c r="S6200" s="13"/>
      <c r="T6200" s="16"/>
      <c r="U6200" s="16"/>
      <c r="V6200" s="16"/>
      <c r="W6200" s="13"/>
      <c r="X6200" s="47">
        <v>6196</v>
      </c>
      <c r="Y6200" s="47" t="s">
        <v>2248</v>
      </c>
      <c r="Z6200" s="47" t="s">
        <v>3139</v>
      </c>
      <c r="AA6200" s="48">
        <v>0</v>
      </c>
      <c r="AB6200" s="13"/>
      <c r="AC6200" s="13"/>
      <c r="AD6200" s="13"/>
      <c r="AE6200" s="13"/>
      <c r="AF6200" s="13"/>
    </row>
    <row r="6201" spans="19:32" x14ac:dyDescent="0.35">
      <c r="S6201" s="13"/>
      <c r="T6201" s="16"/>
      <c r="U6201" s="16"/>
      <c r="V6201" s="16"/>
      <c r="W6201" s="13"/>
      <c r="X6201" s="34">
        <v>6197</v>
      </c>
      <c r="Y6201" s="34" t="s">
        <v>2248</v>
      </c>
      <c r="Z6201" s="34" t="s">
        <v>3138</v>
      </c>
      <c r="AA6201" s="35">
        <v>1.4497983870967743E-5</v>
      </c>
      <c r="AB6201" s="13"/>
      <c r="AC6201" s="13"/>
      <c r="AD6201" s="13"/>
      <c r="AE6201" s="13"/>
      <c r="AF6201" s="13"/>
    </row>
    <row r="6202" spans="19:32" x14ac:dyDescent="0.35">
      <c r="S6202" s="13"/>
      <c r="T6202" s="16"/>
      <c r="U6202" s="16"/>
      <c r="V6202" s="16"/>
      <c r="W6202" s="13"/>
      <c r="X6202" s="47">
        <v>6198</v>
      </c>
      <c r="Y6202" s="47" t="s">
        <v>2248</v>
      </c>
      <c r="Z6202" s="47" t="s">
        <v>3137</v>
      </c>
      <c r="AA6202" s="48">
        <v>6.0168000000000006E-2</v>
      </c>
      <c r="AB6202" s="13"/>
      <c r="AC6202" s="13"/>
      <c r="AD6202" s="13"/>
      <c r="AE6202" s="13"/>
      <c r="AF6202" s="13"/>
    </row>
    <row r="6203" spans="19:32" x14ac:dyDescent="0.35">
      <c r="S6203" s="13"/>
      <c r="T6203" s="16"/>
      <c r="U6203" s="16"/>
      <c r="V6203" s="16"/>
      <c r="W6203" s="13"/>
      <c r="X6203" s="47">
        <v>6199</v>
      </c>
      <c r="Y6203" s="47" t="s">
        <v>2248</v>
      </c>
      <c r="Z6203" s="47" t="s">
        <v>3136</v>
      </c>
      <c r="AA6203" s="48">
        <v>0</v>
      </c>
      <c r="AB6203" s="13"/>
      <c r="AC6203" s="13"/>
      <c r="AD6203" s="13"/>
      <c r="AE6203" s="13"/>
      <c r="AF6203" s="13"/>
    </row>
    <row r="6204" spans="19:32" x14ac:dyDescent="0.35">
      <c r="S6204" s="13"/>
      <c r="T6204" s="16"/>
      <c r="U6204" s="16"/>
      <c r="V6204" s="16"/>
      <c r="W6204" s="13"/>
      <c r="X6204" s="34">
        <v>6200</v>
      </c>
      <c r="Y6204" s="34" t="s">
        <v>2248</v>
      </c>
      <c r="Z6204" s="34" t="s">
        <v>3135</v>
      </c>
      <c r="AA6204" s="35">
        <v>4.1471774193548389E-2</v>
      </c>
      <c r="AB6204" s="13"/>
      <c r="AC6204" s="13"/>
      <c r="AD6204" s="13"/>
      <c r="AE6204" s="13"/>
      <c r="AF6204" s="13"/>
    </row>
    <row r="6205" spans="19:32" x14ac:dyDescent="0.35">
      <c r="S6205" s="13"/>
      <c r="T6205" s="16"/>
      <c r="U6205" s="16"/>
      <c r="V6205" s="16"/>
      <c r="W6205" s="13"/>
      <c r="X6205" s="47">
        <v>6201</v>
      </c>
      <c r="Y6205" s="47" t="s">
        <v>2248</v>
      </c>
      <c r="Z6205" s="47" t="s">
        <v>3134</v>
      </c>
      <c r="AA6205" s="48">
        <v>0.26955999999999997</v>
      </c>
      <c r="AB6205" s="13"/>
      <c r="AC6205" s="13"/>
      <c r="AD6205" s="13"/>
      <c r="AE6205" s="13"/>
      <c r="AF6205" s="13"/>
    </row>
    <row r="6206" spans="19:32" x14ac:dyDescent="0.35">
      <c r="S6206" s="13"/>
      <c r="T6206" s="16"/>
      <c r="U6206" s="16"/>
      <c r="V6206" s="16"/>
      <c r="W6206" s="13"/>
      <c r="X6206" s="47">
        <v>6202</v>
      </c>
      <c r="Y6206" s="47" t="s">
        <v>2248</v>
      </c>
      <c r="Z6206" s="47" t="s">
        <v>3133</v>
      </c>
      <c r="AA6206" s="48">
        <v>5.9891999999999994E-2</v>
      </c>
      <c r="AB6206" s="13"/>
      <c r="AC6206" s="13"/>
      <c r="AD6206" s="13"/>
      <c r="AE6206" s="13"/>
      <c r="AF6206" s="13"/>
    </row>
    <row r="6207" spans="19:32" x14ac:dyDescent="0.35">
      <c r="S6207" s="13"/>
      <c r="T6207" s="16"/>
      <c r="U6207" s="16"/>
      <c r="V6207" s="16"/>
      <c r="W6207" s="13"/>
      <c r="X6207" s="34">
        <v>6203</v>
      </c>
      <c r="Y6207" s="34" t="s">
        <v>2248</v>
      </c>
      <c r="Z6207" s="34" t="s">
        <v>3132</v>
      </c>
      <c r="AA6207" s="35">
        <v>5.6895161290322583E-3</v>
      </c>
      <c r="AB6207" s="13"/>
      <c r="AC6207" s="13"/>
      <c r="AD6207" s="13"/>
      <c r="AE6207" s="13"/>
      <c r="AF6207" s="13"/>
    </row>
    <row r="6208" spans="19:32" x14ac:dyDescent="0.35">
      <c r="S6208" s="13"/>
      <c r="T6208" s="16"/>
      <c r="U6208" s="16"/>
      <c r="V6208" s="16"/>
      <c r="W6208" s="13"/>
      <c r="X6208" s="47">
        <v>6204</v>
      </c>
      <c r="Y6208" s="47" t="s">
        <v>2248</v>
      </c>
      <c r="Z6208" s="47" t="s">
        <v>3131</v>
      </c>
      <c r="AA6208" s="48">
        <v>7.6451999999999992E-2</v>
      </c>
      <c r="AB6208" s="13"/>
      <c r="AC6208" s="13"/>
      <c r="AD6208" s="13"/>
      <c r="AE6208" s="13"/>
      <c r="AF6208" s="13"/>
    </row>
    <row r="6209" spans="19:32" x14ac:dyDescent="0.35">
      <c r="S6209" s="13"/>
      <c r="T6209" s="16"/>
      <c r="U6209" s="16"/>
      <c r="V6209" s="16"/>
      <c r="W6209" s="13"/>
      <c r="X6209" s="47">
        <v>6205</v>
      </c>
      <c r="Y6209" s="47" t="s">
        <v>2248</v>
      </c>
      <c r="Z6209" s="47" t="s">
        <v>3130</v>
      </c>
      <c r="AA6209" s="48">
        <v>25.3</v>
      </c>
      <c r="AB6209" s="13"/>
      <c r="AC6209" s="13"/>
      <c r="AD6209" s="13"/>
      <c r="AE6209" s="13"/>
      <c r="AF6209" s="13"/>
    </row>
    <row r="6210" spans="19:32" x14ac:dyDescent="0.35">
      <c r="S6210" s="13"/>
      <c r="T6210" s="16"/>
      <c r="U6210" s="16"/>
      <c r="V6210" s="16"/>
      <c r="W6210" s="13"/>
      <c r="X6210" s="34">
        <v>6206</v>
      </c>
      <c r="Y6210" s="34" t="s">
        <v>2248</v>
      </c>
      <c r="Z6210" s="34" t="s">
        <v>3129</v>
      </c>
      <c r="AA6210" s="35">
        <v>6.1008064516129043E-4</v>
      </c>
      <c r="AB6210" s="13"/>
      <c r="AC6210" s="13"/>
      <c r="AD6210" s="13"/>
      <c r="AE6210" s="13"/>
      <c r="AF6210" s="13"/>
    </row>
    <row r="6211" spans="19:32" x14ac:dyDescent="0.35">
      <c r="S6211" s="13"/>
      <c r="T6211" s="16"/>
      <c r="U6211" s="16"/>
      <c r="V6211" s="16"/>
      <c r="W6211" s="13"/>
      <c r="X6211" s="47">
        <v>6207</v>
      </c>
      <c r="Y6211" s="47" t="s">
        <v>2248</v>
      </c>
      <c r="Z6211" s="47" t="s">
        <v>3128</v>
      </c>
      <c r="AA6211" s="48">
        <v>0</v>
      </c>
      <c r="AB6211" s="13"/>
      <c r="AC6211" s="13"/>
      <c r="AD6211" s="13"/>
      <c r="AE6211" s="13"/>
      <c r="AF6211" s="13"/>
    </row>
    <row r="6212" spans="19:32" x14ac:dyDescent="0.35">
      <c r="S6212" s="13"/>
      <c r="T6212" s="16"/>
      <c r="U6212" s="16"/>
      <c r="V6212" s="16"/>
      <c r="W6212" s="13"/>
      <c r="X6212" s="34">
        <v>6208</v>
      </c>
      <c r="Y6212" s="34" t="s">
        <v>2248</v>
      </c>
      <c r="Z6212" s="34" t="s">
        <v>2877</v>
      </c>
      <c r="AA6212" s="35">
        <v>0.2186693548387097</v>
      </c>
      <c r="AB6212" s="13"/>
      <c r="AC6212" s="13"/>
      <c r="AD6212" s="13"/>
      <c r="AE6212" s="13"/>
      <c r="AF6212" s="13"/>
    </row>
    <row r="6213" spans="19:32" x14ac:dyDescent="0.35">
      <c r="S6213" s="13"/>
      <c r="T6213" s="16"/>
      <c r="U6213" s="16"/>
      <c r="V6213" s="16"/>
      <c r="W6213" s="13"/>
      <c r="X6213" s="47">
        <v>6209</v>
      </c>
      <c r="Y6213" s="47" t="s">
        <v>2248</v>
      </c>
      <c r="Z6213" s="47" t="s">
        <v>3127</v>
      </c>
      <c r="AA6213" s="48">
        <v>48.576000000000001</v>
      </c>
      <c r="AB6213" s="13"/>
      <c r="AC6213" s="13"/>
      <c r="AD6213" s="13"/>
      <c r="AE6213" s="13"/>
      <c r="AF6213" s="13"/>
    </row>
    <row r="6214" spans="19:32" x14ac:dyDescent="0.35">
      <c r="S6214" s="13"/>
      <c r="T6214" s="16"/>
      <c r="U6214" s="16"/>
      <c r="V6214" s="16"/>
      <c r="W6214" s="13"/>
      <c r="X6214" s="47">
        <v>6210</v>
      </c>
      <c r="Y6214" s="47" t="s">
        <v>2248</v>
      </c>
      <c r="Z6214" s="47" t="s">
        <v>3126</v>
      </c>
      <c r="AA6214" s="48">
        <v>0</v>
      </c>
      <c r="AB6214" s="13"/>
      <c r="AC6214" s="13"/>
      <c r="AD6214" s="13"/>
      <c r="AE6214" s="13"/>
      <c r="AF6214" s="13"/>
    </row>
    <row r="6215" spans="19:32" x14ac:dyDescent="0.35">
      <c r="S6215" s="13"/>
      <c r="T6215" s="16"/>
      <c r="U6215" s="16"/>
      <c r="V6215" s="16"/>
      <c r="W6215" s="13"/>
      <c r="X6215" s="34">
        <v>6211</v>
      </c>
      <c r="Y6215" s="34" t="s">
        <v>2248</v>
      </c>
      <c r="Z6215" s="34" t="s">
        <v>3125</v>
      </c>
      <c r="AA6215" s="35">
        <v>3.2731854838709683E-2</v>
      </c>
      <c r="AB6215" s="13"/>
      <c r="AC6215" s="13"/>
      <c r="AD6215" s="13"/>
      <c r="AE6215" s="13"/>
      <c r="AF6215" s="13"/>
    </row>
    <row r="6216" spans="19:32" x14ac:dyDescent="0.35">
      <c r="S6216" s="13"/>
      <c r="T6216" s="16"/>
      <c r="U6216" s="16"/>
      <c r="V6216" s="16"/>
      <c r="W6216" s="13"/>
      <c r="X6216" s="47">
        <v>6212</v>
      </c>
      <c r="Y6216" s="47" t="s">
        <v>2248</v>
      </c>
      <c r="Z6216" s="47" t="s">
        <v>3124</v>
      </c>
      <c r="AA6216" s="48">
        <v>0</v>
      </c>
      <c r="AB6216" s="13"/>
      <c r="AC6216" s="13"/>
      <c r="AD6216" s="13"/>
      <c r="AE6216" s="13"/>
      <c r="AF6216" s="13"/>
    </row>
    <row r="6217" spans="19:32" x14ac:dyDescent="0.35">
      <c r="S6217" s="13"/>
      <c r="T6217" s="16"/>
      <c r="U6217" s="16"/>
      <c r="V6217" s="16"/>
      <c r="W6217" s="13"/>
      <c r="X6217" s="47">
        <v>6213</v>
      </c>
      <c r="Y6217" s="47" t="s">
        <v>2248</v>
      </c>
      <c r="Z6217" s="47" t="s">
        <v>3123</v>
      </c>
      <c r="AA6217" s="48">
        <v>27232000</v>
      </c>
      <c r="AB6217" s="13"/>
      <c r="AC6217" s="13"/>
      <c r="AD6217" s="13"/>
      <c r="AE6217" s="13"/>
      <c r="AF6217" s="13"/>
    </row>
    <row r="6218" spans="19:32" x14ac:dyDescent="0.35">
      <c r="S6218" s="13"/>
      <c r="T6218" s="16"/>
      <c r="U6218" s="16"/>
      <c r="V6218" s="16"/>
      <c r="W6218" s="13"/>
      <c r="X6218" s="34">
        <v>6214</v>
      </c>
      <c r="Y6218" s="34" t="s">
        <v>2248</v>
      </c>
      <c r="Z6218" s="34" t="s">
        <v>3122</v>
      </c>
      <c r="AA6218" s="35">
        <v>8.191532258064517E-5</v>
      </c>
      <c r="AB6218" s="13"/>
      <c r="AC6218" s="13"/>
      <c r="AD6218" s="13"/>
      <c r="AE6218" s="13"/>
      <c r="AF6218" s="13"/>
    </row>
    <row r="6219" spans="19:32" x14ac:dyDescent="0.35">
      <c r="S6219" s="13"/>
      <c r="T6219" s="16"/>
      <c r="U6219" s="16"/>
      <c r="V6219" s="16"/>
      <c r="W6219" s="13"/>
      <c r="X6219" s="47">
        <v>6215</v>
      </c>
      <c r="Y6219" s="47" t="s">
        <v>2248</v>
      </c>
      <c r="Z6219" s="47" t="s">
        <v>3121</v>
      </c>
      <c r="AA6219" s="48">
        <v>0</v>
      </c>
      <c r="AB6219" s="13"/>
      <c r="AC6219" s="13"/>
      <c r="AD6219" s="13"/>
      <c r="AE6219" s="13"/>
      <c r="AF6219" s="13"/>
    </row>
    <row r="6220" spans="19:32" x14ac:dyDescent="0.35">
      <c r="S6220" s="13"/>
      <c r="T6220" s="16"/>
      <c r="U6220" s="16"/>
      <c r="V6220" s="16"/>
      <c r="W6220" s="13"/>
      <c r="X6220" s="47">
        <v>6216</v>
      </c>
      <c r="Y6220" s="47" t="s">
        <v>2248</v>
      </c>
      <c r="Z6220" s="47" t="s">
        <v>3120</v>
      </c>
      <c r="AA6220" s="48">
        <v>0</v>
      </c>
      <c r="AB6220" s="13"/>
      <c r="AC6220" s="13"/>
      <c r="AD6220" s="13"/>
      <c r="AE6220" s="13"/>
      <c r="AF6220" s="13"/>
    </row>
    <row r="6221" spans="19:32" x14ac:dyDescent="0.35">
      <c r="S6221" s="13"/>
      <c r="T6221" s="16"/>
      <c r="U6221" s="16"/>
      <c r="V6221" s="16"/>
      <c r="W6221" s="13"/>
      <c r="X6221" s="34">
        <v>6217</v>
      </c>
      <c r="Y6221" s="34" t="s">
        <v>2248</v>
      </c>
      <c r="Z6221" s="34" t="s">
        <v>3119</v>
      </c>
      <c r="AA6221" s="35">
        <v>2.5362903225806455E-4</v>
      </c>
      <c r="AB6221" s="13"/>
      <c r="AC6221" s="13"/>
      <c r="AD6221" s="13"/>
      <c r="AE6221" s="13"/>
      <c r="AF6221" s="13"/>
    </row>
    <row r="6222" spans="19:32" x14ac:dyDescent="0.35">
      <c r="S6222" s="13"/>
      <c r="T6222" s="16"/>
      <c r="U6222" s="16"/>
      <c r="V6222" s="16"/>
      <c r="W6222" s="13"/>
      <c r="X6222" s="47">
        <v>6218</v>
      </c>
      <c r="Y6222" s="47" t="s">
        <v>2248</v>
      </c>
      <c r="Z6222" s="47" t="s">
        <v>3118</v>
      </c>
      <c r="AA6222" s="48">
        <v>0.21068000000000001</v>
      </c>
      <c r="AB6222" s="13"/>
      <c r="AC6222" s="13"/>
      <c r="AD6222" s="13"/>
      <c r="AE6222" s="13"/>
      <c r="AF6222" s="13"/>
    </row>
    <row r="6223" spans="19:32" x14ac:dyDescent="0.35">
      <c r="S6223" s="13"/>
      <c r="T6223" s="16"/>
      <c r="U6223" s="16"/>
      <c r="V6223" s="16"/>
      <c r="W6223" s="13"/>
      <c r="X6223" s="34">
        <v>6219</v>
      </c>
      <c r="Y6223" s="34" t="s">
        <v>2248</v>
      </c>
      <c r="Z6223" s="34" t="s">
        <v>3117</v>
      </c>
      <c r="AA6223" s="35">
        <v>0.31840725806451614</v>
      </c>
      <c r="AB6223" s="13"/>
      <c r="AC6223" s="13"/>
      <c r="AD6223" s="13"/>
      <c r="AE6223" s="13"/>
      <c r="AF6223" s="13"/>
    </row>
    <row r="6224" spans="19:32" x14ac:dyDescent="0.35">
      <c r="S6224" s="13"/>
      <c r="T6224" s="16"/>
      <c r="U6224" s="16"/>
      <c r="V6224" s="16"/>
      <c r="W6224" s="13"/>
      <c r="X6224" s="47">
        <v>6220</v>
      </c>
      <c r="Y6224" s="47" t="s">
        <v>2248</v>
      </c>
      <c r="Z6224" s="47" t="s">
        <v>3116</v>
      </c>
      <c r="AA6224" s="48">
        <v>0</v>
      </c>
      <c r="AB6224" s="13"/>
      <c r="AC6224" s="13"/>
      <c r="AD6224" s="13"/>
      <c r="AE6224" s="13"/>
      <c r="AF6224" s="13"/>
    </row>
    <row r="6225" spans="19:32" x14ac:dyDescent="0.35">
      <c r="S6225" s="13"/>
      <c r="T6225" s="16"/>
      <c r="U6225" s="16"/>
      <c r="V6225" s="16"/>
      <c r="W6225" s="13"/>
      <c r="X6225" s="47">
        <v>6221</v>
      </c>
      <c r="Y6225" s="47" t="s">
        <v>2248</v>
      </c>
      <c r="Z6225" s="47" t="s">
        <v>3115</v>
      </c>
      <c r="AA6225" s="48">
        <v>0</v>
      </c>
      <c r="AB6225" s="13"/>
      <c r="AC6225" s="13"/>
      <c r="AD6225" s="13"/>
      <c r="AE6225" s="13"/>
      <c r="AF6225" s="13"/>
    </row>
    <row r="6226" spans="19:32" x14ac:dyDescent="0.35">
      <c r="S6226" s="13"/>
      <c r="T6226" s="16"/>
      <c r="U6226" s="16"/>
      <c r="V6226" s="16"/>
      <c r="W6226" s="13"/>
      <c r="X6226" s="34">
        <v>6222</v>
      </c>
      <c r="Y6226" s="34" t="s">
        <v>2248</v>
      </c>
      <c r="Z6226" s="34" t="s">
        <v>3114</v>
      </c>
      <c r="AA6226" s="35">
        <v>2.7967741935483877E-6</v>
      </c>
      <c r="AB6226" s="13"/>
      <c r="AC6226" s="13"/>
      <c r="AD6226" s="13"/>
      <c r="AE6226" s="13"/>
      <c r="AF6226" s="13"/>
    </row>
    <row r="6227" spans="19:32" x14ac:dyDescent="0.35">
      <c r="S6227" s="13"/>
      <c r="T6227" s="16"/>
      <c r="U6227" s="16"/>
      <c r="V6227" s="16"/>
      <c r="W6227" s="13"/>
      <c r="X6227" s="47">
        <v>6223</v>
      </c>
      <c r="Y6227" s="47" t="s">
        <v>2248</v>
      </c>
      <c r="Z6227" s="47" t="s">
        <v>3113</v>
      </c>
      <c r="AA6227" s="48">
        <v>4.3883999999999999</v>
      </c>
      <c r="AB6227" s="13"/>
      <c r="AC6227" s="13"/>
      <c r="AD6227" s="13"/>
      <c r="AE6227" s="13"/>
      <c r="AF6227" s="13"/>
    </row>
    <row r="6228" spans="19:32" x14ac:dyDescent="0.35">
      <c r="S6228" s="13"/>
      <c r="T6228" s="16"/>
      <c r="U6228" s="16"/>
      <c r="V6228" s="16"/>
      <c r="W6228" s="13"/>
      <c r="X6228" s="47">
        <v>6224</v>
      </c>
      <c r="Y6228" s="47" t="s">
        <v>2248</v>
      </c>
      <c r="Z6228" s="47" t="s">
        <v>3112</v>
      </c>
      <c r="AA6228" s="48">
        <v>3.1280000000000002E-2</v>
      </c>
      <c r="AB6228" s="13"/>
      <c r="AC6228" s="13"/>
      <c r="AD6228" s="13"/>
      <c r="AE6228" s="13"/>
      <c r="AF6228" s="13"/>
    </row>
    <row r="6229" spans="19:32" x14ac:dyDescent="0.35">
      <c r="S6229" s="13"/>
      <c r="T6229" s="16"/>
      <c r="U6229" s="16"/>
      <c r="V6229" s="16"/>
      <c r="W6229" s="13"/>
      <c r="X6229" s="34">
        <v>6225</v>
      </c>
      <c r="Y6229" s="34" t="s">
        <v>2248</v>
      </c>
      <c r="Z6229" s="34" t="s">
        <v>2869</v>
      </c>
      <c r="AA6229" s="35">
        <v>1.3949596774193549E-2</v>
      </c>
      <c r="AB6229" s="13"/>
      <c r="AC6229" s="13"/>
      <c r="AD6229" s="13"/>
      <c r="AE6229" s="13"/>
      <c r="AF6229" s="13"/>
    </row>
    <row r="6230" spans="19:32" x14ac:dyDescent="0.35">
      <c r="S6230" s="13"/>
      <c r="T6230" s="16"/>
      <c r="U6230" s="16"/>
      <c r="V6230" s="16"/>
      <c r="W6230" s="13"/>
      <c r="X6230" s="47">
        <v>6226</v>
      </c>
      <c r="Y6230" s="47" t="s">
        <v>2248</v>
      </c>
      <c r="Z6230" s="47" t="s">
        <v>3111</v>
      </c>
      <c r="AA6230" s="48">
        <v>0</v>
      </c>
      <c r="AB6230" s="13"/>
      <c r="AC6230" s="13"/>
      <c r="AD6230" s="13"/>
      <c r="AE6230" s="13"/>
      <c r="AF6230" s="13"/>
    </row>
    <row r="6231" spans="19:32" x14ac:dyDescent="0.35">
      <c r="S6231" s="13"/>
      <c r="T6231" s="16"/>
      <c r="U6231" s="16"/>
      <c r="V6231" s="16"/>
      <c r="W6231" s="13"/>
      <c r="X6231" s="47">
        <v>6227</v>
      </c>
      <c r="Y6231" s="47" t="s">
        <v>2248</v>
      </c>
      <c r="Z6231" s="47" t="s">
        <v>3110</v>
      </c>
      <c r="AA6231" s="48">
        <v>0</v>
      </c>
      <c r="AB6231" s="13"/>
      <c r="AC6231" s="13"/>
      <c r="AD6231" s="13"/>
      <c r="AE6231" s="13"/>
      <c r="AF6231" s="13"/>
    </row>
    <row r="6232" spans="19:32" x14ac:dyDescent="0.35">
      <c r="S6232" s="13"/>
      <c r="T6232" s="16"/>
      <c r="U6232" s="16"/>
      <c r="V6232" s="16"/>
      <c r="W6232" s="13"/>
      <c r="X6232" s="34">
        <v>6228</v>
      </c>
      <c r="Y6232" s="34" t="s">
        <v>2248</v>
      </c>
      <c r="Z6232" s="34" t="s">
        <v>3109</v>
      </c>
      <c r="AA6232" s="35">
        <v>0.13024193548387097</v>
      </c>
      <c r="AB6232" s="13"/>
      <c r="AC6232" s="13"/>
      <c r="AD6232" s="13"/>
      <c r="AE6232" s="13"/>
      <c r="AF6232" s="13"/>
    </row>
    <row r="6233" spans="19:32" x14ac:dyDescent="0.35">
      <c r="S6233" s="13"/>
      <c r="T6233" s="16"/>
      <c r="U6233" s="16"/>
      <c r="V6233" s="16"/>
      <c r="W6233" s="13"/>
      <c r="X6233" s="47">
        <v>6229</v>
      </c>
      <c r="Y6233" s="47" t="s">
        <v>2248</v>
      </c>
      <c r="Z6233" s="47" t="s">
        <v>3108</v>
      </c>
      <c r="AA6233" s="48">
        <v>0</v>
      </c>
      <c r="AB6233" s="13"/>
      <c r="AC6233" s="13"/>
      <c r="AD6233" s="13"/>
      <c r="AE6233" s="13"/>
      <c r="AF6233" s="13"/>
    </row>
    <row r="6234" spans="19:32" x14ac:dyDescent="0.35">
      <c r="S6234" s="13"/>
      <c r="T6234" s="16"/>
      <c r="U6234" s="16"/>
      <c r="V6234" s="16"/>
      <c r="W6234" s="13"/>
      <c r="X6234" s="47">
        <v>6230</v>
      </c>
      <c r="Y6234" s="47" t="s">
        <v>2248</v>
      </c>
      <c r="Z6234" s="47" t="s">
        <v>3107</v>
      </c>
      <c r="AA6234" s="48">
        <v>0</v>
      </c>
      <c r="AB6234" s="13"/>
      <c r="AC6234" s="13"/>
      <c r="AD6234" s="13"/>
      <c r="AE6234" s="13"/>
      <c r="AF6234" s="13"/>
    </row>
    <row r="6235" spans="19:32" x14ac:dyDescent="0.35">
      <c r="S6235" s="13"/>
      <c r="T6235" s="16"/>
      <c r="U6235" s="16"/>
      <c r="V6235" s="16"/>
      <c r="W6235" s="13"/>
      <c r="X6235" s="34">
        <v>6231</v>
      </c>
      <c r="Y6235" s="34" t="s">
        <v>2248</v>
      </c>
      <c r="Z6235" s="34" t="s">
        <v>3106</v>
      </c>
      <c r="AA6235" s="35">
        <v>1.3229838709677422E-3</v>
      </c>
      <c r="AB6235" s="13"/>
      <c r="AC6235" s="13"/>
      <c r="AD6235" s="13"/>
      <c r="AE6235" s="13"/>
      <c r="AF6235" s="13"/>
    </row>
    <row r="6236" spans="19:32" x14ac:dyDescent="0.35">
      <c r="S6236" s="13"/>
      <c r="T6236" s="16"/>
      <c r="U6236" s="16"/>
      <c r="V6236" s="16"/>
      <c r="W6236" s="13"/>
      <c r="X6236" s="47">
        <v>6232</v>
      </c>
      <c r="Y6236" s="47" t="s">
        <v>2248</v>
      </c>
      <c r="Z6236" s="47" t="s">
        <v>3105</v>
      </c>
      <c r="AA6236" s="48">
        <v>6.6976000000000008E-2</v>
      </c>
      <c r="AB6236" s="13"/>
      <c r="AC6236" s="13"/>
      <c r="AD6236" s="13"/>
      <c r="AE6236" s="13"/>
      <c r="AF6236" s="13"/>
    </row>
    <row r="6237" spans="19:32" x14ac:dyDescent="0.35">
      <c r="S6237" s="13"/>
      <c r="T6237" s="16"/>
      <c r="U6237" s="16"/>
      <c r="V6237" s="16"/>
      <c r="W6237" s="13"/>
      <c r="X6237" s="34">
        <v>6233</v>
      </c>
      <c r="Y6237" s="34" t="s">
        <v>2248</v>
      </c>
      <c r="Z6237" s="34" t="s">
        <v>3104</v>
      </c>
      <c r="AA6237" s="35">
        <v>1.3675403225806454E-5</v>
      </c>
      <c r="AB6237" s="13"/>
      <c r="AC6237" s="13"/>
      <c r="AD6237" s="13"/>
      <c r="AE6237" s="13"/>
      <c r="AF6237" s="13"/>
    </row>
    <row r="6238" spans="19:32" x14ac:dyDescent="0.35">
      <c r="S6238" s="13"/>
      <c r="T6238" s="16"/>
      <c r="U6238" s="16"/>
      <c r="V6238" s="16"/>
      <c r="W6238" s="13"/>
      <c r="X6238" s="47">
        <v>6234</v>
      </c>
      <c r="Y6238" s="47" t="s">
        <v>2248</v>
      </c>
      <c r="Z6238" s="47" t="s">
        <v>3103</v>
      </c>
      <c r="AA6238" s="48">
        <v>0</v>
      </c>
      <c r="AB6238" s="13"/>
      <c r="AC6238" s="13"/>
      <c r="AD6238" s="13"/>
      <c r="AE6238" s="13"/>
      <c r="AF6238" s="13"/>
    </row>
    <row r="6239" spans="19:32" x14ac:dyDescent="0.35">
      <c r="S6239" s="13"/>
      <c r="T6239" s="16"/>
      <c r="U6239" s="16"/>
      <c r="V6239" s="16"/>
      <c r="W6239" s="13"/>
      <c r="X6239" s="47">
        <v>6235</v>
      </c>
      <c r="Y6239" s="47" t="s">
        <v>2248</v>
      </c>
      <c r="Z6239" s="47" t="s">
        <v>3102</v>
      </c>
      <c r="AA6239" s="48">
        <v>0</v>
      </c>
      <c r="AB6239" s="13"/>
      <c r="AC6239" s="13"/>
      <c r="AD6239" s="13"/>
      <c r="AE6239" s="13"/>
      <c r="AF6239" s="13"/>
    </row>
    <row r="6240" spans="19:32" x14ac:dyDescent="0.35">
      <c r="S6240" s="13"/>
      <c r="T6240" s="16"/>
      <c r="U6240" s="16"/>
      <c r="V6240" s="16"/>
      <c r="W6240" s="13"/>
      <c r="X6240" s="34">
        <v>6236</v>
      </c>
      <c r="Y6240" s="34" t="s">
        <v>2248</v>
      </c>
      <c r="Z6240" s="34" t="s">
        <v>3101</v>
      </c>
      <c r="AA6240" s="35">
        <v>0.21729838709677421</v>
      </c>
      <c r="AB6240" s="13"/>
      <c r="AC6240" s="13"/>
      <c r="AD6240" s="13"/>
      <c r="AE6240" s="13"/>
      <c r="AF6240" s="13"/>
    </row>
    <row r="6241" spans="19:32" x14ac:dyDescent="0.35">
      <c r="S6241" s="13"/>
      <c r="T6241" s="16"/>
      <c r="U6241" s="16"/>
      <c r="V6241" s="16"/>
      <c r="W6241" s="13"/>
      <c r="X6241" s="47">
        <v>6237</v>
      </c>
      <c r="Y6241" s="47" t="s">
        <v>2248</v>
      </c>
      <c r="Z6241" s="47" t="s">
        <v>3100</v>
      </c>
      <c r="AA6241" s="48">
        <v>0</v>
      </c>
      <c r="AB6241" s="13"/>
      <c r="AC6241" s="13"/>
      <c r="AD6241" s="13"/>
      <c r="AE6241" s="13"/>
      <c r="AF6241" s="13"/>
    </row>
    <row r="6242" spans="19:32" x14ac:dyDescent="0.35">
      <c r="S6242" s="13"/>
      <c r="T6242" s="16"/>
      <c r="U6242" s="16"/>
      <c r="V6242" s="16"/>
      <c r="W6242" s="13"/>
      <c r="X6242" s="47">
        <v>6238</v>
      </c>
      <c r="Y6242" s="47" t="s">
        <v>2248</v>
      </c>
      <c r="Z6242" s="47" t="s">
        <v>3099</v>
      </c>
      <c r="AA6242" s="48">
        <v>0</v>
      </c>
      <c r="AB6242" s="13"/>
      <c r="AC6242" s="13"/>
      <c r="AD6242" s="13"/>
      <c r="AE6242" s="13"/>
      <c r="AF6242" s="13"/>
    </row>
    <row r="6243" spans="19:32" x14ac:dyDescent="0.35">
      <c r="S6243" s="13"/>
      <c r="T6243" s="16"/>
      <c r="U6243" s="16"/>
      <c r="V6243" s="16"/>
      <c r="W6243" s="13"/>
      <c r="X6243" s="34">
        <v>6239</v>
      </c>
      <c r="Y6243" s="34" t="s">
        <v>2248</v>
      </c>
      <c r="Z6243" s="34" t="s">
        <v>3098</v>
      </c>
      <c r="AA6243" s="35">
        <v>4.1471774193548392E-3</v>
      </c>
      <c r="AB6243" s="13"/>
      <c r="AC6243" s="13"/>
      <c r="AD6243" s="13"/>
      <c r="AE6243" s="13"/>
      <c r="AF6243" s="13"/>
    </row>
    <row r="6244" spans="19:32" x14ac:dyDescent="0.35">
      <c r="S6244" s="13"/>
      <c r="T6244" s="16"/>
      <c r="U6244" s="16"/>
      <c r="V6244" s="16"/>
      <c r="W6244" s="13"/>
      <c r="X6244" s="47">
        <v>6240</v>
      </c>
      <c r="Y6244" s="47" t="s">
        <v>2248</v>
      </c>
      <c r="Z6244" s="47" t="s">
        <v>3097</v>
      </c>
      <c r="AA6244" s="48">
        <v>0</v>
      </c>
      <c r="AB6244" s="13"/>
      <c r="AC6244" s="13"/>
      <c r="AD6244" s="13"/>
      <c r="AE6244" s="13"/>
      <c r="AF6244" s="13"/>
    </row>
    <row r="6245" spans="19:32" x14ac:dyDescent="0.35">
      <c r="S6245" s="13"/>
      <c r="T6245" s="16"/>
      <c r="U6245" s="16"/>
      <c r="V6245" s="16"/>
      <c r="W6245" s="13"/>
      <c r="X6245" s="47">
        <v>6241</v>
      </c>
      <c r="Y6245" s="47" t="s">
        <v>2248</v>
      </c>
      <c r="Z6245" s="47" t="s">
        <v>3096</v>
      </c>
      <c r="AA6245" s="48">
        <v>535.44000000000005</v>
      </c>
      <c r="AB6245" s="13"/>
      <c r="AC6245" s="13"/>
      <c r="AD6245" s="13"/>
      <c r="AE6245" s="13"/>
      <c r="AF6245" s="13"/>
    </row>
    <row r="6246" spans="19:32" x14ac:dyDescent="0.35">
      <c r="S6246" s="13"/>
      <c r="T6246" s="16"/>
      <c r="U6246" s="16"/>
      <c r="V6246" s="16"/>
      <c r="W6246" s="13"/>
      <c r="X6246" s="34">
        <v>6242</v>
      </c>
      <c r="Y6246" s="34" t="s">
        <v>2248</v>
      </c>
      <c r="Z6246" s="34" t="s">
        <v>3095</v>
      </c>
      <c r="AA6246" s="35">
        <v>2.5739919354838713E-6</v>
      </c>
      <c r="AB6246" s="13"/>
      <c r="AC6246" s="13"/>
      <c r="AD6246" s="13"/>
      <c r="AE6246" s="13"/>
      <c r="AF6246" s="13"/>
    </row>
    <row r="6247" spans="19:32" x14ac:dyDescent="0.35">
      <c r="S6247" s="13"/>
      <c r="T6247" s="16"/>
      <c r="U6247" s="16"/>
      <c r="V6247" s="16"/>
      <c r="W6247" s="13"/>
      <c r="X6247" s="47">
        <v>6243</v>
      </c>
      <c r="Y6247" s="47" t="s">
        <v>2248</v>
      </c>
      <c r="Z6247" s="47" t="s">
        <v>3094</v>
      </c>
      <c r="AA6247" s="48">
        <v>0</v>
      </c>
      <c r="AB6247" s="13"/>
      <c r="AC6247" s="13"/>
      <c r="AD6247" s="13"/>
      <c r="AE6247" s="13"/>
      <c r="AF6247" s="13"/>
    </row>
    <row r="6248" spans="19:32" x14ac:dyDescent="0.35">
      <c r="S6248" s="13"/>
      <c r="T6248" s="16"/>
      <c r="U6248" s="16"/>
      <c r="V6248" s="16"/>
      <c r="W6248" s="13"/>
      <c r="X6248" s="34">
        <v>6244</v>
      </c>
      <c r="Y6248" s="34" t="s">
        <v>2248</v>
      </c>
      <c r="Z6248" s="34" t="s">
        <v>3093</v>
      </c>
      <c r="AA6248" s="35">
        <v>5.0383064516129031E-4</v>
      </c>
      <c r="AB6248" s="13"/>
      <c r="AC6248" s="13"/>
      <c r="AD6248" s="13"/>
      <c r="AE6248" s="13"/>
      <c r="AF6248" s="13"/>
    </row>
    <row r="6249" spans="19:32" x14ac:dyDescent="0.35">
      <c r="S6249" s="13"/>
      <c r="T6249" s="16"/>
      <c r="U6249" s="16"/>
      <c r="V6249" s="16"/>
      <c r="W6249" s="13"/>
      <c r="X6249" s="47">
        <v>6245</v>
      </c>
      <c r="Y6249" s="47" t="s">
        <v>2248</v>
      </c>
      <c r="Z6249" s="47" t="s">
        <v>3092</v>
      </c>
      <c r="AA6249" s="48">
        <v>6.2835999999999999</v>
      </c>
      <c r="AB6249" s="13"/>
      <c r="AC6249" s="13"/>
      <c r="AD6249" s="13"/>
      <c r="AE6249" s="13"/>
      <c r="AF6249" s="13"/>
    </row>
    <row r="6250" spans="19:32" x14ac:dyDescent="0.35">
      <c r="S6250" s="13"/>
      <c r="T6250" s="16"/>
      <c r="U6250" s="16"/>
      <c r="V6250" s="16"/>
      <c r="W6250" s="13"/>
      <c r="X6250" s="47">
        <v>6246</v>
      </c>
      <c r="Y6250" s="47" t="s">
        <v>2248</v>
      </c>
      <c r="Z6250" s="47" t="s">
        <v>3091</v>
      </c>
      <c r="AA6250" s="48">
        <v>0</v>
      </c>
      <c r="AB6250" s="13"/>
      <c r="AC6250" s="13"/>
      <c r="AD6250" s="13"/>
      <c r="AE6250" s="13"/>
      <c r="AF6250" s="13"/>
    </row>
    <row r="6251" spans="19:32" x14ac:dyDescent="0.35">
      <c r="S6251" s="13"/>
      <c r="T6251" s="16"/>
      <c r="U6251" s="16"/>
      <c r="V6251" s="16"/>
      <c r="W6251" s="13"/>
      <c r="X6251" s="34">
        <v>6247</v>
      </c>
      <c r="Y6251" s="34" t="s">
        <v>2248</v>
      </c>
      <c r="Z6251" s="34" t="s">
        <v>2866</v>
      </c>
      <c r="AA6251" s="35">
        <v>0.33622983870967743</v>
      </c>
      <c r="AB6251" s="13"/>
      <c r="AC6251" s="13"/>
      <c r="AD6251" s="13"/>
      <c r="AE6251" s="13"/>
      <c r="AF6251" s="13"/>
    </row>
    <row r="6252" spans="19:32" x14ac:dyDescent="0.35">
      <c r="S6252" s="13"/>
      <c r="T6252" s="16"/>
      <c r="U6252" s="16"/>
      <c r="V6252" s="16"/>
      <c r="W6252" s="13"/>
      <c r="X6252" s="47">
        <v>6248</v>
      </c>
      <c r="Y6252" s="47" t="s">
        <v>2248</v>
      </c>
      <c r="Z6252" s="47" t="s">
        <v>3090</v>
      </c>
      <c r="AA6252" s="48">
        <v>0</v>
      </c>
      <c r="AB6252" s="13"/>
      <c r="AC6252" s="13"/>
      <c r="AD6252" s="13"/>
      <c r="AE6252" s="13"/>
      <c r="AF6252" s="13"/>
    </row>
    <row r="6253" spans="19:32" x14ac:dyDescent="0.35">
      <c r="S6253" s="13"/>
      <c r="T6253" s="16"/>
      <c r="U6253" s="16"/>
      <c r="V6253" s="16"/>
      <c r="W6253" s="13"/>
      <c r="X6253" s="47">
        <v>6249</v>
      </c>
      <c r="Y6253" s="47" t="s">
        <v>2248</v>
      </c>
      <c r="Z6253" s="47" t="s">
        <v>3089</v>
      </c>
      <c r="AA6253" s="48">
        <v>0</v>
      </c>
      <c r="AB6253" s="13"/>
      <c r="AC6253" s="13"/>
      <c r="AD6253" s="13"/>
      <c r="AE6253" s="13"/>
      <c r="AF6253" s="13"/>
    </row>
    <row r="6254" spans="19:32" x14ac:dyDescent="0.35">
      <c r="S6254" s="13"/>
      <c r="T6254" s="16"/>
      <c r="U6254" s="16"/>
      <c r="V6254" s="16"/>
      <c r="W6254" s="13"/>
      <c r="X6254" s="34">
        <v>6250</v>
      </c>
      <c r="Y6254" s="34" t="s">
        <v>2248</v>
      </c>
      <c r="Z6254" s="34" t="s">
        <v>2865</v>
      </c>
      <c r="AA6254" s="35">
        <v>2.2038306451612904E-2</v>
      </c>
      <c r="AB6254" s="13"/>
      <c r="AC6254" s="13"/>
      <c r="AD6254" s="13"/>
      <c r="AE6254" s="13"/>
      <c r="AF6254" s="13"/>
    </row>
    <row r="6255" spans="19:32" x14ac:dyDescent="0.35">
      <c r="S6255" s="13"/>
      <c r="T6255" s="16"/>
      <c r="U6255" s="16"/>
      <c r="V6255" s="16"/>
      <c r="W6255" s="13"/>
      <c r="X6255" s="47">
        <v>6251</v>
      </c>
      <c r="Y6255" s="47" t="s">
        <v>2248</v>
      </c>
      <c r="Z6255" s="47" t="s">
        <v>3088</v>
      </c>
      <c r="AA6255" s="48">
        <v>9.5679999999999996</v>
      </c>
      <c r="AB6255" s="13"/>
      <c r="AC6255" s="13"/>
      <c r="AD6255" s="13"/>
      <c r="AE6255" s="13"/>
      <c r="AF6255" s="13"/>
    </row>
    <row r="6256" spans="19:32" x14ac:dyDescent="0.35">
      <c r="S6256" s="13"/>
      <c r="T6256" s="16"/>
      <c r="U6256" s="16"/>
      <c r="V6256" s="16"/>
      <c r="W6256" s="13"/>
      <c r="X6256" s="47">
        <v>6252</v>
      </c>
      <c r="Y6256" s="47" t="s">
        <v>2248</v>
      </c>
      <c r="Z6256" s="47" t="s">
        <v>3087</v>
      </c>
      <c r="AA6256" s="48">
        <v>0.45540000000000003</v>
      </c>
      <c r="AB6256" s="13"/>
      <c r="AC6256" s="13"/>
      <c r="AD6256" s="13"/>
      <c r="AE6256" s="13"/>
      <c r="AF6256" s="13"/>
    </row>
    <row r="6257" spans="19:32" x14ac:dyDescent="0.35">
      <c r="S6257" s="13"/>
      <c r="T6257" s="16"/>
      <c r="U6257" s="16"/>
      <c r="V6257" s="16"/>
      <c r="W6257" s="13"/>
      <c r="X6257" s="34">
        <v>6253</v>
      </c>
      <c r="Y6257" s="34" t="s">
        <v>2248</v>
      </c>
      <c r="Z6257" s="34" t="s">
        <v>2863</v>
      </c>
      <c r="AA6257" s="35">
        <v>6.2379032258064522E-2</v>
      </c>
      <c r="AB6257" s="13"/>
      <c r="AC6257" s="13"/>
      <c r="AD6257" s="13"/>
      <c r="AE6257" s="13"/>
      <c r="AF6257" s="13"/>
    </row>
    <row r="6258" spans="19:32" x14ac:dyDescent="0.35">
      <c r="S6258" s="13"/>
      <c r="T6258" s="16"/>
      <c r="U6258" s="16"/>
      <c r="V6258" s="16"/>
      <c r="W6258" s="13"/>
      <c r="X6258" s="47">
        <v>6254</v>
      </c>
      <c r="Y6258" s="47" t="s">
        <v>2248</v>
      </c>
      <c r="Z6258" s="47" t="s">
        <v>3086</v>
      </c>
      <c r="AA6258" s="48">
        <v>9.9360000000000004E-3</v>
      </c>
      <c r="AB6258" s="13"/>
      <c r="AC6258" s="13"/>
      <c r="AD6258" s="13"/>
      <c r="AE6258" s="13"/>
      <c r="AF6258" s="13"/>
    </row>
    <row r="6259" spans="19:32" x14ac:dyDescent="0.35">
      <c r="S6259" s="13"/>
      <c r="T6259" s="16"/>
      <c r="U6259" s="16"/>
      <c r="V6259" s="16"/>
      <c r="W6259" s="13"/>
      <c r="X6259" s="47">
        <v>6255</v>
      </c>
      <c r="Y6259" s="47" t="s">
        <v>2248</v>
      </c>
      <c r="Z6259" s="47" t="s">
        <v>3085</v>
      </c>
      <c r="AA6259" s="48">
        <v>0</v>
      </c>
      <c r="AB6259" s="13"/>
      <c r="AC6259" s="13"/>
      <c r="AD6259" s="13"/>
      <c r="AE6259" s="13"/>
      <c r="AF6259" s="13"/>
    </row>
    <row r="6260" spans="19:32" x14ac:dyDescent="0.35">
      <c r="S6260" s="13"/>
      <c r="T6260" s="16"/>
      <c r="U6260" s="16"/>
      <c r="V6260" s="16"/>
      <c r="W6260" s="13"/>
      <c r="X6260" s="34">
        <v>6256</v>
      </c>
      <c r="Y6260" s="34" t="s">
        <v>2248</v>
      </c>
      <c r="Z6260" s="34" t="s">
        <v>3084</v>
      </c>
      <c r="AA6260" s="35">
        <v>0.16280241935483872</v>
      </c>
      <c r="AB6260" s="13"/>
      <c r="AC6260" s="13"/>
      <c r="AD6260" s="13"/>
      <c r="AE6260" s="13"/>
      <c r="AF6260" s="13"/>
    </row>
    <row r="6261" spans="19:32" x14ac:dyDescent="0.35">
      <c r="S6261" s="13"/>
      <c r="T6261" s="16"/>
      <c r="U6261" s="16"/>
      <c r="V6261" s="16"/>
      <c r="W6261" s="13"/>
      <c r="X6261" s="47">
        <v>6257</v>
      </c>
      <c r="Y6261" s="47" t="s">
        <v>2248</v>
      </c>
      <c r="Z6261" s="47" t="s">
        <v>3083</v>
      </c>
      <c r="AA6261" s="48">
        <v>1.794</v>
      </c>
      <c r="AB6261" s="13"/>
      <c r="AC6261" s="13"/>
      <c r="AD6261" s="13"/>
      <c r="AE6261" s="13"/>
      <c r="AF6261" s="13"/>
    </row>
    <row r="6262" spans="19:32" x14ac:dyDescent="0.35">
      <c r="S6262" s="13"/>
      <c r="T6262" s="16"/>
      <c r="U6262" s="16"/>
      <c r="V6262" s="16"/>
      <c r="W6262" s="13"/>
      <c r="X6262" s="34">
        <v>6258</v>
      </c>
      <c r="Y6262" s="34" t="s">
        <v>2248</v>
      </c>
      <c r="Z6262" s="34" t="s">
        <v>3082</v>
      </c>
      <c r="AA6262" s="35">
        <v>1.0110887096774195E-4</v>
      </c>
      <c r="AB6262" s="13"/>
      <c r="AC6262" s="13"/>
      <c r="AD6262" s="13"/>
      <c r="AE6262" s="13"/>
      <c r="AF6262" s="13"/>
    </row>
    <row r="6263" spans="19:32" x14ac:dyDescent="0.35">
      <c r="S6263" s="13"/>
      <c r="T6263" s="16"/>
      <c r="U6263" s="16"/>
      <c r="V6263" s="16"/>
      <c r="W6263" s="13"/>
      <c r="X6263" s="47">
        <v>6259</v>
      </c>
      <c r="Y6263" s="47" t="s">
        <v>2248</v>
      </c>
      <c r="Z6263" s="47" t="s">
        <v>3081</v>
      </c>
      <c r="AA6263" s="48">
        <v>0.64032</v>
      </c>
      <c r="AB6263" s="13"/>
      <c r="AC6263" s="13"/>
      <c r="AD6263" s="13"/>
      <c r="AE6263" s="13"/>
      <c r="AF6263" s="13"/>
    </row>
    <row r="6264" spans="19:32" x14ac:dyDescent="0.35">
      <c r="S6264" s="13"/>
      <c r="T6264" s="16"/>
      <c r="U6264" s="16"/>
      <c r="V6264" s="16"/>
      <c r="W6264" s="13"/>
      <c r="X6264" s="47">
        <v>6260</v>
      </c>
      <c r="Y6264" s="47" t="s">
        <v>2248</v>
      </c>
      <c r="Z6264" s="47" t="s">
        <v>3080</v>
      </c>
      <c r="AA6264" s="48">
        <v>0</v>
      </c>
      <c r="AB6264" s="13"/>
      <c r="AC6264" s="13"/>
      <c r="AD6264" s="13"/>
      <c r="AE6264" s="13"/>
      <c r="AF6264" s="13"/>
    </row>
    <row r="6265" spans="19:32" x14ac:dyDescent="0.35">
      <c r="S6265" s="13"/>
      <c r="T6265" s="16"/>
      <c r="U6265" s="16"/>
      <c r="V6265" s="16"/>
      <c r="W6265" s="13"/>
      <c r="X6265" s="34">
        <v>6261</v>
      </c>
      <c r="Y6265" s="34" t="s">
        <v>2248</v>
      </c>
      <c r="Z6265" s="34" t="s">
        <v>3079</v>
      </c>
      <c r="AA6265" s="35">
        <v>1.1516129032258065E-4</v>
      </c>
      <c r="AB6265" s="13"/>
      <c r="AC6265" s="13"/>
      <c r="AD6265" s="13"/>
      <c r="AE6265" s="13"/>
      <c r="AF6265" s="13"/>
    </row>
    <row r="6266" spans="19:32" x14ac:dyDescent="0.35">
      <c r="S6266" s="13"/>
      <c r="T6266" s="16"/>
      <c r="U6266" s="16"/>
      <c r="V6266" s="16"/>
      <c r="W6266" s="13"/>
      <c r="X6266" s="47">
        <v>6262</v>
      </c>
      <c r="Y6266" s="47" t="s">
        <v>2248</v>
      </c>
      <c r="Z6266" s="47" t="s">
        <v>3078</v>
      </c>
      <c r="AA6266" s="48">
        <v>0</v>
      </c>
      <c r="AB6266" s="13"/>
      <c r="AC6266" s="13"/>
      <c r="AD6266" s="13"/>
      <c r="AE6266" s="13"/>
      <c r="AF6266" s="13"/>
    </row>
    <row r="6267" spans="19:32" x14ac:dyDescent="0.35">
      <c r="S6267" s="13"/>
      <c r="T6267" s="16"/>
      <c r="U6267" s="16"/>
      <c r="V6267" s="16"/>
      <c r="W6267" s="13"/>
      <c r="X6267" s="47">
        <v>6263</v>
      </c>
      <c r="Y6267" s="47" t="s">
        <v>2248</v>
      </c>
      <c r="Z6267" s="47" t="s">
        <v>3077</v>
      </c>
      <c r="AA6267" s="48">
        <v>3.3396000000000002E-2</v>
      </c>
      <c r="AB6267" s="13"/>
      <c r="AC6267" s="13"/>
      <c r="AD6267" s="13"/>
      <c r="AE6267" s="13"/>
      <c r="AF6267" s="13"/>
    </row>
    <row r="6268" spans="19:32" x14ac:dyDescent="0.35">
      <c r="S6268" s="13"/>
      <c r="T6268" s="16"/>
      <c r="U6268" s="16"/>
      <c r="V6268" s="16"/>
      <c r="W6268" s="13"/>
      <c r="X6268" s="34">
        <v>6264</v>
      </c>
      <c r="Y6268" s="34" t="s">
        <v>2248</v>
      </c>
      <c r="Z6268" s="34" t="s">
        <v>3076</v>
      </c>
      <c r="AA6268" s="35">
        <v>9.4939516129032269E-3</v>
      </c>
      <c r="AB6268" s="13"/>
      <c r="AC6268" s="13"/>
      <c r="AD6268" s="13"/>
      <c r="AE6268" s="13"/>
      <c r="AF6268" s="13"/>
    </row>
    <row r="6269" spans="19:32" x14ac:dyDescent="0.35">
      <c r="S6269" s="13"/>
      <c r="T6269" s="16"/>
      <c r="U6269" s="16"/>
      <c r="V6269" s="16"/>
      <c r="W6269" s="13"/>
      <c r="X6269" s="47">
        <v>6265</v>
      </c>
      <c r="Y6269" s="47" t="s">
        <v>2248</v>
      </c>
      <c r="Z6269" s="47" t="s">
        <v>3075</v>
      </c>
      <c r="AA6269" s="48">
        <v>47.747999999999998</v>
      </c>
      <c r="AB6269" s="13"/>
      <c r="AC6269" s="13"/>
      <c r="AD6269" s="13"/>
      <c r="AE6269" s="13"/>
      <c r="AF6269" s="13"/>
    </row>
    <row r="6270" spans="19:32" x14ac:dyDescent="0.35">
      <c r="S6270" s="13"/>
      <c r="T6270" s="16"/>
      <c r="U6270" s="16"/>
      <c r="V6270" s="16"/>
      <c r="W6270" s="13"/>
      <c r="X6270" s="47">
        <v>6266</v>
      </c>
      <c r="Y6270" s="47" t="s">
        <v>2248</v>
      </c>
      <c r="Z6270" s="47" t="s">
        <v>3074</v>
      </c>
      <c r="AA6270" s="48">
        <v>1.4536</v>
      </c>
      <c r="AB6270" s="13"/>
      <c r="AC6270" s="13"/>
      <c r="AD6270" s="13"/>
      <c r="AE6270" s="13"/>
      <c r="AF6270" s="13"/>
    </row>
    <row r="6271" spans="19:32" x14ac:dyDescent="0.35">
      <c r="S6271" s="13"/>
      <c r="T6271" s="16"/>
      <c r="U6271" s="16"/>
      <c r="V6271" s="16"/>
      <c r="W6271" s="13"/>
      <c r="X6271" s="34">
        <v>6267</v>
      </c>
      <c r="Y6271" s="34" t="s">
        <v>2248</v>
      </c>
      <c r="Z6271" s="34" t="s">
        <v>2855</v>
      </c>
      <c r="AA6271" s="35">
        <v>4.3528225806451619</v>
      </c>
      <c r="AB6271" s="13"/>
      <c r="AC6271" s="13"/>
      <c r="AD6271" s="13"/>
      <c r="AE6271" s="13"/>
      <c r="AF6271" s="13"/>
    </row>
    <row r="6272" spans="19:32" x14ac:dyDescent="0.35">
      <c r="S6272" s="13"/>
      <c r="T6272" s="16"/>
      <c r="U6272" s="16"/>
      <c r="V6272" s="16"/>
      <c r="W6272" s="13"/>
      <c r="X6272" s="47">
        <v>6268</v>
      </c>
      <c r="Y6272" s="47" t="s">
        <v>2248</v>
      </c>
      <c r="Z6272" s="47" t="s">
        <v>3073</v>
      </c>
      <c r="AA6272" s="48">
        <v>0</v>
      </c>
      <c r="AB6272" s="13"/>
      <c r="AC6272" s="13"/>
      <c r="AD6272" s="13"/>
      <c r="AE6272" s="13"/>
      <c r="AF6272" s="13"/>
    </row>
    <row r="6273" spans="19:32" x14ac:dyDescent="0.35">
      <c r="S6273" s="13"/>
      <c r="T6273" s="16"/>
      <c r="U6273" s="16"/>
      <c r="V6273" s="16"/>
      <c r="W6273" s="13"/>
      <c r="X6273" s="47">
        <v>6269</v>
      </c>
      <c r="Y6273" s="47" t="s">
        <v>2248</v>
      </c>
      <c r="Z6273" s="47" t="s">
        <v>3072</v>
      </c>
      <c r="AA6273" s="48">
        <v>3.0728000000000002E-2</v>
      </c>
      <c r="AB6273" s="13"/>
      <c r="AC6273" s="13"/>
      <c r="AD6273" s="13"/>
      <c r="AE6273" s="13"/>
      <c r="AF6273" s="13"/>
    </row>
    <row r="6274" spans="19:32" x14ac:dyDescent="0.35">
      <c r="S6274" s="13"/>
      <c r="T6274" s="16"/>
      <c r="U6274" s="16"/>
      <c r="V6274" s="16"/>
      <c r="W6274" s="13"/>
      <c r="X6274" s="34">
        <v>6270</v>
      </c>
      <c r="Y6274" s="34" t="s">
        <v>2248</v>
      </c>
      <c r="Z6274" s="34" t="s">
        <v>2854</v>
      </c>
      <c r="AA6274" s="35">
        <v>2.3923387096774196E-3</v>
      </c>
      <c r="AB6274" s="13"/>
      <c r="AC6274" s="13"/>
      <c r="AD6274" s="13"/>
      <c r="AE6274" s="13"/>
      <c r="AF6274" s="13"/>
    </row>
    <row r="6275" spans="19:32" x14ac:dyDescent="0.35">
      <c r="S6275" s="13"/>
      <c r="T6275" s="16"/>
      <c r="U6275" s="16"/>
      <c r="V6275" s="16"/>
      <c r="W6275" s="13"/>
      <c r="X6275" s="47">
        <v>6271</v>
      </c>
      <c r="Y6275" s="47" t="s">
        <v>2248</v>
      </c>
      <c r="Z6275" s="47" t="s">
        <v>3071</v>
      </c>
      <c r="AA6275" s="48">
        <v>0</v>
      </c>
      <c r="AB6275" s="13"/>
      <c r="AC6275" s="13"/>
      <c r="AD6275" s="13"/>
      <c r="AE6275" s="13"/>
      <c r="AF6275" s="13"/>
    </row>
    <row r="6276" spans="19:32" x14ac:dyDescent="0.35">
      <c r="S6276" s="13"/>
      <c r="T6276" s="16"/>
      <c r="U6276" s="16"/>
      <c r="V6276" s="16"/>
      <c r="W6276" s="13"/>
      <c r="X6276" s="34">
        <v>6272</v>
      </c>
      <c r="Y6276" s="34" t="s">
        <v>2248</v>
      </c>
      <c r="Z6276" s="34" t="s">
        <v>3070</v>
      </c>
      <c r="AA6276" s="35">
        <v>5.3125000000000004E-4</v>
      </c>
      <c r="AB6276" s="13"/>
      <c r="AC6276" s="13"/>
      <c r="AD6276" s="13"/>
      <c r="AE6276" s="13"/>
      <c r="AF6276" s="13"/>
    </row>
    <row r="6277" spans="19:32" x14ac:dyDescent="0.35">
      <c r="S6277" s="13"/>
      <c r="T6277" s="16"/>
      <c r="U6277" s="16"/>
      <c r="V6277" s="16"/>
      <c r="W6277" s="13"/>
      <c r="X6277" s="47">
        <v>6273</v>
      </c>
      <c r="Y6277" s="47" t="s">
        <v>2248</v>
      </c>
      <c r="Z6277" s="47" t="s">
        <v>3069</v>
      </c>
      <c r="AA6277" s="48">
        <v>1.3615999999999999</v>
      </c>
      <c r="AB6277" s="13"/>
      <c r="AC6277" s="13"/>
      <c r="AD6277" s="13"/>
      <c r="AE6277" s="13"/>
      <c r="AF6277" s="13"/>
    </row>
    <row r="6278" spans="19:32" x14ac:dyDescent="0.35">
      <c r="S6278" s="13"/>
      <c r="T6278" s="16"/>
      <c r="U6278" s="16"/>
      <c r="V6278" s="16"/>
      <c r="W6278" s="13"/>
      <c r="X6278" s="47">
        <v>6274</v>
      </c>
      <c r="Y6278" s="47" t="s">
        <v>2248</v>
      </c>
      <c r="Z6278" s="47" t="s">
        <v>3068</v>
      </c>
      <c r="AA6278" s="48">
        <v>9.844E-2</v>
      </c>
      <c r="AB6278" s="13"/>
      <c r="AC6278" s="13"/>
      <c r="AD6278" s="13"/>
      <c r="AE6278" s="13"/>
      <c r="AF6278" s="13"/>
    </row>
    <row r="6279" spans="19:32" x14ac:dyDescent="0.35">
      <c r="S6279" s="13"/>
      <c r="T6279" s="16"/>
      <c r="U6279" s="16"/>
      <c r="V6279" s="16"/>
      <c r="W6279" s="13"/>
      <c r="X6279" s="34">
        <v>6275</v>
      </c>
      <c r="Y6279" s="34" t="s">
        <v>2248</v>
      </c>
      <c r="Z6279" s="34" t="s">
        <v>3067</v>
      </c>
      <c r="AA6279" s="35">
        <v>2.7590725806451619E-4</v>
      </c>
      <c r="AB6279" s="13"/>
      <c r="AC6279" s="13"/>
      <c r="AD6279" s="13"/>
      <c r="AE6279" s="13"/>
      <c r="AF6279" s="13"/>
    </row>
    <row r="6280" spans="19:32" x14ac:dyDescent="0.35">
      <c r="S6280" s="13"/>
      <c r="T6280" s="16"/>
      <c r="U6280" s="16"/>
      <c r="V6280" s="16"/>
      <c r="W6280" s="13"/>
      <c r="X6280" s="47">
        <v>6276</v>
      </c>
      <c r="Y6280" s="47" t="s">
        <v>2248</v>
      </c>
      <c r="Z6280" s="47" t="s">
        <v>3066</v>
      </c>
      <c r="AA6280" s="48">
        <v>1.2972000000000001E-2</v>
      </c>
      <c r="AB6280" s="13"/>
      <c r="AC6280" s="13"/>
      <c r="AD6280" s="13"/>
      <c r="AE6280" s="13"/>
      <c r="AF6280" s="13"/>
    </row>
    <row r="6281" spans="19:32" x14ac:dyDescent="0.35">
      <c r="S6281" s="13"/>
      <c r="T6281" s="16"/>
      <c r="U6281" s="16"/>
      <c r="V6281" s="16"/>
      <c r="W6281" s="13"/>
      <c r="X6281" s="47">
        <v>6277</v>
      </c>
      <c r="Y6281" s="47" t="s">
        <v>2248</v>
      </c>
      <c r="Z6281" s="47" t="s">
        <v>3065</v>
      </c>
      <c r="AA6281" s="48">
        <v>1.6559999999999999</v>
      </c>
      <c r="AB6281" s="13"/>
      <c r="AC6281" s="13"/>
      <c r="AD6281" s="13"/>
      <c r="AE6281" s="13"/>
      <c r="AF6281" s="13"/>
    </row>
    <row r="6282" spans="19:32" x14ac:dyDescent="0.35">
      <c r="S6282" s="13"/>
      <c r="T6282" s="16"/>
      <c r="U6282" s="16"/>
      <c r="V6282" s="16"/>
      <c r="W6282" s="13"/>
      <c r="X6282" s="34">
        <v>6278</v>
      </c>
      <c r="Y6282" s="34" t="s">
        <v>2248</v>
      </c>
      <c r="Z6282" s="34" t="s">
        <v>2853</v>
      </c>
      <c r="AA6282" s="35">
        <v>3.5302419354838713E-4</v>
      </c>
      <c r="AB6282" s="13"/>
      <c r="AC6282" s="13"/>
      <c r="AD6282" s="13"/>
      <c r="AE6282" s="13"/>
      <c r="AF6282" s="13"/>
    </row>
    <row r="6283" spans="19:32" x14ac:dyDescent="0.35">
      <c r="S6283" s="13"/>
      <c r="T6283" s="16"/>
      <c r="U6283" s="16"/>
      <c r="V6283" s="16"/>
      <c r="W6283" s="13"/>
      <c r="X6283" s="47">
        <v>6279</v>
      </c>
      <c r="Y6283" s="47" t="s">
        <v>2248</v>
      </c>
      <c r="Z6283" s="47" t="s">
        <v>3064</v>
      </c>
      <c r="AA6283" s="48">
        <v>2.3828</v>
      </c>
      <c r="AB6283" s="13"/>
      <c r="AC6283" s="13"/>
      <c r="AD6283" s="13"/>
      <c r="AE6283" s="13"/>
      <c r="AF6283" s="13"/>
    </row>
    <row r="6284" spans="19:32" x14ac:dyDescent="0.35">
      <c r="S6284" s="13"/>
      <c r="T6284" s="16"/>
      <c r="U6284" s="16"/>
      <c r="V6284" s="16"/>
      <c r="W6284" s="13"/>
      <c r="X6284" s="47">
        <v>6280</v>
      </c>
      <c r="Y6284" s="47" t="s">
        <v>2248</v>
      </c>
      <c r="Z6284" s="47" t="s">
        <v>3063</v>
      </c>
      <c r="AA6284" s="48">
        <v>2465.6</v>
      </c>
      <c r="AB6284" s="13"/>
      <c r="AC6284" s="13"/>
      <c r="AD6284" s="13"/>
      <c r="AE6284" s="13"/>
      <c r="AF6284" s="13"/>
    </row>
    <row r="6285" spans="19:32" x14ac:dyDescent="0.35">
      <c r="S6285" s="13"/>
      <c r="T6285" s="16"/>
      <c r="U6285" s="16"/>
      <c r="V6285" s="16"/>
      <c r="W6285" s="13"/>
      <c r="X6285" s="34">
        <v>6281</v>
      </c>
      <c r="Y6285" s="34" t="s">
        <v>2248</v>
      </c>
      <c r="Z6285" s="34" t="s">
        <v>3062</v>
      </c>
      <c r="AA6285" s="35">
        <v>1.9810483870967745E-4</v>
      </c>
      <c r="AB6285" s="13"/>
      <c r="AC6285" s="13"/>
      <c r="AD6285" s="13"/>
      <c r="AE6285" s="13"/>
      <c r="AF6285" s="13"/>
    </row>
    <row r="6286" spans="19:32" x14ac:dyDescent="0.35">
      <c r="S6286" s="13"/>
      <c r="T6286" s="16"/>
      <c r="U6286" s="16"/>
      <c r="V6286" s="16"/>
      <c r="W6286" s="13"/>
      <c r="X6286" s="47">
        <v>6282</v>
      </c>
      <c r="Y6286" s="47" t="s">
        <v>2248</v>
      </c>
      <c r="Z6286" s="47" t="s">
        <v>3061</v>
      </c>
      <c r="AA6286" s="48">
        <v>2.4380000000000001E-3</v>
      </c>
      <c r="AB6286" s="13"/>
      <c r="AC6286" s="13"/>
      <c r="AD6286" s="13"/>
      <c r="AE6286" s="13"/>
      <c r="AF6286" s="13"/>
    </row>
    <row r="6287" spans="19:32" x14ac:dyDescent="0.35">
      <c r="S6287" s="13"/>
      <c r="T6287" s="16"/>
      <c r="U6287" s="16"/>
      <c r="V6287" s="16"/>
      <c r="W6287" s="13"/>
      <c r="X6287" s="34">
        <v>6283</v>
      </c>
      <c r="Y6287" s="34" t="s">
        <v>2248</v>
      </c>
      <c r="Z6287" s="34" t="s">
        <v>3060</v>
      </c>
      <c r="AA6287" s="35">
        <v>0.11618951612903226</v>
      </c>
      <c r="AB6287" s="13"/>
      <c r="AC6287" s="13"/>
      <c r="AD6287" s="13"/>
      <c r="AE6287" s="13"/>
      <c r="AF6287" s="13"/>
    </row>
    <row r="6288" spans="19:32" x14ac:dyDescent="0.35">
      <c r="S6288" s="13"/>
      <c r="T6288" s="16"/>
      <c r="U6288" s="16"/>
      <c r="V6288" s="16"/>
      <c r="W6288" s="13"/>
      <c r="X6288" s="47">
        <v>6284</v>
      </c>
      <c r="Y6288" s="47" t="s">
        <v>2248</v>
      </c>
      <c r="Z6288" s="47" t="s">
        <v>3059</v>
      </c>
      <c r="AA6288" s="48">
        <v>2.3E-2</v>
      </c>
      <c r="AB6288" s="13"/>
      <c r="AC6288" s="13"/>
      <c r="AD6288" s="13"/>
      <c r="AE6288" s="13"/>
      <c r="AF6288" s="13"/>
    </row>
    <row r="6289" spans="19:32" x14ac:dyDescent="0.35">
      <c r="S6289" s="13"/>
      <c r="T6289" s="16"/>
      <c r="U6289" s="16"/>
      <c r="V6289" s="16"/>
      <c r="W6289" s="13"/>
      <c r="X6289" s="47">
        <v>6285</v>
      </c>
      <c r="Y6289" s="47" t="s">
        <v>2248</v>
      </c>
      <c r="Z6289" s="47" t="s">
        <v>3058</v>
      </c>
      <c r="AA6289" s="48">
        <v>0.96599999999999986</v>
      </c>
      <c r="AB6289" s="13"/>
      <c r="AC6289" s="13"/>
      <c r="AD6289" s="13"/>
      <c r="AE6289" s="13"/>
      <c r="AF6289" s="13"/>
    </row>
    <row r="6290" spans="19:32" x14ac:dyDescent="0.35">
      <c r="S6290" s="13"/>
      <c r="T6290" s="16"/>
      <c r="U6290" s="16"/>
      <c r="V6290" s="16"/>
      <c r="W6290" s="13"/>
      <c r="X6290" s="34">
        <v>6286</v>
      </c>
      <c r="Y6290" s="34" t="s">
        <v>2248</v>
      </c>
      <c r="Z6290" s="34" t="s">
        <v>3057</v>
      </c>
      <c r="AA6290" s="35">
        <v>6.7177419354838716E-2</v>
      </c>
      <c r="AB6290" s="13"/>
      <c r="AC6290" s="13"/>
      <c r="AD6290" s="13"/>
      <c r="AE6290" s="13"/>
      <c r="AF6290" s="13"/>
    </row>
    <row r="6291" spans="19:32" x14ac:dyDescent="0.35">
      <c r="S6291" s="13"/>
      <c r="T6291" s="16"/>
      <c r="U6291" s="16"/>
      <c r="V6291" s="16"/>
      <c r="W6291" s="13"/>
      <c r="X6291" s="47">
        <v>6287</v>
      </c>
      <c r="Y6291" s="47" t="s">
        <v>2248</v>
      </c>
      <c r="Z6291" s="47" t="s">
        <v>3056</v>
      </c>
      <c r="AA6291" s="48">
        <v>7.1943999999999994E-2</v>
      </c>
      <c r="AB6291" s="13"/>
      <c r="AC6291" s="13"/>
      <c r="AD6291" s="13"/>
      <c r="AE6291" s="13"/>
      <c r="AF6291" s="13"/>
    </row>
    <row r="6292" spans="19:32" x14ac:dyDescent="0.35">
      <c r="S6292" s="13"/>
      <c r="T6292" s="16"/>
      <c r="U6292" s="16"/>
      <c r="V6292" s="16"/>
      <c r="W6292" s="13"/>
      <c r="X6292" s="47">
        <v>6288</v>
      </c>
      <c r="Y6292" s="47" t="s">
        <v>2248</v>
      </c>
      <c r="Z6292" s="47" t="s">
        <v>3055</v>
      </c>
      <c r="AA6292" s="48">
        <v>0</v>
      </c>
      <c r="AB6292" s="13"/>
      <c r="AC6292" s="13"/>
      <c r="AD6292" s="13"/>
      <c r="AE6292" s="13"/>
      <c r="AF6292" s="13"/>
    </row>
    <row r="6293" spans="19:32" x14ac:dyDescent="0.35">
      <c r="S6293" s="13"/>
      <c r="T6293" s="16"/>
      <c r="U6293" s="16"/>
      <c r="V6293" s="16"/>
      <c r="W6293" s="13"/>
      <c r="X6293" s="34">
        <v>6289</v>
      </c>
      <c r="Y6293" s="34" t="s">
        <v>2248</v>
      </c>
      <c r="Z6293" s="34" t="s">
        <v>2850</v>
      </c>
      <c r="AA6293" s="35">
        <v>3.5987903225806452E-2</v>
      </c>
      <c r="AB6293" s="13"/>
      <c r="AC6293" s="13"/>
      <c r="AD6293" s="13"/>
      <c r="AE6293" s="13"/>
      <c r="AF6293" s="13"/>
    </row>
    <row r="6294" spans="19:32" x14ac:dyDescent="0.35">
      <c r="S6294" s="13"/>
      <c r="T6294" s="16"/>
      <c r="U6294" s="16"/>
      <c r="V6294" s="16"/>
      <c r="W6294" s="13"/>
      <c r="X6294" s="47">
        <v>6290</v>
      </c>
      <c r="Y6294" s="47" t="s">
        <v>2248</v>
      </c>
      <c r="Z6294" s="47" t="s">
        <v>3054</v>
      </c>
      <c r="AA6294" s="48">
        <v>0.22172</v>
      </c>
      <c r="AB6294" s="13"/>
      <c r="AC6294" s="13"/>
      <c r="AD6294" s="13"/>
      <c r="AE6294" s="13"/>
      <c r="AF6294" s="13"/>
    </row>
    <row r="6295" spans="19:32" x14ac:dyDescent="0.35">
      <c r="S6295" s="13"/>
      <c r="T6295" s="16"/>
      <c r="U6295" s="16"/>
      <c r="V6295" s="16"/>
      <c r="W6295" s="13"/>
      <c r="X6295" s="47">
        <v>6291</v>
      </c>
      <c r="Y6295" s="47" t="s">
        <v>2248</v>
      </c>
      <c r="Z6295" s="47" t="s">
        <v>3053</v>
      </c>
      <c r="AA6295" s="48">
        <v>0.58511999999999997</v>
      </c>
      <c r="AB6295" s="13"/>
      <c r="AC6295" s="13"/>
      <c r="AD6295" s="13"/>
      <c r="AE6295" s="13"/>
      <c r="AF6295" s="13"/>
    </row>
    <row r="6296" spans="19:32" x14ac:dyDescent="0.35">
      <c r="S6296" s="13"/>
      <c r="T6296" s="16"/>
      <c r="U6296" s="16"/>
      <c r="V6296" s="16"/>
      <c r="W6296" s="13"/>
      <c r="X6296" s="34">
        <v>6292</v>
      </c>
      <c r="Y6296" s="34" t="s">
        <v>2248</v>
      </c>
      <c r="Z6296" s="34" t="s">
        <v>3052</v>
      </c>
      <c r="AA6296" s="35">
        <v>0.31429435483870971</v>
      </c>
      <c r="AB6296" s="13"/>
      <c r="AC6296" s="13"/>
      <c r="AD6296" s="13"/>
      <c r="AE6296" s="13"/>
      <c r="AF6296" s="13"/>
    </row>
    <row r="6297" spans="19:32" x14ac:dyDescent="0.35">
      <c r="S6297" s="13"/>
      <c r="T6297" s="16"/>
      <c r="U6297" s="16"/>
      <c r="V6297" s="16"/>
      <c r="W6297" s="13"/>
      <c r="X6297" s="47">
        <v>6293</v>
      </c>
      <c r="Y6297" s="47" t="s">
        <v>2248</v>
      </c>
      <c r="Z6297" s="47" t="s">
        <v>3051</v>
      </c>
      <c r="AA6297" s="48">
        <v>0.53267999999999993</v>
      </c>
      <c r="AB6297" s="13"/>
      <c r="AC6297" s="13"/>
      <c r="AD6297" s="13"/>
      <c r="AE6297" s="13"/>
      <c r="AF6297" s="13"/>
    </row>
    <row r="6298" spans="19:32" x14ac:dyDescent="0.35">
      <c r="S6298" s="13"/>
      <c r="T6298" s="16"/>
      <c r="U6298" s="16"/>
      <c r="V6298" s="16"/>
      <c r="W6298" s="13"/>
      <c r="X6298" s="47">
        <v>6294</v>
      </c>
      <c r="Y6298" s="47" t="s">
        <v>2248</v>
      </c>
      <c r="Z6298" s="47" t="s">
        <v>3050</v>
      </c>
      <c r="AA6298" s="48">
        <v>2.4011999999999999E-2</v>
      </c>
      <c r="AB6298" s="13"/>
      <c r="AC6298" s="13"/>
      <c r="AD6298" s="13"/>
      <c r="AE6298" s="13"/>
      <c r="AF6298" s="13"/>
    </row>
    <row r="6299" spans="19:32" x14ac:dyDescent="0.35">
      <c r="S6299" s="13"/>
      <c r="T6299" s="16"/>
      <c r="U6299" s="16"/>
      <c r="V6299" s="16"/>
      <c r="W6299" s="13"/>
      <c r="X6299" s="34">
        <v>6295</v>
      </c>
      <c r="Y6299" s="34" t="s">
        <v>2248</v>
      </c>
      <c r="Z6299" s="34" t="s">
        <v>3049</v>
      </c>
      <c r="AA6299" s="35">
        <v>1.1173387096774195E-3</v>
      </c>
      <c r="AB6299" s="13"/>
      <c r="AC6299" s="13"/>
      <c r="AD6299" s="13"/>
      <c r="AE6299" s="13"/>
      <c r="AF6299" s="13"/>
    </row>
    <row r="6300" spans="19:32" x14ac:dyDescent="0.35">
      <c r="S6300" s="13"/>
      <c r="T6300" s="16"/>
      <c r="U6300" s="16"/>
      <c r="V6300" s="16"/>
      <c r="W6300" s="13"/>
      <c r="X6300" s="47">
        <v>6296</v>
      </c>
      <c r="Y6300" s="47" t="s">
        <v>2248</v>
      </c>
      <c r="Z6300" s="47" t="s">
        <v>3048</v>
      </c>
      <c r="AA6300" s="48">
        <v>0</v>
      </c>
      <c r="AB6300" s="13"/>
      <c r="AC6300" s="13"/>
      <c r="AD6300" s="13"/>
      <c r="AE6300" s="13"/>
      <c r="AF6300" s="13"/>
    </row>
    <row r="6301" spans="19:32" x14ac:dyDescent="0.35">
      <c r="S6301" s="13"/>
      <c r="T6301" s="16"/>
      <c r="U6301" s="16"/>
      <c r="V6301" s="16"/>
      <c r="W6301" s="13"/>
      <c r="X6301" s="34">
        <v>6297</v>
      </c>
      <c r="Y6301" s="34" t="s">
        <v>2248</v>
      </c>
      <c r="Z6301" s="34" t="s">
        <v>3047</v>
      </c>
      <c r="AA6301" s="35">
        <v>8.8084677419354848E-4</v>
      </c>
      <c r="AB6301" s="13"/>
      <c r="AC6301" s="13"/>
      <c r="AD6301" s="13"/>
      <c r="AE6301" s="13"/>
      <c r="AF6301" s="13"/>
    </row>
    <row r="6302" spans="19:32" x14ac:dyDescent="0.35">
      <c r="S6302" s="13"/>
      <c r="T6302" s="16"/>
      <c r="U6302" s="16"/>
      <c r="V6302" s="16"/>
      <c r="W6302" s="13"/>
      <c r="X6302" s="47">
        <v>6298</v>
      </c>
      <c r="Y6302" s="47" t="s">
        <v>2248</v>
      </c>
      <c r="Z6302" s="47" t="s">
        <v>3046</v>
      </c>
      <c r="AA6302" s="48">
        <v>310.04000000000002</v>
      </c>
      <c r="AB6302" s="13"/>
      <c r="AC6302" s="13"/>
      <c r="AD6302" s="13"/>
      <c r="AE6302" s="13"/>
      <c r="AF6302" s="13"/>
    </row>
    <row r="6303" spans="19:32" x14ac:dyDescent="0.35">
      <c r="S6303" s="13"/>
      <c r="T6303" s="16"/>
      <c r="U6303" s="16"/>
      <c r="V6303" s="16"/>
      <c r="W6303" s="13"/>
      <c r="X6303" s="47">
        <v>6299</v>
      </c>
      <c r="Y6303" s="47" t="s">
        <v>2248</v>
      </c>
      <c r="Z6303" s="47" t="s">
        <v>3045</v>
      </c>
      <c r="AA6303" s="48">
        <v>0.86571999999999993</v>
      </c>
      <c r="AB6303" s="13"/>
      <c r="AC6303" s="13"/>
      <c r="AD6303" s="13"/>
      <c r="AE6303" s="13"/>
      <c r="AF6303" s="13"/>
    </row>
    <row r="6304" spans="19:32" x14ac:dyDescent="0.35">
      <c r="S6304" s="13"/>
      <c r="T6304" s="16"/>
      <c r="U6304" s="16"/>
      <c r="V6304" s="16"/>
      <c r="W6304" s="13"/>
      <c r="X6304" s="34">
        <v>6300</v>
      </c>
      <c r="Y6304" s="34" t="s">
        <v>2248</v>
      </c>
      <c r="Z6304" s="34" t="s">
        <v>3044</v>
      </c>
      <c r="AA6304" s="35">
        <v>3.8729838709677424E-3</v>
      </c>
      <c r="AB6304" s="13"/>
      <c r="AC6304" s="13"/>
      <c r="AD6304" s="13"/>
      <c r="AE6304" s="13"/>
      <c r="AF6304" s="13"/>
    </row>
    <row r="6305" spans="19:32" x14ac:dyDescent="0.35">
      <c r="S6305" s="13"/>
      <c r="T6305" s="16"/>
      <c r="U6305" s="16"/>
      <c r="V6305" s="16"/>
      <c r="W6305" s="13"/>
      <c r="X6305" s="47">
        <v>6301</v>
      </c>
      <c r="Y6305" s="47" t="s">
        <v>2248</v>
      </c>
      <c r="Z6305" s="47" t="s">
        <v>3043</v>
      </c>
      <c r="AA6305" s="48">
        <v>8.6112000000000002</v>
      </c>
      <c r="AB6305" s="13"/>
      <c r="AC6305" s="13"/>
      <c r="AD6305" s="13"/>
      <c r="AE6305" s="13"/>
      <c r="AF6305" s="13"/>
    </row>
    <row r="6306" spans="19:32" x14ac:dyDescent="0.35">
      <c r="S6306" s="13"/>
      <c r="T6306" s="16"/>
      <c r="U6306" s="16"/>
      <c r="V6306" s="16"/>
      <c r="W6306" s="13"/>
      <c r="X6306" s="47">
        <v>6302</v>
      </c>
      <c r="Y6306" s="47" t="s">
        <v>2248</v>
      </c>
      <c r="Z6306" s="47" t="s">
        <v>3042</v>
      </c>
      <c r="AA6306" s="48">
        <v>0</v>
      </c>
      <c r="AB6306" s="13"/>
      <c r="AC6306" s="13"/>
      <c r="AD6306" s="13"/>
      <c r="AE6306" s="13"/>
      <c r="AF6306" s="13"/>
    </row>
    <row r="6307" spans="19:32" x14ac:dyDescent="0.35">
      <c r="S6307" s="13"/>
      <c r="T6307" s="16"/>
      <c r="U6307" s="16"/>
      <c r="V6307" s="16"/>
      <c r="W6307" s="13"/>
      <c r="X6307" s="34">
        <v>6303</v>
      </c>
      <c r="Y6307" s="34" t="s">
        <v>2248</v>
      </c>
      <c r="Z6307" s="34" t="s">
        <v>3041</v>
      </c>
      <c r="AA6307" s="35">
        <v>1.370967741935484E-3</v>
      </c>
      <c r="AB6307" s="13"/>
      <c r="AC6307" s="13"/>
      <c r="AD6307" s="13"/>
      <c r="AE6307" s="13"/>
      <c r="AF6307" s="13"/>
    </row>
    <row r="6308" spans="19:32" x14ac:dyDescent="0.35">
      <c r="S6308" s="13"/>
      <c r="T6308" s="16"/>
      <c r="U6308" s="16"/>
      <c r="V6308" s="16"/>
      <c r="W6308" s="13"/>
      <c r="X6308" s="47">
        <v>6304</v>
      </c>
      <c r="Y6308" s="47" t="s">
        <v>2248</v>
      </c>
      <c r="Z6308" s="47" t="s">
        <v>3040</v>
      </c>
      <c r="AA6308" s="48">
        <v>0</v>
      </c>
      <c r="AB6308" s="13"/>
      <c r="AC6308" s="13"/>
      <c r="AD6308" s="13"/>
      <c r="AE6308" s="13"/>
      <c r="AF6308" s="13"/>
    </row>
    <row r="6309" spans="19:32" x14ac:dyDescent="0.35">
      <c r="S6309" s="13"/>
      <c r="T6309" s="16"/>
      <c r="U6309" s="16"/>
      <c r="V6309" s="16"/>
      <c r="W6309" s="13"/>
      <c r="X6309" s="47">
        <v>6305</v>
      </c>
      <c r="Y6309" s="47" t="s">
        <v>2248</v>
      </c>
      <c r="Z6309" s="47" t="s">
        <v>3039</v>
      </c>
      <c r="AA6309" s="48">
        <v>0.10303999999999999</v>
      </c>
      <c r="AB6309" s="13"/>
      <c r="AC6309" s="13"/>
      <c r="AD6309" s="13"/>
      <c r="AE6309" s="13"/>
      <c r="AF6309" s="13"/>
    </row>
    <row r="6310" spans="19:32" x14ac:dyDescent="0.35">
      <c r="S6310" s="13"/>
      <c r="T6310" s="16"/>
      <c r="U6310" s="16"/>
      <c r="V6310" s="16"/>
      <c r="W6310" s="13"/>
      <c r="X6310" s="34">
        <v>6306</v>
      </c>
      <c r="Y6310" s="34" t="s">
        <v>2248</v>
      </c>
      <c r="Z6310" s="34" t="s">
        <v>3038</v>
      </c>
      <c r="AA6310" s="35">
        <v>1.0727822580645161E-3</v>
      </c>
      <c r="AB6310" s="13"/>
      <c r="AC6310" s="13"/>
      <c r="AD6310" s="13"/>
      <c r="AE6310" s="13"/>
      <c r="AF6310" s="13"/>
    </row>
    <row r="6311" spans="19:32" x14ac:dyDescent="0.35">
      <c r="S6311" s="13"/>
      <c r="T6311" s="16"/>
      <c r="U6311" s="16"/>
      <c r="V6311" s="16"/>
      <c r="W6311" s="13"/>
      <c r="X6311" s="47">
        <v>6307</v>
      </c>
      <c r="Y6311" s="47" t="s">
        <v>2248</v>
      </c>
      <c r="Z6311" s="47" t="s">
        <v>3037</v>
      </c>
      <c r="AA6311" s="48">
        <v>0</v>
      </c>
      <c r="AB6311" s="13"/>
      <c r="AC6311" s="13"/>
      <c r="AD6311" s="13"/>
      <c r="AE6311" s="13"/>
      <c r="AF6311" s="13"/>
    </row>
    <row r="6312" spans="19:32" x14ac:dyDescent="0.35">
      <c r="S6312" s="13"/>
      <c r="T6312" s="16"/>
      <c r="U6312" s="16"/>
      <c r="V6312" s="16"/>
      <c r="W6312" s="13"/>
      <c r="X6312" s="34">
        <v>6308</v>
      </c>
      <c r="Y6312" s="34" t="s">
        <v>2248</v>
      </c>
      <c r="Z6312" s="34" t="s">
        <v>3036</v>
      </c>
      <c r="AA6312" s="35">
        <v>3.0264112903225808E-3</v>
      </c>
      <c r="AB6312" s="13"/>
      <c r="AC6312" s="13"/>
      <c r="AD6312" s="13"/>
      <c r="AE6312" s="13"/>
      <c r="AF6312" s="13"/>
    </row>
    <row r="6313" spans="19:32" x14ac:dyDescent="0.35">
      <c r="S6313" s="13"/>
      <c r="T6313" s="16"/>
      <c r="U6313" s="16"/>
      <c r="V6313" s="16"/>
      <c r="W6313" s="13"/>
      <c r="X6313" s="47">
        <v>6309</v>
      </c>
      <c r="Y6313" s="47" t="s">
        <v>2248</v>
      </c>
      <c r="Z6313" s="47" t="s">
        <v>3035</v>
      </c>
      <c r="AA6313" s="48">
        <v>92.92</v>
      </c>
      <c r="AB6313" s="13"/>
      <c r="AC6313" s="13"/>
      <c r="AD6313" s="13"/>
      <c r="AE6313" s="13"/>
      <c r="AF6313" s="13"/>
    </row>
    <row r="6314" spans="19:32" x14ac:dyDescent="0.35">
      <c r="S6314" s="13"/>
      <c r="T6314" s="16"/>
      <c r="U6314" s="16"/>
      <c r="V6314" s="16"/>
      <c r="W6314" s="13"/>
      <c r="X6314" s="47">
        <v>6310</v>
      </c>
      <c r="Y6314" s="47" t="s">
        <v>2248</v>
      </c>
      <c r="Z6314" s="47" t="s">
        <v>3034</v>
      </c>
      <c r="AA6314" s="48">
        <v>0</v>
      </c>
      <c r="AB6314" s="13"/>
      <c r="AC6314" s="13"/>
      <c r="AD6314" s="13"/>
      <c r="AE6314" s="13"/>
      <c r="AF6314" s="13"/>
    </row>
    <row r="6315" spans="19:32" x14ac:dyDescent="0.35">
      <c r="S6315" s="13"/>
      <c r="T6315" s="16"/>
      <c r="U6315" s="16"/>
      <c r="V6315" s="16"/>
      <c r="W6315" s="13"/>
      <c r="X6315" s="34">
        <v>6311</v>
      </c>
      <c r="Y6315" s="34" t="s">
        <v>2248</v>
      </c>
      <c r="Z6315" s="34" t="s">
        <v>3033</v>
      </c>
      <c r="AA6315" s="35">
        <v>5.0725806451612907E-5</v>
      </c>
      <c r="AB6315" s="13"/>
      <c r="AC6315" s="13"/>
      <c r="AD6315" s="13"/>
      <c r="AE6315" s="13"/>
      <c r="AF6315" s="13"/>
    </row>
    <row r="6316" spans="19:32" x14ac:dyDescent="0.35">
      <c r="S6316" s="13"/>
      <c r="T6316" s="16"/>
      <c r="U6316" s="16"/>
      <c r="V6316" s="16"/>
      <c r="W6316" s="13"/>
      <c r="X6316" s="47">
        <v>6312</v>
      </c>
      <c r="Y6316" s="47" t="s">
        <v>2248</v>
      </c>
      <c r="Z6316" s="47" t="s">
        <v>3032</v>
      </c>
      <c r="AA6316" s="48">
        <v>0</v>
      </c>
      <c r="AB6316" s="13"/>
      <c r="AC6316" s="13"/>
      <c r="AD6316" s="13"/>
      <c r="AE6316" s="13"/>
      <c r="AF6316" s="13"/>
    </row>
    <row r="6317" spans="19:32" x14ac:dyDescent="0.35">
      <c r="S6317" s="13"/>
      <c r="T6317" s="16"/>
      <c r="U6317" s="16"/>
      <c r="V6317" s="16"/>
      <c r="W6317" s="13"/>
      <c r="X6317" s="47">
        <v>6313</v>
      </c>
      <c r="Y6317" s="47" t="s">
        <v>2248</v>
      </c>
      <c r="Z6317" s="47" t="s">
        <v>3031</v>
      </c>
      <c r="AA6317" s="48">
        <v>2.2816000000000001</v>
      </c>
      <c r="AB6317" s="13"/>
      <c r="AC6317" s="13"/>
      <c r="AD6317" s="13"/>
      <c r="AE6317" s="13"/>
      <c r="AF6317" s="13"/>
    </row>
    <row r="6318" spans="19:32" x14ac:dyDescent="0.35">
      <c r="S6318" s="13"/>
      <c r="T6318" s="16"/>
      <c r="U6318" s="16"/>
      <c r="V6318" s="16"/>
      <c r="W6318" s="13"/>
      <c r="X6318" s="34">
        <v>6314</v>
      </c>
      <c r="Y6318" s="34" t="s">
        <v>2248</v>
      </c>
      <c r="Z6318" s="34" t="s">
        <v>3030</v>
      </c>
      <c r="AA6318" s="35">
        <v>7.8487903225806454E-4</v>
      </c>
      <c r="AB6318" s="13"/>
      <c r="AC6318" s="13"/>
      <c r="AD6318" s="13"/>
      <c r="AE6318" s="13"/>
      <c r="AF6318" s="13"/>
    </row>
    <row r="6319" spans="19:32" x14ac:dyDescent="0.35">
      <c r="S6319" s="13"/>
      <c r="T6319" s="16"/>
      <c r="U6319" s="16"/>
      <c r="V6319" s="16"/>
      <c r="W6319" s="13"/>
      <c r="X6319" s="47">
        <v>6315</v>
      </c>
      <c r="Y6319" s="47" t="s">
        <v>2248</v>
      </c>
      <c r="Z6319" s="47" t="s">
        <v>3029</v>
      </c>
      <c r="AA6319" s="48">
        <v>0.48575999999999997</v>
      </c>
      <c r="AB6319" s="13"/>
      <c r="AC6319" s="13"/>
      <c r="AD6319" s="13"/>
      <c r="AE6319" s="13"/>
      <c r="AF6319" s="13"/>
    </row>
    <row r="6320" spans="19:32" x14ac:dyDescent="0.35">
      <c r="S6320" s="13"/>
      <c r="T6320" s="16"/>
      <c r="U6320" s="16"/>
      <c r="V6320" s="16"/>
      <c r="W6320" s="13"/>
      <c r="X6320" s="47">
        <v>6316</v>
      </c>
      <c r="Y6320" s="47" t="s">
        <v>2248</v>
      </c>
      <c r="Z6320" s="47" t="s">
        <v>3028</v>
      </c>
      <c r="AA6320" s="48">
        <v>1.0580000000000001</v>
      </c>
      <c r="AB6320" s="13"/>
      <c r="AC6320" s="13"/>
      <c r="AD6320" s="13"/>
      <c r="AE6320" s="13"/>
      <c r="AF6320" s="13"/>
    </row>
    <row r="6321" spans="19:32" x14ac:dyDescent="0.35">
      <c r="S6321" s="13"/>
      <c r="T6321" s="16"/>
      <c r="U6321" s="16"/>
      <c r="V6321" s="16"/>
      <c r="W6321" s="13"/>
      <c r="X6321" s="34">
        <v>6317</v>
      </c>
      <c r="Y6321" s="34" t="s">
        <v>2248</v>
      </c>
      <c r="Z6321" s="34" t="s">
        <v>3027</v>
      </c>
      <c r="AA6321" s="35">
        <v>1.4018145161290322E-3</v>
      </c>
      <c r="AB6321" s="13"/>
      <c r="AC6321" s="13"/>
      <c r="AD6321" s="13"/>
      <c r="AE6321" s="13"/>
      <c r="AF6321" s="13"/>
    </row>
    <row r="6322" spans="19:32" x14ac:dyDescent="0.35">
      <c r="S6322" s="13"/>
      <c r="T6322" s="16"/>
      <c r="U6322" s="16"/>
      <c r="V6322" s="16"/>
      <c r="W6322" s="13"/>
      <c r="X6322" s="47">
        <v>6318</v>
      </c>
      <c r="Y6322" s="47" t="s">
        <v>2248</v>
      </c>
      <c r="Z6322" s="47" t="s">
        <v>3026</v>
      </c>
      <c r="AA6322" s="48">
        <v>12.972000000000001</v>
      </c>
      <c r="AB6322" s="13"/>
      <c r="AC6322" s="13"/>
      <c r="AD6322" s="13"/>
      <c r="AE6322" s="13"/>
      <c r="AF6322" s="13"/>
    </row>
    <row r="6323" spans="19:32" x14ac:dyDescent="0.35">
      <c r="S6323" s="13"/>
      <c r="T6323" s="16"/>
      <c r="U6323" s="16"/>
      <c r="V6323" s="16"/>
      <c r="W6323" s="13"/>
      <c r="X6323" s="47">
        <v>6319</v>
      </c>
      <c r="Y6323" s="47" t="s">
        <v>2248</v>
      </c>
      <c r="Z6323" s="47" t="s">
        <v>3025</v>
      </c>
      <c r="AA6323" s="48">
        <v>0</v>
      </c>
      <c r="AB6323" s="13"/>
      <c r="AC6323" s="13"/>
      <c r="AD6323" s="13"/>
      <c r="AE6323" s="13"/>
      <c r="AF6323" s="13"/>
    </row>
    <row r="6324" spans="19:32" x14ac:dyDescent="0.35">
      <c r="S6324" s="13"/>
      <c r="T6324" s="16"/>
      <c r="U6324" s="16"/>
      <c r="V6324" s="16"/>
      <c r="W6324" s="13"/>
      <c r="X6324" s="34">
        <v>6320</v>
      </c>
      <c r="Y6324" s="34" t="s">
        <v>2248</v>
      </c>
      <c r="Z6324" s="34" t="s">
        <v>3024</v>
      </c>
      <c r="AA6324" s="35">
        <v>7.3689516129032268E-2</v>
      </c>
      <c r="AB6324" s="13"/>
      <c r="AC6324" s="13"/>
      <c r="AD6324" s="13"/>
      <c r="AE6324" s="13"/>
      <c r="AF6324" s="13"/>
    </row>
    <row r="6325" spans="19:32" x14ac:dyDescent="0.35">
      <c r="S6325" s="13"/>
      <c r="T6325" s="16"/>
      <c r="U6325" s="16"/>
      <c r="V6325" s="16"/>
      <c r="W6325" s="13"/>
      <c r="X6325" s="47">
        <v>6321</v>
      </c>
      <c r="Y6325" s="47" t="s">
        <v>2248</v>
      </c>
      <c r="Z6325" s="47" t="s">
        <v>3023</v>
      </c>
      <c r="AA6325" s="48">
        <v>0</v>
      </c>
      <c r="AB6325" s="13"/>
      <c r="AC6325" s="13"/>
      <c r="AD6325" s="13"/>
      <c r="AE6325" s="13"/>
      <c r="AF6325" s="13"/>
    </row>
    <row r="6326" spans="19:32" x14ac:dyDescent="0.35">
      <c r="S6326" s="13"/>
      <c r="T6326" s="16"/>
      <c r="U6326" s="16"/>
      <c r="V6326" s="16"/>
      <c r="W6326" s="13"/>
      <c r="X6326" s="34">
        <v>6322</v>
      </c>
      <c r="Y6326" s="34" t="s">
        <v>2248</v>
      </c>
      <c r="Z6326" s="34" t="s">
        <v>3022</v>
      </c>
      <c r="AA6326" s="35">
        <v>1.1481854838709677E-3</v>
      </c>
      <c r="AB6326" s="13"/>
      <c r="AC6326" s="13"/>
      <c r="AD6326" s="13"/>
      <c r="AE6326" s="13"/>
      <c r="AF6326" s="13"/>
    </row>
    <row r="6327" spans="19:32" x14ac:dyDescent="0.35">
      <c r="S6327" s="13"/>
      <c r="T6327" s="16"/>
      <c r="U6327" s="16"/>
      <c r="V6327" s="16"/>
      <c r="W6327" s="13"/>
      <c r="X6327" s="47">
        <v>6323</v>
      </c>
      <c r="Y6327" s="47" t="s">
        <v>2248</v>
      </c>
      <c r="Z6327" s="47" t="s">
        <v>3021</v>
      </c>
      <c r="AA6327" s="48">
        <v>1.5547999999999999E-2</v>
      </c>
      <c r="AB6327" s="13"/>
      <c r="AC6327" s="13"/>
      <c r="AD6327" s="13"/>
      <c r="AE6327" s="13"/>
      <c r="AF6327" s="13"/>
    </row>
    <row r="6328" spans="19:32" x14ac:dyDescent="0.35">
      <c r="S6328" s="13"/>
      <c r="T6328" s="16"/>
      <c r="U6328" s="16"/>
      <c r="V6328" s="16"/>
      <c r="W6328" s="13"/>
      <c r="X6328" s="47">
        <v>6324</v>
      </c>
      <c r="Y6328" s="47" t="s">
        <v>2248</v>
      </c>
      <c r="Z6328" s="47" t="s">
        <v>3020</v>
      </c>
      <c r="AA6328" s="48">
        <v>2.6404E-2</v>
      </c>
      <c r="AB6328" s="13"/>
      <c r="AC6328" s="13"/>
      <c r="AD6328" s="13"/>
      <c r="AE6328" s="13"/>
      <c r="AF6328" s="13"/>
    </row>
    <row r="6329" spans="19:32" x14ac:dyDescent="0.35">
      <c r="S6329" s="13"/>
      <c r="T6329" s="16"/>
      <c r="U6329" s="16"/>
      <c r="V6329" s="16"/>
      <c r="W6329" s="13"/>
      <c r="X6329" s="34">
        <v>6325</v>
      </c>
      <c r="Y6329" s="34" t="s">
        <v>2248</v>
      </c>
      <c r="Z6329" s="34" t="s">
        <v>3019</v>
      </c>
      <c r="AA6329" s="35">
        <v>2.9201612903225809E-5</v>
      </c>
      <c r="AB6329" s="13"/>
      <c r="AC6329" s="13"/>
      <c r="AD6329" s="13"/>
      <c r="AE6329" s="13"/>
      <c r="AF6329" s="13"/>
    </row>
    <row r="6330" spans="19:32" x14ac:dyDescent="0.35">
      <c r="S6330" s="13"/>
      <c r="T6330" s="16"/>
      <c r="U6330" s="16"/>
      <c r="V6330" s="16"/>
      <c r="W6330" s="13"/>
      <c r="X6330" s="47">
        <v>6326</v>
      </c>
      <c r="Y6330" s="47" t="s">
        <v>2248</v>
      </c>
      <c r="Z6330" s="47" t="s">
        <v>3018</v>
      </c>
      <c r="AA6330" s="48">
        <v>6.4675999999999997E-2</v>
      </c>
      <c r="AB6330" s="13"/>
      <c r="AC6330" s="13"/>
      <c r="AD6330" s="13"/>
      <c r="AE6330" s="13"/>
      <c r="AF6330" s="13"/>
    </row>
    <row r="6331" spans="19:32" x14ac:dyDescent="0.35">
      <c r="S6331" s="13"/>
      <c r="T6331" s="16"/>
      <c r="U6331" s="16"/>
      <c r="V6331" s="16"/>
      <c r="W6331" s="13"/>
      <c r="X6331" s="47">
        <v>6327</v>
      </c>
      <c r="Y6331" s="47" t="s">
        <v>2248</v>
      </c>
      <c r="Z6331" s="47" t="s">
        <v>3017</v>
      </c>
      <c r="AA6331" s="48">
        <v>1.3984E-2</v>
      </c>
      <c r="AB6331" s="13"/>
      <c r="AC6331" s="13"/>
      <c r="AD6331" s="13"/>
      <c r="AE6331" s="13"/>
      <c r="AF6331" s="13"/>
    </row>
    <row r="6332" spans="19:32" x14ac:dyDescent="0.35">
      <c r="S6332" s="13"/>
      <c r="T6332" s="16"/>
      <c r="U6332" s="16"/>
      <c r="V6332" s="16"/>
      <c r="W6332" s="13"/>
      <c r="X6332" s="34">
        <v>6328</v>
      </c>
      <c r="Y6332" s="34" t="s">
        <v>2248</v>
      </c>
      <c r="Z6332" s="34" t="s">
        <v>3016</v>
      </c>
      <c r="AA6332" s="35">
        <v>2.0975806451612906E-4</v>
      </c>
      <c r="AB6332" s="13"/>
      <c r="AC6332" s="13"/>
      <c r="AD6332" s="13"/>
      <c r="AE6332" s="13"/>
      <c r="AF6332" s="13"/>
    </row>
    <row r="6333" spans="19:32" x14ac:dyDescent="0.35">
      <c r="S6333" s="13"/>
      <c r="T6333" s="16"/>
      <c r="U6333" s="16"/>
      <c r="V6333" s="16"/>
      <c r="W6333" s="13"/>
      <c r="X6333" s="47">
        <v>6329</v>
      </c>
      <c r="Y6333" s="47" t="s">
        <v>2248</v>
      </c>
      <c r="Z6333" s="47" t="s">
        <v>3015</v>
      </c>
      <c r="AA6333" s="48">
        <v>6.6883999999999999E-2</v>
      </c>
      <c r="AB6333" s="13"/>
      <c r="AC6333" s="13"/>
      <c r="AD6333" s="13"/>
      <c r="AE6333" s="13"/>
      <c r="AF6333" s="13"/>
    </row>
    <row r="6334" spans="19:32" x14ac:dyDescent="0.35">
      <c r="S6334" s="13"/>
      <c r="T6334" s="16"/>
      <c r="U6334" s="16"/>
      <c r="V6334" s="16"/>
      <c r="W6334" s="13"/>
      <c r="X6334" s="47">
        <v>6330</v>
      </c>
      <c r="Y6334" s="47" t="s">
        <v>2248</v>
      </c>
      <c r="Z6334" s="47" t="s">
        <v>3014</v>
      </c>
      <c r="AA6334" s="48">
        <v>0</v>
      </c>
      <c r="AB6334" s="13"/>
      <c r="AC6334" s="13"/>
      <c r="AD6334" s="13"/>
      <c r="AE6334" s="13"/>
      <c r="AF6334" s="13"/>
    </row>
    <row r="6335" spans="19:32" x14ac:dyDescent="0.35">
      <c r="S6335" s="13"/>
      <c r="T6335" s="16"/>
      <c r="U6335" s="16"/>
      <c r="V6335" s="16"/>
      <c r="W6335" s="13"/>
      <c r="X6335" s="34">
        <v>6331</v>
      </c>
      <c r="Y6335" s="34" t="s">
        <v>2248</v>
      </c>
      <c r="Z6335" s="34" t="s">
        <v>3013</v>
      </c>
      <c r="AA6335" s="35">
        <v>4.5927419354838711E-2</v>
      </c>
      <c r="AB6335" s="13"/>
      <c r="AC6335" s="13"/>
      <c r="AD6335" s="13"/>
      <c r="AE6335" s="13"/>
      <c r="AF6335" s="13"/>
    </row>
    <row r="6336" spans="19:32" x14ac:dyDescent="0.35">
      <c r="S6336" s="13"/>
      <c r="T6336" s="16"/>
      <c r="U6336" s="16"/>
      <c r="V6336" s="16"/>
      <c r="W6336" s="13"/>
      <c r="X6336" s="47">
        <v>6332</v>
      </c>
      <c r="Y6336" s="47" t="s">
        <v>2248</v>
      </c>
      <c r="Z6336" s="47" t="s">
        <v>3012</v>
      </c>
      <c r="AA6336" s="48">
        <v>0</v>
      </c>
      <c r="AB6336" s="13"/>
      <c r="AC6336" s="13"/>
      <c r="AD6336" s="13"/>
      <c r="AE6336" s="13"/>
      <c r="AF6336" s="13"/>
    </row>
    <row r="6337" spans="19:32" x14ac:dyDescent="0.35">
      <c r="S6337" s="13"/>
      <c r="T6337" s="16"/>
      <c r="U6337" s="16"/>
      <c r="V6337" s="16"/>
      <c r="W6337" s="13"/>
      <c r="X6337" s="34">
        <v>6333</v>
      </c>
      <c r="Y6337" s="34" t="s">
        <v>2248</v>
      </c>
      <c r="Z6337" s="34" t="s">
        <v>3011</v>
      </c>
      <c r="AA6337" s="35">
        <v>5.5866935483870972E-3</v>
      </c>
      <c r="AB6337" s="13"/>
      <c r="AC6337" s="13"/>
      <c r="AD6337" s="13"/>
      <c r="AE6337" s="13"/>
      <c r="AF6337" s="13"/>
    </row>
    <row r="6338" spans="19:32" x14ac:dyDescent="0.35">
      <c r="S6338" s="13"/>
      <c r="T6338" s="16"/>
      <c r="U6338" s="16"/>
      <c r="V6338" s="16"/>
      <c r="W6338" s="13"/>
      <c r="X6338" s="47">
        <v>6334</v>
      </c>
      <c r="Y6338" s="47" t="s">
        <v>2248</v>
      </c>
      <c r="Z6338" s="47" t="s">
        <v>3010</v>
      </c>
      <c r="AA6338" s="48">
        <v>0</v>
      </c>
      <c r="AB6338" s="13"/>
      <c r="AC6338" s="13"/>
      <c r="AD6338" s="13"/>
      <c r="AE6338" s="13"/>
      <c r="AF6338" s="13"/>
    </row>
    <row r="6339" spans="19:32" x14ac:dyDescent="0.35">
      <c r="S6339" s="13"/>
      <c r="T6339" s="16"/>
      <c r="U6339" s="16"/>
      <c r="V6339" s="16"/>
      <c r="W6339" s="13"/>
      <c r="X6339" s="47">
        <v>6335</v>
      </c>
      <c r="Y6339" s="47" t="s">
        <v>2248</v>
      </c>
      <c r="Z6339" s="47" t="s">
        <v>3009</v>
      </c>
      <c r="AA6339" s="48">
        <v>0</v>
      </c>
      <c r="AB6339" s="13"/>
      <c r="AC6339" s="13"/>
      <c r="AD6339" s="13"/>
      <c r="AE6339" s="13"/>
      <c r="AF6339" s="13"/>
    </row>
    <row r="6340" spans="19:32" x14ac:dyDescent="0.35">
      <c r="S6340" s="13"/>
      <c r="T6340" s="16"/>
      <c r="U6340" s="16"/>
      <c r="V6340" s="16"/>
      <c r="W6340" s="13"/>
      <c r="X6340" s="34">
        <v>6336</v>
      </c>
      <c r="Y6340" s="34" t="s">
        <v>2248</v>
      </c>
      <c r="Z6340" s="34" t="s">
        <v>3008</v>
      </c>
      <c r="AA6340" s="35">
        <v>8.3971774193548389E-4</v>
      </c>
      <c r="AB6340" s="13"/>
      <c r="AC6340" s="13"/>
      <c r="AD6340" s="13"/>
      <c r="AE6340" s="13"/>
      <c r="AF6340" s="13"/>
    </row>
    <row r="6341" spans="19:32" x14ac:dyDescent="0.35">
      <c r="S6341" s="13"/>
      <c r="T6341" s="16"/>
      <c r="U6341" s="16"/>
      <c r="V6341" s="16"/>
      <c r="W6341" s="13"/>
      <c r="X6341" s="47">
        <v>6337</v>
      </c>
      <c r="Y6341" s="47" t="s">
        <v>2248</v>
      </c>
      <c r="Z6341" s="47" t="s">
        <v>3007</v>
      </c>
      <c r="AA6341" s="48">
        <v>0</v>
      </c>
      <c r="AB6341" s="13"/>
      <c r="AC6341" s="13"/>
      <c r="AD6341" s="13"/>
      <c r="AE6341" s="13"/>
      <c r="AF6341" s="13"/>
    </row>
    <row r="6342" spans="19:32" x14ac:dyDescent="0.35">
      <c r="S6342" s="13"/>
      <c r="T6342" s="16"/>
      <c r="U6342" s="16"/>
      <c r="V6342" s="16"/>
      <c r="W6342" s="13"/>
      <c r="X6342" s="47">
        <v>6338</v>
      </c>
      <c r="Y6342" s="47" t="s">
        <v>2248</v>
      </c>
      <c r="Z6342" s="47" t="s">
        <v>3006</v>
      </c>
      <c r="AA6342" s="48">
        <v>0</v>
      </c>
      <c r="AB6342" s="13"/>
      <c r="AC6342" s="13"/>
      <c r="AD6342" s="13"/>
      <c r="AE6342" s="13"/>
      <c r="AF6342" s="13"/>
    </row>
    <row r="6343" spans="19:32" x14ac:dyDescent="0.35">
      <c r="S6343" s="13"/>
      <c r="T6343" s="16"/>
      <c r="U6343" s="16"/>
      <c r="V6343" s="16"/>
      <c r="W6343" s="13"/>
      <c r="X6343" s="34">
        <v>6339</v>
      </c>
      <c r="Y6343" s="34" t="s">
        <v>2248</v>
      </c>
      <c r="Z6343" s="34" t="s">
        <v>3005</v>
      </c>
      <c r="AA6343" s="35">
        <v>1.3504032258064517E-2</v>
      </c>
      <c r="AB6343" s="13"/>
      <c r="AC6343" s="13"/>
      <c r="AD6343" s="13"/>
      <c r="AE6343" s="13"/>
      <c r="AF6343" s="13"/>
    </row>
    <row r="6344" spans="19:32" x14ac:dyDescent="0.35">
      <c r="S6344" s="13"/>
      <c r="T6344" s="16"/>
      <c r="U6344" s="16"/>
      <c r="V6344" s="16"/>
      <c r="W6344" s="13"/>
      <c r="X6344" s="47">
        <v>6340</v>
      </c>
      <c r="Y6344" s="47" t="s">
        <v>2248</v>
      </c>
      <c r="Z6344" s="47" t="s">
        <v>3004</v>
      </c>
      <c r="AA6344" s="48">
        <v>5.1980000000000004</v>
      </c>
      <c r="AB6344" s="13"/>
      <c r="AC6344" s="13"/>
      <c r="AD6344" s="13"/>
      <c r="AE6344" s="13"/>
      <c r="AF6344" s="13"/>
    </row>
    <row r="6345" spans="19:32" x14ac:dyDescent="0.35">
      <c r="S6345" s="13"/>
      <c r="T6345" s="16"/>
      <c r="U6345" s="16"/>
      <c r="V6345" s="16"/>
      <c r="W6345" s="13"/>
      <c r="X6345" s="47">
        <v>6341</v>
      </c>
      <c r="Y6345" s="47" t="s">
        <v>2248</v>
      </c>
      <c r="Z6345" s="47" t="s">
        <v>3003</v>
      </c>
      <c r="AA6345" s="48">
        <v>0</v>
      </c>
      <c r="AB6345" s="13"/>
      <c r="AC6345" s="13"/>
      <c r="AD6345" s="13"/>
      <c r="AE6345" s="13"/>
      <c r="AF6345" s="13"/>
    </row>
    <row r="6346" spans="19:32" x14ac:dyDescent="0.35">
      <c r="S6346" s="13"/>
      <c r="T6346" s="16"/>
      <c r="U6346" s="16"/>
      <c r="V6346" s="16"/>
      <c r="W6346" s="13"/>
      <c r="X6346" s="34">
        <v>6342</v>
      </c>
      <c r="Y6346" s="34" t="s">
        <v>2248</v>
      </c>
      <c r="Z6346" s="34" t="s">
        <v>2847</v>
      </c>
      <c r="AA6346" s="35">
        <v>4.0786290322580648E-4</v>
      </c>
      <c r="AB6346" s="13"/>
      <c r="AC6346" s="13"/>
      <c r="AD6346" s="13"/>
      <c r="AE6346" s="13"/>
      <c r="AF6346" s="13"/>
    </row>
    <row r="6347" spans="19:32" x14ac:dyDescent="0.35">
      <c r="S6347" s="13"/>
      <c r="T6347" s="16"/>
      <c r="U6347" s="16"/>
      <c r="V6347" s="16"/>
      <c r="W6347" s="13"/>
      <c r="X6347" s="47">
        <v>6343</v>
      </c>
      <c r="Y6347" s="47" t="s">
        <v>2248</v>
      </c>
      <c r="Z6347" s="47" t="s">
        <v>3002</v>
      </c>
      <c r="AA6347" s="48">
        <v>3.2751999999999999</v>
      </c>
      <c r="AB6347" s="13"/>
      <c r="AC6347" s="13"/>
      <c r="AD6347" s="13"/>
      <c r="AE6347" s="13"/>
      <c r="AF6347" s="13"/>
    </row>
    <row r="6348" spans="19:32" x14ac:dyDescent="0.35">
      <c r="S6348" s="13"/>
      <c r="T6348" s="16"/>
      <c r="U6348" s="16"/>
      <c r="V6348" s="16"/>
      <c r="W6348" s="13"/>
      <c r="X6348" s="47">
        <v>6344</v>
      </c>
      <c r="Y6348" s="47" t="s">
        <v>2248</v>
      </c>
      <c r="Z6348" s="47" t="s">
        <v>3001</v>
      </c>
      <c r="AA6348" s="48">
        <v>1.4076</v>
      </c>
      <c r="AB6348" s="13"/>
      <c r="AC6348" s="13"/>
      <c r="AD6348" s="13"/>
      <c r="AE6348" s="13"/>
      <c r="AF6348" s="13"/>
    </row>
    <row r="6349" spans="19:32" x14ac:dyDescent="0.35">
      <c r="S6349" s="13"/>
      <c r="T6349" s="16"/>
      <c r="U6349" s="16"/>
      <c r="V6349" s="16"/>
      <c r="W6349" s="13"/>
      <c r="X6349" s="34">
        <v>6345</v>
      </c>
      <c r="Y6349" s="34" t="s">
        <v>2248</v>
      </c>
      <c r="Z6349" s="34" t="s">
        <v>3000</v>
      </c>
      <c r="AA6349" s="35">
        <v>1.6760080645161291E-4</v>
      </c>
      <c r="AB6349" s="13"/>
      <c r="AC6349" s="13"/>
      <c r="AD6349" s="13"/>
      <c r="AE6349" s="13"/>
      <c r="AF6349" s="13"/>
    </row>
    <row r="6350" spans="19:32" x14ac:dyDescent="0.35">
      <c r="S6350" s="13"/>
      <c r="T6350" s="16"/>
      <c r="U6350" s="16"/>
      <c r="V6350" s="16"/>
      <c r="W6350" s="13"/>
      <c r="X6350" s="47">
        <v>6346</v>
      </c>
      <c r="Y6350" s="47" t="s">
        <v>2248</v>
      </c>
      <c r="Z6350" s="47" t="s">
        <v>2999</v>
      </c>
      <c r="AA6350" s="48">
        <v>10.119999999999999</v>
      </c>
      <c r="AB6350" s="13"/>
      <c r="AC6350" s="13"/>
      <c r="AD6350" s="13"/>
      <c r="AE6350" s="13"/>
      <c r="AF6350" s="13"/>
    </row>
    <row r="6351" spans="19:32" x14ac:dyDescent="0.35">
      <c r="S6351" s="13"/>
      <c r="T6351" s="16"/>
      <c r="U6351" s="16"/>
      <c r="V6351" s="16"/>
      <c r="W6351" s="13"/>
      <c r="X6351" s="34">
        <v>6347</v>
      </c>
      <c r="Y6351" s="34" t="s">
        <v>2248</v>
      </c>
      <c r="Z6351" s="34" t="s">
        <v>2998</v>
      </c>
      <c r="AA6351" s="35">
        <v>1.0316532258064517E-6</v>
      </c>
      <c r="AB6351" s="13"/>
      <c r="AC6351" s="13"/>
      <c r="AD6351" s="13"/>
      <c r="AE6351" s="13"/>
      <c r="AF6351" s="13"/>
    </row>
    <row r="6352" spans="19:32" x14ac:dyDescent="0.35">
      <c r="S6352" s="13"/>
      <c r="T6352" s="16"/>
      <c r="U6352" s="16"/>
      <c r="V6352" s="16"/>
      <c r="W6352" s="13"/>
      <c r="X6352" s="47">
        <v>6348</v>
      </c>
      <c r="Y6352" s="47" t="s">
        <v>2248</v>
      </c>
      <c r="Z6352" s="47" t="s">
        <v>2997</v>
      </c>
      <c r="AA6352" s="48">
        <v>2.944E-3</v>
      </c>
      <c r="AB6352" s="13"/>
      <c r="AC6352" s="13"/>
      <c r="AD6352" s="13"/>
      <c r="AE6352" s="13"/>
      <c r="AF6352" s="13"/>
    </row>
    <row r="6353" spans="19:32" x14ac:dyDescent="0.35">
      <c r="S6353" s="13"/>
      <c r="T6353" s="16"/>
      <c r="U6353" s="16"/>
      <c r="V6353" s="16"/>
      <c r="W6353" s="13"/>
      <c r="X6353" s="47">
        <v>6349</v>
      </c>
      <c r="Y6353" s="47" t="s">
        <v>2248</v>
      </c>
      <c r="Z6353" s="47" t="s">
        <v>2996</v>
      </c>
      <c r="AA6353" s="48">
        <v>10.763999999999999</v>
      </c>
      <c r="AB6353" s="13"/>
      <c r="AC6353" s="13"/>
      <c r="AD6353" s="13"/>
      <c r="AE6353" s="13"/>
      <c r="AF6353" s="13"/>
    </row>
    <row r="6354" spans="19:32" x14ac:dyDescent="0.35">
      <c r="S6354" s="13"/>
      <c r="T6354" s="16"/>
      <c r="U6354" s="16"/>
      <c r="V6354" s="16"/>
      <c r="W6354" s="13"/>
      <c r="X6354" s="34">
        <v>6350</v>
      </c>
      <c r="Y6354" s="34" t="s">
        <v>2248</v>
      </c>
      <c r="Z6354" s="34" t="s">
        <v>2995</v>
      </c>
      <c r="AA6354" s="35">
        <v>1.1618951612903227E-3</v>
      </c>
      <c r="AB6354" s="13"/>
      <c r="AC6354" s="13"/>
      <c r="AD6354" s="13"/>
      <c r="AE6354" s="13"/>
      <c r="AF6354" s="13"/>
    </row>
    <row r="6355" spans="19:32" x14ac:dyDescent="0.35">
      <c r="S6355" s="13"/>
      <c r="T6355" s="16"/>
      <c r="U6355" s="16"/>
      <c r="V6355" s="16"/>
      <c r="W6355" s="13"/>
      <c r="X6355" s="47">
        <v>6351</v>
      </c>
      <c r="Y6355" s="47" t="s">
        <v>2248</v>
      </c>
      <c r="Z6355" s="47" t="s">
        <v>2994</v>
      </c>
      <c r="AA6355" s="48">
        <v>0.1288</v>
      </c>
      <c r="AB6355" s="13"/>
      <c r="AC6355" s="13"/>
      <c r="AD6355" s="13"/>
      <c r="AE6355" s="13"/>
      <c r="AF6355" s="13"/>
    </row>
    <row r="6356" spans="19:32" x14ac:dyDescent="0.35">
      <c r="S6356" s="13"/>
      <c r="T6356" s="16"/>
      <c r="U6356" s="16"/>
      <c r="V6356" s="16"/>
      <c r="W6356" s="13"/>
      <c r="X6356" s="47">
        <v>6352</v>
      </c>
      <c r="Y6356" s="47" t="s">
        <v>2248</v>
      </c>
      <c r="Z6356" s="47" t="s">
        <v>2993</v>
      </c>
      <c r="AA6356" s="48">
        <v>2.9164000000000003</v>
      </c>
      <c r="AB6356" s="13"/>
      <c r="AC6356" s="13"/>
      <c r="AD6356" s="13"/>
      <c r="AE6356" s="13"/>
      <c r="AF6356" s="13"/>
    </row>
    <row r="6357" spans="19:32" x14ac:dyDescent="0.35">
      <c r="S6357" s="13"/>
      <c r="T6357" s="16"/>
      <c r="U6357" s="16"/>
      <c r="V6357" s="16"/>
      <c r="W6357" s="13"/>
      <c r="X6357" s="34">
        <v>6353</v>
      </c>
      <c r="Y6357" s="34" t="s">
        <v>2248</v>
      </c>
      <c r="Z6357" s="34" t="s">
        <v>2842</v>
      </c>
      <c r="AA6357" s="35">
        <v>0.5346774193548387</v>
      </c>
      <c r="AB6357" s="13"/>
      <c r="AC6357" s="13"/>
      <c r="AD6357" s="13"/>
      <c r="AE6357" s="13"/>
      <c r="AF6357" s="13"/>
    </row>
    <row r="6358" spans="19:32" x14ac:dyDescent="0.35">
      <c r="S6358" s="13"/>
      <c r="T6358" s="16"/>
      <c r="U6358" s="16"/>
      <c r="V6358" s="16"/>
      <c r="W6358" s="13"/>
      <c r="X6358" s="47">
        <v>6354</v>
      </c>
      <c r="Y6358" s="47" t="s">
        <v>2248</v>
      </c>
      <c r="Z6358" s="47" t="s">
        <v>2992</v>
      </c>
      <c r="AA6358" s="48">
        <v>6.697599999999999E-5</v>
      </c>
      <c r="AB6358" s="13"/>
      <c r="AC6358" s="13"/>
      <c r="AD6358" s="13"/>
      <c r="AE6358" s="13"/>
      <c r="AF6358" s="13"/>
    </row>
    <row r="6359" spans="19:32" x14ac:dyDescent="0.35">
      <c r="S6359" s="13"/>
      <c r="T6359" s="16"/>
      <c r="U6359" s="16"/>
      <c r="V6359" s="16"/>
      <c r="W6359" s="13"/>
      <c r="X6359" s="47">
        <v>6355</v>
      </c>
      <c r="Y6359" s="47" t="s">
        <v>2248</v>
      </c>
      <c r="Z6359" s="47" t="s">
        <v>2991</v>
      </c>
      <c r="AA6359" s="48">
        <v>11.868</v>
      </c>
      <c r="AB6359" s="13"/>
      <c r="AC6359" s="13"/>
      <c r="AD6359" s="13"/>
      <c r="AE6359" s="13"/>
      <c r="AF6359" s="13"/>
    </row>
    <row r="6360" spans="19:32" x14ac:dyDescent="0.35">
      <c r="S6360" s="13"/>
      <c r="T6360" s="16"/>
      <c r="U6360" s="16"/>
      <c r="V6360" s="16"/>
      <c r="W6360" s="13"/>
      <c r="X6360" s="34">
        <v>6356</v>
      </c>
      <c r="Y6360" s="34" t="s">
        <v>2248</v>
      </c>
      <c r="Z6360" s="34" t="s">
        <v>2990</v>
      </c>
      <c r="AA6360" s="35">
        <v>2.5020161290322581E-8</v>
      </c>
      <c r="AB6360" s="13"/>
      <c r="AC6360" s="13"/>
      <c r="AD6360" s="13"/>
      <c r="AE6360" s="13"/>
      <c r="AF6360" s="13"/>
    </row>
    <row r="6361" spans="19:32" x14ac:dyDescent="0.35">
      <c r="S6361" s="13"/>
      <c r="T6361" s="16"/>
      <c r="U6361" s="16"/>
      <c r="V6361" s="16"/>
      <c r="W6361" s="13"/>
      <c r="X6361" s="47">
        <v>6357</v>
      </c>
      <c r="Y6361" s="47" t="s">
        <v>2248</v>
      </c>
      <c r="Z6361" s="47" t="s">
        <v>2989</v>
      </c>
      <c r="AA6361" s="48">
        <v>4.8023999999999997E-2</v>
      </c>
      <c r="AB6361" s="13"/>
      <c r="AC6361" s="13"/>
      <c r="AD6361" s="13"/>
      <c r="AE6361" s="13"/>
      <c r="AF6361" s="13"/>
    </row>
    <row r="6362" spans="19:32" x14ac:dyDescent="0.35">
      <c r="S6362" s="13"/>
      <c r="T6362" s="16"/>
      <c r="U6362" s="16"/>
      <c r="V6362" s="16"/>
      <c r="W6362" s="13"/>
      <c r="X6362" s="34">
        <v>6358</v>
      </c>
      <c r="Y6362" s="34" t="s">
        <v>2248</v>
      </c>
      <c r="Z6362" s="34" t="s">
        <v>2988</v>
      </c>
      <c r="AA6362" s="35">
        <v>5.5524193548387099E-3</v>
      </c>
      <c r="AB6362" s="13"/>
      <c r="AC6362" s="13"/>
      <c r="AD6362" s="13"/>
      <c r="AE6362" s="13"/>
      <c r="AF6362" s="13"/>
    </row>
    <row r="6363" spans="19:32" x14ac:dyDescent="0.35">
      <c r="S6363" s="13"/>
      <c r="T6363" s="16"/>
      <c r="U6363" s="16"/>
      <c r="V6363" s="16"/>
      <c r="W6363" s="13"/>
      <c r="X6363" s="47">
        <v>6359</v>
      </c>
      <c r="Y6363" s="47" t="s">
        <v>2248</v>
      </c>
      <c r="Z6363" s="47" t="s">
        <v>2987</v>
      </c>
      <c r="AA6363" s="48">
        <v>2.7415999999999999E-2</v>
      </c>
      <c r="AB6363" s="13"/>
      <c r="AC6363" s="13"/>
      <c r="AD6363" s="13"/>
      <c r="AE6363" s="13"/>
      <c r="AF6363" s="13"/>
    </row>
    <row r="6364" spans="19:32" x14ac:dyDescent="0.35">
      <c r="S6364" s="13"/>
      <c r="T6364" s="16"/>
      <c r="U6364" s="16"/>
      <c r="V6364" s="16"/>
      <c r="W6364" s="13"/>
      <c r="X6364" s="47">
        <v>6360</v>
      </c>
      <c r="Y6364" s="47" t="s">
        <v>2248</v>
      </c>
      <c r="Z6364" s="47" t="s">
        <v>2986</v>
      </c>
      <c r="AA6364" s="48">
        <v>0.29716000000000004</v>
      </c>
      <c r="AB6364" s="13"/>
      <c r="AC6364" s="13"/>
      <c r="AD6364" s="13"/>
      <c r="AE6364" s="13"/>
      <c r="AF6364" s="13"/>
    </row>
    <row r="6365" spans="19:32" x14ac:dyDescent="0.35">
      <c r="S6365" s="13"/>
      <c r="T6365" s="16"/>
      <c r="U6365" s="16"/>
      <c r="V6365" s="16"/>
      <c r="W6365" s="13"/>
      <c r="X6365" s="34">
        <v>6361</v>
      </c>
      <c r="Y6365" s="34" t="s">
        <v>2248</v>
      </c>
      <c r="Z6365" s="34" t="s">
        <v>2985</v>
      </c>
      <c r="AA6365" s="35">
        <v>5.7923387096774194E-3</v>
      </c>
      <c r="AB6365" s="13"/>
      <c r="AC6365" s="13"/>
      <c r="AD6365" s="13"/>
      <c r="AE6365" s="13"/>
      <c r="AF6365" s="13"/>
    </row>
    <row r="6366" spans="19:32" x14ac:dyDescent="0.35">
      <c r="S6366" s="13"/>
      <c r="T6366" s="16"/>
      <c r="U6366" s="16"/>
      <c r="V6366" s="16"/>
      <c r="W6366" s="13"/>
      <c r="X6366" s="47">
        <v>6362</v>
      </c>
      <c r="Y6366" s="47" t="s">
        <v>2248</v>
      </c>
      <c r="Z6366" s="47" t="s">
        <v>2984</v>
      </c>
      <c r="AA6366" s="48">
        <v>2.6680000000000001</v>
      </c>
      <c r="AB6366" s="13"/>
      <c r="AC6366" s="13"/>
      <c r="AD6366" s="13"/>
      <c r="AE6366" s="13"/>
      <c r="AF6366" s="13"/>
    </row>
    <row r="6367" spans="19:32" x14ac:dyDescent="0.35">
      <c r="S6367" s="13"/>
      <c r="T6367" s="16"/>
      <c r="U6367" s="16"/>
      <c r="V6367" s="16"/>
      <c r="W6367" s="13"/>
      <c r="X6367" s="47">
        <v>6363</v>
      </c>
      <c r="Y6367" s="47" t="s">
        <v>2248</v>
      </c>
      <c r="Z6367" s="47" t="s">
        <v>2983</v>
      </c>
      <c r="AA6367" s="48">
        <v>0</v>
      </c>
      <c r="AB6367" s="13"/>
      <c r="AC6367" s="13"/>
      <c r="AD6367" s="13"/>
      <c r="AE6367" s="13"/>
      <c r="AF6367" s="13"/>
    </row>
    <row r="6368" spans="19:32" x14ac:dyDescent="0.35">
      <c r="S6368" s="13"/>
      <c r="T6368" s="16"/>
      <c r="U6368" s="16"/>
      <c r="V6368" s="16"/>
      <c r="W6368" s="13"/>
      <c r="X6368" s="34">
        <v>6364</v>
      </c>
      <c r="Y6368" s="34" t="s">
        <v>2248</v>
      </c>
      <c r="Z6368" s="34" t="s">
        <v>2982</v>
      </c>
      <c r="AA6368" s="35">
        <v>1.1687500000000002E-2</v>
      </c>
      <c r="AB6368" s="13"/>
      <c r="AC6368" s="13"/>
      <c r="AD6368" s="13"/>
      <c r="AE6368" s="13"/>
      <c r="AF6368" s="13"/>
    </row>
    <row r="6369" spans="19:32" x14ac:dyDescent="0.35">
      <c r="S6369" s="13"/>
      <c r="T6369" s="16"/>
      <c r="U6369" s="16"/>
      <c r="V6369" s="16"/>
      <c r="W6369" s="13"/>
      <c r="X6369" s="47">
        <v>6365</v>
      </c>
      <c r="Y6369" s="47" t="s">
        <v>2248</v>
      </c>
      <c r="Z6369" s="47" t="s">
        <v>2981</v>
      </c>
      <c r="AA6369" s="48">
        <v>0</v>
      </c>
      <c r="AB6369" s="13"/>
      <c r="AC6369" s="13"/>
      <c r="AD6369" s="13"/>
      <c r="AE6369" s="13"/>
      <c r="AF6369" s="13"/>
    </row>
    <row r="6370" spans="19:32" x14ac:dyDescent="0.35">
      <c r="S6370" s="13"/>
      <c r="T6370" s="16"/>
      <c r="U6370" s="16"/>
      <c r="V6370" s="16"/>
      <c r="W6370" s="13"/>
      <c r="X6370" s="47">
        <v>6366</v>
      </c>
      <c r="Y6370" s="47" t="s">
        <v>2248</v>
      </c>
      <c r="Z6370" s="47" t="s">
        <v>2980</v>
      </c>
      <c r="AA6370" s="48">
        <v>10.304</v>
      </c>
      <c r="AB6370" s="13"/>
      <c r="AC6370" s="13"/>
      <c r="AD6370" s="13"/>
      <c r="AE6370" s="13"/>
      <c r="AF6370" s="13"/>
    </row>
    <row r="6371" spans="19:32" x14ac:dyDescent="0.35">
      <c r="S6371" s="13"/>
      <c r="T6371" s="16"/>
      <c r="U6371" s="16"/>
      <c r="V6371" s="16"/>
      <c r="W6371" s="13"/>
      <c r="X6371" s="34">
        <v>6367</v>
      </c>
      <c r="Y6371" s="34" t="s">
        <v>2248</v>
      </c>
      <c r="Z6371" s="34" t="s">
        <v>2979</v>
      </c>
      <c r="AA6371" s="35">
        <v>8.6370967741935493E-4</v>
      </c>
      <c r="AB6371" s="13"/>
      <c r="AC6371" s="13"/>
      <c r="AD6371" s="13"/>
      <c r="AE6371" s="13"/>
      <c r="AF6371" s="13"/>
    </row>
    <row r="6372" spans="19:32" x14ac:dyDescent="0.35">
      <c r="S6372" s="13"/>
      <c r="T6372" s="16"/>
      <c r="U6372" s="16"/>
      <c r="V6372" s="16"/>
      <c r="W6372" s="13"/>
      <c r="X6372" s="47">
        <v>6368</v>
      </c>
      <c r="Y6372" s="47" t="s">
        <v>2248</v>
      </c>
      <c r="Z6372" s="47" t="s">
        <v>2978</v>
      </c>
      <c r="AA6372" s="48">
        <v>3.9467999999999996</v>
      </c>
      <c r="AB6372" s="13"/>
      <c r="AC6372" s="13"/>
      <c r="AD6372" s="13"/>
      <c r="AE6372" s="13"/>
      <c r="AF6372" s="13"/>
    </row>
    <row r="6373" spans="19:32" x14ac:dyDescent="0.35">
      <c r="S6373" s="13"/>
      <c r="T6373" s="16"/>
      <c r="U6373" s="16"/>
      <c r="V6373" s="16"/>
      <c r="W6373" s="13"/>
      <c r="X6373" s="47">
        <v>6369</v>
      </c>
      <c r="Y6373" s="47" t="s">
        <v>2248</v>
      </c>
      <c r="Z6373" s="47" t="s">
        <v>2977</v>
      </c>
      <c r="AA6373" s="48">
        <v>0</v>
      </c>
      <c r="AB6373" s="13"/>
      <c r="AC6373" s="13"/>
      <c r="AD6373" s="13"/>
      <c r="AE6373" s="13"/>
      <c r="AF6373" s="13"/>
    </row>
    <row r="6374" spans="19:32" x14ac:dyDescent="0.35">
      <c r="S6374" s="13"/>
      <c r="T6374" s="16"/>
      <c r="U6374" s="16"/>
      <c r="V6374" s="16"/>
      <c r="W6374" s="13"/>
      <c r="X6374" s="34">
        <v>6370</v>
      </c>
      <c r="Y6374" s="34" t="s">
        <v>2248</v>
      </c>
      <c r="Z6374" s="34" t="s">
        <v>2976</v>
      </c>
      <c r="AA6374" s="35">
        <v>3.1155241935483871E-4</v>
      </c>
      <c r="AB6374" s="13"/>
      <c r="AC6374" s="13"/>
      <c r="AD6374" s="13"/>
      <c r="AE6374" s="13"/>
      <c r="AF6374" s="13"/>
    </row>
    <row r="6375" spans="19:32" x14ac:dyDescent="0.35">
      <c r="S6375" s="13"/>
      <c r="T6375" s="16"/>
      <c r="U6375" s="16"/>
      <c r="V6375" s="16"/>
      <c r="W6375" s="13"/>
      <c r="X6375" s="47">
        <v>6371</v>
      </c>
      <c r="Y6375" s="47" t="s">
        <v>2248</v>
      </c>
      <c r="Z6375" s="47" t="s">
        <v>2975</v>
      </c>
      <c r="AA6375" s="48">
        <v>0</v>
      </c>
      <c r="AB6375" s="13"/>
      <c r="AC6375" s="13"/>
      <c r="AD6375" s="13"/>
      <c r="AE6375" s="13"/>
      <c r="AF6375" s="13"/>
    </row>
    <row r="6376" spans="19:32" x14ac:dyDescent="0.35">
      <c r="S6376" s="13"/>
      <c r="T6376" s="16"/>
      <c r="U6376" s="16"/>
      <c r="V6376" s="16"/>
      <c r="W6376" s="13"/>
      <c r="X6376" s="34">
        <v>6372</v>
      </c>
      <c r="Y6376" s="34" t="s">
        <v>2248</v>
      </c>
      <c r="Z6376" s="34" t="s">
        <v>2974</v>
      </c>
      <c r="AA6376" s="35">
        <v>0.31052419354838712</v>
      </c>
      <c r="AB6376" s="13"/>
      <c r="AC6376" s="13"/>
      <c r="AD6376" s="13"/>
      <c r="AE6376" s="13"/>
      <c r="AF6376" s="13"/>
    </row>
    <row r="6377" spans="19:32" x14ac:dyDescent="0.35">
      <c r="S6377" s="13"/>
      <c r="T6377" s="16"/>
      <c r="U6377" s="16"/>
      <c r="V6377" s="16"/>
      <c r="W6377" s="13"/>
      <c r="X6377" s="47">
        <v>6373</v>
      </c>
      <c r="Y6377" s="47" t="s">
        <v>2248</v>
      </c>
      <c r="Z6377" s="47" t="s">
        <v>2973</v>
      </c>
      <c r="AA6377" s="48">
        <v>8.9239999999999995</v>
      </c>
      <c r="AB6377" s="13"/>
      <c r="AC6377" s="13"/>
      <c r="AD6377" s="13"/>
      <c r="AE6377" s="13"/>
      <c r="AF6377" s="13"/>
    </row>
    <row r="6378" spans="19:32" x14ac:dyDescent="0.35">
      <c r="S6378" s="13"/>
      <c r="T6378" s="16"/>
      <c r="U6378" s="16"/>
      <c r="V6378" s="16"/>
      <c r="W6378" s="13"/>
      <c r="X6378" s="47">
        <v>6374</v>
      </c>
      <c r="Y6378" s="47" t="s">
        <v>2248</v>
      </c>
      <c r="Z6378" s="47" t="s">
        <v>2972</v>
      </c>
      <c r="AA6378" s="48">
        <v>0</v>
      </c>
      <c r="AB6378" s="13"/>
      <c r="AC6378" s="13"/>
      <c r="AD6378" s="13"/>
      <c r="AE6378" s="13"/>
      <c r="AF6378" s="13"/>
    </row>
    <row r="6379" spans="19:32" x14ac:dyDescent="0.35">
      <c r="S6379" s="13"/>
      <c r="T6379" s="16"/>
      <c r="U6379" s="16"/>
      <c r="V6379" s="16"/>
      <c r="W6379" s="13"/>
      <c r="X6379" s="34">
        <v>6375</v>
      </c>
      <c r="Y6379" s="34" t="s">
        <v>2248</v>
      </c>
      <c r="Z6379" s="34" t="s">
        <v>2971</v>
      </c>
      <c r="AA6379" s="35">
        <v>1.4497983870967743E-3</v>
      </c>
      <c r="AB6379" s="13"/>
      <c r="AC6379" s="13"/>
      <c r="AD6379" s="13"/>
      <c r="AE6379" s="13"/>
      <c r="AF6379" s="13"/>
    </row>
    <row r="6380" spans="19:32" x14ac:dyDescent="0.35">
      <c r="S6380" s="13"/>
      <c r="T6380" s="16"/>
      <c r="U6380" s="16"/>
      <c r="V6380" s="16"/>
      <c r="W6380" s="13"/>
      <c r="X6380" s="47">
        <v>6376</v>
      </c>
      <c r="Y6380" s="47" t="s">
        <v>2248</v>
      </c>
      <c r="Z6380" s="47" t="s">
        <v>2970</v>
      </c>
      <c r="AA6380" s="48">
        <v>1.2236E-3</v>
      </c>
      <c r="AB6380" s="13"/>
      <c r="AC6380" s="13"/>
      <c r="AD6380" s="13"/>
      <c r="AE6380" s="13"/>
      <c r="AF6380" s="13"/>
    </row>
    <row r="6381" spans="19:32" x14ac:dyDescent="0.35">
      <c r="S6381" s="13"/>
      <c r="T6381" s="16"/>
      <c r="U6381" s="16"/>
      <c r="V6381" s="16"/>
      <c r="W6381" s="13"/>
      <c r="X6381" s="47">
        <v>6377</v>
      </c>
      <c r="Y6381" s="47" t="s">
        <v>2248</v>
      </c>
      <c r="Z6381" s="47" t="s">
        <v>2969</v>
      </c>
      <c r="AA6381" s="48">
        <v>15.272</v>
      </c>
      <c r="AB6381" s="13"/>
      <c r="AC6381" s="13"/>
      <c r="AD6381" s="13"/>
      <c r="AE6381" s="13"/>
      <c r="AF6381" s="13"/>
    </row>
    <row r="6382" spans="19:32" x14ac:dyDescent="0.35">
      <c r="S6382" s="13"/>
      <c r="T6382" s="16"/>
      <c r="U6382" s="16"/>
      <c r="V6382" s="16"/>
      <c r="W6382" s="13"/>
      <c r="X6382" s="34">
        <v>6378</v>
      </c>
      <c r="Y6382" s="34" t="s">
        <v>2248</v>
      </c>
      <c r="Z6382" s="34" t="s">
        <v>2968</v>
      </c>
      <c r="AA6382" s="35">
        <v>2.6973790322580647E-2</v>
      </c>
      <c r="AB6382" s="13"/>
      <c r="AC6382" s="13"/>
      <c r="AD6382" s="13"/>
      <c r="AE6382" s="13"/>
      <c r="AF6382" s="13"/>
    </row>
    <row r="6383" spans="19:32" x14ac:dyDescent="0.35">
      <c r="S6383" s="13"/>
      <c r="T6383" s="16"/>
      <c r="U6383" s="16"/>
      <c r="V6383" s="16"/>
      <c r="W6383" s="13"/>
      <c r="X6383" s="47">
        <v>6379</v>
      </c>
      <c r="Y6383" s="47" t="s">
        <v>2248</v>
      </c>
      <c r="Z6383" s="47" t="s">
        <v>2967</v>
      </c>
      <c r="AA6383" s="48">
        <v>12.696</v>
      </c>
      <c r="AB6383" s="13"/>
      <c r="AC6383" s="13"/>
      <c r="AD6383" s="13"/>
      <c r="AE6383" s="13"/>
      <c r="AF6383" s="13"/>
    </row>
    <row r="6384" spans="19:32" x14ac:dyDescent="0.35">
      <c r="S6384" s="13"/>
      <c r="T6384" s="16"/>
      <c r="U6384" s="16"/>
      <c r="V6384" s="16"/>
      <c r="W6384" s="13"/>
      <c r="X6384" s="47">
        <v>6380</v>
      </c>
      <c r="Y6384" s="47" t="s">
        <v>2248</v>
      </c>
      <c r="Z6384" s="47" t="s">
        <v>2966</v>
      </c>
      <c r="AA6384" s="48">
        <v>0.87031999999999998</v>
      </c>
      <c r="AB6384" s="13"/>
      <c r="AC6384" s="13"/>
      <c r="AD6384" s="13"/>
      <c r="AE6384" s="13"/>
      <c r="AF6384" s="13"/>
    </row>
    <row r="6385" spans="19:32" x14ac:dyDescent="0.35">
      <c r="S6385" s="13"/>
      <c r="T6385" s="16"/>
      <c r="U6385" s="16"/>
      <c r="V6385" s="16"/>
      <c r="W6385" s="13"/>
      <c r="X6385" s="34">
        <v>6381</v>
      </c>
      <c r="Y6385" s="34" t="s">
        <v>2248</v>
      </c>
      <c r="Z6385" s="34" t="s">
        <v>2965</v>
      </c>
      <c r="AA6385" s="35">
        <v>6.7520161290322584E-4</v>
      </c>
      <c r="AB6385" s="13"/>
      <c r="AC6385" s="13"/>
      <c r="AD6385" s="13"/>
      <c r="AE6385" s="13"/>
      <c r="AF6385" s="13"/>
    </row>
    <row r="6386" spans="19:32" x14ac:dyDescent="0.35">
      <c r="S6386" s="13"/>
      <c r="T6386" s="16"/>
      <c r="U6386" s="16"/>
      <c r="V6386" s="16"/>
      <c r="W6386" s="13"/>
      <c r="X6386" s="47">
        <v>6382</v>
      </c>
      <c r="Y6386" s="47" t="s">
        <v>2248</v>
      </c>
      <c r="Z6386" s="47" t="s">
        <v>2964</v>
      </c>
      <c r="AA6386" s="48">
        <v>0</v>
      </c>
      <c r="AB6386" s="13"/>
      <c r="AC6386" s="13"/>
      <c r="AD6386" s="13"/>
      <c r="AE6386" s="13"/>
      <c r="AF6386" s="13"/>
    </row>
    <row r="6387" spans="19:32" x14ac:dyDescent="0.35">
      <c r="S6387" s="13"/>
      <c r="T6387" s="16"/>
      <c r="U6387" s="16"/>
      <c r="V6387" s="16"/>
      <c r="W6387" s="13"/>
      <c r="X6387" s="34">
        <v>6383</v>
      </c>
      <c r="Y6387" s="34" t="s">
        <v>2248</v>
      </c>
      <c r="Z6387" s="34" t="s">
        <v>2963</v>
      </c>
      <c r="AA6387" s="35">
        <v>2.9167338709677422E-5</v>
      </c>
      <c r="AB6387" s="13"/>
      <c r="AC6387" s="13"/>
      <c r="AD6387" s="13"/>
      <c r="AE6387" s="13"/>
      <c r="AF6387" s="13"/>
    </row>
    <row r="6388" spans="19:32" x14ac:dyDescent="0.35">
      <c r="S6388" s="13"/>
      <c r="T6388" s="16"/>
      <c r="U6388" s="16"/>
      <c r="V6388" s="16"/>
      <c r="W6388" s="13"/>
      <c r="X6388" s="47">
        <v>6384</v>
      </c>
      <c r="Y6388" s="47" t="s">
        <v>2248</v>
      </c>
      <c r="Z6388" s="47" t="s">
        <v>2962</v>
      </c>
      <c r="AA6388" s="48">
        <v>7.3599999999999999E-2</v>
      </c>
      <c r="AB6388" s="13"/>
      <c r="AC6388" s="13"/>
      <c r="AD6388" s="13"/>
      <c r="AE6388" s="13"/>
      <c r="AF6388" s="13"/>
    </row>
    <row r="6389" spans="19:32" x14ac:dyDescent="0.35">
      <c r="S6389" s="13"/>
      <c r="T6389" s="16"/>
      <c r="U6389" s="16"/>
      <c r="V6389" s="16"/>
      <c r="W6389" s="13"/>
      <c r="X6389" s="47">
        <v>6385</v>
      </c>
      <c r="Y6389" s="47" t="s">
        <v>2248</v>
      </c>
      <c r="Z6389" s="47" t="s">
        <v>2961</v>
      </c>
      <c r="AA6389" s="48">
        <v>82.432000000000002</v>
      </c>
      <c r="AB6389" s="13"/>
      <c r="AC6389" s="13"/>
      <c r="AD6389" s="13"/>
      <c r="AE6389" s="13"/>
      <c r="AF6389" s="13"/>
    </row>
    <row r="6390" spans="19:32" x14ac:dyDescent="0.35">
      <c r="S6390" s="13"/>
      <c r="T6390" s="16"/>
      <c r="U6390" s="16"/>
      <c r="V6390" s="16"/>
      <c r="W6390" s="13"/>
      <c r="X6390" s="34">
        <v>6386</v>
      </c>
      <c r="Y6390" s="34" t="s">
        <v>2248</v>
      </c>
      <c r="Z6390" s="34" t="s">
        <v>2960</v>
      </c>
      <c r="AA6390" s="35">
        <v>2.7693548387096778E-4</v>
      </c>
      <c r="AB6390" s="13"/>
      <c r="AC6390" s="13"/>
      <c r="AD6390" s="13"/>
      <c r="AE6390" s="13"/>
      <c r="AF6390" s="13"/>
    </row>
    <row r="6391" spans="19:32" x14ac:dyDescent="0.35">
      <c r="S6391" s="13"/>
      <c r="T6391" s="16"/>
      <c r="U6391" s="16"/>
      <c r="V6391" s="16"/>
      <c r="W6391" s="13"/>
      <c r="X6391" s="47">
        <v>6387</v>
      </c>
      <c r="Y6391" s="47" t="s">
        <v>2248</v>
      </c>
      <c r="Z6391" s="47" t="s">
        <v>2959</v>
      </c>
      <c r="AA6391" s="48">
        <v>1168.4000000000001</v>
      </c>
      <c r="AB6391" s="13"/>
      <c r="AC6391" s="13"/>
      <c r="AD6391" s="13"/>
      <c r="AE6391" s="13"/>
      <c r="AF6391" s="13"/>
    </row>
    <row r="6392" spans="19:32" x14ac:dyDescent="0.35">
      <c r="S6392" s="13"/>
      <c r="T6392" s="16"/>
      <c r="U6392" s="16"/>
      <c r="V6392" s="16"/>
      <c r="W6392" s="13"/>
      <c r="X6392" s="47">
        <v>6388</v>
      </c>
      <c r="Y6392" s="47" t="s">
        <v>2248</v>
      </c>
      <c r="Z6392" s="47" t="s">
        <v>2958</v>
      </c>
      <c r="AA6392" s="48">
        <v>0</v>
      </c>
      <c r="AB6392" s="13"/>
      <c r="AC6392" s="13"/>
      <c r="AD6392" s="13"/>
      <c r="AE6392" s="13"/>
      <c r="AF6392" s="13"/>
    </row>
    <row r="6393" spans="19:32" x14ac:dyDescent="0.35">
      <c r="S6393" s="13"/>
      <c r="T6393" s="16"/>
      <c r="U6393" s="16"/>
      <c r="V6393" s="16"/>
      <c r="W6393" s="13"/>
      <c r="X6393" s="34">
        <v>6389</v>
      </c>
      <c r="Y6393" s="34" t="s">
        <v>2248</v>
      </c>
      <c r="Z6393" s="34" t="s">
        <v>2957</v>
      </c>
      <c r="AA6393" s="35">
        <v>2.6768145161290325E-5</v>
      </c>
      <c r="AB6393" s="13"/>
      <c r="AC6393" s="13"/>
      <c r="AD6393" s="13"/>
      <c r="AE6393" s="13"/>
      <c r="AF6393" s="13"/>
    </row>
    <row r="6394" spans="19:32" x14ac:dyDescent="0.35">
      <c r="S6394" s="13"/>
      <c r="T6394" s="16"/>
      <c r="U6394" s="16"/>
      <c r="V6394" s="16"/>
      <c r="W6394" s="13"/>
      <c r="X6394" s="47">
        <v>6390</v>
      </c>
      <c r="Y6394" s="47" t="s">
        <v>2248</v>
      </c>
      <c r="Z6394" s="47" t="s">
        <v>2956</v>
      </c>
      <c r="AA6394" s="48">
        <v>7.2496000000000009</v>
      </c>
      <c r="AB6394" s="13"/>
      <c r="AC6394" s="13"/>
      <c r="AD6394" s="13"/>
      <c r="AE6394" s="13"/>
      <c r="AF6394" s="13"/>
    </row>
    <row r="6395" spans="19:32" x14ac:dyDescent="0.35">
      <c r="S6395" s="13"/>
      <c r="T6395" s="16"/>
      <c r="U6395" s="16"/>
      <c r="V6395" s="16"/>
      <c r="W6395" s="13"/>
      <c r="X6395" s="47">
        <v>6391</v>
      </c>
      <c r="Y6395" s="47" t="s">
        <v>2248</v>
      </c>
      <c r="Z6395" s="47" t="s">
        <v>2955</v>
      </c>
      <c r="AA6395" s="48">
        <v>47.655999999999999</v>
      </c>
      <c r="AB6395" s="13"/>
      <c r="AC6395" s="13"/>
      <c r="AD6395" s="13"/>
      <c r="AE6395" s="13"/>
      <c r="AF6395" s="13"/>
    </row>
    <row r="6396" spans="19:32" x14ac:dyDescent="0.35">
      <c r="S6396" s="13"/>
      <c r="T6396" s="16"/>
      <c r="U6396" s="16"/>
      <c r="V6396" s="16"/>
      <c r="W6396" s="13"/>
      <c r="X6396" s="34">
        <v>6392</v>
      </c>
      <c r="Y6396" s="34" t="s">
        <v>2248</v>
      </c>
      <c r="Z6396" s="34" t="s">
        <v>2954</v>
      </c>
      <c r="AA6396" s="35">
        <v>8.6370967741935492E-2</v>
      </c>
      <c r="AB6396" s="13"/>
      <c r="AC6396" s="13"/>
      <c r="AD6396" s="13"/>
      <c r="AE6396" s="13"/>
      <c r="AF6396" s="13"/>
    </row>
    <row r="6397" spans="19:32" x14ac:dyDescent="0.35">
      <c r="S6397" s="13"/>
      <c r="T6397" s="16"/>
      <c r="U6397" s="16"/>
      <c r="V6397" s="16"/>
      <c r="W6397" s="13"/>
      <c r="X6397" s="47">
        <v>6393</v>
      </c>
      <c r="Y6397" s="47" t="s">
        <v>2248</v>
      </c>
      <c r="Z6397" s="47" t="s">
        <v>2953</v>
      </c>
      <c r="AA6397" s="48">
        <v>0</v>
      </c>
      <c r="AB6397" s="13"/>
      <c r="AC6397" s="13"/>
      <c r="AD6397" s="13"/>
      <c r="AE6397" s="13"/>
      <c r="AF6397" s="13"/>
    </row>
    <row r="6398" spans="19:32" x14ac:dyDescent="0.35">
      <c r="S6398" s="13"/>
      <c r="T6398" s="16"/>
      <c r="U6398" s="16"/>
      <c r="V6398" s="16"/>
      <c r="W6398" s="13"/>
      <c r="X6398" s="47">
        <v>6394</v>
      </c>
      <c r="Y6398" s="47" t="s">
        <v>2248</v>
      </c>
      <c r="Z6398" s="47" t="s">
        <v>2952</v>
      </c>
      <c r="AA6398" s="48">
        <v>0</v>
      </c>
      <c r="AB6398" s="13"/>
      <c r="AC6398" s="13"/>
      <c r="AD6398" s="13"/>
      <c r="AE6398" s="13"/>
      <c r="AF6398" s="13"/>
    </row>
    <row r="6399" spans="19:32" x14ac:dyDescent="0.35">
      <c r="S6399" s="13"/>
      <c r="T6399" s="16"/>
      <c r="U6399" s="16"/>
      <c r="V6399" s="16"/>
      <c r="W6399" s="13"/>
      <c r="X6399" s="34">
        <v>6395</v>
      </c>
      <c r="Y6399" s="34" t="s">
        <v>2248</v>
      </c>
      <c r="Z6399" s="34" t="s">
        <v>2951</v>
      </c>
      <c r="AA6399" s="35">
        <v>2.4437500000000001E-2</v>
      </c>
      <c r="AB6399" s="13"/>
      <c r="AC6399" s="13"/>
      <c r="AD6399" s="13"/>
      <c r="AE6399" s="13"/>
      <c r="AF6399" s="13"/>
    </row>
    <row r="6400" spans="19:32" x14ac:dyDescent="0.35">
      <c r="S6400" s="13"/>
      <c r="T6400" s="16"/>
      <c r="U6400" s="16"/>
      <c r="V6400" s="16"/>
      <c r="W6400" s="13"/>
      <c r="X6400" s="47">
        <v>6396</v>
      </c>
      <c r="Y6400" s="47" t="s">
        <v>2248</v>
      </c>
      <c r="Z6400" s="47" t="s">
        <v>2950</v>
      </c>
      <c r="AA6400" s="48">
        <v>423.2</v>
      </c>
      <c r="AB6400" s="13"/>
      <c r="AC6400" s="13"/>
      <c r="AD6400" s="13"/>
      <c r="AE6400" s="13"/>
      <c r="AF6400" s="13"/>
    </row>
    <row r="6401" spans="19:32" x14ac:dyDescent="0.35">
      <c r="S6401" s="13"/>
      <c r="T6401" s="16"/>
      <c r="U6401" s="16"/>
      <c r="V6401" s="16"/>
      <c r="W6401" s="13"/>
      <c r="X6401" s="34">
        <v>6397</v>
      </c>
      <c r="Y6401" s="34" t="s">
        <v>2248</v>
      </c>
      <c r="Z6401" s="34" t="s">
        <v>2949</v>
      </c>
      <c r="AA6401" s="35">
        <v>1.1995967741935485E-3</v>
      </c>
      <c r="AB6401" s="13"/>
      <c r="AC6401" s="13"/>
      <c r="AD6401" s="13"/>
      <c r="AE6401" s="13"/>
      <c r="AF6401" s="13"/>
    </row>
    <row r="6402" spans="19:32" x14ac:dyDescent="0.35">
      <c r="S6402" s="13"/>
      <c r="T6402" s="16"/>
      <c r="U6402" s="16"/>
      <c r="V6402" s="16"/>
      <c r="W6402" s="13"/>
      <c r="X6402" s="47">
        <v>6398</v>
      </c>
      <c r="Y6402" s="47" t="s">
        <v>2248</v>
      </c>
      <c r="Z6402" s="47" t="s">
        <v>2948</v>
      </c>
      <c r="AA6402" s="48">
        <v>4.9311999999999995E-2</v>
      </c>
      <c r="AB6402" s="13"/>
      <c r="AC6402" s="13"/>
      <c r="AD6402" s="13"/>
      <c r="AE6402" s="13"/>
      <c r="AF6402" s="13"/>
    </row>
    <row r="6403" spans="19:32" x14ac:dyDescent="0.35">
      <c r="S6403" s="13"/>
      <c r="T6403" s="16"/>
      <c r="U6403" s="16"/>
      <c r="V6403" s="16"/>
      <c r="W6403" s="13"/>
      <c r="X6403" s="47">
        <v>6399</v>
      </c>
      <c r="Y6403" s="47" t="s">
        <v>2248</v>
      </c>
      <c r="Z6403" s="47" t="s">
        <v>2947</v>
      </c>
      <c r="AA6403" s="48">
        <v>1.6835999999999999E-4</v>
      </c>
      <c r="AB6403" s="13"/>
      <c r="AC6403" s="13"/>
      <c r="AD6403" s="13"/>
      <c r="AE6403" s="13"/>
      <c r="AF6403" s="13"/>
    </row>
    <row r="6404" spans="19:32" x14ac:dyDescent="0.35">
      <c r="S6404" s="13"/>
      <c r="T6404" s="16"/>
      <c r="U6404" s="16"/>
      <c r="V6404" s="16"/>
      <c r="W6404" s="13"/>
      <c r="X6404" s="34">
        <v>6400</v>
      </c>
      <c r="Y6404" s="34" t="s">
        <v>2248</v>
      </c>
      <c r="Z6404" s="34" t="s">
        <v>2833</v>
      </c>
      <c r="AA6404" s="35">
        <v>2.2209677419354839E-3</v>
      </c>
      <c r="AB6404" s="13"/>
      <c r="AC6404" s="13"/>
      <c r="AD6404" s="13"/>
      <c r="AE6404" s="13"/>
      <c r="AF6404" s="13"/>
    </row>
    <row r="6405" spans="19:32" x14ac:dyDescent="0.35">
      <c r="S6405" s="13"/>
      <c r="T6405" s="16"/>
      <c r="U6405" s="16"/>
      <c r="V6405" s="16"/>
      <c r="W6405" s="13"/>
      <c r="X6405" s="47">
        <v>6401</v>
      </c>
      <c r="Y6405" s="47" t="s">
        <v>2248</v>
      </c>
      <c r="Z6405" s="47" t="s">
        <v>2946</v>
      </c>
      <c r="AA6405" s="48">
        <v>0</v>
      </c>
      <c r="AB6405" s="13"/>
      <c r="AC6405" s="13"/>
      <c r="AD6405" s="13"/>
      <c r="AE6405" s="13"/>
      <c r="AF6405" s="13"/>
    </row>
    <row r="6406" spans="19:32" x14ac:dyDescent="0.35">
      <c r="S6406" s="13"/>
      <c r="T6406" s="16"/>
      <c r="U6406" s="16"/>
      <c r="V6406" s="16"/>
      <c r="W6406" s="13"/>
      <c r="X6406" s="47">
        <v>6402</v>
      </c>
      <c r="Y6406" s="47" t="s">
        <v>2248</v>
      </c>
      <c r="Z6406" s="47" t="s">
        <v>2945</v>
      </c>
      <c r="AA6406" s="48">
        <v>1.0764000000000001E-2</v>
      </c>
      <c r="AB6406" s="13"/>
      <c r="AC6406" s="13"/>
      <c r="AD6406" s="13"/>
      <c r="AE6406" s="13"/>
      <c r="AF6406" s="13"/>
    </row>
    <row r="6407" spans="19:32" x14ac:dyDescent="0.35">
      <c r="S6407" s="13"/>
      <c r="T6407" s="16"/>
      <c r="U6407" s="16"/>
      <c r="V6407" s="16"/>
      <c r="W6407" s="13"/>
      <c r="X6407" s="34">
        <v>6403</v>
      </c>
      <c r="Y6407" s="34" t="s">
        <v>2248</v>
      </c>
      <c r="Z6407" s="34" t="s">
        <v>2831</v>
      </c>
      <c r="AA6407" s="35">
        <v>4.1129032258064518E-5</v>
      </c>
      <c r="AB6407" s="13"/>
      <c r="AC6407" s="13"/>
      <c r="AD6407" s="13"/>
      <c r="AE6407" s="13"/>
      <c r="AF6407" s="13"/>
    </row>
    <row r="6408" spans="19:32" x14ac:dyDescent="0.35">
      <c r="S6408" s="13"/>
      <c r="T6408" s="16"/>
      <c r="U6408" s="16"/>
      <c r="V6408" s="16"/>
      <c r="W6408" s="13"/>
      <c r="X6408" s="47">
        <v>6404</v>
      </c>
      <c r="Y6408" s="47" t="s">
        <v>2248</v>
      </c>
      <c r="Z6408" s="47" t="s">
        <v>2944</v>
      </c>
      <c r="AA6408" s="48">
        <v>6.2652000000000001</v>
      </c>
      <c r="AB6408" s="13"/>
      <c r="AC6408" s="13"/>
      <c r="AD6408" s="13"/>
      <c r="AE6408" s="13"/>
      <c r="AF6408" s="13"/>
    </row>
    <row r="6409" spans="19:32" x14ac:dyDescent="0.35">
      <c r="S6409" s="13"/>
      <c r="T6409" s="16"/>
      <c r="U6409" s="16"/>
      <c r="V6409" s="16"/>
      <c r="W6409" s="13"/>
      <c r="X6409" s="47">
        <v>6405</v>
      </c>
      <c r="Y6409" s="47" t="s">
        <v>2248</v>
      </c>
      <c r="Z6409" s="47" t="s">
        <v>2943</v>
      </c>
      <c r="AA6409" s="48">
        <v>7.1943999999999999</v>
      </c>
      <c r="AB6409" s="13"/>
      <c r="AC6409" s="13"/>
      <c r="AD6409" s="13"/>
      <c r="AE6409" s="13"/>
      <c r="AF6409" s="13"/>
    </row>
    <row r="6410" spans="19:32" x14ac:dyDescent="0.35">
      <c r="S6410" s="13"/>
      <c r="T6410" s="16"/>
      <c r="U6410" s="16"/>
      <c r="V6410" s="16"/>
      <c r="W6410" s="13"/>
      <c r="X6410" s="34">
        <v>6406</v>
      </c>
      <c r="Y6410" s="34" t="s">
        <v>2248</v>
      </c>
      <c r="Z6410" s="34" t="s">
        <v>2828</v>
      </c>
      <c r="AA6410" s="35">
        <v>2.5637096774193554E-4</v>
      </c>
      <c r="AB6410" s="13"/>
      <c r="AC6410" s="13"/>
      <c r="AD6410" s="13"/>
      <c r="AE6410" s="13"/>
      <c r="AF6410" s="13"/>
    </row>
    <row r="6411" spans="19:32" x14ac:dyDescent="0.35">
      <c r="S6411" s="13"/>
      <c r="T6411" s="16"/>
      <c r="U6411" s="16"/>
      <c r="V6411" s="16"/>
      <c r="W6411" s="13"/>
      <c r="X6411" s="47">
        <v>6407</v>
      </c>
      <c r="Y6411" s="47" t="s">
        <v>2248</v>
      </c>
      <c r="Z6411" s="47" t="s">
        <v>2942</v>
      </c>
      <c r="AA6411" s="48">
        <v>1.5364</v>
      </c>
      <c r="AB6411" s="13"/>
      <c r="AC6411" s="13"/>
      <c r="AD6411" s="13"/>
      <c r="AE6411" s="13"/>
      <c r="AF6411" s="13"/>
    </row>
    <row r="6412" spans="19:32" x14ac:dyDescent="0.35">
      <c r="S6412" s="13"/>
      <c r="T6412" s="16"/>
      <c r="U6412" s="16"/>
      <c r="V6412" s="16"/>
      <c r="W6412" s="13"/>
      <c r="X6412" s="34">
        <v>6408</v>
      </c>
      <c r="Y6412" s="34" t="s">
        <v>2248</v>
      </c>
      <c r="Z6412" s="34" t="s">
        <v>2826</v>
      </c>
      <c r="AA6412" s="35">
        <v>2.8139112903225807E-5</v>
      </c>
      <c r="AB6412" s="13"/>
      <c r="AC6412" s="13"/>
      <c r="AD6412" s="13"/>
      <c r="AE6412" s="13"/>
      <c r="AF6412" s="13"/>
    </row>
    <row r="6413" spans="19:32" x14ac:dyDescent="0.35">
      <c r="S6413" s="13"/>
      <c r="T6413" s="16"/>
      <c r="U6413" s="16"/>
      <c r="V6413" s="16"/>
      <c r="W6413" s="13"/>
      <c r="X6413" s="47">
        <v>6409</v>
      </c>
      <c r="Y6413" s="47" t="s">
        <v>2248</v>
      </c>
      <c r="Z6413" s="47" t="s">
        <v>2941</v>
      </c>
      <c r="AA6413" s="48">
        <v>8.1419999999999999E-3</v>
      </c>
      <c r="AB6413" s="13"/>
      <c r="AC6413" s="13"/>
      <c r="AD6413" s="13"/>
      <c r="AE6413" s="13"/>
      <c r="AF6413" s="13"/>
    </row>
    <row r="6414" spans="19:32" x14ac:dyDescent="0.35">
      <c r="S6414" s="13"/>
      <c r="T6414" s="16"/>
      <c r="U6414" s="16"/>
      <c r="V6414" s="16"/>
      <c r="W6414" s="13"/>
      <c r="X6414" s="47">
        <v>6410</v>
      </c>
      <c r="Y6414" s="47" t="s">
        <v>2248</v>
      </c>
      <c r="Z6414" s="47" t="s">
        <v>2940</v>
      </c>
      <c r="AA6414" s="48">
        <v>0.11499999999999999</v>
      </c>
      <c r="AB6414" s="13"/>
      <c r="AC6414" s="13"/>
      <c r="AD6414" s="13"/>
      <c r="AE6414" s="13"/>
      <c r="AF6414" s="13"/>
    </row>
    <row r="6415" spans="19:32" x14ac:dyDescent="0.35">
      <c r="S6415" s="13"/>
      <c r="T6415" s="16"/>
      <c r="U6415" s="16"/>
      <c r="V6415" s="16"/>
      <c r="W6415" s="13"/>
      <c r="X6415" s="34">
        <v>6411</v>
      </c>
      <c r="Y6415" s="34" t="s">
        <v>2248</v>
      </c>
      <c r="Z6415" s="34" t="s">
        <v>2939</v>
      </c>
      <c r="AA6415" s="35">
        <v>3.5987903225806453E-6</v>
      </c>
      <c r="AB6415" s="13"/>
      <c r="AC6415" s="13"/>
      <c r="AD6415" s="13"/>
      <c r="AE6415" s="13"/>
      <c r="AF6415" s="13"/>
    </row>
    <row r="6416" spans="19:32" x14ac:dyDescent="0.35">
      <c r="S6416" s="13"/>
      <c r="T6416" s="16"/>
      <c r="U6416" s="16"/>
      <c r="V6416" s="16"/>
      <c r="W6416" s="13"/>
      <c r="X6416" s="47">
        <v>6412</v>
      </c>
      <c r="Y6416" s="47" t="s">
        <v>2248</v>
      </c>
      <c r="Z6416" s="47" t="s">
        <v>2938</v>
      </c>
      <c r="AA6416" s="48">
        <v>701.96</v>
      </c>
      <c r="AB6416" s="13"/>
      <c r="AC6416" s="13"/>
      <c r="AD6416" s="13"/>
      <c r="AE6416" s="13"/>
      <c r="AF6416" s="13"/>
    </row>
    <row r="6417" spans="19:32" x14ac:dyDescent="0.35">
      <c r="S6417" s="13"/>
      <c r="T6417" s="16"/>
      <c r="U6417" s="16"/>
      <c r="V6417" s="16"/>
      <c r="W6417" s="13"/>
      <c r="X6417" s="47">
        <v>6413</v>
      </c>
      <c r="Y6417" s="47" t="s">
        <v>2248</v>
      </c>
      <c r="Z6417" s="47" t="s">
        <v>2937</v>
      </c>
      <c r="AA6417" s="48">
        <v>1.8399999999999999</v>
      </c>
      <c r="AB6417" s="13"/>
      <c r="AC6417" s="13"/>
      <c r="AD6417" s="13"/>
      <c r="AE6417" s="13"/>
      <c r="AF6417" s="13"/>
    </row>
    <row r="6418" spans="19:32" x14ac:dyDescent="0.35">
      <c r="S6418" s="13"/>
      <c r="T6418" s="16"/>
      <c r="U6418" s="16"/>
      <c r="V6418" s="16"/>
      <c r="W6418" s="13"/>
      <c r="X6418" s="34">
        <v>6414</v>
      </c>
      <c r="Y6418" s="34" t="s">
        <v>2248</v>
      </c>
      <c r="Z6418" s="34" t="s">
        <v>2936</v>
      </c>
      <c r="AA6418" s="35">
        <v>1.0830645161290324E-5</v>
      </c>
      <c r="AB6418" s="13"/>
      <c r="AC6418" s="13"/>
      <c r="AD6418" s="13"/>
      <c r="AE6418" s="13"/>
      <c r="AF6418" s="13"/>
    </row>
    <row r="6419" spans="19:32" x14ac:dyDescent="0.35">
      <c r="S6419" s="13"/>
      <c r="T6419" s="16"/>
      <c r="U6419" s="16"/>
      <c r="V6419" s="16"/>
      <c r="W6419" s="13"/>
      <c r="X6419" s="47">
        <v>6415</v>
      </c>
      <c r="Y6419" s="47" t="s">
        <v>2248</v>
      </c>
      <c r="Z6419" s="47" t="s">
        <v>2935</v>
      </c>
      <c r="AA6419" s="48">
        <v>0.39836000000000005</v>
      </c>
      <c r="AB6419" s="13"/>
      <c r="AC6419" s="13"/>
      <c r="AD6419" s="13"/>
      <c r="AE6419" s="13"/>
      <c r="AF6419" s="13"/>
    </row>
    <row r="6420" spans="19:32" x14ac:dyDescent="0.35">
      <c r="S6420" s="13"/>
      <c r="T6420" s="16"/>
      <c r="U6420" s="16"/>
      <c r="V6420" s="16"/>
      <c r="W6420" s="13"/>
      <c r="X6420" s="47">
        <v>6416</v>
      </c>
      <c r="Y6420" s="47" t="s">
        <v>2248</v>
      </c>
      <c r="Z6420" s="47" t="s">
        <v>2934</v>
      </c>
      <c r="AA6420" s="48">
        <v>1.2511999999999999</v>
      </c>
      <c r="AB6420" s="13"/>
      <c r="AC6420" s="13"/>
      <c r="AD6420" s="13"/>
      <c r="AE6420" s="13"/>
      <c r="AF6420" s="13"/>
    </row>
    <row r="6421" spans="19:32" x14ac:dyDescent="0.35">
      <c r="S6421" s="13"/>
      <c r="T6421" s="16"/>
      <c r="U6421" s="16"/>
      <c r="V6421" s="16"/>
      <c r="W6421" s="13"/>
      <c r="X6421" s="34">
        <v>6417</v>
      </c>
      <c r="Y6421" s="34" t="s">
        <v>2248</v>
      </c>
      <c r="Z6421" s="34" t="s">
        <v>2933</v>
      </c>
      <c r="AA6421" s="35">
        <v>0.89798387096774201</v>
      </c>
      <c r="AB6421" s="13"/>
      <c r="AC6421" s="13"/>
      <c r="AD6421" s="13"/>
      <c r="AE6421" s="13"/>
      <c r="AF6421" s="13"/>
    </row>
    <row r="6422" spans="19:32" x14ac:dyDescent="0.35">
      <c r="S6422" s="13"/>
      <c r="T6422" s="16"/>
      <c r="U6422" s="16"/>
      <c r="V6422" s="16"/>
      <c r="W6422" s="13"/>
      <c r="X6422" s="47">
        <v>6418</v>
      </c>
      <c r="Y6422" s="47" t="s">
        <v>2248</v>
      </c>
      <c r="Z6422" s="47" t="s">
        <v>2932</v>
      </c>
      <c r="AA6422" s="48">
        <v>43.884</v>
      </c>
      <c r="AB6422" s="13"/>
      <c r="AC6422" s="13"/>
      <c r="AD6422" s="13"/>
      <c r="AE6422" s="13"/>
      <c r="AF6422" s="13"/>
    </row>
    <row r="6423" spans="19:32" x14ac:dyDescent="0.35">
      <c r="S6423" s="13"/>
      <c r="T6423" s="16"/>
      <c r="U6423" s="16"/>
      <c r="V6423" s="16"/>
      <c r="W6423" s="13"/>
      <c r="X6423" s="47">
        <v>6419</v>
      </c>
      <c r="Y6423" s="47" t="s">
        <v>2248</v>
      </c>
      <c r="Z6423" s="47" t="s">
        <v>2931</v>
      </c>
      <c r="AA6423" s="48">
        <v>0.35971999999999998</v>
      </c>
      <c r="AB6423" s="13"/>
      <c r="AC6423" s="13"/>
      <c r="AD6423" s="13"/>
      <c r="AE6423" s="13"/>
      <c r="AF6423" s="13"/>
    </row>
    <row r="6424" spans="19:32" x14ac:dyDescent="0.35">
      <c r="S6424" s="13"/>
      <c r="T6424" s="16"/>
      <c r="U6424" s="16"/>
      <c r="V6424" s="16"/>
      <c r="W6424" s="13"/>
      <c r="X6424" s="34">
        <v>6420</v>
      </c>
      <c r="Y6424" s="34" t="s">
        <v>2248</v>
      </c>
      <c r="Z6424" s="34" t="s">
        <v>2823</v>
      </c>
      <c r="AA6424" s="35">
        <v>8.9455645161290327E-6</v>
      </c>
      <c r="AB6424" s="13"/>
      <c r="AC6424" s="13"/>
      <c r="AD6424" s="13"/>
      <c r="AE6424" s="13"/>
      <c r="AF6424" s="13"/>
    </row>
    <row r="6425" spans="19:32" x14ac:dyDescent="0.35">
      <c r="S6425" s="13"/>
      <c r="T6425" s="16"/>
      <c r="U6425" s="16"/>
      <c r="V6425" s="16"/>
      <c r="W6425" s="13"/>
      <c r="X6425" s="47">
        <v>6421</v>
      </c>
      <c r="Y6425" s="47" t="s">
        <v>2248</v>
      </c>
      <c r="Z6425" s="47" t="s">
        <v>2930</v>
      </c>
      <c r="AA6425" s="48">
        <v>2.1068000000000002</v>
      </c>
      <c r="AB6425" s="13"/>
      <c r="AC6425" s="13"/>
      <c r="AD6425" s="13"/>
      <c r="AE6425" s="13"/>
      <c r="AF6425" s="13"/>
    </row>
    <row r="6426" spans="19:32" x14ac:dyDescent="0.35">
      <c r="S6426" s="13"/>
      <c r="T6426" s="16"/>
      <c r="U6426" s="16"/>
      <c r="V6426" s="16"/>
      <c r="W6426" s="13"/>
      <c r="X6426" s="34">
        <v>6422</v>
      </c>
      <c r="Y6426" s="34" t="s">
        <v>2248</v>
      </c>
      <c r="Z6426" s="34" t="s">
        <v>2929</v>
      </c>
      <c r="AA6426" s="35">
        <v>9.425403225806452E-4</v>
      </c>
      <c r="AB6426" s="13"/>
      <c r="AC6426" s="13"/>
      <c r="AD6426" s="13"/>
      <c r="AE6426" s="13"/>
      <c r="AF6426" s="13"/>
    </row>
    <row r="6427" spans="19:32" x14ac:dyDescent="0.35">
      <c r="S6427" s="13"/>
      <c r="T6427" s="16"/>
      <c r="U6427" s="16"/>
      <c r="V6427" s="16"/>
      <c r="W6427" s="13"/>
      <c r="X6427" s="47">
        <v>6423</v>
      </c>
      <c r="Y6427" s="47" t="s">
        <v>2248</v>
      </c>
      <c r="Z6427" s="47" t="s">
        <v>2928</v>
      </c>
      <c r="AA6427" s="48">
        <v>0.437</v>
      </c>
      <c r="AB6427" s="13"/>
      <c r="AC6427" s="13"/>
      <c r="AD6427" s="13"/>
      <c r="AE6427" s="13"/>
      <c r="AF6427" s="13"/>
    </row>
    <row r="6428" spans="19:32" x14ac:dyDescent="0.35">
      <c r="S6428" s="13"/>
      <c r="T6428" s="16"/>
      <c r="U6428" s="16"/>
      <c r="V6428" s="16"/>
      <c r="W6428" s="13"/>
      <c r="X6428" s="47">
        <v>6424</v>
      </c>
      <c r="Y6428" s="47" t="s">
        <v>2248</v>
      </c>
      <c r="Z6428" s="47" t="s">
        <v>2927</v>
      </c>
      <c r="AA6428" s="48">
        <v>7.7003999999999992</v>
      </c>
      <c r="AB6428" s="13"/>
      <c r="AC6428" s="13"/>
      <c r="AD6428" s="13"/>
      <c r="AE6428" s="13"/>
      <c r="AF6428" s="13"/>
    </row>
    <row r="6429" spans="19:32" x14ac:dyDescent="0.35">
      <c r="S6429" s="13"/>
      <c r="T6429" s="16"/>
      <c r="U6429" s="16"/>
      <c r="V6429" s="16"/>
      <c r="W6429" s="13"/>
      <c r="X6429" s="34">
        <v>6425</v>
      </c>
      <c r="Y6429" s="34" t="s">
        <v>2248</v>
      </c>
      <c r="Z6429" s="34" t="s">
        <v>2926</v>
      </c>
      <c r="AA6429" s="35">
        <v>1.689717741935484E-5</v>
      </c>
      <c r="AB6429" s="13"/>
      <c r="AC6429" s="13"/>
      <c r="AD6429" s="13"/>
      <c r="AE6429" s="13"/>
      <c r="AF6429" s="13"/>
    </row>
    <row r="6430" spans="19:32" x14ac:dyDescent="0.35">
      <c r="S6430" s="13"/>
      <c r="T6430" s="16"/>
      <c r="U6430" s="16"/>
      <c r="V6430" s="16"/>
      <c r="W6430" s="13"/>
      <c r="X6430" s="47">
        <v>6426</v>
      </c>
      <c r="Y6430" s="47" t="s">
        <v>2248</v>
      </c>
      <c r="Z6430" s="47" t="s">
        <v>2925</v>
      </c>
      <c r="AA6430" s="48">
        <v>2.6680000000000001</v>
      </c>
      <c r="AB6430" s="13"/>
      <c r="AC6430" s="13"/>
      <c r="AD6430" s="13"/>
      <c r="AE6430" s="13"/>
      <c r="AF6430" s="13"/>
    </row>
    <row r="6431" spans="19:32" x14ac:dyDescent="0.35">
      <c r="S6431" s="13"/>
      <c r="T6431" s="16"/>
      <c r="U6431" s="16"/>
      <c r="V6431" s="16"/>
      <c r="W6431" s="13"/>
      <c r="X6431" s="47">
        <v>6427</v>
      </c>
      <c r="Y6431" s="47" t="s">
        <v>2248</v>
      </c>
      <c r="Z6431" s="47" t="s">
        <v>2924</v>
      </c>
      <c r="AA6431" s="48">
        <v>39.008000000000003</v>
      </c>
      <c r="AB6431" s="13"/>
      <c r="AC6431" s="13"/>
      <c r="AD6431" s="13"/>
      <c r="AE6431" s="13"/>
      <c r="AF6431" s="13"/>
    </row>
    <row r="6432" spans="19:32" x14ac:dyDescent="0.35">
      <c r="S6432" s="13"/>
      <c r="T6432" s="16"/>
      <c r="U6432" s="16"/>
      <c r="V6432" s="16"/>
      <c r="W6432" s="13"/>
      <c r="X6432" s="34">
        <v>6428</v>
      </c>
      <c r="Y6432" s="34" t="s">
        <v>2248</v>
      </c>
      <c r="Z6432" s="34" t="s">
        <v>2923</v>
      </c>
      <c r="AA6432" s="35">
        <v>4.1129032258064519E-3</v>
      </c>
      <c r="AB6432" s="13"/>
      <c r="AC6432" s="13"/>
      <c r="AD6432" s="13"/>
      <c r="AE6432" s="13"/>
      <c r="AF6432" s="13"/>
    </row>
    <row r="6433" spans="19:32" x14ac:dyDescent="0.35">
      <c r="S6433" s="13"/>
      <c r="T6433" s="16"/>
      <c r="U6433" s="16"/>
      <c r="V6433" s="16"/>
      <c r="W6433" s="13"/>
      <c r="X6433" s="47">
        <v>6429</v>
      </c>
      <c r="Y6433" s="47" t="s">
        <v>2248</v>
      </c>
      <c r="Z6433" s="47" t="s">
        <v>2922</v>
      </c>
      <c r="AA6433" s="48">
        <v>2.7231999999999999E-2</v>
      </c>
      <c r="AB6433" s="13"/>
      <c r="AC6433" s="13"/>
      <c r="AD6433" s="13"/>
      <c r="AE6433" s="13"/>
      <c r="AF6433" s="13"/>
    </row>
    <row r="6434" spans="19:32" x14ac:dyDescent="0.35">
      <c r="S6434" s="13"/>
      <c r="T6434" s="16"/>
      <c r="U6434" s="16"/>
      <c r="V6434" s="16"/>
      <c r="W6434" s="13"/>
      <c r="X6434" s="47">
        <v>6430</v>
      </c>
      <c r="Y6434" s="47" t="s">
        <v>2248</v>
      </c>
      <c r="Z6434" s="47" t="s">
        <v>2921</v>
      </c>
      <c r="AA6434" s="48">
        <v>1.1224000000000001</v>
      </c>
      <c r="AB6434" s="13"/>
      <c r="AC6434" s="13"/>
      <c r="AD6434" s="13"/>
      <c r="AE6434" s="13"/>
      <c r="AF6434" s="13"/>
    </row>
    <row r="6435" spans="19:32" x14ac:dyDescent="0.35">
      <c r="S6435" s="13"/>
      <c r="T6435" s="16"/>
      <c r="U6435" s="16"/>
      <c r="V6435" s="16"/>
      <c r="W6435" s="13"/>
      <c r="X6435" s="34">
        <v>6431</v>
      </c>
      <c r="Y6435" s="34" t="s">
        <v>2248</v>
      </c>
      <c r="Z6435" s="34" t="s">
        <v>2920</v>
      </c>
      <c r="AA6435" s="35">
        <v>2.008467741935484E-7</v>
      </c>
      <c r="AB6435" s="13"/>
      <c r="AC6435" s="13"/>
      <c r="AD6435" s="13"/>
      <c r="AE6435" s="13"/>
      <c r="AF6435" s="13"/>
    </row>
    <row r="6436" spans="19:32" x14ac:dyDescent="0.35">
      <c r="S6436" s="13"/>
      <c r="T6436" s="16"/>
      <c r="U6436" s="16"/>
      <c r="V6436" s="16"/>
      <c r="W6436" s="13"/>
      <c r="X6436" s="47">
        <v>6432</v>
      </c>
      <c r="Y6436" s="47" t="s">
        <v>2248</v>
      </c>
      <c r="Z6436" s="47" t="s">
        <v>2919</v>
      </c>
      <c r="AA6436" s="48">
        <v>9.1080000000000005</v>
      </c>
      <c r="AB6436" s="13"/>
      <c r="AC6436" s="13"/>
      <c r="AD6436" s="13"/>
      <c r="AE6436" s="13"/>
      <c r="AF6436" s="13"/>
    </row>
    <row r="6437" spans="19:32" x14ac:dyDescent="0.35">
      <c r="S6437" s="13"/>
      <c r="T6437" s="16"/>
      <c r="U6437" s="16"/>
      <c r="V6437" s="16"/>
      <c r="W6437" s="13"/>
      <c r="X6437" s="34">
        <v>6433</v>
      </c>
      <c r="Y6437" s="34" t="s">
        <v>2248</v>
      </c>
      <c r="Z6437" s="34" t="s">
        <v>2815</v>
      </c>
      <c r="AA6437" s="35">
        <v>0.22518145161290323</v>
      </c>
      <c r="AB6437" s="13"/>
      <c r="AC6437" s="13"/>
      <c r="AD6437" s="13"/>
      <c r="AE6437" s="13"/>
      <c r="AF6437" s="13"/>
    </row>
    <row r="6438" spans="19:32" x14ac:dyDescent="0.35">
      <c r="S6438" s="13"/>
      <c r="T6438" s="16"/>
      <c r="U6438" s="16"/>
      <c r="V6438" s="16"/>
      <c r="W6438" s="13"/>
      <c r="X6438" s="47">
        <v>6434</v>
      </c>
      <c r="Y6438" s="47" t="s">
        <v>2248</v>
      </c>
      <c r="Z6438" s="47" t="s">
        <v>2918</v>
      </c>
      <c r="AA6438" s="48">
        <v>0.41859999999999997</v>
      </c>
      <c r="AB6438" s="13"/>
      <c r="AC6438" s="13"/>
      <c r="AD6438" s="13"/>
      <c r="AE6438" s="13"/>
      <c r="AF6438" s="13"/>
    </row>
    <row r="6439" spans="19:32" x14ac:dyDescent="0.35">
      <c r="S6439" s="13"/>
      <c r="T6439" s="16"/>
      <c r="U6439" s="16"/>
      <c r="V6439" s="16"/>
      <c r="W6439" s="13"/>
      <c r="X6439" s="47">
        <v>6435</v>
      </c>
      <c r="Y6439" s="47" t="s">
        <v>2248</v>
      </c>
      <c r="Z6439" s="47" t="s">
        <v>2917</v>
      </c>
      <c r="AA6439" s="48">
        <v>0</v>
      </c>
      <c r="AB6439" s="13"/>
      <c r="AC6439" s="13"/>
      <c r="AD6439" s="13"/>
      <c r="AE6439" s="13"/>
      <c r="AF6439" s="13"/>
    </row>
    <row r="6440" spans="19:32" x14ac:dyDescent="0.35">
      <c r="S6440" s="13"/>
      <c r="T6440" s="16"/>
      <c r="U6440" s="16"/>
      <c r="V6440" s="16"/>
      <c r="W6440" s="13"/>
      <c r="X6440" s="34">
        <v>6436</v>
      </c>
      <c r="Y6440" s="34" t="s">
        <v>2248</v>
      </c>
      <c r="Z6440" s="34" t="s">
        <v>2916</v>
      </c>
      <c r="AA6440" s="35">
        <v>0.24540322580645163</v>
      </c>
      <c r="AB6440" s="13"/>
      <c r="AC6440" s="13"/>
      <c r="AD6440" s="13"/>
      <c r="AE6440" s="13"/>
      <c r="AF6440" s="13"/>
    </row>
    <row r="6441" spans="19:32" x14ac:dyDescent="0.35">
      <c r="S6441" s="13"/>
      <c r="T6441" s="16"/>
      <c r="U6441" s="16"/>
      <c r="V6441" s="16"/>
      <c r="W6441" s="13"/>
      <c r="X6441" s="47">
        <v>6437</v>
      </c>
      <c r="Y6441" s="47" t="s">
        <v>2248</v>
      </c>
      <c r="Z6441" s="47" t="s">
        <v>2915</v>
      </c>
      <c r="AA6441" s="48">
        <v>0</v>
      </c>
      <c r="AB6441" s="13"/>
      <c r="AC6441" s="13"/>
      <c r="AD6441" s="13"/>
      <c r="AE6441" s="13"/>
      <c r="AF6441" s="13"/>
    </row>
    <row r="6442" spans="19:32" x14ac:dyDescent="0.35">
      <c r="S6442" s="13"/>
      <c r="T6442" s="16"/>
      <c r="U6442" s="16"/>
      <c r="V6442" s="16"/>
      <c r="W6442" s="13"/>
      <c r="X6442" s="47">
        <v>6438</v>
      </c>
      <c r="Y6442" s="47" t="s">
        <v>2248</v>
      </c>
      <c r="Z6442" s="47" t="s">
        <v>2914</v>
      </c>
      <c r="AA6442" s="48">
        <v>0</v>
      </c>
      <c r="AB6442" s="13"/>
      <c r="AC6442" s="13"/>
      <c r="AD6442" s="13"/>
      <c r="AE6442" s="13"/>
      <c r="AF6442" s="13"/>
    </row>
    <row r="6443" spans="19:32" x14ac:dyDescent="0.35">
      <c r="S6443" s="13"/>
      <c r="T6443" s="16"/>
      <c r="U6443" s="16"/>
      <c r="V6443" s="16"/>
      <c r="W6443" s="13"/>
      <c r="X6443" s="34">
        <v>6439</v>
      </c>
      <c r="Y6443" s="34" t="s">
        <v>2248</v>
      </c>
      <c r="Z6443" s="34" t="s">
        <v>2913</v>
      </c>
      <c r="AA6443" s="35">
        <v>2.2346774193548387E-4</v>
      </c>
      <c r="AB6443" s="13"/>
      <c r="AC6443" s="13"/>
      <c r="AD6443" s="13"/>
      <c r="AE6443" s="13"/>
      <c r="AF6443" s="13"/>
    </row>
    <row r="6444" spans="19:32" x14ac:dyDescent="0.35">
      <c r="S6444" s="13"/>
      <c r="T6444" s="16"/>
      <c r="U6444" s="16"/>
      <c r="V6444" s="16"/>
      <c r="W6444" s="13"/>
      <c r="X6444" s="47">
        <v>6440</v>
      </c>
      <c r="Y6444" s="47" t="s">
        <v>2248</v>
      </c>
      <c r="Z6444" s="47" t="s">
        <v>2912</v>
      </c>
      <c r="AA6444" s="48">
        <v>0.45723999999999998</v>
      </c>
      <c r="AB6444" s="13"/>
      <c r="AC6444" s="13"/>
      <c r="AD6444" s="13"/>
      <c r="AE6444" s="13"/>
      <c r="AF6444" s="13"/>
    </row>
    <row r="6445" spans="19:32" x14ac:dyDescent="0.35">
      <c r="S6445" s="13"/>
      <c r="T6445" s="16"/>
      <c r="U6445" s="16"/>
      <c r="V6445" s="16"/>
      <c r="W6445" s="13"/>
      <c r="X6445" s="47">
        <v>6441</v>
      </c>
      <c r="Y6445" s="47" t="s">
        <v>2248</v>
      </c>
      <c r="Z6445" s="47" t="s">
        <v>2911</v>
      </c>
      <c r="AA6445" s="48">
        <v>0</v>
      </c>
      <c r="AB6445" s="13"/>
      <c r="AC6445" s="13"/>
      <c r="AD6445" s="13"/>
      <c r="AE6445" s="13"/>
      <c r="AF6445" s="13"/>
    </row>
    <row r="6446" spans="19:32" x14ac:dyDescent="0.35">
      <c r="S6446" s="13"/>
      <c r="T6446" s="16"/>
      <c r="U6446" s="16"/>
      <c r="V6446" s="16"/>
      <c r="W6446" s="13"/>
      <c r="X6446" s="34">
        <v>6442</v>
      </c>
      <c r="Y6446" s="34" t="s">
        <v>2248</v>
      </c>
      <c r="Z6446" s="34" t="s">
        <v>2910</v>
      </c>
      <c r="AA6446" s="35">
        <v>5.8951612903225814E-2</v>
      </c>
      <c r="AB6446" s="13"/>
      <c r="AC6446" s="13"/>
      <c r="AD6446" s="13"/>
      <c r="AE6446" s="13"/>
      <c r="AF6446" s="13"/>
    </row>
    <row r="6447" spans="19:32" x14ac:dyDescent="0.35">
      <c r="S6447" s="13"/>
      <c r="T6447" s="16"/>
      <c r="U6447" s="16"/>
      <c r="V6447" s="16"/>
      <c r="W6447" s="13"/>
      <c r="X6447" s="47">
        <v>6443</v>
      </c>
      <c r="Y6447" s="47" t="s">
        <v>2248</v>
      </c>
      <c r="Z6447" s="47" t="s">
        <v>2909</v>
      </c>
      <c r="AA6447" s="48">
        <v>331.20000000000005</v>
      </c>
      <c r="AB6447" s="13"/>
      <c r="AC6447" s="13"/>
      <c r="AD6447" s="13"/>
      <c r="AE6447" s="13"/>
      <c r="AF6447" s="13"/>
    </row>
    <row r="6448" spans="19:32" x14ac:dyDescent="0.35">
      <c r="S6448" s="13"/>
      <c r="T6448" s="16"/>
      <c r="U6448" s="16"/>
      <c r="V6448" s="16"/>
      <c r="W6448" s="13"/>
      <c r="X6448" s="47">
        <v>6444</v>
      </c>
      <c r="Y6448" s="47" t="s">
        <v>2248</v>
      </c>
      <c r="Z6448" s="47" t="s">
        <v>2908</v>
      </c>
      <c r="AA6448" s="48">
        <v>0</v>
      </c>
      <c r="AB6448" s="13"/>
      <c r="AC6448" s="13"/>
      <c r="AD6448" s="13"/>
      <c r="AE6448" s="13"/>
      <c r="AF6448" s="13"/>
    </row>
    <row r="6449" spans="19:32" x14ac:dyDescent="0.35">
      <c r="S6449" s="13"/>
      <c r="T6449" s="16"/>
      <c r="U6449" s="16"/>
      <c r="V6449" s="16"/>
      <c r="W6449" s="13"/>
      <c r="X6449" s="34">
        <v>6445</v>
      </c>
      <c r="Y6449" s="34" t="s">
        <v>2248</v>
      </c>
      <c r="Z6449" s="34" t="s">
        <v>2907</v>
      </c>
      <c r="AA6449" s="35">
        <v>2.4266129032258065E-5</v>
      </c>
      <c r="AB6449" s="13"/>
      <c r="AC6449" s="13"/>
      <c r="AD6449" s="13"/>
      <c r="AE6449" s="13"/>
      <c r="AF6449" s="13"/>
    </row>
    <row r="6450" spans="19:32" x14ac:dyDescent="0.35">
      <c r="S6450" s="13"/>
      <c r="T6450" s="16"/>
      <c r="U6450" s="16"/>
      <c r="V6450" s="16"/>
      <c r="W6450" s="13"/>
      <c r="X6450" s="47">
        <v>6446</v>
      </c>
      <c r="Y6450" s="47" t="s">
        <v>2248</v>
      </c>
      <c r="Z6450" s="47" t="s">
        <v>2906</v>
      </c>
      <c r="AA6450" s="48">
        <v>0</v>
      </c>
      <c r="AB6450" s="13"/>
      <c r="AC6450" s="13"/>
      <c r="AD6450" s="13"/>
      <c r="AE6450" s="13"/>
      <c r="AF6450" s="13"/>
    </row>
    <row r="6451" spans="19:32" x14ac:dyDescent="0.35">
      <c r="S6451" s="13"/>
      <c r="T6451" s="16"/>
      <c r="U6451" s="16"/>
      <c r="V6451" s="16"/>
      <c r="W6451" s="13"/>
      <c r="X6451" s="34">
        <v>6447</v>
      </c>
      <c r="Y6451" s="34" t="s">
        <v>2248</v>
      </c>
      <c r="Z6451" s="34" t="s">
        <v>2905</v>
      </c>
      <c r="AA6451" s="35">
        <v>4.3528225806451614E-3</v>
      </c>
      <c r="AB6451" s="13"/>
      <c r="AC6451" s="13"/>
      <c r="AD6451" s="13"/>
      <c r="AE6451" s="13"/>
      <c r="AF6451" s="13"/>
    </row>
    <row r="6452" spans="19:32" x14ac:dyDescent="0.35">
      <c r="S6452" s="13"/>
      <c r="T6452" s="16"/>
      <c r="U6452" s="16"/>
      <c r="V6452" s="16"/>
      <c r="W6452" s="13"/>
      <c r="X6452" s="47">
        <v>6448</v>
      </c>
      <c r="Y6452" s="47" t="s">
        <v>2248</v>
      </c>
      <c r="Z6452" s="47" t="s">
        <v>2904</v>
      </c>
      <c r="AA6452" s="48">
        <v>319.23999999999995</v>
      </c>
      <c r="AB6452" s="13"/>
      <c r="AC6452" s="13"/>
      <c r="AD6452" s="13"/>
      <c r="AE6452" s="13"/>
      <c r="AF6452" s="13"/>
    </row>
    <row r="6453" spans="19:32" x14ac:dyDescent="0.35">
      <c r="S6453" s="13"/>
      <c r="T6453" s="16"/>
      <c r="U6453" s="16"/>
      <c r="V6453" s="16"/>
      <c r="W6453" s="13"/>
      <c r="X6453" s="47">
        <v>6449</v>
      </c>
      <c r="Y6453" s="47" t="s">
        <v>2248</v>
      </c>
      <c r="Z6453" s="47" t="s">
        <v>2903</v>
      </c>
      <c r="AA6453" s="48">
        <v>0</v>
      </c>
      <c r="AB6453" s="13"/>
      <c r="AC6453" s="13"/>
      <c r="AD6453" s="13"/>
      <c r="AE6453" s="13"/>
      <c r="AF6453" s="13"/>
    </row>
    <row r="6454" spans="19:32" x14ac:dyDescent="0.35">
      <c r="S6454" s="13"/>
      <c r="T6454" s="16"/>
      <c r="U6454" s="16"/>
      <c r="V6454" s="16"/>
      <c r="W6454" s="13"/>
      <c r="X6454" s="34">
        <v>6450</v>
      </c>
      <c r="Y6454" s="34" t="s">
        <v>2248</v>
      </c>
      <c r="Z6454" s="34" t="s">
        <v>2902</v>
      </c>
      <c r="AA6454" s="35">
        <v>7.8145161290322574E-5</v>
      </c>
      <c r="AB6454" s="13"/>
      <c r="AC6454" s="13"/>
      <c r="AD6454" s="13"/>
      <c r="AE6454" s="13"/>
      <c r="AF6454" s="13"/>
    </row>
    <row r="6455" spans="19:32" x14ac:dyDescent="0.35">
      <c r="S6455" s="13"/>
      <c r="T6455" s="16"/>
      <c r="U6455" s="16"/>
      <c r="V6455" s="16"/>
      <c r="W6455" s="13"/>
      <c r="X6455" s="47">
        <v>6451</v>
      </c>
      <c r="Y6455" s="47" t="s">
        <v>2248</v>
      </c>
      <c r="Z6455" s="47" t="s">
        <v>2901</v>
      </c>
      <c r="AA6455" s="48">
        <v>0.77464</v>
      </c>
      <c r="AB6455" s="13"/>
      <c r="AC6455" s="13"/>
      <c r="AD6455" s="13"/>
      <c r="AE6455" s="13"/>
      <c r="AF6455" s="13"/>
    </row>
    <row r="6456" spans="19:32" x14ac:dyDescent="0.35">
      <c r="S6456" s="13"/>
      <c r="T6456" s="16"/>
      <c r="U6456" s="16"/>
      <c r="V6456" s="16"/>
      <c r="W6456" s="13"/>
      <c r="X6456" s="47">
        <v>6452</v>
      </c>
      <c r="Y6456" s="47" t="s">
        <v>2248</v>
      </c>
      <c r="Z6456" s="47" t="s">
        <v>2900</v>
      </c>
      <c r="AA6456" s="48">
        <v>0</v>
      </c>
      <c r="AB6456" s="13"/>
      <c r="AC6456" s="13"/>
      <c r="AD6456" s="13"/>
      <c r="AE6456" s="13"/>
      <c r="AF6456" s="13"/>
    </row>
    <row r="6457" spans="19:32" x14ac:dyDescent="0.35">
      <c r="S6457" s="13"/>
      <c r="T6457" s="16"/>
      <c r="U6457" s="16"/>
      <c r="V6457" s="16"/>
      <c r="W6457" s="13"/>
      <c r="X6457" s="34">
        <v>6453</v>
      </c>
      <c r="Y6457" s="34" t="s">
        <v>2248</v>
      </c>
      <c r="Z6457" s="34" t="s">
        <v>2899</v>
      </c>
      <c r="AA6457" s="35">
        <v>1.3435483870967741E-4</v>
      </c>
      <c r="AB6457" s="13"/>
      <c r="AC6457" s="13"/>
      <c r="AD6457" s="13"/>
      <c r="AE6457" s="13"/>
      <c r="AF6457" s="13"/>
    </row>
    <row r="6458" spans="19:32" x14ac:dyDescent="0.35">
      <c r="S6458" s="13"/>
      <c r="T6458" s="16"/>
      <c r="U6458" s="16"/>
      <c r="V6458" s="16"/>
      <c r="W6458" s="13"/>
      <c r="X6458" s="47">
        <v>6454</v>
      </c>
      <c r="Y6458" s="47" t="s">
        <v>2248</v>
      </c>
      <c r="Z6458" s="47" t="s">
        <v>2898</v>
      </c>
      <c r="AA6458" s="48">
        <v>0</v>
      </c>
      <c r="AB6458" s="13"/>
      <c r="AC6458" s="13"/>
      <c r="AD6458" s="13"/>
      <c r="AE6458" s="13"/>
      <c r="AF6458" s="13"/>
    </row>
    <row r="6459" spans="19:32" x14ac:dyDescent="0.35">
      <c r="S6459" s="13"/>
      <c r="T6459" s="16"/>
      <c r="U6459" s="16"/>
      <c r="V6459" s="16"/>
      <c r="W6459" s="13"/>
      <c r="X6459" s="47">
        <v>6455</v>
      </c>
      <c r="Y6459" s="47" t="s">
        <v>2248</v>
      </c>
      <c r="Z6459" s="47" t="s">
        <v>2897</v>
      </c>
      <c r="AA6459" s="48">
        <v>0</v>
      </c>
      <c r="AB6459" s="13"/>
      <c r="AC6459" s="13"/>
      <c r="AD6459" s="13"/>
      <c r="AE6459" s="13"/>
      <c r="AF6459" s="13"/>
    </row>
    <row r="6460" spans="19:32" x14ac:dyDescent="0.35">
      <c r="S6460" s="13"/>
      <c r="T6460" s="16"/>
      <c r="U6460" s="16"/>
      <c r="V6460" s="16"/>
      <c r="W6460" s="13"/>
      <c r="X6460" s="34">
        <v>6456</v>
      </c>
      <c r="Y6460" s="34" t="s">
        <v>2248</v>
      </c>
      <c r="Z6460" s="34" t="s">
        <v>2810</v>
      </c>
      <c r="AA6460" s="35">
        <v>2.3203629032258068E-2</v>
      </c>
      <c r="AB6460" s="13"/>
      <c r="AC6460" s="13"/>
      <c r="AD6460" s="13"/>
      <c r="AE6460" s="13"/>
      <c r="AF6460" s="13"/>
    </row>
    <row r="6461" spans="19:32" x14ac:dyDescent="0.35">
      <c r="S6461" s="13"/>
      <c r="T6461" s="16"/>
      <c r="U6461" s="16"/>
      <c r="V6461" s="16"/>
      <c r="W6461" s="13"/>
      <c r="X6461" s="47">
        <v>6457</v>
      </c>
      <c r="Y6461" s="47" t="s">
        <v>2248</v>
      </c>
      <c r="Z6461" s="47" t="s">
        <v>2896</v>
      </c>
      <c r="AA6461" s="48">
        <v>0</v>
      </c>
      <c r="AB6461" s="13"/>
      <c r="AC6461" s="13"/>
      <c r="AD6461" s="13"/>
      <c r="AE6461" s="13"/>
      <c r="AF6461" s="13"/>
    </row>
    <row r="6462" spans="19:32" x14ac:dyDescent="0.35">
      <c r="S6462" s="13"/>
      <c r="T6462" s="16"/>
      <c r="U6462" s="16"/>
      <c r="V6462" s="16"/>
      <c r="W6462" s="13"/>
      <c r="X6462" s="34">
        <v>6458</v>
      </c>
      <c r="Y6462" s="34" t="s">
        <v>2248</v>
      </c>
      <c r="Z6462" s="34" t="s">
        <v>2895</v>
      </c>
      <c r="AA6462" s="35">
        <v>3.382862903225807E-2</v>
      </c>
      <c r="AB6462" s="13"/>
      <c r="AC6462" s="13"/>
      <c r="AD6462" s="13"/>
      <c r="AE6462" s="13"/>
      <c r="AF6462" s="13"/>
    </row>
    <row r="6463" spans="19:32" x14ac:dyDescent="0.35">
      <c r="S6463" s="13"/>
      <c r="T6463" s="16"/>
      <c r="U6463" s="16"/>
      <c r="V6463" s="16"/>
      <c r="W6463" s="13"/>
      <c r="X6463" s="47">
        <v>6459</v>
      </c>
      <c r="Y6463" s="47" t="s">
        <v>2248</v>
      </c>
      <c r="Z6463" s="47" t="s">
        <v>2894</v>
      </c>
      <c r="AA6463" s="48">
        <v>3.0268E-4</v>
      </c>
      <c r="AB6463" s="13"/>
      <c r="AC6463" s="13"/>
      <c r="AD6463" s="13"/>
      <c r="AE6463" s="13"/>
      <c r="AF6463" s="13"/>
    </row>
    <row r="6464" spans="19:32" x14ac:dyDescent="0.35">
      <c r="S6464" s="13"/>
      <c r="T6464" s="16"/>
      <c r="U6464" s="16"/>
      <c r="V6464" s="16"/>
      <c r="W6464" s="13"/>
      <c r="X6464" s="47">
        <v>6460</v>
      </c>
      <c r="Y6464" s="47" t="s">
        <v>2248</v>
      </c>
      <c r="Z6464" s="47" t="s">
        <v>2893</v>
      </c>
      <c r="AA6464" s="48">
        <v>0</v>
      </c>
      <c r="AB6464" s="13"/>
      <c r="AC6464" s="13"/>
      <c r="AD6464" s="13"/>
      <c r="AE6464" s="13"/>
      <c r="AF6464" s="13"/>
    </row>
    <row r="6465" spans="19:32" x14ac:dyDescent="0.35">
      <c r="S6465" s="13"/>
      <c r="T6465" s="16"/>
      <c r="U6465" s="16"/>
      <c r="V6465" s="16"/>
      <c r="W6465" s="13"/>
      <c r="X6465" s="34">
        <v>6461</v>
      </c>
      <c r="Y6465" s="34" t="s">
        <v>2248</v>
      </c>
      <c r="Z6465" s="34" t="s">
        <v>2892</v>
      </c>
      <c r="AA6465" s="35">
        <v>1.6177419354838709E-4</v>
      </c>
      <c r="AB6465" s="13"/>
      <c r="AC6465" s="13"/>
      <c r="AD6465" s="13"/>
      <c r="AE6465" s="13"/>
      <c r="AF6465" s="13"/>
    </row>
    <row r="6466" spans="19:32" x14ac:dyDescent="0.35">
      <c r="S6466" s="13"/>
      <c r="T6466" s="16"/>
      <c r="U6466" s="16"/>
      <c r="V6466" s="16"/>
      <c r="W6466" s="13"/>
      <c r="X6466" s="47">
        <v>6462</v>
      </c>
      <c r="Y6466" s="47" t="s">
        <v>2248</v>
      </c>
      <c r="Z6466" s="47" t="s">
        <v>2891</v>
      </c>
      <c r="AA6466" s="48">
        <v>0</v>
      </c>
      <c r="AB6466" s="13"/>
      <c r="AC6466" s="13"/>
      <c r="AD6466" s="13"/>
      <c r="AE6466" s="13"/>
      <c r="AF6466" s="13"/>
    </row>
    <row r="6467" spans="19:32" x14ac:dyDescent="0.35">
      <c r="S6467" s="13"/>
      <c r="T6467" s="16"/>
      <c r="U6467" s="16"/>
      <c r="V6467" s="16"/>
      <c r="W6467" s="13"/>
      <c r="X6467" s="47">
        <v>6463</v>
      </c>
      <c r="Y6467" s="47" t="s">
        <v>2248</v>
      </c>
      <c r="Z6467" s="47" t="s">
        <v>2890</v>
      </c>
      <c r="AA6467" s="48">
        <v>1.6652</v>
      </c>
      <c r="AB6467" s="13"/>
      <c r="AC6467" s="13"/>
      <c r="AD6467" s="13"/>
      <c r="AE6467" s="13"/>
      <c r="AF6467" s="13"/>
    </row>
    <row r="6468" spans="19:32" x14ac:dyDescent="0.35">
      <c r="S6468" s="13"/>
      <c r="T6468" s="16"/>
      <c r="U6468" s="16"/>
      <c r="V6468" s="16"/>
      <c r="W6468" s="13"/>
      <c r="X6468" s="34">
        <v>6464</v>
      </c>
      <c r="Y6468" s="34" t="s">
        <v>2248</v>
      </c>
      <c r="Z6468" s="34" t="s">
        <v>2889</v>
      </c>
      <c r="AA6468" s="35">
        <v>4.215725806451613E-3</v>
      </c>
      <c r="AB6468" s="13"/>
      <c r="AC6468" s="13"/>
      <c r="AD6468" s="13"/>
      <c r="AE6468" s="13"/>
      <c r="AF6468" s="13"/>
    </row>
    <row r="6469" spans="19:32" x14ac:dyDescent="0.35">
      <c r="S6469" s="13"/>
      <c r="T6469" s="16"/>
      <c r="U6469" s="16"/>
      <c r="V6469" s="16"/>
      <c r="W6469" s="13"/>
      <c r="X6469" s="47">
        <v>6465</v>
      </c>
      <c r="Y6469" s="47" t="s">
        <v>2248</v>
      </c>
      <c r="Z6469" s="47" t="s">
        <v>2888</v>
      </c>
      <c r="AA6469" s="48">
        <v>4.83</v>
      </c>
      <c r="AB6469" s="13"/>
      <c r="AC6469" s="13"/>
      <c r="AD6469" s="13"/>
      <c r="AE6469" s="13"/>
      <c r="AF6469" s="13"/>
    </row>
    <row r="6470" spans="19:32" x14ac:dyDescent="0.35">
      <c r="S6470" s="13"/>
      <c r="T6470" s="16"/>
      <c r="U6470" s="16"/>
      <c r="V6470" s="16"/>
      <c r="W6470" s="13"/>
      <c r="X6470" s="47">
        <v>6466</v>
      </c>
      <c r="Y6470" s="47" t="s">
        <v>2248</v>
      </c>
      <c r="Z6470" s="47" t="s">
        <v>2887</v>
      </c>
      <c r="AA6470" s="48">
        <v>0</v>
      </c>
      <c r="AB6470" s="13"/>
      <c r="AC6470" s="13"/>
      <c r="AD6470" s="13"/>
      <c r="AE6470" s="13"/>
      <c r="AF6470" s="13"/>
    </row>
    <row r="6471" spans="19:32" x14ac:dyDescent="0.35">
      <c r="S6471" s="13"/>
      <c r="T6471" s="16"/>
      <c r="U6471" s="16"/>
      <c r="V6471" s="16"/>
      <c r="W6471" s="13"/>
      <c r="X6471" s="34">
        <v>6467</v>
      </c>
      <c r="Y6471" s="34" t="s">
        <v>2248</v>
      </c>
      <c r="Z6471" s="34" t="s">
        <v>2886</v>
      </c>
      <c r="AA6471" s="35">
        <v>6.2721774193548398E-4</v>
      </c>
      <c r="AB6471" s="13"/>
      <c r="AC6471" s="13"/>
      <c r="AD6471" s="13"/>
      <c r="AE6471" s="13"/>
      <c r="AF6471" s="13"/>
    </row>
    <row r="6472" spans="19:32" x14ac:dyDescent="0.35">
      <c r="S6472" s="13"/>
      <c r="T6472" s="16"/>
      <c r="U6472" s="16"/>
      <c r="V6472" s="16"/>
      <c r="W6472" s="13"/>
      <c r="X6472" s="47">
        <v>6468</v>
      </c>
      <c r="Y6472" s="47" t="s">
        <v>2248</v>
      </c>
      <c r="Z6472" s="47" t="s">
        <v>2885</v>
      </c>
      <c r="AA6472" s="48">
        <v>3.3304E-2</v>
      </c>
      <c r="AB6472" s="13"/>
      <c r="AC6472" s="13"/>
      <c r="AD6472" s="13"/>
      <c r="AE6472" s="13"/>
      <c r="AF6472" s="13"/>
    </row>
    <row r="6473" spans="19:32" x14ac:dyDescent="0.35">
      <c r="S6473" s="13"/>
      <c r="T6473" s="16"/>
      <c r="U6473" s="16"/>
      <c r="V6473" s="16"/>
      <c r="W6473" s="13"/>
      <c r="X6473" s="47">
        <v>6469</v>
      </c>
      <c r="Y6473" s="47" t="s">
        <v>2248</v>
      </c>
      <c r="Z6473" s="47" t="s">
        <v>2884</v>
      </c>
      <c r="AA6473" s="48">
        <v>1.0119999999999999E-2</v>
      </c>
      <c r="AB6473" s="13"/>
      <c r="AC6473" s="13"/>
      <c r="AD6473" s="13"/>
      <c r="AE6473" s="13"/>
      <c r="AF6473" s="13"/>
    </row>
    <row r="6474" spans="19:32" x14ac:dyDescent="0.35">
      <c r="S6474" s="13"/>
      <c r="T6474" s="16"/>
      <c r="U6474" s="16"/>
      <c r="V6474" s="16"/>
      <c r="W6474" s="13"/>
      <c r="X6474" s="34">
        <v>6470</v>
      </c>
      <c r="Y6474" s="34" t="s">
        <v>2248</v>
      </c>
      <c r="Z6474" s="34" t="s">
        <v>2883</v>
      </c>
      <c r="AA6474" s="35">
        <v>1.0076612903225806E-3</v>
      </c>
      <c r="AB6474" s="13"/>
      <c r="AC6474" s="13"/>
      <c r="AD6474" s="13"/>
      <c r="AE6474" s="13"/>
      <c r="AF6474" s="13"/>
    </row>
    <row r="6475" spans="19:32" x14ac:dyDescent="0.35">
      <c r="S6475" s="13"/>
      <c r="T6475" s="16"/>
      <c r="U6475" s="16"/>
      <c r="V6475" s="16"/>
      <c r="W6475" s="13"/>
      <c r="X6475" s="47">
        <v>6471</v>
      </c>
      <c r="Y6475" s="47" t="s">
        <v>2248</v>
      </c>
      <c r="Z6475" s="47" t="s">
        <v>2882</v>
      </c>
      <c r="AA6475" s="48">
        <v>0</v>
      </c>
      <c r="AB6475" s="13"/>
      <c r="AC6475" s="13"/>
      <c r="AD6475" s="13"/>
      <c r="AE6475" s="13"/>
      <c r="AF6475" s="13"/>
    </row>
    <row r="6476" spans="19:32" x14ac:dyDescent="0.35">
      <c r="S6476" s="13"/>
      <c r="T6476" s="16"/>
      <c r="U6476" s="16"/>
      <c r="V6476" s="16"/>
      <c r="W6476" s="13"/>
      <c r="X6476" s="34">
        <v>6472</v>
      </c>
      <c r="Y6476" s="34" t="s">
        <v>2248</v>
      </c>
      <c r="Z6476" s="34" t="s">
        <v>2881</v>
      </c>
      <c r="AA6476" s="35">
        <v>5.4153225806451615E-3</v>
      </c>
      <c r="AB6476" s="13"/>
      <c r="AC6476" s="13"/>
      <c r="AD6476" s="13"/>
      <c r="AE6476" s="13"/>
      <c r="AF6476" s="13"/>
    </row>
    <row r="6477" spans="19:32" x14ac:dyDescent="0.35">
      <c r="S6477" s="13"/>
      <c r="T6477" s="16"/>
      <c r="U6477" s="16"/>
      <c r="V6477" s="16"/>
      <c r="W6477" s="13"/>
      <c r="X6477" s="47">
        <v>6473</v>
      </c>
      <c r="Y6477" s="47" t="s">
        <v>2248</v>
      </c>
      <c r="Z6477" s="47" t="s">
        <v>2880</v>
      </c>
      <c r="AA6477" s="48">
        <v>0</v>
      </c>
      <c r="AB6477" s="13"/>
      <c r="AC6477" s="13"/>
      <c r="AD6477" s="13"/>
      <c r="AE6477" s="13"/>
      <c r="AF6477" s="13"/>
    </row>
    <row r="6478" spans="19:32" x14ac:dyDescent="0.35">
      <c r="S6478" s="13"/>
      <c r="T6478" s="16"/>
      <c r="U6478" s="16"/>
      <c r="V6478" s="16"/>
      <c r="W6478" s="13"/>
      <c r="X6478" s="47">
        <v>6474</v>
      </c>
      <c r="Y6478" s="47" t="s">
        <v>2248</v>
      </c>
      <c r="Z6478" s="47" t="s">
        <v>2879</v>
      </c>
      <c r="AA6478" s="48">
        <v>0</v>
      </c>
      <c r="AB6478" s="13"/>
      <c r="AC6478" s="13"/>
      <c r="AD6478" s="13"/>
      <c r="AE6478" s="13"/>
      <c r="AF6478" s="13"/>
    </row>
    <row r="6479" spans="19:32" x14ac:dyDescent="0.35">
      <c r="S6479" s="13"/>
      <c r="T6479" s="16"/>
      <c r="U6479" s="16"/>
      <c r="V6479" s="16"/>
      <c r="W6479" s="13"/>
      <c r="X6479" s="34">
        <v>6475</v>
      </c>
      <c r="Y6479" s="34" t="s">
        <v>2248</v>
      </c>
      <c r="Z6479" s="34" t="s">
        <v>2878</v>
      </c>
      <c r="AA6479" s="35">
        <v>9.1512096774193558E-5</v>
      </c>
      <c r="AB6479" s="13"/>
      <c r="AC6479" s="13"/>
      <c r="AD6479" s="13"/>
      <c r="AE6479" s="13"/>
      <c r="AF6479" s="13"/>
    </row>
    <row r="6480" spans="19:32" x14ac:dyDescent="0.35">
      <c r="S6480" s="13"/>
      <c r="T6480" s="16"/>
      <c r="U6480" s="16"/>
      <c r="V6480" s="16"/>
      <c r="W6480" s="13"/>
      <c r="X6480" s="47">
        <v>6476</v>
      </c>
      <c r="Y6480" s="47" t="s">
        <v>2248</v>
      </c>
      <c r="Z6480" s="47" t="s">
        <v>2877</v>
      </c>
      <c r="AA6480" s="48">
        <v>221.72</v>
      </c>
      <c r="AB6480" s="13"/>
      <c r="AC6480" s="13"/>
      <c r="AD6480" s="13"/>
      <c r="AE6480" s="13"/>
      <c r="AF6480" s="13"/>
    </row>
    <row r="6481" spans="19:32" x14ac:dyDescent="0.35">
      <c r="S6481" s="13"/>
      <c r="T6481" s="16"/>
      <c r="U6481" s="16"/>
      <c r="V6481" s="16"/>
      <c r="W6481" s="13"/>
      <c r="X6481" s="47">
        <v>6477</v>
      </c>
      <c r="Y6481" s="47" t="s">
        <v>2248</v>
      </c>
      <c r="Z6481" s="47" t="s">
        <v>2876</v>
      </c>
      <c r="AA6481" s="48">
        <v>0</v>
      </c>
      <c r="AB6481" s="13"/>
      <c r="AC6481" s="13"/>
      <c r="AD6481" s="13"/>
      <c r="AE6481" s="13"/>
      <c r="AF6481" s="13"/>
    </row>
    <row r="6482" spans="19:32" x14ac:dyDescent="0.35">
      <c r="S6482" s="13"/>
      <c r="T6482" s="16"/>
      <c r="U6482" s="16"/>
      <c r="V6482" s="16"/>
      <c r="W6482" s="13"/>
      <c r="X6482" s="34">
        <v>6478</v>
      </c>
      <c r="Y6482" s="34" t="s">
        <v>2248</v>
      </c>
      <c r="Z6482" s="34" t="s">
        <v>2875</v>
      </c>
      <c r="AA6482" s="35">
        <v>3.0058467741935486E-3</v>
      </c>
      <c r="AB6482" s="13"/>
      <c r="AC6482" s="13"/>
      <c r="AD6482" s="13"/>
      <c r="AE6482" s="13"/>
      <c r="AF6482" s="13"/>
    </row>
    <row r="6483" spans="19:32" x14ac:dyDescent="0.35">
      <c r="S6483" s="13"/>
      <c r="T6483" s="16"/>
      <c r="U6483" s="16"/>
      <c r="V6483" s="16"/>
      <c r="W6483" s="13"/>
      <c r="X6483" s="47">
        <v>6479</v>
      </c>
      <c r="Y6483" s="47" t="s">
        <v>2248</v>
      </c>
      <c r="Z6483" s="47" t="s">
        <v>2874</v>
      </c>
      <c r="AA6483" s="48">
        <v>10.304</v>
      </c>
      <c r="AB6483" s="13"/>
      <c r="AC6483" s="13"/>
      <c r="AD6483" s="13"/>
      <c r="AE6483" s="13"/>
      <c r="AF6483" s="13"/>
    </row>
    <row r="6484" spans="19:32" x14ac:dyDescent="0.35">
      <c r="S6484" s="13"/>
      <c r="T6484" s="16"/>
      <c r="U6484" s="16"/>
      <c r="V6484" s="16"/>
      <c r="W6484" s="13"/>
      <c r="X6484" s="47">
        <v>6480</v>
      </c>
      <c r="Y6484" s="47" t="s">
        <v>2248</v>
      </c>
      <c r="Z6484" s="47" t="s">
        <v>2873</v>
      </c>
      <c r="AA6484" s="48">
        <v>14.536000000000001</v>
      </c>
      <c r="AB6484" s="13"/>
      <c r="AC6484" s="13"/>
      <c r="AD6484" s="13"/>
      <c r="AE6484" s="13"/>
      <c r="AF6484" s="13"/>
    </row>
    <row r="6485" spans="19:32" x14ac:dyDescent="0.35">
      <c r="S6485" s="13"/>
      <c r="T6485" s="16"/>
      <c r="U6485" s="16"/>
      <c r="V6485" s="16"/>
      <c r="W6485" s="13"/>
      <c r="X6485" s="34">
        <v>6481</v>
      </c>
      <c r="Y6485" s="34" t="s">
        <v>2248</v>
      </c>
      <c r="Z6485" s="34" t="s">
        <v>2872</v>
      </c>
      <c r="AA6485" s="35">
        <v>8.1572580645161295E-4</v>
      </c>
      <c r="AB6485" s="13"/>
      <c r="AC6485" s="13"/>
      <c r="AD6485" s="13"/>
      <c r="AE6485" s="13"/>
      <c r="AF6485" s="13"/>
    </row>
    <row r="6486" spans="19:32" x14ac:dyDescent="0.35">
      <c r="S6486" s="13"/>
      <c r="T6486" s="16"/>
      <c r="U6486" s="16"/>
      <c r="V6486" s="16"/>
      <c r="W6486" s="13"/>
      <c r="X6486" s="47">
        <v>6482</v>
      </c>
      <c r="Y6486" s="47" t="s">
        <v>2248</v>
      </c>
      <c r="Z6486" s="47" t="s">
        <v>2871</v>
      </c>
      <c r="AA6486" s="48">
        <v>0</v>
      </c>
      <c r="AB6486" s="13"/>
      <c r="AC6486" s="13"/>
      <c r="AD6486" s="13"/>
      <c r="AE6486" s="13"/>
      <c r="AF6486" s="13"/>
    </row>
    <row r="6487" spans="19:32" x14ac:dyDescent="0.35">
      <c r="S6487" s="13"/>
      <c r="T6487" s="16"/>
      <c r="U6487" s="16"/>
      <c r="V6487" s="16"/>
      <c r="W6487" s="13"/>
      <c r="X6487" s="34">
        <v>6483</v>
      </c>
      <c r="Y6487" s="34" t="s">
        <v>2248</v>
      </c>
      <c r="Z6487" s="34" t="s">
        <v>2870</v>
      </c>
      <c r="AA6487" s="35">
        <v>7.6774193548387098E-4</v>
      </c>
      <c r="AB6487" s="13"/>
      <c r="AC6487" s="13"/>
      <c r="AD6487" s="13"/>
      <c r="AE6487" s="13"/>
      <c r="AF6487" s="13"/>
    </row>
    <row r="6488" spans="19:32" x14ac:dyDescent="0.35">
      <c r="S6488" s="13"/>
      <c r="T6488" s="16"/>
      <c r="U6488" s="16"/>
      <c r="V6488" s="16"/>
      <c r="W6488" s="13"/>
      <c r="X6488" s="47">
        <v>6484</v>
      </c>
      <c r="Y6488" s="47" t="s">
        <v>2248</v>
      </c>
      <c r="Z6488" s="47" t="s">
        <v>2869</v>
      </c>
      <c r="AA6488" s="48">
        <v>140.76000000000002</v>
      </c>
      <c r="AB6488" s="13"/>
      <c r="AC6488" s="13"/>
      <c r="AD6488" s="13"/>
      <c r="AE6488" s="13"/>
      <c r="AF6488" s="13"/>
    </row>
    <row r="6489" spans="19:32" x14ac:dyDescent="0.35">
      <c r="S6489" s="13"/>
      <c r="T6489" s="16"/>
      <c r="U6489" s="16"/>
      <c r="V6489" s="16"/>
      <c r="W6489" s="13"/>
      <c r="X6489" s="47">
        <v>6485</v>
      </c>
      <c r="Y6489" s="47" t="s">
        <v>2248</v>
      </c>
      <c r="Z6489" s="47" t="s">
        <v>2868</v>
      </c>
      <c r="AA6489" s="48">
        <v>0</v>
      </c>
      <c r="AB6489" s="13"/>
      <c r="AC6489" s="13"/>
      <c r="AD6489" s="13"/>
      <c r="AE6489" s="13"/>
      <c r="AF6489" s="13"/>
    </row>
    <row r="6490" spans="19:32" x14ac:dyDescent="0.35">
      <c r="S6490" s="13"/>
      <c r="T6490" s="16"/>
      <c r="U6490" s="16"/>
      <c r="V6490" s="16"/>
      <c r="W6490" s="13"/>
      <c r="X6490" s="34">
        <v>6486</v>
      </c>
      <c r="Y6490" s="34" t="s">
        <v>2248</v>
      </c>
      <c r="Z6490" s="34" t="s">
        <v>2867</v>
      </c>
      <c r="AA6490" s="35">
        <v>3.4959677419354839E-4</v>
      </c>
      <c r="AB6490" s="13"/>
      <c r="AC6490" s="13"/>
      <c r="AD6490" s="13"/>
      <c r="AE6490" s="13"/>
      <c r="AF6490" s="13"/>
    </row>
    <row r="6491" spans="19:32" x14ac:dyDescent="0.35">
      <c r="S6491" s="13"/>
      <c r="T6491" s="16"/>
      <c r="U6491" s="16"/>
      <c r="V6491" s="16"/>
      <c r="W6491" s="13"/>
      <c r="X6491" s="47">
        <v>6487</v>
      </c>
      <c r="Y6491" s="47" t="s">
        <v>2248</v>
      </c>
      <c r="Z6491" s="47" t="s">
        <v>2866</v>
      </c>
      <c r="AA6491" s="48">
        <v>6.0443999999999996</v>
      </c>
      <c r="AB6491" s="13"/>
      <c r="AC6491" s="13"/>
      <c r="AD6491" s="13"/>
      <c r="AE6491" s="13"/>
      <c r="AF6491" s="13"/>
    </row>
    <row r="6492" spans="19:32" x14ac:dyDescent="0.35">
      <c r="S6492" s="13"/>
      <c r="T6492" s="16"/>
      <c r="U6492" s="16"/>
      <c r="V6492" s="16"/>
      <c r="W6492" s="13"/>
      <c r="X6492" s="47">
        <v>6488</v>
      </c>
      <c r="Y6492" s="47" t="s">
        <v>2248</v>
      </c>
      <c r="Z6492" s="47" t="s">
        <v>2865</v>
      </c>
      <c r="AA6492" s="48">
        <v>39.744</v>
      </c>
      <c r="AB6492" s="13"/>
      <c r="AC6492" s="13"/>
      <c r="AD6492" s="13"/>
      <c r="AE6492" s="13"/>
      <c r="AF6492" s="13"/>
    </row>
    <row r="6493" spans="19:32" x14ac:dyDescent="0.35">
      <c r="S6493" s="13"/>
      <c r="T6493" s="16"/>
      <c r="U6493" s="16"/>
      <c r="V6493" s="16"/>
      <c r="W6493" s="13"/>
      <c r="X6493" s="34">
        <v>6489</v>
      </c>
      <c r="Y6493" s="34" t="s">
        <v>2248</v>
      </c>
      <c r="Z6493" s="34" t="s">
        <v>2864</v>
      </c>
      <c r="AA6493" s="35">
        <v>1.0247983870967743E-5</v>
      </c>
      <c r="AB6493" s="13"/>
      <c r="AC6493" s="13"/>
      <c r="AD6493" s="13"/>
      <c r="AE6493" s="13"/>
      <c r="AF6493" s="13"/>
    </row>
    <row r="6494" spans="19:32" x14ac:dyDescent="0.35">
      <c r="S6494" s="13"/>
      <c r="T6494" s="16"/>
      <c r="U6494" s="16"/>
      <c r="V6494" s="16"/>
      <c r="W6494" s="13"/>
      <c r="X6494" s="47">
        <v>6490</v>
      </c>
      <c r="Y6494" s="47" t="s">
        <v>2248</v>
      </c>
      <c r="Z6494" s="47" t="s">
        <v>2863</v>
      </c>
      <c r="AA6494" s="48">
        <v>15.731999999999999</v>
      </c>
      <c r="AB6494" s="13"/>
      <c r="AC6494" s="13"/>
      <c r="AD6494" s="13"/>
      <c r="AE6494" s="13"/>
      <c r="AF6494" s="13"/>
    </row>
    <row r="6495" spans="19:32" x14ac:dyDescent="0.35">
      <c r="S6495" s="13"/>
      <c r="T6495" s="16"/>
      <c r="U6495" s="16"/>
      <c r="V6495" s="16"/>
      <c r="W6495" s="13"/>
      <c r="X6495" s="47">
        <v>6491</v>
      </c>
      <c r="Y6495" s="47" t="s">
        <v>2248</v>
      </c>
      <c r="Z6495" s="47" t="s">
        <v>2862</v>
      </c>
      <c r="AA6495" s="48">
        <v>0</v>
      </c>
      <c r="AB6495" s="13"/>
      <c r="AC6495" s="13"/>
      <c r="AD6495" s="13"/>
      <c r="AE6495" s="13"/>
      <c r="AF6495" s="13"/>
    </row>
    <row r="6496" spans="19:32" x14ac:dyDescent="0.35">
      <c r="S6496" s="13"/>
      <c r="T6496" s="16"/>
      <c r="U6496" s="16"/>
      <c r="V6496" s="16"/>
      <c r="W6496" s="13"/>
      <c r="X6496" s="34">
        <v>6492</v>
      </c>
      <c r="Y6496" s="34" t="s">
        <v>2248</v>
      </c>
      <c r="Z6496" s="34" t="s">
        <v>2861</v>
      </c>
      <c r="AA6496" s="35">
        <v>9.1512096774193558E-5</v>
      </c>
      <c r="AB6496" s="13"/>
      <c r="AC6496" s="13"/>
      <c r="AD6496" s="13"/>
      <c r="AE6496" s="13"/>
      <c r="AF6496" s="13"/>
    </row>
    <row r="6497" spans="19:32" x14ac:dyDescent="0.35">
      <c r="S6497" s="13"/>
      <c r="T6497" s="16"/>
      <c r="U6497" s="16"/>
      <c r="V6497" s="16"/>
      <c r="W6497" s="13"/>
      <c r="X6497" s="47">
        <v>6493</v>
      </c>
      <c r="Y6497" s="47" t="s">
        <v>2248</v>
      </c>
      <c r="Z6497" s="47" t="s">
        <v>2860</v>
      </c>
      <c r="AA6497" s="48">
        <v>0</v>
      </c>
      <c r="AB6497" s="13"/>
      <c r="AC6497" s="13"/>
      <c r="AD6497" s="13"/>
      <c r="AE6497" s="13"/>
      <c r="AF6497" s="13"/>
    </row>
    <row r="6498" spans="19:32" x14ac:dyDescent="0.35">
      <c r="S6498" s="13"/>
      <c r="T6498" s="16"/>
      <c r="U6498" s="16"/>
      <c r="V6498" s="16"/>
      <c r="W6498" s="13"/>
      <c r="X6498" s="34">
        <v>6494</v>
      </c>
      <c r="Y6498" s="34" t="s">
        <v>2248</v>
      </c>
      <c r="Z6498" s="34" t="s">
        <v>2859</v>
      </c>
      <c r="AA6498" s="35">
        <v>6.1008064516129036E-2</v>
      </c>
      <c r="AB6498" s="13"/>
      <c r="AC6498" s="13"/>
      <c r="AD6498" s="13"/>
      <c r="AE6498" s="13"/>
      <c r="AF6498" s="13"/>
    </row>
    <row r="6499" spans="19:32" x14ac:dyDescent="0.35">
      <c r="S6499" s="13"/>
      <c r="T6499" s="16"/>
      <c r="U6499" s="16"/>
      <c r="V6499" s="16"/>
      <c r="W6499" s="13"/>
      <c r="X6499" s="47">
        <v>6495</v>
      </c>
      <c r="Y6499" s="47" t="s">
        <v>2248</v>
      </c>
      <c r="Z6499" s="47" t="s">
        <v>2858</v>
      </c>
      <c r="AA6499" s="48">
        <v>0.1288</v>
      </c>
      <c r="AB6499" s="13"/>
      <c r="AC6499" s="13"/>
      <c r="AD6499" s="13"/>
      <c r="AE6499" s="13"/>
      <c r="AF6499" s="13"/>
    </row>
    <row r="6500" spans="19:32" x14ac:dyDescent="0.35">
      <c r="S6500" s="13"/>
      <c r="T6500" s="16"/>
      <c r="U6500" s="16"/>
      <c r="V6500" s="16"/>
      <c r="W6500" s="13"/>
      <c r="X6500" s="47">
        <v>6496</v>
      </c>
      <c r="Y6500" s="47" t="s">
        <v>2248</v>
      </c>
      <c r="Z6500" s="47" t="s">
        <v>2857</v>
      </c>
      <c r="AA6500" s="48">
        <v>38.271999999999998</v>
      </c>
      <c r="AB6500" s="13"/>
      <c r="AC6500" s="13"/>
      <c r="AD6500" s="13"/>
      <c r="AE6500" s="13"/>
      <c r="AF6500" s="13"/>
    </row>
    <row r="6501" spans="19:32" x14ac:dyDescent="0.35">
      <c r="S6501" s="13"/>
      <c r="T6501" s="16"/>
      <c r="U6501" s="16"/>
      <c r="V6501" s="16"/>
      <c r="W6501" s="13"/>
      <c r="X6501" s="34">
        <v>6497</v>
      </c>
      <c r="Y6501" s="34" t="s">
        <v>2248</v>
      </c>
      <c r="Z6501" s="34" t="s">
        <v>2856</v>
      </c>
      <c r="AA6501" s="35">
        <v>1.2750000000000001E-4</v>
      </c>
      <c r="AB6501" s="13"/>
      <c r="AC6501" s="13"/>
      <c r="AD6501" s="13"/>
      <c r="AE6501" s="13"/>
      <c r="AF6501" s="13"/>
    </row>
    <row r="6502" spans="19:32" x14ac:dyDescent="0.35">
      <c r="S6502" s="13"/>
      <c r="T6502" s="16"/>
      <c r="U6502" s="16"/>
      <c r="V6502" s="16"/>
      <c r="W6502" s="13"/>
      <c r="X6502" s="47">
        <v>6498</v>
      </c>
      <c r="Y6502" s="47" t="s">
        <v>2248</v>
      </c>
      <c r="Z6502" s="47" t="s">
        <v>2855</v>
      </c>
      <c r="AA6502" s="48">
        <v>0</v>
      </c>
      <c r="AB6502" s="13"/>
      <c r="AC6502" s="13"/>
      <c r="AD6502" s="13"/>
      <c r="AE6502" s="13"/>
      <c r="AF6502" s="13"/>
    </row>
    <row r="6503" spans="19:32" x14ac:dyDescent="0.35">
      <c r="S6503" s="13"/>
      <c r="T6503" s="16"/>
      <c r="U6503" s="16"/>
      <c r="V6503" s="16"/>
      <c r="W6503" s="13"/>
      <c r="X6503" s="47">
        <v>6499</v>
      </c>
      <c r="Y6503" s="47" t="s">
        <v>2248</v>
      </c>
      <c r="Z6503" s="47" t="s">
        <v>2854</v>
      </c>
      <c r="AA6503" s="48">
        <v>0</v>
      </c>
      <c r="AB6503" s="13"/>
      <c r="AC6503" s="13"/>
      <c r="AD6503" s="13"/>
      <c r="AE6503" s="13"/>
      <c r="AF6503" s="13"/>
    </row>
    <row r="6504" spans="19:32" x14ac:dyDescent="0.35">
      <c r="S6504" s="13"/>
      <c r="T6504" s="16"/>
      <c r="U6504" s="16"/>
      <c r="V6504" s="16"/>
      <c r="W6504" s="13"/>
      <c r="X6504" s="34">
        <v>6500</v>
      </c>
      <c r="Y6504" s="34" t="s">
        <v>2248</v>
      </c>
      <c r="Z6504" s="34" t="s">
        <v>2804</v>
      </c>
      <c r="AA6504" s="35">
        <v>4.215725806451613E-5</v>
      </c>
      <c r="AB6504" s="13"/>
      <c r="AC6504" s="13"/>
      <c r="AD6504" s="13"/>
      <c r="AE6504" s="13"/>
      <c r="AF6504" s="13"/>
    </row>
    <row r="6505" spans="19:32" x14ac:dyDescent="0.35">
      <c r="S6505" s="13"/>
      <c r="T6505" s="16"/>
      <c r="U6505" s="16"/>
      <c r="V6505" s="16"/>
      <c r="W6505" s="13"/>
      <c r="X6505" s="47">
        <v>6501</v>
      </c>
      <c r="Y6505" s="47" t="s">
        <v>2248</v>
      </c>
      <c r="Z6505" s="47" t="s">
        <v>2853</v>
      </c>
      <c r="AA6505" s="48">
        <v>0</v>
      </c>
      <c r="AB6505" s="13"/>
      <c r="AC6505" s="13"/>
      <c r="AD6505" s="13"/>
      <c r="AE6505" s="13"/>
      <c r="AF6505" s="13"/>
    </row>
    <row r="6506" spans="19:32" x14ac:dyDescent="0.35">
      <c r="S6506" s="13"/>
      <c r="T6506" s="16"/>
      <c r="U6506" s="16"/>
      <c r="V6506" s="16"/>
      <c r="W6506" s="13"/>
      <c r="X6506" s="47">
        <v>6502</v>
      </c>
      <c r="Y6506" s="47" t="s">
        <v>2248</v>
      </c>
      <c r="Z6506" s="47" t="s">
        <v>2852</v>
      </c>
      <c r="AA6506" s="48">
        <v>5.6856</v>
      </c>
      <c r="AB6506" s="13"/>
      <c r="AC6506" s="13"/>
      <c r="AD6506" s="13"/>
      <c r="AE6506" s="13"/>
      <c r="AF6506" s="13"/>
    </row>
    <row r="6507" spans="19:32" x14ac:dyDescent="0.35">
      <c r="S6507" s="13"/>
      <c r="T6507" s="16"/>
      <c r="U6507" s="16"/>
      <c r="V6507" s="16"/>
      <c r="W6507" s="13"/>
      <c r="X6507" s="34">
        <v>6503</v>
      </c>
      <c r="Y6507" s="34" t="s">
        <v>2248</v>
      </c>
      <c r="Z6507" s="34" t="s">
        <v>2851</v>
      </c>
      <c r="AA6507" s="35">
        <v>1.5629032258064515E-4</v>
      </c>
      <c r="AB6507" s="13"/>
      <c r="AC6507" s="13"/>
      <c r="AD6507" s="13"/>
      <c r="AE6507" s="13"/>
      <c r="AF6507" s="13"/>
    </row>
    <row r="6508" spans="19:32" x14ac:dyDescent="0.35">
      <c r="S6508" s="13"/>
      <c r="T6508" s="16"/>
      <c r="U6508" s="16"/>
      <c r="V6508" s="16"/>
      <c r="W6508" s="13"/>
      <c r="X6508" s="47">
        <v>6504</v>
      </c>
      <c r="Y6508" s="47" t="s">
        <v>2248</v>
      </c>
      <c r="Z6508" s="47" t="s">
        <v>2850</v>
      </c>
      <c r="AA6508" s="48">
        <v>2.1343999999999998E-2</v>
      </c>
      <c r="AB6508" s="13"/>
      <c r="AC6508" s="13"/>
      <c r="AD6508" s="13"/>
      <c r="AE6508" s="13"/>
      <c r="AF6508" s="13"/>
    </row>
    <row r="6509" spans="19:32" x14ac:dyDescent="0.35">
      <c r="S6509" s="13"/>
      <c r="T6509" s="16"/>
      <c r="U6509" s="16"/>
      <c r="V6509" s="16"/>
      <c r="W6509" s="13"/>
      <c r="X6509" s="47">
        <v>6505</v>
      </c>
      <c r="Y6509" s="47" t="s">
        <v>2248</v>
      </c>
      <c r="Z6509" s="47" t="s">
        <v>2849</v>
      </c>
      <c r="AA6509" s="48">
        <v>0</v>
      </c>
      <c r="AB6509" s="13"/>
      <c r="AC6509" s="13"/>
      <c r="AD6509" s="13"/>
      <c r="AE6509" s="13"/>
      <c r="AF6509" s="13"/>
    </row>
    <row r="6510" spans="19:32" x14ac:dyDescent="0.35">
      <c r="S6510" s="13"/>
      <c r="T6510" s="16"/>
      <c r="U6510" s="16"/>
      <c r="V6510" s="16"/>
      <c r="W6510" s="13"/>
      <c r="X6510" s="34">
        <v>6506</v>
      </c>
      <c r="Y6510" s="34" t="s">
        <v>2248</v>
      </c>
      <c r="Z6510" s="34" t="s">
        <v>2848</v>
      </c>
      <c r="AA6510" s="35">
        <v>2.0256048387096777</v>
      </c>
      <c r="AB6510" s="13"/>
      <c r="AC6510" s="13"/>
      <c r="AD6510" s="13"/>
      <c r="AE6510" s="13"/>
      <c r="AF6510" s="13"/>
    </row>
    <row r="6511" spans="19:32" x14ac:dyDescent="0.35">
      <c r="S6511" s="13"/>
      <c r="T6511" s="16"/>
      <c r="U6511" s="16"/>
      <c r="V6511" s="16"/>
      <c r="W6511" s="13"/>
      <c r="X6511" s="47">
        <v>6507</v>
      </c>
      <c r="Y6511" s="47" t="s">
        <v>2248</v>
      </c>
      <c r="Z6511" s="47" t="s">
        <v>2847</v>
      </c>
      <c r="AA6511" s="48">
        <v>0.11316</v>
      </c>
      <c r="AB6511" s="13"/>
      <c r="AC6511" s="13"/>
      <c r="AD6511" s="13"/>
      <c r="AE6511" s="13"/>
      <c r="AF6511" s="13"/>
    </row>
    <row r="6512" spans="19:32" x14ac:dyDescent="0.35">
      <c r="S6512" s="13"/>
      <c r="T6512" s="16"/>
      <c r="U6512" s="16"/>
      <c r="V6512" s="16"/>
      <c r="W6512" s="13"/>
      <c r="X6512" s="34">
        <v>6508</v>
      </c>
      <c r="Y6512" s="34" t="s">
        <v>2248</v>
      </c>
      <c r="Z6512" s="34" t="s">
        <v>2846</v>
      </c>
      <c r="AA6512" s="35">
        <v>5.3467741935483873E-4</v>
      </c>
      <c r="AB6512" s="13"/>
      <c r="AC6512" s="13"/>
      <c r="AD6512" s="13"/>
      <c r="AE6512" s="13"/>
      <c r="AF6512" s="13"/>
    </row>
    <row r="6513" spans="19:32" x14ac:dyDescent="0.35">
      <c r="S6513" s="13"/>
      <c r="T6513" s="16"/>
      <c r="U6513" s="16"/>
      <c r="V6513" s="16"/>
      <c r="W6513" s="13"/>
      <c r="X6513" s="47">
        <v>6509</v>
      </c>
      <c r="Y6513" s="47" t="s">
        <v>2248</v>
      </c>
      <c r="Z6513" s="47" t="s">
        <v>2845</v>
      </c>
      <c r="AA6513" s="48">
        <v>0</v>
      </c>
      <c r="AB6513" s="13"/>
      <c r="AC6513" s="13"/>
      <c r="AD6513" s="13"/>
      <c r="AE6513" s="13"/>
      <c r="AF6513" s="13"/>
    </row>
    <row r="6514" spans="19:32" x14ac:dyDescent="0.35">
      <c r="S6514" s="13"/>
      <c r="T6514" s="16"/>
      <c r="U6514" s="16"/>
      <c r="V6514" s="16"/>
      <c r="W6514" s="13"/>
      <c r="X6514" s="47">
        <v>6510</v>
      </c>
      <c r="Y6514" s="47" t="s">
        <v>2248</v>
      </c>
      <c r="Z6514" s="47" t="s">
        <v>2844</v>
      </c>
      <c r="AA6514" s="48">
        <v>0</v>
      </c>
      <c r="AB6514" s="13"/>
      <c r="AC6514" s="13"/>
      <c r="AD6514" s="13"/>
      <c r="AE6514" s="13"/>
      <c r="AF6514" s="13"/>
    </row>
    <row r="6515" spans="19:32" x14ac:dyDescent="0.35">
      <c r="S6515" s="13"/>
      <c r="T6515" s="16"/>
      <c r="U6515" s="16"/>
      <c r="V6515" s="16"/>
      <c r="W6515" s="13"/>
      <c r="X6515" s="34">
        <v>6511</v>
      </c>
      <c r="Y6515" s="34" t="s">
        <v>2248</v>
      </c>
      <c r="Z6515" s="34" t="s">
        <v>2843</v>
      </c>
      <c r="AA6515" s="35">
        <v>7.3346774193548393E-5</v>
      </c>
      <c r="AB6515" s="13"/>
      <c r="AC6515" s="13"/>
      <c r="AD6515" s="13"/>
      <c r="AE6515" s="13"/>
      <c r="AF6515" s="13"/>
    </row>
    <row r="6516" spans="19:32" x14ac:dyDescent="0.35">
      <c r="S6516" s="13"/>
      <c r="T6516" s="16"/>
      <c r="U6516" s="16"/>
      <c r="V6516" s="16"/>
      <c r="W6516" s="13"/>
      <c r="X6516" s="47">
        <v>6512</v>
      </c>
      <c r="Y6516" s="47" t="s">
        <v>2248</v>
      </c>
      <c r="Z6516" s="47" t="s">
        <v>2842</v>
      </c>
      <c r="AA6516" s="48">
        <v>33580</v>
      </c>
      <c r="AB6516" s="13"/>
      <c r="AC6516" s="13"/>
      <c r="AD6516" s="13"/>
      <c r="AE6516" s="13"/>
      <c r="AF6516" s="13"/>
    </row>
    <row r="6517" spans="19:32" x14ac:dyDescent="0.35">
      <c r="S6517" s="13"/>
      <c r="T6517" s="16"/>
      <c r="U6517" s="16"/>
      <c r="V6517" s="16"/>
      <c r="W6517" s="13"/>
      <c r="X6517" s="47">
        <v>6513</v>
      </c>
      <c r="Y6517" s="47" t="s">
        <v>2248</v>
      </c>
      <c r="Z6517" s="47" t="s">
        <v>2841</v>
      </c>
      <c r="AA6517" s="48">
        <v>0</v>
      </c>
      <c r="AB6517" s="13"/>
      <c r="AC6517" s="13"/>
      <c r="AD6517" s="13"/>
      <c r="AE6517" s="13"/>
      <c r="AF6517" s="13"/>
    </row>
    <row r="6518" spans="19:32" x14ac:dyDescent="0.35">
      <c r="S6518" s="13"/>
      <c r="T6518" s="16"/>
      <c r="U6518" s="16"/>
      <c r="V6518" s="16"/>
      <c r="W6518" s="13"/>
      <c r="X6518" s="34">
        <v>6514</v>
      </c>
      <c r="Y6518" s="34" t="s">
        <v>2248</v>
      </c>
      <c r="Z6518" s="34" t="s">
        <v>2840</v>
      </c>
      <c r="AA6518" s="35">
        <v>3.0915322580645165E-3</v>
      </c>
      <c r="AB6518" s="13"/>
      <c r="AC6518" s="13"/>
      <c r="AD6518" s="13"/>
      <c r="AE6518" s="13"/>
      <c r="AF6518" s="13"/>
    </row>
    <row r="6519" spans="19:32" x14ac:dyDescent="0.35">
      <c r="S6519" s="13"/>
      <c r="T6519" s="16"/>
      <c r="U6519" s="16"/>
      <c r="V6519" s="16"/>
      <c r="W6519" s="13"/>
      <c r="X6519" s="47">
        <v>6515</v>
      </c>
      <c r="Y6519" s="47" t="s">
        <v>2248</v>
      </c>
      <c r="Z6519" s="47" t="s">
        <v>2839</v>
      </c>
      <c r="AA6519" s="48">
        <v>4.2136E-2</v>
      </c>
      <c r="AB6519" s="13"/>
      <c r="AC6519" s="13"/>
      <c r="AD6519" s="13"/>
      <c r="AE6519" s="13"/>
      <c r="AF6519" s="13"/>
    </row>
    <row r="6520" spans="19:32" x14ac:dyDescent="0.35">
      <c r="S6520" s="13"/>
      <c r="T6520" s="16"/>
      <c r="U6520" s="16"/>
      <c r="V6520" s="16"/>
      <c r="W6520" s="13"/>
      <c r="X6520" s="47">
        <v>6516</v>
      </c>
      <c r="Y6520" s="47" t="s">
        <v>2248</v>
      </c>
      <c r="Z6520" s="47" t="s">
        <v>2838</v>
      </c>
      <c r="AA6520" s="48">
        <v>17.48</v>
      </c>
      <c r="AB6520" s="13"/>
      <c r="AC6520" s="13"/>
      <c r="AD6520" s="13"/>
      <c r="AE6520" s="13"/>
      <c r="AF6520" s="13"/>
    </row>
    <row r="6521" spans="19:32" x14ac:dyDescent="0.35">
      <c r="S6521" s="13"/>
      <c r="T6521" s="16"/>
      <c r="U6521" s="16"/>
      <c r="V6521" s="16"/>
      <c r="W6521" s="13"/>
      <c r="X6521" s="34">
        <v>6517</v>
      </c>
      <c r="Y6521" s="34" t="s">
        <v>2248</v>
      </c>
      <c r="Z6521" s="34" t="s">
        <v>2837</v>
      </c>
      <c r="AA6521" s="35">
        <v>4.6612903225806462E-6</v>
      </c>
      <c r="AB6521" s="13"/>
      <c r="AC6521" s="13"/>
      <c r="AD6521" s="13"/>
      <c r="AE6521" s="13"/>
      <c r="AF6521" s="13"/>
    </row>
    <row r="6522" spans="19:32" x14ac:dyDescent="0.35">
      <c r="S6522" s="13"/>
      <c r="T6522" s="16"/>
      <c r="U6522" s="16"/>
      <c r="V6522" s="16"/>
      <c r="W6522" s="13"/>
      <c r="X6522" s="47">
        <v>6518</v>
      </c>
      <c r="Y6522" s="47" t="s">
        <v>2248</v>
      </c>
      <c r="Z6522" s="47" t="s">
        <v>2836</v>
      </c>
      <c r="AA6522" s="48">
        <v>0</v>
      </c>
      <c r="AB6522" s="13"/>
      <c r="AC6522" s="13"/>
      <c r="AD6522" s="13"/>
      <c r="AE6522" s="13"/>
      <c r="AF6522" s="13"/>
    </row>
    <row r="6523" spans="19:32" x14ac:dyDescent="0.35">
      <c r="S6523" s="13"/>
      <c r="T6523" s="16"/>
      <c r="U6523" s="16"/>
      <c r="V6523" s="16"/>
      <c r="W6523" s="13"/>
      <c r="X6523" s="34">
        <v>6519</v>
      </c>
      <c r="Y6523" s="34" t="s">
        <v>2248</v>
      </c>
      <c r="Z6523" s="34" t="s">
        <v>2835</v>
      </c>
      <c r="AA6523" s="35">
        <v>1.9159274193548388E-6</v>
      </c>
      <c r="AB6523" s="13"/>
      <c r="AC6523" s="13"/>
      <c r="AD6523" s="13"/>
      <c r="AE6523" s="13"/>
      <c r="AF6523" s="13"/>
    </row>
    <row r="6524" spans="19:32" x14ac:dyDescent="0.35">
      <c r="S6524" s="13"/>
      <c r="T6524" s="16"/>
      <c r="U6524" s="16"/>
      <c r="V6524" s="16"/>
      <c r="W6524" s="13"/>
      <c r="X6524" s="47">
        <v>6520</v>
      </c>
      <c r="Y6524" s="47" t="s">
        <v>2248</v>
      </c>
      <c r="Z6524" s="47" t="s">
        <v>2834</v>
      </c>
      <c r="AA6524" s="48">
        <v>0</v>
      </c>
      <c r="AB6524" s="13"/>
      <c r="AC6524" s="13"/>
      <c r="AD6524" s="13"/>
      <c r="AE6524" s="13"/>
      <c r="AF6524" s="13"/>
    </row>
    <row r="6525" spans="19:32" x14ac:dyDescent="0.35">
      <c r="S6525" s="13"/>
      <c r="T6525" s="16"/>
      <c r="U6525" s="16"/>
      <c r="V6525" s="16"/>
      <c r="W6525" s="13"/>
      <c r="X6525" s="47">
        <v>6521</v>
      </c>
      <c r="Y6525" s="47" t="s">
        <v>2248</v>
      </c>
      <c r="Z6525" s="47" t="s">
        <v>2833</v>
      </c>
      <c r="AA6525" s="48">
        <v>0</v>
      </c>
      <c r="AB6525" s="13"/>
      <c r="AC6525" s="13"/>
      <c r="AD6525" s="13"/>
      <c r="AE6525" s="13"/>
      <c r="AF6525" s="13"/>
    </row>
    <row r="6526" spans="19:32" x14ac:dyDescent="0.35">
      <c r="S6526" s="13"/>
      <c r="T6526" s="16"/>
      <c r="U6526" s="16"/>
      <c r="V6526" s="16"/>
      <c r="W6526" s="13"/>
      <c r="X6526" s="34">
        <v>6522</v>
      </c>
      <c r="Y6526" s="34" t="s">
        <v>2248</v>
      </c>
      <c r="Z6526" s="34" t="s">
        <v>2832</v>
      </c>
      <c r="AA6526" s="35">
        <v>2.1352822580645161</v>
      </c>
      <c r="AB6526" s="13"/>
      <c r="AC6526" s="13"/>
      <c r="AD6526" s="13"/>
      <c r="AE6526" s="13"/>
      <c r="AF6526" s="13"/>
    </row>
    <row r="6527" spans="19:32" x14ac:dyDescent="0.35">
      <c r="S6527" s="13"/>
      <c r="T6527" s="16"/>
      <c r="U6527" s="16"/>
      <c r="V6527" s="16"/>
      <c r="W6527" s="13"/>
      <c r="X6527" s="47">
        <v>6523</v>
      </c>
      <c r="Y6527" s="47" t="s">
        <v>2248</v>
      </c>
      <c r="Z6527" s="47" t="s">
        <v>2831</v>
      </c>
      <c r="AA6527" s="48">
        <v>1.0671999999999999</v>
      </c>
      <c r="AB6527" s="13"/>
      <c r="AC6527" s="13"/>
      <c r="AD6527" s="13"/>
      <c r="AE6527" s="13"/>
      <c r="AF6527" s="13"/>
    </row>
    <row r="6528" spans="19:32" x14ac:dyDescent="0.35">
      <c r="S6528" s="13"/>
      <c r="T6528" s="16"/>
      <c r="U6528" s="16"/>
      <c r="V6528" s="16"/>
      <c r="W6528" s="13"/>
      <c r="X6528" s="47">
        <v>6524</v>
      </c>
      <c r="Y6528" s="47" t="s">
        <v>2248</v>
      </c>
      <c r="Z6528" s="47" t="s">
        <v>2830</v>
      </c>
      <c r="AA6528" s="48">
        <v>0</v>
      </c>
      <c r="AB6528" s="13"/>
      <c r="AC6528" s="13"/>
      <c r="AD6528" s="13"/>
      <c r="AE6528" s="13"/>
      <c r="AF6528" s="13"/>
    </row>
    <row r="6529" spans="19:32" x14ac:dyDescent="0.35">
      <c r="S6529" s="13"/>
      <c r="T6529" s="16"/>
      <c r="U6529" s="16"/>
      <c r="V6529" s="16"/>
      <c r="W6529" s="13"/>
      <c r="X6529" s="34">
        <v>6525</v>
      </c>
      <c r="Y6529" s="34" t="s">
        <v>2248</v>
      </c>
      <c r="Z6529" s="34" t="s">
        <v>2800</v>
      </c>
      <c r="AA6529" s="35">
        <v>4.9697580645161298E-3</v>
      </c>
      <c r="AB6529" s="13"/>
      <c r="AC6529" s="13"/>
      <c r="AD6529" s="13"/>
      <c r="AE6529" s="13"/>
      <c r="AF6529" s="13"/>
    </row>
    <row r="6530" spans="19:32" x14ac:dyDescent="0.35">
      <c r="S6530" s="13"/>
      <c r="T6530" s="16"/>
      <c r="U6530" s="16"/>
      <c r="V6530" s="16"/>
      <c r="W6530" s="13"/>
      <c r="X6530" s="47">
        <v>6526</v>
      </c>
      <c r="Y6530" s="47" t="s">
        <v>2248</v>
      </c>
      <c r="Z6530" s="47" t="s">
        <v>2829</v>
      </c>
      <c r="AA6530" s="48">
        <v>1.472</v>
      </c>
      <c r="AB6530" s="13"/>
      <c r="AC6530" s="13"/>
      <c r="AD6530" s="13"/>
      <c r="AE6530" s="13"/>
      <c r="AF6530" s="13"/>
    </row>
    <row r="6531" spans="19:32" x14ac:dyDescent="0.35">
      <c r="S6531" s="13"/>
      <c r="T6531" s="16"/>
      <c r="U6531" s="16"/>
      <c r="V6531" s="16"/>
      <c r="W6531" s="13"/>
      <c r="X6531" s="47">
        <v>6527</v>
      </c>
      <c r="Y6531" s="47" t="s">
        <v>2248</v>
      </c>
      <c r="Z6531" s="47" t="s">
        <v>2828</v>
      </c>
      <c r="AA6531" s="48">
        <v>0.33672000000000002</v>
      </c>
      <c r="AB6531" s="13"/>
      <c r="AC6531" s="13"/>
      <c r="AD6531" s="13"/>
      <c r="AE6531" s="13"/>
      <c r="AF6531" s="13"/>
    </row>
    <row r="6532" spans="19:32" x14ac:dyDescent="0.35">
      <c r="S6532" s="13"/>
      <c r="T6532" s="16"/>
      <c r="U6532" s="16"/>
      <c r="V6532" s="16"/>
      <c r="W6532" s="13"/>
      <c r="X6532" s="34">
        <v>6528</v>
      </c>
      <c r="Y6532" s="34" t="s">
        <v>2248</v>
      </c>
      <c r="Z6532" s="34" t="s">
        <v>2827</v>
      </c>
      <c r="AA6532" s="35">
        <v>8.4314516129032263E-2</v>
      </c>
      <c r="AB6532" s="13"/>
      <c r="AC6532" s="13"/>
      <c r="AD6532" s="13"/>
      <c r="AE6532" s="13"/>
      <c r="AF6532" s="13"/>
    </row>
    <row r="6533" spans="19:32" x14ac:dyDescent="0.35">
      <c r="S6533" s="13"/>
      <c r="T6533" s="16"/>
      <c r="U6533" s="16"/>
      <c r="V6533" s="16"/>
      <c r="W6533" s="13"/>
      <c r="X6533" s="47">
        <v>6529</v>
      </c>
      <c r="Y6533" s="47" t="s">
        <v>2248</v>
      </c>
      <c r="Z6533" s="47" t="s">
        <v>2826</v>
      </c>
      <c r="AA6533" s="48">
        <v>4.2043999999999998E-2</v>
      </c>
      <c r="AB6533" s="13"/>
      <c r="AC6533" s="13"/>
      <c r="AD6533" s="13"/>
      <c r="AE6533" s="13"/>
      <c r="AF6533" s="13"/>
    </row>
    <row r="6534" spans="19:32" x14ac:dyDescent="0.35">
      <c r="S6534" s="13"/>
      <c r="T6534" s="16"/>
      <c r="U6534" s="16"/>
      <c r="V6534" s="16"/>
      <c r="W6534" s="13"/>
      <c r="X6534" s="47">
        <v>6530</v>
      </c>
      <c r="Y6534" s="47" t="s">
        <v>2248</v>
      </c>
      <c r="Z6534" s="47" t="s">
        <v>2825</v>
      </c>
      <c r="AA6534" s="48">
        <v>0</v>
      </c>
      <c r="AB6534" s="13"/>
      <c r="AC6534" s="13"/>
      <c r="AD6534" s="13"/>
      <c r="AE6534" s="13"/>
      <c r="AF6534" s="13"/>
    </row>
    <row r="6535" spans="19:32" x14ac:dyDescent="0.35">
      <c r="S6535" s="13"/>
      <c r="T6535" s="16"/>
      <c r="U6535" s="16"/>
      <c r="V6535" s="16"/>
      <c r="W6535" s="13"/>
      <c r="X6535" s="34">
        <v>6531</v>
      </c>
      <c r="Y6535" s="34" t="s">
        <v>2248</v>
      </c>
      <c r="Z6535" s="34" t="s">
        <v>2824</v>
      </c>
      <c r="AA6535" s="35">
        <v>6.957661290322581</v>
      </c>
      <c r="AB6535" s="13"/>
      <c r="AC6535" s="13"/>
      <c r="AD6535" s="13"/>
      <c r="AE6535" s="13"/>
      <c r="AF6535" s="13"/>
    </row>
    <row r="6536" spans="19:32" x14ac:dyDescent="0.35">
      <c r="S6536" s="13"/>
      <c r="T6536" s="16"/>
      <c r="U6536" s="16"/>
      <c r="V6536" s="16"/>
      <c r="W6536" s="13"/>
      <c r="X6536" s="47">
        <v>6532</v>
      </c>
      <c r="Y6536" s="47" t="s">
        <v>2248</v>
      </c>
      <c r="Z6536" s="47" t="s">
        <v>2823</v>
      </c>
      <c r="AA6536" s="48">
        <v>1.5640000000000001</v>
      </c>
      <c r="AB6536" s="13"/>
      <c r="AC6536" s="13"/>
      <c r="AD6536" s="13"/>
      <c r="AE6536" s="13"/>
      <c r="AF6536" s="13"/>
    </row>
    <row r="6537" spans="19:32" x14ac:dyDescent="0.35">
      <c r="S6537" s="13"/>
      <c r="T6537" s="16"/>
      <c r="U6537" s="16"/>
      <c r="V6537" s="16"/>
      <c r="W6537" s="13"/>
      <c r="X6537" s="34">
        <v>6533</v>
      </c>
      <c r="Y6537" s="34" t="s">
        <v>2248</v>
      </c>
      <c r="Z6537" s="34" t="s">
        <v>2822</v>
      </c>
      <c r="AA6537" s="35">
        <v>3.0298387096774197E-3</v>
      </c>
      <c r="AB6537" s="13"/>
      <c r="AC6537" s="13"/>
      <c r="AD6537" s="13"/>
      <c r="AE6537" s="13"/>
      <c r="AF6537" s="13"/>
    </row>
    <row r="6538" spans="19:32" x14ac:dyDescent="0.35">
      <c r="S6538" s="13"/>
      <c r="T6538" s="16"/>
      <c r="U6538" s="16"/>
      <c r="V6538" s="16"/>
      <c r="W6538" s="13"/>
      <c r="X6538" s="47">
        <v>6534</v>
      </c>
      <c r="Y6538" s="47" t="s">
        <v>2248</v>
      </c>
      <c r="Z6538" s="47" t="s">
        <v>2821</v>
      </c>
      <c r="AA6538" s="48">
        <v>62.927999999999997</v>
      </c>
      <c r="AB6538" s="13"/>
      <c r="AC6538" s="13"/>
      <c r="AD6538" s="13"/>
      <c r="AE6538" s="13"/>
      <c r="AF6538" s="13"/>
    </row>
    <row r="6539" spans="19:32" x14ac:dyDescent="0.35">
      <c r="S6539" s="13"/>
      <c r="T6539" s="16"/>
      <c r="U6539" s="16"/>
      <c r="V6539" s="16"/>
      <c r="W6539" s="13"/>
      <c r="X6539" s="47">
        <v>6535</v>
      </c>
      <c r="Y6539" s="47" t="s">
        <v>2248</v>
      </c>
      <c r="Z6539" s="47" t="s">
        <v>2820</v>
      </c>
      <c r="AA6539" s="48">
        <v>0</v>
      </c>
      <c r="AB6539" s="13"/>
      <c r="AC6539" s="13"/>
      <c r="AD6539" s="13"/>
      <c r="AE6539" s="13"/>
      <c r="AF6539" s="13"/>
    </row>
    <row r="6540" spans="19:32" x14ac:dyDescent="0.35">
      <c r="S6540" s="13"/>
      <c r="T6540" s="16"/>
      <c r="U6540" s="16"/>
      <c r="V6540" s="16"/>
      <c r="W6540" s="13"/>
      <c r="X6540" s="34">
        <v>6536</v>
      </c>
      <c r="Y6540" s="34" t="s">
        <v>2248</v>
      </c>
      <c r="Z6540" s="34" t="s">
        <v>2819</v>
      </c>
      <c r="AA6540" s="35">
        <v>0.32731854838709679</v>
      </c>
      <c r="AB6540" s="13"/>
      <c r="AC6540" s="13"/>
      <c r="AD6540" s="13"/>
      <c r="AE6540" s="13"/>
      <c r="AF6540" s="13"/>
    </row>
    <row r="6541" spans="19:32" x14ac:dyDescent="0.35">
      <c r="S6541" s="13"/>
      <c r="T6541" s="16"/>
      <c r="U6541" s="16"/>
      <c r="V6541" s="16"/>
      <c r="W6541" s="13"/>
      <c r="X6541" s="47">
        <v>6537</v>
      </c>
      <c r="Y6541" s="47" t="s">
        <v>2248</v>
      </c>
      <c r="Z6541" s="47" t="s">
        <v>2818</v>
      </c>
      <c r="AA6541" s="48">
        <v>2.4472</v>
      </c>
      <c r="AB6541" s="13"/>
      <c r="AC6541" s="13"/>
      <c r="AD6541" s="13"/>
      <c r="AE6541" s="13"/>
      <c r="AF6541" s="13"/>
    </row>
    <row r="6542" spans="19:32" x14ac:dyDescent="0.35">
      <c r="S6542" s="13"/>
      <c r="T6542" s="16"/>
      <c r="U6542" s="16"/>
      <c r="V6542" s="16"/>
      <c r="W6542" s="13"/>
      <c r="X6542" s="47">
        <v>6538</v>
      </c>
      <c r="Y6542" s="47" t="s">
        <v>2248</v>
      </c>
      <c r="Z6542" s="47" t="s">
        <v>2817</v>
      </c>
      <c r="AA6542" s="48">
        <v>0</v>
      </c>
      <c r="AB6542" s="13"/>
      <c r="AC6542" s="13"/>
      <c r="AD6542" s="13"/>
      <c r="AE6542" s="13"/>
      <c r="AF6542" s="13"/>
    </row>
    <row r="6543" spans="19:32" x14ac:dyDescent="0.35">
      <c r="S6543" s="13"/>
      <c r="T6543" s="16"/>
      <c r="U6543" s="16"/>
      <c r="V6543" s="16"/>
      <c r="W6543" s="13"/>
      <c r="X6543" s="34">
        <v>6539</v>
      </c>
      <c r="Y6543" s="34" t="s">
        <v>2248</v>
      </c>
      <c r="Z6543" s="34" t="s">
        <v>2795</v>
      </c>
      <c r="AA6543" s="35">
        <v>8.4657258064516131E-7</v>
      </c>
      <c r="AB6543" s="13"/>
      <c r="AC6543" s="13"/>
      <c r="AD6543" s="13"/>
      <c r="AE6543" s="13"/>
      <c r="AF6543" s="13"/>
    </row>
    <row r="6544" spans="19:32" x14ac:dyDescent="0.35">
      <c r="S6544" s="13"/>
      <c r="T6544" s="16"/>
      <c r="U6544" s="16"/>
      <c r="V6544" s="16"/>
      <c r="W6544" s="13"/>
      <c r="X6544" s="47">
        <v>6540</v>
      </c>
      <c r="Y6544" s="47" t="s">
        <v>2248</v>
      </c>
      <c r="Z6544" s="47" t="s">
        <v>2816</v>
      </c>
      <c r="AA6544" s="48">
        <v>12.42</v>
      </c>
      <c r="AB6544" s="13"/>
      <c r="AC6544" s="13"/>
      <c r="AD6544" s="13"/>
      <c r="AE6544" s="13"/>
      <c r="AF6544" s="13"/>
    </row>
    <row r="6545" spans="19:32" x14ac:dyDescent="0.35">
      <c r="S6545" s="13"/>
      <c r="T6545" s="16"/>
      <c r="U6545" s="16"/>
      <c r="V6545" s="16"/>
      <c r="W6545" s="13"/>
      <c r="X6545" s="47">
        <v>6541</v>
      </c>
      <c r="Y6545" s="47" t="s">
        <v>2248</v>
      </c>
      <c r="Z6545" s="47" t="s">
        <v>2815</v>
      </c>
      <c r="AA6545" s="48">
        <v>4.6551999999999998</v>
      </c>
      <c r="AB6545" s="13"/>
      <c r="AC6545" s="13"/>
      <c r="AD6545" s="13"/>
      <c r="AE6545" s="13"/>
      <c r="AF6545" s="13"/>
    </row>
    <row r="6546" spans="19:32" x14ac:dyDescent="0.35">
      <c r="S6546" s="13"/>
      <c r="T6546" s="16"/>
      <c r="U6546" s="16"/>
      <c r="V6546" s="16"/>
      <c r="W6546" s="13"/>
      <c r="X6546" s="34">
        <v>6542</v>
      </c>
      <c r="Y6546" s="34" t="s">
        <v>2248</v>
      </c>
      <c r="Z6546" s="34" t="s">
        <v>2814</v>
      </c>
      <c r="AA6546" s="35">
        <v>2.7487903225806454E-3</v>
      </c>
      <c r="AB6546" s="13"/>
      <c r="AC6546" s="13"/>
      <c r="AD6546" s="13"/>
      <c r="AE6546" s="13"/>
      <c r="AF6546" s="13"/>
    </row>
    <row r="6547" spans="19:32" x14ac:dyDescent="0.35">
      <c r="S6547" s="13"/>
      <c r="T6547" s="16"/>
      <c r="U6547" s="16"/>
      <c r="V6547" s="16"/>
      <c r="W6547" s="13"/>
      <c r="X6547" s="47">
        <v>6543</v>
      </c>
      <c r="Y6547" s="47" t="s">
        <v>2248</v>
      </c>
      <c r="Z6547" s="47" t="s">
        <v>2813</v>
      </c>
      <c r="AA6547" s="48">
        <v>18.400000000000002</v>
      </c>
      <c r="AB6547" s="13"/>
      <c r="AC6547" s="13"/>
      <c r="AD6547" s="13"/>
      <c r="AE6547" s="13"/>
      <c r="AF6547" s="13"/>
    </row>
    <row r="6548" spans="19:32" x14ac:dyDescent="0.35">
      <c r="S6548" s="13"/>
      <c r="T6548" s="16"/>
      <c r="U6548" s="16"/>
      <c r="V6548" s="16"/>
      <c r="W6548" s="13"/>
      <c r="X6548" s="34">
        <v>6544</v>
      </c>
      <c r="Y6548" s="34" t="s">
        <v>2248</v>
      </c>
      <c r="Z6548" s="34" t="s">
        <v>2812</v>
      </c>
      <c r="AA6548" s="35">
        <v>4.181451612903226E-2</v>
      </c>
      <c r="AB6548" s="13"/>
      <c r="AC6548" s="13"/>
      <c r="AD6548" s="13"/>
      <c r="AE6548" s="13"/>
      <c r="AF6548" s="13"/>
    </row>
    <row r="6549" spans="19:32" x14ac:dyDescent="0.35">
      <c r="S6549" s="13"/>
      <c r="T6549" s="16"/>
      <c r="U6549" s="16"/>
      <c r="V6549" s="16"/>
      <c r="W6549" s="13"/>
      <c r="X6549" s="47">
        <v>6545</v>
      </c>
      <c r="Y6549" s="47" t="s">
        <v>2248</v>
      </c>
      <c r="Z6549" s="47" t="s">
        <v>2811</v>
      </c>
      <c r="AA6549" s="48">
        <v>0</v>
      </c>
      <c r="AB6549" s="13"/>
      <c r="AC6549" s="13"/>
      <c r="AD6549" s="13"/>
      <c r="AE6549" s="13"/>
      <c r="AF6549" s="13"/>
    </row>
    <row r="6550" spans="19:32" x14ac:dyDescent="0.35">
      <c r="S6550" s="13"/>
      <c r="T6550" s="16"/>
      <c r="U6550" s="16"/>
      <c r="V6550" s="16"/>
      <c r="W6550" s="13"/>
      <c r="X6550" s="47">
        <v>6546</v>
      </c>
      <c r="Y6550" s="47" t="s">
        <v>2248</v>
      </c>
      <c r="Z6550" s="47" t="s">
        <v>2810</v>
      </c>
      <c r="AA6550" s="48">
        <v>0</v>
      </c>
      <c r="AB6550" s="13"/>
      <c r="AC6550" s="13"/>
      <c r="AD6550" s="13"/>
      <c r="AE6550" s="13"/>
      <c r="AF6550" s="13"/>
    </row>
    <row r="6551" spans="19:32" x14ac:dyDescent="0.35">
      <c r="S6551" s="13"/>
      <c r="T6551" s="16"/>
      <c r="U6551" s="16"/>
      <c r="V6551" s="16"/>
      <c r="W6551" s="13"/>
      <c r="X6551" s="34">
        <v>6547</v>
      </c>
      <c r="Y6551" s="34" t="s">
        <v>2248</v>
      </c>
      <c r="Z6551" s="34" t="s">
        <v>2809</v>
      </c>
      <c r="AA6551" s="35">
        <v>7.129032258064516E-2</v>
      </c>
      <c r="AB6551" s="13"/>
      <c r="AC6551" s="13"/>
      <c r="AD6551" s="13"/>
      <c r="AE6551" s="13"/>
      <c r="AF6551" s="13"/>
    </row>
    <row r="6552" spans="19:32" x14ac:dyDescent="0.35">
      <c r="S6552" s="13"/>
      <c r="T6552" s="16"/>
      <c r="U6552" s="16"/>
      <c r="V6552" s="16"/>
      <c r="W6552" s="13"/>
      <c r="X6552" s="47">
        <v>6548</v>
      </c>
      <c r="Y6552" s="47" t="s">
        <v>2248</v>
      </c>
      <c r="Z6552" s="47" t="s">
        <v>2808</v>
      </c>
      <c r="AA6552" s="48">
        <v>0</v>
      </c>
      <c r="AB6552" s="13"/>
      <c r="AC6552" s="13"/>
      <c r="AD6552" s="13"/>
      <c r="AE6552" s="13"/>
      <c r="AF6552" s="13"/>
    </row>
    <row r="6553" spans="19:32" x14ac:dyDescent="0.35">
      <c r="S6553" s="13"/>
      <c r="T6553" s="16"/>
      <c r="U6553" s="16"/>
      <c r="V6553" s="16"/>
      <c r="W6553" s="13"/>
      <c r="X6553" s="47">
        <v>6549</v>
      </c>
      <c r="Y6553" s="47" t="s">
        <v>2248</v>
      </c>
      <c r="Z6553" s="47" t="s">
        <v>2807</v>
      </c>
      <c r="AA6553" s="48">
        <v>0.63663999999999998</v>
      </c>
      <c r="AB6553" s="13"/>
      <c r="AC6553" s="13"/>
      <c r="AD6553" s="13"/>
      <c r="AE6553" s="13"/>
      <c r="AF6553" s="13"/>
    </row>
    <row r="6554" spans="19:32" x14ac:dyDescent="0.35">
      <c r="S6554" s="13"/>
      <c r="T6554" s="16"/>
      <c r="U6554" s="16"/>
      <c r="V6554" s="16"/>
      <c r="W6554" s="13"/>
      <c r="X6554" s="34">
        <v>6550</v>
      </c>
      <c r="Y6554" s="34" t="s">
        <v>2248</v>
      </c>
      <c r="Z6554" s="34" t="s">
        <v>2806</v>
      </c>
      <c r="AA6554" s="35">
        <v>4.2500000000000003E-3</v>
      </c>
      <c r="AB6554" s="13"/>
      <c r="AC6554" s="13"/>
      <c r="AD6554" s="13"/>
      <c r="AE6554" s="13"/>
      <c r="AF6554" s="13"/>
    </row>
    <row r="6555" spans="19:32" x14ac:dyDescent="0.35">
      <c r="S6555" s="13"/>
      <c r="T6555" s="16"/>
      <c r="U6555" s="16"/>
      <c r="V6555" s="16"/>
      <c r="W6555" s="13"/>
      <c r="X6555" s="47">
        <v>6551</v>
      </c>
      <c r="Y6555" s="47" t="s">
        <v>2248</v>
      </c>
      <c r="Z6555" s="47" t="s">
        <v>2805</v>
      </c>
      <c r="AA6555" s="48">
        <v>78.108000000000004</v>
      </c>
      <c r="AB6555" s="13"/>
      <c r="AC6555" s="13"/>
      <c r="AD6555" s="13"/>
      <c r="AE6555" s="13"/>
      <c r="AF6555" s="13"/>
    </row>
    <row r="6556" spans="19:32" x14ac:dyDescent="0.35">
      <c r="S6556" s="13"/>
      <c r="T6556" s="16"/>
      <c r="U6556" s="16"/>
      <c r="V6556" s="16"/>
      <c r="W6556" s="13"/>
      <c r="X6556" s="47">
        <v>6552</v>
      </c>
      <c r="Y6556" s="47" t="s">
        <v>2248</v>
      </c>
      <c r="Z6556" s="47" t="s">
        <v>2804</v>
      </c>
      <c r="AA6556" s="48">
        <v>0</v>
      </c>
      <c r="AB6556" s="13"/>
      <c r="AC6556" s="13"/>
      <c r="AD6556" s="13"/>
      <c r="AE6556" s="13"/>
      <c r="AF6556" s="13"/>
    </row>
    <row r="6557" spans="19:32" x14ac:dyDescent="0.35">
      <c r="S6557" s="13"/>
      <c r="T6557" s="16"/>
      <c r="U6557" s="16"/>
      <c r="V6557" s="16"/>
      <c r="W6557" s="13"/>
      <c r="X6557" s="34">
        <v>6553</v>
      </c>
      <c r="Y6557" s="34" t="s">
        <v>2248</v>
      </c>
      <c r="Z6557" s="34" t="s">
        <v>2793</v>
      </c>
      <c r="AA6557" s="35">
        <v>1.7925403225806455E-4</v>
      </c>
      <c r="AB6557" s="13"/>
      <c r="AC6557" s="13"/>
      <c r="AD6557" s="13"/>
      <c r="AE6557" s="13"/>
      <c r="AF6557" s="13"/>
    </row>
    <row r="6558" spans="19:32" x14ac:dyDescent="0.35">
      <c r="S6558" s="13"/>
      <c r="T6558" s="16"/>
      <c r="U6558" s="16"/>
      <c r="V6558" s="16"/>
      <c r="W6558" s="13"/>
      <c r="X6558" s="47">
        <v>6554</v>
      </c>
      <c r="Y6558" s="47" t="s">
        <v>2248</v>
      </c>
      <c r="Z6558" s="47" t="s">
        <v>2803</v>
      </c>
      <c r="AA6558" s="48">
        <v>0</v>
      </c>
      <c r="AB6558" s="13"/>
      <c r="AC6558" s="13"/>
      <c r="AD6558" s="13"/>
      <c r="AE6558" s="13"/>
      <c r="AF6558" s="13"/>
    </row>
    <row r="6559" spans="19:32" x14ac:dyDescent="0.35">
      <c r="S6559" s="13"/>
      <c r="T6559" s="16"/>
      <c r="U6559" s="16"/>
      <c r="V6559" s="16"/>
      <c r="W6559" s="13"/>
      <c r="X6559" s="47">
        <v>6555</v>
      </c>
      <c r="Y6559" s="47" t="s">
        <v>2248</v>
      </c>
      <c r="Z6559" s="47" t="s">
        <v>2802</v>
      </c>
      <c r="AA6559" s="48">
        <v>4.4067999999999996E-2</v>
      </c>
      <c r="AB6559" s="13"/>
      <c r="AC6559" s="13"/>
      <c r="AD6559" s="13"/>
      <c r="AE6559" s="13"/>
      <c r="AF6559" s="13"/>
    </row>
    <row r="6560" spans="19:32" x14ac:dyDescent="0.35">
      <c r="S6560" s="13"/>
      <c r="T6560" s="16"/>
      <c r="U6560" s="16"/>
      <c r="V6560" s="16"/>
      <c r="W6560" s="13"/>
      <c r="X6560" s="34">
        <v>6556</v>
      </c>
      <c r="Y6560" s="34" t="s">
        <v>2248</v>
      </c>
      <c r="Z6560" s="34" t="s">
        <v>2801</v>
      </c>
      <c r="AA6560" s="35">
        <v>3.0024193548387101E-4</v>
      </c>
      <c r="AB6560" s="13"/>
      <c r="AC6560" s="13"/>
      <c r="AD6560" s="13"/>
      <c r="AE6560" s="13"/>
      <c r="AF6560" s="13"/>
    </row>
    <row r="6561" spans="19:32" x14ac:dyDescent="0.35">
      <c r="S6561" s="13"/>
      <c r="T6561" s="16"/>
      <c r="U6561" s="16"/>
      <c r="V6561" s="16"/>
      <c r="W6561" s="13"/>
      <c r="X6561" s="47">
        <v>6557</v>
      </c>
      <c r="Y6561" s="47" t="s">
        <v>2248</v>
      </c>
      <c r="Z6561" s="47" t="s">
        <v>2800</v>
      </c>
      <c r="AA6561" s="48">
        <v>3.6707999999999998</v>
      </c>
      <c r="AB6561" s="13"/>
      <c r="AC6561" s="13"/>
      <c r="AD6561" s="13"/>
      <c r="AE6561" s="13"/>
      <c r="AF6561" s="13"/>
    </row>
    <row r="6562" spans="19:32" x14ac:dyDescent="0.35">
      <c r="S6562" s="13"/>
      <c r="T6562" s="16"/>
      <c r="U6562" s="16"/>
      <c r="V6562" s="16"/>
      <c r="W6562" s="13"/>
      <c r="X6562" s="34">
        <v>6558</v>
      </c>
      <c r="Y6562" s="34" t="s">
        <v>2248</v>
      </c>
      <c r="Z6562" s="34" t="s">
        <v>2799</v>
      </c>
      <c r="AA6562" s="35">
        <v>2.3752016129032261E-2</v>
      </c>
      <c r="AB6562" s="13"/>
      <c r="AC6562" s="13"/>
      <c r="AD6562" s="13"/>
      <c r="AE6562" s="13"/>
      <c r="AF6562" s="13"/>
    </row>
    <row r="6563" spans="19:32" x14ac:dyDescent="0.35">
      <c r="S6563" s="13"/>
      <c r="T6563" s="16"/>
      <c r="U6563" s="16"/>
      <c r="V6563" s="16"/>
      <c r="W6563" s="13"/>
      <c r="X6563" s="47">
        <v>6559</v>
      </c>
      <c r="Y6563" s="47" t="s">
        <v>2248</v>
      </c>
      <c r="Z6563" s="47" t="s">
        <v>2798</v>
      </c>
      <c r="AA6563" s="48">
        <v>0</v>
      </c>
      <c r="AB6563" s="13"/>
      <c r="AC6563" s="13"/>
      <c r="AD6563" s="13"/>
      <c r="AE6563" s="13"/>
      <c r="AF6563" s="13"/>
    </row>
    <row r="6564" spans="19:32" x14ac:dyDescent="0.35">
      <c r="S6564" s="13"/>
      <c r="T6564" s="16"/>
      <c r="U6564" s="16"/>
      <c r="V6564" s="16"/>
      <c r="W6564" s="13"/>
      <c r="X6564" s="47">
        <v>6560</v>
      </c>
      <c r="Y6564" s="47" t="s">
        <v>2248</v>
      </c>
      <c r="Z6564" s="47" t="s">
        <v>2797</v>
      </c>
      <c r="AA6564" s="48">
        <v>1.518</v>
      </c>
      <c r="AB6564" s="13"/>
      <c r="AC6564" s="13"/>
      <c r="AD6564" s="13"/>
      <c r="AE6564" s="13"/>
      <c r="AF6564" s="13"/>
    </row>
    <row r="6565" spans="19:32" x14ac:dyDescent="0.35">
      <c r="S6565" s="13"/>
      <c r="T6565" s="16"/>
      <c r="U6565" s="16"/>
      <c r="V6565" s="16"/>
      <c r="W6565" s="13"/>
      <c r="X6565" s="34">
        <v>6561</v>
      </c>
      <c r="Y6565" s="34" t="s">
        <v>2248</v>
      </c>
      <c r="Z6565" s="34" t="s">
        <v>2792</v>
      </c>
      <c r="AA6565" s="35">
        <v>1.9090725806451614E-3</v>
      </c>
      <c r="AB6565" s="13"/>
      <c r="AC6565" s="13"/>
      <c r="AD6565" s="13"/>
      <c r="AE6565" s="13"/>
      <c r="AF6565" s="13"/>
    </row>
    <row r="6566" spans="19:32" x14ac:dyDescent="0.35">
      <c r="S6566" s="13"/>
      <c r="T6566" s="16"/>
      <c r="U6566" s="16"/>
      <c r="V6566" s="16"/>
      <c r="W6566" s="13"/>
      <c r="X6566" s="47">
        <v>6562</v>
      </c>
      <c r="Y6566" s="47" t="s">
        <v>2248</v>
      </c>
      <c r="Z6566" s="47" t="s">
        <v>2796</v>
      </c>
      <c r="AA6566" s="48">
        <v>1.3892E-2</v>
      </c>
      <c r="AB6566" s="13"/>
      <c r="AC6566" s="13"/>
      <c r="AD6566" s="13"/>
      <c r="AE6566" s="13"/>
      <c r="AF6566" s="13"/>
    </row>
    <row r="6567" spans="19:32" x14ac:dyDescent="0.35">
      <c r="S6567" s="13"/>
      <c r="T6567" s="16"/>
      <c r="U6567" s="16"/>
      <c r="V6567" s="16"/>
      <c r="W6567" s="13"/>
      <c r="X6567" s="47">
        <v>6563</v>
      </c>
      <c r="Y6567" s="47" t="s">
        <v>2248</v>
      </c>
      <c r="Z6567" s="47" t="s">
        <v>2795</v>
      </c>
      <c r="AA6567" s="48">
        <v>0</v>
      </c>
      <c r="AB6567" s="13"/>
      <c r="AC6567" s="13"/>
      <c r="AD6567" s="13"/>
      <c r="AE6567" s="13"/>
      <c r="AF6567" s="13"/>
    </row>
    <row r="6568" spans="19:32" x14ac:dyDescent="0.35">
      <c r="S6568" s="13"/>
      <c r="T6568" s="16"/>
      <c r="U6568" s="16"/>
      <c r="V6568" s="16"/>
      <c r="W6568" s="13"/>
      <c r="X6568" s="34">
        <v>6564</v>
      </c>
      <c r="Y6568" s="34" t="s">
        <v>2248</v>
      </c>
      <c r="Z6568" s="34" t="s">
        <v>2794</v>
      </c>
      <c r="AA6568" s="35">
        <v>2.645967741935484E-2</v>
      </c>
      <c r="AB6568" s="13"/>
      <c r="AC6568" s="13"/>
      <c r="AD6568" s="13"/>
      <c r="AE6568" s="13"/>
      <c r="AF6568" s="13"/>
    </row>
    <row r="6569" spans="19:32" x14ac:dyDescent="0.35">
      <c r="S6569" s="13"/>
      <c r="T6569" s="16"/>
      <c r="U6569" s="16"/>
      <c r="V6569" s="16"/>
      <c r="W6569" s="13"/>
      <c r="X6569" s="47">
        <v>6565</v>
      </c>
      <c r="Y6569" s="47" t="s">
        <v>2248</v>
      </c>
      <c r="Z6569" s="47" t="s">
        <v>2793</v>
      </c>
      <c r="AA6569" s="48">
        <v>0</v>
      </c>
      <c r="AB6569" s="13"/>
      <c r="AC6569" s="13"/>
      <c r="AD6569" s="13"/>
      <c r="AE6569" s="13"/>
      <c r="AF6569" s="13"/>
    </row>
    <row r="6570" spans="19:32" x14ac:dyDescent="0.35">
      <c r="S6570" s="13"/>
      <c r="T6570" s="16"/>
      <c r="U6570" s="16"/>
      <c r="V6570" s="16"/>
      <c r="W6570" s="13"/>
      <c r="X6570" s="47">
        <v>6566</v>
      </c>
      <c r="Y6570" s="47" t="s">
        <v>2248</v>
      </c>
      <c r="Z6570" s="47" t="s">
        <v>2792</v>
      </c>
      <c r="AA6570" s="56">
        <v>0.27416000000000001</v>
      </c>
      <c r="AB6570" s="13"/>
      <c r="AC6570" s="13"/>
      <c r="AD6570" s="13"/>
      <c r="AE6570" s="13"/>
      <c r="AF6570" s="13"/>
    </row>
    <row r="6571" spans="19:32" x14ac:dyDescent="0.35">
      <c r="S6571" s="13"/>
      <c r="T6571" s="16"/>
      <c r="U6571" s="16"/>
      <c r="V6571" s="16"/>
      <c r="W6571" s="13"/>
      <c r="X6571" s="34">
        <v>6567</v>
      </c>
      <c r="Y6571" s="34" t="s">
        <v>2248</v>
      </c>
      <c r="Z6571" s="34" t="s">
        <v>2791</v>
      </c>
      <c r="AA6571" s="35">
        <v>5.0725806451612905E-2</v>
      </c>
      <c r="AB6571" s="13"/>
      <c r="AC6571" s="13"/>
      <c r="AD6571" s="13"/>
      <c r="AE6571" s="13"/>
      <c r="AF6571" s="13"/>
    </row>
    <row r="6572" spans="19:32" x14ac:dyDescent="0.35">
      <c r="S6572" s="13"/>
      <c r="T6572" s="16"/>
      <c r="U6572" s="16"/>
      <c r="V6572" s="16"/>
      <c r="W6572" s="13"/>
      <c r="X6572" s="47">
        <v>6568</v>
      </c>
      <c r="Y6572" s="47" t="s">
        <v>2248</v>
      </c>
      <c r="Z6572" s="47" t="s">
        <v>2790</v>
      </c>
      <c r="AA6572" s="56">
        <v>0</v>
      </c>
      <c r="AB6572" s="13"/>
      <c r="AC6572" s="13"/>
      <c r="AD6572" s="13"/>
      <c r="AE6572" s="13"/>
      <c r="AF6572" s="13"/>
    </row>
    <row r="6573" spans="19:32" x14ac:dyDescent="0.35">
      <c r="S6573" s="13"/>
      <c r="T6573" s="16"/>
      <c r="U6573" s="16"/>
      <c r="V6573" s="16"/>
      <c r="W6573" s="13"/>
      <c r="X6573" s="34">
        <v>6569</v>
      </c>
      <c r="Y6573" s="34" t="s">
        <v>2248</v>
      </c>
      <c r="Z6573" s="34" t="s">
        <v>2790</v>
      </c>
      <c r="AA6573" s="35">
        <v>1.4943548387096776E-2</v>
      </c>
      <c r="AB6573" s="13"/>
      <c r="AC6573" s="13"/>
      <c r="AD6573" s="13"/>
      <c r="AE6573" s="13"/>
      <c r="AF6573" s="13"/>
    </row>
    <row r="6574" spans="19:32" x14ac:dyDescent="0.35">
      <c r="S6574" s="13"/>
      <c r="T6574" s="16"/>
      <c r="U6574" s="16"/>
      <c r="V6574" s="16"/>
      <c r="W6574" s="13"/>
      <c r="X6574" s="47">
        <v>6570</v>
      </c>
      <c r="Y6574" s="47" t="s">
        <v>2248</v>
      </c>
      <c r="Z6574" s="47" t="s">
        <v>2782</v>
      </c>
      <c r="AA6574" s="56">
        <v>143.52000000000001</v>
      </c>
      <c r="AB6574" s="13"/>
      <c r="AC6574" s="13"/>
      <c r="AD6574" s="13"/>
      <c r="AE6574" s="13"/>
      <c r="AF6574" s="13"/>
    </row>
    <row r="6575" spans="19:32" x14ac:dyDescent="0.35">
      <c r="S6575" s="13"/>
      <c r="T6575" s="16"/>
      <c r="U6575" s="16"/>
      <c r="V6575" s="16"/>
      <c r="W6575" s="13"/>
      <c r="X6575" s="47">
        <v>6571</v>
      </c>
      <c r="Y6575" s="47" t="s">
        <v>2248</v>
      </c>
      <c r="Z6575" s="47" t="s">
        <v>2789</v>
      </c>
      <c r="AA6575" s="56">
        <v>250.24</v>
      </c>
      <c r="AB6575" s="13"/>
      <c r="AC6575" s="13"/>
      <c r="AD6575" s="13"/>
      <c r="AE6575" s="13"/>
      <c r="AF6575" s="13"/>
    </row>
    <row r="6576" spans="19:32" x14ac:dyDescent="0.35">
      <c r="S6576" s="13"/>
      <c r="T6576" s="16"/>
      <c r="U6576" s="16"/>
      <c r="V6576" s="16"/>
      <c r="W6576" s="13"/>
      <c r="X6576" s="34">
        <v>6572</v>
      </c>
      <c r="Y6576" s="34" t="s">
        <v>2248</v>
      </c>
      <c r="Z6576" s="34" t="s">
        <v>2788</v>
      </c>
      <c r="AA6576" s="35">
        <v>8.157258064516129E-5</v>
      </c>
      <c r="AB6576" s="13"/>
      <c r="AC6576" s="13"/>
      <c r="AD6576" s="13"/>
      <c r="AE6576" s="13"/>
      <c r="AF6576" s="13"/>
    </row>
    <row r="6577" spans="19:32" x14ac:dyDescent="0.35">
      <c r="S6577" s="13"/>
      <c r="T6577" s="16"/>
      <c r="U6577" s="16"/>
      <c r="V6577" s="16"/>
      <c r="W6577" s="13"/>
      <c r="X6577" s="47">
        <v>6573</v>
      </c>
      <c r="Y6577" s="47" t="s">
        <v>2248</v>
      </c>
      <c r="Z6577" s="47" t="s">
        <v>2787</v>
      </c>
      <c r="AA6577" s="56">
        <v>0</v>
      </c>
      <c r="AB6577" s="13"/>
      <c r="AC6577" s="13"/>
      <c r="AD6577" s="13"/>
      <c r="AE6577" s="13"/>
      <c r="AF6577" s="13"/>
    </row>
    <row r="6578" spans="19:32" x14ac:dyDescent="0.35">
      <c r="S6578" s="13"/>
      <c r="T6578" s="16"/>
      <c r="U6578" s="16"/>
      <c r="V6578" s="16"/>
      <c r="W6578" s="13"/>
      <c r="X6578" s="47">
        <v>6574</v>
      </c>
      <c r="Y6578" s="47" t="s">
        <v>2248</v>
      </c>
      <c r="Z6578" s="47" t="s">
        <v>2786</v>
      </c>
      <c r="AA6578" s="56">
        <v>40.388000000000005</v>
      </c>
      <c r="AB6578" s="13"/>
      <c r="AC6578" s="13"/>
      <c r="AD6578" s="13"/>
      <c r="AE6578" s="13"/>
      <c r="AF6578" s="13"/>
    </row>
    <row r="6579" spans="19:32" x14ac:dyDescent="0.35">
      <c r="S6579" s="13"/>
      <c r="T6579" s="16"/>
      <c r="U6579" s="16"/>
      <c r="V6579" s="16"/>
      <c r="W6579" s="13"/>
      <c r="X6579" s="34">
        <v>6575</v>
      </c>
      <c r="Y6579" s="34" t="s">
        <v>2248</v>
      </c>
      <c r="Z6579" s="34" t="s">
        <v>2785</v>
      </c>
      <c r="AA6579" s="35">
        <v>8.705645161290323E-4</v>
      </c>
      <c r="AB6579" s="13"/>
      <c r="AC6579" s="13"/>
      <c r="AD6579" s="13"/>
      <c r="AE6579" s="13"/>
      <c r="AF6579" s="13"/>
    </row>
    <row r="6580" spans="19:32" x14ac:dyDescent="0.35">
      <c r="S6580" s="13"/>
      <c r="T6580" s="16"/>
      <c r="U6580" s="16"/>
      <c r="V6580" s="16"/>
      <c r="W6580" s="13"/>
      <c r="X6580" s="47">
        <v>6576</v>
      </c>
      <c r="Y6580" s="47" t="s">
        <v>2248</v>
      </c>
      <c r="Z6580" s="47" t="s">
        <v>2784</v>
      </c>
      <c r="AA6580" s="56">
        <v>0</v>
      </c>
      <c r="AB6580" s="13"/>
      <c r="AC6580" s="13"/>
      <c r="AD6580" s="13"/>
      <c r="AE6580" s="13"/>
      <c r="AF6580" s="13"/>
    </row>
    <row r="6581" spans="19:32" x14ac:dyDescent="0.35">
      <c r="S6581" s="13"/>
      <c r="T6581" s="16"/>
      <c r="U6581" s="16"/>
      <c r="V6581" s="16"/>
      <c r="W6581" s="13"/>
      <c r="X6581" s="47">
        <v>6577</v>
      </c>
      <c r="Y6581" s="47" t="s">
        <v>2248</v>
      </c>
      <c r="Z6581" s="47" t="s">
        <v>2783</v>
      </c>
      <c r="AA6581" s="56">
        <v>0.86480000000000001</v>
      </c>
      <c r="AB6581" s="13"/>
      <c r="AC6581" s="13"/>
      <c r="AD6581" s="13"/>
      <c r="AE6581" s="13"/>
      <c r="AF6581" s="13"/>
    </row>
    <row r="6582" spans="19:32" x14ac:dyDescent="0.35">
      <c r="S6582" s="13"/>
      <c r="T6582" s="16"/>
      <c r="U6582" s="16"/>
      <c r="V6582" s="16"/>
      <c r="W6582" s="13"/>
      <c r="X6582" s="34">
        <v>6578</v>
      </c>
      <c r="Y6582" s="34" t="s">
        <v>2248</v>
      </c>
      <c r="Z6582" s="34" t="s">
        <v>2782</v>
      </c>
      <c r="AA6582" s="35">
        <v>6.6834677419354841E-5</v>
      </c>
      <c r="AB6582" s="13"/>
      <c r="AC6582" s="13"/>
      <c r="AD6582" s="13"/>
      <c r="AE6582" s="13"/>
      <c r="AF6582" s="13"/>
    </row>
    <row r="6583" spans="19:32" x14ac:dyDescent="0.35">
      <c r="S6583" s="13"/>
      <c r="T6583" s="16"/>
      <c r="U6583" s="16"/>
      <c r="V6583" s="16"/>
      <c r="W6583" s="13"/>
      <c r="X6583" s="47">
        <v>6579</v>
      </c>
      <c r="Y6583" s="47" t="s">
        <v>2248</v>
      </c>
      <c r="Z6583" s="47" t="s">
        <v>2755</v>
      </c>
      <c r="AA6583" s="56">
        <v>0</v>
      </c>
      <c r="AB6583" s="13"/>
      <c r="AC6583" s="13"/>
      <c r="AD6583" s="13"/>
      <c r="AE6583" s="13"/>
      <c r="AF6583" s="13"/>
    </row>
    <row r="6584" spans="19:32" x14ac:dyDescent="0.35">
      <c r="S6584" s="13"/>
      <c r="T6584" s="16"/>
      <c r="U6584" s="16"/>
      <c r="V6584" s="16"/>
      <c r="W6584" s="13"/>
      <c r="X6584" s="47">
        <v>6580</v>
      </c>
      <c r="Y6584" s="47" t="s">
        <v>2248</v>
      </c>
      <c r="Z6584" s="47" t="s">
        <v>2781</v>
      </c>
      <c r="AA6584" s="56">
        <v>0</v>
      </c>
      <c r="AB6584" s="13"/>
      <c r="AC6584" s="13"/>
      <c r="AD6584" s="13"/>
      <c r="AE6584" s="13"/>
      <c r="AF6584" s="13"/>
    </row>
    <row r="6585" spans="19:32" x14ac:dyDescent="0.35">
      <c r="S6585" s="13"/>
      <c r="T6585" s="16"/>
      <c r="U6585" s="16"/>
      <c r="V6585" s="16"/>
      <c r="W6585" s="13"/>
      <c r="X6585" s="34">
        <v>6581</v>
      </c>
      <c r="Y6585" s="34" t="s">
        <v>2248</v>
      </c>
      <c r="Z6585" s="34" t="s">
        <v>2780</v>
      </c>
      <c r="AA6585" s="35">
        <v>0.77802419354838714</v>
      </c>
      <c r="AB6585" s="13"/>
      <c r="AC6585" s="13"/>
      <c r="AD6585" s="13"/>
      <c r="AE6585" s="13"/>
      <c r="AF6585" s="13"/>
    </row>
    <row r="6586" spans="19:32" x14ac:dyDescent="0.35">
      <c r="S6586" s="13"/>
      <c r="T6586" s="16"/>
      <c r="U6586" s="16"/>
      <c r="V6586" s="16"/>
      <c r="W6586" s="13"/>
      <c r="X6586" s="47">
        <v>6582</v>
      </c>
      <c r="Y6586" s="47" t="s">
        <v>2248</v>
      </c>
      <c r="Z6586" s="47" t="s">
        <v>2748</v>
      </c>
      <c r="AA6586" s="56">
        <v>0</v>
      </c>
      <c r="AB6586" s="13"/>
      <c r="AC6586" s="13"/>
      <c r="AD6586" s="13"/>
      <c r="AE6586" s="13"/>
      <c r="AF6586" s="13"/>
    </row>
    <row r="6587" spans="19:32" x14ac:dyDescent="0.35">
      <c r="S6587" s="13"/>
      <c r="T6587" s="16"/>
      <c r="U6587" s="16"/>
      <c r="V6587" s="16"/>
      <c r="W6587" s="13"/>
      <c r="X6587" s="34">
        <v>6583</v>
      </c>
      <c r="Y6587" s="34" t="s">
        <v>2248</v>
      </c>
      <c r="Z6587" s="34" t="s">
        <v>2779</v>
      </c>
      <c r="AA6587" s="35">
        <v>1.6965725806451614E-3</v>
      </c>
      <c r="AB6587" s="13"/>
      <c r="AC6587" s="13"/>
      <c r="AD6587" s="13"/>
      <c r="AE6587" s="13"/>
      <c r="AF6587" s="13"/>
    </row>
    <row r="6588" spans="19:32" x14ac:dyDescent="0.35">
      <c r="S6588" s="13"/>
      <c r="T6588" s="16"/>
      <c r="U6588" s="16"/>
      <c r="V6588" s="16"/>
      <c r="W6588" s="13"/>
      <c r="X6588" s="47">
        <v>6584</v>
      </c>
      <c r="Y6588" s="47" t="s">
        <v>2248</v>
      </c>
      <c r="Z6588" s="47" t="s">
        <v>2778</v>
      </c>
      <c r="AA6588" s="56">
        <v>0</v>
      </c>
      <c r="AB6588" s="13"/>
      <c r="AC6588" s="13"/>
      <c r="AD6588" s="13"/>
      <c r="AE6588" s="13"/>
      <c r="AF6588" s="13"/>
    </row>
    <row r="6589" spans="19:32" x14ac:dyDescent="0.35">
      <c r="S6589" s="13"/>
      <c r="T6589" s="16"/>
      <c r="U6589" s="16"/>
      <c r="V6589" s="16"/>
      <c r="W6589" s="13"/>
      <c r="X6589" s="47">
        <v>6585</v>
      </c>
      <c r="Y6589" s="47" t="s">
        <v>2248</v>
      </c>
      <c r="Z6589" s="47" t="s">
        <v>2777</v>
      </c>
      <c r="AA6589" s="56">
        <v>3.4868000000000001</v>
      </c>
      <c r="AB6589" s="13"/>
      <c r="AC6589" s="13"/>
      <c r="AD6589" s="13"/>
      <c r="AE6589" s="13"/>
      <c r="AF6589" s="13"/>
    </row>
    <row r="6590" spans="19:32" x14ac:dyDescent="0.35">
      <c r="S6590" s="13"/>
      <c r="T6590" s="16"/>
      <c r="U6590" s="16"/>
      <c r="V6590" s="16"/>
      <c r="W6590" s="13"/>
      <c r="X6590" s="34">
        <v>6586</v>
      </c>
      <c r="Y6590" s="34" t="s">
        <v>2248</v>
      </c>
      <c r="Z6590" s="34" t="s">
        <v>2776</v>
      </c>
      <c r="AA6590" s="35">
        <v>5.0383064516129034E-2</v>
      </c>
      <c r="AB6590" s="13"/>
      <c r="AC6590" s="13"/>
      <c r="AD6590" s="13"/>
      <c r="AE6590" s="13"/>
      <c r="AF6590" s="13"/>
    </row>
    <row r="6591" spans="19:32" x14ac:dyDescent="0.35">
      <c r="S6591" s="13"/>
      <c r="T6591" s="16"/>
      <c r="U6591" s="16"/>
      <c r="V6591" s="16"/>
      <c r="W6591" s="13"/>
      <c r="X6591" s="47">
        <v>6587</v>
      </c>
      <c r="Y6591" s="47" t="s">
        <v>2248</v>
      </c>
      <c r="Z6591" s="47" t="s">
        <v>2741</v>
      </c>
      <c r="AA6591" s="56">
        <v>0.84087999999999996</v>
      </c>
      <c r="AB6591" s="13"/>
      <c r="AC6591" s="13"/>
      <c r="AD6591" s="13"/>
      <c r="AE6591" s="13"/>
      <c r="AF6591" s="13"/>
    </row>
    <row r="6592" spans="19:32" x14ac:dyDescent="0.35">
      <c r="S6592" s="13"/>
      <c r="T6592" s="16"/>
      <c r="U6592" s="16"/>
      <c r="V6592" s="16"/>
      <c r="W6592" s="13"/>
      <c r="X6592" s="47">
        <v>6588</v>
      </c>
      <c r="Y6592" s="47" t="s">
        <v>2248</v>
      </c>
      <c r="Z6592" s="47" t="s">
        <v>2775</v>
      </c>
      <c r="AA6592" s="56">
        <v>7.0471999999999992</v>
      </c>
      <c r="AB6592" s="13"/>
      <c r="AC6592" s="13"/>
      <c r="AD6592" s="13"/>
      <c r="AE6592" s="13"/>
      <c r="AF6592" s="13"/>
    </row>
    <row r="6593" spans="19:32" x14ac:dyDescent="0.35">
      <c r="S6593" s="13"/>
      <c r="T6593" s="16"/>
      <c r="U6593" s="16"/>
      <c r="V6593" s="16"/>
      <c r="W6593" s="13"/>
      <c r="X6593" s="34">
        <v>6589</v>
      </c>
      <c r="Y6593" s="34" t="s">
        <v>2248</v>
      </c>
      <c r="Z6593" s="34" t="s">
        <v>2774</v>
      </c>
      <c r="AA6593" s="35">
        <v>6.5120967741935489E-3</v>
      </c>
      <c r="AB6593" s="13"/>
      <c r="AC6593" s="13"/>
      <c r="AD6593" s="13"/>
      <c r="AE6593" s="13"/>
      <c r="AF6593" s="13"/>
    </row>
    <row r="6594" spans="19:32" x14ac:dyDescent="0.35">
      <c r="S6594" s="13"/>
      <c r="T6594" s="16"/>
      <c r="U6594" s="16"/>
      <c r="V6594" s="16"/>
      <c r="W6594" s="13"/>
      <c r="X6594" s="47">
        <v>6590</v>
      </c>
      <c r="Y6594" s="47" t="s">
        <v>2248</v>
      </c>
      <c r="Z6594" s="47" t="s">
        <v>2773</v>
      </c>
      <c r="AA6594" s="56">
        <v>0</v>
      </c>
      <c r="AB6594" s="13"/>
      <c r="AC6594" s="13"/>
      <c r="AD6594" s="13"/>
      <c r="AE6594" s="13"/>
      <c r="AF6594" s="13"/>
    </row>
    <row r="6595" spans="19:32" x14ac:dyDescent="0.35">
      <c r="S6595" s="13"/>
      <c r="T6595" s="16"/>
      <c r="U6595" s="16"/>
      <c r="V6595" s="16"/>
      <c r="W6595" s="13"/>
      <c r="X6595" s="47">
        <v>6591</v>
      </c>
      <c r="Y6595" s="47" t="s">
        <v>2248</v>
      </c>
      <c r="Z6595" s="47" t="s">
        <v>2731</v>
      </c>
      <c r="AA6595" s="56">
        <v>0</v>
      </c>
      <c r="AB6595" s="13"/>
      <c r="AC6595" s="13"/>
      <c r="AD6595" s="13"/>
      <c r="AE6595" s="13"/>
      <c r="AF6595" s="13"/>
    </row>
    <row r="6596" spans="19:32" x14ac:dyDescent="0.35">
      <c r="S6596" s="13"/>
      <c r="T6596" s="16"/>
      <c r="U6596" s="16"/>
      <c r="V6596" s="16"/>
      <c r="W6596" s="13"/>
      <c r="X6596" s="34">
        <v>6592</v>
      </c>
      <c r="Y6596" s="34" t="s">
        <v>2248</v>
      </c>
      <c r="Z6596" s="34" t="s">
        <v>2772</v>
      </c>
      <c r="AA6596" s="35">
        <v>5.0725806451612909E-3</v>
      </c>
      <c r="AB6596" s="13"/>
      <c r="AC6596" s="13"/>
      <c r="AD6596" s="13"/>
      <c r="AE6596" s="13"/>
      <c r="AF6596" s="13"/>
    </row>
    <row r="6597" spans="19:32" x14ac:dyDescent="0.35">
      <c r="S6597" s="13"/>
      <c r="T6597" s="16"/>
      <c r="U6597" s="16"/>
      <c r="V6597" s="16"/>
      <c r="W6597" s="13"/>
      <c r="X6597" s="47">
        <v>6593</v>
      </c>
      <c r="Y6597" s="47" t="s">
        <v>2248</v>
      </c>
      <c r="Z6597" s="47" t="s">
        <v>2771</v>
      </c>
      <c r="AA6597" s="56">
        <v>0</v>
      </c>
      <c r="AB6597" s="13"/>
      <c r="AC6597" s="13"/>
      <c r="AD6597" s="13"/>
      <c r="AE6597" s="13"/>
      <c r="AF6597" s="13"/>
    </row>
    <row r="6598" spans="19:32" x14ac:dyDescent="0.35">
      <c r="S6598" s="13"/>
      <c r="T6598" s="16"/>
      <c r="U6598" s="16"/>
      <c r="V6598" s="16"/>
      <c r="W6598" s="13"/>
      <c r="X6598" s="34">
        <v>6594</v>
      </c>
      <c r="Y6598" s="34" t="s">
        <v>2248</v>
      </c>
      <c r="Z6598" s="34" t="s">
        <v>2770</v>
      </c>
      <c r="AA6598" s="35">
        <v>2.6939516129032261E-2</v>
      </c>
      <c r="AB6598" s="13"/>
      <c r="AC6598" s="13"/>
      <c r="AD6598" s="13"/>
      <c r="AE6598" s="13"/>
      <c r="AF6598" s="13"/>
    </row>
    <row r="6599" spans="19:32" x14ac:dyDescent="0.35">
      <c r="S6599" s="13"/>
      <c r="T6599" s="16"/>
      <c r="U6599" s="16"/>
      <c r="V6599" s="16"/>
      <c r="W6599" s="13"/>
      <c r="X6599" s="47">
        <v>6595</v>
      </c>
      <c r="Y6599" s="47" t="s">
        <v>2248</v>
      </c>
      <c r="Z6599" s="47" t="s">
        <v>2769</v>
      </c>
      <c r="AA6599" s="56">
        <v>0</v>
      </c>
      <c r="AB6599" s="13"/>
      <c r="AC6599" s="13"/>
      <c r="AD6599" s="13"/>
      <c r="AE6599" s="13"/>
      <c r="AF6599" s="13"/>
    </row>
    <row r="6600" spans="19:32" x14ac:dyDescent="0.35">
      <c r="S6600" s="13"/>
      <c r="T6600" s="16"/>
      <c r="U6600" s="16"/>
      <c r="V6600" s="16"/>
      <c r="W6600" s="13"/>
      <c r="X6600" s="47">
        <v>6596</v>
      </c>
      <c r="Y6600" s="47" t="s">
        <v>2248</v>
      </c>
      <c r="Z6600" s="47" t="s">
        <v>2768</v>
      </c>
      <c r="AA6600" s="56">
        <v>14.904</v>
      </c>
      <c r="AB6600" s="13"/>
      <c r="AC6600" s="13"/>
      <c r="AD6600" s="13"/>
      <c r="AE6600" s="13"/>
      <c r="AF6600" s="13"/>
    </row>
    <row r="6601" spans="19:32" x14ac:dyDescent="0.35">
      <c r="S6601" s="13"/>
      <c r="T6601" s="16"/>
      <c r="U6601" s="16"/>
      <c r="V6601" s="16"/>
      <c r="W6601" s="13"/>
      <c r="X6601" s="34">
        <v>6597</v>
      </c>
      <c r="Y6601" s="34" t="s">
        <v>2248</v>
      </c>
      <c r="Z6601" s="34" t="s">
        <v>2767</v>
      </c>
      <c r="AA6601" s="35">
        <v>2.2312500000000004E-5</v>
      </c>
      <c r="AB6601" s="13"/>
      <c r="AC6601" s="13"/>
      <c r="AD6601" s="13"/>
      <c r="AE6601" s="13"/>
      <c r="AF6601" s="13"/>
    </row>
    <row r="6602" spans="19:32" x14ac:dyDescent="0.35">
      <c r="S6602" s="13"/>
      <c r="T6602" s="16"/>
      <c r="U6602" s="16"/>
      <c r="V6602" s="16"/>
      <c r="W6602" s="13"/>
      <c r="X6602" s="47">
        <v>6598</v>
      </c>
      <c r="Y6602" s="47" t="s">
        <v>2248</v>
      </c>
      <c r="Z6602" s="47" t="s">
        <v>2766</v>
      </c>
      <c r="AA6602" s="56">
        <v>19.135999999999999</v>
      </c>
      <c r="AB6602" s="13"/>
      <c r="AC6602" s="13"/>
      <c r="AD6602" s="13"/>
      <c r="AE6602" s="13"/>
      <c r="AF6602" s="13"/>
    </row>
    <row r="6603" spans="19:32" x14ac:dyDescent="0.35">
      <c r="S6603" s="13"/>
      <c r="T6603" s="16"/>
      <c r="U6603" s="16"/>
      <c r="V6603" s="16"/>
      <c r="W6603" s="13"/>
      <c r="X6603" s="47">
        <v>6599</v>
      </c>
      <c r="Y6603" s="47" t="s">
        <v>2248</v>
      </c>
      <c r="Z6603" s="47" t="s">
        <v>2765</v>
      </c>
      <c r="AA6603" s="56">
        <v>1.2328000000000001</v>
      </c>
      <c r="AB6603" s="13"/>
      <c r="AC6603" s="13"/>
      <c r="AD6603" s="13"/>
      <c r="AE6603" s="13"/>
      <c r="AF6603" s="13"/>
    </row>
    <row r="6604" spans="19:32" x14ac:dyDescent="0.35">
      <c r="S6604" s="13"/>
      <c r="T6604" s="16"/>
      <c r="U6604" s="16"/>
      <c r="V6604" s="16"/>
      <c r="W6604" s="13"/>
      <c r="X6604" s="34">
        <v>6600</v>
      </c>
      <c r="Y6604" s="34" t="s">
        <v>2248</v>
      </c>
      <c r="Z6604" s="34" t="s">
        <v>2764</v>
      </c>
      <c r="AA6604" s="35">
        <v>6.3407258064516137E-2</v>
      </c>
      <c r="AB6604" s="13"/>
      <c r="AC6604" s="13"/>
      <c r="AD6604" s="13"/>
      <c r="AE6604" s="13"/>
      <c r="AF6604" s="13"/>
    </row>
    <row r="6605" spans="19:32" x14ac:dyDescent="0.35">
      <c r="S6605" s="13"/>
      <c r="T6605" s="16"/>
      <c r="U6605" s="16"/>
      <c r="V6605" s="16"/>
      <c r="W6605" s="13"/>
      <c r="X6605" s="47">
        <v>6601</v>
      </c>
      <c r="Y6605" s="47" t="s">
        <v>2248</v>
      </c>
      <c r="Z6605" s="47" t="s">
        <v>2763</v>
      </c>
      <c r="AA6605" s="56">
        <v>0</v>
      </c>
      <c r="AB6605" s="13"/>
      <c r="AC6605" s="13"/>
      <c r="AD6605" s="13"/>
      <c r="AE6605" s="13"/>
      <c r="AF6605" s="13"/>
    </row>
    <row r="6606" spans="19:32" x14ac:dyDescent="0.35">
      <c r="S6606" s="13"/>
      <c r="T6606" s="16"/>
      <c r="U6606" s="16"/>
      <c r="V6606" s="16"/>
      <c r="W6606" s="13"/>
      <c r="X6606" s="47">
        <v>6602</v>
      </c>
      <c r="Y6606" s="47" t="s">
        <v>2248</v>
      </c>
      <c r="Z6606" s="47" t="s">
        <v>2717</v>
      </c>
      <c r="AA6606" s="56">
        <v>0</v>
      </c>
      <c r="AB6606" s="13"/>
      <c r="AC6606" s="13"/>
      <c r="AD6606" s="13"/>
      <c r="AE6606" s="13"/>
      <c r="AF6606" s="13"/>
    </row>
    <row r="6607" spans="19:32" x14ac:dyDescent="0.35">
      <c r="S6607" s="13"/>
      <c r="T6607" s="16"/>
      <c r="U6607" s="16"/>
      <c r="V6607" s="16"/>
      <c r="W6607" s="13"/>
      <c r="X6607" s="34">
        <v>6603</v>
      </c>
      <c r="Y6607" s="34" t="s">
        <v>2248</v>
      </c>
      <c r="Z6607" s="34" t="s">
        <v>2762</v>
      </c>
      <c r="AA6607" s="35">
        <v>2.3477822580645165E-3</v>
      </c>
      <c r="AB6607" s="13"/>
      <c r="AC6607" s="13"/>
      <c r="AD6607" s="13"/>
      <c r="AE6607" s="13"/>
      <c r="AF6607" s="13"/>
    </row>
    <row r="6608" spans="19:32" x14ac:dyDescent="0.35">
      <c r="S6608" s="13"/>
      <c r="T6608" s="16"/>
      <c r="U6608" s="16"/>
      <c r="V6608" s="16"/>
      <c r="W6608" s="13"/>
      <c r="X6608" s="47">
        <v>6604</v>
      </c>
      <c r="Y6608" s="47" t="s">
        <v>2248</v>
      </c>
      <c r="Z6608" s="47" t="s">
        <v>2761</v>
      </c>
      <c r="AA6608" s="56">
        <v>204.24</v>
      </c>
      <c r="AB6608" s="13"/>
      <c r="AC6608" s="13"/>
      <c r="AD6608" s="13"/>
      <c r="AE6608" s="13"/>
      <c r="AF6608" s="13"/>
    </row>
    <row r="6609" spans="19:32" x14ac:dyDescent="0.35">
      <c r="S6609" s="13"/>
      <c r="T6609" s="16"/>
      <c r="U6609" s="16"/>
      <c r="V6609" s="16"/>
      <c r="W6609" s="13"/>
      <c r="X6609" s="47">
        <v>6605</v>
      </c>
      <c r="Y6609" s="47" t="s">
        <v>2248</v>
      </c>
      <c r="Z6609" s="47" t="s">
        <v>2760</v>
      </c>
      <c r="AA6609" s="56">
        <v>0.37352000000000002</v>
      </c>
      <c r="AB6609" s="13"/>
      <c r="AC6609" s="13"/>
      <c r="AD6609" s="13"/>
      <c r="AE6609" s="13"/>
      <c r="AF6609" s="13"/>
    </row>
    <row r="6610" spans="19:32" x14ac:dyDescent="0.35">
      <c r="S6610" s="13"/>
      <c r="T6610" s="16"/>
      <c r="U6610" s="16"/>
      <c r="V6610" s="16"/>
      <c r="W6610" s="13"/>
      <c r="X6610" s="34">
        <v>6606</v>
      </c>
      <c r="Y6610" s="34" t="s">
        <v>2248</v>
      </c>
      <c r="Z6610" s="34" t="s">
        <v>2759</v>
      </c>
      <c r="AA6610" s="35">
        <v>4.0443548387096772E-5</v>
      </c>
      <c r="AB6610" s="13"/>
      <c r="AC6610" s="13"/>
      <c r="AD6610" s="13"/>
      <c r="AE6610" s="13"/>
      <c r="AF6610" s="13"/>
    </row>
    <row r="6611" spans="19:32" x14ac:dyDescent="0.35">
      <c r="S6611" s="13"/>
      <c r="T6611" s="16"/>
      <c r="U6611" s="16"/>
      <c r="V6611" s="16"/>
      <c r="W6611" s="13"/>
      <c r="X6611" s="47">
        <v>6607</v>
      </c>
      <c r="Y6611" s="47" t="s">
        <v>2248</v>
      </c>
      <c r="Z6611" s="47" t="s">
        <v>2709</v>
      </c>
      <c r="AA6611" s="56">
        <v>0.161</v>
      </c>
      <c r="AB6611" s="13"/>
      <c r="AC6611" s="13"/>
      <c r="AD6611" s="13"/>
      <c r="AE6611" s="13"/>
      <c r="AF6611" s="13"/>
    </row>
    <row r="6612" spans="19:32" x14ac:dyDescent="0.35">
      <c r="S6612" s="13"/>
      <c r="T6612" s="16"/>
      <c r="U6612" s="16"/>
      <c r="V6612" s="16"/>
      <c r="W6612" s="13"/>
      <c r="X6612" s="34">
        <v>6608</v>
      </c>
      <c r="Y6612" s="34" t="s">
        <v>2248</v>
      </c>
      <c r="Z6612" s="34" t="s">
        <v>2758</v>
      </c>
      <c r="AA6612" s="35">
        <v>2.5637096774193554E-6</v>
      </c>
      <c r="AB6612" s="13"/>
      <c r="AC6612" s="13"/>
      <c r="AD6612" s="13"/>
      <c r="AE6612" s="13"/>
      <c r="AF6612" s="13"/>
    </row>
    <row r="6613" spans="19:32" x14ac:dyDescent="0.35">
      <c r="S6613" s="13"/>
      <c r="T6613" s="16"/>
      <c r="U6613" s="16"/>
      <c r="V6613" s="16"/>
      <c r="W6613" s="13"/>
      <c r="X6613" s="47">
        <v>6609</v>
      </c>
      <c r="Y6613" s="47" t="s">
        <v>2248</v>
      </c>
      <c r="Z6613" s="47" t="s">
        <v>2703</v>
      </c>
      <c r="AA6613" s="56">
        <v>0.55199999999999994</v>
      </c>
      <c r="AB6613" s="13"/>
      <c r="AC6613" s="13"/>
      <c r="AD6613" s="13"/>
      <c r="AE6613" s="13"/>
      <c r="AF6613" s="13"/>
    </row>
    <row r="6614" spans="19:32" x14ac:dyDescent="0.35">
      <c r="S6614" s="13"/>
      <c r="T6614" s="16"/>
      <c r="U6614" s="16"/>
      <c r="V6614" s="16"/>
      <c r="W6614" s="13"/>
      <c r="X6614" s="47">
        <v>6610</v>
      </c>
      <c r="Y6614" s="47" t="s">
        <v>2248</v>
      </c>
      <c r="Z6614" s="47" t="s">
        <v>2698</v>
      </c>
      <c r="AA6614" s="56">
        <v>0</v>
      </c>
      <c r="AB6614" s="13"/>
      <c r="AC6614" s="13"/>
      <c r="AD6614" s="13"/>
      <c r="AE6614" s="13"/>
      <c r="AF6614" s="13"/>
    </row>
    <row r="6615" spans="19:32" x14ac:dyDescent="0.35">
      <c r="S6615" s="13"/>
      <c r="T6615" s="16"/>
      <c r="U6615" s="16"/>
      <c r="V6615" s="16"/>
      <c r="W6615" s="13"/>
      <c r="X6615" s="34">
        <v>6611</v>
      </c>
      <c r="Y6615" s="34" t="s">
        <v>2248</v>
      </c>
      <c r="Z6615" s="34" t="s">
        <v>2757</v>
      </c>
      <c r="AA6615" s="35">
        <v>1.4943548387096777E-4</v>
      </c>
      <c r="AB6615" s="13"/>
      <c r="AC6615" s="13"/>
      <c r="AD6615" s="13"/>
      <c r="AE6615" s="13"/>
      <c r="AF6615" s="13"/>
    </row>
    <row r="6616" spans="19:32" x14ac:dyDescent="0.35">
      <c r="S6616" s="13"/>
      <c r="T6616" s="16"/>
      <c r="U6616" s="16"/>
      <c r="V6616" s="16"/>
      <c r="W6616" s="13"/>
      <c r="X6616" s="47">
        <v>6612</v>
      </c>
      <c r="Y6616" s="47" t="s">
        <v>2248</v>
      </c>
      <c r="Z6616" s="47" t="s">
        <v>2756</v>
      </c>
      <c r="AA6616" s="56">
        <v>1.7663999999999999E-2</v>
      </c>
      <c r="AB6616" s="13"/>
      <c r="AC6616" s="13"/>
      <c r="AD6616" s="13"/>
      <c r="AE6616" s="13"/>
      <c r="AF6616" s="13"/>
    </row>
    <row r="6617" spans="19:32" x14ac:dyDescent="0.35">
      <c r="S6617" s="13"/>
      <c r="T6617" s="16"/>
      <c r="U6617" s="16"/>
      <c r="V6617" s="16"/>
      <c r="W6617" s="13"/>
      <c r="X6617" s="47">
        <v>6613</v>
      </c>
      <c r="Y6617" s="47" t="s">
        <v>2248</v>
      </c>
      <c r="Z6617" s="47" t="s">
        <v>2684</v>
      </c>
      <c r="AA6617" s="56">
        <v>0</v>
      </c>
      <c r="AB6617" s="13"/>
      <c r="AC6617" s="13"/>
      <c r="AD6617" s="13"/>
      <c r="AE6617" s="13"/>
      <c r="AF6617" s="13"/>
    </row>
    <row r="6618" spans="19:32" x14ac:dyDescent="0.35">
      <c r="S6618" s="13"/>
      <c r="T6618" s="16"/>
      <c r="U6618" s="16"/>
      <c r="V6618" s="16"/>
      <c r="W6618" s="13"/>
      <c r="X6618" s="34">
        <v>6614</v>
      </c>
      <c r="Y6618" s="34" t="s">
        <v>2248</v>
      </c>
      <c r="Z6618" s="34" t="s">
        <v>2755</v>
      </c>
      <c r="AA6618" s="35">
        <v>4.9354838709677424E-3</v>
      </c>
      <c r="AB6618" s="13"/>
      <c r="AC6618" s="13"/>
      <c r="AD6618" s="13"/>
      <c r="AE6618" s="13"/>
      <c r="AF6618" s="13"/>
    </row>
    <row r="6619" spans="19:32" x14ac:dyDescent="0.35">
      <c r="S6619" s="13"/>
      <c r="T6619" s="16"/>
      <c r="U6619" s="16"/>
      <c r="V6619" s="16"/>
      <c r="W6619" s="13"/>
      <c r="X6619" s="47">
        <v>6615</v>
      </c>
      <c r="Y6619" s="47" t="s">
        <v>2248</v>
      </c>
      <c r="Z6619" s="47" t="s">
        <v>2754</v>
      </c>
      <c r="AA6619" s="56">
        <v>39.56</v>
      </c>
      <c r="AB6619" s="13"/>
      <c r="AC6619" s="13"/>
      <c r="AD6619" s="13"/>
      <c r="AE6619" s="13"/>
      <c r="AF6619" s="13"/>
    </row>
    <row r="6620" spans="19:32" x14ac:dyDescent="0.35">
      <c r="S6620" s="13"/>
      <c r="T6620" s="16"/>
      <c r="U6620" s="16"/>
      <c r="V6620" s="16"/>
      <c r="W6620" s="13"/>
      <c r="X6620" s="47">
        <v>6616</v>
      </c>
      <c r="Y6620" s="47" t="s">
        <v>2248</v>
      </c>
      <c r="Z6620" s="47" t="s">
        <v>2653</v>
      </c>
      <c r="AA6620" s="56">
        <v>264.03999999999996</v>
      </c>
      <c r="AB6620" s="13"/>
      <c r="AC6620" s="13"/>
      <c r="AD6620" s="13"/>
      <c r="AE6620" s="13"/>
      <c r="AF6620" s="13"/>
    </row>
    <row r="6621" spans="19:32" x14ac:dyDescent="0.35">
      <c r="S6621" s="13"/>
      <c r="T6621" s="16"/>
      <c r="U6621" s="16"/>
      <c r="V6621" s="16"/>
      <c r="W6621" s="13"/>
      <c r="X6621" s="34">
        <v>6617</v>
      </c>
      <c r="Y6621" s="34" t="s">
        <v>2248</v>
      </c>
      <c r="Z6621" s="34" t="s">
        <v>2753</v>
      </c>
      <c r="AA6621" s="35">
        <v>1.4737903225806454E-3</v>
      </c>
      <c r="AB6621" s="13"/>
      <c r="AC6621" s="13"/>
      <c r="AD6621" s="13"/>
      <c r="AE6621" s="13"/>
      <c r="AF6621" s="13"/>
    </row>
    <row r="6622" spans="19:32" x14ac:dyDescent="0.35">
      <c r="S6622" s="13"/>
      <c r="T6622" s="16"/>
      <c r="U6622" s="16"/>
      <c r="V6622" s="16"/>
      <c r="W6622" s="13"/>
      <c r="X6622" s="47">
        <v>6618</v>
      </c>
      <c r="Y6622" s="47" t="s">
        <v>2248</v>
      </c>
      <c r="Z6622" s="47" t="s">
        <v>2648</v>
      </c>
      <c r="AA6622" s="56">
        <v>0</v>
      </c>
      <c r="AB6622" s="13"/>
      <c r="AC6622" s="13"/>
      <c r="AD6622" s="13"/>
      <c r="AE6622" s="13"/>
      <c r="AF6622" s="13"/>
    </row>
    <row r="6623" spans="19:32" x14ac:dyDescent="0.35">
      <c r="S6623" s="13"/>
      <c r="T6623" s="16"/>
      <c r="U6623" s="16"/>
      <c r="V6623" s="16"/>
      <c r="W6623" s="13"/>
      <c r="X6623" s="34">
        <v>6619</v>
      </c>
      <c r="Y6623" s="34" t="s">
        <v>2248</v>
      </c>
      <c r="Z6623" s="34" t="s">
        <v>2752</v>
      </c>
      <c r="AA6623" s="35">
        <v>8.6370967741935499E-3</v>
      </c>
      <c r="AB6623" s="13"/>
      <c r="AC6623" s="13"/>
      <c r="AD6623" s="13"/>
      <c r="AE6623" s="13"/>
      <c r="AF6623" s="13"/>
    </row>
    <row r="6624" spans="19:32" x14ac:dyDescent="0.35">
      <c r="S6624" s="13"/>
      <c r="T6624" s="16"/>
      <c r="U6624" s="16"/>
      <c r="V6624" s="16"/>
      <c r="W6624" s="13"/>
      <c r="X6624" s="47">
        <v>6620</v>
      </c>
      <c r="Y6624" s="47" t="s">
        <v>2248</v>
      </c>
      <c r="Z6624" s="47" t="s">
        <v>2644</v>
      </c>
      <c r="AA6624" s="56">
        <v>0</v>
      </c>
      <c r="AB6624" s="13"/>
      <c r="AC6624" s="13"/>
      <c r="AD6624" s="13"/>
      <c r="AE6624" s="13"/>
      <c r="AF6624" s="13"/>
    </row>
    <row r="6625" spans="19:32" x14ac:dyDescent="0.35">
      <c r="S6625" s="13"/>
      <c r="T6625" s="16"/>
      <c r="U6625" s="16"/>
      <c r="V6625" s="16"/>
      <c r="W6625" s="13"/>
      <c r="X6625" s="47">
        <v>6621</v>
      </c>
      <c r="Y6625" s="47" t="s">
        <v>2248</v>
      </c>
      <c r="Z6625" s="47" t="s">
        <v>2639</v>
      </c>
      <c r="AA6625" s="56">
        <v>0</v>
      </c>
      <c r="AB6625" s="13"/>
      <c r="AC6625" s="13"/>
      <c r="AD6625" s="13"/>
      <c r="AE6625" s="13"/>
      <c r="AF6625" s="13"/>
    </row>
    <row r="6626" spans="19:32" x14ac:dyDescent="0.35">
      <c r="S6626" s="13"/>
      <c r="T6626" s="16"/>
      <c r="U6626" s="16"/>
      <c r="V6626" s="16"/>
      <c r="W6626" s="13"/>
      <c r="X6626" s="34">
        <v>6622</v>
      </c>
      <c r="Y6626" s="34" t="s">
        <v>2248</v>
      </c>
      <c r="Z6626" s="34" t="s">
        <v>2751</v>
      </c>
      <c r="AA6626" s="35">
        <v>5.3810483870967742E-4</v>
      </c>
      <c r="AB6626" s="13"/>
      <c r="AC6626" s="13"/>
      <c r="AD6626" s="13"/>
      <c r="AE6626" s="13"/>
      <c r="AF6626" s="13"/>
    </row>
    <row r="6627" spans="19:32" x14ac:dyDescent="0.35">
      <c r="S6627" s="13"/>
      <c r="T6627" s="16"/>
      <c r="U6627" s="16"/>
      <c r="V6627" s="16"/>
      <c r="W6627" s="13"/>
      <c r="X6627" s="47">
        <v>6623</v>
      </c>
      <c r="Y6627" s="47" t="s">
        <v>2248</v>
      </c>
      <c r="Z6627" s="47" t="s">
        <v>2750</v>
      </c>
      <c r="AA6627" s="56">
        <v>0.57224000000000008</v>
      </c>
      <c r="AB6627" s="13"/>
      <c r="AC6627" s="13"/>
      <c r="AD6627" s="13"/>
      <c r="AE6627" s="13"/>
      <c r="AF6627" s="13"/>
    </row>
    <row r="6628" spans="19:32" x14ac:dyDescent="0.35">
      <c r="S6628" s="13"/>
      <c r="T6628" s="16"/>
      <c r="U6628" s="16"/>
      <c r="V6628" s="16"/>
      <c r="W6628" s="13"/>
      <c r="X6628" s="47">
        <v>6624</v>
      </c>
      <c r="Y6628" s="47" t="s">
        <v>2248</v>
      </c>
      <c r="Z6628" s="47" t="s">
        <v>2749</v>
      </c>
      <c r="AA6628" s="56">
        <v>14.352</v>
      </c>
      <c r="AB6628" s="13"/>
      <c r="AC6628" s="13"/>
      <c r="AD6628" s="13"/>
      <c r="AE6628" s="13"/>
      <c r="AF6628" s="13"/>
    </row>
    <row r="6629" spans="19:32" x14ac:dyDescent="0.35">
      <c r="S6629" s="13"/>
      <c r="T6629" s="16"/>
      <c r="U6629" s="16"/>
      <c r="V6629" s="16"/>
      <c r="W6629" s="13"/>
      <c r="X6629" s="34">
        <v>6625</v>
      </c>
      <c r="Y6629" s="34" t="s">
        <v>2248</v>
      </c>
      <c r="Z6629" s="34" t="s">
        <v>2748</v>
      </c>
      <c r="AA6629" s="35">
        <v>1.3881048387096775E-3</v>
      </c>
      <c r="AB6629" s="13"/>
      <c r="AC6629" s="13"/>
      <c r="AD6629" s="13"/>
      <c r="AE6629" s="13"/>
      <c r="AF6629" s="13"/>
    </row>
    <row r="6630" spans="19:32" x14ac:dyDescent="0.35">
      <c r="S6630" s="13"/>
      <c r="T6630" s="16"/>
      <c r="U6630" s="16"/>
      <c r="V6630" s="16"/>
      <c r="W6630" s="13"/>
      <c r="X6630" s="47">
        <v>6626</v>
      </c>
      <c r="Y6630" s="47" t="s">
        <v>2248</v>
      </c>
      <c r="Z6630" s="47" t="s">
        <v>2747</v>
      </c>
      <c r="AA6630" s="56">
        <v>15.64</v>
      </c>
      <c r="AB6630" s="13"/>
      <c r="AC6630" s="13"/>
      <c r="AD6630" s="13"/>
      <c r="AE6630" s="13"/>
      <c r="AF6630" s="13"/>
    </row>
    <row r="6631" spans="19:32" x14ac:dyDescent="0.35">
      <c r="S6631" s="13"/>
      <c r="T6631" s="16"/>
      <c r="U6631" s="16"/>
      <c r="V6631" s="16"/>
      <c r="W6631" s="13"/>
      <c r="X6631" s="47">
        <v>6627</v>
      </c>
      <c r="Y6631" s="47" t="s">
        <v>2248</v>
      </c>
      <c r="Z6631" s="47" t="s">
        <v>2746</v>
      </c>
      <c r="AA6631" s="56">
        <v>0.54188000000000003</v>
      </c>
      <c r="AB6631" s="13"/>
      <c r="AC6631" s="13"/>
      <c r="AD6631" s="13"/>
      <c r="AE6631" s="13"/>
      <c r="AF6631" s="13"/>
    </row>
    <row r="6632" spans="19:32" x14ac:dyDescent="0.35">
      <c r="S6632" s="13"/>
      <c r="T6632" s="16"/>
      <c r="U6632" s="16"/>
      <c r="V6632" s="16"/>
      <c r="W6632" s="13"/>
      <c r="X6632" s="34">
        <v>6628</v>
      </c>
      <c r="Y6632" s="34" t="s">
        <v>2248</v>
      </c>
      <c r="Z6632" s="34" t="s">
        <v>2745</v>
      </c>
      <c r="AA6632" s="35">
        <v>9.9052419354838723E-5</v>
      </c>
      <c r="AB6632" s="13"/>
      <c r="AC6632" s="13"/>
      <c r="AD6632" s="13"/>
      <c r="AE6632" s="13"/>
      <c r="AF6632" s="13"/>
    </row>
    <row r="6633" spans="19:32" x14ac:dyDescent="0.35">
      <c r="S6633" s="13"/>
      <c r="T6633" s="16"/>
      <c r="U6633" s="16"/>
      <c r="V6633" s="16"/>
      <c r="W6633" s="13"/>
      <c r="X6633" s="47">
        <v>6629</v>
      </c>
      <c r="Y6633" s="47" t="s">
        <v>2248</v>
      </c>
      <c r="Z6633" s="47" t="s">
        <v>2633</v>
      </c>
      <c r="AA6633" s="56">
        <v>2.1252E-2</v>
      </c>
      <c r="AB6633" s="13"/>
      <c r="AC6633" s="13"/>
      <c r="AD6633" s="13"/>
      <c r="AE6633" s="13"/>
      <c r="AF6633" s="13"/>
    </row>
    <row r="6634" spans="19:32" x14ac:dyDescent="0.35">
      <c r="S6634" s="13"/>
      <c r="T6634" s="16"/>
      <c r="U6634" s="16"/>
      <c r="V6634" s="16"/>
      <c r="W6634" s="13"/>
      <c r="X6634" s="47">
        <v>6630</v>
      </c>
      <c r="Y6634" s="47" t="s">
        <v>2248</v>
      </c>
      <c r="Z6634" s="47" t="s">
        <v>2630</v>
      </c>
      <c r="AA6634" s="56">
        <v>3.9744000000000002</v>
      </c>
      <c r="AB6634" s="13"/>
      <c r="AC6634" s="13"/>
      <c r="AD6634" s="13"/>
      <c r="AE6634" s="13"/>
      <c r="AF6634" s="13"/>
    </row>
    <row r="6635" spans="19:32" x14ac:dyDescent="0.35">
      <c r="S6635" s="13"/>
      <c r="T6635" s="16"/>
      <c r="U6635" s="16"/>
      <c r="V6635" s="16"/>
      <c r="W6635" s="13"/>
      <c r="X6635" s="34">
        <v>6631</v>
      </c>
      <c r="Y6635" s="34" t="s">
        <v>2248</v>
      </c>
      <c r="Z6635" s="34" t="s">
        <v>2744</v>
      </c>
      <c r="AA6635" s="35">
        <v>1.8131048387096775E-2</v>
      </c>
      <c r="AB6635" s="13"/>
      <c r="AC6635" s="13"/>
      <c r="AD6635" s="13"/>
      <c r="AE6635" s="13"/>
      <c r="AF6635" s="13"/>
    </row>
    <row r="6636" spans="19:32" x14ac:dyDescent="0.35">
      <c r="S6636" s="13"/>
      <c r="T6636" s="16"/>
      <c r="U6636" s="16"/>
      <c r="V6636" s="16"/>
      <c r="W6636" s="13"/>
      <c r="X6636" s="47">
        <v>6632</v>
      </c>
      <c r="Y6636" s="47" t="s">
        <v>2248</v>
      </c>
      <c r="Z6636" s="47" t="s">
        <v>2743</v>
      </c>
      <c r="AA6636" s="56">
        <v>46.276000000000003</v>
      </c>
      <c r="AB6636" s="13"/>
      <c r="AC6636" s="13"/>
      <c r="AD6636" s="13"/>
      <c r="AE6636" s="13"/>
      <c r="AF6636" s="13"/>
    </row>
    <row r="6637" spans="19:32" x14ac:dyDescent="0.35">
      <c r="S6637" s="13"/>
      <c r="T6637" s="16"/>
      <c r="U6637" s="16"/>
      <c r="V6637" s="16"/>
      <c r="W6637" s="13"/>
      <c r="X6637" s="34">
        <v>6633</v>
      </c>
      <c r="Y6637" s="34" t="s">
        <v>2248</v>
      </c>
      <c r="Z6637" s="34" t="s">
        <v>2742</v>
      </c>
      <c r="AA6637" s="35">
        <v>2.4437500000000002E-3</v>
      </c>
      <c r="AB6637" s="13"/>
      <c r="AC6637" s="13"/>
      <c r="AD6637" s="13"/>
      <c r="AE6637" s="13"/>
      <c r="AF6637" s="13"/>
    </row>
    <row r="6638" spans="19:32" x14ac:dyDescent="0.35">
      <c r="S6638" s="13"/>
      <c r="T6638" s="16"/>
      <c r="U6638" s="16"/>
      <c r="V6638" s="16"/>
      <c r="W6638" s="13"/>
      <c r="X6638" s="47">
        <v>6634</v>
      </c>
      <c r="Y6638" s="47" t="s">
        <v>2248</v>
      </c>
      <c r="Z6638" s="47" t="s">
        <v>2628</v>
      </c>
      <c r="AA6638" s="56">
        <v>0.52347999999999995</v>
      </c>
      <c r="AB6638" s="13"/>
      <c r="AC6638" s="13"/>
      <c r="AD6638" s="13"/>
      <c r="AE6638" s="13"/>
      <c r="AF6638" s="13"/>
    </row>
    <row r="6639" spans="19:32" x14ac:dyDescent="0.35">
      <c r="S6639" s="13"/>
      <c r="T6639" s="16"/>
      <c r="U6639" s="16"/>
      <c r="V6639" s="16"/>
      <c r="W6639" s="13"/>
      <c r="X6639" s="47">
        <v>6635</v>
      </c>
      <c r="Y6639" s="47" t="s">
        <v>2248</v>
      </c>
      <c r="Z6639" s="47" t="s">
        <v>2625</v>
      </c>
      <c r="AA6639" s="56">
        <v>0.55199999999999994</v>
      </c>
      <c r="AB6639" s="13"/>
      <c r="AC6639" s="13"/>
      <c r="AD6639" s="13"/>
      <c r="AE6639" s="13"/>
      <c r="AF6639" s="13"/>
    </row>
    <row r="6640" spans="19:32" x14ac:dyDescent="0.35">
      <c r="S6640" s="13"/>
      <c r="T6640" s="16"/>
      <c r="U6640" s="16"/>
      <c r="V6640" s="16"/>
      <c r="W6640" s="13"/>
      <c r="X6640" s="34">
        <v>6636</v>
      </c>
      <c r="Y6640" s="34" t="s">
        <v>2248</v>
      </c>
      <c r="Z6640" s="34" t="s">
        <v>2741</v>
      </c>
      <c r="AA6640" s="35">
        <v>0.45927419354838711</v>
      </c>
      <c r="AB6640" s="13"/>
      <c r="AC6640" s="13"/>
      <c r="AD6640" s="13"/>
      <c r="AE6640" s="13"/>
      <c r="AF6640" s="13"/>
    </row>
    <row r="6641" spans="19:32" x14ac:dyDescent="0.35">
      <c r="S6641" s="13"/>
      <c r="T6641" s="16"/>
      <c r="U6641" s="16"/>
      <c r="V6641" s="16"/>
      <c r="W6641" s="13"/>
      <c r="X6641" s="47">
        <v>6637</v>
      </c>
      <c r="Y6641" s="47" t="s">
        <v>2248</v>
      </c>
      <c r="Z6641" s="47" t="s">
        <v>2740</v>
      </c>
      <c r="AA6641" s="56">
        <v>0.42503999999999997</v>
      </c>
      <c r="AB6641" s="13"/>
      <c r="AC6641" s="13"/>
      <c r="AD6641" s="13"/>
      <c r="AE6641" s="13"/>
      <c r="AF6641" s="13"/>
    </row>
    <row r="6642" spans="19:32" x14ac:dyDescent="0.35">
      <c r="S6642" s="13"/>
      <c r="T6642" s="16"/>
      <c r="U6642" s="16"/>
      <c r="V6642" s="16"/>
      <c r="W6642" s="13"/>
      <c r="X6642" s="47">
        <v>6638</v>
      </c>
      <c r="Y6642" s="47" t="s">
        <v>2248</v>
      </c>
      <c r="Z6642" s="47" t="s">
        <v>2622</v>
      </c>
      <c r="AA6642" s="56">
        <v>6.0352000000000003E-2</v>
      </c>
      <c r="AB6642" s="13"/>
      <c r="AC6642" s="13"/>
      <c r="AD6642" s="13"/>
      <c r="AE6642" s="13"/>
      <c r="AF6642" s="13"/>
    </row>
    <row r="6643" spans="19:32" x14ac:dyDescent="0.35">
      <c r="S6643" s="13"/>
      <c r="T6643" s="16"/>
      <c r="U6643" s="16"/>
      <c r="V6643" s="16"/>
      <c r="W6643" s="13"/>
      <c r="X6643" s="34">
        <v>6639</v>
      </c>
      <c r="Y6643" s="34" t="s">
        <v>2248</v>
      </c>
      <c r="Z6643" s="34" t="s">
        <v>2739</v>
      </c>
      <c r="AA6643" s="35">
        <v>2.1592741935483873E-4</v>
      </c>
      <c r="AB6643" s="13"/>
      <c r="AC6643" s="13"/>
      <c r="AD6643" s="13"/>
      <c r="AE6643" s="13"/>
      <c r="AF6643" s="13"/>
    </row>
    <row r="6644" spans="19:32" x14ac:dyDescent="0.35">
      <c r="S6644" s="13"/>
      <c r="T6644" s="16"/>
      <c r="U6644" s="16"/>
      <c r="V6644" s="16"/>
      <c r="W6644" s="13"/>
      <c r="X6644" s="47">
        <v>6640</v>
      </c>
      <c r="Y6644" s="47" t="s">
        <v>2248</v>
      </c>
      <c r="Z6644" s="47" t="s">
        <v>2619</v>
      </c>
      <c r="AA6644" s="56">
        <v>0.42963999999999997</v>
      </c>
      <c r="AB6644" s="13"/>
      <c r="AC6644" s="13"/>
      <c r="AD6644" s="13"/>
      <c r="AE6644" s="13"/>
      <c r="AF6644" s="13"/>
    </row>
    <row r="6645" spans="19:32" x14ac:dyDescent="0.35">
      <c r="S6645" s="13"/>
      <c r="T6645" s="16"/>
      <c r="U6645" s="16"/>
      <c r="V6645" s="16"/>
      <c r="W6645" s="13"/>
      <c r="X6645" s="47">
        <v>6641</v>
      </c>
      <c r="Y6645" s="47" t="s">
        <v>2248</v>
      </c>
      <c r="Z6645" s="47" t="s">
        <v>2738</v>
      </c>
      <c r="AA6645" s="56">
        <v>2.5852000000000004</v>
      </c>
      <c r="AB6645" s="13"/>
      <c r="AC6645" s="13"/>
      <c r="AD6645" s="13"/>
      <c r="AE6645" s="13"/>
      <c r="AF6645" s="13"/>
    </row>
    <row r="6646" spans="19:32" x14ac:dyDescent="0.35">
      <c r="S6646" s="13"/>
      <c r="T6646" s="16"/>
      <c r="U6646" s="16"/>
      <c r="V6646" s="16"/>
      <c r="W6646" s="13"/>
      <c r="X6646" s="34">
        <v>6642</v>
      </c>
      <c r="Y6646" s="34" t="s">
        <v>2248</v>
      </c>
      <c r="Z6646" s="34" t="s">
        <v>2737</v>
      </c>
      <c r="AA6646" s="35">
        <v>4.6955645161290326E-4</v>
      </c>
      <c r="AB6646" s="13"/>
      <c r="AC6646" s="13"/>
      <c r="AD6646" s="13"/>
      <c r="AE6646" s="13"/>
      <c r="AF6646" s="13"/>
    </row>
    <row r="6647" spans="19:32" x14ac:dyDescent="0.35">
      <c r="S6647" s="13"/>
      <c r="T6647" s="16"/>
      <c r="U6647" s="16"/>
      <c r="V6647" s="16"/>
      <c r="W6647" s="13"/>
      <c r="X6647" s="47">
        <v>6643</v>
      </c>
      <c r="Y6647" s="47" t="s">
        <v>2248</v>
      </c>
      <c r="Z6647" s="47" t="s">
        <v>2616</v>
      </c>
      <c r="AA6647" s="56">
        <v>0.50875999999999999</v>
      </c>
      <c r="AB6647" s="13"/>
      <c r="AC6647" s="13"/>
      <c r="AD6647" s="13"/>
      <c r="AE6647" s="13"/>
      <c r="AF6647" s="13"/>
    </row>
    <row r="6648" spans="19:32" x14ac:dyDescent="0.35">
      <c r="S6648" s="13"/>
      <c r="T6648" s="16"/>
      <c r="U6648" s="16"/>
      <c r="V6648" s="16"/>
      <c r="W6648" s="13"/>
      <c r="X6648" s="34">
        <v>6644</v>
      </c>
      <c r="Y6648" s="34" t="s">
        <v>2248</v>
      </c>
      <c r="Z6648" s="34" t="s">
        <v>2736</v>
      </c>
      <c r="AA6648" s="35">
        <v>4.2842741935483872E-4</v>
      </c>
      <c r="AB6648" s="13"/>
      <c r="AC6648" s="13"/>
      <c r="AD6648" s="13"/>
      <c r="AE6648" s="13"/>
      <c r="AF6648" s="13"/>
    </row>
    <row r="6649" spans="19:32" x14ac:dyDescent="0.35">
      <c r="S6649" s="13"/>
      <c r="T6649" s="16"/>
      <c r="U6649" s="16"/>
      <c r="V6649" s="16"/>
      <c r="W6649" s="13"/>
      <c r="X6649" s="47">
        <v>6645</v>
      </c>
      <c r="Y6649" s="47" t="s">
        <v>2248</v>
      </c>
      <c r="Z6649" s="47" t="s">
        <v>2614</v>
      </c>
      <c r="AA6649" s="56">
        <v>0.25944</v>
      </c>
      <c r="AB6649" s="13"/>
      <c r="AC6649" s="13"/>
      <c r="AD6649" s="13"/>
      <c r="AE6649" s="13"/>
      <c r="AF6649" s="13"/>
    </row>
    <row r="6650" spans="19:32" x14ac:dyDescent="0.35">
      <c r="S6650" s="13"/>
      <c r="T6650" s="16"/>
      <c r="U6650" s="16"/>
      <c r="V6650" s="16"/>
      <c r="W6650" s="13"/>
      <c r="X6650" s="47">
        <v>6646</v>
      </c>
      <c r="Y6650" s="47" t="s">
        <v>2248</v>
      </c>
      <c r="Z6650" s="47" t="s">
        <v>2735</v>
      </c>
      <c r="AA6650" s="56">
        <v>2.9256000000000002</v>
      </c>
      <c r="AB6650" s="13"/>
      <c r="AC6650" s="13"/>
      <c r="AD6650" s="13"/>
      <c r="AE6650" s="13"/>
      <c r="AF6650" s="13"/>
    </row>
    <row r="6651" spans="19:32" x14ac:dyDescent="0.35">
      <c r="S6651" s="13"/>
      <c r="T6651" s="16"/>
      <c r="U6651" s="16"/>
      <c r="V6651" s="16"/>
      <c r="W6651" s="13"/>
      <c r="X6651" s="34">
        <v>6647</v>
      </c>
      <c r="Y6651" s="34" t="s">
        <v>2248</v>
      </c>
      <c r="Z6651" s="34" t="s">
        <v>2734</v>
      </c>
      <c r="AA6651" s="35">
        <v>3.7016129032258068E-4</v>
      </c>
      <c r="AB6651" s="13"/>
      <c r="AC6651" s="13"/>
      <c r="AD6651" s="13"/>
      <c r="AE6651" s="13"/>
      <c r="AF6651" s="13"/>
    </row>
    <row r="6652" spans="19:32" x14ac:dyDescent="0.35">
      <c r="S6652" s="13"/>
      <c r="T6652" s="16"/>
      <c r="U6652" s="16"/>
      <c r="V6652" s="16"/>
      <c r="W6652" s="13"/>
      <c r="X6652" s="47">
        <v>6648</v>
      </c>
      <c r="Y6652" s="47" t="s">
        <v>2248</v>
      </c>
      <c r="Z6652" s="47" t="s">
        <v>2733</v>
      </c>
      <c r="AA6652" s="56">
        <v>14.26</v>
      </c>
      <c r="AB6652" s="13"/>
      <c r="AC6652" s="13"/>
      <c r="AD6652" s="13"/>
      <c r="AE6652" s="13"/>
      <c r="AF6652" s="13"/>
    </row>
    <row r="6653" spans="19:32" x14ac:dyDescent="0.35">
      <c r="S6653" s="13"/>
      <c r="T6653" s="16"/>
      <c r="U6653" s="16"/>
      <c r="V6653" s="16"/>
      <c r="W6653" s="13"/>
      <c r="X6653" s="47">
        <v>6649</v>
      </c>
      <c r="Y6653" s="47" t="s">
        <v>2248</v>
      </c>
      <c r="Z6653" s="47" t="s">
        <v>2732</v>
      </c>
      <c r="AA6653" s="56">
        <v>3.7904000000000004</v>
      </c>
      <c r="AB6653" s="13"/>
      <c r="AC6653" s="13"/>
      <c r="AD6653" s="13"/>
      <c r="AE6653" s="13"/>
      <c r="AF6653" s="13"/>
    </row>
    <row r="6654" spans="19:32" x14ac:dyDescent="0.35">
      <c r="S6654" s="13"/>
      <c r="T6654" s="16"/>
      <c r="U6654" s="16"/>
      <c r="V6654" s="16"/>
      <c r="W6654" s="13"/>
      <c r="X6654" s="34">
        <v>6650</v>
      </c>
      <c r="Y6654" s="34" t="s">
        <v>2248</v>
      </c>
      <c r="Z6654" s="34" t="s">
        <v>2731</v>
      </c>
      <c r="AA6654" s="35">
        <v>5.3125000000000004E-4</v>
      </c>
      <c r="AB6654" s="13"/>
      <c r="AC6654" s="13"/>
      <c r="AD6654" s="13"/>
      <c r="AE6654" s="13"/>
      <c r="AF6654" s="13"/>
    </row>
    <row r="6655" spans="19:32" x14ac:dyDescent="0.35">
      <c r="S6655" s="13"/>
      <c r="T6655" s="16"/>
      <c r="U6655" s="16"/>
      <c r="V6655" s="16"/>
      <c r="W6655" s="13"/>
      <c r="X6655" s="47">
        <v>6651</v>
      </c>
      <c r="Y6655" s="47" t="s">
        <v>2248</v>
      </c>
      <c r="Z6655" s="47" t="s">
        <v>2730</v>
      </c>
      <c r="AA6655" s="56">
        <v>5.1243999999999996</v>
      </c>
      <c r="AB6655" s="13"/>
      <c r="AC6655" s="13"/>
      <c r="AD6655" s="13"/>
      <c r="AE6655" s="13"/>
      <c r="AF6655" s="13"/>
    </row>
    <row r="6656" spans="19:32" x14ac:dyDescent="0.35">
      <c r="S6656" s="13"/>
      <c r="T6656" s="16"/>
      <c r="U6656" s="16"/>
      <c r="V6656" s="16"/>
      <c r="W6656" s="13"/>
      <c r="X6656" s="47">
        <v>6652</v>
      </c>
      <c r="Y6656" s="47" t="s">
        <v>2248</v>
      </c>
      <c r="Z6656" s="47" t="s">
        <v>2729</v>
      </c>
      <c r="AA6656" s="56">
        <v>3.4868000000000001</v>
      </c>
      <c r="AB6656" s="13"/>
      <c r="AC6656" s="13"/>
      <c r="AD6656" s="13"/>
      <c r="AE6656" s="13"/>
      <c r="AF6656" s="13"/>
    </row>
    <row r="6657" spans="19:32" x14ac:dyDescent="0.35">
      <c r="S6657" s="13"/>
      <c r="T6657" s="16"/>
      <c r="U6657" s="16"/>
      <c r="V6657" s="16"/>
      <c r="W6657" s="13"/>
      <c r="X6657" s="34">
        <v>6653</v>
      </c>
      <c r="Y6657" s="34" t="s">
        <v>2248</v>
      </c>
      <c r="Z6657" s="34" t="s">
        <v>2728</v>
      </c>
      <c r="AA6657" s="35">
        <v>3.5302419354838712E-5</v>
      </c>
      <c r="AB6657" s="13"/>
      <c r="AC6657" s="13"/>
      <c r="AD6657" s="13"/>
      <c r="AE6657" s="13"/>
      <c r="AF6657" s="13"/>
    </row>
    <row r="6658" spans="19:32" x14ac:dyDescent="0.35">
      <c r="S6658" s="13"/>
      <c r="T6658" s="16"/>
      <c r="U6658" s="16"/>
      <c r="V6658" s="16"/>
      <c r="W6658" s="13"/>
      <c r="X6658" s="47">
        <v>6654</v>
      </c>
      <c r="Y6658" s="47" t="s">
        <v>2248</v>
      </c>
      <c r="Z6658" s="47" t="s">
        <v>2727</v>
      </c>
      <c r="AA6658" s="56">
        <v>287.96000000000004</v>
      </c>
      <c r="AB6658" s="13"/>
      <c r="AC6658" s="13"/>
      <c r="AD6658" s="13"/>
      <c r="AE6658" s="13"/>
      <c r="AF6658" s="13"/>
    </row>
    <row r="6659" spans="19:32" x14ac:dyDescent="0.35">
      <c r="S6659" s="13"/>
      <c r="T6659" s="16"/>
      <c r="U6659" s="16"/>
      <c r="V6659" s="16"/>
      <c r="W6659" s="13"/>
      <c r="X6659" s="47">
        <v>6655</v>
      </c>
      <c r="Y6659" s="47" t="s">
        <v>2248</v>
      </c>
      <c r="Z6659" s="47" t="s">
        <v>2726</v>
      </c>
      <c r="AA6659" s="56">
        <v>0.40571999999999997</v>
      </c>
      <c r="AB6659" s="13"/>
      <c r="AC6659" s="13"/>
      <c r="AD6659" s="13"/>
      <c r="AE6659" s="13"/>
      <c r="AF6659" s="13"/>
    </row>
    <row r="6660" spans="19:32" x14ac:dyDescent="0.35">
      <c r="S6660" s="13"/>
      <c r="T6660" s="16"/>
      <c r="U6660" s="16"/>
      <c r="V6660" s="16"/>
      <c r="W6660" s="13"/>
      <c r="X6660" s="34">
        <v>6656</v>
      </c>
      <c r="Y6660" s="34" t="s">
        <v>2248</v>
      </c>
      <c r="Z6660" s="34" t="s">
        <v>2725</v>
      </c>
      <c r="AA6660" s="35">
        <v>2.988709677419355E-3</v>
      </c>
      <c r="AB6660" s="13"/>
      <c r="AC6660" s="13"/>
      <c r="AD6660" s="13"/>
      <c r="AE6660" s="13"/>
      <c r="AF6660" s="13"/>
    </row>
    <row r="6661" spans="19:32" x14ac:dyDescent="0.35">
      <c r="S6661" s="13"/>
      <c r="T6661" s="16"/>
      <c r="U6661" s="16"/>
      <c r="V6661" s="16"/>
      <c r="W6661" s="13"/>
      <c r="X6661" s="47">
        <v>6657</v>
      </c>
      <c r="Y6661" s="47" t="s">
        <v>2248</v>
      </c>
      <c r="Z6661" s="47" t="s">
        <v>2724</v>
      </c>
      <c r="AA6661" s="56">
        <v>2.1528</v>
      </c>
      <c r="AB6661" s="13"/>
      <c r="AC6661" s="13"/>
      <c r="AD6661" s="13"/>
      <c r="AE6661" s="13"/>
      <c r="AF6661" s="13"/>
    </row>
    <row r="6662" spans="19:32" x14ac:dyDescent="0.35">
      <c r="S6662" s="13"/>
      <c r="T6662" s="16"/>
      <c r="U6662" s="16"/>
      <c r="V6662" s="16"/>
      <c r="W6662" s="13"/>
      <c r="X6662" s="34">
        <v>6658</v>
      </c>
      <c r="Y6662" s="34" t="s">
        <v>2248</v>
      </c>
      <c r="Z6662" s="34" t="s">
        <v>2723</v>
      </c>
      <c r="AA6662" s="35">
        <v>4.6270161290322583E-3</v>
      </c>
      <c r="AB6662" s="13"/>
      <c r="AC6662" s="13"/>
      <c r="AD6662" s="13"/>
      <c r="AE6662" s="13"/>
      <c r="AF6662" s="13"/>
    </row>
    <row r="6663" spans="19:32" x14ac:dyDescent="0.35">
      <c r="S6663" s="13"/>
      <c r="T6663" s="16"/>
      <c r="U6663" s="16"/>
      <c r="V6663" s="16"/>
      <c r="W6663" s="13"/>
      <c r="X6663" s="47">
        <v>6659</v>
      </c>
      <c r="Y6663" s="47" t="s">
        <v>2248</v>
      </c>
      <c r="Z6663" s="47" t="s">
        <v>2722</v>
      </c>
      <c r="AA6663" s="56">
        <v>1444.4</v>
      </c>
      <c r="AB6663" s="13"/>
      <c r="AC6663" s="13"/>
      <c r="AD6663" s="13"/>
      <c r="AE6663" s="13"/>
      <c r="AF6663" s="13"/>
    </row>
    <row r="6664" spans="19:32" x14ac:dyDescent="0.35">
      <c r="S6664" s="13"/>
      <c r="T6664" s="16"/>
      <c r="U6664" s="16"/>
      <c r="V6664" s="16"/>
      <c r="W6664" s="13"/>
      <c r="X6664" s="47">
        <v>6660</v>
      </c>
      <c r="Y6664" s="47" t="s">
        <v>2248</v>
      </c>
      <c r="Z6664" s="47" t="s">
        <v>2721</v>
      </c>
      <c r="AA6664" s="56">
        <v>0.90344000000000013</v>
      </c>
      <c r="AB6664" s="13"/>
      <c r="AC6664" s="13"/>
      <c r="AD6664" s="13"/>
      <c r="AE6664" s="13"/>
      <c r="AF6664" s="13"/>
    </row>
    <row r="6665" spans="19:32" x14ac:dyDescent="0.35">
      <c r="S6665" s="13"/>
      <c r="T6665" s="16"/>
      <c r="U6665" s="16"/>
      <c r="V6665" s="16"/>
      <c r="W6665" s="13"/>
      <c r="X6665" s="34">
        <v>6661</v>
      </c>
      <c r="Y6665" s="34" t="s">
        <v>2248</v>
      </c>
      <c r="Z6665" s="34" t="s">
        <v>2720</v>
      </c>
      <c r="AA6665" s="35">
        <v>1.004233870967742E-4</v>
      </c>
      <c r="AB6665" s="13"/>
      <c r="AC6665" s="13"/>
      <c r="AD6665" s="13"/>
      <c r="AE6665" s="13"/>
      <c r="AF6665" s="13"/>
    </row>
    <row r="6666" spans="19:32" x14ac:dyDescent="0.35">
      <c r="S6666" s="13"/>
      <c r="T6666" s="16"/>
      <c r="U6666" s="16"/>
      <c r="V6666" s="16"/>
      <c r="W6666" s="13"/>
      <c r="X6666" s="47">
        <v>6662</v>
      </c>
      <c r="Y6666" s="47" t="s">
        <v>2248</v>
      </c>
      <c r="Z6666" s="47" t="s">
        <v>2719</v>
      </c>
      <c r="AA6666" s="56">
        <v>415.84</v>
      </c>
      <c r="AB6666" s="13"/>
      <c r="AC6666" s="13"/>
      <c r="AD6666" s="13"/>
      <c r="AE6666" s="13"/>
      <c r="AF6666" s="13"/>
    </row>
    <row r="6667" spans="19:32" x14ac:dyDescent="0.35">
      <c r="S6667" s="13"/>
      <c r="T6667" s="16"/>
      <c r="U6667" s="16"/>
      <c r="V6667" s="16"/>
      <c r="W6667" s="13"/>
      <c r="X6667" s="47">
        <v>6663</v>
      </c>
      <c r="Y6667" s="47" t="s">
        <v>2248</v>
      </c>
      <c r="Z6667" s="47" t="s">
        <v>2718</v>
      </c>
      <c r="AA6667" s="56">
        <v>1113.1999999999998</v>
      </c>
      <c r="AB6667" s="13"/>
      <c r="AC6667" s="13"/>
      <c r="AD6667" s="13"/>
      <c r="AE6667" s="13"/>
      <c r="AF6667" s="13"/>
    </row>
    <row r="6668" spans="19:32" x14ac:dyDescent="0.35">
      <c r="S6668" s="13"/>
      <c r="T6668" s="16"/>
      <c r="U6668" s="16"/>
      <c r="V6668" s="16"/>
      <c r="W6668" s="13"/>
      <c r="X6668" s="34">
        <v>6664</v>
      </c>
      <c r="Y6668" s="34" t="s">
        <v>2248</v>
      </c>
      <c r="Z6668" s="34" t="s">
        <v>2717</v>
      </c>
      <c r="AA6668" s="35">
        <v>2.9030241935483873E-2</v>
      </c>
      <c r="AB6668" s="13"/>
      <c r="AC6668" s="13"/>
      <c r="AD6668" s="13"/>
      <c r="AE6668" s="13"/>
      <c r="AF6668" s="13"/>
    </row>
    <row r="6669" spans="19:32" x14ac:dyDescent="0.35">
      <c r="S6669" s="13"/>
      <c r="T6669" s="16"/>
      <c r="U6669" s="16"/>
      <c r="V6669" s="16"/>
      <c r="W6669" s="13"/>
      <c r="X6669" s="47">
        <v>6665</v>
      </c>
      <c r="Y6669" s="47" t="s">
        <v>2248</v>
      </c>
      <c r="Z6669" s="47" t="s">
        <v>2716</v>
      </c>
      <c r="AA6669" s="56">
        <v>8096.0000000000009</v>
      </c>
      <c r="AB6669" s="13"/>
      <c r="AC6669" s="13"/>
      <c r="AD6669" s="13"/>
      <c r="AE6669" s="13"/>
      <c r="AF6669" s="13"/>
    </row>
    <row r="6670" spans="19:32" x14ac:dyDescent="0.35">
      <c r="S6670" s="13"/>
      <c r="T6670" s="16"/>
      <c r="U6670" s="16"/>
      <c r="V6670" s="16"/>
      <c r="W6670" s="13"/>
      <c r="X6670" s="47">
        <v>6666</v>
      </c>
      <c r="Y6670" s="47" t="s">
        <v>2248</v>
      </c>
      <c r="Z6670" s="47" t="s">
        <v>2715</v>
      </c>
      <c r="AA6670" s="56">
        <v>192.28</v>
      </c>
      <c r="AB6670" s="13"/>
      <c r="AC6670" s="13"/>
      <c r="AD6670" s="13"/>
      <c r="AE6670" s="13"/>
      <c r="AF6670" s="13"/>
    </row>
    <row r="6671" spans="19:32" x14ac:dyDescent="0.35">
      <c r="S6671" s="13"/>
      <c r="T6671" s="16"/>
      <c r="U6671" s="16"/>
      <c r="V6671" s="16"/>
      <c r="W6671" s="13"/>
      <c r="X6671" s="34">
        <v>6667</v>
      </c>
      <c r="Y6671" s="34" t="s">
        <v>2248</v>
      </c>
      <c r="Z6671" s="34" t="s">
        <v>2714</v>
      </c>
      <c r="AA6671" s="35">
        <v>3.3177419354838713E-3</v>
      </c>
      <c r="AB6671" s="13"/>
      <c r="AC6671" s="13"/>
      <c r="AD6671" s="13"/>
      <c r="AE6671" s="13"/>
      <c r="AF6671" s="13"/>
    </row>
    <row r="6672" spans="19:32" x14ac:dyDescent="0.35">
      <c r="S6672" s="13"/>
      <c r="T6672" s="16"/>
      <c r="U6672" s="16"/>
      <c r="V6672" s="16"/>
      <c r="W6672" s="13"/>
      <c r="X6672" s="47">
        <v>6668</v>
      </c>
      <c r="Y6672" s="47" t="s">
        <v>2248</v>
      </c>
      <c r="Z6672" s="47" t="s">
        <v>2713</v>
      </c>
      <c r="AA6672" s="56">
        <v>1.7663999999999997</v>
      </c>
      <c r="AB6672" s="13"/>
      <c r="AC6672" s="13"/>
      <c r="AD6672" s="13"/>
      <c r="AE6672" s="13"/>
      <c r="AF6672" s="13"/>
    </row>
    <row r="6673" spans="19:32" x14ac:dyDescent="0.35">
      <c r="S6673" s="13"/>
      <c r="T6673" s="16"/>
      <c r="U6673" s="16"/>
      <c r="V6673" s="16"/>
      <c r="W6673" s="13"/>
      <c r="X6673" s="34">
        <v>6669</v>
      </c>
      <c r="Y6673" s="34" t="s">
        <v>2248</v>
      </c>
      <c r="Z6673" s="34" t="s">
        <v>2712</v>
      </c>
      <c r="AA6673" s="35">
        <v>1.2407258064516129E-4</v>
      </c>
      <c r="AB6673" s="13"/>
      <c r="AC6673" s="13"/>
      <c r="AD6673" s="13"/>
      <c r="AE6673" s="13"/>
      <c r="AF6673" s="13"/>
    </row>
    <row r="6674" spans="19:32" x14ac:dyDescent="0.35">
      <c r="S6674" s="13"/>
      <c r="T6674" s="16"/>
      <c r="U6674" s="16"/>
      <c r="V6674" s="16"/>
      <c r="W6674" s="13"/>
      <c r="X6674" s="47">
        <v>6670</v>
      </c>
      <c r="Y6674" s="47" t="s">
        <v>2248</v>
      </c>
      <c r="Z6674" s="47" t="s">
        <v>2711</v>
      </c>
      <c r="AA6674" s="56">
        <v>73.323999999999998</v>
      </c>
      <c r="AB6674" s="13"/>
      <c r="AC6674" s="13"/>
      <c r="AD6674" s="13"/>
      <c r="AE6674" s="13"/>
      <c r="AF6674" s="13"/>
    </row>
    <row r="6675" spans="19:32" x14ac:dyDescent="0.35">
      <c r="S6675" s="13"/>
      <c r="T6675" s="16"/>
      <c r="U6675" s="16"/>
      <c r="V6675" s="16"/>
      <c r="W6675" s="13"/>
      <c r="X6675" s="47">
        <v>6671</v>
      </c>
      <c r="Y6675" s="47" t="s">
        <v>2248</v>
      </c>
      <c r="Z6675" s="47" t="s">
        <v>2710</v>
      </c>
      <c r="AA6675" s="56">
        <v>9.2000000000000011</v>
      </c>
      <c r="AB6675" s="13"/>
      <c r="AC6675" s="13"/>
      <c r="AD6675" s="13"/>
      <c r="AE6675" s="13"/>
      <c r="AF6675" s="13"/>
    </row>
    <row r="6676" spans="19:32" x14ac:dyDescent="0.35">
      <c r="S6676" s="13"/>
      <c r="T6676" s="16"/>
      <c r="U6676" s="16"/>
      <c r="V6676" s="16"/>
      <c r="W6676" s="13"/>
      <c r="X6676" s="34">
        <v>6672</v>
      </c>
      <c r="Y6676" s="34" t="s">
        <v>2248</v>
      </c>
      <c r="Z6676" s="34" t="s">
        <v>2709</v>
      </c>
      <c r="AA6676" s="35">
        <v>5.2439516129032265E-5</v>
      </c>
      <c r="AB6676" s="13"/>
      <c r="AC6676" s="13"/>
      <c r="AD6676" s="13"/>
      <c r="AE6676" s="13"/>
      <c r="AF6676" s="13"/>
    </row>
    <row r="6677" spans="19:32" x14ac:dyDescent="0.35">
      <c r="S6677" s="13"/>
      <c r="T6677" s="16"/>
      <c r="U6677" s="16"/>
      <c r="V6677" s="16"/>
      <c r="W6677" s="13"/>
      <c r="X6677" s="47">
        <v>6673</v>
      </c>
      <c r="Y6677" s="47" t="s">
        <v>2248</v>
      </c>
      <c r="Z6677" s="47" t="s">
        <v>2708</v>
      </c>
      <c r="AA6677" s="56">
        <v>0.11408</v>
      </c>
      <c r="AB6677" s="13"/>
      <c r="AC6677" s="13"/>
      <c r="AD6677" s="13"/>
      <c r="AE6677" s="13"/>
      <c r="AF6677" s="13"/>
    </row>
    <row r="6678" spans="19:32" x14ac:dyDescent="0.35">
      <c r="S6678" s="13"/>
      <c r="T6678" s="16"/>
      <c r="U6678" s="16"/>
      <c r="V6678" s="16"/>
      <c r="W6678" s="13"/>
      <c r="X6678" s="47">
        <v>6674</v>
      </c>
      <c r="Y6678" s="47" t="s">
        <v>2248</v>
      </c>
      <c r="Z6678" s="47" t="s">
        <v>2707</v>
      </c>
      <c r="AA6678" s="56">
        <v>0</v>
      </c>
      <c r="AB6678" s="13"/>
      <c r="AC6678" s="13"/>
      <c r="AD6678" s="13"/>
      <c r="AE6678" s="13"/>
      <c r="AF6678" s="13"/>
    </row>
    <row r="6679" spans="19:32" x14ac:dyDescent="0.35">
      <c r="S6679" s="13"/>
      <c r="T6679" s="16"/>
      <c r="U6679" s="16"/>
      <c r="V6679" s="16"/>
      <c r="W6679" s="13"/>
      <c r="X6679" s="34">
        <v>6675</v>
      </c>
      <c r="Y6679" s="34" t="s">
        <v>2248</v>
      </c>
      <c r="Z6679" s="34" t="s">
        <v>2706</v>
      </c>
      <c r="AA6679" s="35">
        <v>8.0544354838709692E-5</v>
      </c>
      <c r="AB6679" s="13"/>
      <c r="AC6679" s="13"/>
      <c r="AD6679" s="13"/>
      <c r="AE6679" s="13"/>
      <c r="AF6679" s="13"/>
    </row>
    <row r="6680" spans="19:32" x14ac:dyDescent="0.35">
      <c r="S6680" s="13"/>
      <c r="T6680" s="16"/>
      <c r="U6680" s="16"/>
      <c r="V6680" s="16"/>
      <c r="W6680" s="13"/>
      <c r="X6680" s="47">
        <v>6676</v>
      </c>
      <c r="Y6680" s="47" t="s">
        <v>2248</v>
      </c>
      <c r="Z6680" s="47" t="s">
        <v>2705</v>
      </c>
      <c r="AA6680" s="56">
        <v>6.0259999999999998</v>
      </c>
      <c r="AB6680" s="13"/>
      <c r="AC6680" s="13"/>
      <c r="AD6680" s="13"/>
      <c r="AE6680" s="13"/>
      <c r="AF6680" s="13"/>
    </row>
    <row r="6681" spans="19:32" x14ac:dyDescent="0.35">
      <c r="S6681" s="13"/>
      <c r="T6681" s="16"/>
      <c r="U6681" s="16"/>
      <c r="V6681" s="16"/>
      <c r="W6681" s="13"/>
      <c r="X6681" s="47">
        <v>6677</v>
      </c>
      <c r="Y6681" s="47" t="s">
        <v>2248</v>
      </c>
      <c r="Z6681" s="47" t="s">
        <v>2704</v>
      </c>
      <c r="AA6681" s="56">
        <v>2.8795999999999999</v>
      </c>
      <c r="AB6681" s="13"/>
      <c r="AC6681" s="13"/>
      <c r="AD6681" s="13"/>
      <c r="AE6681" s="13"/>
      <c r="AF6681" s="13"/>
    </row>
    <row r="6682" spans="19:32" x14ac:dyDescent="0.35">
      <c r="S6682" s="13"/>
      <c r="T6682" s="16"/>
      <c r="U6682" s="16"/>
      <c r="V6682" s="16"/>
      <c r="W6682" s="13"/>
      <c r="X6682" s="34">
        <v>6678</v>
      </c>
      <c r="Y6682" s="34" t="s">
        <v>2248</v>
      </c>
      <c r="Z6682" s="34" t="s">
        <v>2703</v>
      </c>
      <c r="AA6682" s="35">
        <v>1.2270161290322582E-2</v>
      </c>
      <c r="AB6682" s="13"/>
      <c r="AC6682" s="13"/>
      <c r="AD6682" s="13"/>
      <c r="AE6682" s="13"/>
      <c r="AF6682" s="13"/>
    </row>
    <row r="6683" spans="19:32" x14ac:dyDescent="0.35">
      <c r="S6683" s="13"/>
      <c r="T6683" s="16"/>
      <c r="U6683" s="16"/>
      <c r="V6683" s="16"/>
      <c r="W6683" s="13"/>
      <c r="X6683" s="47">
        <v>6679</v>
      </c>
      <c r="Y6683" s="47" t="s">
        <v>2248</v>
      </c>
      <c r="Z6683" s="47" t="s">
        <v>2702</v>
      </c>
      <c r="AA6683" s="56">
        <v>78.2</v>
      </c>
      <c r="AB6683" s="13"/>
      <c r="AC6683" s="13"/>
      <c r="AD6683" s="13"/>
      <c r="AE6683" s="13"/>
      <c r="AF6683" s="13"/>
    </row>
    <row r="6684" spans="19:32" x14ac:dyDescent="0.35">
      <c r="S6684" s="13"/>
      <c r="T6684" s="16"/>
      <c r="U6684" s="16"/>
      <c r="V6684" s="16"/>
      <c r="W6684" s="13"/>
      <c r="X6684" s="47">
        <v>6680</v>
      </c>
      <c r="Y6684" s="47" t="s">
        <v>2248</v>
      </c>
      <c r="Z6684" s="47" t="s">
        <v>2701</v>
      </c>
      <c r="AA6684" s="56">
        <v>56.396000000000001</v>
      </c>
      <c r="AB6684" s="13"/>
      <c r="AC6684" s="13"/>
      <c r="AD6684" s="13"/>
      <c r="AE6684" s="13"/>
      <c r="AF6684" s="13"/>
    </row>
    <row r="6685" spans="19:32" x14ac:dyDescent="0.35">
      <c r="S6685" s="13"/>
      <c r="T6685" s="16"/>
      <c r="U6685" s="16"/>
      <c r="V6685" s="16"/>
      <c r="W6685" s="13"/>
      <c r="X6685" s="34">
        <v>6681</v>
      </c>
      <c r="Y6685" s="34" t="s">
        <v>2248</v>
      </c>
      <c r="Z6685" s="34" t="s">
        <v>2700</v>
      </c>
      <c r="AA6685" s="35">
        <v>1.0316532258064517E-3</v>
      </c>
      <c r="AB6685" s="13"/>
      <c r="AC6685" s="13"/>
      <c r="AD6685" s="13"/>
      <c r="AE6685" s="13"/>
      <c r="AF6685" s="13"/>
    </row>
    <row r="6686" spans="19:32" x14ac:dyDescent="0.35">
      <c r="S6686" s="13"/>
      <c r="T6686" s="16"/>
      <c r="U6686" s="16"/>
      <c r="V6686" s="16"/>
      <c r="W6686" s="13"/>
      <c r="X6686" s="47">
        <v>6682</v>
      </c>
      <c r="Y6686" s="47" t="s">
        <v>2248</v>
      </c>
      <c r="Z6686" s="47" t="s">
        <v>2699</v>
      </c>
      <c r="AA6686" s="56">
        <v>0</v>
      </c>
      <c r="AB6686" s="13"/>
      <c r="AC6686" s="13"/>
      <c r="AD6686" s="13"/>
      <c r="AE6686" s="13"/>
      <c r="AF6686" s="13"/>
    </row>
    <row r="6687" spans="19:32" x14ac:dyDescent="0.35">
      <c r="S6687" s="13"/>
      <c r="T6687" s="16"/>
      <c r="U6687" s="16"/>
      <c r="V6687" s="16"/>
      <c r="W6687" s="13"/>
      <c r="X6687" s="34">
        <v>6683</v>
      </c>
      <c r="Y6687" s="34" t="s">
        <v>2248</v>
      </c>
      <c r="Z6687" s="34" t="s">
        <v>2698</v>
      </c>
      <c r="AA6687" s="35">
        <v>1.6177419354838709E-4</v>
      </c>
      <c r="AB6687" s="13"/>
      <c r="AC6687" s="13"/>
      <c r="AD6687" s="13"/>
      <c r="AE6687" s="13"/>
      <c r="AF6687" s="13"/>
    </row>
    <row r="6688" spans="19:32" x14ac:dyDescent="0.35">
      <c r="S6688" s="13"/>
      <c r="T6688" s="16"/>
      <c r="U6688" s="16"/>
      <c r="V6688" s="16"/>
      <c r="W6688" s="13"/>
      <c r="X6688" s="47">
        <v>6684</v>
      </c>
      <c r="Y6688" s="47" t="s">
        <v>2248</v>
      </c>
      <c r="Z6688" s="47" t="s">
        <v>2697</v>
      </c>
      <c r="AA6688" s="56">
        <v>61.088000000000001</v>
      </c>
      <c r="AB6688" s="13"/>
      <c r="AC6688" s="13"/>
      <c r="AD6688" s="13"/>
      <c r="AE6688" s="13"/>
      <c r="AF6688" s="13"/>
    </row>
    <row r="6689" spans="19:32" x14ac:dyDescent="0.35">
      <c r="S6689" s="13"/>
      <c r="T6689" s="16"/>
      <c r="U6689" s="16"/>
      <c r="V6689" s="16"/>
      <c r="W6689" s="13"/>
      <c r="X6689" s="47">
        <v>6685</v>
      </c>
      <c r="Y6689" s="47" t="s">
        <v>2248</v>
      </c>
      <c r="Z6689" s="47" t="s">
        <v>2696</v>
      </c>
      <c r="AA6689" s="56">
        <v>181.23999999999998</v>
      </c>
      <c r="AB6689" s="13"/>
      <c r="AC6689" s="13"/>
      <c r="AD6689" s="13"/>
      <c r="AE6689" s="13"/>
      <c r="AF6689" s="13"/>
    </row>
    <row r="6690" spans="19:32" x14ac:dyDescent="0.35">
      <c r="S6690" s="13"/>
      <c r="T6690" s="16"/>
      <c r="U6690" s="16"/>
      <c r="V6690" s="16"/>
      <c r="W6690" s="13"/>
      <c r="X6690" s="34">
        <v>6686</v>
      </c>
      <c r="Y6690" s="34" t="s">
        <v>2248</v>
      </c>
      <c r="Z6690" s="34" t="s">
        <v>2695</v>
      </c>
      <c r="AA6690" s="35">
        <v>3.4274193548387101E-4</v>
      </c>
      <c r="AB6690" s="13"/>
      <c r="AC6690" s="13"/>
      <c r="AD6690" s="13"/>
      <c r="AE6690" s="13"/>
      <c r="AF6690" s="13"/>
    </row>
    <row r="6691" spans="19:32" x14ac:dyDescent="0.35">
      <c r="S6691" s="13"/>
      <c r="T6691" s="16"/>
      <c r="U6691" s="16"/>
      <c r="V6691" s="16"/>
      <c r="W6691" s="13"/>
      <c r="X6691" s="47">
        <v>6687</v>
      </c>
      <c r="Y6691" s="47" t="s">
        <v>2248</v>
      </c>
      <c r="Z6691" s="47" t="s">
        <v>2694</v>
      </c>
      <c r="AA6691" s="56">
        <v>28.611999999999998</v>
      </c>
      <c r="AB6691" s="13"/>
      <c r="AC6691" s="13"/>
      <c r="AD6691" s="13"/>
      <c r="AE6691" s="13"/>
      <c r="AF6691" s="13"/>
    </row>
    <row r="6692" spans="19:32" x14ac:dyDescent="0.35">
      <c r="S6692" s="13"/>
      <c r="T6692" s="16"/>
      <c r="U6692" s="16"/>
      <c r="V6692" s="16"/>
      <c r="W6692" s="13"/>
      <c r="X6692" s="47">
        <v>6688</v>
      </c>
      <c r="Y6692" s="47" t="s">
        <v>2248</v>
      </c>
      <c r="Z6692" s="47" t="s">
        <v>2693</v>
      </c>
      <c r="AA6692" s="56">
        <v>14.536000000000001</v>
      </c>
      <c r="AB6692" s="13"/>
      <c r="AC6692" s="13"/>
      <c r="AD6692" s="13"/>
      <c r="AE6692" s="13"/>
      <c r="AF6692" s="13"/>
    </row>
    <row r="6693" spans="19:32" x14ac:dyDescent="0.35">
      <c r="S6693" s="13"/>
      <c r="T6693" s="16"/>
      <c r="U6693" s="16"/>
      <c r="V6693" s="16"/>
      <c r="W6693" s="13"/>
      <c r="X6693" s="34">
        <v>6689</v>
      </c>
      <c r="Y6693" s="34" t="s">
        <v>2248</v>
      </c>
      <c r="Z6693" s="34" t="s">
        <v>2692</v>
      </c>
      <c r="AA6693" s="35">
        <v>5.449596774193549E-4</v>
      </c>
      <c r="AB6693" s="13"/>
      <c r="AC6693" s="13"/>
      <c r="AD6693" s="13"/>
      <c r="AE6693" s="13"/>
      <c r="AF6693" s="13"/>
    </row>
    <row r="6694" spans="19:32" x14ac:dyDescent="0.35">
      <c r="S6694" s="13"/>
      <c r="T6694" s="16"/>
      <c r="U6694" s="16"/>
      <c r="V6694" s="16"/>
      <c r="W6694" s="13"/>
      <c r="X6694" s="47">
        <v>6690</v>
      </c>
      <c r="Y6694" s="47" t="s">
        <v>2248</v>
      </c>
      <c r="Z6694" s="47" t="s">
        <v>2586</v>
      </c>
      <c r="AA6694" s="56">
        <v>1702</v>
      </c>
      <c r="AB6694" s="13"/>
      <c r="AC6694" s="13"/>
      <c r="AD6694" s="13"/>
      <c r="AE6694" s="13"/>
      <c r="AF6694" s="13"/>
    </row>
    <row r="6695" spans="19:32" x14ac:dyDescent="0.35">
      <c r="S6695" s="13"/>
      <c r="T6695" s="16"/>
      <c r="U6695" s="16"/>
      <c r="V6695" s="16"/>
      <c r="W6695" s="13"/>
      <c r="X6695" s="47">
        <v>6691</v>
      </c>
      <c r="Y6695" s="47" t="s">
        <v>2248</v>
      </c>
      <c r="Z6695" s="47" t="s">
        <v>2583</v>
      </c>
      <c r="AA6695" s="56">
        <v>400.2</v>
      </c>
      <c r="AB6695" s="13"/>
      <c r="AC6695" s="13"/>
      <c r="AD6695" s="13"/>
      <c r="AE6695" s="13"/>
      <c r="AF6695" s="13"/>
    </row>
    <row r="6696" spans="19:32" x14ac:dyDescent="0.35">
      <c r="S6696" s="13"/>
      <c r="T6696" s="16"/>
      <c r="U6696" s="16"/>
      <c r="V6696" s="16"/>
      <c r="W6696" s="13"/>
      <c r="X6696" s="34">
        <v>6692</v>
      </c>
      <c r="Y6696" s="34" t="s">
        <v>2248</v>
      </c>
      <c r="Z6696" s="34" t="s">
        <v>2691</v>
      </c>
      <c r="AA6696" s="35">
        <v>4.1471774193548392E-3</v>
      </c>
      <c r="AB6696" s="13"/>
      <c r="AC6696" s="13"/>
      <c r="AD6696" s="13"/>
      <c r="AE6696" s="13"/>
      <c r="AF6696" s="13"/>
    </row>
    <row r="6697" spans="19:32" x14ac:dyDescent="0.35">
      <c r="S6697" s="13"/>
      <c r="T6697" s="16"/>
      <c r="U6697" s="16"/>
      <c r="V6697" s="16"/>
      <c r="W6697" s="13"/>
      <c r="X6697" s="47">
        <v>6693</v>
      </c>
      <c r="Y6697" s="47" t="s">
        <v>2248</v>
      </c>
      <c r="Z6697" s="47" t="s">
        <v>2580</v>
      </c>
      <c r="AA6697" s="56">
        <v>0.27507999999999999</v>
      </c>
      <c r="AB6697" s="13"/>
      <c r="AC6697" s="13"/>
      <c r="AD6697" s="13"/>
      <c r="AE6697" s="13"/>
      <c r="AF6697" s="13"/>
    </row>
    <row r="6698" spans="19:32" x14ac:dyDescent="0.35">
      <c r="S6698" s="13"/>
      <c r="T6698" s="16"/>
      <c r="U6698" s="16"/>
      <c r="V6698" s="16"/>
      <c r="W6698" s="13"/>
      <c r="X6698" s="34">
        <v>6694</v>
      </c>
      <c r="Y6698" s="34" t="s">
        <v>2248</v>
      </c>
      <c r="Z6698" s="34" t="s">
        <v>2690</v>
      </c>
      <c r="AA6698" s="35">
        <v>1.3778225806451615E-5</v>
      </c>
      <c r="AB6698" s="13"/>
      <c r="AC6698" s="13"/>
      <c r="AD6698" s="13"/>
      <c r="AE6698" s="13"/>
      <c r="AF6698" s="13"/>
    </row>
    <row r="6699" spans="19:32" x14ac:dyDescent="0.35">
      <c r="S6699" s="13"/>
      <c r="T6699" s="16"/>
      <c r="U6699" s="16"/>
      <c r="V6699" s="16"/>
      <c r="W6699" s="13"/>
      <c r="X6699" s="47">
        <v>6695</v>
      </c>
      <c r="Y6699" s="47" t="s">
        <v>2248</v>
      </c>
      <c r="Z6699" s="47" t="s">
        <v>2689</v>
      </c>
      <c r="AA6699" s="56">
        <v>228.16</v>
      </c>
      <c r="AB6699" s="13"/>
      <c r="AC6699" s="13"/>
      <c r="AD6699" s="13"/>
      <c r="AE6699" s="13"/>
      <c r="AF6699" s="13"/>
    </row>
    <row r="6700" spans="19:32" x14ac:dyDescent="0.35">
      <c r="S6700" s="13"/>
      <c r="T6700" s="16"/>
      <c r="U6700" s="16"/>
      <c r="V6700" s="16"/>
      <c r="W6700" s="13"/>
      <c r="X6700" s="47">
        <v>6696</v>
      </c>
      <c r="Y6700" s="47" t="s">
        <v>2248</v>
      </c>
      <c r="Z6700" s="47" t="s">
        <v>2688</v>
      </c>
      <c r="AA6700" s="56">
        <v>0.78752</v>
      </c>
      <c r="AB6700" s="13"/>
      <c r="AC6700" s="13"/>
      <c r="AD6700" s="13"/>
      <c r="AE6700" s="13"/>
      <c r="AF6700" s="13"/>
    </row>
    <row r="6701" spans="19:32" x14ac:dyDescent="0.35">
      <c r="S6701" s="13"/>
      <c r="T6701" s="16"/>
      <c r="U6701" s="16"/>
      <c r="V6701" s="16"/>
      <c r="W6701" s="13"/>
      <c r="X6701" s="34">
        <v>6697</v>
      </c>
      <c r="Y6701" s="34" t="s">
        <v>2248</v>
      </c>
      <c r="Z6701" s="34" t="s">
        <v>2687</v>
      </c>
      <c r="AA6701" s="35">
        <v>4.4213709677419358E-7</v>
      </c>
      <c r="AB6701" s="13"/>
      <c r="AC6701" s="13"/>
      <c r="AD6701" s="13"/>
      <c r="AE6701" s="13"/>
      <c r="AF6701" s="13"/>
    </row>
    <row r="6702" spans="19:32" x14ac:dyDescent="0.35">
      <c r="S6702" s="13"/>
      <c r="T6702" s="16"/>
      <c r="U6702" s="16"/>
      <c r="V6702" s="16"/>
      <c r="W6702" s="13"/>
      <c r="X6702" s="47">
        <v>6698</v>
      </c>
      <c r="Y6702" s="47" t="s">
        <v>2248</v>
      </c>
      <c r="Z6702" s="47" t="s">
        <v>2686</v>
      </c>
      <c r="AA6702" s="56">
        <v>192.28</v>
      </c>
      <c r="AB6702" s="13"/>
      <c r="AC6702" s="13"/>
      <c r="AD6702" s="13"/>
      <c r="AE6702" s="13"/>
      <c r="AF6702" s="13"/>
    </row>
    <row r="6703" spans="19:32" x14ac:dyDescent="0.35">
      <c r="S6703" s="13"/>
      <c r="T6703" s="16"/>
      <c r="U6703" s="16"/>
      <c r="V6703" s="16"/>
      <c r="W6703" s="13"/>
      <c r="X6703" s="47">
        <v>6699</v>
      </c>
      <c r="Y6703" s="47" t="s">
        <v>2248</v>
      </c>
      <c r="Z6703" s="47" t="s">
        <v>2685</v>
      </c>
      <c r="AA6703" s="56">
        <v>668.84</v>
      </c>
      <c r="AB6703" s="13"/>
      <c r="AC6703" s="13"/>
      <c r="AD6703" s="13"/>
      <c r="AE6703" s="13"/>
      <c r="AF6703" s="13"/>
    </row>
    <row r="6704" spans="19:32" x14ac:dyDescent="0.35">
      <c r="S6704" s="13"/>
      <c r="T6704" s="16"/>
      <c r="U6704" s="16"/>
      <c r="V6704" s="16"/>
      <c r="W6704" s="13"/>
      <c r="X6704" s="34">
        <v>6700</v>
      </c>
      <c r="Y6704" s="34" t="s">
        <v>2248</v>
      </c>
      <c r="Z6704" s="34" t="s">
        <v>2684</v>
      </c>
      <c r="AA6704" s="35">
        <v>1.6725806451612904E-3</v>
      </c>
      <c r="AB6704" s="13"/>
      <c r="AC6704" s="13"/>
      <c r="AD6704" s="13"/>
      <c r="AE6704" s="13"/>
      <c r="AF6704" s="13"/>
    </row>
    <row r="6705" spans="19:32" x14ac:dyDescent="0.35">
      <c r="S6705" s="13"/>
      <c r="T6705" s="16"/>
      <c r="U6705" s="16"/>
      <c r="V6705" s="16"/>
      <c r="W6705" s="13"/>
      <c r="X6705" s="47">
        <v>6701</v>
      </c>
      <c r="Y6705" s="47" t="s">
        <v>2248</v>
      </c>
      <c r="Z6705" s="47" t="s">
        <v>2683</v>
      </c>
      <c r="AA6705" s="56">
        <v>43.792000000000002</v>
      </c>
      <c r="AB6705" s="13"/>
      <c r="AC6705" s="13"/>
      <c r="AD6705" s="13"/>
      <c r="AE6705" s="13"/>
      <c r="AF6705" s="13"/>
    </row>
    <row r="6706" spans="19:32" x14ac:dyDescent="0.35">
      <c r="S6706" s="13"/>
      <c r="T6706" s="16"/>
      <c r="U6706" s="16"/>
      <c r="V6706" s="16"/>
      <c r="W6706" s="13"/>
      <c r="X6706" s="47">
        <v>6702</v>
      </c>
      <c r="Y6706" s="47" t="s">
        <v>2248</v>
      </c>
      <c r="Z6706" s="47" t="s">
        <v>2682</v>
      </c>
      <c r="AA6706" s="56">
        <v>8.3260000000000005</v>
      </c>
      <c r="AB6706" s="13"/>
      <c r="AC6706" s="13"/>
      <c r="AD6706" s="13"/>
      <c r="AE6706" s="13"/>
      <c r="AF6706" s="13"/>
    </row>
    <row r="6707" spans="19:32" x14ac:dyDescent="0.35">
      <c r="S6707" s="13"/>
      <c r="T6707" s="16"/>
      <c r="U6707" s="16"/>
      <c r="V6707" s="16"/>
      <c r="W6707" s="13"/>
      <c r="X6707" s="34">
        <v>6703</v>
      </c>
      <c r="Y6707" s="34" t="s">
        <v>2248</v>
      </c>
      <c r="Z6707" s="34" t="s">
        <v>2681</v>
      </c>
      <c r="AA6707" s="35">
        <v>1.3504032258064517E-4</v>
      </c>
      <c r="AB6707" s="13"/>
      <c r="AC6707" s="13"/>
      <c r="AD6707" s="13"/>
      <c r="AE6707" s="13"/>
      <c r="AF6707" s="13"/>
    </row>
    <row r="6708" spans="19:32" x14ac:dyDescent="0.35">
      <c r="S6708" s="13"/>
      <c r="T6708" s="16"/>
      <c r="U6708" s="16"/>
      <c r="V6708" s="16"/>
      <c r="W6708" s="13"/>
      <c r="X6708" s="47">
        <v>6704</v>
      </c>
      <c r="Y6708" s="47" t="s">
        <v>2248</v>
      </c>
      <c r="Z6708" s="47" t="s">
        <v>2680</v>
      </c>
      <c r="AA6708" s="56">
        <v>66.975999999999999</v>
      </c>
      <c r="AB6708" s="13"/>
      <c r="AC6708" s="13"/>
      <c r="AD6708" s="13"/>
      <c r="AE6708" s="13"/>
      <c r="AF6708" s="13"/>
    </row>
    <row r="6709" spans="19:32" x14ac:dyDescent="0.35">
      <c r="S6709" s="13"/>
      <c r="T6709" s="16"/>
      <c r="U6709" s="16"/>
      <c r="V6709" s="16"/>
      <c r="W6709" s="13"/>
      <c r="X6709" s="47">
        <v>6705</v>
      </c>
      <c r="Y6709" s="47" t="s">
        <v>2248</v>
      </c>
      <c r="Z6709" s="47" t="s">
        <v>2578</v>
      </c>
      <c r="AA6709" s="56">
        <v>455.4</v>
      </c>
      <c r="AB6709" s="13"/>
      <c r="AC6709" s="13"/>
      <c r="AD6709" s="13"/>
      <c r="AE6709" s="13"/>
      <c r="AF6709" s="13"/>
    </row>
    <row r="6710" spans="19:32" x14ac:dyDescent="0.35">
      <c r="S6710" s="13"/>
      <c r="T6710" s="16"/>
      <c r="U6710" s="16"/>
      <c r="V6710" s="16"/>
      <c r="W6710" s="13"/>
      <c r="X6710" s="34">
        <v>6706</v>
      </c>
      <c r="Y6710" s="34" t="s">
        <v>2248</v>
      </c>
      <c r="Z6710" s="34" t="s">
        <v>2679</v>
      </c>
      <c r="AA6710" s="35">
        <v>1.5903225806451614E-3</v>
      </c>
      <c r="AB6710" s="13"/>
      <c r="AC6710" s="13"/>
      <c r="AD6710" s="13"/>
      <c r="AE6710" s="13"/>
      <c r="AF6710" s="13"/>
    </row>
    <row r="6711" spans="19:32" x14ac:dyDescent="0.35">
      <c r="S6711" s="13"/>
      <c r="T6711" s="16"/>
      <c r="U6711" s="16"/>
      <c r="V6711" s="16"/>
      <c r="W6711" s="13"/>
      <c r="X6711" s="47">
        <v>6707</v>
      </c>
      <c r="Y6711" s="47" t="s">
        <v>2248</v>
      </c>
      <c r="Z6711" s="47" t="s">
        <v>2678</v>
      </c>
      <c r="AA6711" s="56">
        <v>0.10947999999999999</v>
      </c>
      <c r="AB6711" s="13"/>
      <c r="AC6711" s="13"/>
      <c r="AD6711" s="13"/>
      <c r="AE6711" s="13"/>
      <c r="AF6711" s="13"/>
    </row>
    <row r="6712" spans="19:32" x14ac:dyDescent="0.35">
      <c r="S6712" s="13"/>
      <c r="T6712" s="16"/>
      <c r="U6712" s="16"/>
      <c r="V6712" s="16"/>
      <c r="W6712" s="13"/>
      <c r="X6712" s="34">
        <v>6708</v>
      </c>
      <c r="Y6712" s="34" t="s">
        <v>2248</v>
      </c>
      <c r="Z6712" s="34" t="s">
        <v>2677</v>
      </c>
      <c r="AA6712" s="35">
        <v>2.2997983870967745E-2</v>
      </c>
      <c r="AB6712" s="13"/>
      <c r="AC6712" s="13"/>
      <c r="AD6712" s="13"/>
      <c r="AE6712" s="13"/>
      <c r="AF6712" s="13"/>
    </row>
    <row r="6713" spans="19:32" x14ac:dyDescent="0.35">
      <c r="S6713" s="13"/>
      <c r="T6713" s="16"/>
      <c r="U6713" s="16"/>
      <c r="V6713" s="16"/>
      <c r="W6713" s="13"/>
      <c r="X6713" s="47">
        <v>6709</v>
      </c>
      <c r="Y6713" s="47" t="s">
        <v>2248</v>
      </c>
      <c r="Z6713" s="47" t="s">
        <v>2676</v>
      </c>
      <c r="AA6713" s="56">
        <v>74.795999999999992</v>
      </c>
      <c r="AB6713" s="13"/>
      <c r="AC6713" s="13"/>
      <c r="AD6713" s="13"/>
      <c r="AE6713" s="13"/>
      <c r="AF6713" s="13"/>
    </row>
    <row r="6714" spans="19:32" x14ac:dyDescent="0.35">
      <c r="S6714" s="13"/>
      <c r="T6714" s="16"/>
      <c r="U6714" s="16"/>
      <c r="V6714" s="16"/>
      <c r="W6714" s="13"/>
      <c r="X6714" s="47">
        <v>6710</v>
      </c>
      <c r="Y6714" s="47" t="s">
        <v>2248</v>
      </c>
      <c r="Z6714" s="47" t="s">
        <v>2675</v>
      </c>
      <c r="AA6714" s="56">
        <v>13.984</v>
      </c>
      <c r="AB6714" s="13"/>
      <c r="AC6714" s="13"/>
      <c r="AD6714" s="13"/>
      <c r="AE6714" s="13"/>
      <c r="AF6714" s="13"/>
    </row>
    <row r="6715" spans="19:32" x14ac:dyDescent="0.35">
      <c r="S6715" s="13"/>
      <c r="T6715" s="16"/>
      <c r="U6715" s="16"/>
      <c r="V6715" s="16"/>
      <c r="W6715" s="13"/>
      <c r="X6715" s="34">
        <v>6711</v>
      </c>
      <c r="Y6715" s="34" t="s">
        <v>2248</v>
      </c>
      <c r="Z6715" s="34" t="s">
        <v>2674</v>
      </c>
      <c r="AA6715" s="35">
        <v>5.2096774193548392E-5</v>
      </c>
      <c r="AB6715" s="13"/>
      <c r="AC6715" s="13"/>
      <c r="AD6715" s="13"/>
      <c r="AE6715" s="13"/>
      <c r="AF6715" s="13"/>
    </row>
    <row r="6716" spans="19:32" x14ac:dyDescent="0.35">
      <c r="S6716" s="13"/>
      <c r="T6716" s="16"/>
      <c r="U6716" s="16"/>
      <c r="V6716" s="16"/>
      <c r="W6716" s="13"/>
      <c r="X6716" s="47">
        <v>6712</v>
      </c>
      <c r="Y6716" s="47" t="s">
        <v>2248</v>
      </c>
      <c r="Z6716" s="47" t="s">
        <v>2673</v>
      </c>
      <c r="AA6716" s="56">
        <v>0</v>
      </c>
      <c r="AB6716" s="13"/>
      <c r="AC6716" s="13"/>
      <c r="AD6716" s="13"/>
      <c r="AE6716" s="13"/>
      <c r="AF6716" s="13"/>
    </row>
    <row r="6717" spans="19:32" x14ac:dyDescent="0.35">
      <c r="S6717" s="13"/>
      <c r="T6717" s="16"/>
      <c r="U6717" s="16"/>
      <c r="V6717" s="16"/>
      <c r="W6717" s="13"/>
      <c r="X6717" s="47">
        <v>6713</v>
      </c>
      <c r="Y6717" s="47" t="s">
        <v>2248</v>
      </c>
      <c r="Z6717" s="47" t="s">
        <v>2672</v>
      </c>
      <c r="AA6717" s="56">
        <v>0</v>
      </c>
      <c r="AB6717" s="13"/>
      <c r="AC6717" s="13"/>
      <c r="AD6717" s="13"/>
      <c r="AE6717" s="13"/>
      <c r="AF6717" s="13"/>
    </row>
    <row r="6718" spans="19:32" x14ac:dyDescent="0.35">
      <c r="S6718" s="13"/>
      <c r="T6718" s="16"/>
      <c r="U6718" s="16"/>
      <c r="V6718" s="16"/>
      <c r="W6718" s="13"/>
      <c r="X6718" s="34">
        <v>6714</v>
      </c>
      <c r="Y6718" s="34" t="s">
        <v>2248</v>
      </c>
      <c r="Z6718" s="34" t="s">
        <v>2671</v>
      </c>
      <c r="AA6718" s="35">
        <v>3.0161290322580652E-4</v>
      </c>
      <c r="AB6718" s="13"/>
      <c r="AC6718" s="13"/>
      <c r="AD6718" s="13"/>
      <c r="AE6718" s="13"/>
      <c r="AF6718" s="13"/>
    </row>
    <row r="6719" spans="19:32" x14ac:dyDescent="0.35">
      <c r="S6719" s="13"/>
      <c r="T6719" s="16"/>
      <c r="U6719" s="16"/>
      <c r="V6719" s="16"/>
      <c r="W6719" s="13"/>
      <c r="X6719" s="47">
        <v>6715</v>
      </c>
      <c r="Y6719" s="47" t="s">
        <v>2248</v>
      </c>
      <c r="Z6719" s="47" t="s">
        <v>2547</v>
      </c>
      <c r="AA6719" s="56">
        <v>0</v>
      </c>
      <c r="AB6719" s="13"/>
      <c r="AC6719" s="13"/>
      <c r="AD6719" s="13"/>
      <c r="AE6719" s="13"/>
      <c r="AF6719" s="13"/>
    </row>
    <row r="6720" spans="19:32" x14ac:dyDescent="0.35">
      <c r="S6720" s="13"/>
      <c r="T6720" s="16"/>
      <c r="U6720" s="16"/>
      <c r="V6720" s="16"/>
      <c r="W6720" s="13"/>
      <c r="X6720" s="47">
        <v>6716</v>
      </c>
      <c r="Y6720" s="47" t="s">
        <v>2248</v>
      </c>
      <c r="Z6720" s="47" t="s">
        <v>2544</v>
      </c>
      <c r="AA6720" s="56">
        <v>0</v>
      </c>
      <c r="AB6720" s="13"/>
      <c r="AC6720" s="13"/>
      <c r="AD6720" s="13"/>
      <c r="AE6720" s="13"/>
      <c r="AF6720" s="13"/>
    </row>
    <row r="6721" spans="19:32" x14ac:dyDescent="0.35">
      <c r="S6721" s="13"/>
      <c r="T6721" s="16"/>
      <c r="U6721" s="16"/>
      <c r="V6721" s="16"/>
      <c r="W6721" s="13"/>
      <c r="X6721" s="34">
        <v>6717</v>
      </c>
      <c r="Y6721" s="34" t="s">
        <v>2248</v>
      </c>
      <c r="Z6721" s="34" t="s">
        <v>2670</v>
      </c>
      <c r="AA6721" s="35">
        <v>1.1550403225806453E-5</v>
      </c>
      <c r="AB6721" s="13"/>
      <c r="AC6721" s="13"/>
      <c r="AD6721" s="13"/>
      <c r="AE6721" s="13"/>
      <c r="AF6721" s="13"/>
    </row>
    <row r="6722" spans="19:32" x14ac:dyDescent="0.35">
      <c r="S6722" s="13"/>
      <c r="T6722" s="16"/>
      <c r="U6722" s="16"/>
      <c r="V6722" s="16"/>
      <c r="W6722" s="13"/>
      <c r="X6722" s="47">
        <v>6718</v>
      </c>
      <c r="Y6722" s="47" t="s">
        <v>2248</v>
      </c>
      <c r="Z6722" s="47" t="s">
        <v>2669</v>
      </c>
      <c r="AA6722" s="56">
        <v>0.23275999999999999</v>
      </c>
      <c r="AB6722" s="13"/>
      <c r="AC6722" s="13"/>
      <c r="AD6722" s="13"/>
      <c r="AE6722" s="13"/>
      <c r="AF6722" s="13"/>
    </row>
    <row r="6723" spans="19:32" x14ac:dyDescent="0.35">
      <c r="S6723" s="13"/>
      <c r="T6723" s="16"/>
      <c r="U6723" s="16"/>
      <c r="V6723" s="16"/>
      <c r="W6723" s="13"/>
      <c r="X6723" s="34">
        <v>6719</v>
      </c>
      <c r="Y6723" s="34" t="s">
        <v>2248</v>
      </c>
      <c r="Z6723" s="34" t="s">
        <v>2668</v>
      </c>
      <c r="AA6723" s="35">
        <v>7.0947580645161289E-5</v>
      </c>
      <c r="AB6723" s="13"/>
      <c r="AC6723" s="13"/>
      <c r="AD6723" s="13"/>
      <c r="AE6723" s="13"/>
      <c r="AF6723" s="13"/>
    </row>
    <row r="6724" spans="19:32" x14ac:dyDescent="0.35">
      <c r="S6724" s="13"/>
      <c r="T6724" s="16"/>
      <c r="U6724" s="16"/>
      <c r="V6724" s="16"/>
      <c r="W6724" s="13"/>
      <c r="X6724" s="47">
        <v>6720</v>
      </c>
      <c r="Y6724" s="47" t="s">
        <v>2248</v>
      </c>
      <c r="Z6724" s="47" t="s">
        <v>2536</v>
      </c>
      <c r="AA6724" s="56">
        <v>3.0543999999999998</v>
      </c>
      <c r="AB6724" s="13"/>
      <c r="AC6724" s="13"/>
      <c r="AD6724" s="13"/>
      <c r="AE6724" s="13"/>
      <c r="AF6724" s="13"/>
    </row>
    <row r="6725" spans="19:32" x14ac:dyDescent="0.35">
      <c r="S6725" s="13"/>
      <c r="T6725" s="16"/>
      <c r="U6725" s="16"/>
      <c r="V6725" s="16"/>
      <c r="W6725" s="13"/>
      <c r="X6725" s="47">
        <v>6721</v>
      </c>
      <c r="Y6725" s="47" t="s">
        <v>2248</v>
      </c>
      <c r="Z6725" s="47" t="s">
        <v>2667</v>
      </c>
      <c r="AA6725" s="56">
        <v>0</v>
      </c>
      <c r="AB6725" s="13"/>
      <c r="AC6725" s="13"/>
      <c r="AD6725" s="13"/>
      <c r="AE6725" s="13"/>
      <c r="AF6725" s="13"/>
    </row>
    <row r="6726" spans="19:32" x14ac:dyDescent="0.35">
      <c r="S6726" s="13"/>
      <c r="T6726" s="16"/>
      <c r="U6726" s="16"/>
      <c r="V6726" s="16"/>
      <c r="W6726" s="13"/>
      <c r="X6726" s="34">
        <v>6722</v>
      </c>
      <c r="Y6726" s="34" t="s">
        <v>2248</v>
      </c>
      <c r="Z6726" s="34" t="s">
        <v>2666</v>
      </c>
      <c r="AA6726" s="35">
        <v>3.0983870967741937E-4</v>
      </c>
      <c r="AB6726" s="13"/>
      <c r="AC6726" s="13"/>
      <c r="AD6726" s="13"/>
      <c r="AE6726" s="13"/>
      <c r="AF6726" s="13"/>
    </row>
    <row r="6727" spans="19:32" x14ac:dyDescent="0.35">
      <c r="S6727" s="13"/>
      <c r="T6727" s="16"/>
      <c r="U6727" s="16"/>
      <c r="V6727" s="16"/>
      <c r="W6727" s="13"/>
      <c r="X6727" s="47">
        <v>6723</v>
      </c>
      <c r="Y6727" s="47" t="s">
        <v>2248</v>
      </c>
      <c r="Z6727" s="47" t="s">
        <v>2516</v>
      </c>
      <c r="AA6727" s="56">
        <v>0</v>
      </c>
      <c r="AB6727" s="13"/>
      <c r="AC6727" s="13"/>
      <c r="AD6727" s="13"/>
      <c r="AE6727" s="13"/>
      <c r="AF6727" s="13"/>
    </row>
    <row r="6728" spans="19:32" x14ac:dyDescent="0.35">
      <c r="S6728" s="13"/>
      <c r="T6728" s="16"/>
      <c r="U6728" s="16"/>
      <c r="V6728" s="16"/>
      <c r="W6728" s="13"/>
      <c r="X6728" s="47">
        <v>6724</v>
      </c>
      <c r="Y6728" s="47" t="s">
        <v>2248</v>
      </c>
      <c r="Z6728" s="47" t="s">
        <v>2665</v>
      </c>
      <c r="AA6728" s="56">
        <v>9200</v>
      </c>
      <c r="AB6728" s="13"/>
      <c r="AC6728" s="13"/>
      <c r="AD6728" s="13"/>
      <c r="AE6728" s="13"/>
      <c r="AF6728" s="13"/>
    </row>
    <row r="6729" spans="19:32" x14ac:dyDescent="0.35">
      <c r="S6729" s="13"/>
      <c r="T6729" s="16"/>
      <c r="U6729" s="16"/>
      <c r="V6729" s="16"/>
      <c r="W6729" s="13"/>
      <c r="X6729" s="34">
        <v>6725</v>
      </c>
      <c r="Y6729" s="34" t="s">
        <v>2248</v>
      </c>
      <c r="Z6729" s="34" t="s">
        <v>2664</v>
      </c>
      <c r="AA6729" s="35">
        <v>5.175403225806452E-3</v>
      </c>
      <c r="AB6729" s="13"/>
      <c r="AC6729" s="13"/>
      <c r="AD6729" s="13"/>
      <c r="AE6729" s="13"/>
      <c r="AF6729" s="13"/>
    </row>
    <row r="6730" spans="19:32" x14ac:dyDescent="0.35">
      <c r="S6730" s="13"/>
      <c r="T6730" s="16"/>
      <c r="U6730" s="16"/>
      <c r="V6730" s="16"/>
      <c r="W6730" s="13"/>
      <c r="X6730" s="47">
        <v>6726</v>
      </c>
      <c r="Y6730" s="47" t="s">
        <v>2248</v>
      </c>
      <c r="Z6730" s="47" t="s">
        <v>2663</v>
      </c>
      <c r="AA6730" s="56">
        <v>0</v>
      </c>
      <c r="AB6730" s="13"/>
      <c r="AC6730" s="13"/>
      <c r="AD6730" s="13"/>
      <c r="AE6730" s="13"/>
      <c r="AF6730" s="13"/>
    </row>
    <row r="6731" spans="19:32" x14ac:dyDescent="0.35">
      <c r="S6731" s="13"/>
      <c r="T6731" s="16"/>
      <c r="U6731" s="16"/>
      <c r="V6731" s="16"/>
      <c r="W6731" s="13"/>
      <c r="X6731" s="47">
        <v>6727</v>
      </c>
      <c r="Y6731" s="47" t="s">
        <v>2248</v>
      </c>
      <c r="Z6731" s="47" t="s">
        <v>2662</v>
      </c>
      <c r="AA6731" s="56">
        <v>0.14443999999999999</v>
      </c>
      <c r="AB6731" s="13"/>
      <c r="AC6731" s="13"/>
      <c r="AD6731" s="13"/>
      <c r="AE6731" s="13"/>
      <c r="AF6731" s="13"/>
    </row>
    <row r="6732" spans="19:32" x14ac:dyDescent="0.35">
      <c r="S6732" s="13"/>
      <c r="T6732" s="16"/>
      <c r="U6732" s="16"/>
      <c r="V6732" s="16"/>
      <c r="W6732" s="13"/>
      <c r="X6732" s="34">
        <v>6728</v>
      </c>
      <c r="Y6732" s="34" t="s">
        <v>2248</v>
      </c>
      <c r="Z6732" s="34" t="s">
        <v>2661</v>
      </c>
      <c r="AA6732" s="35">
        <v>1.7548387096774195E-2</v>
      </c>
      <c r="AB6732" s="13"/>
      <c r="AC6732" s="13"/>
      <c r="AD6732" s="13"/>
      <c r="AE6732" s="13"/>
      <c r="AF6732" s="13"/>
    </row>
    <row r="6733" spans="19:32" x14ac:dyDescent="0.35">
      <c r="S6733" s="13"/>
      <c r="T6733" s="16"/>
      <c r="U6733" s="16"/>
      <c r="V6733" s="16"/>
      <c r="W6733" s="13"/>
      <c r="X6733" s="47">
        <v>6729</v>
      </c>
      <c r="Y6733" s="47" t="s">
        <v>2248</v>
      </c>
      <c r="Z6733" s="47" t="s">
        <v>2660</v>
      </c>
      <c r="AA6733" s="56">
        <v>0.63663999999999998</v>
      </c>
      <c r="AB6733" s="13"/>
      <c r="AC6733" s="13"/>
      <c r="AD6733" s="13"/>
      <c r="AE6733" s="13"/>
      <c r="AF6733" s="13"/>
    </row>
    <row r="6734" spans="19:32" x14ac:dyDescent="0.35">
      <c r="S6734" s="13"/>
      <c r="T6734" s="16"/>
      <c r="U6734" s="16"/>
      <c r="V6734" s="16"/>
      <c r="W6734" s="13"/>
      <c r="X6734" s="47">
        <v>6730</v>
      </c>
      <c r="Y6734" s="47" t="s">
        <v>2248</v>
      </c>
      <c r="Z6734" s="47" t="s">
        <v>2659</v>
      </c>
      <c r="AA6734" s="56">
        <v>0.36155999999999999</v>
      </c>
      <c r="AB6734" s="13"/>
      <c r="AC6734" s="13"/>
      <c r="AD6734" s="13"/>
      <c r="AE6734" s="13"/>
      <c r="AF6734" s="13"/>
    </row>
    <row r="6735" spans="19:32" x14ac:dyDescent="0.35">
      <c r="S6735" s="13"/>
      <c r="T6735" s="16"/>
      <c r="U6735" s="16"/>
      <c r="V6735" s="16"/>
      <c r="W6735" s="13"/>
      <c r="X6735" s="34">
        <v>6731</v>
      </c>
      <c r="Y6735" s="34" t="s">
        <v>2248</v>
      </c>
      <c r="Z6735" s="34" t="s">
        <v>2658</v>
      </c>
      <c r="AA6735" s="35">
        <v>3.3108870967741937E-4</v>
      </c>
      <c r="AB6735" s="13"/>
      <c r="AC6735" s="13"/>
      <c r="AD6735" s="13"/>
      <c r="AE6735" s="13"/>
      <c r="AF6735" s="13"/>
    </row>
    <row r="6736" spans="19:32" x14ac:dyDescent="0.35">
      <c r="S6736" s="13"/>
      <c r="T6736" s="16"/>
      <c r="U6736" s="16"/>
      <c r="V6736" s="16"/>
      <c r="W6736" s="13"/>
      <c r="X6736" s="47">
        <v>6732</v>
      </c>
      <c r="Y6736" s="47" t="s">
        <v>2248</v>
      </c>
      <c r="Z6736" s="47" t="s">
        <v>2657</v>
      </c>
      <c r="AA6736" s="56">
        <v>1.6836E-2</v>
      </c>
      <c r="AB6736" s="13"/>
      <c r="AC6736" s="13"/>
      <c r="AD6736" s="13"/>
      <c r="AE6736" s="13"/>
      <c r="AF6736" s="13"/>
    </row>
    <row r="6737" spans="19:32" x14ac:dyDescent="0.35">
      <c r="S6737" s="13"/>
      <c r="T6737" s="16"/>
      <c r="U6737" s="16"/>
      <c r="V6737" s="16"/>
      <c r="W6737" s="13"/>
      <c r="X6737" s="34">
        <v>6733</v>
      </c>
      <c r="Y6737" s="34" t="s">
        <v>2248</v>
      </c>
      <c r="Z6737" s="34" t="s">
        <v>2656</v>
      </c>
      <c r="AA6737" s="35">
        <v>1.6211693548387098E-6</v>
      </c>
      <c r="AB6737" s="13"/>
      <c r="AC6737" s="13"/>
      <c r="AD6737" s="13"/>
      <c r="AE6737" s="13"/>
      <c r="AF6737" s="13"/>
    </row>
    <row r="6738" spans="19:32" x14ac:dyDescent="0.35">
      <c r="S6738" s="13"/>
      <c r="T6738" s="16"/>
      <c r="U6738" s="16"/>
      <c r="V6738" s="16"/>
      <c r="W6738" s="13"/>
      <c r="X6738" s="47">
        <v>6734</v>
      </c>
      <c r="Y6738" s="47" t="s">
        <v>2248</v>
      </c>
      <c r="Z6738" s="47" t="s">
        <v>2655</v>
      </c>
      <c r="AA6738" s="56">
        <v>0.63295999999999997</v>
      </c>
      <c r="AB6738" s="13"/>
      <c r="AC6738" s="13"/>
      <c r="AD6738" s="13"/>
      <c r="AE6738" s="13"/>
      <c r="AF6738" s="13"/>
    </row>
    <row r="6739" spans="19:32" x14ac:dyDescent="0.35">
      <c r="S6739" s="13"/>
      <c r="T6739" s="16"/>
      <c r="U6739" s="16"/>
      <c r="V6739" s="16"/>
      <c r="W6739" s="13"/>
      <c r="X6739" s="47">
        <v>6735</v>
      </c>
      <c r="Y6739" s="47" t="s">
        <v>2248</v>
      </c>
      <c r="Z6739" s="47" t="s">
        <v>2654</v>
      </c>
      <c r="AA6739" s="56">
        <v>2.8428</v>
      </c>
      <c r="AB6739" s="13"/>
      <c r="AC6739" s="13"/>
      <c r="AD6739" s="13"/>
      <c r="AE6739" s="13"/>
      <c r="AF6739" s="13"/>
    </row>
    <row r="6740" spans="19:32" x14ac:dyDescent="0.35">
      <c r="S6740" s="13"/>
      <c r="T6740" s="16"/>
      <c r="U6740" s="16"/>
      <c r="V6740" s="16"/>
      <c r="W6740" s="13"/>
      <c r="X6740" s="34">
        <v>6736</v>
      </c>
      <c r="Y6740" s="34" t="s">
        <v>2248</v>
      </c>
      <c r="Z6740" s="34" t="s">
        <v>2653</v>
      </c>
      <c r="AA6740" s="35">
        <v>5.278225806451613</v>
      </c>
      <c r="AB6740" s="13"/>
      <c r="AC6740" s="13"/>
      <c r="AD6740" s="13"/>
      <c r="AE6740" s="13"/>
      <c r="AF6740" s="13"/>
    </row>
    <row r="6741" spans="19:32" x14ac:dyDescent="0.35">
      <c r="S6741" s="13"/>
      <c r="T6741" s="16"/>
      <c r="U6741" s="16"/>
      <c r="V6741" s="16"/>
      <c r="W6741" s="13"/>
      <c r="X6741" s="47">
        <v>6737</v>
      </c>
      <c r="Y6741" s="47" t="s">
        <v>2248</v>
      </c>
      <c r="Z6741" s="47" t="s">
        <v>2652</v>
      </c>
      <c r="AA6741" s="56">
        <v>22.815999999999999</v>
      </c>
      <c r="AB6741" s="13"/>
      <c r="AC6741" s="13"/>
      <c r="AD6741" s="13"/>
      <c r="AE6741" s="13"/>
      <c r="AF6741" s="13"/>
    </row>
    <row r="6742" spans="19:32" x14ac:dyDescent="0.35">
      <c r="S6742" s="13"/>
      <c r="T6742" s="16"/>
      <c r="U6742" s="16"/>
      <c r="V6742" s="16"/>
      <c r="W6742" s="13"/>
      <c r="X6742" s="47">
        <v>6738</v>
      </c>
      <c r="Y6742" s="47" t="s">
        <v>2248</v>
      </c>
      <c r="Z6742" s="47" t="s">
        <v>2651</v>
      </c>
      <c r="AA6742" s="56">
        <v>6.6055999999999999</v>
      </c>
      <c r="AB6742" s="13"/>
      <c r="AC6742" s="13"/>
      <c r="AD6742" s="13"/>
      <c r="AE6742" s="13"/>
      <c r="AF6742" s="13"/>
    </row>
    <row r="6743" spans="19:32" x14ac:dyDescent="0.35">
      <c r="S6743" s="13"/>
      <c r="T6743" s="16"/>
      <c r="U6743" s="16"/>
      <c r="V6743" s="16"/>
      <c r="W6743" s="13"/>
      <c r="X6743" s="34">
        <v>6739</v>
      </c>
      <c r="Y6743" s="34" t="s">
        <v>2248</v>
      </c>
      <c r="Z6743" s="34" t="s">
        <v>2650</v>
      </c>
      <c r="AA6743" s="35">
        <v>0.2080443548387097</v>
      </c>
      <c r="AB6743" s="13"/>
      <c r="AC6743" s="13"/>
      <c r="AD6743" s="13"/>
      <c r="AE6743" s="13"/>
      <c r="AF6743" s="13"/>
    </row>
    <row r="6744" spans="19:32" x14ac:dyDescent="0.35">
      <c r="S6744" s="13"/>
      <c r="T6744" s="16"/>
      <c r="U6744" s="16"/>
      <c r="V6744" s="16"/>
      <c r="W6744" s="13"/>
      <c r="X6744" s="47">
        <v>6740</v>
      </c>
      <c r="Y6744" s="47" t="s">
        <v>2248</v>
      </c>
      <c r="Z6744" s="47" t="s">
        <v>2413</v>
      </c>
      <c r="AA6744" s="56">
        <v>0</v>
      </c>
      <c r="AB6744" s="13"/>
      <c r="AC6744" s="13"/>
      <c r="AD6744" s="13"/>
      <c r="AE6744" s="13"/>
      <c r="AF6744" s="13"/>
    </row>
    <row r="6745" spans="19:32" x14ac:dyDescent="0.35">
      <c r="S6745" s="13"/>
      <c r="T6745" s="16"/>
      <c r="U6745" s="16"/>
      <c r="V6745" s="16"/>
      <c r="W6745" s="13"/>
      <c r="X6745" s="47">
        <v>6741</v>
      </c>
      <c r="Y6745" s="47" t="s">
        <v>2248</v>
      </c>
      <c r="Z6745" s="47" t="s">
        <v>2649</v>
      </c>
      <c r="AA6745" s="56">
        <v>3.9836</v>
      </c>
      <c r="AB6745" s="13"/>
      <c r="AC6745" s="13"/>
      <c r="AD6745" s="13"/>
      <c r="AE6745" s="13"/>
      <c r="AF6745" s="13"/>
    </row>
    <row r="6746" spans="19:32" x14ac:dyDescent="0.35">
      <c r="S6746" s="13"/>
      <c r="T6746" s="16"/>
      <c r="U6746" s="16"/>
      <c r="V6746" s="16"/>
      <c r="W6746" s="13"/>
      <c r="X6746" s="34">
        <v>6742</v>
      </c>
      <c r="Y6746" s="34" t="s">
        <v>2248</v>
      </c>
      <c r="Z6746" s="34" t="s">
        <v>2648</v>
      </c>
      <c r="AA6746" s="35">
        <v>2.244959677419355</v>
      </c>
      <c r="AB6746" s="13"/>
      <c r="AC6746" s="13"/>
      <c r="AD6746" s="13"/>
      <c r="AE6746" s="13"/>
      <c r="AF6746" s="13"/>
    </row>
    <row r="6747" spans="19:32" x14ac:dyDescent="0.35">
      <c r="S6747" s="13"/>
      <c r="T6747" s="16"/>
      <c r="U6747" s="16"/>
      <c r="V6747" s="16"/>
      <c r="W6747" s="13"/>
      <c r="X6747" s="47">
        <v>6743</v>
      </c>
      <c r="Y6747" s="47" t="s">
        <v>2248</v>
      </c>
      <c r="Z6747" s="47" t="s">
        <v>2647</v>
      </c>
      <c r="AA6747" s="56">
        <v>0.43332000000000004</v>
      </c>
      <c r="AB6747" s="13"/>
      <c r="AC6747" s="13"/>
      <c r="AD6747" s="13"/>
      <c r="AE6747" s="13"/>
      <c r="AF6747" s="13"/>
    </row>
    <row r="6748" spans="19:32" x14ac:dyDescent="0.35">
      <c r="S6748" s="13"/>
      <c r="T6748" s="16"/>
      <c r="U6748" s="16"/>
      <c r="V6748" s="16"/>
      <c r="W6748" s="13"/>
      <c r="X6748" s="34">
        <v>6744</v>
      </c>
      <c r="Y6748" s="34" t="s">
        <v>2248</v>
      </c>
      <c r="Z6748" s="34" t="s">
        <v>2646</v>
      </c>
      <c r="AA6748" s="35">
        <v>2.210685483870968E-3</v>
      </c>
      <c r="AB6748" s="13"/>
      <c r="AC6748" s="13"/>
      <c r="AD6748" s="13"/>
      <c r="AE6748" s="13"/>
      <c r="AF6748" s="13"/>
    </row>
    <row r="6749" spans="19:32" x14ac:dyDescent="0.35">
      <c r="S6749" s="13"/>
      <c r="T6749" s="16"/>
      <c r="U6749" s="16"/>
      <c r="V6749" s="16"/>
      <c r="W6749" s="13"/>
      <c r="X6749" s="47">
        <v>6745</v>
      </c>
      <c r="Y6749" s="47" t="s">
        <v>2248</v>
      </c>
      <c r="Z6749" s="47" t="s">
        <v>2645</v>
      </c>
      <c r="AA6749" s="56">
        <v>1.5548</v>
      </c>
      <c r="AB6749" s="13"/>
      <c r="AC6749" s="13"/>
      <c r="AD6749" s="13"/>
      <c r="AE6749" s="13"/>
      <c r="AF6749" s="13"/>
    </row>
    <row r="6750" spans="19:32" x14ac:dyDescent="0.35">
      <c r="S6750" s="13"/>
      <c r="T6750" s="16"/>
      <c r="U6750" s="16"/>
      <c r="V6750" s="16"/>
      <c r="W6750" s="13"/>
      <c r="X6750" s="47">
        <v>6746</v>
      </c>
      <c r="Y6750" s="47" t="s">
        <v>2248</v>
      </c>
      <c r="Z6750" s="47" t="s">
        <v>2405</v>
      </c>
      <c r="AA6750" s="56">
        <v>0.25024000000000002</v>
      </c>
      <c r="AB6750" s="13"/>
      <c r="AC6750" s="13"/>
      <c r="AD6750" s="13"/>
      <c r="AE6750" s="13"/>
      <c r="AF6750" s="13"/>
    </row>
    <row r="6751" spans="19:32" x14ac:dyDescent="0.35">
      <c r="S6751" s="13"/>
      <c r="T6751" s="16"/>
      <c r="U6751" s="16"/>
      <c r="V6751" s="16"/>
      <c r="W6751" s="13"/>
      <c r="X6751" s="34">
        <v>6747</v>
      </c>
      <c r="Y6751" s="34" t="s">
        <v>2248</v>
      </c>
      <c r="Z6751" s="34" t="s">
        <v>2644</v>
      </c>
      <c r="AA6751" s="35">
        <v>0.93568548387096784</v>
      </c>
      <c r="AB6751" s="13"/>
      <c r="AC6751" s="13"/>
      <c r="AD6751" s="13"/>
      <c r="AE6751" s="13"/>
      <c r="AF6751" s="13"/>
    </row>
    <row r="6752" spans="19:32" x14ac:dyDescent="0.35">
      <c r="S6752" s="13"/>
      <c r="T6752" s="16"/>
      <c r="U6752" s="16"/>
      <c r="V6752" s="16"/>
      <c r="W6752" s="13"/>
      <c r="X6752" s="47">
        <v>6748</v>
      </c>
      <c r="Y6752" s="47" t="s">
        <v>2248</v>
      </c>
      <c r="Z6752" s="47" t="s">
        <v>2402</v>
      </c>
      <c r="AA6752" s="56">
        <v>0.64400000000000002</v>
      </c>
      <c r="AB6752" s="13"/>
      <c r="AC6752" s="13"/>
      <c r="AD6752" s="13"/>
      <c r="AE6752" s="13"/>
      <c r="AF6752" s="13"/>
    </row>
    <row r="6753" spans="19:32" x14ac:dyDescent="0.35">
      <c r="S6753" s="13"/>
      <c r="T6753" s="16"/>
      <c r="U6753" s="16"/>
      <c r="V6753" s="16"/>
      <c r="W6753" s="13"/>
      <c r="X6753" s="47">
        <v>6749</v>
      </c>
      <c r="Y6753" s="47" t="s">
        <v>2248</v>
      </c>
      <c r="Z6753" s="47" t="s">
        <v>2397</v>
      </c>
      <c r="AA6753" s="56">
        <v>0.81511999999999996</v>
      </c>
      <c r="AB6753" s="13"/>
      <c r="AC6753" s="13"/>
      <c r="AD6753" s="13"/>
      <c r="AE6753" s="13"/>
      <c r="AF6753" s="13"/>
    </row>
    <row r="6754" spans="19:32" x14ac:dyDescent="0.35">
      <c r="S6754" s="13"/>
      <c r="T6754" s="16"/>
      <c r="U6754" s="16"/>
      <c r="V6754" s="16"/>
      <c r="W6754" s="13"/>
      <c r="X6754" s="34">
        <v>6750</v>
      </c>
      <c r="Y6754" s="34" t="s">
        <v>2248</v>
      </c>
      <c r="Z6754" s="34" t="s">
        <v>2643</v>
      </c>
      <c r="AA6754" s="35">
        <v>1.2578629032258065E-5</v>
      </c>
      <c r="AB6754" s="13"/>
      <c r="AC6754" s="13"/>
      <c r="AD6754" s="13"/>
      <c r="AE6754" s="13"/>
      <c r="AF6754" s="13"/>
    </row>
    <row r="6755" spans="19:32" x14ac:dyDescent="0.35">
      <c r="S6755" s="13"/>
      <c r="T6755" s="16"/>
      <c r="U6755" s="16"/>
      <c r="V6755" s="16"/>
      <c r="W6755" s="13"/>
      <c r="X6755" s="47">
        <v>6751</v>
      </c>
      <c r="Y6755" s="47" t="s">
        <v>2248</v>
      </c>
      <c r="Z6755" s="47" t="s">
        <v>2642</v>
      </c>
      <c r="AA6755" s="56">
        <v>0.98439999999999994</v>
      </c>
      <c r="AB6755" s="13"/>
      <c r="AC6755" s="13"/>
      <c r="AD6755" s="13"/>
      <c r="AE6755" s="13"/>
      <c r="AF6755" s="13"/>
    </row>
    <row r="6756" spans="19:32" x14ac:dyDescent="0.35">
      <c r="S6756" s="13"/>
      <c r="T6756" s="16"/>
      <c r="U6756" s="16"/>
      <c r="V6756" s="16"/>
      <c r="W6756" s="13"/>
      <c r="X6756" s="47">
        <v>6752</v>
      </c>
      <c r="Y6756" s="47" t="s">
        <v>2248</v>
      </c>
      <c r="Z6756" s="47" t="s">
        <v>2641</v>
      </c>
      <c r="AA6756" s="56">
        <v>0</v>
      </c>
      <c r="AB6756" s="13"/>
      <c r="AC6756" s="13"/>
      <c r="AD6756" s="13"/>
      <c r="AE6756" s="13"/>
      <c r="AF6756" s="13"/>
    </row>
    <row r="6757" spans="19:32" x14ac:dyDescent="0.35">
      <c r="S6757" s="13"/>
      <c r="T6757" s="16"/>
      <c r="U6757" s="16"/>
      <c r="V6757" s="16"/>
      <c r="W6757" s="13"/>
      <c r="X6757" s="34">
        <v>6753</v>
      </c>
      <c r="Y6757" s="34" t="s">
        <v>2248</v>
      </c>
      <c r="Z6757" s="34" t="s">
        <v>2640</v>
      </c>
      <c r="AA6757" s="35">
        <v>7.7459677419354847E-2</v>
      </c>
      <c r="AB6757" s="13"/>
      <c r="AC6757" s="13"/>
      <c r="AD6757" s="13"/>
      <c r="AE6757" s="13"/>
      <c r="AF6757" s="13"/>
    </row>
    <row r="6758" spans="19:32" x14ac:dyDescent="0.35">
      <c r="S6758" s="13"/>
      <c r="T6758" s="16"/>
      <c r="U6758" s="16"/>
      <c r="V6758" s="16"/>
      <c r="W6758" s="13"/>
      <c r="X6758" s="47">
        <v>6754</v>
      </c>
      <c r="Y6758" s="47" t="s">
        <v>2248</v>
      </c>
      <c r="Z6758" s="47" t="s">
        <v>2341</v>
      </c>
      <c r="AA6758" s="56">
        <v>0</v>
      </c>
      <c r="AB6758" s="13"/>
      <c r="AC6758" s="13"/>
      <c r="AD6758" s="13"/>
      <c r="AE6758" s="13"/>
      <c r="AF6758" s="13"/>
    </row>
    <row r="6759" spans="19:32" x14ac:dyDescent="0.35">
      <c r="S6759" s="13"/>
      <c r="T6759" s="16"/>
      <c r="U6759" s="16"/>
      <c r="V6759" s="16"/>
      <c r="W6759" s="13"/>
      <c r="X6759" s="47">
        <v>6755</v>
      </c>
      <c r="Y6759" s="47" t="s">
        <v>2248</v>
      </c>
      <c r="Z6759" s="47" t="s">
        <v>2339</v>
      </c>
      <c r="AA6759" s="56">
        <v>0</v>
      </c>
      <c r="AB6759" s="13"/>
      <c r="AC6759" s="13"/>
      <c r="AD6759" s="13"/>
      <c r="AE6759" s="13"/>
      <c r="AF6759" s="13"/>
    </row>
    <row r="6760" spans="19:32" x14ac:dyDescent="0.35">
      <c r="S6760" s="13"/>
      <c r="T6760" s="16"/>
      <c r="U6760" s="16"/>
      <c r="V6760" s="16"/>
      <c r="W6760" s="13"/>
      <c r="X6760" s="34">
        <v>6756</v>
      </c>
      <c r="Y6760" s="34" t="s">
        <v>2248</v>
      </c>
      <c r="Z6760" s="34" t="s">
        <v>2639</v>
      </c>
      <c r="AA6760" s="35">
        <v>3.804435483870968E-4</v>
      </c>
      <c r="AB6760" s="13"/>
      <c r="AC6760" s="13"/>
      <c r="AD6760" s="13"/>
      <c r="AE6760" s="13"/>
      <c r="AF6760" s="13"/>
    </row>
    <row r="6761" spans="19:32" x14ac:dyDescent="0.35">
      <c r="S6761" s="13"/>
      <c r="T6761" s="16"/>
      <c r="U6761" s="16"/>
      <c r="V6761" s="16"/>
      <c r="W6761" s="13"/>
      <c r="X6761" s="47">
        <v>6757</v>
      </c>
      <c r="Y6761" s="47" t="s">
        <v>2248</v>
      </c>
      <c r="Z6761" s="47" t="s">
        <v>2638</v>
      </c>
      <c r="AA6761" s="56">
        <v>0</v>
      </c>
      <c r="AB6761" s="13"/>
      <c r="AC6761" s="13"/>
      <c r="AD6761" s="13"/>
      <c r="AE6761" s="13"/>
      <c r="AF6761" s="13"/>
    </row>
    <row r="6762" spans="19:32" x14ac:dyDescent="0.35">
      <c r="S6762" s="13"/>
      <c r="T6762" s="16"/>
      <c r="U6762" s="16"/>
      <c r="V6762" s="16"/>
      <c r="W6762" s="13"/>
      <c r="X6762" s="34">
        <v>6758</v>
      </c>
      <c r="Y6762" s="34" t="s">
        <v>2248</v>
      </c>
      <c r="Z6762" s="34" t="s">
        <v>2637</v>
      </c>
      <c r="AA6762" s="35">
        <v>2.1421370967741937E-2</v>
      </c>
      <c r="AB6762" s="13"/>
      <c r="AC6762" s="13"/>
      <c r="AD6762" s="13"/>
      <c r="AE6762" s="13"/>
      <c r="AF6762" s="13"/>
    </row>
    <row r="6763" spans="19:32" x14ac:dyDescent="0.35">
      <c r="S6763" s="13"/>
      <c r="T6763" s="16"/>
      <c r="U6763" s="16"/>
      <c r="V6763" s="16"/>
      <c r="W6763" s="13"/>
      <c r="X6763" s="47">
        <v>6759</v>
      </c>
      <c r="Y6763" s="47" t="s">
        <v>2248</v>
      </c>
      <c r="Z6763" s="47" t="s">
        <v>2636</v>
      </c>
      <c r="AA6763" s="56">
        <v>0.51703999999999994</v>
      </c>
      <c r="AB6763" s="13"/>
      <c r="AC6763" s="13"/>
      <c r="AD6763" s="13"/>
      <c r="AE6763" s="13"/>
      <c r="AF6763" s="13"/>
    </row>
    <row r="6764" spans="19:32" x14ac:dyDescent="0.35">
      <c r="S6764" s="13"/>
      <c r="T6764" s="16"/>
      <c r="U6764" s="16"/>
      <c r="V6764" s="16"/>
      <c r="W6764" s="13"/>
      <c r="X6764" s="47">
        <v>6760</v>
      </c>
      <c r="Y6764" s="47" t="s">
        <v>2248</v>
      </c>
      <c r="Z6764" s="47" t="s">
        <v>2306</v>
      </c>
      <c r="AA6764" s="56">
        <v>0</v>
      </c>
      <c r="AB6764" s="13"/>
      <c r="AC6764" s="13"/>
      <c r="AD6764" s="13"/>
      <c r="AE6764" s="13"/>
      <c r="AF6764" s="13"/>
    </row>
    <row r="6765" spans="19:32" x14ac:dyDescent="0.35">
      <c r="S6765" s="13"/>
      <c r="T6765" s="16"/>
      <c r="U6765" s="16"/>
      <c r="V6765" s="16"/>
      <c r="W6765" s="13"/>
      <c r="X6765" s="34">
        <v>6761</v>
      </c>
      <c r="Y6765" s="34" t="s">
        <v>2248</v>
      </c>
      <c r="Z6765" s="34" t="s">
        <v>2635</v>
      </c>
      <c r="AA6765" s="35">
        <v>1.5491935483870969E-3</v>
      </c>
      <c r="AB6765" s="13"/>
      <c r="AC6765" s="13"/>
      <c r="AD6765" s="13"/>
      <c r="AE6765" s="13"/>
      <c r="AF6765" s="13"/>
    </row>
    <row r="6766" spans="19:32" x14ac:dyDescent="0.35">
      <c r="S6766" s="13"/>
      <c r="T6766" s="16"/>
      <c r="U6766" s="16"/>
      <c r="V6766" s="16"/>
      <c r="W6766" s="13"/>
      <c r="X6766" s="47">
        <v>6762</v>
      </c>
      <c r="Y6766" s="47" t="s">
        <v>2248</v>
      </c>
      <c r="Z6766" s="47" t="s">
        <v>2275</v>
      </c>
      <c r="AA6766" s="56">
        <v>0</v>
      </c>
      <c r="AB6766" s="13"/>
      <c r="AC6766" s="13"/>
      <c r="AD6766" s="13"/>
      <c r="AE6766" s="13"/>
      <c r="AF6766" s="13"/>
    </row>
    <row r="6767" spans="19:32" x14ac:dyDescent="0.35">
      <c r="S6767" s="13"/>
      <c r="T6767" s="16"/>
      <c r="U6767" s="16"/>
      <c r="V6767" s="16"/>
      <c r="W6767" s="13"/>
      <c r="X6767" s="47">
        <v>6763</v>
      </c>
      <c r="Y6767" s="47" t="s">
        <v>2248</v>
      </c>
      <c r="Z6767" s="47" t="s">
        <v>2634</v>
      </c>
      <c r="AA6767" s="56">
        <v>1.6468E-2</v>
      </c>
      <c r="AB6767" s="13"/>
      <c r="AC6767" s="13"/>
      <c r="AD6767" s="13"/>
      <c r="AE6767" s="13"/>
      <c r="AF6767" s="13"/>
    </row>
    <row r="6768" spans="19:32" x14ac:dyDescent="0.35">
      <c r="S6768" s="13"/>
      <c r="T6768" s="16"/>
      <c r="U6768" s="16"/>
      <c r="V6768" s="16"/>
      <c r="W6768" s="13"/>
      <c r="X6768" s="34">
        <v>6764</v>
      </c>
      <c r="Y6768" s="34" t="s">
        <v>2248</v>
      </c>
      <c r="Z6768" s="34" t="s">
        <v>2633</v>
      </c>
      <c r="AA6768" s="35">
        <v>7.5403225806451623E-4</v>
      </c>
      <c r="AB6768" s="13"/>
      <c r="AC6768" s="13"/>
      <c r="AD6768" s="13"/>
      <c r="AE6768" s="13"/>
      <c r="AF6768" s="13"/>
    </row>
    <row r="6769" spans="19:32" x14ac:dyDescent="0.35">
      <c r="S6769" s="13"/>
      <c r="T6769" s="16"/>
      <c r="U6769" s="16"/>
      <c r="V6769" s="16"/>
      <c r="W6769" s="13"/>
      <c r="X6769" s="47">
        <v>6765</v>
      </c>
      <c r="Y6769" s="47" t="s">
        <v>2248</v>
      </c>
      <c r="Z6769" s="47" t="s">
        <v>2632</v>
      </c>
      <c r="AA6769" s="56">
        <v>0</v>
      </c>
      <c r="AB6769" s="13"/>
      <c r="AC6769" s="13"/>
      <c r="AD6769" s="13"/>
      <c r="AE6769" s="13"/>
      <c r="AF6769" s="13"/>
    </row>
    <row r="6770" spans="19:32" x14ac:dyDescent="0.35">
      <c r="S6770" s="13"/>
      <c r="T6770" s="16"/>
      <c r="U6770" s="16"/>
      <c r="V6770" s="16"/>
      <c r="W6770" s="13"/>
      <c r="X6770" s="47">
        <v>6766</v>
      </c>
      <c r="Y6770" s="47" t="s">
        <v>2248</v>
      </c>
      <c r="Z6770" s="47" t="s">
        <v>2631</v>
      </c>
      <c r="AA6770" s="56">
        <v>39.008000000000003</v>
      </c>
      <c r="AB6770" s="13"/>
      <c r="AC6770" s="13"/>
      <c r="AD6770" s="13"/>
      <c r="AE6770" s="13"/>
      <c r="AF6770" s="13"/>
    </row>
    <row r="6771" spans="19:32" x14ac:dyDescent="0.35">
      <c r="S6771" s="13"/>
      <c r="T6771" s="16"/>
      <c r="U6771" s="16"/>
      <c r="V6771" s="16"/>
      <c r="W6771" s="13"/>
      <c r="X6771" s="34">
        <v>6767</v>
      </c>
      <c r="Y6771" s="34" t="s">
        <v>2248</v>
      </c>
      <c r="Z6771" s="34" t="s">
        <v>2630</v>
      </c>
      <c r="AA6771" s="35">
        <v>3.7701612903225808E-3</v>
      </c>
      <c r="AB6771" s="13"/>
      <c r="AC6771" s="13"/>
      <c r="AD6771" s="13"/>
      <c r="AE6771" s="13"/>
      <c r="AF6771" s="13"/>
    </row>
    <row r="6772" spans="19:32" x14ac:dyDescent="0.35">
      <c r="S6772" s="13"/>
      <c r="T6772" s="16"/>
      <c r="U6772" s="16"/>
      <c r="V6772" s="16"/>
      <c r="W6772" s="13"/>
      <c r="X6772" s="47">
        <v>6768</v>
      </c>
      <c r="Y6772" s="47" t="s">
        <v>2248</v>
      </c>
      <c r="Z6772" s="47" t="s">
        <v>2629</v>
      </c>
      <c r="AA6772" s="56">
        <v>5.0231999999999999E-2</v>
      </c>
      <c r="AB6772" s="13"/>
      <c r="AC6772" s="13"/>
      <c r="AD6772" s="13"/>
      <c r="AE6772" s="13"/>
      <c r="AF6772" s="13"/>
    </row>
    <row r="6773" spans="19:32" x14ac:dyDescent="0.35">
      <c r="S6773" s="13"/>
      <c r="T6773" s="16"/>
      <c r="U6773" s="16"/>
      <c r="V6773" s="16"/>
      <c r="W6773" s="13"/>
      <c r="X6773" s="34">
        <v>6769</v>
      </c>
      <c r="Y6773" s="34" t="s">
        <v>2248</v>
      </c>
      <c r="Z6773" s="34" t="s">
        <v>2628</v>
      </c>
      <c r="AA6773" s="35">
        <v>3.9758064516129036E-4</v>
      </c>
      <c r="AB6773" s="13"/>
      <c r="AC6773" s="13"/>
      <c r="AD6773" s="13"/>
      <c r="AE6773" s="13"/>
      <c r="AF6773" s="13"/>
    </row>
    <row r="6774" spans="19:32" x14ac:dyDescent="0.35">
      <c r="S6774" s="13"/>
      <c r="T6774" s="16"/>
      <c r="U6774" s="16"/>
      <c r="V6774" s="16"/>
      <c r="W6774" s="13"/>
      <c r="X6774" s="47">
        <v>6770</v>
      </c>
      <c r="Y6774" s="47" t="s">
        <v>2248</v>
      </c>
      <c r="Z6774" s="47" t="s">
        <v>2627</v>
      </c>
      <c r="AA6774" s="56">
        <v>0.97520000000000007</v>
      </c>
      <c r="AB6774" s="13"/>
      <c r="AC6774" s="13"/>
      <c r="AD6774" s="13"/>
      <c r="AE6774" s="13"/>
      <c r="AF6774" s="13"/>
    </row>
    <row r="6775" spans="19:32" x14ac:dyDescent="0.35">
      <c r="S6775" s="13"/>
      <c r="T6775" s="16"/>
      <c r="U6775" s="16"/>
      <c r="V6775" s="16"/>
      <c r="W6775" s="13"/>
      <c r="X6775" s="47">
        <v>6771</v>
      </c>
      <c r="Y6775" s="47" t="s">
        <v>2248</v>
      </c>
      <c r="Z6775" s="47" t="s">
        <v>2626</v>
      </c>
      <c r="AA6775" s="56">
        <v>2.6496</v>
      </c>
      <c r="AB6775" s="13"/>
      <c r="AC6775" s="13"/>
      <c r="AD6775" s="13"/>
      <c r="AE6775" s="13"/>
      <c r="AF6775" s="13"/>
    </row>
    <row r="6776" spans="19:32" x14ac:dyDescent="0.35">
      <c r="S6776" s="13"/>
      <c r="T6776" s="16"/>
      <c r="U6776" s="16"/>
      <c r="V6776" s="16"/>
      <c r="W6776" s="13"/>
      <c r="X6776" s="34">
        <v>6772</v>
      </c>
      <c r="Y6776" s="34" t="s">
        <v>2248</v>
      </c>
      <c r="Z6776" s="34" t="s">
        <v>2625</v>
      </c>
      <c r="AA6776" s="35">
        <v>4.6270161290322583E-3</v>
      </c>
      <c r="AB6776" s="13"/>
      <c r="AC6776" s="13"/>
      <c r="AD6776" s="13"/>
      <c r="AE6776" s="13"/>
      <c r="AF6776" s="13"/>
    </row>
    <row r="6777" spans="19:32" x14ac:dyDescent="0.35">
      <c r="S6777" s="13"/>
      <c r="T6777" s="16"/>
      <c r="U6777" s="16"/>
      <c r="V6777" s="16"/>
      <c r="W6777" s="13"/>
      <c r="X6777" s="47">
        <v>6773</v>
      </c>
      <c r="Y6777" s="47" t="s">
        <v>2248</v>
      </c>
      <c r="Z6777" s="47" t="s">
        <v>2624</v>
      </c>
      <c r="AA6777" s="56">
        <v>0</v>
      </c>
      <c r="AB6777" s="13"/>
      <c r="AC6777" s="13"/>
      <c r="AD6777" s="13"/>
      <c r="AE6777" s="13"/>
      <c r="AF6777" s="13"/>
    </row>
    <row r="6778" spans="19:32" x14ac:dyDescent="0.35">
      <c r="S6778" s="13"/>
      <c r="T6778" s="16"/>
      <c r="U6778" s="16"/>
      <c r="V6778" s="16"/>
      <c r="W6778" s="13"/>
      <c r="X6778" s="47">
        <v>6774</v>
      </c>
      <c r="Y6778" s="47" t="s">
        <v>2248</v>
      </c>
      <c r="Z6778" s="47" t="s">
        <v>2623</v>
      </c>
      <c r="AA6778" s="56">
        <v>0</v>
      </c>
      <c r="AB6778" s="13"/>
      <c r="AC6778" s="13"/>
      <c r="AD6778" s="13"/>
      <c r="AE6778" s="13"/>
      <c r="AF6778" s="13"/>
    </row>
    <row r="6779" spans="19:32" x14ac:dyDescent="0.35">
      <c r="S6779" s="13"/>
      <c r="T6779" s="16"/>
      <c r="U6779" s="16"/>
      <c r="V6779" s="16"/>
      <c r="W6779" s="13"/>
      <c r="X6779" s="34">
        <v>6775</v>
      </c>
      <c r="Y6779" s="34" t="s">
        <v>2248</v>
      </c>
      <c r="Z6779" s="34" t="s">
        <v>2622</v>
      </c>
      <c r="AA6779" s="35">
        <v>5.4838709677419362E-5</v>
      </c>
      <c r="AB6779" s="13"/>
      <c r="AC6779" s="13"/>
      <c r="AD6779" s="13"/>
      <c r="AE6779" s="13"/>
      <c r="AF6779" s="13"/>
    </row>
    <row r="6780" spans="19:32" x14ac:dyDescent="0.35">
      <c r="S6780" s="13"/>
      <c r="T6780" s="16"/>
      <c r="U6780" s="16"/>
      <c r="V6780" s="16"/>
      <c r="W6780" s="13"/>
      <c r="X6780" s="47">
        <v>6776</v>
      </c>
      <c r="Y6780" s="47" t="s">
        <v>2248</v>
      </c>
      <c r="Z6780" s="47" t="s">
        <v>2621</v>
      </c>
      <c r="AA6780" s="56">
        <v>14.719999999999999</v>
      </c>
      <c r="AB6780" s="13"/>
      <c r="AC6780" s="13"/>
      <c r="AD6780" s="13"/>
      <c r="AE6780" s="13"/>
      <c r="AF6780" s="13"/>
    </row>
    <row r="6781" spans="19:32" x14ac:dyDescent="0.35">
      <c r="S6781" s="13"/>
      <c r="T6781" s="16"/>
      <c r="U6781" s="16"/>
      <c r="V6781" s="16"/>
      <c r="W6781" s="13"/>
      <c r="X6781" s="47">
        <v>6777</v>
      </c>
      <c r="Y6781" s="47" t="s">
        <v>2248</v>
      </c>
      <c r="Z6781" s="47" t="s">
        <v>2620</v>
      </c>
      <c r="AA6781" s="56">
        <v>0</v>
      </c>
      <c r="AB6781" s="13"/>
      <c r="AC6781" s="13"/>
      <c r="AD6781" s="13"/>
      <c r="AE6781" s="13"/>
      <c r="AF6781" s="13"/>
    </row>
    <row r="6782" spans="19:32" x14ac:dyDescent="0.35">
      <c r="S6782" s="13"/>
      <c r="T6782" s="16"/>
      <c r="U6782" s="16"/>
      <c r="V6782" s="16"/>
      <c r="W6782" s="13"/>
      <c r="X6782" s="34">
        <v>6778</v>
      </c>
      <c r="Y6782" s="34" t="s">
        <v>2248</v>
      </c>
      <c r="Z6782" s="34" t="s">
        <v>2619</v>
      </c>
      <c r="AA6782" s="35">
        <v>3.7701612903225809E-2</v>
      </c>
      <c r="AB6782" s="13"/>
      <c r="AC6782" s="13"/>
      <c r="AD6782" s="13"/>
      <c r="AE6782" s="13"/>
      <c r="AF6782" s="13"/>
    </row>
    <row r="6783" spans="19:32" x14ac:dyDescent="0.35">
      <c r="S6783" s="13"/>
      <c r="T6783" s="16"/>
      <c r="U6783" s="16"/>
      <c r="V6783" s="16"/>
      <c r="W6783" s="13"/>
      <c r="X6783" s="47">
        <v>6779</v>
      </c>
      <c r="Y6783" s="47" t="s">
        <v>2248</v>
      </c>
      <c r="Z6783" s="47" t="s">
        <v>2618</v>
      </c>
      <c r="AA6783" s="56">
        <v>0</v>
      </c>
      <c r="AB6783" s="13"/>
      <c r="AC6783" s="13"/>
      <c r="AD6783" s="13"/>
      <c r="AE6783" s="13"/>
      <c r="AF6783" s="13"/>
    </row>
    <row r="6784" spans="19:32" x14ac:dyDescent="0.35">
      <c r="S6784" s="13"/>
      <c r="T6784" s="16"/>
      <c r="U6784" s="16"/>
      <c r="V6784" s="16"/>
      <c r="W6784" s="13"/>
      <c r="X6784" s="47">
        <v>6780</v>
      </c>
      <c r="Y6784" s="47" t="s">
        <v>2248</v>
      </c>
      <c r="Z6784" s="47" t="s">
        <v>2617</v>
      </c>
      <c r="AA6784" s="56">
        <v>0.253</v>
      </c>
      <c r="AB6784" s="13"/>
      <c r="AC6784" s="13"/>
      <c r="AD6784" s="13"/>
      <c r="AE6784" s="13"/>
      <c r="AF6784" s="13"/>
    </row>
    <row r="6785" spans="19:32" x14ac:dyDescent="0.35">
      <c r="S6785" s="13"/>
      <c r="T6785" s="16"/>
      <c r="U6785" s="16"/>
      <c r="V6785" s="16"/>
      <c r="W6785" s="13"/>
      <c r="X6785" s="34">
        <v>6781</v>
      </c>
      <c r="Y6785" s="34" t="s">
        <v>2248</v>
      </c>
      <c r="Z6785" s="34" t="s">
        <v>2616</v>
      </c>
      <c r="AA6785" s="35">
        <v>2.0838709677419357E-4</v>
      </c>
      <c r="AB6785" s="13"/>
      <c r="AC6785" s="13"/>
      <c r="AD6785" s="13"/>
      <c r="AE6785" s="13"/>
      <c r="AF6785" s="13"/>
    </row>
    <row r="6786" spans="19:32" x14ac:dyDescent="0.35">
      <c r="S6786" s="13"/>
      <c r="T6786" s="16"/>
      <c r="U6786" s="16"/>
      <c r="V6786" s="16"/>
      <c r="W6786" s="13"/>
      <c r="X6786" s="47">
        <v>6782</v>
      </c>
      <c r="Y6786" s="47" t="s">
        <v>2248</v>
      </c>
      <c r="Z6786" s="47" t="s">
        <v>2615</v>
      </c>
      <c r="AA6786" s="56">
        <v>0.55936000000000008</v>
      </c>
      <c r="AB6786" s="13"/>
      <c r="AC6786" s="13"/>
      <c r="AD6786" s="13"/>
      <c r="AE6786" s="13"/>
      <c r="AF6786" s="13"/>
    </row>
    <row r="6787" spans="19:32" x14ac:dyDescent="0.35">
      <c r="S6787" s="13"/>
      <c r="T6787" s="16"/>
      <c r="U6787" s="16"/>
      <c r="V6787" s="16"/>
      <c r="W6787" s="13"/>
      <c r="X6787" s="34">
        <v>6783</v>
      </c>
      <c r="Y6787" s="34" t="s">
        <v>2248</v>
      </c>
      <c r="Z6787" s="34" t="s">
        <v>2614</v>
      </c>
      <c r="AA6787" s="35">
        <v>9.2197580645161301E-3</v>
      </c>
      <c r="AB6787" s="13"/>
      <c r="AC6787" s="13"/>
      <c r="AD6787" s="13"/>
      <c r="AE6787" s="13"/>
      <c r="AF6787" s="13"/>
    </row>
    <row r="6788" spans="19:32" x14ac:dyDescent="0.35">
      <c r="S6788" s="13"/>
      <c r="T6788" s="16"/>
      <c r="U6788" s="16"/>
      <c r="V6788" s="16"/>
      <c r="W6788" s="13"/>
      <c r="X6788" s="47">
        <v>6784</v>
      </c>
      <c r="Y6788" s="47" t="s">
        <v>2248</v>
      </c>
      <c r="Z6788" s="47" t="s">
        <v>2613</v>
      </c>
      <c r="AA6788" s="56">
        <v>0</v>
      </c>
      <c r="AB6788" s="13"/>
      <c r="AC6788" s="13"/>
      <c r="AD6788" s="13"/>
      <c r="AE6788" s="13"/>
      <c r="AF6788" s="13"/>
    </row>
    <row r="6789" spans="19:32" x14ac:dyDescent="0.35">
      <c r="S6789" s="13"/>
      <c r="T6789" s="16"/>
      <c r="U6789" s="16"/>
      <c r="V6789" s="16"/>
      <c r="W6789" s="13"/>
      <c r="X6789" s="47">
        <v>6785</v>
      </c>
      <c r="Y6789" s="47" t="s">
        <v>2248</v>
      </c>
      <c r="Z6789" s="47" t="s">
        <v>2612</v>
      </c>
      <c r="AA6789" s="56">
        <v>0</v>
      </c>
      <c r="AB6789" s="13"/>
      <c r="AC6789" s="13"/>
      <c r="AD6789" s="13"/>
      <c r="AE6789" s="13"/>
      <c r="AF6789" s="13"/>
    </row>
    <row r="6790" spans="19:32" x14ac:dyDescent="0.35">
      <c r="S6790" s="13"/>
      <c r="T6790" s="16"/>
      <c r="U6790" s="16"/>
      <c r="V6790" s="16"/>
      <c r="W6790" s="13"/>
      <c r="X6790" s="34">
        <v>6786</v>
      </c>
      <c r="Y6790" s="34" t="s">
        <v>2248</v>
      </c>
      <c r="Z6790" s="34" t="s">
        <v>2611</v>
      </c>
      <c r="AA6790" s="35">
        <v>1.8028225806451614E-3</v>
      </c>
      <c r="AB6790" s="13"/>
      <c r="AC6790" s="13"/>
      <c r="AD6790" s="13"/>
      <c r="AE6790" s="13"/>
      <c r="AF6790" s="13"/>
    </row>
    <row r="6791" spans="19:32" x14ac:dyDescent="0.35">
      <c r="S6791" s="13"/>
      <c r="T6791" s="16"/>
      <c r="U6791" s="16"/>
      <c r="V6791" s="16"/>
      <c r="W6791" s="13"/>
      <c r="X6791" s="47">
        <v>6787</v>
      </c>
      <c r="Y6791" s="47" t="s">
        <v>2248</v>
      </c>
      <c r="Z6791" s="47" t="s">
        <v>2610</v>
      </c>
      <c r="AA6791" s="56">
        <v>0.12052</v>
      </c>
      <c r="AB6791" s="13"/>
      <c r="AC6791" s="13"/>
      <c r="AD6791" s="13"/>
      <c r="AE6791" s="13"/>
      <c r="AF6791" s="13"/>
    </row>
    <row r="6792" spans="19:32" x14ac:dyDescent="0.35">
      <c r="S6792" s="13"/>
      <c r="T6792" s="16"/>
      <c r="U6792" s="16"/>
      <c r="V6792" s="16"/>
      <c r="W6792" s="13"/>
      <c r="X6792" s="47">
        <v>6788</v>
      </c>
      <c r="Y6792" s="47" t="s">
        <v>2248</v>
      </c>
      <c r="Z6792" s="47" t="s">
        <v>2609</v>
      </c>
      <c r="AA6792" s="56">
        <v>8.6756E-2</v>
      </c>
      <c r="AB6792" s="13"/>
      <c r="AC6792" s="13"/>
      <c r="AD6792" s="13"/>
      <c r="AE6792" s="13"/>
      <c r="AF6792" s="13"/>
    </row>
    <row r="6793" spans="19:32" x14ac:dyDescent="0.35">
      <c r="S6793" s="13"/>
      <c r="T6793" s="16"/>
      <c r="U6793" s="16"/>
      <c r="V6793" s="16"/>
      <c r="W6793" s="13"/>
      <c r="X6793" s="34">
        <v>6789</v>
      </c>
      <c r="Y6793" s="34" t="s">
        <v>2248</v>
      </c>
      <c r="Z6793" s="34" t="s">
        <v>2608</v>
      </c>
      <c r="AA6793" s="35">
        <v>2.765927419354839E-2</v>
      </c>
      <c r="AB6793" s="13"/>
      <c r="AC6793" s="13"/>
      <c r="AD6793" s="13"/>
      <c r="AE6793" s="13"/>
      <c r="AF6793" s="13"/>
    </row>
    <row r="6794" spans="19:32" x14ac:dyDescent="0.35">
      <c r="S6794" s="13"/>
      <c r="T6794" s="16"/>
      <c r="U6794" s="16"/>
      <c r="V6794" s="16"/>
      <c r="W6794" s="13"/>
      <c r="X6794" s="47">
        <v>6790</v>
      </c>
      <c r="Y6794" s="47" t="s">
        <v>2248</v>
      </c>
      <c r="Z6794" s="47" t="s">
        <v>2607</v>
      </c>
      <c r="AA6794" s="56">
        <v>0.72496000000000005</v>
      </c>
      <c r="AB6794" s="13"/>
      <c r="AC6794" s="13"/>
      <c r="AD6794" s="13"/>
      <c r="AE6794" s="13"/>
      <c r="AF6794" s="13"/>
    </row>
    <row r="6795" spans="19:32" x14ac:dyDescent="0.35">
      <c r="S6795" s="13"/>
      <c r="T6795" s="16"/>
      <c r="U6795" s="16"/>
      <c r="V6795" s="16"/>
      <c r="W6795" s="13"/>
      <c r="X6795" s="47">
        <v>6791</v>
      </c>
      <c r="Y6795" s="47" t="s">
        <v>2248</v>
      </c>
      <c r="Z6795" s="47" t="s">
        <v>2606</v>
      </c>
      <c r="AA6795" s="56">
        <v>0</v>
      </c>
      <c r="AB6795" s="13"/>
      <c r="AC6795" s="13"/>
      <c r="AD6795" s="13"/>
      <c r="AE6795" s="13"/>
      <c r="AF6795" s="13"/>
    </row>
    <row r="6796" spans="19:32" x14ac:dyDescent="0.35">
      <c r="S6796" s="13"/>
      <c r="T6796" s="16"/>
      <c r="U6796" s="16"/>
      <c r="V6796" s="16"/>
      <c r="W6796" s="13"/>
      <c r="X6796" s="34">
        <v>6792</v>
      </c>
      <c r="Y6796" s="34" t="s">
        <v>2248</v>
      </c>
      <c r="Z6796" s="34" t="s">
        <v>2605</v>
      </c>
      <c r="AA6796" s="35">
        <v>1.4395161290322582E-2</v>
      </c>
      <c r="AB6796" s="13"/>
      <c r="AC6796" s="13"/>
      <c r="AD6796" s="13"/>
      <c r="AE6796" s="13"/>
      <c r="AF6796" s="13"/>
    </row>
    <row r="6797" spans="19:32" x14ac:dyDescent="0.35">
      <c r="S6797" s="13"/>
      <c r="T6797" s="16"/>
      <c r="U6797" s="16"/>
      <c r="V6797" s="16"/>
      <c r="W6797" s="13"/>
      <c r="X6797" s="47">
        <v>6793</v>
      </c>
      <c r="Y6797" s="47" t="s">
        <v>2248</v>
      </c>
      <c r="Z6797" s="47" t="s">
        <v>2604</v>
      </c>
      <c r="AA6797" s="56">
        <v>6.5504000000000007E-2</v>
      </c>
      <c r="AB6797" s="13"/>
      <c r="AC6797" s="13"/>
      <c r="AD6797" s="13"/>
      <c r="AE6797" s="13"/>
      <c r="AF6797" s="13"/>
    </row>
    <row r="6798" spans="19:32" x14ac:dyDescent="0.35">
      <c r="S6798" s="13"/>
      <c r="T6798" s="16"/>
      <c r="U6798" s="16"/>
      <c r="V6798" s="16"/>
      <c r="W6798" s="13"/>
      <c r="X6798" s="34">
        <v>6794</v>
      </c>
      <c r="Y6798" s="34" t="s">
        <v>2248</v>
      </c>
      <c r="Z6798" s="34" t="s">
        <v>2603</v>
      </c>
      <c r="AA6798" s="35">
        <v>0.57923387096774193</v>
      </c>
      <c r="AB6798" s="13"/>
      <c r="AC6798" s="13"/>
      <c r="AD6798" s="13"/>
      <c r="AE6798" s="13"/>
      <c r="AF6798" s="13"/>
    </row>
    <row r="6799" spans="19:32" x14ac:dyDescent="0.35">
      <c r="S6799" s="13"/>
      <c r="T6799" s="16"/>
      <c r="U6799" s="16"/>
      <c r="V6799" s="16"/>
      <c r="W6799" s="13"/>
      <c r="X6799" s="47">
        <v>6795</v>
      </c>
      <c r="Y6799" s="47" t="s">
        <v>2248</v>
      </c>
      <c r="Z6799" s="47" t="s">
        <v>2602</v>
      </c>
      <c r="AA6799" s="56">
        <v>13.34</v>
      </c>
      <c r="AB6799" s="13"/>
      <c r="AC6799" s="13"/>
      <c r="AD6799" s="13"/>
      <c r="AE6799" s="13"/>
      <c r="AF6799" s="13"/>
    </row>
    <row r="6800" spans="19:32" x14ac:dyDescent="0.35">
      <c r="S6800" s="13"/>
      <c r="T6800" s="16"/>
      <c r="U6800" s="16"/>
      <c r="V6800" s="16"/>
      <c r="W6800" s="13"/>
      <c r="X6800" s="47">
        <v>6796</v>
      </c>
      <c r="Y6800" s="47" t="s">
        <v>2248</v>
      </c>
      <c r="Z6800" s="47" t="s">
        <v>2601</v>
      </c>
      <c r="AA6800" s="56">
        <v>5.1152000000000003E-2</v>
      </c>
      <c r="AB6800" s="13"/>
      <c r="AC6800" s="13"/>
      <c r="AD6800" s="13"/>
      <c r="AE6800" s="13"/>
      <c r="AF6800" s="13"/>
    </row>
    <row r="6801" spans="19:32" x14ac:dyDescent="0.35">
      <c r="S6801" s="13"/>
      <c r="T6801" s="16"/>
      <c r="U6801" s="16"/>
      <c r="V6801" s="16"/>
      <c r="W6801" s="13"/>
      <c r="X6801" s="34">
        <v>6797</v>
      </c>
      <c r="Y6801" s="34" t="s">
        <v>2248</v>
      </c>
      <c r="Z6801" s="34" t="s">
        <v>2600</v>
      </c>
      <c r="AA6801" s="35">
        <v>2.3854838709677421E-2</v>
      </c>
      <c r="AB6801" s="13"/>
      <c r="AC6801" s="13"/>
      <c r="AD6801" s="13"/>
      <c r="AE6801" s="13"/>
      <c r="AF6801" s="13"/>
    </row>
    <row r="6802" spans="19:32" x14ac:dyDescent="0.35">
      <c r="S6802" s="13"/>
      <c r="T6802" s="16"/>
      <c r="U6802" s="16"/>
      <c r="V6802" s="16"/>
      <c r="W6802" s="13"/>
      <c r="X6802" s="47">
        <v>6798</v>
      </c>
      <c r="Y6802" s="47" t="s">
        <v>2248</v>
      </c>
      <c r="Z6802" s="47" t="s">
        <v>2599</v>
      </c>
      <c r="AA6802" s="56">
        <v>0</v>
      </c>
      <c r="AB6802" s="13"/>
      <c r="AC6802" s="13"/>
      <c r="AD6802" s="13"/>
      <c r="AE6802" s="13"/>
      <c r="AF6802" s="13"/>
    </row>
    <row r="6803" spans="19:32" x14ac:dyDescent="0.35">
      <c r="S6803" s="13"/>
      <c r="T6803" s="16"/>
      <c r="U6803" s="16"/>
      <c r="V6803" s="16"/>
      <c r="W6803" s="13"/>
      <c r="X6803" s="47">
        <v>6799</v>
      </c>
      <c r="Y6803" s="47" t="s">
        <v>2248</v>
      </c>
      <c r="Z6803" s="47" t="s">
        <v>2598</v>
      </c>
      <c r="AA6803" s="56">
        <v>0</v>
      </c>
      <c r="AB6803" s="13"/>
      <c r="AC6803" s="13"/>
      <c r="AD6803" s="13"/>
      <c r="AE6803" s="13"/>
      <c r="AF6803" s="13"/>
    </row>
    <row r="6804" spans="19:32" x14ac:dyDescent="0.35">
      <c r="S6804" s="13"/>
      <c r="T6804" s="16"/>
      <c r="U6804" s="16"/>
      <c r="V6804" s="16"/>
      <c r="W6804" s="13"/>
      <c r="X6804" s="34">
        <v>6800</v>
      </c>
      <c r="Y6804" s="34" t="s">
        <v>2248</v>
      </c>
      <c r="Z6804" s="34" t="s">
        <v>2597</v>
      </c>
      <c r="AA6804" s="35">
        <v>5.0725806451612911E-4</v>
      </c>
      <c r="AB6804" s="13"/>
      <c r="AC6804" s="13"/>
      <c r="AD6804" s="13"/>
      <c r="AE6804" s="13"/>
      <c r="AF6804" s="13"/>
    </row>
    <row r="6805" spans="19:32" x14ac:dyDescent="0.35">
      <c r="S6805" s="13"/>
      <c r="T6805" s="16"/>
      <c r="U6805" s="16"/>
      <c r="V6805" s="16"/>
      <c r="W6805" s="13"/>
      <c r="X6805" s="47">
        <v>6801</v>
      </c>
      <c r="Y6805" s="47" t="s">
        <v>2248</v>
      </c>
      <c r="Z6805" s="47" t="s">
        <v>2596</v>
      </c>
      <c r="AA6805" s="56">
        <v>691.83999999999992</v>
      </c>
      <c r="AB6805" s="13"/>
      <c r="AC6805" s="13"/>
      <c r="AD6805" s="13"/>
      <c r="AE6805" s="13"/>
      <c r="AF6805" s="13"/>
    </row>
    <row r="6806" spans="19:32" x14ac:dyDescent="0.35">
      <c r="S6806" s="13"/>
      <c r="T6806" s="16"/>
      <c r="U6806" s="16"/>
      <c r="V6806" s="16"/>
      <c r="W6806" s="13"/>
      <c r="X6806" s="47">
        <v>6802</v>
      </c>
      <c r="Y6806" s="47" t="s">
        <v>2248</v>
      </c>
      <c r="Z6806" s="47" t="s">
        <v>2595</v>
      </c>
      <c r="AA6806" s="56">
        <v>0.44896000000000003</v>
      </c>
      <c r="AB6806" s="13"/>
      <c r="AC6806" s="13"/>
      <c r="AD6806" s="13"/>
      <c r="AE6806" s="13"/>
      <c r="AF6806" s="13"/>
    </row>
    <row r="6807" spans="19:32" x14ac:dyDescent="0.35">
      <c r="S6807" s="13"/>
      <c r="T6807" s="16"/>
      <c r="U6807" s="16"/>
      <c r="V6807" s="16"/>
      <c r="W6807" s="13"/>
      <c r="X6807" s="34">
        <v>6803</v>
      </c>
      <c r="Y6807" s="34" t="s">
        <v>2248</v>
      </c>
      <c r="Z6807" s="34" t="s">
        <v>2594</v>
      </c>
      <c r="AA6807" s="35">
        <v>3.9758064516129033E-5</v>
      </c>
      <c r="AB6807" s="13"/>
      <c r="AC6807" s="13"/>
      <c r="AD6807" s="13"/>
      <c r="AE6807" s="13"/>
      <c r="AF6807" s="13"/>
    </row>
    <row r="6808" spans="19:32" x14ac:dyDescent="0.35">
      <c r="S6808" s="13"/>
      <c r="T6808" s="16"/>
      <c r="U6808" s="16"/>
      <c r="V6808" s="16"/>
      <c r="W6808" s="13"/>
      <c r="X6808" s="47">
        <v>6804</v>
      </c>
      <c r="Y6808" s="47" t="s">
        <v>2248</v>
      </c>
      <c r="Z6808" s="47" t="s">
        <v>2593</v>
      </c>
      <c r="AA6808" s="56">
        <v>0</v>
      </c>
      <c r="AB6808" s="13"/>
      <c r="AC6808" s="13"/>
      <c r="AD6808" s="13"/>
      <c r="AE6808" s="13"/>
      <c r="AF6808" s="13"/>
    </row>
    <row r="6809" spans="19:32" x14ac:dyDescent="0.35">
      <c r="S6809" s="13"/>
      <c r="T6809" s="16"/>
      <c r="U6809" s="16"/>
      <c r="V6809" s="16"/>
      <c r="W6809" s="13"/>
      <c r="X6809" s="47">
        <v>6805</v>
      </c>
      <c r="Y6809" s="47" t="s">
        <v>2248</v>
      </c>
      <c r="Z6809" s="47" t="s">
        <v>2592</v>
      </c>
      <c r="AA6809" s="56">
        <v>0</v>
      </c>
      <c r="AB6809" s="13"/>
      <c r="AC6809" s="13"/>
      <c r="AD6809" s="13"/>
      <c r="AE6809" s="13"/>
      <c r="AF6809" s="13"/>
    </row>
    <row r="6810" spans="19:32" x14ac:dyDescent="0.35">
      <c r="S6810" s="13"/>
      <c r="T6810" s="16"/>
      <c r="U6810" s="16"/>
      <c r="V6810" s="16"/>
      <c r="W6810" s="13"/>
      <c r="X6810" s="34">
        <v>6806</v>
      </c>
      <c r="Y6810" s="34" t="s">
        <v>2248</v>
      </c>
      <c r="Z6810" s="34" t="s">
        <v>2591</v>
      </c>
      <c r="AA6810" s="35">
        <v>1.1790322580645163E-2</v>
      </c>
      <c r="AB6810" s="13"/>
      <c r="AC6810" s="13"/>
      <c r="AD6810" s="13"/>
      <c r="AE6810" s="13"/>
      <c r="AF6810" s="13"/>
    </row>
    <row r="6811" spans="19:32" x14ac:dyDescent="0.35">
      <c r="S6811" s="13"/>
      <c r="T6811" s="16"/>
      <c r="U6811" s="16"/>
      <c r="V6811" s="16"/>
      <c r="W6811" s="13"/>
      <c r="X6811" s="47">
        <v>6807</v>
      </c>
      <c r="Y6811" s="47" t="s">
        <v>2248</v>
      </c>
      <c r="Z6811" s="47" t="s">
        <v>2590</v>
      </c>
      <c r="AA6811" s="56">
        <v>0</v>
      </c>
      <c r="AB6811" s="13"/>
      <c r="AC6811" s="13"/>
      <c r="AD6811" s="13"/>
      <c r="AE6811" s="13"/>
      <c r="AF6811" s="13"/>
    </row>
    <row r="6812" spans="19:32" x14ac:dyDescent="0.35">
      <c r="S6812" s="13"/>
      <c r="T6812" s="16"/>
      <c r="U6812" s="16"/>
      <c r="V6812" s="16"/>
      <c r="W6812" s="13"/>
      <c r="X6812" s="34">
        <v>6808</v>
      </c>
      <c r="Y6812" s="34" t="s">
        <v>2248</v>
      </c>
      <c r="Z6812" s="34" t="s">
        <v>2589</v>
      </c>
      <c r="AA6812" s="35">
        <v>9.0141129032258079E-3</v>
      </c>
      <c r="AB6812" s="13"/>
      <c r="AC6812" s="13"/>
      <c r="AD6812" s="13"/>
      <c r="AE6812" s="13"/>
      <c r="AF6812" s="13"/>
    </row>
    <row r="6813" spans="19:32" x14ac:dyDescent="0.35">
      <c r="S6813" s="13"/>
      <c r="T6813" s="16"/>
      <c r="U6813" s="16"/>
      <c r="V6813" s="16"/>
      <c r="W6813" s="13"/>
      <c r="X6813" s="47">
        <v>6809</v>
      </c>
      <c r="Y6813" s="47" t="s">
        <v>2248</v>
      </c>
      <c r="Z6813" s="47" t="s">
        <v>2588</v>
      </c>
      <c r="AA6813" s="56">
        <v>1.0948</v>
      </c>
      <c r="AB6813" s="13"/>
      <c r="AC6813" s="13"/>
      <c r="AD6813" s="13"/>
      <c r="AE6813" s="13"/>
      <c r="AF6813" s="13"/>
    </row>
    <row r="6814" spans="19:32" x14ac:dyDescent="0.35">
      <c r="S6814" s="13"/>
      <c r="T6814" s="16"/>
      <c r="U6814" s="16"/>
      <c r="V6814" s="16"/>
      <c r="W6814" s="13"/>
      <c r="X6814" s="47">
        <v>6810</v>
      </c>
      <c r="Y6814" s="47" t="s">
        <v>2248</v>
      </c>
      <c r="Z6814" s="47" t="s">
        <v>2587</v>
      </c>
      <c r="AA6814" s="56">
        <v>0</v>
      </c>
      <c r="AB6814" s="13"/>
      <c r="AC6814" s="13"/>
      <c r="AD6814" s="13"/>
      <c r="AE6814" s="13"/>
      <c r="AF6814" s="13"/>
    </row>
    <row r="6815" spans="19:32" x14ac:dyDescent="0.35">
      <c r="S6815" s="13"/>
      <c r="T6815" s="16"/>
      <c r="U6815" s="16"/>
      <c r="V6815" s="16"/>
      <c r="W6815" s="13"/>
      <c r="X6815" s="34">
        <v>6811</v>
      </c>
      <c r="Y6815" s="34" t="s">
        <v>2248</v>
      </c>
      <c r="Z6815" s="34" t="s">
        <v>2586</v>
      </c>
      <c r="AA6815" s="35">
        <v>2.9441532258064516E-4</v>
      </c>
      <c r="AB6815" s="13"/>
      <c r="AC6815" s="13"/>
      <c r="AD6815" s="13"/>
      <c r="AE6815" s="13"/>
      <c r="AF6815" s="13"/>
    </row>
    <row r="6816" spans="19:32" x14ac:dyDescent="0.35">
      <c r="S6816" s="13"/>
      <c r="T6816" s="16"/>
      <c r="U6816" s="16"/>
      <c r="V6816" s="16"/>
      <c r="W6816" s="13"/>
      <c r="X6816" s="47">
        <v>6812</v>
      </c>
      <c r="Y6816" s="47" t="s">
        <v>2248</v>
      </c>
      <c r="Z6816" s="47" t="s">
        <v>2585</v>
      </c>
      <c r="AA6816" s="56">
        <v>0.2392</v>
      </c>
      <c r="AB6816" s="13"/>
      <c r="AC6816" s="13"/>
      <c r="AD6816" s="13"/>
      <c r="AE6816" s="13"/>
      <c r="AF6816" s="13"/>
    </row>
    <row r="6817" spans="19:32" x14ac:dyDescent="0.35">
      <c r="S6817" s="13"/>
      <c r="T6817" s="16"/>
      <c r="U6817" s="16"/>
      <c r="V6817" s="16"/>
      <c r="W6817" s="13"/>
      <c r="X6817" s="47">
        <v>6813</v>
      </c>
      <c r="Y6817" s="47" t="s">
        <v>2248</v>
      </c>
      <c r="Z6817" s="47" t="s">
        <v>2584</v>
      </c>
      <c r="AA6817" s="56">
        <v>0.66975999999999991</v>
      </c>
      <c r="AB6817" s="13"/>
      <c r="AC6817" s="13"/>
      <c r="AD6817" s="13"/>
      <c r="AE6817" s="13"/>
      <c r="AF6817" s="13"/>
    </row>
    <row r="6818" spans="19:32" x14ac:dyDescent="0.35">
      <c r="S6818" s="13"/>
      <c r="T6818" s="16"/>
      <c r="U6818" s="16"/>
      <c r="V6818" s="16"/>
      <c r="W6818" s="13"/>
      <c r="X6818" s="34">
        <v>6814</v>
      </c>
      <c r="Y6818" s="34" t="s">
        <v>2248</v>
      </c>
      <c r="Z6818" s="34" t="s">
        <v>2583</v>
      </c>
      <c r="AA6818" s="35">
        <v>2.0050403225806452E-4</v>
      </c>
      <c r="AB6818" s="13"/>
      <c r="AC6818" s="13"/>
      <c r="AD6818" s="13"/>
      <c r="AE6818" s="13"/>
      <c r="AF6818" s="13"/>
    </row>
    <row r="6819" spans="19:32" x14ac:dyDescent="0.35">
      <c r="S6819" s="13"/>
      <c r="T6819" s="16"/>
      <c r="U6819" s="16"/>
      <c r="V6819" s="16"/>
      <c r="W6819" s="13"/>
      <c r="X6819" s="47">
        <v>6815</v>
      </c>
      <c r="Y6819" s="47" t="s">
        <v>2248</v>
      </c>
      <c r="Z6819" s="47" t="s">
        <v>2582</v>
      </c>
      <c r="AA6819" s="56">
        <v>0</v>
      </c>
      <c r="AB6819" s="13"/>
      <c r="AC6819" s="13"/>
      <c r="AD6819" s="13"/>
      <c r="AE6819" s="13"/>
      <c r="AF6819" s="13"/>
    </row>
    <row r="6820" spans="19:32" x14ac:dyDescent="0.35">
      <c r="S6820" s="13"/>
      <c r="T6820" s="16"/>
      <c r="U6820" s="16"/>
      <c r="V6820" s="16"/>
      <c r="W6820" s="13"/>
      <c r="X6820" s="47">
        <v>6816</v>
      </c>
      <c r="Y6820" s="47" t="s">
        <v>2248</v>
      </c>
      <c r="Z6820" s="47" t="s">
        <v>2581</v>
      </c>
      <c r="AA6820" s="56">
        <v>2.2631999999999999E-2</v>
      </c>
      <c r="AB6820" s="13"/>
      <c r="AC6820" s="13"/>
      <c r="AD6820" s="13"/>
      <c r="AE6820" s="13"/>
      <c r="AF6820" s="13"/>
    </row>
    <row r="6821" spans="19:32" x14ac:dyDescent="0.35">
      <c r="S6821" s="13"/>
      <c r="T6821" s="16"/>
      <c r="U6821" s="16"/>
      <c r="V6821" s="16"/>
      <c r="W6821" s="13"/>
      <c r="X6821" s="34">
        <v>6817</v>
      </c>
      <c r="Y6821" s="34" t="s">
        <v>2248</v>
      </c>
      <c r="Z6821" s="34" t="s">
        <v>2580</v>
      </c>
      <c r="AA6821" s="35">
        <v>4.5241935483870972E-3</v>
      </c>
      <c r="AB6821" s="13"/>
      <c r="AC6821" s="13"/>
      <c r="AD6821" s="13"/>
      <c r="AE6821" s="13"/>
      <c r="AF6821" s="13"/>
    </row>
    <row r="6822" spans="19:32" x14ac:dyDescent="0.35">
      <c r="S6822" s="13"/>
      <c r="T6822" s="16"/>
      <c r="U6822" s="16"/>
      <c r="V6822" s="16"/>
      <c r="W6822" s="13"/>
      <c r="X6822" s="47">
        <v>6818</v>
      </c>
      <c r="Y6822" s="47" t="s">
        <v>2248</v>
      </c>
      <c r="Z6822" s="47" t="s">
        <v>2579</v>
      </c>
      <c r="AA6822" s="56">
        <v>6.5228000000000005E-3</v>
      </c>
      <c r="AB6822" s="13"/>
      <c r="AC6822" s="13"/>
      <c r="AD6822" s="13"/>
      <c r="AE6822" s="13"/>
      <c r="AF6822" s="13"/>
    </row>
    <row r="6823" spans="19:32" x14ac:dyDescent="0.35">
      <c r="S6823" s="13"/>
      <c r="T6823" s="16"/>
      <c r="U6823" s="16"/>
      <c r="V6823" s="16"/>
      <c r="W6823" s="13"/>
      <c r="X6823" s="34">
        <v>6819</v>
      </c>
      <c r="Y6823" s="34" t="s">
        <v>2248</v>
      </c>
      <c r="Z6823" s="34" t="s">
        <v>2578</v>
      </c>
      <c r="AA6823" s="35">
        <v>1.6211693548387096E-3</v>
      </c>
      <c r="AB6823" s="13"/>
      <c r="AC6823" s="13"/>
      <c r="AD6823" s="13"/>
      <c r="AE6823" s="13"/>
      <c r="AF6823" s="13"/>
    </row>
    <row r="6824" spans="19:32" x14ac:dyDescent="0.35">
      <c r="S6824" s="13"/>
      <c r="T6824" s="16"/>
      <c r="U6824" s="16"/>
      <c r="V6824" s="16"/>
      <c r="W6824" s="13"/>
      <c r="X6824" s="47">
        <v>6820</v>
      </c>
      <c r="Y6824" s="47" t="s">
        <v>2248</v>
      </c>
      <c r="Z6824" s="47" t="s">
        <v>2577</v>
      </c>
      <c r="AA6824" s="56">
        <v>0</v>
      </c>
      <c r="AB6824" s="13"/>
      <c r="AC6824" s="13"/>
      <c r="AD6824" s="13"/>
      <c r="AE6824" s="13"/>
      <c r="AF6824" s="13"/>
    </row>
    <row r="6825" spans="19:32" x14ac:dyDescent="0.35">
      <c r="S6825" s="13"/>
      <c r="T6825" s="16"/>
      <c r="U6825" s="16"/>
      <c r="V6825" s="16"/>
      <c r="W6825" s="13"/>
      <c r="X6825" s="47">
        <v>6821</v>
      </c>
      <c r="Y6825" s="47" t="s">
        <v>2248</v>
      </c>
      <c r="Z6825" s="47" t="s">
        <v>2576</v>
      </c>
      <c r="AA6825" s="56">
        <v>0.21988000000000002</v>
      </c>
      <c r="AB6825" s="13"/>
      <c r="AC6825" s="13"/>
      <c r="AD6825" s="13"/>
      <c r="AE6825" s="13"/>
      <c r="AF6825" s="13"/>
    </row>
    <row r="6826" spans="19:32" x14ac:dyDescent="0.35">
      <c r="S6826" s="13"/>
      <c r="T6826" s="16"/>
      <c r="U6826" s="16"/>
      <c r="V6826" s="16"/>
      <c r="W6826" s="13"/>
      <c r="X6826" s="34">
        <v>6822</v>
      </c>
      <c r="Y6826" s="34" t="s">
        <v>2248</v>
      </c>
      <c r="Z6826" s="34" t="s">
        <v>2575</v>
      </c>
      <c r="AA6826" s="35">
        <v>5.106854838709678E-5</v>
      </c>
      <c r="AB6826" s="13"/>
      <c r="AC6826" s="13"/>
      <c r="AD6826" s="13"/>
      <c r="AE6826" s="13"/>
      <c r="AF6826" s="13"/>
    </row>
    <row r="6827" spans="19:32" x14ac:dyDescent="0.35">
      <c r="S6827" s="13"/>
      <c r="T6827" s="16"/>
      <c r="U6827" s="16"/>
      <c r="V6827" s="16"/>
      <c r="W6827" s="13"/>
      <c r="X6827" s="47">
        <v>6823</v>
      </c>
      <c r="Y6827" s="47" t="s">
        <v>2248</v>
      </c>
      <c r="Z6827" s="47" t="s">
        <v>2574</v>
      </c>
      <c r="AA6827" s="56">
        <v>0</v>
      </c>
      <c r="AB6827" s="13"/>
      <c r="AC6827" s="13"/>
      <c r="AD6827" s="13"/>
      <c r="AE6827" s="13"/>
      <c r="AF6827" s="13"/>
    </row>
    <row r="6828" spans="19:32" x14ac:dyDescent="0.35">
      <c r="S6828" s="13"/>
      <c r="T6828" s="16"/>
      <c r="U6828" s="16"/>
      <c r="V6828" s="16"/>
      <c r="W6828" s="13"/>
      <c r="X6828" s="47">
        <v>6824</v>
      </c>
      <c r="Y6828" s="47" t="s">
        <v>2248</v>
      </c>
      <c r="Z6828" s="47" t="s">
        <v>2573</v>
      </c>
      <c r="AA6828" s="56">
        <v>0</v>
      </c>
      <c r="AB6828" s="13"/>
      <c r="AC6828" s="13"/>
      <c r="AD6828" s="13"/>
      <c r="AE6828" s="13"/>
      <c r="AF6828" s="13"/>
    </row>
    <row r="6829" spans="19:32" x14ac:dyDescent="0.35">
      <c r="S6829" s="13"/>
      <c r="T6829" s="16"/>
      <c r="U6829" s="16"/>
      <c r="V6829" s="16"/>
      <c r="W6829" s="13"/>
      <c r="X6829" s="34">
        <v>6825</v>
      </c>
      <c r="Y6829" s="34" t="s">
        <v>2248</v>
      </c>
      <c r="Z6829" s="34" t="s">
        <v>2572</v>
      </c>
      <c r="AA6829" s="35">
        <v>3.9758064516129035E-3</v>
      </c>
      <c r="AB6829" s="13"/>
      <c r="AC6829" s="13"/>
      <c r="AD6829" s="13"/>
      <c r="AE6829" s="13"/>
      <c r="AF6829" s="13"/>
    </row>
    <row r="6830" spans="19:32" x14ac:dyDescent="0.35">
      <c r="S6830" s="13"/>
      <c r="T6830" s="16"/>
      <c r="U6830" s="16"/>
      <c r="V6830" s="16"/>
      <c r="W6830" s="13"/>
      <c r="X6830" s="47">
        <v>6826</v>
      </c>
      <c r="Y6830" s="47" t="s">
        <v>2248</v>
      </c>
      <c r="Z6830" s="47" t="s">
        <v>2571</v>
      </c>
      <c r="AA6830" s="56">
        <v>0</v>
      </c>
      <c r="AB6830" s="13"/>
      <c r="AC6830" s="13"/>
      <c r="AD6830" s="13"/>
      <c r="AE6830" s="13"/>
      <c r="AF6830" s="13"/>
    </row>
    <row r="6831" spans="19:32" x14ac:dyDescent="0.35">
      <c r="S6831" s="13"/>
      <c r="T6831" s="16"/>
      <c r="U6831" s="16"/>
      <c r="V6831" s="16"/>
      <c r="W6831" s="13"/>
      <c r="X6831" s="47">
        <v>6827</v>
      </c>
      <c r="Y6831" s="47" t="s">
        <v>2248</v>
      </c>
      <c r="Z6831" s="47" t="s">
        <v>2570</v>
      </c>
      <c r="AA6831" s="56">
        <v>0</v>
      </c>
      <c r="AB6831" s="13"/>
      <c r="AC6831" s="13"/>
      <c r="AD6831" s="13"/>
      <c r="AE6831" s="13"/>
      <c r="AF6831" s="13"/>
    </row>
    <row r="6832" spans="19:32" x14ac:dyDescent="0.35">
      <c r="S6832" s="13"/>
      <c r="T6832" s="16"/>
      <c r="U6832" s="16"/>
      <c r="V6832" s="16"/>
      <c r="W6832" s="13"/>
      <c r="X6832" s="34">
        <v>6828</v>
      </c>
      <c r="Y6832" s="34" t="s">
        <v>2248</v>
      </c>
      <c r="Z6832" s="34" t="s">
        <v>2569</v>
      </c>
      <c r="AA6832" s="35">
        <v>4.4213709677419358E-4</v>
      </c>
      <c r="AB6832" s="13"/>
      <c r="AC6832" s="13"/>
      <c r="AD6832" s="13"/>
      <c r="AE6832" s="13"/>
      <c r="AF6832" s="13"/>
    </row>
    <row r="6833" spans="19:32" x14ac:dyDescent="0.35">
      <c r="S6833" s="13"/>
      <c r="T6833" s="16"/>
      <c r="U6833" s="16"/>
      <c r="V6833" s="16"/>
      <c r="W6833" s="13"/>
      <c r="X6833" s="47">
        <v>6829</v>
      </c>
      <c r="Y6833" s="47" t="s">
        <v>2248</v>
      </c>
      <c r="Z6833" s="47" t="s">
        <v>2568</v>
      </c>
      <c r="AA6833" s="56">
        <v>0</v>
      </c>
      <c r="AB6833" s="13"/>
      <c r="AC6833" s="13"/>
      <c r="AD6833" s="13"/>
      <c r="AE6833" s="13"/>
      <c r="AF6833" s="13"/>
    </row>
    <row r="6834" spans="19:32" x14ac:dyDescent="0.35">
      <c r="S6834" s="13"/>
      <c r="T6834" s="16"/>
      <c r="U6834" s="16"/>
      <c r="V6834" s="16"/>
      <c r="W6834" s="13"/>
      <c r="X6834" s="47">
        <v>6830</v>
      </c>
      <c r="Y6834" s="47" t="s">
        <v>2248</v>
      </c>
      <c r="Z6834" s="47" t="s">
        <v>2567</v>
      </c>
      <c r="AA6834" s="56">
        <v>0</v>
      </c>
      <c r="AB6834" s="13"/>
      <c r="AC6834" s="13"/>
      <c r="AD6834" s="13"/>
      <c r="AE6834" s="13"/>
      <c r="AF6834" s="13"/>
    </row>
    <row r="6835" spans="19:32" x14ac:dyDescent="0.35">
      <c r="S6835" s="13"/>
      <c r="T6835" s="16"/>
      <c r="U6835" s="16"/>
      <c r="V6835" s="16"/>
      <c r="W6835" s="13"/>
      <c r="X6835" s="34">
        <v>6831</v>
      </c>
      <c r="Y6835" s="34" t="s">
        <v>2248</v>
      </c>
      <c r="Z6835" s="34" t="s">
        <v>2566</v>
      </c>
      <c r="AA6835" s="35">
        <v>1.0487903225806453E-4</v>
      </c>
      <c r="AB6835" s="13"/>
      <c r="AC6835" s="13"/>
      <c r="AD6835" s="13"/>
      <c r="AE6835" s="13"/>
      <c r="AF6835" s="13"/>
    </row>
    <row r="6836" spans="19:32" x14ac:dyDescent="0.35">
      <c r="S6836" s="13"/>
      <c r="T6836" s="16"/>
      <c r="U6836" s="16"/>
      <c r="V6836" s="16"/>
      <c r="W6836" s="13"/>
      <c r="X6836" s="47">
        <v>6832</v>
      </c>
      <c r="Y6836" s="47" t="s">
        <v>2248</v>
      </c>
      <c r="Z6836" s="47" t="s">
        <v>2565</v>
      </c>
      <c r="AA6836" s="56">
        <v>3.7628000000000002E-2</v>
      </c>
      <c r="AB6836" s="13"/>
      <c r="AC6836" s="13"/>
      <c r="AD6836" s="13"/>
      <c r="AE6836" s="13"/>
      <c r="AF6836" s="13"/>
    </row>
    <row r="6837" spans="19:32" x14ac:dyDescent="0.35">
      <c r="S6837" s="13"/>
      <c r="T6837" s="16"/>
      <c r="U6837" s="16"/>
      <c r="V6837" s="16"/>
      <c r="W6837" s="13"/>
      <c r="X6837" s="34">
        <v>6833</v>
      </c>
      <c r="Y6837" s="34" t="s">
        <v>2248</v>
      </c>
      <c r="Z6837" s="34" t="s">
        <v>2564</v>
      </c>
      <c r="AA6837" s="35">
        <v>2.3340725806451614E-4</v>
      </c>
      <c r="AB6837" s="13"/>
      <c r="AC6837" s="13"/>
      <c r="AD6837" s="13"/>
      <c r="AE6837" s="13"/>
      <c r="AF6837" s="13"/>
    </row>
    <row r="6838" spans="19:32" x14ac:dyDescent="0.35">
      <c r="S6838" s="13"/>
      <c r="T6838" s="16"/>
      <c r="U6838" s="16"/>
      <c r="V6838" s="16"/>
      <c r="W6838" s="13"/>
      <c r="X6838" s="47">
        <v>6834</v>
      </c>
      <c r="Y6838" s="47" t="s">
        <v>2248</v>
      </c>
      <c r="Z6838" s="47" t="s">
        <v>2563</v>
      </c>
      <c r="AA6838" s="56">
        <v>1.012</v>
      </c>
      <c r="AB6838" s="13"/>
      <c r="AC6838" s="13"/>
      <c r="AD6838" s="13"/>
      <c r="AE6838" s="13"/>
      <c r="AF6838" s="13"/>
    </row>
    <row r="6839" spans="19:32" x14ac:dyDescent="0.35">
      <c r="S6839" s="13"/>
      <c r="T6839" s="16"/>
      <c r="U6839" s="16"/>
      <c r="V6839" s="16"/>
      <c r="W6839" s="13"/>
      <c r="X6839" s="47">
        <v>6835</v>
      </c>
      <c r="Y6839" s="47" t="s">
        <v>2248</v>
      </c>
      <c r="Z6839" s="47" t="s">
        <v>2562</v>
      </c>
      <c r="AA6839" s="56">
        <v>0</v>
      </c>
      <c r="AB6839" s="13"/>
      <c r="AC6839" s="13"/>
      <c r="AD6839" s="13"/>
      <c r="AE6839" s="13"/>
      <c r="AF6839" s="13"/>
    </row>
    <row r="6840" spans="19:32" x14ac:dyDescent="0.35">
      <c r="S6840" s="13"/>
      <c r="T6840" s="16"/>
      <c r="U6840" s="16"/>
      <c r="V6840" s="16"/>
      <c r="W6840" s="13"/>
      <c r="X6840" s="34">
        <v>6836</v>
      </c>
      <c r="Y6840" s="34" t="s">
        <v>2248</v>
      </c>
      <c r="Z6840" s="34" t="s">
        <v>2561</v>
      </c>
      <c r="AA6840" s="35">
        <v>3.3383064516129035E-4</v>
      </c>
      <c r="AB6840" s="13"/>
      <c r="AC6840" s="13"/>
      <c r="AD6840" s="13"/>
      <c r="AE6840" s="13"/>
      <c r="AF6840" s="13"/>
    </row>
    <row r="6841" spans="19:32" x14ac:dyDescent="0.35">
      <c r="S6841" s="13"/>
      <c r="T6841" s="16"/>
      <c r="U6841" s="16"/>
      <c r="V6841" s="16"/>
      <c r="W6841" s="13"/>
      <c r="X6841" s="47">
        <v>6837</v>
      </c>
      <c r="Y6841" s="47" t="s">
        <v>2248</v>
      </c>
      <c r="Z6841" s="47" t="s">
        <v>2560</v>
      </c>
      <c r="AA6841" s="56">
        <v>0.17111999999999999</v>
      </c>
      <c r="AB6841" s="13"/>
      <c r="AC6841" s="13"/>
      <c r="AD6841" s="13"/>
      <c r="AE6841" s="13"/>
      <c r="AF6841" s="13"/>
    </row>
    <row r="6842" spans="19:32" x14ac:dyDescent="0.35">
      <c r="S6842" s="13"/>
      <c r="T6842" s="16"/>
      <c r="U6842" s="16"/>
      <c r="V6842" s="16"/>
      <c r="W6842" s="13"/>
      <c r="X6842" s="47">
        <v>6838</v>
      </c>
      <c r="Y6842" s="47" t="s">
        <v>2248</v>
      </c>
      <c r="Z6842" s="47" t="s">
        <v>2559</v>
      </c>
      <c r="AA6842" s="56">
        <v>2.8612000000000002E-2</v>
      </c>
      <c r="AB6842" s="13"/>
      <c r="AC6842" s="13"/>
      <c r="AD6842" s="13"/>
      <c r="AE6842" s="13"/>
      <c r="AF6842" s="13"/>
    </row>
    <row r="6843" spans="19:32" x14ac:dyDescent="0.35">
      <c r="S6843" s="13"/>
      <c r="T6843" s="16"/>
      <c r="U6843" s="16"/>
      <c r="V6843" s="16"/>
      <c r="W6843" s="13"/>
      <c r="X6843" s="34">
        <v>6839</v>
      </c>
      <c r="Y6843" s="34" t="s">
        <v>2248</v>
      </c>
      <c r="Z6843" s="34" t="s">
        <v>2558</v>
      </c>
      <c r="AA6843" s="35">
        <v>3.0264112903225811E-4</v>
      </c>
      <c r="AB6843" s="13"/>
      <c r="AC6843" s="13"/>
      <c r="AD6843" s="13"/>
      <c r="AE6843" s="13"/>
      <c r="AF6843" s="13"/>
    </row>
    <row r="6844" spans="19:32" x14ac:dyDescent="0.35">
      <c r="S6844" s="13"/>
      <c r="T6844" s="16"/>
      <c r="U6844" s="16"/>
      <c r="V6844" s="16"/>
      <c r="W6844" s="13"/>
      <c r="X6844" s="47">
        <v>6840</v>
      </c>
      <c r="Y6844" s="47" t="s">
        <v>2248</v>
      </c>
      <c r="Z6844" s="47" t="s">
        <v>2557</v>
      </c>
      <c r="AA6844" s="56">
        <v>0</v>
      </c>
      <c r="AB6844" s="13"/>
      <c r="AC6844" s="13"/>
      <c r="AD6844" s="13"/>
      <c r="AE6844" s="13"/>
      <c r="AF6844" s="13"/>
    </row>
    <row r="6845" spans="19:32" x14ac:dyDescent="0.35">
      <c r="S6845" s="13"/>
      <c r="T6845" s="16"/>
      <c r="U6845" s="16"/>
      <c r="V6845" s="16"/>
      <c r="W6845" s="13"/>
      <c r="X6845" s="47">
        <v>6841</v>
      </c>
      <c r="Y6845" s="47" t="s">
        <v>2248</v>
      </c>
      <c r="Z6845" s="47" t="s">
        <v>2556</v>
      </c>
      <c r="AA6845" s="56">
        <v>0</v>
      </c>
      <c r="AB6845" s="13"/>
      <c r="AC6845" s="13"/>
      <c r="AD6845" s="13"/>
      <c r="AE6845" s="13"/>
      <c r="AF6845" s="13"/>
    </row>
    <row r="6846" spans="19:32" x14ac:dyDescent="0.35">
      <c r="S6846" s="13"/>
      <c r="T6846" s="16"/>
      <c r="U6846" s="16"/>
      <c r="V6846" s="16"/>
      <c r="W6846" s="13"/>
      <c r="X6846" s="34">
        <v>6842</v>
      </c>
      <c r="Y6846" s="34" t="s">
        <v>2248</v>
      </c>
      <c r="Z6846" s="34" t="s">
        <v>2555</v>
      </c>
      <c r="AA6846" s="35">
        <v>5.0725806451612909E-3</v>
      </c>
      <c r="AB6846" s="13"/>
      <c r="AC6846" s="13"/>
      <c r="AD6846" s="13"/>
      <c r="AE6846" s="13"/>
      <c r="AF6846" s="13"/>
    </row>
    <row r="6847" spans="19:32" x14ac:dyDescent="0.35">
      <c r="S6847" s="13"/>
      <c r="T6847" s="16"/>
      <c r="U6847" s="16"/>
      <c r="V6847" s="16"/>
      <c r="W6847" s="13"/>
      <c r="X6847" s="47">
        <v>6843</v>
      </c>
      <c r="Y6847" s="47" t="s">
        <v>2248</v>
      </c>
      <c r="Z6847" s="47" t="s">
        <v>2554</v>
      </c>
      <c r="AA6847" s="56">
        <v>0.2346</v>
      </c>
      <c r="AB6847" s="13"/>
      <c r="AC6847" s="13"/>
      <c r="AD6847" s="13"/>
      <c r="AE6847" s="13"/>
      <c r="AF6847" s="13"/>
    </row>
    <row r="6848" spans="19:32" x14ac:dyDescent="0.35">
      <c r="S6848" s="13"/>
      <c r="T6848" s="16"/>
      <c r="U6848" s="16"/>
      <c r="V6848" s="16"/>
      <c r="W6848" s="13"/>
      <c r="X6848" s="34">
        <v>6844</v>
      </c>
      <c r="Y6848" s="34" t="s">
        <v>2248</v>
      </c>
      <c r="Z6848" s="34" t="s">
        <v>2553</v>
      </c>
      <c r="AA6848" s="35">
        <v>5.175403225806452E-2</v>
      </c>
      <c r="AB6848" s="13"/>
      <c r="AC6848" s="13"/>
      <c r="AD6848" s="13"/>
      <c r="AE6848" s="13"/>
      <c r="AF6848" s="13"/>
    </row>
    <row r="6849" spans="19:32" x14ac:dyDescent="0.35">
      <c r="S6849" s="13"/>
      <c r="T6849" s="16"/>
      <c r="U6849" s="16"/>
      <c r="V6849" s="16"/>
      <c r="W6849" s="13"/>
      <c r="X6849" s="47">
        <v>6845</v>
      </c>
      <c r="Y6849" s="47" t="s">
        <v>2248</v>
      </c>
      <c r="Z6849" s="47" t="s">
        <v>2552</v>
      </c>
      <c r="AA6849" s="56">
        <v>1.8308</v>
      </c>
      <c r="AB6849" s="13"/>
      <c r="AC6849" s="13"/>
      <c r="AD6849" s="13"/>
      <c r="AE6849" s="13"/>
      <c r="AF6849" s="13"/>
    </row>
    <row r="6850" spans="19:32" x14ac:dyDescent="0.35">
      <c r="S6850" s="13"/>
      <c r="T6850" s="16"/>
      <c r="U6850" s="16"/>
      <c r="V6850" s="16"/>
      <c r="W6850" s="13"/>
      <c r="X6850" s="47">
        <v>6846</v>
      </c>
      <c r="Y6850" s="47" t="s">
        <v>2248</v>
      </c>
      <c r="Z6850" s="47" t="s">
        <v>2551</v>
      </c>
      <c r="AA6850" s="56">
        <v>119.6</v>
      </c>
      <c r="AB6850" s="13"/>
      <c r="AC6850" s="13"/>
      <c r="AD6850" s="13"/>
      <c r="AE6850" s="13"/>
      <c r="AF6850" s="13"/>
    </row>
    <row r="6851" spans="19:32" x14ac:dyDescent="0.35">
      <c r="S6851" s="13"/>
      <c r="T6851" s="16"/>
      <c r="U6851" s="16"/>
      <c r="V6851" s="16"/>
      <c r="W6851" s="13"/>
      <c r="X6851" s="34">
        <v>6847</v>
      </c>
      <c r="Y6851" s="34" t="s">
        <v>2248</v>
      </c>
      <c r="Z6851" s="34" t="s">
        <v>2550</v>
      </c>
      <c r="AA6851" s="35">
        <v>3.393145161290323E-7</v>
      </c>
      <c r="AB6851" s="13"/>
      <c r="AC6851" s="13"/>
      <c r="AD6851" s="13"/>
      <c r="AE6851" s="13"/>
      <c r="AF6851" s="13"/>
    </row>
    <row r="6852" spans="19:32" x14ac:dyDescent="0.35">
      <c r="S6852" s="13"/>
      <c r="T6852" s="16"/>
      <c r="U6852" s="16"/>
      <c r="V6852" s="16"/>
      <c r="W6852" s="13"/>
      <c r="X6852" s="47">
        <v>6848</v>
      </c>
      <c r="Y6852" s="47" t="s">
        <v>2248</v>
      </c>
      <c r="Z6852" s="47" t="s">
        <v>2549</v>
      </c>
      <c r="AA6852" s="56">
        <v>26.404</v>
      </c>
      <c r="AB6852" s="13"/>
      <c r="AC6852" s="13"/>
      <c r="AD6852" s="13"/>
      <c r="AE6852" s="13"/>
      <c r="AF6852" s="13"/>
    </row>
    <row r="6853" spans="19:32" x14ac:dyDescent="0.35">
      <c r="S6853" s="13"/>
      <c r="T6853" s="16"/>
      <c r="U6853" s="16"/>
      <c r="V6853" s="16"/>
      <c r="W6853" s="13"/>
      <c r="X6853" s="47">
        <v>6849</v>
      </c>
      <c r="Y6853" s="47" t="s">
        <v>2248</v>
      </c>
      <c r="Z6853" s="47" t="s">
        <v>2548</v>
      </c>
      <c r="AA6853" s="56">
        <v>9.0251999999999999</v>
      </c>
      <c r="AB6853" s="13"/>
      <c r="AC6853" s="13"/>
      <c r="AD6853" s="13"/>
      <c r="AE6853" s="13"/>
      <c r="AF6853" s="13"/>
    </row>
    <row r="6854" spans="19:32" x14ac:dyDescent="0.35">
      <c r="S6854" s="13"/>
      <c r="T6854" s="16"/>
      <c r="U6854" s="16"/>
      <c r="V6854" s="16"/>
      <c r="W6854" s="13"/>
      <c r="X6854" s="34">
        <v>6850</v>
      </c>
      <c r="Y6854" s="34" t="s">
        <v>2248</v>
      </c>
      <c r="Z6854" s="34" t="s">
        <v>2547</v>
      </c>
      <c r="AA6854" s="35">
        <v>3.132661290322581E-2</v>
      </c>
      <c r="AB6854" s="13"/>
      <c r="AC6854" s="13"/>
      <c r="AD6854" s="13"/>
      <c r="AE6854" s="13"/>
      <c r="AF6854" s="13"/>
    </row>
    <row r="6855" spans="19:32" x14ac:dyDescent="0.35">
      <c r="S6855" s="13"/>
      <c r="T6855" s="16"/>
      <c r="U6855" s="16"/>
      <c r="V6855" s="16"/>
      <c r="W6855" s="13"/>
      <c r="X6855" s="47">
        <v>6851</v>
      </c>
      <c r="Y6855" s="47" t="s">
        <v>2248</v>
      </c>
      <c r="Z6855" s="47" t="s">
        <v>2546</v>
      </c>
      <c r="AA6855" s="56">
        <v>2.1252</v>
      </c>
      <c r="AB6855" s="13"/>
      <c r="AC6855" s="13"/>
      <c r="AD6855" s="13"/>
      <c r="AE6855" s="13"/>
      <c r="AF6855" s="13"/>
    </row>
    <row r="6856" spans="19:32" x14ac:dyDescent="0.35">
      <c r="S6856" s="13"/>
      <c r="T6856" s="16"/>
      <c r="U6856" s="16"/>
      <c r="V6856" s="16"/>
      <c r="W6856" s="13"/>
      <c r="X6856" s="47">
        <v>6852</v>
      </c>
      <c r="Y6856" s="47" t="s">
        <v>2248</v>
      </c>
      <c r="Z6856" s="47" t="s">
        <v>2545</v>
      </c>
      <c r="AA6856" s="56">
        <v>0</v>
      </c>
      <c r="AB6856" s="13"/>
      <c r="AC6856" s="13"/>
      <c r="AD6856" s="13"/>
      <c r="AE6856" s="13"/>
      <c r="AF6856" s="13"/>
    </row>
    <row r="6857" spans="19:32" x14ac:dyDescent="0.35">
      <c r="S6857" s="13"/>
      <c r="T6857" s="16"/>
      <c r="U6857" s="16"/>
      <c r="V6857" s="16"/>
      <c r="W6857" s="13"/>
      <c r="X6857" s="34">
        <v>6853</v>
      </c>
      <c r="Y6857" s="34" t="s">
        <v>2248</v>
      </c>
      <c r="Z6857" s="34" t="s">
        <v>2544</v>
      </c>
      <c r="AA6857" s="35">
        <v>1.6931451612903227E-3</v>
      </c>
      <c r="AB6857" s="13"/>
      <c r="AC6857" s="13"/>
      <c r="AD6857" s="13"/>
      <c r="AE6857" s="13"/>
      <c r="AF6857" s="13"/>
    </row>
    <row r="6858" spans="19:32" x14ac:dyDescent="0.35">
      <c r="S6858" s="13"/>
      <c r="T6858" s="16"/>
      <c r="U6858" s="16"/>
      <c r="V6858" s="16"/>
      <c r="W6858" s="13"/>
      <c r="X6858" s="47">
        <v>6854</v>
      </c>
      <c r="Y6858" s="47" t="s">
        <v>2248</v>
      </c>
      <c r="Z6858" s="47" t="s">
        <v>2543</v>
      </c>
      <c r="AA6858" s="56">
        <v>0</v>
      </c>
      <c r="AB6858" s="13"/>
      <c r="AC6858" s="13"/>
      <c r="AD6858" s="13"/>
      <c r="AE6858" s="13"/>
      <c r="AF6858" s="13"/>
    </row>
    <row r="6859" spans="19:32" x14ac:dyDescent="0.35">
      <c r="S6859" s="13"/>
      <c r="T6859" s="16"/>
      <c r="U6859" s="16"/>
      <c r="V6859" s="16"/>
      <c r="W6859" s="13"/>
      <c r="X6859" s="47">
        <v>6855</v>
      </c>
      <c r="Y6859" s="47" t="s">
        <v>2248</v>
      </c>
      <c r="Z6859" s="47" t="s">
        <v>2542</v>
      </c>
      <c r="AA6859" s="56">
        <v>0</v>
      </c>
      <c r="AB6859" s="13"/>
      <c r="AC6859" s="13"/>
      <c r="AD6859" s="13"/>
      <c r="AE6859" s="13"/>
      <c r="AF6859" s="13"/>
    </row>
    <row r="6860" spans="19:32" x14ac:dyDescent="0.35">
      <c r="S6860" s="13"/>
      <c r="T6860" s="16"/>
      <c r="U6860" s="16"/>
      <c r="V6860" s="16"/>
      <c r="W6860" s="13"/>
      <c r="X6860" s="34">
        <v>6856</v>
      </c>
      <c r="Y6860" s="34" t="s">
        <v>2248</v>
      </c>
      <c r="Z6860" s="34" t="s">
        <v>2541</v>
      </c>
      <c r="AA6860" s="35">
        <v>1.0316532258064516E-4</v>
      </c>
      <c r="AB6860" s="13"/>
      <c r="AC6860" s="13"/>
      <c r="AD6860" s="13"/>
      <c r="AE6860" s="13"/>
      <c r="AF6860" s="13"/>
    </row>
    <row r="6861" spans="19:32" x14ac:dyDescent="0.35">
      <c r="S6861" s="13"/>
      <c r="T6861" s="16"/>
      <c r="U6861" s="16"/>
      <c r="V6861" s="16"/>
      <c r="W6861" s="13"/>
      <c r="X6861" s="47">
        <v>6857</v>
      </c>
      <c r="Y6861" s="47" t="s">
        <v>2248</v>
      </c>
      <c r="Z6861" s="47" t="s">
        <v>2540</v>
      </c>
      <c r="AA6861" s="56">
        <v>1.3431999999999999E-3</v>
      </c>
      <c r="AB6861" s="13"/>
      <c r="AC6861" s="13"/>
      <c r="AD6861" s="13"/>
      <c r="AE6861" s="13"/>
      <c r="AF6861" s="13"/>
    </row>
    <row r="6862" spans="19:32" x14ac:dyDescent="0.35">
      <c r="S6862" s="13"/>
      <c r="T6862" s="16"/>
      <c r="U6862" s="16"/>
      <c r="V6862" s="16"/>
      <c r="W6862" s="13"/>
      <c r="X6862" s="34">
        <v>6858</v>
      </c>
      <c r="Y6862" s="34" t="s">
        <v>2248</v>
      </c>
      <c r="Z6862" s="34" t="s">
        <v>2539</v>
      </c>
      <c r="AA6862" s="35">
        <v>2.68366935483871E-4</v>
      </c>
      <c r="AB6862" s="13"/>
      <c r="AC6862" s="13"/>
      <c r="AD6862" s="13"/>
      <c r="AE6862" s="13"/>
      <c r="AF6862" s="13"/>
    </row>
    <row r="6863" spans="19:32" x14ac:dyDescent="0.35">
      <c r="S6863" s="13"/>
      <c r="T6863" s="16"/>
      <c r="U6863" s="16"/>
      <c r="V6863" s="16"/>
      <c r="W6863" s="13"/>
      <c r="X6863" s="47">
        <v>6859</v>
      </c>
      <c r="Y6863" s="47" t="s">
        <v>2248</v>
      </c>
      <c r="Z6863" s="47" t="s">
        <v>2538</v>
      </c>
      <c r="AA6863" s="56">
        <v>0</v>
      </c>
      <c r="AB6863" s="13"/>
      <c r="AC6863" s="13"/>
      <c r="AD6863" s="13"/>
      <c r="AE6863" s="13"/>
      <c r="AF6863" s="13"/>
    </row>
    <row r="6864" spans="19:32" x14ac:dyDescent="0.35">
      <c r="S6864" s="13"/>
      <c r="T6864" s="16"/>
      <c r="U6864" s="16"/>
      <c r="V6864" s="16"/>
      <c r="W6864" s="13"/>
      <c r="X6864" s="47">
        <v>6860</v>
      </c>
      <c r="Y6864" s="47" t="s">
        <v>2248</v>
      </c>
      <c r="Z6864" s="47" t="s">
        <v>2537</v>
      </c>
      <c r="AA6864" s="56">
        <v>0.58235999999999999</v>
      </c>
      <c r="AB6864" s="13"/>
      <c r="AC6864" s="13"/>
      <c r="AD6864" s="13"/>
      <c r="AE6864" s="13"/>
      <c r="AF6864" s="13"/>
    </row>
    <row r="6865" spans="19:32" x14ac:dyDescent="0.35">
      <c r="S6865" s="13"/>
      <c r="T6865" s="16"/>
      <c r="U6865" s="16"/>
      <c r="V6865" s="16"/>
      <c r="W6865" s="13"/>
      <c r="X6865" s="34">
        <v>6861</v>
      </c>
      <c r="Y6865" s="34" t="s">
        <v>2248</v>
      </c>
      <c r="Z6865" s="34" t="s">
        <v>2536</v>
      </c>
      <c r="AA6865" s="35">
        <v>3.9072580645161292E-4</v>
      </c>
      <c r="AB6865" s="13"/>
      <c r="AC6865" s="13"/>
      <c r="AD6865" s="13"/>
      <c r="AE6865" s="13"/>
      <c r="AF6865" s="13"/>
    </row>
    <row r="6866" spans="19:32" x14ac:dyDescent="0.35">
      <c r="S6866" s="13"/>
      <c r="T6866" s="16"/>
      <c r="U6866" s="16"/>
      <c r="V6866" s="16"/>
      <c r="W6866" s="13"/>
      <c r="X6866" s="47">
        <v>6862</v>
      </c>
      <c r="Y6866" s="47" t="s">
        <v>2248</v>
      </c>
      <c r="Z6866" s="47" t="s">
        <v>2535</v>
      </c>
      <c r="AA6866" s="56">
        <v>0</v>
      </c>
      <c r="AB6866" s="13"/>
      <c r="AC6866" s="13"/>
      <c r="AD6866" s="13"/>
      <c r="AE6866" s="13"/>
      <c r="AF6866" s="13"/>
    </row>
    <row r="6867" spans="19:32" x14ac:dyDescent="0.35">
      <c r="S6867" s="13"/>
      <c r="T6867" s="16"/>
      <c r="U6867" s="16"/>
      <c r="V6867" s="16"/>
      <c r="W6867" s="13"/>
      <c r="X6867" s="47">
        <v>6863</v>
      </c>
      <c r="Y6867" s="47" t="s">
        <v>2248</v>
      </c>
      <c r="Z6867" s="47" t="s">
        <v>2534</v>
      </c>
      <c r="AA6867" s="56">
        <v>0</v>
      </c>
      <c r="AB6867" s="13"/>
      <c r="AC6867" s="13"/>
      <c r="AD6867" s="13"/>
      <c r="AE6867" s="13"/>
      <c r="AF6867" s="13"/>
    </row>
    <row r="6868" spans="19:32" x14ac:dyDescent="0.35">
      <c r="S6868" s="13"/>
      <c r="T6868" s="16"/>
      <c r="U6868" s="16"/>
      <c r="V6868" s="16"/>
      <c r="W6868" s="13"/>
      <c r="X6868" s="34">
        <v>6864</v>
      </c>
      <c r="Y6868" s="34" t="s">
        <v>2248</v>
      </c>
      <c r="Z6868" s="34" t="s">
        <v>2533</v>
      </c>
      <c r="AA6868" s="35">
        <v>5.1411290322580646E-3</v>
      </c>
      <c r="AB6868" s="13"/>
      <c r="AC6868" s="13"/>
      <c r="AD6868" s="13"/>
      <c r="AE6868" s="13"/>
      <c r="AF6868" s="13"/>
    </row>
    <row r="6869" spans="19:32" x14ac:dyDescent="0.35">
      <c r="S6869" s="13"/>
      <c r="T6869" s="16"/>
      <c r="U6869" s="16"/>
      <c r="V6869" s="16"/>
      <c r="W6869" s="13"/>
      <c r="X6869" s="47">
        <v>6865</v>
      </c>
      <c r="Y6869" s="47" t="s">
        <v>2248</v>
      </c>
      <c r="Z6869" s="47" t="s">
        <v>2532</v>
      </c>
      <c r="AA6869" s="56">
        <v>9.0251999999999999</v>
      </c>
      <c r="AB6869" s="13"/>
      <c r="AC6869" s="13"/>
      <c r="AD6869" s="13"/>
      <c r="AE6869" s="13"/>
      <c r="AF6869" s="13"/>
    </row>
    <row r="6870" spans="19:32" x14ac:dyDescent="0.35">
      <c r="S6870" s="13"/>
      <c r="T6870" s="16"/>
      <c r="U6870" s="16"/>
      <c r="V6870" s="16"/>
      <c r="W6870" s="13"/>
      <c r="X6870" s="47">
        <v>6866</v>
      </c>
      <c r="Y6870" s="47" t="s">
        <v>2248</v>
      </c>
      <c r="Z6870" s="47" t="s">
        <v>2531</v>
      </c>
      <c r="AA6870" s="56">
        <v>92</v>
      </c>
      <c r="AB6870" s="13"/>
      <c r="AC6870" s="13"/>
      <c r="AD6870" s="13"/>
      <c r="AE6870" s="13"/>
      <c r="AF6870" s="13"/>
    </row>
    <row r="6871" spans="19:32" x14ac:dyDescent="0.35">
      <c r="S6871" s="13"/>
      <c r="T6871" s="16"/>
      <c r="U6871" s="16"/>
      <c r="V6871" s="16"/>
      <c r="W6871" s="13"/>
      <c r="X6871" s="34">
        <v>6867</v>
      </c>
      <c r="Y6871" s="34" t="s">
        <v>2248</v>
      </c>
      <c r="Z6871" s="34" t="s">
        <v>2530</v>
      </c>
      <c r="AA6871" s="35">
        <v>1.2750000000000001E-2</v>
      </c>
      <c r="AB6871" s="13"/>
      <c r="AC6871" s="13"/>
      <c r="AD6871" s="13"/>
      <c r="AE6871" s="13"/>
      <c r="AF6871" s="13"/>
    </row>
    <row r="6872" spans="19:32" x14ac:dyDescent="0.35">
      <c r="S6872" s="13"/>
      <c r="T6872" s="16"/>
      <c r="U6872" s="16"/>
      <c r="V6872" s="16"/>
      <c r="W6872" s="13"/>
      <c r="X6872" s="47">
        <v>6868</v>
      </c>
      <c r="Y6872" s="47" t="s">
        <v>2248</v>
      </c>
      <c r="Z6872" s="47" t="s">
        <v>2529</v>
      </c>
      <c r="AA6872" s="56">
        <v>0</v>
      </c>
      <c r="AB6872" s="13"/>
      <c r="AC6872" s="13"/>
      <c r="AD6872" s="13"/>
      <c r="AE6872" s="13"/>
      <c r="AF6872" s="13"/>
    </row>
    <row r="6873" spans="19:32" x14ac:dyDescent="0.35">
      <c r="S6873" s="13"/>
      <c r="T6873" s="16"/>
      <c r="U6873" s="16"/>
      <c r="V6873" s="16"/>
      <c r="W6873" s="13"/>
      <c r="X6873" s="34">
        <v>6869</v>
      </c>
      <c r="Y6873" s="34" t="s">
        <v>2248</v>
      </c>
      <c r="Z6873" s="34" t="s">
        <v>2528</v>
      </c>
      <c r="AA6873" s="35">
        <v>1.0487903225806453E-3</v>
      </c>
      <c r="AB6873" s="13"/>
      <c r="AC6873" s="13"/>
      <c r="AD6873" s="13"/>
      <c r="AE6873" s="13"/>
      <c r="AF6873" s="13"/>
    </row>
    <row r="6874" spans="19:32" x14ac:dyDescent="0.35">
      <c r="S6874" s="13"/>
      <c r="T6874" s="16"/>
      <c r="U6874" s="16"/>
      <c r="V6874" s="16"/>
      <c r="W6874" s="13"/>
      <c r="X6874" s="47">
        <v>6870</v>
      </c>
      <c r="Y6874" s="47" t="s">
        <v>2248</v>
      </c>
      <c r="Z6874" s="47" t="s">
        <v>2527</v>
      </c>
      <c r="AA6874" s="56">
        <v>4.9404000000000003</v>
      </c>
      <c r="AB6874" s="13"/>
      <c r="AC6874" s="13"/>
      <c r="AD6874" s="13"/>
      <c r="AE6874" s="13"/>
      <c r="AF6874" s="13"/>
    </row>
    <row r="6875" spans="19:32" x14ac:dyDescent="0.35">
      <c r="S6875" s="13"/>
      <c r="T6875" s="16"/>
      <c r="U6875" s="16"/>
      <c r="V6875" s="16"/>
      <c r="W6875" s="13"/>
      <c r="X6875" s="47">
        <v>6871</v>
      </c>
      <c r="Y6875" s="47" t="s">
        <v>2248</v>
      </c>
      <c r="Z6875" s="47" t="s">
        <v>2526</v>
      </c>
      <c r="AA6875" s="56">
        <v>0.68079999999999996</v>
      </c>
      <c r="AB6875" s="13"/>
      <c r="AC6875" s="13"/>
      <c r="AD6875" s="13"/>
      <c r="AE6875" s="13"/>
      <c r="AF6875" s="13"/>
    </row>
    <row r="6876" spans="19:32" x14ac:dyDescent="0.35">
      <c r="S6876" s="13"/>
      <c r="T6876" s="16"/>
      <c r="U6876" s="16"/>
      <c r="V6876" s="16"/>
      <c r="W6876" s="13"/>
      <c r="X6876" s="34">
        <v>6872</v>
      </c>
      <c r="Y6876" s="34" t="s">
        <v>2248</v>
      </c>
      <c r="Z6876" s="34" t="s">
        <v>2525</v>
      </c>
      <c r="AA6876" s="35">
        <v>8.9112903225806455E-4</v>
      </c>
      <c r="AB6876" s="13"/>
      <c r="AC6876" s="13"/>
      <c r="AD6876" s="13"/>
      <c r="AE6876" s="13"/>
      <c r="AF6876" s="13"/>
    </row>
    <row r="6877" spans="19:32" x14ac:dyDescent="0.35">
      <c r="S6877" s="13"/>
      <c r="T6877" s="16"/>
      <c r="U6877" s="16"/>
      <c r="V6877" s="16"/>
      <c r="W6877" s="13"/>
      <c r="X6877" s="47">
        <v>6873</v>
      </c>
      <c r="Y6877" s="47" t="s">
        <v>2248</v>
      </c>
      <c r="Z6877" s="47" t="s">
        <v>2524</v>
      </c>
      <c r="AA6877" s="56">
        <v>0.93840000000000001</v>
      </c>
      <c r="AB6877" s="13"/>
      <c r="AC6877" s="13"/>
      <c r="AD6877" s="13"/>
      <c r="AE6877" s="13"/>
      <c r="AF6877" s="13"/>
    </row>
    <row r="6878" spans="19:32" x14ac:dyDescent="0.35">
      <c r="S6878" s="13"/>
      <c r="T6878" s="16"/>
      <c r="U6878" s="16"/>
      <c r="V6878" s="16"/>
      <c r="W6878" s="13"/>
      <c r="X6878" s="47">
        <v>6874</v>
      </c>
      <c r="Y6878" s="47" t="s">
        <v>2248</v>
      </c>
      <c r="Z6878" s="47" t="s">
        <v>2523</v>
      </c>
      <c r="AA6878" s="56">
        <v>1.4536</v>
      </c>
      <c r="AB6878" s="13"/>
      <c r="AC6878" s="13"/>
      <c r="AD6878" s="13"/>
      <c r="AE6878" s="13"/>
      <c r="AF6878" s="13"/>
    </row>
    <row r="6879" spans="19:32" x14ac:dyDescent="0.35">
      <c r="S6879" s="13"/>
      <c r="T6879" s="16"/>
      <c r="U6879" s="16"/>
      <c r="V6879" s="16"/>
      <c r="W6879" s="13"/>
      <c r="X6879" s="34">
        <v>6875</v>
      </c>
      <c r="Y6879" s="34" t="s">
        <v>2248</v>
      </c>
      <c r="Z6879" s="34" t="s">
        <v>2522</v>
      </c>
      <c r="AA6879" s="35">
        <v>1.3846774193548388E-3</v>
      </c>
      <c r="AB6879" s="13"/>
      <c r="AC6879" s="13"/>
      <c r="AD6879" s="13"/>
      <c r="AE6879" s="13"/>
      <c r="AF6879" s="13"/>
    </row>
    <row r="6880" spans="19:32" x14ac:dyDescent="0.35">
      <c r="S6880" s="13"/>
      <c r="T6880" s="16"/>
      <c r="U6880" s="16"/>
      <c r="V6880" s="16"/>
      <c r="W6880" s="13"/>
      <c r="X6880" s="47">
        <v>6876</v>
      </c>
      <c r="Y6880" s="47" t="s">
        <v>2248</v>
      </c>
      <c r="Z6880" s="47" t="s">
        <v>2521</v>
      </c>
      <c r="AA6880" s="56">
        <v>0</v>
      </c>
      <c r="AB6880" s="13"/>
      <c r="AC6880" s="13"/>
      <c r="AD6880" s="13"/>
      <c r="AE6880" s="13"/>
      <c r="AF6880" s="13"/>
    </row>
    <row r="6881" spans="19:32" x14ac:dyDescent="0.35">
      <c r="S6881" s="13"/>
      <c r="T6881" s="16"/>
      <c r="U6881" s="16"/>
      <c r="V6881" s="16"/>
      <c r="W6881" s="13"/>
      <c r="X6881" s="47">
        <v>6877</v>
      </c>
      <c r="Y6881" s="47" t="s">
        <v>2248</v>
      </c>
      <c r="Z6881" s="47" t="s">
        <v>2520</v>
      </c>
      <c r="AA6881" s="56">
        <v>10.856</v>
      </c>
      <c r="AB6881" s="13"/>
      <c r="AC6881" s="13"/>
      <c r="AD6881" s="13"/>
      <c r="AE6881" s="13"/>
      <c r="AF6881" s="13"/>
    </row>
    <row r="6882" spans="19:32" x14ac:dyDescent="0.35">
      <c r="S6882" s="13"/>
      <c r="T6882" s="16"/>
      <c r="U6882" s="16"/>
      <c r="V6882" s="16"/>
      <c r="W6882" s="13"/>
      <c r="X6882" s="34">
        <v>6878</v>
      </c>
      <c r="Y6882" s="34" t="s">
        <v>2248</v>
      </c>
      <c r="Z6882" s="34" t="s">
        <v>2519</v>
      </c>
      <c r="AA6882" s="35">
        <v>1.878225806451613E-3</v>
      </c>
      <c r="AB6882" s="13"/>
      <c r="AC6882" s="13"/>
      <c r="AD6882" s="13"/>
      <c r="AE6882" s="13"/>
      <c r="AF6882" s="13"/>
    </row>
    <row r="6883" spans="19:32" x14ac:dyDescent="0.35">
      <c r="S6883" s="13"/>
      <c r="T6883" s="16"/>
      <c r="U6883" s="16"/>
      <c r="V6883" s="16"/>
      <c r="W6883" s="13"/>
      <c r="X6883" s="47">
        <v>6879</v>
      </c>
      <c r="Y6883" s="47" t="s">
        <v>2248</v>
      </c>
      <c r="Z6883" s="47" t="s">
        <v>2518</v>
      </c>
      <c r="AA6883" s="56">
        <v>7.2772000000000006</v>
      </c>
      <c r="AB6883" s="13"/>
      <c r="AC6883" s="13"/>
      <c r="AD6883" s="13"/>
      <c r="AE6883" s="13"/>
      <c r="AF6883" s="13"/>
    </row>
    <row r="6884" spans="19:32" x14ac:dyDescent="0.35">
      <c r="S6884" s="13"/>
      <c r="T6884" s="16"/>
      <c r="U6884" s="16"/>
      <c r="V6884" s="16"/>
      <c r="W6884" s="13"/>
      <c r="X6884" s="47">
        <v>6880</v>
      </c>
      <c r="Y6884" s="47" t="s">
        <v>2248</v>
      </c>
      <c r="Z6884" s="47" t="s">
        <v>2517</v>
      </c>
      <c r="AA6884" s="56">
        <v>187.68</v>
      </c>
      <c r="AB6884" s="13"/>
      <c r="AC6884" s="13"/>
      <c r="AD6884" s="13"/>
      <c r="AE6884" s="13"/>
      <c r="AF6884" s="13"/>
    </row>
    <row r="6885" spans="19:32" x14ac:dyDescent="0.35">
      <c r="S6885" s="13"/>
      <c r="T6885" s="16"/>
      <c r="U6885" s="16"/>
      <c r="V6885" s="16"/>
      <c r="W6885" s="13"/>
      <c r="X6885" s="34">
        <v>6881</v>
      </c>
      <c r="Y6885" s="34" t="s">
        <v>2248</v>
      </c>
      <c r="Z6885" s="34" t="s">
        <v>2516</v>
      </c>
      <c r="AA6885" s="35">
        <v>1.6383064516129035E-2</v>
      </c>
      <c r="AB6885" s="13"/>
      <c r="AC6885" s="13"/>
      <c r="AD6885" s="13"/>
      <c r="AE6885" s="13"/>
      <c r="AF6885" s="13"/>
    </row>
    <row r="6886" spans="19:32" x14ac:dyDescent="0.35">
      <c r="S6886" s="13"/>
      <c r="T6886" s="16"/>
      <c r="U6886" s="16"/>
      <c r="V6886" s="16"/>
      <c r="W6886" s="13"/>
      <c r="X6886" s="47">
        <v>6882</v>
      </c>
      <c r="Y6886" s="47" t="s">
        <v>2248</v>
      </c>
      <c r="Z6886" s="47" t="s">
        <v>2515</v>
      </c>
      <c r="AA6886" s="56">
        <v>0.22631999999999999</v>
      </c>
      <c r="AB6886" s="13"/>
      <c r="AC6886" s="13"/>
      <c r="AD6886" s="13"/>
      <c r="AE6886" s="13"/>
      <c r="AF6886" s="13"/>
    </row>
    <row r="6887" spans="19:32" x14ac:dyDescent="0.35">
      <c r="S6887" s="13"/>
      <c r="T6887" s="16"/>
      <c r="U6887" s="16"/>
      <c r="V6887" s="16"/>
      <c r="W6887" s="13"/>
      <c r="X6887" s="34">
        <v>6883</v>
      </c>
      <c r="Y6887" s="34" t="s">
        <v>2248</v>
      </c>
      <c r="Z6887" s="34" t="s">
        <v>2514</v>
      </c>
      <c r="AA6887" s="35">
        <v>8.9112903225806455E-4</v>
      </c>
      <c r="AB6887" s="13"/>
      <c r="AC6887" s="13"/>
      <c r="AD6887" s="13"/>
      <c r="AE6887" s="13"/>
      <c r="AF6887" s="13"/>
    </row>
    <row r="6888" spans="19:32" x14ac:dyDescent="0.35">
      <c r="S6888" s="13"/>
      <c r="T6888" s="16"/>
      <c r="U6888" s="16"/>
      <c r="V6888" s="16"/>
      <c r="W6888" s="13"/>
      <c r="X6888" s="47">
        <v>6884</v>
      </c>
      <c r="Y6888" s="47" t="s">
        <v>2248</v>
      </c>
      <c r="Z6888" s="47" t="s">
        <v>2513</v>
      </c>
      <c r="AA6888" s="56">
        <v>0</v>
      </c>
      <c r="AB6888" s="13"/>
      <c r="AC6888" s="13"/>
      <c r="AD6888" s="13"/>
      <c r="AE6888" s="13"/>
      <c r="AF6888" s="13"/>
    </row>
    <row r="6889" spans="19:32" x14ac:dyDescent="0.35">
      <c r="S6889" s="13"/>
      <c r="T6889" s="16"/>
      <c r="U6889" s="16"/>
      <c r="V6889" s="16"/>
      <c r="W6889" s="13"/>
      <c r="X6889" s="47">
        <v>6885</v>
      </c>
      <c r="Y6889" s="47" t="s">
        <v>2248</v>
      </c>
      <c r="Z6889" s="47" t="s">
        <v>2512</v>
      </c>
      <c r="AA6889" s="56">
        <v>0</v>
      </c>
      <c r="AB6889" s="13"/>
      <c r="AC6889" s="13"/>
      <c r="AD6889" s="13"/>
      <c r="AE6889" s="13"/>
      <c r="AF6889" s="13"/>
    </row>
    <row r="6890" spans="19:32" x14ac:dyDescent="0.35">
      <c r="S6890" s="13"/>
      <c r="T6890" s="16"/>
      <c r="U6890" s="16"/>
      <c r="V6890" s="16"/>
      <c r="W6890" s="13"/>
      <c r="X6890" s="34">
        <v>6886</v>
      </c>
      <c r="Y6890" s="34" t="s">
        <v>2248</v>
      </c>
      <c r="Z6890" s="34" t="s">
        <v>2511</v>
      </c>
      <c r="AA6890" s="35">
        <v>9.5625000000000007E-5</v>
      </c>
      <c r="AB6890" s="13"/>
      <c r="AC6890" s="13"/>
      <c r="AD6890" s="13"/>
      <c r="AE6890" s="13"/>
      <c r="AF6890" s="13"/>
    </row>
    <row r="6891" spans="19:32" x14ac:dyDescent="0.35">
      <c r="S6891" s="13"/>
      <c r="T6891" s="16"/>
      <c r="U6891" s="16"/>
      <c r="V6891" s="16"/>
      <c r="W6891" s="13"/>
      <c r="X6891" s="47">
        <v>6887</v>
      </c>
      <c r="Y6891" s="47" t="s">
        <v>2248</v>
      </c>
      <c r="Z6891" s="47" t="s">
        <v>2510</v>
      </c>
      <c r="AA6891" s="56">
        <v>0</v>
      </c>
      <c r="AB6891" s="13"/>
      <c r="AC6891" s="13"/>
      <c r="AD6891" s="13"/>
      <c r="AE6891" s="13"/>
      <c r="AF6891" s="13"/>
    </row>
    <row r="6892" spans="19:32" x14ac:dyDescent="0.35">
      <c r="S6892" s="13"/>
      <c r="T6892" s="16"/>
      <c r="U6892" s="16"/>
      <c r="V6892" s="16"/>
      <c r="W6892" s="13"/>
      <c r="X6892" s="47">
        <v>6888</v>
      </c>
      <c r="Y6892" s="47" t="s">
        <v>2248</v>
      </c>
      <c r="Z6892" s="47" t="s">
        <v>2509</v>
      </c>
      <c r="AA6892" s="56">
        <v>0.23736000000000002</v>
      </c>
      <c r="AB6892" s="13"/>
      <c r="AC6892" s="13"/>
      <c r="AD6892" s="13"/>
      <c r="AE6892" s="13"/>
      <c r="AF6892" s="13"/>
    </row>
    <row r="6893" spans="19:32" x14ac:dyDescent="0.35">
      <c r="S6893" s="13"/>
      <c r="T6893" s="16"/>
      <c r="U6893" s="16"/>
      <c r="V6893" s="16"/>
      <c r="W6893" s="13"/>
      <c r="X6893" s="34">
        <v>6889</v>
      </c>
      <c r="Y6893" s="34" t="s">
        <v>2248</v>
      </c>
      <c r="Z6893" s="34" t="s">
        <v>2508</v>
      </c>
      <c r="AA6893" s="35">
        <v>1.1584677419354839E-8</v>
      </c>
      <c r="AB6893" s="13"/>
      <c r="AC6893" s="13"/>
      <c r="AD6893" s="13"/>
      <c r="AE6893" s="13"/>
      <c r="AF6893" s="13"/>
    </row>
    <row r="6894" spans="19:32" x14ac:dyDescent="0.35">
      <c r="S6894" s="13"/>
      <c r="T6894" s="16"/>
      <c r="U6894" s="16"/>
      <c r="V6894" s="16"/>
      <c r="W6894" s="13"/>
      <c r="X6894" s="47">
        <v>6890</v>
      </c>
      <c r="Y6894" s="47" t="s">
        <v>2248</v>
      </c>
      <c r="Z6894" s="47" t="s">
        <v>2507</v>
      </c>
      <c r="AA6894" s="56">
        <v>1.2787999999999999</v>
      </c>
      <c r="AB6894" s="13"/>
      <c r="AC6894" s="13"/>
      <c r="AD6894" s="13"/>
      <c r="AE6894" s="13"/>
      <c r="AF6894" s="13"/>
    </row>
    <row r="6895" spans="19:32" x14ac:dyDescent="0.35">
      <c r="S6895" s="13"/>
      <c r="T6895" s="16"/>
      <c r="U6895" s="16"/>
      <c r="V6895" s="16"/>
      <c r="W6895" s="13"/>
      <c r="X6895" s="47">
        <v>6891</v>
      </c>
      <c r="Y6895" s="47" t="s">
        <v>2248</v>
      </c>
      <c r="Z6895" s="47" t="s">
        <v>2506</v>
      </c>
      <c r="AA6895" s="56">
        <v>0.45999999999999996</v>
      </c>
      <c r="AB6895" s="13"/>
      <c r="AC6895" s="13"/>
      <c r="AD6895" s="13"/>
      <c r="AE6895" s="13"/>
      <c r="AF6895" s="13"/>
    </row>
    <row r="6896" spans="19:32" x14ac:dyDescent="0.35">
      <c r="S6896" s="13"/>
      <c r="T6896" s="16"/>
      <c r="U6896" s="16"/>
      <c r="V6896" s="16"/>
      <c r="W6896" s="13"/>
      <c r="X6896" s="34">
        <v>6892</v>
      </c>
      <c r="Y6896" s="34" t="s">
        <v>2248</v>
      </c>
      <c r="Z6896" s="34" t="s">
        <v>2505</v>
      </c>
      <c r="AA6896" s="35">
        <v>4.2500000000000003E-10</v>
      </c>
      <c r="AB6896" s="13"/>
      <c r="AC6896" s="13"/>
      <c r="AD6896" s="13"/>
      <c r="AE6896" s="13"/>
      <c r="AF6896" s="13"/>
    </row>
    <row r="6897" spans="19:32" x14ac:dyDescent="0.35">
      <c r="S6897" s="13"/>
      <c r="T6897" s="16"/>
      <c r="U6897" s="16"/>
      <c r="V6897" s="16"/>
      <c r="W6897" s="13"/>
      <c r="X6897" s="47">
        <v>6893</v>
      </c>
      <c r="Y6897" s="47" t="s">
        <v>2248</v>
      </c>
      <c r="Z6897" s="47" t="s">
        <v>2504</v>
      </c>
      <c r="AA6897" s="56">
        <v>7.8200000000000006E-3</v>
      </c>
      <c r="AB6897" s="13"/>
      <c r="AC6897" s="13"/>
      <c r="AD6897" s="13"/>
      <c r="AE6897" s="13"/>
      <c r="AF6897" s="13"/>
    </row>
    <row r="6898" spans="19:32" x14ac:dyDescent="0.35">
      <c r="S6898" s="13"/>
      <c r="T6898" s="16"/>
      <c r="U6898" s="16"/>
      <c r="V6898" s="16"/>
      <c r="W6898" s="13"/>
      <c r="X6898" s="34">
        <v>6894</v>
      </c>
      <c r="Y6898" s="34" t="s">
        <v>2248</v>
      </c>
      <c r="Z6898" s="34" t="s">
        <v>2503</v>
      </c>
      <c r="AA6898" s="35">
        <v>6.0665322580645168E-5</v>
      </c>
      <c r="AB6898" s="13"/>
      <c r="AC6898" s="13"/>
      <c r="AD6898" s="13"/>
      <c r="AE6898" s="13"/>
      <c r="AF6898" s="13"/>
    </row>
    <row r="6899" spans="19:32" x14ac:dyDescent="0.35">
      <c r="S6899" s="13"/>
      <c r="T6899" s="16"/>
      <c r="U6899" s="16"/>
      <c r="V6899" s="16"/>
      <c r="W6899" s="13"/>
      <c r="X6899" s="47">
        <v>6895</v>
      </c>
      <c r="Y6899" s="47" t="s">
        <v>2248</v>
      </c>
      <c r="Z6899" s="47" t="s">
        <v>2502</v>
      </c>
      <c r="AA6899" s="56">
        <v>0</v>
      </c>
      <c r="AB6899" s="13"/>
      <c r="AC6899" s="13"/>
      <c r="AD6899" s="13"/>
      <c r="AE6899" s="13"/>
      <c r="AF6899" s="13"/>
    </row>
    <row r="6900" spans="19:32" x14ac:dyDescent="0.35">
      <c r="S6900" s="13"/>
      <c r="T6900" s="16"/>
      <c r="U6900" s="16"/>
      <c r="V6900" s="16"/>
      <c r="W6900" s="13"/>
      <c r="X6900" s="47">
        <v>6896</v>
      </c>
      <c r="Y6900" s="47" t="s">
        <v>2248</v>
      </c>
      <c r="Z6900" s="47" t="s">
        <v>2501</v>
      </c>
      <c r="AA6900" s="56">
        <v>56.763999999999996</v>
      </c>
      <c r="AB6900" s="13"/>
      <c r="AC6900" s="13"/>
      <c r="AD6900" s="13"/>
      <c r="AE6900" s="13"/>
      <c r="AF6900" s="13"/>
    </row>
    <row r="6901" spans="19:32" x14ac:dyDescent="0.35">
      <c r="S6901" s="13"/>
      <c r="T6901" s="16"/>
      <c r="U6901" s="16"/>
      <c r="V6901" s="16"/>
      <c r="W6901" s="13"/>
      <c r="X6901" s="34">
        <v>6897</v>
      </c>
      <c r="Y6901" s="34" t="s">
        <v>2248</v>
      </c>
      <c r="Z6901" s="34" t="s">
        <v>2500</v>
      </c>
      <c r="AA6901" s="35">
        <v>9.116935483870969E-4</v>
      </c>
      <c r="AB6901" s="13"/>
      <c r="AC6901" s="13"/>
      <c r="AD6901" s="13"/>
      <c r="AE6901" s="13"/>
      <c r="AF6901" s="13"/>
    </row>
    <row r="6902" spans="19:32" x14ac:dyDescent="0.35">
      <c r="S6902" s="13"/>
      <c r="T6902" s="16"/>
      <c r="U6902" s="16"/>
      <c r="V6902" s="16"/>
      <c r="W6902" s="13"/>
      <c r="X6902" s="47">
        <v>6898</v>
      </c>
      <c r="Y6902" s="47" t="s">
        <v>2248</v>
      </c>
      <c r="Z6902" s="47" t="s">
        <v>2499</v>
      </c>
      <c r="AA6902" s="56">
        <v>0</v>
      </c>
      <c r="AB6902" s="13"/>
      <c r="AC6902" s="13"/>
      <c r="AD6902" s="13"/>
      <c r="AE6902" s="13"/>
      <c r="AF6902" s="13"/>
    </row>
    <row r="6903" spans="19:32" x14ac:dyDescent="0.35">
      <c r="S6903" s="13"/>
      <c r="T6903" s="16"/>
      <c r="U6903" s="16"/>
      <c r="V6903" s="16"/>
      <c r="W6903" s="13"/>
      <c r="X6903" s="47">
        <v>6899</v>
      </c>
      <c r="Y6903" s="47" t="s">
        <v>2248</v>
      </c>
      <c r="Z6903" s="47" t="s">
        <v>2498</v>
      </c>
      <c r="AA6903" s="56">
        <v>0</v>
      </c>
      <c r="AB6903" s="13"/>
      <c r="AC6903" s="13"/>
      <c r="AD6903" s="13"/>
      <c r="AE6903" s="13"/>
      <c r="AF6903" s="13"/>
    </row>
    <row r="6904" spans="19:32" x14ac:dyDescent="0.35">
      <c r="S6904" s="13"/>
      <c r="T6904" s="16"/>
      <c r="U6904" s="16"/>
      <c r="V6904" s="16"/>
      <c r="W6904" s="13"/>
      <c r="X6904" s="34">
        <v>6900</v>
      </c>
      <c r="Y6904" s="34" t="s">
        <v>2248</v>
      </c>
      <c r="Z6904" s="34" t="s">
        <v>2497</v>
      </c>
      <c r="AA6904" s="35">
        <v>8.9798387096774197E-3</v>
      </c>
      <c r="AB6904" s="13"/>
      <c r="AC6904" s="13"/>
      <c r="AD6904" s="13"/>
      <c r="AE6904" s="13"/>
      <c r="AF6904" s="13"/>
    </row>
    <row r="6905" spans="19:32" x14ac:dyDescent="0.35">
      <c r="S6905" s="13"/>
      <c r="T6905" s="16"/>
      <c r="U6905" s="16"/>
      <c r="V6905" s="16"/>
      <c r="W6905" s="13"/>
      <c r="X6905" s="47">
        <v>6901</v>
      </c>
      <c r="Y6905" s="47" t="s">
        <v>2248</v>
      </c>
      <c r="Z6905" s="47" t="s">
        <v>2496</v>
      </c>
      <c r="AA6905" s="56">
        <v>0</v>
      </c>
      <c r="AB6905" s="13"/>
      <c r="AC6905" s="13"/>
      <c r="AD6905" s="13"/>
      <c r="AE6905" s="13"/>
      <c r="AF6905" s="13"/>
    </row>
    <row r="6906" spans="19:32" x14ac:dyDescent="0.35">
      <c r="S6906" s="13"/>
      <c r="T6906" s="16"/>
      <c r="U6906" s="16"/>
      <c r="V6906" s="16"/>
      <c r="W6906" s="13"/>
      <c r="X6906" s="47">
        <v>6902</v>
      </c>
      <c r="Y6906" s="47" t="s">
        <v>2248</v>
      </c>
      <c r="Z6906" s="47" t="s">
        <v>2495</v>
      </c>
      <c r="AA6906" s="56">
        <v>0</v>
      </c>
      <c r="AB6906" s="13"/>
      <c r="AC6906" s="13"/>
      <c r="AD6906" s="13"/>
      <c r="AE6906" s="13"/>
      <c r="AF6906" s="13"/>
    </row>
    <row r="6907" spans="19:32" x14ac:dyDescent="0.35">
      <c r="S6907" s="13"/>
      <c r="T6907" s="16"/>
      <c r="U6907" s="16"/>
      <c r="V6907" s="16"/>
      <c r="W6907" s="13"/>
      <c r="X6907" s="34">
        <v>6903</v>
      </c>
      <c r="Y6907" s="34" t="s">
        <v>2248</v>
      </c>
      <c r="Z6907" s="34" t="s">
        <v>2494</v>
      </c>
      <c r="AA6907" s="35">
        <v>9.45967741935484E-4</v>
      </c>
      <c r="AB6907" s="13"/>
      <c r="AC6907" s="13"/>
      <c r="AD6907" s="13"/>
      <c r="AE6907" s="13"/>
      <c r="AF6907" s="13"/>
    </row>
    <row r="6908" spans="19:32" x14ac:dyDescent="0.35">
      <c r="S6908" s="13"/>
      <c r="T6908" s="16"/>
      <c r="U6908" s="16"/>
      <c r="V6908" s="16"/>
      <c r="W6908" s="13"/>
      <c r="X6908" s="47">
        <v>6904</v>
      </c>
      <c r="Y6908" s="47" t="s">
        <v>2248</v>
      </c>
      <c r="Z6908" s="47" t="s">
        <v>2493</v>
      </c>
      <c r="AA6908" s="56">
        <v>0.52163999999999999</v>
      </c>
      <c r="AB6908" s="13"/>
      <c r="AC6908" s="13"/>
      <c r="AD6908" s="13"/>
      <c r="AE6908" s="13"/>
      <c r="AF6908" s="13"/>
    </row>
    <row r="6909" spans="19:32" x14ac:dyDescent="0.35">
      <c r="S6909" s="13"/>
      <c r="T6909" s="16"/>
      <c r="U6909" s="16"/>
      <c r="V6909" s="16"/>
      <c r="W6909" s="13"/>
      <c r="X6909" s="47">
        <v>6905</v>
      </c>
      <c r="Y6909" s="47" t="s">
        <v>2248</v>
      </c>
      <c r="Z6909" s="47" t="s">
        <v>2492</v>
      </c>
      <c r="AA6909" s="56">
        <v>5.2439999999999998</v>
      </c>
      <c r="AB6909" s="13"/>
      <c r="AC6909" s="13"/>
      <c r="AD6909" s="13"/>
      <c r="AE6909" s="13"/>
      <c r="AF6909" s="13"/>
    </row>
    <row r="6910" spans="19:32" x14ac:dyDescent="0.35">
      <c r="S6910" s="13"/>
      <c r="T6910" s="16"/>
      <c r="U6910" s="16"/>
      <c r="V6910" s="16"/>
      <c r="W6910" s="13"/>
      <c r="X6910" s="34">
        <v>6906</v>
      </c>
      <c r="Y6910" s="34" t="s">
        <v>2248</v>
      </c>
      <c r="Z6910" s="34" t="s">
        <v>2491</v>
      </c>
      <c r="AA6910" s="35">
        <v>3.0881048387096776E-3</v>
      </c>
      <c r="AB6910" s="13"/>
      <c r="AC6910" s="13"/>
      <c r="AD6910" s="13"/>
      <c r="AE6910" s="13"/>
      <c r="AF6910" s="13"/>
    </row>
    <row r="6911" spans="19:32" x14ac:dyDescent="0.35">
      <c r="S6911" s="13"/>
      <c r="T6911" s="16"/>
      <c r="U6911" s="16"/>
      <c r="V6911" s="16"/>
      <c r="W6911" s="13"/>
      <c r="X6911" s="47">
        <v>6907</v>
      </c>
      <c r="Y6911" s="47" t="s">
        <v>2248</v>
      </c>
      <c r="Z6911" s="47" t="s">
        <v>2490</v>
      </c>
      <c r="AA6911" s="56">
        <v>0</v>
      </c>
      <c r="AB6911" s="13"/>
      <c r="AC6911" s="13"/>
      <c r="AD6911" s="13"/>
      <c r="AE6911" s="13"/>
      <c r="AF6911" s="13"/>
    </row>
    <row r="6912" spans="19:32" x14ac:dyDescent="0.35">
      <c r="S6912" s="13"/>
      <c r="T6912" s="16"/>
      <c r="U6912" s="16"/>
      <c r="V6912" s="16"/>
      <c r="W6912" s="13"/>
      <c r="X6912" s="34">
        <v>6908</v>
      </c>
      <c r="Y6912" s="34" t="s">
        <v>2248</v>
      </c>
      <c r="Z6912" s="34" t="s">
        <v>2489</v>
      </c>
      <c r="AA6912" s="35">
        <v>7.643145161290323E-5</v>
      </c>
      <c r="AB6912" s="13"/>
      <c r="AC6912" s="13"/>
      <c r="AD6912" s="13"/>
      <c r="AE6912" s="13"/>
      <c r="AF6912" s="13"/>
    </row>
    <row r="6913" spans="19:32" x14ac:dyDescent="0.35">
      <c r="S6913" s="13"/>
      <c r="T6913" s="16"/>
      <c r="U6913" s="16"/>
      <c r="V6913" s="16"/>
      <c r="W6913" s="13"/>
      <c r="X6913" s="47">
        <v>6909</v>
      </c>
      <c r="Y6913" s="47" t="s">
        <v>2248</v>
      </c>
      <c r="Z6913" s="47" t="s">
        <v>2488</v>
      </c>
      <c r="AA6913" s="56">
        <v>1.0488000000000002</v>
      </c>
      <c r="AB6913" s="13"/>
      <c r="AC6913" s="13"/>
      <c r="AD6913" s="13"/>
      <c r="AE6913" s="13"/>
      <c r="AF6913" s="13"/>
    </row>
    <row r="6914" spans="19:32" x14ac:dyDescent="0.35">
      <c r="S6914" s="13"/>
      <c r="T6914" s="16"/>
      <c r="U6914" s="16"/>
      <c r="V6914" s="16"/>
      <c r="W6914" s="13"/>
      <c r="X6914" s="47">
        <v>6910</v>
      </c>
      <c r="Y6914" s="47" t="s">
        <v>2248</v>
      </c>
      <c r="Z6914" s="47" t="s">
        <v>2487</v>
      </c>
      <c r="AA6914" s="56">
        <v>0</v>
      </c>
      <c r="AB6914" s="13"/>
      <c r="AC6914" s="13"/>
      <c r="AD6914" s="13"/>
      <c r="AE6914" s="13"/>
      <c r="AF6914" s="13"/>
    </row>
    <row r="6915" spans="19:32" x14ac:dyDescent="0.35">
      <c r="S6915" s="13"/>
      <c r="T6915" s="16"/>
      <c r="U6915" s="16"/>
      <c r="V6915" s="16"/>
      <c r="W6915" s="13"/>
      <c r="X6915" s="34">
        <v>6911</v>
      </c>
      <c r="Y6915" s="34" t="s">
        <v>2248</v>
      </c>
      <c r="Z6915" s="34" t="s">
        <v>2486</v>
      </c>
      <c r="AA6915" s="35">
        <v>1.1858870967741937E-4</v>
      </c>
      <c r="AB6915" s="13"/>
      <c r="AC6915" s="13"/>
      <c r="AD6915" s="13"/>
      <c r="AE6915" s="13"/>
      <c r="AF6915" s="13"/>
    </row>
    <row r="6916" spans="19:32" x14ac:dyDescent="0.35">
      <c r="S6916" s="13"/>
      <c r="T6916" s="16"/>
      <c r="U6916" s="16"/>
      <c r="V6916" s="16"/>
      <c r="W6916" s="13"/>
      <c r="X6916" s="47">
        <v>6912</v>
      </c>
      <c r="Y6916" s="47" t="s">
        <v>2248</v>
      </c>
      <c r="Z6916" s="47" t="s">
        <v>2485</v>
      </c>
      <c r="AA6916" s="56">
        <v>0.11224000000000001</v>
      </c>
      <c r="AB6916" s="13"/>
      <c r="AC6916" s="13"/>
      <c r="AD6916" s="13"/>
      <c r="AE6916" s="13"/>
      <c r="AF6916" s="13"/>
    </row>
    <row r="6917" spans="19:32" x14ac:dyDescent="0.35">
      <c r="S6917" s="13"/>
      <c r="T6917" s="16"/>
      <c r="U6917" s="16"/>
      <c r="V6917" s="16"/>
      <c r="W6917" s="13"/>
      <c r="X6917" s="47">
        <v>6913</v>
      </c>
      <c r="Y6917" s="47" t="s">
        <v>2248</v>
      </c>
      <c r="Z6917" s="47" t="s">
        <v>2484</v>
      </c>
      <c r="AA6917" s="56">
        <v>2.3460000000000002E-2</v>
      </c>
      <c r="AB6917" s="13"/>
      <c r="AC6917" s="13"/>
      <c r="AD6917" s="13"/>
      <c r="AE6917" s="13"/>
      <c r="AF6917" s="13"/>
    </row>
    <row r="6918" spans="19:32" x14ac:dyDescent="0.35">
      <c r="S6918" s="13"/>
      <c r="T6918" s="16"/>
      <c r="U6918" s="16"/>
      <c r="V6918" s="16"/>
      <c r="W6918" s="13"/>
      <c r="X6918" s="34">
        <v>6914</v>
      </c>
      <c r="Y6918" s="34" t="s">
        <v>2248</v>
      </c>
      <c r="Z6918" s="34" t="s">
        <v>2483</v>
      </c>
      <c r="AA6918" s="35">
        <v>3.5645161290322583E-6</v>
      </c>
      <c r="AB6918" s="13"/>
      <c r="AC6918" s="13"/>
      <c r="AD6918" s="13"/>
      <c r="AE6918" s="13"/>
      <c r="AF6918" s="13"/>
    </row>
    <row r="6919" spans="19:32" x14ac:dyDescent="0.35">
      <c r="S6919" s="13"/>
      <c r="T6919" s="16"/>
      <c r="U6919" s="16"/>
      <c r="V6919" s="16"/>
      <c r="W6919" s="13"/>
      <c r="X6919" s="47">
        <v>6915</v>
      </c>
      <c r="Y6919" s="47" t="s">
        <v>2248</v>
      </c>
      <c r="Z6919" s="47" t="s">
        <v>2482</v>
      </c>
      <c r="AA6919" s="56">
        <v>5.7775999999999996</v>
      </c>
      <c r="AB6919" s="13"/>
      <c r="AC6919" s="13"/>
      <c r="AD6919" s="13"/>
      <c r="AE6919" s="13"/>
      <c r="AF6919" s="13"/>
    </row>
    <row r="6920" spans="19:32" x14ac:dyDescent="0.35">
      <c r="S6920" s="13"/>
      <c r="T6920" s="16"/>
      <c r="U6920" s="16"/>
      <c r="V6920" s="16"/>
      <c r="W6920" s="13"/>
      <c r="X6920" s="47">
        <v>6916</v>
      </c>
      <c r="Y6920" s="47" t="s">
        <v>2248</v>
      </c>
      <c r="Z6920" s="47" t="s">
        <v>2481</v>
      </c>
      <c r="AA6920" s="56">
        <v>41.951999999999998</v>
      </c>
      <c r="AB6920" s="13"/>
      <c r="AC6920" s="13"/>
      <c r="AD6920" s="13"/>
      <c r="AE6920" s="13"/>
      <c r="AF6920" s="13"/>
    </row>
    <row r="6921" spans="19:32" x14ac:dyDescent="0.35">
      <c r="S6921" s="13"/>
      <c r="T6921" s="16"/>
      <c r="U6921" s="16"/>
      <c r="V6921" s="16"/>
      <c r="W6921" s="13"/>
      <c r="X6921" s="34">
        <v>6917</v>
      </c>
      <c r="Y6921" s="34" t="s">
        <v>2248</v>
      </c>
      <c r="Z6921" s="34" t="s">
        <v>2480</v>
      </c>
      <c r="AA6921" s="35">
        <v>3.0469758064516133E-6</v>
      </c>
      <c r="AB6921" s="13"/>
      <c r="AC6921" s="13"/>
      <c r="AD6921" s="13"/>
      <c r="AE6921" s="13"/>
      <c r="AF6921" s="13"/>
    </row>
    <row r="6922" spans="19:32" x14ac:dyDescent="0.35">
      <c r="S6922" s="13"/>
      <c r="T6922" s="16"/>
      <c r="U6922" s="16"/>
      <c r="V6922" s="16"/>
      <c r="W6922" s="13"/>
      <c r="X6922" s="47">
        <v>6918</v>
      </c>
      <c r="Y6922" s="47" t="s">
        <v>2248</v>
      </c>
      <c r="Z6922" s="47" t="s">
        <v>2479</v>
      </c>
      <c r="AA6922" s="56">
        <v>1.0580000000000001</v>
      </c>
      <c r="AB6922" s="13"/>
      <c r="AC6922" s="13"/>
      <c r="AD6922" s="13"/>
      <c r="AE6922" s="13"/>
      <c r="AF6922" s="13"/>
    </row>
    <row r="6923" spans="19:32" x14ac:dyDescent="0.35">
      <c r="S6923" s="13"/>
      <c r="T6923" s="16"/>
      <c r="U6923" s="16"/>
      <c r="V6923" s="16"/>
      <c r="W6923" s="13"/>
      <c r="X6923" s="34">
        <v>6919</v>
      </c>
      <c r="Y6923" s="34" t="s">
        <v>2248</v>
      </c>
      <c r="Z6923" s="34" t="s">
        <v>2478</v>
      </c>
      <c r="AA6923" s="35">
        <v>8.9455645161290332E-3</v>
      </c>
      <c r="AB6923" s="13"/>
      <c r="AC6923" s="13"/>
      <c r="AD6923" s="13"/>
      <c r="AE6923" s="13"/>
      <c r="AF6923" s="13"/>
    </row>
    <row r="6924" spans="19:32" x14ac:dyDescent="0.35">
      <c r="S6924" s="13"/>
      <c r="T6924" s="16"/>
      <c r="U6924" s="16"/>
      <c r="V6924" s="16"/>
      <c r="W6924" s="13"/>
      <c r="X6924" s="47">
        <v>6920</v>
      </c>
      <c r="Y6924" s="47" t="s">
        <v>2248</v>
      </c>
      <c r="Z6924" s="47" t="s">
        <v>2477</v>
      </c>
      <c r="AA6924" s="56">
        <v>0.437</v>
      </c>
      <c r="AB6924" s="13"/>
      <c r="AC6924" s="13"/>
      <c r="AD6924" s="13"/>
      <c r="AE6924" s="13"/>
      <c r="AF6924" s="13"/>
    </row>
    <row r="6925" spans="19:32" x14ac:dyDescent="0.35">
      <c r="S6925" s="13"/>
      <c r="T6925" s="16"/>
      <c r="U6925" s="16"/>
      <c r="V6925" s="16"/>
      <c r="W6925" s="13"/>
      <c r="X6925" s="47">
        <v>6921</v>
      </c>
      <c r="Y6925" s="47" t="s">
        <v>2248</v>
      </c>
      <c r="Z6925" s="47" t="s">
        <v>2476</v>
      </c>
      <c r="AA6925" s="56">
        <v>825.24</v>
      </c>
      <c r="AB6925" s="13"/>
      <c r="AC6925" s="13"/>
      <c r="AD6925" s="13"/>
      <c r="AE6925" s="13"/>
      <c r="AF6925" s="13"/>
    </row>
    <row r="6926" spans="19:32" x14ac:dyDescent="0.35">
      <c r="S6926" s="13"/>
      <c r="T6926" s="16"/>
      <c r="U6926" s="16"/>
      <c r="V6926" s="16"/>
      <c r="W6926" s="13"/>
      <c r="X6926" s="34">
        <v>6922</v>
      </c>
      <c r="Y6926" s="34" t="s">
        <v>2248</v>
      </c>
      <c r="Z6926" s="34" t="s">
        <v>2475</v>
      </c>
      <c r="AA6926" s="35">
        <v>7.8830645161290333E-4</v>
      </c>
      <c r="AB6926" s="13"/>
      <c r="AC6926" s="13"/>
      <c r="AD6926" s="13"/>
      <c r="AE6926" s="13"/>
      <c r="AF6926" s="13"/>
    </row>
    <row r="6927" spans="19:32" x14ac:dyDescent="0.35">
      <c r="S6927" s="13"/>
      <c r="T6927" s="16"/>
      <c r="U6927" s="16"/>
      <c r="V6927" s="16"/>
      <c r="W6927" s="13"/>
      <c r="X6927" s="47">
        <v>6923</v>
      </c>
      <c r="Y6927" s="47" t="s">
        <v>2248</v>
      </c>
      <c r="Z6927" s="47" t="s">
        <v>2474</v>
      </c>
      <c r="AA6927" s="56">
        <v>0.49772</v>
      </c>
      <c r="AB6927" s="13"/>
      <c r="AC6927" s="13"/>
      <c r="AD6927" s="13"/>
      <c r="AE6927" s="13"/>
      <c r="AF6927" s="13"/>
    </row>
    <row r="6928" spans="19:32" x14ac:dyDescent="0.35">
      <c r="S6928" s="13"/>
      <c r="T6928" s="16"/>
      <c r="U6928" s="16"/>
      <c r="V6928" s="16"/>
      <c r="W6928" s="13"/>
      <c r="X6928" s="47">
        <v>6924</v>
      </c>
      <c r="Y6928" s="47" t="s">
        <v>2248</v>
      </c>
      <c r="Z6928" s="47" t="s">
        <v>2473</v>
      </c>
      <c r="AA6928" s="56">
        <v>0</v>
      </c>
      <c r="AB6928" s="13"/>
      <c r="AC6928" s="13"/>
      <c r="AD6928" s="13"/>
      <c r="AE6928" s="13"/>
      <c r="AF6928" s="13"/>
    </row>
    <row r="6929" spans="19:32" x14ac:dyDescent="0.35">
      <c r="S6929" s="13"/>
      <c r="T6929" s="16"/>
      <c r="U6929" s="16"/>
      <c r="V6929" s="16"/>
      <c r="W6929" s="13"/>
      <c r="X6929" s="34">
        <v>6925</v>
      </c>
      <c r="Y6929" s="34" t="s">
        <v>2248</v>
      </c>
      <c r="Z6929" s="34" t="s">
        <v>2472</v>
      </c>
      <c r="AA6929" s="35">
        <v>1.7068548387096776E-5</v>
      </c>
      <c r="AB6929" s="13"/>
      <c r="AC6929" s="13"/>
      <c r="AD6929" s="13"/>
      <c r="AE6929" s="13"/>
      <c r="AF6929" s="13"/>
    </row>
    <row r="6930" spans="19:32" x14ac:dyDescent="0.35">
      <c r="S6930" s="13"/>
      <c r="T6930" s="16"/>
      <c r="U6930" s="16"/>
      <c r="V6930" s="16"/>
      <c r="W6930" s="13"/>
      <c r="X6930" s="47">
        <v>6926</v>
      </c>
      <c r="Y6930" s="47" t="s">
        <v>2248</v>
      </c>
      <c r="Z6930" s="47" t="s">
        <v>2471</v>
      </c>
      <c r="AA6930" s="56">
        <v>194.12</v>
      </c>
      <c r="AB6930" s="13"/>
      <c r="AC6930" s="13"/>
      <c r="AD6930" s="13"/>
      <c r="AE6930" s="13"/>
      <c r="AF6930" s="13"/>
    </row>
    <row r="6931" spans="19:32" x14ac:dyDescent="0.35">
      <c r="S6931" s="13"/>
      <c r="T6931" s="16"/>
      <c r="U6931" s="16"/>
      <c r="V6931" s="16"/>
      <c r="W6931" s="13"/>
      <c r="X6931" s="47">
        <v>6927</v>
      </c>
      <c r="Y6931" s="47" t="s">
        <v>2248</v>
      </c>
      <c r="Z6931" s="47" t="s">
        <v>2470</v>
      </c>
      <c r="AA6931" s="56">
        <v>2.5760000000000001</v>
      </c>
      <c r="AB6931" s="13"/>
      <c r="AC6931" s="13"/>
      <c r="AD6931" s="13"/>
      <c r="AE6931" s="13"/>
      <c r="AF6931" s="13"/>
    </row>
    <row r="6932" spans="19:32" x14ac:dyDescent="0.35">
      <c r="S6932" s="13"/>
      <c r="T6932" s="16"/>
      <c r="U6932" s="16"/>
      <c r="V6932" s="16"/>
      <c r="W6932" s="13"/>
      <c r="X6932" s="34">
        <v>6928</v>
      </c>
      <c r="Y6932" s="34" t="s">
        <v>2248</v>
      </c>
      <c r="Z6932" s="34" t="s">
        <v>2469</v>
      </c>
      <c r="AA6932" s="35">
        <v>1.3983870967741936</v>
      </c>
      <c r="AB6932" s="13"/>
      <c r="AC6932" s="13"/>
      <c r="AD6932" s="13"/>
      <c r="AE6932" s="13"/>
      <c r="AF6932" s="13"/>
    </row>
    <row r="6933" spans="19:32" x14ac:dyDescent="0.35">
      <c r="S6933" s="13"/>
      <c r="T6933" s="16"/>
      <c r="U6933" s="16"/>
      <c r="V6933" s="16"/>
      <c r="W6933" s="13"/>
      <c r="X6933" s="47">
        <v>6929</v>
      </c>
      <c r="Y6933" s="47" t="s">
        <v>2248</v>
      </c>
      <c r="Z6933" s="47" t="s">
        <v>2468</v>
      </c>
      <c r="AA6933" s="56">
        <v>1.6008</v>
      </c>
      <c r="AB6933" s="13"/>
      <c r="AC6933" s="13"/>
      <c r="AD6933" s="13"/>
      <c r="AE6933" s="13"/>
      <c r="AF6933" s="13"/>
    </row>
    <row r="6934" spans="19:32" x14ac:dyDescent="0.35">
      <c r="S6934" s="13"/>
      <c r="T6934" s="16"/>
      <c r="U6934" s="16"/>
      <c r="V6934" s="16"/>
      <c r="W6934" s="13"/>
      <c r="X6934" s="47">
        <v>6930</v>
      </c>
      <c r="Y6934" s="47" t="s">
        <v>2248</v>
      </c>
      <c r="Z6934" s="47" t="s">
        <v>2467</v>
      </c>
      <c r="AA6934" s="56">
        <v>135.24</v>
      </c>
      <c r="AB6934" s="13"/>
      <c r="AC6934" s="13"/>
      <c r="AD6934" s="13"/>
      <c r="AE6934" s="13"/>
      <c r="AF6934" s="13"/>
    </row>
    <row r="6935" spans="19:32" x14ac:dyDescent="0.35">
      <c r="S6935" s="13"/>
      <c r="T6935" s="16"/>
      <c r="U6935" s="16"/>
      <c r="V6935" s="16"/>
      <c r="W6935" s="13"/>
      <c r="X6935" s="34">
        <v>6931</v>
      </c>
      <c r="Y6935" s="34" t="s">
        <v>2248</v>
      </c>
      <c r="Z6935" s="34" t="s">
        <v>2466</v>
      </c>
      <c r="AA6935" s="35">
        <v>1.3572580645161293E-3</v>
      </c>
      <c r="AB6935" s="13"/>
      <c r="AC6935" s="13"/>
      <c r="AD6935" s="13"/>
      <c r="AE6935" s="13"/>
      <c r="AF6935" s="13"/>
    </row>
    <row r="6936" spans="19:32" x14ac:dyDescent="0.35">
      <c r="S6936" s="13"/>
      <c r="T6936" s="16"/>
      <c r="U6936" s="16"/>
      <c r="V6936" s="16"/>
      <c r="W6936" s="13"/>
      <c r="X6936" s="47">
        <v>6932</v>
      </c>
      <c r="Y6936" s="47" t="s">
        <v>2248</v>
      </c>
      <c r="Z6936" s="47" t="s">
        <v>2465</v>
      </c>
      <c r="AA6936" s="56">
        <v>154.56</v>
      </c>
      <c r="AB6936" s="13"/>
      <c r="AC6936" s="13"/>
      <c r="AD6936" s="13"/>
      <c r="AE6936" s="13"/>
      <c r="AF6936" s="13"/>
    </row>
    <row r="6937" spans="19:32" x14ac:dyDescent="0.35">
      <c r="S6937" s="13"/>
      <c r="T6937" s="16"/>
      <c r="U6937" s="16"/>
      <c r="V6937" s="16"/>
      <c r="W6937" s="13"/>
      <c r="X6937" s="34">
        <v>6933</v>
      </c>
      <c r="Y6937" s="34" t="s">
        <v>2248</v>
      </c>
      <c r="Z6937" s="34" t="s">
        <v>2464</v>
      </c>
      <c r="AA6937" s="35">
        <v>1.3024193548387097E-4</v>
      </c>
      <c r="AB6937" s="13"/>
      <c r="AC6937" s="13"/>
      <c r="AD6937" s="13"/>
      <c r="AE6937" s="13"/>
      <c r="AF6937" s="13"/>
    </row>
    <row r="6938" spans="19:32" x14ac:dyDescent="0.35">
      <c r="S6938" s="13"/>
      <c r="T6938" s="16"/>
      <c r="U6938" s="16"/>
      <c r="V6938" s="16"/>
      <c r="W6938" s="13"/>
      <c r="X6938" s="47">
        <v>6934</v>
      </c>
      <c r="Y6938" s="47" t="s">
        <v>2248</v>
      </c>
      <c r="Z6938" s="47" t="s">
        <v>2463</v>
      </c>
      <c r="AA6938" s="56">
        <v>5.2532000000000005</v>
      </c>
      <c r="AB6938" s="13"/>
      <c r="AC6938" s="13"/>
      <c r="AD6938" s="13"/>
      <c r="AE6938" s="13"/>
      <c r="AF6938" s="13"/>
    </row>
    <row r="6939" spans="19:32" x14ac:dyDescent="0.35">
      <c r="S6939" s="13"/>
      <c r="T6939" s="16"/>
      <c r="U6939" s="16"/>
      <c r="V6939" s="16"/>
      <c r="W6939" s="13"/>
      <c r="X6939" s="47">
        <v>6935</v>
      </c>
      <c r="Y6939" s="47" t="s">
        <v>2248</v>
      </c>
      <c r="Z6939" s="47" t="s">
        <v>2462</v>
      </c>
      <c r="AA6939" s="56">
        <v>0.98439999999999994</v>
      </c>
      <c r="AB6939" s="13"/>
      <c r="AC6939" s="13"/>
      <c r="AD6939" s="13"/>
      <c r="AE6939" s="13"/>
      <c r="AF6939" s="13"/>
    </row>
    <row r="6940" spans="19:32" x14ac:dyDescent="0.35">
      <c r="S6940" s="13"/>
      <c r="T6940" s="16"/>
      <c r="U6940" s="16"/>
      <c r="V6940" s="16"/>
      <c r="W6940" s="13"/>
      <c r="X6940" s="34">
        <v>6936</v>
      </c>
      <c r="Y6940" s="34" t="s">
        <v>2248</v>
      </c>
      <c r="Z6940" s="34" t="s">
        <v>2461</v>
      </c>
      <c r="AA6940" s="35">
        <v>7.1290322580645164E-3</v>
      </c>
      <c r="AB6940" s="13"/>
      <c r="AC6940" s="13"/>
      <c r="AD6940" s="13"/>
      <c r="AE6940" s="13"/>
      <c r="AF6940" s="13"/>
    </row>
    <row r="6941" spans="19:32" x14ac:dyDescent="0.35">
      <c r="S6941" s="13"/>
      <c r="T6941" s="16"/>
      <c r="U6941" s="16"/>
      <c r="V6941" s="16"/>
      <c r="W6941" s="13"/>
      <c r="X6941" s="47">
        <v>6937</v>
      </c>
      <c r="Y6941" s="47" t="s">
        <v>2248</v>
      </c>
      <c r="Z6941" s="47" t="s">
        <v>2460</v>
      </c>
      <c r="AA6941" s="56">
        <v>0.41676000000000002</v>
      </c>
      <c r="AB6941" s="13"/>
      <c r="AC6941" s="13"/>
      <c r="AD6941" s="13"/>
      <c r="AE6941" s="13"/>
      <c r="AF6941" s="13"/>
    </row>
    <row r="6942" spans="19:32" x14ac:dyDescent="0.35">
      <c r="S6942" s="13"/>
      <c r="T6942" s="16"/>
      <c r="U6942" s="16"/>
      <c r="V6942" s="16"/>
      <c r="W6942" s="13"/>
      <c r="X6942" s="47">
        <v>6938</v>
      </c>
      <c r="Y6942" s="47" t="s">
        <v>2248</v>
      </c>
      <c r="Z6942" s="47" t="s">
        <v>2459</v>
      </c>
      <c r="AA6942" s="56">
        <v>2.8704000000000001</v>
      </c>
      <c r="AB6942" s="13"/>
      <c r="AC6942" s="13"/>
      <c r="AD6942" s="13"/>
      <c r="AE6942" s="13"/>
      <c r="AF6942" s="13"/>
    </row>
    <row r="6943" spans="19:32" x14ac:dyDescent="0.35">
      <c r="S6943" s="13"/>
      <c r="T6943" s="16"/>
      <c r="U6943" s="16"/>
      <c r="V6943" s="16"/>
      <c r="W6943" s="13"/>
      <c r="X6943" s="34">
        <v>6939</v>
      </c>
      <c r="Y6943" s="34" t="s">
        <v>2248</v>
      </c>
      <c r="Z6943" s="34" t="s">
        <v>2458</v>
      </c>
      <c r="AA6943" s="35">
        <v>2.1832661290322585E-3</v>
      </c>
      <c r="AB6943" s="13"/>
      <c r="AC6943" s="13"/>
      <c r="AD6943" s="13"/>
      <c r="AE6943" s="13"/>
      <c r="AF6943" s="13"/>
    </row>
    <row r="6944" spans="19:32" x14ac:dyDescent="0.35">
      <c r="S6944" s="13"/>
      <c r="T6944" s="16"/>
      <c r="U6944" s="16"/>
      <c r="V6944" s="16"/>
      <c r="W6944" s="13"/>
      <c r="X6944" s="47">
        <v>6940</v>
      </c>
      <c r="Y6944" s="47" t="s">
        <v>2248</v>
      </c>
      <c r="Z6944" s="47" t="s">
        <v>2457</v>
      </c>
      <c r="AA6944" s="56">
        <v>0.41308</v>
      </c>
      <c r="AB6944" s="13"/>
      <c r="AC6944" s="13"/>
      <c r="AD6944" s="13"/>
      <c r="AE6944" s="13"/>
      <c r="AF6944" s="13"/>
    </row>
    <row r="6945" spans="19:32" x14ac:dyDescent="0.35">
      <c r="S6945" s="13"/>
      <c r="T6945" s="16"/>
      <c r="U6945" s="16"/>
      <c r="V6945" s="16"/>
      <c r="W6945" s="13"/>
      <c r="X6945" s="47">
        <v>6941</v>
      </c>
      <c r="Y6945" s="47" t="s">
        <v>2248</v>
      </c>
      <c r="Z6945" s="47" t="s">
        <v>2456</v>
      </c>
      <c r="AA6945" s="56">
        <v>0</v>
      </c>
      <c r="AB6945" s="13"/>
      <c r="AC6945" s="13"/>
      <c r="AD6945" s="13"/>
      <c r="AE6945" s="13"/>
      <c r="AF6945" s="13"/>
    </row>
    <row r="6946" spans="19:32" x14ac:dyDescent="0.35">
      <c r="S6946" s="13"/>
      <c r="T6946" s="16"/>
      <c r="U6946" s="16"/>
      <c r="V6946" s="16"/>
      <c r="W6946" s="13"/>
      <c r="X6946" s="34">
        <v>6942</v>
      </c>
      <c r="Y6946" s="34" t="s">
        <v>2248</v>
      </c>
      <c r="Z6946" s="34" t="s">
        <v>2455</v>
      </c>
      <c r="AA6946" s="35">
        <v>3.4274193548387098E-3</v>
      </c>
      <c r="AB6946" s="13"/>
      <c r="AC6946" s="13"/>
      <c r="AD6946" s="13"/>
      <c r="AE6946" s="13"/>
      <c r="AF6946" s="13"/>
    </row>
    <row r="6947" spans="19:32" x14ac:dyDescent="0.35">
      <c r="S6947" s="13"/>
      <c r="T6947" s="16"/>
      <c r="U6947" s="16"/>
      <c r="V6947" s="16"/>
      <c r="W6947" s="13"/>
      <c r="X6947" s="47">
        <v>6943</v>
      </c>
      <c r="Y6947" s="47" t="s">
        <v>2248</v>
      </c>
      <c r="Z6947" s="47" t="s">
        <v>2454</v>
      </c>
      <c r="AA6947" s="56">
        <v>69.183999999999997</v>
      </c>
      <c r="AB6947" s="13"/>
      <c r="AC6947" s="13"/>
      <c r="AD6947" s="13"/>
      <c r="AE6947" s="13"/>
      <c r="AF6947" s="13"/>
    </row>
    <row r="6948" spans="19:32" x14ac:dyDescent="0.35">
      <c r="S6948" s="13"/>
      <c r="T6948" s="16"/>
      <c r="U6948" s="16"/>
      <c r="V6948" s="16"/>
      <c r="W6948" s="13"/>
      <c r="X6948" s="47">
        <v>6944</v>
      </c>
      <c r="Y6948" s="47" t="s">
        <v>2248</v>
      </c>
      <c r="Z6948" s="47" t="s">
        <v>2453</v>
      </c>
      <c r="AA6948" s="56">
        <v>0</v>
      </c>
      <c r="AB6948" s="13"/>
      <c r="AC6948" s="13"/>
      <c r="AD6948" s="13"/>
      <c r="AE6948" s="13"/>
      <c r="AF6948" s="13"/>
    </row>
    <row r="6949" spans="19:32" x14ac:dyDescent="0.35">
      <c r="S6949" s="13"/>
      <c r="T6949" s="16"/>
      <c r="U6949" s="16"/>
      <c r="V6949" s="16"/>
      <c r="W6949" s="13"/>
      <c r="X6949" s="34">
        <v>6945</v>
      </c>
      <c r="Y6949" s="34" t="s">
        <v>2248</v>
      </c>
      <c r="Z6949" s="34" t="s">
        <v>2452</v>
      </c>
      <c r="AA6949" s="35">
        <v>5.2439516129032266E-4</v>
      </c>
      <c r="AB6949" s="13"/>
      <c r="AC6949" s="13"/>
      <c r="AD6949" s="13"/>
      <c r="AE6949" s="13"/>
      <c r="AF6949" s="13"/>
    </row>
    <row r="6950" spans="19:32" x14ac:dyDescent="0.35">
      <c r="S6950" s="13"/>
      <c r="T6950" s="16"/>
      <c r="U6950" s="16"/>
      <c r="V6950" s="16"/>
      <c r="W6950" s="13"/>
      <c r="X6950" s="47">
        <v>6946</v>
      </c>
      <c r="Y6950" s="47" t="s">
        <v>2248</v>
      </c>
      <c r="Z6950" s="47" t="s">
        <v>2451</v>
      </c>
      <c r="AA6950" s="56">
        <v>1.1224E-2</v>
      </c>
      <c r="AB6950" s="13"/>
      <c r="AC6950" s="13"/>
      <c r="AD6950" s="13"/>
      <c r="AE6950" s="13"/>
      <c r="AF6950" s="13"/>
    </row>
    <row r="6951" spans="19:32" x14ac:dyDescent="0.35">
      <c r="S6951" s="13"/>
      <c r="T6951" s="16"/>
      <c r="U6951" s="16"/>
      <c r="V6951" s="16"/>
      <c r="W6951" s="13"/>
      <c r="X6951" s="47">
        <v>6947</v>
      </c>
      <c r="Y6951" s="47" t="s">
        <v>2248</v>
      </c>
      <c r="Z6951" s="47" t="s">
        <v>2450</v>
      </c>
      <c r="AA6951" s="56">
        <v>6.1364000000000001</v>
      </c>
      <c r="AB6951" s="13"/>
      <c r="AC6951" s="13"/>
      <c r="AD6951" s="13"/>
      <c r="AE6951" s="13"/>
      <c r="AF6951" s="13"/>
    </row>
    <row r="6952" spans="19:32" x14ac:dyDescent="0.35">
      <c r="S6952" s="13"/>
      <c r="T6952" s="16"/>
      <c r="U6952" s="16"/>
      <c r="V6952" s="16"/>
      <c r="W6952" s="13"/>
      <c r="X6952" s="34">
        <v>6948</v>
      </c>
      <c r="Y6952" s="34" t="s">
        <v>2248</v>
      </c>
      <c r="Z6952" s="34" t="s">
        <v>2449</v>
      </c>
      <c r="AA6952" s="35">
        <v>6.9576612903225811E-7</v>
      </c>
      <c r="AB6952" s="13"/>
      <c r="AC6952" s="13"/>
      <c r="AD6952" s="13"/>
      <c r="AE6952" s="13"/>
      <c r="AF6952" s="13"/>
    </row>
    <row r="6953" spans="19:32" x14ac:dyDescent="0.35">
      <c r="S6953" s="13"/>
      <c r="T6953" s="16"/>
      <c r="U6953" s="16"/>
      <c r="V6953" s="16"/>
      <c r="W6953" s="13"/>
      <c r="X6953" s="47">
        <v>6949</v>
      </c>
      <c r="Y6953" s="47" t="s">
        <v>2248</v>
      </c>
      <c r="Z6953" s="47" t="s">
        <v>2448</v>
      </c>
      <c r="AA6953" s="56">
        <v>9.1907999999999994</v>
      </c>
      <c r="AB6953" s="13"/>
      <c r="AC6953" s="13"/>
      <c r="AD6953" s="13"/>
      <c r="AE6953" s="13"/>
      <c r="AF6953" s="13"/>
    </row>
    <row r="6954" spans="19:32" x14ac:dyDescent="0.35">
      <c r="S6954" s="13"/>
      <c r="T6954" s="16"/>
      <c r="U6954" s="16"/>
      <c r="V6954" s="16"/>
      <c r="W6954" s="13"/>
      <c r="X6954" s="34">
        <v>6950</v>
      </c>
      <c r="Y6954" s="34" t="s">
        <v>2248</v>
      </c>
      <c r="Z6954" s="34" t="s">
        <v>2447</v>
      </c>
      <c r="AA6954" s="35">
        <v>1.2475806451612904E-2</v>
      </c>
      <c r="AB6954" s="13"/>
      <c r="AC6954" s="13"/>
      <c r="AD6954" s="13"/>
      <c r="AE6954" s="13"/>
      <c r="AF6954" s="13"/>
    </row>
    <row r="6955" spans="19:32" x14ac:dyDescent="0.35">
      <c r="S6955" s="13"/>
      <c r="T6955" s="16"/>
      <c r="U6955" s="16"/>
      <c r="V6955" s="16"/>
      <c r="W6955" s="13"/>
      <c r="X6955" s="47">
        <v>6951</v>
      </c>
      <c r="Y6955" s="47" t="s">
        <v>2248</v>
      </c>
      <c r="Z6955" s="47" t="s">
        <v>2446</v>
      </c>
      <c r="AA6955" s="56">
        <v>0</v>
      </c>
      <c r="AB6955" s="13"/>
      <c r="AC6955" s="13"/>
      <c r="AD6955" s="13"/>
      <c r="AE6955" s="13"/>
      <c r="AF6955" s="13"/>
    </row>
    <row r="6956" spans="19:32" x14ac:dyDescent="0.35">
      <c r="S6956" s="13"/>
      <c r="T6956" s="16"/>
      <c r="U6956" s="16"/>
      <c r="V6956" s="16"/>
      <c r="W6956" s="13"/>
      <c r="X6956" s="47">
        <v>6952</v>
      </c>
      <c r="Y6956" s="47" t="s">
        <v>2248</v>
      </c>
      <c r="Z6956" s="47" t="s">
        <v>2445</v>
      </c>
      <c r="AA6956" s="56">
        <v>3.7076000000000002</v>
      </c>
      <c r="AB6956" s="13"/>
      <c r="AC6956" s="13"/>
      <c r="AD6956" s="13"/>
      <c r="AE6956" s="13"/>
      <c r="AF6956" s="13"/>
    </row>
    <row r="6957" spans="19:32" x14ac:dyDescent="0.35">
      <c r="S6957" s="13"/>
      <c r="T6957" s="16"/>
      <c r="U6957" s="16"/>
      <c r="V6957" s="16"/>
      <c r="W6957" s="13"/>
      <c r="X6957" s="34">
        <v>6953</v>
      </c>
      <c r="Y6957" s="34" t="s">
        <v>2248</v>
      </c>
      <c r="Z6957" s="34" t="s">
        <v>2444</v>
      </c>
      <c r="AA6957" s="35">
        <v>3.7016129032258066E-2</v>
      </c>
      <c r="AB6957" s="13"/>
      <c r="AC6957" s="13"/>
      <c r="AD6957" s="13"/>
      <c r="AE6957" s="13"/>
      <c r="AF6957" s="13"/>
    </row>
    <row r="6958" spans="19:32" x14ac:dyDescent="0.35">
      <c r="S6958" s="13"/>
      <c r="T6958" s="16"/>
      <c r="U6958" s="16"/>
      <c r="V6958" s="16"/>
      <c r="W6958" s="13"/>
      <c r="X6958" s="47">
        <v>6954</v>
      </c>
      <c r="Y6958" s="47" t="s">
        <v>2248</v>
      </c>
      <c r="Z6958" s="47" t="s">
        <v>2443</v>
      </c>
      <c r="AA6958" s="56">
        <v>0</v>
      </c>
      <c r="AB6958" s="13"/>
      <c r="AC6958" s="13"/>
      <c r="AD6958" s="13"/>
      <c r="AE6958" s="13"/>
      <c r="AF6958" s="13"/>
    </row>
    <row r="6959" spans="19:32" x14ac:dyDescent="0.35">
      <c r="S6959" s="13"/>
      <c r="T6959" s="16"/>
      <c r="U6959" s="16"/>
      <c r="V6959" s="16"/>
      <c r="W6959" s="13"/>
      <c r="X6959" s="47">
        <v>6955</v>
      </c>
      <c r="Y6959" s="47" t="s">
        <v>2248</v>
      </c>
      <c r="Z6959" s="47" t="s">
        <v>2442</v>
      </c>
      <c r="AA6959" s="56">
        <v>0</v>
      </c>
      <c r="AB6959" s="13"/>
      <c r="AC6959" s="13"/>
      <c r="AD6959" s="13"/>
      <c r="AE6959" s="13"/>
      <c r="AF6959" s="13"/>
    </row>
    <row r="6960" spans="19:32" x14ac:dyDescent="0.35">
      <c r="S6960" s="13"/>
      <c r="T6960" s="16"/>
      <c r="U6960" s="16"/>
      <c r="V6960" s="16"/>
      <c r="W6960" s="13"/>
      <c r="X6960" s="34">
        <v>6956</v>
      </c>
      <c r="Y6960" s="34" t="s">
        <v>2248</v>
      </c>
      <c r="Z6960" s="34" t="s">
        <v>2441</v>
      </c>
      <c r="AA6960" s="35">
        <v>1.7925403225806455E-4</v>
      </c>
      <c r="AB6960" s="13"/>
      <c r="AC6960" s="13"/>
      <c r="AD6960" s="13"/>
      <c r="AE6960" s="13"/>
      <c r="AF6960" s="13"/>
    </row>
    <row r="6961" spans="19:32" x14ac:dyDescent="0.35">
      <c r="S6961" s="13"/>
      <c r="T6961" s="16"/>
      <c r="U6961" s="16"/>
      <c r="V6961" s="16"/>
      <c r="W6961" s="13"/>
      <c r="X6961" s="47">
        <v>6957</v>
      </c>
      <c r="Y6961" s="47" t="s">
        <v>2248</v>
      </c>
      <c r="Z6961" s="47" t="s">
        <v>2440</v>
      </c>
      <c r="AA6961" s="56">
        <v>0</v>
      </c>
      <c r="AB6961" s="13"/>
      <c r="AC6961" s="13"/>
      <c r="AD6961" s="13"/>
      <c r="AE6961" s="13"/>
      <c r="AF6961" s="13"/>
    </row>
    <row r="6962" spans="19:32" x14ac:dyDescent="0.35">
      <c r="S6962" s="13"/>
      <c r="T6962" s="16"/>
      <c r="U6962" s="16"/>
      <c r="V6962" s="16"/>
      <c r="W6962" s="13"/>
      <c r="X6962" s="47">
        <v>6958</v>
      </c>
      <c r="Y6962" s="47" t="s">
        <v>2248</v>
      </c>
      <c r="Z6962" s="47" t="s">
        <v>2439</v>
      </c>
      <c r="AA6962" s="56">
        <v>0</v>
      </c>
      <c r="AB6962" s="13"/>
      <c r="AC6962" s="13"/>
      <c r="AD6962" s="13"/>
      <c r="AE6962" s="13"/>
      <c r="AF6962" s="13"/>
    </row>
    <row r="6963" spans="19:32" x14ac:dyDescent="0.35">
      <c r="S6963" s="13"/>
      <c r="T6963" s="16"/>
      <c r="U6963" s="16"/>
      <c r="V6963" s="16"/>
      <c r="W6963" s="13"/>
      <c r="X6963" s="34">
        <v>6959</v>
      </c>
      <c r="Y6963" s="34" t="s">
        <v>2248</v>
      </c>
      <c r="Z6963" s="34" t="s">
        <v>2438</v>
      </c>
      <c r="AA6963" s="35">
        <v>9.2883064516129047E-3</v>
      </c>
      <c r="AB6963" s="13"/>
      <c r="AC6963" s="13"/>
      <c r="AD6963" s="13"/>
      <c r="AE6963" s="13"/>
      <c r="AF6963" s="13"/>
    </row>
    <row r="6964" spans="19:32" x14ac:dyDescent="0.35">
      <c r="S6964" s="13"/>
      <c r="T6964" s="16"/>
      <c r="U6964" s="16"/>
      <c r="V6964" s="16"/>
      <c r="W6964" s="13"/>
      <c r="X6964" s="47">
        <v>6960</v>
      </c>
      <c r="Y6964" s="47" t="s">
        <v>2248</v>
      </c>
      <c r="Z6964" s="47" t="s">
        <v>2437</v>
      </c>
      <c r="AA6964" s="56">
        <v>4.4436</v>
      </c>
      <c r="AB6964" s="13"/>
      <c r="AC6964" s="13"/>
      <c r="AD6964" s="13"/>
      <c r="AE6964" s="13"/>
      <c r="AF6964" s="13"/>
    </row>
    <row r="6965" spans="19:32" x14ac:dyDescent="0.35">
      <c r="S6965" s="13"/>
      <c r="T6965" s="16"/>
      <c r="U6965" s="16"/>
      <c r="V6965" s="16"/>
      <c r="W6965" s="13"/>
      <c r="X6965" s="34">
        <v>6961</v>
      </c>
      <c r="Y6965" s="34" t="s">
        <v>2248</v>
      </c>
      <c r="Z6965" s="34" t="s">
        <v>2436</v>
      </c>
      <c r="AA6965" s="35">
        <v>0.29818548387096777</v>
      </c>
      <c r="AB6965" s="13"/>
      <c r="AC6965" s="13"/>
      <c r="AD6965" s="13"/>
      <c r="AE6965" s="13"/>
      <c r="AF6965" s="13"/>
    </row>
    <row r="6966" spans="19:32" x14ac:dyDescent="0.35">
      <c r="S6966" s="13"/>
      <c r="T6966" s="16"/>
      <c r="U6966" s="16"/>
      <c r="V6966" s="16"/>
      <c r="W6966" s="13"/>
      <c r="X6966" s="47">
        <v>6962</v>
      </c>
      <c r="Y6966" s="47" t="s">
        <v>2248</v>
      </c>
      <c r="Z6966" s="47" t="s">
        <v>2435</v>
      </c>
      <c r="AA6966" s="56">
        <v>0</v>
      </c>
      <c r="AB6966" s="13"/>
      <c r="AC6966" s="13"/>
      <c r="AD6966" s="13"/>
      <c r="AE6966" s="13"/>
      <c r="AF6966" s="13"/>
    </row>
    <row r="6967" spans="19:32" x14ac:dyDescent="0.35">
      <c r="S6967" s="13"/>
      <c r="T6967" s="16"/>
      <c r="U6967" s="16"/>
      <c r="V6967" s="16"/>
      <c r="W6967" s="13"/>
      <c r="X6967" s="47">
        <v>6963</v>
      </c>
      <c r="Y6967" s="47" t="s">
        <v>2248</v>
      </c>
      <c r="Z6967" s="47" t="s">
        <v>2434</v>
      </c>
      <c r="AA6967" s="56">
        <v>1.0304</v>
      </c>
      <c r="AB6967" s="13"/>
      <c r="AC6967" s="13"/>
      <c r="AD6967" s="13"/>
      <c r="AE6967" s="13"/>
      <c r="AF6967" s="13"/>
    </row>
    <row r="6968" spans="19:32" x14ac:dyDescent="0.35">
      <c r="S6968" s="13"/>
      <c r="T6968" s="16"/>
      <c r="U6968" s="16"/>
      <c r="V6968" s="16"/>
      <c r="W6968" s="13"/>
      <c r="X6968" s="34">
        <v>6964</v>
      </c>
      <c r="Y6968" s="34" t="s">
        <v>2248</v>
      </c>
      <c r="Z6968" s="34" t="s">
        <v>2433</v>
      </c>
      <c r="AA6968" s="35">
        <v>2.6870967741935486E-3</v>
      </c>
      <c r="AB6968" s="13"/>
      <c r="AC6968" s="13"/>
      <c r="AD6968" s="13"/>
      <c r="AE6968" s="13"/>
      <c r="AF6968" s="13"/>
    </row>
    <row r="6969" spans="19:32" x14ac:dyDescent="0.35">
      <c r="S6969" s="13"/>
      <c r="T6969" s="16"/>
      <c r="U6969" s="16"/>
      <c r="V6969" s="16"/>
      <c r="W6969" s="13"/>
      <c r="X6969" s="47">
        <v>6965</v>
      </c>
      <c r="Y6969" s="47" t="s">
        <v>2248</v>
      </c>
      <c r="Z6969" s="47" t="s">
        <v>2432</v>
      </c>
      <c r="AA6969" s="56">
        <v>1.3707999999999999E-3</v>
      </c>
      <c r="AB6969" s="13"/>
      <c r="AC6969" s="13"/>
      <c r="AD6969" s="13"/>
      <c r="AE6969" s="13"/>
      <c r="AF6969" s="13"/>
    </row>
    <row r="6970" spans="19:32" x14ac:dyDescent="0.35">
      <c r="S6970" s="13"/>
      <c r="T6970" s="16"/>
      <c r="U6970" s="16"/>
      <c r="V6970" s="16"/>
      <c r="W6970" s="13"/>
      <c r="X6970" s="47">
        <v>6966</v>
      </c>
      <c r="Y6970" s="47" t="s">
        <v>2248</v>
      </c>
      <c r="Z6970" s="47" t="s">
        <v>2431</v>
      </c>
      <c r="AA6970" s="56">
        <v>0</v>
      </c>
      <c r="AB6970" s="13"/>
      <c r="AC6970" s="13"/>
      <c r="AD6970" s="13"/>
      <c r="AE6970" s="13"/>
      <c r="AF6970" s="13"/>
    </row>
    <row r="6971" spans="19:32" x14ac:dyDescent="0.35">
      <c r="S6971" s="13"/>
      <c r="T6971" s="16"/>
      <c r="U6971" s="16"/>
      <c r="V6971" s="16"/>
      <c r="W6971" s="13"/>
      <c r="X6971" s="34">
        <v>6967</v>
      </c>
      <c r="Y6971" s="34" t="s">
        <v>2248</v>
      </c>
      <c r="Z6971" s="34" t="s">
        <v>2430</v>
      </c>
      <c r="AA6971" s="35">
        <v>3.7016129032258066E-3</v>
      </c>
      <c r="AB6971" s="13"/>
      <c r="AC6971" s="13"/>
      <c r="AD6971" s="13"/>
      <c r="AE6971" s="13"/>
      <c r="AF6971" s="13"/>
    </row>
    <row r="6972" spans="19:32" x14ac:dyDescent="0.35">
      <c r="S6972" s="13"/>
      <c r="T6972" s="16"/>
      <c r="U6972" s="16"/>
      <c r="V6972" s="16"/>
      <c r="W6972" s="13"/>
      <c r="X6972" s="47">
        <v>6968</v>
      </c>
      <c r="Y6972" s="47" t="s">
        <v>2248</v>
      </c>
      <c r="Z6972" s="47" t="s">
        <v>2429</v>
      </c>
      <c r="AA6972" s="56">
        <v>250.24</v>
      </c>
      <c r="AB6972" s="13"/>
      <c r="AC6972" s="13"/>
      <c r="AD6972" s="13"/>
      <c r="AE6972" s="13"/>
      <c r="AF6972" s="13"/>
    </row>
    <row r="6973" spans="19:32" x14ac:dyDescent="0.35">
      <c r="S6973" s="13"/>
      <c r="T6973" s="16"/>
      <c r="U6973" s="16"/>
      <c r="V6973" s="16"/>
      <c r="W6973" s="13"/>
      <c r="X6973" s="47">
        <v>6969</v>
      </c>
      <c r="Y6973" s="47" t="s">
        <v>2248</v>
      </c>
      <c r="Z6973" s="47" t="s">
        <v>2428</v>
      </c>
      <c r="AA6973" s="56">
        <v>1.196E-2</v>
      </c>
      <c r="AB6973" s="13"/>
      <c r="AC6973" s="13"/>
      <c r="AD6973" s="13"/>
      <c r="AE6973" s="13"/>
      <c r="AF6973" s="13"/>
    </row>
    <row r="6974" spans="19:32" x14ac:dyDescent="0.35">
      <c r="S6974" s="13"/>
      <c r="T6974" s="16"/>
      <c r="U6974" s="16"/>
      <c r="V6974" s="16"/>
      <c r="W6974" s="13"/>
      <c r="X6974" s="34">
        <v>6970</v>
      </c>
      <c r="Y6974" s="34" t="s">
        <v>2248</v>
      </c>
      <c r="Z6974" s="34" t="s">
        <v>2427</v>
      </c>
      <c r="AA6974" s="35">
        <v>9.5967741935483876E-4</v>
      </c>
      <c r="AB6974" s="13"/>
      <c r="AC6974" s="13"/>
      <c r="AD6974" s="13"/>
      <c r="AE6974" s="13"/>
      <c r="AF6974" s="13"/>
    </row>
    <row r="6975" spans="19:32" x14ac:dyDescent="0.35">
      <c r="S6975" s="13"/>
      <c r="T6975" s="16"/>
      <c r="U6975" s="16"/>
      <c r="V6975" s="16"/>
      <c r="W6975" s="13"/>
      <c r="X6975" s="47">
        <v>6971</v>
      </c>
      <c r="Y6975" s="47" t="s">
        <v>2248</v>
      </c>
      <c r="Z6975" s="47" t="s">
        <v>2426</v>
      </c>
      <c r="AA6975" s="56">
        <v>0</v>
      </c>
      <c r="AB6975" s="13"/>
      <c r="AC6975" s="13"/>
      <c r="AD6975" s="13"/>
      <c r="AE6975" s="13"/>
      <c r="AF6975" s="13"/>
    </row>
    <row r="6976" spans="19:32" x14ac:dyDescent="0.35">
      <c r="S6976" s="13"/>
      <c r="T6976" s="16"/>
      <c r="U6976" s="16"/>
      <c r="V6976" s="16"/>
      <c r="W6976" s="13"/>
      <c r="X6976" s="47">
        <v>6972</v>
      </c>
      <c r="Y6976" s="47" t="s">
        <v>2248</v>
      </c>
      <c r="Z6976" s="47" t="s">
        <v>2425</v>
      </c>
      <c r="AA6976" s="56">
        <v>0</v>
      </c>
      <c r="AB6976" s="13"/>
      <c r="AC6976" s="13"/>
      <c r="AD6976" s="13"/>
      <c r="AE6976" s="13"/>
      <c r="AF6976" s="13"/>
    </row>
    <row r="6977" spans="19:32" x14ac:dyDescent="0.35">
      <c r="S6977" s="13"/>
      <c r="T6977" s="16"/>
      <c r="U6977" s="16"/>
      <c r="V6977" s="16"/>
      <c r="W6977" s="13"/>
      <c r="X6977" s="34">
        <v>6973</v>
      </c>
      <c r="Y6977" s="34" t="s">
        <v>2248</v>
      </c>
      <c r="Z6977" s="34" t="s">
        <v>2424</v>
      </c>
      <c r="AA6977" s="35">
        <v>1.4292338709677421E-2</v>
      </c>
      <c r="AB6977" s="13"/>
      <c r="AC6977" s="13"/>
      <c r="AD6977" s="13"/>
      <c r="AE6977" s="13"/>
      <c r="AF6977" s="13"/>
    </row>
    <row r="6978" spans="19:32" x14ac:dyDescent="0.35">
      <c r="S6978" s="13"/>
      <c r="T6978" s="16"/>
      <c r="U6978" s="16"/>
      <c r="V6978" s="16"/>
      <c r="W6978" s="13"/>
      <c r="X6978" s="47">
        <v>6974</v>
      </c>
      <c r="Y6978" s="47" t="s">
        <v>2248</v>
      </c>
      <c r="Z6978" s="47" t="s">
        <v>2423</v>
      </c>
      <c r="AA6978" s="56">
        <v>0</v>
      </c>
      <c r="AB6978" s="13"/>
      <c r="AC6978" s="13"/>
      <c r="AD6978" s="13"/>
      <c r="AE6978" s="13"/>
      <c r="AF6978" s="13"/>
    </row>
    <row r="6979" spans="19:32" x14ac:dyDescent="0.35">
      <c r="S6979" s="13"/>
      <c r="T6979" s="16"/>
      <c r="U6979" s="16"/>
      <c r="V6979" s="16"/>
      <c r="W6979" s="13"/>
      <c r="X6979" s="34">
        <v>6975</v>
      </c>
      <c r="Y6979" s="34" t="s">
        <v>2248</v>
      </c>
      <c r="Z6979" s="34" t="s">
        <v>2422</v>
      </c>
      <c r="AA6979" s="35">
        <v>2.0393145161290323E-3</v>
      </c>
      <c r="AB6979" s="13"/>
      <c r="AC6979" s="13"/>
      <c r="AD6979" s="13"/>
      <c r="AE6979" s="13"/>
      <c r="AF6979" s="13"/>
    </row>
    <row r="6980" spans="19:32" x14ac:dyDescent="0.35">
      <c r="S6980" s="13"/>
      <c r="T6980" s="16"/>
      <c r="U6980" s="16"/>
      <c r="V6980" s="16"/>
      <c r="W6980" s="13"/>
      <c r="X6980" s="47">
        <v>6976</v>
      </c>
      <c r="Y6980" s="47" t="s">
        <v>2248</v>
      </c>
      <c r="Z6980" s="47" t="s">
        <v>2421</v>
      </c>
      <c r="AA6980" s="56">
        <v>0</v>
      </c>
      <c r="AB6980" s="13"/>
      <c r="AC6980" s="13"/>
      <c r="AD6980" s="13"/>
      <c r="AE6980" s="13"/>
      <c r="AF6980" s="13"/>
    </row>
    <row r="6981" spans="19:32" x14ac:dyDescent="0.35">
      <c r="S6981" s="13"/>
      <c r="T6981" s="16"/>
      <c r="U6981" s="16"/>
      <c r="V6981" s="16"/>
      <c r="W6981" s="13"/>
      <c r="X6981" s="47">
        <v>6977</v>
      </c>
      <c r="Y6981" s="47" t="s">
        <v>2248</v>
      </c>
      <c r="Z6981" s="47" t="s">
        <v>2420</v>
      </c>
      <c r="AA6981" s="56">
        <v>0.1196</v>
      </c>
      <c r="AB6981" s="13"/>
      <c r="AC6981" s="13"/>
      <c r="AD6981" s="13"/>
      <c r="AE6981" s="13"/>
      <c r="AF6981" s="13"/>
    </row>
    <row r="6982" spans="19:32" x14ac:dyDescent="0.35">
      <c r="S6982" s="13"/>
      <c r="T6982" s="16"/>
      <c r="U6982" s="16"/>
      <c r="V6982" s="16"/>
      <c r="W6982" s="13"/>
      <c r="X6982" s="34">
        <v>6978</v>
      </c>
      <c r="Y6982" s="34" t="s">
        <v>2248</v>
      </c>
      <c r="Z6982" s="34" t="s">
        <v>2419</v>
      </c>
      <c r="AA6982" s="35">
        <v>5.8266129032258064E-5</v>
      </c>
      <c r="AB6982" s="13"/>
      <c r="AC6982" s="13"/>
      <c r="AD6982" s="13"/>
      <c r="AE6982" s="13"/>
      <c r="AF6982" s="13"/>
    </row>
    <row r="6983" spans="19:32" x14ac:dyDescent="0.35">
      <c r="S6983" s="13"/>
      <c r="T6983" s="16"/>
      <c r="U6983" s="16"/>
      <c r="V6983" s="16"/>
      <c r="W6983" s="13"/>
      <c r="X6983" s="47">
        <v>6979</v>
      </c>
      <c r="Y6983" s="47" t="s">
        <v>2248</v>
      </c>
      <c r="Z6983" s="47" t="s">
        <v>2418</v>
      </c>
      <c r="AA6983" s="56">
        <v>0</v>
      </c>
      <c r="AB6983" s="13"/>
      <c r="AC6983" s="13"/>
      <c r="AD6983" s="13"/>
      <c r="AE6983" s="13"/>
      <c r="AF6983" s="13"/>
    </row>
    <row r="6984" spans="19:32" x14ac:dyDescent="0.35">
      <c r="S6984" s="13"/>
      <c r="T6984" s="16"/>
      <c r="U6984" s="16"/>
      <c r="V6984" s="16"/>
      <c r="W6984" s="13"/>
      <c r="X6984" s="47">
        <v>6980</v>
      </c>
      <c r="Y6984" s="47" t="s">
        <v>2248</v>
      </c>
      <c r="Z6984" s="47" t="s">
        <v>2417</v>
      </c>
      <c r="AA6984" s="56">
        <v>0</v>
      </c>
      <c r="AB6984" s="13"/>
      <c r="AC6984" s="13"/>
      <c r="AD6984" s="13"/>
      <c r="AE6984" s="13"/>
      <c r="AF6984" s="13"/>
    </row>
    <row r="6985" spans="19:32" x14ac:dyDescent="0.35">
      <c r="S6985" s="13"/>
      <c r="T6985" s="16"/>
      <c r="U6985" s="16"/>
      <c r="V6985" s="16"/>
      <c r="W6985" s="13"/>
      <c r="X6985" s="34">
        <v>6981</v>
      </c>
      <c r="Y6985" s="34" t="s">
        <v>2248</v>
      </c>
      <c r="Z6985" s="34" t="s">
        <v>2416</v>
      </c>
      <c r="AA6985" s="35">
        <v>3.084677419354839E-5</v>
      </c>
      <c r="AB6985" s="13"/>
      <c r="AC6985" s="13"/>
      <c r="AD6985" s="13"/>
      <c r="AE6985" s="13"/>
      <c r="AF6985" s="13"/>
    </row>
    <row r="6986" spans="19:32" x14ac:dyDescent="0.35">
      <c r="S6986" s="13"/>
      <c r="T6986" s="16"/>
      <c r="U6986" s="16"/>
      <c r="V6986" s="16"/>
      <c r="W6986" s="13"/>
      <c r="X6986" s="47">
        <v>6982</v>
      </c>
      <c r="Y6986" s="47" t="s">
        <v>2248</v>
      </c>
      <c r="Z6986" s="47" t="s">
        <v>2415</v>
      </c>
      <c r="AA6986" s="56">
        <v>0.11776</v>
      </c>
      <c r="AB6986" s="13"/>
      <c r="AC6986" s="13"/>
      <c r="AD6986" s="13"/>
      <c r="AE6986" s="13"/>
      <c r="AF6986" s="13"/>
    </row>
    <row r="6987" spans="19:32" x14ac:dyDescent="0.35">
      <c r="S6987" s="13"/>
      <c r="T6987" s="16"/>
      <c r="U6987" s="16"/>
      <c r="V6987" s="16"/>
      <c r="W6987" s="13"/>
      <c r="X6987" s="47">
        <v>6983</v>
      </c>
      <c r="Y6987" s="47" t="s">
        <v>2248</v>
      </c>
      <c r="Z6987" s="47" t="s">
        <v>2414</v>
      </c>
      <c r="AA6987" s="56">
        <v>4.4804000000000004</v>
      </c>
      <c r="AB6987" s="13"/>
      <c r="AC6987" s="13"/>
      <c r="AD6987" s="13"/>
      <c r="AE6987" s="13"/>
      <c r="AF6987" s="13"/>
    </row>
    <row r="6988" spans="19:32" x14ac:dyDescent="0.35">
      <c r="S6988" s="13"/>
      <c r="T6988" s="16"/>
      <c r="U6988" s="16"/>
      <c r="V6988" s="16"/>
      <c r="W6988" s="13"/>
      <c r="X6988" s="34">
        <v>6984</v>
      </c>
      <c r="Y6988" s="34" t="s">
        <v>2248</v>
      </c>
      <c r="Z6988" s="34" t="s">
        <v>2413</v>
      </c>
      <c r="AA6988" s="35">
        <v>6.8891129032258067E-2</v>
      </c>
      <c r="AB6988" s="13"/>
      <c r="AC6988" s="13"/>
      <c r="AD6988" s="13"/>
      <c r="AE6988" s="13"/>
      <c r="AF6988" s="13"/>
    </row>
    <row r="6989" spans="19:32" x14ac:dyDescent="0.35">
      <c r="S6989" s="13"/>
      <c r="T6989" s="16"/>
      <c r="U6989" s="16"/>
      <c r="V6989" s="16"/>
      <c r="W6989" s="13"/>
      <c r="X6989" s="47">
        <v>6985</v>
      </c>
      <c r="Y6989" s="47" t="s">
        <v>2248</v>
      </c>
      <c r="Z6989" s="47" t="s">
        <v>2412</v>
      </c>
      <c r="AA6989" s="56">
        <v>2.2264000000000003E-2</v>
      </c>
      <c r="AB6989" s="13"/>
      <c r="AC6989" s="13"/>
      <c r="AD6989" s="13"/>
      <c r="AE6989" s="13"/>
      <c r="AF6989" s="13"/>
    </row>
    <row r="6990" spans="19:32" x14ac:dyDescent="0.35">
      <c r="S6990" s="13"/>
      <c r="T6990" s="16"/>
      <c r="U6990" s="16"/>
      <c r="V6990" s="16"/>
      <c r="W6990" s="13"/>
      <c r="X6990" s="34">
        <v>6986</v>
      </c>
      <c r="Y6990" s="34" t="s">
        <v>2248</v>
      </c>
      <c r="Z6990" s="34" t="s">
        <v>2411</v>
      </c>
      <c r="AA6990" s="35">
        <v>1.0933467741935485E-3</v>
      </c>
      <c r="AB6990" s="13"/>
      <c r="AC6990" s="13"/>
      <c r="AD6990" s="13"/>
      <c r="AE6990" s="13"/>
      <c r="AF6990" s="13"/>
    </row>
    <row r="6991" spans="19:32" x14ac:dyDescent="0.35">
      <c r="S6991" s="13"/>
      <c r="T6991" s="16"/>
      <c r="U6991" s="16"/>
      <c r="V6991" s="16"/>
      <c r="W6991" s="13"/>
      <c r="X6991" s="47">
        <v>6987</v>
      </c>
      <c r="Y6991" s="47" t="s">
        <v>2248</v>
      </c>
      <c r="Z6991" s="47" t="s">
        <v>2410</v>
      </c>
      <c r="AA6991" s="56">
        <v>0</v>
      </c>
      <c r="AB6991" s="13"/>
      <c r="AC6991" s="13"/>
      <c r="AD6991" s="13"/>
      <c r="AE6991" s="13"/>
      <c r="AF6991" s="13"/>
    </row>
    <row r="6992" spans="19:32" x14ac:dyDescent="0.35">
      <c r="S6992" s="13"/>
      <c r="T6992" s="16"/>
      <c r="U6992" s="16"/>
      <c r="V6992" s="16"/>
      <c r="W6992" s="13"/>
      <c r="X6992" s="47">
        <v>6988</v>
      </c>
      <c r="Y6992" s="47" t="s">
        <v>2248</v>
      </c>
      <c r="Z6992" s="47" t="s">
        <v>2409</v>
      </c>
      <c r="AA6992" s="56">
        <v>0</v>
      </c>
      <c r="AB6992" s="13"/>
      <c r="AC6992" s="13"/>
      <c r="AD6992" s="13"/>
      <c r="AE6992" s="13"/>
      <c r="AF6992" s="13"/>
    </row>
    <row r="6993" spans="19:32" x14ac:dyDescent="0.35">
      <c r="S6993" s="13"/>
      <c r="T6993" s="16"/>
      <c r="U6993" s="16"/>
      <c r="V6993" s="16"/>
      <c r="W6993" s="13"/>
      <c r="X6993" s="34">
        <v>6989</v>
      </c>
      <c r="Y6993" s="34" t="s">
        <v>2248</v>
      </c>
      <c r="Z6993" s="34" t="s">
        <v>2408</v>
      </c>
      <c r="AA6993" s="35">
        <v>2.0872983870967742E-4</v>
      </c>
      <c r="AB6993" s="13"/>
      <c r="AC6993" s="13"/>
      <c r="AD6993" s="13"/>
      <c r="AE6993" s="13"/>
      <c r="AF6993" s="13"/>
    </row>
    <row r="6994" spans="19:32" x14ac:dyDescent="0.35">
      <c r="S6994" s="13"/>
      <c r="T6994" s="16"/>
      <c r="U6994" s="16"/>
      <c r="V6994" s="16"/>
      <c r="W6994" s="13"/>
      <c r="X6994" s="47">
        <v>6990</v>
      </c>
      <c r="Y6994" s="47" t="s">
        <v>2248</v>
      </c>
      <c r="Z6994" s="47" t="s">
        <v>2407</v>
      </c>
      <c r="AA6994" s="56">
        <v>259.44</v>
      </c>
      <c r="AB6994" s="13"/>
      <c r="AC6994" s="13"/>
      <c r="AD6994" s="13"/>
      <c r="AE6994" s="13"/>
      <c r="AF6994" s="13"/>
    </row>
    <row r="6995" spans="19:32" x14ac:dyDescent="0.35">
      <c r="S6995" s="13"/>
      <c r="T6995" s="16"/>
      <c r="U6995" s="16"/>
      <c r="V6995" s="16"/>
      <c r="W6995" s="13"/>
      <c r="X6995" s="47">
        <v>6991</v>
      </c>
      <c r="Y6995" s="47" t="s">
        <v>2248</v>
      </c>
      <c r="Z6995" s="47" t="s">
        <v>2406</v>
      </c>
      <c r="AA6995" s="56">
        <v>0</v>
      </c>
      <c r="AB6995" s="13"/>
      <c r="AC6995" s="13"/>
      <c r="AD6995" s="13"/>
      <c r="AE6995" s="13"/>
      <c r="AF6995" s="13"/>
    </row>
    <row r="6996" spans="19:32" x14ac:dyDescent="0.35">
      <c r="S6996" s="13"/>
      <c r="T6996" s="16"/>
      <c r="U6996" s="16"/>
      <c r="V6996" s="16"/>
      <c r="W6996" s="13"/>
      <c r="X6996" s="34">
        <v>6992</v>
      </c>
      <c r="Y6996" s="34" t="s">
        <v>2248</v>
      </c>
      <c r="Z6996" s="34" t="s">
        <v>2405</v>
      </c>
      <c r="AA6996" s="35">
        <v>1.5697580645161291E-3</v>
      </c>
      <c r="AB6996" s="13"/>
      <c r="AC6996" s="13"/>
      <c r="AD6996" s="13"/>
      <c r="AE6996" s="13"/>
      <c r="AF6996" s="13"/>
    </row>
    <row r="6997" spans="19:32" x14ac:dyDescent="0.35">
      <c r="S6997" s="13"/>
      <c r="T6997" s="16"/>
      <c r="U6997" s="16"/>
      <c r="V6997" s="16"/>
      <c r="W6997" s="13"/>
      <c r="X6997" s="47">
        <v>6993</v>
      </c>
      <c r="Y6997" s="47" t="s">
        <v>2248</v>
      </c>
      <c r="Z6997" s="47" t="s">
        <v>2404</v>
      </c>
      <c r="AA6997" s="56">
        <v>7.0656E-3</v>
      </c>
      <c r="AB6997" s="13"/>
      <c r="AC6997" s="13"/>
      <c r="AD6997" s="13"/>
      <c r="AE6997" s="13"/>
      <c r="AF6997" s="13"/>
    </row>
    <row r="6998" spans="19:32" x14ac:dyDescent="0.35">
      <c r="S6998" s="13"/>
      <c r="T6998" s="16"/>
      <c r="U6998" s="16"/>
      <c r="V6998" s="16"/>
      <c r="W6998" s="13"/>
      <c r="X6998" s="47">
        <v>6994</v>
      </c>
      <c r="Y6998" s="47" t="s">
        <v>2248</v>
      </c>
      <c r="Z6998" s="47" t="s">
        <v>2403</v>
      </c>
      <c r="AA6998" s="56">
        <v>0</v>
      </c>
      <c r="AB6998" s="13"/>
      <c r="AC6998" s="13"/>
      <c r="AD6998" s="13"/>
      <c r="AE6998" s="13"/>
      <c r="AF6998" s="13"/>
    </row>
    <row r="6999" spans="19:32" x14ac:dyDescent="0.35">
      <c r="S6999" s="13"/>
      <c r="T6999" s="16"/>
      <c r="U6999" s="16"/>
      <c r="V6999" s="16"/>
      <c r="W6999" s="13"/>
      <c r="X6999" s="34">
        <v>6995</v>
      </c>
      <c r="Y6999" s="34" t="s">
        <v>2248</v>
      </c>
      <c r="Z6999" s="34" t="s">
        <v>2402</v>
      </c>
      <c r="AA6999" s="35">
        <v>1.5937500000000001E-3</v>
      </c>
      <c r="AB6999" s="13"/>
      <c r="AC6999" s="13"/>
      <c r="AD6999" s="13"/>
      <c r="AE6999" s="13"/>
      <c r="AF6999" s="13"/>
    </row>
    <row r="7000" spans="19:32" x14ac:dyDescent="0.35">
      <c r="S7000" s="13"/>
      <c r="T7000" s="16"/>
      <c r="U7000" s="16"/>
      <c r="V7000" s="16"/>
      <c r="W7000" s="13"/>
      <c r="X7000" s="47">
        <v>6996</v>
      </c>
      <c r="Y7000" s="47" t="s">
        <v>2248</v>
      </c>
      <c r="Z7000" s="47" t="s">
        <v>2401</v>
      </c>
      <c r="AA7000" s="56">
        <v>0</v>
      </c>
      <c r="AB7000" s="13"/>
      <c r="AC7000" s="13"/>
      <c r="AD7000" s="13"/>
      <c r="AE7000" s="13"/>
      <c r="AF7000" s="13"/>
    </row>
    <row r="7001" spans="19:32" x14ac:dyDescent="0.35">
      <c r="S7001" s="13"/>
      <c r="T7001" s="16"/>
      <c r="U7001" s="16"/>
      <c r="V7001" s="16"/>
      <c r="W7001" s="13"/>
      <c r="X7001" s="47">
        <v>6997</v>
      </c>
      <c r="Y7001" s="47" t="s">
        <v>2248</v>
      </c>
      <c r="Z7001" s="47" t="s">
        <v>2400</v>
      </c>
      <c r="AA7001" s="56">
        <v>0</v>
      </c>
      <c r="AB7001" s="13"/>
      <c r="AC7001" s="13"/>
      <c r="AD7001" s="13"/>
      <c r="AE7001" s="13"/>
      <c r="AF7001" s="13"/>
    </row>
    <row r="7002" spans="19:32" x14ac:dyDescent="0.35">
      <c r="S7002" s="13"/>
      <c r="T7002" s="16"/>
      <c r="U7002" s="16"/>
      <c r="V7002" s="16"/>
      <c r="W7002" s="13"/>
      <c r="X7002" s="34">
        <v>6998</v>
      </c>
      <c r="Y7002" s="34" t="s">
        <v>2248</v>
      </c>
      <c r="Z7002" s="34" t="s">
        <v>2399</v>
      </c>
      <c r="AA7002" s="35">
        <v>4.7641129032258069E-4</v>
      </c>
      <c r="AB7002" s="13"/>
      <c r="AC7002" s="13"/>
      <c r="AD7002" s="13"/>
      <c r="AE7002" s="13"/>
      <c r="AF7002" s="13"/>
    </row>
    <row r="7003" spans="19:32" x14ac:dyDescent="0.35">
      <c r="S7003" s="13"/>
      <c r="T7003" s="16"/>
      <c r="U7003" s="16"/>
      <c r="V7003" s="16"/>
      <c r="W7003" s="13"/>
      <c r="X7003" s="47">
        <v>6999</v>
      </c>
      <c r="Y7003" s="47" t="s">
        <v>2248</v>
      </c>
      <c r="Z7003" s="47" t="s">
        <v>2398</v>
      </c>
      <c r="AA7003" s="56">
        <v>0</v>
      </c>
      <c r="AB7003" s="13"/>
      <c r="AC7003" s="13"/>
      <c r="AD7003" s="13"/>
      <c r="AE7003" s="13"/>
      <c r="AF7003" s="13"/>
    </row>
    <row r="7004" spans="19:32" x14ac:dyDescent="0.35">
      <c r="S7004" s="13"/>
      <c r="T7004" s="16"/>
      <c r="U7004" s="16"/>
      <c r="V7004" s="16"/>
      <c r="W7004" s="13"/>
      <c r="X7004" s="34">
        <v>7000</v>
      </c>
      <c r="Y7004" s="34" t="s">
        <v>2248</v>
      </c>
      <c r="Z7004" s="34" t="s">
        <v>2397</v>
      </c>
      <c r="AA7004" s="35">
        <v>3.1840725806451617</v>
      </c>
      <c r="AB7004" s="13"/>
      <c r="AC7004" s="13"/>
      <c r="AD7004" s="13"/>
      <c r="AE7004" s="13"/>
      <c r="AF7004" s="13"/>
    </row>
    <row r="7005" spans="19:32" x14ac:dyDescent="0.35">
      <c r="S7005" s="13"/>
      <c r="T7005" s="16"/>
      <c r="U7005" s="16"/>
      <c r="V7005" s="16"/>
      <c r="W7005" s="13"/>
      <c r="X7005" s="47">
        <v>7001</v>
      </c>
      <c r="Y7005" s="47" t="s">
        <v>2248</v>
      </c>
      <c r="Z7005" s="47" t="s">
        <v>2396</v>
      </c>
      <c r="AA7005" s="56">
        <v>1.6192</v>
      </c>
      <c r="AB7005" s="13"/>
      <c r="AC7005" s="13"/>
      <c r="AD7005" s="13"/>
      <c r="AE7005" s="13"/>
      <c r="AF7005" s="13"/>
    </row>
    <row r="7006" spans="19:32" x14ac:dyDescent="0.35">
      <c r="S7006" s="13"/>
      <c r="T7006" s="16"/>
      <c r="U7006" s="16"/>
      <c r="V7006" s="16"/>
      <c r="W7006" s="13"/>
      <c r="X7006" s="47">
        <v>7002</v>
      </c>
      <c r="Y7006" s="47" t="s">
        <v>2248</v>
      </c>
      <c r="Z7006" s="47" t="s">
        <v>2395</v>
      </c>
      <c r="AA7006" s="56">
        <v>1.3339999999999999E-3</v>
      </c>
      <c r="AB7006" s="13"/>
      <c r="AC7006" s="13"/>
      <c r="AD7006" s="13"/>
      <c r="AE7006" s="13"/>
      <c r="AF7006" s="13"/>
    </row>
    <row r="7007" spans="19:32" x14ac:dyDescent="0.35">
      <c r="S7007" s="13"/>
      <c r="T7007" s="16"/>
      <c r="U7007" s="16"/>
      <c r="V7007" s="16"/>
      <c r="W7007" s="13"/>
      <c r="X7007" s="34">
        <v>7003</v>
      </c>
      <c r="Y7007" s="34" t="s">
        <v>2248</v>
      </c>
      <c r="Z7007" s="34" t="s">
        <v>2394</v>
      </c>
      <c r="AA7007" s="35">
        <v>5.5866935483870972E-3</v>
      </c>
      <c r="AB7007" s="13"/>
      <c r="AC7007" s="13"/>
      <c r="AD7007" s="13"/>
      <c r="AE7007" s="13"/>
      <c r="AF7007" s="13"/>
    </row>
    <row r="7008" spans="19:32" x14ac:dyDescent="0.35">
      <c r="S7008" s="13"/>
      <c r="T7008" s="16"/>
      <c r="U7008" s="16"/>
      <c r="V7008" s="16"/>
      <c r="W7008" s="13"/>
      <c r="X7008" s="47">
        <v>7004</v>
      </c>
      <c r="Y7008" s="47" t="s">
        <v>2248</v>
      </c>
      <c r="Z7008" s="47" t="s">
        <v>2393</v>
      </c>
      <c r="AA7008" s="56">
        <v>0</v>
      </c>
      <c r="AB7008" s="13"/>
      <c r="AC7008" s="13"/>
      <c r="AD7008" s="13"/>
      <c r="AE7008" s="13"/>
      <c r="AF7008" s="13"/>
    </row>
    <row r="7009" spans="19:32" x14ac:dyDescent="0.35">
      <c r="S7009" s="13"/>
      <c r="T7009" s="16"/>
      <c r="U7009" s="16"/>
      <c r="V7009" s="16"/>
      <c r="W7009" s="13"/>
      <c r="X7009" s="47">
        <v>7005</v>
      </c>
      <c r="Y7009" s="47" t="s">
        <v>2248</v>
      </c>
      <c r="Z7009" s="47" t="s">
        <v>2392</v>
      </c>
      <c r="AA7009" s="56">
        <v>0.13708000000000001</v>
      </c>
      <c r="AB7009" s="13"/>
      <c r="AC7009" s="13"/>
      <c r="AD7009" s="13"/>
      <c r="AE7009" s="13"/>
      <c r="AF7009" s="13"/>
    </row>
    <row r="7010" spans="19:32" x14ac:dyDescent="0.35">
      <c r="S7010" s="13"/>
      <c r="T7010" s="16"/>
      <c r="U7010" s="16"/>
      <c r="V7010" s="16"/>
      <c r="W7010" s="13"/>
      <c r="X7010" s="34">
        <v>7006</v>
      </c>
      <c r="Y7010" s="34" t="s">
        <v>2248</v>
      </c>
      <c r="Z7010" s="34" t="s">
        <v>2391</v>
      </c>
      <c r="AA7010" s="35">
        <v>1.8131048387096775E-2</v>
      </c>
      <c r="AB7010" s="13"/>
      <c r="AC7010" s="13"/>
      <c r="AD7010" s="13"/>
      <c r="AE7010" s="13"/>
      <c r="AF7010" s="13"/>
    </row>
    <row r="7011" spans="19:32" x14ac:dyDescent="0.35">
      <c r="S7011" s="13"/>
      <c r="T7011" s="16"/>
      <c r="U7011" s="16"/>
      <c r="V7011" s="16"/>
      <c r="W7011" s="13"/>
      <c r="X7011" s="47">
        <v>7007</v>
      </c>
      <c r="Y7011" s="47" t="s">
        <v>2248</v>
      </c>
      <c r="Z7011" s="47" t="s">
        <v>2390</v>
      </c>
      <c r="AA7011" s="56">
        <v>0</v>
      </c>
      <c r="AB7011" s="13"/>
      <c r="AC7011" s="13"/>
      <c r="AD7011" s="13"/>
      <c r="AE7011" s="13"/>
      <c r="AF7011" s="13"/>
    </row>
    <row r="7012" spans="19:32" x14ac:dyDescent="0.35">
      <c r="S7012" s="13"/>
      <c r="T7012" s="16"/>
      <c r="U7012" s="16"/>
      <c r="V7012" s="16"/>
      <c r="W7012" s="13"/>
      <c r="X7012" s="47">
        <v>7008</v>
      </c>
      <c r="Y7012" s="47" t="s">
        <v>2248</v>
      </c>
      <c r="Z7012" s="47" t="s">
        <v>2389</v>
      </c>
      <c r="AA7012" s="56">
        <v>121.44000000000001</v>
      </c>
      <c r="AB7012" s="13"/>
      <c r="AC7012" s="13"/>
      <c r="AD7012" s="13"/>
      <c r="AE7012" s="13"/>
      <c r="AF7012" s="13"/>
    </row>
    <row r="7013" spans="19:32" x14ac:dyDescent="0.35">
      <c r="S7013" s="13"/>
      <c r="T7013" s="16"/>
      <c r="U7013" s="16"/>
      <c r="V7013" s="16"/>
      <c r="W7013" s="13"/>
      <c r="X7013" s="34">
        <v>7009</v>
      </c>
      <c r="Y7013" s="34" t="s">
        <v>2248</v>
      </c>
      <c r="Z7013" s="34" t="s">
        <v>2388</v>
      </c>
      <c r="AA7013" s="35">
        <v>1.3435483870967742E-2</v>
      </c>
      <c r="AB7013" s="13"/>
      <c r="AC7013" s="13"/>
      <c r="AD7013" s="13"/>
      <c r="AE7013" s="13"/>
      <c r="AF7013" s="13"/>
    </row>
    <row r="7014" spans="19:32" x14ac:dyDescent="0.35">
      <c r="S7014" s="13"/>
      <c r="T7014" s="16"/>
      <c r="U7014" s="16"/>
      <c r="V7014" s="16"/>
      <c r="W7014" s="13"/>
      <c r="X7014" s="47">
        <v>7010</v>
      </c>
      <c r="Y7014" s="47" t="s">
        <v>2248</v>
      </c>
      <c r="Z7014" s="47" t="s">
        <v>2387</v>
      </c>
      <c r="AA7014" s="56">
        <v>0</v>
      </c>
      <c r="AB7014" s="13"/>
      <c r="AC7014" s="13"/>
      <c r="AD7014" s="13"/>
      <c r="AE7014" s="13"/>
      <c r="AF7014" s="13"/>
    </row>
    <row r="7015" spans="19:32" x14ac:dyDescent="0.35">
      <c r="S7015" s="13"/>
      <c r="T7015" s="16"/>
      <c r="U7015" s="16"/>
      <c r="V7015" s="16"/>
      <c r="W7015" s="13"/>
      <c r="X7015" s="34">
        <v>7011</v>
      </c>
      <c r="Y7015" s="34" t="s">
        <v>2248</v>
      </c>
      <c r="Z7015" s="34" t="s">
        <v>2386</v>
      </c>
      <c r="AA7015" s="35">
        <v>0.29270161290322583</v>
      </c>
      <c r="AB7015" s="13"/>
      <c r="AC7015" s="13"/>
      <c r="AD7015" s="13"/>
      <c r="AE7015" s="13"/>
      <c r="AF7015" s="13"/>
    </row>
    <row r="7016" spans="19:32" x14ac:dyDescent="0.35">
      <c r="S7016" s="13"/>
      <c r="T7016" s="16"/>
      <c r="U7016" s="16"/>
      <c r="V7016" s="16"/>
      <c r="W7016" s="13"/>
      <c r="X7016" s="47">
        <v>7012</v>
      </c>
      <c r="Y7016" s="47" t="s">
        <v>2248</v>
      </c>
      <c r="Z7016" s="47" t="s">
        <v>2385</v>
      </c>
      <c r="AA7016" s="56">
        <v>0</v>
      </c>
      <c r="AB7016" s="13"/>
      <c r="AC7016" s="13"/>
      <c r="AD7016" s="13"/>
      <c r="AE7016" s="13"/>
      <c r="AF7016" s="13"/>
    </row>
    <row r="7017" spans="19:32" x14ac:dyDescent="0.35">
      <c r="S7017" s="13"/>
      <c r="T7017" s="16"/>
      <c r="U7017" s="16"/>
      <c r="V7017" s="16"/>
      <c r="W7017" s="13"/>
      <c r="X7017" s="47">
        <v>7013</v>
      </c>
      <c r="Y7017" s="47" t="s">
        <v>2248</v>
      </c>
      <c r="Z7017" s="47" t="s">
        <v>2384</v>
      </c>
      <c r="AA7017" s="56">
        <v>0</v>
      </c>
      <c r="AB7017" s="13"/>
      <c r="AC7017" s="13"/>
      <c r="AD7017" s="13"/>
      <c r="AE7017" s="13"/>
      <c r="AF7017" s="13"/>
    </row>
    <row r="7018" spans="19:32" x14ac:dyDescent="0.35">
      <c r="S7018" s="13"/>
      <c r="T7018" s="16"/>
      <c r="U7018" s="16"/>
      <c r="V7018" s="16"/>
      <c r="W7018" s="13"/>
      <c r="X7018" s="34">
        <v>7014</v>
      </c>
      <c r="Y7018" s="34" t="s">
        <v>2248</v>
      </c>
      <c r="Z7018" s="34" t="s">
        <v>2383</v>
      </c>
      <c r="AA7018" s="35">
        <v>6.2721774193548398E-4</v>
      </c>
      <c r="AB7018" s="13"/>
      <c r="AC7018" s="13"/>
      <c r="AD7018" s="13"/>
      <c r="AE7018" s="13"/>
      <c r="AF7018" s="13"/>
    </row>
    <row r="7019" spans="19:32" x14ac:dyDescent="0.35">
      <c r="S7019" s="13"/>
      <c r="T7019" s="16"/>
      <c r="U7019" s="16"/>
      <c r="V7019" s="16"/>
      <c r="W7019" s="13"/>
      <c r="X7019" s="47">
        <v>7015</v>
      </c>
      <c r="Y7019" s="47" t="s">
        <v>2248</v>
      </c>
      <c r="Z7019" s="47" t="s">
        <v>2382</v>
      </c>
      <c r="AA7019" s="56">
        <v>0.45172000000000007</v>
      </c>
      <c r="AB7019" s="13"/>
      <c r="AC7019" s="13"/>
      <c r="AD7019" s="13"/>
      <c r="AE7019" s="13"/>
      <c r="AF7019" s="13"/>
    </row>
    <row r="7020" spans="19:32" x14ac:dyDescent="0.35">
      <c r="S7020" s="13"/>
      <c r="T7020" s="16"/>
      <c r="U7020" s="16"/>
      <c r="V7020" s="16"/>
      <c r="W7020" s="13"/>
      <c r="X7020" s="47">
        <v>7016</v>
      </c>
      <c r="Y7020" s="47" t="s">
        <v>2248</v>
      </c>
      <c r="Z7020" s="47" t="s">
        <v>2381</v>
      </c>
      <c r="AA7020" s="56">
        <v>1.3708E-2</v>
      </c>
      <c r="AB7020" s="13"/>
      <c r="AC7020" s="13"/>
      <c r="AD7020" s="13"/>
      <c r="AE7020" s="13"/>
      <c r="AF7020" s="13"/>
    </row>
    <row r="7021" spans="19:32" x14ac:dyDescent="0.35">
      <c r="S7021" s="13"/>
      <c r="T7021" s="16"/>
      <c r="U7021" s="16"/>
      <c r="V7021" s="16"/>
      <c r="W7021" s="13"/>
      <c r="X7021" s="34">
        <v>7017</v>
      </c>
      <c r="Y7021" s="34" t="s">
        <v>2248</v>
      </c>
      <c r="Z7021" s="34" t="s">
        <v>2380</v>
      </c>
      <c r="AA7021" s="35">
        <v>8.431451612903226E-5</v>
      </c>
      <c r="AB7021" s="13"/>
      <c r="AC7021" s="13"/>
      <c r="AD7021" s="13"/>
      <c r="AE7021" s="13"/>
      <c r="AF7021" s="13"/>
    </row>
    <row r="7022" spans="19:32" x14ac:dyDescent="0.35">
      <c r="S7022" s="13"/>
      <c r="T7022" s="16"/>
      <c r="U7022" s="16"/>
      <c r="V7022" s="16"/>
      <c r="W7022" s="13"/>
      <c r="X7022" s="47">
        <v>7018</v>
      </c>
      <c r="Y7022" s="47" t="s">
        <v>2248</v>
      </c>
      <c r="Z7022" s="47" t="s">
        <v>2379</v>
      </c>
      <c r="AA7022" s="56">
        <v>0</v>
      </c>
      <c r="AB7022" s="13"/>
      <c r="AC7022" s="13"/>
      <c r="AD7022" s="13"/>
      <c r="AE7022" s="13"/>
      <c r="AF7022" s="13"/>
    </row>
    <row r="7023" spans="19:32" x14ac:dyDescent="0.35">
      <c r="S7023" s="13"/>
      <c r="T7023" s="16"/>
      <c r="U7023" s="16"/>
      <c r="V7023" s="16"/>
      <c r="W7023" s="13"/>
      <c r="X7023" s="47">
        <v>7019</v>
      </c>
      <c r="Y7023" s="47" t="s">
        <v>2248</v>
      </c>
      <c r="Z7023" s="47" t="s">
        <v>2378</v>
      </c>
      <c r="AA7023" s="56">
        <v>0</v>
      </c>
      <c r="AB7023" s="13"/>
      <c r="AC7023" s="13"/>
      <c r="AD7023" s="13"/>
      <c r="AE7023" s="13"/>
      <c r="AF7023" s="13"/>
    </row>
    <row r="7024" spans="19:32" x14ac:dyDescent="0.35">
      <c r="S7024" s="13"/>
      <c r="T7024" s="16"/>
      <c r="U7024" s="16"/>
      <c r="V7024" s="16"/>
      <c r="W7024" s="13"/>
      <c r="X7024" s="34">
        <v>7020</v>
      </c>
      <c r="Y7024" s="34" t="s">
        <v>2248</v>
      </c>
      <c r="Z7024" s="34" t="s">
        <v>2377</v>
      </c>
      <c r="AA7024" s="35">
        <v>0.10590725806451613</v>
      </c>
      <c r="AB7024" s="13"/>
      <c r="AC7024" s="13"/>
      <c r="AD7024" s="13"/>
      <c r="AE7024" s="13"/>
      <c r="AF7024" s="13"/>
    </row>
    <row r="7025" spans="19:32" x14ac:dyDescent="0.35">
      <c r="S7025" s="13"/>
      <c r="T7025" s="16"/>
      <c r="U7025" s="16"/>
      <c r="V7025" s="16"/>
      <c r="W7025" s="13"/>
      <c r="X7025" s="47">
        <v>7021</v>
      </c>
      <c r="Y7025" s="47" t="s">
        <v>2248</v>
      </c>
      <c r="Z7025" s="47" t="s">
        <v>2376</v>
      </c>
      <c r="AA7025" s="56">
        <v>1.8308000000000002E-4</v>
      </c>
      <c r="AB7025" s="13"/>
      <c r="AC7025" s="13"/>
      <c r="AD7025" s="13"/>
      <c r="AE7025" s="13"/>
      <c r="AF7025" s="13"/>
    </row>
    <row r="7026" spans="19:32" x14ac:dyDescent="0.35">
      <c r="S7026" s="13"/>
      <c r="T7026" s="16"/>
      <c r="U7026" s="16"/>
      <c r="V7026" s="16"/>
      <c r="W7026" s="13"/>
      <c r="X7026" s="47">
        <v>7022</v>
      </c>
      <c r="Y7026" s="47" t="s">
        <v>2248</v>
      </c>
      <c r="Z7026" s="47" t="s">
        <v>2375</v>
      </c>
      <c r="AA7026" s="56">
        <v>0</v>
      </c>
      <c r="AB7026" s="13"/>
      <c r="AC7026" s="13"/>
      <c r="AD7026" s="13"/>
      <c r="AE7026" s="13"/>
      <c r="AF7026" s="13"/>
    </row>
    <row r="7027" spans="19:32" x14ac:dyDescent="0.35">
      <c r="S7027" s="13"/>
      <c r="T7027" s="16"/>
      <c r="U7027" s="16"/>
      <c r="V7027" s="16"/>
      <c r="W7027" s="13"/>
      <c r="X7027" s="34">
        <v>7023</v>
      </c>
      <c r="Y7027" s="34" t="s">
        <v>2248</v>
      </c>
      <c r="Z7027" s="34" t="s">
        <v>2374</v>
      </c>
      <c r="AA7027" s="35">
        <v>0.28584677419354843</v>
      </c>
      <c r="AB7027" s="13"/>
      <c r="AC7027" s="13"/>
      <c r="AD7027" s="13"/>
      <c r="AE7027" s="13"/>
      <c r="AF7027" s="13"/>
    </row>
    <row r="7028" spans="19:32" x14ac:dyDescent="0.35">
      <c r="S7028" s="13"/>
      <c r="T7028" s="16"/>
      <c r="U7028" s="16"/>
      <c r="V7028" s="16"/>
      <c r="W7028" s="13"/>
      <c r="X7028" s="47">
        <v>7024</v>
      </c>
      <c r="Y7028" s="47" t="s">
        <v>2248</v>
      </c>
      <c r="Z7028" s="47" t="s">
        <v>2373</v>
      </c>
      <c r="AA7028" s="56">
        <v>0</v>
      </c>
      <c r="AB7028" s="13"/>
      <c r="AC7028" s="13"/>
      <c r="AD7028" s="13"/>
      <c r="AE7028" s="13"/>
      <c r="AF7028" s="13"/>
    </row>
    <row r="7029" spans="19:32" x14ac:dyDescent="0.35">
      <c r="S7029" s="13"/>
      <c r="T7029" s="16"/>
      <c r="U7029" s="16"/>
      <c r="V7029" s="16"/>
      <c r="W7029" s="13"/>
      <c r="X7029" s="34">
        <v>7025</v>
      </c>
      <c r="Y7029" s="34" t="s">
        <v>2248</v>
      </c>
      <c r="Z7029" s="34" t="s">
        <v>2372</v>
      </c>
      <c r="AA7029" s="35">
        <v>2.6905241935483875E-3</v>
      </c>
      <c r="AB7029" s="13"/>
      <c r="AC7029" s="13"/>
      <c r="AD7029" s="13"/>
      <c r="AE7029" s="13"/>
      <c r="AF7029" s="13"/>
    </row>
    <row r="7030" spans="19:32" x14ac:dyDescent="0.35">
      <c r="S7030" s="13"/>
      <c r="T7030" s="16"/>
      <c r="U7030" s="16"/>
      <c r="V7030" s="16"/>
      <c r="W7030" s="13"/>
      <c r="X7030" s="47">
        <v>7026</v>
      </c>
      <c r="Y7030" s="47" t="s">
        <v>2248</v>
      </c>
      <c r="Z7030" s="47" t="s">
        <v>2371</v>
      </c>
      <c r="AA7030" s="56">
        <v>0</v>
      </c>
      <c r="AB7030" s="13"/>
      <c r="AC7030" s="13"/>
      <c r="AD7030" s="13"/>
      <c r="AE7030" s="13"/>
      <c r="AF7030" s="13"/>
    </row>
    <row r="7031" spans="19:32" x14ac:dyDescent="0.35">
      <c r="S7031" s="13"/>
      <c r="T7031" s="16"/>
      <c r="U7031" s="16"/>
      <c r="V7031" s="16"/>
      <c r="W7031" s="13"/>
      <c r="X7031" s="47">
        <v>7027</v>
      </c>
      <c r="Y7031" s="47" t="s">
        <v>2248</v>
      </c>
      <c r="Z7031" s="47" t="s">
        <v>2370</v>
      </c>
      <c r="AA7031" s="56">
        <v>0.45540000000000003</v>
      </c>
      <c r="AB7031" s="13"/>
      <c r="AC7031" s="13"/>
      <c r="AD7031" s="13"/>
      <c r="AE7031" s="13"/>
      <c r="AF7031" s="13"/>
    </row>
    <row r="7032" spans="19:32" x14ac:dyDescent="0.35">
      <c r="S7032" s="13"/>
      <c r="T7032" s="16"/>
      <c r="U7032" s="16"/>
      <c r="V7032" s="16"/>
      <c r="W7032" s="13"/>
      <c r="X7032" s="34">
        <v>7028</v>
      </c>
      <c r="Y7032" s="34" t="s">
        <v>2248</v>
      </c>
      <c r="Z7032" s="34" t="s">
        <v>2369</v>
      </c>
      <c r="AA7032" s="35">
        <v>4.8669354838709678E-3</v>
      </c>
      <c r="AB7032" s="13"/>
      <c r="AC7032" s="13"/>
      <c r="AD7032" s="13"/>
      <c r="AE7032" s="13"/>
      <c r="AF7032" s="13"/>
    </row>
    <row r="7033" spans="19:32" x14ac:dyDescent="0.35">
      <c r="S7033" s="13"/>
      <c r="T7033" s="16"/>
      <c r="U7033" s="16"/>
      <c r="V7033" s="16"/>
      <c r="W7033" s="13"/>
      <c r="X7033" s="47">
        <v>7029</v>
      </c>
      <c r="Y7033" s="47" t="s">
        <v>2248</v>
      </c>
      <c r="Z7033" s="47" t="s">
        <v>2368</v>
      </c>
      <c r="AA7033" s="56">
        <v>2.3184</v>
      </c>
      <c r="AB7033" s="13"/>
      <c r="AC7033" s="13"/>
      <c r="AD7033" s="13"/>
      <c r="AE7033" s="13"/>
      <c r="AF7033" s="13"/>
    </row>
    <row r="7034" spans="19:32" x14ac:dyDescent="0.35">
      <c r="S7034" s="13"/>
      <c r="T7034" s="16"/>
      <c r="U7034" s="16"/>
      <c r="V7034" s="16"/>
      <c r="W7034" s="13"/>
      <c r="X7034" s="47">
        <v>7030</v>
      </c>
      <c r="Y7034" s="47" t="s">
        <v>2248</v>
      </c>
      <c r="Z7034" s="47" t="s">
        <v>2367</v>
      </c>
      <c r="AA7034" s="56">
        <v>0</v>
      </c>
      <c r="AB7034" s="13"/>
      <c r="AC7034" s="13"/>
      <c r="AD7034" s="13"/>
      <c r="AE7034" s="13"/>
      <c r="AF7034" s="13"/>
    </row>
    <row r="7035" spans="19:32" x14ac:dyDescent="0.35">
      <c r="S7035" s="13"/>
      <c r="T7035" s="16"/>
      <c r="U7035" s="16"/>
      <c r="V7035" s="16"/>
      <c r="W7035" s="13"/>
      <c r="X7035" s="34">
        <v>7031</v>
      </c>
      <c r="Y7035" s="34" t="s">
        <v>2248</v>
      </c>
      <c r="Z7035" s="34" t="s">
        <v>2366</v>
      </c>
      <c r="AA7035" s="35">
        <v>1.970766129032258E-5</v>
      </c>
      <c r="AB7035" s="13"/>
      <c r="AC7035" s="13"/>
      <c r="AD7035" s="13"/>
      <c r="AE7035" s="13"/>
      <c r="AF7035" s="13"/>
    </row>
    <row r="7036" spans="19:32" x14ac:dyDescent="0.35">
      <c r="S7036" s="13"/>
      <c r="T7036" s="16"/>
      <c r="U7036" s="16"/>
      <c r="V7036" s="16"/>
      <c r="W7036" s="13"/>
      <c r="X7036" s="47">
        <v>7032</v>
      </c>
      <c r="Y7036" s="47" t="s">
        <v>2248</v>
      </c>
      <c r="Z7036" s="47" t="s">
        <v>2365</v>
      </c>
      <c r="AA7036" s="56">
        <v>13.891999999999999</v>
      </c>
      <c r="AB7036" s="13"/>
      <c r="AC7036" s="13"/>
      <c r="AD7036" s="13"/>
      <c r="AE7036" s="13"/>
      <c r="AF7036" s="13"/>
    </row>
    <row r="7037" spans="19:32" x14ac:dyDescent="0.35">
      <c r="S7037" s="13"/>
      <c r="T7037" s="16"/>
      <c r="U7037" s="16"/>
      <c r="V7037" s="16"/>
      <c r="W7037" s="13"/>
      <c r="X7037" s="34">
        <v>7033</v>
      </c>
      <c r="Y7037" s="34" t="s">
        <v>2248</v>
      </c>
      <c r="Z7037" s="34" t="s">
        <v>2364</v>
      </c>
      <c r="AA7037" s="35">
        <v>0.43528225806451615</v>
      </c>
      <c r="AB7037" s="13"/>
      <c r="AC7037" s="13"/>
      <c r="AD7037" s="13"/>
      <c r="AE7037" s="13"/>
      <c r="AF7037" s="13"/>
    </row>
    <row r="7038" spans="19:32" x14ac:dyDescent="0.35">
      <c r="S7038" s="13"/>
      <c r="T7038" s="16"/>
      <c r="U7038" s="16"/>
      <c r="V7038" s="16"/>
      <c r="W7038" s="13"/>
      <c r="X7038" s="47">
        <v>7034</v>
      </c>
      <c r="Y7038" s="47" t="s">
        <v>2248</v>
      </c>
      <c r="Z7038" s="47" t="s">
        <v>2363</v>
      </c>
      <c r="AA7038" s="56">
        <v>0</v>
      </c>
      <c r="AB7038" s="13"/>
      <c r="AC7038" s="13"/>
      <c r="AD7038" s="13"/>
      <c r="AE7038" s="13"/>
      <c r="AF7038" s="13"/>
    </row>
    <row r="7039" spans="19:32" x14ac:dyDescent="0.35">
      <c r="S7039" s="13"/>
      <c r="T7039" s="16"/>
      <c r="U7039" s="16"/>
      <c r="V7039" s="16"/>
      <c r="W7039" s="13"/>
      <c r="X7039" s="47">
        <v>7035</v>
      </c>
      <c r="Y7039" s="47" t="s">
        <v>2248</v>
      </c>
      <c r="Z7039" s="47" t="s">
        <v>2362</v>
      </c>
      <c r="AA7039" s="56">
        <v>0</v>
      </c>
      <c r="AB7039" s="13"/>
      <c r="AC7039" s="13"/>
      <c r="AD7039" s="13"/>
      <c r="AE7039" s="13"/>
      <c r="AF7039" s="13"/>
    </row>
    <row r="7040" spans="19:32" x14ac:dyDescent="0.35">
      <c r="S7040" s="13"/>
      <c r="T7040" s="16"/>
      <c r="U7040" s="16"/>
      <c r="V7040" s="16"/>
      <c r="W7040" s="13"/>
      <c r="X7040" s="34">
        <v>7036</v>
      </c>
      <c r="Y7040" s="34" t="s">
        <v>2248</v>
      </c>
      <c r="Z7040" s="34" t="s">
        <v>2361</v>
      </c>
      <c r="AA7040" s="35">
        <v>1.2852822580645162E-3</v>
      </c>
      <c r="AB7040" s="13"/>
      <c r="AC7040" s="13"/>
      <c r="AD7040" s="13"/>
      <c r="AE7040" s="13"/>
      <c r="AF7040" s="13"/>
    </row>
    <row r="7041" spans="19:32" x14ac:dyDescent="0.35">
      <c r="S7041" s="13"/>
      <c r="T7041" s="16"/>
      <c r="U7041" s="16"/>
      <c r="V7041" s="16"/>
      <c r="W7041" s="13"/>
      <c r="X7041" s="47">
        <v>7037</v>
      </c>
      <c r="Y7041" s="47" t="s">
        <v>2248</v>
      </c>
      <c r="Z7041" s="47" t="s">
        <v>2360</v>
      </c>
      <c r="AA7041" s="56">
        <v>0</v>
      </c>
      <c r="AB7041" s="13"/>
      <c r="AC7041" s="13"/>
      <c r="AD7041" s="13"/>
      <c r="AE7041" s="13"/>
      <c r="AF7041" s="13"/>
    </row>
    <row r="7042" spans="19:32" x14ac:dyDescent="0.35">
      <c r="S7042" s="13"/>
      <c r="T7042" s="16"/>
      <c r="U7042" s="16"/>
      <c r="V7042" s="16"/>
      <c r="W7042" s="13"/>
      <c r="X7042" s="47">
        <v>7038</v>
      </c>
      <c r="Y7042" s="47" t="s">
        <v>2248</v>
      </c>
      <c r="Z7042" s="47" t="s">
        <v>2359</v>
      </c>
      <c r="AA7042" s="56">
        <v>0</v>
      </c>
      <c r="AB7042" s="13"/>
      <c r="AC7042" s="13"/>
      <c r="AD7042" s="13"/>
      <c r="AE7042" s="13"/>
      <c r="AF7042" s="13"/>
    </row>
    <row r="7043" spans="19:32" x14ac:dyDescent="0.35">
      <c r="S7043" s="13"/>
      <c r="T7043" s="16"/>
      <c r="U7043" s="16"/>
      <c r="V7043" s="16"/>
      <c r="W7043" s="13"/>
      <c r="X7043" s="34">
        <v>7039</v>
      </c>
      <c r="Y7043" s="34" t="s">
        <v>2248</v>
      </c>
      <c r="Z7043" s="34" t="s">
        <v>2358</v>
      </c>
      <c r="AA7043" s="35">
        <v>2.8207661290322581E-3</v>
      </c>
      <c r="AB7043" s="13"/>
      <c r="AC7043" s="13"/>
      <c r="AD7043" s="13"/>
      <c r="AE7043" s="13"/>
      <c r="AF7043" s="13"/>
    </row>
    <row r="7044" spans="19:32" x14ac:dyDescent="0.35">
      <c r="S7044" s="13"/>
      <c r="T7044" s="16"/>
      <c r="U7044" s="16"/>
      <c r="V7044" s="16"/>
      <c r="W7044" s="13"/>
      <c r="X7044" s="47">
        <v>7040</v>
      </c>
      <c r="Y7044" s="47" t="s">
        <v>2248</v>
      </c>
      <c r="Z7044" s="47" t="s">
        <v>2357</v>
      </c>
      <c r="AA7044" s="56">
        <v>0</v>
      </c>
      <c r="AB7044" s="13"/>
      <c r="AC7044" s="13"/>
      <c r="AD7044" s="13"/>
      <c r="AE7044" s="13"/>
      <c r="AF7044" s="13"/>
    </row>
    <row r="7045" spans="19:32" x14ac:dyDescent="0.35">
      <c r="S7045" s="13"/>
      <c r="T7045" s="16"/>
      <c r="U7045" s="16"/>
      <c r="V7045" s="16"/>
      <c r="W7045" s="13"/>
      <c r="X7045" s="47">
        <v>7041</v>
      </c>
      <c r="Y7045" s="47" t="s">
        <v>2248</v>
      </c>
      <c r="Z7045" s="47" t="s">
        <v>2356</v>
      </c>
      <c r="AA7045" s="56">
        <v>114.08</v>
      </c>
      <c r="AB7045" s="13"/>
      <c r="AC7045" s="13"/>
      <c r="AD7045" s="13"/>
      <c r="AE7045" s="13"/>
      <c r="AF7045" s="13"/>
    </row>
    <row r="7046" spans="19:32" x14ac:dyDescent="0.35">
      <c r="S7046" s="13"/>
      <c r="T7046" s="16"/>
      <c r="U7046" s="16"/>
      <c r="V7046" s="16"/>
      <c r="W7046" s="13"/>
      <c r="X7046" s="34">
        <v>7042</v>
      </c>
      <c r="Y7046" s="34" t="s">
        <v>2248</v>
      </c>
      <c r="Z7046" s="34" t="s">
        <v>2355</v>
      </c>
      <c r="AA7046" s="35">
        <v>6.6834677419354846E-4</v>
      </c>
      <c r="AB7046" s="13"/>
      <c r="AC7046" s="13"/>
      <c r="AD7046" s="13"/>
      <c r="AE7046" s="13"/>
      <c r="AF7046" s="13"/>
    </row>
    <row r="7047" spans="19:32" x14ac:dyDescent="0.35">
      <c r="S7047" s="13"/>
      <c r="T7047" s="16"/>
      <c r="U7047" s="16"/>
      <c r="V7047" s="16"/>
      <c r="W7047" s="13"/>
      <c r="X7047" s="47">
        <v>7043</v>
      </c>
      <c r="Y7047" s="47" t="s">
        <v>2248</v>
      </c>
      <c r="Z7047" s="47" t="s">
        <v>2354</v>
      </c>
      <c r="AA7047" s="56">
        <v>0</v>
      </c>
      <c r="AB7047" s="13"/>
      <c r="AC7047" s="13"/>
      <c r="AD7047" s="13"/>
      <c r="AE7047" s="13"/>
      <c r="AF7047" s="13"/>
    </row>
    <row r="7048" spans="19:32" x14ac:dyDescent="0.35">
      <c r="S7048" s="13"/>
      <c r="T7048" s="16"/>
      <c r="U7048" s="16"/>
      <c r="V7048" s="16"/>
      <c r="W7048" s="13"/>
      <c r="X7048" s="34">
        <v>7044</v>
      </c>
      <c r="Y7048" s="34" t="s">
        <v>2248</v>
      </c>
      <c r="Z7048" s="34" t="s">
        <v>2353</v>
      </c>
      <c r="AA7048" s="35">
        <v>2.1798387096774195E-2</v>
      </c>
      <c r="AB7048" s="13"/>
      <c r="AC7048" s="13"/>
      <c r="AD7048" s="13"/>
      <c r="AE7048" s="13"/>
      <c r="AF7048" s="13"/>
    </row>
    <row r="7049" spans="19:32" x14ac:dyDescent="0.35">
      <c r="S7049" s="13"/>
      <c r="T7049" s="16"/>
      <c r="U7049" s="16"/>
      <c r="V7049" s="16"/>
      <c r="W7049" s="13"/>
      <c r="X7049" s="47">
        <v>7045</v>
      </c>
      <c r="Y7049" s="47" t="s">
        <v>2248</v>
      </c>
      <c r="Z7049" s="47" t="s">
        <v>2352</v>
      </c>
      <c r="AA7049" s="56">
        <v>6.9092000000000002</v>
      </c>
      <c r="AB7049" s="13"/>
      <c r="AC7049" s="13"/>
      <c r="AD7049" s="13"/>
      <c r="AE7049" s="13"/>
      <c r="AF7049" s="13"/>
    </row>
    <row r="7050" spans="19:32" x14ac:dyDescent="0.35">
      <c r="S7050" s="13"/>
      <c r="T7050" s="16"/>
      <c r="U7050" s="16"/>
      <c r="V7050" s="16"/>
      <c r="W7050" s="13"/>
      <c r="X7050" s="47">
        <v>7046</v>
      </c>
      <c r="Y7050" s="47" t="s">
        <v>2248</v>
      </c>
      <c r="Z7050" s="47" t="s">
        <v>2351</v>
      </c>
      <c r="AA7050" s="56">
        <v>1.794</v>
      </c>
      <c r="AB7050" s="13"/>
      <c r="AC7050" s="13"/>
      <c r="AD7050" s="13"/>
      <c r="AE7050" s="13"/>
      <c r="AF7050" s="13"/>
    </row>
    <row r="7051" spans="19:32" x14ac:dyDescent="0.35">
      <c r="S7051" s="13"/>
      <c r="T7051" s="16"/>
      <c r="U7051" s="16"/>
      <c r="V7051" s="16"/>
      <c r="W7051" s="13"/>
      <c r="X7051" s="34">
        <v>7047</v>
      </c>
      <c r="Y7051" s="34" t="s">
        <v>2248</v>
      </c>
      <c r="Z7051" s="34" t="s">
        <v>2350</v>
      </c>
      <c r="AA7051" s="35">
        <v>9.0141129032258078</v>
      </c>
      <c r="AB7051" s="13"/>
      <c r="AC7051" s="13"/>
      <c r="AD7051" s="13"/>
      <c r="AE7051" s="13"/>
      <c r="AF7051" s="13"/>
    </row>
    <row r="7052" spans="19:32" x14ac:dyDescent="0.35">
      <c r="S7052" s="13"/>
      <c r="T7052" s="16"/>
      <c r="U7052" s="16"/>
      <c r="V7052" s="16"/>
      <c r="W7052" s="13"/>
      <c r="X7052" s="47">
        <v>7048</v>
      </c>
      <c r="Y7052" s="47" t="s">
        <v>2248</v>
      </c>
      <c r="Z7052" s="47" t="s">
        <v>2349</v>
      </c>
      <c r="AA7052" s="56">
        <v>10.672000000000001</v>
      </c>
      <c r="AB7052" s="13"/>
      <c r="AC7052" s="13"/>
      <c r="AD7052" s="13"/>
      <c r="AE7052" s="13"/>
      <c r="AF7052" s="13"/>
    </row>
    <row r="7053" spans="19:32" x14ac:dyDescent="0.35">
      <c r="S7053" s="13"/>
      <c r="T7053" s="16"/>
      <c r="U7053" s="16"/>
      <c r="V7053" s="16"/>
      <c r="W7053" s="13"/>
      <c r="X7053" s="47">
        <v>7049</v>
      </c>
      <c r="Y7053" s="47" t="s">
        <v>2248</v>
      </c>
      <c r="Z7053" s="47" t="s">
        <v>2348</v>
      </c>
      <c r="AA7053" s="56">
        <v>32.475999999999999</v>
      </c>
      <c r="AB7053" s="13"/>
      <c r="AC7053" s="13"/>
      <c r="AD7053" s="13"/>
      <c r="AE7053" s="13"/>
      <c r="AF7053" s="13"/>
    </row>
    <row r="7054" spans="19:32" x14ac:dyDescent="0.35">
      <c r="S7054" s="13"/>
      <c r="T7054" s="16"/>
      <c r="U7054" s="16"/>
      <c r="V7054" s="16"/>
      <c r="W7054" s="13"/>
      <c r="X7054" s="34">
        <v>7050</v>
      </c>
      <c r="Y7054" s="34" t="s">
        <v>2248</v>
      </c>
      <c r="Z7054" s="34" t="s">
        <v>2347</v>
      </c>
      <c r="AA7054" s="35">
        <v>0.18268145161290325</v>
      </c>
      <c r="AB7054" s="13"/>
      <c r="AC7054" s="13"/>
      <c r="AD7054" s="13"/>
      <c r="AE7054" s="13"/>
      <c r="AF7054" s="13"/>
    </row>
    <row r="7055" spans="19:32" x14ac:dyDescent="0.35">
      <c r="S7055" s="13"/>
      <c r="T7055" s="16"/>
      <c r="U7055" s="16"/>
      <c r="V7055" s="16"/>
      <c r="W7055" s="13"/>
      <c r="X7055" s="47">
        <v>7051</v>
      </c>
      <c r="Y7055" s="47" t="s">
        <v>2248</v>
      </c>
      <c r="Z7055" s="47" t="s">
        <v>2346</v>
      </c>
      <c r="AA7055" s="56">
        <v>8.6204000000000001</v>
      </c>
      <c r="AB7055" s="13"/>
      <c r="AC7055" s="13"/>
      <c r="AD7055" s="13"/>
      <c r="AE7055" s="13"/>
      <c r="AF7055" s="13"/>
    </row>
    <row r="7056" spans="19:32" x14ac:dyDescent="0.35">
      <c r="S7056" s="13"/>
      <c r="T7056" s="16"/>
      <c r="U7056" s="16"/>
      <c r="V7056" s="16"/>
      <c r="W7056" s="13"/>
      <c r="X7056" s="47">
        <v>7052</v>
      </c>
      <c r="Y7056" s="47" t="s">
        <v>2248</v>
      </c>
      <c r="Z7056" s="47" t="s">
        <v>2345</v>
      </c>
      <c r="AA7056" s="56">
        <v>5.8236000000000008</v>
      </c>
      <c r="AB7056" s="13"/>
      <c r="AC7056" s="13"/>
      <c r="AD7056" s="13"/>
      <c r="AE7056" s="13"/>
      <c r="AF7056" s="13"/>
    </row>
    <row r="7057" spans="19:32" x14ac:dyDescent="0.35">
      <c r="S7057" s="13"/>
      <c r="T7057" s="16"/>
      <c r="U7057" s="16"/>
      <c r="V7057" s="16"/>
      <c r="W7057" s="13"/>
      <c r="X7057" s="34">
        <v>7053</v>
      </c>
      <c r="Y7057" s="34" t="s">
        <v>2248</v>
      </c>
      <c r="Z7057" s="34" t="s">
        <v>2344</v>
      </c>
      <c r="AA7057" s="35">
        <v>1.1413306451612904E-3</v>
      </c>
      <c r="AB7057" s="13"/>
      <c r="AC7057" s="13"/>
      <c r="AD7057" s="13"/>
      <c r="AE7057" s="13"/>
      <c r="AF7057" s="13"/>
    </row>
    <row r="7058" spans="19:32" x14ac:dyDescent="0.35">
      <c r="S7058" s="13"/>
      <c r="T7058" s="16"/>
      <c r="U7058" s="16"/>
      <c r="V7058" s="16"/>
      <c r="W7058" s="13"/>
      <c r="X7058" s="47">
        <v>7054</v>
      </c>
      <c r="Y7058" s="47" t="s">
        <v>2248</v>
      </c>
      <c r="Z7058" s="47" t="s">
        <v>2343</v>
      </c>
      <c r="AA7058" s="56">
        <v>0</v>
      </c>
      <c r="AB7058" s="13"/>
      <c r="AC7058" s="13"/>
      <c r="AD7058" s="13"/>
      <c r="AE7058" s="13"/>
      <c r="AF7058" s="13"/>
    </row>
    <row r="7059" spans="19:32" x14ac:dyDescent="0.35">
      <c r="S7059" s="13"/>
      <c r="T7059" s="16"/>
      <c r="U7059" s="16"/>
      <c r="V7059" s="16"/>
      <c r="W7059" s="13"/>
      <c r="X7059" s="47">
        <v>7055</v>
      </c>
      <c r="Y7059" s="47" t="s">
        <v>2248</v>
      </c>
      <c r="Z7059" s="47" t="s">
        <v>2342</v>
      </c>
      <c r="AA7059" s="56">
        <v>4.8208000000000007E-4</v>
      </c>
      <c r="AB7059" s="13"/>
      <c r="AC7059" s="13"/>
      <c r="AD7059" s="13"/>
      <c r="AE7059" s="13"/>
      <c r="AF7059" s="13"/>
    </row>
    <row r="7060" spans="19:32" x14ac:dyDescent="0.35">
      <c r="S7060" s="13"/>
      <c r="T7060" s="16"/>
      <c r="U7060" s="16"/>
      <c r="V7060" s="16"/>
      <c r="W7060" s="13"/>
      <c r="X7060" s="34">
        <v>7056</v>
      </c>
      <c r="Y7060" s="34" t="s">
        <v>2248</v>
      </c>
      <c r="Z7060" s="34" t="s">
        <v>2341</v>
      </c>
      <c r="AA7060" s="35">
        <v>0.66149193548387097</v>
      </c>
      <c r="AB7060" s="13"/>
      <c r="AC7060" s="13"/>
      <c r="AD7060" s="13"/>
      <c r="AE7060" s="13"/>
      <c r="AF7060" s="13"/>
    </row>
    <row r="7061" spans="19:32" x14ac:dyDescent="0.35">
      <c r="S7061" s="13"/>
      <c r="T7061" s="16"/>
      <c r="U7061" s="16"/>
      <c r="V7061" s="16"/>
      <c r="W7061" s="13"/>
      <c r="X7061" s="47">
        <v>7057</v>
      </c>
      <c r="Y7061" s="47" t="s">
        <v>2248</v>
      </c>
      <c r="Z7061" s="47" t="s">
        <v>2340</v>
      </c>
      <c r="AA7061" s="56">
        <v>0.38732</v>
      </c>
      <c r="AB7061" s="13"/>
      <c r="AC7061" s="13"/>
      <c r="AD7061" s="13"/>
      <c r="AE7061" s="13"/>
      <c r="AF7061" s="13"/>
    </row>
    <row r="7062" spans="19:32" x14ac:dyDescent="0.35">
      <c r="S7062" s="13"/>
      <c r="T7062" s="16"/>
      <c r="U7062" s="16"/>
      <c r="V7062" s="16"/>
      <c r="W7062" s="13"/>
      <c r="X7062" s="34">
        <v>7058</v>
      </c>
      <c r="Y7062" s="34" t="s">
        <v>2248</v>
      </c>
      <c r="Z7062" s="34" t="s">
        <v>2339</v>
      </c>
      <c r="AA7062" s="35">
        <v>5.8951612903225814E-3</v>
      </c>
      <c r="AB7062" s="13"/>
      <c r="AC7062" s="13"/>
      <c r="AD7062" s="13"/>
      <c r="AE7062" s="13"/>
      <c r="AF7062" s="13"/>
    </row>
    <row r="7063" spans="19:32" x14ac:dyDescent="0.35">
      <c r="S7063" s="13"/>
      <c r="T7063" s="16"/>
      <c r="U7063" s="16"/>
      <c r="V7063" s="16"/>
      <c r="W7063" s="13"/>
      <c r="X7063" s="47">
        <v>7059</v>
      </c>
      <c r="Y7063" s="47" t="s">
        <v>2248</v>
      </c>
      <c r="Z7063" s="47" t="s">
        <v>2338</v>
      </c>
      <c r="AA7063" s="56">
        <v>0</v>
      </c>
      <c r="AB7063" s="13"/>
      <c r="AC7063" s="13"/>
      <c r="AD7063" s="13"/>
      <c r="AE7063" s="13"/>
      <c r="AF7063" s="13"/>
    </row>
    <row r="7064" spans="19:32" x14ac:dyDescent="0.35">
      <c r="S7064" s="13"/>
      <c r="T7064" s="16"/>
      <c r="U7064" s="16"/>
      <c r="V7064" s="16"/>
      <c r="W7064" s="13"/>
      <c r="X7064" s="47">
        <v>7060</v>
      </c>
      <c r="Y7064" s="47" t="s">
        <v>2248</v>
      </c>
      <c r="Z7064" s="47" t="s">
        <v>2337</v>
      </c>
      <c r="AA7064" s="56">
        <v>0.32108000000000003</v>
      </c>
      <c r="AB7064" s="13"/>
      <c r="AC7064" s="13"/>
      <c r="AD7064" s="13"/>
      <c r="AE7064" s="13"/>
      <c r="AF7064" s="13"/>
    </row>
    <row r="7065" spans="19:32" x14ac:dyDescent="0.35">
      <c r="S7065" s="13"/>
      <c r="T7065" s="16"/>
      <c r="U7065" s="16"/>
      <c r="V7065" s="16"/>
      <c r="W7065" s="13"/>
      <c r="X7065" s="34">
        <v>7061</v>
      </c>
      <c r="Y7065" s="34" t="s">
        <v>2248</v>
      </c>
      <c r="Z7065" s="34" t="s">
        <v>2336</v>
      </c>
      <c r="AA7065" s="35">
        <v>2.0838709677419355E-3</v>
      </c>
      <c r="AB7065" s="13"/>
      <c r="AC7065" s="13"/>
      <c r="AD7065" s="13"/>
      <c r="AE7065" s="13"/>
      <c r="AF7065" s="13"/>
    </row>
    <row r="7066" spans="19:32" x14ac:dyDescent="0.35">
      <c r="S7066" s="13"/>
      <c r="T7066" s="16"/>
      <c r="U7066" s="16"/>
      <c r="V7066" s="16"/>
      <c r="W7066" s="13"/>
      <c r="X7066" s="47">
        <v>7062</v>
      </c>
      <c r="Y7066" s="47" t="s">
        <v>2248</v>
      </c>
      <c r="Z7066" s="47" t="s">
        <v>2335</v>
      </c>
      <c r="AA7066" s="56">
        <v>0.41492000000000001</v>
      </c>
      <c r="AB7066" s="13"/>
      <c r="AC7066" s="13"/>
      <c r="AD7066" s="13"/>
      <c r="AE7066" s="13"/>
      <c r="AF7066" s="13"/>
    </row>
    <row r="7067" spans="19:32" x14ac:dyDescent="0.35">
      <c r="S7067" s="13"/>
      <c r="T7067" s="16"/>
      <c r="U7067" s="16"/>
      <c r="V7067" s="16"/>
      <c r="W7067" s="13"/>
      <c r="X7067" s="34">
        <v>7063</v>
      </c>
      <c r="Y7067" s="34" t="s">
        <v>2248</v>
      </c>
      <c r="Z7067" s="34" t="s">
        <v>2334</v>
      </c>
      <c r="AA7067" s="35">
        <v>1.2681451612903227</v>
      </c>
      <c r="AB7067" s="13"/>
      <c r="AC7067" s="13"/>
      <c r="AD7067" s="13"/>
      <c r="AE7067" s="13"/>
      <c r="AF7067" s="13"/>
    </row>
    <row r="7068" spans="19:32" x14ac:dyDescent="0.35">
      <c r="S7068" s="13"/>
      <c r="T7068" s="16"/>
      <c r="U7068" s="16"/>
      <c r="V7068" s="16"/>
      <c r="W7068" s="13"/>
      <c r="X7068" s="47">
        <v>7064</v>
      </c>
      <c r="Y7068" s="47" t="s">
        <v>2248</v>
      </c>
      <c r="Z7068" s="47" t="s">
        <v>2333</v>
      </c>
      <c r="AA7068" s="56">
        <v>0</v>
      </c>
      <c r="AB7068" s="13"/>
      <c r="AC7068" s="13"/>
      <c r="AD7068" s="13"/>
      <c r="AE7068" s="13"/>
      <c r="AF7068" s="13"/>
    </row>
    <row r="7069" spans="19:32" x14ac:dyDescent="0.35">
      <c r="S7069" s="13"/>
      <c r="T7069" s="16"/>
      <c r="U7069" s="16"/>
      <c r="V7069" s="16"/>
      <c r="W7069" s="13"/>
      <c r="X7069" s="47">
        <v>7065</v>
      </c>
      <c r="Y7069" s="47" t="s">
        <v>2248</v>
      </c>
      <c r="Z7069" s="47" t="s">
        <v>2332</v>
      </c>
      <c r="AA7069" s="56">
        <v>0.35235999999999995</v>
      </c>
      <c r="AB7069" s="13"/>
      <c r="AC7069" s="13"/>
      <c r="AD7069" s="13"/>
      <c r="AE7069" s="13"/>
      <c r="AF7069" s="13"/>
    </row>
    <row r="7070" spans="19:32" x14ac:dyDescent="0.35">
      <c r="S7070" s="13"/>
      <c r="T7070" s="16"/>
      <c r="U7070" s="16"/>
      <c r="V7070" s="16"/>
      <c r="W7070" s="13"/>
      <c r="X7070" s="34">
        <v>7066</v>
      </c>
      <c r="Y7070" s="34" t="s">
        <v>2248</v>
      </c>
      <c r="Z7070" s="34" t="s">
        <v>2331</v>
      </c>
      <c r="AA7070" s="35">
        <v>1.5971774193548388E-3</v>
      </c>
      <c r="AB7070" s="13"/>
      <c r="AC7070" s="13"/>
      <c r="AD7070" s="13"/>
      <c r="AE7070" s="13"/>
      <c r="AF7070" s="13"/>
    </row>
    <row r="7071" spans="19:32" x14ac:dyDescent="0.35">
      <c r="S7071" s="13"/>
      <c r="T7071" s="16"/>
      <c r="U7071" s="16"/>
      <c r="V7071" s="16"/>
      <c r="W7071" s="13"/>
      <c r="X7071" s="47">
        <v>7067</v>
      </c>
      <c r="Y7071" s="47" t="s">
        <v>2248</v>
      </c>
      <c r="Z7071" s="47" t="s">
        <v>2330</v>
      </c>
      <c r="AA7071" s="56">
        <v>0</v>
      </c>
      <c r="AB7071" s="13"/>
      <c r="AC7071" s="13"/>
      <c r="AD7071" s="13"/>
      <c r="AE7071" s="13"/>
      <c r="AF7071" s="13"/>
    </row>
    <row r="7072" spans="19:32" x14ac:dyDescent="0.35">
      <c r="S7072" s="13"/>
      <c r="T7072" s="16"/>
      <c r="U7072" s="16"/>
      <c r="V7072" s="16"/>
      <c r="W7072" s="13"/>
      <c r="X7072" s="47">
        <v>7068</v>
      </c>
      <c r="Y7072" s="47" t="s">
        <v>2248</v>
      </c>
      <c r="Z7072" s="47" t="s">
        <v>2329</v>
      </c>
      <c r="AA7072" s="56">
        <v>0</v>
      </c>
      <c r="AB7072" s="13"/>
      <c r="AC7072" s="13"/>
      <c r="AD7072" s="13"/>
      <c r="AE7072" s="13"/>
      <c r="AF7072" s="13"/>
    </row>
    <row r="7073" spans="19:32" x14ac:dyDescent="0.35">
      <c r="S7073" s="13"/>
      <c r="T7073" s="16"/>
      <c r="U7073" s="16"/>
      <c r="V7073" s="16"/>
      <c r="W7073" s="13"/>
      <c r="X7073" s="34">
        <v>7069</v>
      </c>
      <c r="Y7073" s="34" t="s">
        <v>2248</v>
      </c>
      <c r="Z7073" s="34" t="s">
        <v>2328</v>
      </c>
      <c r="AA7073" s="35">
        <v>5.7923387096774194E-3</v>
      </c>
      <c r="AB7073" s="13"/>
      <c r="AC7073" s="13"/>
      <c r="AD7073" s="13"/>
      <c r="AE7073" s="13"/>
      <c r="AF7073" s="13"/>
    </row>
    <row r="7074" spans="19:32" x14ac:dyDescent="0.35">
      <c r="S7074" s="13"/>
      <c r="T7074" s="16"/>
      <c r="U7074" s="16"/>
      <c r="V7074" s="16"/>
      <c r="W7074" s="13"/>
      <c r="X7074" s="47">
        <v>7070</v>
      </c>
      <c r="Y7074" s="47" t="s">
        <v>2248</v>
      </c>
      <c r="Z7074" s="47" t="s">
        <v>2327</v>
      </c>
      <c r="AA7074" s="56">
        <v>0</v>
      </c>
      <c r="AB7074" s="13"/>
      <c r="AC7074" s="13"/>
      <c r="AD7074" s="13"/>
      <c r="AE7074" s="13"/>
      <c r="AF7074" s="13"/>
    </row>
    <row r="7075" spans="19:32" x14ac:dyDescent="0.35">
      <c r="S7075" s="13"/>
      <c r="T7075" s="16"/>
      <c r="U7075" s="16"/>
      <c r="V7075" s="16"/>
      <c r="W7075" s="13"/>
      <c r="X7075" s="47">
        <v>7071</v>
      </c>
      <c r="Y7075" s="47" t="s">
        <v>2248</v>
      </c>
      <c r="Z7075" s="47" t="s">
        <v>2326</v>
      </c>
      <c r="AA7075" s="56">
        <v>0</v>
      </c>
      <c r="AB7075" s="13"/>
      <c r="AC7075" s="13"/>
      <c r="AD7075" s="13"/>
      <c r="AE7075" s="13"/>
      <c r="AF7075" s="13"/>
    </row>
    <row r="7076" spans="19:32" x14ac:dyDescent="0.35">
      <c r="S7076" s="13"/>
      <c r="T7076" s="16"/>
      <c r="U7076" s="16"/>
      <c r="V7076" s="16"/>
      <c r="W7076" s="13"/>
      <c r="X7076" s="34">
        <v>7072</v>
      </c>
      <c r="Y7076" s="34" t="s">
        <v>2248</v>
      </c>
      <c r="Z7076" s="34" t="s">
        <v>2325</v>
      </c>
      <c r="AA7076" s="35">
        <v>8.5000000000000006E-4</v>
      </c>
      <c r="AB7076" s="13"/>
      <c r="AC7076" s="13"/>
      <c r="AD7076" s="13"/>
      <c r="AE7076" s="13"/>
      <c r="AF7076" s="13"/>
    </row>
    <row r="7077" spans="19:32" x14ac:dyDescent="0.35">
      <c r="S7077" s="13"/>
      <c r="T7077" s="16"/>
      <c r="U7077" s="16"/>
      <c r="V7077" s="16"/>
      <c r="W7077" s="13"/>
      <c r="X7077" s="47">
        <v>7073</v>
      </c>
      <c r="Y7077" s="47" t="s">
        <v>2248</v>
      </c>
      <c r="Z7077" s="47" t="s">
        <v>2324</v>
      </c>
      <c r="AA7077" s="56">
        <v>2.1528000000000003E-3</v>
      </c>
      <c r="AB7077" s="13"/>
      <c r="AC7077" s="13"/>
      <c r="AD7077" s="13"/>
      <c r="AE7077" s="13"/>
      <c r="AF7077" s="13"/>
    </row>
    <row r="7078" spans="19:32" x14ac:dyDescent="0.35">
      <c r="S7078" s="13"/>
      <c r="T7078" s="16"/>
      <c r="U7078" s="16"/>
      <c r="V7078" s="16"/>
      <c r="W7078" s="13"/>
      <c r="X7078" s="47">
        <v>7074</v>
      </c>
      <c r="Y7078" s="47" t="s">
        <v>2248</v>
      </c>
      <c r="Z7078" s="47" t="s">
        <v>2323</v>
      </c>
      <c r="AA7078" s="56">
        <v>0.93840000000000001</v>
      </c>
      <c r="AB7078" s="13"/>
      <c r="AC7078" s="13"/>
      <c r="AD7078" s="13"/>
      <c r="AE7078" s="13"/>
      <c r="AF7078" s="13"/>
    </row>
    <row r="7079" spans="19:32" x14ac:dyDescent="0.35">
      <c r="S7079" s="13"/>
      <c r="T7079" s="16"/>
      <c r="U7079" s="16"/>
      <c r="V7079" s="16"/>
      <c r="W7079" s="13"/>
      <c r="X7079" s="34">
        <v>7075</v>
      </c>
      <c r="Y7079" s="34" t="s">
        <v>2248</v>
      </c>
      <c r="Z7079" s="34" t="s">
        <v>2322</v>
      </c>
      <c r="AA7079" s="35">
        <v>3.9415322580645167E-4</v>
      </c>
      <c r="AB7079" s="13"/>
      <c r="AC7079" s="13"/>
      <c r="AD7079" s="13"/>
      <c r="AE7079" s="13"/>
      <c r="AF7079" s="13"/>
    </row>
    <row r="7080" spans="19:32" x14ac:dyDescent="0.35">
      <c r="S7080" s="13"/>
      <c r="T7080" s="16"/>
      <c r="U7080" s="16"/>
      <c r="V7080" s="16"/>
      <c r="W7080" s="13"/>
      <c r="X7080" s="47">
        <v>7076</v>
      </c>
      <c r="Y7080" s="47" t="s">
        <v>2248</v>
      </c>
      <c r="Z7080" s="47" t="s">
        <v>2321</v>
      </c>
      <c r="AA7080" s="56">
        <v>1.1592</v>
      </c>
      <c r="AB7080" s="13"/>
      <c r="AC7080" s="13"/>
      <c r="AD7080" s="13"/>
      <c r="AE7080" s="13"/>
      <c r="AF7080" s="13"/>
    </row>
    <row r="7081" spans="19:32" x14ac:dyDescent="0.35">
      <c r="S7081" s="13"/>
      <c r="T7081" s="16"/>
      <c r="U7081" s="16"/>
      <c r="V7081" s="16"/>
      <c r="W7081" s="13"/>
      <c r="X7081" s="34">
        <v>7077</v>
      </c>
      <c r="Y7081" s="34" t="s">
        <v>2248</v>
      </c>
      <c r="Z7081" s="34" t="s">
        <v>2320</v>
      </c>
      <c r="AA7081" s="35">
        <v>2.7282258064516129E-3</v>
      </c>
      <c r="AB7081" s="13"/>
      <c r="AC7081" s="13"/>
      <c r="AD7081" s="13"/>
      <c r="AE7081" s="13"/>
      <c r="AF7081" s="13"/>
    </row>
    <row r="7082" spans="19:32" x14ac:dyDescent="0.35">
      <c r="S7082" s="13"/>
      <c r="T7082" s="16"/>
      <c r="U7082" s="16"/>
      <c r="V7082" s="16"/>
      <c r="W7082" s="13"/>
      <c r="X7082" s="47">
        <v>7078</v>
      </c>
      <c r="Y7082" s="47" t="s">
        <v>2248</v>
      </c>
      <c r="Z7082" s="47" t="s">
        <v>2319</v>
      </c>
      <c r="AA7082" s="56">
        <v>18.492000000000001</v>
      </c>
      <c r="AB7082" s="13"/>
      <c r="AC7082" s="13"/>
      <c r="AD7082" s="13"/>
      <c r="AE7082" s="13"/>
      <c r="AF7082" s="13"/>
    </row>
    <row r="7083" spans="19:32" x14ac:dyDescent="0.35">
      <c r="S7083" s="13"/>
      <c r="T7083" s="16"/>
      <c r="U7083" s="16"/>
      <c r="V7083" s="16"/>
      <c r="W7083" s="13"/>
      <c r="X7083" s="47">
        <v>7079</v>
      </c>
      <c r="Y7083" s="47" t="s">
        <v>2248</v>
      </c>
      <c r="Z7083" s="47" t="s">
        <v>2318</v>
      </c>
      <c r="AA7083" s="56">
        <v>24.195999999999998</v>
      </c>
      <c r="AB7083" s="13"/>
      <c r="AC7083" s="13"/>
      <c r="AD7083" s="13"/>
      <c r="AE7083" s="13"/>
      <c r="AF7083" s="13"/>
    </row>
    <row r="7084" spans="19:32" x14ac:dyDescent="0.35">
      <c r="S7084" s="13"/>
      <c r="T7084" s="16"/>
      <c r="U7084" s="16"/>
      <c r="V7084" s="16"/>
      <c r="W7084" s="13"/>
      <c r="X7084" s="34">
        <v>7080</v>
      </c>
      <c r="Y7084" s="34" t="s">
        <v>2248</v>
      </c>
      <c r="Z7084" s="34" t="s">
        <v>2317</v>
      </c>
      <c r="AA7084" s="35">
        <v>5.6209677419354835E-4</v>
      </c>
      <c r="AB7084" s="13"/>
      <c r="AC7084" s="13"/>
      <c r="AD7084" s="13"/>
      <c r="AE7084" s="13"/>
      <c r="AF7084" s="13"/>
    </row>
    <row r="7085" spans="19:32" x14ac:dyDescent="0.35">
      <c r="S7085" s="13"/>
      <c r="T7085" s="16"/>
      <c r="U7085" s="16"/>
      <c r="V7085" s="16"/>
      <c r="W7085" s="13"/>
      <c r="X7085" s="47">
        <v>7081</v>
      </c>
      <c r="Y7085" s="47" t="s">
        <v>2248</v>
      </c>
      <c r="Z7085" s="47" t="s">
        <v>2316</v>
      </c>
      <c r="AA7085" s="56">
        <v>0</v>
      </c>
      <c r="AB7085" s="13"/>
      <c r="AC7085" s="13"/>
      <c r="AD7085" s="13"/>
      <c r="AE7085" s="13"/>
      <c r="AF7085" s="13"/>
    </row>
    <row r="7086" spans="19:32" x14ac:dyDescent="0.35">
      <c r="S7086" s="13"/>
      <c r="T7086" s="16"/>
      <c r="U7086" s="16"/>
      <c r="V7086" s="16"/>
      <c r="W7086" s="13"/>
      <c r="X7086" s="47">
        <v>7082</v>
      </c>
      <c r="Y7086" s="47" t="s">
        <v>2248</v>
      </c>
      <c r="Z7086" s="47" t="s">
        <v>2315</v>
      </c>
      <c r="AA7086" s="56">
        <v>207</v>
      </c>
      <c r="AB7086" s="13"/>
      <c r="AC7086" s="13"/>
      <c r="AD7086" s="13"/>
      <c r="AE7086" s="13"/>
      <c r="AF7086" s="13"/>
    </row>
    <row r="7087" spans="19:32" x14ac:dyDescent="0.35">
      <c r="S7087" s="13"/>
      <c r="T7087" s="16"/>
      <c r="U7087" s="16"/>
      <c r="V7087" s="16"/>
      <c r="W7087" s="13"/>
      <c r="X7087" s="34">
        <v>7083</v>
      </c>
      <c r="Y7087" s="34" t="s">
        <v>2248</v>
      </c>
      <c r="Z7087" s="34" t="s">
        <v>2314</v>
      </c>
      <c r="AA7087" s="35">
        <v>8.4314516129032268E-4</v>
      </c>
      <c r="AB7087" s="13"/>
      <c r="AC7087" s="13"/>
      <c r="AD7087" s="13"/>
      <c r="AE7087" s="13"/>
      <c r="AF7087" s="13"/>
    </row>
    <row r="7088" spans="19:32" x14ac:dyDescent="0.35">
      <c r="S7088" s="13"/>
      <c r="T7088" s="16"/>
      <c r="U7088" s="16"/>
      <c r="V7088" s="16"/>
      <c r="W7088" s="13"/>
      <c r="X7088" s="47">
        <v>7084</v>
      </c>
      <c r="Y7088" s="47" t="s">
        <v>2248</v>
      </c>
      <c r="Z7088" s="47" t="s">
        <v>2313</v>
      </c>
      <c r="AA7088" s="56">
        <v>6.5411999999999999</v>
      </c>
      <c r="AB7088" s="13"/>
      <c r="AC7088" s="13"/>
      <c r="AD7088" s="13"/>
      <c r="AE7088" s="13"/>
      <c r="AF7088" s="13"/>
    </row>
    <row r="7089" spans="19:32" x14ac:dyDescent="0.35">
      <c r="S7089" s="13"/>
      <c r="T7089" s="16"/>
      <c r="U7089" s="16"/>
      <c r="V7089" s="16"/>
      <c r="W7089" s="13"/>
      <c r="X7089" s="47">
        <v>7085</v>
      </c>
      <c r="Y7089" s="47" t="s">
        <v>2248</v>
      </c>
      <c r="Z7089" s="47" t="s">
        <v>2312</v>
      </c>
      <c r="AA7089" s="56">
        <v>0.21344000000000002</v>
      </c>
      <c r="AB7089" s="13"/>
      <c r="AC7089" s="13"/>
      <c r="AD7089" s="13"/>
      <c r="AE7089" s="13"/>
      <c r="AF7089" s="13"/>
    </row>
    <row r="7090" spans="19:32" x14ac:dyDescent="0.35">
      <c r="S7090" s="13"/>
      <c r="T7090" s="16"/>
      <c r="U7090" s="16"/>
      <c r="V7090" s="16"/>
      <c r="W7090" s="13"/>
      <c r="X7090" s="34">
        <v>7086</v>
      </c>
      <c r="Y7090" s="34" t="s">
        <v>2248</v>
      </c>
      <c r="Z7090" s="34" t="s">
        <v>2311</v>
      </c>
      <c r="AA7090" s="35">
        <v>2.7110887096774199E-4</v>
      </c>
      <c r="AB7090" s="13"/>
      <c r="AC7090" s="13"/>
      <c r="AD7090" s="13"/>
      <c r="AE7090" s="13"/>
      <c r="AF7090" s="13"/>
    </row>
    <row r="7091" spans="19:32" x14ac:dyDescent="0.35">
      <c r="S7091" s="13"/>
      <c r="T7091" s="16"/>
      <c r="U7091" s="16"/>
      <c r="V7091" s="16"/>
      <c r="W7091" s="13"/>
      <c r="X7091" s="47">
        <v>7087</v>
      </c>
      <c r="Y7091" s="47" t="s">
        <v>2248</v>
      </c>
      <c r="Z7091" s="47" t="s">
        <v>2310</v>
      </c>
      <c r="AA7091" s="56">
        <v>2.5023999999999998E-2</v>
      </c>
      <c r="AB7091" s="13"/>
      <c r="AC7091" s="13"/>
      <c r="AD7091" s="13"/>
      <c r="AE7091" s="13"/>
      <c r="AF7091" s="13"/>
    </row>
    <row r="7092" spans="19:32" x14ac:dyDescent="0.35">
      <c r="S7092" s="13"/>
      <c r="T7092" s="16"/>
      <c r="U7092" s="16"/>
      <c r="V7092" s="16"/>
      <c r="W7092" s="13"/>
      <c r="X7092" s="34">
        <v>7088</v>
      </c>
      <c r="Y7092" s="34" t="s">
        <v>2248</v>
      </c>
      <c r="Z7092" s="34" t="s">
        <v>2309</v>
      </c>
      <c r="AA7092" s="35">
        <v>0.37358870967741936</v>
      </c>
      <c r="AB7092" s="13"/>
      <c r="AC7092" s="13"/>
      <c r="AD7092" s="13"/>
      <c r="AE7092" s="13"/>
      <c r="AF7092" s="13"/>
    </row>
    <row r="7093" spans="19:32" x14ac:dyDescent="0.35">
      <c r="S7093" s="13"/>
      <c r="T7093" s="16"/>
      <c r="U7093" s="16"/>
      <c r="V7093" s="16"/>
      <c r="W7093" s="13"/>
      <c r="X7093" s="47">
        <v>7089</v>
      </c>
      <c r="Y7093" s="47" t="s">
        <v>2248</v>
      </c>
      <c r="Z7093" s="47" t="s">
        <v>2308</v>
      </c>
      <c r="AA7093" s="56">
        <v>0.24931999999999999</v>
      </c>
      <c r="AB7093" s="13"/>
      <c r="AC7093" s="13"/>
      <c r="AD7093" s="13"/>
      <c r="AE7093" s="13"/>
      <c r="AF7093" s="13"/>
    </row>
    <row r="7094" spans="19:32" x14ac:dyDescent="0.35">
      <c r="S7094" s="13"/>
      <c r="T7094" s="16"/>
      <c r="U7094" s="16"/>
      <c r="V7094" s="16"/>
      <c r="W7094" s="13"/>
      <c r="X7094" s="47">
        <v>7090</v>
      </c>
      <c r="Y7094" s="47" t="s">
        <v>2248</v>
      </c>
      <c r="Z7094" s="47" t="s">
        <v>2307</v>
      </c>
      <c r="AA7094" s="56">
        <v>0.13156000000000001</v>
      </c>
      <c r="AB7094" s="13"/>
      <c r="AC7094" s="13"/>
      <c r="AD7094" s="13"/>
      <c r="AE7094" s="13"/>
      <c r="AF7094" s="13"/>
    </row>
    <row r="7095" spans="19:32" x14ac:dyDescent="0.35">
      <c r="S7095" s="13"/>
      <c r="T7095" s="16"/>
      <c r="U7095" s="16"/>
      <c r="V7095" s="16"/>
      <c r="W7095" s="13"/>
      <c r="X7095" s="34">
        <v>7091</v>
      </c>
      <c r="Y7095" s="34" t="s">
        <v>2248</v>
      </c>
      <c r="Z7095" s="34" t="s">
        <v>2306</v>
      </c>
      <c r="AA7095" s="35">
        <v>2.0221774193548389E-4</v>
      </c>
      <c r="AB7095" s="13"/>
      <c r="AC7095" s="13"/>
      <c r="AD7095" s="13"/>
      <c r="AE7095" s="13"/>
      <c r="AF7095" s="13"/>
    </row>
    <row r="7096" spans="19:32" x14ac:dyDescent="0.35">
      <c r="S7096" s="13"/>
      <c r="T7096" s="16"/>
      <c r="U7096" s="16"/>
      <c r="V7096" s="16"/>
      <c r="W7096" s="13"/>
      <c r="X7096" s="47">
        <v>7092</v>
      </c>
      <c r="Y7096" s="47" t="s">
        <v>2248</v>
      </c>
      <c r="Z7096" s="47" t="s">
        <v>2305</v>
      </c>
      <c r="AA7096" s="56">
        <v>0.98439999999999994</v>
      </c>
      <c r="AB7096" s="13"/>
      <c r="AC7096" s="13"/>
      <c r="AD7096" s="13"/>
      <c r="AE7096" s="13"/>
      <c r="AF7096" s="13"/>
    </row>
    <row r="7097" spans="19:32" x14ac:dyDescent="0.35">
      <c r="S7097" s="13"/>
      <c r="T7097" s="16"/>
      <c r="U7097" s="16"/>
      <c r="V7097" s="16"/>
      <c r="W7097" s="13"/>
      <c r="X7097" s="47">
        <v>7093</v>
      </c>
      <c r="Y7097" s="47" t="s">
        <v>2248</v>
      </c>
      <c r="Z7097" s="47" t="s">
        <v>2304</v>
      </c>
      <c r="AA7097" s="56">
        <v>0</v>
      </c>
      <c r="AB7097" s="13"/>
      <c r="AC7097" s="13"/>
      <c r="AD7097" s="13"/>
      <c r="AE7097" s="13"/>
      <c r="AF7097" s="13"/>
    </row>
    <row r="7098" spans="19:32" x14ac:dyDescent="0.35">
      <c r="S7098" s="13"/>
      <c r="T7098" s="16"/>
      <c r="U7098" s="16"/>
      <c r="V7098" s="16"/>
      <c r="W7098" s="13"/>
      <c r="X7098" s="34">
        <v>7094</v>
      </c>
      <c r="Y7098" s="34" t="s">
        <v>2248</v>
      </c>
      <c r="Z7098" s="34" t="s">
        <v>2303</v>
      </c>
      <c r="AA7098" s="35">
        <v>5.1068548387096782E-3</v>
      </c>
      <c r="AB7098" s="13"/>
      <c r="AC7098" s="13"/>
      <c r="AD7098" s="13"/>
      <c r="AE7098" s="13"/>
      <c r="AF7098" s="13"/>
    </row>
    <row r="7099" spans="19:32" x14ac:dyDescent="0.35">
      <c r="S7099" s="13"/>
      <c r="T7099" s="16"/>
      <c r="U7099" s="16"/>
      <c r="V7099" s="16"/>
      <c r="W7099" s="13"/>
      <c r="X7099" s="47">
        <v>7095</v>
      </c>
      <c r="Y7099" s="47" t="s">
        <v>2248</v>
      </c>
      <c r="Z7099" s="47" t="s">
        <v>2302</v>
      </c>
      <c r="AA7099" s="56">
        <v>0.19411999999999999</v>
      </c>
      <c r="AB7099" s="13"/>
      <c r="AC7099" s="13"/>
      <c r="AD7099" s="13"/>
      <c r="AE7099" s="13"/>
      <c r="AF7099" s="13"/>
    </row>
    <row r="7100" spans="19:32" x14ac:dyDescent="0.35">
      <c r="S7100" s="13"/>
      <c r="T7100" s="16"/>
      <c r="U7100" s="16"/>
      <c r="V7100" s="16"/>
      <c r="W7100" s="13"/>
      <c r="X7100" s="47">
        <v>7096</v>
      </c>
      <c r="Y7100" s="47" t="s">
        <v>2248</v>
      </c>
      <c r="Z7100" s="47" t="s">
        <v>2301</v>
      </c>
      <c r="AA7100" s="56">
        <v>0</v>
      </c>
      <c r="AB7100" s="13"/>
      <c r="AC7100" s="13"/>
      <c r="AD7100" s="13"/>
      <c r="AE7100" s="13"/>
      <c r="AF7100" s="13"/>
    </row>
    <row r="7101" spans="19:32" x14ac:dyDescent="0.35">
      <c r="S7101" s="13"/>
      <c r="T7101" s="16"/>
      <c r="U7101" s="16"/>
      <c r="V7101" s="16"/>
      <c r="W7101" s="13"/>
      <c r="X7101" s="34">
        <v>7097</v>
      </c>
      <c r="Y7101" s="34" t="s">
        <v>2248</v>
      </c>
      <c r="Z7101" s="34" t="s">
        <v>2300</v>
      </c>
      <c r="AA7101" s="35">
        <v>2.3683467741935485E-4</v>
      </c>
      <c r="AB7101" s="13"/>
      <c r="AC7101" s="13"/>
      <c r="AD7101" s="13"/>
      <c r="AE7101" s="13"/>
      <c r="AF7101" s="13"/>
    </row>
    <row r="7102" spans="19:32" x14ac:dyDescent="0.35">
      <c r="S7102" s="13"/>
      <c r="T7102" s="16"/>
      <c r="U7102" s="16"/>
      <c r="V7102" s="16"/>
      <c r="W7102" s="13"/>
      <c r="X7102" s="47">
        <v>7098</v>
      </c>
      <c r="Y7102" s="47" t="s">
        <v>2248</v>
      </c>
      <c r="Z7102" s="47" t="s">
        <v>2299</v>
      </c>
      <c r="AA7102" s="56">
        <v>2778.4</v>
      </c>
      <c r="AB7102" s="13"/>
      <c r="AC7102" s="13"/>
      <c r="AD7102" s="13"/>
      <c r="AE7102" s="13"/>
      <c r="AF7102" s="13"/>
    </row>
    <row r="7103" spans="19:32" x14ac:dyDescent="0.35">
      <c r="S7103" s="13"/>
      <c r="T7103" s="16"/>
      <c r="U7103" s="16"/>
      <c r="V7103" s="16"/>
      <c r="W7103" s="13"/>
      <c r="X7103" s="47">
        <v>7099</v>
      </c>
      <c r="Y7103" s="47" t="s">
        <v>2248</v>
      </c>
      <c r="Z7103" s="47" t="s">
        <v>2298</v>
      </c>
      <c r="AA7103" s="56">
        <v>37.628</v>
      </c>
      <c r="AB7103" s="13"/>
      <c r="AC7103" s="13"/>
      <c r="AD7103" s="13"/>
      <c r="AE7103" s="13"/>
      <c r="AF7103" s="13"/>
    </row>
    <row r="7104" spans="19:32" x14ac:dyDescent="0.35">
      <c r="S7104" s="13"/>
      <c r="T7104" s="16"/>
      <c r="U7104" s="16"/>
      <c r="V7104" s="16"/>
      <c r="W7104" s="13"/>
      <c r="X7104" s="34">
        <v>7100</v>
      </c>
      <c r="Y7104" s="34" t="s">
        <v>2248</v>
      </c>
      <c r="Z7104" s="34" t="s">
        <v>2297</v>
      </c>
      <c r="AA7104" s="35">
        <v>7.5745967741935497E-2</v>
      </c>
      <c r="AB7104" s="13"/>
      <c r="AC7104" s="13"/>
      <c r="AD7104" s="13"/>
      <c r="AE7104" s="13"/>
      <c r="AF7104" s="13"/>
    </row>
    <row r="7105" spans="19:32" x14ac:dyDescent="0.35">
      <c r="S7105" s="13"/>
      <c r="T7105" s="16"/>
      <c r="U7105" s="16"/>
      <c r="V7105" s="16"/>
      <c r="W7105" s="13"/>
      <c r="X7105" s="47">
        <v>7101</v>
      </c>
      <c r="Y7105" s="47" t="s">
        <v>2248</v>
      </c>
      <c r="Z7105" s="47" t="s">
        <v>2296</v>
      </c>
      <c r="AA7105" s="56">
        <v>4.6920000000000003E-2</v>
      </c>
      <c r="AB7105" s="13"/>
      <c r="AC7105" s="13"/>
      <c r="AD7105" s="13"/>
      <c r="AE7105" s="13"/>
      <c r="AF7105" s="13"/>
    </row>
    <row r="7106" spans="19:32" x14ac:dyDescent="0.35">
      <c r="S7106" s="13"/>
      <c r="T7106" s="16"/>
      <c r="U7106" s="16"/>
      <c r="V7106" s="16"/>
      <c r="W7106" s="13"/>
      <c r="X7106" s="34">
        <v>7102</v>
      </c>
      <c r="Y7106" s="34" t="s">
        <v>2248</v>
      </c>
      <c r="Z7106" s="34" t="s">
        <v>2295</v>
      </c>
      <c r="AA7106" s="35">
        <v>1.6554435483870968</v>
      </c>
      <c r="AB7106" s="13"/>
      <c r="AC7106" s="13"/>
      <c r="AD7106" s="13"/>
      <c r="AE7106" s="13"/>
      <c r="AF7106" s="13"/>
    </row>
    <row r="7107" spans="19:32" x14ac:dyDescent="0.35">
      <c r="S7107" s="13"/>
      <c r="T7107" s="16"/>
      <c r="U7107" s="16"/>
      <c r="V7107" s="16"/>
      <c r="W7107" s="13"/>
      <c r="X7107" s="47">
        <v>7103</v>
      </c>
      <c r="Y7107" s="47" t="s">
        <v>2248</v>
      </c>
      <c r="Z7107" s="47" t="s">
        <v>2294</v>
      </c>
      <c r="AA7107" s="56">
        <v>0</v>
      </c>
      <c r="AB7107" s="13"/>
      <c r="AC7107" s="13"/>
      <c r="AD7107" s="13"/>
      <c r="AE7107" s="13"/>
      <c r="AF7107" s="13"/>
    </row>
    <row r="7108" spans="19:32" x14ac:dyDescent="0.35">
      <c r="S7108" s="13"/>
      <c r="T7108" s="16"/>
      <c r="U7108" s="16"/>
      <c r="V7108" s="16"/>
      <c r="W7108" s="13"/>
      <c r="X7108" s="47">
        <v>7104</v>
      </c>
      <c r="Y7108" s="47" t="s">
        <v>2248</v>
      </c>
      <c r="Z7108" s="47" t="s">
        <v>2293</v>
      </c>
      <c r="AA7108" s="56">
        <v>0</v>
      </c>
      <c r="AB7108" s="13"/>
      <c r="AC7108" s="13"/>
      <c r="AD7108" s="13"/>
      <c r="AE7108" s="13"/>
      <c r="AF7108" s="13"/>
    </row>
    <row r="7109" spans="19:32" x14ac:dyDescent="0.35">
      <c r="S7109" s="13"/>
      <c r="T7109" s="16"/>
      <c r="U7109" s="16"/>
      <c r="V7109" s="16"/>
      <c r="W7109" s="13"/>
      <c r="X7109" s="34">
        <v>7105</v>
      </c>
      <c r="Y7109" s="34" t="s">
        <v>2248</v>
      </c>
      <c r="Z7109" s="34" t="s">
        <v>2292</v>
      </c>
      <c r="AA7109" s="35">
        <v>3.1566532258064516E-2</v>
      </c>
      <c r="AB7109" s="13"/>
      <c r="AC7109" s="13"/>
      <c r="AD7109" s="13"/>
      <c r="AE7109" s="13"/>
      <c r="AF7109" s="13"/>
    </row>
    <row r="7110" spans="19:32" x14ac:dyDescent="0.35">
      <c r="S7110" s="13"/>
      <c r="T7110" s="16"/>
      <c r="U7110" s="16"/>
      <c r="V7110" s="16"/>
      <c r="W7110" s="13"/>
      <c r="X7110" s="47">
        <v>7106</v>
      </c>
      <c r="Y7110" s="47" t="s">
        <v>2248</v>
      </c>
      <c r="Z7110" s="47" t="s">
        <v>2291</v>
      </c>
      <c r="AA7110" s="56">
        <v>0.1656</v>
      </c>
      <c r="AB7110" s="13"/>
      <c r="AC7110" s="13"/>
      <c r="AD7110" s="13"/>
      <c r="AE7110" s="13"/>
      <c r="AF7110" s="13"/>
    </row>
    <row r="7111" spans="19:32" x14ac:dyDescent="0.35">
      <c r="S7111" s="13"/>
      <c r="T7111" s="16"/>
      <c r="U7111" s="16"/>
      <c r="V7111" s="16"/>
      <c r="W7111" s="13"/>
      <c r="X7111" s="47">
        <v>7107</v>
      </c>
      <c r="Y7111" s="47" t="s">
        <v>2248</v>
      </c>
      <c r="Z7111" s="47" t="s">
        <v>2290</v>
      </c>
      <c r="AA7111" s="56">
        <v>0</v>
      </c>
      <c r="AB7111" s="13"/>
      <c r="AC7111" s="13"/>
      <c r="AD7111" s="13"/>
      <c r="AE7111" s="13"/>
      <c r="AF7111" s="13"/>
    </row>
    <row r="7112" spans="19:32" x14ac:dyDescent="0.35">
      <c r="S7112" s="13"/>
      <c r="T7112" s="16"/>
      <c r="U7112" s="16"/>
      <c r="V7112" s="16"/>
      <c r="W7112" s="13"/>
      <c r="X7112" s="34">
        <v>7108</v>
      </c>
      <c r="Y7112" s="34" t="s">
        <v>2248</v>
      </c>
      <c r="Z7112" s="34" t="s">
        <v>2289</v>
      </c>
      <c r="AA7112" s="35">
        <v>5.4495967741935492E-2</v>
      </c>
      <c r="AB7112" s="13"/>
      <c r="AC7112" s="13"/>
      <c r="AD7112" s="13"/>
      <c r="AE7112" s="13"/>
      <c r="AF7112" s="13"/>
    </row>
    <row r="7113" spans="19:32" x14ac:dyDescent="0.35">
      <c r="S7113" s="13"/>
      <c r="T7113" s="16"/>
      <c r="U7113" s="16"/>
      <c r="V7113" s="16"/>
      <c r="W7113" s="13"/>
      <c r="X7113" s="47">
        <v>7109</v>
      </c>
      <c r="Y7113" s="47" t="s">
        <v>2248</v>
      </c>
      <c r="Z7113" s="47" t="s">
        <v>2288</v>
      </c>
      <c r="AA7113" s="56">
        <v>3.8455999999999997E-2</v>
      </c>
      <c r="AB7113" s="13"/>
      <c r="AC7113" s="13"/>
      <c r="AD7113" s="13"/>
      <c r="AE7113" s="13"/>
      <c r="AF7113" s="13"/>
    </row>
    <row r="7114" spans="19:32" x14ac:dyDescent="0.35">
      <c r="S7114" s="13"/>
      <c r="T7114" s="16"/>
      <c r="U7114" s="16"/>
      <c r="V7114" s="16"/>
      <c r="W7114" s="13"/>
      <c r="X7114" s="47">
        <v>7110</v>
      </c>
      <c r="Y7114" s="47" t="s">
        <v>2248</v>
      </c>
      <c r="Z7114" s="47" t="s">
        <v>2287</v>
      </c>
      <c r="AA7114" s="56">
        <v>0</v>
      </c>
      <c r="AB7114" s="13"/>
      <c r="AC7114" s="13"/>
      <c r="AD7114" s="13"/>
      <c r="AE7114" s="13"/>
      <c r="AF7114" s="13"/>
    </row>
    <row r="7115" spans="19:32" x14ac:dyDescent="0.35">
      <c r="S7115" s="13"/>
      <c r="T7115" s="16"/>
      <c r="U7115" s="16"/>
      <c r="V7115" s="16"/>
      <c r="W7115" s="13"/>
      <c r="X7115" s="34">
        <v>7111</v>
      </c>
      <c r="Y7115" s="34" t="s">
        <v>2248</v>
      </c>
      <c r="Z7115" s="34" t="s">
        <v>2286</v>
      </c>
      <c r="AA7115" s="35">
        <v>1.7993951612903227</v>
      </c>
      <c r="AB7115" s="13"/>
      <c r="AC7115" s="13"/>
      <c r="AD7115" s="13"/>
      <c r="AE7115" s="13"/>
      <c r="AF7115" s="13"/>
    </row>
    <row r="7116" spans="19:32" x14ac:dyDescent="0.35">
      <c r="S7116" s="13"/>
      <c r="T7116" s="16"/>
      <c r="U7116" s="16"/>
      <c r="V7116" s="16"/>
      <c r="W7116" s="13"/>
      <c r="X7116" s="47">
        <v>7112</v>
      </c>
      <c r="Y7116" s="47" t="s">
        <v>2248</v>
      </c>
      <c r="Z7116" s="47" t="s">
        <v>2285</v>
      </c>
      <c r="AA7116" s="56">
        <v>0.31831999999999999</v>
      </c>
      <c r="AB7116" s="13"/>
      <c r="AC7116" s="13"/>
      <c r="AD7116" s="13"/>
      <c r="AE7116" s="13"/>
      <c r="AF7116" s="13"/>
    </row>
    <row r="7117" spans="19:32" x14ac:dyDescent="0.35">
      <c r="S7117" s="13"/>
      <c r="T7117" s="16"/>
      <c r="U7117" s="16"/>
      <c r="V7117" s="16"/>
      <c r="W7117" s="13"/>
      <c r="X7117" s="34">
        <v>7113</v>
      </c>
      <c r="Y7117" s="34" t="s">
        <v>2248</v>
      </c>
      <c r="Z7117" s="34" t="s">
        <v>2284</v>
      </c>
      <c r="AA7117" s="35">
        <v>2.4848790322580649E-2</v>
      </c>
      <c r="AB7117" s="13"/>
      <c r="AC7117" s="13"/>
      <c r="AD7117" s="13"/>
      <c r="AE7117" s="13"/>
      <c r="AF7117" s="13"/>
    </row>
    <row r="7118" spans="19:32" x14ac:dyDescent="0.35">
      <c r="S7118" s="13"/>
      <c r="T7118" s="16"/>
      <c r="U7118" s="16"/>
      <c r="V7118" s="16"/>
      <c r="W7118" s="13"/>
      <c r="X7118" s="47">
        <v>7114</v>
      </c>
      <c r="Y7118" s="47" t="s">
        <v>2248</v>
      </c>
      <c r="Z7118" s="47" t="s">
        <v>2283</v>
      </c>
      <c r="AA7118" s="56">
        <v>0</v>
      </c>
      <c r="AB7118" s="13"/>
      <c r="AC7118" s="13"/>
      <c r="AD7118" s="13"/>
      <c r="AE7118" s="13"/>
      <c r="AF7118" s="13"/>
    </row>
    <row r="7119" spans="19:32" x14ac:dyDescent="0.35">
      <c r="S7119" s="13"/>
      <c r="T7119" s="16"/>
      <c r="U7119" s="16"/>
      <c r="V7119" s="16"/>
      <c r="W7119" s="13"/>
      <c r="X7119" s="47">
        <v>7115</v>
      </c>
      <c r="Y7119" s="47" t="s">
        <v>2248</v>
      </c>
      <c r="Z7119" s="47" t="s">
        <v>2282</v>
      </c>
      <c r="AA7119" s="56">
        <v>0</v>
      </c>
      <c r="AB7119" s="13"/>
      <c r="AC7119" s="13"/>
      <c r="AD7119" s="13"/>
      <c r="AE7119" s="13"/>
      <c r="AF7119" s="13"/>
    </row>
    <row r="7120" spans="19:32" x14ac:dyDescent="0.35">
      <c r="S7120" s="13"/>
      <c r="T7120" s="16"/>
      <c r="U7120" s="16"/>
      <c r="V7120" s="16"/>
      <c r="W7120" s="13"/>
      <c r="X7120" s="34">
        <v>7116</v>
      </c>
      <c r="Y7120" s="34" t="s">
        <v>2248</v>
      </c>
      <c r="Z7120" s="34" t="s">
        <v>2281</v>
      </c>
      <c r="AA7120" s="35">
        <v>2.8618951612903229E-6</v>
      </c>
      <c r="AB7120" s="13"/>
      <c r="AC7120" s="13"/>
      <c r="AD7120" s="13"/>
      <c r="AE7120" s="13"/>
      <c r="AF7120" s="13"/>
    </row>
    <row r="7121" spans="19:32" x14ac:dyDescent="0.35">
      <c r="S7121" s="13"/>
      <c r="T7121" s="16"/>
      <c r="U7121" s="16"/>
      <c r="V7121" s="16"/>
      <c r="W7121" s="13"/>
      <c r="X7121" s="47">
        <v>7117</v>
      </c>
      <c r="Y7121" s="47" t="s">
        <v>2248</v>
      </c>
      <c r="Z7121" s="47" t="s">
        <v>2280</v>
      </c>
      <c r="AA7121" s="56">
        <v>1.7204000000000002</v>
      </c>
      <c r="AB7121" s="13"/>
      <c r="AC7121" s="13"/>
      <c r="AD7121" s="13"/>
      <c r="AE7121" s="13"/>
      <c r="AF7121" s="13"/>
    </row>
    <row r="7122" spans="19:32" x14ac:dyDescent="0.35">
      <c r="S7122" s="13"/>
      <c r="T7122" s="16"/>
      <c r="U7122" s="16"/>
      <c r="V7122" s="16"/>
      <c r="W7122" s="13"/>
      <c r="X7122" s="47">
        <v>7118</v>
      </c>
      <c r="Y7122" s="47" t="s">
        <v>2248</v>
      </c>
      <c r="Z7122" s="47" t="s">
        <v>2279</v>
      </c>
      <c r="AA7122" s="56">
        <v>4.7195999999999998</v>
      </c>
      <c r="AB7122" s="13"/>
      <c r="AC7122" s="13"/>
      <c r="AD7122" s="13"/>
      <c r="AE7122" s="13"/>
      <c r="AF7122" s="13"/>
    </row>
    <row r="7123" spans="19:32" x14ac:dyDescent="0.35">
      <c r="S7123" s="13"/>
      <c r="T7123" s="16"/>
      <c r="U7123" s="16"/>
      <c r="V7123" s="16"/>
      <c r="W7123" s="13"/>
      <c r="X7123" s="34">
        <v>7119</v>
      </c>
      <c r="Y7123" s="34" t="s">
        <v>2248</v>
      </c>
      <c r="Z7123" s="34" t="s">
        <v>2278</v>
      </c>
      <c r="AA7123" s="35">
        <v>1.1070564516129033E-12</v>
      </c>
      <c r="AB7123" s="13"/>
      <c r="AC7123" s="13"/>
      <c r="AD7123" s="13"/>
      <c r="AE7123" s="13"/>
      <c r="AF7123" s="13"/>
    </row>
    <row r="7124" spans="19:32" x14ac:dyDescent="0.35">
      <c r="S7124" s="13"/>
      <c r="T7124" s="16"/>
      <c r="U7124" s="16"/>
      <c r="V7124" s="16"/>
      <c r="W7124" s="13"/>
      <c r="X7124" s="47">
        <v>7120</v>
      </c>
      <c r="Y7124" s="47" t="s">
        <v>2248</v>
      </c>
      <c r="Z7124" s="47" t="s">
        <v>2277</v>
      </c>
      <c r="AA7124" s="56">
        <v>1.886E-4</v>
      </c>
      <c r="AB7124" s="13"/>
      <c r="AC7124" s="13"/>
      <c r="AD7124" s="13"/>
      <c r="AE7124" s="13"/>
      <c r="AF7124" s="13"/>
    </row>
    <row r="7125" spans="19:32" x14ac:dyDescent="0.35">
      <c r="S7125" s="13"/>
      <c r="T7125" s="16"/>
      <c r="U7125" s="16"/>
      <c r="V7125" s="16"/>
      <c r="W7125" s="13"/>
      <c r="X7125" s="47">
        <v>7121</v>
      </c>
      <c r="Y7125" s="47" t="s">
        <v>2248</v>
      </c>
      <c r="Z7125" s="47" t="s">
        <v>2276</v>
      </c>
      <c r="AA7125" s="56">
        <v>3.91</v>
      </c>
      <c r="AB7125" s="13"/>
      <c r="AC7125" s="13"/>
      <c r="AD7125" s="13"/>
      <c r="AE7125" s="13"/>
      <c r="AF7125" s="13"/>
    </row>
    <row r="7126" spans="19:32" x14ac:dyDescent="0.35">
      <c r="S7126" s="13"/>
      <c r="T7126" s="16"/>
      <c r="U7126" s="16"/>
      <c r="V7126" s="16"/>
      <c r="W7126" s="13"/>
      <c r="X7126" s="34">
        <v>7122</v>
      </c>
      <c r="Y7126" s="34" t="s">
        <v>2248</v>
      </c>
      <c r="Z7126" s="34" t="s">
        <v>2275</v>
      </c>
      <c r="AA7126" s="35">
        <v>1.1070564516129034E-5</v>
      </c>
      <c r="AB7126" s="13"/>
      <c r="AC7126" s="13"/>
      <c r="AD7126" s="13"/>
      <c r="AE7126" s="13"/>
      <c r="AF7126" s="13"/>
    </row>
    <row r="7127" spans="19:32" x14ac:dyDescent="0.35">
      <c r="S7127" s="13"/>
      <c r="T7127" s="16"/>
      <c r="U7127" s="16"/>
      <c r="V7127" s="16"/>
      <c r="W7127" s="13"/>
      <c r="X7127" s="47">
        <v>7123</v>
      </c>
      <c r="Y7127" s="47" t="s">
        <v>2248</v>
      </c>
      <c r="Z7127" s="47" t="s">
        <v>2274</v>
      </c>
      <c r="AA7127" s="56">
        <v>14.168000000000001</v>
      </c>
      <c r="AB7127" s="13"/>
      <c r="AC7127" s="13"/>
      <c r="AD7127" s="13"/>
      <c r="AE7127" s="13"/>
      <c r="AF7127" s="13"/>
    </row>
    <row r="7128" spans="19:32" x14ac:dyDescent="0.35">
      <c r="S7128" s="13"/>
      <c r="T7128" s="16"/>
      <c r="U7128" s="16"/>
      <c r="V7128" s="16"/>
      <c r="W7128" s="13"/>
      <c r="X7128" s="47">
        <v>7124</v>
      </c>
      <c r="Y7128" s="47" t="s">
        <v>2248</v>
      </c>
      <c r="Z7128" s="47" t="s">
        <v>2273</v>
      </c>
      <c r="AA7128" s="56">
        <v>1.9871999999999999E-4</v>
      </c>
      <c r="AB7128" s="13"/>
      <c r="AC7128" s="13"/>
      <c r="AD7128" s="13"/>
      <c r="AE7128" s="13"/>
      <c r="AF7128" s="13"/>
    </row>
    <row r="7129" spans="19:32" x14ac:dyDescent="0.35">
      <c r="S7129" s="13"/>
      <c r="T7129" s="16"/>
      <c r="U7129" s="16"/>
      <c r="V7129" s="16"/>
      <c r="W7129" s="13"/>
      <c r="X7129" s="34">
        <v>7125</v>
      </c>
      <c r="Y7129" s="34" t="s">
        <v>2248</v>
      </c>
      <c r="Z7129" s="34" t="s">
        <v>2272</v>
      </c>
      <c r="AA7129" s="35">
        <v>8.0201612903225816E-3</v>
      </c>
      <c r="AB7129" s="13"/>
      <c r="AC7129" s="13"/>
      <c r="AD7129" s="13"/>
      <c r="AE7129" s="13"/>
      <c r="AF7129" s="13"/>
    </row>
    <row r="7130" spans="19:32" x14ac:dyDescent="0.35">
      <c r="S7130" s="13"/>
      <c r="T7130" s="16"/>
      <c r="U7130" s="16"/>
      <c r="V7130" s="16"/>
      <c r="W7130" s="13"/>
      <c r="X7130" s="47">
        <v>7126</v>
      </c>
      <c r="Y7130" s="47" t="s">
        <v>2248</v>
      </c>
      <c r="Z7130" s="47" t="s">
        <v>2271</v>
      </c>
      <c r="AA7130" s="56">
        <v>8.6388000000000006E-2</v>
      </c>
      <c r="AB7130" s="13"/>
      <c r="AC7130" s="13"/>
      <c r="AD7130" s="13"/>
      <c r="AE7130" s="13"/>
      <c r="AF7130" s="13"/>
    </row>
    <row r="7131" spans="19:32" x14ac:dyDescent="0.35">
      <c r="S7131" s="13"/>
      <c r="T7131" s="16"/>
      <c r="U7131" s="16"/>
      <c r="V7131" s="16"/>
      <c r="W7131" s="13"/>
      <c r="X7131" s="34">
        <v>7127</v>
      </c>
      <c r="Y7131" s="34" t="s">
        <v>2248</v>
      </c>
      <c r="Z7131" s="34" t="s">
        <v>2270</v>
      </c>
      <c r="AA7131" s="35">
        <v>1.1824596774193548E-3</v>
      </c>
      <c r="AB7131" s="13"/>
      <c r="AC7131" s="13"/>
      <c r="AD7131" s="13"/>
      <c r="AE7131" s="13"/>
      <c r="AF7131" s="13"/>
    </row>
    <row r="7132" spans="19:32" x14ac:dyDescent="0.35">
      <c r="S7132" s="13"/>
      <c r="T7132" s="16"/>
      <c r="U7132" s="16"/>
      <c r="V7132" s="16"/>
      <c r="W7132" s="13"/>
      <c r="X7132" s="47">
        <v>7128</v>
      </c>
      <c r="Y7132" s="47" t="s">
        <v>2248</v>
      </c>
      <c r="Z7132" s="47" t="s">
        <v>2269</v>
      </c>
      <c r="AA7132" s="56">
        <v>0</v>
      </c>
      <c r="AB7132" s="13"/>
      <c r="AC7132" s="13"/>
      <c r="AD7132" s="13"/>
      <c r="AE7132" s="13"/>
      <c r="AF7132" s="13"/>
    </row>
    <row r="7133" spans="19:32" x14ac:dyDescent="0.35">
      <c r="S7133" s="13"/>
      <c r="T7133" s="16"/>
      <c r="U7133" s="16"/>
      <c r="V7133" s="16"/>
      <c r="W7133" s="13"/>
      <c r="X7133" s="47">
        <v>7129</v>
      </c>
      <c r="Y7133" s="47" t="s">
        <v>2248</v>
      </c>
      <c r="Z7133" s="47" t="s">
        <v>2268</v>
      </c>
      <c r="AA7133" s="56">
        <v>6.1363999999999995E-2</v>
      </c>
      <c r="AB7133" s="13"/>
      <c r="AC7133" s="13"/>
      <c r="AD7133" s="13"/>
      <c r="AE7133" s="13"/>
      <c r="AF7133" s="13"/>
    </row>
    <row r="7134" spans="19:32" x14ac:dyDescent="0.35">
      <c r="S7134" s="13"/>
      <c r="T7134" s="16"/>
      <c r="U7134" s="16"/>
      <c r="V7134" s="16"/>
      <c r="W7134" s="13"/>
      <c r="X7134" s="34">
        <v>7130</v>
      </c>
      <c r="Y7134" s="34" t="s">
        <v>2248</v>
      </c>
      <c r="Z7134" s="34" t="s">
        <v>2267</v>
      </c>
      <c r="AA7134" s="35">
        <v>3.8044354838709681E-3</v>
      </c>
      <c r="AB7134" s="13"/>
      <c r="AC7134" s="13"/>
      <c r="AD7134" s="13"/>
      <c r="AE7134" s="13"/>
      <c r="AF7134" s="13"/>
    </row>
    <row r="7135" spans="19:32" x14ac:dyDescent="0.35">
      <c r="S7135" s="13"/>
      <c r="T7135" s="16"/>
      <c r="U7135" s="16"/>
      <c r="V7135" s="16"/>
      <c r="W7135" s="13"/>
      <c r="X7135" s="47">
        <v>7131</v>
      </c>
      <c r="Y7135" s="47" t="s">
        <v>2248</v>
      </c>
      <c r="Z7135" s="47" t="s">
        <v>2266</v>
      </c>
      <c r="AA7135" s="56">
        <v>0</v>
      </c>
      <c r="AB7135" s="13"/>
      <c r="AC7135" s="13"/>
      <c r="AD7135" s="13"/>
      <c r="AE7135" s="13"/>
      <c r="AF7135" s="13"/>
    </row>
    <row r="7136" spans="19:32" x14ac:dyDescent="0.35">
      <c r="S7136" s="13"/>
      <c r="T7136" s="16"/>
      <c r="U7136" s="16"/>
      <c r="V7136" s="16"/>
      <c r="W7136" s="13"/>
      <c r="X7136" s="47">
        <v>7132</v>
      </c>
      <c r="Y7136" s="47" t="s">
        <v>2248</v>
      </c>
      <c r="Z7136" s="47" t="s">
        <v>2265</v>
      </c>
      <c r="AA7136" s="56">
        <v>0</v>
      </c>
      <c r="AB7136" s="13"/>
      <c r="AC7136" s="13"/>
      <c r="AD7136" s="13"/>
      <c r="AE7136" s="13"/>
      <c r="AF7136" s="13"/>
    </row>
    <row r="7137" spans="19:32" x14ac:dyDescent="0.35">
      <c r="S7137" s="13"/>
      <c r="T7137" s="16"/>
      <c r="U7137" s="16"/>
      <c r="V7137" s="16"/>
      <c r="W7137" s="13"/>
      <c r="X7137" s="34">
        <v>7133</v>
      </c>
      <c r="Y7137" s="34" t="s">
        <v>2248</v>
      </c>
      <c r="Z7137" s="34" t="s">
        <v>2264</v>
      </c>
      <c r="AA7137" s="35">
        <v>9.0141129032258072E-4</v>
      </c>
      <c r="AB7137" s="13"/>
      <c r="AC7137" s="13"/>
      <c r="AD7137" s="13"/>
      <c r="AE7137" s="13"/>
      <c r="AF7137" s="13"/>
    </row>
    <row r="7138" spans="19:32" x14ac:dyDescent="0.35">
      <c r="S7138" s="13"/>
      <c r="T7138" s="16"/>
      <c r="U7138" s="16"/>
      <c r="V7138" s="16"/>
      <c r="W7138" s="13"/>
      <c r="X7138" s="47">
        <v>7134</v>
      </c>
      <c r="Y7138" s="47" t="s">
        <v>2248</v>
      </c>
      <c r="Z7138" s="47" t="s">
        <v>2263</v>
      </c>
      <c r="AA7138" s="56">
        <v>5.8603999999999996E-2</v>
      </c>
      <c r="AB7138" s="13"/>
      <c r="AC7138" s="13"/>
      <c r="AD7138" s="13"/>
      <c r="AE7138" s="13"/>
      <c r="AF7138" s="13"/>
    </row>
    <row r="7139" spans="19:32" x14ac:dyDescent="0.35">
      <c r="S7139" s="13"/>
      <c r="T7139" s="16"/>
      <c r="U7139" s="16"/>
      <c r="V7139" s="16"/>
      <c r="W7139" s="13"/>
      <c r="X7139" s="47">
        <v>7135</v>
      </c>
      <c r="Y7139" s="47" t="s">
        <v>2248</v>
      </c>
      <c r="Z7139" s="47" t="s">
        <v>2262</v>
      </c>
      <c r="AA7139" s="56">
        <v>0.71023999999999998</v>
      </c>
      <c r="AB7139" s="13"/>
      <c r="AC7139" s="13"/>
      <c r="AD7139" s="13"/>
      <c r="AE7139" s="13"/>
      <c r="AF7139" s="13"/>
    </row>
    <row r="7140" spans="19:32" x14ac:dyDescent="0.35">
      <c r="S7140" s="13"/>
      <c r="T7140" s="16"/>
      <c r="U7140" s="16"/>
      <c r="V7140" s="16"/>
      <c r="W7140" s="13"/>
      <c r="X7140" s="34">
        <v>7136</v>
      </c>
      <c r="Y7140" s="34" t="s">
        <v>2248</v>
      </c>
      <c r="Z7140" s="34" t="s">
        <v>2261</v>
      </c>
      <c r="AA7140" s="35">
        <v>3.3485887096774194E-5</v>
      </c>
      <c r="AB7140" s="13"/>
      <c r="AC7140" s="13"/>
      <c r="AD7140" s="13"/>
      <c r="AE7140" s="13"/>
      <c r="AF7140" s="13"/>
    </row>
    <row r="7141" spans="19:32" x14ac:dyDescent="0.35">
      <c r="S7141" s="13"/>
      <c r="T7141" s="16"/>
      <c r="U7141" s="16"/>
      <c r="V7141" s="16"/>
      <c r="W7141" s="13"/>
      <c r="X7141" s="47">
        <v>7137</v>
      </c>
      <c r="Y7141" s="47" t="s">
        <v>2248</v>
      </c>
      <c r="Z7141" s="47" t="s">
        <v>2260</v>
      </c>
      <c r="AA7141" s="56">
        <v>0</v>
      </c>
      <c r="AB7141" s="13"/>
      <c r="AC7141" s="13"/>
      <c r="AD7141" s="13"/>
      <c r="AE7141" s="13"/>
      <c r="AF7141" s="13"/>
    </row>
    <row r="7142" spans="19:32" x14ac:dyDescent="0.35">
      <c r="S7142" s="13"/>
      <c r="T7142" s="16"/>
      <c r="U7142" s="16"/>
      <c r="V7142" s="16"/>
      <c r="W7142" s="13"/>
      <c r="X7142" s="34">
        <v>7138</v>
      </c>
      <c r="Y7142" s="34" t="s">
        <v>2248</v>
      </c>
      <c r="Z7142" s="34" t="s">
        <v>2259</v>
      </c>
      <c r="AA7142" s="35">
        <v>6.2721774193548394E-2</v>
      </c>
      <c r="AB7142" s="13"/>
      <c r="AC7142" s="13"/>
      <c r="AD7142" s="13"/>
      <c r="AE7142" s="13"/>
      <c r="AF7142" s="13"/>
    </row>
    <row r="7143" spans="19:32" x14ac:dyDescent="0.35">
      <c r="S7143" s="13"/>
      <c r="T7143" s="16"/>
      <c r="U7143" s="16"/>
      <c r="V7143" s="16"/>
      <c r="W7143" s="13"/>
      <c r="X7143" s="47">
        <v>7139</v>
      </c>
      <c r="Y7143" s="47" t="s">
        <v>2248</v>
      </c>
      <c r="Z7143" s="47" t="s">
        <v>2258</v>
      </c>
      <c r="AA7143" s="56">
        <v>0</v>
      </c>
      <c r="AB7143" s="13"/>
      <c r="AC7143" s="13"/>
      <c r="AD7143" s="13"/>
      <c r="AE7143" s="13"/>
      <c r="AF7143" s="13"/>
    </row>
    <row r="7144" spans="19:32" x14ac:dyDescent="0.35">
      <c r="S7144" s="13"/>
      <c r="T7144" s="16"/>
      <c r="U7144" s="16"/>
      <c r="V7144" s="16"/>
      <c r="W7144" s="13"/>
      <c r="X7144" s="47">
        <v>7140</v>
      </c>
      <c r="Y7144" s="47" t="s">
        <v>2248</v>
      </c>
      <c r="Z7144" s="47" t="s">
        <v>2257</v>
      </c>
      <c r="AA7144" s="56">
        <v>0</v>
      </c>
      <c r="AB7144" s="13"/>
      <c r="AC7144" s="13"/>
      <c r="AD7144" s="13"/>
      <c r="AE7144" s="13"/>
      <c r="AF7144" s="13"/>
    </row>
    <row r="7145" spans="19:32" x14ac:dyDescent="0.35">
      <c r="S7145" s="13"/>
      <c r="T7145" s="16"/>
      <c r="U7145" s="16"/>
      <c r="V7145" s="16"/>
      <c r="W7145" s="13"/>
      <c r="X7145" s="34">
        <v>7141</v>
      </c>
      <c r="Y7145" s="34" t="s">
        <v>2248</v>
      </c>
      <c r="Z7145" s="34" t="s">
        <v>2256</v>
      </c>
      <c r="AA7145" s="35">
        <v>2.2620967741935486E-6</v>
      </c>
      <c r="AB7145" s="13"/>
      <c r="AC7145" s="13"/>
      <c r="AD7145" s="13"/>
      <c r="AE7145" s="13"/>
      <c r="AF7145" s="13"/>
    </row>
    <row r="7146" spans="19:32" x14ac:dyDescent="0.35">
      <c r="S7146" s="13"/>
      <c r="T7146" s="16"/>
      <c r="U7146" s="16"/>
      <c r="V7146" s="16"/>
      <c r="W7146" s="13"/>
      <c r="X7146" s="47">
        <v>7142</v>
      </c>
      <c r="Y7146" s="47" t="s">
        <v>2248</v>
      </c>
      <c r="Z7146" s="47" t="s">
        <v>2255</v>
      </c>
      <c r="AA7146" s="56">
        <v>3.7076000000000001E-3</v>
      </c>
      <c r="AB7146" s="13"/>
      <c r="AC7146" s="13"/>
      <c r="AD7146" s="13"/>
      <c r="AE7146" s="13"/>
      <c r="AF7146" s="13"/>
    </row>
    <row r="7147" spans="19:32" x14ac:dyDescent="0.35">
      <c r="S7147" s="13"/>
      <c r="T7147" s="16"/>
      <c r="U7147" s="16"/>
      <c r="V7147" s="16"/>
      <c r="W7147" s="13"/>
      <c r="X7147" s="47">
        <v>7143</v>
      </c>
      <c r="Y7147" s="47" t="s">
        <v>2248</v>
      </c>
      <c r="Z7147" s="47" t="s">
        <v>2254</v>
      </c>
      <c r="AA7147" s="56">
        <v>1.7296</v>
      </c>
      <c r="AB7147" s="13"/>
      <c r="AC7147" s="13"/>
      <c r="AD7147" s="13"/>
      <c r="AE7147" s="13"/>
      <c r="AF7147" s="13"/>
    </row>
    <row r="7148" spans="19:32" x14ac:dyDescent="0.35">
      <c r="S7148" s="13"/>
      <c r="T7148" s="16"/>
      <c r="U7148" s="16"/>
      <c r="V7148" s="16"/>
      <c r="W7148" s="13"/>
      <c r="X7148" s="34">
        <v>7144</v>
      </c>
      <c r="Y7148" s="34" t="s">
        <v>2248</v>
      </c>
      <c r="Z7148" s="34" t="s">
        <v>2253</v>
      </c>
      <c r="AA7148" s="35">
        <v>1.2235887096774195E-4</v>
      </c>
      <c r="AB7148" s="13"/>
      <c r="AC7148" s="13"/>
      <c r="AD7148" s="13"/>
      <c r="AE7148" s="13"/>
      <c r="AF7148" s="13"/>
    </row>
    <row r="7149" spans="19:32" x14ac:dyDescent="0.35">
      <c r="S7149" s="13"/>
      <c r="T7149" s="16"/>
      <c r="U7149" s="16"/>
      <c r="V7149" s="16"/>
      <c r="W7149" s="13"/>
      <c r="X7149" s="47">
        <v>7145</v>
      </c>
      <c r="Y7149" s="47" t="s">
        <v>2248</v>
      </c>
      <c r="Z7149" s="47" t="s">
        <v>2252</v>
      </c>
      <c r="AA7149" s="56">
        <v>0</v>
      </c>
      <c r="AB7149" s="13"/>
      <c r="AC7149" s="13"/>
      <c r="AD7149" s="13"/>
      <c r="AE7149" s="13"/>
      <c r="AF7149" s="13"/>
    </row>
    <row r="7150" spans="19:32" x14ac:dyDescent="0.35">
      <c r="S7150" s="13"/>
      <c r="T7150" s="16"/>
      <c r="U7150" s="16"/>
      <c r="V7150" s="16"/>
      <c r="W7150" s="13"/>
      <c r="X7150" s="47">
        <v>7146</v>
      </c>
      <c r="Y7150" s="47" t="s">
        <v>2248</v>
      </c>
      <c r="Z7150" s="47" t="s">
        <v>2251</v>
      </c>
      <c r="AA7150" s="56">
        <v>0</v>
      </c>
      <c r="AB7150" s="13"/>
      <c r="AC7150" s="13"/>
      <c r="AD7150" s="13"/>
      <c r="AE7150" s="13"/>
      <c r="AF7150" s="13"/>
    </row>
    <row r="7151" spans="19:32" x14ac:dyDescent="0.35">
      <c r="S7151" s="13"/>
      <c r="T7151" s="16"/>
      <c r="U7151" s="16"/>
      <c r="V7151" s="16"/>
      <c r="W7151" s="13"/>
      <c r="X7151" s="34">
        <v>7147</v>
      </c>
      <c r="Y7151" s="34" t="s">
        <v>2248</v>
      </c>
      <c r="Z7151" s="34" t="s">
        <v>2250</v>
      </c>
      <c r="AA7151" s="35">
        <v>2.5637096774193554E-4</v>
      </c>
      <c r="AB7151" s="13"/>
      <c r="AC7151" s="13"/>
      <c r="AD7151" s="13"/>
      <c r="AE7151" s="13"/>
      <c r="AF7151" s="13"/>
    </row>
    <row r="7152" spans="19:32" x14ac:dyDescent="0.35">
      <c r="S7152" s="13"/>
      <c r="T7152" s="16"/>
      <c r="U7152" s="16"/>
      <c r="V7152" s="16"/>
      <c r="W7152" s="13"/>
      <c r="X7152" s="47">
        <v>7148</v>
      </c>
      <c r="Y7152" s="47" t="s">
        <v>2248</v>
      </c>
      <c r="Z7152" s="47" t="s">
        <v>2249</v>
      </c>
      <c r="AA7152" s="56">
        <v>3.7168000000000001E-3</v>
      </c>
      <c r="AB7152" s="13"/>
      <c r="AC7152" s="13"/>
      <c r="AD7152" s="13"/>
      <c r="AE7152" s="13"/>
      <c r="AF7152" s="13"/>
    </row>
    <row r="7153" spans="19:32" x14ac:dyDescent="0.35">
      <c r="S7153" s="13"/>
      <c r="T7153" s="16"/>
      <c r="U7153" s="16"/>
      <c r="V7153" s="16"/>
      <c r="W7153" s="13"/>
      <c r="X7153" s="86">
        <v>7149</v>
      </c>
      <c r="Y7153" s="86" t="s">
        <v>2248</v>
      </c>
      <c r="Z7153" s="86" t="s">
        <v>2247</v>
      </c>
      <c r="AA7153" s="87">
        <v>3.0267999999999996E-2</v>
      </c>
      <c r="AB7153" s="13"/>
      <c r="AC7153" s="13"/>
      <c r="AD7153" s="13"/>
      <c r="AE7153" s="13"/>
      <c r="AF7153" s="13"/>
    </row>
    <row r="7154" spans="19:32" x14ac:dyDescent="0.35">
      <c r="S7154" s="13"/>
      <c r="T7154" s="16"/>
      <c r="U7154" s="16"/>
      <c r="V7154" s="16"/>
      <c r="W7154" s="13"/>
      <c r="X7154" s="97">
        <v>7150</v>
      </c>
      <c r="Y7154" s="97" t="s">
        <v>4284</v>
      </c>
      <c r="Z7154" s="97" t="s">
        <v>5857</v>
      </c>
      <c r="AA7154" s="99">
        <v>32660000</v>
      </c>
      <c r="AB7154" s="13"/>
      <c r="AC7154" s="13"/>
      <c r="AD7154" s="13"/>
      <c r="AE7154" s="13"/>
      <c r="AF7154" s="13"/>
    </row>
  </sheetData>
  <sheetProtection algorithmName="SHA-512" hashValue="JaNR6WtFYDEE68kJrWGFMSbpZ+U3qMJotzNYC+ZQnYJqdXPQ34fkMPbaZE9nUI0KePUfx9KXFYRCDbW9zxxGVQ==" saltValue="13s0zS+bC3vtKZGfm87D6g==" spinCount="100000" sheet="1" selectLockedCells="1" selectUnlockedCells="1"/>
  <mergeCells count="2">
    <mergeCell ref="I27:K27"/>
    <mergeCell ref="B45:D45"/>
  </mergeCells>
  <pageMargins left="0.7" right="0.7" top="0.75" bottom="0.75" header="0.3" footer="0.3"/>
  <pageSetup paperSize="9" orientation="portrait" horizontalDpi="0"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718DA-EA07-4F91-B01E-2B198C8F94B5}">
  <sheetPr>
    <tabColor theme="1"/>
  </sheetPr>
  <dimension ref="H2:AN1124"/>
  <sheetViews>
    <sheetView workbookViewId="0">
      <selection activeCell="A3" sqref="A3"/>
    </sheetView>
  </sheetViews>
  <sheetFormatPr defaultColWidth="8.81640625" defaultRowHeight="14.5" x14ac:dyDescent="0.35"/>
  <cols>
    <col min="9" max="9" width="12.453125" customWidth="1"/>
    <col min="10" max="10" width="49.81640625" customWidth="1"/>
    <col min="11" max="11" width="12.453125" customWidth="1"/>
    <col min="12" max="13" width="8.6328125" customWidth="1"/>
    <col min="15" max="15" width="14.36328125" customWidth="1"/>
    <col min="16" max="16" width="17.81640625" customWidth="1"/>
    <col min="17" max="17" width="18.453125" customWidth="1"/>
    <col min="22" max="22" width="21.36328125" customWidth="1"/>
    <col min="23" max="23" width="13.1796875" customWidth="1"/>
    <col min="24" max="24" width="11.453125" customWidth="1"/>
    <col min="25" max="25" width="12.81640625" customWidth="1"/>
    <col min="28" max="28" width="19" customWidth="1"/>
    <col min="29" max="29" width="25.81640625" customWidth="1"/>
    <col min="30" max="30" width="12.1796875" customWidth="1"/>
    <col min="39" max="39" width="27" customWidth="1"/>
    <col min="40" max="40" width="9.1796875" customWidth="1"/>
  </cols>
  <sheetData>
    <row r="2" spans="8:40" ht="15" thickBot="1" x14ac:dyDescent="0.4"/>
    <row r="3" spans="8:40" ht="112.5" customHeight="1" thickBot="1" x14ac:dyDescent="0.4">
      <c r="H3" s="380"/>
      <c r="I3" s="94" t="s">
        <v>673</v>
      </c>
      <c r="J3" s="381" t="s">
        <v>5841</v>
      </c>
      <c r="K3" s="340" t="s">
        <v>8278</v>
      </c>
      <c r="O3" s="346" t="s">
        <v>8277</v>
      </c>
      <c r="P3" s="311" t="s">
        <v>8297</v>
      </c>
      <c r="Q3" s="345" t="s">
        <v>8296</v>
      </c>
      <c r="U3" s="342" t="s">
        <v>673</v>
      </c>
      <c r="V3" s="341" t="s">
        <v>6921</v>
      </c>
      <c r="W3" s="343" t="s">
        <v>8278</v>
      </c>
      <c r="X3" s="343" t="s">
        <v>5842</v>
      </c>
      <c r="Y3" s="343" t="s">
        <v>8277</v>
      </c>
      <c r="AM3" s="152" t="s">
        <v>6927</v>
      </c>
      <c r="AN3" s="151" t="s">
        <v>272</v>
      </c>
    </row>
    <row r="4" spans="8:40" ht="16" thickBot="1" x14ac:dyDescent="0.4">
      <c r="H4" s="382" t="s">
        <v>5843</v>
      </c>
      <c r="I4" s="330"/>
      <c r="J4" s="317" t="s">
        <v>7458</v>
      </c>
      <c r="K4" s="301">
        <v>0</v>
      </c>
      <c r="O4" s="307">
        <v>0</v>
      </c>
      <c r="P4" s="347">
        <v>0</v>
      </c>
      <c r="Q4" s="348">
        <v>0</v>
      </c>
      <c r="U4" s="124"/>
      <c r="V4" s="122" t="s">
        <v>7458</v>
      </c>
      <c r="W4" s="128"/>
      <c r="X4" s="129"/>
      <c r="Y4" s="125"/>
      <c r="AC4" s="1845" t="s">
        <v>7904</v>
      </c>
      <c r="AD4" s="1845"/>
      <c r="AE4" s="1845"/>
      <c r="AF4" s="1845"/>
      <c r="AM4" s="153" t="s">
        <v>7458</v>
      </c>
      <c r="AN4" s="154"/>
    </row>
    <row r="5" spans="8:40" ht="62.5" thickBot="1" x14ac:dyDescent="0.4">
      <c r="H5" s="383"/>
      <c r="I5" s="331" t="s">
        <v>1056</v>
      </c>
      <c r="J5" s="318" t="s">
        <v>1057</v>
      </c>
      <c r="K5" s="302">
        <v>9.1153647730000009E-2</v>
      </c>
      <c r="O5" s="308">
        <v>0.52</v>
      </c>
      <c r="P5" s="312">
        <v>4.0155359988999995E-2</v>
      </c>
      <c r="Q5" s="344">
        <v>0</v>
      </c>
      <c r="U5" s="126"/>
      <c r="V5" s="127" t="s">
        <v>5873</v>
      </c>
      <c r="W5" s="128"/>
      <c r="X5" s="129"/>
      <c r="Y5" s="130"/>
      <c r="AC5" s="194" t="s">
        <v>7030</v>
      </c>
      <c r="AD5" s="201" t="s">
        <v>7932</v>
      </c>
      <c r="AE5" s="195" t="s">
        <v>7928</v>
      </c>
      <c r="AM5" s="155" t="s">
        <v>7461</v>
      </c>
      <c r="AN5" s="156"/>
    </row>
    <row r="6" spans="8:40" ht="15.5" x14ac:dyDescent="0.35">
      <c r="H6" s="383"/>
      <c r="I6" s="331" t="s">
        <v>1056</v>
      </c>
      <c r="J6" s="318" t="s">
        <v>1058</v>
      </c>
      <c r="K6" s="302">
        <v>8.2913144351000003</v>
      </c>
      <c r="O6" s="308">
        <v>8.7200000000000006</v>
      </c>
      <c r="P6" s="312">
        <v>4.0155359988999995E-2</v>
      </c>
      <c r="Q6" s="344">
        <v>0</v>
      </c>
      <c r="U6" s="126" t="s">
        <v>1059</v>
      </c>
      <c r="V6" s="131" t="s">
        <v>5874</v>
      </c>
      <c r="W6" s="132">
        <v>0.53520223119999999</v>
      </c>
      <c r="X6" s="129">
        <v>0.21873034741</v>
      </c>
      <c r="Y6" s="130">
        <v>0.77978750119999996</v>
      </c>
      <c r="AD6" s="202"/>
      <c r="AE6" s="196"/>
      <c r="AM6" s="155" t="s">
        <v>6999</v>
      </c>
      <c r="AN6" s="156"/>
    </row>
    <row r="7" spans="8:40" ht="15.5" x14ac:dyDescent="0.35">
      <c r="H7" s="383"/>
      <c r="I7" s="331" t="s">
        <v>1059</v>
      </c>
      <c r="J7" s="318" t="s">
        <v>1060</v>
      </c>
      <c r="K7" s="302">
        <v>3.5225117704909996</v>
      </c>
      <c r="O7" s="308">
        <v>6.05</v>
      </c>
      <c r="P7" s="312">
        <v>0.32266726545230001</v>
      </c>
      <c r="Q7" s="344">
        <v>2.2360538999999999E-9</v>
      </c>
      <c r="U7" s="126" t="s">
        <v>1059</v>
      </c>
      <c r="V7" s="131" t="s">
        <v>5875</v>
      </c>
      <c r="W7" s="132">
        <v>0.26216077039000002</v>
      </c>
      <c r="X7" s="129">
        <v>5.3555916396999997E-2</v>
      </c>
      <c r="Y7" s="130">
        <v>0.40174060039000004</v>
      </c>
      <c r="AC7" s="133" t="s">
        <v>7905</v>
      </c>
      <c r="AD7" s="199"/>
      <c r="AE7" s="197">
        <v>0.3564462298169</v>
      </c>
      <c r="AM7" s="155" t="s">
        <v>7362</v>
      </c>
      <c r="AN7" s="156">
        <v>0.80556328656402298</v>
      </c>
    </row>
    <row r="8" spans="8:40" ht="15.5" x14ac:dyDescent="0.35">
      <c r="H8" s="384" t="s">
        <v>1061</v>
      </c>
      <c r="I8" s="332"/>
      <c r="J8" s="319"/>
      <c r="K8" s="303"/>
      <c r="O8" s="308"/>
      <c r="P8" s="313"/>
      <c r="Q8" s="344"/>
      <c r="U8" s="126" t="s">
        <v>1059</v>
      </c>
      <c r="V8" s="131" t="s">
        <v>5876</v>
      </c>
      <c r="W8" s="132">
        <v>1.1009874394000001</v>
      </c>
      <c r="X8" s="129">
        <v>0.44995958001000003</v>
      </c>
      <c r="Y8" s="130">
        <v>1.6041342794000002</v>
      </c>
      <c r="AC8" s="133" t="s">
        <v>7906</v>
      </c>
      <c r="AD8" s="199"/>
      <c r="AE8" s="197">
        <v>0.15818242755299999</v>
      </c>
      <c r="AM8" s="155" t="s">
        <v>7363</v>
      </c>
      <c r="AN8" s="156">
        <v>0.48133851228532987</v>
      </c>
    </row>
    <row r="9" spans="8:40" ht="15.5" x14ac:dyDescent="0.35">
      <c r="H9" s="383"/>
      <c r="I9" s="331" t="s">
        <v>1059</v>
      </c>
      <c r="J9" s="318" t="s">
        <v>1051</v>
      </c>
      <c r="K9" s="302">
        <v>0.13316695553499999</v>
      </c>
      <c r="O9" s="308">
        <v>0.28999999999999998</v>
      </c>
      <c r="P9" s="312">
        <v>0.51438712685499999</v>
      </c>
      <c r="Q9" s="344">
        <v>6.2649317999999997E-10</v>
      </c>
      <c r="U9" s="126" t="s">
        <v>1059</v>
      </c>
      <c r="V9" s="131" t="s">
        <v>5877</v>
      </c>
      <c r="W9" s="132">
        <v>0.53930215670000003</v>
      </c>
      <c r="X9" s="129">
        <v>0.11017216874000001</v>
      </c>
      <c r="Y9" s="130">
        <v>0.8264378067</v>
      </c>
      <c r="AC9" s="123" t="s">
        <v>7907</v>
      </c>
      <c r="AD9" s="199"/>
      <c r="AE9" s="197">
        <v>5.9526520379422306E-2</v>
      </c>
      <c r="AM9" s="155" t="s">
        <v>7364</v>
      </c>
      <c r="AN9" s="156">
        <v>0.18007927662229828</v>
      </c>
    </row>
    <row r="10" spans="8:40" ht="16" thickBot="1" x14ac:dyDescent="0.4">
      <c r="H10" s="383"/>
      <c r="I10" s="331" t="s">
        <v>1059</v>
      </c>
      <c r="J10" s="318" t="s">
        <v>1062</v>
      </c>
      <c r="K10" s="302">
        <v>0.30569596485549999</v>
      </c>
      <c r="O10" s="308">
        <v>0.48</v>
      </c>
      <c r="P10" s="312">
        <v>0</v>
      </c>
      <c r="Q10" s="344">
        <v>0</v>
      </c>
      <c r="U10" s="126" t="s">
        <v>1059</v>
      </c>
      <c r="V10" s="131" t="s">
        <v>5878</v>
      </c>
      <c r="W10" s="132">
        <v>0.56331594340000002</v>
      </c>
      <c r="X10" s="129">
        <v>0.28057108302</v>
      </c>
      <c r="Y10" s="130">
        <v>0.87750490339999998</v>
      </c>
      <c r="AC10" s="123" t="s">
        <v>7908</v>
      </c>
      <c r="AD10" s="199"/>
      <c r="AE10" s="197">
        <v>2.6416465401351001E-2</v>
      </c>
      <c r="AM10" s="155" t="s">
        <v>7365</v>
      </c>
      <c r="AN10" s="156">
        <v>0.19035990887282983</v>
      </c>
    </row>
    <row r="11" spans="8:40" ht="15.5" x14ac:dyDescent="0.35">
      <c r="H11" s="383"/>
      <c r="I11" s="331" t="s">
        <v>1059</v>
      </c>
      <c r="J11" s="318" t="s">
        <v>1063</v>
      </c>
      <c r="K11" s="302">
        <v>5.317257615309999E-2</v>
      </c>
      <c r="O11" s="308">
        <v>0.12</v>
      </c>
      <c r="P11" s="312">
        <v>4.6733539601599997E-2</v>
      </c>
      <c r="Q11" s="344">
        <v>5.6941052999999998E-10</v>
      </c>
      <c r="U11" s="126" t="s">
        <v>1059</v>
      </c>
      <c r="V11" s="131" t="s">
        <v>5879</v>
      </c>
      <c r="W11" s="132">
        <v>0.20803891934999999</v>
      </c>
      <c r="X11" s="129">
        <v>4.2207900669000001E-2</v>
      </c>
      <c r="Y11" s="130">
        <v>0.32174602934999996</v>
      </c>
      <c r="AD11" s="200"/>
      <c r="AE11" s="197"/>
      <c r="AM11" s="155" t="s">
        <v>7372</v>
      </c>
      <c r="AN11" s="156">
        <v>0.25162748441890009</v>
      </c>
    </row>
    <row r="12" spans="8:40" ht="15.5" x14ac:dyDescent="0.35">
      <c r="H12" s="384" t="s">
        <v>1064</v>
      </c>
      <c r="I12" s="331"/>
      <c r="J12" s="319"/>
      <c r="K12" s="303"/>
      <c r="O12" s="308"/>
      <c r="P12" s="313"/>
      <c r="Q12" s="344"/>
      <c r="U12" s="126" t="s">
        <v>1059</v>
      </c>
      <c r="V12" s="131" t="s">
        <v>5880</v>
      </c>
      <c r="W12" s="132">
        <v>8.1175979110000007</v>
      </c>
      <c r="X12" s="129">
        <v>3.3175591357999998</v>
      </c>
      <c r="Y12" s="130">
        <v>11.827307511000001</v>
      </c>
      <c r="AC12" s="133" t="s">
        <v>1914</v>
      </c>
      <c r="AD12" s="199"/>
      <c r="AE12" s="197">
        <v>1.1200413255299999E-2</v>
      </c>
      <c r="AM12" s="155" t="s">
        <v>7366</v>
      </c>
      <c r="AN12" s="156">
        <v>0.86509646204000001</v>
      </c>
    </row>
    <row r="13" spans="8:40" ht="16" thickBot="1" x14ac:dyDescent="0.4">
      <c r="H13" s="383"/>
      <c r="I13" s="331" t="s">
        <v>1059</v>
      </c>
      <c r="J13" s="320" t="s">
        <v>1065</v>
      </c>
      <c r="K13" s="304">
        <v>8.0753871010000006E-2</v>
      </c>
      <c r="O13" s="308">
        <v>0.49</v>
      </c>
      <c r="P13" s="312">
        <v>5.1874190869900527E-3</v>
      </c>
      <c r="Q13" s="344">
        <v>0.98293335999999998</v>
      </c>
      <c r="U13" s="126" t="s">
        <v>1059</v>
      </c>
      <c r="V13" s="131" t="s">
        <v>5881</v>
      </c>
      <c r="W13" s="132">
        <v>7.4060057159999992</v>
      </c>
      <c r="X13" s="129">
        <v>3.6887134095</v>
      </c>
      <c r="Y13" s="130">
        <v>11.536698716</v>
      </c>
      <c r="AC13" s="133" t="s">
        <v>1915</v>
      </c>
      <c r="AD13" s="199"/>
      <c r="AE13" s="197">
        <v>5.2617446852000005E-3</v>
      </c>
      <c r="AM13" s="155" t="s">
        <v>7367</v>
      </c>
      <c r="AN13" s="156">
        <v>0.78828846345699999</v>
      </c>
    </row>
    <row r="14" spans="8:40" ht="15.5" x14ac:dyDescent="0.35">
      <c r="H14" s="383"/>
      <c r="I14" s="331" t="s">
        <v>1059</v>
      </c>
      <c r="J14" s="320" t="s">
        <v>1066</v>
      </c>
      <c r="K14" s="304">
        <v>9.725581403200001E-2</v>
      </c>
      <c r="O14" s="308">
        <v>0.86</v>
      </c>
      <c r="P14" s="312">
        <v>1.0072042747999999E-2</v>
      </c>
      <c r="Q14" s="344">
        <v>0.72576003</v>
      </c>
      <c r="U14" s="126" t="s">
        <v>1059</v>
      </c>
      <c r="V14" s="131" t="s">
        <v>5882</v>
      </c>
      <c r="W14" s="132">
        <v>3.9762833639999999</v>
      </c>
      <c r="X14" s="129">
        <v>0.81230116429999999</v>
      </c>
      <c r="Y14" s="130">
        <v>6.0933390640000002</v>
      </c>
      <c r="AD14" s="200"/>
      <c r="AE14" s="197"/>
      <c r="AM14" s="155" t="s">
        <v>7368</v>
      </c>
      <c r="AN14" s="156">
        <v>0.39643213371421798</v>
      </c>
    </row>
    <row r="15" spans="8:40" ht="15.5" x14ac:dyDescent="0.35">
      <c r="H15" s="383"/>
      <c r="I15" s="331" t="s">
        <v>1059</v>
      </c>
      <c r="J15" s="320" t="s">
        <v>1067</v>
      </c>
      <c r="K15" s="304">
        <v>0.23218196599000002</v>
      </c>
      <c r="O15" s="308">
        <v>1.04</v>
      </c>
      <c r="P15" s="312">
        <v>4.1007933720000111E-2</v>
      </c>
      <c r="Q15" s="344">
        <v>0.98293335999999998</v>
      </c>
      <c r="U15" s="126" t="s">
        <v>1059</v>
      </c>
      <c r="V15" s="131" t="s">
        <v>5883</v>
      </c>
      <c r="W15" s="132">
        <v>2.0906452242999998</v>
      </c>
      <c r="X15" s="129">
        <v>0.42415980961000005</v>
      </c>
      <c r="Y15" s="130">
        <v>3.2333219242999998</v>
      </c>
      <c r="AC15" s="123" t="s">
        <v>7038</v>
      </c>
      <c r="AD15" s="199"/>
      <c r="AE15" s="197">
        <v>4.4075100000000006E-2</v>
      </c>
      <c r="AM15" s="155" t="s">
        <v>7369</v>
      </c>
      <c r="AN15" s="156">
        <v>0.92236029119829821</v>
      </c>
    </row>
    <row r="16" spans="8:40" ht="15.5" x14ac:dyDescent="0.35">
      <c r="H16" s="383"/>
      <c r="I16" s="331" t="s">
        <v>1059</v>
      </c>
      <c r="J16" s="320" t="s">
        <v>1068</v>
      </c>
      <c r="K16" s="304">
        <v>0.23009422599000001</v>
      </c>
      <c r="O16" s="308">
        <v>1.0900000000000001</v>
      </c>
      <c r="P16" s="312">
        <v>3.9877999719999835E-2</v>
      </c>
      <c r="Q16" s="344">
        <v>2.3471814000000002</v>
      </c>
      <c r="U16" s="126" t="s">
        <v>1059</v>
      </c>
      <c r="V16" s="131" t="s">
        <v>5884</v>
      </c>
      <c r="W16" s="132">
        <v>4.4668298010000003</v>
      </c>
      <c r="X16" s="129">
        <v>2.0478343216999999</v>
      </c>
      <c r="Y16" s="130">
        <v>7.0375597010000002</v>
      </c>
      <c r="AC16" s="133" t="s">
        <v>7921</v>
      </c>
      <c r="AD16" s="199"/>
      <c r="AE16" s="197">
        <v>5.6263976974876187E-2</v>
      </c>
      <c r="AM16" s="155" t="s">
        <v>7370</v>
      </c>
      <c r="AN16" s="156">
        <v>0.88334496778500005</v>
      </c>
    </row>
    <row r="17" spans="8:40" ht="15.5" x14ac:dyDescent="0.35">
      <c r="H17" s="383"/>
      <c r="I17" s="331" t="s">
        <v>1059</v>
      </c>
      <c r="J17" s="320" t="s">
        <v>1069</v>
      </c>
      <c r="K17" s="304">
        <v>0.23218196599000002</v>
      </c>
      <c r="O17" s="308">
        <v>1.04</v>
      </c>
      <c r="P17" s="312">
        <v>4.100793372E-2</v>
      </c>
      <c r="Q17" s="344">
        <v>3.7054</v>
      </c>
      <c r="U17" s="126" t="s">
        <v>1059</v>
      </c>
      <c r="V17" s="131" t="s">
        <v>5885</v>
      </c>
      <c r="W17" s="132">
        <v>4.4731724909999997</v>
      </c>
      <c r="X17" s="129">
        <v>2.0508296317000001</v>
      </c>
      <c r="Y17" s="130">
        <v>7.0478563909999998</v>
      </c>
      <c r="AC17" s="133" t="s">
        <v>7922</v>
      </c>
      <c r="AD17" s="199"/>
      <c r="AE17" s="197">
        <v>2.8417006276235004E-4</v>
      </c>
      <c r="AM17" s="155" t="s">
        <v>7371</v>
      </c>
      <c r="AN17" s="156">
        <v>0.96337519275129835</v>
      </c>
    </row>
    <row r="18" spans="8:40" ht="15.5" x14ac:dyDescent="0.35">
      <c r="H18" s="383"/>
      <c r="I18" s="331" t="s">
        <v>1059</v>
      </c>
      <c r="J18" s="320" t="s">
        <v>1070</v>
      </c>
      <c r="K18" s="304">
        <v>0.22174329619000002</v>
      </c>
      <c r="O18" s="308">
        <v>1.29</v>
      </c>
      <c r="P18" s="312">
        <v>3.5358264720000032E-2</v>
      </c>
      <c r="Q18" s="344">
        <v>0.72576003</v>
      </c>
      <c r="U18" s="126" t="s">
        <v>1059</v>
      </c>
      <c r="V18" s="131" t="s">
        <v>5886</v>
      </c>
      <c r="W18" s="132">
        <v>4.46504104</v>
      </c>
      <c r="X18" s="129">
        <v>2.0505780665000004</v>
      </c>
      <c r="Y18" s="130">
        <v>7.03245334</v>
      </c>
      <c r="AC18" s="133" t="s">
        <v>7920</v>
      </c>
      <c r="AD18" s="199"/>
      <c r="AE18" s="197">
        <v>2.0297861560597E-2</v>
      </c>
      <c r="AM18" s="155" t="s">
        <v>7374</v>
      </c>
      <c r="AN18" s="156">
        <v>0.89800000000000002</v>
      </c>
    </row>
    <row r="19" spans="8:40" ht="16" thickBot="1" x14ac:dyDescent="0.4">
      <c r="H19" s="383"/>
      <c r="I19" s="331" t="s">
        <v>1059</v>
      </c>
      <c r="J19" s="320" t="s">
        <v>1071</v>
      </c>
      <c r="K19" s="304">
        <v>1.0444288372E-2</v>
      </c>
      <c r="O19" s="308">
        <v>0.12</v>
      </c>
      <c r="P19" s="312">
        <v>1.4370695422999999E-2</v>
      </c>
      <c r="Q19" s="344">
        <v>4.5123977000000003E-2</v>
      </c>
      <c r="U19" s="126" t="s">
        <v>1059</v>
      </c>
      <c r="V19" s="131" t="s">
        <v>5887</v>
      </c>
      <c r="W19" s="132">
        <v>4.4626167949999997</v>
      </c>
      <c r="X19" s="129">
        <v>2.0487283153</v>
      </c>
      <c r="Y19" s="130">
        <v>7.0278436949999996</v>
      </c>
      <c r="AC19" s="133" t="s">
        <v>7919</v>
      </c>
      <c r="AD19" s="199"/>
      <c r="AE19" s="197">
        <v>2.3680838507695999E-2</v>
      </c>
      <c r="AM19" s="158"/>
      <c r="AN19" s="159"/>
    </row>
    <row r="20" spans="8:40" ht="15.5" x14ac:dyDescent="0.35">
      <c r="H20" s="383"/>
      <c r="I20" s="331" t="s">
        <v>1059</v>
      </c>
      <c r="J20" s="320" t="s">
        <v>1072</v>
      </c>
      <c r="K20" s="304">
        <v>1.0444288372E-2</v>
      </c>
      <c r="O20" s="308">
        <v>0.12</v>
      </c>
      <c r="P20" s="312">
        <v>1.4370695423000002E-2</v>
      </c>
      <c r="Q20" s="344">
        <v>6.1207216000000002E-3</v>
      </c>
      <c r="U20" s="126"/>
      <c r="V20" s="134"/>
      <c r="W20" s="132"/>
      <c r="X20" s="129"/>
      <c r="Y20" s="130" t="s">
        <v>6949</v>
      </c>
      <c r="AC20" s="135" t="s">
        <v>7917</v>
      </c>
      <c r="AD20" s="199"/>
      <c r="AE20" s="197">
        <v>8.3221232398447698E-3</v>
      </c>
    </row>
    <row r="21" spans="8:40" ht="16" thickBot="1" x14ac:dyDescent="0.4">
      <c r="H21" s="383"/>
      <c r="I21" s="331" t="s">
        <v>1059</v>
      </c>
      <c r="J21" s="320" t="s">
        <v>1073</v>
      </c>
      <c r="K21" s="304">
        <v>1.0444288372E-2</v>
      </c>
      <c r="O21" s="308">
        <v>0.12</v>
      </c>
      <c r="P21" s="312">
        <v>1.4370695423000013E-2</v>
      </c>
      <c r="Q21" s="344">
        <v>0.43874381000000001</v>
      </c>
      <c r="U21" s="126"/>
      <c r="V21" s="127" t="s">
        <v>5888</v>
      </c>
      <c r="W21" s="132"/>
      <c r="X21" s="129"/>
      <c r="Y21" s="130" t="s">
        <v>6949</v>
      </c>
      <c r="AC21" s="135" t="s">
        <v>7918</v>
      </c>
      <c r="AD21" s="199"/>
      <c r="AE21" s="197">
        <v>7.5778683224627195E-3</v>
      </c>
    </row>
    <row r="22" spans="8:40" ht="15.5" x14ac:dyDescent="0.35">
      <c r="H22" s="383"/>
      <c r="I22" s="331" t="s">
        <v>1059</v>
      </c>
      <c r="J22" s="320" t="s">
        <v>1074</v>
      </c>
      <c r="K22" s="304">
        <v>1.0444288372E-2</v>
      </c>
      <c r="O22" s="308">
        <v>0.12</v>
      </c>
      <c r="P22" s="312">
        <v>1.4370695423000006E-2</v>
      </c>
      <c r="Q22" s="344">
        <v>5.9512157000000003E-2</v>
      </c>
      <c r="U22" s="126" t="s">
        <v>1059</v>
      </c>
      <c r="V22" s="131" t="s">
        <v>5889</v>
      </c>
      <c r="W22" s="132">
        <v>0.14056169872999999</v>
      </c>
      <c r="X22" s="129">
        <v>0.11642865047000001</v>
      </c>
      <c r="Y22" s="130">
        <v>0.23713563972999999</v>
      </c>
      <c r="AD22" s="200"/>
      <c r="AE22" s="197"/>
    </row>
    <row r="23" spans="8:40" ht="15.5" x14ac:dyDescent="0.35">
      <c r="H23" s="383"/>
      <c r="I23" s="331" t="s">
        <v>1059</v>
      </c>
      <c r="J23" s="320" t="s">
        <v>1052</v>
      </c>
      <c r="K23" s="304">
        <v>1.0444288372E-2</v>
      </c>
      <c r="O23" s="308">
        <v>0.12</v>
      </c>
      <c r="P23" s="312">
        <v>1.4370695422999999E-2</v>
      </c>
      <c r="Q23" s="344">
        <v>8.8454525000000006E-2</v>
      </c>
      <c r="U23" s="126" t="s">
        <v>1059</v>
      </c>
      <c r="V23" s="131" t="s">
        <v>5890</v>
      </c>
      <c r="W23" s="132">
        <v>0.13352920929000001</v>
      </c>
      <c r="X23" s="129">
        <v>0.12429842546</v>
      </c>
      <c r="Y23" s="130">
        <v>0.21037908328999999</v>
      </c>
      <c r="AC23" s="133" t="s">
        <v>7916</v>
      </c>
      <c r="AD23" s="199"/>
      <c r="AE23" s="197">
        <v>5.2233376165878274E-3</v>
      </c>
    </row>
    <row r="24" spans="8:40" ht="15.5" x14ac:dyDescent="0.35">
      <c r="H24" s="383"/>
      <c r="I24" s="331" t="s">
        <v>1059</v>
      </c>
      <c r="J24" s="320" t="s">
        <v>1075</v>
      </c>
      <c r="K24" s="304">
        <v>1.473057883E-2</v>
      </c>
      <c r="O24" s="308">
        <v>0.06</v>
      </c>
      <c r="P24" s="312">
        <v>2.0276044220000011E-2</v>
      </c>
      <c r="Q24" s="344">
        <v>0.22012385000000001</v>
      </c>
      <c r="U24" s="126" t="s">
        <v>1059</v>
      </c>
      <c r="V24" s="131" t="s">
        <v>5891</v>
      </c>
      <c r="W24" s="132">
        <v>0.15915490660000001</v>
      </c>
      <c r="X24" s="129">
        <v>0.11710111099999999</v>
      </c>
      <c r="Y24" s="130">
        <v>0.26145661660000002</v>
      </c>
      <c r="AC24" s="133" t="s">
        <v>7915</v>
      </c>
      <c r="AD24" s="199"/>
      <c r="AE24" s="197">
        <v>1.5035381126119384E-3</v>
      </c>
    </row>
    <row r="25" spans="8:40" ht="15.5" x14ac:dyDescent="0.35">
      <c r="H25" s="383"/>
      <c r="I25" s="331" t="s">
        <v>1059</v>
      </c>
      <c r="J25" s="320" t="s">
        <v>1076</v>
      </c>
      <c r="K25" s="304">
        <v>1.473057883E-2</v>
      </c>
      <c r="O25" s="308">
        <v>0.06</v>
      </c>
      <c r="P25" s="312">
        <v>2.0276044220000011E-2</v>
      </c>
      <c r="Q25" s="344">
        <v>0.18808051000000001</v>
      </c>
      <c r="U25" s="126" t="s">
        <v>1059</v>
      </c>
      <c r="V25" s="131" t="s">
        <v>5892</v>
      </c>
      <c r="W25" s="132">
        <v>0.15245668030000001</v>
      </c>
      <c r="X25" s="129">
        <v>0.14439965595999998</v>
      </c>
      <c r="Y25" s="130">
        <v>0.26996922030000003</v>
      </c>
      <c r="AC25" s="133" t="s">
        <v>7914</v>
      </c>
      <c r="AD25" s="199"/>
      <c r="AE25" s="197">
        <v>8.9925357618244402E-4</v>
      </c>
    </row>
    <row r="26" spans="8:40" ht="15.5" x14ac:dyDescent="0.35">
      <c r="H26" s="383"/>
      <c r="I26" s="331" t="s">
        <v>1059</v>
      </c>
      <c r="J26" s="320" t="s">
        <v>1077</v>
      </c>
      <c r="K26" s="304">
        <v>1.6326295719999998E-2</v>
      </c>
      <c r="O26" s="308">
        <v>0.05</v>
      </c>
      <c r="P26" s="312">
        <v>0.10473437923000001</v>
      </c>
      <c r="Q26" s="344">
        <v>1.1455352E-8</v>
      </c>
      <c r="U26" s="126" t="s">
        <v>1059</v>
      </c>
      <c r="V26" s="131" t="s">
        <v>5893</v>
      </c>
      <c r="W26" s="132">
        <v>0.22010881630000001</v>
      </c>
      <c r="X26" s="129">
        <v>0.14605755536999998</v>
      </c>
      <c r="Y26" s="130">
        <v>0.35939885630000001</v>
      </c>
      <c r="AC26" s="133" t="s">
        <v>7913</v>
      </c>
      <c r="AD26" s="199"/>
      <c r="AE26" s="197">
        <v>3.5245534405480609E-3</v>
      </c>
    </row>
    <row r="27" spans="8:40" ht="15.5" x14ac:dyDescent="0.35">
      <c r="H27" s="383"/>
      <c r="I27" s="331"/>
      <c r="J27" s="320"/>
      <c r="K27" s="302"/>
      <c r="O27" s="308"/>
      <c r="P27" s="310"/>
      <c r="Q27" s="344"/>
      <c r="U27" s="126" t="s">
        <v>1059</v>
      </c>
      <c r="V27" s="131" t="s">
        <v>5894</v>
      </c>
      <c r="W27" s="132">
        <v>0.24165988079999998</v>
      </c>
      <c r="X27" s="129">
        <v>0.12129519197000001</v>
      </c>
      <c r="Y27" s="130">
        <v>0.3293043658</v>
      </c>
      <c r="AC27" s="133" t="s">
        <v>7912</v>
      </c>
      <c r="AD27" s="199"/>
      <c r="AE27" s="197">
        <v>3.0784379010897331E-3</v>
      </c>
    </row>
    <row r="28" spans="8:40" ht="15.5" x14ac:dyDescent="0.35">
      <c r="H28" s="384" t="s">
        <v>1078</v>
      </c>
      <c r="I28" s="332"/>
      <c r="J28" s="321"/>
      <c r="K28" s="302"/>
      <c r="O28" s="308"/>
      <c r="P28" s="310"/>
      <c r="Q28" s="344"/>
      <c r="U28" s="126" t="s">
        <v>1059</v>
      </c>
      <c r="V28" s="131" t="s">
        <v>5895</v>
      </c>
      <c r="W28" s="132">
        <v>0.1164056757</v>
      </c>
      <c r="X28" s="129">
        <v>8.1609617549999999E-2</v>
      </c>
      <c r="Y28" s="130">
        <v>0.20957478969999999</v>
      </c>
      <c r="AC28" s="133" t="s">
        <v>7911</v>
      </c>
      <c r="AD28" s="199"/>
      <c r="AE28" s="197">
        <v>1.3087809473484274E-3</v>
      </c>
    </row>
    <row r="29" spans="8:40" ht="15.5" x14ac:dyDescent="0.35">
      <c r="H29" s="384"/>
      <c r="I29" s="331" t="s">
        <v>1059</v>
      </c>
      <c r="J29" s="320" t="s">
        <v>1079</v>
      </c>
      <c r="K29" s="302">
        <v>0.21662732810000002</v>
      </c>
      <c r="O29" s="308">
        <v>0.56000000000000005</v>
      </c>
      <c r="P29" s="312">
        <v>0.40665175946999998</v>
      </c>
      <c r="Q29" s="344">
        <v>9.2151264999999997E-10</v>
      </c>
      <c r="U29" s="126" t="s">
        <v>1059</v>
      </c>
      <c r="V29" s="131" t="s">
        <v>5896</v>
      </c>
      <c r="W29" s="132">
        <v>0.11094260957999999</v>
      </c>
      <c r="X29" s="129">
        <v>8.9313660240000009E-2</v>
      </c>
      <c r="Y29" s="130">
        <v>0.18717866757999999</v>
      </c>
      <c r="AC29" s="133" t="s">
        <v>7910</v>
      </c>
      <c r="AD29" s="199"/>
      <c r="AE29" s="197">
        <v>7.8848841788496887E-4</v>
      </c>
    </row>
    <row r="30" spans="8:40" ht="16" thickBot="1" x14ac:dyDescent="0.4">
      <c r="H30" s="384"/>
      <c r="I30" s="331" t="s">
        <v>1059</v>
      </c>
      <c r="J30" s="320" t="s">
        <v>1080</v>
      </c>
      <c r="K30" s="302">
        <v>0.26986277460000002</v>
      </c>
      <c r="O30" s="308">
        <v>0.7</v>
      </c>
      <c r="P30" s="312">
        <v>0.50658509186</v>
      </c>
      <c r="Q30" s="344">
        <v>1.1479712999999999E-9</v>
      </c>
      <c r="U30" s="126" t="s">
        <v>1059</v>
      </c>
      <c r="V30" s="131" t="s">
        <v>5897</v>
      </c>
      <c r="W30" s="132">
        <v>0.12410450524</v>
      </c>
      <c r="X30" s="129">
        <v>9.9785108390000002E-2</v>
      </c>
      <c r="Y30" s="130">
        <v>0.23168314524</v>
      </c>
      <c r="AC30" s="136" t="s">
        <v>7909</v>
      </c>
      <c r="AD30" s="199"/>
      <c r="AE30" s="198">
        <v>5.3660018841285523E-4</v>
      </c>
    </row>
    <row r="31" spans="8:40" ht="15.5" x14ac:dyDescent="0.35">
      <c r="H31" s="384"/>
      <c r="I31" s="331" t="s">
        <v>1059</v>
      </c>
      <c r="J31" s="320" t="s">
        <v>1081</v>
      </c>
      <c r="K31" s="302">
        <v>0.27081730069999999</v>
      </c>
      <c r="O31" s="308">
        <v>1.64</v>
      </c>
      <c r="P31" s="312">
        <v>1.8380381668E-3</v>
      </c>
      <c r="Q31" s="344">
        <v>0</v>
      </c>
      <c r="U31" s="126" t="s">
        <v>1059</v>
      </c>
      <c r="V31" s="131" t="s">
        <v>5898</v>
      </c>
      <c r="W31" s="132">
        <v>0.19058845300000002</v>
      </c>
      <c r="X31" s="129">
        <v>8.4309423950000004E-2</v>
      </c>
      <c r="Y31" s="130">
        <v>0.27827211900000004</v>
      </c>
    </row>
    <row r="32" spans="8:40" ht="15.5" x14ac:dyDescent="0.35">
      <c r="H32" s="384"/>
      <c r="I32" s="331" t="s">
        <v>1059</v>
      </c>
      <c r="J32" s="320" t="s">
        <v>1082</v>
      </c>
      <c r="K32" s="302">
        <v>7.5854045290000007</v>
      </c>
      <c r="O32" s="308">
        <v>16.510000000000002</v>
      </c>
      <c r="P32" s="312">
        <v>870.37928019269998</v>
      </c>
      <c r="Q32" s="344">
        <v>0</v>
      </c>
      <c r="U32" s="126" t="s">
        <v>1059</v>
      </c>
      <c r="V32" s="131" t="s">
        <v>5899</v>
      </c>
      <c r="W32" s="132">
        <v>0.17964011390000001</v>
      </c>
      <c r="X32" s="129">
        <v>0.16723400162000002</v>
      </c>
      <c r="Y32" s="130">
        <v>0.27561543090000001</v>
      </c>
    </row>
    <row r="33" spans="8:25" ht="15.5" x14ac:dyDescent="0.35">
      <c r="H33" s="384"/>
      <c r="I33" s="331" t="s">
        <v>1059</v>
      </c>
      <c r="J33" s="320" t="s">
        <v>1083</v>
      </c>
      <c r="K33" s="302">
        <v>1.6459106584680001</v>
      </c>
      <c r="O33" s="308">
        <v>1.65</v>
      </c>
      <c r="P33" s="312">
        <v>0</v>
      </c>
      <c r="Q33" s="344">
        <v>0</v>
      </c>
      <c r="U33" s="126" t="s">
        <v>1059</v>
      </c>
      <c r="V33" s="131" t="s">
        <v>5900</v>
      </c>
      <c r="W33" s="132">
        <v>0.21229924820000001</v>
      </c>
      <c r="X33" s="129">
        <v>0.17386278952000001</v>
      </c>
      <c r="Y33" s="130">
        <v>0.32742737820000001</v>
      </c>
    </row>
    <row r="34" spans="8:25" ht="15.5" x14ac:dyDescent="0.35">
      <c r="H34" s="385">
        <v>1</v>
      </c>
      <c r="I34" s="331" t="s">
        <v>1059</v>
      </c>
      <c r="J34" s="320" t="s">
        <v>1084</v>
      </c>
      <c r="K34" s="302">
        <v>1.5752150300999999E-2</v>
      </c>
      <c r="O34" s="308">
        <v>0.06</v>
      </c>
      <c r="P34" s="312">
        <v>4.9191607140000003E-3</v>
      </c>
      <c r="Q34" s="344">
        <v>2.0900345999999999E-9</v>
      </c>
      <c r="U34" s="126" t="s">
        <v>1059</v>
      </c>
      <c r="V34" s="131" t="s">
        <v>5901</v>
      </c>
      <c r="W34" s="132">
        <v>0.13662988719999999</v>
      </c>
      <c r="X34" s="129">
        <v>0.14227620794000001</v>
      </c>
      <c r="Y34" s="130">
        <v>0.2149122732</v>
      </c>
    </row>
    <row r="35" spans="8:25" ht="15.5" x14ac:dyDescent="0.35">
      <c r="H35" s="384"/>
      <c r="I35" s="331" t="s">
        <v>1059</v>
      </c>
      <c r="J35" s="320" t="s">
        <v>1085</v>
      </c>
      <c r="K35" s="302">
        <v>37.732987729999998</v>
      </c>
      <c r="O35" s="308">
        <v>63.6</v>
      </c>
      <c r="P35" s="312">
        <v>5.1084496999999995</v>
      </c>
      <c r="Q35" s="344">
        <v>0</v>
      </c>
      <c r="U35" s="126" t="s">
        <v>1059</v>
      </c>
      <c r="V35" s="131" t="s">
        <v>5902</v>
      </c>
      <c r="W35" s="132">
        <v>0.1154156772</v>
      </c>
      <c r="X35" s="129">
        <v>0.12432501042999999</v>
      </c>
      <c r="Y35" s="130">
        <v>0.17960386719999999</v>
      </c>
    </row>
    <row r="36" spans="8:25" ht="15.5" x14ac:dyDescent="0.35">
      <c r="H36" s="384"/>
      <c r="I36" s="331" t="s">
        <v>1059</v>
      </c>
      <c r="J36" s="320" t="s">
        <v>1086</v>
      </c>
      <c r="K36" s="302">
        <v>0.12430682299</v>
      </c>
      <c r="O36" s="308">
        <v>0.75</v>
      </c>
      <c r="P36" s="312">
        <v>8.4367092018000005E-4</v>
      </c>
      <c r="Q36" s="344">
        <v>0</v>
      </c>
      <c r="U36" s="126" t="s">
        <v>1059</v>
      </c>
      <c r="V36" s="131" t="s">
        <v>5903</v>
      </c>
      <c r="W36" s="132">
        <v>0.14836079790000001</v>
      </c>
      <c r="X36" s="129">
        <v>0.15546063313</v>
      </c>
      <c r="Y36" s="130">
        <v>0.24949972790000002</v>
      </c>
    </row>
    <row r="37" spans="8:25" ht="15.5" x14ac:dyDescent="0.35">
      <c r="H37" s="384"/>
      <c r="I37" s="331" t="s">
        <v>1059</v>
      </c>
      <c r="J37" s="320" t="s">
        <v>1087</v>
      </c>
      <c r="K37" s="302">
        <v>0.11741023306000001</v>
      </c>
      <c r="O37" s="308">
        <v>0.71</v>
      </c>
      <c r="P37" s="312">
        <v>1.03079684710574</v>
      </c>
      <c r="Q37" s="344">
        <v>0</v>
      </c>
      <c r="U37" s="126" t="s">
        <v>1059</v>
      </c>
      <c r="V37" s="131" t="s">
        <v>5904</v>
      </c>
      <c r="W37" s="132">
        <v>0.13354320920000001</v>
      </c>
      <c r="X37" s="129">
        <v>9.5399729419999996E-2</v>
      </c>
      <c r="Y37" s="130">
        <v>0.19833056520000003</v>
      </c>
    </row>
    <row r="38" spans="8:25" ht="15.5" x14ac:dyDescent="0.35">
      <c r="H38" s="384"/>
      <c r="I38" s="331" t="s">
        <v>1059</v>
      </c>
      <c r="J38" s="320" t="s">
        <v>1088</v>
      </c>
      <c r="K38" s="302">
        <v>0.2052155937</v>
      </c>
      <c r="O38" s="308">
        <v>1.24</v>
      </c>
      <c r="P38" s="312">
        <v>0.68119279582949999</v>
      </c>
      <c r="Q38" s="344">
        <v>0</v>
      </c>
      <c r="U38" s="126" t="s">
        <v>1059</v>
      </c>
      <c r="V38" s="131" t="s">
        <v>5905</v>
      </c>
      <c r="W38" s="132">
        <v>0.14501842920000002</v>
      </c>
      <c r="X38" s="129">
        <v>0.12024872566</v>
      </c>
      <c r="Y38" s="130">
        <v>0.21503914420000003</v>
      </c>
    </row>
    <row r="39" spans="8:25" ht="15.5" x14ac:dyDescent="0.35">
      <c r="H39" s="385">
        <v>1</v>
      </c>
      <c r="I39" s="331" t="s">
        <v>1059</v>
      </c>
      <c r="J39" s="320" t="s">
        <v>1089</v>
      </c>
      <c r="K39" s="302">
        <v>1.5401397924E-2</v>
      </c>
      <c r="O39" s="308">
        <v>0.05</v>
      </c>
      <c r="P39" s="312">
        <v>3.636944661E-3</v>
      </c>
      <c r="Q39" s="344">
        <v>2.0751069000000001E-9</v>
      </c>
      <c r="U39" s="126" t="s">
        <v>1059</v>
      </c>
      <c r="V39" s="131" t="s">
        <v>5906</v>
      </c>
      <c r="W39" s="132">
        <v>0.10856469370000001</v>
      </c>
      <c r="X39" s="129">
        <v>8.9053021420000003E-2</v>
      </c>
      <c r="Y39" s="130">
        <v>0.1696910167</v>
      </c>
    </row>
    <row r="40" spans="8:25" ht="15.5" x14ac:dyDescent="0.35">
      <c r="H40" s="385"/>
      <c r="I40" s="331" t="s">
        <v>1059</v>
      </c>
      <c r="J40" s="320" t="s">
        <v>1090</v>
      </c>
      <c r="K40" s="302">
        <v>0.23939592180000002</v>
      </c>
      <c r="O40" s="308">
        <v>0.76</v>
      </c>
      <c r="P40" s="312">
        <v>28.705803965719998</v>
      </c>
      <c r="Q40" s="344">
        <v>0</v>
      </c>
      <c r="U40" s="126" t="s">
        <v>1059</v>
      </c>
      <c r="V40" s="131" t="s">
        <v>5907</v>
      </c>
      <c r="W40" s="132">
        <v>0.16574972439999999</v>
      </c>
      <c r="X40" s="129">
        <v>0.18467343702</v>
      </c>
      <c r="Y40" s="130">
        <v>0.2574590504</v>
      </c>
    </row>
    <row r="41" spans="8:25" ht="15.5" x14ac:dyDescent="0.35">
      <c r="H41" s="385"/>
      <c r="I41" s="331" t="s">
        <v>1059</v>
      </c>
      <c r="J41" s="320" t="s">
        <v>1091</v>
      </c>
      <c r="K41" s="302">
        <v>0.15054750549000001</v>
      </c>
      <c r="O41" s="308">
        <v>0.91</v>
      </c>
      <c r="P41" s="312">
        <v>0.43022176796510003</v>
      </c>
      <c r="Q41" s="344">
        <v>0</v>
      </c>
      <c r="U41" s="126" t="s">
        <v>1059</v>
      </c>
      <c r="V41" s="131" t="s">
        <v>5908</v>
      </c>
      <c r="W41" s="132">
        <v>0.1068708839</v>
      </c>
      <c r="X41" s="129">
        <v>9.9594138489999998E-2</v>
      </c>
      <c r="Y41" s="130">
        <v>0.16579658089999999</v>
      </c>
    </row>
    <row r="42" spans="8:25" ht="15.5" x14ac:dyDescent="0.35">
      <c r="H42" s="385"/>
      <c r="I42" s="331"/>
      <c r="J42" s="321"/>
      <c r="K42" s="302"/>
      <c r="O42" s="308"/>
      <c r="P42" s="310"/>
      <c r="Q42" s="344"/>
      <c r="U42" s="126" t="s">
        <v>1059</v>
      </c>
      <c r="V42" s="131" t="s">
        <v>5909</v>
      </c>
      <c r="W42" s="132">
        <v>0.19384298629999999</v>
      </c>
      <c r="X42" s="129">
        <v>0.16053397987000001</v>
      </c>
      <c r="Y42" s="130">
        <v>0.26512606529999999</v>
      </c>
    </row>
    <row r="43" spans="8:25" ht="15.5" x14ac:dyDescent="0.35">
      <c r="H43" s="384" t="s">
        <v>1092</v>
      </c>
      <c r="I43" s="332"/>
      <c r="J43" s="319"/>
      <c r="K43" s="303"/>
      <c r="O43" s="308"/>
      <c r="P43" s="313"/>
      <c r="Q43" s="344"/>
      <c r="U43" s="126" t="s">
        <v>1059</v>
      </c>
      <c r="V43" s="131" t="s">
        <v>5910</v>
      </c>
      <c r="W43" s="132">
        <v>0.13544548299999998</v>
      </c>
      <c r="X43" s="129">
        <v>0.15608896074</v>
      </c>
      <c r="Y43" s="130">
        <v>0.20980313899999997</v>
      </c>
    </row>
    <row r="44" spans="8:25" ht="15.5" x14ac:dyDescent="0.35">
      <c r="H44" s="383"/>
      <c r="I44" s="331" t="s">
        <v>1059</v>
      </c>
      <c r="J44" s="320" t="s">
        <v>1093</v>
      </c>
      <c r="K44" s="302">
        <v>2.6802569531700002E-3</v>
      </c>
      <c r="O44" s="308">
        <v>0.02</v>
      </c>
      <c r="P44" s="312">
        <v>5.9493157585979999E-2</v>
      </c>
      <c r="Q44" s="344">
        <v>8.3520939999999999E-11</v>
      </c>
      <c r="U44" s="126" t="s">
        <v>1059</v>
      </c>
      <c r="V44" s="131" t="s">
        <v>5911</v>
      </c>
      <c r="W44" s="132">
        <v>0.15214211829999999</v>
      </c>
      <c r="X44" s="129">
        <v>9.1364816549999991E-2</v>
      </c>
      <c r="Y44" s="130">
        <v>0.22711430429999999</v>
      </c>
    </row>
    <row r="45" spans="8:25" ht="15.5" x14ac:dyDescent="0.35">
      <c r="H45" s="383"/>
      <c r="I45" s="331" t="s">
        <v>1059</v>
      </c>
      <c r="J45" s="320" t="s">
        <v>1053</v>
      </c>
      <c r="K45" s="302">
        <v>8.2620361139999987E-2</v>
      </c>
      <c r="O45" s="308">
        <v>0.14000000000000001</v>
      </c>
      <c r="P45" s="312">
        <v>1.6796141195999999E-3</v>
      </c>
      <c r="Q45" s="344">
        <v>2.5907544E-10</v>
      </c>
      <c r="U45" s="126" t="s">
        <v>1059</v>
      </c>
      <c r="V45" s="131" t="s">
        <v>5912</v>
      </c>
      <c r="W45" s="132">
        <v>0.1381772003</v>
      </c>
      <c r="X45" s="129">
        <v>0.14889200539</v>
      </c>
      <c r="Y45" s="130">
        <v>0.21380331429999999</v>
      </c>
    </row>
    <row r="46" spans="8:25" ht="15.5" x14ac:dyDescent="0.35">
      <c r="H46" s="383"/>
      <c r="I46" s="331" t="s">
        <v>1059</v>
      </c>
      <c r="J46" s="320" t="s">
        <v>1094</v>
      </c>
      <c r="K46" s="302">
        <v>4.8888019895000003E-2</v>
      </c>
      <c r="O46" s="308">
        <v>0.06</v>
      </c>
      <c r="P46" s="312">
        <v>1.7788697474999999E-4</v>
      </c>
      <c r="Q46" s="344">
        <v>1.6933035000000001E-10</v>
      </c>
      <c r="U46" s="126" t="s">
        <v>1059</v>
      </c>
      <c r="V46" s="131" t="s">
        <v>5913</v>
      </c>
      <c r="W46" s="132">
        <v>0.14875282820000002</v>
      </c>
      <c r="X46" s="129">
        <v>0.14290608126000001</v>
      </c>
      <c r="Y46" s="130">
        <v>0.23057687520000003</v>
      </c>
    </row>
    <row r="47" spans="8:25" ht="15.5" x14ac:dyDescent="0.35">
      <c r="H47" s="384" t="s">
        <v>1095</v>
      </c>
      <c r="I47" s="331"/>
      <c r="J47" s="319"/>
      <c r="K47" s="303"/>
      <c r="O47" s="308"/>
      <c r="P47" s="313"/>
      <c r="Q47" s="344"/>
      <c r="U47" s="126" t="s">
        <v>1059</v>
      </c>
      <c r="V47" s="131" t="s">
        <v>5914</v>
      </c>
      <c r="W47" s="132">
        <v>0.125266077</v>
      </c>
      <c r="X47" s="129">
        <v>0.20493291693000001</v>
      </c>
      <c r="Y47" s="130">
        <v>0.20207179</v>
      </c>
    </row>
    <row r="48" spans="8:25" ht="15.5" x14ac:dyDescent="0.35">
      <c r="H48" s="383"/>
      <c r="I48" s="331" t="s">
        <v>1059</v>
      </c>
      <c r="J48" s="320" t="s">
        <v>1096</v>
      </c>
      <c r="K48" s="302">
        <v>4.113066018E-2</v>
      </c>
      <c r="O48" s="308">
        <v>0.25</v>
      </c>
      <c r="P48" s="312">
        <v>1.33187037E-3</v>
      </c>
      <c r="Q48" s="344">
        <v>2.5891490999999999E-11</v>
      </c>
      <c r="U48" s="126" t="s">
        <v>1059</v>
      </c>
      <c r="V48" s="131" t="s">
        <v>5915</v>
      </c>
      <c r="W48" s="132">
        <v>0.1203985011</v>
      </c>
      <c r="X48" s="129">
        <v>8.8563304260000003E-2</v>
      </c>
      <c r="Y48" s="130">
        <v>0.18499945709999999</v>
      </c>
    </row>
    <row r="49" spans="8:25" ht="15.5" x14ac:dyDescent="0.35">
      <c r="H49" s="384" t="s">
        <v>1097</v>
      </c>
      <c r="I49" s="333"/>
      <c r="J49" s="319"/>
      <c r="K49" s="303"/>
      <c r="O49" s="308"/>
      <c r="P49" s="313"/>
      <c r="Q49" s="344"/>
      <c r="U49" s="126" t="s">
        <v>1059</v>
      </c>
      <c r="V49" s="131" t="s">
        <v>5916</v>
      </c>
      <c r="W49" s="132">
        <v>0.13344107189999999</v>
      </c>
      <c r="X49" s="129">
        <v>9.8178095879999996E-2</v>
      </c>
      <c r="Y49" s="130">
        <v>0.24957041189999998</v>
      </c>
    </row>
    <row r="50" spans="8:25" ht="15.5" x14ac:dyDescent="0.35">
      <c r="H50" s="383"/>
      <c r="I50" s="331" t="s">
        <v>1059</v>
      </c>
      <c r="J50" s="320" t="s">
        <v>1098</v>
      </c>
      <c r="K50" s="302">
        <v>0.17776053356999999</v>
      </c>
      <c r="O50" s="308">
        <v>0.63</v>
      </c>
      <c r="P50" s="312">
        <v>2.5356868709999997E-2</v>
      </c>
      <c r="Q50" s="344">
        <v>2.0393102000000001E-10</v>
      </c>
      <c r="U50" s="126" t="s">
        <v>1059</v>
      </c>
      <c r="V50" s="131" t="s">
        <v>5917</v>
      </c>
      <c r="W50" s="132">
        <v>0.11022676469999999</v>
      </c>
      <c r="X50" s="129">
        <v>8.5488257449999994E-2</v>
      </c>
      <c r="Y50" s="130">
        <v>0.23348054469999999</v>
      </c>
    </row>
    <row r="51" spans="8:25" ht="15.5" x14ac:dyDescent="0.35">
      <c r="H51" s="383"/>
      <c r="I51" s="331" t="s">
        <v>1059</v>
      </c>
      <c r="J51" s="320" t="s">
        <v>1099</v>
      </c>
      <c r="K51" s="302">
        <v>6.3071089959999993E-2</v>
      </c>
      <c r="O51" s="308">
        <v>0.2</v>
      </c>
      <c r="P51" s="312">
        <v>2.6583360899999998E-2</v>
      </c>
      <c r="Q51" s="344">
        <v>1.999064E-10</v>
      </c>
      <c r="U51" s="126" t="s">
        <v>1059</v>
      </c>
      <c r="V51" s="131" t="s">
        <v>5918</v>
      </c>
      <c r="W51" s="132">
        <v>0.1728301445</v>
      </c>
      <c r="X51" s="129">
        <v>0.16887901964999999</v>
      </c>
      <c r="Y51" s="130">
        <v>0.32629365450000003</v>
      </c>
    </row>
    <row r="52" spans="8:25" ht="15.5" x14ac:dyDescent="0.35">
      <c r="H52" s="383"/>
      <c r="I52" s="331" t="s">
        <v>1059</v>
      </c>
      <c r="J52" s="320" t="s">
        <v>1100</v>
      </c>
      <c r="K52" s="302">
        <v>2.5802115130000001E-2</v>
      </c>
      <c r="O52" s="308">
        <v>0.11</v>
      </c>
      <c r="P52" s="312">
        <v>9.9295134779999999E-3</v>
      </c>
      <c r="Q52" s="344">
        <v>8.0805537999999999E-11</v>
      </c>
      <c r="U52" s="126" t="s">
        <v>1059</v>
      </c>
      <c r="V52" s="131" t="s">
        <v>5919</v>
      </c>
      <c r="W52" s="132">
        <v>0.1090141802</v>
      </c>
      <c r="X52" s="129">
        <v>0.10681001992</v>
      </c>
      <c r="Y52" s="130">
        <v>0.21498455020000001</v>
      </c>
    </row>
    <row r="53" spans="8:25" ht="15.5" x14ac:dyDescent="0.35">
      <c r="H53" s="383"/>
      <c r="I53" s="332" t="s">
        <v>1101</v>
      </c>
      <c r="J53" s="319"/>
      <c r="K53" s="303"/>
      <c r="O53" s="308"/>
      <c r="P53" s="313"/>
      <c r="Q53" s="344"/>
      <c r="U53" s="126" t="s">
        <v>1059</v>
      </c>
      <c r="V53" s="131" t="s">
        <v>5920</v>
      </c>
      <c r="W53" s="132">
        <v>0.14120139379999999</v>
      </c>
      <c r="X53" s="129">
        <v>0.1392418453</v>
      </c>
      <c r="Y53" s="130">
        <v>0.27978151379999999</v>
      </c>
    </row>
    <row r="54" spans="8:25" ht="15.5" x14ac:dyDescent="0.35">
      <c r="H54" s="383"/>
      <c r="I54" s="331" t="s">
        <v>1059</v>
      </c>
      <c r="J54" s="320" t="s">
        <v>1102</v>
      </c>
      <c r="K54" s="302">
        <v>7.4631473609999999E-2</v>
      </c>
      <c r="O54" s="308">
        <v>0.24</v>
      </c>
      <c r="P54" s="312">
        <v>5.8100389320000001E-2</v>
      </c>
      <c r="Q54" s="344">
        <v>5.1782983000000003E-10</v>
      </c>
      <c r="U54" s="126" t="s">
        <v>1059</v>
      </c>
      <c r="V54" s="131" t="s">
        <v>5921</v>
      </c>
      <c r="W54" s="132">
        <v>0.14505295380000002</v>
      </c>
      <c r="X54" s="129">
        <v>8.2780717799999987E-2</v>
      </c>
      <c r="Y54" s="130">
        <v>0.27811218380000002</v>
      </c>
    </row>
    <row r="55" spans="8:25" ht="15.5" x14ac:dyDescent="0.35">
      <c r="H55" s="383"/>
      <c r="I55" s="331" t="s">
        <v>1059</v>
      </c>
      <c r="J55" s="320" t="s">
        <v>1103</v>
      </c>
      <c r="K55" s="302">
        <v>1.8703435454000002E-2</v>
      </c>
      <c r="O55" s="308">
        <v>0.06</v>
      </c>
      <c r="P55" s="312">
        <v>1.4832700576E-2</v>
      </c>
      <c r="Q55" s="344">
        <v>5.1782983000000003E-10</v>
      </c>
      <c r="U55" s="126" t="s">
        <v>1059</v>
      </c>
      <c r="V55" s="131" t="s">
        <v>5922</v>
      </c>
      <c r="W55" s="132">
        <v>0.12576525090000001</v>
      </c>
      <c r="X55" s="129">
        <v>8.3765852720000006E-2</v>
      </c>
      <c r="Y55" s="130">
        <v>0.2487086409</v>
      </c>
    </row>
    <row r="56" spans="8:25" ht="15.5" x14ac:dyDescent="0.35">
      <c r="H56" s="383"/>
      <c r="I56" s="331" t="s">
        <v>1059</v>
      </c>
      <c r="J56" s="320" t="s">
        <v>1104</v>
      </c>
      <c r="K56" s="302">
        <v>0.1617077019939</v>
      </c>
      <c r="O56" s="308">
        <v>1.29</v>
      </c>
      <c r="P56" s="312">
        <v>7.6288914330000009E-3</v>
      </c>
      <c r="Q56" s="344">
        <v>5.1782983000000003E-10</v>
      </c>
      <c r="U56" s="126"/>
      <c r="V56" s="134"/>
      <c r="W56" s="132"/>
      <c r="X56" s="129"/>
      <c r="Y56" s="130" t="s">
        <v>6949</v>
      </c>
    </row>
    <row r="57" spans="8:25" ht="15.5" x14ac:dyDescent="0.35">
      <c r="H57" s="383"/>
      <c r="I57" s="331" t="s">
        <v>1059</v>
      </c>
      <c r="J57" s="320" t="s">
        <v>1105</v>
      </c>
      <c r="K57" s="302">
        <v>1.0547263171E-2</v>
      </c>
      <c r="O57" s="308">
        <v>0.03</v>
      </c>
      <c r="P57" s="312">
        <v>8.5228290150000021E-3</v>
      </c>
      <c r="Q57" s="344">
        <v>5.1782983000000003E-10</v>
      </c>
      <c r="U57" s="126"/>
      <c r="V57" s="137" t="s">
        <v>5923</v>
      </c>
      <c r="W57" s="132"/>
      <c r="X57" s="129"/>
      <c r="Y57" s="130" t="s">
        <v>6949</v>
      </c>
    </row>
    <row r="58" spans="8:25" ht="15.5" x14ac:dyDescent="0.35">
      <c r="H58" s="383"/>
      <c r="I58" s="331" t="s">
        <v>1059</v>
      </c>
      <c r="J58" s="320" t="s">
        <v>1106</v>
      </c>
      <c r="K58" s="302">
        <v>1.5453231518E-2</v>
      </c>
      <c r="O58" s="308">
        <v>0.05</v>
      </c>
      <c r="P58" s="312">
        <v>1.2318240353999999E-2</v>
      </c>
      <c r="Q58" s="344">
        <v>5.1782983000000003E-10</v>
      </c>
      <c r="U58" s="126" t="s">
        <v>1059</v>
      </c>
      <c r="V58" s="131" t="s">
        <v>5924</v>
      </c>
      <c r="W58" s="132">
        <v>2.3442352452999997</v>
      </c>
      <c r="X58" s="129">
        <v>0.47653107643999998</v>
      </c>
      <c r="Y58" s="130">
        <v>3.5777114452999994</v>
      </c>
    </row>
    <row r="59" spans="8:25" ht="15.5" x14ac:dyDescent="0.35">
      <c r="H59" s="383"/>
      <c r="I59" s="332" t="s">
        <v>1107</v>
      </c>
      <c r="J59" s="319"/>
      <c r="K59" s="303"/>
      <c r="O59" s="308"/>
      <c r="P59" s="313"/>
      <c r="Q59" s="344"/>
      <c r="U59" s="126" t="s">
        <v>1059</v>
      </c>
      <c r="V59" s="131" t="s">
        <v>5925</v>
      </c>
      <c r="W59" s="132">
        <v>0.89311583960000007</v>
      </c>
      <c r="X59" s="129">
        <v>0.18134371545</v>
      </c>
      <c r="Y59" s="130">
        <v>1.3570249196000002</v>
      </c>
    </row>
    <row r="60" spans="8:25" ht="15.5" x14ac:dyDescent="0.35">
      <c r="H60" s="383"/>
      <c r="I60" s="331" t="s">
        <v>1059</v>
      </c>
      <c r="J60" s="320" t="s">
        <v>1108</v>
      </c>
      <c r="K60" s="304">
        <v>0.71215668109999997</v>
      </c>
      <c r="O60" s="308">
        <v>2.25</v>
      </c>
      <c r="P60" s="312">
        <v>0.70104358059999994</v>
      </c>
      <c r="Q60" s="344">
        <v>0</v>
      </c>
      <c r="U60" s="126" t="s">
        <v>1059</v>
      </c>
      <c r="V60" s="131" t="s">
        <v>5926</v>
      </c>
      <c r="W60" s="132">
        <v>0.82836457120000007</v>
      </c>
      <c r="X60" s="129">
        <v>0.16819621653</v>
      </c>
      <c r="Y60" s="130">
        <v>1.2586400512</v>
      </c>
    </row>
    <row r="61" spans="8:25" ht="15.5" x14ac:dyDescent="0.35">
      <c r="H61" s="383"/>
      <c r="I61" s="331" t="s">
        <v>1059</v>
      </c>
      <c r="J61" s="320" t="s">
        <v>1109</v>
      </c>
      <c r="K61" s="304">
        <v>0.62762036809999999</v>
      </c>
      <c r="O61" s="308">
        <v>1.21</v>
      </c>
      <c r="P61" s="312">
        <v>27.655840143999999</v>
      </c>
      <c r="Q61" s="344">
        <v>0</v>
      </c>
      <c r="U61" s="126" t="s">
        <v>1059</v>
      </c>
      <c r="V61" s="131" t="s">
        <v>5927</v>
      </c>
      <c r="W61" s="132">
        <v>2.9222055455000002</v>
      </c>
      <c r="X61" s="129">
        <v>0.59420179109999993</v>
      </c>
      <c r="Y61" s="130">
        <v>4.5232722455000003</v>
      </c>
    </row>
    <row r="62" spans="8:25" ht="15.5" x14ac:dyDescent="0.35">
      <c r="H62" s="383"/>
      <c r="I62" s="331" t="s">
        <v>1059</v>
      </c>
      <c r="J62" s="320" t="s">
        <v>1110</v>
      </c>
      <c r="K62" s="304">
        <v>0.89028691299999985</v>
      </c>
      <c r="O62" s="308">
        <v>1.74</v>
      </c>
      <c r="P62" s="312">
        <v>0.12863470626000001</v>
      </c>
      <c r="Q62" s="344">
        <v>0</v>
      </c>
      <c r="U62" s="126" t="s">
        <v>1059</v>
      </c>
      <c r="V62" s="131" t="s">
        <v>5928</v>
      </c>
      <c r="W62" s="132">
        <v>2.6308518509000001</v>
      </c>
      <c r="X62" s="129">
        <v>0.53486394463999998</v>
      </c>
      <c r="Y62" s="130">
        <v>4.0631927508999999</v>
      </c>
    </row>
    <row r="63" spans="8:25" ht="15.5" x14ac:dyDescent="0.35">
      <c r="H63" s="383"/>
      <c r="I63" s="331" t="s">
        <v>1059</v>
      </c>
      <c r="J63" s="320" t="s">
        <v>1111</v>
      </c>
      <c r="K63" s="302">
        <v>7.6051875E-3</v>
      </c>
      <c r="O63" s="308">
        <v>7.0000000000000007E-2</v>
      </c>
      <c r="P63" s="312">
        <v>0</v>
      </c>
      <c r="Q63" s="344">
        <v>0</v>
      </c>
      <c r="U63" s="126" t="s">
        <v>1059</v>
      </c>
      <c r="V63" s="131" t="s">
        <v>5929</v>
      </c>
      <c r="W63" s="132">
        <v>0.32699131740000004</v>
      </c>
      <c r="X63" s="129">
        <v>6.6394320679999994E-2</v>
      </c>
      <c r="Y63" s="130">
        <v>0.49683965740000002</v>
      </c>
    </row>
    <row r="64" spans="8:25" ht="15.5" x14ac:dyDescent="0.35">
      <c r="H64" s="383"/>
      <c r="I64" s="331" t="s">
        <v>1059</v>
      </c>
      <c r="J64" s="320" t="s">
        <v>1112</v>
      </c>
      <c r="K64" s="302">
        <v>6.8622232259999999E-2</v>
      </c>
      <c r="O64" s="308">
        <v>0.22</v>
      </c>
      <c r="P64" s="312">
        <v>5.3088315392999998E-2</v>
      </c>
      <c r="Q64" s="344">
        <v>0</v>
      </c>
      <c r="U64" s="126" t="s">
        <v>1059</v>
      </c>
      <c r="V64" s="131" t="s">
        <v>5930</v>
      </c>
      <c r="W64" s="132">
        <v>0.30362139444000003</v>
      </c>
      <c r="X64" s="129">
        <v>6.1649149189999988E-2</v>
      </c>
      <c r="Y64" s="130">
        <v>0.46133074444</v>
      </c>
    </row>
    <row r="65" spans="8:25" ht="15.5" x14ac:dyDescent="0.35">
      <c r="H65" s="385">
        <v>1</v>
      </c>
      <c r="I65" s="331" t="s">
        <v>1059</v>
      </c>
      <c r="J65" s="320" t="s">
        <v>1113</v>
      </c>
      <c r="K65" s="302">
        <v>5.2163417859999991E-2</v>
      </c>
      <c r="O65" s="308">
        <v>0.12</v>
      </c>
      <c r="P65" s="312">
        <v>4.7470691190000004E-3</v>
      </c>
      <c r="Q65" s="344">
        <v>2.7023491E-11</v>
      </c>
      <c r="U65" s="126"/>
      <c r="V65" s="134"/>
      <c r="W65" s="132"/>
      <c r="X65" s="129"/>
      <c r="Y65" s="130" t="s">
        <v>6949</v>
      </c>
    </row>
    <row r="66" spans="8:25" ht="15.5" x14ac:dyDescent="0.35">
      <c r="H66" s="385"/>
      <c r="I66" s="331" t="s">
        <v>1059</v>
      </c>
      <c r="J66" s="320" t="s">
        <v>1114</v>
      </c>
      <c r="K66" s="302">
        <v>8.4215448700000015E-2</v>
      </c>
      <c r="O66" s="308">
        <v>0.21</v>
      </c>
      <c r="P66" s="312">
        <v>0.31918328747899999</v>
      </c>
      <c r="Q66" s="344">
        <v>0</v>
      </c>
      <c r="U66" s="126"/>
      <c r="V66" s="137" t="s">
        <v>5931</v>
      </c>
      <c r="W66" s="132"/>
      <c r="X66" s="129"/>
      <c r="Y66" s="130" t="s">
        <v>6949</v>
      </c>
    </row>
    <row r="67" spans="8:25" ht="15.5" x14ac:dyDescent="0.35">
      <c r="H67" s="383"/>
      <c r="I67" s="331" t="s">
        <v>1059</v>
      </c>
      <c r="J67" s="320" t="s">
        <v>1115</v>
      </c>
      <c r="K67" s="302">
        <v>8.714406911E-2</v>
      </c>
      <c r="O67" s="308">
        <v>0.45</v>
      </c>
      <c r="P67" s="312">
        <v>5.3963895902000008E-4</v>
      </c>
      <c r="Q67" s="344">
        <v>5.6996596999999997E-11</v>
      </c>
      <c r="U67" s="138" t="s">
        <v>1176</v>
      </c>
      <c r="V67" s="131" t="s">
        <v>5932</v>
      </c>
      <c r="W67" s="132">
        <v>3.2253640859999998E-3</v>
      </c>
      <c r="X67" s="129">
        <v>9.8369533540000002E-4</v>
      </c>
      <c r="Y67" s="130">
        <v>4.3430803860000002E-3</v>
      </c>
    </row>
    <row r="68" spans="8:25" ht="15.5" x14ac:dyDescent="0.35">
      <c r="H68" s="383"/>
      <c r="I68" s="331" t="s">
        <v>1059</v>
      </c>
      <c r="J68" s="320" t="s">
        <v>1116</v>
      </c>
      <c r="K68" s="302">
        <v>2.6913520429999997E-2</v>
      </c>
      <c r="O68" s="308">
        <v>0.16</v>
      </c>
      <c r="P68" s="312">
        <v>1.8266217632999999E-4</v>
      </c>
      <c r="Q68" s="344">
        <v>0</v>
      </c>
      <c r="U68" s="138" t="s">
        <v>1176</v>
      </c>
      <c r="V68" s="131" t="s">
        <v>5933</v>
      </c>
      <c r="W68" s="132">
        <v>4.4233548589999991E-2</v>
      </c>
      <c r="X68" s="129">
        <v>1.6295832549000001E-2</v>
      </c>
      <c r="Y68" s="130">
        <v>6.9395784589999995E-2</v>
      </c>
    </row>
    <row r="69" spans="8:25" ht="15.5" x14ac:dyDescent="0.35">
      <c r="H69" s="383"/>
      <c r="I69" s="331" t="s">
        <v>1059</v>
      </c>
      <c r="J69" s="320" t="s">
        <v>1117</v>
      </c>
      <c r="K69" s="302">
        <v>8.7215264260000008E-2</v>
      </c>
      <c r="O69" s="308">
        <v>0.45</v>
      </c>
      <c r="P69" s="312">
        <v>5.4007984075999998E-4</v>
      </c>
      <c r="Q69" s="344">
        <v>5.7043163000000001E-11</v>
      </c>
      <c r="U69" s="126"/>
      <c r="V69" s="134"/>
      <c r="W69" s="132"/>
      <c r="X69" s="129"/>
      <c r="Y69" s="130" t="s">
        <v>6949</v>
      </c>
    </row>
    <row r="70" spans="8:25" ht="15.5" x14ac:dyDescent="0.35">
      <c r="H70" s="383"/>
      <c r="I70" s="331" t="s">
        <v>1059</v>
      </c>
      <c r="J70" s="320" t="s">
        <v>1054</v>
      </c>
      <c r="K70" s="302">
        <v>3.6410086039999998E-2</v>
      </c>
      <c r="O70" s="308">
        <v>0.1</v>
      </c>
      <c r="P70" s="312">
        <v>5.782111135E-4</v>
      </c>
      <c r="Q70" s="344">
        <v>5.1782983000000003E-10</v>
      </c>
      <c r="U70" s="126"/>
      <c r="V70" s="137" t="s">
        <v>5934</v>
      </c>
      <c r="W70" s="132"/>
      <c r="X70" s="129"/>
      <c r="Y70" s="130" t="s">
        <v>6949</v>
      </c>
    </row>
    <row r="71" spans="8:25" ht="15.5" x14ac:dyDescent="0.35">
      <c r="H71" s="383"/>
      <c r="I71" s="331" t="s">
        <v>1059</v>
      </c>
      <c r="J71" s="320" t="s">
        <v>1118</v>
      </c>
      <c r="K71" s="302">
        <v>0.14349957251000001</v>
      </c>
      <c r="O71" s="308">
        <v>0.45</v>
      </c>
      <c r="P71" s="312">
        <v>8.0710157908099998</v>
      </c>
      <c r="Q71" s="344">
        <v>0</v>
      </c>
      <c r="U71" s="126" t="s">
        <v>1059</v>
      </c>
      <c r="V71" s="131" t="s">
        <v>5935</v>
      </c>
      <c r="W71" s="132">
        <v>0.13135951479999999</v>
      </c>
      <c r="X71" s="129">
        <v>0.15557091655999999</v>
      </c>
      <c r="Y71" s="130">
        <v>0.28134877479999998</v>
      </c>
    </row>
    <row r="72" spans="8:25" ht="15.5" x14ac:dyDescent="0.35">
      <c r="H72" s="383"/>
      <c r="I72" s="331" t="s">
        <v>1059</v>
      </c>
      <c r="J72" s="320" t="s">
        <v>1119</v>
      </c>
      <c r="K72" s="302">
        <v>8.1769845899999999E-2</v>
      </c>
      <c r="O72" s="308">
        <v>0.28999999999999998</v>
      </c>
      <c r="P72" s="312">
        <v>1.1664159715000001E-2</v>
      </c>
      <c r="Q72" s="344">
        <v>9.3808269E-11</v>
      </c>
      <c r="U72" s="126" t="s">
        <v>1059</v>
      </c>
      <c r="V72" s="131" t="s">
        <v>5936</v>
      </c>
      <c r="W72" s="132">
        <v>0.10756712719999999</v>
      </c>
      <c r="X72" s="129">
        <v>0.42007295442999998</v>
      </c>
      <c r="Y72" s="130">
        <v>0.3543083272</v>
      </c>
    </row>
    <row r="73" spans="8:25" ht="15.5" x14ac:dyDescent="0.35">
      <c r="H73" s="383"/>
      <c r="I73" s="331" t="s">
        <v>1059</v>
      </c>
      <c r="J73" s="320" t="s">
        <v>1120</v>
      </c>
      <c r="K73" s="302">
        <v>0.26264015699999999</v>
      </c>
      <c r="O73" s="308">
        <v>0.57999999999999996</v>
      </c>
      <c r="P73" s="312">
        <v>0.92306068452699996</v>
      </c>
      <c r="Q73" s="344">
        <v>1.2327035E-9</v>
      </c>
      <c r="U73" s="126" t="s">
        <v>1059</v>
      </c>
      <c r="V73" s="131" t="s">
        <v>5937</v>
      </c>
      <c r="W73" s="132">
        <v>7.6270262199999994E-2</v>
      </c>
      <c r="X73" s="129">
        <v>0.24078076210000002</v>
      </c>
      <c r="Y73" s="130">
        <v>0.28188111220000001</v>
      </c>
    </row>
    <row r="74" spans="8:25" ht="15.5" x14ac:dyDescent="0.35">
      <c r="H74" s="384" t="s">
        <v>1121</v>
      </c>
      <c r="I74" s="332"/>
      <c r="J74" s="320"/>
      <c r="K74" s="302"/>
      <c r="O74" s="308"/>
      <c r="P74" s="310"/>
      <c r="Q74" s="344"/>
      <c r="U74" s="126" t="s">
        <v>1059</v>
      </c>
      <c r="V74" s="131" t="s">
        <v>5938</v>
      </c>
      <c r="W74" s="132">
        <v>4.32956049E-2</v>
      </c>
      <c r="X74" s="129">
        <v>0.12572356741999999</v>
      </c>
      <c r="Y74" s="130">
        <v>0.20485970489999999</v>
      </c>
    </row>
    <row r="75" spans="8:25" ht="15.5" x14ac:dyDescent="0.35">
      <c r="H75" s="383"/>
      <c r="I75" s="331" t="s">
        <v>1059</v>
      </c>
      <c r="J75" s="320" t="s">
        <v>1122</v>
      </c>
      <c r="K75" s="302">
        <v>4.2552128979999992E-2</v>
      </c>
      <c r="O75" s="308">
        <v>0.21</v>
      </c>
      <c r="P75" s="312">
        <v>0.46541404776000006</v>
      </c>
      <c r="Q75" s="344">
        <v>3.4062846000000001E-10</v>
      </c>
      <c r="U75" s="126" t="s">
        <v>1059</v>
      </c>
      <c r="V75" s="131" t="s">
        <v>5939</v>
      </c>
      <c r="W75" s="132">
        <v>0.2195218384</v>
      </c>
      <c r="X75" s="129">
        <v>0.69143448614999992</v>
      </c>
      <c r="Y75" s="130">
        <v>0.42419774840000002</v>
      </c>
    </row>
    <row r="76" spans="8:25" ht="15.5" x14ac:dyDescent="0.35">
      <c r="H76" s="383"/>
      <c r="I76" s="331" t="s">
        <v>1059</v>
      </c>
      <c r="J76" s="320" t="s">
        <v>1123</v>
      </c>
      <c r="K76" s="302">
        <v>2.4631674663999997E-2</v>
      </c>
      <c r="O76" s="308">
        <v>0.08</v>
      </c>
      <c r="P76" s="312">
        <v>0.450634596956</v>
      </c>
      <c r="Q76" s="344">
        <v>2.2318465000000001E-10</v>
      </c>
      <c r="U76" s="126" t="s">
        <v>1059</v>
      </c>
      <c r="V76" s="131" t="s">
        <v>5940</v>
      </c>
      <c r="W76" s="132">
        <v>8.4978787200000003E-2</v>
      </c>
      <c r="X76" s="129">
        <v>9.9946700969999996E-2</v>
      </c>
      <c r="Y76" s="130">
        <v>0.2022371372</v>
      </c>
    </row>
    <row r="77" spans="8:25" ht="15.5" x14ac:dyDescent="0.35">
      <c r="H77" s="383"/>
      <c r="I77" s="331" t="s">
        <v>1059</v>
      </c>
      <c r="J77" s="320" t="s">
        <v>1124</v>
      </c>
      <c r="K77" s="302">
        <v>7.4410714480000001E-2</v>
      </c>
      <c r="O77" s="308">
        <v>0.45</v>
      </c>
      <c r="P77" s="312">
        <v>0.49168864024999998</v>
      </c>
      <c r="Q77" s="344">
        <v>5.4941744999999996E-10</v>
      </c>
      <c r="U77" s="126" t="s">
        <v>1059</v>
      </c>
      <c r="V77" s="131" t="s">
        <v>5941</v>
      </c>
      <c r="W77" s="132">
        <v>6.6069319300000012E-2</v>
      </c>
      <c r="X77" s="129">
        <v>0.12464913037999999</v>
      </c>
      <c r="Y77" s="130">
        <v>0.11585816230000001</v>
      </c>
    </row>
    <row r="78" spans="8:25" ht="15.5" x14ac:dyDescent="0.35">
      <c r="H78" s="383"/>
      <c r="I78" s="331" t="s">
        <v>1059</v>
      </c>
      <c r="J78" s="320" t="s">
        <v>1125</v>
      </c>
      <c r="K78" s="302">
        <v>0.14026837879999998</v>
      </c>
      <c r="O78" s="308">
        <v>0.41</v>
      </c>
      <c r="P78" s="312">
        <v>0.64324501000000001</v>
      </c>
      <c r="Q78" s="344">
        <v>0</v>
      </c>
      <c r="U78" s="126" t="s">
        <v>1059</v>
      </c>
      <c r="V78" s="131" t="s">
        <v>5942</v>
      </c>
      <c r="W78" s="132">
        <v>0.13045795200000002</v>
      </c>
      <c r="X78" s="129">
        <v>0.25805862245</v>
      </c>
      <c r="Y78" s="130">
        <v>0.22071832700000002</v>
      </c>
    </row>
    <row r="79" spans="8:25" ht="15.5" x14ac:dyDescent="0.35">
      <c r="H79" s="383"/>
      <c r="I79" s="331" t="s">
        <v>1059</v>
      </c>
      <c r="J79" s="320" t="s">
        <v>1126</v>
      </c>
      <c r="K79" s="302">
        <v>5.5230978659999999E-2</v>
      </c>
      <c r="O79" s="308">
        <v>0.22</v>
      </c>
      <c r="P79" s="312">
        <v>3.4105330359999997E-4</v>
      </c>
      <c r="Q79" s="344">
        <v>0</v>
      </c>
      <c r="U79" s="126" t="s">
        <v>1059</v>
      </c>
      <c r="V79" s="131" t="s">
        <v>5943</v>
      </c>
      <c r="W79" s="132">
        <v>0.21979052269999999</v>
      </c>
      <c r="X79" s="129">
        <v>0.43471891651</v>
      </c>
      <c r="Y79" s="130">
        <v>0.37192717269999997</v>
      </c>
    </row>
    <row r="80" spans="8:25" ht="15.5" x14ac:dyDescent="0.35">
      <c r="H80" s="383"/>
      <c r="I80" s="331" t="s">
        <v>1059</v>
      </c>
      <c r="J80" s="320" t="s">
        <v>1127</v>
      </c>
      <c r="K80" s="302">
        <v>3.4430115980000002E-2</v>
      </c>
      <c r="O80" s="308">
        <v>0.18</v>
      </c>
      <c r="P80" s="312">
        <v>7.2876419680000006E-3</v>
      </c>
      <c r="Q80" s="344">
        <v>0</v>
      </c>
      <c r="U80" s="126" t="s">
        <v>1059</v>
      </c>
      <c r="V80" s="131" t="s">
        <v>5944</v>
      </c>
      <c r="W80" s="132">
        <v>0.46537801200000006</v>
      </c>
      <c r="X80" s="129">
        <v>0.77733915539999998</v>
      </c>
      <c r="Y80" s="130">
        <v>0.91624143200000008</v>
      </c>
    </row>
    <row r="81" spans="8:25" ht="15.5" x14ac:dyDescent="0.35">
      <c r="H81" s="383"/>
      <c r="I81" s="331" t="s">
        <v>1059</v>
      </c>
      <c r="J81" s="320" t="s">
        <v>1128</v>
      </c>
      <c r="K81" s="302">
        <v>5.5234208775400001E-2</v>
      </c>
      <c r="O81" s="308">
        <v>0.19</v>
      </c>
      <c r="P81" s="312">
        <v>3.9852542204999999E-3</v>
      </c>
      <c r="Q81" s="344">
        <v>0</v>
      </c>
      <c r="U81" s="126" t="s">
        <v>1059</v>
      </c>
      <c r="V81" s="131" t="s">
        <v>5945</v>
      </c>
      <c r="W81" s="132">
        <v>9.9871597399999998E-2</v>
      </c>
      <c r="X81" s="129">
        <v>0.16681944563000001</v>
      </c>
      <c r="Y81" s="130">
        <v>0.1966283184</v>
      </c>
    </row>
    <row r="82" spans="8:25" ht="15.5" x14ac:dyDescent="0.35">
      <c r="H82" s="383" t="s">
        <v>1129</v>
      </c>
      <c r="I82" s="331" t="s">
        <v>1059</v>
      </c>
      <c r="J82" s="320" t="s">
        <v>1130</v>
      </c>
      <c r="K82" s="302">
        <v>0.12503341615000002</v>
      </c>
      <c r="O82" s="308">
        <v>0.39</v>
      </c>
      <c r="P82" s="312">
        <v>0.72553401334400003</v>
      </c>
      <c r="Q82" s="344">
        <v>0</v>
      </c>
      <c r="U82" s="126" t="s">
        <v>1059</v>
      </c>
      <c r="V82" s="131" t="s">
        <v>5946</v>
      </c>
      <c r="W82" s="132">
        <v>0.15891026550000004</v>
      </c>
      <c r="X82" s="129">
        <v>0.32740477270000001</v>
      </c>
      <c r="Y82" s="130">
        <v>1.1350230354999999</v>
      </c>
    </row>
    <row r="83" spans="8:25" ht="15.5" x14ac:dyDescent="0.35">
      <c r="H83" s="383"/>
      <c r="I83" s="331" t="s">
        <v>1059</v>
      </c>
      <c r="J83" s="320" t="s">
        <v>1131</v>
      </c>
      <c r="K83" s="302">
        <v>5.4707796109999998E-2</v>
      </c>
      <c r="O83" s="308">
        <v>0.21</v>
      </c>
      <c r="P83" s="312">
        <v>0.80037794657100003</v>
      </c>
      <c r="Q83" s="344">
        <v>0</v>
      </c>
      <c r="U83" s="126" t="s">
        <v>1059</v>
      </c>
      <c r="V83" s="131" t="s">
        <v>5947</v>
      </c>
      <c r="W83" s="132">
        <v>0.1873806871</v>
      </c>
      <c r="X83" s="129">
        <v>0.29627302737</v>
      </c>
      <c r="Y83" s="130">
        <v>0.96392342710000001</v>
      </c>
    </row>
    <row r="84" spans="8:25" ht="15.5" x14ac:dyDescent="0.35">
      <c r="H84" s="383"/>
      <c r="I84" s="331" t="s">
        <v>1059</v>
      </c>
      <c r="J84" s="320" t="s">
        <v>1132</v>
      </c>
      <c r="K84" s="302">
        <v>0.11647740737999999</v>
      </c>
      <c r="O84" s="308">
        <v>0.49</v>
      </c>
      <c r="P84" s="312">
        <v>0.93790468490000001</v>
      </c>
      <c r="Q84" s="344">
        <v>0</v>
      </c>
      <c r="U84" s="126" t="s">
        <v>1059</v>
      </c>
      <c r="V84" s="131" t="s">
        <v>5948</v>
      </c>
      <c r="W84" s="132">
        <v>0.19121228330000001</v>
      </c>
      <c r="X84" s="129">
        <v>0.31700943985000002</v>
      </c>
      <c r="Y84" s="130">
        <v>0.67196782329999993</v>
      </c>
    </row>
    <row r="85" spans="8:25" ht="15.5" x14ac:dyDescent="0.35">
      <c r="H85" s="384" t="s">
        <v>1133</v>
      </c>
      <c r="I85" s="332"/>
      <c r="J85" s="320"/>
      <c r="K85" s="302"/>
      <c r="O85" s="308"/>
      <c r="P85" s="310"/>
      <c r="Q85" s="344"/>
      <c r="U85" s="126" t="s">
        <v>1059</v>
      </c>
      <c r="V85" s="131" t="s">
        <v>5949</v>
      </c>
      <c r="W85" s="132">
        <v>0.248322814</v>
      </c>
      <c r="X85" s="129">
        <v>0.31807856494999998</v>
      </c>
      <c r="Y85" s="130">
        <v>0.91468886400000005</v>
      </c>
    </row>
    <row r="86" spans="8:25" ht="15.5" x14ac:dyDescent="0.35">
      <c r="H86" s="383"/>
      <c r="I86" s="331" t="s">
        <v>1059</v>
      </c>
      <c r="J86" s="320" t="s">
        <v>1134</v>
      </c>
      <c r="K86" s="302">
        <v>0.10278127902899999</v>
      </c>
      <c r="O86" s="308">
        <v>0.33</v>
      </c>
      <c r="P86" s="312">
        <v>7.01346946195E-4</v>
      </c>
      <c r="Q86" s="344">
        <v>0</v>
      </c>
      <c r="U86" s="126" t="s">
        <v>1059</v>
      </c>
      <c r="V86" s="131" t="s">
        <v>5950</v>
      </c>
      <c r="W86" s="132">
        <v>0.19314717139999998</v>
      </c>
      <c r="X86" s="129">
        <v>0.33116053791</v>
      </c>
      <c r="Y86" s="130">
        <v>0.60418373140000003</v>
      </c>
    </row>
    <row r="87" spans="8:25" ht="15.5" x14ac:dyDescent="0.35">
      <c r="H87" s="383"/>
      <c r="I87" s="331" t="s">
        <v>1059</v>
      </c>
      <c r="J87" s="320" t="s">
        <v>1135</v>
      </c>
      <c r="K87" s="302">
        <v>0.47002232399999999</v>
      </c>
      <c r="O87" s="308">
        <v>0.86</v>
      </c>
      <c r="P87" s="312">
        <v>1.9806399796014</v>
      </c>
      <c r="Q87" s="344">
        <v>1.5890913E-2</v>
      </c>
      <c r="U87" s="126" t="s">
        <v>1059</v>
      </c>
      <c r="V87" s="131" t="s">
        <v>5951</v>
      </c>
      <c r="W87" s="132">
        <v>0.2480986348</v>
      </c>
      <c r="X87" s="129">
        <v>0.28204140119999999</v>
      </c>
      <c r="Y87" s="130">
        <v>0.67757678480000005</v>
      </c>
    </row>
    <row r="88" spans="8:25" ht="15.5" x14ac:dyDescent="0.35">
      <c r="H88" s="383"/>
      <c r="I88" s="331" t="s">
        <v>1059</v>
      </c>
      <c r="J88" s="320" t="s">
        <v>1136</v>
      </c>
      <c r="K88" s="302">
        <v>4.5607347000000006E-2</v>
      </c>
      <c r="O88" s="308">
        <v>0.08</v>
      </c>
      <c r="P88" s="312">
        <v>0.80011923848000011</v>
      </c>
      <c r="Q88" s="344">
        <v>0</v>
      </c>
      <c r="U88" s="126" t="s">
        <v>1059</v>
      </c>
      <c r="V88" s="131" t="s">
        <v>5952</v>
      </c>
      <c r="W88" s="132">
        <v>0.19130506329999999</v>
      </c>
      <c r="X88" s="129">
        <v>0.30922701896000004</v>
      </c>
      <c r="Y88" s="130">
        <v>0.71041574330000001</v>
      </c>
    </row>
    <row r="89" spans="8:25" ht="15.5" x14ac:dyDescent="0.35">
      <c r="H89" s="384" t="s">
        <v>1137</v>
      </c>
      <c r="I89" s="331"/>
      <c r="J89" s="319"/>
      <c r="K89" s="303"/>
      <c r="O89" s="308"/>
      <c r="P89" s="313"/>
      <c r="Q89" s="344"/>
      <c r="U89" s="126" t="s">
        <v>1059</v>
      </c>
      <c r="V89" s="131" t="s">
        <v>5953</v>
      </c>
      <c r="W89" s="132">
        <v>0.21200145079999999</v>
      </c>
      <c r="X89" s="129">
        <v>0.30560790567000001</v>
      </c>
      <c r="Y89" s="130">
        <v>0.80848523080000001</v>
      </c>
    </row>
    <row r="90" spans="8:25" ht="15.5" x14ac:dyDescent="0.35">
      <c r="H90" s="383"/>
      <c r="I90" s="331" t="s">
        <v>1059</v>
      </c>
      <c r="J90" s="320" t="s">
        <v>1138</v>
      </c>
      <c r="K90" s="302">
        <v>0.32900000000000001</v>
      </c>
      <c r="O90" s="308">
        <v>1.77</v>
      </c>
      <c r="P90" s="312">
        <v>0.81056528000000005</v>
      </c>
      <c r="Q90" s="344">
        <v>0</v>
      </c>
      <c r="U90" s="126" t="s">
        <v>1059</v>
      </c>
      <c r="V90" s="131" t="s">
        <v>5954</v>
      </c>
      <c r="W90" s="132">
        <v>0.20753695210000001</v>
      </c>
      <c r="X90" s="129">
        <v>0.30802486256</v>
      </c>
      <c r="Y90" s="130">
        <v>0.88751616209999995</v>
      </c>
    </row>
    <row r="91" spans="8:25" ht="15.5" x14ac:dyDescent="0.35">
      <c r="H91" s="383"/>
      <c r="I91" s="331"/>
      <c r="J91" s="319"/>
      <c r="K91" s="302"/>
      <c r="O91" s="308"/>
      <c r="P91" s="310"/>
      <c r="Q91" s="344"/>
      <c r="U91" s="126"/>
      <c r="V91" s="134"/>
      <c r="W91" s="132"/>
      <c r="X91" s="129"/>
      <c r="Y91" s="130" t="s">
        <v>6949</v>
      </c>
    </row>
    <row r="92" spans="8:25" ht="15.5" x14ac:dyDescent="0.35">
      <c r="H92" s="384" t="s">
        <v>1139</v>
      </c>
      <c r="I92" s="331"/>
      <c r="J92" s="319"/>
      <c r="K92" s="303"/>
      <c r="O92" s="308"/>
      <c r="P92" s="313"/>
      <c r="Q92" s="344"/>
      <c r="U92" s="126"/>
      <c r="V92" s="137" t="s">
        <v>5955</v>
      </c>
      <c r="W92" s="132"/>
      <c r="X92" s="129"/>
      <c r="Y92" s="130" t="s">
        <v>6949</v>
      </c>
    </row>
    <row r="93" spans="8:25" ht="15.5" x14ac:dyDescent="0.35">
      <c r="H93" s="383">
        <v>1</v>
      </c>
      <c r="I93" s="331" t="s">
        <v>1059</v>
      </c>
      <c r="J93" s="322" t="s">
        <v>1140</v>
      </c>
      <c r="K93" s="302">
        <v>1.4767563316E-2</v>
      </c>
      <c r="O93" s="308">
        <v>0.04</v>
      </c>
      <c r="P93" s="312">
        <v>2.1260035089999997E-3</v>
      </c>
      <c r="Q93" s="344">
        <v>1.9143246000000001E-11</v>
      </c>
      <c r="U93" s="126" t="s">
        <v>1059</v>
      </c>
      <c r="V93" s="131" t="s">
        <v>5956</v>
      </c>
      <c r="W93" s="132">
        <v>0.1007322079</v>
      </c>
      <c r="X93" s="129">
        <v>0.14900794697000003</v>
      </c>
      <c r="Y93" s="130">
        <v>0.19595028589999999</v>
      </c>
    </row>
    <row r="94" spans="8:25" ht="15.5" x14ac:dyDescent="0.35">
      <c r="H94" s="383">
        <v>1</v>
      </c>
      <c r="I94" s="331" t="s">
        <v>1059</v>
      </c>
      <c r="J94" s="322" t="s">
        <v>1141</v>
      </c>
      <c r="K94" s="302">
        <v>3.6312528089999997E-2</v>
      </c>
      <c r="O94" s="308">
        <v>0.14000000000000001</v>
      </c>
      <c r="P94" s="312">
        <v>9.7809372574999987E-3</v>
      </c>
      <c r="Q94" s="344">
        <v>5.1782983000000003E-10</v>
      </c>
      <c r="U94" s="126" t="s">
        <v>1059</v>
      </c>
      <c r="V94" s="131" t="s">
        <v>5957</v>
      </c>
      <c r="W94" s="132">
        <v>0.1095284171</v>
      </c>
      <c r="X94" s="129">
        <v>0.15697183317000002</v>
      </c>
      <c r="Y94" s="130">
        <v>0.21945522709999998</v>
      </c>
    </row>
    <row r="95" spans="8:25" ht="15.5" x14ac:dyDescent="0.35">
      <c r="H95" s="383">
        <v>1</v>
      </c>
      <c r="I95" s="331" t="s">
        <v>1059</v>
      </c>
      <c r="J95" s="320" t="s">
        <v>1142</v>
      </c>
      <c r="K95" s="302">
        <v>3.6624170869999995E-4</v>
      </c>
      <c r="O95" s="308">
        <v>0</v>
      </c>
      <c r="P95" s="312">
        <v>1.3727398989000002E-3</v>
      </c>
      <c r="Q95" s="344">
        <v>1.5534895E-9</v>
      </c>
      <c r="U95" s="126"/>
      <c r="V95" s="134"/>
      <c r="W95" s="132"/>
      <c r="X95" s="129"/>
      <c r="Y95" s="130" t="s">
        <v>6949</v>
      </c>
    </row>
    <row r="96" spans="8:25" ht="15.5" x14ac:dyDescent="0.35">
      <c r="H96" s="384" t="s">
        <v>1143</v>
      </c>
      <c r="I96" s="332"/>
      <c r="J96" s="319"/>
      <c r="K96" s="303"/>
      <c r="O96" s="308"/>
      <c r="P96" s="313"/>
      <c r="Q96" s="344"/>
      <c r="U96" s="126"/>
      <c r="V96" s="137" t="s">
        <v>5958</v>
      </c>
      <c r="W96" s="132"/>
      <c r="X96" s="129"/>
      <c r="Y96" s="130" t="s">
        <v>6949</v>
      </c>
    </row>
    <row r="97" spans="8:25" ht="15.5" x14ac:dyDescent="0.35">
      <c r="H97" s="383">
        <v>1</v>
      </c>
      <c r="I97" s="331" t="s">
        <v>1059</v>
      </c>
      <c r="J97" s="320" t="s">
        <v>1144</v>
      </c>
      <c r="K97" s="302">
        <v>0.15906561973390002</v>
      </c>
      <c r="O97" s="308">
        <v>0.22</v>
      </c>
      <c r="P97" s="312">
        <v>0.80340222003299999</v>
      </c>
      <c r="Q97" s="344">
        <v>5.1782983000000003E-10</v>
      </c>
      <c r="U97" s="126" t="s">
        <v>1059</v>
      </c>
      <c r="V97" s="131" t="s">
        <v>5959</v>
      </c>
      <c r="W97" s="132">
        <v>0.85671918259999991</v>
      </c>
      <c r="X97" s="129">
        <v>0.35832789337999998</v>
      </c>
      <c r="Y97" s="130">
        <v>1.5845846425999999</v>
      </c>
    </row>
    <row r="98" spans="8:25" ht="15.5" x14ac:dyDescent="0.35">
      <c r="H98" s="384" t="s">
        <v>1145</v>
      </c>
      <c r="I98" s="331"/>
      <c r="J98" s="319"/>
      <c r="K98" s="303"/>
      <c r="O98" s="308"/>
      <c r="P98" s="313"/>
      <c r="Q98" s="344"/>
      <c r="U98" s="126" t="s">
        <v>1059</v>
      </c>
      <c r="V98" s="131" t="s">
        <v>5960</v>
      </c>
      <c r="W98" s="132">
        <v>0.86306187960000003</v>
      </c>
      <c r="X98" s="129">
        <v>0.36132319343000002</v>
      </c>
      <c r="Y98" s="130">
        <v>1.5948812796</v>
      </c>
    </row>
    <row r="99" spans="8:25" ht="15.5" x14ac:dyDescent="0.35">
      <c r="H99" s="383">
        <v>1</v>
      </c>
      <c r="I99" s="331" t="s">
        <v>1059</v>
      </c>
      <c r="J99" s="320" t="s">
        <v>1146</v>
      </c>
      <c r="K99" s="302">
        <v>6.7159070000000001E-3</v>
      </c>
      <c r="O99" s="308">
        <v>0.04</v>
      </c>
      <c r="P99" s="312">
        <v>7.4759999999999996E-5</v>
      </c>
      <c r="Q99" s="344">
        <v>0</v>
      </c>
      <c r="U99" s="126" t="s">
        <v>1059</v>
      </c>
      <c r="V99" s="131" t="s">
        <v>5961</v>
      </c>
      <c r="W99" s="132">
        <v>0.85493046770000014</v>
      </c>
      <c r="X99" s="129">
        <v>0.36107161808999999</v>
      </c>
      <c r="Y99" s="130">
        <v>1.5794783277000002</v>
      </c>
    </row>
    <row r="100" spans="8:25" ht="15.5" x14ac:dyDescent="0.35">
      <c r="H100" s="383"/>
      <c r="I100" s="331" t="s">
        <v>1059</v>
      </c>
      <c r="J100" s="320" t="s">
        <v>1147</v>
      </c>
      <c r="K100" s="302">
        <v>7.4821391100000001E-3</v>
      </c>
      <c r="O100" s="308">
        <v>0.03</v>
      </c>
      <c r="P100" s="312">
        <v>2.0601367000000001E-10</v>
      </c>
      <c r="Q100" s="344">
        <v>0</v>
      </c>
      <c r="U100" s="126" t="s">
        <v>1059</v>
      </c>
      <c r="V100" s="131" t="s">
        <v>5962</v>
      </c>
      <c r="W100" s="132">
        <v>0.85250620399999999</v>
      </c>
      <c r="X100" s="129">
        <v>0.35922186693000002</v>
      </c>
      <c r="Y100" s="130">
        <v>1.5748686439999999</v>
      </c>
    </row>
    <row r="101" spans="8:25" ht="15.5" x14ac:dyDescent="0.35">
      <c r="H101" s="383">
        <v>1</v>
      </c>
      <c r="I101" s="331" t="s">
        <v>1059</v>
      </c>
      <c r="J101" s="320" t="s">
        <v>1148</v>
      </c>
      <c r="K101" s="302">
        <v>3.6794209000000004E-3</v>
      </c>
      <c r="O101" s="308">
        <v>0.05</v>
      </c>
      <c r="P101" s="312">
        <v>3.2928000000000001E-5</v>
      </c>
      <c r="Q101" s="344">
        <v>0</v>
      </c>
      <c r="U101" s="126" t="s">
        <v>1059</v>
      </c>
      <c r="V101" s="131" t="s">
        <v>5963</v>
      </c>
      <c r="W101" s="132">
        <v>8.3157546019999987E-2</v>
      </c>
      <c r="X101" s="129">
        <v>3.4756200268999997E-2</v>
      </c>
      <c r="Y101" s="130">
        <v>0.14588830401999997</v>
      </c>
    </row>
    <row r="102" spans="8:25" ht="15.5" x14ac:dyDescent="0.35">
      <c r="H102" s="383">
        <v>1</v>
      </c>
      <c r="I102" s="331" t="s">
        <v>1059</v>
      </c>
      <c r="J102" s="320" t="s">
        <v>1149</v>
      </c>
      <c r="K102" s="302">
        <v>9.8349799999999997E-4</v>
      </c>
      <c r="O102" s="308">
        <v>0.02</v>
      </c>
      <c r="P102" s="312">
        <v>0</v>
      </c>
      <c r="Q102" s="344">
        <v>0</v>
      </c>
      <c r="U102" s="126" t="s">
        <v>1059</v>
      </c>
      <c r="V102" s="131" t="s">
        <v>5964</v>
      </c>
      <c r="W102" s="132">
        <v>1.038974745</v>
      </c>
      <c r="X102" s="129">
        <v>0.43424578793000002</v>
      </c>
      <c r="Y102" s="130">
        <v>1.822736135</v>
      </c>
    </row>
    <row r="103" spans="8:25" ht="15.5" x14ac:dyDescent="0.35">
      <c r="H103" s="384" t="s">
        <v>1150</v>
      </c>
      <c r="I103" s="332"/>
      <c r="J103" s="319"/>
      <c r="K103" s="303"/>
      <c r="O103" s="308"/>
      <c r="P103" s="313"/>
      <c r="Q103" s="344"/>
      <c r="U103" s="126"/>
      <c r="V103" s="134"/>
      <c r="W103" s="132"/>
      <c r="X103" s="129"/>
      <c r="Y103" s="130" t="s">
        <v>6949</v>
      </c>
    </row>
    <row r="104" spans="8:25" ht="15.5" x14ac:dyDescent="0.35">
      <c r="H104" s="383">
        <v>1</v>
      </c>
      <c r="I104" s="331" t="s">
        <v>1151</v>
      </c>
      <c r="J104" s="320" t="s">
        <v>1152</v>
      </c>
      <c r="K104" s="302">
        <v>12.163638689999999</v>
      </c>
      <c r="O104" s="308">
        <v>48.09</v>
      </c>
      <c r="P104" s="312">
        <v>4.5349720784000001</v>
      </c>
      <c r="Q104" s="344">
        <v>3.4135795000000001E-7</v>
      </c>
      <c r="U104" s="126"/>
      <c r="V104" s="137" t="s">
        <v>5965</v>
      </c>
      <c r="W104" s="132"/>
      <c r="X104" s="129"/>
      <c r="Y104" s="130" t="s">
        <v>6949</v>
      </c>
    </row>
    <row r="105" spans="8:25" ht="15.5" x14ac:dyDescent="0.35">
      <c r="H105" s="383">
        <v>1</v>
      </c>
      <c r="I105" s="331" t="s">
        <v>1151</v>
      </c>
      <c r="J105" s="320" t="s">
        <v>1153</v>
      </c>
      <c r="K105" s="302">
        <v>19.272994260000001</v>
      </c>
      <c r="O105" s="308">
        <v>77.2</v>
      </c>
      <c r="P105" s="312">
        <v>12.798391222999999</v>
      </c>
      <c r="Q105" s="344">
        <v>4.9559433000000004E-7</v>
      </c>
      <c r="U105" s="126" t="s">
        <v>1059</v>
      </c>
      <c r="V105" s="131" t="s">
        <v>5966</v>
      </c>
      <c r="W105" s="132">
        <v>0.20424261672999999</v>
      </c>
      <c r="X105" s="129">
        <v>0.1248959441</v>
      </c>
      <c r="Y105" s="130">
        <v>0.44248209673</v>
      </c>
    </row>
    <row r="106" spans="8:25" ht="15.5" x14ac:dyDescent="0.35">
      <c r="H106" s="384" t="s">
        <v>1154</v>
      </c>
      <c r="I106" s="332"/>
      <c r="J106" s="319"/>
      <c r="K106" s="303"/>
      <c r="O106" s="308"/>
      <c r="P106" s="313"/>
      <c r="Q106" s="344"/>
      <c r="U106" s="126" t="s">
        <v>1059</v>
      </c>
      <c r="V106" s="131" t="s">
        <v>5967</v>
      </c>
      <c r="W106" s="132">
        <v>0.36958480719000003</v>
      </c>
      <c r="X106" s="129">
        <v>0.12106011793000002</v>
      </c>
      <c r="Y106" s="130">
        <v>0.63362898719000005</v>
      </c>
    </row>
    <row r="107" spans="8:25" ht="15.5" x14ac:dyDescent="0.35">
      <c r="H107" s="383">
        <v>1</v>
      </c>
      <c r="I107" s="331" t="s">
        <v>1059</v>
      </c>
      <c r="J107" s="320" t="s">
        <v>1155</v>
      </c>
      <c r="K107" s="302">
        <v>4.6138010359999995E-2</v>
      </c>
      <c r="O107" s="308">
        <v>0.16</v>
      </c>
      <c r="P107" s="312">
        <v>0.11058273326</v>
      </c>
      <c r="Q107" s="344">
        <v>2.5872056E-8</v>
      </c>
      <c r="U107" s="126" t="s">
        <v>1059</v>
      </c>
      <c r="V107" s="131" t="s">
        <v>5968</v>
      </c>
      <c r="W107" s="132">
        <v>0.10209227914999999</v>
      </c>
      <c r="X107" s="129">
        <v>6.2430222164000002E-2</v>
      </c>
      <c r="Y107" s="130">
        <v>0.22117815915</v>
      </c>
    </row>
    <row r="108" spans="8:25" ht="15.5" x14ac:dyDescent="0.35">
      <c r="H108" s="383">
        <v>1</v>
      </c>
      <c r="I108" s="331" t="s">
        <v>1059</v>
      </c>
      <c r="J108" s="320" t="s">
        <v>1156</v>
      </c>
      <c r="K108" s="302">
        <v>0.18450359570000002</v>
      </c>
      <c r="O108" s="308">
        <v>0.53</v>
      </c>
      <c r="P108" s="312">
        <v>2.3739621290000002E-2</v>
      </c>
      <c r="Q108" s="344">
        <v>2.4165392000000001E-8</v>
      </c>
      <c r="U108" s="126" t="s">
        <v>1059</v>
      </c>
      <c r="V108" s="131" t="s">
        <v>5969</v>
      </c>
      <c r="W108" s="132">
        <v>0.18473987647000001</v>
      </c>
      <c r="X108" s="129">
        <v>6.0512855710999999E-2</v>
      </c>
      <c r="Y108" s="130">
        <v>0.31672443647000004</v>
      </c>
    </row>
    <row r="109" spans="8:25" ht="15.5" x14ac:dyDescent="0.35">
      <c r="H109" s="383">
        <v>1</v>
      </c>
      <c r="I109" s="331" t="s">
        <v>1059</v>
      </c>
      <c r="J109" s="320" t="s">
        <v>1157</v>
      </c>
      <c r="K109" s="302">
        <v>9.7760233599999996E-2</v>
      </c>
      <c r="O109" s="308">
        <v>0.25</v>
      </c>
      <c r="P109" s="312">
        <v>3.0962998590000002E-2</v>
      </c>
      <c r="Q109" s="344">
        <v>2.4165392000000001E-8</v>
      </c>
      <c r="U109" s="126"/>
      <c r="V109" s="134"/>
      <c r="W109" s="132"/>
      <c r="X109" s="129"/>
      <c r="Y109" s="130" t="s">
        <v>6949</v>
      </c>
    </row>
    <row r="110" spans="8:25" ht="15.5" x14ac:dyDescent="0.35">
      <c r="H110" s="384" t="s">
        <v>1158</v>
      </c>
      <c r="I110" s="332"/>
      <c r="J110" s="319"/>
      <c r="K110" s="302"/>
      <c r="O110" s="308"/>
      <c r="P110" s="310"/>
      <c r="Q110" s="344"/>
      <c r="U110" s="126"/>
      <c r="V110" s="137" t="s">
        <v>5970</v>
      </c>
      <c r="W110" s="132"/>
      <c r="X110" s="129"/>
      <c r="Y110" s="130" t="s">
        <v>6949</v>
      </c>
    </row>
    <row r="111" spans="8:25" ht="15.5" x14ac:dyDescent="0.35">
      <c r="H111" s="383">
        <v>1</v>
      </c>
      <c r="I111" s="331" t="s">
        <v>1059</v>
      </c>
      <c r="J111" s="322" t="s">
        <v>1159</v>
      </c>
      <c r="K111" s="302">
        <v>2.0011920756000002E-4</v>
      </c>
      <c r="O111" s="308">
        <v>0</v>
      </c>
      <c r="P111" s="312">
        <v>2.705941931762E-4</v>
      </c>
      <c r="Q111" s="344">
        <v>1.6491395999999999E-12</v>
      </c>
      <c r="U111" s="126" t="s">
        <v>1059</v>
      </c>
      <c r="V111" s="131" t="s">
        <v>5971</v>
      </c>
      <c r="W111" s="132">
        <v>0.29877984030000004</v>
      </c>
      <c r="X111" s="129">
        <v>0.13316954781999996</v>
      </c>
      <c r="Y111" s="130">
        <v>0.59284474030000012</v>
      </c>
    </row>
    <row r="112" spans="8:25" ht="15.5" x14ac:dyDescent="0.35">
      <c r="H112" s="383">
        <v>1</v>
      </c>
      <c r="I112" s="331" t="s">
        <v>1059</v>
      </c>
      <c r="J112" s="320" t="s">
        <v>1160</v>
      </c>
      <c r="K112" s="302">
        <v>7.6475175200000009E-3</v>
      </c>
      <c r="O112" s="308">
        <v>0.04</v>
      </c>
      <c r="P112" s="312">
        <v>1.8549141688999999E-3</v>
      </c>
      <c r="Q112" s="344">
        <v>6.0292654E-11</v>
      </c>
      <c r="U112" s="126" t="s">
        <v>1059</v>
      </c>
      <c r="V112" s="131" t="s">
        <v>5972</v>
      </c>
      <c r="W112" s="132">
        <v>0.74753169599999991</v>
      </c>
      <c r="X112" s="129">
        <v>0.33318332373999998</v>
      </c>
      <c r="Y112" s="130">
        <v>1.483266856</v>
      </c>
    </row>
    <row r="113" spans="8:25" ht="15.5" x14ac:dyDescent="0.35">
      <c r="H113" s="383">
        <v>1</v>
      </c>
      <c r="I113" s="331" t="s">
        <v>1059</v>
      </c>
      <c r="J113" s="322" t="s">
        <v>1161</v>
      </c>
      <c r="K113" s="302">
        <v>2.4617117089999999E-4</v>
      </c>
      <c r="O113" s="308">
        <v>0</v>
      </c>
      <c r="P113" s="312">
        <v>9.4665507929999997E-4</v>
      </c>
      <c r="Q113" s="344">
        <v>5.2281584000000004E-10</v>
      </c>
      <c r="U113" s="126" t="s">
        <v>1059</v>
      </c>
      <c r="V113" s="131" t="s">
        <v>5973</v>
      </c>
      <c r="W113" s="132">
        <v>0.6235647338000001</v>
      </c>
      <c r="X113" s="129">
        <v>0.27747791679</v>
      </c>
      <c r="Y113" s="130">
        <v>1.3130092038000001</v>
      </c>
    </row>
    <row r="114" spans="8:25" ht="15.5" x14ac:dyDescent="0.35">
      <c r="H114" s="383">
        <v>1</v>
      </c>
      <c r="I114" s="331" t="s">
        <v>1059</v>
      </c>
      <c r="J114" s="320" t="s">
        <v>1162</v>
      </c>
      <c r="K114" s="302">
        <v>1.7201078510000001E-4</v>
      </c>
      <c r="O114" s="308">
        <v>0</v>
      </c>
      <c r="P114" s="312">
        <v>7.5006247929999999E-4</v>
      </c>
      <c r="Q114" s="344">
        <v>7.9990799000000002E-12</v>
      </c>
      <c r="U114" s="126" t="s">
        <v>1059</v>
      </c>
      <c r="V114" s="131" t="s">
        <v>5974</v>
      </c>
      <c r="W114" s="132">
        <v>0.62990744060000003</v>
      </c>
      <c r="X114" s="129">
        <v>0.28047322583000001</v>
      </c>
      <c r="Y114" s="130">
        <v>1.3233058606000001</v>
      </c>
    </row>
    <row r="115" spans="8:25" ht="15.5" x14ac:dyDescent="0.35">
      <c r="H115" s="383"/>
      <c r="I115" s="331" t="s">
        <v>1059</v>
      </c>
      <c r="J115" s="320" t="s">
        <v>1163</v>
      </c>
      <c r="K115" s="302">
        <v>3.032800269E-6</v>
      </c>
      <c r="O115" s="308">
        <v>0</v>
      </c>
      <c r="P115" s="312">
        <v>2.7809257614999998E-5</v>
      </c>
      <c r="Q115" s="344">
        <v>3.2105449000000002E-13</v>
      </c>
      <c r="U115" s="126" t="s">
        <v>1059</v>
      </c>
      <c r="V115" s="131" t="s">
        <v>5975</v>
      </c>
      <c r="W115" s="132">
        <v>0.62177602880000005</v>
      </c>
      <c r="X115" s="129">
        <v>0.28022165049000003</v>
      </c>
      <c r="Y115" s="130">
        <v>1.3079029088</v>
      </c>
    </row>
    <row r="116" spans="8:25" ht="15.5" x14ac:dyDescent="0.35">
      <c r="H116" s="383">
        <v>1</v>
      </c>
      <c r="I116" s="331" t="s">
        <v>1059</v>
      </c>
      <c r="J116" s="320" t="s">
        <v>1164</v>
      </c>
      <c r="K116" s="302">
        <v>9.0755456700000015E-2</v>
      </c>
      <c r="O116" s="308">
        <v>0.27</v>
      </c>
      <c r="P116" s="312">
        <v>0.58738704639999995</v>
      </c>
      <c r="Q116" s="344">
        <v>6.3640780999999994E-8</v>
      </c>
      <c r="U116" s="126" t="s">
        <v>1059</v>
      </c>
      <c r="V116" s="131" t="s">
        <v>5976</v>
      </c>
      <c r="W116" s="132">
        <v>0.61935175479999993</v>
      </c>
      <c r="X116" s="129">
        <v>0.27837189932999995</v>
      </c>
      <c r="Y116" s="130">
        <v>1.3032932047999999</v>
      </c>
    </row>
    <row r="117" spans="8:25" ht="15.5" x14ac:dyDescent="0.35">
      <c r="H117" s="383">
        <v>1</v>
      </c>
      <c r="I117" s="331" t="s">
        <v>1059</v>
      </c>
      <c r="J117" s="320" t="s">
        <v>1165</v>
      </c>
      <c r="K117" s="302">
        <v>2.8370948E-2</v>
      </c>
      <c r="O117" s="308">
        <v>0.25</v>
      </c>
      <c r="P117" s="312">
        <v>8.7999999999999995E-2</v>
      </c>
      <c r="Q117" s="344">
        <v>0</v>
      </c>
      <c r="U117" s="126"/>
      <c r="V117" s="134"/>
      <c r="W117" s="132"/>
      <c r="X117" s="129"/>
      <c r="Y117" s="130" t="s">
        <v>6949</v>
      </c>
    </row>
    <row r="118" spans="8:25" ht="15.5" x14ac:dyDescent="0.35">
      <c r="H118" s="383">
        <v>1</v>
      </c>
      <c r="I118" s="331" t="s">
        <v>1059</v>
      </c>
      <c r="J118" s="320" t="s">
        <v>1166</v>
      </c>
      <c r="K118" s="302">
        <v>9.8165050420000009E-5</v>
      </c>
      <c r="O118" s="308">
        <v>0</v>
      </c>
      <c r="P118" s="312">
        <v>2.4745347194999999E-4</v>
      </c>
      <c r="Q118" s="344">
        <v>2.2415143999999999E-12</v>
      </c>
      <c r="U118" s="126"/>
      <c r="V118" s="137" t="s">
        <v>5977</v>
      </c>
      <c r="W118" s="132"/>
      <c r="X118" s="129"/>
      <c r="Y118" s="130" t="s">
        <v>6949</v>
      </c>
    </row>
    <row r="119" spans="8:25" ht="15.5" x14ac:dyDescent="0.35">
      <c r="H119" s="384" t="s">
        <v>1167</v>
      </c>
      <c r="I119" s="332"/>
      <c r="J119" s="319"/>
      <c r="K119" s="303"/>
      <c r="O119" s="308"/>
      <c r="P119" s="313"/>
      <c r="Q119" s="344"/>
      <c r="U119" s="126" t="s">
        <v>1059</v>
      </c>
      <c r="V119" s="131" t="s">
        <v>5978</v>
      </c>
      <c r="W119" s="132">
        <v>0.28425777130000002</v>
      </c>
      <c r="X119" s="129">
        <v>0.1322477842</v>
      </c>
      <c r="Y119" s="130">
        <v>0.5504413413</v>
      </c>
    </row>
    <row r="120" spans="8:25" ht="15.5" x14ac:dyDescent="0.35">
      <c r="H120" s="383">
        <v>1</v>
      </c>
      <c r="I120" s="331" t="s">
        <v>1059</v>
      </c>
      <c r="J120" s="320" t="s">
        <v>1168</v>
      </c>
      <c r="K120" s="302">
        <v>8.8726355300000004E-2</v>
      </c>
      <c r="O120" s="308">
        <v>0.21</v>
      </c>
      <c r="P120" s="312">
        <v>0.56210248723139999</v>
      </c>
      <c r="Q120" s="344">
        <v>6.0725596999999997E-3</v>
      </c>
      <c r="U120" s="126" t="s">
        <v>1059</v>
      </c>
      <c r="V120" s="131" t="s">
        <v>5979</v>
      </c>
      <c r="W120" s="132">
        <v>0.31999050389999995</v>
      </c>
      <c r="X120" s="129">
        <v>0.13312110156000001</v>
      </c>
      <c r="Y120" s="130">
        <v>0.61712317389999993</v>
      </c>
    </row>
    <row r="121" spans="8:25" ht="15.5" x14ac:dyDescent="0.35">
      <c r="H121" s="383">
        <v>1</v>
      </c>
      <c r="I121" s="331" t="s">
        <v>1059</v>
      </c>
      <c r="J121" s="320" t="s">
        <v>1169</v>
      </c>
      <c r="K121" s="302">
        <v>0.245508116</v>
      </c>
      <c r="O121" s="308">
        <v>0.48</v>
      </c>
      <c r="P121" s="312">
        <v>1.5107811313014001</v>
      </c>
      <c r="Q121" s="344">
        <v>1.3487993E-2</v>
      </c>
      <c r="U121" s="126" t="s">
        <v>1059</v>
      </c>
      <c r="V121" s="131" t="s">
        <v>5980</v>
      </c>
      <c r="W121" s="132">
        <v>0.2488162106</v>
      </c>
      <c r="X121" s="129">
        <v>0.13113728575</v>
      </c>
      <c r="Y121" s="130">
        <v>0.4842639406</v>
      </c>
    </row>
    <row r="122" spans="8:25" ht="15.5" x14ac:dyDescent="0.35">
      <c r="H122" s="383">
        <v>1</v>
      </c>
      <c r="I122" s="331" t="s">
        <v>1059</v>
      </c>
      <c r="J122" s="320" t="s">
        <v>1170</v>
      </c>
      <c r="K122" s="302">
        <v>0.36628517799999999</v>
      </c>
      <c r="O122" s="308">
        <v>0.72</v>
      </c>
      <c r="P122" s="312">
        <v>0.95891648771630011</v>
      </c>
      <c r="Q122" s="344">
        <v>8.4564189999999997E-3</v>
      </c>
      <c r="U122" s="126" t="s">
        <v>1059</v>
      </c>
      <c r="V122" s="131" t="s">
        <v>5981</v>
      </c>
      <c r="W122" s="132">
        <v>4.3255615860000001</v>
      </c>
      <c r="X122" s="129">
        <v>1.7212453694999998</v>
      </c>
      <c r="Y122" s="130">
        <v>9.5738064860000005</v>
      </c>
    </row>
    <row r="123" spans="8:25" ht="15.5" x14ac:dyDescent="0.35">
      <c r="H123" s="383">
        <v>1</v>
      </c>
      <c r="I123" s="331" t="s">
        <v>1059</v>
      </c>
      <c r="J123" s="320" t="s">
        <v>1171</v>
      </c>
      <c r="K123" s="302">
        <v>0.3197134479</v>
      </c>
      <c r="O123" s="308">
        <v>0.56000000000000005</v>
      </c>
      <c r="P123" s="312">
        <v>0.49179187571630001</v>
      </c>
      <c r="Q123" s="344">
        <v>4.8606724999999996E-3</v>
      </c>
      <c r="U123" s="126" t="s">
        <v>1059</v>
      </c>
      <c r="V123" s="131" t="s">
        <v>5982</v>
      </c>
      <c r="W123" s="132">
        <v>0.10011882790999999</v>
      </c>
      <c r="X123" s="129">
        <v>3.9839697946000001E-2</v>
      </c>
      <c r="Y123" s="130">
        <v>0.22159394790999998</v>
      </c>
    </row>
    <row r="124" spans="8:25" ht="15.5" x14ac:dyDescent="0.35">
      <c r="H124" s="383">
        <v>1</v>
      </c>
      <c r="I124" s="331" t="s">
        <v>1059</v>
      </c>
      <c r="J124" s="320" t="s">
        <v>1172</v>
      </c>
      <c r="K124" s="302">
        <v>0.50262252600000001</v>
      </c>
      <c r="O124" s="308">
        <v>0.98</v>
      </c>
      <c r="P124" s="312">
        <v>2.3076272356013998</v>
      </c>
      <c r="Q124" s="344">
        <v>1.8407936E-2</v>
      </c>
      <c r="U124" s="126" t="s">
        <v>1059</v>
      </c>
      <c r="V124" s="131" t="s">
        <v>5983</v>
      </c>
      <c r="W124" s="132">
        <v>0.28646213819999999</v>
      </c>
      <c r="X124" s="129">
        <v>0.14134852245999999</v>
      </c>
      <c r="Y124" s="130">
        <v>0.55880261819999999</v>
      </c>
    </row>
    <row r="125" spans="8:25" ht="15.5" x14ac:dyDescent="0.35">
      <c r="H125" s="383">
        <v>1</v>
      </c>
      <c r="I125" s="331" t="s">
        <v>1059</v>
      </c>
      <c r="J125" s="320" t="s">
        <v>1173</v>
      </c>
      <c r="K125" s="302">
        <v>0.47002232399999999</v>
      </c>
      <c r="O125" s="308">
        <v>0.86</v>
      </c>
      <c r="P125" s="312">
        <v>1.9806399796014</v>
      </c>
      <c r="Q125" s="344">
        <v>1.5890913E-2</v>
      </c>
      <c r="U125" s="126" t="s">
        <v>1059</v>
      </c>
      <c r="V125" s="131" t="s">
        <v>5984</v>
      </c>
      <c r="W125" s="132">
        <v>0.31679956460000003</v>
      </c>
      <c r="X125" s="129">
        <v>0.14161378341000003</v>
      </c>
      <c r="Y125" s="130">
        <v>0.6163014846</v>
      </c>
    </row>
    <row r="126" spans="8:25" ht="15.5" x14ac:dyDescent="0.35">
      <c r="H126" s="383">
        <v>1</v>
      </c>
      <c r="I126" s="331" t="s">
        <v>1059</v>
      </c>
      <c r="J126" s="320" t="s">
        <v>1174</v>
      </c>
      <c r="K126" s="302">
        <v>1.156467627684</v>
      </c>
      <c r="O126" s="308">
        <v>1.1599999999999999</v>
      </c>
      <c r="P126" s="312">
        <v>0</v>
      </c>
      <c r="Q126" s="344">
        <v>0</v>
      </c>
      <c r="U126" s="126" t="s">
        <v>1059</v>
      </c>
      <c r="V126" s="131" t="s">
        <v>5985</v>
      </c>
      <c r="W126" s="132">
        <v>0.2560810141</v>
      </c>
      <c r="X126" s="129">
        <v>0.14108273733999999</v>
      </c>
      <c r="Y126" s="130">
        <v>0.50122090409999998</v>
      </c>
    </row>
    <row r="127" spans="8:25" ht="15.5" x14ac:dyDescent="0.35">
      <c r="H127" s="383"/>
      <c r="I127" s="331"/>
      <c r="J127" s="319"/>
      <c r="K127" s="303"/>
      <c r="O127" s="308"/>
      <c r="P127" s="313"/>
      <c r="Q127" s="344"/>
      <c r="U127" s="126" t="s">
        <v>1059</v>
      </c>
      <c r="V127" s="131" t="s">
        <v>5986</v>
      </c>
      <c r="W127" s="132">
        <v>0.33713125290000001</v>
      </c>
      <c r="X127" s="129">
        <v>0.15684659139999999</v>
      </c>
      <c r="Y127" s="130">
        <v>0.65282641289999999</v>
      </c>
    </row>
    <row r="128" spans="8:25" ht="15.5" x14ac:dyDescent="0.35">
      <c r="H128" s="384" t="s">
        <v>1175</v>
      </c>
      <c r="I128" s="332"/>
      <c r="J128" s="319"/>
      <c r="K128" s="303"/>
      <c r="O128" s="308"/>
      <c r="P128" s="313"/>
      <c r="Q128" s="344"/>
      <c r="U128" s="126" t="s">
        <v>1059</v>
      </c>
      <c r="V128" s="131" t="s">
        <v>5987</v>
      </c>
      <c r="W128" s="132">
        <v>0.37475723849999998</v>
      </c>
      <c r="X128" s="129">
        <v>0.15590493042999998</v>
      </c>
      <c r="Y128" s="130">
        <v>0.7227444985</v>
      </c>
    </row>
    <row r="129" spans="8:25" ht="15.5" x14ac:dyDescent="0.35">
      <c r="H129" s="383"/>
      <c r="I129" s="331" t="s">
        <v>1176</v>
      </c>
      <c r="J129" s="320" t="s">
        <v>1177</v>
      </c>
      <c r="K129" s="302">
        <v>9.5985647910000003E-3</v>
      </c>
      <c r="O129" s="308">
        <v>0.02</v>
      </c>
      <c r="P129" s="312">
        <v>1.0121222569999999E-2</v>
      </c>
      <c r="Q129" s="344">
        <v>0</v>
      </c>
      <c r="U129" s="126" t="s">
        <v>1059</v>
      </c>
      <c r="V129" s="131" t="s">
        <v>5988</v>
      </c>
      <c r="W129" s="132">
        <v>0.29944711830000004</v>
      </c>
      <c r="X129" s="129">
        <v>0.15782203142000001</v>
      </c>
      <c r="Y129" s="130">
        <v>0.58280542830000004</v>
      </c>
    </row>
    <row r="130" spans="8:25" ht="15.5" x14ac:dyDescent="0.35">
      <c r="H130" s="383"/>
      <c r="I130" s="331" t="s">
        <v>1176</v>
      </c>
      <c r="J130" s="320" t="s">
        <v>1178</v>
      </c>
      <c r="K130" s="302">
        <v>7.7929635560000002E-2</v>
      </c>
      <c r="O130" s="308">
        <v>0.1</v>
      </c>
      <c r="P130" s="312">
        <v>7.917046157709999E-2</v>
      </c>
      <c r="Q130" s="344">
        <v>0</v>
      </c>
      <c r="U130" s="126"/>
      <c r="V130" s="134"/>
      <c r="W130" s="132"/>
      <c r="X130" s="129"/>
      <c r="Y130" s="130" t="s">
        <v>6949</v>
      </c>
    </row>
    <row r="131" spans="8:25" ht="15.5" x14ac:dyDescent="0.35">
      <c r="H131" s="383"/>
      <c r="I131" s="331" t="s">
        <v>1176</v>
      </c>
      <c r="J131" s="320" t="s">
        <v>1179</v>
      </c>
      <c r="K131" s="302">
        <v>21.756725979999999</v>
      </c>
      <c r="O131" s="308">
        <v>131.97</v>
      </c>
      <c r="P131" s="312">
        <v>8.6144356945555991</v>
      </c>
      <c r="Q131" s="344">
        <v>0</v>
      </c>
      <c r="U131" s="126"/>
      <c r="V131" s="137" t="s">
        <v>5989</v>
      </c>
      <c r="W131" s="132"/>
      <c r="X131" s="129"/>
      <c r="Y131" s="130" t="s">
        <v>6949</v>
      </c>
    </row>
    <row r="132" spans="8:25" ht="15.5" x14ac:dyDescent="0.35">
      <c r="H132" s="383"/>
      <c r="I132" s="331" t="s">
        <v>1176</v>
      </c>
      <c r="J132" s="320" t="s">
        <v>1180</v>
      </c>
      <c r="K132" s="302">
        <v>11.24178178</v>
      </c>
      <c r="O132" s="308">
        <v>68.19</v>
      </c>
      <c r="P132" s="312">
        <v>8.1626307857765994</v>
      </c>
      <c r="Q132" s="344">
        <v>0</v>
      </c>
      <c r="U132" s="126" t="s">
        <v>1059</v>
      </c>
      <c r="V132" s="131" t="s">
        <v>5990</v>
      </c>
      <c r="W132" s="132">
        <v>0.1523747433</v>
      </c>
      <c r="X132" s="129">
        <v>6.8573425849999994E-2</v>
      </c>
      <c r="Y132" s="130">
        <v>0.25953062329999999</v>
      </c>
    </row>
    <row r="133" spans="8:25" ht="15.5" x14ac:dyDescent="0.35">
      <c r="H133" s="383"/>
      <c r="I133" s="331" t="s">
        <v>1181</v>
      </c>
      <c r="J133" s="320" t="s">
        <v>1182</v>
      </c>
      <c r="K133" s="302">
        <v>5.61461563E-2</v>
      </c>
      <c r="O133" s="308">
        <v>7.0000000000000007E-2</v>
      </c>
      <c r="P133" s="312">
        <v>7.4018397890009996E-2</v>
      </c>
      <c r="Q133" s="344">
        <v>2.8739379000000001E-5</v>
      </c>
      <c r="U133" s="126" t="s">
        <v>1059</v>
      </c>
      <c r="V133" s="131" t="s">
        <v>5991</v>
      </c>
      <c r="W133" s="132">
        <v>0.1020143466</v>
      </c>
      <c r="X133" s="129">
        <v>7.4147639890000006E-2</v>
      </c>
      <c r="Y133" s="130">
        <v>0.1984651586</v>
      </c>
    </row>
    <row r="134" spans="8:25" ht="15.5" x14ac:dyDescent="0.35">
      <c r="H134" s="383"/>
      <c r="I134" s="331" t="s">
        <v>1059</v>
      </c>
      <c r="J134" s="320" t="s">
        <v>1183</v>
      </c>
      <c r="K134" s="302">
        <v>0.92988773100000011</v>
      </c>
      <c r="O134" s="308">
        <v>1.43</v>
      </c>
      <c r="P134" s="312">
        <v>1.13585471193</v>
      </c>
      <c r="Q134" s="344">
        <v>4.3110364E-4</v>
      </c>
      <c r="U134" s="126" t="s">
        <v>1059</v>
      </c>
      <c r="V134" s="131" t="s">
        <v>5992</v>
      </c>
      <c r="W134" s="132">
        <v>9.7221334150000005E-2</v>
      </c>
      <c r="X134" s="129">
        <v>5.9753189570000032E-2</v>
      </c>
      <c r="Y134" s="130">
        <v>0.19592968515</v>
      </c>
    </row>
    <row r="135" spans="8:25" ht="15.5" x14ac:dyDescent="0.35">
      <c r="H135" s="383"/>
      <c r="I135" s="331" t="s">
        <v>1059</v>
      </c>
      <c r="J135" s="320" t="s">
        <v>1184</v>
      </c>
      <c r="K135" s="302">
        <v>973.52808089999996</v>
      </c>
      <c r="O135" s="308">
        <v>3072.14</v>
      </c>
      <c r="P135" s="312">
        <v>753.15193120000004</v>
      </c>
      <c r="Q135" s="344">
        <v>0</v>
      </c>
      <c r="U135" s="126" t="s">
        <v>1059</v>
      </c>
      <c r="V135" s="131" t="s">
        <v>5993</v>
      </c>
      <c r="W135" s="132">
        <v>8.1578058849999996E-2</v>
      </c>
      <c r="X135" s="129">
        <v>6.2144414310000007E-2</v>
      </c>
      <c r="Y135" s="130">
        <v>0.17229454184999998</v>
      </c>
    </row>
    <row r="136" spans="8:25" ht="15.5" x14ac:dyDescent="0.35">
      <c r="H136" s="383"/>
      <c r="I136" s="331" t="s">
        <v>1059</v>
      </c>
      <c r="J136" s="320" t="s">
        <v>1185</v>
      </c>
      <c r="K136" s="302">
        <v>40.014303859999998</v>
      </c>
      <c r="O136" s="308">
        <v>126.27</v>
      </c>
      <c r="P136" s="312">
        <v>30.956323093000002</v>
      </c>
      <c r="Q136" s="344">
        <v>0</v>
      </c>
      <c r="U136" s="126" t="s">
        <v>1059</v>
      </c>
      <c r="V136" s="131" t="s">
        <v>5994</v>
      </c>
      <c r="W136" s="132">
        <v>0.10502184909999999</v>
      </c>
      <c r="X136" s="129">
        <v>8.911239705E-2</v>
      </c>
      <c r="Y136" s="130">
        <v>0.21021560909999998</v>
      </c>
    </row>
    <row r="137" spans="8:25" ht="15.5" x14ac:dyDescent="0.35">
      <c r="H137" s="383"/>
      <c r="I137" s="331" t="s">
        <v>1176</v>
      </c>
      <c r="J137" s="320" t="s">
        <v>1186</v>
      </c>
      <c r="K137" s="302">
        <v>6.9555741200000005</v>
      </c>
      <c r="O137" s="308">
        <v>42.18</v>
      </c>
      <c r="P137" s="312">
        <v>1.8163731783416999</v>
      </c>
      <c r="Q137" s="344">
        <v>1.3754855000000001E-10</v>
      </c>
      <c r="U137" s="126" t="s">
        <v>1059</v>
      </c>
      <c r="V137" s="131" t="s">
        <v>5995</v>
      </c>
      <c r="W137" s="132">
        <v>0.39489431600000002</v>
      </c>
      <c r="X137" s="129">
        <v>8.8621616649999999E-2</v>
      </c>
      <c r="Y137" s="130">
        <v>0.51415878599999998</v>
      </c>
    </row>
    <row r="138" spans="8:25" ht="15.5" x14ac:dyDescent="0.35">
      <c r="H138" s="384"/>
      <c r="I138" s="331" t="s">
        <v>1059</v>
      </c>
      <c r="J138" s="320" t="s">
        <v>1187</v>
      </c>
      <c r="K138" s="302">
        <v>9.3636138760000001E-2</v>
      </c>
      <c r="O138" s="308">
        <v>0.2</v>
      </c>
      <c r="P138" s="312">
        <v>0.35943007471799993</v>
      </c>
      <c r="Q138" s="344">
        <v>3.5118768999999999E-9</v>
      </c>
      <c r="U138" s="126" t="s">
        <v>1059</v>
      </c>
      <c r="V138" s="131" t="s">
        <v>5996</v>
      </c>
      <c r="W138" s="132">
        <v>9.2135628489999996E-2</v>
      </c>
      <c r="X138" s="129">
        <v>7.5158605959999999E-2</v>
      </c>
      <c r="Y138" s="130">
        <v>0.19095022848999998</v>
      </c>
    </row>
    <row r="139" spans="8:25" ht="15.5" x14ac:dyDescent="0.35">
      <c r="H139" s="383"/>
      <c r="I139" s="331" t="s">
        <v>1176</v>
      </c>
      <c r="J139" s="320" t="s">
        <v>1188</v>
      </c>
      <c r="K139" s="302">
        <v>0.45935248410000001</v>
      </c>
      <c r="O139" s="308">
        <v>1.41</v>
      </c>
      <c r="P139" s="312">
        <v>1.07578856094</v>
      </c>
      <c r="Q139" s="344">
        <v>7.4005644000000004E-6</v>
      </c>
      <c r="U139" s="126" t="s">
        <v>1059</v>
      </c>
      <c r="V139" s="131" t="s">
        <v>5997</v>
      </c>
      <c r="W139" s="132">
        <v>0.13431677717999999</v>
      </c>
      <c r="X139" s="129">
        <v>4.8528475930000002E-2</v>
      </c>
      <c r="Y139" s="130">
        <v>0.20483940917999999</v>
      </c>
    </row>
    <row r="140" spans="8:25" ht="15.5" x14ac:dyDescent="0.35">
      <c r="H140" s="383"/>
      <c r="I140" s="331" t="s">
        <v>1059</v>
      </c>
      <c r="J140" s="320" t="s">
        <v>1189</v>
      </c>
      <c r="K140" s="302">
        <v>2.656319994</v>
      </c>
      <c r="O140" s="308">
        <v>8.02</v>
      </c>
      <c r="P140" s="312">
        <v>17.997907469499999</v>
      </c>
      <c r="Q140" s="344">
        <v>2.1442577E-10</v>
      </c>
      <c r="U140" s="126" t="s">
        <v>1059</v>
      </c>
      <c r="V140" s="131" t="s">
        <v>5998</v>
      </c>
      <c r="W140" s="132">
        <v>9.2443413269999997E-2</v>
      </c>
      <c r="X140" s="129">
        <v>6.5233090769999974E-2</v>
      </c>
      <c r="Y140" s="130">
        <v>0.17795309927</v>
      </c>
    </row>
    <row r="141" spans="8:25" ht="15.5" x14ac:dyDescent="0.35">
      <c r="H141" s="383"/>
      <c r="I141" s="331" t="s">
        <v>1059</v>
      </c>
      <c r="J141" s="320" t="s">
        <v>1190</v>
      </c>
      <c r="K141" s="302">
        <v>2.7760824539999995</v>
      </c>
      <c r="O141" s="308">
        <v>8.76</v>
      </c>
      <c r="P141" s="312">
        <v>3.3404263598999999</v>
      </c>
      <c r="Q141" s="344">
        <v>0</v>
      </c>
      <c r="U141" s="126" t="s">
        <v>1059</v>
      </c>
      <c r="V141" s="131" t="s">
        <v>5999</v>
      </c>
      <c r="W141" s="132">
        <v>0.102037493524</v>
      </c>
      <c r="X141" s="129">
        <v>6.9950257360000004E-2</v>
      </c>
      <c r="Y141" s="130">
        <v>0.31676937352400003</v>
      </c>
    </row>
    <row r="142" spans="8:25" ht="15.5" x14ac:dyDescent="0.35">
      <c r="H142" s="383"/>
      <c r="I142" s="331" t="s">
        <v>1059</v>
      </c>
      <c r="J142" s="320" t="s">
        <v>1191</v>
      </c>
      <c r="K142" s="302">
        <v>1.6619544276</v>
      </c>
      <c r="O142" s="308">
        <v>5.63</v>
      </c>
      <c r="P142" s="312">
        <v>7.2297393710249986</v>
      </c>
      <c r="Q142" s="344">
        <v>1.6112958000000001E-10</v>
      </c>
      <c r="U142" s="126" t="s">
        <v>1059</v>
      </c>
      <c r="V142" s="131" t="s">
        <v>6000</v>
      </c>
      <c r="W142" s="132">
        <v>0.12084071594000001</v>
      </c>
      <c r="X142" s="129">
        <v>7.9712428310000027E-2</v>
      </c>
      <c r="Y142" s="130">
        <v>0.22062560894</v>
      </c>
    </row>
    <row r="143" spans="8:25" ht="15.5" x14ac:dyDescent="0.35">
      <c r="H143" s="384"/>
      <c r="I143" s="331" t="s">
        <v>1059</v>
      </c>
      <c r="J143" s="320" t="s">
        <v>1192</v>
      </c>
      <c r="K143" s="302">
        <v>7.0921904630000004E-2</v>
      </c>
      <c r="O143" s="308">
        <v>0.22</v>
      </c>
      <c r="P143" s="312">
        <v>5.4867414310000001E-2</v>
      </c>
      <c r="Q143" s="344">
        <v>0</v>
      </c>
      <c r="U143" s="126" t="s">
        <v>1059</v>
      </c>
      <c r="V143" s="131" t="s">
        <v>6001</v>
      </c>
      <c r="W143" s="132">
        <v>0.163255066255</v>
      </c>
      <c r="X143" s="129">
        <v>0.10551210068999994</v>
      </c>
      <c r="Y143" s="130">
        <v>0.33690878625499998</v>
      </c>
    </row>
    <row r="144" spans="8:25" ht="15.5" x14ac:dyDescent="0.35">
      <c r="H144" s="383"/>
      <c r="I144" s="331" t="s">
        <v>1176</v>
      </c>
      <c r="J144" s="320" t="s">
        <v>1193</v>
      </c>
      <c r="K144" s="302">
        <v>8.432163212999999E-2</v>
      </c>
      <c r="O144" s="308">
        <v>0.11</v>
      </c>
      <c r="P144" s="312">
        <v>0.13615116334000002</v>
      </c>
      <c r="Q144" s="344">
        <v>0</v>
      </c>
      <c r="U144" s="126" t="s">
        <v>1059</v>
      </c>
      <c r="V144" s="131" t="s">
        <v>6002</v>
      </c>
      <c r="W144" s="132">
        <v>7.2697977210000014E-2</v>
      </c>
      <c r="X144" s="129">
        <v>5.5865837479999986E-2</v>
      </c>
      <c r="Y144" s="130">
        <v>0.15249404521000001</v>
      </c>
    </row>
    <row r="145" spans="8:25" ht="15.5" x14ac:dyDescent="0.35">
      <c r="H145" s="383"/>
      <c r="I145" s="331" t="s">
        <v>1176</v>
      </c>
      <c r="J145" s="320" t="s">
        <v>1194</v>
      </c>
      <c r="K145" s="302">
        <v>0.15886433816999998</v>
      </c>
      <c r="O145" s="308">
        <v>0.21</v>
      </c>
      <c r="P145" s="312">
        <v>0.58293693219999998</v>
      </c>
      <c r="Q145" s="344">
        <v>0</v>
      </c>
      <c r="U145" s="126" t="s">
        <v>1059</v>
      </c>
      <c r="V145" s="131" t="s">
        <v>6003</v>
      </c>
      <c r="W145" s="132">
        <v>0.11649320452</v>
      </c>
      <c r="X145" s="129">
        <v>7.2241897720000003E-2</v>
      </c>
      <c r="Y145" s="130">
        <v>0.20837893752</v>
      </c>
    </row>
    <row r="146" spans="8:25" ht="15.5" x14ac:dyDescent="0.35">
      <c r="H146" s="383"/>
      <c r="I146" s="331" t="s">
        <v>1059</v>
      </c>
      <c r="J146" s="320" t="s">
        <v>1195</v>
      </c>
      <c r="K146" s="302">
        <v>1.7999693403999999</v>
      </c>
      <c r="O146" s="308">
        <v>5.68</v>
      </c>
      <c r="P146" s="312">
        <v>14.922910302099998</v>
      </c>
      <c r="Q146" s="344">
        <v>0</v>
      </c>
      <c r="U146" s="126"/>
      <c r="V146" s="134"/>
      <c r="W146" s="132"/>
      <c r="X146" s="129"/>
      <c r="Y146" s="130" t="s">
        <v>6949</v>
      </c>
    </row>
    <row r="147" spans="8:25" ht="15.5" x14ac:dyDescent="0.35">
      <c r="H147" s="383"/>
      <c r="I147" s="331" t="s">
        <v>1059</v>
      </c>
      <c r="J147" s="320" t="s">
        <v>1196</v>
      </c>
      <c r="K147" s="302">
        <v>14.011752113</v>
      </c>
      <c r="O147" s="308">
        <v>44.22</v>
      </c>
      <c r="P147" s="312">
        <v>32.517338046999996</v>
      </c>
      <c r="Q147" s="344">
        <v>0</v>
      </c>
      <c r="U147" s="126"/>
      <c r="V147" s="137" t="s">
        <v>6004</v>
      </c>
      <c r="W147" s="132"/>
      <c r="X147" s="129"/>
      <c r="Y147" s="130" t="s">
        <v>6949</v>
      </c>
    </row>
    <row r="148" spans="8:25" ht="15.5" x14ac:dyDescent="0.35">
      <c r="H148" s="383"/>
      <c r="I148" s="331" t="s">
        <v>1056</v>
      </c>
      <c r="J148" s="320" t="s">
        <v>1197</v>
      </c>
      <c r="K148" s="302">
        <v>11.78506372</v>
      </c>
      <c r="O148" s="308">
        <v>26.87</v>
      </c>
      <c r="P148" s="312">
        <v>4.3846208866014003</v>
      </c>
      <c r="Q148" s="344">
        <v>1.8072608999999999</v>
      </c>
      <c r="U148" s="126" t="s">
        <v>1059</v>
      </c>
      <c r="V148" s="139" t="s">
        <v>6005</v>
      </c>
      <c r="W148" s="132">
        <v>0.96662245520000001</v>
      </c>
      <c r="X148" s="129">
        <v>0.34451823060000003</v>
      </c>
      <c r="Y148" s="130">
        <v>1.8278786852</v>
      </c>
    </row>
    <row r="149" spans="8:25" ht="15.5" x14ac:dyDescent="0.35">
      <c r="H149" s="383"/>
      <c r="I149" s="331" t="s">
        <v>1059</v>
      </c>
      <c r="J149" s="320" t="s">
        <v>1198</v>
      </c>
      <c r="K149" s="302">
        <v>2.5152176225999998</v>
      </c>
      <c r="O149" s="308">
        <v>3.77</v>
      </c>
      <c r="P149" s="312">
        <v>11.60716717503078</v>
      </c>
      <c r="Q149" s="344">
        <v>5.5019419000000002E-11</v>
      </c>
      <c r="U149" s="126" t="s">
        <v>1059</v>
      </c>
      <c r="V149" s="139" t="s">
        <v>6006</v>
      </c>
      <c r="W149" s="132">
        <v>0.52879905739999999</v>
      </c>
      <c r="X149" s="129">
        <v>1.1699685258999999</v>
      </c>
      <c r="Y149" s="130">
        <v>1.5094882074</v>
      </c>
    </row>
    <row r="150" spans="8:25" ht="15.5" x14ac:dyDescent="0.35">
      <c r="H150" s="383"/>
      <c r="I150" s="331" t="s">
        <v>1059</v>
      </c>
      <c r="J150" s="320" t="s">
        <v>1199</v>
      </c>
      <c r="K150" s="302">
        <v>4.3191894365000003</v>
      </c>
      <c r="O150" s="308">
        <v>6.39</v>
      </c>
      <c r="P150" s="312">
        <v>25.128934466698997</v>
      </c>
      <c r="Q150" s="344">
        <v>0</v>
      </c>
      <c r="U150" s="126" t="s">
        <v>1059</v>
      </c>
      <c r="V150" s="131" t="s">
        <v>6007</v>
      </c>
      <c r="W150" s="132">
        <v>0.50135525390000002</v>
      </c>
      <c r="X150" s="129">
        <v>1.3572541841000001</v>
      </c>
      <c r="Y150" s="130">
        <v>1.0604352439</v>
      </c>
    </row>
    <row r="151" spans="8:25" ht="15.5" x14ac:dyDescent="0.35">
      <c r="H151" s="383"/>
      <c r="I151" s="331" t="s">
        <v>1059</v>
      </c>
      <c r="J151" s="320" t="s">
        <v>1200</v>
      </c>
      <c r="K151" s="302">
        <v>2.6234767347000001</v>
      </c>
      <c r="O151" s="308">
        <v>3.93</v>
      </c>
      <c r="P151" s="312">
        <v>12.11533616690355</v>
      </c>
      <c r="Q151" s="344">
        <v>5.0892962000000002E-11</v>
      </c>
      <c r="U151" s="126" t="s">
        <v>1059</v>
      </c>
      <c r="V151" s="131" t="s">
        <v>6008</v>
      </c>
      <c r="W151" s="132">
        <v>0.63970467000000009</v>
      </c>
      <c r="X151" s="129">
        <v>1.6587663671999999</v>
      </c>
      <c r="Y151" s="130">
        <v>1.2677383799999999</v>
      </c>
    </row>
    <row r="152" spans="8:25" ht="15.5" x14ac:dyDescent="0.35">
      <c r="H152" s="383"/>
      <c r="I152" s="331"/>
      <c r="J152" s="321"/>
      <c r="K152" s="302"/>
      <c r="O152" s="308"/>
      <c r="P152" s="310"/>
      <c r="Q152" s="344"/>
      <c r="U152" s="126" t="s">
        <v>1059</v>
      </c>
      <c r="V152" s="131" t="s">
        <v>6009</v>
      </c>
      <c r="W152" s="132">
        <v>0.48610625350000003</v>
      </c>
      <c r="X152" s="129">
        <v>0.35751811030000002</v>
      </c>
      <c r="Y152" s="130">
        <v>0.89596451350000006</v>
      </c>
    </row>
    <row r="153" spans="8:25" ht="15.5" x14ac:dyDescent="0.35">
      <c r="H153" s="384" t="s">
        <v>1201</v>
      </c>
      <c r="I153" s="332"/>
      <c r="J153" s="319"/>
      <c r="K153" s="303"/>
      <c r="O153" s="308"/>
      <c r="P153" s="313"/>
      <c r="Q153" s="344"/>
      <c r="U153" s="126" t="s">
        <v>1059</v>
      </c>
      <c r="V153" s="131" t="s">
        <v>6010</v>
      </c>
      <c r="W153" s="132">
        <v>0.46848306970000003</v>
      </c>
      <c r="X153" s="129">
        <v>0.3880718688</v>
      </c>
      <c r="Y153" s="130">
        <v>0.81263778970000011</v>
      </c>
    </row>
    <row r="154" spans="8:25" ht="15.5" x14ac:dyDescent="0.35">
      <c r="H154" s="383"/>
      <c r="I154" s="331" t="s">
        <v>1059</v>
      </c>
      <c r="J154" s="320" t="s">
        <v>1202</v>
      </c>
      <c r="K154" s="302">
        <v>0.66966247388</v>
      </c>
      <c r="O154" s="308">
        <v>2.2999999999999998</v>
      </c>
      <c r="P154" s="312">
        <v>16.550984708200001</v>
      </c>
      <c r="Q154" s="344">
        <v>0</v>
      </c>
      <c r="U154" s="126" t="s">
        <v>1059</v>
      </c>
      <c r="V154" s="131" t="s">
        <v>6011</v>
      </c>
      <c r="W154" s="132">
        <v>0.5190663579</v>
      </c>
      <c r="X154" s="129">
        <v>0.43924766430000001</v>
      </c>
      <c r="Y154" s="130">
        <v>0.98807214789999998</v>
      </c>
    </row>
    <row r="155" spans="8:25" ht="15.5" x14ac:dyDescent="0.35">
      <c r="H155" s="384"/>
      <c r="I155" s="331" t="s">
        <v>1059</v>
      </c>
      <c r="J155" s="320" t="s">
        <v>1055</v>
      </c>
      <c r="K155" s="302">
        <v>2.6216268419999995</v>
      </c>
      <c r="O155" s="308">
        <v>8.27</v>
      </c>
      <c r="P155" s="312">
        <v>2.0281729420999999</v>
      </c>
      <c r="Q155" s="344">
        <v>0</v>
      </c>
      <c r="U155" s="126" t="s">
        <v>1059</v>
      </c>
      <c r="V155" s="131" t="s">
        <v>6012</v>
      </c>
      <c r="W155" s="132">
        <v>0.807239716</v>
      </c>
      <c r="X155" s="129">
        <v>0.37052835160000008</v>
      </c>
      <c r="Y155" s="130">
        <v>1.192213156</v>
      </c>
    </row>
    <row r="156" spans="8:25" ht="15.5" x14ac:dyDescent="0.35">
      <c r="H156" s="383"/>
      <c r="I156" s="331" t="s">
        <v>1059</v>
      </c>
      <c r="J156" s="320" t="s">
        <v>1203</v>
      </c>
      <c r="K156" s="302">
        <v>0.10226225429000001</v>
      </c>
      <c r="O156" s="308">
        <v>0.34</v>
      </c>
      <c r="P156" s="312">
        <v>0.152880286112</v>
      </c>
      <c r="Q156" s="344">
        <v>0</v>
      </c>
      <c r="U156" s="126" t="s">
        <v>1059</v>
      </c>
      <c r="V156" s="131" t="s">
        <v>6013</v>
      </c>
      <c r="W156" s="132">
        <v>0.41263730590000003</v>
      </c>
      <c r="X156" s="129">
        <v>0.29281068119999998</v>
      </c>
      <c r="Y156" s="130">
        <v>0.76698384590000002</v>
      </c>
    </row>
    <row r="157" spans="8:25" ht="15.5" x14ac:dyDescent="0.35">
      <c r="H157" s="383"/>
      <c r="I157" s="331"/>
      <c r="J157" s="321"/>
      <c r="K157" s="302"/>
      <c r="O157" s="308"/>
      <c r="P157" s="310"/>
      <c r="Q157" s="344"/>
      <c r="U157" s="126" t="s">
        <v>1059</v>
      </c>
      <c r="V157" s="131" t="s">
        <v>6014</v>
      </c>
      <c r="W157" s="132">
        <v>0.40019272240000003</v>
      </c>
      <c r="X157" s="129">
        <v>0.3166987725</v>
      </c>
      <c r="Y157" s="130">
        <v>0.70357739240000006</v>
      </c>
    </row>
    <row r="158" spans="8:25" ht="15.5" x14ac:dyDescent="0.35">
      <c r="H158" s="384" t="s">
        <v>1204</v>
      </c>
      <c r="I158" s="332"/>
      <c r="J158" s="321"/>
      <c r="K158" s="302"/>
      <c r="O158" s="308"/>
      <c r="P158" s="310"/>
      <c r="Q158" s="344"/>
      <c r="U158" s="126" t="s">
        <v>1059</v>
      </c>
      <c r="V158" s="131" t="s">
        <v>6015</v>
      </c>
      <c r="W158" s="132">
        <v>0.43939110889999999</v>
      </c>
      <c r="X158" s="129">
        <v>0.360374627</v>
      </c>
      <c r="Y158" s="130">
        <v>0.84090119889999992</v>
      </c>
    </row>
    <row r="159" spans="8:25" ht="15.5" x14ac:dyDescent="0.35">
      <c r="H159" s="383"/>
      <c r="I159" s="331" t="s">
        <v>1059</v>
      </c>
      <c r="J159" s="320" t="s">
        <v>1205</v>
      </c>
      <c r="K159" s="302">
        <v>0.13328903733899999</v>
      </c>
      <c r="O159" s="308">
        <v>0.28999999999999998</v>
      </c>
      <c r="P159" s="312">
        <v>0.51484469808069999</v>
      </c>
      <c r="Q159" s="344">
        <v>1.144323E-9</v>
      </c>
      <c r="U159" s="126" t="s">
        <v>1059</v>
      </c>
      <c r="V159" s="131" t="s">
        <v>6016</v>
      </c>
      <c r="W159" s="132">
        <v>0.67411805889999998</v>
      </c>
      <c r="X159" s="129">
        <v>0.30385350880000001</v>
      </c>
      <c r="Y159" s="130">
        <v>1.0078240088999999</v>
      </c>
    </row>
    <row r="160" spans="8:25" ht="15.5" x14ac:dyDescent="0.35">
      <c r="H160" s="383"/>
      <c r="I160" s="331" t="s">
        <v>1059</v>
      </c>
      <c r="J160" s="320" t="s">
        <v>1206</v>
      </c>
      <c r="K160" s="302">
        <v>0.30581804179450001</v>
      </c>
      <c r="O160" s="308">
        <v>0.48</v>
      </c>
      <c r="P160" s="312">
        <v>4.5757997300000002E-4</v>
      </c>
      <c r="Q160" s="344">
        <v>5.1782983000000003E-10</v>
      </c>
      <c r="U160" s="126" t="s">
        <v>1059</v>
      </c>
      <c r="V160" s="131" t="s">
        <v>6017</v>
      </c>
      <c r="W160" s="132">
        <v>0.2311011389</v>
      </c>
      <c r="X160" s="129">
        <v>0.21640060773</v>
      </c>
      <c r="Y160" s="130">
        <v>1.9156403388999999</v>
      </c>
    </row>
    <row r="161" spans="8:25" ht="15.5" x14ac:dyDescent="0.35">
      <c r="H161" s="383"/>
      <c r="I161" s="331" t="s">
        <v>1059</v>
      </c>
      <c r="J161" s="320" t="s">
        <v>1207</v>
      </c>
      <c r="K161" s="302">
        <v>6.0774493488999999E-2</v>
      </c>
      <c r="O161" s="308">
        <v>0.14000000000000001</v>
      </c>
      <c r="P161" s="312">
        <v>4.0484535954999998E-2</v>
      </c>
      <c r="Q161" s="344">
        <v>5.1782983000000001E-9</v>
      </c>
      <c r="U161" s="126" t="s">
        <v>1059</v>
      </c>
      <c r="V161" s="131" t="s">
        <v>6018</v>
      </c>
      <c r="W161" s="132">
        <v>0.2286418435</v>
      </c>
      <c r="X161" s="129">
        <v>0.17547055131</v>
      </c>
      <c r="Y161" s="130">
        <v>1.0234266734999999</v>
      </c>
    </row>
    <row r="162" spans="8:25" ht="15.5" x14ac:dyDescent="0.35">
      <c r="H162" s="383"/>
      <c r="I162" s="331" t="s">
        <v>1059</v>
      </c>
      <c r="J162" s="320" t="s">
        <v>1208</v>
      </c>
      <c r="K162" s="302">
        <v>3.4552196350000002E-2</v>
      </c>
      <c r="O162" s="308">
        <v>0.18</v>
      </c>
      <c r="P162" s="312">
        <v>7.7452220049999999E-3</v>
      </c>
      <c r="Q162" s="344">
        <v>5.1782983000000003E-10</v>
      </c>
      <c r="U162" s="126" t="s">
        <v>1059</v>
      </c>
      <c r="V162" s="131" t="s">
        <v>6019</v>
      </c>
      <c r="W162" s="132">
        <v>0.28119544879999997</v>
      </c>
      <c r="X162" s="129">
        <v>0.17084069975999999</v>
      </c>
      <c r="Y162" s="130">
        <v>1.3136536487999999</v>
      </c>
    </row>
    <row r="163" spans="8:25" ht="15.5" x14ac:dyDescent="0.35">
      <c r="H163" s="383"/>
      <c r="I163" s="331" t="s">
        <v>1059</v>
      </c>
      <c r="J163" s="320" t="s">
        <v>1209</v>
      </c>
      <c r="K163" s="302">
        <v>3.754594864E-2</v>
      </c>
      <c r="O163" s="308">
        <v>0.18</v>
      </c>
      <c r="P163" s="312">
        <v>7.3373004562000008E-2</v>
      </c>
      <c r="Q163" s="344">
        <v>1.2169001E-9</v>
      </c>
      <c r="U163" s="126" t="s">
        <v>1059</v>
      </c>
      <c r="V163" s="131" t="s">
        <v>6020</v>
      </c>
      <c r="W163" s="132">
        <v>0.59835342199999997</v>
      </c>
      <c r="X163" s="129">
        <v>0.7946589718</v>
      </c>
      <c r="Y163" s="130">
        <v>1.217692462</v>
      </c>
    </row>
    <row r="164" spans="8:25" ht="15.5" x14ac:dyDescent="0.35">
      <c r="H164" s="384" t="s">
        <v>1210</v>
      </c>
      <c r="I164" s="332"/>
      <c r="J164" s="319"/>
      <c r="K164" s="303"/>
      <c r="O164" s="308"/>
      <c r="P164" s="313"/>
      <c r="Q164" s="344"/>
      <c r="U164" s="126" t="s">
        <v>1059</v>
      </c>
      <c r="V164" s="131" t="s">
        <v>6021</v>
      </c>
      <c r="W164" s="132">
        <v>0.55455084079999994</v>
      </c>
      <c r="X164" s="129">
        <v>0.53032606683999994</v>
      </c>
      <c r="Y164" s="130">
        <v>0.89666214079999995</v>
      </c>
    </row>
    <row r="165" spans="8:25" ht="15.5" x14ac:dyDescent="0.35">
      <c r="H165" s="384"/>
      <c r="I165" s="331" t="s">
        <v>1059</v>
      </c>
      <c r="J165" s="320" t="s">
        <v>1211</v>
      </c>
      <c r="K165" s="302">
        <v>2.0422568554999999E-2</v>
      </c>
      <c r="O165" s="308">
        <v>0.06</v>
      </c>
      <c r="P165" s="312">
        <v>4.5847699900000003E-6</v>
      </c>
      <c r="Q165" s="344">
        <v>0</v>
      </c>
      <c r="U165" s="126" t="s">
        <v>1059</v>
      </c>
      <c r="V165" s="131" t="s">
        <v>6022</v>
      </c>
      <c r="W165" s="132">
        <v>0.57890745290000001</v>
      </c>
      <c r="X165" s="129">
        <v>0.79126223251999994</v>
      </c>
      <c r="Y165" s="130">
        <v>1.1813024629</v>
      </c>
    </row>
    <row r="166" spans="8:25" ht="15.5" x14ac:dyDescent="0.35">
      <c r="H166" s="384" t="s">
        <v>1212</v>
      </c>
      <c r="I166" s="332"/>
      <c r="J166" s="319"/>
      <c r="K166" s="303"/>
      <c r="O166" s="308"/>
      <c r="P166" s="313"/>
      <c r="Q166" s="344"/>
      <c r="U166" s="126" t="s">
        <v>1059</v>
      </c>
      <c r="V166" s="131" t="s">
        <v>6023</v>
      </c>
      <c r="W166" s="132">
        <v>0.5116675906999999</v>
      </c>
      <c r="X166" s="129">
        <v>0.66532850097999996</v>
      </c>
      <c r="Y166" s="130">
        <v>1.0496111206999998</v>
      </c>
    </row>
    <row r="167" spans="8:25" ht="15.5" x14ac:dyDescent="0.35">
      <c r="H167" s="383"/>
      <c r="I167" s="331" t="s">
        <v>1059</v>
      </c>
      <c r="J167" s="320" t="s">
        <v>1213</v>
      </c>
      <c r="K167" s="302">
        <v>2.2099541737899998E-2</v>
      </c>
      <c r="O167" s="308">
        <v>0.03</v>
      </c>
      <c r="P167" s="312">
        <v>1.0689184499999998E-6</v>
      </c>
      <c r="Q167" s="344">
        <v>0</v>
      </c>
      <c r="U167" s="126" t="s">
        <v>1059</v>
      </c>
      <c r="V167" s="131" t="s">
        <v>6024</v>
      </c>
      <c r="W167" s="132">
        <v>0.47372048990000004</v>
      </c>
      <c r="X167" s="129">
        <v>0.44428419829999999</v>
      </c>
      <c r="Y167" s="130">
        <v>0.77874859990000012</v>
      </c>
    </row>
    <row r="168" spans="8:25" ht="15.5" x14ac:dyDescent="0.35">
      <c r="H168" s="384" t="s">
        <v>1214</v>
      </c>
      <c r="I168" s="332"/>
      <c r="J168" s="319"/>
      <c r="K168" s="303"/>
      <c r="O168" s="308"/>
      <c r="P168" s="313"/>
      <c r="Q168" s="344"/>
      <c r="U168" s="126" t="s">
        <v>1059</v>
      </c>
      <c r="V168" s="131" t="s">
        <v>6025</v>
      </c>
      <c r="W168" s="132">
        <v>0.49381231469999998</v>
      </c>
      <c r="X168" s="129">
        <v>0.66344506553999993</v>
      </c>
      <c r="Y168" s="130">
        <v>1.0157889747</v>
      </c>
    </row>
    <row r="169" spans="8:25" ht="15.5" x14ac:dyDescent="0.35">
      <c r="H169" s="383"/>
      <c r="I169" s="331" t="s">
        <v>1059</v>
      </c>
      <c r="J169" s="320" t="s">
        <v>1215</v>
      </c>
      <c r="K169" s="302">
        <v>4.5607347000000006E-2</v>
      </c>
      <c r="O169" s="308">
        <v>0.08</v>
      </c>
      <c r="P169" s="312">
        <v>0.44016911504</v>
      </c>
      <c r="Q169" s="344">
        <v>0</v>
      </c>
      <c r="U169" s="126" t="s">
        <v>1059</v>
      </c>
      <c r="V169" s="131" t="s">
        <v>6026</v>
      </c>
      <c r="W169" s="132">
        <v>0.89730382639999995</v>
      </c>
      <c r="X169" s="129">
        <v>0.72430710000999998</v>
      </c>
      <c r="Y169" s="130">
        <v>1.3561197264</v>
      </c>
    </row>
    <row r="170" spans="8:25" ht="15.5" x14ac:dyDescent="0.35">
      <c r="H170" s="383"/>
      <c r="I170" s="331" t="s">
        <v>1059</v>
      </c>
      <c r="J170" s="320" t="s">
        <v>1216</v>
      </c>
      <c r="K170" s="302">
        <v>4.5607347000000006E-2</v>
      </c>
      <c r="O170" s="308">
        <v>0.42</v>
      </c>
      <c r="P170" s="312">
        <v>0.44016911504</v>
      </c>
      <c r="Q170" s="344">
        <v>0</v>
      </c>
      <c r="U170" s="126" t="s">
        <v>1059</v>
      </c>
      <c r="V170" s="131" t="s">
        <v>6027</v>
      </c>
      <c r="W170" s="132">
        <v>0.61843339080000004</v>
      </c>
      <c r="X170" s="129">
        <v>0.26956729547000002</v>
      </c>
      <c r="Y170" s="130">
        <v>1.1973960508000001</v>
      </c>
    </row>
    <row r="171" spans="8:25" ht="15.5" x14ac:dyDescent="0.35">
      <c r="H171" s="384" t="s">
        <v>1217</v>
      </c>
      <c r="I171" s="332"/>
      <c r="J171" s="319"/>
      <c r="K171" s="303"/>
      <c r="O171" s="308"/>
      <c r="P171" s="313"/>
      <c r="Q171" s="344"/>
      <c r="U171" s="126" t="s">
        <v>1059</v>
      </c>
      <c r="V171" s="131" t="s">
        <v>6028</v>
      </c>
      <c r="W171" s="132">
        <v>0.14904334850000001</v>
      </c>
      <c r="X171" s="129">
        <v>0.69060921015999999</v>
      </c>
      <c r="Y171" s="130">
        <v>2.0795792485</v>
      </c>
    </row>
    <row r="172" spans="8:25" ht="15.5" x14ac:dyDescent="0.35">
      <c r="H172" s="383"/>
      <c r="I172" s="331" t="s">
        <v>1059</v>
      </c>
      <c r="J172" s="320" t="s">
        <v>1218</v>
      </c>
      <c r="K172" s="302">
        <v>2.0743383007000002E-2</v>
      </c>
      <c r="O172" s="308">
        <v>0.08</v>
      </c>
      <c r="P172" s="312">
        <v>0.38563272045000002</v>
      </c>
      <c r="Q172" s="344">
        <v>0</v>
      </c>
      <c r="U172" s="126" t="s">
        <v>1059</v>
      </c>
      <c r="V172" s="131" t="s">
        <v>6029</v>
      </c>
      <c r="W172" s="132">
        <v>0.2387051449</v>
      </c>
      <c r="X172" s="129">
        <v>0.62562561538000006</v>
      </c>
      <c r="Y172" s="130">
        <v>1.7870697448999999</v>
      </c>
    </row>
    <row r="173" spans="8:25" ht="15.5" x14ac:dyDescent="0.35">
      <c r="H173" s="384"/>
      <c r="I173" s="331" t="s">
        <v>1059</v>
      </c>
      <c r="J173" s="320" t="s">
        <v>1219</v>
      </c>
      <c r="K173" s="302">
        <v>2.0743383007000002E-2</v>
      </c>
      <c r="O173" s="308">
        <v>0.4</v>
      </c>
      <c r="P173" s="312">
        <v>0.38563272045000002</v>
      </c>
      <c r="Q173" s="344">
        <v>0</v>
      </c>
      <c r="U173" s="126" t="s">
        <v>1059</v>
      </c>
      <c r="V173" s="131" t="s">
        <v>6030</v>
      </c>
      <c r="W173" s="132">
        <v>0.23877996429999998</v>
      </c>
      <c r="X173" s="129">
        <v>0.62589278857999997</v>
      </c>
      <c r="Y173" s="130">
        <v>1.7898860642999999</v>
      </c>
    </row>
    <row r="174" spans="8:25" ht="15.5" x14ac:dyDescent="0.35">
      <c r="H174" s="383"/>
      <c r="I174" s="331" t="s">
        <v>1059</v>
      </c>
      <c r="J174" s="320" t="s">
        <v>1220</v>
      </c>
      <c r="K174" s="302">
        <v>1.9413687641000002E-2</v>
      </c>
      <c r="O174" s="308">
        <v>0.08</v>
      </c>
      <c r="P174" s="312">
        <v>3.6433607321800001E-4</v>
      </c>
      <c r="Q174" s="344">
        <v>0</v>
      </c>
      <c r="U174" s="126" t="s">
        <v>1059</v>
      </c>
      <c r="V174" s="131" t="s">
        <v>6031</v>
      </c>
      <c r="W174" s="132">
        <v>0.15318213899999999</v>
      </c>
      <c r="X174" s="129">
        <v>0.61958805094000002</v>
      </c>
      <c r="Y174" s="130">
        <v>1.9187321389999998</v>
      </c>
    </row>
    <row r="175" spans="8:25" ht="15.5" x14ac:dyDescent="0.35">
      <c r="H175" s="383"/>
      <c r="I175" s="331" t="s">
        <v>1059</v>
      </c>
      <c r="J175" s="320" t="s">
        <v>1221</v>
      </c>
      <c r="K175" s="302">
        <v>1.9413687641000002E-2</v>
      </c>
      <c r="O175" s="308">
        <v>0.4</v>
      </c>
      <c r="P175" s="312">
        <v>3.6433607321800001E-4</v>
      </c>
      <c r="Q175" s="344">
        <v>0</v>
      </c>
      <c r="U175" s="126" t="s">
        <v>1059</v>
      </c>
      <c r="V175" s="131" t="s">
        <v>6032</v>
      </c>
      <c r="W175" s="132">
        <v>0.2302756339</v>
      </c>
      <c r="X175" s="129">
        <v>0.5612184067899999</v>
      </c>
      <c r="Y175" s="130">
        <v>1.6486334338999999</v>
      </c>
    </row>
    <row r="176" spans="8:25" ht="15.5" x14ac:dyDescent="0.35">
      <c r="H176" s="384" t="s">
        <v>1222</v>
      </c>
      <c r="I176" s="332"/>
      <c r="J176" s="321"/>
      <c r="K176" s="302"/>
      <c r="O176" s="308"/>
      <c r="P176" s="310"/>
      <c r="Q176" s="344"/>
      <c r="U176" s="126" t="s">
        <v>1059</v>
      </c>
      <c r="V176" s="131" t="s">
        <v>6033</v>
      </c>
      <c r="W176" s="132">
        <v>0.2117713386</v>
      </c>
      <c r="X176" s="129">
        <v>0.53096669568999999</v>
      </c>
      <c r="Y176" s="130">
        <v>1.0151022686</v>
      </c>
    </row>
    <row r="177" spans="8:25" ht="15.5" x14ac:dyDescent="0.35">
      <c r="H177" s="384"/>
      <c r="I177" s="331" t="s">
        <v>1059</v>
      </c>
      <c r="J177" s="320" t="s">
        <v>1223</v>
      </c>
      <c r="K177" s="302">
        <v>1.0578512467544099E-2</v>
      </c>
      <c r="O177" s="308">
        <v>0.03</v>
      </c>
      <c r="P177" s="312">
        <v>1.4329193466699999E-3</v>
      </c>
      <c r="Q177" s="344">
        <v>0</v>
      </c>
      <c r="U177" s="126" t="s">
        <v>1059</v>
      </c>
      <c r="V177" s="131" t="s">
        <v>6034</v>
      </c>
      <c r="W177" s="132">
        <v>5.7670709700000003E-2</v>
      </c>
      <c r="X177" s="129">
        <v>0.1068843998</v>
      </c>
      <c r="Y177" s="130">
        <v>0.3896233697</v>
      </c>
    </row>
    <row r="178" spans="8:25" ht="15.5" x14ac:dyDescent="0.35">
      <c r="H178" s="384"/>
      <c r="I178" s="331" t="s">
        <v>1059</v>
      </c>
      <c r="J178" s="320" t="s">
        <v>1224</v>
      </c>
      <c r="K178" s="302">
        <v>1.4993057508E-2</v>
      </c>
      <c r="O178" s="308">
        <v>0.05</v>
      </c>
      <c r="P178" s="312">
        <v>5.8189559000000005E-4</v>
      </c>
      <c r="Q178" s="344">
        <v>0</v>
      </c>
      <c r="U178" s="126" t="s">
        <v>1059</v>
      </c>
      <c r="V178" s="131" t="s">
        <v>6035</v>
      </c>
      <c r="W178" s="132">
        <v>6.5120529400000002E-2</v>
      </c>
      <c r="X178" s="129">
        <v>9.6719513579999999E-2</v>
      </c>
      <c r="Y178" s="130">
        <v>0.32981027940000002</v>
      </c>
    </row>
    <row r="179" spans="8:25" ht="15.5" x14ac:dyDescent="0.35">
      <c r="H179" s="384"/>
      <c r="I179" s="331" t="s">
        <v>1059</v>
      </c>
      <c r="J179" s="320" t="s">
        <v>1225</v>
      </c>
      <c r="K179" s="302">
        <v>4.8916133270000002E-2</v>
      </c>
      <c r="O179" s="308">
        <v>0.11</v>
      </c>
      <c r="P179" s="312">
        <v>0.44853642275</v>
      </c>
      <c r="Q179" s="344">
        <v>5.1782983000000001E-9</v>
      </c>
      <c r="U179" s="126" t="s">
        <v>1059</v>
      </c>
      <c r="V179" s="131" t="s">
        <v>6036</v>
      </c>
      <c r="W179" s="132">
        <v>6.6746643999999994E-2</v>
      </c>
      <c r="X179" s="129">
        <v>0.10439492398</v>
      </c>
      <c r="Y179" s="130">
        <v>0.238132654</v>
      </c>
    </row>
    <row r="180" spans="8:25" ht="15.5" x14ac:dyDescent="0.35">
      <c r="H180" s="383">
        <v>1</v>
      </c>
      <c r="I180" s="331" t="s">
        <v>1059</v>
      </c>
      <c r="J180" s="320" t="s">
        <v>1226</v>
      </c>
      <c r="K180" s="302">
        <v>4.8916133270000002E-2</v>
      </c>
      <c r="O180" s="308">
        <v>0.47</v>
      </c>
      <c r="P180" s="312">
        <v>0.44853642275</v>
      </c>
      <c r="Q180" s="344">
        <v>5.1782983000000001E-9</v>
      </c>
      <c r="U180" s="126" t="s">
        <v>1059</v>
      </c>
      <c r="V180" s="131" t="s">
        <v>6037</v>
      </c>
      <c r="W180" s="132">
        <v>8.6707149600000005E-2</v>
      </c>
      <c r="X180" s="129">
        <v>0.10469160327999999</v>
      </c>
      <c r="Y180" s="130">
        <v>0.31813159960000004</v>
      </c>
    </row>
    <row r="181" spans="8:25" ht="15.5" x14ac:dyDescent="0.35">
      <c r="H181" s="384"/>
      <c r="I181" s="331" t="s">
        <v>1227</v>
      </c>
      <c r="J181" s="320" t="s">
        <v>1228</v>
      </c>
      <c r="K181" s="302">
        <v>1.1375845140000002E-3</v>
      </c>
      <c r="O181" s="308">
        <v>0.01</v>
      </c>
      <c r="P181" s="312">
        <v>1.0431079947999999E-2</v>
      </c>
      <c r="Q181" s="344">
        <v>1.2042554E-10</v>
      </c>
      <c r="U181" s="126" t="s">
        <v>1059</v>
      </c>
      <c r="V181" s="131" t="s">
        <v>6038</v>
      </c>
      <c r="W181" s="132">
        <v>8.6000399899999996E-2</v>
      </c>
      <c r="X181" s="129">
        <v>9.2335293939999993E-2</v>
      </c>
      <c r="Y181" s="130">
        <v>0.24076892989999998</v>
      </c>
    </row>
    <row r="182" spans="8:25" ht="15.5" x14ac:dyDescent="0.35">
      <c r="H182" s="384"/>
      <c r="I182" s="331" t="s">
        <v>1059</v>
      </c>
      <c r="J182" s="320" t="s">
        <v>1229</v>
      </c>
      <c r="K182" s="302">
        <v>3.4173148469999998E-2</v>
      </c>
      <c r="O182" s="308">
        <v>0.09</v>
      </c>
      <c r="P182" s="312">
        <v>0.44479030252399998</v>
      </c>
      <c r="Q182" s="344">
        <v>5.1782983000000001E-9</v>
      </c>
      <c r="U182" s="126" t="s">
        <v>1059</v>
      </c>
      <c r="V182" s="131" t="s">
        <v>6039</v>
      </c>
      <c r="W182" s="132">
        <v>6.646838590000001E-2</v>
      </c>
      <c r="X182" s="129">
        <v>0.10118885041</v>
      </c>
      <c r="Y182" s="130">
        <v>0.25039087589999998</v>
      </c>
    </row>
    <row r="183" spans="8:25" ht="15.5" x14ac:dyDescent="0.35">
      <c r="H183" s="384"/>
      <c r="I183" s="331" t="s">
        <v>1059</v>
      </c>
      <c r="J183" s="320" t="s">
        <v>1230</v>
      </c>
      <c r="K183" s="302">
        <v>3.2103481519999998E-2</v>
      </c>
      <c r="O183" s="308">
        <v>0.08</v>
      </c>
      <c r="P183" s="312">
        <v>0.440200326265</v>
      </c>
      <c r="Q183" s="344">
        <v>0</v>
      </c>
      <c r="U183" s="126" t="s">
        <v>1059</v>
      </c>
      <c r="V183" s="131" t="s">
        <v>6040</v>
      </c>
      <c r="W183" s="132">
        <v>7.5263222299999988E-2</v>
      </c>
      <c r="X183" s="129">
        <v>9.9694888359999997E-2</v>
      </c>
      <c r="Y183" s="130">
        <v>0.28464599229999998</v>
      </c>
    </row>
    <row r="184" spans="8:25" ht="15.5" x14ac:dyDescent="0.35">
      <c r="H184" s="384"/>
      <c r="I184" s="331" t="s">
        <v>1059</v>
      </c>
      <c r="J184" s="320" t="s">
        <v>1231</v>
      </c>
      <c r="K184" s="302">
        <v>3.2103481519999998E-2</v>
      </c>
      <c r="O184" s="308">
        <v>0.44</v>
      </c>
      <c r="P184" s="312">
        <v>0.440200326265</v>
      </c>
      <c r="Q184" s="344">
        <v>0</v>
      </c>
      <c r="U184" s="126" t="s">
        <v>1059</v>
      </c>
      <c r="V184" s="131" t="s">
        <v>6041</v>
      </c>
      <c r="W184" s="132">
        <v>7.2905670000000006E-2</v>
      </c>
      <c r="X184" s="129">
        <v>0.10130205746</v>
      </c>
      <c r="Y184" s="130">
        <v>0.30871360999999997</v>
      </c>
    </row>
    <row r="185" spans="8:25" ht="15.5" x14ac:dyDescent="0.35">
      <c r="H185" s="384"/>
      <c r="I185" s="331" t="s">
        <v>1059</v>
      </c>
      <c r="J185" s="320" t="s">
        <v>1232</v>
      </c>
      <c r="K185" s="302">
        <v>8.6084807980000011E-2</v>
      </c>
      <c r="O185" s="308">
        <v>0.12</v>
      </c>
      <c r="P185" s="312">
        <v>0.44159482999999999</v>
      </c>
      <c r="Q185" s="344">
        <v>0</v>
      </c>
      <c r="U185" s="126" t="s">
        <v>1059</v>
      </c>
      <c r="V185" s="131" t="s">
        <v>6042</v>
      </c>
      <c r="W185" s="132">
        <v>0.33974174769999999</v>
      </c>
      <c r="X185" s="129">
        <v>1.32902221</v>
      </c>
      <c r="Y185" s="130">
        <v>0.76841650770000003</v>
      </c>
    </row>
    <row r="186" spans="8:25" ht="15.5" x14ac:dyDescent="0.35">
      <c r="H186" s="383"/>
      <c r="I186" s="331" t="s">
        <v>1059</v>
      </c>
      <c r="J186" s="320" t="s">
        <v>1233</v>
      </c>
      <c r="K186" s="302">
        <v>5.4510542240000001E-2</v>
      </c>
      <c r="O186" s="308">
        <v>0.15</v>
      </c>
      <c r="P186" s="312">
        <v>0.44526377533299999</v>
      </c>
      <c r="Q186" s="344">
        <v>5.1782983000000001E-9</v>
      </c>
      <c r="U186" s="126" t="s">
        <v>1059</v>
      </c>
      <c r="V186" s="131" t="s">
        <v>6043</v>
      </c>
      <c r="W186" s="132">
        <v>0.96415165899999988</v>
      </c>
      <c r="X186" s="129">
        <v>0.95572158490000003</v>
      </c>
      <c r="Y186" s="130">
        <v>1.5285353389999998</v>
      </c>
    </row>
    <row r="187" spans="8:25" ht="15.5" x14ac:dyDescent="0.35">
      <c r="H187" s="383">
        <v>1</v>
      </c>
      <c r="I187" s="331" t="s">
        <v>1059</v>
      </c>
      <c r="J187" s="320" t="s">
        <v>1234</v>
      </c>
      <c r="K187" s="302">
        <v>5.4510542240000001E-2</v>
      </c>
      <c r="O187" s="308">
        <v>0.52</v>
      </c>
      <c r="P187" s="312">
        <v>0.44526377533299999</v>
      </c>
      <c r="Q187" s="344">
        <v>5.1782983000000001E-9</v>
      </c>
      <c r="U187" s="126" t="s">
        <v>1059</v>
      </c>
      <c r="V187" s="131" t="s">
        <v>6044</v>
      </c>
      <c r="W187" s="132">
        <v>0.60452048599999997</v>
      </c>
      <c r="X187" s="129">
        <v>1.3517469992</v>
      </c>
      <c r="Y187" s="130">
        <v>1.227740386</v>
      </c>
    </row>
    <row r="188" spans="8:25" ht="15.5" x14ac:dyDescent="0.35">
      <c r="H188" s="384"/>
      <c r="I188" s="332"/>
      <c r="J188" s="323"/>
      <c r="K188" s="302"/>
      <c r="O188" s="308"/>
      <c r="P188" s="310"/>
      <c r="Q188" s="344"/>
      <c r="U188" s="126" t="s">
        <v>1059</v>
      </c>
      <c r="V188" s="131" t="s">
        <v>6045</v>
      </c>
      <c r="W188" s="132">
        <v>0.3105490554</v>
      </c>
      <c r="X188" s="129">
        <v>1.1371059583000001</v>
      </c>
      <c r="Y188" s="130">
        <v>0.6991079254</v>
      </c>
    </row>
    <row r="189" spans="8:25" ht="15.5" x14ac:dyDescent="0.35">
      <c r="H189" s="384" t="s">
        <v>1235</v>
      </c>
      <c r="I189" s="332"/>
      <c r="J189" s="319"/>
      <c r="K189" s="303"/>
      <c r="O189" s="308"/>
      <c r="P189" s="313"/>
      <c r="Q189" s="344"/>
      <c r="U189" s="126" t="s">
        <v>1059</v>
      </c>
      <c r="V189" s="131" t="s">
        <v>6046</v>
      </c>
      <c r="W189" s="132">
        <v>0.84883466199999991</v>
      </c>
      <c r="X189" s="129">
        <v>0.81688867759999995</v>
      </c>
      <c r="Y189" s="130">
        <v>1.3554339419999999</v>
      </c>
    </row>
    <row r="190" spans="8:25" ht="15.5" x14ac:dyDescent="0.35">
      <c r="H190" s="383">
        <v>1</v>
      </c>
      <c r="I190" s="331" t="s">
        <v>1059</v>
      </c>
      <c r="J190" s="320" t="s">
        <v>1236</v>
      </c>
      <c r="K190" s="302">
        <v>5.890136721E-2</v>
      </c>
      <c r="O190" s="308">
        <v>0.19</v>
      </c>
      <c r="P190" s="312">
        <v>4.5742390073000003E-2</v>
      </c>
      <c r="Q190" s="344">
        <v>2.2798153E-12</v>
      </c>
      <c r="U190" s="126" t="s">
        <v>1059</v>
      </c>
      <c r="V190" s="131" t="s">
        <v>6047</v>
      </c>
      <c r="W190" s="132">
        <v>0.536942849</v>
      </c>
      <c r="X190" s="129">
        <v>1.1564760928</v>
      </c>
      <c r="Y190" s="130">
        <v>1.091912309</v>
      </c>
    </row>
    <row r="191" spans="8:25" ht="15.5" x14ac:dyDescent="0.35">
      <c r="H191" s="384" t="s">
        <v>1237</v>
      </c>
      <c r="I191" s="332"/>
      <c r="J191" s="319"/>
      <c r="K191" s="303"/>
      <c r="O191" s="308"/>
      <c r="P191" s="313"/>
      <c r="Q191" s="344"/>
      <c r="U191" s="126"/>
      <c r="V191" s="140"/>
      <c r="W191" s="128"/>
      <c r="X191" s="129"/>
      <c r="Y191" s="130" t="s">
        <v>6949</v>
      </c>
    </row>
    <row r="192" spans="8:25" ht="15.5" x14ac:dyDescent="0.35">
      <c r="H192" s="383"/>
      <c r="I192" s="331" t="s">
        <v>1059</v>
      </c>
      <c r="J192" s="320" t="s">
        <v>1238</v>
      </c>
      <c r="K192" s="302">
        <v>4.8360232009999997E-2</v>
      </c>
      <c r="O192" s="308">
        <v>0.28999999999999998</v>
      </c>
      <c r="P192" s="312">
        <v>3.2822109621999997E-4</v>
      </c>
      <c r="Q192" s="344">
        <v>0</v>
      </c>
      <c r="U192" s="126"/>
      <c r="V192" s="127" t="s">
        <v>6048</v>
      </c>
      <c r="W192" s="128"/>
      <c r="X192" s="129"/>
      <c r="Y192" s="130" t="s">
        <v>6949</v>
      </c>
    </row>
    <row r="193" spans="8:25" ht="15.5" x14ac:dyDescent="0.35">
      <c r="H193" s="383"/>
      <c r="I193" s="331" t="s">
        <v>1059</v>
      </c>
      <c r="J193" s="320" t="s">
        <v>1239</v>
      </c>
      <c r="K193" s="302">
        <v>6.6442753689999995E-2</v>
      </c>
      <c r="O193" s="308">
        <v>0.4</v>
      </c>
      <c r="P193" s="312">
        <v>4.4450946789069995E-2</v>
      </c>
      <c r="Q193" s="344">
        <v>0</v>
      </c>
      <c r="U193" s="126" t="s">
        <v>1059</v>
      </c>
      <c r="V193" s="131" t="s">
        <v>6049</v>
      </c>
      <c r="W193" s="132">
        <v>8.1701069580000008E-2</v>
      </c>
      <c r="X193" s="129">
        <v>2.9337088669999997E-2</v>
      </c>
      <c r="Y193" s="130">
        <v>0.17679246858</v>
      </c>
    </row>
    <row r="194" spans="8:25" ht="15.5" x14ac:dyDescent="0.35">
      <c r="H194" s="383"/>
      <c r="I194" s="331" t="s">
        <v>1059</v>
      </c>
      <c r="J194" s="320" t="s">
        <v>1240</v>
      </c>
      <c r="K194" s="302">
        <v>3.751071894E-2</v>
      </c>
      <c r="O194" s="308">
        <v>0.23</v>
      </c>
      <c r="P194" s="312">
        <v>2.5458540851000001E-4</v>
      </c>
      <c r="Q194" s="344">
        <v>0</v>
      </c>
      <c r="U194" s="126" t="s">
        <v>1059</v>
      </c>
      <c r="V194" s="131" t="s">
        <v>6050</v>
      </c>
      <c r="W194" s="132">
        <v>9.9612369800000017E-2</v>
      </c>
      <c r="X194" s="129">
        <v>4.9613988594E-2</v>
      </c>
      <c r="Y194" s="130">
        <v>0.15517107880000003</v>
      </c>
    </row>
    <row r="195" spans="8:25" ht="15.5" x14ac:dyDescent="0.35">
      <c r="H195" s="383"/>
      <c r="I195" s="331" t="s">
        <v>1059</v>
      </c>
      <c r="J195" s="320" t="s">
        <v>1241</v>
      </c>
      <c r="K195" s="302">
        <v>5.1303898380000004E-2</v>
      </c>
      <c r="O195" s="308">
        <v>0.31</v>
      </c>
      <c r="P195" s="312">
        <v>3.4819976738000003E-4</v>
      </c>
      <c r="Q195" s="344">
        <v>0</v>
      </c>
      <c r="U195" s="126" t="s">
        <v>1059</v>
      </c>
      <c r="V195" s="131" t="s">
        <v>6051</v>
      </c>
      <c r="W195" s="132">
        <v>3.4561304369999997E-2</v>
      </c>
      <c r="X195" s="129">
        <v>7.0119578109999999E-3</v>
      </c>
      <c r="Y195" s="130">
        <v>5.3451356369999994E-2</v>
      </c>
    </row>
    <row r="196" spans="8:25" ht="15.5" x14ac:dyDescent="0.35">
      <c r="H196" s="383"/>
      <c r="I196" s="331" t="s">
        <v>1059</v>
      </c>
      <c r="J196" s="320" t="s">
        <v>1242</v>
      </c>
      <c r="K196" s="302">
        <v>6.6274544069999997E-2</v>
      </c>
      <c r="O196" s="308">
        <v>0.4</v>
      </c>
      <c r="P196" s="312">
        <v>4.4980560871E-4</v>
      </c>
      <c r="Q196" s="344">
        <v>0</v>
      </c>
      <c r="U196" s="126" t="s">
        <v>1059</v>
      </c>
      <c r="V196" s="131" t="s">
        <v>6052</v>
      </c>
      <c r="W196" s="132">
        <v>0.2138824577</v>
      </c>
      <c r="X196" s="129">
        <v>7.8256970809999993E-2</v>
      </c>
      <c r="Y196" s="130">
        <v>0.4955184977</v>
      </c>
    </row>
    <row r="197" spans="8:25" ht="15.5" x14ac:dyDescent="0.35">
      <c r="H197" s="383"/>
      <c r="I197" s="331" t="s">
        <v>1059</v>
      </c>
      <c r="J197" s="320" t="s">
        <v>1243</v>
      </c>
      <c r="K197" s="302">
        <v>1.5056037284E-2</v>
      </c>
      <c r="O197" s="308">
        <v>0.09</v>
      </c>
      <c r="P197" s="312">
        <v>4.6696995090000004E-3</v>
      </c>
      <c r="Q197" s="344">
        <v>5.1782983000000001E-9</v>
      </c>
      <c r="U197" s="126" t="s">
        <v>1059</v>
      </c>
      <c r="V197" s="131" t="s">
        <v>6053</v>
      </c>
      <c r="W197" s="132">
        <v>0</v>
      </c>
      <c r="X197" s="129">
        <v>0</v>
      </c>
      <c r="Y197" s="130">
        <v>0</v>
      </c>
    </row>
    <row r="198" spans="8:25" ht="15.5" x14ac:dyDescent="0.35">
      <c r="H198" s="383"/>
      <c r="I198" s="331" t="s">
        <v>1059</v>
      </c>
      <c r="J198" s="320" t="s">
        <v>1244</v>
      </c>
      <c r="K198" s="302">
        <v>5.890136721E-2</v>
      </c>
      <c r="O198" s="308">
        <v>0.19</v>
      </c>
      <c r="P198" s="312">
        <v>4.5742390073000003E-2</v>
      </c>
      <c r="Q198" s="344">
        <v>2.2798153E-12</v>
      </c>
      <c r="U198" s="126" t="s">
        <v>1059</v>
      </c>
      <c r="V198" s="131" t="s">
        <v>6054</v>
      </c>
      <c r="W198" s="132">
        <v>2.5321315610000002E-2</v>
      </c>
      <c r="X198" s="129">
        <v>9.8885227088000016E-2</v>
      </c>
      <c r="Y198" s="130">
        <v>8.3404224610000008E-2</v>
      </c>
    </row>
    <row r="199" spans="8:25" ht="15.5" x14ac:dyDescent="0.35">
      <c r="H199" s="383"/>
      <c r="I199" s="333"/>
      <c r="J199" s="319"/>
      <c r="K199" s="302"/>
      <c r="O199" s="308"/>
      <c r="P199" s="310"/>
      <c r="Q199" s="344"/>
      <c r="U199" s="126" t="s">
        <v>1059</v>
      </c>
      <c r="V199" s="131" t="s">
        <v>6055</v>
      </c>
      <c r="W199" s="132">
        <v>7.0689268899999996E-3</v>
      </c>
      <c r="X199" s="129">
        <v>1.045669841E-2</v>
      </c>
      <c r="Y199" s="130">
        <v>1.3750897289999999E-2</v>
      </c>
    </row>
    <row r="200" spans="8:25" ht="15.5" x14ac:dyDescent="0.35">
      <c r="H200" s="384" t="s">
        <v>1245</v>
      </c>
      <c r="I200" s="332"/>
      <c r="J200" s="319"/>
      <c r="K200" s="303"/>
      <c r="O200" s="308"/>
      <c r="P200" s="313"/>
      <c r="Q200" s="344"/>
      <c r="U200" s="126" t="s">
        <v>1059</v>
      </c>
      <c r="V200" s="131" t="s">
        <v>6056</v>
      </c>
      <c r="W200" s="132">
        <v>4.2413561509999998E-3</v>
      </c>
      <c r="X200" s="129">
        <v>6.2740190649999998E-3</v>
      </c>
      <c r="Y200" s="130">
        <v>8.2505383509999999E-3</v>
      </c>
    </row>
    <row r="201" spans="8:25" ht="15.5" x14ac:dyDescent="0.35">
      <c r="H201" s="383"/>
      <c r="I201" s="331" t="s">
        <v>1059</v>
      </c>
      <c r="J201" s="320" t="s">
        <v>1246</v>
      </c>
      <c r="K201" s="302">
        <v>0.61294174800000001</v>
      </c>
      <c r="O201" s="308">
        <v>1.98</v>
      </c>
      <c r="P201" s="312">
        <v>0.96810892184000008</v>
      </c>
      <c r="Q201" s="344">
        <v>2.1775615E-5</v>
      </c>
      <c r="U201" s="126" t="s">
        <v>1059</v>
      </c>
      <c r="V201" s="131" t="s">
        <v>6057</v>
      </c>
      <c r="W201" s="132">
        <v>6.3379980910000008E-2</v>
      </c>
      <c r="X201" s="129">
        <v>0.10216404007</v>
      </c>
      <c r="Y201" s="130">
        <v>0.14999208791000002</v>
      </c>
    </row>
    <row r="202" spans="8:25" ht="15.5" x14ac:dyDescent="0.35">
      <c r="H202" s="383"/>
      <c r="I202" s="331" t="s">
        <v>1059</v>
      </c>
      <c r="J202" s="320" t="s">
        <v>1247</v>
      </c>
      <c r="K202" s="302">
        <v>0.50688675399999994</v>
      </c>
      <c r="O202" s="308">
        <v>1.58</v>
      </c>
      <c r="P202" s="312">
        <v>0.72426744316000002</v>
      </c>
      <c r="Q202" s="344">
        <v>3.9950168999999998E-5</v>
      </c>
      <c r="U202" s="126" t="s">
        <v>1059</v>
      </c>
      <c r="V202" s="131" t="s">
        <v>6058</v>
      </c>
      <c r="W202" s="132">
        <v>4.9661539269999999E-2</v>
      </c>
      <c r="X202" s="129">
        <v>2.2134709697000002E-2</v>
      </c>
      <c r="Y202" s="130">
        <v>9.8539387270000001E-2</v>
      </c>
    </row>
    <row r="203" spans="8:25" ht="15.5" x14ac:dyDescent="0.35">
      <c r="H203" s="383"/>
      <c r="I203" s="331" t="s">
        <v>1059</v>
      </c>
      <c r="J203" s="320" t="s">
        <v>1248</v>
      </c>
      <c r="K203" s="302">
        <v>0.459758528</v>
      </c>
      <c r="O203" s="308">
        <v>1.25</v>
      </c>
      <c r="P203" s="312">
        <v>0.72201614251000013</v>
      </c>
      <c r="Q203" s="344">
        <v>4.6294732000000003E-5</v>
      </c>
      <c r="U203" s="126" t="s">
        <v>1059</v>
      </c>
      <c r="V203" s="131" t="s">
        <v>6059</v>
      </c>
      <c r="W203" s="132">
        <v>1.3817385399000001E-2</v>
      </c>
      <c r="X203" s="129">
        <v>7.5361582501500002E-4</v>
      </c>
      <c r="Y203" s="130">
        <v>7.8339786398999994E-2</v>
      </c>
    </row>
    <row r="204" spans="8:25" ht="15.5" x14ac:dyDescent="0.35">
      <c r="H204" s="384"/>
      <c r="I204" s="331" t="s">
        <v>1059</v>
      </c>
      <c r="J204" s="320" t="s">
        <v>1249</v>
      </c>
      <c r="K204" s="302">
        <v>1.629373325</v>
      </c>
      <c r="O204" s="308">
        <v>4.49</v>
      </c>
      <c r="P204" s="312">
        <v>2.6350533993999998</v>
      </c>
      <c r="Q204" s="344">
        <v>1.5975262E-4</v>
      </c>
      <c r="U204" s="126" t="s">
        <v>1059</v>
      </c>
      <c r="V204" s="131" t="s">
        <v>6060</v>
      </c>
      <c r="W204" s="132">
        <v>3.065205751E-2</v>
      </c>
      <c r="X204" s="129">
        <v>2.7132168557310004E-3</v>
      </c>
      <c r="Y204" s="130">
        <v>0.10761944850999999</v>
      </c>
    </row>
    <row r="205" spans="8:25" ht="15.5" x14ac:dyDescent="0.35">
      <c r="H205" s="383"/>
      <c r="I205" s="331" t="s">
        <v>1059</v>
      </c>
      <c r="J205" s="320" t="s">
        <v>1250</v>
      </c>
      <c r="K205" s="302">
        <v>1.2434075627376999</v>
      </c>
      <c r="O205" s="308">
        <v>2.72</v>
      </c>
      <c r="P205" s="312">
        <v>1.2369027705344</v>
      </c>
      <c r="Q205" s="344">
        <v>0</v>
      </c>
      <c r="U205" s="126" t="s">
        <v>1059</v>
      </c>
      <c r="V205" s="131" t="s">
        <v>6061</v>
      </c>
      <c r="W205" s="132">
        <v>7.9821506299999997E-2</v>
      </c>
      <c r="X205" s="129">
        <v>0.17935014502000002</v>
      </c>
      <c r="Y205" s="130">
        <v>0.2280257463</v>
      </c>
    </row>
    <row r="206" spans="8:25" ht="15.5" x14ac:dyDescent="0.35">
      <c r="H206" s="384"/>
      <c r="I206" s="332"/>
      <c r="J206" s="319"/>
      <c r="K206" s="302"/>
      <c r="O206" s="308"/>
      <c r="P206" s="310"/>
      <c r="Q206" s="344"/>
      <c r="U206" s="126" t="s">
        <v>1059</v>
      </c>
      <c r="V206" s="131" t="s">
        <v>6062</v>
      </c>
      <c r="W206" s="132">
        <v>7.5231189030000006E-2</v>
      </c>
      <c r="X206" s="129">
        <v>0.20805416859</v>
      </c>
      <c r="Y206" s="130">
        <v>0.15865240603000003</v>
      </c>
    </row>
    <row r="207" spans="8:25" ht="15.5" x14ac:dyDescent="0.35">
      <c r="H207" s="384" t="s">
        <v>1251</v>
      </c>
      <c r="I207" s="332"/>
      <c r="J207" s="319"/>
      <c r="K207" s="303"/>
      <c r="O207" s="308"/>
      <c r="P207" s="313"/>
      <c r="Q207" s="344"/>
      <c r="U207" s="126" t="s">
        <v>1059</v>
      </c>
      <c r="V207" s="131" t="s">
        <v>6063</v>
      </c>
      <c r="W207" s="132">
        <v>9.691906539999999E-2</v>
      </c>
      <c r="X207" s="129">
        <v>0.25431179173000001</v>
      </c>
      <c r="Y207" s="130">
        <v>0.19116567639999998</v>
      </c>
    </row>
    <row r="208" spans="8:25" ht="15.5" x14ac:dyDescent="0.35">
      <c r="H208" s="383"/>
      <c r="I208" s="331" t="s">
        <v>1059</v>
      </c>
      <c r="J208" s="320" t="s">
        <v>1252</v>
      </c>
      <c r="K208" s="302">
        <v>9.1856633699999996E-2</v>
      </c>
      <c r="O208" s="308">
        <v>0.36</v>
      </c>
      <c r="P208" s="312">
        <v>6.5521085399999998E-2</v>
      </c>
      <c r="Q208" s="344">
        <v>0</v>
      </c>
      <c r="U208" s="126" t="s">
        <v>1059</v>
      </c>
      <c r="V208" s="131" t="s">
        <v>6064</v>
      </c>
      <c r="W208" s="132">
        <v>0.17419725020000001</v>
      </c>
      <c r="X208" s="129">
        <v>0.50299546658000005</v>
      </c>
      <c r="Y208" s="130">
        <v>1.3258170502</v>
      </c>
    </row>
    <row r="209" spans="8:25" ht="15.5" x14ac:dyDescent="0.35">
      <c r="H209" s="383"/>
      <c r="I209" s="331" t="s">
        <v>1059</v>
      </c>
      <c r="J209" s="320" t="s">
        <v>1253</v>
      </c>
      <c r="K209" s="302">
        <v>6.2774593010000004E-2</v>
      </c>
      <c r="O209" s="308">
        <v>0.3</v>
      </c>
      <c r="P209" s="312">
        <v>8.4881610794200008E-2</v>
      </c>
      <c r="Q209" s="344">
        <v>5.1731199999999996E-10</v>
      </c>
      <c r="U209" s="126" t="s">
        <v>1059</v>
      </c>
      <c r="V209" s="131" t="s">
        <v>6065</v>
      </c>
      <c r="W209" s="132">
        <v>0.25493163139999997</v>
      </c>
      <c r="X209" s="129">
        <v>1.74102349911</v>
      </c>
      <c r="Y209" s="130">
        <v>4.9677859313999999</v>
      </c>
    </row>
    <row r="210" spans="8:25" ht="15.5" x14ac:dyDescent="0.35">
      <c r="H210" s="383"/>
      <c r="I210" s="331" t="s">
        <v>1059</v>
      </c>
      <c r="J210" s="320" t="s">
        <v>1254</v>
      </c>
      <c r="K210" s="302">
        <v>2.7587773279999998E-2</v>
      </c>
      <c r="O210" s="308">
        <v>0.09</v>
      </c>
      <c r="P210" s="312">
        <v>2.4683606943000001E-2</v>
      </c>
      <c r="Q210" s="344">
        <v>4.7640343999999999E-9</v>
      </c>
      <c r="U210" s="126" t="s">
        <v>1059</v>
      </c>
      <c r="V210" s="131" t="s">
        <v>6066</v>
      </c>
      <c r="W210" s="132">
        <v>0.32783679369999996</v>
      </c>
      <c r="X210" s="129">
        <v>1.7955429413299999</v>
      </c>
      <c r="Y210" s="130">
        <v>0.61350976369999999</v>
      </c>
    </row>
    <row r="211" spans="8:25" ht="15.5" x14ac:dyDescent="0.35">
      <c r="H211" s="383">
        <v>1</v>
      </c>
      <c r="I211" s="331" t="s">
        <v>1059</v>
      </c>
      <c r="J211" s="320" t="s">
        <v>1255</v>
      </c>
      <c r="K211" s="302">
        <v>7.9123969239999994E-2</v>
      </c>
      <c r="O211" s="308">
        <v>0.32</v>
      </c>
      <c r="P211" s="312">
        <v>8.7966853403000006E-2</v>
      </c>
      <c r="Q211" s="344">
        <v>1.7488615E-9</v>
      </c>
      <c r="U211" s="126" t="s">
        <v>1059</v>
      </c>
      <c r="V211" s="131" t="s">
        <v>6067</v>
      </c>
      <c r="W211" s="132">
        <v>0.37490326890000003</v>
      </c>
      <c r="X211" s="129">
        <v>1.9182775355500001</v>
      </c>
      <c r="Y211" s="130">
        <v>3.0767717688999996</v>
      </c>
    </row>
    <row r="212" spans="8:25" ht="15.5" x14ac:dyDescent="0.35">
      <c r="H212" s="384" t="s">
        <v>1256</v>
      </c>
      <c r="I212" s="332"/>
      <c r="J212" s="319"/>
      <c r="K212" s="303"/>
      <c r="O212" s="308"/>
      <c r="P212" s="313"/>
      <c r="Q212" s="344"/>
      <c r="U212" s="126" t="s">
        <v>1059</v>
      </c>
      <c r="V212" s="131" t="s">
        <v>6068</v>
      </c>
      <c r="W212" s="132">
        <v>0.31644844820000001</v>
      </c>
      <c r="X212" s="129">
        <v>0.44331064859999997</v>
      </c>
      <c r="Y212" s="130">
        <v>0.61383616819999998</v>
      </c>
    </row>
    <row r="213" spans="8:25" ht="15.5" x14ac:dyDescent="0.35">
      <c r="H213" s="383"/>
      <c r="I213" s="331" t="s">
        <v>1059</v>
      </c>
      <c r="J213" s="320" t="s">
        <v>1257</v>
      </c>
      <c r="K213" s="302">
        <v>4.7568249379999997E-2</v>
      </c>
      <c r="O213" s="308">
        <v>0.22</v>
      </c>
      <c r="P213" s="312">
        <v>3.4905884392440002E-2</v>
      </c>
      <c r="Q213" s="344">
        <v>7.3052946999999997E-11</v>
      </c>
      <c r="U213" s="126" t="s">
        <v>1059</v>
      </c>
      <c r="V213" s="131" t="s">
        <v>6069</v>
      </c>
      <c r="W213" s="132">
        <v>0.8780062112</v>
      </c>
      <c r="X213" s="129">
        <v>0.70230262061000004</v>
      </c>
      <c r="Y213" s="130">
        <v>1.3218806912000001</v>
      </c>
    </row>
    <row r="214" spans="8:25" ht="15.5" x14ac:dyDescent="0.35">
      <c r="H214" s="383">
        <v>1</v>
      </c>
      <c r="I214" s="331" t="s">
        <v>1059</v>
      </c>
      <c r="J214" s="320" t="s">
        <v>1258</v>
      </c>
      <c r="K214" s="302">
        <v>4.7568249379999997E-2</v>
      </c>
      <c r="O214" s="308">
        <v>0.22</v>
      </c>
      <c r="P214" s="312">
        <v>3.4905884392440002E-2</v>
      </c>
      <c r="Q214" s="344">
        <v>7.3052946999999997E-11</v>
      </c>
      <c r="U214" s="126" t="s">
        <v>1059</v>
      </c>
      <c r="V214" s="131" t="s">
        <v>6070</v>
      </c>
      <c r="W214" s="132">
        <v>4.4887952493528005E-2</v>
      </c>
      <c r="X214" s="129">
        <v>1.070582413E-2</v>
      </c>
      <c r="Y214" s="130">
        <v>7.9515138493528009E-2</v>
      </c>
    </row>
    <row r="215" spans="8:25" ht="15.5" x14ac:dyDescent="0.35">
      <c r="H215" s="383"/>
      <c r="I215" s="331" t="s">
        <v>1059</v>
      </c>
      <c r="J215" s="320" t="s">
        <v>1259</v>
      </c>
      <c r="K215" s="302">
        <v>0.31568264983</v>
      </c>
      <c r="O215" s="308">
        <v>1.1399999999999999</v>
      </c>
      <c r="P215" s="312">
        <v>0.87391112884618005</v>
      </c>
      <c r="Q215" s="344">
        <v>2.3803029E-10</v>
      </c>
      <c r="U215" s="126" t="s">
        <v>1059</v>
      </c>
      <c r="V215" s="131" t="s">
        <v>6070</v>
      </c>
      <c r="W215" s="132">
        <v>4.4887952493528005E-2</v>
      </c>
      <c r="X215" s="129">
        <v>1.070582413E-2</v>
      </c>
      <c r="Y215" s="130">
        <v>7.9515138493528009E-2</v>
      </c>
    </row>
    <row r="216" spans="8:25" ht="15.5" x14ac:dyDescent="0.35">
      <c r="H216" s="383"/>
      <c r="I216" s="331" t="s">
        <v>1059</v>
      </c>
      <c r="J216" s="320" t="s">
        <v>1260</v>
      </c>
      <c r="K216" s="302">
        <v>0.31954786263000001</v>
      </c>
      <c r="O216" s="308">
        <v>1.17</v>
      </c>
      <c r="P216" s="312">
        <v>0.88576006162150001</v>
      </c>
      <c r="Q216" s="344">
        <v>3.1108323999999998E-10</v>
      </c>
      <c r="U216" s="126" t="s">
        <v>1059</v>
      </c>
      <c r="V216" s="131" t="s">
        <v>6070</v>
      </c>
      <c r="W216" s="132">
        <v>4.4887952493528005E-2</v>
      </c>
      <c r="X216" s="129">
        <v>1.070582413E-2</v>
      </c>
      <c r="Y216" s="130">
        <v>7.9515138493528009E-2</v>
      </c>
    </row>
    <row r="217" spans="8:25" ht="15.5" x14ac:dyDescent="0.35">
      <c r="H217" s="384"/>
      <c r="I217" s="331" t="s">
        <v>1059</v>
      </c>
      <c r="J217" s="320" t="s">
        <v>1261</v>
      </c>
      <c r="K217" s="302">
        <v>4.7568249379999997E-2</v>
      </c>
      <c r="O217" s="308">
        <v>0.22</v>
      </c>
      <c r="P217" s="312">
        <v>3.4905884392440002E-2</v>
      </c>
      <c r="Q217" s="344">
        <v>7.3052946999999997E-11</v>
      </c>
      <c r="U217" s="126" t="s">
        <v>1059</v>
      </c>
      <c r="V217" s="131" t="s">
        <v>6071</v>
      </c>
      <c r="W217" s="132">
        <v>6.9842890778000002E-2</v>
      </c>
      <c r="X217" s="129">
        <v>3.8149501080000002E-2</v>
      </c>
      <c r="Y217" s="130">
        <v>0.15347366377800001</v>
      </c>
    </row>
    <row r="218" spans="8:25" ht="15.5" x14ac:dyDescent="0.35">
      <c r="H218" s="383"/>
      <c r="I218" s="331" t="s">
        <v>1059</v>
      </c>
      <c r="J218" s="320" t="s">
        <v>1262</v>
      </c>
      <c r="K218" s="302">
        <v>0.1098836614</v>
      </c>
      <c r="O218" s="308">
        <v>0.31</v>
      </c>
      <c r="P218" s="312">
        <v>3.4910104423190001E-2</v>
      </c>
      <c r="Q218" s="344">
        <v>7.3052946999999997E-11</v>
      </c>
      <c r="U218" s="126" t="s">
        <v>1059</v>
      </c>
      <c r="V218" s="131" t="s">
        <v>6072</v>
      </c>
      <c r="W218" s="132">
        <v>0.21009114340000001</v>
      </c>
      <c r="X218" s="129">
        <v>7.5439188909999996E-2</v>
      </c>
      <c r="Y218" s="130">
        <v>0.45461500340000005</v>
      </c>
    </row>
    <row r="219" spans="8:25" ht="15.5" x14ac:dyDescent="0.35">
      <c r="H219" s="384"/>
      <c r="I219" s="331" t="s">
        <v>1059</v>
      </c>
      <c r="J219" s="320" t="s">
        <v>1263</v>
      </c>
      <c r="K219" s="302">
        <v>5.0214329510000003E-2</v>
      </c>
      <c r="O219" s="308">
        <v>0.23</v>
      </c>
      <c r="P219" s="312">
        <v>3.8740198592440003E-2</v>
      </c>
      <c r="Q219" s="344">
        <v>7.3052946999999997E-11</v>
      </c>
      <c r="U219" s="126" t="s">
        <v>1059</v>
      </c>
      <c r="V219" s="131" t="s">
        <v>6073</v>
      </c>
      <c r="W219" s="132">
        <v>0.221240202</v>
      </c>
      <c r="X219" s="129">
        <v>0.13441479633</v>
      </c>
      <c r="Y219" s="130">
        <v>1.0335622819999999</v>
      </c>
    </row>
    <row r="220" spans="8:25" ht="15.5" x14ac:dyDescent="0.35">
      <c r="H220" s="383"/>
      <c r="I220" s="331" t="s">
        <v>1059</v>
      </c>
      <c r="J220" s="320" t="s">
        <v>1264</v>
      </c>
      <c r="K220" s="302">
        <v>0.26042521497999999</v>
      </c>
      <c r="O220" s="308">
        <v>0.94</v>
      </c>
      <c r="P220" s="312">
        <v>0.68792758458407999</v>
      </c>
      <c r="Q220" s="344">
        <v>3.5925985000000002E-6</v>
      </c>
      <c r="U220" s="126" t="s">
        <v>1059</v>
      </c>
      <c r="V220" s="131" t="s">
        <v>6074</v>
      </c>
      <c r="W220" s="132">
        <v>0.1258732746</v>
      </c>
      <c r="X220" s="129">
        <v>8.8272947660000007E-3</v>
      </c>
      <c r="Y220" s="130">
        <v>0.2753351946</v>
      </c>
    </row>
    <row r="221" spans="8:25" ht="15.5" x14ac:dyDescent="0.35">
      <c r="H221" s="384" t="s">
        <v>1265</v>
      </c>
      <c r="I221" s="332"/>
      <c r="J221" s="319"/>
      <c r="K221" s="303"/>
      <c r="O221" s="308"/>
      <c r="P221" s="313"/>
      <c r="Q221" s="344"/>
      <c r="U221" s="126" t="s">
        <v>1059</v>
      </c>
      <c r="V221" s="131" t="s">
        <v>6075</v>
      </c>
      <c r="W221" s="132">
        <v>0.1216623288</v>
      </c>
      <c r="X221" s="129">
        <v>8.2507902120000001E-3</v>
      </c>
      <c r="Y221" s="130">
        <v>0.2731767188</v>
      </c>
    </row>
    <row r="222" spans="8:25" ht="15.5" x14ac:dyDescent="0.35">
      <c r="H222" s="383"/>
      <c r="I222" s="331" t="s">
        <v>1059</v>
      </c>
      <c r="J222" s="320" t="s">
        <v>1266</v>
      </c>
      <c r="K222" s="302">
        <v>3.6403624970000006E-2</v>
      </c>
      <c r="O222" s="308">
        <v>0.22</v>
      </c>
      <c r="P222" s="312">
        <v>1.1209105875E-2</v>
      </c>
      <c r="Q222" s="344">
        <v>1.2427916E-8</v>
      </c>
      <c r="U222" s="126" t="s">
        <v>1059</v>
      </c>
      <c r="V222" s="131" t="s">
        <v>6076</v>
      </c>
      <c r="W222" s="132">
        <v>0.12149507632999999</v>
      </c>
      <c r="X222" s="129">
        <v>4.3356726969999999E-3</v>
      </c>
      <c r="Y222" s="130">
        <v>0.27443004633000001</v>
      </c>
    </row>
    <row r="223" spans="8:25" ht="15.5" x14ac:dyDescent="0.35">
      <c r="H223" s="383"/>
      <c r="I223" s="331" t="s">
        <v>1059</v>
      </c>
      <c r="J223" s="320" t="s">
        <v>1267</v>
      </c>
      <c r="K223" s="302">
        <v>0.1415737222</v>
      </c>
      <c r="O223" s="308">
        <v>0.59</v>
      </c>
      <c r="P223" s="312">
        <v>0.22127956652</v>
      </c>
      <c r="Q223" s="344">
        <v>3.0994206999999998E-10</v>
      </c>
      <c r="U223" s="126" t="s">
        <v>1059</v>
      </c>
      <c r="V223" s="131" t="s">
        <v>6077</v>
      </c>
      <c r="W223" s="132">
        <v>0.11849821537999999</v>
      </c>
      <c r="X223" s="129">
        <v>4.3087905320000003E-3</v>
      </c>
      <c r="Y223" s="130">
        <v>0.25819470538</v>
      </c>
    </row>
    <row r="224" spans="8:25" ht="15.5" x14ac:dyDescent="0.35">
      <c r="H224" s="383"/>
      <c r="I224" s="331" t="s">
        <v>1059</v>
      </c>
      <c r="J224" s="320" t="s">
        <v>1268</v>
      </c>
      <c r="K224" s="302">
        <v>0.31939045669999999</v>
      </c>
      <c r="O224" s="308">
        <v>1.21</v>
      </c>
      <c r="P224" s="312">
        <v>0.72048718167800008</v>
      </c>
      <c r="Q224" s="344">
        <v>3.5108439000000001E-10</v>
      </c>
      <c r="U224" s="126" t="s">
        <v>1059</v>
      </c>
      <c r="V224" s="131" t="s">
        <v>6078</v>
      </c>
      <c r="W224" s="132">
        <v>0.1414619436</v>
      </c>
      <c r="X224" s="129">
        <v>9.3862890059999999E-3</v>
      </c>
      <c r="Y224" s="130">
        <v>0.30740953360000001</v>
      </c>
    </row>
    <row r="225" spans="8:25" ht="15.5" x14ac:dyDescent="0.35">
      <c r="H225" s="383"/>
      <c r="I225" s="331" t="s">
        <v>1059</v>
      </c>
      <c r="J225" s="320" t="s">
        <v>1269</v>
      </c>
      <c r="K225" s="302">
        <v>0.1543095427</v>
      </c>
      <c r="O225" s="308">
        <v>0.68</v>
      </c>
      <c r="P225" s="312">
        <v>0.25449446272260001</v>
      </c>
      <c r="Q225" s="344">
        <v>6.3317850000000002E-10</v>
      </c>
      <c r="U225" s="126" t="s">
        <v>1059</v>
      </c>
      <c r="V225" s="131" t="s">
        <v>6079</v>
      </c>
      <c r="W225" s="132">
        <v>0.12491243374000001</v>
      </c>
      <c r="X225" s="129">
        <v>7.5794760959999995E-3</v>
      </c>
      <c r="Y225" s="130">
        <v>0.27565692374</v>
      </c>
    </row>
    <row r="226" spans="8:25" ht="15.5" x14ac:dyDescent="0.35">
      <c r="H226" s="383"/>
      <c r="I226" s="331" t="s">
        <v>1059</v>
      </c>
      <c r="J226" s="320" t="s">
        <v>1270</v>
      </c>
      <c r="K226" s="302">
        <v>0.40218616280000008</v>
      </c>
      <c r="O226" s="308">
        <v>1.46</v>
      </c>
      <c r="P226" s="312">
        <v>1.5482270230956003</v>
      </c>
      <c r="Q226" s="344">
        <v>6.5894911000000005E-10</v>
      </c>
      <c r="U226" s="126" t="s">
        <v>1059</v>
      </c>
      <c r="V226" s="131" t="s">
        <v>6080</v>
      </c>
      <c r="W226" s="132">
        <v>8.6083546479999995E-2</v>
      </c>
      <c r="X226" s="129">
        <v>6.0369037150000008E-3</v>
      </c>
      <c r="Y226" s="130">
        <v>0.18829914648000001</v>
      </c>
    </row>
    <row r="227" spans="8:25" ht="15.5" x14ac:dyDescent="0.35">
      <c r="H227" s="383"/>
      <c r="I227" s="331" t="s">
        <v>1059</v>
      </c>
      <c r="J227" s="320" t="s">
        <v>1271</v>
      </c>
      <c r="K227" s="302">
        <v>0.29733751149999998</v>
      </c>
      <c r="O227" s="308">
        <v>1.1299999999999999</v>
      </c>
      <c r="P227" s="312">
        <v>0.66211399468910015</v>
      </c>
      <c r="Q227" s="344">
        <v>3.2748390999999999E-10</v>
      </c>
      <c r="U227" s="126" t="s">
        <v>1059</v>
      </c>
      <c r="V227" s="131" t="s">
        <v>6081</v>
      </c>
      <c r="W227" s="132">
        <v>8.3203719000000009E-2</v>
      </c>
      <c r="X227" s="129">
        <v>5.6426377140000004E-3</v>
      </c>
      <c r="Y227" s="130">
        <v>0.186822979</v>
      </c>
    </row>
    <row r="228" spans="8:25" ht="15.5" x14ac:dyDescent="0.35">
      <c r="H228" s="383"/>
      <c r="I228" s="331" t="s">
        <v>1059</v>
      </c>
      <c r="J228" s="320" t="s">
        <v>1272</v>
      </c>
      <c r="K228" s="302">
        <v>0.1263609322</v>
      </c>
      <c r="O228" s="308">
        <v>0.54</v>
      </c>
      <c r="P228" s="312">
        <v>0.17383361737917</v>
      </c>
      <c r="Q228" s="344">
        <v>3.0078275000000002E-10</v>
      </c>
      <c r="U228" s="126" t="s">
        <v>1059</v>
      </c>
      <c r="V228" s="131" t="s">
        <v>6082</v>
      </c>
      <c r="W228" s="132">
        <v>8.3089337040000003E-2</v>
      </c>
      <c r="X228" s="129">
        <v>2.9651257769999998E-3</v>
      </c>
      <c r="Y228" s="130">
        <v>0.18768012704000001</v>
      </c>
    </row>
    <row r="229" spans="8:25" ht="15.5" x14ac:dyDescent="0.35">
      <c r="H229" s="383"/>
      <c r="I229" s="331" t="s">
        <v>1059</v>
      </c>
      <c r="J229" s="320" t="s">
        <v>1273</v>
      </c>
      <c r="K229" s="302">
        <v>0.1263609322</v>
      </c>
      <c r="O229" s="308">
        <v>0.54</v>
      </c>
      <c r="P229" s="312">
        <v>0.17383361737917</v>
      </c>
      <c r="Q229" s="344">
        <v>3.0078275000000002E-10</v>
      </c>
      <c r="U229" s="126" t="s">
        <v>1059</v>
      </c>
      <c r="V229" s="131" t="s">
        <v>6083</v>
      </c>
      <c r="W229" s="132">
        <v>8.1039812850000004E-2</v>
      </c>
      <c r="X229" s="129">
        <v>2.9467412650000004E-3</v>
      </c>
      <c r="Y229" s="130">
        <v>0.17657692685000001</v>
      </c>
    </row>
    <row r="230" spans="8:25" ht="15.5" x14ac:dyDescent="0.35">
      <c r="H230" s="383"/>
      <c r="I230" s="331" t="s">
        <v>1059</v>
      </c>
      <c r="J230" s="320" t="s">
        <v>1274</v>
      </c>
      <c r="K230" s="302">
        <v>0.18060999580000003</v>
      </c>
      <c r="O230" s="308">
        <v>0.65</v>
      </c>
      <c r="P230" s="312">
        <v>0.38939729551669999</v>
      </c>
      <c r="Q230" s="344">
        <v>2.9880353999999999E-10</v>
      </c>
      <c r="U230" s="126" t="s">
        <v>1059</v>
      </c>
      <c r="V230" s="131" t="s">
        <v>6084</v>
      </c>
      <c r="W230" s="132">
        <v>9.6744490429999996E-2</v>
      </c>
      <c r="X230" s="129">
        <v>6.4191945719999999E-3</v>
      </c>
      <c r="Y230" s="130">
        <v>0.21023448042999998</v>
      </c>
    </row>
    <row r="231" spans="8:25" ht="15.5" x14ac:dyDescent="0.35">
      <c r="H231" s="383"/>
      <c r="I231" s="331" t="s">
        <v>1059</v>
      </c>
      <c r="J231" s="320" t="s">
        <v>1275</v>
      </c>
      <c r="K231" s="302">
        <v>0.17376375430000002</v>
      </c>
      <c r="O231" s="308">
        <v>0.71</v>
      </c>
      <c r="P231" s="312">
        <v>0.29214132528205999</v>
      </c>
      <c r="Q231" s="344">
        <v>3.0500418999999998E-10</v>
      </c>
      <c r="U231" s="126" t="s">
        <v>1059</v>
      </c>
      <c r="V231" s="131" t="s">
        <v>6085</v>
      </c>
      <c r="W231" s="132">
        <v>8.5426436699999997E-2</v>
      </c>
      <c r="X231" s="129">
        <v>5.183532288E-3</v>
      </c>
      <c r="Y231" s="130">
        <v>0.18851917670000001</v>
      </c>
    </row>
    <row r="232" spans="8:25" ht="15.5" x14ac:dyDescent="0.35">
      <c r="H232" s="383"/>
      <c r="I232" s="331" t="s">
        <v>1059</v>
      </c>
      <c r="J232" s="320" t="s">
        <v>1276</v>
      </c>
      <c r="K232" s="302">
        <v>0.36097017900000006</v>
      </c>
      <c r="O232" s="308">
        <v>1.25</v>
      </c>
      <c r="P232" s="312">
        <v>1.5364303977872</v>
      </c>
      <c r="Q232" s="344">
        <v>3.4688857000000002E-10</v>
      </c>
      <c r="U232" s="126" t="s">
        <v>1059</v>
      </c>
      <c r="V232" s="131" t="s">
        <v>6086</v>
      </c>
      <c r="W232" s="132">
        <v>2.2744748299999999E-2</v>
      </c>
      <c r="X232" s="129">
        <v>8.5998862409999988E-3</v>
      </c>
      <c r="Y232" s="130">
        <v>2.8903187899999998E-2</v>
      </c>
    </row>
    <row r="233" spans="8:25" ht="15.5" x14ac:dyDescent="0.35">
      <c r="H233" s="383"/>
      <c r="I233" s="331" t="s">
        <v>1059</v>
      </c>
      <c r="J233" s="320" t="s">
        <v>1277</v>
      </c>
      <c r="K233" s="302">
        <v>0.1261914841</v>
      </c>
      <c r="O233" s="308">
        <v>0.54</v>
      </c>
      <c r="P233" s="312">
        <v>0.17314995192843002</v>
      </c>
      <c r="Q233" s="344">
        <v>3.0156184000000002E-10</v>
      </c>
      <c r="U233" s="126" t="s">
        <v>1059</v>
      </c>
      <c r="V233" s="131" t="s">
        <v>6087</v>
      </c>
      <c r="W233" s="132">
        <v>0.23328216059999998</v>
      </c>
      <c r="X233" s="129">
        <v>8.3145136640000006E-2</v>
      </c>
      <c r="Y233" s="130">
        <v>0.44113550059999995</v>
      </c>
    </row>
    <row r="234" spans="8:25" ht="15.5" x14ac:dyDescent="0.35">
      <c r="H234" s="383"/>
      <c r="I234" s="331" t="s">
        <v>1059</v>
      </c>
      <c r="J234" s="320" t="s">
        <v>1278</v>
      </c>
      <c r="K234" s="302">
        <v>0.15957072480000001</v>
      </c>
      <c r="O234" s="308">
        <v>0.63</v>
      </c>
      <c r="P234" s="312">
        <v>0.47247254714081999</v>
      </c>
      <c r="Q234" s="344">
        <v>2.8909648999999999E-10</v>
      </c>
      <c r="U234" s="126" t="s">
        <v>1059</v>
      </c>
      <c r="V234" s="131" t="s">
        <v>6088</v>
      </c>
      <c r="W234" s="132">
        <v>6.8147283099999997E-2</v>
      </c>
      <c r="X234" s="129">
        <v>0.19677563370000001</v>
      </c>
      <c r="Y234" s="130">
        <v>0.51866965310000002</v>
      </c>
    </row>
    <row r="235" spans="8:25" ht="15.5" x14ac:dyDescent="0.35">
      <c r="H235" s="383"/>
      <c r="I235" s="331" t="s">
        <v>1059</v>
      </c>
      <c r="J235" s="320" t="s">
        <v>1279</v>
      </c>
      <c r="K235" s="302">
        <v>0.31905659019999999</v>
      </c>
      <c r="O235" s="308">
        <v>1.21</v>
      </c>
      <c r="P235" s="312">
        <v>0.7203389069852999</v>
      </c>
      <c r="Q235" s="344">
        <v>3.3118962999999998E-10</v>
      </c>
      <c r="U235" s="126" t="s">
        <v>1059</v>
      </c>
      <c r="V235" s="131" t="s">
        <v>6089</v>
      </c>
      <c r="W235" s="132">
        <v>9.9731183100000009E-2</v>
      </c>
      <c r="X235" s="129">
        <v>0.68110157498000001</v>
      </c>
      <c r="Y235" s="130">
        <v>1.9434354831</v>
      </c>
    </row>
    <row r="236" spans="8:25" ht="15.5" x14ac:dyDescent="0.35">
      <c r="H236" s="384"/>
      <c r="I236" s="331" t="s">
        <v>1059</v>
      </c>
      <c r="J236" s="320" t="s">
        <v>1280</v>
      </c>
      <c r="K236" s="302">
        <v>0.37324130075</v>
      </c>
      <c r="O236" s="308">
        <v>1.31</v>
      </c>
      <c r="P236" s="312">
        <v>1.4526825609861997</v>
      </c>
      <c r="Q236" s="344">
        <v>3.3022084999999998E-10</v>
      </c>
      <c r="U236" s="126" t="s">
        <v>1059</v>
      </c>
      <c r="V236" s="131" t="s">
        <v>6090</v>
      </c>
      <c r="W236" s="132">
        <v>0.12825223549999998</v>
      </c>
      <c r="X236" s="129">
        <v>0.70243000348999995</v>
      </c>
      <c r="Y236" s="130">
        <v>0.24000966549999997</v>
      </c>
    </row>
    <row r="237" spans="8:25" ht="15.5" x14ac:dyDescent="0.35">
      <c r="H237" s="383"/>
      <c r="I237" s="331" t="s">
        <v>1059</v>
      </c>
      <c r="J237" s="320" t="s">
        <v>1281</v>
      </c>
      <c r="K237" s="302">
        <v>0.1441852944</v>
      </c>
      <c r="O237" s="308">
        <v>0.61</v>
      </c>
      <c r="P237" s="312">
        <v>0.19933388733774998</v>
      </c>
      <c r="Q237" s="344">
        <v>2.9221283000000001E-10</v>
      </c>
      <c r="U237" s="126" t="s">
        <v>1059</v>
      </c>
      <c r="V237" s="131" t="s">
        <v>6091</v>
      </c>
      <c r="W237" s="132">
        <v>0.14666499750000001</v>
      </c>
      <c r="X237" s="129">
        <v>0.75044469696999994</v>
      </c>
      <c r="Y237" s="130">
        <v>1.2036563975000001</v>
      </c>
    </row>
    <row r="238" spans="8:25" ht="15.5" x14ac:dyDescent="0.35">
      <c r="H238" s="384"/>
      <c r="I238" s="331" t="s">
        <v>1059</v>
      </c>
      <c r="J238" s="320" t="s">
        <v>1282</v>
      </c>
      <c r="K238" s="302">
        <v>0.31905659019999999</v>
      </c>
      <c r="O238" s="308">
        <v>1.21</v>
      </c>
      <c r="P238" s="312">
        <v>0.7203389069852999</v>
      </c>
      <c r="Q238" s="344">
        <v>3.3118962999999998E-10</v>
      </c>
      <c r="U238" s="126" t="s">
        <v>1059</v>
      </c>
      <c r="V238" s="131" t="s">
        <v>6092</v>
      </c>
      <c r="W238" s="132">
        <v>0.1237970259</v>
      </c>
      <c r="X238" s="129">
        <v>0.17342648454000004</v>
      </c>
      <c r="Y238" s="130">
        <v>0.24013735590000002</v>
      </c>
    </row>
    <row r="239" spans="8:25" ht="15.5" x14ac:dyDescent="0.35">
      <c r="H239" s="383"/>
      <c r="I239" s="331" t="s">
        <v>1059</v>
      </c>
      <c r="J239" s="320" t="s">
        <v>1283</v>
      </c>
      <c r="K239" s="302">
        <v>0.12660922899999999</v>
      </c>
      <c r="O239" s="308">
        <v>0.54</v>
      </c>
      <c r="P239" s="312">
        <v>0.17397384846469999</v>
      </c>
      <c r="Q239" s="344">
        <v>3.0303735E-10</v>
      </c>
      <c r="U239" s="126" t="s">
        <v>1059</v>
      </c>
      <c r="V239" s="131" t="s">
        <v>6093</v>
      </c>
      <c r="W239" s="132">
        <v>1.5798153729000002E-2</v>
      </c>
      <c r="X239" s="129">
        <v>5.6650619819999996E-4</v>
      </c>
      <c r="Y239" s="130">
        <v>3.2505367729000006E-2</v>
      </c>
    </row>
    <row r="240" spans="8:25" ht="15.5" x14ac:dyDescent="0.35">
      <c r="H240" s="383"/>
      <c r="I240" s="331" t="s">
        <v>1059</v>
      </c>
      <c r="J240" s="320" t="s">
        <v>1284</v>
      </c>
      <c r="K240" s="302">
        <v>0.1973261</v>
      </c>
      <c r="O240" s="308">
        <v>0.72</v>
      </c>
      <c r="P240" s="312">
        <v>0.36357188830639997</v>
      </c>
      <c r="Q240" s="344">
        <v>2.8914289E-10</v>
      </c>
      <c r="U240" s="126" t="s">
        <v>1059</v>
      </c>
      <c r="V240" s="131" t="s">
        <v>6094</v>
      </c>
      <c r="W240" s="132">
        <v>1.5798153729000002E-2</v>
      </c>
      <c r="X240" s="129">
        <v>5.6650619819999996E-4</v>
      </c>
      <c r="Y240" s="130">
        <v>3.2505367729000006E-2</v>
      </c>
    </row>
    <row r="241" spans="8:25" ht="15.5" x14ac:dyDescent="0.35">
      <c r="H241" s="383"/>
      <c r="I241" s="331" t="s">
        <v>1059</v>
      </c>
      <c r="J241" s="320" t="s">
        <v>1285</v>
      </c>
      <c r="K241" s="302">
        <v>0.1540897185</v>
      </c>
      <c r="O241" s="308">
        <v>0.61</v>
      </c>
      <c r="P241" s="312">
        <v>0.19169201153419999</v>
      </c>
      <c r="Q241" s="344">
        <v>2.6350951999999998E-10</v>
      </c>
      <c r="U241" s="126" t="s">
        <v>1059</v>
      </c>
      <c r="V241" s="131" t="s">
        <v>6095</v>
      </c>
      <c r="W241" s="132">
        <v>1.5798153729000002E-2</v>
      </c>
      <c r="X241" s="129">
        <v>5.6650619819999996E-4</v>
      </c>
      <c r="Y241" s="130">
        <v>3.2505367729000006E-2</v>
      </c>
    </row>
    <row r="242" spans="8:25" ht="15.5" x14ac:dyDescent="0.35">
      <c r="H242" s="384" t="s">
        <v>1286</v>
      </c>
      <c r="I242" s="332"/>
      <c r="J242" s="319"/>
      <c r="K242" s="303"/>
      <c r="O242" s="308"/>
      <c r="P242" s="313"/>
      <c r="Q242" s="344"/>
      <c r="U242" s="126" t="s">
        <v>1059</v>
      </c>
      <c r="V242" s="131" t="s">
        <v>6096</v>
      </c>
      <c r="W242" s="132">
        <v>1.5798153729000002E-2</v>
      </c>
      <c r="X242" s="129">
        <v>5.6650619819999996E-4</v>
      </c>
      <c r="Y242" s="130">
        <v>3.2505367729000006E-2</v>
      </c>
    </row>
    <row r="243" spans="8:25" ht="15.5" x14ac:dyDescent="0.35">
      <c r="H243" s="383"/>
      <c r="I243" s="331" t="s">
        <v>1059</v>
      </c>
      <c r="J243" s="320" t="s">
        <v>1287</v>
      </c>
      <c r="K243" s="302">
        <v>6.5120021569999992E-2</v>
      </c>
      <c r="O243" s="308">
        <v>0.31</v>
      </c>
      <c r="P243" s="312">
        <v>9.3849358997199997E-2</v>
      </c>
      <c r="Q243" s="344">
        <v>5.2666748999999999E-10</v>
      </c>
      <c r="U243" s="126" t="s">
        <v>1059</v>
      </c>
      <c r="V243" s="131" t="s">
        <v>6097</v>
      </c>
      <c r="W243" s="132">
        <v>1.5857130105999998E-2</v>
      </c>
      <c r="X243" s="129">
        <v>5.6862102589999998E-4</v>
      </c>
      <c r="Y243" s="130">
        <v>3.2626714106000002E-2</v>
      </c>
    </row>
    <row r="244" spans="8:25" ht="15.5" x14ac:dyDescent="0.35">
      <c r="H244" s="383"/>
      <c r="I244" s="331" t="s">
        <v>1059</v>
      </c>
      <c r="J244" s="320" t="s">
        <v>1288</v>
      </c>
      <c r="K244" s="302">
        <v>6.4705362129999999E-2</v>
      </c>
      <c r="O244" s="308">
        <v>0.31</v>
      </c>
      <c r="P244" s="312">
        <v>9.0920693890300011E-2</v>
      </c>
      <c r="Q244" s="344">
        <v>5.2995304999999995E-10</v>
      </c>
      <c r="U244" s="126" t="s">
        <v>1059</v>
      </c>
      <c r="V244" s="131" t="s">
        <v>6098</v>
      </c>
      <c r="W244" s="132">
        <v>1.5798153729000002E-2</v>
      </c>
      <c r="X244" s="129">
        <v>5.6650619819999996E-4</v>
      </c>
      <c r="Y244" s="130">
        <v>3.2505367729000006E-2</v>
      </c>
    </row>
    <row r="245" spans="8:25" ht="15.5" x14ac:dyDescent="0.35">
      <c r="H245" s="384"/>
      <c r="I245" s="331" t="s">
        <v>1059</v>
      </c>
      <c r="J245" s="320" t="s">
        <v>1289</v>
      </c>
      <c r="K245" s="302">
        <v>7.1998416719999986E-2</v>
      </c>
      <c r="O245" s="308">
        <v>0.31</v>
      </c>
      <c r="P245" s="312">
        <v>0.12749505075149997</v>
      </c>
      <c r="Q245" s="344">
        <v>5.0480803000000005E-10</v>
      </c>
      <c r="U245" s="126" t="s">
        <v>1059</v>
      </c>
      <c r="V245" s="131" t="s">
        <v>6099</v>
      </c>
      <c r="W245" s="132">
        <v>4.0440376629999997E-2</v>
      </c>
      <c r="X245" s="129">
        <v>6.3060350589999994E-2</v>
      </c>
      <c r="Y245" s="130">
        <v>7.1939012629999993E-2</v>
      </c>
    </row>
    <row r="246" spans="8:25" ht="15.5" x14ac:dyDescent="0.35">
      <c r="H246" s="383"/>
      <c r="I246" s="331" t="s">
        <v>1059</v>
      </c>
      <c r="J246" s="320" t="s">
        <v>1290</v>
      </c>
      <c r="K246" s="302">
        <v>6.4966454539999996E-2</v>
      </c>
      <c r="O246" s="308">
        <v>0.3</v>
      </c>
      <c r="P246" s="312">
        <v>9.4008419471900001E-2</v>
      </c>
      <c r="Q246" s="344">
        <v>5.1249401000000003E-10</v>
      </c>
      <c r="U246" s="126" t="s">
        <v>1059</v>
      </c>
      <c r="V246" s="131" t="s">
        <v>6100</v>
      </c>
      <c r="W246" s="132">
        <v>0.11056975842000001</v>
      </c>
      <c r="X246" s="129">
        <v>7.0329584318000002E-2</v>
      </c>
      <c r="Y246" s="130">
        <v>0.16099647242000001</v>
      </c>
    </row>
    <row r="247" spans="8:25" ht="15.5" x14ac:dyDescent="0.35">
      <c r="H247" s="384" t="s">
        <v>1291</v>
      </c>
      <c r="I247" s="331"/>
      <c r="J247" s="319"/>
      <c r="K247" s="303"/>
      <c r="O247" s="308"/>
      <c r="P247" s="313"/>
      <c r="Q247" s="344"/>
      <c r="U247" s="126" t="s">
        <v>1059</v>
      </c>
      <c r="V247" s="131" t="s">
        <v>6101</v>
      </c>
      <c r="W247" s="132">
        <v>6.6249870899999994E-2</v>
      </c>
      <c r="X247" s="129">
        <v>0.20866919645400001</v>
      </c>
      <c r="Y247" s="130">
        <v>0.12801936289999999</v>
      </c>
    </row>
    <row r="248" spans="8:25" ht="15.5" x14ac:dyDescent="0.35">
      <c r="H248" s="384"/>
      <c r="I248" s="331" t="s">
        <v>1059</v>
      </c>
      <c r="J248" s="320" t="s">
        <v>1292</v>
      </c>
      <c r="K248" s="302">
        <v>0.1045299304</v>
      </c>
      <c r="O248" s="308">
        <v>0.44</v>
      </c>
      <c r="P248" s="312">
        <v>0.21634547286990002</v>
      </c>
      <c r="Q248" s="344">
        <v>5.3543138000000003E-10</v>
      </c>
      <c r="U248" s="126" t="s">
        <v>1059</v>
      </c>
      <c r="V248" s="131" t="s">
        <v>6102</v>
      </c>
      <c r="W248" s="132">
        <v>0.11531550900000001</v>
      </c>
      <c r="X248" s="129">
        <v>4.9295157369999995E-2</v>
      </c>
      <c r="Y248" s="130">
        <v>0.23197003900000002</v>
      </c>
    </row>
    <row r="249" spans="8:25" ht="15.5" x14ac:dyDescent="0.35">
      <c r="H249" s="383"/>
      <c r="I249" s="331" t="s">
        <v>1059</v>
      </c>
      <c r="J249" s="320" t="s">
        <v>1293</v>
      </c>
      <c r="K249" s="302">
        <v>7.4611767070000001E-2</v>
      </c>
      <c r="O249" s="308">
        <v>0.34</v>
      </c>
      <c r="P249" s="312">
        <v>0.19005249102130001</v>
      </c>
      <c r="Q249" s="344">
        <v>5.4426819999999997E-10</v>
      </c>
      <c r="U249" s="126" t="s">
        <v>1059</v>
      </c>
      <c r="V249" s="131" t="s">
        <v>6103</v>
      </c>
      <c r="W249" s="132">
        <v>0.11147547720000001</v>
      </c>
      <c r="X249" s="129">
        <v>5.6252276499999997E-2</v>
      </c>
      <c r="Y249" s="130">
        <v>0.21468514720000001</v>
      </c>
    </row>
    <row r="250" spans="8:25" ht="15.5" x14ac:dyDescent="0.35">
      <c r="H250" s="384"/>
      <c r="I250" s="331" t="s">
        <v>1059</v>
      </c>
      <c r="J250" s="320" t="s">
        <v>1294</v>
      </c>
      <c r="K250" s="302">
        <v>0.23119427450000002</v>
      </c>
      <c r="O250" s="308">
        <v>0.87</v>
      </c>
      <c r="P250" s="312">
        <v>0.68304199629259998</v>
      </c>
      <c r="Q250" s="344">
        <v>6.1221588999999997E-10</v>
      </c>
      <c r="U250" s="126" t="s">
        <v>1059</v>
      </c>
      <c r="V250" s="131" t="s">
        <v>6104</v>
      </c>
      <c r="W250" s="132">
        <v>0.1191837978</v>
      </c>
      <c r="X250" s="129">
        <v>5.8497987260000009E-2</v>
      </c>
      <c r="Y250" s="130">
        <v>0.24409827779999999</v>
      </c>
    </row>
    <row r="251" spans="8:25" ht="15.5" x14ac:dyDescent="0.35">
      <c r="H251" s="383"/>
      <c r="I251" s="331" t="s">
        <v>1059</v>
      </c>
      <c r="J251" s="320" t="s">
        <v>1295</v>
      </c>
      <c r="K251" s="302">
        <v>6.6702567849999991E-2</v>
      </c>
      <c r="O251" s="308">
        <v>0.32</v>
      </c>
      <c r="P251" s="312">
        <v>9.8341574252200012E-2</v>
      </c>
      <c r="Q251" s="344">
        <v>5.4194029000000004E-10</v>
      </c>
      <c r="U251" s="126" t="s">
        <v>1059</v>
      </c>
      <c r="V251" s="131" t="s">
        <v>6105</v>
      </c>
      <c r="W251" s="132">
        <v>0.162883948</v>
      </c>
      <c r="X251" s="129">
        <v>5.0115957069999995E-2</v>
      </c>
      <c r="Y251" s="130">
        <v>0.27713350800000003</v>
      </c>
    </row>
    <row r="252" spans="8:25" ht="15.5" x14ac:dyDescent="0.35">
      <c r="H252" s="383"/>
      <c r="I252" s="331" t="s">
        <v>1059</v>
      </c>
      <c r="J252" s="320" t="s">
        <v>1296</v>
      </c>
      <c r="K252" s="302">
        <v>6.0373516219999999E-2</v>
      </c>
      <c r="O252" s="308">
        <v>0.28999999999999998</v>
      </c>
      <c r="P252" s="312">
        <v>8.5306849493300002E-2</v>
      </c>
      <c r="Q252" s="344">
        <v>4.9922765999999996E-10</v>
      </c>
      <c r="U252" s="126" t="s">
        <v>1059</v>
      </c>
      <c r="V252" s="131" t="s">
        <v>6106</v>
      </c>
      <c r="W252" s="132">
        <v>0.12384236370000001</v>
      </c>
      <c r="X252" s="129">
        <v>5.1885318119999996E-2</v>
      </c>
      <c r="Y252" s="130">
        <v>0.23147455370000003</v>
      </c>
    </row>
    <row r="253" spans="8:25" ht="15.5" x14ac:dyDescent="0.35">
      <c r="H253" s="384"/>
      <c r="I253" s="331" t="s">
        <v>1059</v>
      </c>
      <c r="J253" s="320" t="s">
        <v>1297</v>
      </c>
      <c r="K253" s="302">
        <v>0.63974862519999998</v>
      </c>
      <c r="O253" s="308">
        <v>2.34</v>
      </c>
      <c r="P253" s="312">
        <v>1.6686859690411999</v>
      </c>
      <c r="Q253" s="344">
        <v>5.0991194999999995E-10</v>
      </c>
      <c r="U253" s="126" t="s">
        <v>1059</v>
      </c>
      <c r="V253" s="131" t="s">
        <v>6107</v>
      </c>
      <c r="W253" s="132">
        <v>3.3623610970000002E-2</v>
      </c>
      <c r="X253" s="129">
        <v>1.6632036292E-2</v>
      </c>
      <c r="Y253" s="130">
        <v>4.9607168970000004E-2</v>
      </c>
    </row>
    <row r="254" spans="8:25" ht="15.5" x14ac:dyDescent="0.35">
      <c r="H254" s="383"/>
      <c r="I254" s="331" t="s">
        <v>1059</v>
      </c>
      <c r="J254" s="320" t="s">
        <v>1298</v>
      </c>
      <c r="K254" s="302">
        <v>0.18104013529999999</v>
      </c>
      <c r="O254" s="308">
        <v>0.68</v>
      </c>
      <c r="P254" s="312">
        <v>0.71629853672369992</v>
      </c>
      <c r="Q254" s="344">
        <v>4.6247692000000002E-10</v>
      </c>
      <c r="U254" s="126" t="s">
        <v>1059</v>
      </c>
      <c r="V254" s="131" t="s">
        <v>6108</v>
      </c>
      <c r="W254" s="132">
        <v>5.1084946040000009E-2</v>
      </c>
      <c r="X254" s="129">
        <v>3.7715932670000001E-2</v>
      </c>
      <c r="Y254" s="130">
        <v>9.3158229040000012E-2</v>
      </c>
    </row>
    <row r="255" spans="8:25" ht="15.5" x14ac:dyDescent="0.35">
      <c r="H255" s="383"/>
      <c r="I255" s="331" t="s">
        <v>1059</v>
      </c>
      <c r="J255" s="320" t="s">
        <v>1299</v>
      </c>
      <c r="K255" s="302">
        <v>1.14041583455</v>
      </c>
      <c r="O255" s="308">
        <v>4</v>
      </c>
      <c r="P255" s="312">
        <v>3.4135946817158</v>
      </c>
      <c r="Q255" s="344">
        <v>8.2210929000000001E-10</v>
      </c>
      <c r="U255" s="126" t="s">
        <v>1059</v>
      </c>
      <c r="V255" s="131" t="s">
        <v>6109</v>
      </c>
      <c r="W255" s="132">
        <v>4.9271892410000004E-2</v>
      </c>
      <c r="X255" s="129">
        <v>4.0767476689999999E-2</v>
      </c>
      <c r="Y255" s="130">
        <v>8.4661003410000005E-2</v>
      </c>
    </row>
    <row r="256" spans="8:25" ht="15.5" x14ac:dyDescent="0.35">
      <c r="H256" s="384" t="s">
        <v>1300</v>
      </c>
      <c r="I256" s="331"/>
      <c r="J256" s="319"/>
      <c r="K256" s="303"/>
      <c r="O256" s="308"/>
      <c r="P256" s="313"/>
      <c r="Q256" s="344"/>
      <c r="U256" s="126" t="s">
        <v>1059</v>
      </c>
      <c r="V256" s="131" t="s">
        <v>6110</v>
      </c>
      <c r="W256" s="132">
        <v>5.4610156250000007E-2</v>
      </c>
      <c r="X256" s="129">
        <v>4.6448278900000001E-2</v>
      </c>
      <c r="Y256" s="130">
        <v>0.10293977025000001</v>
      </c>
    </row>
    <row r="257" spans="8:25" ht="15.5" x14ac:dyDescent="0.35">
      <c r="H257" s="383"/>
      <c r="I257" s="331" t="s">
        <v>1059</v>
      </c>
      <c r="J257" s="320" t="s">
        <v>1301</v>
      </c>
      <c r="K257" s="302">
        <v>6.1105291219999996E-2</v>
      </c>
      <c r="O257" s="308">
        <v>0.28999999999999998</v>
      </c>
      <c r="P257" s="312">
        <v>8.54915419446E-2</v>
      </c>
      <c r="Q257" s="344">
        <v>5.0390001000000003E-10</v>
      </c>
      <c r="U257" s="126" t="s">
        <v>1059</v>
      </c>
      <c r="V257" s="131" t="s">
        <v>6111</v>
      </c>
      <c r="W257" s="132">
        <v>8.4876873000000005E-2</v>
      </c>
      <c r="X257" s="129">
        <v>3.9144916949999997E-2</v>
      </c>
      <c r="Y257" s="130">
        <v>0.12427750900000001</v>
      </c>
    </row>
    <row r="258" spans="8:25" ht="15.5" x14ac:dyDescent="0.35">
      <c r="H258" s="383"/>
      <c r="I258" s="331" t="s">
        <v>1059</v>
      </c>
      <c r="J258" s="320" t="s">
        <v>1302</v>
      </c>
      <c r="K258" s="302">
        <v>6.1105291219999996E-2</v>
      </c>
      <c r="O258" s="308">
        <v>0.28999999999999998</v>
      </c>
      <c r="P258" s="312">
        <v>8.54915419446E-2</v>
      </c>
      <c r="Q258" s="344">
        <v>5.0390001000000003E-10</v>
      </c>
      <c r="U258" s="126" t="s">
        <v>1059</v>
      </c>
      <c r="V258" s="131" t="s">
        <v>6112</v>
      </c>
      <c r="W258" s="132">
        <v>4.2330221799999998E-2</v>
      </c>
      <c r="X258" s="129">
        <v>3.0168416850000001E-2</v>
      </c>
      <c r="Y258" s="130">
        <v>7.7710696800000006E-2</v>
      </c>
    </row>
    <row r="259" spans="8:25" ht="15.5" x14ac:dyDescent="0.35">
      <c r="H259" s="383"/>
      <c r="I259" s="331" t="s">
        <v>1059</v>
      </c>
      <c r="J259" s="320" t="s">
        <v>1303</v>
      </c>
      <c r="K259" s="302">
        <v>6.1105291219999996E-2</v>
      </c>
      <c r="O259" s="308">
        <v>0.28999999999999998</v>
      </c>
      <c r="P259" s="312">
        <v>8.54915419446E-2</v>
      </c>
      <c r="Q259" s="344">
        <v>5.0390001000000003E-10</v>
      </c>
      <c r="U259" s="126" t="s">
        <v>1059</v>
      </c>
      <c r="V259" s="131" t="s">
        <v>6113</v>
      </c>
      <c r="W259" s="132">
        <v>4.1094175489999996E-2</v>
      </c>
      <c r="X259" s="129">
        <v>3.2461166429999994E-2</v>
      </c>
      <c r="Y259" s="130">
        <v>7.1467167489999997E-2</v>
      </c>
    </row>
    <row r="260" spans="8:25" ht="15.5" x14ac:dyDescent="0.35">
      <c r="H260" s="383"/>
      <c r="I260" s="331" t="s">
        <v>1059</v>
      </c>
      <c r="J260" s="320" t="s">
        <v>1304</v>
      </c>
      <c r="K260" s="302">
        <v>6.1105291219999996E-2</v>
      </c>
      <c r="O260" s="308">
        <v>0.28999999999999998</v>
      </c>
      <c r="P260" s="312">
        <v>8.54915419446E-2</v>
      </c>
      <c r="Q260" s="344">
        <v>5.0390001000000003E-10</v>
      </c>
      <c r="U260" s="126" t="s">
        <v>1059</v>
      </c>
      <c r="V260" s="131" t="s">
        <v>6114</v>
      </c>
      <c r="W260" s="132">
        <v>4.5133592920000007E-2</v>
      </c>
      <c r="X260" s="129">
        <v>3.7237813470000006E-2</v>
      </c>
      <c r="Y260" s="130">
        <v>8.538891992E-2</v>
      </c>
    </row>
    <row r="261" spans="8:25" ht="15.5" x14ac:dyDescent="0.35">
      <c r="H261" s="384" t="s">
        <v>1305</v>
      </c>
      <c r="I261" s="331"/>
      <c r="J261" s="319"/>
      <c r="K261" s="303"/>
      <c r="O261" s="308"/>
      <c r="P261" s="313"/>
      <c r="Q261" s="344"/>
      <c r="U261" s="126" t="s">
        <v>1059</v>
      </c>
      <c r="V261" s="131" t="s">
        <v>6115</v>
      </c>
      <c r="W261" s="132">
        <v>6.9186142269999987E-2</v>
      </c>
      <c r="X261" s="129">
        <v>3.1361592469999998E-2</v>
      </c>
      <c r="Y261" s="130">
        <v>0.10239347826999998</v>
      </c>
    </row>
    <row r="262" spans="8:25" ht="15.5" x14ac:dyDescent="0.35">
      <c r="H262" s="383"/>
      <c r="I262" s="331" t="s">
        <v>1059</v>
      </c>
      <c r="J262" s="320" t="s">
        <v>1306</v>
      </c>
      <c r="K262" s="302">
        <v>7.9040064320000006E-2</v>
      </c>
      <c r="O262" s="308">
        <v>0.35</v>
      </c>
      <c r="P262" s="312">
        <v>0.23081183352449999</v>
      </c>
      <c r="Q262" s="344">
        <v>5.4100913000000003E-10</v>
      </c>
      <c r="U262" s="126" t="s">
        <v>1059</v>
      </c>
      <c r="V262" s="131" t="s">
        <v>6116</v>
      </c>
      <c r="W262" s="132">
        <v>0.18671199899999996</v>
      </c>
      <c r="X262" s="129">
        <v>0.13722354504000001</v>
      </c>
      <c r="Y262" s="130">
        <v>0.33665137899999997</v>
      </c>
    </row>
    <row r="263" spans="8:25" ht="15.5" x14ac:dyDescent="0.35">
      <c r="H263" s="383"/>
      <c r="I263" s="331" t="s">
        <v>1059</v>
      </c>
      <c r="J263" s="320" t="s">
        <v>1307</v>
      </c>
      <c r="K263" s="302">
        <v>8.5947532229999998E-2</v>
      </c>
      <c r="O263" s="308">
        <v>0.36</v>
      </c>
      <c r="P263" s="312">
        <v>0.19785968429999998</v>
      </c>
      <c r="Q263" s="344">
        <v>5.2508534999999996E-10</v>
      </c>
      <c r="U263" s="126" t="s">
        <v>1059</v>
      </c>
      <c r="V263" s="131" t="s">
        <v>6117</v>
      </c>
      <c r="W263" s="132">
        <v>0.18078719770000001</v>
      </c>
      <c r="X263" s="129">
        <v>0.14588974123999998</v>
      </c>
      <c r="Y263" s="130">
        <v>0.30995535770000004</v>
      </c>
    </row>
    <row r="264" spans="8:25" ht="15.5" x14ac:dyDescent="0.35">
      <c r="H264" s="383"/>
      <c r="I264" s="331" t="s">
        <v>1059</v>
      </c>
      <c r="J264" s="320" t="s">
        <v>1308</v>
      </c>
      <c r="K264" s="302">
        <v>6.1105291219999996E-2</v>
      </c>
      <c r="O264" s="308">
        <v>0.28999999999999998</v>
      </c>
      <c r="P264" s="312">
        <v>8.54915419446E-2</v>
      </c>
      <c r="Q264" s="344">
        <v>5.0390001000000003E-10</v>
      </c>
      <c r="U264" s="126" t="s">
        <v>1059</v>
      </c>
      <c r="V264" s="131" t="s">
        <v>6118</v>
      </c>
      <c r="W264" s="132">
        <v>0.2001424899</v>
      </c>
      <c r="X264" s="129">
        <v>0.17037000349</v>
      </c>
      <c r="Y264" s="130">
        <v>0.37296339989999999</v>
      </c>
    </row>
    <row r="265" spans="8:25" ht="15.5" x14ac:dyDescent="0.35">
      <c r="H265" s="383"/>
      <c r="I265" s="331" t="s">
        <v>1059</v>
      </c>
      <c r="J265" s="320" t="s">
        <v>1309</v>
      </c>
      <c r="K265" s="302">
        <v>6.1105291219999996E-2</v>
      </c>
      <c r="O265" s="308">
        <v>0.28999999999999998</v>
      </c>
      <c r="P265" s="312">
        <v>8.54915419446E-2</v>
      </c>
      <c r="Q265" s="344">
        <v>5.0390001000000003E-10</v>
      </c>
      <c r="U265" s="126" t="s">
        <v>1059</v>
      </c>
      <c r="V265" s="131" t="s">
        <v>6119</v>
      </c>
      <c r="W265" s="132">
        <v>0.30539695859999999</v>
      </c>
      <c r="X265" s="129">
        <v>0.1431671753</v>
      </c>
      <c r="Y265" s="130">
        <v>0.44483106859999999</v>
      </c>
    </row>
    <row r="266" spans="8:25" ht="15.5" x14ac:dyDescent="0.35">
      <c r="H266" s="384" t="s">
        <v>1310</v>
      </c>
      <c r="I266" s="331"/>
      <c r="J266" s="319"/>
      <c r="K266" s="303"/>
      <c r="O266" s="308"/>
      <c r="P266" s="313"/>
      <c r="Q266" s="344"/>
      <c r="U266" s="126" t="s">
        <v>1059</v>
      </c>
      <c r="V266" s="131" t="s">
        <v>6120</v>
      </c>
      <c r="W266" s="132">
        <v>0.12504680610000002</v>
      </c>
      <c r="X266" s="129">
        <v>4.7876685260000003E-2</v>
      </c>
      <c r="Y266" s="130">
        <v>0.30869903610000005</v>
      </c>
    </row>
    <row r="267" spans="8:25" ht="15.5" x14ac:dyDescent="0.35">
      <c r="H267" s="384"/>
      <c r="I267" s="331" t="s">
        <v>1059</v>
      </c>
      <c r="J267" s="320" t="s">
        <v>1311</v>
      </c>
      <c r="K267" s="302">
        <v>0.1705186819</v>
      </c>
      <c r="O267" s="308">
        <v>0.68</v>
      </c>
      <c r="P267" s="312">
        <v>0.39904549199349998</v>
      </c>
      <c r="Q267" s="344">
        <v>5.6164208E-10</v>
      </c>
      <c r="U267" s="126" t="s">
        <v>1059</v>
      </c>
      <c r="V267" s="131" t="s">
        <v>6121</v>
      </c>
      <c r="W267" s="132">
        <v>0.12709415800000001</v>
      </c>
      <c r="X267" s="129">
        <v>5.5738114350000006E-2</v>
      </c>
      <c r="Y267" s="130">
        <v>0.30040946800000001</v>
      </c>
    </row>
    <row r="268" spans="8:25" ht="15.5" x14ac:dyDescent="0.35">
      <c r="H268" s="383"/>
      <c r="I268" s="331" t="s">
        <v>1059</v>
      </c>
      <c r="J268" s="320" t="s">
        <v>1312</v>
      </c>
      <c r="K268" s="302">
        <v>7.0715794849999999E-2</v>
      </c>
      <c r="O268" s="308">
        <v>0.33</v>
      </c>
      <c r="P268" s="312">
        <v>9.9153108982399998E-2</v>
      </c>
      <c r="Q268" s="344">
        <v>5.2640308000000003E-10</v>
      </c>
      <c r="U268" s="126" t="s">
        <v>1059</v>
      </c>
      <c r="V268" s="131" t="s">
        <v>6122</v>
      </c>
      <c r="W268" s="132">
        <v>0.12666007379999999</v>
      </c>
      <c r="X268" s="129">
        <v>5.6209967749999999E-2</v>
      </c>
      <c r="Y268" s="130">
        <v>0.31347713379999997</v>
      </c>
    </row>
    <row r="269" spans="8:25" ht="15.5" x14ac:dyDescent="0.35">
      <c r="H269" s="383"/>
      <c r="I269" s="331" t="s">
        <v>1059</v>
      </c>
      <c r="J269" s="320" t="s">
        <v>1313</v>
      </c>
      <c r="K269" s="302">
        <v>0.1363513415</v>
      </c>
      <c r="O269" s="308">
        <v>0.56000000000000005</v>
      </c>
      <c r="P269" s="312">
        <v>0.28304233813230006</v>
      </c>
      <c r="Q269" s="344">
        <v>5.4206860000000004E-10</v>
      </c>
      <c r="U269" s="126" t="s">
        <v>1059</v>
      </c>
      <c r="V269" s="131" t="s">
        <v>6123</v>
      </c>
      <c r="W269" s="132">
        <v>0.17613728040000001</v>
      </c>
      <c r="X269" s="129">
        <v>4.8504715059999995E-2</v>
      </c>
      <c r="Y269" s="130">
        <v>0.35823951040000002</v>
      </c>
    </row>
    <row r="270" spans="8:25" ht="15.5" x14ac:dyDescent="0.35">
      <c r="H270" s="383"/>
      <c r="I270" s="331" t="s">
        <v>1059</v>
      </c>
      <c r="J270" s="320" t="s">
        <v>1314</v>
      </c>
      <c r="K270" s="302">
        <v>8.1083377839999998E-2</v>
      </c>
      <c r="O270" s="308">
        <v>0.36</v>
      </c>
      <c r="P270" s="312">
        <v>0.21830103211599999</v>
      </c>
      <c r="Q270" s="344">
        <v>5.2304054999999995E-10</v>
      </c>
      <c r="U270" s="126" t="s">
        <v>1059</v>
      </c>
      <c r="V270" s="131" t="s">
        <v>6124</v>
      </c>
      <c r="W270" s="132">
        <v>3.2943985340000002E-2</v>
      </c>
      <c r="X270" s="129">
        <v>2.0891048719000001E-2</v>
      </c>
      <c r="Y270" s="130">
        <v>9.0238897340000013E-2</v>
      </c>
    </row>
    <row r="271" spans="8:25" ht="15.5" x14ac:dyDescent="0.35">
      <c r="H271" s="383"/>
      <c r="I271" s="331" t="s">
        <v>1059</v>
      </c>
      <c r="J271" s="320" t="s">
        <v>1315</v>
      </c>
      <c r="K271" s="302">
        <v>0.14656726710000001</v>
      </c>
      <c r="O271" s="308">
        <v>0.56999999999999995</v>
      </c>
      <c r="P271" s="312">
        <v>0.4644064127375</v>
      </c>
      <c r="Q271" s="344">
        <v>5.3999935E-10</v>
      </c>
      <c r="U271" s="126" t="s">
        <v>1059</v>
      </c>
      <c r="V271" s="131" t="s">
        <v>6125</v>
      </c>
      <c r="W271" s="132">
        <v>3.4295083890000001E-2</v>
      </c>
      <c r="X271" s="129">
        <v>2.3284476906000003E-2</v>
      </c>
      <c r="Y271" s="130">
        <v>8.8677166889999992E-2</v>
      </c>
    </row>
    <row r="272" spans="8:25" ht="15.5" x14ac:dyDescent="0.35">
      <c r="H272" s="383"/>
      <c r="I272" s="331" t="s">
        <v>1059</v>
      </c>
      <c r="J272" s="320" t="s">
        <v>1316</v>
      </c>
      <c r="K272" s="302">
        <v>7.6701911479999996E-2</v>
      </c>
      <c r="O272" s="308">
        <v>0.36</v>
      </c>
      <c r="P272" s="312">
        <v>0.11052445852160001</v>
      </c>
      <c r="Q272" s="344">
        <v>5.5994487000000001E-10</v>
      </c>
      <c r="U272" s="126" t="s">
        <v>1059</v>
      </c>
      <c r="V272" s="131" t="s">
        <v>6126</v>
      </c>
      <c r="W272" s="132">
        <v>3.3941731449999998E-2</v>
      </c>
      <c r="X272" s="129">
        <v>2.5347592489999998E-2</v>
      </c>
      <c r="Y272" s="130">
        <v>9.2658879449999995E-2</v>
      </c>
    </row>
    <row r="273" spans="8:25" ht="15.5" x14ac:dyDescent="0.35">
      <c r="H273" s="383"/>
      <c r="I273" s="331" t="s">
        <v>1059</v>
      </c>
      <c r="J273" s="320" t="s">
        <v>1317</v>
      </c>
      <c r="K273" s="302">
        <v>8.2299443530000002E-2</v>
      </c>
      <c r="O273" s="308">
        <v>0.37</v>
      </c>
      <c r="P273" s="312">
        <v>0.1176228094847</v>
      </c>
      <c r="Q273" s="344">
        <v>5.3302802999999998E-10</v>
      </c>
      <c r="U273" s="126" t="s">
        <v>1059</v>
      </c>
      <c r="V273" s="131" t="s">
        <v>6127</v>
      </c>
      <c r="W273" s="132">
        <v>5.415586252E-2</v>
      </c>
      <c r="X273" s="129">
        <v>2.1540263307000002E-2</v>
      </c>
      <c r="Y273" s="130">
        <v>0.11037379552</v>
      </c>
    </row>
    <row r="274" spans="8:25" ht="15.5" x14ac:dyDescent="0.35">
      <c r="H274" s="383"/>
      <c r="I274" s="331" t="s">
        <v>1059</v>
      </c>
      <c r="J274" s="320" t="s">
        <v>1318</v>
      </c>
      <c r="K274" s="302">
        <v>0.19462445249999999</v>
      </c>
      <c r="O274" s="308">
        <v>0.76</v>
      </c>
      <c r="P274" s="312">
        <v>0.4783127167693999</v>
      </c>
      <c r="Q274" s="344">
        <v>5.7400131999999997E-10</v>
      </c>
      <c r="U274" s="126" t="s">
        <v>1059</v>
      </c>
      <c r="V274" s="131" t="s">
        <v>6128</v>
      </c>
      <c r="W274" s="132">
        <v>0.1549535112</v>
      </c>
      <c r="X274" s="129">
        <v>0.10560515337</v>
      </c>
      <c r="Y274" s="130">
        <v>0.28278076120000001</v>
      </c>
    </row>
    <row r="275" spans="8:25" ht="15.5" x14ac:dyDescent="0.35">
      <c r="H275" s="383"/>
      <c r="I275" s="331" t="s">
        <v>1059</v>
      </c>
      <c r="J275" s="320" t="s">
        <v>1319</v>
      </c>
      <c r="K275" s="302">
        <v>0.10836793630000001</v>
      </c>
      <c r="O275" s="308">
        <v>0.46</v>
      </c>
      <c r="P275" s="312">
        <v>0.22022721792319999</v>
      </c>
      <c r="Q275" s="344">
        <v>5.4416597000000003E-10</v>
      </c>
      <c r="U275" s="126" t="s">
        <v>1059</v>
      </c>
      <c r="V275" s="131" t="s">
        <v>6129</v>
      </c>
      <c r="W275" s="132">
        <v>0.14748656500000001</v>
      </c>
      <c r="X275" s="129">
        <v>0.11709896875</v>
      </c>
      <c r="Y275" s="130">
        <v>0.25120536500000001</v>
      </c>
    </row>
    <row r="276" spans="8:25" ht="15.5" x14ac:dyDescent="0.35">
      <c r="H276" s="384"/>
      <c r="I276" s="331" t="s">
        <v>1059</v>
      </c>
      <c r="J276" s="320" t="s">
        <v>1320</v>
      </c>
      <c r="K276" s="302">
        <v>6.8603625259999995E-2</v>
      </c>
      <c r="O276" s="308">
        <v>0.33</v>
      </c>
      <c r="P276" s="312">
        <v>0.10322568497500001</v>
      </c>
      <c r="Q276" s="344">
        <v>5.8300257000000003E-10</v>
      </c>
      <c r="U276" s="126" t="s">
        <v>1059</v>
      </c>
      <c r="V276" s="131" t="s">
        <v>6130</v>
      </c>
      <c r="W276" s="132">
        <v>0.16451154270000001</v>
      </c>
      <c r="X276" s="129">
        <v>0.12821396404999999</v>
      </c>
      <c r="Y276" s="130">
        <v>0.31086565269999999</v>
      </c>
    </row>
    <row r="277" spans="8:25" ht="15.5" x14ac:dyDescent="0.35">
      <c r="H277" s="383"/>
      <c r="I277" s="331" t="s">
        <v>1059</v>
      </c>
      <c r="J277" s="320" t="s">
        <v>1321</v>
      </c>
      <c r="K277" s="302">
        <v>7.4810937750000001E-2</v>
      </c>
      <c r="O277" s="308">
        <v>0.35</v>
      </c>
      <c r="P277" s="312">
        <v>0.105402436239</v>
      </c>
      <c r="Q277" s="344">
        <v>5.2381651999999996E-10</v>
      </c>
      <c r="U277" s="126" t="s">
        <v>1059</v>
      </c>
      <c r="V277" s="131" t="s">
        <v>6131</v>
      </c>
      <c r="W277" s="132">
        <v>0.25348673269999999</v>
      </c>
      <c r="X277" s="129">
        <v>0.10862203975999998</v>
      </c>
      <c r="Y277" s="130">
        <v>0.37472339269999999</v>
      </c>
    </row>
    <row r="278" spans="8:25" ht="15.5" x14ac:dyDescent="0.35">
      <c r="H278" s="383"/>
      <c r="I278" s="331" t="s">
        <v>1059</v>
      </c>
      <c r="J278" s="320" t="s">
        <v>1322</v>
      </c>
      <c r="K278" s="302">
        <v>0.11054153606</v>
      </c>
      <c r="O278" s="308">
        <v>0.42</v>
      </c>
      <c r="P278" s="312">
        <v>0.12546974143199999</v>
      </c>
      <c r="Q278" s="344">
        <v>5.2359638000000004E-10</v>
      </c>
      <c r="U278" s="126" t="s">
        <v>1059</v>
      </c>
      <c r="V278" s="131" t="s">
        <v>6132</v>
      </c>
      <c r="W278" s="132">
        <v>4.684410671E-2</v>
      </c>
      <c r="X278" s="129">
        <v>3.8801438709999997E-2</v>
      </c>
      <c r="Y278" s="130">
        <v>7.9028691710000001E-2</v>
      </c>
    </row>
    <row r="279" spans="8:25" ht="15.5" x14ac:dyDescent="0.35">
      <c r="H279" s="383"/>
      <c r="I279" s="331" t="s">
        <v>1059</v>
      </c>
      <c r="J279" s="320" t="s">
        <v>1323</v>
      </c>
      <c r="K279" s="302">
        <v>6.4244020319999998E-2</v>
      </c>
      <c r="O279" s="308">
        <v>0.31</v>
      </c>
      <c r="P279" s="312">
        <v>8.9735622478800001E-2</v>
      </c>
      <c r="Q279" s="344">
        <v>5.2976561000000001E-10</v>
      </c>
      <c r="U279" s="126" t="s">
        <v>1059</v>
      </c>
      <c r="V279" s="131" t="s">
        <v>6133</v>
      </c>
      <c r="W279" s="132">
        <v>4.4500432950000002E-2</v>
      </c>
      <c r="X279" s="129">
        <v>4.1424148309999999E-2</v>
      </c>
      <c r="Y279" s="130">
        <v>7.0111702949999993E-2</v>
      </c>
    </row>
    <row r="280" spans="8:25" ht="15.5" x14ac:dyDescent="0.35">
      <c r="H280" s="383"/>
      <c r="I280" s="331" t="s">
        <v>1059</v>
      </c>
      <c r="J280" s="320" t="s">
        <v>1324</v>
      </c>
      <c r="K280" s="302">
        <v>8.1219465399999996E-2</v>
      </c>
      <c r="O280" s="308">
        <v>0.36</v>
      </c>
      <c r="P280" s="312">
        <v>0.17373798183679998</v>
      </c>
      <c r="Q280" s="344">
        <v>5.3170889000000004E-10</v>
      </c>
      <c r="U280" s="126" t="s">
        <v>1059</v>
      </c>
      <c r="V280" s="131" t="s">
        <v>6134</v>
      </c>
      <c r="W280" s="132">
        <v>5.3040545250000001E-2</v>
      </c>
      <c r="X280" s="129">
        <v>3.9025545779999997E-2</v>
      </c>
      <c r="Y280" s="130">
        <v>8.7133989250000002E-2</v>
      </c>
    </row>
    <row r="281" spans="8:25" ht="15.5" x14ac:dyDescent="0.35">
      <c r="H281" s="383"/>
      <c r="I281" s="331" t="s">
        <v>1059</v>
      </c>
      <c r="J281" s="320" t="s">
        <v>1325</v>
      </c>
      <c r="K281" s="302">
        <v>8.133197939999999E-2</v>
      </c>
      <c r="O281" s="308">
        <v>0.36</v>
      </c>
      <c r="P281" s="312">
        <v>0.17419193338819999</v>
      </c>
      <c r="Q281" s="344">
        <v>5.3119158000000001E-10</v>
      </c>
      <c r="U281" s="126" t="s">
        <v>1059</v>
      </c>
      <c r="V281" s="131" t="s">
        <v>6135</v>
      </c>
      <c r="W281" s="132">
        <v>5.0808271709999998E-2</v>
      </c>
      <c r="X281" s="129">
        <v>4.812315709E-2</v>
      </c>
      <c r="Y281" s="130">
        <v>8.9970929710000008E-2</v>
      </c>
    </row>
    <row r="282" spans="8:25" ht="15.5" x14ac:dyDescent="0.35">
      <c r="H282" s="384"/>
      <c r="I282" s="331" t="s">
        <v>1059</v>
      </c>
      <c r="J282" s="320" t="s">
        <v>1326</v>
      </c>
      <c r="K282" s="302">
        <v>6.4356534380000011E-2</v>
      </c>
      <c r="O282" s="308">
        <v>0.31</v>
      </c>
      <c r="P282" s="312">
        <v>9.0189574100199996E-2</v>
      </c>
      <c r="Q282" s="344">
        <v>5.2924829000000004E-10</v>
      </c>
      <c r="U282" s="126" t="s">
        <v>1059</v>
      </c>
      <c r="V282" s="131" t="s">
        <v>6136</v>
      </c>
      <c r="W282" s="132">
        <v>7.3354270220000004E-2</v>
      </c>
      <c r="X282" s="129">
        <v>4.8675676750000001E-2</v>
      </c>
      <c r="Y282" s="130">
        <v>0.11977457822000001</v>
      </c>
    </row>
    <row r="283" spans="8:25" ht="15.5" x14ac:dyDescent="0.35">
      <c r="H283" s="383"/>
      <c r="I283" s="331" t="s">
        <v>1059</v>
      </c>
      <c r="J283" s="320" t="s">
        <v>1327</v>
      </c>
      <c r="K283" s="302">
        <v>6.4356534380000011E-2</v>
      </c>
      <c r="O283" s="308">
        <v>0.31</v>
      </c>
      <c r="P283" s="312">
        <v>9.0189574100199996E-2</v>
      </c>
      <c r="Q283" s="344">
        <v>5.2924829000000004E-10</v>
      </c>
      <c r="U283" s="126" t="s">
        <v>1059</v>
      </c>
      <c r="V283" s="131" t="s">
        <v>6137</v>
      </c>
      <c r="W283" s="132">
        <v>8.0536457439999987E-2</v>
      </c>
      <c r="X283" s="129">
        <v>4.0423280382000007E-2</v>
      </c>
      <c r="Y283" s="130">
        <v>0.10974517943999998</v>
      </c>
    </row>
    <row r="284" spans="8:25" ht="15.5" x14ac:dyDescent="0.35">
      <c r="H284" s="384" t="s">
        <v>1328</v>
      </c>
      <c r="I284" s="331"/>
      <c r="J284" s="319"/>
      <c r="K284" s="303"/>
      <c r="O284" s="308"/>
      <c r="P284" s="313"/>
      <c r="Q284" s="344"/>
      <c r="U284" s="126" t="s">
        <v>1059</v>
      </c>
      <c r="V284" s="131" t="s">
        <v>6138</v>
      </c>
      <c r="W284" s="132">
        <v>4.6873150749999995E-2</v>
      </c>
      <c r="X284" s="129">
        <v>2.2239265039999997E-2</v>
      </c>
      <c r="Y284" s="130">
        <v>0.17768788074999997</v>
      </c>
    </row>
    <row r="285" spans="8:25" ht="15.5" x14ac:dyDescent="0.35">
      <c r="H285" s="383"/>
      <c r="I285" s="331" t="s">
        <v>1059</v>
      </c>
      <c r="J285" s="320" t="s">
        <v>1329</v>
      </c>
      <c r="K285" s="302">
        <v>8.5409842299999997E-2</v>
      </c>
      <c r="O285" s="308">
        <v>0.36</v>
      </c>
      <c r="P285" s="312">
        <v>0.32856446401509998</v>
      </c>
      <c r="Q285" s="344">
        <v>5.2166780999999998E-10</v>
      </c>
      <c r="U285" s="126" t="s">
        <v>1059</v>
      </c>
      <c r="V285" s="131" t="s">
        <v>6139</v>
      </c>
      <c r="W285" s="132">
        <v>5.4191749079999997E-2</v>
      </c>
      <c r="X285" s="129">
        <v>2.585420661E-2</v>
      </c>
      <c r="Y285" s="130">
        <v>0.18474527907999999</v>
      </c>
    </row>
    <row r="286" spans="8:25" ht="15.5" x14ac:dyDescent="0.35">
      <c r="H286" s="383"/>
      <c r="I286" s="331" t="s">
        <v>1059</v>
      </c>
      <c r="J286" s="320" t="s">
        <v>1330</v>
      </c>
      <c r="K286" s="302">
        <v>0.2072590886</v>
      </c>
      <c r="O286" s="308">
        <v>0.61</v>
      </c>
      <c r="P286" s="312">
        <v>0.3949833791981</v>
      </c>
      <c r="Q286" s="344">
        <v>5.2283722999999999E-10</v>
      </c>
      <c r="U286" s="126" t="s">
        <v>1059</v>
      </c>
      <c r="V286" s="131" t="s">
        <v>6140</v>
      </c>
      <c r="W286" s="132">
        <v>4.5778105870000002E-2</v>
      </c>
      <c r="X286" s="129">
        <v>2.6415466980000003E-2</v>
      </c>
      <c r="Y286" s="130">
        <v>0.17318600586999999</v>
      </c>
    </row>
    <row r="287" spans="8:25" ht="15.5" x14ac:dyDescent="0.35">
      <c r="H287" s="383"/>
      <c r="I287" s="331" t="s">
        <v>1059</v>
      </c>
      <c r="J287" s="320" t="s">
        <v>1331</v>
      </c>
      <c r="K287" s="302">
        <v>7.3508745540000003E-2</v>
      </c>
      <c r="O287" s="308">
        <v>0.32</v>
      </c>
      <c r="P287" s="312">
        <v>0.24962423072080001</v>
      </c>
      <c r="Q287" s="344">
        <v>5.2859151999999998E-10</v>
      </c>
      <c r="U287" s="126" t="s">
        <v>1059</v>
      </c>
      <c r="V287" s="131" t="s">
        <v>6141</v>
      </c>
      <c r="W287" s="132">
        <v>7.4367052820000001E-2</v>
      </c>
      <c r="X287" s="129">
        <v>2.2778754799999999E-2</v>
      </c>
      <c r="Y287" s="130">
        <v>0.20481041282000001</v>
      </c>
    </row>
    <row r="288" spans="8:25" ht="15.5" x14ac:dyDescent="0.35">
      <c r="H288" s="384"/>
      <c r="I288" s="331" t="s">
        <v>1059</v>
      </c>
      <c r="J288" s="320" t="s">
        <v>1332</v>
      </c>
      <c r="K288" s="302">
        <v>0.1004609347</v>
      </c>
      <c r="O288" s="308">
        <v>0.42</v>
      </c>
      <c r="P288" s="312">
        <v>0.29693244248960005</v>
      </c>
      <c r="Q288" s="344">
        <v>5.4089885999999995E-10</v>
      </c>
      <c r="U288" s="126" t="s">
        <v>1059</v>
      </c>
      <c r="V288" s="131" t="s">
        <v>6142</v>
      </c>
      <c r="W288" s="132">
        <v>5.9880036979999995E-2</v>
      </c>
      <c r="X288" s="129">
        <v>5.5744666515999998E-2</v>
      </c>
      <c r="Y288" s="130">
        <v>9.1871808979999997E-2</v>
      </c>
    </row>
    <row r="289" spans="8:25" ht="15.5" x14ac:dyDescent="0.35">
      <c r="H289" s="384" t="s">
        <v>1333</v>
      </c>
      <c r="I289" s="331"/>
      <c r="J289" s="319"/>
      <c r="K289" s="303"/>
      <c r="O289" s="308"/>
      <c r="P289" s="313"/>
      <c r="Q289" s="344"/>
      <c r="U289" s="126" t="s">
        <v>1059</v>
      </c>
      <c r="V289" s="131" t="s">
        <v>6143</v>
      </c>
      <c r="W289" s="132">
        <v>7.0766416920000005E-2</v>
      </c>
      <c r="X289" s="129">
        <v>5.7954263806000002E-2</v>
      </c>
      <c r="Y289" s="130">
        <v>0.10914245892</v>
      </c>
    </row>
    <row r="290" spans="8:25" ht="15.5" x14ac:dyDescent="0.35">
      <c r="H290" s="383"/>
      <c r="I290" s="331" t="s">
        <v>1059</v>
      </c>
      <c r="J290" s="320" t="s">
        <v>1334</v>
      </c>
      <c r="K290" s="302">
        <v>0.1025891092</v>
      </c>
      <c r="O290" s="308">
        <v>0.44</v>
      </c>
      <c r="P290" s="312">
        <v>0.2093051637974</v>
      </c>
      <c r="Q290" s="344">
        <v>5.5050399E-10</v>
      </c>
      <c r="U290" s="126" t="s">
        <v>1059</v>
      </c>
      <c r="V290" s="131" t="s">
        <v>6144</v>
      </c>
      <c r="W290" s="132">
        <v>0.11976007430000002</v>
      </c>
      <c r="X290" s="129">
        <v>0.11148933111999999</v>
      </c>
      <c r="Y290" s="130">
        <v>0.18374361830000002</v>
      </c>
    </row>
    <row r="291" spans="8:25" ht="15.5" x14ac:dyDescent="0.35">
      <c r="H291" s="383"/>
      <c r="I291" s="331" t="s">
        <v>1059</v>
      </c>
      <c r="J291" s="320" t="s">
        <v>1335</v>
      </c>
      <c r="K291" s="302">
        <v>7.6501060910000002E-2</v>
      </c>
      <c r="O291" s="308">
        <v>0.34</v>
      </c>
      <c r="P291" s="312">
        <v>0.20765706419410002</v>
      </c>
      <c r="Q291" s="344">
        <v>5.0753479999999998E-10</v>
      </c>
      <c r="U291" s="126" t="s">
        <v>1059</v>
      </c>
      <c r="V291" s="131" t="s">
        <v>6145</v>
      </c>
      <c r="W291" s="132">
        <v>0.14153283530000002</v>
      </c>
      <c r="X291" s="129">
        <v>0.1159085297</v>
      </c>
      <c r="Y291" s="130">
        <v>0.21828491930000002</v>
      </c>
    </row>
    <row r="292" spans="8:25" ht="15.5" x14ac:dyDescent="0.35">
      <c r="H292" s="383"/>
      <c r="I292" s="331" t="s">
        <v>1059</v>
      </c>
      <c r="J292" s="320" t="s">
        <v>1336</v>
      </c>
      <c r="K292" s="302">
        <v>6.4400204909999995E-2</v>
      </c>
      <c r="O292" s="308">
        <v>0.31</v>
      </c>
      <c r="P292" s="312">
        <v>9.00473754136E-2</v>
      </c>
      <c r="Q292" s="344">
        <v>5.3473925999999997E-10</v>
      </c>
      <c r="U292" s="126" t="s">
        <v>1059</v>
      </c>
      <c r="V292" s="131" t="s">
        <v>6146</v>
      </c>
      <c r="W292" s="132">
        <v>0</v>
      </c>
      <c r="X292" s="129">
        <v>0</v>
      </c>
      <c r="Y292" s="130">
        <v>0</v>
      </c>
    </row>
    <row r="293" spans="8:25" ht="15.5" x14ac:dyDescent="0.35">
      <c r="H293" s="383"/>
      <c r="I293" s="331" t="s">
        <v>1059</v>
      </c>
      <c r="J293" s="320" t="s">
        <v>1337</v>
      </c>
      <c r="K293" s="302">
        <v>0.48247571820000001</v>
      </c>
      <c r="O293" s="308">
        <v>1.81</v>
      </c>
      <c r="P293" s="312">
        <v>1.1038081239802</v>
      </c>
      <c r="Q293" s="344">
        <v>5.7147546999999996E-10</v>
      </c>
      <c r="U293" s="126" t="s">
        <v>1059</v>
      </c>
      <c r="V293" s="131" t="s">
        <v>6147</v>
      </c>
      <c r="W293" s="132">
        <v>0</v>
      </c>
      <c r="X293" s="129">
        <v>0</v>
      </c>
      <c r="Y293" s="130">
        <v>0</v>
      </c>
    </row>
    <row r="294" spans="8:25" ht="15.5" x14ac:dyDescent="0.35">
      <c r="H294" s="383"/>
      <c r="I294" s="331" t="s">
        <v>1059</v>
      </c>
      <c r="J294" s="320" t="s">
        <v>1338</v>
      </c>
      <c r="K294" s="302">
        <v>0.10105295699999998</v>
      </c>
      <c r="O294" s="308">
        <v>0.43</v>
      </c>
      <c r="P294" s="312">
        <v>0.20910312694960001</v>
      </c>
      <c r="Q294" s="344">
        <v>5.2969545000000004E-10</v>
      </c>
      <c r="U294" s="126" t="s">
        <v>1059</v>
      </c>
      <c r="V294" s="131" t="s">
        <v>6148</v>
      </c>
      <c r="W294" s="132">
        <v>0</v>
      </c>
      <c r="X294" s="129">
        <v>0</v>
      </c>
      <c r="Y294" s="130">
        <v>0</v>
      </c>
    </row>
    <row r="295" spans="8:25" ht="15.5" x14ac:dyDescent="0.35">
      <c r="H295" s="383"/>
      <c r="I295" s="331" t="s">
        <v>1059</v>
      </c>
      <c r="J295" s="320" t="s">
        <v>1339</v>
      </c>
      <c r="K295" s="302">
        <v>0.30006271330000001</v>
      </c>
      <c r="O295" s="308">
        <v>1.1100000000000001</v>
      </c>
      <c r="P295" s="312">
        <v>0.83230828834850001</v>
      </c>
      <c r="Q295" s="344">
        <v>6.4800032000000001E-10</v>
      </c>
      <c r="U295" s="126" t="s">
        <v>1059</v>
      </c>
      <c r="V295" s="131" t="s">
        <v>6149</v>
      </c>
      <c r="W295" s="132">
        <v>0</v>
      </c>
      <c r="X295" s="129">
        <v>0</v>
      </c>
      <c r="Y295" s="130">
        <v>0</v>
      </c>
    </row>
    <row r="296" spans="8:25" ht="15.5" x14ac:dyDescent="0.35">
      <c r="H296" s="384" t="s">
        <v>1340</v>
      </c>
      <c r="I296" s="331"/>
      <c r="J296" s="319"/>
      <c r="K296" s="303"/>
      <c r="O296" s="308"/>
      <c r="P296" s="313"/>
      <c r="Q296" s="344"/>
      <c r="U296" s="126" t="s">
        <v>1059</v>
      </c>
      <c r="V296" s="131" t="s">
        <v>6150</v>
      </c>
      <c r="W296" s="132">
        <v>0</v>
      </c>
      <c r="X296" s="129">
        <v>0</v>
      </c>
      <c r="Y296" s="130">
        <v>0</v>
      </c>
    </row>
    <row r="297" spans="8:25" ht="15.5" x14ac:dyDescent="0.35">
      <c r="H297" s="383"/>
      <c r="I297" s="331" t="s">
        <v>1059</v>
      </c>
      <c r="J297" s="320" t="s">
        <v>1341</v>
      </c>
      <c r="K297" s="302">
        <v>6.8544032970000002E-2</v>
      </c>
      <c r="O297" s="308">
        <v>0.33</v>
      </c>
      <c r="P297" s="312">
        <v>0.10218925330669999</v>
      </c>
      <c r="Q297" s="344">
        <v>5.9750596999999997E-10</v>
      </c>
      <c r="U297" s="126" t="s">
        <v>1059</v>
      </c>
      <c r="V297" s="131" t="s">
        <v>6151</v>
      </c>
      <c r="W297" s="132">
        <v>2.1140098810000001E-2</v>
      </c>
      <c r="X297" s="129">
        <v>2.0761810637E-2</v>
      </c>
      <c r="Y297" s="130">
        <v>0.18163230881</v>
      </c>
    </row>
    <row r="298" spans="8:25" ht="15.5" x14ac:dyDescent="0.35">
      <c r="H298" s="383"/>
      <c r="I298" s="331" t="s">
        <v>1059</v>
      </c>
      <c r="J298" s="320" t="s">
        <v>1342</v>
      </c>
      <c r="K298" s="302">
        <v>0.13004026868999999</v>
      </c>
      <c r="O298" s="308">
        <v>0.47</v>
      </c>
      <c r="P298" s="312">
        <v>0.13965011029419999</v>
      </c>
      <c r="Q298" s="344">
        <v>5.2827064000000004E-10</v>
      </c>
      <c r="U298" s="126" t="s">
        <v>1059</v>
      </c>
      <c r="V298" s="131" t="s">
        <v>6152</v>
      </c>
      <c r="W298" s="132">
        <v>2.087057141E-2</v>
      </c>
      <c r="X298" s="129">
        <v>1.6826975247000001E-2</v>
      </c>
      <c r="Y298" s="130">
        <v>9.5799381409999995E-2</v>
      </c>
    </row>
    <row r="299" spans="8:25" ht="15.5" x14ac:dyDescent="0.35">
      <c r="H299" s="383"/>
      <c r="I299" s="331" t="s">
        <v>1059</v>
      </c>
      <c r="J299" s="320" t="s">
        <v>1343</v>
      </c>
      <c r="K299" s="302">
        <v>6.932912678E-2</v>
      </c>
      <c r="O299" s="308">
        <v>0.34</v>
      </c>
      <c r="P299" s="312">
        <v>0.1047598314839</v>
      </c>
      <c r="Q299" s="344">
        <v>6.0456833999999996E-10</v>
      </c>
      <c r="U299" s="126" t="s">
        <v>1059</v>
      </c>
      <c r="V299" s="131" t="s">
        <v>6153</v>
      </c>
      <c r="W299" s="132">
        <v>6.1772397699999995E-2</v>
      </c>
      <c r="X299" s="129">
        <v>0.12219185795000001</v>
      </c>
      <c r="Y299" s="130">
        <v>0.10451107069999999</v>
      </c>
    </row>
    <row r="300" spans="8:25" ht="15.5" x14ac:dyDescent="0.35">
      <c r="H300" s="384"/>
      <c r="I300" s="331" t="s">
        <v>1059</v>
      </c>
      <c r="J300" s="320" t="s">
        <v>1344</v>
      </c>
      <c r="K300" s="302">
        <v>7.2119233189999993E-2</v>
      </c>
      <c r="O300" s="308">
        <v>0.35</v>
      </c>
      <c r="P300" s="312">
        <v>0.10456853336459999</v>
      </c>
      <c r="Q300" s="344">
        <v>5.8714107000000001E-10</v>
      </c>
      <c r="U300" s="126" t="s">
        <v>1059</v>
      </c>
      <c r="V300" s="131" t="s">
        <v>6154</v>
      </c>
      <c r="W300" s="132">
        <v>2.5689801259999999E-2</v>
      </c>
      <c r="X300" s="129">
        <v>5.0811302666000001E-2</v>
      </c>
      <c r="Y300" s="130">
        <v>4.3472006260000001E-2</v>
      </c>
    </row>
    <row r="301" spans="8:25" ht="15.5" x14ac:dyDescent="0.35">
      <c r="H301" s="383"/>
      <c r="I301" s="331"/>
      <c r="J301" s="321"/>
      <c r="K301" s="302"/>
      <c r="O301" s="308"/>
      <c r="P301" s="310"/>
      <c r="Q301" s="344"/>
      <c r="U301" s="126" t="s">
        <v>1059</v>
      </c>
      <c r="V301" s="131" t="s">
        <v>6155</v>
      </c>
      <c r="W301" s="132">
        <v>3.5457371969999998E-2</v>
      </c>
      <c r="X301" s="129">
        <v>5.9225839997999997E-2</v>
      </c>
      <c r="Y301" s="130">
        <v>6.9808870969999992E-2</v>
      </c>
    </row>
    <row r="302" spans="8:25" ht="15.5" x14ac:dyDescent="0.35">
      <c r="H302" s="384" t="s">
        <v>1345</v>
      </c>
      <c r="I302" s="331"/>
      <c r="J302" s="319"/>
      <c r="K302" s="303"/>
      <c r="O302" s="308"/>
      <c r="P302" s="313"/>
      <c r="Q302" s="344"/>
      <c r="U302" s="126" t="s">
        <v>1059</v>
      </c>
      <c r="V302" s="131" t="s">
        <v>6156</v>
      </c>
      <c r="W302" s="132">
        <v>0</v>
      </c>
      <c r="X302" s="129">
        <v>0</v>
      </c>
      <c r="Y302" s="130">
        <v>0</v>
      </c>
    </row>
    <row r="303" spans="8:25" ht="15.5" x14ac:dyDescent="0.35">
      <c r="H303" s="383"/>
      <c r="I303" s="331" t="s">
        <v>1059</v>
      </c>
      <c r="J303" s="320" t="s">
        <v>1346</v>
      </c>
      <c r="K303" s="302">
        <v>0.59125376399999996</v>
      </c>
      <c r="O303" s="308">
        <v>1.43</v>
      </c>
      <c r="P303" s="312">
        <v>1.1622420974599998</v>
      </c>
      <c r="Q303" s="344">
        <v>5.0229493000000002E-11</v>
      </c>
      <c r="U303" s="126" t="s">
        <v>1059</v>
      </c>
      <c r="V303" s="131" t="s">
        <v>6157</v>
      </c>
      <c r="W303" s="132">
        <v>1.5223585969999998E-2</v>
      </c>
      <c r="X303" s="129">
        <v>3.0110400995000002E-2</v>
      </c>
      <c r="Y303" s="130">
        <v>2.5761188969999998E-2</v>
      </c>
    </row>
    <row r="304" spans="8:25" ht="15.5" x14ac:dyDescent="0.35">
      <c r="H304" s="383"/>
      <c r="I304" s="331" t="s">
        <v>1059</v>
      </c>
      <c r="J304" s="320" t="s">
        <v>1347</v>
      </c>
      <c r="K304" s="302">
        <v>5.8412037699999995E-2</v>
      </c>
      <c r="O304" s="308">
        <v>0.35</v>
      </c>
      <c r="P304" s="312">
        <v>4.9639568519999995E-3</v>
      </c>
      <c r="Q304" s="344">
        <v>5.1782983000000001E-9</v>
      </c>
      <c r="U304" s="126" t="s">
        <v>1059</v>
      </c>
      <c r="V304" s="131" t="s">
        <v>6158</v>
      </c>
      <c r="W304" s="132">
        <v>2.3864614690000001E-2</v>
      </c>
      <c r="X304" s="129">
        <v>9.9743603680000001E-3</v>
      </c>
      <c r="Y304" s="130">
        <v>4.1867134690000002E-2</v>
      </c>
    </row>
    <row r="305" spans="8:25" ht="15.5" x14ac:dyDescent="0.35">
      <c r="H305" s="383">
        <v>1</v>
      </c>
      <c r="I305" s="331" t="s">
        <v>1059</v>
      </c>
      <c r="J305" s="320" t="s">
        <v>1348</v>
      </c>
      <c r="K305" s="302">
        <v>0.40950345100000002</v>
      </c>
      <c r="O305" s="308">
        <v>1.06</v>
      </c>
      <c r="P305" s="312">
        <v>0.76871788389000006</v>
      </c>
      <c r="Q305" s="344">
        <v>1.7419899000000001E-9</v>
      </c>
      <c r="U305" s="126" t="s">
        <v>1059</v>
      </c>
      <c r="V305" s="131" t="s">
        <v>6159</v>
      </c>
      <c r="W305" s="132">
        <v>5.0911395950000004E-3</v>
      </c>
      <c r="X305" s="129">
        <v>3.1132714050999999E-3</v>
      </c>
      <c r="Y305" s="130">
        <v>1.1029716495000001E-2</v>
      </c>
    </row>
    <row r="306" spans="8:25" ht="15.5" x14ac:dyDescent="0.35">
      <c r="H306" s="383"/>
      <c r="I306" s="331" t="s">
        <v>1059</v>
      </c>
      <c r="J306" s="320" t="s">
        <v>1349</v>
      </c>
      <c r="K306" s="302">
        <v>1.5640009492</v>
      </c>
      <c r="O306" s="308">
        <v>3.4</v>
      </c>
      <c r="P306" s="312">
        <v>7.9319142768499997</v>
      </c>
      <c r="Q306" s="344">
        <v>0</v>
      </c>
      <c r="U306" s="126" t="s">
        <v>1059</v>
      </c>
      <c r="V306" s="131" t="s">
        <v>6160</v>
      </c>
      <c r="W306" s="132">
        <v>9.2126116080000001E-3</v>
      </c>
      <c r="X306" s="129">
        <v>3.0176561185000002E-3</v>
      </c>
      <c r="Y306" s="130">
        <v>1.5794420207999999E-2</v>
      </c>
    </row>
    <row r="307" spans="8:25" ht="15.5" x14ac:dyDescent="0.35">
      <c r="H307" s="383"/>
      <c r="I307" s="331" t="s">
        <v>1059</v>
      </c>
      <c r="J307" s="320" t="s">
        <v>1350</v>
      </c>
      <c r="K307" s="302">
        <v>0.36812373300000001</v>
      </c>
      <c r="O307" s="308">
        <v>0.75</v>
      </c>
      <c r="P307" s="312">
        <v>17.022066018630941</v>
      </c>
      <c r="Q307" s="344">
        <v>1.3754855000000001E-10</v>
      </c>
      <c r="U307" s="126" t="s">
        <v>1059</v>
      </c>
      <c r="V307" s="131" t="s">
        <v>6161</v>
      </c>
      <c r="W307" s="132">
        <v>3.5832925749999999E-3</v>
      </c>
      <c r="X307" s="129">
        <v>2.1912112009999998E-3</v>
      </c>
      <c r="Y307" s="130">
        <v>7.7630361749999998E-3</v>
      </c>
    </row>
    <row r="308" spans="8:25" ht="15.5" x14ac:dyDescent="0.35">
      <c r="H308" s="383"/>
      <c r="I308" s="331" t="s">
        <v>1059</v>
      </c>
      <c r="J308" s="320" t="s">
        <v>1351</v>
      </c>
      <c r="K308" s="302">
        <v>1.058432104</v>
      </c>
      <c r="O308" s="308">
        <v>4.0999999999999996</v>
      </c>
      <c r="P308" s="312">
        <v>1.5337256500000001</v>
      </c>
      <c r="Q308" s="344">
        <v>0</v>
      </c>
      <c r="U308" s="126" t="s">
        <v>1059</v>
      </c>
      <c r="V308" s="131" t="s">
        <v>6162</v>
      </c>
      <c r="W308" s="132">
        <v>6.4841046370000006E-3</v>
      </c>
      <c r="X308" s="129">
        <v>2.1239143970000003E-3</v>
      </c>
      <c r="Y308" s="130">
        <v>1.1116573437E-2</v>
      </c>
    </row>
    <row r="309" spans="8:25" ht="15.5" x14ac:dyDescent="0.35">
      <c r="H309" s="383"/>
      <c r="I309" s="331" t="s">
        <v>1059</v>
      </c>
      <c r="J309" s="320" t="s">
        <v>1352</v>
      </c>
      <c r="K309" s="302">
        <v>0.96556980019999994</v>
      </c>
      <c r="O309" s="308">
        <v>1.86</v>
      </c>
      <c r="P309" s="312">
        <v>42.547446379999997</v>
      </c>
      <c r="Q309" s="344">
        <v>0</v>
      </c>
      <c r="U309" s="126" t="s">
        <v>1059</v>
      </c>
      <c r="V309" s="131" t="s">
        <v>6163</v>
      </c>
      <c r="W309" s="132">
        <v>2.6315316889999999E-2</v>
      </c>
      <c r="X309" s="129">
        <v>1.2064473709999999E-2</v>
      </c>
      <c r="Y309" s="130">
        <v>0.11314125689</v>
      </c>
    </row>
    <row r="310" spans="8:25" ht="15.5" x14ac:dyDescent="0.35">
      <c r="H310" s="384"/>
      <c r="I310" s="331" t="s">
        <v>1059</v>
      </c>
      <c r="J310" s="320" t="s">
        <v>1353</v>
      </c>
      <c r="K310" s="302">
        <v>4.6383667850000005</v>
      </c>
      <c r="O310" s="308">
        <v>5.0599999999999996</v>
      </c>
      <c r="P310" s="312">
        <v>3.7227762631600001</v>
      </c>
      <c r="Q310" s="344">
        <v>2.5660094999999999E-3</v>
      </c>
      <c r="U310" s="126" t="s">
        <v>1059</v>
      </c>
      <c r="V310" s="131" t="s">
        <v>6164</v>
      </c>
      <c r="W310" s="132">
        <v>3.9380103149999998E-2</v>
      </c>
      <c r="X310" s="129">
        <v>1.1569488777999999E-2</v>
      </c>
      <c r="Y310" s="130">
        <v>0.12241540014999999</v>
      </c>
    </row>
    <row r="311" spans="8:25" ht="15.5" x14ac:dyDescent="0.35">
      <c r="H311" s="383"/>
      <c r="I311" s="331" t="s">
        <v>1059</v>
      </c>
      <c r="J311" s="320" t="s">
        <v>1354</v>
      </c>
      <c r="K311" s="302">
        <v>5.1683656250000001E-2</v>
      </c>
      <c r="O311" s="308">
        <v>0.31</v>
      </c>
      <c r="P311" s="312">
        <v>4.9182913079999996E-3</v>
      </c>
      <c r="Q311" s="344">
        <v>5.1782983000000001E-9</v>
      </c>
      <c r="U311" s="126" t="s">
        <v>1059</v>
      </c>
      <c r="V311" s="131" t="s">
        <v>6165</v>
      </c>
      <c r="W311" s="132">
        <v>0.12314224260000001</v>
      </c>
      <c r="X311" s="129">
        <v>0.16370894132</v>
      </c>
      <c r="Y311" s="130">
        <v>0.24967625260000001</v>
      </c>
    </row>
    <row r="312" spans="8:25" ht="15.5" x14ac:dyDescent="0.35">
      <c r="H312" s="383">
        <v>1</v>
      </c>
      <c r="I312" s="331" t="s">
        <v>1059</v>
      </c>
      <c r="J312" s="320" t="s">
        <v>1355</v>
      </c>
      <c r="K312" s="302">
        <v>2.6202262730000001</v>
      </c>
      <c r="O312" s="308">
        <v>2.97</v>
      </c>
      <c r="P312" s="312">
        <v>2.0869187657773995</v>
      </c>
      <c r="Q312" s="344">
        <v>1.4369675999999999E-3</v>
      </c>
      <c r="U312" s="126" t="s">
        <v>1059</v>
      </c>
      <c r="V312" s="131" t="s">
        <v>6166</v>
      </c>
      <c r="W312" s="132">
        <v>0.11407202884000001</v>
      </c>
      <c r="X312" s="129">
        <v>0.10927795646000001</v>
      </c>
      <c r="Y312" s="130">
        <v>0.18317151883999999</v>
      </c>
    </row>
    <row r="313" spans="8:25" ht="15.5" x14ac:dyDescent="0.35">
      <c r="H313" s="383"/>
      <c r="I313" s="331" t="s">
        <v>1059</v>
      </c>
      <c r="J313" s="320" t="s">
        <v>1356</v>
      </c>
      <c r="K313" s="302">
        <v>16.590863389999999</v>
      </c>
      <c r="O313" s="308">
        <v>38.18</v>
      </c>
      <c r="P313" s="312">
        <v>117.624557</v>
      </c>
      <c r="Q313" s="344">
        <v>0</v>
      </c>
      <c r="U313" s="126" t="s">
        <v>1059</v>
      </c>
      <c r="V313" s="131" t="s">
        <v>6167</v>
      </c>
      <c r="W313" s="132">
        <v>0.11914417620000001</v>
      </c>
      <c r="X313" s="129">
        <v>0.16324932217999999</v>
      </c>
      <c r="Y313" s="130">
        <v>0.24197161620000002</v>
      </c>
    </row>
    <row r="314" spans="8:25" ht="15.5" x14ac:dyDescent="0.35">
      <c r="H314" s="383"/>
      <c r="I314" s="331" t="s">
        <v>1059</v>
      </c>
      <c r="J314" s="320" t="s">
        <v>1357</v>
      </c>
      <c r="K314" s="302">
        <v>3133.4671420000004</v>
      </c>
      <c r="O314" s="308">
        <v>5210.22</v>
      </c>
      <c r="P314" s="312">
        <v>23908.084589999999</v>
      </c>
      <c r="Q314" s="344">
        <v>0</v>
      </c>
      <c r="U314" s="126" t="s">
        <v>1059</v>
      </c>
      <c r="V314" s="131" t="s">
        <v>6168</v>
      </c>
      <c r="W314" s="132">
        <v>8.6654679849999999E-2</v>
      </c>
      <c r="X314" s="129">
        <v>0.10238794141</v>
      </c>
      <c r="Y314" s="130">
        <v>0.14030092085000001</v>
      </c>
    </row>
    <row r="315" spans="8:25" ht="15.5" x14ac:dyDescent="0.35">
      <c r="H315" s="383"/>
      <c r="I315" s="331" t="s">
        <v>1059</v>
      </c>
      <c r="J315" s="320" t="s">
        <v>1358</v>
      </c>
      <c r="K315" s="302">
        <v>21.386955521999997</v>
      </c>
      <c r="O315" s="308">
        <v>67.489999999999995</v>
      </c>
      <c r="P315" s="312">
        <v>16.545621018999999</v>
      </c>
      <c r="Q315" s="344">
        <v>0</v>
      </c>
      <c r="U315" s="126" t="s">
        <v>1059</v>
      </c>
      <c r="V315" s="131" t="s">
        <v>6169</v>
      </c>
      <c r="W315" s="132">
        <v>0.11100786189999999</v>
      </c>
      <c r="X315" s="129">
        <v>0.14450911591000001</v>
      </c>
      <c r="Y315" s="130">
        <v>0.2267453619</v>
      </c>
    </row>
    <row r="316" spans="8:25" ht="15.5" x14ac:dyDescent="0.35">
      <c r="H316" s="383"/>
      <c r="I316" s="331" t="s">
        <v>1059</v>
      </c>
      <c r="J316" s="320" t="s">
        <v>1359</v>
      </c>
      <c r="K316" s="302">
        <v>1484.0646355900001</v>
      </c>
      <c r="O316" s="308">
        <v>2484.58</v>
      </c>
      <c r="P316" s="312">
        <v>11245.568498213001</v>
      </c>
      <c r="Q316" s="344">
        <v>0</v>
      </c>
      <c r="U316" s="126" t="s">
        <v>1059</v>
      </c>
      <c r="V316" s="131" t="s">
        <v>6170</v>
      </c>
      <c r="W316" s="132">
        <v>0.22746164680000003</v>
      </c>
      <c r="X316" s="129">
        <v>0.18194280305999999</v>
      </c>
      <c r="Y316" s="130">
        <v>0.34245447680000002</v>
      </c>
    </row>
    <row r="317" spans="8:25" ht="15.5" x14ac:dyDescent="0.35">
      <c r="H317" s="383"/>
      <c r="I317" s="331" t="s">
        <v>1059</v>
      </c>
      <c r="J317" s="320" t="s">
        <v>1360</v>
      </c>
      <c r="K317" s="302">
        <v>22.531421599999998</v>
      </c>
      <c r="O317" s="308">
        <v>39.840000000000003</v>
      </c>
      <c r="P317" s="312">
        <v>628.42137760000003</v>
      </c>
      <c r="Q317" s="344">
        <v>0</v>
      </c>
      <c r="U317" s="126" t="s">
        <v>1059</v>
      </c>
      <c r="V317" s="131" t="s">
        <v>6171</v>
      </c>
      <c r="W317" s="132">
        <v>0.10149753075</v>
      </c>
      <c r="X317" s="129">
        <v>9.5381614020000005E-2</v>
      </c>
      <c r="Y317" s="130">
        <v>0.14906657174999999</v>
      </c>
    </row>
    <row r="318" spans="8:25" ht="15.5" x14ac:dyDescent="0.35">
      <c r="H318" s="383"/>
      <c r="I318" s="331" t="s">
        <v>1059</v>
      </c>
      <c r="J318" s="320" t="s">
        <v>1361</v>
      </c>
      <c r="K318" s="302">
        <v>0.35003393729999999</v>
      </c>
      <c r="O318" s="308">
        <v>0.56999999999999995</v>
      </c>
      <c r="P318" s="312">
        <v>1.44378549257694</v>
      </c>
      <c r="Q318" s="344">
        <v>1.3754855000000001E-10</v>
      </c>
      <c r="U318" s="126" t="s">
        <v>1059</v>
      </c>
      <c r="V318" s="131" t="s">
        <v>6172</v>
      </c>
      <c r="W318" s="132">
        <v>0.10271611155999999</v>
      </c>
      <c r="X318" s="129">
        <v>9.652452739999999E-2</v>
      </c>
      <c r="Y318" s="130">
        <v>0.16752394455999997</v>
      </c>
    </row>
    <row r="319" spans="8:25" ht="15.5" x14ac:dyDescent="0.35">
      <c r="H319" s="384"/>
      <c r="I319" s="331" t="s">
        <v>1059</v>
      </c>
      <c r="J319" s="320" t="s">
        <v>1362</v>
      </c>
      <c r="K319" s="302">
        <v>1.4172937272000002E-2</v>
      </c>
      <c r="O319" s="308">
        <v>0.08</v>
      </c>
      <c r="P319" s="312">
        <v>4.6637059000000005E-3</v>
      </c>
      <c r="Q319" s="344">
        <v>5.1782982E-9</v>
      </c>
      <c r="U319" s="126" t="s">
        <v>1059</v>
      </c>
      <c r="V319" s="131" t="s">
        <v>6173</v>
      </c>
      <c r="W319" s="132">
        <v>0.1037511529</v>
      </c>
      <c r="X319" s="129">
        <v>9.0972787190000001E-2</v>
      </c>
      <c r="Y319" s="130">
        <v>0.15369209890000002</v>
      </c>
    </row>
    <row r="320" spans="8:25" ht="15.5" x14ac:dyDescent="0.35">
      <c r="H320" s="383">
        <v>1</v>
      </c>
      <c r="I320" s="331" t="s">
        <v>1059</v>
      </c>
      <c r="J320" s="320" t="s">
        <v>1363</v>
      </c>
      <c r="K320" s="302">
        <v>9.8138185899999994E-2</v>
      </c>
      <c r="O320" s="308">
        <v>0.21</v>
      </c>
      <c r="P320" s="312">
        <v>0.36444415228700006</v>
      </c>
      <c r="Q320" s="344">
        <v>3.9181107999999997E-9</v>
      </c>
      <c r="U320" s="126" t="s">
        <v>1059</v>
      </c>
      <c r="V320" s="131" t="s">
        <v>6174</v>
      </c>
      <c r="W320" s="132">
        <v>9.9822061970000001E-2</v>
      </c>
      <c r="X320" s="129">
        <v>9.8373911539999997E-2</v>
      </c>
      <c r="Y320" s="130">
        <v>0.17036364497000001</v>
      </c>
    </row>
    <row r="321" spans="8:25" ht="15.5" x14ac:dyDescent="0.35">
      <c r="H321" s="383"/>
      <c r="I321" s="331" t="s">
        <v>1059</v>
      </c>
      <c r="J321" s="320" t="s">
        <v>1364</v>
      </c>
      <c r="K321" s="302">
        <v>0.6942306989</v>
      </c>
      <c r="O321" s="308">
        <v>2.82</v>
      </c>
      <c r="P321" s="312">
        <v>4.9613776000000005</v>
      </c>
      <c r="Q321" s="344">
        <v>0</v>
      </c>
      <c r="U321" s="126" t="s">
        <v>1059</v>
      </c>
      <c r="V321" s="131" t="s">
        <v>6175</v>
      </c>
      <c r="W321" s="132">
        <v>0.10713725600000001</v>
      </c>
      <c r="X321" s="129">
        <v>0.14435388832999999</v>
      </c>
      <c r="Y321" s="130">
        <v>0.21917799600000001</v>
      </c>
    </row>
    <row r="322" spans="8:25" ht="15.5" x14ac:dyDescent="0.35">
      <c r="H322" s="383"/>
      <c r="I322" s="331" t="s">
        <v>1059</v>
      </c>
      <c r="J322" s="320" t="s">
        <v>1365</v>
      </c>
      <c r="K322" s="302">
        <v>0.40310601190000001</v>
      </c>
      <c r="O322" s="308">
        <v>8.8800000000000008</v>
      </c>
      <c r="P322" s="312">
        <v>0.44928513999999997</v>
      </c>
      <c r="Q322" s="344">
        <v>0</v>
      </c>
      <c r="U322" s="126" t="s">
        <v>1059</v>
      </c>
      <c r="V322" s="131" t="s">
        <v>6176</v>
      </c>
      <c r="W322" s="132">
        <v>0.1169891542</v>
      </c>
      <c r="X322" s="129">
        <v>0.11696691841000001</v>
      </c>
      <c r="Y322" s="130">
        <v>0.1746540932</v>
      </c>
    </row>
    <row r="323" spans="8:25" ht="15.5" x14ac:dyDescent="0.35">
      <c r="H323" s="383"/>
      <c r="I323" s="331" t="s">
        <v>1059</v>
      </c>
      <c r="J323" s="320" t="s">
        <v>1366</v>
      </c>
      <c r="K323" s="302">
        <v>0.46724527699999996</v>
      </c>
      <c r="O323" s="308">
        <v>1.02</v>
      </c>
      <c r="P323" s="312">
        <v>5.7189696900000005E-4</v>
      </c>
      <c r="Q323" s="344">
        <v>0</v>
      </c>
      <c r="U323" s="126" t="s">
        <v>1059</v>
      </c>
      <c r="V323" s="131" t="s">
        <v>6177</v>
      </c>
      <c r="W323" s="132">
        <v>0.11476647237</v>
      </c>
      <c r="X323" s="129">
        <v>8.7100682450000008E-2</v>
      </c>
      <c r="Y323" s="130">
        <v>0.16889087937</v>
      </c>
    </row>
    <row r="324" spans="8:25" ht="15.5" x14ac:dyDescent="0.35">
      <c r="H324" s="383"/>
      <c r="I324" s="331" t="s">
        <v>1059</v>
      </c>
      <c r="J324" s="320" t="s">
        <v>1367</v>
      </c>
      <c r="K324" s="302">
        <v>0.43068590699999998</v>
      </c>
      <c r="O324" s="308">
        <v>5.5</v>
      </c>
      <c r="P324" s="312">
        <v>0.25633844602700001</v>
      </c>
      <c r="Q324" s="344">
        <v>0</v>
      </c>
      <c r="U324" s="126" t="s">
        <v>1059</v>
      </c>
      <c r="V324" s="131" t="s">
        <v>6178</v>
      </c>
      <c r="W324" s="132">
        <v>0.22582712729999999</v>
      </c>
      <c r="X324" s="129">
        <v>0.18223714611000003</v>
      </c>
      <c r="Y324" s="130">
        <v>0.33990979729999998</v>
      </c>
    </row>
    <row r="325" spans="8:25" ht="15.5" x14ac:dyDescent="0.35">
      <c r="H325" s="384"/>
      <c r="I325" s="331" t="s">
        <v>1059</v>
      </c>
      <c r="J325" s="320" t="s">
        <v>1368</v>
      </c>
      <c r="K325" s="302">
        <v>0.17528843920000001</v>
      </c>
      <c r="O325" s="308">
        <v>0.47</v>
      </c>
      <c r="P325" s="312">
        <v>0.53883336000000004</v>
      </c>
      <c r="Q325" s="344">
        <v>0</v>
      </c>
      <c r="U325" s="126" t="s">
        <v>1059</v>
      </c>
      <c r="V325" s="131" t="s">
        <v>6179</v>
      </c>
      <c r="W325" s="132">
        <v>6.9427359899999999E-2</v>
      </c>
      <c r="X325" s="129">
        <v>3.0734718145999998E-2</v>
      </c>
      <c r="Y325" s="130">
        <v>0.1338760729</v>
      </c>
    </row>
    <row r="326" spans="8:25" ht="15.5" x14ac:dyDescent="0.35">
      <c r="H326" s="383"/>
      <c r="I326" s="331" t="s">
        <v>1059</v>
      </c>
      <c r="J326" s="320" t="s">
        <v>1369</v>
      </c>
      <c r="K326" s="302">
        <v>1592.9462714399999</v>
      </c>
      <c r="O326" s="308">
        <v>1606.33</v>
      </c>
      <c r="P326" s="312">
        <v>35.504560419999997</v>
      </c>
      <c r="Q326" s="344">
        <v>0</v>
      </c>
      <c r="U326" s="126" t="s">
        <v>1059</v>
      </c>
      <c r="V326" s="131" t="s">
        <v>6180</v>
      </c>
      <c r="W326" s="132">
        <v>5.9369543949999992E-2</v>
      </c>
      <c r="X326" s="129">
        <v>2.7621024014999999E-2</v>
      </c>
      <c r="Y326" s="130">
        <v>0.11496414594999999</v>
      </c>
    </row>
    <row r="327" spans="8:25" ht="15.5" x14ac:dyDescent="0.35">
      <c r="H327" s="383"/>
      <c r="I327" s="331" t="s">
        <v>1059</v>
      </c>
      <c r="J327" s="320" t="s">
        <v>1370</v>
      </c>
      <c r="K327" s="302">
        <v>2.6167560940000003</v>
      </c>
      <c r="O327" s="308">
        <v>3.62</v>
      </c>
      <c r="P327" s="312">
        <v>45.425900349999999</v>
      </c>
      <c r="Q327" s="344">
        <v>0</v>
      </c>
      <c r="U327" s="126" t="s">
        <v>1059</v>
      </c>
      <c r="V327" s="131" t="s">
        <v>6181</v>
      </c>
      <c r="W327" s="132">
        <v>0.12281936560000001</v>
      </c>
      <c r="X327" s="129">
        <v>4.8872789809999997E-2</v>
      </c>
      <c r="Y327" s="130">
        <v>0.27183726559999999</v>
      </c>
    </row>
    <row r="328" spans="8:25" ht="15.5" x14ac:dyDescent="0.35">
      <c r="H328" s="383"/>
      <c r="I328" s="331" t="s">
        <v>1059</v>
      </c>
      <c r="J328" s="320" t="s">
        <v>1371</v>
      </c>
      <c r="K328" s="302">
        <v>3.7956828396090003</v>
      </c>
      <c r="O328" s="308">
        <v>12.98</v>
      </c>
      <c r="P328" s="312">
        <v>11.856996486562839</v>
      </c>
      <c r="Q328" s="344">
        <v>1.3754855000000001E-10</v>
      </c>
      <c r="U328" s="126" t="s">
        <v>1059</v>
      </c>
      <c r="V328" s="131" t="s">
        <v>6182</v>
      </c>
      <c r="W328" s="132">
        <v>2.4578978959999997E-2</v>
      </c>
      <c r="X328" s="129">
        <v>1.2127963800000001E-2</v>
      </c>
      <c r="Y328" s="130">
        <v>4.7946292959999998E-2</v>
      </c>
    </row>
    <row r="329" spans="8:25" ht="15.5" x14ac:dyDescent="0.35">
      <c r="H329" s="383"/>
      <c r="I329" s="331" t="s">
        <v>1059</v>
      </c>
      <c r="J329" s="320" t="s">
        <v>1372</v>
      </c>
      <c r="K329" s="302">
        <v>5.1683656250000001E-2</v>
      </c>
      <c r="O329" s="308">
        <v>0.31</v>
      </c>
      <c r="P329" s="312">
        <v>4.9182913079999996E-3</v>
      </c>
      <c r="Q329" s="344">
        <v>5.1782983000000001E-9</v>
      </c>
      <c r="U329" s="126" t="s">
        <v>1059</v>
      </c>
      <c r="V329" s="131" t="s">
        <v>6183</v>
      </c>
      <c r="W329" s="132">
        <v>2.8108149129999996E-2</v>
      </c>
      <c r="X329" s="129">
        <v>1.2564730931000001E-2</v>
      </c>
      <c r="Y329" s="130">
        <v>5.4681559129999995E-2</v>
      </c>
    </row>
    <row r="330" spans="8:25" ht="15.5" x14ac:dyDescent="0.35">
      <c r="H330" s="383"/>
      <c r="I330" s="331" t="s">
        <v>1059</v>
      </c>
      <c r="J330" s="320" t="s">
        <v>1373</v>
      </c>
      <c r="K330" s="302">
        <v>2.6724831152500004</v>
      </c>
      <c r="O330" s="308">
        <v>9.18</v>
      </c>
      <c r="P330" s="312">
        <v>8.3013731855377006</v>
      </c>
      <c r="Q330" s="344">
        <v>1.6497735000000001E-9</v>
      </c>
      <c r="U330" s="126" t="s">
        <v>1059</v>
      </c>
      <c r="V330" s="131" t="s">
        <v>6184</v>
      </c>
      <c r="W330" s="132">
        <v>2.1224637770000002E-2</v>
      </c>
      <c r="X330" s="129">
        <v>1.1693292611E-2</v>
      </c>
      <c r="Y330" s="130">
        <v>4.1542447770000004E-2</v>
      </c>
    </row>
    <row r="331" spans="8:25" ht="15.5" x14ac:dyDescent="0.35">
      <c r="H331" s="383"/>
      <c r="I331" s="331" t="s">
        <v>1059</v>
      </c>
      <c r="J331" s="320" t="s">
        <v>1374</v>
      </c>
      <c r="K331" s="302">
        <v>79594.059913999998</v>
      </c>
      <c r="O331" s="308">
        <v>80676.990000000005</v>
      </c>
      <c r="P331" s="312">
        <v>8130.95</v>
      </c>
      <c r="Q331" s="344">
        <v>0</v>
      </c>
      <c r="U331" s="126" t="s">
        <v>1059</v>
      </c>
      <c r="V331" s="131" t="s">
        <v>6185</v>
      </c>
      <c r="W331" s="132">
        <v>9.533445900000001E-2</v>
      </c>
      <c r="X331" s="129">
        <v>9.927421635E-2</v>
      </c>
      <c r="Y331" s="130">
        <v>0.14995654200000003</v>
      </c>
    </row>
    <row r="332" spans="8:25" ht="15.5" x14ac:dyDescent="0.35">
      <c r="H332" s="383"/>
      <c r="I332" s="331" t="s">
        <v>1059</v>
      </c>
      <c r="J332" s="320" t="s">
        <v>1375</v>
      </c>
      <c r="K332" s="302">
        <v>9.299876182000002</v>
      </c>
      <c r="O332" s="308">
        <v>29.35</v>
      </c>
      <c r="P332" s="312">
        <v>7.194676587</v>
      </c>
      <c r="Q332" s="344">
        <v>0</v>
      </c>
      <c r="U332" s="126" t="s">
        <v>1059</v>
      </c>
      <c r="V332" s="131" t="s">
        <v>6186</v>
      </c>
      <c r="W332" s="132">
        <v>8.053209489999999E-2</v>
      </c>
      <c r="X332" s="129">
        <v>8.674864266E-2</v>
      </c>
      <c r="Y332" s="130">
        <v>0.1253198539</v>
      </c>
    </row>
    <row r="333" spans="8:25" ht="15.5" x14ac:dyDescent="0.35">
      <c r="H333" s="383"/>
      <c r="I333" s="331" t="s">
        <v>1059</v>
      </c>
      <c r="J333" s="320" t="s">
        <v>1376</v>
      </c>
      <c r="K333" s="302">
        <v>77206.517328652</v>
      </c>
      <c r="O333" s="308">
        <v>78257.570000000007</v>
      </c>
      <c r="P333" s="312">
        <v>7887.2373609046999</v>
      </c>
      <c r="Q333" s="344">
        <v>0</v>
      </c>
      <c r="U333" s="126" t="s">
        <v>1059</v>
      </c>
      <c r="V333" s="131" t="s">
        <v>6187</v>
      </c>
      <c r="W333" s="132">
        <v>0.103519784</v>
      </c>
      <c r="X333" s="129">
        <v>0.10847373908999999</v>
      </c>
      <c r="Y333" s="130">
        <v>0.17409018200000001</v>
      </c>
    </row>
    <row r="334" spans="8:25" ht="15.5" x14ac:dyDescent="0.35">
      <c r="H334" s="383"/>
      <c r="I334" s="331" t="s">
        <v>1059</v>
      </c>
      <c r="J334" s="320" t="s">
        <v>1377</v>
      </c>
      <c r="K334" s="302">
        <v>118437.895084</v>
      </c>
      <c r="O334" s="308">
        <v>120049.32</v>
      </c>
      <c r="P334" s="312">
        <v>8447.5071900000003</v>
      </c>
      <c r="Q334" s="344">
        <v>0</v>
      </c>
      <c r="U334" s="126" t="s">
        <v>1059</v>
      </c>
      <c r="V334" s="131" t="s">
        <v>6188</v>
      </c>
      <c r="W334" s="132">
        <v>4.5970898810000008E-2</v>
      </c>
      <c r="X334" s="129">
        <v>0.21895095817999999</v>
      </c>
      <c r="Y334" s="130">
        <v>0.65542841881000002</v>
      </c>
    </row>
    <row r="335" spans="8:25" ht="15.5" x14ac:dyDescent="0.35">
      <c r="H335" s="383"/>
      <c r="I335" s="331" t="s">
        <v>1059</v>
      </c>
      <c r="J335" s="320" t="s">
        <v>1378</v>
      </c>
      <c r="K335" s="302">
        <v>32.839325029999998</v>
      </c>
      <c r="O335" s="308">
        <v>103.63</v>
      </c>
      <c r="P335" s="312">
        <v>25.405534248000002</v>
      </c>
      <c r="Q335" s="344">
        <v>0</v>
      </c>
      <c r="U335" s="126" t="s">
        <v>1059</v>
      </c>
      <c r="V335" s="131" t="s">
        <v>6189</v>
      </c>
      <c r="W335" s="132">
        <v>7.4989057900000003E-2</v>
      </c>
      <c r="X335" s="129">
        <v>0.19835129475999999</v>
      </c>
      <c r="Y335" s="130">
        <v>0.56397681789999998</v>
      </c>
    </row>
    <row r="336" spans="8:25" ht="15.5" x14ac:dyDescent="0.35">
      <c r="H336" s="383"/>
      <c r="I336" s="331" t="s">
        <v>1059</v>
      </c>
      <c r="J336" s="320" t="s">
        <v>1379</v>
      </c>
      <c r="K336" s="302">
        <v>112517.6446705</v>
      </c>
      <c r="O336" s="308">
        <v>114052.04</v>
      </c>
      <c r="P336" s="312">
        <v>8026.4020693728999</v>
      </c>
      <c r="Q336" s="344">
        <v>0</v>
      </c>
      <c r="U336" s="126" t="s">
        <v>1059</v>
      </c>
      <c r="V336" s="131" t="s">
        <v>6190</v>
      </c>
      <c r="W336" s="132">
        <v>7.5866087599999993E-2</v>
      </c>
      <c r="X336" s="129">
        <v>0.20708949743999999</v>
      </c>
      <c r="Y336" s="130">
        <v>0.35113106760000001</v>
      </c>
    </row>
    <row r="337" spans="8:25" ht="15.5" x14ac:dyDescent="0.35">
      <c r="H337" s="383"/>
      <c r="I337" s="331" t="s">
        <v>1059</v>
      </c>
      <c r="J337" s="320" t="s">
        <v>1380</v>
      </c>
      <c r="K337" s="302">
        <v>259478.300582</v>
      </c>
      <c r="O337" s="308">
        <v>263007.93</v>
      </c>
      <c r="P337" s="312">
        <v>8824.2414800000006</v>
      </c>
      <c r="Q337" s="344">
        <v>0</v>
      </c>
      <c r="U337" s="126" t="s">
        <v>1059</v>
      </c>
      <c r="V337" s="131" t="s">
        <v>6191</v>
      </c>
      <c r="W337" s="132">
        <v>0.1059848577</v>
      </c>
      <c r="X337" s="129">
        <v>0.20807933177000001</v>
      </c>
      <c r="Y337" s="130">
        <v>0.50645822770000004</v>
      </c>
    </row>
    <row r="338" spans="8:25" ht="15.5" x14ac:dyDescent="0.35">
      <c r="H338" s="383"/>
      <c r="I338" s="331" t="s">
        <v>1059</v>
      </c>
      <c r="J338" s="320" t="s">
        <v>1381</v>
      </c>
      <c r="K338" s="302">
        <v>92.722800509999985</v>
      </c>
      <c r="O338" s="308">
        <v>292.60000000000002</v>
      </c>
      <c r="P338" s="312">
        <v>71.733273850000003</v>
      </c>
      <c r="Q338" s="344">
        <v>0</v>
      </c>
      <c r="U338" s="126" t="s">
        <v>1059</v>
      </c>
      <c r="V338" s="131" t="s">
        <v>6192</v>
      </c>
      <c r="W338" s="132">
        <v>7.9354157099999989E-2</v>
      </c>
      <c r="X338" s="129">
        <v>0.20706918397000001</v>
      </c>
      <c r="Y338" s="130">
        <v>0.32149961709999997</v>
      </c>
    </row>
    <row r="339" spans="8:25" ht="15.5" x14ac:dyDescent="0.35">
      <c r="H339" s="383"/>
      <c r="I339" s="331" t="s">
        <v>1059</v>
      </c>
      <c r="J339" s="320" t="s">
        <v>1382</v>
      </c>
      <c r="K339" s="302">
        <v>220570.46315969998</v>
      </c>
      <c r="O339" s="308">
        <v>223600.63</v>
      </c>
      <c r="P339" s="312">
        <v>7511.3652511580012</v>
      </c>
      <c r="Q339" s="344">
        <v>0</v>
      </c>
      <c r="U339" s="126" t="s">
        <v>1059</v>
      </c>
      <c r="V339" s="131" t="s">
        <v>6193</v>
      </c>
      <c r="W339" s="132">
        <v>0.1094500195</v>
      </c>
      <c r="X339" s="129">
        <v>0.18749444395000001</v>
      </c>
      <c r="Y339" s="130">
        <v>0.34952256949999999</v>
      </c>
    </row>
    <row r="340" spans="8:25" ht="15.5" x14ac:dyDescent="0.35">
      <c r="H340" s="383"/>
      <c r="I340" s="331" t="s">
        <v>1059</v>
      </c>
      <c r="J340" s="320" t="s">
        <v>1383</v>
      </c>
      <c r="K340" s="302">
        <v>0.39864783580000002</v>
      </c>
      <c r="O340" s="308">
        <v>2.41</v>
      </c>
      <c r="P340" s="312">
        <v>1.0420122894770001</v>
      </c>
      <c r="Q340" s="344">
        <v>6.0877454999999996E-9</v>
      </c>
      <c r="U340" s="126" t="s">
        <v>1059</v>
      </c>
      <c r="V340" s="131" t="s">
        <v>6194</v>
      </c>
      <c r="W340" s="132">
        <v>7.7818375199999998E-2</v>
      </c>
      <c r="X340" s="129">
        <v>0.20561682652000002</v>
      </c>
      <c r="Y340" s="130">
        <v>0.3788568652</v>
      </c>
    </row>
    <row r="341" spans="8:25" ht="15.5" x14ac:dyDescent="0.35">
      <c r="H341" s="383"/>
      <c r="I341" s="331" t="s">
        <v>1059</v>
      </c>
      <c r="J341" s="320" t="s">
        <v>1384</v>
      </c>
      <c r="K341" s="302">
        <v>39.735177129999997</v>
      </c>
      <c r="O341" s="308">
        <v>54.08</v>
      </c>
      <c r="P341" s="312">
        <v>568.88063196999997</v>
      </c>
      <c r="Q341" s="344">
        <v>0</v>
      </c>
      <c r="U341" s="126" t="s">
        <v>1059</v>
      </c>
      <c r="V341" s="131" t="s">
        <v>6195</v>
      </c>
      <c r="W341" s="132">
        <v>7.9679544099999999E-2</v>
      </c>
      <c r="X341" s="129">
        <v>0.20495144522</v>
      </c>
      <c r="Y341" s="130">
        <v>0.4296439541</v>
      </c>
    </row>
    <row r="342" spans="8:25" ht="15.5" x14ac:dyDescent="0.35">
      <c r="H342" s="383"/>
      <c r="I342" s="331" t="s">
        <v>1059</v>
      </c>
      <c r="J342" s="320" t="s">
        <v>1385</v>
      </c>
      <c r="K342" s="302">
        <v>0.38358540010000003</v>
      </c>
      <c r="O342" s="308">
        <v>1.21</v>
      </c>
      <c r="P342" s="312">
        <v>0.29675372057000005</v>
      </c>
      <c r="Q342" s="344">
        <v>0</v>
      </c>
      <c r="U342" s="126" t="s">
        <v>1059</v>
      </c>
      <c r="V342" s="131" t="s">
        <v>6196</v>
      </c>
      <c r="W342" s="132">
        <v>8.2213261799999993E-2</v>
      </c>
      <c r="X342" s="129">
        <v>0.20203420008999998</v>
      </c>
      <c r="Y342" s="130">
        <v>0.49306770179999998</v>
      </c>
    </row>
    <row r="343" spans="8:25" ht="15.5" x14ac:dyDescent="0.35">
      <c r="H343" s="383"/>
      <c r="I343" s="331" t="s">
        <v>1059</v>
      </c>
      <c r="J343" s="320" t="s">
        <v>1386</v>
      </c>
      <c r="K343" s="302">
        <v>13.763126562</v>
      </c>
      <c r="O343" s="308">
        <v>19.190000000000001</v>
      </c>
      <c r="P343" s="312">
        <v>193.61527704828001</v>
      </c>
      <c r="Q343" s="344">
        <v>0</v>
      </c>
      <c r="U343" s="126" t="s">
        <v>1059</v>
      </c>
      <c r="V343" s="131" t="s">
        <v>6197</v>
      </c>
      <c r="W343" s="132">
        <v>2.6302525509999997E-2</v>
      </c>
      <c r="X343" s="129">
        <v>0.10925837891</v>
      </c>
      <c r="Y343" s="130">
        <v>0.33619968551000001</v>
      </c>
    </row>
    <row r="344" spans="8:25" ht="15.5" x14ac:dyDescent="0.35">
      <c r="H344" s="384"/>
      <c r="I344" s="331" t="s">
        <v>1059</v>
      </c>
      <c r="J344" s="320" t="s">
        <v>1387</v>
      </c>
      <c r="K344" s="302">
        <v>15.326236723999999</v>
      </c>
      <c r="O344" s="308">
        <v>42.33</v>
      </c>
      <c r="P344" s="312">
        <v>1281.9914800000001</v>
      </c>
      <c r="Q344" s="344">
        <v>0</v>
      </c>
      <c r="U344" s="126" t="s">
        <v>1059</v>
      </c>
      <c r="V344" s="131" t="s">
        <v>6198</v>
      </c>
      <c r="W344" s="132">
        <v>4.0225812599999994E-2</v>
      </c>
      <c r="X344" s="129">
        <v>9.8966975250000006E-2</v>
      </c>
      <c r="Y344" s="130">
        <v>0.28928424259999996</v>
      </c>
    </row>
    <row r="345" spans="8:25" ht="15.5" x14ac:dyDescent="0.35">
      <c r="H345" s="384"/>
      <c r="I345" s="331" t="s">
        <v>1059</v>
      </c>
      <c r="J345" s="320" t="s">
        <v>1388</v>
      </c>
      <c r="K345" s="302">
        <v>4.2521275489999999</v>
      </c>
      <c r="O345" s="308">
        <v>9.25</v>
      </c>
      <c r="P345" s="312">
        <v>101.40520597143001</v>
      </c>
      <c r="Q345" s="344">
        <v>0</v>
      </c>
      <c r="U345" s="126" t="s">
        <v>1059</v>
      </c>
      <c r="V345" s="131" t="s">
        <v>6199</v>
      </c>
      <c r="W345" s="132">
        <v>7.8395063099999995E-2</v>
      </c>
      <c r="X345" s="129">
        <v>0.20315422078000001</v>
      </c>
      <c r="Y345" s="130">
        <v>0.35539888310000001</v>
      </c>
    </row>
    <row r="346" spans="8:25" ht="15.5" x14ac:dyDescent="0.35">
      <c r="H346" s="383"/>
      <c r="I346" s="331" t="s">
        <v>1059</v>
      </c>
      <c r="J346" s="320" t="s">
        <v>1389</v>
      </c>
      <c r="K346" s="302">
        <v>3.9586733445999998</v>
      </c>
      <c r="O346" s="308">
        <v>5.9</v>
      </c>
      <c r="P346" s="312">
        <v>18.38275436</v>
      </c>
      <c r="Q346" s="344">
        <v>0</v>
      </c>
      <c r="U346" s="126" t="s">
        <v>1059</v>
      </c>
      <c r="V346" s="131" t="s">
        <v>6200</v>
      </c>
      <c r="W346" s="132">
        <v>0.10803126199999999</v>
      </c>
      <c r="X346" s="129">
        <v>0.20412087059</v>
      </c>
      <c r="Y346" s="130">
        <v>0.50777507199999994</v>
      </c>
    </row>
    <row r="347" spans="8:25" ht="15.5" x14ac:dyDescent="0.35">
      <c r="H347" s="383"/>
      <c r="I347" s="331" t="s">
        <v>1059</v>
      </c>
      <c r="J347" s="320" t="s">
        <v>1390</v>
      </c>
      <c r="K347" s="302">
        <v>0.85401412710000013</v>
      </c>
      <c r="O347" s="308">
        <v>4.03</v>
      </c>
      <c r="P347" s="312">
        <v>14.03382117</v>
      </c>
      <c r="Q347" s="344">
        <v>0</v>
      </c>
      <c r="U347" s="126" t="s">
        <v>1059</v>
      </c>
      <c r="V347" s="131" t="s">
        <v>6201</v>
      </c>
      <c r="W347" s="132">
        <v>8.1973749000000012E-2</v>
      </c>
      <c r="X347" s="129">
        <v>0.20330948333999999</v>
      </c>
      <c r="Y347" s="130">
        <v>0.32665628899999999</v>
      </c>
    </row>
    <row r="348" spans="8:25" ht="15.5" x14ac:dyDescent="0.35">
      <c r="H348" s="384"/>
      <c r="I348" s="331" t="s">
        <v>1059</v>
      </c>
      <c r="J348" s="320" t="s">
        <v>1391</v>
      </c>
      <c r="K348" s="302">
        <v>0.24008582350000002</v>
      </c>
      <c r="O348" s="308">
        <v>0.76</v>
      </c>
      <c r="P348" s="312">
        <v>0.18573794476</v>
      </c>
      <c r="Q348" s="344">
        <v>0</v>
      </c>
      <c r="U348" s="126" t="s">
        <v>1059</v>
      </c>
      <c r="V348" s="131" t="s">
        <v>6202</v>
      </c>
      <c r="W348" s="132">
        <v>0.11126782640000001</v>
      </c>
      <c r="X348" s="129">
        <v>0.18388045780000001</v>
      </c>
      <c r="Y348" s="130">
        <v>0.35435686640000003</v>
      </c>
    </row>
    <row r="349" spans="8:25" ht="15.5" x14ac:dyDescent="0.35">
      <c r="H349" s="383"/>
      <c r="I349" s="331" t="s">
        <v>1059</v>
      </c>
      <c r="J349" s="320" t="s">
        <v>1392</v>
      </c>
      <c r="K349" s="302">
        <v>0.71281061459999995</v>
      </c>
      <c r="O349" s="308">
        <v>3.28</v>
      </c>
      <c r="P349" s="312">
        <v>10.860360818849001</v>
      </c>
      <c r="Q349" s="344">
        <v>0</v>
      </c>
      <c r="U349" s="126" t="s">
        <v>1059</v>
      </c>
      <c r="V349" s="131" t="s">
        <v>6203</v>
      </c>
      <c r="W349" s="132">
        <v>7.9610100200000006E-2</v>
      </c>
      <c r="X349" s="129">
        <v>0.20164137379000002</v>
      </c>
      <c r="Y349" s="130">
        <v>0.38130453019999999</v>
      </c>
    </row>
    <row r="350" spans="8:25" ht="15.5" x14ac:dyDescent="0.35">
      <c r="H350" s="383"/>
      <c r="I350" s="331" t="s">
        <v>1059</v>
      </c>
      <c r="J350" s="320" t="s">
        <v>1393</v>
      </c>
      <c r="K350" s="302">
        <v>5.5853232029999997</v>
      </c>
      <c r="O350" s="308">
        <v>5.92</v>
      </c>
      <c r="P350" s="312">
        <v>31.053821169999999</v>
      </c>
      <c r="Q350" s="344">
        <v>0</v>
      </c>
      <c r="U350" s="126" t="s">
        <v>1059</v>
      </c>
      <c r="V350" s="131" t="s">
        <v>6204</v>
      </c>
      <c r="W350" s="132">
        <v>8.2268446600000003E-2</v>
      </c>
      <c r="X350" s="129">
        <v>0.20095651059000003</v>
      </c>
      <c r="Y350" s="130">
        <v>0.43329256659999998</v>
      </c>
    </row>
    <row r="351" spans="8:25" ht="15.5" x14ac:dyDescent="0.35">
      <c r="H351" s="384"/>
      <c r="I351" s="331" t="s">
        <v>1059</v>
      </c>
      <c r="J351" s="320" t="s">
        <v>1394</v>
      </c>
      <c r="K351" s="302">
        <v>36.291200786999994</v>
      </c>
      <c r="O351" s="308">
        <v>78.95</v>
      </c>
      <c r="P351" s="312">
        <v>20.876612914376661</v>
      </c>
      <c r="Q351" s="344">
        <v>3.8513592999999998E-11</v>
      </c>
      <c r="U351" s="126" t="s">
        <v>1059</v>
      </c>
      <c r="V351" s="131" t="s">
        <v>6205</v>
      </c>
      <c r="W351" s="132">
        <v>8.4090697800000003E-2</v>
      </c>
      <c r="X351" s="129">
        <v>0.19816532640000001</v>
      </c>
      <c r="Y351" s="130">
        <v>0.49360416779999999</v>
      </c>
    </row>
    <row r="352" spans="8:25" ht="15.5" x14ac:dyDescent="0.35">
      <c r="H352" s="383"/>
      <c r="I352" s="331" t="s">
        <v>1059</v>
      </c>
      <c r="J352" s="320" t="s">
        <v>1395</v>
      </c>
      <c r="K352" s="302">
        <v>0.36812373300000001</v>
      </c>
      <c r="O352" s="308">
        <v>0.75</v>
      </c>
      <c r="P352" s="312">
        <v>1.45206641863094</v>
      </c>
      <c r="Q352" s="344">
        <v>1.3754855000000001E-10</v>
      </c>
      <c r="U352" s="126" t="s">
        <v>1059</v>
      </c>
      <c r="V352" s="131" t="s">
        <v>6206</v>
      </c>
      <c r="W352" s="132">
        <v>3.8377714289999997E-2</v>
      </c>
      <c r="X352" s="129">
        <v>0.10950368638999999</v>
      </c>
      <c r="Y352" s="130">
        <v>6.7876140289999998E-2</v>
      </c>
    </row>
    <row r="353" spans="8:25" ht="15.5" x14ac:dyDescent="0.35">
      <c r="H353" s="384"/>
      <c r="I353" s="331" t="s">
        <v>1059</v>
      </c>
      <c r="J353" s="320" t="s">
        <v>1396</v>
      </c>
      <c r="K353" s="302">
        <v>2.0304431130000002E-2</v>
      </c>
      <c r="O353" s="308">
        <v>0.12</v>
      </c>
      <c r="P353" s="312">
        <v>5.6188232180000002E-3</v>
      </c>
      <c r="Q353" s="344">
        <v>6.2139579000000001E-9</v>
      </c>
      <c r="U353" s="126" t="s">
        <v>1059</v>
      </c>
      <c r="V353" s="131" t="s">
        <v>6207</v>
      </c>
      <c r="W353" s="132">
        <v>1.7845840779999997E-2</v>
      </c>
      <c r="X353" s="129">
        <v>3.6768005189000003E-2</v>
      </c>
      <c r="Y353" s="130">
        <v>0.12746464078</v>
      </c>
    </row>
    <row r="354" spans="8:25" ht="15.5" x14ac:dyDescent="0.35">
      <c r="H354" s="383">
        <v>1</v>
      </c>
      <c r="I354" s="331" t="s">
        <v>1059</v>
      </c>
      <c r="J354" s="320" t="s">
        <v>1397</v>
      </c>
      <c r="K354" s="302">
        <v>0.28812529100000001</v>
      </c>
      <c r="O354" s="308">
        <v>0.61</v>
      </c>
      <c r="P354" s="312">
        <v>1.1193834471446997</v>
      </c>
      <c r="Q354" s="344">
        <v>1.5351227E-9</v>
      </c>
      <c r="U354" s="126" t="s">
        <v>1059</v>
      </c>
      <c r="V354" s="131" t="s">
        <v>6208</v>
      </c>
      <c r="W354" s="132">
        <v>2.1043108140000003E-2</v>
      </c>
      <c r="X354" s="129">
        <v>3.3271868261000002E-2</v>
      </c>
      <c r="Y354" s="130">
        <v>0.10824992314</v>
      </c>
    </row>
    <row r="355" spans="8:25" ht="15.5" x14ac:dyDescent="0.35">
      <c r="H355" s="383"/>
      <c r="I355" s="331" t="s">
        <v>1059</v>
      </c>
      <c r="J355" s="320" t="s">
        <v>1398</v>
      </c>
      <c r="K355" s="302">
        <v>2.4685675315999998</v>
      </c>
      <c r="O355" s="308">
        <v>5.38</v>
      </c>
      <c r="P355" s="312">
        <v>97.162446606233004</v>
      </c>
      <c r="Q355" s="344">
        <v>8.4262645000000004E-9</v>
      </c>
      <c r="U355" s="126" t="s">
        <v>1059</v>
      </c>
      <c r="V355" s="131" t="s">
        <v>6209</v>
      </c>
      <c r="W355" s="132">
        <v>2.1473401769999997E-2</v>
      </c>
      <c r="X355" s="129">
        <v>3.5600594788999997E-2</v>
      </c>
      <c r="Y355" s="130">
        <v>7.5462907770000004E-2</v>
      </c>
    </row>
    <row r="356" spans="8:25" ht="15.5" x14ac:dyDescent="0.35">
      <c r="H356" s="383"/>
      <c r="I356" s="331" t="s">
        <v>1059</v>
      </c>
      <c r="J356" s="320" t="s">
        <v>1399</v>
      </c>
      <c r="K356" s="302">
        <v>11.442022794</v>
      </c>
      <c r="O356" s="308">
        <v>24.91</v>
      </c>
      <c r="P356" s="312">
        <v>1081.5734029321432</v>
      </c>
      <c r="Q356" s="344">
        <v>8.4262645000000004E-9</v>
      </c>
      <c r="U356" s="126" t="s">
        <v>1059</v>
      </c>
      <c r="V356" s="131" t="s">
        <v>6210</v>
      </c>
      <c r="W356" s="132">
        <v>2.7886992669999999E-2</v>
      </c>
      <c r="X356" s="129">
        <v>3.5720659715999997E-2</v>
      </c>
      <c r="Y356" s="130">
        <v>0.10272081466999999</v>
      </c>
    </row>
    <row r="357" spans="8:25" ht="15.5" x14ac:dyDescent="0.35">
      <c r="H357" s="383"/>
      <c r="I357" s="331" t="s">
        <v>1059</v>
      </c>
      <c r="J357" s="320" t="s">
        <v>1400</v>
      </c>
      <c r="K357" s="302">
        <v>9.3306215419999994</v>
      </c>
      <c r="O357" s="308">
        <v>20.32</v>
      </c>
      <c r="P357" s="312">
        <v>161.610847208443</v>
      </c>
      <c r="Q357" s="344">
        <v>8.4262645000000004E-9</v>
      </c>
      <c r="U357" s="126" t="s">
        <v>1059</v>
      </c>
      <c r="V357" s="131" t="s">
        <v>6211</v>
      </c>
      <c r="W357" s="132">
        <v>2.169069228E-2</v>
      </c>
      <c r="X357" s="129">
        <v>3.7189782498E-2</v>
      </c>
      <c r="Y357" s="130">
        <v>6.7850661280000002E-2</v>
      </c>
    </row>
    <row r="358" spans="8:25" ht="15.5" x14ac:dyDescent="0.35">
      <c r="H358" s="383"/>
      <c r="I358" s="331" t="s">
        <v>1059</v>
      </c>
      <c r="J358" s="320" t="s">
        <v>1401</v>
      </c>
      <c r="K358" s="302">
        <v>75.761561630000003</v>
      </c>
      <c r="O358" s="308">
        <v>164.87</v>
      </c>
      <c r="P358" s="312">
        <v>2132.742125442443</v>
      </c>
      <c r="Q358" s="344">
        <v>8.4262645000000004E-9</v>
      </c>
      <c r="U358" s="126" t="s">
        <v>1059</v>
      </c>
      <c r="V358" s="131" t="s">
        <v>6212</v>
      </c>
      <c r="W358" s="132">
        <v>2.7861817270000002E-2</v>
      </c>
      <c r="X358" s="129">
        <v>3.1673635644000005E-2</v>
      </c>
      <c r="Y358" s="130">
        <v>7.6092802269999996E-2</v>
      </c>
    </row>
    <row r="359" spans="8:25" ht="15.5" x14ac:dyDescent="0.35">
      <c r="H359" s="383"/>
      <c r="I359" s="331" t="s">
        <v>1059</v>
      </c>
      <c r="J359" s="320" t="s">
        <v>1402</v>
      </c>
      <c r="K359" s="302">
        <v>8.9396213370000002</v>
      </c>
      <c r="O359" s="308">
        <v>19.46</v>
      </c>
      <c r="P359" s="312">
        <v>38.490366889143004</v>
      </c>
      <c r="Q359" s="344">
        <v>8.4262645000000004E-9</v>
      </c>
      <c r="U359" s="126" t="s">
        <v>1059</v>
      </c>
      <c r="V359" s="131" t="s">
        <v>6213</v>
      </c>
      <c r="W359" s="132">
        <v>2.1483820930000001E-2</v>
      </c>
      <c r="X359" s="129">
        <v>3.4726618497999996E-2</v>
      </c>
      <c r="Y359" s="130">
        <v>7.9780661929999996E-2</v>
      </c>
    </row>
    <row r="360" spans="8:25" ht="15.5" x14ac:dyDescent="0.35">
      <c r="H360" s="383"/>
      <c r="I360" s="331" t="s">
        <v>1059</v>
      </c>
      <c r="J360" s="320" t="s">
        <v>1403</v>
      </c>
      <c r="K360" s="302">
        <v>2.1068922834000001</v>
      </c>
      <c r="O360" s="308">
        <v>4.5999999999999996</v>
      </c>
      <c r="P360" s="312">
        <v>97.762003810962995</v>
      </c>
      <c r="Q360" s="344">
        <v>8.4262645000000004E-9</v>
      </c>
      <c r="U360" s="126" t="s">
        <v>1059</v>
      </c>
      <c r="V360" s="131" t="s">
        <v>6214</v>
      </c>
      <c r="W360" s="132">
        <v>2.380805381E-2</v>
      </c>
      <c r="X360" s="129">
        <v>3.4320186507E-2</v>
      </c>
      <c r="Y360" s="130">
        <v>9.0793999809999998E-2</v>
      </c>
    </row>
    <row r="361" spans="8:25" ht="15.5" x14ac:dyDescent="0.35">
      <c r="H361" s="383"/>
      <c r="I361" s="331" t="s">
        <v>1059</v>
      </c>
      <c r="J361" s="320" t="s">
        <v>1404</v>
      </c>
      <c r="K361" s="302">
        <v>2.5193975871999998</v>
      </c>
      <c r="O361" s="308">
        <v>5.49</v>
      </c>
      <c r="P361" s="312">
        <v>106.70720644773299</v>
      </c>
      <c r="Q361" s="344">
        <v>8.4262645000000004E-9</v>
      </c>
      <c r="U361" s="126" t="s">
        <v>1059</v>
      </c>
      <c r="V361" s="131" t="s">
        <v>6215</v>
      </c>
      <c r="W361" s="132">
        <v>2.330668449E-2</v>
      </c>
      <c r="X361" s="129">
        <v>3.4591614553E-2</v>
      </c>
      <c r="Y361" s="130">
        <v>9.966928349000001E-2</v>
      </c>
    </row>
    <row r="362" spans="8:25" ht="15.5" x14ac:dyDescent="0.35">
      <c r="H362" s="383"/>
      <c r="I362" s="331" t="s">
        <v>1059</v>
      </c>
      <c r="J362" s="320" t="s">
        <v>1405</v>
      </c>
      <c r="K362" s="302">
        <v>3.3678680549000002</v>
      </c>
      <c r="O362" s="308">
        <v>7.34</v>
      </c>
      <c r="P362" s="312">
        <v>183.173547340423</v>
      </c>
      <c r="Q362" s="344">
        <v>8.4262645000000004E-9</v>
      </c>
      <c r="U362" s="126" t="s">
        <v>1059</v>
      </c>
      <c r="V362" s="131" t="s">
        <v>6216</v>
      </c>
      <c r="W362" s="132">
        <v>0.1589954321</v>
      </c>
      <c r="X362" s="129">
        <v>0.41202330355</v>
      </c>
      <c r="Y362" s="130">
        <v>0.72079538210000005</v>
      </c>
    </row>
    <row r="363" spans="8:25" ht="15.5" x14ac:dyDescent="0.35">
      <c r="H363" s="383"/>
      <c r="I363" s="331" t="s">
        <v>1059</v>
      </c>
      <c r="J363" s="320" t="s">
        <v>1406</v>
      </c>
      <c r="K363" s="302">
        <v>3.6806682011999996</v>
      </c>
      <c r="O363" s="308">
        <v>8.02</v>
      </c>
      <c r="P363" s="312">
        <v>95.343929595792986</v>
      </c>
      <c r="Q363" s="344">
        <v>8.4262645000000004E-9</v>
      </c>
      <c r="U363" s="126" t="s">
        <v>1059</v>
      </c>
      <c r="V363" s="131" t="s">
        <v>6217</v>
      </c>
      <c r="W363" s="132">
        <v>0.2191015171</v>
      </c>
      <c r="X363" s="129">
        <v>0.41398379095999999</v>
      </c>
      <c r="Y363" s="130">
        <v>1.0298341971</v>
      </c>
    </row>
    <row r="364" spans="8:25" ht="15.5" x14ac:dyDescent="0.35">
      <c r="H364" s="383"/>
      <c r="I364" s="331" t="s">
        <v>1059</v>
      </c>
      <c r="J364" s="320" t="s">
        <v>1407</v>
      </c>
      <c r="K364" s="302">
        <v>11.344272748</v>
      </c>
      <c r="O364" s="308">
        <v>24.7</v>
      </c>
      <c r="P364" s="312">
        <v>101.653307852343</v>
      </c>
      <c r="Q364" s="344">
        <v>8.4262645000000004E-9</v>
      </c>
      <c r="U364" s="126" t="s">
        <v>1059</v>
      </c>
      <c r="V364" s="131" t="s">
        <v>6218</v>
      </c>
      <c r="W364" s="132">
        <v>0.1662534735</v>
      </c>
      <c r="X364" s="129">
        <v>0.41233820246000003</v>
      </c>
      <c r="Y364" s="130">
        <v>0.66250164349999996</v>
      </c>
    </row>
    <row r="365" spans="8:25" ht="15.5" x14ac:dyDescent="0.35">
      <c r="H365" s="383"/>
      <c r="I365" s="331" t="s">
        <v>1059</v>
      </c>
      <c r="J365" s="320" t="s">
        <v>1408</v>
      </c>
      <c r="K365" s="302">
        <v>0.82890802099999994</v>
      </c>
      <c r="O365" s="308">
        <v>1.82</v>
      </c>
      <c r="P365" s="312">
        <v>2992.750465657623</v>
      </c>
      <c r="Q365" s="344">
        <v>8.4262645000000004E-9</v>
      </c>
      <c r="U365" s="126" t="s">
        <v>1059</v>
      </c>
      <c r="V365" s="131" t="s">
        <v>6219</v>
      </c>
      <c r="W365" s="132">
        <v>0.2256656913</v>
      </c>
      <c r="X365" s="129">
        <v>0.37293359021</v>
      </c>
      <c r="Y365" s="130">
        <v>0.71868203129999997</v>
      </c>
    </row>
    <row r="366" spans="8:25" ht="15.5" x14ac:dyDescent="0.35">
      <c r="H366" s="383"/>
      <c r="I366" s="331" t="s">
        <v>1059</v>
      </c>
      <c r="J366" s="320" t="s">
        <v>1409</v>
      </c>
      <c r="K366" s="302">
        <v>56.895800490000006</v>
      </c>
      <c r="O366" s="308">
        <v>123.82</v>
      </c>
      <c r="P366" s="312">
        <v>1559.2490150405431</v>
      </c>
      <c r="Q366" s="344">
        <v>8.4262645000000004E-9</v>
      </c>
      <c r="U366" s="126" t="s">
        <v>1059</v>
      </c>
      <c r="V366" s="131" t="s">
        <v>6220</v>
      </c>
      <c r="W366" s="132">
        <v>0.1614596851</v>
      </c>
      <c r="X366" s="129">
        <v>0.40895505968000001</v>
      </c>
      <c r="Y366" s="130">
        <v>0.77333541509999992</v>
      </c>
    </row>
    <row r="367" spans="8:25" ht="15.5" x14ac:dyDescent="0.35">
      <c r="H367" s="383"/>
      <c r="I367" s="331" t="s">
        <v>1059</v>
      </c>
      <c r="J367" s="320" t="s">
        <v>1410</v>
      </c>
      <c r="K367" s="302">
        <v>23.954030046999996</v>
      </c>
      <c r="O367" s="308">
        <v>52.14</v>
      </c>
      <c r="P367" s="312">
        <v>56.778744146943005</v>
      </c>
      <c r="Q367" s="344">
        <v>8.4262645000000004E-9</v>
      </c>
      <c r="U367" s="126" t="s">
        <v>1059</v>
      </c>
      <c r="V367" s="131" t="s">
        <v>6221</v>
      </c>
      <c r="W367" s="132">
        <v>0.16685116119999999</v>
      </c>
      <c r="X367" s="129">
        <v>0.40756605593</v>
      </c>
      <c r="Y367" s="130">
        <v>0.87877394119999996</v>
      </c>
    </row>
    <row r="368" spans="8:25" ht="15.5" x14ac:dyDescent="0.35">
      <c r="H368" s="383"/>
      <c r="I368" s="331" t="s">
        <v>1059</v>
      </c>
      <c r="J368" s="320" t="s">
        <v>1411</v>
      </c>
      <c r="K368" s="302">
        <v>2.8888927525000003</v>
      </c>
      <c r="O368" s="308">
        <v>6.3</v>
      </c>
      <c r="P368" s="312">
        <v>133.68296344939301</v>
      </c>
      <c r="Q368" s="344">
        <v>8.4262645000000004E-9</v>
      </c>
      <c r="U368" s="126" t="s">
        <v>1059</v>
      </c>
      <c r="V368" s="131" t="s">
        <v>6222</v>
      </c>
      <c r="W368" s="132">
        <v>0.1705469248</v>
      </c>
      <c r="X368" s="129">
        <v>0.40190517516999996</v>
      </c>
      <c r="Y368" s="130">
        <v>1.0010937547999998</v>
      </c>
    </row>
    <row r="369" spans="8:25" ht="15.5" x14ac:dyDescent="0.35">
      <c r="H369" s="384" t="s">
        <v>1412</v>
      </c>
      <c r="I369" s="331"/>
      <c r="J369" s="319"/>
      <c r="K369" s="303"/>
      <c r="O369" s="308"/>
      <c r="P369" s="313"/>
      <c r="Q369" s="344"/>
      <c r="U369" s="126" t="s">
        <v>1059</v>
      </c>
      <c r="V369" s="131" t="s">
        <v>6223</v>
      </c>
      <c r="W369" s="132">
        <v>5.231565190000001E-2</v>
      </c>
      <c r="X369" s="129">
        <v>0.21731462401000001</v>
      </c>
      <c r="Y369" s="130">
        <v>0.66870027190000003</v>
      </c>
    </row>
    <row r="370" spans="8:25" ht="15.5" x14ac:dyDescent="0.35">
      <c r="H370" s="383"/>
      <c r="I370" s="331" t="s">
        <v>1059</v>
      </c>
      <c r="J370" s="320" t="s">
        <v>1413</v>
      </c>
      <c r="K370" s="302">
        <v>0.40950345100000002</v>
      </c>
      <c r="O370" s="308">
        <v>1.06</v>
      </c>
      <c r="P370" s="312">
        <v>0.76871788389000006</v>
      </c>
      <c r="Q370" s="344">
        <v>1.7419899000000001E-9</v>
      </c>
      <c r="U370" s="126" t="s">
        <v>1059</v>
      </c>
      <c r="V370" s="131" t="s">
        <v>6224</v>
      </c>
      <c r="W370" s="132">
        <v>8.0009032499999994E-2</v>
      </c>
      <c r="X370" s="129">
        <v>0.19684504172</v>
      </c>
      <c r="Y370" s="130">
        <v>0.57538558250000005</v>
      </c>
    </row>
    <row r="371" spans="8:25" ht="15.5" x14ac:dyDescent="0.35">
      <c r="H371" s="384"/>
      <c r="I371" s="331" t="s">
        <v>1059</v>
      </c>
      <c r="J371" s="320" t="s">
        <v>1414</v>
      </c>
      <c r="K371" s="302">
        <v>0.49637627400000006</v>
      </c>
      <c r="O371" s="308">
        <v>1.17</v>
      </c>
      <c r="P371" s="312">
        <v>0.81787273553000006</v>
      </c>
      <c r="Q371" s="344">
        <v>5.7480372999999999E-5</v>
      </c>
      <c r="U371" s="126" t="s">
        <v>1059</v>
      </c>
      <c r="V371" s="131" t="s">
        <v>6225</v>
      </c>
      <c r="W371" s="132">
        <v>7.8419237100000011E-2</v>
      </c>
      <c r="X371" s="129">
        <v>0.20321686799999999</v>
      </c>
      <c r="Y371" s="130">
        <v>0.3555084771</v>
      </c>
    </row>
    <row r="372" spans="8:25" ht="15.5" x14ac:dyDescent="0.35">
      <c r="H372" s="383"/>
      <c r="I372" s="331" t="s">
        <v>1059</v>
      </c>
      <c r="J372" s="320" t="s">
        <v>1415</v>
      </c>
      <c r="K372" s="302">
        <v>0.50568770899999993</v>
      </c>
      <c r="O372" s="308">
        <v>1.21</v>
      </c>
      <c r="P372" s="312">
        <v>0.81765372374000012</v>
      </c>
      <c r="Q372" s="344">
        <v>6.3228202000000004E-5</v>
      </c>
      <c r="U372" s="126" t="s">
        <v>1059</v>
      </c>
      <c r="V372" s="131" t="s">
        <v>6226</v>
      </c>
      <c r="W372" s="132">
        <v>0.10806457479999999</v>
      </c>
      <c r="X372" s="129">
        <v>0.20418381085000001</v>
      </c>
      <c r="Y372" s="130">
        <v>0.50793164479999997</v>
      </c>
    </row>
    <row r="373" spans="8:25" ht="15.5" x14ac:dyDescent="0.35">
      <c r="H373" s="383"/>
      <c r="I373" s="331" t="s">
        <v>1059</v>
      </c>
      <c r="J373" s="320" t="s">
        <v>1416</v>
      </c>
      <c r="K373" s="302">
        <v>0.512901151</v>
      </c>
      <c r="O373" s="308">
        <v>1.21</v>
      </c>
      <c r="P373" s="312">
        <v>0.87074478305999992</v>
      </c>
      <c r="Q373" s="344">
        <v>6.0354272000000003E-5</v>
      </c>
      <c r="U373" s="126" t="s">
        <v>1059</v>
      </c>
      <c r="V373" s="131" t="s">
        <v>6227</v>
      </c>
      <c r="W373" s="132">
        <v>8.1999026000000003E-2</v>
      </c>
      <c r="X373" s="129">
        <v>0.20337217821999998</v>
      </c>
      <c r="Y373" s="130">
        <v>0.32675701600000001</v>
      </c>
    </row>
    <row r="374" spans="8:25" ht="15.5" x14ac:dyDescent="0.35">
      <c r="H374" s="383"/>
      <c r="I374" s="331" t="s">
        <v>1059</v>
      </c>
      <c r="J374" s="320" t="s">
        <v>1417</v>
      </c>
      <c r="K374" s="302">
        <v>0.46622532900000002</v>
      </c>
      <c r="O374" s="308">
        <v>1.1200000000000001</v>
      </c>
      <c r="P374" s="312">
        <v>0.80366792805999998</v>
      </c>
      <c r="Q374" s="344">
        <v>3.7362869999999999E-5</v>
      </c>
      <c r="U374" s="126" t="s">
        <v>1059</v>
      </c>
      <c r="V374" s="131" t="s">
        <v>6228</v>
      </c>
      <c r="W374" s="132">
        <v>0.1113021372</v>
      </c>
      <c r="X374" s="129">
        <v>0.18393715526000001</v>
      </c>
      <c r="Y374" s="130">
        <v>0.35446613719999998</v>
      </c>
    </row>
    <row r="375" spans="8:25" ht="15.5" x14ac:dyDescent="0.35">
      <c r="H375" s="384"/>
      <c r="I375" s="331" t="s">
        <v>1059</v>
      </c>
      <c r="J375" s="320" t="s">
        <v>1418</v>
      </c>
      <c r="K375" s="302">
        <v>0.40971528400000001</v>
      </c>
      <c r="O375" s="308">
        <v>1.1100000000000001</v>
      </c>
      <c r="P375" s="312">
        <v>0.76359409943000012</v>
      </c>
      <c r="Q375" s="344">
        <v>1.72457E-9</v>
      </c>
      <c r="U375" s="126" t="s">
        <v>1059</v>
      </c>
      <c r="V375" s="131" t="s">
        <v>6229</v>
      </c>
      <c r="W375" s="132">
        <v>7.9634647099999997E-2</v>
      </c>
      <c r="X375" s="129">
        <v>0.20170355570000001</v>
      </c>
      <c r="Y375" s="130">
        <v>0.38142210710000002</v>
      </c>
    </row>
    <row r="376" spans="8:25" ht="15.5" x14ac:dyDescent="0.35">
      <c r="H376" s="383"/>
      <c r="I376" s="331" t="s">
        <v>1059</v>
      </c>
      <c r="J376" s="320" t="s">
        <v>1419</v>
      </c>
      <c r="K376" s="302">
        <v>0.39826286500000002</v>
      </c>
      <c r="O376" s="308">
        <v>1.17</v>
      </c>
      <c r="P376" s="312">
        <v>0.73034538644000002</v>
      </c>
      <c r="Q376" s="344">
        <v>1.6287606000000001E-9</v>
      </c>
      <c r="U376" s="126" t="s">
        <v>1059</v>
      </c>
      <c r="V376" s="131" t="s">
        <v>6230</v>
      </c>
      <c r="W376" s="132">
        <v>8.22938161E-2</v>
      </c>
      <c r="X376" s="129">
        <v>0.20101847346999999</v>
      </c>
      <c r="Y376" s="130">
        <v>0.4334261761</v>
      </c>
    </row>
    <row r="377" spans="8:25" ht="15.5" x14ac:dyDescent="0.35">
      <c r="H377" s="383"/>
      <c r="I377" s="331" t="s">
        <v>1059</v>
      </c>
      <c r="J377" s="320" t="s">
        <v>1420</v>
      </c>
      <c r="K377" s="302">
        <v>0.40951980519999998</v>
      </c>
      <c r="O377" s="308">
        <v>1.26</v>
      </c>
      <c r="P377" s="312">
        <v>0.7447412713399999</v>
      </c>
      <c r="Q377" s="344">
        <v>1.6566324E-9</v>
      </c>
      <c r="U377" s="126" t="s">
        <v>1059</v>
      </c>
      <c r="V377" s="131" t="s">
        <v>6231</v>
      </c>
      <c r="W377" s="132">
        <v>8.4116627700000002E-2</v>
      </c>
      <c r="X377" s="129">
        <v>0.19822643528</v>
      </c>
      <c r="Y377" s="130">
        <v>0.49375637770000003</v>
      </c>
    </row>
    <row r="378" spans="8:25" ht="15.5" x14ac:dyDescent="0.35">
      <c r="H378" s="383"/>
      <c r="I378" s="331" t="s">
        <v>1059</v>
      </c>
      <c r="J378" s="320" t="s">
        <v>1421</v>
      </c>
      <c r="K378" s="302">
        <v>0.44687510499999999</v>
      </c>
      <c r="O378" s="308">
        <v>1.45</v>
      </c>
      <c r="P378" s="312">
        <v>0.82594824829000002</v>
      </c>
      <c r="Q378" s="344">
        <v>2.0289573E-9</v>
      </c>
      <c r="U378" s="126" t="s">
        <v>1059</v>
      </c>
      <c r="V378" s="131" t="s">
        <v>6232</v>
      </c>
      <c r="W378" s="132">
        <v>7.6333168699999995E-2</v>
      </c>
      <c r="X378" s="129">
        <v>0.21780253554000001</v>
      </c>
      <c r="Y378" s="130">
        <v>0.1350054577</v>
      </c>
    </row>
    <row r="379" spans="8:25" ht="15.5" x14ac:dyDescent="0.35">
      <c r="H379" s="383"/>
      <c r="I379" s="331" t="s">
        <v>1059</v>
      </c>
      <c r="J379" s="320" t="s">
        <v>1422</v>
      </c>
      <c r="K379" s="302">
        <v>0.40955455799999996</v>
      </c>
      <c r="O379" s="308">
        <v>1.1000000000000001</v>
      </c>
      <c r="P379" s="312">
        <v>0.76755667005000006</v>
      </c>
      <c r="Q379" s="344">
        <v>1.7619582E-9</v>
      </c>
      <c r="U379" s="126" t="s">
        <v>1059</v>
      </c>
      <c r="V379" s="131" t="s">
        <v>6233</v>
      </c>
      <c r="W379" s="132">
        <v>9.0361032299999991E-2</v>
      </c>
      <c r="X379" s="129">
        <v>0.26706347677000003</v>
      </c>
      <c r="Y379" s="130">
        <v>0.56826950229999995</v>
      </c>
    </row>
    <row r="380" spans="8:25" ht="15.5" x14ac:dyDescent="0.35">
      <c r="H380" s="383"/>
      <c r="I380" s="331" t="s">
        <v>1059</v>
      </c>
      <c r="J380" s="320" t="s">
        <v>1423</v>
      </c>
      <c r="K380" s="302">
        <v>0.40716130900000003</v>
      </c>
      <c r="O380" s="308">
        <v>1.06</v>
      </c>
      <c r="P380" s="312">
        <v>0.76641903953000001</v>
      </c>
      <c r="Q380" s="344">
        <v>1.72457E-9</v>
      </c>
      <c r="U380" s="126" t="s">
        <v>1059</v>
      </c>
      <c r="V380" s="131" t="s">
        <v>6234</v>
      </c>
      <c r="W380" s="132">
        <v>6.4285475710000005E-3</v>
      </c>
      <c r="X380" s="129">
        <v>1.5319333875E-3</v>
      </c>
      <c r="Y380" s="130">
        <v>5.9460946570999998E-2</v>
      </c>
    </row>
    <row r="381" spans="8:25" ht="15.5" x14ac:dyDescent="0.35">
      <c r="H381" s="384"/>
      <c r="I381" s="331" t="s">
        <v>1059</v>
      </c>
      <c r="J381" s="320" t="s">
        <v>1424</v>
      </c>
      <c r="K381" s="302">
        <v>0.40690470200000001</v>
      </c>
      <c r="O381" s="308">
        <v>1.1000000000000001</v>
      </c>
      <c r="P381" s="312">
        <v>0.76083547625999992</v>
      </c>
      <c r="Q381" s="344">
        <v>1.7036661E-9</v>
      </c>
      <c r="U381" s="126" t="s">
        <v>1059</v>
      </c>
      <c r="V381" s="131" t="s">
        <v>6235</v>
      </c>
      <c r="W381" s="132">
        <v>3.8653080579999998E-3</v>
      </c>
      <c r="X381" s="129">
        <v>1.2880104856400002E-4</v>
      </c>
      <c r="Y381" s="130">
        <v>5.3582601058000001E-2</v>
      </c>
    </row>
    <row r="382" spans="8:25" ht="15.5" x14ac:dyDescent="0.35">
      <c r="H382" s="384"/>
      <c r="I382" s="331" t="s">
        <v>1059</v>
      </c>
      <c r="J382" s="320" t="s">
        <v>1425</v>
      </c>
      <c r="K382" s="302">
        <v>0.40857427499999999</v>
      </c>
      <c r="O382" s="308">
        <v>1.1000000000000001</v>
      </c>
      <c r="P382" s="312">
        <v>0.76773031051999996</v>
      </c>
      <c r="Q382" s="344">
        <v>1.7723733E-9</v>
      </c>
      <c r="U382" s="126" t="s">
        <v>1059</v>
      </c>
      <c r="V382" s="131" t="s">
        <v>6236</v>
      </c>
      <c r="W382" s="132">
        <v>0</v>
      </c>
      <c r="X382" s="129">
        <v>0</v>
      </c>
      <c r="Y382" s="130">
        <v>0</v>
      </c>
    </row>
    <row r="383" spans="8:25" ht="15.5" x14ac:dyDescent="0.35">
      <c r="H383" s="384"/>
      <c r="I383" s="331" t="s">
        <v>1059</v>
      </c>
      <c r="J383" s="320" t="s">
        <v>1426</v>
      </c>
      <c r="K383" s="302">
        <v>0.43683787900000004</v>
      </c>
      <c r="O383" s="308">
        <v>1.18</v>
      </c>
      <c r="P383" s="312">
        <v>0.79475046845999997</v>
      </c>
      <c r="Q383" s="344">
        <v>2.2993109999999999E-5</v>
      </c>
      <c r="U383" s="126" t="s">
        <v>1059</v>
      </c>
      <c r="V383" s="131" t="s">
        <v>6237</v>
      </c>
      <c r="W383" s="132">
        <v>0</v>
      </c>
      <c r="X383" s="129">
        <v>0</v>
      </c>
      <c r="Y383" s="130">
        <v>0</v>
      </c>
    </row>
    <row r="384" spans="8:25" ht="15.5" x14ac:dyDescent="0.35">
      <c r="H384" s="383"/>
      <c r="I384" s="331" t="s">
        <v>1059</v>
      </c>
      <c r="J384" s="320" t="s">
        <v>1427</v>
      </c>
      <c r="K384" s="302">
        <v>0.50807468700000002</v>
      </c>
      <c r="O384" s="308">
        <v>1.1599999999999999</v>
      </c>
      <c r="P384" s="312">
        <v>0.82642680014000003</v>
      </c>
      <c r="Q384" s="344">
        <v>6.4665205999999995E-5</v>
      </c>
      <c r="U384" s="126" t="s">
        <v>1059</v>
      </c>
      <c r="V384" s="131" t="s">
        <v>6238</v>
      </c>
      <c r="W384" s="132">
        <v>0</v>
      </c>
      <c r="X384" s="129">
        <v>0</v>
      </c>
      <c r="Y384" s="130">
        <v>0</v>
      </c>
    </row>
    <row r="385" spans="8:25" ht="15.5" x14ac:dyDescent="0.35">
      <c r="H385" s="383"/>
      <c r="I385" s="331" t="s">
        <v>1059</v>
      </c>
      <c r="J385" s="320" t="s">
        <v>1428</v>
      </c>
      <c r="K385" s="302">
        <v>0.40927606399999999</v>
      </c>
      <c r="O385" s="308">
        <v>1.2</v>
      </c>
      <c r="P385" s="312">
        <v>0.75261250056999995</v>
      </c>
      <c r="Q385" s="344">
        <v>7.2018629999999996E-7</v>
      </c>
      <c r="U385" s="126" t="s">
        <v>1059</v>
      </c>
      <c r="V385" s="131" t="s">
        <v>6239</v>
      </c>
      <c r="W385" s="132">
        <v>0</v>
      </c>
      <c r="X385" s="129">
        <v>0</v>
      </c>
      <c r="Y385" s="130">
        <v>0</v>
      </c>
    </row>
    <row r="386" spans="8:25" ht="15.5" x14ac:dyDescent="0.35">
      <c r="H386" s="383"/>
      <c r="I386" s="331" t="s">
        <v>1059</v>
      </c>
      <c r="J386" s="320" t="s">
        <v>1429</v>
      </c>
      <c r="K386" s="302">
        <v>0.47450652799999998</v>
      </c>
      <c r="O386" s="308">
        <v>1.34</v>
      </c>
      <c r="P386" s="312">
        <v>0.78048312155999999</v>
      </c>
      <c r="Q386" s="344">
        <v>4.3110642000000002E-5</v>
      </c>
      <c r="U386" s="126" t="s">
        <v>1059</v>
      </c>
      <c r="V386" s="131" t="s">
        <v>6240</v>
      </c>
      <c r="W386" s="132">
        <v>0</v>
      </c>
      <c r="X386" s="129">
        <v>0</v>
      </c>
      <c r="Y386" s="130">
        <v>0</v>
      </c>
    </row>
    <row r="387" spans="8:25" ht="15.5" x14ac:dyDescent="0.35">
      <c r="H387" s="383"/>
      <c r="I387" s="331" t="s">
        <v>1059</v>
      </c>
      <c r="J387" s="320" t="s">
        <v>1430</v>
      </c>
      <c r="K387" s="302">
        <v>0.41694153800000006</v>
      </c>
      <c r="O387" s="308">
        <v>1.23</v>
      </c>
      <c r="P387" s="312">
        <v>0.80431975265</v>
      </c>
      <c r="Q387" s="344">
        <v>7.1870820000000001E-6</v>
      </c>
      <c r="U387" s="126" t="s">
        <v>1059</v>
      </c>
      <c r="V387" s="131" t="s">
        <v>6241</v>
      </c>
      <c r="W387" s="132">
        <v>0</v>
      </c>
      <c r="X387" s="129">
        <v>0</v>
      </c>
      <c r="Y387" s="130">
        <v>0</v>
      </c>
    </row>
    <row r="388" spans="8:25" ht="15.5" x14ac:dyDescent="0.35">
      <c r="H388" s="383"/>
      <c r="I388" s="331" t="s">
        <v>1059</v>
      </c>
      <c r="J388" s="320" t="s">
        <v>1431</v>
      </c>
      <c r="K388" s="302">
        <v>0.42689508499999995</v>
      </c>
      <c r="O388" s="308">
        <v>1.25</v>
      </c>
      <c r="P388" s="312">
        <v>0.80699774205000008</v>
      </c>
      <c r="Q388" s="344">
        <v>1.4371901999999999E-5</v>
      </c>
      <c r="U388" s="126" t="s">
        <v>1059</v>
      </c>
      <c r="V388" s="131" t="s">
        <v>6242</v>
      </c>
      <c r="W388" s="132">
        <v>0</v>
      </c>
      <c r="X388" s="129">
        <v>0</v>
      </c>
      <c r="Y388" s="130">
        <v>0</v>
      </c>
    </row>
    <row r="389" spans="8:25" ht="15.5" x14ac:dyDescent="0.35">
      <c r="H389" s="383"/>
      <c r="I389" s="331" t="s">
        <v>1059</v>
      </c>
      <c r="J389" s="320" t="s">
        <v>1432</v>
      </c>
      <c r="K389" s="302">
        <v>0.40886341599999998</v>
      </c>
      <c r="O389" s="308">
        <v>1.17</v>
      </c>
      <c r="P389" s="312">
        <v>0.78572357427000006</v>
      </c>
      <c r="Q389" s="344">
        <v>7.2051947999999996E-7</v>
      </c>
      <c r="U389" s="126" t="s">
        <v>1059</v>
      </c>
      <c r="V389" s="131" t="s">
        <v>6243</v>
      </c>
      <c r="W389" s="132">
        <v>0</v>
      </c>
      <c r="X389" s="129">
        <v>0</v>
      </c>
      <c r="Y389" s="130">
        <v>0</v>
      </c>
    </row>
    <row r="390" spans="8:25" ht="15.5" x14ac:dyDescent="0.35">
      <c r="H390" s="383"/>
      <c r="I390" s="331" t="s">
        <v>1059</v>
      </c>
      <c r="J390" s="320" t="s">
        <v>1433</v>
      </c>
      <c r="K390" s="302">
        <v>0.46983182899999998</v>
      </c>
      <c r="O390" s="308">
        <v>1.22</v>
      </c>
      <c r="P390" s="312">
        <v>0.8269204616200001</v>
      </c>
      <c r="Q390" s="344">
        <v>4.3111042000000003E-5</v>
      </c>
      <c r="U390" s="126" t="s">
        <v>1059</v>
      </c>
      <c r="V390" s="131" t="s">
        <v>6244</v>
      </c>
      <c r="W390" s="132">
        <v>0</v>
      </c>
      <c r="X390" s="129">
        <v>0</v>
      </c>
      <c r="Y390" s="130">
        <v>0</v>
      </c>
    </row>
    <row r="391" spans="8:25" ht="15.5" x14ac:dyDescent="0.35">
      <c r="H391" s="384" t="s">
        <v>1434</v>
      </c>
      <c r="I391" s="331"/>
      <c r="J391" s="319"/>
      <c r="K391" s="303"/>
      <c r="O391" s="308"/>
      <c r="P391" s="313"/>
      <c r="Q391" s="344"/>
      <c r="U391" s="126" t="s">
        <v>1059</v>
      </c>
      <c r="V391" s="131" t="s">
        <v>6245</v>
      </c>
      <c r="W391" s="132">
        <v>6.5887296400000003E-2</v>
      </c>
      <c r="X391" s="129">
        <v>0.26448392254999997</v>
      </c>
      <c r="Y391" s="130">
        <v>0.14714912940000002</v>
      </c>
    </row>
    <row r="392" spans="8:25" ht="15.5" x14ac:dyDescent="0.35">
      <c r="H392" s="384"/>
      <c r="I392" s="331" t="s">
        <v>1059</v>
      </c>
      <c r="J392" s="324" t="s">
        <v>1435</v>
      </c>
      <c r="K392" s="303"/>
      <c r="O392" s="308"/>
      <c r="P392" s="313"/>
      <c r="Q392" s="344"/>
      <c r="U392" s="126" t="s">
        <v>1059</v>
      </c>
      <c r="V392" s="131" t="s">
        <v>6246</v>
      </c>
      <c r="W392" s="132">
        <v>0.18879145539999997</v>
      </c>
      <c r="X392" s="129">
        <v>0.19017434499000002</v>
      </c>
      <c r="Y392" s="130">
        <v>0.29648644539999996</v>
      </c>
    </row>
    <row r="393" spans="8:25" ht="15.5" x14ac:dyDescent="0.35">
      <c r="H393" s="383"/>
      <c r="I393" s="331" t="s">
        <v>1059</v>
      </c>
      <c r="J393" s="320" t="s">
        <v>1436</v>
      </c>
      <c r="K393" s="302">
        <v>2.6202262730000001</v>
      </c>
      <c r="O393" s="308">
        <v>2.97</v>
      </c>
      <c r="P393" s="312">
        <v>2.0869187657773995</v>
      </c>
      <c r="Q393" s="344">
        <v>1.4369675999999999E-3</v>
      </c>
      <c r="U393" s="126" t="s">
        <v>1059</v>
      </c>
      <c r="V393" s="131" t="s">
        <v>6247</v>
      </c>
      <c r="W393" s="132">
        <v>0.1180136068</v>
      </c>
      <c r="X393" s="129">
        <v>0.26860221267999995</v>
      </c>
      <c r="Y393" s="130">
        <v>0.23798005680000001</v>
      </c>
    </row>
    <row r="394" spans="8:25" ht="15.5" x14ac:dyDescent="0.35">
      <c r="H394" s="383"/>
      <c r="I394" s="331" t="s">
        <v>1059</v>
      </c>
      <c r="J394" s="320" t="s">
        <v>1437</v>
      </c>
      <c r="K394" s="302">
        <v>2.6339893519999995</v>
      </c>
      <c r="O394" s="308">
        <v>2.99</v>
      </c>
      <c r="P394" s="312">
        <v>2.2805340532030001</v>
      </c>
      <c r="Q394" s="344">
        <v>1.4369675999999999E-3</v>
      </c>
      <c r="U394" s="126" t="s">
        <v>1059</v>
      </c>
      <c r="V394" s="131" t="s">
        <v>6248</v>
      </c>
      <c r="W394" s="132">
        <v>6.0078673749999999E-2</v>
      </c>
      <c r="X394" s="129">
        <v>0.22628465671</v>
      </c>
      <c r="Y394" s="130">
        <v>0.13335774075000001</v>
      </c>
    </row>
    <row r="395" spans="8:25" ht="15.5" x14ac:dyDescent="0.35">
      <c r="H395" s="383"/>
      <c r="I395" s="331" t="s">
        <v>1059</v>
      </c>
      <c r="J395" s="320" t="s">
        <v>1438</v>
      </c>
      <c r="K395" s="302">
        <v>2.4868298859999998</v>
      </c>
      <c r="O395" s="308">
        <v>2.9</v>
      </c>
      <c r="P395" s="312">
        <v>2.0563929080799999</v>
      </c>
      <c r="Q395" s="344">
        <v>1.3392539E-3</v>
      </c>
      <c r="U395" s="126" t="s">
        <v>1059</v>
      </c>
      <c r="V395" s="131" t="s">
        <v>6249</v>
      </c>
      <c r="W395" s="132">
        <v>0.12357339929999998</v>
      </c>
      <c r="X395" s="129">
        <v>0.20280272419000001</v>
      </c>
      <c r="Y395" s="130">
        <v>0.22547818929999996</v>
      </c>
    </row>
    <row r="396" spans="8:25" ht="15.5" x14ac:dyDescent="0.35">
      <c r="H396" s="383"/>
      <c r="I396" s="331" t="s">
        <v>1059</v>
      </c>
      <c r="J396" s="320" t="s">
        <v>1439</v>
      </c>
      <c r="K396" s="302">
        <v>2.5724205490000003</v>
      </c>
      <c r="O396" s="308">
        <v>3.53</v>
      </c>
      <c r="P396" s="312">
        <v>2.6690451624089997</v>
      </c>
      <c r="Q396" s="344">
        <v>1.2630947E-3</v>
      </c>
      <c r="U396" s="126" t="s">
        <v>1059</v>
      </c>
      <c r="V396" s="131" t="s">
        <v>6250</v>
      </c>
      <c r="W396" s="132">
        <v>0.16584085579999999</v>
      </c>
      <c r="X396" s="129">
        <v>0.16254078228000002</v>
      </c>
      <c r="Y396" s="130">
        <v>0.2620364738</v>
      </c>
    </row>
    <row r="397" spans="8:25" ht="15.5" x14ac:dyDescent="0.35">
      <c r="H397" s="384"/>
      <c r="I397" s="331" t="s">
        <v>1059</v>
      </c>
      <c r="J397" s="320" t="s">
        <v>1440</v>
      </c>
      <c r="K397" s="302">
        <v>2.1632122890000001</v>
      </c>
      <c r="O397" s="308">
        <v>3.61</v>
      </c>
      <c r="P397" s="312">
        <v>3.0120135334600002</v>
      </c>
      <c r="Q397" s="344">
        <v>8.9092049999999997E-4</v>
      </c>
      <c r="U397" s="126" t="s">
        <v>1059</v>
      </c>
      <c r="V397" s="131" t="s">
        <v>6251</v>
      </c>
      <c r="W397" s="132">
        <v>0.10593257319999999</v>
      </c>
      <c r="X397" s="129">
        <v>0.18941420004000001</v>
      </c>
      <c r="Y397" s="130">
        <v>0.1956396232</v>
      </c>
    </row>
    <row r="398" spans="8:25" ht="15.5" x14ac:dyDescent="0.35">
      <c r="H398" s="383"/>
      <c r="I398" s="331" t="s">
        <v>1059</v>
      </c>
      <c r="J398" s="320" t="s">
        <v>1441</v>
      </c>
      <c r="K398" s="302">
        <v>2.6059826450000001</v>
      </c>
      <c r="O398" s="308">
        <v>5.66</v>
      </c>
      <c r="P398" s="312">
        <v>4.7957877158135993</v>
      </c>
      <c r="Q398" s="344">
        <v>7.8314805999999998E-4</v>
      </c>
      <c r="U398" s="126" t="s">
        <v>1059</v>
      </c>
      <c r="V398" s="131" t="s">
        <v>6252</v>
      </c>
      <c r="W398" s="132">
        <v>0.13272512459999999</v>
      </c>
      <c r="X398" s="129">
        <v>0.31399889103000006</v>
      </c>
      <c r="Y398" s="130">
        <v>0.22594575359999999</v>
      </c>
    </row>
    <row r="399" spans="8:25" ht="15.5" x14ac:dyDescent="0.35">
      <c r="H399" s="384"/>
      <c r="I399" s="331" t="s">
        <v>1059</v>
      </c>
      <c r="J399" s="320" t="s">
        <v>1442</v>
      </c>
      <c r="K399" s="302">
        <v>2.7072820049999997</v>
      </c>
      <c r="O399" s="308">
        <v>3.16</v>
      </c>
      <c r="P399" s="312">
        <v>3.1766528107703995</v>
      </c>
      <c r="Q399" s="344">
        <v>1.3392537999999999E-3</v>
      </c>
      <c r="U399" s="126" t="s">
        <v>1059</v>
      </c>
      <c r="V399" s="131" t="s">
        <v>6253</v>
      </c>
      <c r="W399" s="132">
        <v>8.5753685300000021E-2</v>
      </c>
      <c r="X399" s="129">
        <v>0.18477983978999998</v>
      </c>
      <c r="Y399" s="130">
        <v>0.14983091230000001</v>
      </c>
    </row>
    <row r="400" spans="8:25" ht="15.5" x14ac:dyDescent="0.35">
      <c r="H400" s="383"/>
      <c r="I400" s="331" t="s">
        <v>1059</v>
      </c>
      <c r="J400" s="320" t="s">
        <v>1443</v>
      </c>
      <c r="K400" s="302">
        <v>2.7273020089999997</v>
      </c>
      <c r="O400" s="308">
        <v>3.2</v>
      </c>
      <c r="P400" s="312">
        <v>3.3905856653556001</v>
      </c>
      <c r="Q400" s="344">
        <v>1.3220102000000001E-3</v>
      </c>
      <c r="U400" s="126" t="s">
        <v>1059</v>
      </c>
      <c r="V400" s="131" t="s">
        <v>6254</v>
      </c>
      <c r="W400" s="132">
        <v>9.9118183999999998E-2</v>
      </c>
      <c r="X400" s="129">
        <v>0.18025524019</v>
      </c>
      <c r="Y400" s="130">
        <v>0.18661607899999999</v>
      </c>
    </row>
    <row r="401" spans="8:25" ht="15.5" x14ac:dyDescent="0.35">
      <c r="H401" s="383"/>
      <c r="I401" s="331" t="s">
        <v>1059</v>
      </c>
      <c r="J401" s="320" t="s">
        <v>1444</v>
      </c>
      <c r="K401" s="302">
        <v>2.270411094</v>
      </c>
      <c r="O401" s="308">
        <v>2.61</v>
      </c>
      <c r="P401" s="312">
        <v>1.9417884330200001</v>
      </c>
      <c r="Q401" s="344">
        <v>1.2214227E-3</v>
      </c>
      <c r="U401" s="126" t="s">
        <v>1059</v>
      </c>
      <c r="V401" s="131" t="s">
        <v>6255</v>
      </c>
      <c r="W401" s="132">
        <v>0.12858960349999998</v>
      </c>
      <c r="X401" s="129">
        <v>0.19801840587</v>
      </c>
      <c r="Y401" s="130">
        <v>0.22295207449999999</v>
      </c>
    </row>
    <row r="402" spans="8:25" ht="15.5" x14ac:dyDescent="0.35">
      <c r="H402" s="384"/>
      <c r="I402" s="331" t="s">
        <v>1059</v>
      </c>
      <c r="J402" s="320" t="s">
        <v>1445</v>
      </c>
      <c r="K402" s="302">
        <v>1.9205959639999999</v>
      </c>
      <c r="O402" s="308">
        <v>2.2599999999999998</v>
      </c>
      <c r="P402" s="312">
        <v>1.79665820036</v>
      </c>
      <c r="Q402" s="344">
        <v>1.0058777999999999E-3</v>
      </c>
      <c r="U402" s="126" t="s">
        <v>1059</v>
      </c>
      <c r="V402" s="131" t="s">
        <v>6256</v>
      </c>
      <c r="W402" s="132">
        <v>0.113425055</v>
      </c>
      <c r="X402" s="129">
        <v>0.19841252204999998</v>
      </c>
      <c r="Y402" s="130">
        <v>0.20955270100000001</v>
      </c>
    </row>
    <row r="403" spans="8:25" ht="15.5" x14ac:dyDescent="0.35">
      <c r="H403" s="383"/>
      <c r="I403" s="331" t="s">
        <v>1059</v>
      </c>
      <c r="J403" s="320" t="s">
        <v>1446</v>
      </c>
      <c r="K403" s="302">
        <v>1.7573488780000002</v>
      </c>
      <c r="O403" s="308">
        <v>2.09</v>
      </c>
      <c r="P403" s="312">
        <v>1.7289307447</v>
      </c>
      <c r="Q403" s="344">
        <v>9.0529013999999998E-4</v>
      </c>
      <c r="U403" s="126" t="s">
        <v>1059</v>
      </c>
      <c r="V403" s="131" t="s">
        <v>6257</v>
      </c>
      <c r="W403" s="132">
        <v>0.1319640933</v>
      </c>
      <c r="X403" s="129">
        <v>0.22617944138000001</v>
      </c>
      <c r="Y403" s="130">
        <v>0.2412655333</v>
      </c>
    </row>
    <row r="404" spans="8:25" ht="15.5" x14ac:dyDescent="0.35">
      <c r="H404" s="383"/>
      <c r="I404" s="331" t="s">
        <v>1059</v>
      </c>
      <c r="J404" s="320" t="s">
        <v>1447</v>
      </c>
      <c r="K404" s="302">
        <v>1.687385854</v>
      </c>
      <c r="O404" s="308">
        <v>2.02</v>
      </c>
      <c r="P404" s="312">
        <v>1.69990467819</v>
      </c>
      <c r="Q404" s="344">
        <v>8.6218115999999996E-4</v>
      </c>
      <c r="U404" s="126" t="s">
        <v>1059</v>
      </c>
      <c r="V404" s="131" t="s">
        <v>6258</v>
      </c>
      <c r="W404" s="132">
        <v>0.10456473900000002</v>
      </c>
      <c r="X404" s="129">
        <v>0.22973519632</v>
      </c>
      <c r="Y404" s="130">
        <v>0.21094848900000002</v>
      </c>
    </row>
    <row r="405" spans="8:25" ht="15.5" x14ac:dyDescent="0.35">
      <c r="H405" s="383">
        <v>1</v>
      </c>
      <c r="I405" s="331" t="s">
        <v>1059</v>
      </c>
      <c r="J405" s="320" t="s">
        <v>1448</v>
      </c>
      <c r="K405" s="302">
        <v>1.635604796</v>
      </c>
      <c r="O405" s="308">
        <v>1.97</v>
      </c>
      <c r="P405" s="312">
        <v>1.6873834344599998</v>
      </c>
      <c r="Q405" s="344">
        <v>8.2913089999999995E-4</v>
      </c>
      <c r="U405" s="126" t="s">
        <v>1059</v>
      </c>
      <c r="V405" s="131" t="s">
        <v>6259</v>
      </c>
      <c r="W405" s="132">
        <v>4.1958570780000003E-2</v>
      </c>
      <c r="X405" s="129">
        <v>1.8179717829999997E-2</v>
      </c>
      <c r="Y405" s="130">
        <v>0.13251604278000001</v>
      </c>
    </row>
    <row r="406" spans="8:25" ht="15.5" x14ac:dyDescent="0.35">
      <c r="H406" s="383"/>
      <c r="I406" s="331" t="s">
        <v>1059</v>
      </c>
      <c r="J406" s="320" t="s">
        <v>1449</v>
      </c>
      <c r="K406" s="302">
        <v>2.3224303720000004</v>
      </c>
      <c r="O406" s="308">
        <v>2.7</v>
      </c>
      <c r="P406" s="312">
        <v>1.8950375823099999</v>
      </c>
      <c r="Q406" s="344">
        <v>1.250162E-3</v>
      </c>
      <c r="U406" s="126" t="s">
        <v>1059</v>
      </c>
      <c r="V406" s="131" t="s">
        <v>6260</v>
      </c>
      <c r="W406" s="132">
        <v>1.9976568583999998E-2</v>
      </c>
      <c r="X406" s="129">
        <v>1.0911577149E-2</v>
      </c>
      <c r="Y406" s="130">
        <v>4.3896767583999997E-2</v>
      </c>
    </row>
    <row r="407" spans="8:25" ht="15.5" x14ac:dyDescent="0.35">
      <c r="H407" s="383"/>
      <c r="I407" s="331" t="s">
        <v>1059</v>
      </c>
      <c r="J407" s="320" t="s">
        <v>1450</v>
      </c>
      <c r="K407" s="302">
        <v>2.2869427670000002</v>
      </c>
      <c r="O407" s="308">
        <v>3</v>
      </c>
      <c r="P407" s="312">
        <v>2.2068020018999999</v>
      </c>
      <c r="Q407" s="344">
        <v>1.1495743000000001E-3</v>
      </c>
      <c r="U407" s="126" t="s">
        <v>1059</v>
      </c>
      <c r="V407" s="131" t="s">
        <v>6261</v>
      </c>
      <c r="W407" s="132">
        <v>6.0958116859999995E-2</v>
      </c>
      <c r="X407" s="129">
        <v>4.3546863342999995E-2</v>
      </c>
      <c r="Y407" s="130">
        <v>9.0531430859999998E-2</v>
      </c>
    </row>
    <row r="408" spans="8:25" ht="15.5" x14ac:dyDescent="0.35">
      <c r="H408" s="383"/>
      <c r="I408" s="331" t="s">
        <v>1059</v>
      </c>
      <c r="J408" s="320" t="s">
        <v>1451</v>
      </c>
      <c r="K408" s="302">
        <v>2.554642764</v>
      </c>
      <c r="O408" s="308">
        <v>3.52</v>
      </c>
      <c r="P408" s="312">
        <v>2.6588948416390998</v>
      </c>
      <c r="Q408" s="344">
        <v>1.2523174000000001E-3</v>
      </c>
      <c r="U408" s="126" t="s">
        <v>1059</v>
      </c>
      <c r="V408" s="131" t="s">
        <v>6262</v>
      </c>
      <c r="W408" s="132">
        <v>6.619618121000001E-2</v>
      </c>
      <c r="X408" s="129">
        <v>5.4889619356000001E-2</v>
      </c>
      <c r="Y408" s="130">
        <v>9.8158352210000008E-2</v>
      </c>
    </row>
    <row r="409" spans="8:25" ht="15.5" x14ac:dyDescent="0.35">
      <c r="H409" s="383"/>
      <c r="I409" s="331" t="s">
        <v>1059</v>
      </c>
      <c r="J409" s="320" t="s">
        <v>1452</v>
      </c>
      <c r="K409" s="302">
        <v>2.7540709459999997</v>
      </c>
      <c r="O409" s="308">
        <v>3.26</v>
      </c>
      <c r="P409" s="312">
        <v>3.7165023649977003</v>
      </c>
      <c r="Q409" s="344">
        <v>1.2932708000000001E-3</v>
      </c>
      <c r="U409" s="126" t="s">
        <v>1059</v>
      </c>
      <c r="V409" s="131" t="s">
        <v>6263</v>
      </c>
      <c r="W409" s="132">
        <v>4.9556240250000001E-2</v>
      </c>
      <c r="X409" s="129">
        <v>4.0649798096999999E-2</v>
      </c>
      <c r="Y409" s="130">
        <v>7.7458412249999997E-2</v>
      </c>
    </row>
    <row r="410" spans="8:25" ht="15.5" x14ac:dyDescent="0.35">
      <c r="H410" s="383"/>
      <c r="I410" s="331" t="s">
        <v>1059</v>
      </c>
      <c r="J410" s="320" t="s">
        <v>1453</v>
      </c>
      <c r="K410" s="302">
        <v>2.780839882</v>
      </c>
      <c r="O410" s="308">
        <v>3.32</v>
      </c>
      <c r="P410" s="312">
        <v>4.0424190656497005</v>
      </c>
      <c r="Q410" s="344">
        <v>1.2645314999999999E-3</v>
      </c>
      <c r="U410" s="126" t="s">
        <v>1059</v>
      </c>
      <c r="V410" s="131" t="s">
        <v>6264</v>
      </c>
      <c r="W410" s="132">
        <v>7.5659338990000005E-2</v>
      </c>
      <c r="X410" s="129">
        <v>8.4297398279999991E-2</v>
      </c>
      <c r="Y410" s="130">
        <v>0.11752165299</v>
      </c>
    </row>
    <row r="411" spans="8:25" ht="15.5" x14ac:dyDescent="0.35">
      <c r="H411" s="383"/>
      <c r="I411" s="331" t="s">
        <v>1059</v>
      </c>
      <c r="J411" s="320" t="s">
        <v>1454</v>
      </c>
      <c r="K411" s="302">
        <v>2.4570339699999999</v>
      </c>
      <c r="O411" s="308">
        <v>2.88</v>
      </c>
      <c r="P411" s="312">
        <v>2.8211771063100004</v>
      </c>
      <c r="Q411" s="344">
        <v>1.2214225E-3</v>
      </c>
      <c r="U411" s="126" t="s">
        <v>1059</v>
      </c>
      <c r="V411" s="131" t="s">
        <v>6265</v>
      </c>
      <c r="W411" s="132">
        <v>4.8783070969999995E-2</v>
      </c>
      <c r="X411" s="129">
        <v>4.5461473850999995E-2</v>
      </c>
      <c r="Y411" s="130">
        <v>7.568072897E-2</v>
      </c>
    </row>
    <row r="412" spans="8:25" ht="15.5" x14ac:dyDescent="0.35">
      <c r="H412" s="384"/>
      <c r="I412" s="331" t="s">
        <v>1059</v>
      </c>
      <c r="J412" s="320" t="s">
        <v>1455</v>
      </c>
      <c r="K412" s="302">
        <v>2.270411094</v>
      </c>
      <c r="O412" s="308">
        <v>2.61</v>
      </c>
      <c r="P412" s="312">
        <v>1.9417884330200001</v>
      </c>
      <c r="Q412" s="344">
        <v>1.2214227E-3</v>
      </c>
      <c r="U412" s="126" t="s">
        <v>1059</v>
      </c>
      <c r="V412" s="131" t="s">
        <v>6266</v>
      </c>
      <c r="W412" s="132">
        <v>8.848299828999999E-2</v>
      </c>
      <c r="X412" s="129">
        <v>7.3278522819999997E-2</v>
      </c>
      <c r="Y412" s="130">
        <v>0.12102139729</v>
      </c>
    </row>
    <row r="413" spans="8:25" ht="15.5" x14ac:dyDescent="0.35">
      <c r="H413" s="383"/>
      <c r="I413" s="331" t="s">
        <v>1059</v>
      </c>
      <c r="J413" s="320" t="s">
        <v>1456</v>
      </c>
      <c r="K413" s="302">
        <v>1.7122423849999999</v>
      </c>
      <c r="O413" s="308">
        <v>2.0499999999999998</v>
      </c>
      <c r="P413" s="312">
        <v>1.71269268562</v>
      </c>
      <c r="Q413" s="344">
        <v>8.7655079999999998E-4</v>
      </c>
      <c r="U413" s="126" t="s">
        <v>1059</v>
      </c>
      <c r="V413" s="131" t="s">
        <v>6267</v>
      </c>
      <c r="W413" s="132">
        <v>6.1826443410000001E-2</v>
      </c>
      <c r="X413" s="129">
        <v>7.1249516279999994E-2</v>
      </c>
      <c r="Y413" s="130">
        <v>9.576828641E-2</v>
      </c>
    </row>
    <row r="414" spans="8:25" ht="15.5" x14ac:dyDescent="0.35">
      <c r="H414" s="383"/>
      <c r="I414" s="331" t="s">
        <v>1059</v>
      </c>
      <c r="J414" s="320" t="s">
        <v>1457</v>
      </c>
      <c r="K414" s="302">
        <v>1.687385854</v>
      </c>
      <c r="O414" s="308">
        <v>2.02</v>
      </c>
      <c r="P414" s="312">
        <v>1.69990467819</v>
      </c>
      <c r="Q414" s="344">
        <v>8.6218115999999996E-4</v>
      </c>
      <c r="U414" s="126" t="s">
        <v>1059</v>
      </c>
      <c r="V414" s="131" t="s">
        <v>6268</v>
      </c>
      <c r="W414" s="132">
        <v>6.9447910419999995E-2</v>
      </c>
      <c r="X414" s="129">
        <v>4.1705057375E-2</v>
      </c>
      <c r="Y414" s="130">
        <v>0.10367026641999999</v>
      </c>
    </row>
    <row r="415" spans="8:25" ht="15.5" x14ac:dyDescent="0.35">
      <c r="H415" s="384" t="s">
        <v>1458</v>
      </c>
      <c r="I415" s="331"/>
      <c r="J415" s="319"/>
      <c r="K415" s="303"/>
      <c r="O415" s="308"/>
      <c r="P415" s="313"/>
      <c r="Q415" s="344"/>
      <c r="U415" s="126" t="s">
        <v>1059</v>
      </c>
      <c r="V415" s="131" t="s">
        <v>6269</v>
      </c>
      <c r="W415" s="132">
        <v>6.3073381940000006E-2</v>
      </c>
      <c r="X415" s="129">
        <v>6.79643422E-2</v>
      </c>
      <c r="Y415" s="130">
        <v>9.7594234939999996E-2</v>
      </c>
    </row>
    <row r="416" spans="8:25" ht="15.5" x14ac:dyDescent="0.35">
      <c r="H416" s="383"/>
      <c r="I416" s="331" t="s">
        <v>1059</v>
      </c>
      <c r="J416" s="320" t="s">
        <v>1459</v>
      </c>
      <c r="K416" s="302">
        <v>0.4283122533</v>
      </c>
      <c r="O416" s="308">
        <v>5.05</v>
      </c>
      <c r="P416" s="312">
        <v>0.30785888790900001</v>
      </c>
      <c r="Q416" s="344">
        <v>1.7419899E-10</v>
      </c>
      <c r="U416" s="126" t="s">
        <v>1059</v>
      </c>
      <c r="V416" s="131" t="s">
        <v>6270</v>
      </c>
      <c r="W416" s="132">
        <v>6.7900811370000008E-2</v>
      </c>
      <c r="X416" s="129">
        <v>6.5231960409999998E-2</v>
      </c>
      <c r="Y416" s="130">
        <v>0.10525081837</v>
      </c>
    </row>
    <row r="417" spans="8:25" ht="15.5" x14ac:dyDescent="0.35">
      <c r="H417" s="383"/>
      <c r="I417" s="331" t="s">
        <v>1059</v>
      </c>
      <c r="J417" s="320" t="s">
        <v>1460</v>
      </c>
      <c r="K417" s="302">
        <v>0.42762112600000002</v>
      </c>
      <c r="O417" s="308">
        <v>5.44</v>
      </c>
      <c r="P417" s="312">
        <v>0.25972838508700002</v>
      </c>
      <c r="Q417" s="344">
        <v>0</v>
      </c>
      <c r="U417" s="126" t="s">
        <v>1059</v>
      </c>
      <c r="V417" s="131" t="s">
        <v>6271</v>
      </c>
      <c r="W417" s="132">
        <v>5.7179876120000001E-2</v>
      </c>
      <c r="X417" s="129">
        <v>9.3545188740000007E-2</v>
      </c>
      <c r="Y417" s="130">
        <v>9.2239177120000002E-2</v>
      </c>
    </row>
    <row r="418" spans="8:25" ht="15.5" x14ac:dyDescent="0.35">
      <c r="H418" s="383"/>
      <c r="I418" s="331" t="s">
        <v>1059</v>
      </c>
      <c r="J418" s="320" t="s">
        <v>1461</v>
      </c>
      <c r="K418" s="302">
        <v>0.4248827328</v>
      </c>
      <c r="O418" s="308">
        <v>5.08</v>
      </c>
      <c r="P418" s="312">
        <v>0.31325506550000004</v>
      </c>
      <c r="Q418" s="344">
        <v>1.5057307E-10</v>
      </c>
      <c r="U418" s="126" t="s">
        <v>1059</v>
      </c>
      <c r="V418" s="131" t="s">
        <v>6272</v>
      </c>
      <c r="W418" s="132">
        <v>5.4957986440000009E-2</v>
      </c>
      <c r="X418" s="129">
        <v>4.0426257943000005E-2</v>
      </c>
      <c r="Y418" s="130">
        <v>8.444621444E-2</v>
      </c>
    </row>
    <row r="419" spans="8:25" ht="15.5" x14ac:dyDescent="0.35">
      <c r="H419" s="383"/>
      <c r="I419" s="331" t="s">
        <v>1059</v>
      </c>
      <c r="J419" s="320" t="s">
        <v>1462</v>
      </c>
      <c r="K419" s="302">
        <v>0.42774608870000003</v>
      </c>
      <c r="O419" s="308">
        <v>5.12</v>
      </c>
      <c r="P419" s="312">
        <v>0.30168784528600001</v>
      </c>
      <c r="Q419" s="344">
        <v>1.4313709E-10</v>
      </c>
      <c r="U419" s="126" t="s">
        <v>1059</v>
      </c>
      <c r="V419" s="131" t="s">
        <v>6273</v>
      </c>
      <c r="W419" s="132">
        <v>6.1910310489999995E-2</v>
      </c>
      <c r="X419" s="129">
        <v>4.5549967109E-2</v>
      </c>
      <c r="Y419" s="130">
        <v>0.11578880249</v>
      </c>
    </row>
    <row r="420" spans="8:25" ht="15.5" x14ac:dyDescent="0.35">
      <c r="H420" s="383"/>
      <c r="I420" s="331" t="s">
        <v>1059</v>
      </c>
      <c r="J420" s="320" t="s">
        <v>1463</v>
      </c>
      <c r="K420" s="302">
        <v>0.42567287180000002</v>
      </c>
      <c r="O420" s="308">
        <v>5</v>
      </c>
      <c r="P420" s="312">
        <v>0.31999598695100001</v>
      </c>
      <c r="Q420" s="344">
        <v>1.8748153999999999E-10</v>
      </c>
      <c r="U420" s="126" t="s">
        <v>1059</v>
      </c>
      <c r="V420" s="131" t="s">
        <v>6274</v>
      </c>
      <c r="W420" s="132">
        <v>5.1139976520000005E-2</v>
      </c>
      <c r="X420" s="129">
        <v>3.9662485532000004E-2</v>
      </c>
      <c r="Y420" s="130">
        <v>0.10832387052</v>
      </c>
    </row>
    <row r="421" spans="8:25" ht="15.5" x14ac:dyDescent="0.35">
      <c r="H421" s="383"/>
      <c r="I421" s="331" t="s">
        <v>1059</v>
      </c>
      <c r="J421" s="320" t="s">
        <v>1464</v>
      </c>
      <c r="K421" s="302">
        <v>0.42744953669999997</v>
      </c>
      <c r="O421" s="308">
        <v>5.0599999999999996</v>
      </c>
      <c r="P421" s="312">
        <v>0.30886115342100001</v>
      </c>
      <c r="Q421" s="344">
        <v>1.6752495000000001E-10</v>
      </c>
      <c r="U421" s="126" t="s">
        <v>1059</v>
      </c>
      <c r="V421" s="131" t="s">
        <v>6275</v>
      </c>
      <c r="W421" s="132">
        <v>8.01849689E-2</v>
      </c>
      <c r="X421" s="129">
        <v>7.8351831600000005E-2</v>
      </c>
      <c r="Y421" s="130">
        <v>0.15138473790000001</v>
      </c>
    </row>
    <row r="422" spans="8:25" ht="15.5" x14ac:dyDescent="0.35">
      <c r="H422" s="383"/>
      <c r="I422" s="331" t="s">
        <v>1059</v>
      </c>
      <c r="J422" s="320" t="s">
        <v>1465</v>
      </c>
      <c r="K422" s="302">
        <v>0.42811403250000002</v>
      </c>
      <c r="O422" s="308">
        <v>5.31</v>
      </c>
      <c r="P422" s="312">
        <v>0.280905271914</v>
      </c>
      <c r="Q422" s="344">
        <v>6.7610924000000003E-11</v>
      </c>
      <c r="U422" s="126" t="s">
        <v>1059</v>
      </c>
      <c r="V422" s="131" t="s">
        <v>6276</v>
      </c>
      <c r="W422" s="132">
        <v>5.0577394740000003E-2</v>
      </c>
      <c r="X422" s="129">
        <v>4.9554769732000001E-2</v>
      </c>
      <c r="Y422" s="130">
        <v>9.9742604740000004E-2</v>
      </c>
    </row>
    <row r="423" spans="8:25" ht="15.5" x14ac:dyDescent="0.35">
      <c r="H423" s="383"/>
      <c r="I423" s="331" t="s">
        <v>1059</v>
      </c>
      <c r="J423" s="320" t="s">
        <v>1466</v>
      </c>
      <c r="K423" s="302">
        <v>0.4275003382</v>
      </c>
      <c r="O423" s="308">
        <v>5.16</v>
      </c>
      <c r="P423" s="312">
        <v>0.29869730376699993</v>
      </c>
      <c r="Q423" s="344">
        <v>1.2858056999999999E-10</v>
      </c>
      <c r="U423" s="126" t="s">
        <v>1059</v>
      </c>
      <c r="V423" s="131" t="s">
        <v>6277</v>
      </c>
      <c r="W423" s="132">
        <v>6.5510730699999992E-2</v>
      </c>
      <c r="X423" s="129">
        <v>6.4601592629999996E-2</v>
      </c>
      <c r="Y423" s="130">
        <v>0.12980531569999998</v>
      </c>
    </row>
    <row r="424" spans="8:25" ht="15.5" x14ac:dyDescent="0.35">
      <c r="H424" s="383"/>
      <c r="I424" s="331" t="s">
        <v>1059</v>
      </c>
      <c r="J424" s="320" t="s">
        <v>1467</v>
      </c>
      <c r="K424" s="302">
        <v>0.42685494079999997</v>
      </c>
      <c r="O424" s="308">
        <v>5.43</v>
      </c>
      <c r="P424" s="312">
        <v>0.26057586710199998</v>
      </c>
      <c r="Q424" s="344">
        <v>0</v>
      </c>
      <c r="U424" s="126" t="s">
        <v>1059</v>
      </c>
      <c r="V424" s="131" t="s">
        <v>6278</v>
      </c>
      <c r="W424" s="132">
        <v>6.7297671739999995E-2</v>
      </c>
      <c r="X424" s="129">
        <v>3.8406315813999996E-2</v>
      </c>
      <c r="Y424" s="130">
        <v>0.12903082673999999</v>
      </c>
    </row>
    <row r="425" spans="8:25" ht="15.5" x14ac:dyDescent="0.35">
      <c r="H425" s="383"/>
      <c r="I425" s="331" t="s">
        <v>1059</v>
      </c>
      <c r="J425" s="320" t="s">
        <v>1468</v>
      </c>
      <c r="K425" s="302">
        <v>0.42284506929999999</v>
      </c>
      <c r="O425" s="308">
        <v>5.23</v>
      </c>
      <c r="P425" s="312">
        <v>0.30406692444796002</v>
      </c>
      <c r="Q425" s="344">
        <v>8.4431748999999995E-11</v>
      </c>
      <c r="U425" s="126" t="s">
        <v>1059</v>
      </c>
      <c r="V425" s="131" t="s">
        <v>6279</v>
      </c>
      <c r="W425" s="132">
        <v>5.8349095269999998E-2</v>
      </c>
      <c r="X425" s="129">
        <v>3.8863372144E-2</v>
      </c>
      <c r="Y425" s="130">
        <v>0.11538898127</v>
      </c>
    </row>
    <row r="426" spans="8:25" ht="15.5" x14ac:dyDescent="0.35">
      <c r="H426" s="384" t="s">
        <v>1469</v>
      </c>
      <c r="I426" s="331"/>
      <c r="J426" s="319"/>
      <c r="K426" s="303"/>
      <c r="O426" s="308"/>
      <c r="P426" s="313"/>
      <c r="Q426" s="344"/>
      <c r="U426" s="126" t="s">
        <v>1059</v>
      </c>
      <c r="V426" s="131" t="s">
        <v>6280</v>
      </c>
      <c r="W426" s="132">
        <v>0.18519656400000004</v>
      </c>
      <c r="X426" s="129">
        <v>0.13229951956</v>
      </c>
      <c r="Y426" s="130">
        <v>0.27504310800000004</v>
      </c>
    </row>
    <row r="427" spans="8:25" ht="15.5" x14ac:dyDescent="0.35">
      <c r="H427" s="384"/>
      <c r="I427" s="331" t="s">
        <v>1059</v>
      </c>
      <c r="J427" s="320" t="s">
        <v>1470</v>
      </c>
      <c r="K427" s="302">
        <v>2.5419557044999999</v>
      </c>
      <c r="O427" s="308">
        <v>8.73</v>
      </c>
      <c r="P427" s="312">
        <v>7.9243440265930003</v>
      </c>
      <c r="Q427" s="344">
        <v>1.6627247999999999E-9</v>
      </c>
      <c r="U427" s="126" t="s">
        <v>1059</v>
      </c>
      <c r="V427" s="131" t="s">
        <v>6281</v>
      </c>
      <c r="W427" s="132">
        <v>0.20111030100000002</v>
      </c>
      <c r="X427" s="129">
        <v>0.16675989020999998</v>
      </c>
      <c r="Y427" s="130">
        <v>0.29821442100000001</v>
      </c>
    </row>
    <row r="428" spans="8:25" ht="15.5" x14ac:dyDescent="0.35">
      <c r="H428" s="383"/>
      <c r="I428" s="331" t="s">
        <v>1059</v>
      </c>
      <c r="J428" s="320" t="s">
        <v>1471</v>
      </c>
      <c r="K428" s="302">
        <v>1.2241761420000001</v>
      </c>
      <c r="O428" s="308">
        <v>3.98</v>
      </c>
      <c r="P428" s="312">
        <v>3.48047383801</v>
      </c>
      <c r="Q428" s="344">
        <v>1.7087920000000001E-9</v>
      </c>
      <c r="U428" s="126" t="s">
        <v>1059</v>
      </c>
      <c r="V428" s="131" t="s">
        <v>6282</v>
      </c>
      <c r="W428" s="132">
        <v>0.15055657130000002</v>
      </c>
      <c r="X428" s="129">
        <v>0.12349796195</v>
      </c>
      <c r="Y428" s="130">
        <v>0.23532602630000002</v>
      </c>
    </row>
    <row r="429" spans="8:25" ht="15.5" x14ac:dyDescent="0.35">
      <c r="H429" s="383"/>
      <c r="I429" s="331" t="s">
        <v>1059</v>
      </c>
      <c r="J429" s="320" t="s">
        <v>1472</v>
      </c>
      <c r="K429" s="302">
        <v>2.2193344684</v>
      </c>
      <c r="O429" s="308">
        <v>7.35</v>
      </c>
      <c r="P429" s="312">
        <v>6.5985768682479993</v>
      </c>
      <c r="Q429" s="344">
        <v>7.1849734000000004E-5</v>
      </c>
      <c r="U429" s="126" t="s">
        <v>1059</v>
      </c>
      <c r="V429" s="131" t="s">
        <v>6283</v>
      </c>
      <c r="W429" s="132">
        <v>0.22986028020000002</v>
      </c>
      <c r="X429" s="129">
        <v>0.25610352478000004</v>
      </c>
      <c r="Y429" s="130">
        <v>0.3570419802</v>
      </c>
    </row>
    <row r="430" spans="8:25" ht="15.5" x14ac:dyDescent="0.35">
      <c r="H430" s="383"/>
      <c r="I430" s="331" t="s">
        <v>1059</v>
      </c>
      <c r="J430" s="320" t="s">
        <v>1473</v>
      </c>
      <c r="K430" s="302">
        <v>2.6724831052500004</v>
      </c>
      <c r="O430" s="308">
        <v>9.18</v>
      </c>
      <c r="P430" s="312">
        <v>8.3013731855377006</v>
      </c>
      <c r="Q430" s="344">
        <v>1.6497735000000001E-9</v>
      </c>
      <c r="U430" s="126" t="s">
        <v>1059</v>
      </c>
      <c r="V430" s="131" t="s">
        <v>6284</v>
      </c>
      <c r="W430" s="132">
        <v>0.14820761169999999</v>
      </c>
      <c r="X430" s="129">
        <v>0.13811629022999999</v>
      </c>
      <c r="Y430" s="130">
        <v>0.2299252577</v>
      </c>
    </row>
    <row r="431" spans="8:25" ht="15.5" x14ac:dyDescent="0.35">
      <c r="H431" s="383"/>
      <c r="I431" s="331" t="s">
        <v>1059</v>
      </c>
      <c r="J431" s="320" t="s">
        <v>1474</v>
      </c>
      <c r="K431" s="302">
        <v>1.2282545057999998</v>
      </c>
      <c r="O431" s="308">
        <v>4.3</v>
      </c>
      <c r="P431" s="312">
        <v>3.8785239382511003</v>
      </c>
      <c r="Q431" s="344">
        <v>9.5923618000000003E-10</v>
      </c>
      <c r="U431" s="126" t="s">
        <v>1059</v>
      </c>
      <c r="V431" s="131" t="s">
        <v>6285</v>
      </c>
      <c r="W431" s="132">
        <v>0.26881977510000005</v>
      </c>
      <c r="X431" s="129">
        <v>0.22262713448999999</v>
      </c>
      <c r="Y431" s="130">
        <v>0.36767453110000003</v>
      </c>
    </row>
    <row r="432" spans="8:25" ht="15.5" x14ac:dyDescent="0.35">
      <c r="H432" s="383"/>
      <c r="I432" s="331" t="s">
        <v>1059</v>
      </c>
      <c r="J432" s="320" t="s">
        <v>1475</v>
      </c>
      <c r="K432" s="302">
        <v>2.3496728993999998</v>
      </c>
      <c r="O432" s="308">
        <v>8.16</v>
      </c>
      <c r="P432" s="312">
        <v>6.9478437152302002</v>
      </c>
      <c r="Q432" s="344">
        <v>1.3198187999999999E-9</v>
      </c>
      <c r="U432" s="126" t="s">
        <v>1059</v>
      </c>
      <c r="V432" s="131" t="s">
        <v>6286</v>
      </c>
      <c r="W432" s="132">
        <v>0.18783462340000001</v>
      </c>
      <c r="X432" s="129">
        <v>0.21646281373999998</v>
      </c>
      <c r="Y432" s="130">
        <v>0.29095317340000004</v>
      </c>
    </row>
    <row r="433" spans="8:25" ht="15.5" x14ac:dyDescent="0.35">
      <c r="H433" s="383"/>
      <c r="I433" s="331" t="s">
        <v>1059</v>
      </c>
      <c r="J433" s="320" t="s">
        <v>1476</v>
      </c>
      <c r="K433" s="302">
        <v>1.9661445364600001</v>
      </c>
      <c r="O433" s="308">
        <v>6.63</v>
      </c>
      <c r="P433" s="312">
        <v>12.492193970112602</v>
      </c>
      <c r="Q433" s="344">
        <v>9.8086737000000001E-10</v>
      </c>
      <c r="U433" s="126" t="s">
        <v>1059</v>
      </c>
      <c r="V433" s="131" t="s">
        <v>6287</v>
      </c>
      <c r="W433" s="132">
        <v>0.21098936900000001</v>
      </c>
      <c r="X433" s="129">
        <v>0.12670393738999999</v>
      </c>
      <c r="Y433" s="130">
        <v>0.31496014900000002</v>
      </c>
    </row>
    <row r="434" spans="8:25" ht="15.5" x14ac:dyDescent="0.35">
      <c r="H434" s="384"/>
      <c r="I434" s="331" t="s">
        <v>1059</v>
      </c>
      <c r="J434" s="320" t="s">
        <v>1477</v>
      </c>
      <c r="K434" s="302">
        <v>2.2661752491399998</v>
      </c>
      <c r="O434" s="308">
        <v>7.89</v>
      </c>
      <c r="P434" s="312">
        <v>6.8930140709560002</v>
      </c>
      <c r="Q434" s="344">
        <v>1.2790867E-9</v>
      </c>
      <c r="U434" s="126" t="s">
        <v>1059</v>
      </c>
      <c r="V434" s="131" t="s">
        <v>6288</v>
      </c>
      <c r="W434" s="132">
        <v>0.19162293920000001</v>
      </c>
      <c r="X434" s="129">
        <v>0.20648213974000001</v>
      </c>
      <c r="Y434" s="130">
        <v>0.2965005792</v>
      </c>
    </row>
    <row r="435" spans="8:25" ht="15.5" x14ac:dyDescent="0.35">
      <c r="H435" s="383"/>
      <c r="I435" s="331" t="s">
        <v>1059</v>
      </c>
      <c r="J435" s="320" t="s">
        <v>1478</v>
      </c>
      <c r="K435" s="302">
        <v>2.6046210299999997</v>
      </c>
      <c r="O435" s="308">
        <v>7.21</v>
      </c>
      <c r="P435" s="312">
        <v>6.8092800799700006</v>
      </c>
      <c r="Q435" s="344">
        <v>4.2390658E-4</v>
      </c>
      <c r="U435" s="126" t="s">
        <v>1059</v>
      </c>
      <c r="V435" s="131" t="s">
        <v>6289</v>
      </c>
      <c r="W435" s="132">
        <v>0.20628913440000002</v>
      </c>
      <c r="X435" s="129">
        <v>0.19818091414</v>
      </c>
      <c r="Y435" s="130">
        <v>0.31976201440000002</v>
      </c>
    </row>
    <row r="436" spans="8:25" ht="15.5" x14ac:dyDescent="0.35">
      <c r="H436" s="383"/>
      <c r="I436" s="331" t="s">
        <v>1059</v>
      </c>
      <c r="J436" s="320" t="s">
        <v>1479</v>
      </c>
      <c r="K436" s="302">
        <v>2.6038280200000004</v>
      </c>
      <c r="O436" s="308">
        <v>7.05</v>
      </c>
      <c r="P436" s="312">
        <v>6.1794902001710996</v>
      </c>
      <c r="Q436" s="344">
        <v>4.5264589000000002E-4</v>
      </c>
      <c r="U436" s="126" t="s">
        <v>1059</v>
      </c>
      <c r="V436" s="131" t="s">
        <v>6290</v>
      </c>
      <c r="W436" s="132">
        <v>0.17371790500000001</v>
      </c>
      <c r="X436" s="129">
        <v>0.28419919630000001</v>
      </c>
      <c r="Y436" s="130">
        <v>0.28023140499999999</v>
      </c>
    </row>
    <row r="437" spans="8:25" ht="15.5" x14ac:dyDescent="0.35">
      <c r="H437" s="383"/>
      <c r="I437" s="331" t="s">
        <v>1059</v>
      </c>
      <c r="J437" s="320" t="s">
        <v>1480</v>
      </c>
      <c r="K437" s="302">
        <v>1.3676288413000002</v>
      </c>
      <c r="O437" s="308">
        <v>4.74</v>
      </c>
      <c r="P437" s="312">
        <v>4.1931274586108991</v>
      </c>
      <c r="Q437" s="344">
        <v>1.0835427E-9</v>
      </c>
      <c r="U437" s="126" t="s">
        <v>1059</v>
      </c>
      <c r="V437" s="131" t="s">
        <v>6291</v>
      </c>
      <c r="W437" s="132">
        <v>0.16696759389999999</v>
      </c>
      <c r="X437" s="129">
        <v>0.12281882617000001</v>
      </c>
      <c r="Y437" s="130">
        <v>0.25655563989999997</v>
      </c>
    </row>
    <row r="438" spans="8:25" ht="15.5" x14ac:dyDescent="0.35">
      <c r="H438" s="383"/>
      <c r="I438" s="331" t="s">
        <v>1059</v>
      </c>
      <c r="J438" s="320" t="s">
        <v>1481</v>
      </c>
      <c r="K438" s="302">
        <v>2.6550595112999997</v>
      </c>
      <c r="O438" s="308">
        <v>7.45</v>
      </c>
      <c r="P438" s="312">
        <v>19.383440501316297</v>
      </c>
      <c r="Q438" s="344">
        <v>1.1101477E-9</v>
      </c>
      <c r="U438" s="126" t="s">
        <v>1059</v>
      </c>
      <c r="V438" s="131" t="s">
        <v>6292</v>
      </c>
      <c r="W438" s="132">
        <v>8.5482499890000008E-2</v>
      </c>
      <c r="X438" s="129">
        <v>6.2892998700000008E-2</v>
      </c>
      <c r="Y438" s="130">
        <v>0.15987508788999999</v>
      </c>
    </row>
    <row r="439" spans="8:25" ht="15.5" x14ac:dyDescent="0.35">
      <c r="H439" s="383"/>
      <c r="I439" s="331" t="s">
        <v>1059</v>
      </c>
      <c r="J439" s="320" t="s">
        <v>1482</v>
      </c>
      <c r="K439" s="302">
        <v>2.1477550805500001</v>
      </c>
      <c r="O439" s="308">
        <v>7.13</v>
      </c>
      <c r="P439" s="312">
        <v>8.5143012531401006</v>
      </c>
      <c r="Q439" s="344">
        <v>1.3407925000000001E-9</v>
      </c>
      <c r="U439" s="126" t="s">
        <v>1059</v>
      </c>
      <c r="V439" s="131" t="s">
        <v>6293</v>
      </c>
      <c r="W439" s="132">
        <v>7.0611389679999997E-2</v>
      </c>
      <c r="X439" s="129">
        <v>5.4763873650000003E-2</v>
      </c>
      <c r="Y439" s="130">
        <v>0.14956790268</v>
      </c>
    </row>
    <row r="440" spans="8:25" ht="15.5" x14ac:dyDescent="0.35">
      <c r="H440" s="384" t="s">
        <v>1483</v>
      </c>
      <c r="I440" s="331"/>
      <c r="J440" s="319"/>
      <c r="K440" s="303"/>
      <c r="O440" s="308"/>
      <c r="P440" s="313"/>
      <c r="Q440" s="344"/>
      <c r="U440" s="126" t="s">
        <v>1059</v>
      </c>
      <c r="V440" s="131" t="s">
        <v>6294</v>
      </c>
      <c r="W440" s="132">
        <v>0.11071518659999999</v>
      </c>
      <c r="X440" s="129">
        <v>0.10818408768</v>
      </c>
      <c r="Y440" s="130">
        <v>0.20902408259999999</v>
      </c>
    </row>
    <row r="441" spans="8:25" ht="15.5" x14ac:dyDescent="0.35">
      <c r="H441" s="383"/>
      <c r="I441" s="331" t="s">
        <v>1059</v>
      </c>
      <c r="J441" s="320" t="s">
        <v>1484</v>
      </c>
      <c r="K441" s="302">
        <v>0.7787918291</v>
      </c>
      <c r="O441" s="308">
        <v>3.23</v>
      </c>
      <c r="P441" s="312">
        <v>10.543838881515001</v>
      </c>
      <c r="Q441" s="344">
        <v>8.7099493999999994E-11</v>
      </c>
      <c r="U441" s="126" t="s">
        <v>1059</v>
      </c>
      <c r="V441" s="131" t="s">
        <v>6295</v>
      </c>
      <c r="W441" s="132">
        <v>6.9834606520000009E-2</v>
      </c>
      <c r="X441" s="129">
        <v>6.8422618510000005E-2</v>
      </c>
      <c r="Y441" s="130">
        <v>0.13771934252000001</v>
      </c>
    </row>
    <row r="442" spans="8:25" ht="15.5" x14ac:dyDescent="0.35">
      <c r="H442" s="383"/>
      <c r="I442" s="331" t="s">
        <v>1059</v>
      </c>
      <c r="J442" s="320" t="s">
        <v>1485</v>
      </c>
      <c r="K442" s="302">
        <v>2.1177477439999999</v>
      </c>
      <c r="O442" s="308">
        <v>6.17</v>
      </c>
      <c r="P442" s="312">
        <v>10.655513126180001</v>
      </c>
      <c r="Q442" s="344">
        <v>1.0605994E-10</v>
      </c>
      <c r="U442" s="126" t="s">
        <v>1059</v>
      </c>
      <c r="V442" s="131" t="s">
        <v>6296</v>
      </c>
      <c r="W442" s="132">
        <v>9.0453771299999985E-2</v>
      </c>
      <c r="X442" s="129">
        <v>8.9198480489999996E-2</v>
      </c>
      <c r="Y442" s="130">
        <v>0.1792283523</v>
      </c>
    </row>
    <row r="443" spans="8:25" ht="15.5" x14ac:dyDescent="0.35">
      <c r="H443" s="383"/>
      <c r="I443" s="331" t="s">
        <v>1059</v>
      </c>
      <c r="J443" s="320" t="s">
        <v>1486</v>
      </c>
      <c r="K443" s="302">
        <v>6.1482145049999994</v>
      </c>
      <c r="O443" s="308">
        <v>14.67</v>
      </c>
      <c r="P443" s="312">
        <v>12.005921905504</v>
      </c>
      <c r="Q443" s="344">
        <v>5.8036735999999997E-11</v>
      </c>
      <c r="U443" s="126" t="s">
        <v>1059</v>
      </c>
      <c r="V443" s="131" t="s">
        <v>6297</v>
      </c>
      <c r="W443" s="132">
        <v>9.2921085520000002E-2</v>
      </c>
      <c r="X443" s="129">
        <v>5.3029420700000003E-2</v>
      </c>
      <c r="Y443" s="130">
        <v>0.17815897852000001</v>
      </c>
    </row>
    <row r="444" spans="8:25" ht="15.5" x14ac:dyDescent="0.35">
      <c r="H444" s="384" t="s">
        <v>1487</v>
      </c>
      <c r="I444" s="331"/>
      <c r="J444" s="319"/>
      <c r="K444" s="303"/>
      <c r="O444" s="308"/>
      <c r="P444" s="313"/>
      <c r="Q444" s="344"/>
      <c r="U444" s="126" t="s">
        <v>1059</v>
      </c>
      <c r="V444" s="131" t="s">
        <v>6298</v>
      </c>
      <c r="W444" s="132">
        <v>8.0565360200000005E-2</v>
      </c>
      <c r="X444" s="129">
        <v>5.3660499590000001E-2</v>
      </c>
      <c r="Y444" s="130">
        <v>0.15932303520000002</v>
      </c>
    </row>
    <row r="445" spans="8:25" ht="15.5" x14ac:dyDescent="0.35">
      <c r="H445" s="383"/>
      <c r="I445" s="331" t="s">
        <v>1059</v>
      </c>
      <c r="J445" s="320" t="s">
        <v>1488</v>
      </c>
      <c r="K445" s="302">
        <v>0.27335513</v>
      </c>
      <c r="O445" s="308">
        <v>0.54</v>
      </c>
      <c r="P445" s="312">
        <v>0.85005991667799996</v>
      </c>
      <c r="Q445" s="344">
        <v>3.1614410000000001E-5</v>
      </c>
      <c r="U445" s="126" t="s">
        <v>1059</v>
      </c>
      <c r="V445" s="131" t="s">
        <v>6299</v>
      </c>
      <c r="W445" s="132">
        <v>0.41363596879999998</v>
      </c>
      <c r="X445" s="129">
        <v>0.30432902543000001</v>
      </c>
      <c r="Y445" s="130">
        <v>0.77360964879999994</v>
      </c>
    </row>
    <row r="446" spans="8:25" ht="15.5" x14ac:dyDescent="0.35">
      <c r="H446" s="383"/>
      <c r="I446" s="331" t="s">
        <v>1059</v>
      </c>
      <c r="J446" s="320" t="s">
        <v>1489</v>
      </c>
      <c r="K446" s="302">
        <v>0.22213534700000001</v>
      </c>
      <c r="O446" s="308">
        <v>0.48</v>
      </c>
      <c r="P446" s="312">
        <v>0.82910995770700002</v>
      </c>
      <c r="Q446" s="344">
        <v>1.157548E-9</v>
      </c>
      <c r="U446" s="126" t="s">
        <v>1059</v>
      </c>
      <c r="V446" s="131" t="s">
        <v>6300</v>
      </c>
      <c r="W446" s="132">
        <v>0.34167707330000002</v>
      </c>
      <c r="X446" s="129">
        <v>0.26499350624000001</v>
      </c>
      <c r="Y446" s="130">
        <v>0.72373484330000004</v>
      </c>
    </row>
    <row r="447" spans="8:25" ht="15.5" x14ac:dyDescent="0.35">
      <c r="H447" s="383"/>
      <c r="I447" s="331" t="s">
        <v>1059</v>
      </c>
      <c r="J447" s="320" t="s">
        <v>1490</v>
      </c>
      <c r="K447" s="302">
        <v>0.23953966700000001</v>
      </c>
      <c r="O447" s="308">
        <v>0.5</v>
      </c>
      <c r="P447" s="312">
        <v>0.83603065027900003</v>
      </c>
      <c r="Q447" s="344">
        <v>1.0778402E-5</v>
      </c>
      <c r="U447" s="126" t="s">
        <v>1059</v>
      </c>
      <c r="V447" s="131" t="s">
        <v>6301</v>
      </c>
      <c r="W447" s="132">
        <v>0.53573284060000004</v>
      </c>
      <c r="X447" s="129">
        <v>0.52348527172000003</v>
      </c>
      <c r="Y447" s="130">
        <v>1.0114336505999999</v>
      </c>
    </row>
    <row r="448" spans="8:25" ht="15.5" x14ac:dyDescent="0.35">
      <c r="H448" s="383"/>
      <c r="I448" s="331" t="s">
        <v>1059</v>
      </c>
      <c r="J448" s="320" t="s">
        <v>1491</v>
      </c>
      <c r="K448" s="302">
        <v>0.238392194</v>
      </c>
      <c r="O448" s="308">
        <v>0.54</v>
      </c>
      <c r="P448" s="312">
        <v>0.78169319890000011</v>
      </c>
      <c r="Q448" s="344">
        <v>1.1854751E-9</v>
      </c>
      <c r="U448" s="126" t="s">
        <v>1059</v>
      </c>
      <c r="V448" s="131" t="s">
        <v>6302</v>
      </c>
      <c r="W448" s="132">
        <v>0.33791834369999996</v>
      </c>
      <c r="X448" s="129">
        <v>0.33108596493000003</v>
      </c>
      <c r="Y448" s="130">
        <v>0.66640158369999991</v>
      </c>
    </row>
    <row r="449" spans="8:25" ht="15.5" x14ac:dyDescent="0.35">
      <c r="H449" s="383"/>
      <c r="I449" s="331" t="s">
        <v>1059</v>
      </c>
      <c r="J449" s="320" t="s">
        <v>1492</v>
      </c>
      <c r="K449" s="302">
        <v>0.239040694</v>
      </c>
      <c r="O449" s="308">
        <v>0.51</v>
      </c>
      <c r="P449" s="312">
        <v>0.91986686665400008</v>
      </c>
      <c r="Q449" s="344">
        <v>1.0778385000000001E-5</v>
      </c>
      <c r="U449" s="126" t="s">
        <v>1059</v>
      </c>
      <c r="V449" s="131" t="s">
        <v>6303</v>
      </c>
      <c r="W449" s="132">
        <v>0.43769113720000002</v>
      </c>
      <c r="X449" s="129">
        <v>0.43161699361999994</v>
      </c>
      <c r="Y449" s="130">
        <v>0.86725694720000002</v>
      </c>
    </row>
    <row r="450" spans="8:25" ht="15.5" x14ac:dyDescent="0.35">
      <c r="H450" s="384" t="s">
        <v>1493</v>
      </c>
      <c r="I450" s="332"/>
      <c r="J450" s="321"/>
      <c r="K450" s="302"/>
      <c r="O450" s="308"/>
      <c r="P450" s="310"/>
      <c r="Q450" s="344"/>
      <c r="U450" s="126" t="s">
        <v>1059</v>
      </c>
      <c r="V450" s="131" t="s">
        <v>6304</v>
      </c>
      <c r="W450" s="132">
        <v>0.44963006680000001</v>
      </c>
      <c r="X450" s="129">
        <v>0.25660077513000001</v>
      </c>
      <c r="Y450" s="130">
        <v>0.86208241680000008</v>
      </c>
    </row>
    <row r="451" spans="8:25" ht="15.5" x14ac:dyDescent="0.35">
      <c r="H451" s="383"/>
      <c r="I451" s="331" t="s">
        <v>1059</v>
      </c>
      <c r="J451" s="320" t="s">
        <v>1494</v>
      </c>
      <c r="K451" s="302">
        <v>0.28748294399999996</v>
      </c>
      <c r="O451" s="308">
        <v>0.98</v>
      </c>
      <c r="P451" s="312">
        <v>0.25546090192999993</v>
      </c>
      <c r="Q451" s="344">
        <v>3.4763365999999999E-10</v>
      </c>
      <c r="U451" s="126" t="s">
        <v>1059</v>
      </c>
      <c r="V451" s="131" t="s">
        <v>6305</v>
      </c>
      <c r="W451" s="132">
        <v>0.38984272349999993</v>
      </c>
      <c r="X451" s="129">
        <v>0.25965446218999999</v>
      </c>
      <c r="Y451" s="130">
        <v>0.7709383434999999</v>
      </c>
    </row>
    <row r="452" spans="8:25" ht="15.5" x14ac:dyDescent="0.35">
      <c r="H452" s="383"/>
      <c r="I452" s="331" t="s">
        <v>1059</v>
      </c>
      <c r="J452" s="320" t="s">
        <v>1495</v>
      </c>
      <c r="K452" s="302">
        <v>1.1297825131000001</v>
      </c>
      <c r="O452" s="308">
        <v>2.58</v>
      </c>
      <c r="P452" s="312">
        <v>58.68388032156799</v>
      </c>
      <c r="Q452" s="344">
        <v>3.0405678000000001E-9</v>
      </c>
      <c r="U452" s="126" t="s">
        <v>1059</v>
      </c>
      <c r="V452" s="131" t="s">
        <v>6306</v>
      </c>
      <c r="W452" s="132">
        <v>6.0842005790000001E-2</v>
      </c>
      <c r="X452" s="129">
        <v>4.3463917260999997E-2</v>
      </c>
      <c r="Y452" s="130">
        <v>9.0358989789999997E-2</v>
      </c>
    </row>
    <row r="453" spans="8:25" ht="15.5" x14ac:dyDescent="0.35">
      <c r="H453" s="383"/>
      <c r="I453" s="331" t="s">
        <v>1059</v>
      </c>
      <c r="J453" s="320" t="s">
        <v>1496</v>
      </c>
      <c r="K453" s="302">
        <v>1.219323865</v>
      </c>
      <c r="O453" s="308">
        <v>2.77</v>
      </c>
      <c r="P453" s="312">
        <v>67.419249926469007</v>
      </c>
      <c r="Q453" s="344">
        <v>3.0563856999999999E-9</v>
      </c>
      <c r="U453" s="126" t="s">
        <v>1059</v>
      </c>
      <c r="V453" s="131" t="s">
        <v>6307</v>
      </c>
      <c r="W453" s="132">
        <v>6.6070093450000006E-2</v>
      </c>
      <c r="X453" s="129">
        <v>5.4785068074E-2</v>
      </c>
      <c r="Y453" s="130">
        <v>9.7971384450000004E-2</v>
      </c>
    </row>
    <row r="454" spans="8:25" ht="15.5" x14ac:dyDescent="0.35">
      <c r="H454" s="384"/>
      <c r="I454" s="331" t="s">
        <v>1059</v>
      </c>
      <c r="J454" s="320" t="s">
        <v>1497</v>
      </c>
      <c r="K454" s="302">
        <v>0.32634681160000001</v>
      </c>
      <c r="O454" s="308">
        <v>1.1299999999999999</v>
      </c>
      <c r="P454" s="312">
        <v>0.28768884246999998</v>
      </c>
      <c r="Q454" s="344">
        <v>5.0163587000000004E-10</v>
      </c>
      <c r="U454" s="126" t="s">
        <v>1059</v>
      </c>
      <c r="V454" s="131" t="s">
        <v>6308</v>
      </c>
      <c r="W454" s="132">
        <v>4.9461846999999996E-2</v>
      </c>
      <c r="X454" s="129">
        <v>4.0572369721E-2</v>
      </c>
      <c r="Y454" s="130">
        <v>7.7310872000000003E-2</v>
      </c>
    </row>
    <row r="455" spans="8:25" ht="15.5" x14ac:dyDescent="0.35">
      <c r="H455" s="384"/>
      <c r="I455" s="331" t="s">
        <v>1059</v>
      </c>
      <c r="J455" s="320" t="s">
        <v>1498</v>
      </c>
      <c r="K455" s="302">
        <v>4.701902832</v>
      </c>
      <c r="O455" s="308">
        <v>10.08</v>
      </c>
      <c r="P455" s="312">
        <v>63.825557304648996</v>
      </c>
      <c r="Q455" s="344">
        <v>3.0334552000000001E-9</v>
      </c>
      <c r="U455" s="126" t="s">
        <v>1059</v>
      </c>
      <c r="V455" s="131" t="s">
        <v>6309</v>
      </c>
      <c r="W455" s="132">
        <v>7.5515225120000001E-2</v>
      </c>
      <c r="X455" s="129">
        <v>8.4136831699999998E-2</v>
      </c>
      <c r="Y455" s="130">
        <v>0.11729780212</v>
      </c>
    </row>
    <row r="456" spans="8:25" ht="15.5" x14ac:dyDescent="0.35">
      <c r="H456" s="383"/>
      <c r="I456" s="333"/>
      <c r="J456" s="321"/>
      <c r="K456" s="302"/>
      <c r="O456" s="308"/>
      <c r="P456" s="310"/>
      <c r="Q456" s="344"/>
      <c r="U456" s="126" t="s">
        <v>1059</v>
      </c>
      <c r="V456" s="131" t="s">
        <v>6310</v>
      </c>
      <c r="W456" s="132">
        <v>4.8690149749999995E-2</v>
      </c>
      <c r="X456" s="129">
        <v>4.5374880867999998E-2</v>
      </c>
      <c r="Y456" s="130">
        <v>7.5536573750000002E-2</v>
      </c>
    </row>
    <row r="457" spans="8:25" ht="15.5" x14ac:dyDescent="0.35">
      <c r="H457" s="384" t="s">
        <v>1499</v>
      </c>
      <c r="I457" s="333"/>
      <c r="J457" s="319"/>
      <c r="K457" s="303"/>
      <c r="O457" s="308"/>
      <c r="P457" s="313"/>
      <c r="Q457" s="344"/>
      <c r="U457" s="126" t="s">
        <v>1059</v>
      </c>
      <c r="V457" s="131" t="s">
        <v>6311</v>
      </c>
      <c r="W457" s="132">
        <v>8.8314458230000004E-2</v>
      </c>
      <c r="X457" s="129">
        <v>7.3138945189999999E-2</v>
      </c>
      <c r="Y457" s="130">
        <v>0.12079087923000001</v>
      </c>
    </row>
    <row r="458" spans="8:25" ht="15.5" x14ac:dyDescent="0.35">
      <c r="H458" s="383"/>
      <c r="I458" s="331" t="s">
        <v>1059</v>
      </c>
      <c r="J458" s="320" t="s">
        <v>1500</v>
      </c>
      <c r="K458" s="302">
        <v>7.1709786150000003E-3</v>
      </c>
      <c r="O458" s="308">
        <v>0.04</v>
      </c>
      <c r="P458" s="312">
        <v>5.3384330869999993E-3</v>
      </c>
      <c r="Q458" s="344">
        <v>6.0413480000000002E-9</v>
      </c>
      <c r="U458" s="126" t="s">
        <v>1059</v>
      </c>
      <c r="V458" s="131" t="s">
        <v>6312</v>
      </c>
      <c r="W458" s="132">
        <v>6.1708677609999998E-2</v>
      </c>
      <c r="X458" s="129">
        <v>7.111380292000001E-2</v>
      </c>
      <c r="Y458" s="130">
        <v>9.5585869609999999E-2</v>
      </c>
    </row>
    <row r="459" spans="8:25" ht="15.5" x14ac:dyDescent="0.35">
      <c r="H459" s="383"/>
      <c r="I459" s="331" t="s">
        <v>1059</v>
      </c>
      <c r="J459" s="320" t="s">
        <v>1501</v>
      </c>
      <c r="K459" s="302">
        <v>1.7972676850000001E-2</v>
      </c>
      <c r="O459" s="308">
        <v>0.04</v>
      </c>
      <c r="P459" s="312">
        <v>1.0187899229000002E-2</v>
      </c>
      <c r="Q459" s="344">
        <v>7.2936455000000002E-9</v>
      </c>
      <c r="U459" s="126" t="s">
        <v>1059</v>
      </c>
      <c r="V459" s="131" t="s">
        <v>6313</v>
      </c>
      <c r="W459" s="132">
        <v>6.9315629180000005E-2</v>
      </c>
      <c r="X459" s="129">
        <v>4.1625618697000002E-2</v>
      </c>
      <c r="Y459" s="130">
        <v>0.10347280018</v>
      </c>
    </row>
    <row r="460" spans="8:25" ht="15.5" x14ac:dyDescent="0.35">
      <c r="H460" s="384"/>
      <c r="I460" s="331" t="s">
        <v>1056</v>
      </c>
      <c r="J460" s="320" t="s">
        <v>1502</v>
      </c>
      <c r="K460" s="302">
        <v>1.279923552E-3</v>
      </c>
      <c r="O460" s="308">
        <v>0</v>
      </c>
      <c r="P460" s="312">
        <v>7.1318857310000009E-4</v>
      </c>
      <c r="Q460" s="344">
        <v>5.1058070999999997E-10</v>
      </c>
      <c r="U460" s="126" t="s">
        <v>1059</v>
      </c>
      <c r="V460" s="131" t="s">
        <v>6314</v>
      </c>
      <c r="W460" s="132">
        <v>6.2953242310000004E-2</v>
      </c>
      <c r="X460" s="129">
        <v>6.7834885790000007E-2</v>
      </c>
      <c r="Y460" s="130">
        <v>9.7408341310000007E-2</v>
      </c>
    </row>
    <row r="461" spans="8:25" ht="15.5" x14ac:dyDescent="0.35">
      <c r="H461" s="383"/>
      <c r="I461" s="331" t="s">
        <v>1059</v>
      </c>
      <c r="J461" s="320" t="s">
        <v>1503</v>
      </c>
      <c r="K461" s="302">
        <v>1.7972676850000001E-2</v>
      </c>
      <c r="O461" s="308">
        <v>0.22</v>
      </c>
      <c r="P461" s="312">
        <v>1.0187899229000002E-2</v>
      </c>
      <c r="Q461" s="344">
        <v>7.2936455000000002E-9</v>
      </c>
      <c r="U461" s="126" t="s">
        <v>1059</v>
      </c>
      <c r="V461" s="131" t="s">
        <v>6315</v>
      </c>
      <c r="W461" s="132">
        <v>6.7771476299999994E-2</v>
      </c>
      <c r="X461" s="129">
        <v>6.5107709499999999E-2</v>
      </c>
      <c r="Y461" s="130">
        <v>0.10505034029999999</v>
      </c>
    </row>
    <row r="462" spans="8:25" ht="15.5" x14ac:dyDescent="0.35">
      <c r="H462" s="383"/>
      <c r="I462" s="331" t="s">
        <v>1059</v>
      </c>
      <c r="J462" s="320" t="s">
        <v>1504</v>
      </c>
      <c r="K462" s="302">
        <v>6.461106631E-3</v>
      </c>
      <c r="O462" s="308">
        <v>0.05</v>
      </c>
      <c r="P462" s="312">
        <v>4.2707464080000007E-3</v>
      </c>
      <c r="Q462" s="344">
        <v>4.8330784000000003E-9</v>
      </c>
      <c r="U462" s="126" t="s">
        <v>1059</v>
      </c>
      <c r="V462" s="131" t="s">
        <v>6316</v>
      </c>
      <c r="W462" s="132">
        <v>5.7070962059999994E-2</v>
      </c>
      <c r="X462" s="129">
        <v>9.3367007439999997E-2</v>
      </c>
      <c r="Y462" s="130">
        <v>9.2063484059999992E-2</v>
      </c>
    </row>
    <row r="463" spans="8:25" ht="15.5" x14ac:dyDescent="0.35">
      <c r="H463" s="383"/>
      <c r="I463" s="331" t="s">
        <v>1059</v>
      </c>
      <c r="J463" s="320" t="s">
        <v>1505</v>
      </c>
      <c r="K463" s="302">
        <v>2.8584600519999996E-2</v>
      </c>
      <c r="O463" s="308">
        <v>0.17</v>
      </c>
      <c r="P463" s="312">
        <v>1.0851536475000001E-2</v>
      </c>
      <c r="Q463" s="344">
        <v>1.2082696E-8</v>
      </c>
      <c r="U463" s="126" t="s">
        <v>1059</v>
      </c>
      <c r="V463" s="131" t="s">
        <v>6317</v>
      </c>
      <c r="W463" s="132">
        <v>5.485330553E-2</v>
      </c>
      <c r="X463" s="129">
        <v>4.0349255291000002E-2</v>
      </c>
      <c r="Y463" s="130">
        <v>8.4285365530000003E-2</v>
      </c>
    </row>
    <row r="464" spans="8:25" ht="15.5" x14ac:dyDescent="0.35">
      <c r="H464" s="383"/>
      <c r="I464" s="331" t="s">
        <v>1056</v>
      </c>
      <c r="J464" s="320" t="s">
        <v>1506</v>
      </c>
      <c r="K464" s="302">
        <v>2.28676805E-3</v>
      </c>
      <c r="O464" s="308">
        <v>0.01</v>
      </c>
      <c r="P464" s="312">
        <v>8.6812294779999998E-4</v>
      </c>
      <c r="Q464" s="344">
        <v>9.666156799999999E-10</v>
      </c>
      <c r="U464" s="126" t="s">
        <v>1059</v>
      </c>
      <c r="V464" s="131" t="s">
        <v>6318</v>
      </c>
      <c r="W464" s="132">
        <v>9.9213367960000007E-2</v>
      </c>
      <c r="X464" s="129">
        <v>1.9952451131999997E-2</v>
      </c>
      <c r="Y464" s="130">
        <v>0.21677736796000002</v>
      </c>
    </row>
    <row r="465" spans="8:25" ht="15.5" x14ac:dyDescent="0.35">
      <c r="H465" s="383"/>
      <c r="I465" s="331" t="s">
        <v>1059</v>
      </c>
      <c r="J465" s="320" t="s">
        <v>1507</v>
      </c>
      <c r="K465" s="302">
        <v>2.8584600519999996E-2</v>
      </c>
      <c r="O465" s="308">
        <v>0.35</v>
      </c>
      <c r="P465" s="312">
        <v>1.0851536475000001E-2</v>
      </c>
      <c r="Q465" s="344">
        <v>1.2082696E-8</v>
      </c>
      <c r="U465" s="126"/>
      <c r="V465" s="134"/>
      <c r="W465" s="132"/>
      <c r="X465" s="129"/>
      <c r="Y465" s="130" t="s">
        <v>6949</v>
      </c>
    </row>
    <row r="466" spans="8:25" ht="15.5" x14ac:dyDescent="0.35">
      <c r="H466" s="383"/>
      <c r="I466" s="331" t="s">
        <v>1056</v>
      </c>
      <c r="J466" s="320" t="s">
        <v>1508</v>
      </c>
      <c r="K466" s="302">
        <v>1.3582820339999999E-2</v>
      </c>
      <c r="O466" s="308">
        <v>0.03</v>
      </c>
      <c r="P466" s="312">
        <v>3.5804095328999995E-2</v>
      </c>
      <c r="Q466" s="344">
        <v>1.6912839000000001E-4</v>
      </c>
      <c r="U466" s="126"/>
      <c r="V466" s="127" t="s">
        <v>6319</v>
      </c>
      <c r="W466" s="132"/>
      <c r="X466" s="129"/>
      <c r="Y466" s="130" t="s">
        <v>6949</v>
      </c>
    </row>
    <row r="467" spans="8:25" ht="15.5" x14ac:dyDescent="0.35">
      <c r="H467" s="383"/>
      <c r="I467" s="331" t="s">
        <v>1059</v>
      </c>
      <c r="J467" s="320" t="s">
        <v>1509</v>
      </c>
      <c r="K467" s="302">
        <v>3.0735830049999999E-2</v>
      </c>
      <c r="O467" s="308">
        <v>0.08</v>
      </c>
      <c r="P467" s="312">
        <v>1.0187899229000002E-2</v>
      </c>
      <c r="Q467" s="344">
        <v>7.2936455000000002E-9</v>
      </c>
      <c r="U467" s="126" t="s">
        <v>1059</v>
      </c>
      <c r="V467" s="131" t="s">
        <v>6320</v>
      </c>
      <c r="W467" s="132">
        <v>0.10631898549999999</v>
      </c>
      <c r="X467" s="129">
        <v>9.5338913519999999E-2</v>
      </c>
      <c r="Y467" s="130">
        <v>0.22343515549999998</v>
      </c>
    </row>
    <row r="468" spans="8:25" ht="15.5" x14ac:dyDescent="0.35">
      <c r="H468" s="383"/>
      <c r="I468" s="331" t="s">
        <v>1059</v>
      </c>
      <c r="J468" s="320" t="s">
        <v>1510</v>
      </c>
      <c r="K468" s="302">
        <v>3.0735830049999999E-2</v>
      </c>
      <c r="O468" s="308">
        <v>0.26</v>
      </c>
      <c r="P468" s="312">
        <v>1.0187899229000002E-2</v>
      </c>
      <c r="Q468" s="344">
        <v>7.2936455000000002E-9</v>
      </c>
      <c r="U468" s="126" t="s">
        <v>1059</v>
      </c>
      <c r="V468" s="131" t="s">
        <v>6321</v>
      </c>
      <c r="W468" s="132">
        <v>9.3695675399999984E-2</v>
      </c>
      <c r="X468" s="129">
        <v>0.10953912952</v>
      </c>
      <c r="Y468" s="130">
        <v>0.26460108539999999</v>
      </c>
    </row>
    <row r="469" spans="8:25" ht="15.5" x14ac:dyDescent="0.35">
      <c r="H469" s="384" t="s">
        <v>1511</v>
      </c>
      <c r="I469" s="333"/>
      <c r="J469" s="320"/>
      <c r="K469" s="304"/>
      <c r="O469" s="308"/>
      <c r="P469" s="312"/>
      <c r="Q469" s="344"/>
      <c r="U469" s="126" t="s">
        <v>1059</v>
      </c>
      <c r="V469" s="131" t="s">
        <v>6322</v>
      </c>
      <c r="W469" s="132">
        <v>0.1067447376</v>
      </c>
      <c r="X469" s="129">
        <v>0.10226003278000001</v>
      </c>
      <c r="Y469" s="130">
        <v>0.19999822759999999</v>
      </c>
    </row>
    <row r="470" spans="8:25" ht="15.5" x14ac:dyDescent="0.35">
      <c r="H470" s="384"/>
      <c r="I470" s="333" t="s">
        <v>1056</v>
      </c>
      <c r="J470" s="320" t="s">
        <v>1512</v>
      </c>
      <c r="K470" s="304">
        <v>4.0119555428000005E-3</v>
      </c>
      <c r="O470" s="308">
        <v>0.01</v>
      </c>
      <c r="P470" s="312">
        <v>3.8374203461540003E-2</v>
      </c>
      <c r="Q470" s="344">
        <v>2.8696403E-11</v>
      </c>
      <c r="U470" s="126" t="s">
        <v>1059</v>
      </c>
      <c r="V470" s="131" t="s">
        <v>6323</v>
      </c>
      <c r="W470" s="132">
        <v>0.10623929160000001</v>
      </c>
      <c r="X470" s="129">
        <v>0.12836730674999999</v>
      </c>
      <c r="Y470" s="130">
        <v>0.3704883316</v>
      </c>
    </row>
    <row r="471" spans="8:25" ht="15.5" x14ac:dyDescent="0.35">
      <c r="H471" s="384"/>
      <c r="I471" s="333" t="s">
        <v>1056</v>
      </c>
      <c r="J471" s="320" t="s">
        <v>1513</v>
      </c>
      <c r="K471" s="304">
        <v>4.2401708139000001E-3</v>
      </c>
      <c r="O471" s="308">
        <v>0.02</v>
      </c>
      <c r="P471" s="312">
        <v>3.7162386309919998E-2</v>
      </c>
      <c r="Q471" s="344">
        <v>2.7790201000000001E-11</v>
      </c>
      <c r="U471" s="126" t="s">
        <v>1059</v>
      </c>
      <c r="V471" s="131" t="s">
        <v>6324</v>
      </c>
      <c r="W471" s="132">
        <v>9.4654585799999996E-2</v>
      </c>
      <c r="X471" s="129">
        <v>0.10436319307</v>
      </c>
      <c r="Y471" s="130">
        <v>0.24355433579999999</v>
      </c>
    </row>
    <row r="472" spans="8:25" ht="15.5" x14ac:dyDescent="0.35">
      <c r="H472" s="384"/>
      <c r="I472" s="333" t="s">
        <v>1056</v>
      </c>
      <c r="J472" s="320" t="s">
        <v>1514</v>
      </c>
      <c r="K472" s="304">
        <v>3.879118218E-3</v>
      </c>
      <c r="O472" s="308">
        <v>0.03</v>
      </c>
      <c r="P472" s="312">
        <v>4.5352678056620001E-2</v>
      </c>
      <c r="Q472" s="344">
        <v>3.6248087999999999E-11</v>
      </c>
      <c r="U472" s="126"/>
      <c r="V472" s="134"/>
      <c r="W472" s="132"/>
      <c r="X472" s="129"/>
      <c r="Y472" s="130" t="s">
        <v>6949</v>
      </c>
    </row>
    <row r="473" spans="8:25" ht="15.5" x14ac:dyDescent="0.35">
      <c r="H473" s="384"/>
      <c r="I473" s="333" t="s">
        <v>1056</v>
      </c>
      <c r="J473" s="320" t="s">
        <v>1515</v>
      </c>
      <c r="K473" s="304">
        <v>1.3213689947E-2</v>
      </c>
      <c r="O473" s="308">
        <v>0.06</v>
      </c>
      <c r="P473" s="312">
        <v>4.629667874191E-2</v>
      </c>
      <c r="Q473" s="344">
        <v>4.8493843000000001E-11</v>
      </c>
      <c r="U473" s="126"/>
      <c r="V473" s="127" t="s">
        <v>6325</v>
      </c>
      <c r="W473" s="132"/>
      <c r="X473" s="129"/>
      <c r="Y473" s="130" t="s">
        <v>6949</v>
      </c>
    </row>
    <row r="474" spans="8:25" ht="15.5" x14ac:dyDescent="0.35">
      <c r="H474" s="384"/>
      <c r="I474" s="333" t="s">
        <v>1056</v>
      </c>
      <c r="J474" s="320" t="s">
        <v>1516</v>
      </c>
      <c r="K474" s="304">
        <v>9.1177317158999995E-3</v>
      </c>
      <c r="O474" s="308">
        <v>0.03</v>
      </c>
      <c r="P474" s="312">
        <v>4.0784379965299995E-2</v>
      </c>
      <c r="Q474" s="344">
        <v>4.1685301000000002E-11</v>
      </c>
      <c r="U474" s="126" t="s">
        <v>1059</v>
      </c>
      <c r="V474" s="131" t="s">
        <v>6326</v>
      </c>
      <c r="W474" s="132">
        <v>0.21018061220000001</v>
      </c>
      <c r="X474" s="129">
        <v>0.15392053410000001</v>
      </c>
      <c r="Y474" s="130">
        <v>0.35889143219999997</v>
      </c>
    </row>
    <row r="475" spans="8:25" ht="15.5" x14ac:dyDescent="0.35">
      <c r="H475" s="384"/>
      <c r="I475" s="333" t="s">
        <v>1056</v>
      </c>
      <c r="J475" s="320" t="s">
        <v>1517</v>
      </c>
      <c r="K475" s="304">
        <v>6.7904268888000002E-3</v>
      </c>
      <c r="O475" s="308">
        <v>0.02</v>
      </c>
      <c r="P475" s="312">
        <v>4.6690623425000001E-2</v>
      </c>
      <c r="Q475" s="344">
        <v>3.7298097999999997E-11</v>
      </c>
      <c r="U475" s="126" t="s">
        <v>1059</v>
      </c>
      <c r="V475" s="131" t="s">
        <v>6327</v>
      </c>
      <c r="W475" s="132">
        <v>8.0300986259999999E-2</v>
      </c>
      <c r="X475" s="129">
        <v>7.8921461109999994E-2</v>
      </c>
      <c r="Y475" s="130">
        <v>0.21954096626000003</v>
      </c>
    </row>
    <row r="476" spans="8:25" ht="15.5" x14ac:dyDescent="0.35">
      <c r="H476" s="384"/>
      <c r="I476" s="333" t="s">
        <v>1056</v>
      </c>
      <c r="J476" s="320" t="s">
        <v>1518</v>
      </c>
      <c r="K476" s="304">
        <v>6.8838146414999992E-3</v>
      </c>
      <c r="O476" s="308">
        <v>0.02</v>
      </c>
      <c r="P476" s="312">
        <v>4.684114757584E-2</v>
      </c>
      <c r="Q476" s="344">
        <v>3.6731395999999997E-11</v>
      </c>
      <c r="U476" s="126" t="s">
        <v>1059</v>
      </c>
      <c r="V476" s="131" t="s">
        <v>6328</v>
      </c>
      <c r="W476" s="132">
        <v>0.12398487342999999</v>
      </c>
      <c r="X476" s="129">
        <v>2.9799461775000001E-2</v>
      </c>
      <c r="Y476" s="130">
        <v>0.14906980942999998</v>
      </c>
    </row>
    <row r="477" spans="8:25" ht="15.5" x14ac:dyDescent="0.35">
      <c r="H477" s="384"/>
      <c r="I477" s="333" t="s">
        <v>1056</v>
      </c>
      <c r="J477" s="320" t="s">
        <v>1519</v>
      </c>
      <c r="K477" s="304">
        <v>1.28993821042E-2</v>
      </c>
      <c r="O477" s="308">
        <v>0.04</v>
      </c>
      <c r="P477" s="312">
        <v>4.7736785738000003E-4</v>
      </c>
      <c r="Q477" s="344">
        <v>0</v>
      </c>
      <c r="U477" s="126" t="s">
        <v>1059</v>
      </c>
      <c r="V477" s="131" t="s">
        <v>6329</v>
      </c>
      <c r="W477" s="132">
        <v>0.14250422120999998</v>
      </c>
      <c r="X477" s="129">
        <v>2.9810640710999998E-2</v>
      </c>
      <c r="Y477" s="130">
        <v>0.17010454720999998</v>
      </c>
    </row>
    <row r="478" spans="8:25" ht="15.5" x14ac:dyDescent="0.35">
      <c r="H478" s="384"/>
      <c r="I478" s="333" t="s">
        <v>1056</v>
      </c>
      <c r="J478" s="320" t="s">
        <v>1520</v>
      </c>
      <c r="K478" s="304">
        <v>3.7519950852999999E-3</v>
      </c>
      <c r="O478" s="308">
        <v>0.01</v>
      </c>
      <c r="P478" s="312">
        <v>3.6758446926679997E-2</v>
      </c>
      <c r="Q478" s="344">
        <v>2.7488132999999998E-11</v>
      </c>
      <c r="U478" s="126" t="s">
        <v>1059</v>
      </c>
      <c r="V478" s="131" t="s">
        <v>6330</v>
      </c>
      <c r="W478" s="132">
        <v>1.3640730106000001E-2</v>
      </c>
      <c r="X478" s="129">
        <v>1.8970404274000003E-2</v>
      </c>
      <c r="Y478" s="130">
        <v>1.9708809606000001E-2</v>
      </c>
    </row>
    <row r="479" spans="8:25" ht="15.5" x14ac:dyDescent="0.35">
      <c r="H479" s="384"/>
      <c r="I479" s="333" t="s">
        <v>1056</v>
      </c>
      <c r="J479" s="320" t="s">
        <v>1521</v>
      </c>
      <c r="K479" s="304">
        <v>9.043376518E-2</v>
      </c>
      <c r="O479" s="308">
        <v>0.11</v>
      </c>
      <c r="P479" s="312">
        <v>3.7123648457510004E-2</v>
      </c>
      <c r="Q479" s="344">
        <v>3.8483387000000003E-11</v>
      </c>
      <c r="U479" s="126" t="s">
        <v>1059</v>
      </c>
      <c r="V479" s="131" t="s">
        <v>6331</v>
      </c>
      <c r="W479" s="132">
        <v>4.4778840010000001E-2</v>
      </c>
      <c r="X479" s="129">
        <v>6.1614502878000001E-2</v>
      </c>
      <c r="Y479" s="130">
        <v>0.15896019001</v>
      </c>
    </row>
    <row r="480" spans="8:25" ht="15.5" x14ac:dyDescent="0.35">
      <c r="H480" s="384"/>
      <c r="I480" s="333" t="s">
        <v>1056</v>
      </c>
      <c r="J480" s="320" t="s">
        <v>1522</v>
      </c>
      <c r="K480" s="304">
        <v>3.4436194238000001E-3</v>
      </c>
      <c r="O480" s="308">
        <v>0.02</v>
      </c>
      <c r="P480" s="312">
        <v>4.5647593299529998E-2</v>
      </c>
      <c r="Q480" s="344">
        <v>3.1717077000000001E-11</v>
      </c>
      <c r="U480" s="126"/>
      <c r="V480" s="134"/>
      <c r="W480" s="132"/>
      <c r="X480" s="129"/>
      <c r="Y480" s="130" t="s">
        <v>6949</v>
      </c>
    </row>
    <row r="481" spans="8:25" ht="15.5" x14ac:dyDescent="0.35">
      <c r="H481" s="384"/>
      <c r="I481" s="333" t="s">
        <v>1056</v>
      </c>
      <c r="J481" s="320" t="s">
        <v>1523</v>
      </c>
      <c r="K481" s="304">
        <v>6.4848288571000001E-3</v>
      </c>
      <c r="O481" s="308">
        <v>0.02</v>
      </c>
      <c r="P481" s="312">
        <v>5.0727457732699995E-2</v>
      </c>
      <c r="Q481" s="344">
        <v>4.2289436000000001E-11</v>
      </c>
      <c r="U481" s="126"/>
      <c r="V481" s="127" t="s">
        <v>6332</v>
      </c>
      <c r="W481" s="132"/>
      <c r="X481" s="129"/>
      <c r="Y481" s="130" t="s">
        <v>6949</v>
      </c>
    </row>
    <row r="482" spans="8:25" ht="15.5" x14ac:dyDescent="0.35">
      <c r="H482" s="384"/>
      <c r="I482" s="333" t="s">
        <v>1056</v>
      </c>
      <c r="J482" s="320" t="s">
        <v>1524</v>
      </c>
      <c r="K482" s="304">
        <v>1.088585549E-2</v>
      </c>
      <c r="O482" s="308">
        <v>0.03</v>
      </c>
      <c r="P482" s="312">
        <v>2.0581482184000001E-2</v>
      </c>
      <c r="Q482" s="344">
        <v>1.5221553999999999E-4</v>
      </c>
      <c r="U482" s="126" t="s">
        <v>1059</v>
      </c>
      <c r="V482" s="131" t="s">
        <v>6333</v>
      </c>
      <c r="W482" s="132">
        <v>0.10036125599999998</v>
      </c>
      <c r="X482" s="129">
        <v>8.4474016459999995E-2</v>
      </c>
      <c r="Y482" s="130">
        <v>0.14437287199999999</v>
      </c>
    </row>
    <row r="483" spans="8:25" ht="15.5" x14ac:dyDescent="0.35">
      <c r="H483" s="384" t="s">
        <v>1525</v>
      </c>
      <c r="I483" s="333"/>
      <c r="J483" s="319"/>
      <c r="K483" s="302"/>
      <c r="O483" s="308"/>
      <c r="P483" s="312"/>
      <c r="Q483" s="344"/>
      <c r="U483" s="126" t="s">
        <v>1059</v>
      </c>
      <c r="V483" s="131" t="s">
        <v>6334</v>
      </c>
      <c r="W483" s="132">
        <v>9.8908968599999994E-2</v>
      </c>
      <c r="X483" s="129">
        <v>8.5423480400000001E-2</v>
      </c>
      <c r="Y483" s="130">
        <v>0.1453982966</v>
      </c>
    </row>
    <row r="484" spans="8:25" ht="15.5" x14ac:dyDescent="0.35">
      <c r="H484" s="384"/>
      <c r="I484" s="333" t="s">
        <v>1151</v>
      </c>
      <c r="J484" s="320" t="s">
        <v>1526</v>
      </c>
      <c r="K484" s="304">
        <v>3.6845768090000001E-2</v>
      </c>
      <c r="O484" s="308">
        <v>0.12</v>
      </c>
      <c r="P484" s="312">
        <v>2.9220419997000001E-2</v>
      </c>
      <c r="Q484" s="344">
        <v>1.0201248000000001E-9</v>
      </c>
      <c r="U484" s="126" t="s">
        <v>1059</v>
      </c>
      <c r="V484" s="131" t="s">
        <v>6335</v>
      </c>
      <c r="W484" s="132">
        <v>5.1803683230000001E-2</v>
      </c>
      <c r="X484" s="129">
        <v>4.2240110306E-2</v>
      </c>
      <c r="Y484" s="130">
        <v>7.6709832229999997E-2</v>
      </c>
    </row>
    <row r="485" spans="8:25" ht="15.5" x14ac:dyDescent="0.35">
      <c r="H485" s="384"/>
      <c r="I485" s="333" t="s">
        <v>1151</v>
      </c>
      <c r="J485" s="320" t="s">
        <v>1527</v>
      </c>
      <c r="K485" s="304">
        <v>1.3289551642999999E-2</v>
      </c>
      <c r="O485" s="308">
        <v>0.04</v>
      </c>
      <c r="P485" s="312">
        <v>1.0738764504999998E-2</v>
      </c>
      <c r="Q485" s="344">
        <v>6.5246557999999998E-10</v>
      </c>
      <c r="U485" s="126" t="s">
        <v>1059</v>
      </c>
      <c r="V485" s="131" t="s">
        <v>6336</v>
      </c>
      <c r="W485" s="132">
        <v>0.21453244599999999</v>
      </c>
      <c r="X485" s="129">
        <v>7.8261819910000002E-2</v>
      </c>
      <c r="Y485" s="130">
        <v>0.49690474600000001</v>
      </c>
    </row>
    <row r="486" spans="8:25" ht="15.5" x14ac:dyDescent="0.35">
      <c r="H486" s="384"/>
      <c r="I486" s="333" t="s">
        <v>1151</v>
      </c>
      <c r="J486" s="320" t="s">
        <v>1528</v>
      </c>
      <c r="K486" s="304">
        <v>2.2098121029999997E-2</v>
      </c>
      <c r="O486" s="308">
        <v>7.0000000000000007E-2</v>
      </c>
      <c r="P486" s="312">
        <v>1.7615083367E-2</v>
      </c>
      <c r="Q486" s="344">
        <v>7.4049665000000005E-10</v>
      </c>
      <c r="U486" s="126" t="s">
        <v>1059</v>
      </c>
      <c r="V486" s="131" t="s">
        <v>6337</v>
      </c>
      <c r="W486" s="132">
        <v>6.4998577312000015E-4</v>
      </c>
      <c r="X486" s="129">
        <v>4.8490576634000004E-6</v>
      </c>
      <c r="Y486" s="130">
        <v>1.3862461831200001E-3</v>
      </c>
    </row>
    <row r="487" spans="8:25" ht="15.5" x14ac:dyDescent="0.35">
      <c r="H487" s="383"/>
      <c r="I487" s="333"/>
      <c r="J487" s="320"/>
      <c r="K487" s="302"/>
      <c r="O487" s="308"/>
      <c r="P487" s="310"/>
      <c r="Q487" s="344"/>
      <c r="U487" s="126" t="s">
        <v>1059</v>
      </c>
      <c r="V487" s="131" t="s">
        <v>6338</v>
      </c>
      <c r="W487" s="132">
        <v>3.2097165820000002E-2</v>
      </c>
      <c r="X487" s="129">
        <v>1.265834098025E-3</v>
      </c>
      <c r="Y487" s="130">
        <v>0.10557962681999999</v>
      </c>
    </row>
    <row r="488" spans="8:25" ht="15.5" x14ac:dyDescent="0.35">
      <c r="H488" s="384" t="s">
        <v>1529</v>
      </c>
      <c r="I488" s="333"/>
      <c r="J488" s="321"/>
      <c r="K488" s="302"/>
      <c r="O488" s="308"/>
      <c r="P488" s="310"/>
      <c r="Q488" s="344"/>
      <c r="U488" s="126" t="s">
        <v>1059</v>
      </c>
      <c r="V488" s="131" t="s">
        <v>6339</v>
      </c>
      <c r="W488" s="132">
        <v>0.1110856875</v>
      </c>
      <c r="X488" s="129">
        <v>0.19726571033999998</v>
      </c>
      <c r="Y488" s="130">
        <v>0.25630338750000004</v>
      </c>
    </row>
    <row r="489" spans="8:25" ht="15.5" x14ac:dyDescent="0.35">
      <c r="H489" s="383"/>
      <c r="I489" s="331" t="s">
        <v>1059</v>
      </c>
      <c r="J489" s="320" t="s">
        <v>1530</v>
      </c>
      <c r="K489" s="302">
        <v>8.2684577141500015E-2</v>
      </c>
      <c r="O489" s="308">
        <v>0.3</v>
      </c>
      <c r="P489" s="312">
        <v>5.3384330869999991E-4</v>
      </c>
      <c r="Q489" s="344">
        <v>6.0413480000000004E-10</v>
      </c>
      <c r="U489" s="126" t="s">
        <v>1059</v>
      </c>
      <c r="V489" s="131" t="s">
        <v>6340</v>
      </c>
      <c r="W489" s="132">
        <v>0.21074112240000001</v>
      </c>
      <c r="X489" s="129">
        <v>7.5444037009999992E-2</v>
      </c>
      <c r="Y489" s="130">
        <v>0.45600124240000001</v>
      </c>
    </row>
    <row r="490" spans="8:25" ht="15.5" x14ac:dyDescent="0.35">
      <c r="H490" s="383"/>
      <c r="I490" s="331" t="s">
        <v>1059</v>
      </c>
      <c r="J490" s="320" t="s">
        <v>1531</v>
      </c>
      <c r="K490" s="302">
        <v>0.12264799214149999</v>
      </c>
      <c r="O490" s="308">
        <v>0.38</v>
      </c>
      <c r="P490" s="312">
        <v>0.4669338450387</v>
      </c>
      <c r="Q490" s="344">
        <v>6.0413480000000004E-10</v>
      </c>
      <c r="U490" s="126" t="s">
        <v>1059</v>
      </c>
      <c r="V490" s="131" t="s">
        <v>6341</v>
      </c>
      <c r="W490" s="132">
        <v>2.3394734750000003E-2</v>
      </c>
      <c r="X490" s="129">
        <v>8.6047352980000002E-3</v>
      </c>
      <c r="Y490" s="130">
        <v>3.0289434750000004E-2</v>
      </c>
    </row>
    <row r="491" spans="8:25" ht="15.5" x14ac:dyDescent="0.35">
      <c r="H491" s="383"/>
      <c r="I491" s="331" t="s">
        <v>1059</v>
      </c>
      <c r="J491" s="320" t="s">
        <v>1532</v>
      </c>
      <c r="K491" s="302">
        <v>0.11942874640000001</v>
      </c>
      <c r="O491" s="308">
        <v>0.72</v>
      </c>
      <c r="P491" s="312">
        <v>8.1056339997000008E-4</v>
      </c>
      <c r="Q491" s="344">
        <v>0</v>
      </c>
      <c r="U491" s="126" t="s">
        <v>1059</v>
      </c>
      <c r="V491" s="131" t="s">
        <v>6342</v>
      </c>
      <c r="W491" s="132">
        <v>2.274283648E-2</v>
      </c>
      <c r="X491" s="129">
        <v>8.598590897E-3</v>
      </c>
      <c r="Y491" s="130">
        <v>2.888943368E-2</v>
      </c>
    </row>
    <row r="492" spans="8:25" ht="15.5" x14ac:dyDescent="0.35">
      <c r="H492" s="383"/>
      <c r="I492" s="331" t="s">
        <v>1059</v>
      </c>
      <c r="J492" s="320" t="s">
        <v>1533</v>
      </c>
      <c r="K492" s="302">
        <v>0.18334835803999999</v>
      </c>
      <c r="O492" s="308">
        <v>1.1100000000000001</v>
      </c>
      <c r="P492" s="312">
        <v>1.2443860838E-3</v>
      </c>
      <c r="Q492" s="344">
        <v>0</v>
      </c>
      <c r="U492" s="126" t="s">
        <v>1059</v>
      </c>
      <c r="V492" s="131" t="s">
        <v>6343</v>
      </c>
      <c r="W492" s="132">
        <v>0.2339321496</v>
      </c>
      <c r="X492" s="129">
        <v>8.3149985750000002E-2</v>
      </c>
      <c r="Y492" s="130">
        <v>0.44252175960000001</v>
      </c>
    </row>
    <row r="493" spans="8:25" ht="15.5" x14ac:dyDescent="0.35">
      <c r="H493" s="383"/>
      <c r="I493" s="331" t="s">
        <v>1059</v>
      </c>
      <c r="J493" s="320" t="s">
        <v>1534</v>
      </c>
      <c r="K493" s="302">
        <v>0.10428989116000001</v>
      </c>
      <c r="O493" s="308">
        <v>0.63</v>
      </c>
      <c r="P493" s="312">
        <v>7.0781592828000005E-4</v>
      </c>
      <c r="Q493" s="344">
        <v>0</v>
      </c>
      <c r="U493" s="126" t="s">
        <v>1059</v>
      </c>
      <c r="V493" s="131" t="s">
        <v>6344</v>
      </c>
      <c r="W493" s="132">
        <v>0.1323221168</v>
      </c>
      <c r="X493" s="129">
        <v>0.57405869480000005</v>
      </c>
      <c r="Y493" s="130">
        <v>0.24660207680000001</v>
      </c>
    </row>
    <row r="494" spans="8:25" ht="15.5" x14ac:dyDescent="0.35">
      <c r="H494" s="384"/>
      <c r="I494" s="331" t="s">
        <v>1059</v>
      </c>
      <c r="J494" s="320" t="s">
        <v>1535</v>
      </c>
      <c r="K494" s="302">
        <v>0.18895898999999999</v>
      </c>
      <c r="O494" s="308">
        <v>0.65</v>
      </c>
      <c r="P494" s="312">
        <v>0</v>
      </c>
      <c r="Q494" s="344">
        <v>0</v>
      </c>
      <c r="U494" s="126" t="s">
        <v>1059</v>
      </c>
      <c r="V494" s="131" t="s">
        <v>6345</v>
      </c>
      <c r="W494" s="132">
        <v>0.13716120580000002</v>
      </c>
      <c r="X494" s="129">
        <v>5.339792853E-2</v>
      </c>
      <c r="Y494" s="130">
        <v>0.25557965580000003</v>
      </c>
    </row>
    <row r="495" spans="8:25" ht="15.5" x14ac:dyDescent="0.35">
      <c r="H495" s="383"/>
      <c r="I495" s="331" t="s">
        <v>1059</v>
      </c>
      <c r="J495" s="320" t="s">
        <v>1536</v>
      </c>
      <c r="K495" s="302">
        <v>2.5231425879999998E-2</v>
      </c>
      <c r="O495" s="308">
        <v>0.15</v>
      </c>
      <c r="P495" s="312">
        <v>1.7124579281000001E-4</v>
      </c>
      <c r="Q495" s="344">
        <v>0</v>
      </c>
      <c r="U495" s="126" t="s">
        <v>1059</v>
      </c>
      <c r="V495" s="131" t="s">
        <v>6346</v>
      </c>
      <c r="W495" s="132">
        <v>6.8961230499999998E-2</v>
      </c>
      <c r="X495" s="129">
        <v>4.1049135869999996E-2</v>
      </c>
      <c r="Y495" s="130">
        <v>0.11348557349999999</v>
      </c>
    </row>
    <row r="496" spans="8:25" ht="15.5" x14ac:dyDescent="0.35">
      <c r="H496" s="384" t="s">
        <v>1537</v>
      </c>
      <c r="I496" s="333"/>
      <c r="J496" s="319"/>
      <c r="K496" s="303"/>
      <c r="O496" s="308"/>
      <c r="P496" s="313"/>
      <c r="Q496" s="344"/>
      <c r="U496" s="126" t="s">
        <v>1059</v>
      </c>
      <c r="V496" s="131" t="s">
        <v>6347</v>
      </c>
      <c r="W496" s="132">
        <v>5.7713845690000001E-2</v>
      </c>
      <c r="X496" s="129">
        <v>3.2851590699999995E-2</v>
      </c>
      <c r="Y496" s="130">
        <v>9.5710176690000009E-2</v>
      </c>
    </row>
    <row r="497" spans="8:25" ht="15.5" x14ac:dyDescent="0.35">
      <c r="H497" s="384"/>
      <c r="I497" s="331" t="s">
        <v>1059</v>
      </c>
      <c r="J497" s="320" t="s">
        <v>1538</v>
      </c>
      <c r="K497" s="302">
        <v>8.0810933070000007E-2</v>
      </c>
      <c r="O497" s="308">
        <v>0.49</v>
      </c>
      <c r="P497" s="312">
        <v>1.1510498458E-2</v>
      </c>
      <c r="Q497" s="344">
        <v>1.2427916E-8</v>
      </c>
      <c r="U497" s="126" t="s">
        <v>1059</v>
      </c>
      <c r="V497" s="131" t="s">
        <v>6348</v>
      </c>
      <c r="W497" s="132">
        <v>0.14927167720000001</v>
      </c>
      <c r="X497" s="129">
        <v>5.1791766030000005E-2</v>
      </c>
      <c r="Y497" s="130">
        <v>0.33426446720000003</v>
      </c>
    </row>
    <row r="498" spans="8:25" ht="15.5" x14ac:dyDescent="0.35">
      <c r="H498" s="383"/>
      <c r="I498" s="331" t="s">
        <v>1059</v>
      </c>
      <c r="J498" s="320" t="s">
        <v>1539</v>
      </c>
      <c r="K498" s="302">
        <v>6.4326401589999999E-2</v>
      </c>
      <c r="O498" s="308">
        <v>0.39</v>
      </c>
      <c r="P498" s="312">
        <v>1.1398617883999998E-2</v>
      </c>
      <c r="Q498" s="344">
        <v>1.2427916E-8</v>
      </c>
      <c r="U498" s="126" t="s">
        <v>1059</v>
      </c>
      <c r="V498" s="131" t="s">
        <v>6349</v>
      </c>
      <c r="W498" s="132">
        <v>4.641821677E-2</v>
      </c>
      <c r="X498" s="129">
        <v>2.2750758431999994E-2</v>
      </c>
      <c r="Y498" s="130">
        <v>0.10626841777</v>
      </c>
    </row>
    <row r="499" spans="8:25" ht="15.5" x14ac:dyDescent="0.35">
      <c r="H499" s="383"/>
      <c r="I499" s="331" t="s">
        <v>1059</v>
      </c>
      <c r="J499" s="320" t="s">
        <v>1540</v>
      </c>
      <c r="K499" s="302">
        <v>8.2156609450000001E-2</v>
      </c>
      <c r="O499" s="308">
        <v>0.49</v>
      </c>
      <c r="P499" s="312">
        <v>1.1519631571E-2</v>
      </c>
      <c r="Q499" s="344">
        <v>1.2427916E-8</v>
      </c>
      <c r="U499" s="126" t="s">
        <v>1059</v>
      </c>
      <c r="V499" s="131" t="s">
        <v>6350</v>
      </c>
      <c r="W499" s="132">
        <v>0.19586667670000002</v>
      </c>
      <c r="X499" s="129">
        <v>0.11465168765</v>
      </c>
      <c r="Y499" s="130">
        <v>0.32435647670000001</v>
      </c>
    </row>
    <row r="500" spans="8:25" ht="15.5" x14ac:dyDescent="0.35">
      <c r="H500" s="383"/>
      <c r="I500" s="331" t="s">
        <v>1059</v>
      </c>
      <c r="J500" s="320" t="s">
        <v>1541</v>
      </c>
      <c r="K500" s="302">
        <v>8.6193637259999997E-2</v>
      </c>
      <c r="O500" s="308">
        <v>0.52</v>
      </c>
      <c r="P500" s="312">
        <v>1.1547030899999998E-2</v>
      </c>
      <c r="Q500" s="344">
        <v>1.2427916E-8</v>
      </c>
      <c r="U500" s="126" t="s">
        <v>1059</v>
      </c>
      <c r="V500" s="131" t="s">
        <v>6351</v>
      </c>
      <c r="W500" s="132">
        <v>6.468915346000001E-2</v>
      </c>
      <c r="X500" s="129">
        <v>4.2263718040000002E-2</v>
      </c>
      <c r="Y500" s="130">
        <v>9.9421280460000011E-2</v>
      </c>
    </row>
    <row r="501" spans="8:25" ht="15.5" x14ac:dyDescent="0.35">
      <c r="H501" s="383"/>
      <c r="I501" s="331" t="s">
        <v>1059</v>
      </c>
      <c r="J501" s="320" t="s">
        <v>1542</v>
      </c>
      <c r="K501" s="302">
        <v>7.9465256799999995E-2</v>
      </c>
      <c r="O501" s="308">
        <v>0.48</v>
      </c>
      <c r="P501" s="312">
        <v>1.1501365355999998E-2</v>
      </c>
      <c r="Q501" s="344">
        <v>1.2427916E-8</v>
      </c>
      <c r="U501" s="126" t="s">
        <v>1059</v>
      </c>
      <c r="V501" s="131" t="s">
        <v>6352</v>
      </c>
      <c r="W501" s="132">
        <v>6.3216393100000004E-2</v>
      </c>
      <c r="X501" s="129">
        <v>2.4234788960000003E-2</v>
      </c>
      <c r="Y501" s="130">
        <v>0.19615643310000003</v>
      </c>
    </row>
    <row r="502" spans="8:25" ht="15.5" x14ac:dyDescent="0.35">
      <c r="H502" s="383"/>
      <c r="I502" s="331" t="s">
        <v>1059</v>
      </c>
      <c r="J502" s="320" t="s">
        <v>1543</v>
      </c>
      <c r="K502" s="302">
        <v>3.4003261440000002E-2</v>
      </c>
      <c r="O502" s="308">
        <v>0.12</v>
      </c>
      <c r="P502" s="312">
        <v>2.3651946665E-2</v>
      </c>
      <c r="Q502" s="344">
        <v>2.6202188999999998E-10</v>
      </c>
      <c r="U502" s="126" t="s">
        <v>1059</v>
      </c>
      <c r="V502" s="131" t="s">
        <v>6353</v>
      </c>
      <c r="W502" s="132">
        <v>0.14873216089999999</v>
      </c>
      <c r="X502" s="129">
        <v>8.8678894679999995E-2</v>
      </c>
      <c r="Y502" s="130">
        <v>0.2433563769</v>
      </c>
    </row>
    <row r="503" spans="8:25" ht="15.5" x14ac:dyDescent="0.35">
      <c r="H503" s="383"/>
      <c r="I503" s="331" t="s">
        <v>1059</v>
      </c>
      <c r="J503" s="320" t="s">
        <v>1544</v>
      </c>
      <c r="K503" s="302">
        <v>7.4250762249999991E-2</v>
      </c>
      <c r="O503" s="308">
        <v>0.45</v>
      </c>
      <c r="P503" s="312">
        <v>1.1465974554999999E-2</v>
      </c>
      <c r="Q503" s="344">
        <v>1.2427916E-8</v>
      </c>
      <c r="U503" s="126" t="s">
        <v>1059</v>
      </c>
      <c r="V503" s="131" t="s">
        <v>6354</v>
      </c>
      <c r="W503" s="132">
        <v>0.1754763956</v>
      </c>
      <c r="X503" s="129">
        <v>8.7335451990000007E-2</v>
      </c>
      <c r="Y503" s="130">
        <v>0.23336346060000002</v>
      </c>
    </row>
    <row r="504" spans="8:25" ht="15.5" x14ac:dyDescent="0.35">
      <c r="H504" s="383"/>
      <c r="I504" s="331" t="s">
        <v>1059</v>
      </c>
      <c r="J504" s="320" t="s">
        <v>1545</v>
      </c>
      <c r="K504" s="302">
        <v>7.4250762249999991E-2</v>
      </c>
      <c r="O504" s="308">
        <v>0.45</v>
      </c>
      <c r="P504" s="312">
        <v>1.1465974554999999E-2</v>
      </c>
      <c r="Q504" s="344">
        <v>1.2427916E-8</v>
      </c>
      <c r="U504" s="126" t="s">
        <v>1059</v>
      </c>
      <c r="V504" s="131" t="s">
        <v>6355</v>
      </c>
      <c r="W504" s="132">
        <v>9.9175038660000006E-2</v>
      </c>
      <c r="X504" s="129">
        <v>7.9968127750000007E-2</v>
      </c>
      <c r="Y504" s="130">
        <v>0.15741056966</v>
      </c>
    </row>
    <row r="505" spans="8:25" ht="15.5" x14ac:dyDescent="0.35">
      <c r="H505" s="384"/>
      <c r="I505" s="331" t="s">
        <v>1059</v>
      </c>
      <c r="J505" s="320" t="s">
        <v>1546</v>
      </c>
      <c r="K505" s="302">
        <v>7.4418972770000008E-2</v>
      </c>
      <c r="O505" s="308">
        <v>0.45</v>
      </c>
      <c r="P505" s="312">
        <v>1.1467116195E-2</v>
      </c>
      <c r="Q505" s="344">
        <v>1.2427916E-8</v>
      </c>
      <c r="U505" s="126" t="s">
        <v>1059</v>
      </c>
      <c r="V505" s="131" t="s">
        <v>6356</v>
      </c>
      <c r="W505" s="132">
        <v>8.2351055030000009E-2</v>
      </c>
      <c r="X505" s="129">
        <v>2.9341937659999998E-2</v>
      </c>
      <c r="Y505" s="130">
        <v>0.17817871502999999</v>
      </c>
    </row>
    <row r="506" spans="8:25" ht="15.5" x14ac:dyDescent="0.35">
      <c r="H506" s="383"/>
      <c r="I506" s="331" t="s">
        <v>1059</v>
      </c>
      <c r="J506" s="320" t="s">
        <v>1547</v>
      </c>
      <c r="K506" s="302">
        <v>8.6193637259999997E-2</v>
      </c>
      <c r="O506" s="308">
        <v>0.52</v>
      </c>
      <c r="P506" s="312">
        <v>1.1547030899999998E-2</v>
      </c>
      <c r="Q506" s="344">
        <v>1.2427916E-8</v>
      </c>
      <c r="U506" s="126" t="s">
        <v>1059</v>
      </c>
      <c r="V506" s="131" t="s">
        <v>6357</v>
      </c>
      <c r="W506" s="132">
        <v>2.9228555518000001</v>
      </c>
      <c r="X506" s="129">
        <v>0.59420664039999993</v>
      </c>
      <c r="Y506" s="130">
        <v>4.5246585518</v>
      </c>
    </row>
    <row r="507" spans="8:25" ht="15.5" x14ac:dyDescent="0.35">
      <c r="H507" s="383"/>
      <c r="I507" s="331" t="s">
        <v>1059</v>
      </c>
      <c r="J507" s="320" t="s">
        <v>1548</v>
      </c>
      <c r="K507" s="302">
        <v>0.17282153223999999</v>
      </c>
      <c r="O507" s="308">
        <v>1.04</v>
      </c>
      <c r="P507" s="312">
        <v>1.2134974750999998E-2</v>
      </c>
      <c r="Q507" s="344">
        <v>1.2427916E-8</v>
      </c>
      <c r="U507" s="126" t="s">
        <v>1059</v>
      </c>
      <c r="V507" s="131" t="s">
        <v>6358</v>
      </c>
      <c r="W507" s="132">
        <v>2.6315017581000002</v>
      </c>
      <c r="X507" s="129">
        <v>0.53486879292</v>
      </c>
      <c r="Y507" s="130">
        <v>4.0645789581000002</v>
      </c>
    </row>
    <row r="508" spans="8:25" ht="15.5" x14ac:dyDescent="0.35">
      <c r="H508" s="383"/>
      <c r="I508" s="331" t="s">
        <v>1059</v>
      </c>
      <c r="J508" s="320" t="s">
        <v>1549</v>
      </c>
      <c r="K508" s="302">
        <v>6.8195220880000004E-2</v>
      </c>
      <c r="O508" s="308">
        <v>0.41</v>
      </c>
      <c r="P508" s="312">
        <v>1.1424875572E-2</v>
      </c>
      <c r="Q508" s="344">
        <v>1.2427916E-8</v>
      </c>
      <c r="U508" s="126" t="s">
        <v>1059</v>
      </c>
      <c r="V508" s="131" t="s">
        <v>6359</v>
      </c>
      <c r="W508" s="132">
        <v>0.19728549300000001</v>
      </c>
      <c r="X508" s="129">
        <v>0.17057185304</v>
      </c>
      <c r="Y508" s="130">
        <v>0.30425027300000002</v>
      </c>
    </row>
    <row r="509" spans="8:25" ht="15.5" x14ac:dyDescent="0.35">
      <c r="H509" s="383"/>
      <c r="I509" s="331" t="s">
        <v>1059</v>
      </c>
      <c r="J509" s="320" t="s">
        <v>1550</v>
      </c>
      <c r="K509" s="302">
        <v>6.8027010360000001E-2</v>
      </c>
      <c r="O509" s="308">
        <v>0.41</v>
      </c>
      <c r="P509" s="312">
        <v>1.1423733932E-2</v>
      </c>
      <c r="Q509" s="344">
        <v>1.2427916E-8</v>
      </c>
      <c r="U509" s="126" t="s">
        <v>1059</v>
      </c>
      <c r="V509" s="131" t="s">
        <v>6360</v>
      </c>
      <c r="W509" s="132">
        <v>0.8880823913</v>
      </c>
      <c r="X509" s="129">
        <v>0.51916486513000004</v>
      </c>
      <c r="Y509" s="130">
        <v>1.0730951413000001</v>
      </c>
    </row>
    <row r="510" spans="8:25" ht="15.5" x14ac:dyDescent="0.35">
      <c r="H510" s="384"/>
      <c r="I510" s="331" t="s">
        <v>1059</v>
      </c>
      <c r="J510" s="320" t="s">
        <v>1551</v>
      </c>
      <c r="K510" s="302">
        <v>6.4494611119999989E-2</v>
      </c>
      <c r="O510" s="308">
        <v>0.39</v>
      </c>
      <c r="P510" s="312">
        <v>1.1399759513999999E-2</v>
      </c>
      <c r="Q510" s="344">
        <v>1.2427916E-8</v>
      </c>
      <c r="U510" s="126" t="s">
        <v>1059</v>
      </c>
      <c r="V510" s="131" t="s">
        <v>6361</v>
      </c>
      <c r="W510" s="132">
        <v>0.2266473188</v>
      </c>
      <c r="X510" s="129">
        <v>9.9912261599999996E-2</v>
      </c>
      <c r="Y510" s="130">
        <v>0.28291440179999999</v>
      </c>
    </row>
    <row r="511" spans="8:25" ht="15.5" x14ac:dyDescent="0.35">
      <c r="H511" s="383"/>
      <c r="I511" s="331" t="s">
        <v>1059</v>
      </c>
      <c r="J511" s="320" t="s">
        <v>1552</v>
      </c>
      <c r="K511" s="302">
        <v>7.0718363000000006E-2</v>
      </c>
      <c r="O511" s="308">
        <v>0.42</v>
      </c>
      <c r="P511" s="312">
        <v>1.1442000147E-2</v>
      </c>
      <c r="Q511" s="344">
        <v>1.2427916E-8</v>
      </c>
      <c r="U511" s="126" t="s">
        <v>1059</v>
      </c>
      <c r="V511" s="131" t="s">
        <v>6362</v>
      </c>
      <c r="W511" s="132">
        <v>6.6639041090000004E-2</v>
      </c>
      <c r="X511" s="129">
        <v>5.6872922677000004E-2</v>
      </c>
      <c r="Y511" s="130">
        <v>0.10323600709</v>
      </c>
    </row>
    <row r="512" spans="8:25" ht="15.5" x14ac:dyDescent="0.35">
      <c r="H512" s="383"/>
      <c r="I512" s="331" t="s">
        <v>1059</v>
      </c>
      <c r="J512" s="320" t="s">
        <v>1553</v>
      </c>
      <c r="K512" s="302">
        <v>6.1803259569999998E-2</v>
      </c>
      <c r="O512" s="308">
        <v>0.37</v>
      </c>
      <c r="P512" s="312">
        <v>1.1381493299E-2</v>
      </c>
      <c r="Q512" s="344">
        <v>1.2427916E-8</v>
      </c>
      <c r="U512" s="126" t="s">
        <v>1059</v>
      </c>
      <c r="V512" s="131" t="s">
        <v>6363</v>
      </c>
      <c r="W512" s="132">
        <v>0.13196226819999998</v>
      </c>
      <c r="X512" s="129">
        <v>0.11372238793</v>
      </c>
      <c r="Y512" s="130">
        <v>0.20374314119999998</v>
      </c>
    </row>
    <row r="513" spans="8:25" ht="15.5" x14ac:dyDescent="0.35">
      <c r="H513" s="383"/>
      <c r="I513" s="331" t="s">
        <v>1059</v>
      </c>
      <c r="J513" s="320" t="s">
        <v>1554</v>
      </c>
      <c r="K513" s="302">
        <v>8.7034684959999997E-2</v>
      </c>
      <c r="O513" s="308">
        <v>0.52</v>
      </c>
      <c r="P513" s="312">
        <v>1.1552739090999999E-2</v>
      </c>
      <c r="Q513" s="344">
        <v>1.2427916E-8</v>
      </c>
      <c r="U513" s="126" t="s">
        <v>1059</v>
      </c>
      <c r="V513" s="131" t="s">
        <v>6364</v>
      </c>
      <c r="W513" s="132">
        <v>0.12331573245000001</v>
      </c>
      <c r="X513" s="129">
        <v>4.9942562688999999E-2</v>
      </c>
      <c r="Y513" s="130">
        <v>0.15208674345000001</v>
      </c>
    </row>
    <row r="514" spans="8:25" ht="15.5" x14ac:dyDescent="0.35">
      <c r="H514" s="383"/>
      <c r="I514" s="331" t="s">
        <v>1059</v>
      </c>
      <c r="J514" s="320" t="s">
        <v>1555</v>
      </c>
      <c r="K514" s="302">
        <v>8.3670495240000003E-2</v>
      </c>
      <c r="O514" s="308">
        <v>0.5</v>
      </c>
      <c r="P514" s="312">
        <v>1.1529906314000001E-2</v>
      </c>
      <c r="Q514" s="344">
        <v>1.2427916E-8</v>
      </c>
      <c r="U514" s="126" t="s">
        <v>1059</v>
      </c>
      <c r="V514" s="131" t="s">
        <v>6365</v>
      </c>
      <c r="W514" s="132">
        <v>4.6470546600000003E-2</v>
      </c>
      <c r="X514" s="129">
        <v>1.7852754701999998E-2</v>
      </c>
      <c r="Y514" s="130">
        <v>0.1544440966</v>
      </c>
    </row>
    <row r="515" spans="8:25" ht="15.5" x14ac:dyDescent="0.35">
      <c r="H515" s="383"/>
      <c r="I515" s="331" t="s">
        <v>1059</v>
      </c>
      <c r="J515" s="320" t="s">
        <v>1556</v>
      </c>
      <c r="K515" s="302">
        <v>5.2383527579999999E-2</v>
      </c>
      <c r="O515" s="308">
        <v>0.31</v>
      </c>
      <c r="P515" s="312">
        <v>1.1317561538999999E-2</v>
      </c>
      <c r="Q515" s="344">
        <v>1.2427916E-8</v>
      </c>
      <c r="U515" s="126" t="s">
        <v>1059</v>
      </c>
      <c r="V515" s="131" t="s">
        <v>6366</v>
      </c>
      <c r="W515" s="132">
        <v>0.1187007944</v>
      </c>
      <c r="X515" s="129">
        <v>9.2724832349999994E-2</v>
      </c>
      <c r="Y515" s="130">
        <v>0.61727050439999998</v>
      </c>
    </row>
    <row r="516" spans="8:25" ht="15.5" x14ac:dyDescent="0.35">
      <c r="H516" s="383"/>
      <c r="I516" s="331" t="s">
        <v>1059</v>
      </c>
      <c r="J516" s="320" t="s">
        <v>1557</v>
      </c>
      <c r="K516" s="302">
        <v>5.0869642399999998E-2</v>
      </c>
      <c r="O516" s="308">
        <v>0.3</v>
      </c>
      <c r="P516" s="312">
        <v>1.1307286795999998E-2</v>
      </c>
      <c r="Q516" s="344">
        <v>1.2427916E-8</v>
      </c>
      <c r="U516" s="126" t="s">
        <v>1059</v>
      </c>
      <c r="V516" s="131" t="s">
        <v>6367</v>
      </c>
      <c r="W516" s="132">
        <v>0.18866100259999999</v>
      </c>
      <c r="X516" s="129">
        <v>0.16932549644</v>
      </c>
      <c r="Y516" s="130">
        <v>1.2369789026</v>
      </c>
    </row>
    <row r="517" spans="8:25" ht="15.5" x14ac:dyDescent="0.35">
      <c r="H517" s="383"/>
      <c r="I517" s="331" t="s">
        <v>1059</v>
      </c>
      <c r="J517" s="320" t="s">
        <v>1558</v>
      </c>
      <c r="K517" s="302">
        <v>6.7185962749999995E-2</v>
      </c>
      <c r="O517" s="308">
        <v>0.4</v>
      </c>
      <c r="P517" s="312">
        <v>1.1418025739999999E-2</v>
      </c>
      <c r="Q517" s="344">
        <v>1.2427916E-8</v>
      </c>
      <c r="U517" s="126" t="s">
        <v>1059</v>
      </c>
      <c r="V517" s="131" t="s">
        <v>6368</v>
      </c>
      <c r="W517" s="132">
        <v>0.12977387910000002</v>
      </c>
      <c r="X517" s="129">
        <v>0.35452130276999999</v>
      </c>
      <c r="Y517" s="130">
        <v>0.21370441210000002</v>
      </c>
    </row>
    <row r="518" spans="8:25" ht="15.5" x14ac:dyDescent="0.35">
      <c r="H518" s="386">
        <v>1</v>
      </c>
      <c r="I518" s="331" t="s">
        <v>1059</v>
      </c>
      <c r="J518" s="320" t="s">
        <v>1559</v>
      </c>
      <c r="K518" s="302">
        <v>6.3485354889999998E-2</v>
      </c>
      <c r="O518" s="308">
        <v>0.38</v>
      </c>
      <c r="P518" s="312">
        <v>1.1392909691999999E-2</v>
      </c>
      <c r="Q518" s="344">
        <v>1.2427916E-8</v>
      </c>
      <c r="U518" s="126" t="s">
        <v>1059</v>
      </c>
      <c r="V518" s="131" t="s">
        <v>6369</v>
      </c>
      <c r="W518" s="132">
        <v>9.6528391489999997E-3</v>
      </c>
      <c r="X518" s="129">
        <v>3.0410825695000002E-3</v>
      </c>
      <c r="Y518" s="130">
        <v>1.7136233149000001E-2</v>
      </c>
    </row>
    <row r="519" spans="8:25" ht="15.5" x14ac:dyDescent="0.35">
      <c r="H519" s="383"/>
      <c r="I519" s="331" t="s">
        <v>1059</v>
      </c>
      <c r="J519" s="320" t="s">
        <v>1560</v>
      </c>
      <c r="K519" s="302">
        <v>6.2644307280000006E-2</v>
      </c>
      <c r="O519" s="308">
        <v>0.38</v>
      </c>
      <c r="P519" s="312">
        <v>1.138720149E-2</v>
      </c>
      <c r="Q519" s="344">
        <v>1.2427916E-8</v>
      </c>
      <c r="U519" s="126" t="s">
        <v>1059</v>
      </c>
      <c r="V519" s="131" t="s">
        <v>6370</v>
      </c>
      <c r="W519" s="132">
        <v>0.35390296043000002</v>
      </c>
      <c r="X519" s="129">
        <v>0.12145757145999998</v>
      </c>
      <c r="Y519" s="130">
        <v>0.61633258042999994</v>
      </c>
    </row>
    <row r="520" spans="8:25" ht="15.5" x14ac:dyDescent="0.35">
      <c r="H520" s="383"/>
      <c r="I520" s="331" t="s">
        <v>1059</v>
      </c>
      <c r="J520" s="320" t="s">
        <v>1561</v>
      </c>
      <c r="K520" s="302">
        <v>1.6233068689999998E-2</v>
      </c>
      <c r="O520" s="308">
        <v>0.05</v>
      </c>
      <c r="P520" s="312">
        <v>1.6189758750999997E-2</v>
      </c>
      <c r="Q520" s="344">
        <v>5.1782983000000001E-9</v>
      </c>
      <c r="U520" s="126" t="s">
        <v>1059</v>
      </c>
      <c r="V520" s="131" t="s">
        <v>6371</v>
      </c>
      <c r="W520" s="132">
        <v>7.0463981920000007E-3</v>
      </c>
      <c r="X520" s="129">
        <v>2.1445089377999998E-3</v>
      </c>
      <c r="Y520" s="130">
        <v>1.2599503092000001E-2</v>
      </c>
    </row>
    <row r="521" spans="8:25" ht="15.5" x14ac:dyDescent="0.35">
      <c r="H521" s="384" t="s">
        <v>1562</v>
      </c>
      <c r="I521" s="333"/>
      <c r="J521" s="319"/>
      <c r="K521" s="303"/>
      <c r="O521" s="308"/>
      <c r="P521" s="313"/>
      <c r="Q521" s="344"/>
      <c r="U521" s="126" t="s">
        <v>1059</v>
      </c>
      <c r="V521" s="131" t="s">
        <v>6372</v>
      </c>
      <c r="W521" s="132">
        <v>7.0463981920000007E-3</v>
      </c>
      <c r="X521" s="129">
        <v>2.1445089377999998E-3</v>
      </c>
      <c r="Y521" s="130">
        <v>1.2599503092000001E-2</v>
      </c>
    </row>
    <row r="522" spans="8:25" ht="15.5" x14ac:dyDescent="0.35">
      <c r="H522" s="383"/>
      <c r="I522" s="331" t="s">
        <v>1059</v>
      </c>
      <c r="J522" s="320" t="s">
        <v>1563</v>
      </c>
      <c r="K522" s="302">
        <v>0.22761102362800001</v>
      </c>
      <c r="O522" s="308">
        <v>0.63</v>
      </c>
      <c r="P522" s="312">
        <v>0.60076390290999993</v>
      </c>
      <c r="Q522" s="344">
        <v>0</v>
      </c>
      <c r="U522" s="126" t="s">
        <v>1059</v>
      </c>
      <c r="V522" s="131" t="s">
        <v>6373</v>
      </c>
      <c r="W522" s="132">
        <v>3.892599872E-2</v>
      </c>
      <c r="X522" s="129">
        <v>1.163285277E-2</v>
      </c>
      <c r="Y522" s="130">
        <v>0.12330626872</v>
      </c>
    </row>
    <row r="523" spans="8:25" ht="15.5" x14ac:dyDescent="0.35">
      <c r="H523" s="383"/>
      <c r="I523" s="331" t="s">
        <v>1059</v>
      </c>
      <c r="J523" s="320" t="s">
        <v>1564</v>
      </c>
      <c r="K523" s="302">
        <v>8.9728490000000008E-2</v>
      </c>
      <c r="O523" s="308">
        <v>0.37</v>
      </c>
      <c r="P523" s="312">
        <v>0.8528</v>
      </c>
      <c r="Q523" s="344">
        <v>0</v>
      </c>
      <c r="U523" s="126" t="s">
        <v>1059</v>
      </c>
      <c r="V523" s="131" t="s">
        <v>6374</v>
      </c>
      <c r="W523" s="132">
        <v>0.17732749789999996</v>
      </c>
      <c r="X523" s="129">
        <v>6.0718457070999994E-2</v>
      </c>
      <c r="Y523" s="130">
        <v>0.30898809789999993</v>
      </c>
    </row>
    <row r="524" spans="8:25" ht="15.5" x14ac:dyDescent="0.35">
      <c r="H524" s="383"/>
      <c r="I524" s="331" t="s">
        <v>1059</v>
      </c>
      <c r="J524" s="320" t="s">
        <v>1565</v>
      </c>
      <c r="K524" s="302">
        <v>6.5601705979999994E-2</v>
      </c>
      <c r="O524" s="308">
        <v>0.4</v>
      </c>
      <c r="P524" s="312">
        <v>0.5900452390573101</v>
      </c>
      <c r="Q524" s="344">
        <v>0</v>
      </c>
      <c r="U524" s="126" t="s">
        <v>1059</v>
      </c>
      <c r="V524" s="131" t="s">
        <v>6375</v>
      </c>
      <c r="W524" s="132">
        <v>0.1184980705</v>
      </c>
      <c r="X524" s="129">
        <v>0.13097511978999998</v>
      </c>
      <c r="Y524" s="130">
        <v>0.21170874449999999</v>
      </c>
    </row>
    <row r="525" spans="8:25" ht="15.5" x14ac:dyDescent="0.35">
      <c r="H525" s="383"/>
      <c r="I525" s="331" t="s">
        <v>1059</v>
      </c>
      <c r="J525" s="320" t="s">
        <v>1566</v>
      </c>
      <c r="K525" s="302">
        <v>0.12279293711</v>
      </c>
      <c r="O525" s="308">
        <v>0.74</v>
      </c>
      <c r="P525" s="312">
        <v>0.82403339617700999</v>
      </c>
      <c r="Q525" s="344">
        <v>0</v>
      </c>
      <c r="U525" s="126" t="s">
        <v>1059</v>
      </c>
      <c r="V525" s="131" t="s">
        <v>6376</v>
      </c>
      <c r="W525" s="132">
        <v>0.2350167131</v>
      </c>
      <c r="X525" s="129">
        <v>0.18225121102000003</v>
      </c>
      <c r="Y525" s="130">
        <v>0.35306139310000001</v>
      </c>
    </row>
    <row r="526" spans="8:25" ht="15.5" x14ac:dyDescent="0.35">
      <c r="H526" s="383"/>
      <c r="I526" s="331" t="s">
        <v>1059</v>
      </c>
      <c r="J526" s="320" t="s">
        <v>1567</v>
      </c>
      <c r="K526" s="302">
        <v>5.1799101E-2</v>
      </c>
      <c r="O526" s="308">
        <v>0.31</v>
      </c>
      <c r="P526" s="312">
        <v>1.1051834625569998</v>
      </c>
      <c r="Q526" s="344">
        <v>8.4021935000000002E-9</v>
      </c>
      <c r="U526" s="126" t="s">
        <v>1059</v>
      </c>
      <c r="V526" s="131" t="s">
        <v>6377</v>
      </c>
      <c r="W526" s="132">
        <v>0.1068690058</v>
      </c>
      <c r="X526" s="129">
        <v>0.11573444735999999</v>
      </c>
      <c r="Y526" s="130">
        <v>0.1931890268</v>
      </c>
    </row>
    <row r="527" spans="8:25" ht="15.5" x14ac:dyDescent="0.35">
      <c r="H527" s="383"/>
      <c r="I527" s="331" t="s">
        <v>1059</v>
      </c>
      <c r="J527" s="320" t="s">
        <v>1568</v>
      </c>
      <c r="K527" s="302">
        <v>0.22211906755499999</v>
      </c>
      <c r="O527" s="308">
        <v>0.61</v>
      </c>
      <c r="P527" s="312">
        <v>0.71492812843100007</v>
      </c>
      <c r="Q527" s="344">
        <v>0</v>
      </c>
      <c r="U527" s="126" t="s">
        <v>1059</v>
      </c>
      <c r="V527" s="131" t="s">
        <v>6378</v>
      </c>
      <c r="W527" s="132">
        <v>9.8743795699999998E-2</v>
      </c>
      <c r="X527" s="129">
        <v>3.0774914872999999E-2</v>
      </c>
      <c r="Y527" s="130">
        <v>0.17481997869999999</v>
      </c>
    </row>
    <row r="528" spans="8:25" ht="15.5" x14ac:dyDescent="0.35">
      <c r="H528" s="383"/>
      <c r="I528" s="331" t="s">
        <v>1059</v>
      </c>
      <c r="J528" s="320" t="s">
        <v>1569</v>
      </c>
      <c r="K528" s="302">
        <v>7.9058466790000004E-2</v>
      </c>
      <c r="O528" s="308">
        <v>0.48</v>
      </c>
      <c r="P528" s="312">
        <v>0.50693657014546989</v>
      </c>
      <c r="Q528" s="344">
        <v>0</v>
      </c>
      <c r="U528" s="126" t="s">
        <v>1059</v>
      </c>
      <c r="V528" s="131" t="s">
        <v>6379</v>
      </c>
      <c r="W528" s="132">
        <v>8.8685980110000007E-2</v>
      </c>
      <c r="X528" s="129">
        <v>2.7661220742E-2</v>
      </c>
      <c r="Y528" s="130">
        <v>0.15590805311</v>
      </c>
    </row>
    <row r="529" spans="8:25" ht="15.5" x14ac:dyDescent="0.35">
      <c r="H529" s="383"/>
      <c r="I529" s="331" t="s">
        <v>1059</v>
      </c>
      <c r="J529" s="320" t="s">
        <v>1570</v>
      </c>
      <c r="K529" s="302">
        <v>0.13903014796999999</v>
      </c>
      <c r="O529" s="308">
        <v>0.6</v>
      </c>
      <c r="P529" s="312">
        <v>0.76400560006999996</v>
      </c>
      <c r="Q529" s="344">
        <v>0</v>
      </c>
      <c r="U529" s="126" t="s">
        <v>1059</v>
      </c>
      <c r="V529" s="131" t="s">
        <v>6380</v>
      </c>
      <c r="W529" s="132">
        <v>5.3895414069999995E-2</v>
      </c>
      <c r="X529" s="129">
        <v>1.2168160483E-2</v>
      </c>
      <c r="Y529" s="130">
        <v>8.8890199069999995E-2</v>
      </c>
    </row>
    <row r="530" spans="8:25" ht="15.5" x14ac:dyDescent="0.35">
      <c r="H530" s="383"/>
      <c r="I530" s="331" t="s">
        <v>1059</v>
      </c>
      <c r="J530" s="320" t="s">
        <v>1571</v>
      </c>
      <c r="K530" s="302">
        <v>8.1110478259999993E-2</v>
      </c>
      <c r="O530" s="308">
        <v>0.42</v>
      </c>
      <c r="P530" s="312">
        <v>0.78480000000000005</v>
      </c>
      <c r="Q530" s="344">
        <v>0</v>
      </c>
      <c r="U530" s="126" t="s">
        <v>1059</v>
      </c>
      <c r="V530" s="131" t="s">
        <v>6381</v>
      </c>
      <c r="W530" s="132">
        <v>0.23226405779999998</v>
      </c>
      <c r="X530" s="129">
        <v>0.11520552211999999</v>
      </c>
      <c r="Y530" s="130">
        <v>0.44063692779999997</v>
      </c>
    </row>
    <row r="531" spans="8:25" ht="15.5" x14ac:dyDescent="0.35">
      <c r="H531" s="383"/>
      <c r="I531" s="331" t="s">
        <v>1059</v>
      </c>
      <c r="J531" s="320" t="s">
        <v>1572</v>
      </c>
      <c r="K531" s="302">
        <v>0.20126276465000004</v>
      </c>
      <c r="O531" s="308">
        <v>0.59</v>
      </c>
      <c r="P531" s="312">
        <v>0.62441709416999991</v>
      </c>
      <c r="Q531" s="344">
        <v>0</v>
      </c>
      <c r="U531" s="126" t="s">
        <v>1059</v>
      </c>
      <c r="V531" s="131" t="s">
        <v>6382</v>
      </c>
      <c r="W531" s="132">
        <v>0.31577857760000005</v>
      </c>
      <c r="X531" s="129">
        <v>0.14138871918999998</v>
      </c>
      <c r="Y531" s="130">
        <v>0.59974652760000002</v>
      </c>
    </row>
    <row r="532" spans="8:25" ht="15.5" x14ac:dyDescent="0.35">
      <c r="H532" s="383"/>
      <c r="I532" s="331" t="s">
        <v>1059</v>
      </c>
      <c r="J532" s="320" t="s">
        <v>1573</v>
      </c>
      <c r="K532" s="302">
        <v>0.18671254776000001</v>
      </c>
      <c r="O532" s="308">
        <v>1.1299999999999999</v>
      </c>
      <c r="P532" s="312">
        <v>0.30366721889080001</v>
      </c>
      <c r="Q532" s="344">
        <v>0</v>
      </c>
      <c r="U532" s="126" t="s">
        <v>1059</v>
      </c>
      <c r="V532" s="131" t="s">
        <v>6383</v>
      </c>
      <c r="W532" s="132">
        <v>0.10853077520000001</v>
      </c>
      <c r="X532" s="129">
        <v>0.12547421004000001</v>
      </c>
      <c r="Y532" s="130">
        <v>0.16277886520000001</v>
      </c>
    </row>
    <row r="533" spans="8:25" ht="15.5" x14ac:dyDescent="0.35">
      <c r="H533" s="384" t="s">
        <v>1574</v>
      </c>
      <c r="I533" s="331"/>
      <c r="J533" s="319"/>
      <c r="K533" s="303"/>
      <c r="O533" s="308"/>
      <c r="P533" s="313"/>
      <c r="Q533" s="344"/>
      <c r="U533" s="126" t="s">
        <v>1059</v>
      </c>
      <c r="V533" s="131" t="s">
        <v>6384</v>
      </c>
      <c r="W533" s="132">
        <v>0.1013880112</v>
      </c>
      <c r="X533" s="129">
        <v>0.10539886749000001</v>
      </c>
      <c r="Y533" s="130">
        <v>0.16888654920000001</v>
      </c>
    </row>
    <row r="534" spans="8:25" ht="15.5" x14ac:dyDescent="0.35">
      <c r="H534" s="383"/>
      <c r="I534" s="331" t="s">
        <v>1059</v>
      </c>
      <c r="J534" s="320" t="s">
        <v>1575</v>
      </c>
      <c r="K534" s="302">
        <v>7.7287037412800019E-2</v>
      </c>
      <c r="O534" s="308">
        <v>0.44</v>
      </c>
      <c r="P534" s="312">
        <v>0.79653384503869995</v>
      </c>
      <c r="Q534" s="344">
        <v>6.0413480000000004E-10</v>
      </c>
      <c r="U534" s="126" t="s">
        <v>1059</v>
      </c>
      <c r="V534" s="131" t="s">
        <v>6385</v>
      </c>
      <c r="W534" s="132">
        <v>5.9597910160000003E-2</v>
      </c>
      <c r="X534" s="129">
        <v>7.8573764490000003E-2</v>
      </c>
      <c r="Y534" s="130">
        <v>9.231660416000001E-2</v>
      </c>
    </row>
    <row r="535" spans="8:25" ht="15.5" x14ac:dyDescent="0.35">
      <c r="H535" s="383"/>
      <c r="I535" s="331" t="s">
        <v>1059</v>
      </c>
      <c r="J535" s="320" t="s">
        <v>1576</v>
      </c>
      <c r="K535" s="302">
        <v>8.4779602879899996E-2</v>
      </c>
      <c r="O535" s="308">
        <v>0.41</v>
      </c>
      <c r="P535" s="312">
        <v>0.60343777364349993</v>
      </c>
      <c r="Q535" s="344">
        <v>4.2289436000000001E-10</v>
      </c>
      <c r="U535" s="126" t="s">
        <v>1059</v>
      </c>
      <c r="V535" s="131" t="s">
        <v>6386</v>
      </c>
      <c r="W535" s="132">
        <v>0.1178274778</v>
      </c>
      <c r="X535" s="129">
        <v>0.17016315348</v>
      </c>
      <c r="Y535" s="130">
        <v>0.2478082278</v>
      </c>
    </row>
    <row r="536" spans="8:25" ht="15.5" x14ac:dyDescent="0.35">
      <c r="H536" s="383"/>
      <c r="I536" s="331" t="s">
        <v>1059</v>
      </c>
      <c r="J536" s="320" t="s">
        <v>1577</v>
      </c>
      <c r="K536" s="302">
        <v>0.11774665204000001</v>
      </c>
      <c r="O536" s="308">
        <v>0.71</v>
      </c>
      <c r="P536" s="312">
        <v>0.80079914701645005</v>
      </c>
      <c r="Q536" s="344">
        <v>0</v>
      </c>
      <c r="U536" s="126" t="s">
        <v>1059</v>
      </c>
      <c r="V536" s="131" t="s">
        <v>6387</v>
      </c>
      <c r="W536" s="132">
        <v>0.19140262130000002</v>
      </c>
      <c r="X536" s="129">
        <v>0.31004463191999998</v>
      </c>
      <c r="Y536" s="130">
        <v>1.0282329112999999</v>
      </c>
    </row>
    <row r="537" spans="8:25" ht="15.5" x14ac:dyDescent="0.35">
      <c r="H537" s="383"/>
      <c r="I537" s="331" t="s">
        <v>1059</v>
      </c>
      <c r="J537" s="320" t="s">
        <v>1578</v>
      </c>
      <c r="K537" s="302">
        <v>0.1201433231415</v>
      </c>
      <c r="O537" s="308">
        <v>0.9</v>
      </c>
      <c r="P537" s="312">
        <v>0.62853384503870002</v>
      </c>
      <c r="Q537" s="344">
        <v>6.0413480000000004E-10</v>
      </c>
      <c r="U537" s="126" t="s">
        <v>1059</v>
      </c>
      <c r="V537" s="131" t="s">
        <v>6388</v>
      </c>
      <c r="W537" s="132">
        <v>7.8682390599999999E-2</v>
      </c>
      <c r="X537" s="129">
        <v>0.20734121564000002</v>
      </c>
      <c r="Y537" s="130">
        <v>0.60326587060000003</v>
      </c>
    </row>
    <row r="538" spans="8:25" ht="15.5" x14ac:dyDescent="0.35">
      <c r="H538" s="383"/>
      <c r="I538" s="331" t="s">
        <v>1059</v>
      </c>
      <c r="J538" s="320" t="s">
        <v>1579</v>
      </c>
      <c r="K538" s="302">
        <v>0.11477900520000001</v>
      </c>
      <c r="O538" s="308">
        <v>0.73</v>
      </c>
      <c r="P538" s="312">
        <v>0.4858377736435</v>
      </c>
      <c r="Q538" s="344">
        <v>4.2289436000000001E-10</v>
      </c>
      <c r="U538" s="126" t="s">
        <v>1059</v>
      </c>
      <c r="V538" s="131" t="s">
        <v>6389</v>
      </c>
      <c r="W538" s="132">
        <v>5.3612591599999995E-2</v>
      </c>
      <c r="X538" s="129">
        <v>0.11337447990000001</v>
      </c>
      <c r="Y538" s="130">
        <v>0.33847286160000001</v>
      </c>
    </row>
    <row r="539" spans="8:25" ht="15.5" x14ac:dyDescent="0.35">
      <c r="H539" s="383"/>
      <c r="I539" s="331" t="s">
        <v>1059</v>
      </c>
      <c r="J539" s="320" t="s">
        <v>1580</v>
      </c>
      <c r="K539" s="302">
        <v>0.12844292314149999</v>
      </c>
      <c r="O539" s="308">
        <v>0.87</v>
      </c>
      <c r="P539" s="312">
        <v>0.62853384503870002</v>
      </c>
      <c r="Q539" s="344">
        <v>6.0413480000000004E-10</v>
      </c>
      <c r="U539" s="126" t="s">
        <v>1059</v>
      </c>
      <c r="V539" s="131" t="s">
        <v>6390</v>
      </c>
      <c r="W539" s="132">
        <v>8.3911905999999994E-2</v>
      </c>
      <c r="X539" s="129">
        <v>0.20554223229999999</v>
      </c>
      <c r="Y539" s="130">
        <v>0.614535516</v>
      </c>
    </row>
    <row r="540" spans="8:25" ht="15.5" x14ac:dyDescent="0.35">
      <c r="H540" s="383"/>
      <c r="I540" s="331" t="s">
        <v>1059</v>
      </c>
      <c r="J540" s="320" t="s">
        <v>1581</v>
      </c>
      <c r="K540" s="302">
        <v>0.1205887252</v>
      </c>
      <c r="O540" s="308">
        <v>0.71</v>
      </c>
      <c r="P540" s="312">
        <v>0.4858377736435</v>
      </c>
      <c r="Q540" s="344">
        <v>4.2289436000000001E-10</v>
      </c>
      <c r="U540" s="126" t="s">
        <v>1059</v>
      </c>
      <c r="V540" s="131" t="s">
        <v>6391</v>
      </c>
      <c r="W540" s="132">
        <v>0.10841230020000001</v>
      </c>
      <c r="X540" s="129">
        <v>0.24970645406</v>
      </c>
      <c r="Y540" s="130">
        <v>0.72781915019999999</v>
      </c>
    </row>
    <row r="541" spans="8:25" ht="15.5" x14ac:dyDescent="0.35">
      <c r="H541" s="383"/>
      <c r="I541" s="331" t="s">
        <v>1059</v>
      </c>
      <c r="J541" s="320" t="s">
        <v>1582</v>
      </c>
      <c r="K541" s="302">
        <v>0.26922094462970003</v>
      </c>
      <c r="O541" s="308">
        <v>0.73</v>
      </c>
      <c r="P541" s="312">
        <v>0.86238475490300004</v>
      </c>
      <c r="Q541" s="344">
        <v>0</v>
      </c>
      <c r="U541" s="126" t="s">
        <v>1059</v>
      </c>
      <c r="V541" s="131" t="s">
        <v>6392</v>
      </c>
      <c r="W541" s="132">
        <v>9.09563751E-2</v>
      </c>
      <c r="X541" s="129">
        <v>0.26706530032000003</v>
      </c>
      <c r="Y541" s="130">
        <v>0.56912499510000003</v>
      </c>
    </row>
    <row r="542" spans="8:25" ht="15.5" x14ac:dyDescent="0.35">
      <c r="H542" s="383"/>
      <c r="I542" s="331" t="s">
        <v>1059</v>
      </c>
      <c r="J542" s="320" t="s">
        <v>1583</v>
      </c>
      <c r="K542" s="302">
        <v>5.5158922141499991E-2</v>
      </c>
      <c r="O542" s="308">
        <v>0.45</v>
      </c>
      <c r="P542" s="312">
        <v>0.74853384503870002</v>
      </c>
      <c r="Q542" s="344">
        <v>6.0413480000000004E-10</v>
      </c>
      <c r="U542" s="126" t="s">
        <v>1059</v>
      </c>
      <c r="V542" s="131" t="s">
        <v>6393</v>
      </c>
      <c r="W542" s="132">
        <v>9.1011017499999985E-2</v>
      </c>
      <c r="X542" s="129">
        <v>0.26706832586000001</v>
      </c>
      <c r="Y542" s="130">
        <v>0.56965574750000003</v>
      </c>
    </row>
    <row r="543" spans="8:25" ht="15.5" x14ac:dyDescent="0.35">
      <c r="H543" s="383"/>
      <c r="I543" s="331" t="s">
        <v>1059</v>
      </c>
      <c r="J543" s="320" t="s">
        <v>1584</v>
      </c>
      <c r="K543" s="302">
        <v>6.9289922200000006E-2</v>
      </c>
      <c r="O543" s="308">
        <v>0.42</v>
      </c>
      <c r="P543" s="312">
        <v>0.56983777364349997</v>
      </c>
      <c r="Q543" s="344">
        <v>4.2289436000000001E-10</v>
      </c>
      <c r="U543" s="126" t="s">
        <v>1059</v>
      </c>
      <c r="V543" s="131" t="s">
        <v>6394</v>
      </c>
      <c r="W543" s="132">
        <v>3.4496711619999995E-2</v>
      </c>
      <c r="X543" s="129">
        <v>1.2978081225E-2</v>
      </c>
      <c r="Y543" s="130">
        <v>5.4057434619999997E-2</v>
      </c>
    </row>
    <row r="544" spans="8:25" ht="15.5" x14ac:dyDescent="0.35">
      <c r="H544" s="383"/>
      <c r="I544" s="331" t="s">
        <v>1059</v>
      </c>
      <c r="J544" s="320" t="s">
        <v>1585</v>
      </c>
      <c r="K544" s="302">
        <v>7.4969172441500004E-2</v>
      </c>
      <c r="O544" s="308">
        <v>0.28000000000000003</v>
      </c>
      <c r="P544" s="312">
        <v>0.80053384503869995</v>
      </c>
      <c r="Q544" s="344">
        <v>6.0413480000000004E-10</v>
      </c>
      <c r="U544" s="126" t="s">
        <v>1059</v>
      </c>
      <c r="V544" s="131" t="s">
        <v>6395</v>
      </c>
      <c r="W544" s="132">
        <v>4.9740067090000006E-3</v>
      </c>
      <c r="X544" s="129">
        <v>2.8297918108E-4</v>
      </c>
      <c r="Y544" s="130">
        <v>5.5988718708999997E-2</v>
      </c>
    </row>
    <row r="545" spans="8:25" ht="15.5" x14ac:dyDescent="0.35">
      <c r="H545" s="383"/>
      <c r="I545" s="331" t="s">
        <v>1059</v>
      </c>
      <c r="J545" s="320" t="s">
        <v>1586</v>
      </c>
      <c r="K545" s="302">
        <v>8.2684577141500015E-2</v>
      </c>
      <c r="O545" s="308">
        <v>0.3</v>
      </c>
      <c r="P545" s="312">
        <v>0.80053384503869995</v>
      </c>
      <c r="Q545" s="344">
        <v>6.0413480000000004E-10</v>
      </c>
      <c r="U545" s="126" t="s">
        <v>1059</v>
      </c>
      <c r="V545" s="131" t="s">
        <v>6396</v>
      </c>
      <c r="W545" s="132">
        <v>8.5237472924999994E-4</v>
      </c>
      <c r="X545" s="129">
        <v>1.38649005361E-5</v>
      </c>
      <c r="Y545" s="130">
        <v>1.81828334925E-3</v>
      </c>
    </row>
    <row r="546" spans="8:25" ht="15.5" x14ac:dyDescent="0.35">
      <c r="H546" s="383"/>
      <c r="I546" s="331" t="s">
        <v>1059</v>
      </c>
      <c r="J546" s="320" t="s">
        <v>1587</v>
      </c>
      <c r="K546" s="302">
        <v>7.4279232441500004E-2</v>
      </c>
      <c r="O546" s="308">
        <v>0.28000000000000003</v>
      </c>
      <c r="P546" s="312">
        <v>0.80053384503869995</v>
      </c>
      <c r="Q546" s="344">
        <v>6.0413480000000004E-10</v>
      </c>
      <c r="U546" s="126" t="s">
        <v>1059</v>
      </c>
      <c r="V546" s="131" t="s">
        <v>6397</v>
      </c>
      <c r="W546" s="132">
        <v>2.3382027980000001E-2</v>
      </c>
      <c r="X546" s="129">
        <v>8.682352677999999E-3</v>
      </c>
      <c r="Y546" s="130">
        <v>3.0379369080000003E-2</v>
      </c>
    </row>
    <row r="547" spans="8:25" ht="15.5" x14ac:dyDescent="0.35">
      <c r="H547" s="383">
        <v>1</v>
      </c>
      <c r="I547" s="331" t="s">
        <v>1059</v>
      </c>
      <c r="J547" s="320" t="s">
        <v>1588</v>
      </c>
      <c r="K547" s="302">
        <v>9.0939243228000011E-2</v>
      </c>
      <c r="O547" s="308">
        <v>0.36</v>
      </c>
      <c r="P547" s="312">
        <v>0.8028572179115</v>
      </c>
      <c r="Q547" s="344">
        <v>6.0413480000000004E-10</v>
      </c>
      <c r="U547" s="126" t="s">
        <v>1059</v>
      </c>
      <c r="V547" s="131" t="s">
        <v>6398</v>
      </c>
      <c r="W547" s="132">
        <v>4.6861101488999996E-2</v>
      </c>
      <c r="X547" s="129">
        <v>1.9083114114999994E-2</v>
      </c>
      <c r="Y547" s="130">
        <v>8.2172891489000005E-2</v>
      </c>
    </row>
    <row r="548" spans="8:25" ht="15.5" x14ac:dyDescent="0.35">
      <c r="H548" s="383"/>
      <c r="I548" s="331" t="s">
        <v>1059</v>
      </c>
      <c r="J548" s="320" t="s">
        <v>1589</v>
      </c>
      <c r="K548" s="302">
        <v>0.44743727650000004</v>
      </c>
      <c r="O548" s="308">
        <v>2.71</v>
      </c>
      <c r="P548" s="312">
        <v>0.71823675863649994</v>
      </c>
      <c r="Q548" s="344">
        <v>0</v>
      </c>
      <c r="U548" s="126" t="s">
        <v>1059</v>
      </c>
      <c r="V548" s="131" t="s">
        <v>6399</v>
      </c>
      <c r="W548" s="132">
        <v>4.4879858815E-2</v>
      </c>
      <c r="X548" s="129">
        <v>1.5725341705999998E-2</v>
      </c>
      <c r="Y548" s="130">
        <v>8.1887790815E-2</v>
      </c>
    </row>
    <row r="549" spans="8:25" ht="15.5" x14ac:dyDescent="0.35">
      <c r="H549" s="383"/>
      <c r="I549" s="331" t="s">
        <v>1059</v>
      </c>
      <c r="J549" s="320" t="s">
        <v>1590</v>
      </c>
      <c r="K549" s="302">
        <v>0.1165322709</v>
      </c>
      <c r="O549" s="308">
        <v>0.37</v>
      </c>
      <c r="P549" s="312">
        <v>0.4544777736435</v>
      </c>
      <c r="Q549" s="344">
        <v>4.2289436000000001E-10</v>
      </c>
      <c r="U549" s="126" t="s">
        <v>1059</v>
      </c>
      <c r="V549" s="131" t="s">
        <v>6400</v>
      </c>
      <c r="W549" s="132">
        <v>0.13193890877</v>
      </c>
      <c r="X549" s="129">
        <v>5.1104257719999997E-2</v>
      </c>
      <c r="Y549" s="130">
        <v>0.20602026776999999</v>
      </c>
    </row>
    <row r="550" spans="8:25" ht="15.5" x14ac:dyDescent="0.35">
      <c r="H550" s="383"/>
      <c r="I550" s="331" t="s">
        <v>1059</v>
      </c>
      <c r="J550" s="320" t="s">
        <v>1591</v>
      </c>
      <c r="K550" s="302">
        <v>0.118508580738</v>
      </c>
      <c r="O550" s="308">
        <v>0.36</v>
      </c>
      <c r="P550" s="312">
        <v>0.58343090013160015</v>
      </c>
      <c r="Q550" s="344">
        <v>6.0413480000000004E-10</v>
      </c>
      <c r="U550" s="126" t="s">
        <v>1059</v>
      </c>
      <c r="V550" s="131" t="s">
        <v>6401</v>
      </c>
      <c r="W550" s="132">
        <v>0.1893683746</v>
      </c>
      <c r="X550" s="129">
        <v>0.58702743407000002</v>
      </c>
      <c r="Y550" s="130">
        <v>0.35283175459999999</v>
      </c>
    </row>
    <row r="551" spans="8:25" ht="15.5" x14ac:dyDescent="0.35">
      <c r="H551" s="383"/>
      <c r="I551" s="331" t="s">
        <v>1059</v>
      </c>
      <c r="J551" s="320" t="s">
        <v>1592</v>
      </c>
      <c r="K551" s="302">
        <v>0.12264799214149999</v>
      </c>
      <c r="O551" s="308">
        <v>0.38</v>
      </c>
      <c r="P551" s="312">
        <v>0.58373384503869996</v>
      </c>
      <c r="Q551" s="344">
        <v>6.0413480000000004E-10</v>
      </c>
      <c r="U551" s="126" t="s">
        <v>1059</v>
      </c>
      <c r="V551" s="131" t="s">
        <v>6402</v>
      </c>
      <c r="W551" s="132">
        <v>0.10195733879999999</v>
      </c>
      <c r="X551" s="129">
        <v>0.25749106652000003</v>
      </c>
      <c r="Y551" s="130">
        <v>0.19727587879999997</v>
      </c>
    </row>
    <row r="552" spans="8:25" ht="15.5" x14ac:dyDescent="0.35">
      <c r="H552" s="383"/>
      <c r="I552" s="331" t="s">
        <v>1059</v>
      </c>
      <c r="J552" s="320" t="s">
        <v>1593</v>
      </c>
      <c r="K552" s="302">
        <v>0.16456223314150001</v>
      </c>
      <c r="O552" s="308">
        <v>0.6</v>
      </c>
      <c r="P552" s="312">
        <v>0.56053384503869996</v>
      </c>
      <c r="Q552" s="344">
        <v>6.0413480000000004E-10</v>
      </c>
      <c r="U552" s="126" t="s">
        <v>1059</v>
      </c>
      <c r="V552" s="131" t="s">
        <v>6403</v>
      </c>
      <c r="W552" s="132">
        <v>9.3670494499999993E-2</v>
      </c>
      <c r="X552" s="129">
        <v>0.22028160503999999</v>
      </c>
      <c r="Y552" s="130">
        <v>0.18009461449999997</v>
      </c>
    </row>
    <row r="553" spans="8:25" ht="15.5" x14ac:dyDescent="0.35">
      <c r="H553" s="383"/>
      <c r="I553" s="331" t="s">
        <v>1059</v>
      </c>
      <c r="J553" s="320" t="s">
        <v>1594</v>
      </c>
      <c r="K553" s="302">
        <v>5.4563750000000001E-2</v>
      </c>
      <c r="O553" s="308">
        <v>0.43</v>
      </c>
      <c r="P553" s="312">
        <v>0.37359999999999999</v>
      </c>
      <c r="Q553" s="344">
        <v>0</v>
      </c>
      <c r="U553" s="126" t="s">
        <v>1059</v>
      </c>
      <c r="V553" s="131" t="s">
        <v>6404</v>
      </c>
      <c r="W553" s="132">
        <v>0.1589555882</v>
      </c>
      <c r="X553" s="129">
        <v>0.46267062832</v>
      </c>
      <c r="Y553" s="130">
        <v>0.30272408819999996</v>
      </c>
    </row>
    <row r="554" spans="8:25" ht="15.5" x14ac:dyDescent="0.35">
      <c r="H554" s="383"/>
      <c r="I554" s="331" t="s">
        <v>1059</v>
      </c>
      <c r="J554" s="320" t="s">
        <v>1595</v>
      </c>
      <c r="K554" s="302">
        <v>7.2968382441500002E-2</v>
      </c>
      <c r="O554" s="308">
        <v>0.26</v>
      </c>
      <c r="P554" s="312">
        <v>0.80053384503859992</v>
      </c>
      <c r="Q554" s="344">
        <v>6.0413480000000004E-10</v>
      </c>
      <c r="U554" s="126" t="s">
        <v>1059</v>
      </c>
      <c r="V554" s="131" t="s">
        <v>6405</v>
      </c>
      <c r="W554" s="132">
        <v>0.17654144599999999</v>
      </c>
      <c r="X554" s="129">
        <v>0.34554703961</v>
      </c>
      <c r="Y554" s="130">
        <v>0.29233362600000001</v>
      </c>
    </row>
    <row r="555" spans="8:25" ht="15.5" x14ac:dyDescent="0.35">
      <c r="H555" s="383"/>
      <c r="I555" s="331" t="s">
        <v>1059</v>
      </c>
      <c r="J555" s="320" t="s">
        <v>1596</v>
      </c>
      <c r="K555" s="302">
        <v>8.1756543899999992E-2</v>
      </c>
      <c r="O555" s="308">
        <v>0.28999999999999998</v>
      </c>
      <c r="P555" s="312">
        <v>0.60623777364349996</v>
      </c>
      <c r="Q555" s="344">
        <v>4.2289436000000001E-10</v>
      </c>
      <c r="U555" s="126" t="s">
        <v>1059</v>
      </c>
      <c r="V555" s="131" t="s">
        <v>6406</v>
      </c>
      <c r="W555" s="132">
        <v>9.2179985239999998E-2</v>
      </c>
      <c r="X555" s="129">
        <v>0.10221472865</v>
      </c>
      <c r="Y555" s="130">
        <v>0.19266835523999998</v>
      </c>
    </row>
    <row r="556" spans="8:25" ht="15.5" x14ac:dyDescent="0.35">
      <c r="H556" s="383">
        <v>1</v>
      </c>
      <c r="I556" s="331" t="s">
        <v>1059</v>
      </c>
      <c r="J556" s="320" t="s">
        <v>1597</v>
      </c>
      <c r="K556" s="302">
        <v>6.7609956012799996E-2</v>
      </c>
      <c r="O556" s="308">
        <v>0.34</v>
      </c>
      <c r="P556" s="312">
        <v>0.86213384503869994</v>
      </c>
      <c r="Q556" s="344">
        <v>6.0413480000000004E-10</v>
      </c>
      <c r="U556" s="126" t="s">
        <v>1059</v>
      </c>
      <c r="V556" s="131" t="s">
        <v>6407</v>
      </c>
      <c r="W556" s="132">
        <v>0.13919741369999999</v>
      </c>
      <c r="X556" s="129">
        <v>9.7398196310000004E-2</v>
      </c>
      <c r="Y556" s="130">
        <v>0.1990207567</v>
      </c>
    </row>
    <row r="557" spans="8:25" ht="15.5" x14ac:dyDescent="0.35">
      <c r="H557" s="383"/>
      <c r="I557" s="331" t="s">
        <v>1059</v>
      </c>
      <c r="J557" s="320" t="s">
        <v>1598</v>
      </c>
      <c r="K557" s="302">
        <v>5.6099702141499994E-2</v>
      </c>
      <c r="O557" s="308">
        <v>0.32</v>
      </c>
      <c r="P557" s="312">
        <v>0.86213384503869994</v>
      </c>
      <c r="Q557" s="344">
        <v>6.0413480000000004E-10</v>
      </c>
      <c r="U557" s="126" t="s">
        <v>1059</v>
      </c>
      <c r="V557" s="131" t="s">
        <v>6408</v>
      </c>
      <c r="W557" s="132">
        <v>6.6128695779999996E-2</v>
      </c>
      <c r="X557" s="129">
        <v>3.9263886417999994E-2</v>
      </c>
      <c r="Y557" s="130">
        <v>0.12772269478000001</v>
      </c>
    </row>
    <row r="558" spans="8:25" ht="15.5" x14ac:dyDescent="0.35">
      <c r="H558" s="383"/>
      <c r="I558" s="331" t="s">
        <v>1059</v>
      </c>
      <c r="J558" s="320" t="s">
        <v>1599</v>
      </c>
      <c r="K558" s="302">
        <v>5.89142771415E-2</v>
      </c>
      <c r="O558" s="308">
        <v>0.34</v>
      </c>
      <c r="P558" s="312">
        <v>0.86213384503869994</v>
      </c>
      <c r="Q558" s="344">
        <v>6.0413480000000004E-10</v>
      </c>
      <c r="U558" s="126" t="s">
        <v>1059</v>
      </c>
      <c r="V558" s="131" t="s">
        <v>6409</v>
      </c>
      <c r="W558" s="132">
        <v>6.746841876000001E-2</v>
      </c>
      <c r="X558" s="129">
        <v>4.1721712296000003E-2</v>
      </c>
      <c r="Y558" s="130">
        <v>0.10163199176000001</v>
      </c>
    </row>
    <row r="559" spans="8:25" ht="15.5" x14ac:dyDescent="0.35">
      <c r="H559" s="383"/>
      <c r="I559" s="331" t="s">
        <v>1059</v>
      </c>
      <c r="J559" s="320" t="s">
        <v>1600</v>
      </c>
      <c r="K559" s="302">
        <v>0.18334835803999999</v>
      </c>
      <c r="O559" s="308">
        <v>1.1100000000000001</v>
      </c>
      <c r="P559" s="312">
        <v>0.5220443860838001</v>
      </c>
      <c r="Q559" s="344">
        <v>0</v>
      </c>
      <c r="U559" s="126" t="s">
        <v>1059</v>
      </c>
      <c r="V559" s="131" t="s">
        <v>6410</v>
      </c>
      <c r="W559" s="132">
        <v>0.20335233820000001</v>
      </c>
      <c r="X559" s="129">
        <v>0.12696048215</v>
      </c>
      <c r="Y559" s="130">
        <v>0.30509179819999999</v>
      </c>
    </row>
    <row r="560" spans="8:25" ht="15.5" x14ac:dyDescent="0.35">
      <c r="H560" s="383"/>
      <c r="I560" s="331" t="s">
        <v>1059</v>
      </c>
      <c r="J560" s="320" t="s">
        <v>1601</v>
      </c>
      <c r="K560" s="302">
        <v>7.8385628700000001E-2</v>
      </c>
      <c r="O560" s="308">
        <v>0.48</v>
      </c>
      <c r="P560" s="312">
        <v>0.43573200358406</v>
      </c>
      <c r="Q560" s="344">
        <v>0</v>
      </c>
      <c r="U560" s="126" t="s">
        <v>1059</v>
      </c>
      <c r="V560" s="131" t="s">
        <v>6411</v>
      </c>
      <c r="W560" s="132">
        <v>9.09317865E-2</v>
      </c>
      <c r="X560" s="129">
        <v>5.4206811610000002E-2</v>
      </c>
      <c r="Y560" s="130">
        <v>0.17555824650000001</v>
      </c>
    </row>
    <row r="561" spans="8:25" ht="15.5" x14ac:dyDescent="0.35">
      <c r="H561" s="383">
        <v>1</v>
      </c>
      <c r="I561" s="331" t="s">
        <v>1059</v>
      </c>
      <c r="J561" s="320" t="s">
        <v>1602</v>
      </c>
      <c r="K561" s="302">
        <v>0.33452050799999999</v>
      </c>
      <c r="O561" s="308">
        <v>0.71</v>
      </c>
      <c r="P561" s="312">
        <v>0.54548247200000011</v>
      </c>
      <c r="Q561" s="344">
        <v>0</v>
      </c>
      <c r="U561" s="126" t="s">
        <v>1059</v>
      </c>
      <c r="V561" s="131" t="s">
        <v>6412</v>
      </c>
      <c r="W561" s="132">
        <v>0.43622088790000002</v>
      </c>
      <c r="X561" s="129">
        <v>0.26223046088999996</v>
      </c>
      <c r="Y561" s="130">
        <v>0.84148714790000001</v>
      </c>
    </row>
    <row r="562" spans="8:25" ht="15.5" x14ac:dyDescent="0.35">
      <c r="H562" s="383"/>
      <c r="I562" s="331" t="s">
        <v>1059</v>
      </c>
      <c r="J562" s="320" t="s">
        <v>1603</v>
      </c>
      <c r="K562" s="302">
        <v>0.10596133744149999</v>
      </c>
      <c r="O562" s="308">
        <v>0.4</v>
      </c>
      <c r="P562" s="312">
        <v>0.35893384503860004</v>
      </c>
      <c r="Q562" s="344">
        <v>6.0413480000000004E-10</v>
      </c>
      <c r="U562" s="126" t="s">
        <v>1059</v>
      </c>
      <c r="V562" s="131" t="s">
        <v>6413</v>
      </c>
      <c r="W562" s="132">
        <v>0.10230931579999999</v>
      </c>
      <c r="X562" s="129">
        <v>6.7073981059999996E-2</v>
      </c>
      <c r="Y562" s="130">
        <v>0.14747749979999999</v>
      </c>
    </row>
    <row r="563" spans="8:25" ht="15.5" x14ac:dyDescent="0.35">
      <c r="H563" s="383"/>
      <c r="I563" s="331" t="s">
        <v>1059</v>
      </c>
      <c r="J563" s="320" t="s">
        <v>1604</v>
      </c>
      <c r="K563" s="302">
        <v>8.00363674415E-2</v>
      </c>
      <c r="O563" s="308">
        <v>0.31</v>
      </c>
      <c r="P563" s="312">
        <v>0.35893384503870002</v>
      </c>
      <c r="Q563" s="344">
        <v>6.0413480000000004E-10</v>
      </c>
      <c r="U563" s="126" t="s">
        <v>1059</v>
      </c>
      <c r="V563" s="131" t="s">
        <v>6414</v>
      </c>
      <c r="W563" s="132">
        <v>0.10923548937999999</v>
      </c>
      <c r="X563" s="129">
        <v>7.4437515369999999E-2</v>
      </c>
      <c r="Y563" s="130">
        <v>0.15953526237999999</v>
      </c>
    </row>
    <row r="564" spans="8:25" ht="15.5" x14ac:dyDescent="0.35">
      <c r="H564" s="383">
        <v>1</v>
      </c>
      <c r="I564" s="331" t="s">
        <v>1059</v>
      </c>
      <c r="J564" s="320" t="s">
        <v>1605</v>
      </c>
      <c r="K564" s="302">
        <v>8.5221365341500002E-2</v>
      </c>
      <c r="O564" s="308">
        <v>0.33</v>
      </c>
      <c r="P564" s="312">
        <v>0.35893308503870003</v>
      </c>
      <c r="Q564" s="344">
        <v>6.0413480000000004E-10</v>
      </c>
      <c r="U564" s="126" t="s">
        <v>1059</v>
      </c>
      <c r="V564" s="131" t="s">
        <v>6415</v>
      </c>
      <c r="W564" s="132">
        <v>1.298612172E-2</v>
      </c>
      <c r="X564" s="129">
        <v>6.798670788E-3</v>
      </c>
      <c r="Y564" s="130">
        <v>2.856924072E-2</v>
      </c>
    </row>
    <row r="565" spans="8:25" ht="15.5" x14ac:dyDescent="0.35">
      <c r="H565" s="383"/>
      <c r="I565" s="331" t="s">
        <v>1059</v>
      </c>
      <c r="J565" s="320" t="s">
        <v>1606</v>
      </c>
      <c r="K565" s="302">
        <v>2.9207718819599995</v>
      </c>
      <c r="O565" s="308">
        <v>3.45</v>
      </c>
      <c r="P565" s="312">
        <v>0.32912230711219997</v>
      </c>
      <c r="Q565" s="344">
        <v>6.0413480000000004E-10</v>
      </c>
      <c r="U565" s="126" t="s">
        <v>1059</v>
      </c>
      <c r="V565" s="131" t="s">
        <v>6416</v>
      </c>
      <c r="W565" s="132">
        <v>0.10241834761999999</v>
      </c>
      <c r="X565" s="129">
        <v>3.3414909577000003E-2</v>
      </c>
      <c r="Y565" s="130">
        <v>0.13261610861999998</v>
      </c>
    </row>
    <row r="566" spans="8:25" ht="15.5" x14ac:dyDescent="0.35">
      <c r="H566" s="384" t="s">
        <v>1607</v>
      </c>
      <c r="I566" s="333"/>
      <c r="J566" s="320"/>
      <c r="K566" s="302"/>
      <c r="O566" s="308"/>
      <c r="P566" s="310"/>
      <c r="Q566" s="344"/>
      <c r="U566" s="126"/>
      <c r="V566" s="134"/>
      <c r="W566" s="132"/>
      <c r="X566" s="129"/>
      <c r="Y566" s="130" t="s">
        <v>6949</v>
      </c>
    </row>
    <row r="567" spans="8:25" ht="15.5" x14ac:dyDescent="0.35">
      <c r="H567" s="383"/>
      <c r="I567" s="331" t="s">
        <v>1059</v>
      </c>
      <c r="J567" s="320" t="s">
        <v>1608</v>
      </c>
      <c r="K567" s="302">
        <v>0.69324066290000008</v>
      </c>
      <c r="O567" s="308">
        <v>2.2599999999999998</v>
      </c>
      <c r="P567" s="312">
        <v>0.71375906909999998</v>
      </c>
      <c r="Q567" s="344">
        <v>1.6350165999999999E-11</v>
      </c>
      <c r="U567" s="126"/>
      <c r="V567" s="127" t="s">
        <v>6417</v>
      </c>
      <c r="W567" s="132"/>
      <c r="X567" s="129"/>
      <c r="Y567" s="130" t="s">
        <v>6949</v>
      </c>
    </row>
    <row r="568" spans="8:25" ht="15.5" x14ac:dyDescent="0.35">
      <c r="H568" s="383">
        <v>1</v>
      </c>
      <c r="I568" s="331" t="s">
        <v>1059</v>
      </c>
      <c r="J568" s="320" t="s">
        <v>1609</v>
      </c>
      <c r="K568" s="302">
        <v>3.2902834102200004E-2</v>
      </c>
      <c r="O568" s="308">
        <v>0.28999999999999998</v>
      </c>
      <c r="P568" s="312">
        <v>0.73033800506580004</v>
      </c>
      <c r="Q568" s="344">
        <v>1.0253030999999999E-9</v>
      </c>
      <c r="U568" s="126" t="s">
        <v>1059</v>
      </c>
      <c r="V568" s="131" t="s">
        <v>6418</v>
      </c>
      <c r="W568" s="132">
        <v>9.9729283700000004E-2</v>
      </c>
      <c r="X568" s="129">
        <v>9.7827726820000002E-2</v>
      </c>
      <c r="Y568" s="130">
        <v>0.22012574369999999</v>
      </c>
    </row>
    <row r="569" spans="8:25" ht="15.5" x14ac:dyDescent="0.35">
      <c r="H569" s="383"/>
      <c r="I569" s="331" t="s">
        <v>1059</v>
      </c>
      <c r="J569" s="320" t="s">
        <v>1610</v>
      </c>
      <c r="K569" s="302">
        <v>7.9014618941280007E-2</v>
      </c>
      <c r="O569" s="308">
        <v>0.28000000000000003</v>
      </c>
      <c r="P569" s="312">
        <v>0.45600000000000002</v>
      </c>
      <c r="Q569" s="344">
        <v>0</v>
      </c>
      <c r="U569" s="126" t="s">
        <v>1059</v>
      </c>
      <c r="V569" s="131" t="s">
        <v>6419</v>
      </c>
      <c r="W569" s="132">
        <v>0.1005779059</v>
      </c>
      <c r="X569" s="129">
        <v>0.10836378936999999</v>
      </c>
      <c r="Y569" s="130">
        <v>0.25302637589999999</v>
      </c>
    </row>
    <row r="570" spans="8:25" ht="15.5" x14ac:dyDescent="0.35">
      <c r="H570" s="383"/>
      <c r="I570" s="331" t="s">
        <v>1059</v>
      </c>
      <c r="J570" s="320" t="s">
        <v>1611</v>
      </c>
      <c r="K570" s="302">
        <v>7.1096233554869395E-2</v>
      </c>
      <c r="O570" s="308">
        <v>0.23</v>
      </c>
      <c r="P570" s="312">
        <v>0.56559999999999999</v>
      </c>
      <c r="Q570" s="344">
        <v>0</v>
      </c>
      <c r="U570" s="126" t="s">
        <v>1059</v>
      </c>
      <c r="V570" s="131" t="s">
        <v>6420</v>
      </c>
      <c r="W570" s="132">
        <v>8.4385045400000011E-2</v>
      </c>
      <c r="X570" s="129">
        <v>7.919450045000001E-2</v>
      </c>
      <c r="Y570" s="130">
        <v>0.19464285540000001</v>
      </c>
    </row>
    <row r="571" spans="8:25" ht="15.5" x14ac:dyDescent="0.35">
      <c r="H571" s="383"/>
      <c r="I571" s="331" t="s">
        <v>1059</v>
      </c>
      <c r="J571" s="320" t="s">
        <v>1612</v>
      </c>
      <c r="K571" s="302">
        <v>0.11619933261</v>
      </c>
      <c r="O571" s="308">
        <v>0.36</v>
      </c>
      <c r="P571" s="312">
        <v>0.65037270670500003</v>
      </c>
      <c r="Q571" s="344">
        <v>0</v>
      </c>
      <c r="U571" s="126" t="s">
        <v>1059</v>
      </c>
      <c r="V571" s="131" t="s">
        <v>6421</v>
      </c>
      <c r="W571" s="132">
        <v>0.10415031050000001</v>
      </c>
      <c r="X571" s="129">
        <v>8.1248403169999997E-2</v>
      </c>
      <c r="Y571" s="130">
        <v>0.2012839085</v>
      </c>
    </row>
    <row r="572" spans="8:25" ht="15.5" x14ac:dyDescent="0.35">
      <c r="H572" s="383"/>
      <c r="I572" s="331" t="s">
        <v>1059</v>
      </c>
      <c r="J572" s="320" t="s">
        <v>1613</v>
      </c>
      <c r="K572" s="302">
        <v>7.6959493769999998E-2</v>
      </c>
      <c r="O572" s="308">
        <v>0.36</v>
      </c>
      <c r="P572" s="312">
        <v>0.70580748887300004</v>
      </c>
      <c r="Q572" s="344">
        <v>1.3625137999999999E-10</v>
      </c>
      <c r="U572" s="126"/>
      <c r="V572" s="134"/>
      <c r="W572" s="132"/>
      <c r="X572" s="129"/>
      <c r="Y572" s="130" t="s">
        <v>6949</v>
      </c>
    </row>
    <row r="573" spans="8:25" ht="15.5" x14ac:dyDescent="0.35">
      <c r="H573" s="383"/>
      <c r="I573" s="331" t="s">
        <v>1059</v>
      </c>
      <c r="J573" s="320" t="s">
        <v>1614</v>
      </c>
      <c r="K573" s="302">
        <v>0.34004687998600003</v>
      </c>
      <c r="O573" s="308">
        <v>0.68</v>
      </c>
      <c r="P573" s="312">
        <v>0.69013581981999994</v>
      </c>
      <c r="Q573" s="344">
        <v>6.0413480000000002E-13</v>
      </c>
      <c r="U573" s="126"/>
      <c r="V573" s="127" t="s">
        <v>6422</v>
      </c>
      <c r="W573" s="132"/>
      <c r="X573" s="129"/>
      <c r="Y573" s="130" t="s">
        <v>6949</v>
      </c>
    </row>
    <row r="574" spans="8:25" ht="15.5" x14ac:dyDescent="0.35">
      <c r="H574" s="383"/>
      <c r="I574" s="331" t="s">
        <v>1059</v>
      </c>
      <c r="J574" s="320" t="s">
        <v>1615</v>
      </c>
      <c r="K574" s="302">
        <v>6.7346896892599997E-2</v>
      </c>
      <c r="O574" s="308">
        <v>0.48</v>
      </c>
      <c r="P574" s="312">
        <v>0.56365758003299993</v>
      </c>
      <c r="Q574" s="344">
        <v>5.1782983000000003E-10</v>
      </c>
      <c r="U574" s="138" t="s">
        <v>1176</v>
      </c>
      <c r="V574" s="131" t="s">
        <v>6423</v>
      </c>
      <c r="W574" s="132">
        <v>3.2103438130000002</v>
      </c>
      <c r="X574" s="129">
        <v>0.96081786420000004</v>
      </c>
      <c r="Y574" s="130">
        <v>4.6397388130000001</v>
      </c>
    </row>
    <row r="575" spans="8:25" ht="15.5" x14ac:dyDescent="0.35">
      <c r="H575" s="383"/>
      <c r="I575" s="331" t="s">
        <v>1059</v>
      </c>
      <c r="J575" s="320" t="s">
        <v>1616</v>
      </c>
      <c r="K575" s="302">
        <v>0.34141969438600006</v>
      </c>
      <c r="O575" s="308">
        <v>0.68</v>
      </c>
      <c r="P575" s="312">
        <v>0.69774753348000007</v>
      </c>
      <c r="Q575" s="344">
        <v>6.0413480000000004E-10</v>
      </c>
      <c r="U575" s="126" t="s">
        <v>1059</v>
      </c>
      <c r="V575" s="131" t="s">
        <v>6424</v>
      </c>
      <c r="W575" s="132">
        <v>0.28598326229999999</v>
      </c>
      <c r="X575" s="129">
        <v>8.7221285300000007E-2</v>
      </c>
      <c r="Y575" s="130">
        <v>0.38508778129999999</v>
      </c>
    </row>
    <row r="576" spans="8:25" ht="15.5" x14ac:dyDescent="0.35">
      <c r="H576" s="383"/>
      <c r="I576" s="331" t="s">
        <v>1059</v>
      </c>
      <c r="J576" s="320" t="s">
        <v>1617</v>
      </c>
      <c r="K576" s="302">
        <v>0.34103611048600002</v>
      </c>
      <c r="O576" s="308">
        <v>0.67</v>
      </c>
      <c r="P576" s="312">
        <v>0.72655233348000003</v>
      </c>
      <c r="Q576" s="344">
        <v>6.0413480000000004E-10</v>
      </c>
      <c r="U576" s="126" t="s">
        <v>1059</v>
      </c>
      <c r="V576" s="131" t="s">
        <v>6425</v>
      </c>
      <c r="W576" s="132">
        <v>0.52523958059999998</v>
      </c>
      <c r="X576" s="129">
        <v>0.23714075415000002</v>
      </c>
      <c r="Y576" s="130">
        <v>1.0179369206</v>
      </c>
    </row>
    <row r="577" spans="8:25" ht="15.5" x14ac:dyDescent="0.35">
      <c r="H577" s="387">
        <v>1</v>
      </c>
      <c r="I577" s="331" t="s">
        <v>1059</v>
      </c>
      <c r="J577" s="320" t="s">
        <v>1618</v>
      </c>
      <c r="K577" s="302">
        <v>0.28068885276599997</v>
      </c>
      <c r="O577" s="308">
        <v>0.6</v>
      </c>
      <c r="P577" s="312">
        <v>0.71308615374999995</v>
      </c>
      <c r="Q577" s="344">
        <v>6.0413480000000004E-10</v>
      </c>
      <c r="U577" s="138" t="s">
        <v>1176</v>
      </c>
      <c r="V577" s="131" t="s">
        <v>6426</v>
      </c>
      <c r="W577" s="132">
        <v>0.1188958165</v>
      </c>
      <c r="X577" s="129">
        <v>3.62617228E-2</v>
      </c>
      <c r="Y577" s="130">
        <v>0.16009792150000002</v>
      </c>
    </row>
    <row r="578" spans="8:25" ht="15.5" x14ac:dyDescent="0.35">
      <c r="H578" s="383"/>
      <c r="I578" s="331" t="s">
        <v>1059</v>
      </c>
      <c r="J578" s="320" t="s">
        <v>1619</v>
      </c>
      <c r="K578" s="302">
        <v>6.33995262E-2</v>
      </c>
      <c r="O578" s="308">
        <v>0.27</v>
      </c>
      <c r="P578" s="312">
        <v>0.24493591276070001</v>
      </c>
      <c r="Q578" s="344">
        <v>1.6350165999999999E-11</v>
      </c>
      <c r="U578" s="138" t="s">
        <v>1176</v>
      </c>
      <c r="V578" s="131" t="s">
        <v>6427</v>
      </c>
      <c r="W578" s="132">
        <v>1.6752963057999999</v>
      </c>
      <c r="X578" s="129">
        <v>0.57879761399999996</v>
      </c>
      <c r="Y578" s="130">
        <v>2.6528573457999998</v>
      </c>
    </row>
    <row r="579" spans="8:25" ht="15.5" x14ac:dyDescent="0.35">
      <c r="H579" s="383"/>
      <c r="I579" s="331" t="s">
        <v>1059</v>
      </c>
      <c r="J579" s="320" t="s">
        <v>1620</v>
      </c>
      <c r="K579" s="302">
        <v>7.9318468899999994E-2</v>
      </c>
      <c r="O579" s="308">
        <v>0.31</v>
      </c>
      <c r="P579" s="312">
        <v>0.24792423456899998</v>
      </c>
      <c r="Q579" s="344">
        <v>1.4987652E-11</v>
      </c>
      <c r="U579" s="126" t="s">
        <v>1059</v>
      </c>
      <c r="V579" s="131" t="s">
        <v>6428</v>
      </c>
      <c r="W579" s="132">
        <v>0.14698974633</v>
      </c>
      <c r="X579" s="129">
        <v>5.4151664799999999E-2</v>
      </c>
      <c r="Y579" s="130">
        <v>0.23060480233</v>
      </c>
    </row>
    <row r="580" spans="8:25" ht="15.5" x14ac:dyDescent="0.35">
      <c r="H580" s="383">
        <v>1</v>
      </c>
      <c r="I580" s="331" t="s">
        <v>1059</v>
      </c>
      <c r="J580" s="320" t="s">
        <v>1621</v>
      </c>
      <c r="K580" s="302">
        <v>9.3125787852930908E-2</v>
      </c>
      <c r="O580" s="308">
        <v>0.28000000000000003</v>
      </c>
      <c r="P580" s="312">
        <v>0.42080000000000001</v>
      </c>
      <c r="Q580" s="344">
        <v>0</v>
      </c>
      <c r="U580" s="138" t="s">
        <v>1176</v>
      </c>
      <c r="V580" s="131" t="s">
        <v>6429</v>
      </c>
      <c r="W580" s="132">
        <v>0.14893525823000001</v>
      </c>
      <c r="X580" s="129">
        <v>4.5399409830000001E-2</v>
      </c>
      <c r="Y580" s="130">
        <v>0.20472130223000001</v>
      </c>
    </row>
    <row r="581" spans="8:25" ht="15.5" x14ac:dyDescent="0.35">
      <c r="H581" s="384" t="s">
        <v>1622</v>
      </c>
      <c r="I581" s="333"/>
      <c r="J581" s="320"/>
      <c r="K581" s="302"/>
      <c r="O581" s="308"/>
      <c r="P581" s="312"/>
      <c r="Q581" s="344"/>
      <c r="U581" s="126"/>
      <c r="V581" s="134"/>
      <c r="W581" s="132"/>
      <c r="X581" s="129"/>
      <c r="Y581" s="130" t="s">
        <v>6949</v>
      </c>
    </row>
    <row r="582" spans="8:25" ht="15.5" x14ac:dyDescent="0.35">
      <c r="H582" s="383"/>
      <c r="I582" s="333" t="s">
        <v>1059</v>
      </c>
      <c r="J582" s="320" t="s">
        <v>1623</v>
      </c>
      <c r="K582" s="302">
        <v>3.3113105892599998E-2</v>
      </c>
      <c r="O582" s="308">
        <v>0.3</v>
      </c>
      <c r="P582" s="312">
        <v>0.73725758003300002</v>
      </c>
      <c r="Q582" s="344">
        <v>5.1782983000000003E-10</v>
      </c>
      <c r="U582" s="126"/>
      <c r="V582" s="127" t="s">
        <v>6430</v>
      </c>
      <c r="W582" s="132"/>
      <c r="X582" s="129"/>
      <c r="Y582" s="130" t="s">
        <v>6949</v>
      </c>
    </row>
    <row r="583" spans="8:25" ht="15.5" x14ac:dyDescent="0.35">
      <c r="H583" s="383"/>
      <c r="I583" s="333" t="s">
        <v>1059</v>
      </c>
      <c r="J583" s="320" t="s">
        <v>1624</v>
      </c>
      <c r="K583" s="302">
        <v>0.17428717469999999</v>
      </c>
      <c r="O583" s="308">
        <v>0.65</v>
      </c>
      <c r="P583" s="312">
        <v>0.70007436665209988</v>
      </c>
      <c r="Q583" s="344">
        <v>2.3422273000000002E-3</v>
      </c>
      <c r="U583" s="126" t="s">
        <v>1059</v>
      </c>
      <c r="V583" s="131" t="s">
        <v>6431</v>
      </c>
      <c r="W583" s="132">
        <v>4.2723873499999998</v>
      </c>
      <c r="X583" s="129">
        <v>1.7485588416</v>
      </c>
      <c r="Y583" s="130">
        <v>6.1982732499999997</v>
      </c>
    </row>
    <row r="584" spans="8:25" ht="15.5" x14ac:dyDescent="0.35">
      <c r="H584" s="383"/>
      <c r="I584" s="333" t="s">
        <v>1059</v>
      </c>
      <c r="J584" s="320" t="s">
        <v>1625</v>
      </c>
      <c r="K584" s="302">
        <v>5.5503949999999996E-2</v>
      </c>
      <c r="O584" s="308">
        <v>0.31</v>
      </c>
      <c r="P584" s="312">
        <v>0.69679999999999997</v>
      </c>
      <c r="Q584" s="344">
        <v>0</v>
      </c>
      <c r="U584" s="126" t="s">
        <v>1059</v>
      </c>
      <c r="V584" s="131" t="s">
        <v>6432</v>
      </c>
      <c r="W584" s="132">
        <v>3.4977144399999993</v>
      </c>
      <c r="X584" s="129">
        <v>1.7485588416</v>
      </c>
      <c r="Y584" s="130">
        <v>5.4236003399999992</v>
      </c>
    </row>
    <row r="585" spans="8:25" ht="15.5" x14ac:dyDescent="0.35">
      <c r="H585" s="383"/>
      <c r="I585" s="333" t="s">
        <v>1059</v>
      </c>
      <c r="J585" s="320" t="s">
        <v>1626</v>
      </c>
      <c r="K585" s="302">
        <v>0.37465414499999999</v>
      </c>
      <c r="O585" s="308">
        <v>1.41</v>
      </c>
      <c r="P585" s="312">
        <v>0.36320000000000002</v>
      </c>
      <c r="Q585" s="344">
        <v>0</v>
      </c>
      <c r="U585" s="126" t="s">
        <v>1059</v>
      </c>
      <c r="V585" s="131" t="s">
        <v>6433</v>
      </c>
      <c r="W585" s="132">
        <v>2.0956021688000002</v>
      </c>
      <c r="X585" s="129">
        <v>0.42870715970000001</v>
      </c>
      <c r="Y585" s="130">
        <v>3.1853689688000002</v>
      </c>
    </row>
    <row r="586" spans="8:25" ht="15.5" x14ac:dyDescent="0.35">
      <c r="H586" s="383"/>
      <c r="I586" s="333" t="s">
        <v>1059</v>
      </c>
      <c r="J586" s="320" t="s">
        <v>1627</v>
      </c>
      <c r="K586" s="302">
        <v>1.5011469886</v>
      </c>
      <c r="O586" s="308">
        <v>9.1</v>
      </c>
      <c r="P586" s="312">
        <v>0.6337320859940001</v>
      </c>
      <c r="Q586" s="344">
        <v>3.0823883E-9</v>
      </c>
      <c r="U586" s="126" t="s">
        <v>1059</v>
      </c>
      <c r="V586" s="131" t="s">
        <v>6434</v>
      </c>
      <c r="W586" s="132">
        <v>3.2211583500000001</v>
      </c>
      <c r="X586" s="129">
        <v>0.65566976860000004</v>
      </c>
      <c r="Y586" s="130">
        <v>4.8878605500000001</v>
      </c>
    </row>
    <row r="587" spans="8:25" ht="15.5" x14ac:dyDescent="0.35">
      <c r="H587" s="383"/>
      <c r="I587" s="331" t="s">
        <v>1059</v>
      </c>
      <c r="J587" s="320" t="s">
        <v>1628</v>
      </c>
      <c r="K587" s="302">
        <v>8.376168078E-2</v>
      </c>
      <c r="O587" s="308">
        <v>0.24</v>
      </c>
      <c r="P587" s="312">
        <v>0.37438977000000001</v>
      </c>
      <c r="Q587" s="344">
        <v>0</v>
      </c>
      <c r="U587" s="126" t="s">
        <v>1059</v>
      </c>
      <c r="V587" s="131" t="s">
        <v>6435</v>
      </c>
      <c r="W587" s="132">
        <v>2.0880556188000003</v>
      </c>
      <c r="X587" s="129">
        <v>0.42716332829999998</v>
      </c>
      <c r="Y587" s="130">
        <v>3.1738980188000001</v>
      </c>
    </row>
    <row r="588" spans="8:25" ht="15.5" x14ac:dyDescent="0.35">
      <c r="H588" s="383"/>
      <c r="I588" s="331" t="s">
        <v>1059</v>
      </c>
      <c r="J588" s="320" t="s">
        <v>1629</v>
      </c>
      <c r="K588" s="302">
        <v>4.4212120000000001E-2</v>
      </c>
      <c r="O588" s="308">
        <v>0.32</v>
      </c>
      <c r="P588" s="312">
        <v>0.67200000000000004</v>
      </c>
      <c r="Q588" s="344">
        <v>0</v>
      </c>
      <c r="U588" s="126" t="s">
        <v>1059</v>
      </c>
      <c r="V588" s="131" t="s">
        <v>6436</v>
      </c>
      <c r="W588" s="132">
        <v>0.88360318810000005</v>
      </c>
      <c r="X588" s="129">
        <v>0.17985824651000001</v>
      </c>
      <c r="Y588" s="130">
        <v>1.3407999981000001</v>
      </c>
    </row>
    <row r="589" spans="8:25" ht="15.5" x14ac:dyDescent="0.35">
      <c r="H589" s="383"/>
      <c r="I589" s="331" t="s">
        <v>1059</v>
      </c>
      <c r="J589" s="320" t="s">
        <v>1630</v>
      </c>
      <c r="K589" s="302">
        <v>0.24909905609999999</v>
      </c>
      <c r="O589" s="308">
        <v>0.66</v>
      </c>
      <c r="P589" s="312">
        <v>0.59526614724000004</v>
      </c>
      <c r="Q589" s="344">
        <v>0</v>
      </c>
      <c r="U589" s="126" t="s">
        <v>1059</v>
      </c>
      <c r="V589" s="131" t="s">
        <v>6437</v>
      </c>
      <c r="W589" s="132">
        <v>0.31679461490000005</v>
      </c>
      <c r="X589" s="129">
        <v>6.4808160700000006E-2</v>
      </c>
      <c r="Y589" s="130">
        <v>0.48153593490000002</v>
      </c>
    </row>
    <row r="590" spans="8:25" ht="15.5" x14ac:dyDescent="0.35">
      <c r="H590" s="383"/>
      <c r="I590" s="331" t="s">
        <v>1059</v>
      </c>
      <c r="J590" s="320" t="s">
        <v>1631</v>
      </c>
      <c r="K590" s="302">
        <v>3.6716763649999997</v>
      </c>
      <c r="O590" s="308">
        <v>100.07</v>
      </c>
      <c r="P590" s="312">
        <v>0.1968</v>
      </c>
      <c r="Q590" s="344">
        <v>0</v>
      </c>
      <c r="U590" s="126" t="s">
        <v>1059</v>
      </c>
      <c r="V590" s="131" t="s">
        <v>6438</v>
      </c>
      <c r="W590" s="132">
        <v>0.34154006339999998</v>
      </c>
      <c r="X590" s="129">
        <v>6.9520795660000009E-2</v>
      </c>
      <c r="Y590" s="130">
        <v>0.51826082340000001</v>
      </c>
    </row>
    <row r="591" spans="8:25" ht="15.5" x14ac:dyDescent="0.35">
      <c r="H591" s="383"/>
      <c r="I591" s="331" t="s">
        <v>1059</v>
      </c>
      <c r="J591" s="320" t="s">
        <v>1632</v>
      </c>
      <c r="K591" s="302">
        <v>0.28416555560000001</v>
      </c>
      <c r="O591" s="308">
        <v>0.39</v>
      </c>
      <c r="P591" s="312">
        <v>4.1055064402000005E-2</v>
      </c>
      <c r="Q591" s="344">
        <v>1.4398021E-3</v>
      </c>
      <c r="U591" s="126"/>
      <c r="V591" s="134"/>
      <c r="W591" s="132"/>
      <c r="X591" s="129"/>
      <c r="Y591" s="130" t="s">
        <v>6949</v>
      </c>
    </row>
    <row r="592" spans="8:25" ht="15.5" x14ac:dyDescent="0.35">
      <c r="H592" s="383"/>
      <c r="I592" s="331" t="s">
        <v>1059</v>
      </c>
      <c r="J592" s="320" t="s">
        <v>1633</v>
      </c>
      <c r="K592" s="302">
        <v>5.9533648790000004E-2</v>
      </c>
      <c r="O592" s="308">
        <v>0.18</v>
      </c>
      <c r="P592" s="312">
        <v>0.10337100755399999</v>
      </c>
      <c r="Q592" s="344">
        <v>0</v>
      </c>
      <c r="U592" s="126"/>
      <c r="V592" s="127" t="s">
        <v>6439</v>
      </c>
      <c r="W592" s="132"/>
      <c r="X592" s="129"/>
      <c r="Y592" s="130" t="s">
        <v>6949</v>
      </c>
    </row>
    <row r="593" spans="8:25" ht="15.5" x14ac:dyDescent="0.35">
      <c r="H593" s="383"/>
      <c r="I593" s="331" t="s">
        <v>1059</v>
      </c>
      <c r="J593" s="320" t="s">
        <v>1634</v>
      </c>
      <c r="K593" s="302">
        <v>6.6738390000000009E-2</v>
      </c>
      <c r="O593" s="308">
        <v>0.36</v>
      </c>
      <c r="P593" s="312">
        <v>0.72240000000000004</v>
      </c>
      <c r="Q593" s="344">
        <v>0</v>
      </c>
      <c r="U593" s="126">
        <v>1</v>
      </c>
      <c r="V593" s="131" t="s">
        <v>6440</v>
      </c>
      <c r="W593" s="132">
        <v>14.152381635000001</v>
      </c>
      <c r="X593" s="129">
        <v>6.010878505</v>
      </c>
      <c r="Y593" s="130">
        <v>25.612940635000001</v>
      </c>
    </row>
    <row r="594" spans="8:25" ht="15.5" x14ac:dyDescent="0.35">
      <c r="H594" s="383"/>
      <c r="I594" s="331" t="s">
        <v>1059</v>
      </c>
      <c r="J594" s="320" t="s">
        <v>1635</v>
      </c>
      <c r="K594" s="302">
        <v>0.75586882399999999</v>
      </c>
      <c r="O594" s="308">
        <v>1.56</v>
      </c>
      <c r="P594" s="312">
        <v>0.72733415470999996</v>
      </c>
      <c r="Q594" s="344">
        <v>3.2686066E-2</v>
      </c>
      <c r="U594" s="126" t="s">
        <v>1059</v>
      </c>
      <c r="V594" s="131" t="s">
        <v>6441</v>
      </c>
      <c r="W594" s="132">
        <v>0.53455129300000004</v>
      </c>
      <c r="X594" s="129">
        <v>0.20170595927000001</v>
      </c>
      <c r="Y594" s="130">
        <v>0.91167055299999999</v>
      </c>
    </row>
    <row r="595" spans="8:25" ht="15.5" x14ac:dyDescent="0.35">
      <c r="H595" s="383"/>
      <c r="I595" s="331" t="s">
        <v>1059</v>
      </c>
      <c r="J595" s="320" t="s">
        <v>1636</v>
      </c>
      <c r="K595" s="302">
        <v>0.33452050799999999</v>
      </c>
      <c r="O595" s="308">
        <v>0.71</v>
      </c>
      <c r="P595" s="312">
        <v>0.54548247200000011</v>
      </c>
      <c r="Q595" s="344">
        <v>0</v>
      </c>
      <c r="U595" s="126" t="s">
        <v>1059</v>
      </c>
      <c r="V595" s="131" t="s">
        <v>6442</v>
      </c>
      <c r="W595" s="132">
        <v>0.59655615110000004</v>
      </c>
      <c r="X595" s="129">
        <v>0.25255920317000002</v>
      </c>
      <c r="Y595" s="130">
        <v>1.0188821911000001</v>
      </c>
    </row>
    <row r="596" spans="8:25" ht="15.5" x14ac:dyDescent="0.35">
      <c r="H596" s="383"/>
      <c r="I596" s="331" t="s">
        <v>1059</v>
      </c>
      <c r="J596" s="320" t="s">
        <v>1637</v>
      </c>
      <c r="K596" s="302">
        <v>4.0263519999999997E-2</v>
      </c>
      <c r="O596" s="308">
        <v>0.35</v>
      </c>
      <c r="P596" s="312">
        <v>0.56320000000000003</v>
      </c>
      <c r="Q596" s="344">
        <v>0</v>
      </c>
      <c r="U596" s="126" t="s">
        <v>1059</v>
      </c>
      <c r="V596" s="131" t="s">
        <v>6443</v>
      </c>
      <c r="W596" s="132">
        <v>0.32924505199999998</v>
      </c>
      <c r="X596" s="129">
        <v>0.13983879153000001</v>
      </c>
      <c r="Y596" s="130">
        <v>0.59586676199999999</v>
      </c>
    </row>
    <row r="597" spans="8:25" ht="15.5" x14ac:dyDescent="0.35">
      <c r="H597" s="383"/>
      <c r="I597" s="333"/>
      <c r="J597" s="320"/>
      <c r="K597" s="302"/>
      <c r="O597" s="308"/>
      <c r="P597" s="310"/>
      <c r="Q597" s="344"/>
      <c r="U597" s="126" t="s">
        <v>1059</v>
      </c>
      <c r="V597" s="131" t="s">
        <v>6444</v>
      </c>
      <c r="W597" s="132">
        <v>0.33586664469999999</v>
      </c>
      <c r="X597" s="129">
        <v>0.12673490073999999</v>
      </c>
      <c r="Y597" s="130">
        <v>0.57281636469999997</v>
      </c>
    </row>
    <row r="598" spans="8:25" ht="15.5" x14ac:dyDescent="0.35">
      <c r="H598" s="384" t="s">
        <v>1638</v>
      </c>
      <c r="I598" s="333"/>
      <c r="J598" s="319"/>
      <c r="K598" s="303"/>
      <c r="O598" s="308"/>
      <c r="P598" s="313"/>
      <c r="Q598" s="344"/>
      <c r="U598" s="126"/>
      <c r="V598" s="134"/>
      <c r="W598" s="132"/>
      <c r="X598" s="129"/>
      <c r="Y598" s="130" t="s">
        <v>6949</v>
      </c>
    </row>
    <row r="599" spans="8:25" ht="15.5" x14ac:dyDescent="0.35">
      <c r="H599" s="383"/>
      <c r="I599" s="331" t="s">
        <v>1059</v>
      </c>
      <c r="J599" s="320" t="s">
        <v>1639</v>
      </c>
      <c r="K599" s="305">
        <v>0.14026837879999998</v>
      </c>
      <c r="O599" s="308">
        <v>0.41</v>
      </c>
      <c r="P599" s="312">
        <v>0.64324501000000001</v>
      </c>
      <c r="Q599" s="344">
        <v>0</v>
      </c>
      <c r="U599" s="126"/>
      <c r="V599" s="127" t="s">
        <v>6445</v>
      </c>
      <c r="W599" s="132"/>
      <c r="X599" s="129"/>
      <c r="Y599" s="130" t="s">
        <v>6949</v>
      </c>
    </row>
    <row r="600" spans="8:25" ht="15.5" x14ac:dyDescent="0.35">
      <c r="H600" s="383"/>
      <c r="I600" s="331" t="s">
        <v>1059</v>
      </c>
      <c r="J600" s="320" t="s">
        <v>1640</v>
      </c>
      <c r="K600" s="305">
        <v>8.0753872020000006E-2</v>
      </c>
      <c r="O600" s="308">
        <v>0.49</v>
      </c>
      <c r="P600" s="312">
        <v>5.1874191962300031E-3</v>
      </c>
      <c r="Q600" s="344">
        <v>0.98293335999999998</v>
      </c>
      <c r="U600" s="126" t="s">
        <v>1059</v>
      </c>
      <c r="V600" s="131" t="s">
        <v>6446</v>
      </c>
      <c r="W600" s="132">
        <v>0</v>
      </c>
      <c r="X600" s="129">
        <v>0</v>
      </c>
      <c r="Y600" s="130">
        <v>0</v>
      </c>
    </row>
    <row r="601" spans="8:25" ht="15.5" x14ac:dyDescent="0.35">
      <c r="H601" s="383"/>
      <c r="I601" s="331" t="s">
        <v>1059</v>
      </c>
      <c r="J601" s="320" t="s">
        <v>1641</v>
      </c>
      <c r="K601" s="305">
        <v>9.7255814035000013E-2</v>
      </c>
      <c r="O601" s="308">
        <v>0.86</v>
      </c>
      <c r="P601" s="312">
        <v>1.007204264799999E-2</v>
      </c>
      <c r="Q601" s="344">
        <v>0.72576003</v>
      </c>
      <c r="U601" s="126" t="s">
        <v>1059</v>
      </c>
      <c r="V601" s="131" t="s">
        <v>6447</v>
      </c>
      <c r="W601" s="132">
        <v>0</v>
      </c>
      <c r="X601" s="129">
        <v>0</v>
      </c>
      <c r="Y601" s="130">
        <v>0</v>
      </c>
    </row>
    <row r="602" spans="8:25" ht="15.5" x14ac:dyDescent="0.35">
      <c r="H602" s="383"/>
      <c r="I602" s="331" t="s">
        <v>1059</v>
      </c>
      <c r="J602" s="320" t="s">
        <v>1642</v>
      </c>
      <c r="K602" s="305">
        <v>0.23218196599000002</v>
      </c>
      <c r="O602" s="308">
        <v>1.04</v>
      </c>
      <c r="P602" s="312">
        <v>4.1007933720000111E-2</v>
      </c>
      <c r="Q602" s="344">
        <v>0.98293335999999998</v>
      </c>
      <c r="U602" s="126" t="s">
        <v>1059</v>
      </c>
      <c r="V602" s="131" t="s">
        <v>6448</v>
      </c>
      <c r="W602" s="132">
        <v>0.48932774970000004</v>
      </c>
      <c r="X602" s="129">
        <v>0.19998203441000001</v>
      </c>
      <c r="Y602" s="130">
        <v>0.71294856969999998</v>
      </c>
    </row>
    <row r="603" spans="8:25" ht="15.5" x14ac:dyDescent="0.35">
      <c r="H603" s="383"/>
      <c r="I603" s="331" t="s">
        <v>1059</v>
      </c>
      <c r="J603" s="320" t="s">
        <v>1643</v>
      </c>
      <c r="K603" s="305">
        <v>0.22174329619000002</v>
      </c>
      <c r="O603" s="308">
        <v>1.29</v>
      </c>
      <c r="P603" s="312">
        <v>3.5358264720000032E-2</v>
      </c>
      <c r="Q603" s="344">
        <v>0.72576003</v>
      </c>
      <c r="U603" s="126" t="s">
        <v>1059</v>
      </c>
      <c r="V603" s="131" t="s">
        <v>6449</v>
      </c>
      <c r="W603" s="132">
        <v>0.23968984571999999</v>
      </c>
      <c r="X603" s="129">
        <v>4.8965409394000001E-2</v>
      </c>
      <c r="Y603" s="130">
        <v>0.36730568572</v>
      </c>
    </row>
    <row r="604" spans="8:25" ht="15.5" x14ac:dyDescent="0.35">
      <c r="H604" s="383">
        <v>1</v>
      </c>
      <c r="I604" s="331" t="s">
        <v>1059</v>
      </c>
      <c r="J604" s="320" t="s">
        <v>1644</v>
      </c>
      <c r="K604" s="305">
        <v>0.23009422599000001</v>
      </c>
      <c r="O604" s="308">
        <v>1.0900000000000001</v>
      </c>
      <c r="P604" s="312">
        <v>3.9877999719999835E-2</v>
      </c>
      <c r="Q604" s="344">
        <v>2.3471814000000002</v>
      </c>
      <c r="U604" s="126" t="s">
        <v>1059</v>
      </c>
      <c r="V604" s="131" t="s">
        <v>6450</v>
      </c>
      <c r="W604" s="132">
        <v>2.1408088849999998</v>
      </c>
      <c r="X604" s="129">
        <v>0.87492139940000002</v>
      </c>
      <c r="Y604" s="130">
        <v>3.1191499549999997</v>
      </c>
    </row>
    <row r="605" spans="8:25" ht="15.5" x14ac:dyDescent="0.35">
      <c r="H605" s="383"/>
      <c r="I605" s="331" t="s">
        <v>1059</v>
      </c>
      <c r="J605" s="320" t="s">
        <v>1645</v>
      </c>
      <c r="K605" s="305">
        <v>0.34141969438600006</v>
      </c>
      <c r="O605" s="308">
        <v>0.68</v>
      </c>
      <c r="P605" s="312">
        <v>0.69774753348000007</v>
      </c>
      <c r="Q605" s="344">
        <v>6.0413480000000004E-10</v>
      </c>
      <c r="U605" s="126" t="s">
        <v>1059</v>
      </c>
      <c r="V605" s="131" t="s">
        <v>6451</v>
      </c>
      <c r="W605" s="132">
        <v>1.0486430687999999</v>
      </c>
      <c r="X605" s="129">
        <v>0.21422366750999999</v>
      </c>
      <c r="Y605" s="130">
        <v>1.6069623888</v>
      </c>
    </row>
    <row r="606" spans="8:25" ht="15.5" x14ac:dyDescent="0.35">
      <c r="H606" s="383"/>
      <c r="I606" s="331" t="s">
        <v>1059</v>
      </c>
      <c r="J606" s="320" t="s">
        <v>1646</v>
      </c>
      <c r="K606" s="305">
        <v>0.26512807429999996</v>
      </c>
      <c r="O606" s="308">
        <v>1.27</v>
      </c>
      <c r="P606" s="312">
        <v>0.12999109867</v>
      </c>
      <c r="Q606" s="344">
        <v>4.8676004E-8</v>
      </c>
      <c r="U606" s="126" t="s">
        <v>1059</v>
      </c>
      <c r="V606" s="131" t="s">
        <v>6452</v>
      </c>
      <c r="W606" s="132">
        <v>0</v>
      </c>
      <c r="X606" s="129">
        <v>0</v>
      </c>
      <c r="Y606" s="130">
        <v>0</v>
      </c>
    </row>
    <row r="607" spans="8:25" ht="15.5" x14ac:dyDescent="0.35">
      <c r="H607" s="383"/>
      <c r="I607" s="331" t="s">
        <v>1059</v>
      </c>
      <c r="J607" s="320" t="s">
        <v>1647</v>
      </c>
      <c r="K607" s="305">
        <v>8.1865177129999994E-2</v>
      </c>
      <c r="O607" s="308">
        <v>0.49</v>
      </c>
      <c r="P607" s="312">
        <v>5.1523525870000003E-2</v>
      </c>
      <c r="Q607" s="344">
        <v>0.14771906000000001</v>
      </c>
      <c r="U607" s="126" t="s">
        <v>1059</v>
      </c>
      <c r="V607" s="131" t="s">
        <v>6453</v>
      </c>
      <c r="W607" s="132">
        <v>0</v>
      </c>
      <c r="X607" s="129">
        <v>0</v>
      </c>
      <c r="Y607" s="130">
        <v>0</v>
      </c>
    </row>
    <row r="608" spans="8:25" ht="15.5" x14ac:dyDescent="0.35">
      <c r="H608" s="383"/>
      <c r="I608" s="331" t="s">
        <v>1059</v>
      </c>
      <c r="J608" s="320" t="s">
        <v>1648</v>
      </c>
      <c r="K608" s="305">
        <v>8.1865177129999994E-2</v>
      </c>
      <c r="O608" s="308">
        <v>0.49</v>
      </c>
      <c r="P608" s="312">
        <v>5.1523525869999975E-2</v>
      </c>
      <c r="Q608" s="344">
        <v>0.73270217000000004</v>
      </c>
      <c r="U608" s="126" t="s">
        <v>1059</v>
      </c>
      <c r="V608" s="131" t="s">
        <v>6454</v>
      </c>
      <c r="W608" s="132">
        <v>5.5516130480000001</v>
      </c>
      <c r="X608" s="129">
        <v>2.5461287534000001</v>
      </c>
      <c r="Y608" s="130">
        <v>8.6389550479999997</v>
      </c>
    </row>
    <row r="609" spans="8:25" ht="15.5" x14ac:dyDescent="0.35">
      <c r="H609" s="383"/>
      <c r="I609" s="331" t="s">
        <v>1059</v>
      </c>
      <c r="J609" s="320" t="s">
        <v>1649</v>
      </c>
      <c r="K609" s="305">
        <v>0.12353352522</v>
      </c>
      <c r="O609" s="308">
        <v>0.54</v>
      </c>
      <c r="P609" s="312">
        <v>0.10607483001</v>
      </c>
      <c r="Q609" s="344">
        <v>9.9385301999999995E-2</v>
      </c>
      <c r="U609" s="126" t="s">
        <v>1059</v>
      </c>
      <c r="V609" s="131" t="s">
        <v>6455</v>
      </c>
      <c r="W609" s="132">
        <v>4.9661539269999999E-2</v>
      </c>
      <c r="X609" s="129">
        <v>2.2134709687000001E-2</v>
      </c>
      <c r="Y609" s="130">
        <v>9.8539387270000001E-2</v>
      </c>
    </row>
    <row r="610" spans="8:25" ht="15.5" x14ac:dyDescent="0.35">
      <c r="H610" s="383"/>
      <c r="I610" s="331" t="s">
        <v>1059</v>
      </c>
      <c r="J610" s="320" t="s">
        <v>1650</v>
      </c>
      <c r="K610" s="305">
        <v>8.9023282930000003E-2</v>
      </c>
      <c r="O610" s="308">
        <v>0.38</v>
      </c>
      <c r="P610" s="312">
        <v>6.1385459570000023E-2</v>
      </c>
      <c r="Q610" s="344">
        <v>0.36760683</v>
      </c>
      <c r="U610" s="126" t="s">
        <v>1059</v>
      </c>
      <c r="V610" s="131" t="s">
        <v>6456</v>
      </c>
      <c r="W610" s="132">
        <v>8.0067529400000004E-3</v>
      </c>
      <c r="X610" s="129">
        <v>1.9860812857999999E-2</v>
      </c>
      <c r="Y610" s="130">
        <v>2.1969006940000001E-2</v>
      </c>
    </row>
    <row r="611" spans="8:25" ht="15.5" x14ac:dyDescent="0.35">
      <c r="H611" s="383"/>
      <c r="I611" s="331" t="s">
        <v>1059</v>
      </c>
      <c r="J611" s="320" t="s">
        <v>1651</v>
      </c>
      <c r="K611" s="305">
        <v>5.9923038269999993E-2</v>
      </c>
      <c r="O611" s="308">
        <v>0.21</v>
      </c>
      <c r="P611" s="312">
        <v>6.1187956099999996E-2</v>
      </c>
      <c r="Q611" s="344">
        <v>0.31409445000000003</v>
      </c>
      <c r="U611" s="126" t="s">
        <v>1059</v>
      </c>
      <c r="V611" s="131" t="s">
        <v>6457</v>
      </c>
      <c r="W611" s="132">
        <v>7.3258201370000001E-3</v>
      </c>
      <c r="X611" s="129">
        <v>2.3037185356000002E-2</v>
      </c>
      <c r="Y611" s="130">
        <v>1.4044577036999999E-2</v>
      </c>
    </row>
    <row r="612" spans="8:25" ht="15.5" x14ac:dyDescent="0.35">
      <c r="H612" s="383"/>
      <c r="I612" s="331" t="s">
        <v>1059</v>
      </c>
      <c r="J612" s="320" t="s">
        <v>1652</v>
      </c>
      <c r="K612" s="305">
        <v>0.12429312314150001</v>
      </c>
      <c r="O612" s="308">
        <v>0.88</v>
      </c>
      <c r="P612" s="312">
        <v>0.62853384503870002</v>
      </c>
      <c r="Q612" s="344">
        <v>6.0413480000000004E-10</v>
      </c>
      <c r="U612" s="126" t="s">
        <v>1059</v>
      </c>
      <c r="V612" s="131" t="s">
        <v>6458</v>
      </c>
      <c r="W612" s="132">
        <v>9.9436887400000014E-3</v>
      </c>
      <c r="X612" s="129">
        <v>2.8177129217999999E-2</v>
      </c>
      <c r="Y612" s="130">
        <v>1.7976227740000003E-2</v>
      </c>
    </row>
    <row r="613" spans="8:25" ht="15.5" x14ac:dyDescent="0.35">
      <c r="H613" s="383"/>
      <c r="I613" s="331" t="s">
        <v>1059</v>
      </c>
      <c r="J613" s="320" t="s">
        <v>1653</v>
      </c>
      <c r="K613" s="305">
        <v>0.118508580738</v>
      </c>
      <c r="O613" s="308">
        <v>0.36</v>
      </c>
      <c r="P613" s="312">
        <v>0.58343090013160015</v>
      </c>
      <c r="Q613" s="344">
        <v>6.0413480000000004E-10</v>
      </c>
      <c r="U613" s="126" t="s">
        <v>1059</v>
      </c>
      <c r="V613" s="131" t="s">
        <v>6459</v>
      </c>
      <c r="W613" s="132">
        <v>7.2091661099999996E-2</v>
      </c>
      <c r="X613" s="129">
        <v>0.17882392514000001</v>
      </c>
      <c r="Y613" s="130">
        <v>0.19780580110000001</v>
      </c>
    </row>
    <row r="614" spans="8:25" ht="15.5" x14ac:dyDescent="0.35">
      <c r="H614" s="383"/>
      <c r="I614" s="331" t="s">
        <v>1059</v>
      </c>
      <c r="J614" s="320" t="s">
        <v>1654</v>
      </c>
      <c r="K614" s="305">
        <v>0.18895898999999999</v>
      </c>
      <c r="O614" s="308">
        <v>0.65</v>
      </c>
      <c r="P614" s="312">
        <v>0</v>
      </c>
      <c r="Q614" s="344">
        <v>0</v>
      </c>
      <c r="U614" s="126" t="s">
        <v>1059</v>
      </c>
      <c r="V614" s="131" t="s">
        <v>6460</v>
      </c>
      <c r="W614" s="132">
        <v>6.5960639899999993E-2</v>
      </c>
      <c r="X614" s="129">
        <v>0.20742352701</v>
      </c>
      <c r="Y614" s="130">
        <v>0.12645536889999998</v>
      </c>
    </row>
    <row r="615" spans="8:25" ht="15.5" x14ac:dyDescent="0.35">
      <c r="H615" s="383"/>
      <c r="I615" s="331" t="s">
        <v>1059</v>
      </c>
      <c r="J615" s="320" t="s">
        <v>1655</v>
      </c>
      <c r="K615" s="305">
        <v>7.8385628700000001E-2</v>
      </c>
      <c r="O615" s="308">
        <v>0.48</v>
      </c>
      <c r="P615" s="312">
        <v>0.43573200358406</v>
      </c>
      <c r="Q615" s="344">
        <v>0</v>
      </c>
      <c r="U615" s="126" t="s">
        <v>1059</v>
      </c>
      <c r="V615" s="131" t="s">
        <v>6461</v>
      </c>
      <c r="W615" s="132">
        <v>8.9531554200000002E-2</v>
      </c>
      <c r="X615" s="129">
        <v>0.25370284312000002</v>
      </c>
      <c r="Y615" s="130">
        <v>0.1618553892</v>
      </c>
    </row>
    <row r="616" spans="8:25" ht="15.5" x14ac:dyDescent="0.35">
      <c r="H616" s="383"/>
      <c r="I616" s="331" t="s">
        <v>1059</v>
      </c>
      <c r="J616" s="320" t="s">
        <v>1656</v>
      </c>
      <c r="K616" s="305">
        <v>0.11389575</v>
      </c>
      <c r="O616" s="308">
        <v>0.28999999999999998</v>
      </c>
      <c r="P616" s="312">
        <v>0</v>
      </c>
      <c r="Q616" s="344">
        <v>0</v>
      </c>
      <c r="U616" s="126" t="s">
        <v>1059</v>
      </c>
      <c r="V616" s="131" t="s">
        <v>6462</v>
      </c>
      <c r="W616" s="132">
        <v>0.50545411029999998</v>
      </c>
      <c r="X616" s="129">
        <v>1.1356997205000001</v>
      </c>
      <c r="Y616" s="130">
        <v>1.4439285403</v>
      </c>
    </row>
    <row r="617" spans="8:25" ht="15.5" x14ac:dyDescent="0.35">
      <c r="H617" s="383"/>
      <c r="I617" s="331" t="s">
        <v>1059</v>
      </c>
      <c r="J617" s="320" t="s">
        <v>1657</v>
      </c>
      <c r="K617" s="302">
        <v>3.5225117704909996</v>
      </c>
      <c r="O617" s="308">
        <v>6.05</v>
      </c>
      <c r="P617" s="312">
        <v>0.32266726545230001</v>
      </c>
      <c r="Q617" s="344">
        <v>2.2360538999999999E-9</v>
      </c>
      <c r="U617" s="126" t="s">
        <v>1059</v>
      </c>
      <c r="V617" s="131" t="s">
        <v>6463</v>
      </c>
      <c r="W617" s="132">
        <v>0.4763868161</v>
      </c>
      <c r="X617" s="129">
        <v>1.3174624831000001</v>
      </c>
      <c r="Y617" s="130">
        <v>1.0046353960999999</v>
      </c>
    </row>
    <row r="618" spans="8:25" ht="15.5" x14ac:dyDescent="0.35">
      <c r="H618" s="383"/>
      <c r="I618" s="331" t="s">
        <v>1059</v>
      </c>
      <c r="J618" s="320" t="s">
        <v>1658</v>
      </c>
      <c r="K618" s="305">
        <v>0.4257206322</v>
      </c>
      <c r="O618" s="308">
        <v>0.64</v>
      </c>
      <c r="P618" s="312">
        <v>7.6003111740000004E-2</v>
      </c>
      <c r="Q618" s="344">
        <v>0</v>
      </c>
      <c r="U618" s="126" t="s">
        <v>1059</v>
      </c>
      <c r="V618" s="131" t="s">
        <v>6464</v>
      </c>
      <c r="W618" s="132">
        <v>0.61372106000000004</v>
      </c>
      <c r="X618" s="129">
        <v>1.610379776</v>
      </c>
      <c r="Y618" s="130">
        <v>1.2105193299999999</v>
      </c>
    </row>
    <row r="619" spans="8:25" ht="15.5" x14ac:dyDescent="0.35">
      <c r="H619" s="383"/>
      <c r="I619" s="331" t="s">
        <v>1059</v>
      </c>
      <c r="J619" s="320" t="s">
        <v>1659</v>
      </c>
      <c r="K619" s="305">
        <v>9.8242015089999996E-2</v>
      </c>
      <c r="O619" s="308">
        <v>0.31</v>
      </c>
      <c r="P619" s="312">
        <v>7.6003111740000004E-2</v>
      </c>
      <c r="Q619" s="344">
        <v>0</v>
      </c>
      <c r="U619" s="126" t="s">
        <v>1059</v>
      </c>
      <c r="V619" s="131" t="s">
        <v>6465</v>
      </c>
      <c r="W619" s="132">
        <v>0.46824389400000005</v>
      </c>
      <c r="X619" s="129">
        <v>0.3457036986</v>
      </c>
      <c r="Y619" s="130">
        <v>0.85388700400000006</v>
      </c>
    </row>
    <row r="620" spans="8:25" ht="15.5" x14ac:dyDescent="0.35">
      <c r="H620" s="383"/>
      <c r="I620" s="331" t="s">
        <v>1059</v>
      </c>
      <c r="J620" s="320" t="s">
        <v>1660</v>
      </c>
      <c r="K620" s="305">
        <v>3.9738343250000002E-2</v>
      </c>
      <c r="O620" s="308">
        <v>0.13</v>
      </c>
      <c r="P620" s="312">
        <v>3.0742832089E-2</v>
      </c>
      <c r="Q620" s="344">
        <v>0</v>
      </c>
      <c r="U620" s="126" t="s">
        <v>1059</v>
      </c>
      <c r="V620" s="131" t="s">
        <v>6466</v>
      </c>
      <c r="W620" s="132">
        <v>0.45162545500000006</v>
      </c>
      <c r="X620" s="129">
        <v>0.37367411080000001</v>
      </c>
      <c r="Y620" s="130">
        <v>0.77600153500000002</v>
      </c>
    </row>
    <row r="621" spans="8:25" ht="15.5" x14ac:dyDescent="0.35">
      <c r="H621" s="383"/>
      <c r="I621" s="331" t="s">
        <v>1059</v>
      </c>
      <c r="J621" s="320" t="s">
        <v>1661</v>
      </c>
      <c r="K621" s="305">
        <v>1.1259197233999998E-2</v>
      </c>
      <c r="O621" s="308">
        <v>0.04</v>
      </c>
      <c r="P621" s="312">
        <v>8.7104689290000009E-3</v>
      </c>
      <c r="Q621" s="344">
        <v>0</v>
      </c>
      <c r="U621" s="126" t="s">
        <v>1059</v>
      </c>
      <c r="V621" s="131" t="s">
        <v>6467</v>
      </c>
      <c r="W621" s="132">
        <v>0.50055591320000004</v>
      </c>
      <c r="X621" s="129">
        <v>0.42574425699999996</v>
      </c>
      <c r="Y621" s="130">
        <v>0.94354446320000007</v>
      </c>
    </row>
    <row r="622" spans="8:25" ht="15.5" x14ac:dyDescent="0.35">
      <c r="H622" s="383"/>
      <c r="I622" s="331" t="s">
        <v>1059</v>
      </c>
      <c r="J622" s="320" t="s">
        <v>1662</v>
      </c>
      <c r="K622" s="305">
        <v>4.6361400760000001E-3</v>
      </c>
      <c r="O622" s="308">
        <v>0.01</v>
      </c>
      <c r="P622" s="312">
        <v>3.5866636914999995E-3</v>
      </c>
      <c r="Q622" s="344">
        <v>0</v>
      </c>
      <c r="U622" s="126" t="s">
        <v>1059</v>
      </c>
      <c r="V622" s="131" t="s">
        <v>6468</v>
      </c>
      <c r="W622" s="132">
        <v>0.77798019699999998</v>
      </c>
      <c r="X622" s="129">
        <v>0.35880174819999999</v>
      </c>
      <c r="Y622" s="130">
        <v>1.139125857</v>
      </c>
    </row>
    <row r="623" spans="8:25" ht="15.5" x14ac:dyDescent="0.35">
      <c r="H623" s="383"/>
      <c r="I623" s="331" t="s">
        <v>1059</v>
      </c>
      <c r="J623" s="320" t="s">
        <v>1663</v>
      </c>
      <c r="K623" s="305">
        <v>3.0907600569999999E-3</v>
      </c>
      <c r="O623" s="308">
        <v>0.01</v>
      </c>
      <c r="P623" s="312">
        <v>2.3911091317000001E-3</v>
      </c>
      <c r="Q623" s="344">
        <v>0</v>
      </c>
      <c r="U623" s="126" t="s">
        <v>1059</v>
      </c>
      <c r="V623" s="131" t="s">
        <v>6469</v>
      </c>
      <c r="W623" s="132">
        <v>0.39689769309999995</v>
      </c>
      <c r="X623" s="129">
        <v>0.28286587060000001</v>
      </c>
      <c r="Y623" s="130">
        <v>0.72863299309999996</v>
      </c>
    </row>
    <row r="624" spans="8:25" ht="15.5" x14ac:dyDescent="0.35">
      <c r="H624" s="383"/>
      <c r="I624" s="331" t="s">
        <v>1059</v>
      </c>
      <c r="J624" s="320" t="s">
        <v>1664</v>
      </c>
      <c r="K624" s="305">
        <v>5.519214393E-2</v>
      </c>
      <c r="O624" s="308">
        <v>0.17</v>
      </c>
      <c r="P624" s="312">
        <v>4.2698377697000002E-2</v>
      </c>
      <c r="Q624" s="344">
        <v>0</v>
      </c>
      <c r="U624" s="126" t="s">
        <v>1059</v>
      </c>
      <c r="V624" s="131" t="s">
        <v>6470</v>
      </c>
      <c r="W624" s="132">
        <v>0.38530823980000001</v>
      </c>
      <c r="X624" s="129">
        <v>0.30436321129999999</v>
      </c>
      <c r="Y624" s="130">
        <v>0.67009224979999993</v>
      </c>
    </row>
    <row r="625" spans="8:25" ht="15.5" x14ac:dyDescent="0.35">
      <c r="H625" s="383"/>
      <c r="I625" s="331" t="s">
        <v>1059</v>
      </c>
      <c r="J625" s="320" t="s">
        <v>1665</v>
      </c>
      <c r="K625" s="305">
        <v>0.49540467470000005</v>
      </c>
      <c r="O625" s="308">
        <v>1.56</v>
      </c>
      <c r="P625" s="312">
        <v>0.38326063123999998</v>
      </c>
      <c r="Q625" s="344">
        <v>0</v>
      </c>
      <c r="U625" s="126" t="s">
        <v>1059</v>
      </c>
      <c r="V625" s="131" t="s">
        <v>6471</v>
      </c>
      <c r="W625" s="132">
        <v>0.42318273690000002</v>
      </c>
      <c r="X625" s="129">
        <v>0.34915012639999998</v>
      </c>
      <c r="Y625" s="130">
        <v>0.80062574689999999</v>
      </c>
    </row>
    <row r="626" spans="8:25" ht="15.5" x14ac:dyDescent="0.35">
      <c r="H626" s="383"/>
      <c r="I626" s="331" t="s">
        <v>1059</v>
      </c>
      <c r="J626" s="320" t="s">
        <v>1666</v>
      </c>
      <c r="K626" s="305">
        <v>0.31856904949999998</v>
      </c>
      <c r="O626" s="308">
        <v>1.01</v>
      </c>
      <c r="P626" s="312">
        <v>0.24645503500999999</v>
      </c>
      <c r="Q626" s="344">
        <v>0</v>
      </c>
      <c r="U626" s="126" t="s">
        <v>1059</v>
      </c>
      <c r="V626" s="131" t="s">
        <v>6472</v>
      </c>
      <c r="W626" s="132">
        <v>0.64870486099999991</v>
      </c>
      <c r="X626" s="129">
        <v>0.2940533501</v>
      </c>
      <c r="Y626" s="130">
        <v>0.96006432099999994</v>
      </c>
    </row>
    <row r="627" spans="8:25" ht="15.5" x14ac:dyDescent="0.35">
      <c r="H627" s="383"/>
      <c r="I627" s="331" t="s">
        <v>1059</v>
      </c>
      <c r="J627" s="320" t="s">
        <v>1667</v>
      </c>
      <c r="K627" s="305">
        <v>0.22297625840000002</v>
      </c>
      <c r="O627" s="308">
        <v>0.7</v>
      </c>
      <c r="P627" s="312">
        <v>0.17250144106000004</v>
      </c>
      <c r="Q627" s="344">
        <v>0</v>
      </c>
      <c r="U627" s="126" t="s">
        <v>1059</v>
      </c>
      <c r="V627" s="131" t="s">
        <v>6473</v>
      </c>
      <c r="W627" s="132">
        <v>0.21033439349999999</v>
      </c>
      <c r="X627" s="129">
        <v>0.20657059802</v>
      </c>
      <c r="Y627" s="130">
        <v>1.8071590934999999</v>
      </c>
    </row>
    <row r="628" spans="8:25" ht="15.5" x14ac:dyDescent="0.35">
      <c r="H628" s="383"/>
      <c r="I628" s="331" t="s">
        <v>1059</v>
      </c>
      <c r="J628" s="320" t="s">
        <v>1668</v>
      </c>
      <c r="K628" s="305">
        <v>0.14857725139</v>
      </c>
      <c r="O628" s="308">
        <v>0.47</v>
      </c>
      <c r="P628" s="312">
        <v>0.11494403141000001</v>
      </c>
      <c r="Q628" s="344">
        <v>0</v>
      </c>
      <c r="U628" s="126" t="s">
        <v>1059</v>
      </c>
      <c r="V628" s="131" t="s">
        <v>6474</v>
      </c>
      <c r="W628" s="132">
        <v>0.20765271600000001</v>
      </c>
      <c r="X628" s="129">
        <v>0.16742077024999999</v>
      </c>
      <c r="Y628" s="130">
        <v>0.95316039600000002</v>
      </c>
    </row>
    <row r="629" spans="8:25" ht="15.5" x14ac:dyDescent="0.35">
      <c r="H629" s="383"/>
      <c r="I629" s="331" t="s">
        <v>1059</v>
      </c>
      <c r="J629" s="320" t="s">
        <v>1669</v>
      </c>
      <c r="K629" s="305">
        <v>0.1114881303</v>
      </c>
      <c r="O629" s="308">
        <v>0.35</v>
      </c>
      <c r="P629" s="312">
        <v>8.625072243000001E-2</v>
      </c>
      <c r="Q629" s="344">
        <v>0</v>
      </c>
      <c r="U629" s="126" t="s">
        <v>1059</v>
      </c>
      <c r="V629" s="131" t="s">
        <v>6475</v>
      </c>
      <c r="W629" s="132">
        <v>0.16418878860000002</v>
      </c>
      <c r="X629" s="129">
        <v>0.18700188947999999</v>
      </c>
      <c r="Y629" s="130">
        <v>1.5858989885999999</v>
      </c>
    </row>
    <row r="630" spans="8:25" ht="15.5" x14ac:dyDescent="0.35">
      <c r="H630" s="383"/>
      <c r="I630" s="331" t="s">
        <v>1059</v>
      </c>
      <c r="J630" s="320" t="s">
        <v>1670</v>
      </c>
      <c r="K630" s="305">
        <v>7.4399009520000003E-2</v>
      </c>
      <c r="O630" s="308">
        <v>0.23</v>
      </c>
      <c r="P630" s="312">
        <v>5.7557412489999994E-2</v>
      </c>
      <c r="Q630" s="344">
        <v>0</v>
      </c>
      <c r="U630" s="126" t="s">
        <v>1059</v>
      </c>
      <c r="V630" s="131" t="s">
        <v>6476</v>
      </c>
      <c r="W630" s="132">
        <v>0.1602821337</v>
      </c>
      <c r="X630" s="129">
        <v>0.15155748048000001</v>
      </c>
      <c r="Y630" s="130">
        <v>0.81007343369999996</v>
      </c>
    </row>
    <row r="631" spans="8:25" ht="15.5" x14ac:dyDescent="0.35">
      <c r="H631" s="383"/>
      <c r="I631" s="331" t="s">
        <v>1059</v>
      </c>
      <c r="J631" s="320" t="s">
        <v>1671</v>
      </c>
      <c r="K631" s="305">
        <v>5.5854448980000006E-2</v>
      </c>
      <c r="O631" s="308">
        <v>0.18</v>
      </c>
      <c r="P631" s="312">
        <v>4.3210757481999998E-2</v>
      </c>
      <c r="Q631" s="344">
        <v>0</v>
      </c>
      <c r="U631" s="126" t="s">
        <v>1059</v>
      </c>
      <c r="V631" s="131" t="s">
        <v>6477</v>
      </c>
      <c r="W631" s="132">
        <v>0.58064836239999995</v>
      </c>
      <c r="X631" s="129">
        <v>0.77193112600000002</v>
      </c>
      <c r="Y631" s="130">
        <v>1.1772897923999999</v>
      </c>
    </row>
    <row r="632" spans="8:25" ht="15.5" x14ac:dyDescent="0.35">
      <c r="H632" s="383"/>
      <c r="I632" s="331" t="s">
        <v>1059</v>
      </c>
      <c r="J632" s="320" t="s">
        <v>1672</v>
      </c>
      <c r="K632" s="305">
        <v>4.459525198E-2</v>
      </c>
      <c r="O632" s="308">
        <v>0.14000000000000001</v>
      </c>
      <c r="P632" s="312">
        <v>3.4500289202999995E-2</v>
      </c>
      <c r="Q632" s="344">
        <v>0</v>
      </c>
      <c r="U632" s="126" t="s">
        <v>1059</v>
      </c>
      <c r="V632" s="131" t="s">
        <v>6478</v>
      </c>
      <c r="W632" s="132">
        <v>0.53787989410000003</v>
      </c>
      <c r="X632" s="129">
        <v>0.51527456816000006</v>
      </c>
      <c r="Y632" s="130">
        <v>0.86370233410000008</v>
      </c>
    </row>
    <row r="633" spans="8:25" ht="15.5" x14ac:dyDescent="0.35">
      <c r="H633" s="383"/>
      <c r="I633" s="331" t="s">
        <v>1059</v>
      </c>
      <c r="J633" s="320" t="s">
        <v>1673</v>
      </c>
      <c r="K633" s="305">
        <v>3.918642193E-2</v>
      </c>
      <c r="O633" s="308">
        <v>0.12</v>
      </c>
      <c r="P633" s="312">
        <v>3.0315848079999999E-2</v>
      </c>
      <c r="Q633" s="344">
        <v>0</v>
      </c>
      <c r="U633" s="126" t="s">
        <v>1059</v>
      </c>
      <c r="V633" s="131" t="s">
        <v>6479</v>
      </c>
      <c r="W633" s="132">
        <v>0.56179640909999995</v>
      </c>
      <c r="X633" s="129">
        <v>0.76976389468999995</v>
      </c>
      <c r="Y633" s="130">
        <v>1.1409603791</v>
      </c>
    </row>
    <row r="634" spans="8:25" ht="15.5" x14ac:dyDescent="0.35">
      <c r="H634" s="383"/>
      <c r="I634" s="331" t="s">
        <v>1059</v>
      </c>
      <c r="J634" s="320" t="s">
        <v>1674</v>
      </c>
      <c r="K634" s="305">
        <v>9.7414132259999991E-3</v>
      </c>
      <c r="O634" s="308">
        <v>0.03</v>
      </c>
      <c r="P634" s="312">
        <v>7.53626357E-3</v>
      </c>
      <c r="Q634" s="344">
        <v>0</v>
      </c>
      <c r="U634" s="126" t="s">
        <v>1059</v>
      </c>
      <c r="V634" s="131" t="s">
        <v>6480</v>
      </c>
      <c r="W634" s="132">
        <v>0.38738441420000003</v>
      </c>
      <c r="X634" s="129">
        <v>0.45771899106999997</v>
      </c>
      <c r="Y634" s="130">
        <v>0.6272066342</v>
      </c>
    </row>
    <row r="635" spans="8:25" ht="15.5" x14ac:dyDescent="0.35">
      <c r="H635" s="383"/>
      <c r="I635" s="331" t="s">
        <v>1059</v>
      </c>
      <c r="J635" s="320" t="s">
        <v>1675</v>
      </c>
      <c r="K635" s="305">
        <v>2.2076857289999998E-2</v>
      </c>
      <c r="O635" s="308">
        <v>7.0000000000000007E-2</v>
      </c>
      <c r="P635" s="312">
        <v>1.7079350434999998E-2</v>
      </c>
      <c r="Q635" s="344">
        <v>0</v>
      </c>
      <c r="U635" s="126" t="s">
        <v>1059</v>
      </c>
      <c r="V635" s="131" t="s">
        <v>6481</v>
      </c>
      <c r="W635" s="132">
        <v>0.49625380470000002</v>
      </c>
      <c r="X635" s="129">
        <v>0.64601911868999995</v>
      </c>
      <c r="Y635" s="130">
        <v>1.0136511747000001</v>
      </c>
    </row>
    <row r="636" spans="8:25" ht="15.5" x14ac:dyDescent="0.35">
      <c r="H636" s="383"/>
      <c r="I636" s="331" t="s">
        <v>1059</v>
      </c>
      <c r="J636" s="320" t="s">
        <v>1676</v>
      </c>
      <c r="K636" s="305">
        <v>2.1783235169999999</v>
      </c>
      <c r="O636" s="308">
        <v>6.87</v>
      </c>
      <c r="P636" s="312">
        <v>1.6852195894999999</v>
      </c>
      <c r="Q636" s="344">
        <v>0</v>
      </c>
      <c r="U636" s="126" t="s">
        <v>1059</v>
      </c>
      <c r="V636" s="131" t="s">
        <v>6482</v>
      </c>
      <c r="W636" s="132">
        <v>0.45373846580000005</v>
      </c>
      <c r="X636" s="129">
        <v>0.42639763546000004</v>
      </c>
      <c r="Y636" s="130">
        <v>0.66639293580000003</v>
      </c>
    </row>
    <row r="637" spans="8:25" ht="15.5" x14ac:dyDescent="0.35">
      <c r="H637" s="383"/>
      <c r="I637" s="331" t="s">
        <v>1059</v>
      </c>
      <c r="J637" s="320" t="s">
        <v>1677</v>
      </c>
      <c r="K637" s="305">
        <v>1.0890513723000002</v>
      </c>
      <c r="O637" s="308">
        <v>3.44</v>
      </c>
      <c r="P637" s="312">
        <v>0.84252438140000008</v>
      </c>
      <c r="Q637" s="344">
        <v>0</v>
      </c>
      <c r="U637" s="126" t="s">
        <v>1059</v>
      </c>
      <c r="V637" s="131" t="s">
        <v>6483</v>
      </c>
      <c r="W637" s="132">
        <v>0.45918605160000003</v>
      </c>
      <c r="X637" s="129">
        <v>0.43150695526999999</v>
      </c>
      <c r="Y637" s="130">
        <v>0.74890548160000003</v>
      </c>
    </row>
    <row r="638" spans="8:25" ht="15.5" x14ac:dyDescent="0.35">
      <c r="H638" s="383"/>
      <c r="I638" s="331" t="s">
        <v>1059</v>
      </c>
      <c r="J638" s="320" t="s">
        <v>1678</v>
      </c>
      <c r="K638" s="305">
        <v>0.72610783779999999</v>
      </c>
      <c r="O638" s="308">
        <v>2.29</v>
      </c>
      <c r="P638" s="312">
        <v>0.56173984700000001</v>
      </c>
      <c r="Q638" s="344">
        <v>0</v>
      </c>
      <c r="U638" s="126" t="s">
        <v>1059</v>
      </c>
      <c r="V638" s="131" t="s">
        <v>6484</v>
      </c>
      <c r="W638" s="132">
        <v>0.46381314379999999</v>
      </c>
      <c r="X638" s="129">
        <v>0.40668824446000001</v>
      </c>
      <c r="Y638" s="130">
        <v>0.68707106379999994</v>
      </c>
    </row>
    <row r="639" spans="8:25" ht="15.5" x14ac:dyDescent="0.35">
      <c r="H639" s="383"/>
      <c r="I639" s="331" t="s">
        <v>1059</v>
      </c>
      <c r="J639" s="320" t="s">
        <v>1679</v>
      </c>
      <c r="K639" s="305">
        <v>0.46670476259999999</v>
      </c>
      <c r="O639" s="308">
        <v>1.47</v>
      </c>
      <c r="P639" s="312">
        <v>0.36105747392999998</v>
      </c>
      <c r="Q639" s="344">
        <v>0</v>
      </c>
      <c r="U639" s="126" t="s">
        <v>1059</v>
      </c>
      <c r="V639" s="131" t="s">
        <v>6485</v>
      </c>
      <c r="W639" s="132">
        <v>0.44624838680000001</v>
      </c>
      <c r="X639" s="129">
        <v>0.43977450841000004</v>
      </c>
      <c r="Y639" s="130">
        <v>0.76160018679999997</v>
      </c>
    </row>
    <row r="640" spans="8:25" ht="15.5" x14ac:dyDescent="0.35">
      <c r="H640" s="383"/>
      <c r="I640" s="331" t="s">
        <v>1059</v>
      </c>
      <c r="J640" s="320" t="s">
        <v>1680</v>
      </c>
      <c r="K640" s="305">
        <v>0.3267374925</v>
      </c>
      <c r="O640" s="308">
        <v>1.03</v>
      </c>
      <c r="P640" s="312">
        <v>0.25277439029000004</v>
      </c>
      <c r="Q640" s="344">
        <v>0</v>
      </c>
      <c r="U640" s="126" t="s">
        <v>1059</v>
      </c>
      <c r="V640" s="131" t="s">
        <v>6486</v>
      </c>
      <c r="W640" s="132">
        <v>0.47895050479999995</v>
      </c>
      <c r="X640" s="129">
        <v>0.64532518661999994</v>
      </c>
      <c r="Y640" s="130">
        <v>0.97982174479999995</v>
      </c>
    </row>
    <row r="641" spans="8:25" ht="15.5" x14ac:dyDescent="0.35">
      <c r="H641" s="383"/>
      <c r="I641" s="331" t="s">
        <v>1059</v>
      </c>
      <c r="J641" s="320" t="s">
        <v>1681</v>
      </c>
      <c r="K641" s="305">
        <v>0.21789858150000002</v>
      </c>
      <c r="O641" s="308">
        <v>0.69</v>
      </c>
      <c r="P641" s="312">
        <v>0.16857319045999997</v>
      </c>
      <c r="Q641" s="344">
        <v>0</v>
      </c>
      <c r="U641" s="126" t="s">
        <v>1059</v>
      </c>
      <c r="V641" s="131" t="s">
        <v>6487</v>
      </c>
      <c r="W641" s="132">
        <v>0.5229928103</v>
      </c>
      <c r="X641" s="129">
        <v>0.52289338636000005</v>
      </c>
      <c r="Y641" s="130">
        <v>0.78078037030000003</v>
      </c>
    </row>
    <row r="642" spans="8:25" ht="15.5" x14ac:dyDescent="0.35">
      <c r="H642" s="383"/>
      <c r="I642" s="331" t="s">
        <v>1059</v>
      </c>
      <c r="J642" s="320" t="s">
        <v>1682</v>
      </c>
      <c r="K642" s="305">
        <v>0.16336874372999999</v>
      </c>
      <c r="O642" s="308">
        <v>0.52</v>
      </c>
      <c r="P642" s="312">
        <v>0.12638720065</v>
      </c>
      <c r="Q642" s="344">
        <v>0</v>
      </c>
      <c r="U642" s="126" t="s">
        <v>1059</v>
      </c>
      <c r="V642" s="131" t="s">
        <v>6488</v>
      </c>
      <c r="W642" s="132">
        <v>0.51305645359999996</v>
      </c>
      <c r="X642" s="129">
        <v>0.38937823976000002</v>
      </c>
      <c r="Y642" s="130">
        <v>0.75501628359999995</v>
      </c>
    </row>
    <row r="643" spans="8:25" ht="15.5" x14ac:dyDescent="0.35">
      <c r="H643" s="383"/>
      <c r="I643" s="331" t="s">
        <v>1059</v>
      </c>
      <c r="J643" s="320" t="s">
        <v>1683</v>
      </c>
      <c r="K643" s="305">
        <v>0.10883890724</v>
      </c>
      <c r="O643" s="308">
        <v>0.34</v>
      </c>
      <c r="P643" s="312">
        <v>8.4201200229999995E-2</v>
      </c>
      <c r="Q643" s="344">
        <v>0</v>
      </c>
      <c r="U643" s="126" t="s">
        <v>1059</v>
      </c>
      <c r="V643" s="131" t="s">
        <v>6489</v>
      </c>
      <c r="W643" s="132">
        <v>0.87169691539999994</v>
      </c>
      <c r="X643" s="129">
        <v>0.70343879029</v>
      </c>
      <c r="Y643" s="130">
        <v>1.3120581454</v>
      </c>
    </row>
    <row r="644" spans="8:25" ht="15.5" x14ac:dyDescent="0.35">
      <c r="H644" s="383"/>
      <c r="I644" s="331" t="s">
        <v>1059</v>
      </c>
      <c r="J644" s="320" t="s">
        <v>1684</v>
      </c>
      <c r="K644" s="305">
        <v>8.1684373469999988E-2</v>
      </c>
      <c r="O644" s="308">
        <v>0.26</v>
      </c>
      <c r="P644" s="312">
        <v>6.3193598069999996E-2</v>
      </c>
      <c r="Q644" s="344">
        <v>0</v>
      </c>
      <c r="U644" s="126" t="s">
        <v>1059</v>
      </c>
      <c r="V644" s="131" t="s">
        <v>6490</v>
      </c>
      <c r="W644" s="132">
        <v>0.59016211679999997</v>
      </c>
      <c r="X644" s="129">
        <v>0.26125818203000006</v>
      </c>
      <c r="Y644" s="130">
        <v>1.1380036067999999</v>
      </c>
    </row>
    <row r="645" spans="8:25" ht="15.5" x14ac:dyDescent="0.35">
      <c r="H645" s="383"/>
      <c r="I645" s="331" t="s">
        <v>1059</v>
      </c>
      <c r="J645" s="320" t="s">
        <v>1685</v>
      </c>
      <c r="K645" s="305">
        <v>6.5347497290000001E-2</v>
      </c>
      <c r="O645" s="308">
        <v>0.21</v>
      </c>
      <c r="P645" s="312">
        <v>5.0554879059000003E-2</v>
      </c>
      <c r="Q645" s="344">
        <v>0</v>
      </c>
      <c r="U645" s="126" t="s">
        <v>1059</v>
      </c>
      <c r="V645" s="131" t="s">
        <v>6491</v>
      </c>
      <c r="W645" s="132">
        <v>0.1409641707</v>
      </c>
      <c r="X645" s="129">
        <v>0.67138647935000006</v>
      </c>
      <c r="Y645" s="130">
        <v>2.0097915707</v>
      </c>
    </row>
    <row r="646" spans="8:25" ht="15.5" x14ac:dyDescent="0.35">
      <c r="H646" s="383">
        <v>1</v>
      </c>
      <c r="I646" s="331" t="s">
        <v>1059</v>
      </c>
      <c r="J646" s="320" t="s">
        <v>1686</v>
      </c>
      <c r="K646" s="305">
        <v>0.17750230172000001</v>
      </c>
      <c r="O646" s="308">
        <v>0.59</v>
      </c>
      <c r="P646" s="312">
        <v>0.88140456819000002</v>
      </c>
      <c r="Q646" s="344">
        <v>6.0413480000000004E-10</v>
      </c>
      <c r="U646" s="126" t="s">
        <v>1059</v>
      </c>
      <c r="V646" s="131" t="s">
        <v>6492</v>
      </c>
      <c r="W646" s="132">
        <v>0.2299448268</v>
      </c>
      <c r="X646" s="129">
        <v>0.60822011103000007</v>
      </c>
      <c r="Y646" s="130">
        <v>1.7293663267999999</v>
      </c>
    </row>
    <row r="647" spans="8:25" ht="15.5" x14ac:dyDescent="0.35">
      <c r="H647" s="383"/>
      <c r="I647" s="333"/>
      <c r="J647" s="321"/>
      <c r="K647" s="302"/>
      <c r="O647" s="308"/>
      <c r="P647" s="310"/>
      <c r="Q647" s="344"/>
      <c r="U647" s="126" t="s">
        <v>1059</v>
      </c>
      <c r="V647" s="131" t="s">
        <v>6493</v>
      </c>
      <c r="W647" s="132">
        <v>0.2326341375</v>
      </c>
      <c r="X647" s="129">
        <v>0.63501476357999997</v>
      </c>
      <c r="Y647" s="130">
        <v>1.0767007275</v>
      </c>
    </row>
    <row r="648" spans="8:25" ht="15.5" x14ac:dyDescent="0.35">
      <c r="H648" s="388" t="s">
        <v>1687</v>
      </c>
      <c r="I648" s="333"/>
      <c r="J648" s="321"/>
      <c r="K648" s="302"/>
      <c r="O648" s="308"/>
      <c r="P648" s="310"/>
      <c r="Q648" s="344"/>
      <c r="U648" s="126" t="s">
        <v>1059</v>
      </c>
      <c r="V648" s="131" t="s">
        <v>6494</v>
      </c>
      <c r="W648" s="132">
        <v>0.32498967900000003</v>
      </c>
      <c r="X648" s="129">
        <v>0.63804997949999998</v>
      </c>
      <c r="Y648" s="130">
        <v>1.5529925789999999</v>
      </c>
    </row>
    <row r="649" spans="8:25" ht="15.5" x14ac:dyDescent="0.35">
      <c r="H649" s="384" t="s">
        <v>1688</v>
      </c>
      <c r="I649" s="333"/>
      <c r="J649" s="319"/>
      <c r="K649" s="303"/>
      <c r="O649" s="308"/>
      <c r="P649" s="313"/>
      <c r="Q649" s="344"/>
      <c r="U649" s="126" t="s">
        <v>1059</v>
      </c>
      <c r="V649" s="131" t="s">
        <v>6495</v>
      </c>
      <c r="W649" s="132">
        <v>0.24332987740000001</v>
      </c>
      <c r="X649" s="129">
        <v>0.63495248341999999</v>
      </c>
      <c r="Y649" s="130">
        <v>0.9858394774</v>
      </c>
    </row>
    <row r="650" spans="8:25" ht="15.5" x14ac:dyDescent="0.35">
      <c r="H650" s="383"/>
      <c r="I650" s="331" t="s">
        <v>1059</v>
      </c>
      <c r="J650" s="320" t="s">
        <v>1689</v>
      </c>
      <c r="K650" s="302">
        <v>4.0417944110000001E-3</v>
      </c>
      <c r="O650" s="308">
        <v>0.02</v>
      </c>
      <c r="P650" s="312">
        <v>1.4287988675E-2</v>
      </c>
      <c r="Q650" s="344"/>
      <c r="U650" s="126" t="s">
        <v>1059</v>
      </c>
      <c r="V650" s="131" t="s">
        <v>6496</v>
      </c>
      <c r="W650" s="132">
        <v>0.3356151718</v>
      </c>
      <c r="X650" s="129">
        <v>0.57492889657000001</v>
      </c>
      <c r="Y650" s="130">
        <v>1.0717684618000001</v>
      </c>
    </row>
    <row r="651" spans="8:25" ht="15.5" x14ac:dyDescent="0.35">
      <c r="H651" s="383"/>
      <c r="I651" s="331" t="s">
        <v>1059</v>
      </c>
      <c r="J651" s="320" t="s">
        <v>1690</v>
      </c>
      <c r="K651" s="302">
        <v>4.0417944110000001E-3</v>
      </c>
      <c r="O651" s="308">
        <v>0.42</v>
      </c>
      <c r="P651" s="312">
        <v>4.2135380285039998</v>
      </c>
      <c r="Q651" s="344"/>
      <c r="U651" s="126" t="s">
        <v>1059</v>
      </c>
      <c r="V651" s="131" t="s">
        <v>6497</v>
      </c>
      <c r="W651" s="132">
        <v>0.238620585</v>
      </c>
      <c r="X651" s="129">
        <v>0.63049900164000006</v>
      </c>
      <c r="Y651" s="130">
        <v>1.1617185050000001</v>
      </c>
    </row>
    <row r="652" spans="8:25" ht="15.5" x14ac:dyDescent="0.35">
      <c r="H652" s="383"/>
      <c r="I652" s="331" t="s">
        <v>1059</v>
      </c>
      <c r="J652" s="320" t="s">
        <v>1691</v>
      </c>
      <c r="K652" s="302">
        <v>3.7632896100000006E-3</v>
      </c>
      <c r="O652" s="308">
        <v>0.02</v>
      </c>
      <c r="P652" s="312">
        <v>1.3269882516E-2</v>
      </c>
      <c r="Q652" s="344"/>
      <c r="U652" s="126" t="s">
        <v>1059</v>
      </c>
      <c r="V652" s="131" t="s">
        <v>6498</v>
      </c>
      <c r="W652" s="132">
        <v>0.2443276291</v>
      </c>
      <c r="X652" s="129">
        <v>0.62845867871000005</v>
      </c>
      <c r="Y652" s="130">
        <v>1.3174509291000001</v>
      </c>
    </row>
    <row r="653" spans="8:25" ht="15.5" x14ac:dyDescent="0.35">
      <c r="H653" s="383"/>
      <c r="I653" s="331" t="s">
        <v>1059</v>
      </c>
      <c r="J653" s="320" t="s">
        <v>1692</v>
      </c>
      <c r="K653" s="302">
        <v>3.7632896100000006E-3</v>
      </c>
      <c r="O653" s="308">
        <v>0.42</v>
      </c>
      <c r="P653" s="312">
        <v>5.2332699081409997</v>
      </c>
      <c r="Q653" s="344"/>
      <c r="U653" s="126" t="s">
        <v>1059</v>
      </c>
      <c r="V653" s="131" t="s">
        <v>6499</v>
      </c>
      <c r="W653" s="132">
        <v>0.25209696850000002</v>
      </c>
      <c r="X653" s="129">
        <v>0.61951331066000004</v>
      </c>
      <c r="Y653" s="130">
        <v>1.5119321685</v>
      </c>
    </row>
    <row r="654" spans="8:25" ht="15.5" x14ac:dyDescent="0.35">
      <c r="H654" s="383"/>
      <c r="I654" s="331" t="s">
        <v>1059</v>
      </c>
      <c r="J654" s="320" t="s">
        <v>1693</v>
      </c>
      <c r="K654" s="302">
        <v>3.614753776E-3</v>
      </c>
      <c r="O654" s="308">
        <v>0.02</v>
      </c>
      <c r="P654" s="312">
        <v>1.2726891625999999E-2</v>
      </c>
      <c r="Q654" s="344"/>
      <c r="U654" s="126" t="s">
        <v>1059</v>
      </c>
      <c r="V654" s="131" t="s">
        <v>6500</v>
      </c>
      <c r="W654" s="132">
        <v>0.14499131279999999</v>
      </c>
      <c r="X654" s="129">
        <v>0.60228118019999999</v>
      </c>
      <c r="Y654" s="130">
        <v>1.8532834128</v>
      </c>
    </row>
    <row r="655" spans="8:25" ht="15.5" x14ac:dyDescent="0.35">
      <c r="H655" s="383"/>
      <c r="I655" s="331" t="s">
        <v>1059</v>
      </c>
      <c r="J655" s="320" t="s">
        <v>1694</v>
      </c>
      <c r="K655" s="302">
        <v>3.614753776E-3</v>
      </c>
      <c r="O655" s="308">
        <v>0.42</v>
      </c>
      <c r="P655" s="312">
        <v>2.577726863009</v>
      </c>
      <c r="Q655" s="344"/>
      <c r="U655" s="126" t="s">
        <v>1059</v>
      </c>
      <c r="V655" s="131" t="s">
        <v>6501</v>
      </c>
      <c r="W655" s="132">
        <v>0.22174271030000001</v>
      </c>
      <c r="X655" s="129">
        <v>0.54555033873000003</v>
      </c>
      <c r="Y655" s="130">
        <v>1.5946644103000001</v>
      </c>
    </row>
    <row r="656" spans="8:25" ht="15.5" x14ac:dyDescent="0.35">
      <c r="H656" s="383"/>
      <c r="I656" s="331" t="s">
        <v>1059</v>
      </c>
      <c r="J656" s="320" t="s">
        <v>1695</v>
      </c>
      <c r="K656" s="302">
        <v>4.4317010110000001E-3</v>
      </c>
      <c r="O656" s="308">
        <v>0.02</v>
      </c>
      <c r="P656" s="312">
        <v>1.5713337506999998E-2</v>
      </c>
      <c r="Q656" s="344"/>
      <c r="U656" s="126" t="s">
        <v>1059</v>
      </c>
      <c r="V656" s="131" t="s">
        <v>6502</v>
      </c>
      <c r="W656" s="132">
        <v>0.20055638250000002</v>
      </c>
      <c r="X656" s="129">
        <v>0.51972501915000002</v>
      </c>
      <c r="Y656" s="130">
        <v>0.90920922249999991</v>
      </c>
    </row>
    <row r="657" spans="8:25" ht="15.5" x14ac:dyDescent="0.35">
      <c r="H657" s="383"/>
      <c r="I657" s="331" t="s">
        <v>1059</v>
      </c>
      <c r="J657" s="320" t="s">
        <v>1696</v>
      </c>
      <c r="K657" s="302">
        <v>4.4317010110000001E-3</v>
      </c>
      <c r="O657" s="308">
        <v>0.42</v>
      </c>
      <c r="P657" s="312">
        <v>4.1407133572219994</v>
      </c>
      <c r="Q657" s="344"/>
      <c r="U657" s="126" t="s">
        <v>1059</v>
      </c>
      <c r="V657" s="131" t="s">
        <v>6503</v>
      </c>
      <c r="W657" s="132">
        <v>0.27637402599999999</v>
      </c>
      <c r="X657" s="129">
        <v>0.52219796686999997</v>
      </c>
      <c r="Y657" s="130">
        <v>1.299029926</v>
      </c>
    </row>
    <row r="658" spans="8:25" ht="15.5" x14ac:dyDescent="0.35">
      <c r="H658" s="383"/>
      <c r="I658" s="331" t="s">
        <v>1059</v>
      </c>
      <c r="J658" s="320" t="s">
        <v>1697</v>
      </c>
      <c r="K658" s="302">
        <v>4.0974953069999997E-3</v>
      </c>
      <c r="O658" s="308">
        <v>0.02</v>
      </c>
      <c r="P658" s="312">
        <v>1.4491609511E-2</v>
      </c>
      <c r="Q658" s="344"/>
      <c r="U658" s="126" t="s">
        <v>1059</v>
      </c>
      <c r="V658" s="131" t="s">
        <v>6504</v>
      </c>
      <c r="W658" s="132">
        <v>0.209711648</v>
      </c>
      <c r="X658" s="129">
        <v>0.52012222395000007</v>
      </c>
      <c r="Y658" s="130">
        <v>0.83567766799999998</v>
      </c>
    </row>
    <row r="659" spans="8:25" ht="15.5" x14ac:dyDescent="0.35">
      <c r="H659" s="383"/>
      <c r="I659" s="331" t="s">
        <v>1059</v>
      </c>
      <c r="J659" s="320" t="s">
        <v>1698</v>
      </c>
      <c r="K659" s="302">
        <v>4.0974953069999997E-3</v>
      </c>
      <c r="O659" s="308">
        <v>0.42</v>
      </c>
      <c r="P659" s="312">
        <v>4.0644916321810003</v>
      </c>
      <c r="Q659" s="344"/>
      <c r="U659" s="126" t="s">
        <v>1059</v>
      </c>
      <c r="V659" s="131" t="s">
        <v>6505</v>
      </c>
      <c r="W659" s="132">
        <v>0.28465405919999998</v>
      </c>
      <c r="X659" s="129">
        <v>0.47041736279000002</v>
      </c>
      <c r="Y659" s="130">
        <v>0.90654344919999996</v>
      </c>
    </row>
    <row r="660" spans="8:25" ht="15.5" x14ac:dyDescent="0.35">
      <c r="H660" s="383"/>
      <c r="I660" s="331" t="s">
        <v>1059</v>
      </c>
      <c r="J660" s="320" t="s">
        <v>1699</v>
      </c>
      <c r="K660" s="302">
        <v>4.283165177E-3</v>
      </c>
      <c r="O660" s="308">
        <v>0.02</v>
      </c>
      <c r="P660" s="312">
        <v>1.5170347617E-2</v>
      </c>
      <c r="Q660" s="344"/>
      <c r="U660" s="126" t="s">
        <v>1059</v>
      </c>
      <c r="V660" s="131" t="s">
        <v>6506</v>
      </c>
      <c r="W660" s="132">
        <v>0.20366478710000002</v>
      </c>
      <c r="X660" s="129">
        <v>0.51585474065000003</v>
      </c>
      <c r="Y660" s="130">
        <v>0.97548307710000004</v>
      </c>
    </row>
    <row r="661" spans="8:25" ht="15.5" x14ac:dyDescent="0.35">
      <c r="H661" s="383"/>
      <c r="I661" s="331" t="s">
        <v>1059</v>
      </c>
      <c r="J661" s="320" t="s">
        <v>1700</v>
      </c>
      <c r="K661" s="302">
        <v>4.283165177E-3</v>
      </c>
      <c r="O661" s="308">
        <v>0.42</v>
      </c>
      <c r="P661" s="312">
        <v>4.75892031309</v>
      </c>
      <c r="Q661" s="344"/>
      <c r="U661" s="126" t="s">
        <v>1059</v>
      </c>
      <c r="V661" s="131" t="s">
        <v>6507</v>
      </c>
      <c r="W661" s="132">
        <v>0.21046557640000002</v>
      </c>
      <c r="X661" s="129">
        <v>0.51410265563000002</v>
      </c>
      <c r="Y661" s="130">
        <v>1.1084829264</v>
      </c>
    </row>
    <row r="662" spans="8:25" ht="15.5" x14ac:dyDescent="0.35">
      <c r="H662" s="383"/>
      <c r="I662" s="331" t="s">
        <v>1059</v>
      </c>
      <c r="J662" s="320" t="s">
        <v>1701</v>
      </c>
      <c r="K662" s="302">
        <v>3.781856668E-3</v>
      </c>
      <c r="O662" s="308">
        <v>0.02</v>
      </c>
      <c r="P662" s="312">
        <v>1.3337756125000001E-2</v>
      </c>
      <c r="Q662" s="344"/>
      <c r="U662" s="126" t="s">
        <v>1059</v>
      </c>
      <c r="V662" s="131" t="s">
        <v>6508</v>
      </c>
      <c r="W662" s="132">
        <v>0.21512740260000002</v>
      </c>
      <c r="X662" s="129">
        <v>0.50696203349000002</v>
      </c>
      <c r="Y662" s="130">
        <v>1.2627768026000001</v>
      </c>
    </row>
    <row r="663" spans="8:25" ht="15.5" x14ac:dyDescent="0.35">
      <c r="H663" s="383"/>
      <c r="I663" s="331" t="s">
        <v>1059</v>
      </c>
      <c r="J663" s="320" t="s">
        <v>1702</v>
      </c>
      <c r="K663" s="302">
        <v>3.781856668E-3</v>
      </c>
      <c r="O663" s="308">
        <v>0.42</v>
      </c>
      <c r="P663" s="312">
        <v>5.2333377760299999</v>
      </c>
      <c r="Q663" s="344"/>
      <c r="U663" s="126" t="s">
        <v>1059</v>
      </c>
      <c r="V663" s="131" t="s">
        <v>6509</v>
      </c>
      <c r="W663" s="132">
        <v>0.21155516820000003</v>
      </c>
      <c r="X663" s="129">
        <v>0.60363342453000013</v>
      </c>
      <c r="Y663" s="130">
        <v>0.37416371820000005</v>
      </c>
    </row>
    <row r="664" spans="8:25" ht="15.5" x14ac:dyDescent="0.35">
      <c r="H664" s="383"/>
      <c r="I664" s="331" t="s">
        <v>1059</v>
      </c>
      <c r="J664" s="320" t="s">
        <v>1703</v>
      </c>
      <c r="K664" s="302">
        <v>3.9489594810000004E-3</v>
      </c>
      <c r="O664" s="308">
        <v>0.02</v>
      </c>
      <c r="P664" s="312">
        <v>1.3948619622000001E-2</v>
      </c>
      <c r="Q664" s="344"/>
      <c r="U664" s="126" t="s">
        <v>1059</v>
      </c>
      <c r="V664" s="131" t="s">
        <v>6510</v>
      </c>
      <c r="W664" s="132">
        <v>5.0158547339999998E-2</v>
      </c>
      <c r="X664" s="129">
        <v>0.10334227447</v>
      </c>
      <c r="Y664" s="130">
        <v>0.35825946734000003</v>
      </c>
    </row>
    <row r="665" spans="8:25" ht="15.5" x14ac:dyDescent="0.35">
      <c r="H665" s="383"/>
      <c r="I665" s="331" t="s">
        <v>1059</v>
      </c>
      <c r="J665" s="320" t="s">
        <v>1704</v>
      </c>
      <c r="K665" s="302">
        <v>3.9489594810000004E-3</v>
      </c>
      <c r="O665" s="308">
        <v>0.42</v>
      </c>
      <c r="P665" s="312">
        <v>5.7739485880499997</v>
      </c>
      <c r="Q665" s="344"/>
      <c r="U665" s="126" t="s">
        <v>1059</v>
      </c>
      <c r="V665" s="131" t="s">
        <v>6511</v>
      </c>
      <c r="W665" s="132">
        <v>5.9144971800000001E-2</v>
      </c>
      <c r="X665" s="129">
        <v>9.3515828160000009E-2</v>
      </c>
      <c r="Y665" s="130">
        <v>0.30425347180000001</v>
      </c>
    </row>
    <row r="666" spans="8:25" ht="15.5" x14ac:dyDescent="0.35">
      <c r="H666" s="383"/>
      <c r="I666" s="331" t="s">
        <v>1059</v>
      </c>
      <c r="J666" s="320" t="s">
        <v>1705</v>
      </c>
      <c r="K666" s="302">
        <v>3.5961868070000002E-3</v>
      </c>
      <c r="O666" s="308">
        <v>0.02</v>
      </c>
      <c r="P666" s="312">
        <v>1.2659018018E-2</v>
      </c>
      <c r="Q666" s="344"/>
      <c r="U666" s="126" t="s">
        <v>1059</v>
      </c>
      <c r="V666" s="131" t="s">
        <v>6512</v>
      </c>
      <c r="W666" s="132">
        <v>6.0354380210000003E-2</v>
      </c>
      <c r="X666" s="129">
        <v>0.10006108249000001</v>
      </c>
      <c r="Y666" s="130">
        <v>0.21210040021000001</v>
      </c>
    </row>
    <row r="667" spans="8:25" ht="15.5" x14ac:dyDescent="0.35">
      <c r="H667" s="383"/>
      <c r="I667" s="331" t="s">
        <v>1059</v>
      </c>
      <c r="J667" s="320" t="s">
        <v>1706</v>
      </c>
      <c r="K667" s="302">
        <v>2.1225565860000001E-3</v>
      </c>
      <c r="O667" s="308">
        <v>0.41</v>
      </c>
      <c r="P667" s="312">
        <v>3.7915189291194</v>
      </c>
      <c r="Q667" s="344"/>
      <c r="U667" s="126" t="s">
        <v>1059</v>
      </c>
      <c r="V667" s="131" t="s">
        <v>6513</v>
      </c>
      <c r="W667" s="132">
        <v>7.8380788000000007E-2</v>
      </c>
      <c r="X667" s="129">
        <v>0.10039854261</v>
      </c>
      <c r="Y667" s="130">
        <v>0.28871303800000003</v>
      </c>
    </row>
    <row r="668" spans="8:25" ht="15.5" x14ac:dyDescent="0.35">
      <c r="H668" s="383"/>
      <c r="I668" s="331" t="s">
        <v>1059</v>
      </c>
      <c r="J668" s="320" t="s">
        <v>1707</v>
      </c>
      <c r="K668" s="302">
        <v>3.894224094E-3</v>
      </c>
      <c r="O668" s="308">
        <v>0.02</v>
      </c>
      <c r="P668" s="312">
        <v>1.3906732072999998E-2</v>
      </c>
      <c r="Q668" s="344"/>
      <c r="U668" s="126" t="s">
        <v>1059</v>
      </c>
      <c r="V668" s="131" t="s">
        <v>6514</v>
      </c>
      <c r="W668" s="132">
        <v>6.0965109220000008E-2</v>
      </c>
      <c r="X668" s="129">
        <v>0.10452774519999999</v>
      </c>
      <c r="Y668" s="130">
        <v>0.19070497922000001</v>
      </c>
    </row>
    <row r="669" spans="8:25" ht="15.5" x14ac:dyDescent="0.35">
      <c r="H669" s="383"/>
      <c r="I669" s="331" t="s">
        <v>1059</v>
      </c>
      <c r="J669" s="320" t="s">
        <v>1708</v>
      </c>
      <c r="K669" s="302">
        <v>6.121296436E-3</v>
      </c>
      <c r="O669" s="308">
        <v>0.03</v>
      </c>
      <c r="P669" s="312">
        <v>2.1889849074000003E-2</v>
      </c>
      <c r="Q669" s="344"/>
      <c r="U669" s="126" t="s">
        <v>1059</v>
      </c>
      <c r="V669" s="131" t="s">
        <v>6515</v>
      </c>
      <c r="W669" s="132">
        <v>7.8310029000000003E-2</v>
      </c>
      <c r="X669" s="129">
        <v>8.9023745840000001E-2</v>
      </c>
      <c r="Y669" s="130">
        <v>0.213870809</v>
      </c>
    </row>
    <row r="670" spans="8:25" ht="15.5" x14ac:dyDescent="0.35">
      <c r="H670" s="383"/>
      <c r="I670" s="331" t="s">
        <v>1059</v>
      </c>
      <c r="J670" s="320" t="s">
        <v>1709</v>
      </c>
      <c r="K670" s="302">
        <v>6.121296436E-3</v>
      </c>
      <c r="O670" s="308">
        <v>0.43</v>
      </c>
      <c r="P670" s="312">
        <v>4.0343898482930003</v>
      </c>
      <c r="Q670" s="344"/>
      <c r="U670" s="126" t="s">
        <v>1059</v>
      </c>
      <c r="V670" s="131" t="s">
        <v>6516</v>
      </c>
      <c r="W670" s="132">
        <v>6.0383665330000003E-2</v>
      </c>
      <c r="X670" s="129">
        <v>9.7604634940000004E-2</v>
      </c>
      <c r="Y670" s="130">
        <v>0.22423612533000001</v>
      </c>
    </row>
    <row r="671" spans="8:25" ht="15.5" x14ac:dyDescent="0.35">
      <c r="H671" s="384" t="s">
        <v>1710</v>
      </c>
      <c r="I671" s="333"/>
      <c r="J671" s="319"/>
      <c r="K671" s="303"/>
      <c r="O671" s="308"/>
      <c r="P671" s="313"/>
      <c r="Q671" s="344"/>
      <c r="U671" s="126" t="s">
        <v>1059</v>
      </c>
      <c r="V671" s="131" t="s">
        <v>6517</v>
      </c>
      <c r="W671" s="132">
        <v>6.6916286800000002E-2</v>
      </c>
      <c r="X671" s="129">
        <v>9.646229395E-2</v>
      </c>
      <c r="Y671" s="130">
        <v>0.25519084680000004</v>
      </c>
    </row>
    <row r="672" spans="8:25" ht="15.5" x14ac:dyDescent="0.35">
      <c r="H672" s="383"/>
      <c r="I672" s="331" t="s">
        <v>1059</v>
      </c>
      <c r="J672" s="320" t="s">
        <v>1711</v>
      </c>
      <c r="K672" s="302">
        <v>4.7844736850000003E-3</v>
      </c>
      <c r="O672" s="308">
        <v>0.02</v>
      </c>
      <c r="P672" s="312">
        <v>1.7002939110999999E-2</v>
      </c>
      <c r="Q672" s="344"/>
      <c r="U672" s="126" t="s">
        <v>1059</v>
      </c>
      <c r="V672" s="131" t="s">
        <v>6518</v>
      </c>
      <c r="W672" s="132">
        <v>6.5507110199999996E-2</v>
      </c>
      <c r="X672" s="129">
        <v>9.7225184359999994E-2</v>
      </c>
      <c r="Y672" s="130">
        <v>0.2801362302</v>
      </c>
    </row>
    <row r="673" spans="8:25" ht="15.5" x14ac:dyDescent="0.35">
      <c r="H673" s="383"/>
      <c r="I673" s="331" t="s">
        <v>1059</v>
      </c>
      <c r="J673" s="320" t="s">
        <v>1712</v>
      </c>
      <c r="K673" s="302">
        <v>4.7844736850000003E-3</v>
      </c>
      <c r="O673" s="308">
        <v>0.42</v>
      </c>
      <c r="P673" s="312">
        <v>8.5970029501509995</v>
      </c>
      <c r="Q673" s="344"/>
      <c r="U673" s="126" t="s">
        <v>1059</v>
      </c>
      <c r="V673" s="131" t="s">
        <v>6519</v>
      </c>
      <c r="W673" s="132">
        <v>0.32007226639999997</v>
      </c>
      <c r="X673" s="129">
        <v>1.2848299013000002</v>
      </c>
      <c r="Y673" s="130">
        <v>0.71483211639999999</v>
      </c>
    </row>
    <row r="674" spans="8:25" ht="15.5" x14ac:dyDescent="0.35">
      <c r="H674" s="383"/>
      <c r="I674" s="331" t="s">
        <v>1059</v>
      </c>
      <c r="J674" s="320" t="s">
        <v>1713</v>
      </c>
      <c r="K674" s="302">
        <v>3.7632896100000006E-3</v>
      </c>
      <c r="O674" s="308">
        <v>0.02</v>
      </c>
      <c r="P674" s="312">
        <v>1.3269882516E-2</v>
      </c>
      <c r="Q674" s="344"/>
      <c r="U674" s="126" t="s">
        <v>1059</v>
      </c>
      <c r="V674" s="131" t="s">
        <v>6520</v>
      </c>
      <c r="W674" s="132">
        <v>0.91712532999999996</v>
      </c>
      <c r="X674" s="129">
        <v>0.92384323899999998</v>
      </c>
      <c r="Y674" s="130">
        <v>1.4402941600000001</v>
      </c>
    </row>
    <row r="675" spans="8:25" ht="15.5" x14ac:dyDescent="0.35">
      <c r="H675" s="383"/>
      <c r="I675" s="331" t="s">
        <v>1059</v>
      </c>
      <c r="J675" s="320" t="s">
        <v>1714</v>
      </c>
      <c r="K675" s="302">
        <v>3.7632896100000006E-3</v>
      </c>
      <c r="O675" s="308">
        <v>0.42</v>
      </c>
      <c r="P675" s="312">
        <v>4.3782699081410001</v>
      </c>
      <c r="Q675" s="344"/>
      <c r="U675" s="126" t="s">
        <v>1059</v>
      </c>
      <c r="V675" s="131" t="s">
        <v>6521</v>
      </c>
      <c r="W675" s="132">
        <v>0.57329538699999993</v>
      </c>
      <c r="X675" s="129">
        <v>1.3048360899</v>
      </c>
      <c r="Y675" s="130">
        <v>1.1560774569999999</v>
      </c>
    </row>
    <row r="676" spans="8:25" ht="15.5" x14ac:dyDescent="0.35">
      <c r="H676" s="383">
        <v>1</v>
      </c>
      <c r="I676" s="331" t="s">
        <v>1059</v>
      </c>
      <c r="J676" s="320" t="s">
        <v>1715</v>
      </c>
      <c r="K676" s="302">
        <v>3.6890217380000003E-3</v>
      </c>
      <c r="O676" s="308">
        <v>0.02</v>
      </c>
      <c r="P676" s="312">
        <v>1.2998387070999999E-2</v>
      </c>
      <c r="Q676" s="344"/>
      <c r="U676" s="126" t="s">
        <v>1059</v>
      </c>
      <c r="V676" s="131" t="s">
        <v>6522</v>
      </c>
      <c r="W676" s="132">
        <v>0.29183278480000002</v>
      </c>
      <c r="X676" s="129">
        <v>1.0991800927000002</v>
      </c>
      <c r="Y676" s="130">
        <v>0.64778662480000004</v>
      </c>
    </row>
    <row r="677" spans="8:25" ht="15.5" x14ac:dyDescent="0.35">
      <c r="H677" s="383">
        <v>1</v>
      </c>
      <c r="I677" s="331" t="s">
        <v>1059</v>
      </c>
      <c r="J677" s="320" t="s">
        <v>1716</v>
      </c>
      <c r="K677" s="302">
        <v>3.6890217380000003E-3</v>
      </c>
      <c r="O677" s="308">
        <v>0.42</v>
      </c>
      <c r="P677" s="312">
        <v>4.0329984355749993</v>
      </c>
      <c r="Q677" s="344"/>
      <c r="U677" s="126" t="s">
        <v>1059</v>
      </c>
      <c r="V677" s="131" t="s">
        <v>6523</v>
      </c>
      <c r="W677" s="132">
        <v>0.60025908109999992</v>
      </c>
      <c r="X677" s="129">
        <v>0.98511635880000004</v>
      </c>
      <c r="Y677" s="130">
        <v>1.0952626810999999</v>
      </c>
    </row>
    <row r="678" spans="8:25" ht="15.5" x14ac:dyDescent="0.35">
      <c r="H678" s="383"/>
      <c r="I678" s="331" t="s">
        <v>1059</v>
      </c>
      <c r="J678" s="320" t="s">
        <v>1717</v>
      </c>
      <c r="K678" s="302">
        <v>4.4502679800000004E-3</v>
      </c>
      <c r="O678" s="308">
        <v>0.02</v>
      </c>
      <c r="P678" s="312">
        <v>1.5781211116000001E-2</v>
      </c>
      <c r="Q678" s="344"/>
      <c r="U678" s="126" t="s">
        <v>1059</v>
      </c>
      <c r="V678" s="131" t="s">
        <v>6524</v>
      </c>
      <c r="W678" s="132">
        <v>0.8055736993</v>
      </c>
      <c r="X678" s="129">
        <v>0.78954354460000009</v>
      </c>
      <c r="Y678" s="130">
        <v>1.2728449193</v>
      </c>
    </row>
    <row r="679" spans="8:25" ht="15.5" x14ac:dyDescent="0.35">
      <c r="H679" s="383"/>
      <c r="I679" s="331" t="s">
        <v>1059</v>
      </c>
      <c r="J679" s="320" t="s">
        <v>1718</v>
      </c>
      <c r="K679" s="302">
        <v>4.4502679800000004E-3</v>
      </c>
      <c r="O679" s="308">
        <v>0.42</v>
      </c>
      <c r="P679" s="312">
        <v>7.4557812251110001</v>
      </c>
      <c r="Q679" s="344"/>
      <c r="U679" s="126" t="s">
        <v>1059</v>
      </c>
      <c r="V679" s="131" t="s">
        <v>6525</v>
      </c>
      <c r="W679" s="132">
        <v>0.51456858189999999</v>
      </c>
      <c r="X679" s="129">
        <v>0.92008146020000003</v>
      </c>
      <c r="Y679" s="130">
        <v>0.95032152189999997</v>
      </c>
    </row>
    <row r="680" spans="8:25" ht="15.5" x14ac:dyDescent="0.35">
      <c r="H680" s="383"/>
      <c r="I680" s="331" t="s">
        <v>1059</v>
      </c>
      <c r="J680" s="320" t="s">
        <v>1719</v>
      </c>
      <c r="K680" s="302">
        <v>3.7447226419999998E-3</v>
      </c>
      <c r="O680" s="308">
        <v>0.02</v>
      </c>
      <c r="P680" s="312">
        <v>1.3202007906999999E-2</v>
      </c>
      <c r="Q680" s="344"/>
      <c r="U680" s="126" t="s">
        <v>1059</v>
      </c>
      <c r="V680" s="131" t="s">
        <v>6526</v>
      </c>
      <c r="W680" s="132">
        <v>0.64471368699999998</v>
      </c>
      <c r="X680" s="129">
        <v>1.5252529394999998</v>
      </c>
      <c r="Y680" s="130">
        <v>1.0975338670000001</v>
      </c>
    </row>
    <row r="681" spans="8:25" ht="15.5" x14ac:dyDescent="0.35">
      <c r="H681" s="383"/>
      <c r="I681" s="331" t="s">
        <v>1059</v>
      </c>
      <c r="J681" s="320" t="s">
        <v>1720</v>
      </c>
      <c r="K681" s="302">
        <v>3.7447226419999998E-3</v>
      </c>
      <c r="O681" s="308">
        <v>0.42</v>
      </c>
      <c r="P681" s="312">
        <v>5.1732020392519997</v>
      </c>
      <c r="Q681" s="344"/>
      <c r="U681" s="126" t="s">
        <v>1059</v>
      </c>
      <c r="V681" s="131" t="s">
        <v>6527</v>
      </c>
      <c r="W681" s="132">
        <v>0.4165494253</v>
      </c>
      <c r="X681" s="129">
        <v>0.8975700056</v>
      </c>
      <c r="Y681" s="130">
        <v>0.72780522530000002</v>
      </c>
    </row>
    <row r="682" spans="8:25" ht="15.5" x14ac:dyDescent="0.35">
      <c r="H682" s="383">
        <v>1</v>
      </c>
      <c r="I682" s="331" t="s">
        <v>1059</v>
      </c>
      <c r="J682" s="320" t="s">
        <v>1721</v>
      </c>
      <c r="K682" s="302">
        <v>5.0072774809999995E-3</v>
      </c>
      <c r="O682" s="308">
        <v>0.02</v>
      </c>
      <c r="P682" s="312">
        <v>1.7817423434999997E-2</v>
      </c>
      <c r="Q682" s="344"/>
      <c r="U682" s="126" t="s">
        <v>1059</v>
      </c>
      <c r="V682" s="131" t="s">
        <v>6528</v>
      </c>
      <c r="W682" s="132">
        <v>0.48146761989999998</v>
      </c>
      <c r="X682" s="129">
        <v>0.8755917204</v>
      </c>
      <c r="Y682" s="130">
        <v>0.90648955990000002</v>
      </c>
    </row>
    <row r="683" spans="8:25" ht="15.5" x14ac:dyDescent="0.35">
      <c r="H683" s="383">
        <v>1</v>
      </c>
      <c r="I683" s="331" t="s">
        <v>1059</v>
      </c>
      <c r="J683" s="320" t="s">
        <v>1722</v>
      </c>
      <c r="K683" s="302">
        <v>5.0072774809999995E-3</v>
      </c>
      <c r="O683" s="308">
        <v>0.42</v>
      </c>
      <c r="P683" s="312">
        <v>7.6513174658379999</v>
      </c>
      <c r="Q683" s="344"/>
      <c r="U683" s="126" t="s">
        <v>1059</v>
      </c>
      <c r="V683" s="131" t="s">
        <v>6529</v>
      </c>
      <c r="W683" s="132">
        <v>0.62462534400000003</v>
      </c>
      <c r="X683" s="129">
        <v>0.96187648420000005</v>
      </c>
      <c r="Y683" s="130">
        <v>1.0829920340000001</v>
      </c>
    </row>
    <row r="684" spans="8:25" ht="15.5" x14ac:dyDescent="0.35">
      <c r="H684" s="383"/>
      <c r="I684" s="331" t="s">
        <v>1059</v>
      </c>
      <c r="J684" s="320" t="s">
        <v>1723</v>
      </c>
      <c r="K684" s="302">
        <v>5.1150297600000005E-3</v>
      </c>
      <c r="O684" s="308">
        <v>0</v>
      </c>
      <c r="P684" s="312">
        <v>1.8482532396999998E-2</v>
      </c>
      <c r="Q684" s="344"/>
      <c r="U684" s="126" t="s">
        <v>1059</v>
      </c>
      <c r="V684" s="131" t="s">
        <v>6530</v>
      </c>
      <c r="W684" s="132">
        <v>0.55096338980000004</v>
      </c>
      <c r="X684" s="129">
        <v>0.96379088489999998</v>
      </c>
      <c r="Y684" s="130">
        <v>1.0179044398000001</v>
      </c>
    </row>
    <row r="685" spans="8:25" ht="15.5" x14ac:dyDescent="0.35">
      <c r="H685" s="383"/>
      <c r="I685" s="331" t="s">
        <v>1059</v>
      </c>
      <c r="J685" s="320" t="s">
        <v>1724</v>
      </c>
      <c r="K685" s="302">
        <v>5.5271529480000001E-3</v>
      </c>
      <c r="O685" s="308">
        <v>0.02</v>
      </c>
      <c r="P685" s="312">
        <v>1.9717888537999998E-2</v>
      </c>
      <c r="Q685" s="344"/>
      <c r="U685" s="126" t="s">
        <v>1059</v>
      </c>
      <c r="V685" s="131" t="s">
        <v>6531</v>
      </c>
      <c r="W685" s="132">
        <v>0.64101696500000005</v>
      </c>
      <c r="X685" s="129">
        <v>1.0986690003999999</v>
      </c>
      <c r="Y685" s="130">
        <v>1.171949855</v>
      </c>
    </row>
    <row r="686" spans="8:25" ht="15.5" x14ac:dyDescent="0.35">
      <c r="H686" s="384"/>
      <c r="I686" s="331" t="s">
        <v>1059</v>
      </c>
      <c r="J686" s="320" t="s">
        <v>1725</v>
      </c>
      <c r="K686" s="302">
        <v>5.5271529480000001E-3</v>
      </c>
      <c r="O686" s="308">
        <v>0.42</v>
      </c>
      <c r="P686" s="312">
        <v>4.9697178707880001</v>
      </c>
      <c r="Q686" s="344"/>
      <c r="U686" s="126" t="s">
        <v>1059</v>
      </c>
      <c r="V686" s="131" t="s">
        <v>6532</v>
      </c>
      <c r="W686" s="132">
        <v>0.50792431809999994</v>
      </c>
      <c r="X686" s="129">
        <v>1.1159410943000001</v>
      </c>
      <c r="Y686" s="130">
        <v>1.0246844880999999</v>
      </c>
    </row>
    <row r="687" spans="8:25" ht="15.5" x14ac:dyDescent="0.35">
      <c r="H687" s="383"/>
      <c r="I687" s="331" t="s">
        <v>1059</v>
      </c>
      <c r="J687" s="320" t="s">
        <v>1726</v>
      </c>
      <c r="K687" s="302">
        <v>4.1903302459999998E-3</v>
      </c>
      <c r="O687" s="308">
        <v>0.02</v>
      </c>
      <c r="P687" s="312">
        <v>1.4830978565000002E-2</v>
      </c>
      <c r="Q687" s="344"/>
      <c r="U687" s="126" t="s">
        <v>1059</v>
      </c>
      <c r="V687" s="131" t="s">
        <v>6533</v>
      </c>
      <c r="W687" s="132">
        <v>0.44316333250000001</v>
      </c>
      <c r="X687" s="129">
        <v>0.21921229044000001</v>
      </c>
      <c r="Y687" s="130">
        <v>0.65382859250000003</v>
      </c>
    </row>
    <row r="688" spans="8:25" ht="15.5" x14ac:dyDescent="0.35">
      <c r="H688" s="383"/>
      <c r="I688" s="331" t="s">
        <v>1059</v>
      </c>
      <c r="J688" s="320" t="s">
        <v>1727</v>
      </c>
      <c r="K688" s="302">
        <v>4.1903302459999998E-3</v>
      </c>
      <c r="O688" s="308">
        <v>0.42</v>
      </c>
      <c r="P688" s="312">
        <v>3.9148309726360004</v>
      </c>
      <c r="Q688" s="344"/>
      <c r="U688" s="126" t="s">
        <v>1059</v>
      </c>
      <c r="V688" s="131" t="s">
        <v>6534</v>
      </c>
      <c r="W688" s="132">
        <v>4.5532095299999995E-3</v>
      </c>
      <c r="X688" s="129">
        <v>9.2556660249999993E-4</v>
      </c>
      <c r="Y688" s="130">
        <v>6.9489910299999997E-3</v>
      </c>
    </row>
    <row r="689" spans="8:25" ht="15.5" x14ac:dyDescent="0.35">
      <c r="H689" s="383">
        <v>1</v>
      </c>
      <c r="I689" s="331" t="s">
        <v>1059</v>
      </c>
      <c r="J689" s="320" t="s">
        <v>1728</v>
      </c>
      <c r="K689" s="302">
        <v>3.7261556749999996E-3</v>
      </c>
      <c r="O689" s="308">
        <v>0.02</v>
      </c>
      <c r="P689" s="312">
        <v>1.3134134298E-2</v>
      </c>
      <c r="Q689" s="344"/>
      <c r="U689" s="126" t="s">
        <v>1059</v>
      </c>
      <c r="V689" s="131" t="s">
        <v>6535</v>
      </c>
      <c r="W689" s="132">
        <v>2.3591993579999998E-2</v>
      </c>
      <c r="X689" s="129">
        <v>1.9473573334999997E-2</v>
      </c>
      <c r="Y689" s="130">
        <v>3.8793190579999998E-2</v>
      </c>
    </row>
    <row r="690" spans="8:25" ht="15.5" x14ac:dyDescent="0.35">
      <c r="H690" s="383">
        <v>1</v>
      </c>
      <c r="I690" s="331" t="s">
        <v>1059</v>
      </c>
      <c r="J690" s="320" t="s">
        <v>1729</v>
      </c>
      <c r="K690" s="302">
        <v>3.7261556749999996E-3</v>
      </c>
      <c r="O690" s="308">
        <v>0.42</v>
      </c>
      <c r="P690" s="312">
        <v>2.902134171363</v>
      </c>
      <c r="Q690" s="344"/>
      <c r="U690" s="126" t="s">
        <v>1059</v>
      </c>
      <c r="V690" s="131" t="s">
        <v>6536</v>
      </c>
      <c r="W690" s="132">
        <v>2.2568110440000001E-2</v>
      </c>
      <c r="X690" s="129">
        <v>2.0232437480999999E-2</v>
      </c>
      <c r="Y690" s="130">
        <v>3.5281015440000001E-2</v>
      </c>
    </row>
    <row r="691" spans="8:25" ht="15.5" x14ac:dyDescent="0.35">
      <c r="H691" s="383">
        <v>1</v>
      </c>
      <c r="I691" s="331" t="s">
        <v>1059</v>
      </c>
      <c r="J691" s="320" t="s">
        <v>1730</v>
      </c>
      <c r="K691" s="302">
        <v>6.5297700939999995E-3</v>
      </c>
      <c r="O691" s="308">
        <v>0.03</v>
      </c>
      <c r="P691" s="312">
        <v>2.3383071515000003E-2</v>
      </c>
      <c r="Q691" s="344"/>
      <c r="U691" s="126" t="s">
        <v>1059</v>
      </c>
      <c r="V691" s="131" t="s">
        <v>6537</v>
      </c>
      <c r="W691" s="132">
        <v>2.5720544969999998E-2</v>
      </c>
      <c r="X691" s="129">
        <v>2.4467346505000001E-2</v>
      </c>
      <c r="Y691" s="130">
        <v>4.4452547969999999E-2</v>
      </c>
    </row>
    <row r="692" spans="8:25" ht="15.5" x14ac:dyDescent="0.35">
      <c r="H692" s="383">
        <v>1</v>
      </c>
      <c r="I692" s="331" t="s">
        <v>1059</v>
      </c>
      <c r="J692" s="320" t="s">
        <v>1731</v>
      </c>
      <c r="K692" s="302">
        <v>6.5297700939999995E-3</v>
      </c>
      <c r="O692" s="308">
        <v>0.43</v>
      </c>
      <c r="P692" s="312">
        <v>6.6833830448990001</v>
      </c>
      <c r="Q692" s="344"/>
      <c r="U692" s="126" t="s">
        <v>1059</v>
      </c>
      <c r="V692" s="131" t="s">
        <v>6538</v>
      </c>
      <c r="W692" s="132">
        <v>3.9527935870000003E-2</v>
      </c>
      <c r="X692" s="129">
        <v>2.0458016174999996E-2</v>
      </c>
      <c r="Y692" s="130">
        <v>5.3056505870000006E-2</v>
      </c>
    </row>
    <row r="693" spans="8:25" ht="15.5" x14ac:dyDescent="0.35">
      <c r="H693" s="383">
        <v>1</v>
      </c>
      <c r="I693" s="331" t="s">
        <v>1059</v>
      </c>
      <c r="J693" s="320" t="s">
        <v>1732</v>
      </c>
      <c r="K693" s="302">
        <v>5.6571217839999997E-3</v>
      </c>
      <c r="O693" s="308">
        <v>0.02</v>
      </c>
      <c r="P693" s="312">
        <v>2.0193005807999997E-2</v>
      </c>
      <c r="Q693" s="344"/>
      <c r="U693" s="126" t="s">
        <v>1059</v>
      </c>
      <c r="V693" s="131" t="s">
        <v>6539</v>
      </c>
      <c r="W693" s="132">
        <v>2.665728811E-2</v>
      </c>
      <c r="X693" s="129">
        <v>2.0282554301999999E-2</v>
      </c>
      <c r="Y693" s="130">
        <v>5.0770253109999997E-2</v>
      </c>
    </row>
    <row r="694" spans="8:25" ht="15.5" x14ac:dyDescent="0.35">
      <c r="H694" s="383">
        <v>1</v>
      </c>
      <c r="I694" s="331" t="s">
        <v>1059</v>
      </c>
      <c r="J694" s="320" t="s">
        <v>1733</v>
      </c>
      <c r="K694" s="302">
        <v>5.6571217839999997E-3</v>
      </c>
      <c r="O694" s="308">
        <v>0.43</v>
      </c>
      <c r="P694" s="312">
        <v>5.3601930480200002</v>
      </c>
      <c r="Q694" s="344"/>
      <c r="U694" s="126" t="s">
        <v>1059</v>
      </c>
      <c r="V694" s="131" t="s">
        <v>6540</v>
      </c>
      <c r="W694" s="132">
        <v>2.5315054909999999E-2</v>
      </c>
      <c r="X694" s="129">
        <v>2.2124672870999999E-2</v>
      </c>
      <c r="Y694" s="130">
        <v>4.5318423910000002E-2</v>
      </c>
    </row>
    <row r="695" spans="8:25" ht="15.5" x14ac:dyDescent="0.35">
      <c r="H695" s="383">
        <v>1</v>
      </c>
      <c r="I695" s="331" t="s">
        <v>1059</v>
      </c>
      <c r="J695" s="320" t="s">
        <v>1734</v>
      </c>
      <c r="K695" s="302">
        <v>3.1617406779999996E-3</v>
      </c>
      <c r="O695" s="308">
        <v>0.01</v>
      </c>
      <c r="P695" s="312">
        <v>1.1161252868E-2</v>
      </c>
      <c r="Q695" s="344"/>
      <c r="U695" s="126" t="s">
        <v>1059</v>
      </c>
      <c r="V695" s="131" t="s">
        <v>6541</v>
      </c>
      <c r="W695" s="132">
        <v>2.8599581499999999E-2</v>
      </c>
      <c r="X695" s="129">
        <v>2.4865624950000002E-2</v>
      </c>
      <c r="Y695" s="130">
        <v>5.6314305499999995E-2</v>
      </c>
    </row>
    <row r="696" spans="8:25" ht="15.5" x14ac:dyDescent="0.35">
      <c r="H696" s="384"/>
      <c r="I696" s="331" t="s">
        <v>1059</v>
      </c>
      <c r="J696" s="320" t="s">
        <v>1735</v>
      </c>
      <c r="K696" s="302">
        <v>3.5776198399999999E-3</v>
      </c>
      <c r="O696" s="308">
        <v>0.02</v>
      </c>
      <c r="P696" s="312">
        <v>1.2591144408999999E-2</v>
      </c>
      <c r="Q696" s="344"/>
      <c r="U696" s="126" t="s">
        <v>1059</v>
      </c>
      <c r="V696" s="131" t="s">
        <v>6542</v>
      </c>
      <c r="W696" s="132">
        <v>4.5033878919999999E-2</v>
      </c>
      <c r="X696" s="129">
        <v>2.0981290242000003E-2</v>
      </c>
      <c r="Y696" s="130">
        <v>6.7751402919999995E-2</v>
      </c>
    </row>
    <row r="697" spans="8:25" ht="15.5" x14ac:dyDescent="0.35">
      <c r="H697" s="383"/>
      <c r="I697" s="331" t="s">
        <v>1059</v>
      </c>
      <c r="J697" s="320" t="s">
        <v>1736</v>
      </c>
      <c r="K697" s="302">
        <v>3.5776198399999999E-3</v>
      </c>
      <c r="O697" s="308">
        <v>0.42</v>
      </c>
      <c r="P697" s="312">
        <v>3.7925911272319999</v>
      </c>
      <c r="Q697" s="344"/>
      <c r="U697" s="126" t="s">
        <v>1059</v>
      </c>
      <c r="V697" s="131" t="s">
        <v>6543</v>
      </c>
      <c r="W697" s="132">
        <v>1.5125871340000001E-2</v>
      </c>
      <c r="X697" s="129">
        <v>1.2354680966E-2</v>
      </c>
      <c r="Y697" s="130">
        <v>2.5696647340000003E-2</v>
      </c>
    </row>
    <row r="698" spans="8:25" ht="15.5" x14ac:dyDescent="0.35">
      <c r="H698" s="383"/>
      <c r="I698" s="331" t="s">
        <v>1059</v>
      </c>
      <c r="J698" s="320" t="s">
        <v>1737</v>
      </c>
      <c r="K698" s="302">
        <v>9.3547417549999998E-3</v>
      </c>
      <c r="O698" s="308">
        <v>0.04</v>
      </c>
      <c r="P698" s="312">
        <v>3.3732684472E-2</v>
      </c>
      <c r="Q698" s="344"/>
      <c r="U698" s="126" t="s">
        <v>1059</v>
      </c>
      <c r="V698" s="131" t="s">
        <v>6544</v>
      </c>
      <c r="W698" s="132">
        <v>1.4419080110000001E-2</v>
      </c>
      <c r="X698" s="129">
        <v>1.3052680510000001E-2</v>
      </c>
      <c r="Y698" s="130">
        <v>2.3097957710000002E-2</v>
      </c>
    </row>
    <row r="699" spans="8:25" ht="15.5" x14ac:dyDescent="0.35">
      <c r="H699" s="384"/>
      <c r="I699" s="331" t="s">
        <v>1059</v>
      </c>
      <c r="J699" s="320" t="s">
        <v>1738</v>
      </c>
      <c r="K699" s="302">
        <v>4.2274641819999995E-3</v>
      </c>
      <c r="O699" s="308">
        <v>0.02</v>
      </c>
      <c r="P699" s="312">
        <v>1.4966725782E-2</v>
      </c>
      <c r="Q699" s="344"/>
      <c r="U699" s="126" t="s">
        <v>1059</v>
      </c>
      <c r="V699" s="131" t="s">
        <v>6545</v>
      </c>
      <c r="W699" s="132">
        <v>1.6420908519999999E-2</v>
      </c>
      <c r="X699" s="129">
        <v>1.5398354906000002E-2</v>
      </c>
      <c r="Y699" s="130">
        <v>2.9217957519999997E-2</v>
      </c>
    </row>
    <row r="700" spans="8:25" ht="15.5" x14ac:dyDescent="0.35">
      <c r="H700" s="383"/>
      <c r="I700" s="331" t="s">
        <v>1059</v>
      </c>
      <c r="J700" s="320" t="s">
        <v>1739</v>
      </c>
      <c r="K700" s="302">
        <v>4.2274641819999995E-3</v>
      </c>
      <c r="O700" s="308">
        <v>0.42</v>
      </c>
      <c r="P700" s="312">
        <v>4.6102167084140007</v>
      </c>
      <c r="Q700" s="344"/>
      <c r="U700" s="126" t="s">
        <v>1059</v>
      </c>
      <c r="V700" s="131" t="s">
        <v>6546</v>
      </c>
      <c r="W700" s="132">
        <v>2.5609753709999999E-2</v>
      </c>
      <c r="X700" s="129">
        <v>1.2912610263E-2</v>
      </c>
      <c r="Y700" s="130">
        <v>3.5189771809999999E-2</v>
      </c>
    </row>
    <row r="701" spans="8:25" ht="15.5" x14ac:dyDescent="0.35">
      <c r="H701" s="383"/>
      <c r="I701" s="331" t="s">
        <v>1059</v>
      </c>
      <c r="J701" s="320" t="s">
        <v>1740</v>
      </c>
      <c r="K701" s="302">
        <v>3.7447226419999998E-3</v>
      </c>
      <c r="O701" s="308">
        <v>0.02</v>
      </c>
      <c r="P701" s="312">
        <v>1.3202007906999999E-2</v>
      </c>
      <c r="Q701" s="344"/>
      <c r="U701" s="126" t="s">
        <v>1059</v>
      </c>
      <c r="V701" s="131" t="s">
        <v>6547</v>
      </c>
      <c r="W701" s="132">
        <v>8.8486196199999992E-2</v>
      </c>
      <c r="X701" s="129">
        <v>7.3039286930000002E-2</v>
      </c>
      <c r="Y701" s="130">
        <v>0.14550113719999999</v>
      </c>
    </row>
    <row r="702" spans="8:25" ht="15.5" x14ac:dyDescent="0.35">
      <c r="H702" s="383"/>
      <c r="I702" s="331" t="s">
        <v>1059</v>
      </c>
      <c r="J702" s="320" t="s">
        <v>1741</v>
      </c>
      <c r="K702" s="302">
        <v>3.7447226419999998E-3</v>
      </c>
      <c r="O702" s="308">
        <v>0.42</v>
      </c>
      <c r="P702" s="312">
        <v>5.1732020392519997</v>
      </c>
      <c r="Q702" s="344"/>
      <c r="U702" s="126" t="s">
        <v>1059</v>
      </c>
      <c r="V702" s="131" t="s">
        <v>6548</v>
      </c>
      <c r="W702" s="132">
        <v>8.4645928790000005E-2</v>
      </c>
      <c r="X702" s="129">
        <v>7.5885549050000001E-2</v>
      </c>
      <c r="Y702" s="130">
        <v>0.13232806379000001</v>
      </c>
    </row>
    <row r="703" spans="8:25" ht="15.5" x14ac:dyDescent="0.35">
      <c r="H703" s="384" t="s">
        <v>1742</v>
      </c>
      <c r="I703" s="333"/>
      <c r="J703" s="319"/>
      <c r="K703" s="303"/>
      <c r="O703" s="308"/>
      <c r="P703" s="313"/>
      <c r="Q703" s="344"/>
      <c r="U703" s="126" t="s">
        <v>1059</v>
      </c>
      <c r="V703" s="131" t="s">
        <v>6549</v>
      </c>
      <c r="W703" s="132">
        <v>9.6469726259999999E-2</v>
      </c>
      <c r="X703" s="129">
        <v>9.1769369330000003E-2</v>
      </c>
      <c r="Y703" s="130">
        <v>0.16672761526000002</v>
      </c>
    </row>
    <row r="704" spans="8:25" ht="15.5" x14ac:dyDescent="0.35">
      <c r="H704" s="383"/>
      <c r="I704" s="331" t="s">
        <v>1059</v>
      </c>
      <c r="J704" s="320" t="s">
        <v>1743</v>
      </c>
      <c r="K704" s="302">
        <v>4.1717632790000004E-3</v>
      </c>
      <c r="O704" s="308">
        <v>0.02</v>
      </c>
      <c r="P704" s="312">
        <v>1.4763104956000001E-2</v>
      </c>
      <c r="Q704" s="344"/>
      <c r="U704" s="126" t="s">
        <v>1059</v>
      </c>
      <c r="V704" s="131" t="s">
        <v>6550</v>
      </c>
      <c r="W704" s="132">
        <v>0.14825693470000001</v>
      </c>
      <c r="X704" s="129">
        <v>7.6731624329999998E-2</v>
      </c>
      <c r="Y704" s="130">
        <v>0.19899837370000001</v>
      </c>
    </row>
    <row r="705" spans="8:25" ht="15.5" x14ac:dyDescent="0.35">
      <c r="H705" s="383"/>
      <c r="I705" s="331" t="s">
        <v>1059</v>
      </c>
      <c r="J705" s="320" t="s">
        <v>1744</v>
      </c>
      <c r="K705" s="302">
        <v>4.1717632790000004E-3</v>
      </c>
      <c r="O705" s="308">
        <v>0.42</v>
      </c>
      <c r="P705" s="312">
        <v>5.2797631047470004</v>
      </c>
      <c r="Q705" s="344"/>
      <c r="U705" s="126" t="s">
        <v>1059</v>
      </c>
      <c r="V705" s="131" t="s">
        <v>6551</v>
      </c>
      <c r="W705" s="132">
        <v>4.6925902490000004E-2</v>
      </c>
      <c r="X705" s="129">
        <v>3.8378264539999998E-2</v>
      </c>
      <c r="Y705" s="130">
        <v>8.0407582490000004E-2</v>
      </c>
    </row>
    <row r="706" spans="8:25" ht="15.5" x14ac:dyDescent="0.35">
      <c r="H706" s="383"/>
      <c r="I706" s="331" t="s">
        <v>1059</v>
      </c>
      <c r="J706" s="320" t="s">
        <v>1745</v>
      </c>
      <c r="K706" s="302">
        <v>4.5616698770000004E-3</v>
      </c>
      <c r="O706" s="308">
        <v>0.02</v>
      </c>
      <c r="P706" s="312">
        <v>1.6188453776999998E-2</v>
      </c>
      <c r="Q706" s="344"/>
      <c r="U706" s="126" t="s">
        <v>1059</v>
      </c>
      <c r="V706" s="131" t="s">
        <v>6552</v>
      </c>
      <c r="W706" s="132">
        <v>4.464082942E-2</v>
      </c>
      <c r="X706" s="129">
        <v>4.0883873740000007E-2</v>
      </c>
      <c r="Y706" s="130">
        <v>7.1756899419999992E-2</v>
      </c>
    </row>
    <row r="707" spans="8:25" ht="15.5" x14ac:dyDescent="0.35">
      <c r="H707" s="383"/>
      <c r="I707" s="331" t="s">
        <v>1059</v>
      </c>
      <c r="J707" s="320" t="s">
        <v>1746</v>
      </c>
      <c r="K707" s="302">
        <v>4.5616698770000004E-3</v>
      </c>
      <c r="O707" s="308">
        <v>0.42</v>
      </c>
      <c r="P707" s="312">
        <v>7.8161884334540002</v>
      </c>
      <c r="Q707" s="344"/>
      <c r="U707" s="126" t="s">
        <v>1059</v>
      </c>
      <c r="V707" s="131" t="s">
        <v>6553</v>
      </c>
      <c r="W707" s="132">
        <v>5.0863601869999997E-2</v>
      </c>
      <c r="X707" s="129">
        <v>4.7641643550000001E-2</v>
      </c>
      <c r="Y707" s="130">
        <v>9.1241156870000006E-2</v>
      </c>
    </row>
    <row r="708" spans="8:25" ht="15.5" x14ac:dyDescent="0.35">
      <c r="H708" s="384"/>
      <c r="I708" s="331" t="s">
        <v>1059</v>
      </c>
      <c r="J708" s="320" t="s">
        <v>1747</v>
      </c>
      <c r="K708" s="302">
        <v>7.9222937469999987E-3</v>
      </c>
      <c r="O708" s="308">
        <v>0.03</v>
      </c>
      <c r="P708" s="312">
        <v>2.8473603324000001E-2</v>
      </c>
      <c r="Q708" s="344"/>
      <c r="U708" s="126" t="s">
        <v>1059</v>
      </c>
      <c r="V708" s="131" t="s">
        <v>6554</v>
      </c>
      <c r="W708" s="132">
        <v>8.0081804919999999E-2</v>
      </c>
      <c r="X708" s="129">
        <v>4.0008180186000004E-2</v>
      </c>
      <c r="Y708" s="130">
        <v>0.11059459092</v>
      </c>
    </row>
    <row r="709" spans="8:25" ht="15.5" x14ac:dyDescent="0.35">
      <c r="H709" s="383"/>
      <c r="I709" s="331" t="s">
        <v>1059</v>
      </c>
      <c r="J709" s="320" t="s">
        <v>1748</v>
      </c>
      <c r="K709" s="302">
        <v>7.9222937469999987E-3</v>
      </c>
      <c r="O709" s="308">
        <v>0.44</v>
      </c>
      <c r="P709" s="312">
        <v>8.8484736477279995</v>
      </c>
      <c r="Q709" s="344"/>
      <c r="U709" s="126" t="s">
        <v>1059</v>
      </c>
      <c r="V709" s="131" t="s">
        <v>6555</v>
      </c>
      <c r="W709" s="132">
        <v>2.8887502190000001E-2</v>
      </c>
      <c r="X709" s="129">
        <v>2.3595061952999999E-2</v>
      </c>
      <c r="Y709" s="130">
        <v>4.9075649190000001E-2</v>
      </c>
    </row>
    <row r="710" spans="8:25" ht="15.5" x14ac:dyDescent="0.35">
      <c r="H710" s="383"/>
      <c r="I710" s="331" t="s">
        <v>1059</v>
      </c>
      <c r="J710" s="320" t="s">
        <v>1749</v>
      </c>
      <c r="K710" s="302">
        <v>3.837557583E-3</v>
      </c>
      <c r="O710" s="308">
        <v>0.02</v>
      </c>
      <c r="P710" s="312">
        <v>1.354137696E-2</v>
      </c>
      <c r="Q710" s="344"/>
      <c r="U710" s="126" t="s">
        <v>1059</v>
      </c>
      <c r="V710" s="131" t="s">
        <v>6556</v>
      </c>
      <c r="W710" s="132">
        <v>2.7537666650000004E-2</v>
      </c>
      <c r="X710" s="129">
        <v>2.4928107174E-2</v>
      </c>
      <c r="Y710" s="130">
        <v>4.4112651650000001E-2</v>
      </c>
    </row>
    <row r="711" spans="8:25" ht="15.5" x14ac:dyDescent="0.35">
      <c r="H711" s="383"/>
      <c r="I711" s="331" t="s">
        <v>1059</v>
      </c>
      <c r="J711" s="320" t="s">
        <v>1750</v>
      </c>
      <c r="K711" s="302">
        <v>3.837557583E-3</v>
      </c>
      <c r="O711" s="308">
        <v>0.42</v>
      </c>
      <c r="P711" s="312">
        <v>2.8275413797060001</v>
      </c>
      <c r="Q711" s="344"/>
      <c r="U711" s="126" t="s">
        <v>1059</v>
      </c>
      <c r="V711" s="131" t="s">
        <v>6557</v>
      </c>
      <c r="W711" s="132">
        <v>3.1360773029999997E-2</v>
      </c>
      <c r="X711" s="129">
        <v>2.9407893745E-2</v>
      </c>
      <c r="Y711" s="130">
        <v>5.5800672029999998E-2</v>
      </c>
    </row>
    <row r="712" spans="8:25" ht="15.5" x14ac:dyDescent="0.35">
      <c r="H712" s="383"/>
      <c r="I712" s="331" t="s">
        <v>1059</v>
      </c>
      <c r="J712" s="320" t="s">
        <v>1751</v>
      </c>
      <c r="K712" s="302">
        <v>3.837557583E-3</v>
      </c>
      <c r="O712" s="308">
        <v>0.02</v>
      </c>
      <c r="P712" s="312">
        <v>1.354137696E-2</v>
      </c>
      <c r="Q712" s="344"/>
      <c r="U712" s="126" t="s">
        <v>1059</v>
      </c>
      <c r="V712" s="131" t="s">
        <v>6558</v>
      </c>
      <c r="W712" s="132">
        <v>4.8909698859999996E-2</v>
      </c>
      <c r="X712" s="129">
        <v>2.4660600336999999E-2</v>
      </c>
      <c r="Y712" s="130">
        <v>6.7205688860000001E-2</v>
      </c>
    </row>
    <row r="713" spans="8:25" ht="15.5" x14ac:dyDescent="0.35">
      <c r="H713" s="383"/>
      <c r="I713" s="331" t="s">
        <v>1059</v>
      </c>
      <c r="J713" s="320" t="s">
        <v>1752</v>
      </c>
      <c r="K713" s="302">
        <v>4.2274641819999995E-3</v>
      </c>
      <c r="O713" s="308">
        <v>0.02</v>
      </c>
      <c r="P713" s="312">
        <v>1.4966725782E-2</v>
      </c>
      <c r="Q713" s="344"/>
      <c r="U713" s="126" t="s">
        <v>1059</v>
      </c>
      <c r="V713" s="131" t="s">
        <v>6559</v>
      </c>
      <c r="W713" s="132">
        <v>2.6393012850000001E-2</v>
      </c>
      <c r="X713" s="129">
        <v>2.1585478565999999E-2</v>
      </c>
      <c r="Y713" s="130">
        <v>4.5224455849999998E-2</v>
      </c>
    </row>
    <row r="714" spans="8:25" ht="15.5" x14ac:dyDescent="0.35">
      <c r="H714" s="383"/>
      <c r="I714" s="331" t="s">
        <v>1059</v>
      </c>
      <c r="J714" s="320" t="s">
        <v>1753</v>
      </c>
      <c r="K714" s="302">
        <v>4.2274641819999995E-3</v>
      </c>
      <c r="O714" s="308">
        <v>0.42</v>
      </c>
      <c r="P714" s="312">
        <v>6.6749667084139999</v>
      </c>
      <c r="Q714" s="344"/>
      <c r="U714" s="126" t="s">
        <v>1059</v>
      </c>
      <c r="V714" s="131" t="s">
        <v>6560</v>
      </c>
      <c r="W714" s="132">
        <v>2.510779644E-2</v>
      </c>
      <c r="X714" s="129">
        <v>2.2994733682000001E-2</v>
      </c>
      <c r="Y714" s="130">
        <v>4.0358964439999999E-2</v>
      </c>
    </row>
    <row r="715" spans="8:25" ht="15.5" x14ac:dyDescent="0.35">
      <c r="H715" s="383"/>
      <c r="I715" s="331" t="s">
        <v>1059</v>
      </c>
      <c r="J715" s="320" t="s">
        <v>1754</v>
      </c>
      <c r="K715" s="302">
        <v>3.7447226419999998E-3</v>
      </c>
      <c r="O715" s="308">
        <v>0.02</v>
      </c>
      <c r="P715" s="312">
        <v>1.3202007906999999E-2</v>
      </c>
      <c r="Q715" s="344"/>
      <c r="U715" s="126" t="s">
        <v>1059</v>
      </c>
      <c r="V715" s="131" t="s">
        <v>6561</v>
      </c>
      <c r="W715" s="132">
        <v>2.8607733490000002E-2</v>
      </c>
      <c r="X715" s="129">
        <v>2.6795575113999999E-2</v>
      </c>
      <c r="Y715" s="130">
        <v>5.1317693490000003E-2</v>
      </c>
    </row>
    <row r="716" spans="8:25" ht="15.5" x14ac:dyDescent="0.35">
      <c r="H716" s="383"/>
      <c r="I716" s="331" t="s">
        <v>1059</v>
      </c>
      <c r="J716" s="320" t="s">
        <v>1755</v>
      </c>
      <c r="K716" s="302">
        <v>3.7447226419999998E-3</v>
      </c>
      <c r="O716" s="308">
        <v>0.42</v>
      </c>
      <c r="P716" s="312">
        <v>2.263202039252</v>
      </c>
      <c r="Q716" s="344"/>
      <c r="U716" s="126" t="s">
        <v>1059</v>
      </c>
      <c r="V716" s="131" t="s">
        <v>6562</v>
      </c>
      <c r="W716" s="132">
        <v>4.5041225790000007E-2</v>
      </c>
      <c r="X716" s="129">
        <v>2.2502208397999997E-2</v>
      </c>
      <c r="Y716" s="130">
        <v>6.2202842790000004E-2</v>
      </c>
    </row>
    <row r="717" spans="8:25" ht="15.5" x14ac:dyDescent="0.35">
      <c r="H717" s="384"/>
      <c r="I717" s="331" t="s">
        <v>1059</v>
      </c>
      <c r="J717" s="320" t="s">
        <v>1756</v>
      </c>
      <c r="K717" s="302">
        <v>3.9675264390000003E-3</v>
      </c>
      <c r="O717" s="308">
        <v>0.02</v>
      </c>
      <c r="P717" s="312">
        <v>1.4016493231E-2</v>
      </c>
      <c r="Q717" s="344"/>
      <c r="U717" s="126" t="s">
        <v>1059</v>
      </c>
      <c r="V717" s="131" t="s">
        <v>6563</v>
      </c>
      <c r="W717" s="132">
        <v>5.0690664379999997E-3</v>
      </c>
      <c r="X717" s="129">
        <v>4.179204919E-3</v>
      </c>
      <c r="Y717" s="130">
        <v>8.2799427379999999E-3</v>
      </c>
    </row>
    <row r="718" spans="8:25" ht="15.5" x14ac:dyDescent="0.35">
      <c r="H718" s="383"/>
      <c r="I718" s="331" t="s">
        <v>1059</v>
      </c>
      <c r="J718" s="320" t="s">
        <v>1757</v>
      </c>
      <c r="K718" s="302">
        <v>3.9675264390000003E-3</v>
      </c>
      <c r="O718" s="308">
        <v>0.42</v>
      </c>
      <c r="P718" s="312">
        <v>2.624016455939</v>
      </c>
      <c r="Q718" s="344"/>
      <c r="U718" s="126" t="s">
        <v>1059</v>
      </c>
      <c r="V718" s="131" t="s">
        <v>6564</v>
      </c>
      <c r="W718" s="132">
        <v>4.8576372450000009E-3</v>
      </c>
      <c r="X718" s="129">
        <v>4.3107693740000001E-3</v>
      </c>
      <c r="Y718" s="130">
        <v>7.5798367450000004E-3</v>
      </c>
    </row>
    <row r="719" spans="8:25" ht="15.5" x14ac:dyDescent="0.35">
      <c r="H719" s="383"/>
      <c r="I719" s="331" t="s">
        <v>1059</v>
      </c>
      <c r="J719" s="320" t="s">
        <v>1758</v>
      </c>
      <c r="K719" s="302">
        <v>3.7447226419999998E-3</v>
      </c>
      <c r="O719" s="308">
        <v>0.02</v>
      </c>
      <c r="P719" s="312">
        <v>1.3202007906999999E-2</v>
      </c>
      <c r="Q719" s="344"/>
      <c r="U719" s="126" t="s">
        <v>1059</v>
      </c>
      <c r="V719" s="131" t="s">
        <v>6565</v>
      </c>
      <c r="W719" s="132">
        <v>5.5337679780000006E-3</v>
      </c>
      <c r="X719" s="129">
        <v>5.2686572660000002E-3</v>
      </c>
      <c r="Y719" s="130">
        <v>9.5042117779999997E-3</v>
      </c>
    </row>
    <row r="720" spans="8:25" ht="15.5" x14ac:dyDescent="0.35">
      <c r="H720" s="383"/>
      <c r="I720" s="331" t="s">
        <v>1059</v>
      </c>
      <c r="J720" s="320" t="s">
        <v>1759</v>
      </c>
      <c r="K720" s="302">
        <v>3.7447226419999998E-3</v>
      </c>
      <c r="O720" s="308">
        <v>0.42</v>
      </c>
      <c r="P720" s="312">
        <v>3.013202039252</v>
      </c>
      <c r="Q720" s="344"/>
      <c r="U720" s="126" t="s">
        <v>1059</v>
      </c>
      <c r="V720" s="131" t="s">
        <v>6566</v>
      </c>
      <c r="W720" s="132">
        <v>8.4343887100000008E-3</v>
      </c>
      <c r="X720" s="129">
        <v>4.4000476761000005E-3</v>
      </c>
      <c r="Y720" s="130">
        <v>1.127621841E-2</v>
      </c>
    </row>
    <row r="721" spans="8:25" ht="15.5" x14ac:dyDescent="0.35">
      <c r="H721" s="383"/>
      <c r="I721" s="331" t="s">
        <v>1059</v>
      </c>
      <c r="J721" s="320" t="s">
        <v>1760</v>
      </c>
      <c r="K721" s="302">
        <v>4.8773086150000009E-3</v>
      </c>
      <c r="O721" s="308">
        <v>0.02</v>
      </c>
      <c r="P721" s="312">
        <v>1.7342307165000001E-2</v>
      </c>
      <c r="Q721" s="344"/>
      <c r="U721" s="126" t="s">
        <v>1059</v>
      </c>
      <c r="V721" s="131" t="s">
        <v>6567</v>
      </c>
      <c r="W721" s="132">
        <v>4.690889619E-2</v>
      </c>
      <c r="X721" s="129">
        <v>3.8674160720000003E-2</v>
      </c>
      <c r="Y721" s="130">
        <v>7.6622190189999995E-2</v>
      </c>
    </row>
    <row r="722" spans="8:25" ht="15.5" x14ac:dyDescent="0.35">
      <c r="H722" s="383"/>
      <c r="I722" s="331" t="s">
        <v>1059</v>
      </c>
      <c r="J722" s="320" t="s">
        <v>1761</v>
      </c>
      <c r="K722" s="302">
        <v>4.8773086150000009E-3</v>
      </c>
      <c r="O722" s="308">
        <v>0.42</v>
      </c>
      <c r="P722" s="312">
        <v>8.837342289606001</v>
      </c>
      <c r="Q722" s="344"/>
      <c r="U722" s="126" t="s">
        <v>1059</v>
      </c>
      <c r="V722" s="131" t="s">
        <v>6568</v>
      </c>
      <c r="W722" s="132">
        <v>4.4952340909999992E-2</v>
      </c>
      <c r="X722" s="129">
        <v>3.9891651709999996E-2</v>
      </c>
      <c r="Y722" s="130">
        <v>7.0143443909999992E-2</v>
      </c>
    </row>
    <row r="723" spans="8:25" ht="15.5" x14ac:dyDescent="0.35">
      <c r="H723" s="383"/>
      <c r="I723" s="331" t="s">
        <v>1059</v>
      </c>
      <c r="J723" s="320" t="s">
        <v>1762</v>
      </c>
      <c r="K723" s="302">
        <v>7.2538823360000001E-3</v>
      </c>
      <c r="O723" s="308">
        <v>0.01</v>
      </c>
      <c r="P723" s="312">
        <v>2.6030148332E-2</v>
      </c>
      <c r="Q723" s="344"/>
      <c r="U723" s="126" t="s">
        <v>1059</v>
      </c>
      <c r="V723" s="131" t="s">
        <v>6569</v>
      </c>
      <c r="W723" s="132">
        <v>5.1209221570000005E-2</v>
      </c>
      <c r="X723" s="129">
        <v>4.8755900300000002E-2</v>
      </c>
      <c r="Y723" s="130">
        <v>8.7951517569999998E-2</v>
      </c>
    </row>
    <row r="724" spans="8:25" ht="15.5" x14ac:dyDescent="0.35">
      <c r="H724" s="384"/>
      <c r="I724" s="331" t="s">
        <v>1059</v>
      </c>
      <c r="J724" s="320" t="s">
        <v>1763</v>
      </c>
      <c r="K724" s="302">
        <v>7.2538823360000001E-3</v>
      </c>
      <c r="O724" s="308">
        <v>0.01</v>
      </c>
      <c r="P724" s="312">
        <v>3.1985300986470002</v>
      </c>
      <c r="Q724" s="344"/>
      <c r="U724" s="126" t="s">
        <v>1059</v>
      </c>
      <c r="V724" s="131" t="s">
        <v>6570</v>
      </c>
      <c r="W724" s="132">
        <v>7.8051426279999989E-2</v>
      </c>
      <c r="X724" s="129">
        <v>4.0717828742999999E-2</v>
      </c>
      <c r="Y724" s="130">
        <v>0.10434958127999999</v>
      </c>
    </row>
    <row r="725" spans="8:25" ht="15.5" x14ac:dyDescent="0.35">
      <c r="H725" s="384"/>
      <c r="I725" s="331" t="s">
        <v>1059</v>
      </c>
      <c r="J725" s="320" t="s">
        <v>1764</v>
      </c>
      <c r="K725" s="302">
        <v>4.0417944110000001E-3</v>
      </c>
      <c r="O725" s="308">
        <v>0.02</v>
      </c>
      <c r="P725" s="312">
        <v>1.4287988675E-2</v>
      </c>
      <c r="Q725" s="344"/>
      <c r="U725" s="126" t="s">
        <v>1059</v>
      </c>
      <c r="V725" s="131" t="s">
        <v>6571</v>
      </c>
      <c r="W725" s="132">
        <v>0.43527459910000005</v>
      </c>
      <c r="X725" s="129">
        <v>0.14176802909999997</v>
      </c>
      <c r="Y725" s="130">
        <v>1.0878678291000001</v>
      </c>
    </row>
    <row r="726" spans="8:25" ht="15.5" x14ac:dyDescent="0.35">
      <c r="H726" s="384"/>
      <c r="I726" s="331" t="s">
        <v>1059</v>
      </c>
      <c r="J726" s="320" t="s">
        <v>1765</v>
      </c>
      <c r="K726" s="302">
        <v>4.0417944110000001E-3</v>
      </c>
      <c r="O726" s="308">
        <v>0.42</v>
      </c>
      <c r="P726" s="312">
        <v>4.289288028504</v>
      </c>
      <c r="Q726" s="344"/>
      <c r="U726" s="126" t="s">
        <v>1059</v>
      </c>
      <c r="V726" s="131" t="s">
        <v>6572</v>
      </c>
      <c r="W726" s="132">
        <v>9.5790813040000006E-2</v>
      </c>
      <c r="X726" s="129">
        <v>3.6237450546E-2</v>
      </c>
      <c r="Y726" s="130">
        <v>0.21202234304000001</v>
      </c>
    </row>
    <row r="727" spans="8:25" ht="15.5" x14ac:dyDescent="0.35">
      <c r="H727" s="384"/>
      <c r="I727" s="331" t="s">
        <v>1059</v>
      </c>
      <c r="J727" s="320" t="s">
        <v>1766</v>
      </c>
      <c r="K727" s="302">
        <v>4.0417944110000001E-3</v>
      </c>
      <c r="O727" s="308">
        <v>0.02</v>
      </c>
      <c r="P727" s="312">
        <v>1.4287988675E-2</v>
      </c>
      <c r="Q727" s="344"/>
      <c r="U727" s="126" t="s">
        <v>1059</v>
      </c>
      <c r="V727" s="131" t="s">
        <v>6573</v>
      </c>
      <c r="W727" s="132">
        <v>5.5133740050000005E-2</v>
      </c>
      <c r="X727" s="129">
        <v>3.4979584179999995E-2</v>
      </c>
      <c r="Y727" s="130">
        <v>0.13500756105</v>
      </c>
    </row>
    <row r="728" spans="8:25" ht="15.5" x14ac:dyDescent="0.35">
      <c r="H728" s="383"/>
      <c r="I728" s="331" t="s">
        <v>1059</v>
      </c>
      <c r="J728" s="320" t="s">
        <v>1767</v>
      </c>
      <c r="K728" s="302">
        <v>4.0417944110000001E-3</v>
      </c>
      <c r="O728" s="308">
        <v>0.42</v>
      </c>
      <c r="P728" s="312">
        <v>5.7142880285039999</v>
      </c>
      <c r="Q728" s="344"/>
      <c r="U728" s="126" t="s">
        <v>1059</v>
      </c>
      <c r="V728" s="131" t="s">
        <v>6574</v>
      </c>
      <c r="W728" s="132">
        <v>4.3012404839999997E-2</v>
      </c>
      <c r="X728" s="129">
        <v>2.5730831272000002E-2</v>
      </c>
      <c r="Y728" s="130">
        <v>0.11195909883999999</v>
      </c>
    </row>
    <row r="729" spans="8:25" ht="15.5" x14ac:dyDescent="0.35">
      <c r="H729" s="383"/>
      <c r="I729" s="331" t="s">
        <v>1059</v>
      </c>
      <c r="J729" s="320" t="s">
        <v>1768</v>
      </c>
      <c r="K729" s="302">
        <v>4.1903302459999998E-3</v>
      </c>
      <c r="O729" s="308">
        <v>0.02</v>
      </c>
      <c r="P729" s="312">
        <v>1.4830978565000002E-2</v>
      </c>
      <c r="Q729" s="344"/>
      <c r="U729" s="126" t="s">
        <v>1059</v>
      </c>
      <c r="V729" s="131" t="s">
        <v>6575</v>
      </c>
      <c r="W729" s="132">
        <v>9.4861020200000007E-2</v>
      </c>
      <c r="X729" s="129">
        <v>0.1080414153</v>
      </c>
      <c r="Y729" s="130">
        <v>0.91626231019999993</v>
      </c>
    </row>
    <row r="730" spans="8:25" ht="15.5" x14ac:dyDescent="0.35">
      <c r="H730" s="383"/>
      <c r="I730" s="331" t="s">
        <v>1059</v>
      </c>
      <c r="J730" s="320" t="s">
        <v>1769</v>
      </c>
      <c r="K730" s="302">
        <v>4.1903302459999998E-3</v>
      </c>
      <c r="O730" s="308">
        <v>0.42</v>
      </c>
      <c r="P730" s="312">
        <v>6.6148309726359997</v>
      </c>
      <c r="Q730" s="344"/>
      <c r="U730" s="126" t="s">
        <v>1059</v>
      </c>
      <c r="V730" s="131" t="s">
        <v>6576</v>
      </c>
      <c r="W730" s="132">
        <v>9.2603928700000004E-2</v>
      </c>
      <c r="X730" s="129">
        <v>8.7563209210000006E-2</v>
      </c>
      <c r="Y730" s="130">
        <v>0.46802459870000002</v>
      </c>
    </row>
    <row r="731" spans="8:25" ht="15.5" x14ac:dyDescent="0.35">
      <c r="H731" s="383">
        <v>1</v>
      </c>
      <c r="I731" s="331" t="s">
        <v>1059</v>
      </c>
      <c r="J731" s="320" t="s">
        <v>1770</v>
      </c>
      <c r="K731" s="302">
        <v>2.5357138760000002E-3</v>
      </c>
      <c r="O731" s="308">
        <v>0.01</v>
      </c>
      <c r="P731" s="312">
        <v>8.6535132439999989E-3</v>
      </c>
      <c r="Q731" s="344"/>
      <c r="U731" s="126" t="s">
        <v>1059</v>
      </c>
      <c r="V731" s="131" t="s">
        <v>6577</v>
      </c>
      <c r="W731" s="132">
        <v>0</v>
      </c>
      <c r="X731" s="129">
        <v>0</v>
      </c>
      <c r="Y731" s="130">
        <v>0</v>
      </c>
    </row>
    <row r="732" spans="8:25" ht="15.5" x14ac:dyDescent="0.35">
      <c r="H732" s="383"/>
      <c r="I732" s="331" t="s">
        <v>1059</v>
      </c>
      <c r="J732" s="320" t="s">
        <v>1771</v>
      </c>
      <c r="K732" s="302">
        <v>4.2460311399999994E-3</v>
      </c>
      <c r="O732" s="308">
        <v>0.02</v>
      </c>
      <c r="P732" s="312">
        <v>1.5034599401000001E-2</v>
      </c>
      <c r="Q732" s="344"/>
      <c r="U732" s="126" t="s">
        <v>1059</v>
      </c>
      <c r="V732" s="131" t="s">
        <v>6578</v>
      </c>
      <c r="W732" s="132">
        <v>0.20467577909999998</v>
      </c>
      <c r="X732" s="129">
        <v>0.24786253387999999</v>
      </c>
      <c r="Y732" s="130">
        <v>0.32234724910000001</v>
      </c>
    </row>
    <row r="733" spans="8:25" ht="15.5" x14ac:dyDescent="0.35">
      <c r="H733" s="383"/>
      <c r="I733" s="331" t="s">
        <v>1059</v>
      </c>
      <c r="J733" s="320" t="s">
        <v>1772</v>
      </c>
      <c r="K733" s="302">
        <v>4.2460311399999994E-3</v>
      </c>
      <c r="O733" s="308">
        <v>0.42</v>
      </c>
      <c r="P733" s="312">
        <v>4.6762845763129999</v>
      </c>
      <c r="Q733" s="344"/>
      <c r="U733" s="126" t="s">
        <v>1059</v>
      </c>
      <c r="V733" s="131" t="s">
        <v>6579</v>
      </c>
      <c r="W733" s="132">
        <v>0.26280305729999998</v>
      </c>
      <c r="X733" s="129">
        <v>0.34768243647999997</v>
      </c>
      <c r="Y733" s="130">
        <v>0.53115177729999996</v>
      </c>
    </row>
    <row r="734" spans="8:25" ht="15.5" x14ac:dyDescent="0.35">
      <c r="H734" s="383"/>
      <c r="I734" s="331" t="s">
        <v>1059</v>
      </c>
      <c r="J734" s="320" t="s">
        <v>1773</v>
      </c>
      <c r="K734" s="302">
        <v>4.4317010110000001E-3</v>
      </c>
      <c r="O734" s="308">
        <v>0.02</v>
      </c>
      <c r="P734" s="312">
        <v>1.5713337506999998E-2</v>
      </c>
      <c r="Q734" s="344"/>
      <c r="U734" s="126" t="s">
        <v>1059</v>
      </c>
      <c r="V734" s="131" t="s">
        <v>6580</v>
      </c>
      <c r="W734" s="132">
        <v>0.2314177201</v>
      </c>
      <c r="X734" s="129">
        <v>0.22994233567</v>
      </c>
      <c r="Y734" s="130">
        <v>0.33178239009999999</v>
      </c>
    </row>
    <row r="735" spans="8:25" ht="15.5" x14ac:dyDescent="0.35">
      <c r="H735" s="383"/>
      <c r="I735" s="331" t="s">
        <v>1059</v>
      </c>
      <c r="J735" s="320" t="s">
        <v>1774</v>
      </c>
      <c r="K735" s="302">
        <v>4.4317010110000001E-3</v>
      </c>
      <c r="O735" s="308">
        <v>0.42</v>
      </c>
      <c r="P735" s="312">
        <v>7.6357133572219995</v>
      </c>
      <c r="Q735" s="344"/>
      <c r="U735" s="126" t="s">
        <v>1059</v>
      </c>
      <c r="V735" s="131" t="s">
        <v>6581</v>
      </c>
      <c r="W735" s="132">
        <v>0.24311445749999999</v>
      </c>
      <c r="X735" s="129">
        <v>0.23256996525000001</v>
      </c>
      <c r="Y735" s="130">
        <v>0.38650248749999999</v>
      </c>
    </row>
    <row r="736" spans="8:25" ht="15.5" x14ac:dyDescent="0.35">
      <c r="H736" s="383"/>
      <c r="I736" s="331" t="s">
        <v>1059</v>
      </c>
      <c r="J736" s="320" t="s">
        <v>1775</v>
      </c>
      <c r="K736" s="302">
        <v>5.1150297600000005E-3</v>
      </c>
      <c r="O736" s="308">
        <v>0.02</v>
      </c>
      <c r="P736" s="312">
        <v>1.8482532396999998E-2</v>
      </c>
      <c r="Q736" s="344"/>
      <c r="U736" s="126" t="s">
        <v>1059</v>
      </c>
      <c r="V736" s="131" t="s">
        <v>6582</v>
      </c>
      <c r="W736" s="132">
        <v>0.24584642720000002</v>
      </c>
      <c r="X736" s="129">
        <v>0.22023883809</v>
      </c>
      <c r="Y736" s="130">
        <v>0.35319563720000002</v>
      </c>
    </row>
    <row r="737" spans="8:25" ht="15.5" x14ac:dyDescent="0.35">
      <c r="H737" s="383"/>
      <c r="I737" s="331" t="s">
        <v>1059</v>
      </c>
      <c r="J737" s="320" t="s">
        <v>1776</v>
      </c>
      <c r="K737" s="302">
        <v>5.675688842E-3</v>
      </c>
      <c r="O737" s="308">
        <v>0.02</v>
      </c>
      <c r="P737" s="312">
        <v>2.0260879427E-2</v>
      </c>
      <c r="Q737" s="344"/>
      <c r="U737" s="126" t="s">
        <v>1059</v>
      </c>
      <c r="V737" s="131" t="s">
        <v>6583</v>
      </c>
      <c r="W737" s="132">
        <v>0.23605172800000002</v>
      </c>
      <c r="X737" s="129">
        <v>0.23524152737999998</v>
      </c>
      <c r="Y737" s="130">
        <v>0.39593545800000002</v>
      </c>
    </row>
    <row r="738" spans="8:25" ht="15.5" x14ac:dyDescent="0.35">
      <c r="H738" s="383"/>
      <c r="I738" s="331" t="s">
        <v>1059</v>
      </c>
      <c r="J738" s="320" t="s">
        <v>1777</v>
      </c>
      <c r="K738" s="302">
        <v>5.675688842E-3</v>
      </c>
      <c r="O738" s="308">
        <v>0.43</v>
      </c>
      <c r="P738" s="312">
        <v>3.5827609159190001</v>
      </c>
      <c r="Q738" s="344"/>
      <c r="U738" s="126" t="s">
        <v>1059</v>
      </c>
      <c r="V738" s="131" t="s">
        <v>6584</v>
      </c>
      <c r="W738" s="132">
        <v>0.25441019309999996</v>
      </c>
      <c r="X738" s="129">
        <v>0.34911821617</v>
      </c>
      <c r="Y738" s="130">
        <v>0.51273669309999992</v>
      </c>
    </row>
    <row r="739" spans="8:25" ht="15.5" x14ac:dyDescent="0.35">
      <c r="H739" s="384" t="s">
        <v>1778</v>
      </c>
      <c r="I739" s="333"/>
      <c r="J739" s="319"/>
      <c r="K739" s="303"/>
      <c r="O739" s="308"/>
      <c r="P739" s="313"/>
      <c r="Q739" s="344"/>
      <c r="U739" s="126" t="s">
        <v>1059</v>
      </c>
      <c r="V739" s="131" t="s">
        <v>6585</v>
      </c>
      <c r="W739" s="132">
        <v>0.27108915090000002</v>
      </c>
      <c r="X739" s="129">
        <v>0.28315892340999999</v>
      </c>
      <c r="Y739" s="130">
        <v>0.39479338090000005</v>
      </c>
    </row>
    <row r="740" spans="8:25" ht="15.5" x14ac:dyDescent="0.35">
      <c r="H740" s="383"/>
      <c r="I740" s="331" t="s">
        <v>1059</v>
      </c>
      <c r="J740" s="320" t="s">
        <v>1779</v>
      </c>
      <c r="K740" s="302">
        <v>4.0789283480000002E-3</v>
      </c>
      <c r="O740" s="308">
        <v>0.02</v>
      </c>
      <c r="P740" s="312">
        <v>1.4423735901999999E-2</v>
      </c>
      <c r="Q740" s="344"/>
      <c r="U740" s="126" t="s">
        <v>1059</v>
      </c>
      <c r="V740" s="131" t="s">
        <v>6586</v>
      </c>
      <c r="W740" s="132">
        <v>0.27155730140000006</v>
      </c>
      <c r="X740" s="129">
        <v>0.20995154445</v>
      </c>
      <c r="Y740" s="130">
        <v>0.38972197140000009</v>
      </c>
    </row>
    <row r="741" spans="8:25" ht="15.5" x14ac:dyDescent="0.35">
      <c r="H741" s="383"/>
      <c r="I741" s="331" t="s">
        <v>1059</v>
      </c>
      <c r="J741" s="320" t="s">
        <v>1780</v>
      </c>
      <c r="K741" s="302">
        <v>4.0789283480000002E-3</v>
      </c>
      <c r="O741" s="308">
        <v>0.42</v>
      </c>
      <c r="P741" s="312">
        <v>3.7044237642919997</v>
      </c>
      <c r="Q741" s="344"/>
      <c r="U741" s="126" t="s">
        <v>1059</v>
      </c>
      <c r="V741" s="131" t="s">
        <v>6587</v>
      </c>
      <c r="W741" s="132">
        <v>0.47693711979999998</v>
      </c>
      <c r="X741" s="129">
        <v>0.39460208579</v>
      </c>
      <c r="Y741" s="130">
        <v>0.70523870979999992</v>
      </c>
    </row>
    <row r="742" spans="8:25" ht="15.5" x14ac:dyDescent="0.35">
      <c r="H742" s="383"/>
      <c r="I742" s="331" t="s">
        <v>1059</v>
      </c>
      <c r="J742" s="320" t="s">
        <v>1781</v>
      </c>
      <c r="K742" s="302">
        <v>4.1903302459999998E-3</v>
      </c>
      <c r="O742" s="308">
        <v>0.02</v>
      </c>
      <c r="P742" s="312">
        <v>1.4830978565000002E-2</v>
      </c>
      <c r="Q742" s="344"/>
      <c r="U742" s="126" t="s">
        <v>1059</v>
      </c>
      <c r="V742" s="131" t="s">
        <v>6588</v>
      </c>
      <c r="W742" s="132">
        <v>0.1353066963</v>
      </c>
      <c r="X742" s="129">
        <v>6.2949944419999987E-2</v>
      </c>
      <c r="Y742" s="130">
        <v>0.26201007630000001</v>
      </c>
    </row>
    <row r="743" spans="8:25" ht="15.5" x14ac:dyDescent="0.35">
      <c r="H743" s="383"/>
      <c r="I743" s="331" t="s">
        <v>1059</v>
      </c>
      <c r="J743" s="320" t="s">
        <v>1782</v>
      </c>
      <c r="K743" s="302">
        <v>4.1903302459999998E-3</v>
      </c>
      <c r="O743" s="308">
        <v>0.42</v>
      </c>
      <c r="P743" s="312">
        <v>3.9148309726360004</v>
      </c>
      <c r="Q743" s="344"/>
      <c r="U743" s="126" t="s">
        <v>1059</v>
      </c>
      <c r="V743" s="131" t="s">
        <v>6589</v>
      </c>
      <c r="W743" s="132">
        <v>0.15224112649999999</v>
      </c>
      <c r="X743" s="129">
        <v>6.3334710269999983E-2</v>
      </c>
      <c r="Y743" s="130">
        <v>0.29360723649999998</v>
      </c>
    </row>
    <row r="744" spans="8:25" ht="15.5" x14ac:dyDescent="0.35">
      <c r="H744" s="383"/>
      <c r="I744" s="331" t="s">
        <v>1059</v>
      </c>
      <c r="J744" s="320" t="s">
        <v>1783</v>
      </c>
      <c r="K744" s="302">
        <v>1.366727151E-2</v>
      </c>
      <c r="O744" s="308">
        <v>0.06</v>
      </c>
      <c r="P744" s="312">
        <v>4.9793704982000003E-2</v>
      </c>
      <c r="Q744" s="344"/>
      <c r="U744" s="126" t="s">
        <v>1059</v>
      </c>
      <c r="V744" s="131" t="s">
        <v>6590</v>
      </c>
      <c r="W744" s="132">
        <v>0.11857114120000001</v>
      </c>
      <c r="X744" s="129">
        <v>6.2492300320000013E-2</v>
      </c>
      <c r="Y744" s="130">
        <v>0.23077165120000001</v>
      </c>
    </row>
    <row r="745" spans="8:25" ht="15.5" x14ac:dyDescent="0.35">
      <c r="H745" s="383"/>
      <c r="I745" s="331" t="s">
        <v>1059</v>
      </c>
      <c r="J745" s="320" t="s">
        <v>1784</v>
      </c>
      <c r="K745" s="302">
        <v>1.366727151E-2</v>
      </c>
      <c r="O745" s="308">
        <v>0.46</v>
      </c>
      <c r="P745" s="312">
        <v>35.674794077762002</v>
      </c>
      <c r="Q745" s="344"/>
      <c r="U745" s="126" t="s">
        <v>1059</v>
      </c>
      <c r="V745" s="131" t="s">
        <v>6591</v>
      </c>
      <c r="W745" s="132">
        <v>1.0819561289999998E-2</v>
      </c>
      <c r="X745" s="129">
        <v>5.0336811672999993E-3</v>
      </c>
      <c r="Y745" s="130">
        <v>2.095117329E-2</v>
      </c>
    </row>
    <row r="746" spans="8:25" ht="15.5" x14ac:dyDescent="0.35">
      <c r="H746" s="383"/>
      <c r="I746" s="331" t="s">
        <v>1059</v>
      </c>
      <c r="J746" s="320" t="s">
        <v>1785</v>
      </c>
      <c r="K746" s="302">
        <v>5.1150297600000005E-3</v>
      </c>
      <c r="O746" s="308">
        <v>0.02</v>
      </c>
      <c r="P746" s="312">
        <v>1.8482532396999998E-2</v>
      </c>
      <c r="Q746" s="344"/>
      <c r="U746" s="126" t="s">
        <v>1059</v>
      </c>
      <c r="V746" s="131" t="s">
        <v>6592</v>
      </c>
      <c r="W746" s="132">
        <v>1.2129100639999998E-2</v>
      </c>
      <c r="X746" s="129">
        <v>5.0458972576000001E-3</v>
      </c>
      <c r="Y746" s="130">
        <v>2.3391784639999996E-2</v>
      </c>
    </row>
    <row r="747" spans="8:25" ht="15.5" x14ac:dyDescent="0.35">
      <c r="H747" s="383"/>
      <c r="I747" s="331" t="s">
        <v>1059</v>
      </c>
      <c r="J747" s="320" t="s">
        <v>1786</v>
      </c>
      <c r="K747" s="302">
        <v>5.1150297600000005E-3</v>
      </c>
      <c r="O747" s="308">
        <v>0.02</v>
      </c>
      <c r="P747" s="312">
        <v>1.8482532396999998E-2</v>
      </c>
      <c r="Q747" s="344"/>
      <c r="U747" s="126" t="s">
        <v>1059</v>
      </c>
      <c r="V747" s="131" t="s">
        <v>6593</v>
      </c>
      <c r="W747" s="132">
        <v>9.5163185680000005E-3</v>
      </c>
      <c r="X747" s="129">
        <v>5.0155259570999989E-3</v>
      </c>
      <c r="Y747" s="130">
        <v>1.8521341067999998E-2</v>
      </c>
    </row>
    <row r="748" spans="8:25" ht="15.5" x14ac:dyDescent="0.35">
      <c r="H748" s="383"/>
      <c r="I748" s="331" t="s">
        <v>1059</v>
      </c>
      <c r="J748" s="320" t="s">
        <v>1787</v>
      </c>
      <c r="K748" s="302">
        <v>4.4502679800000004E-3</v>
      </c>
      <c r="O748" s="308">
        <v>0.02</v>
      </c>
      <c r="P748" s="312">
        <v>1.5781211116000001E-2</v>
      </c>
      <c r="Q748" s="344"/>
      <c r="U748" s="126" t="s">
        <v>1059</v>
      </c>
      <c r="V748" s="131" t="s">
        <v>6594</v>
      </c>
      <c r="W748" s="132">
        <v>0.17587310880000001</v>
      </c>
      <c r="X748" s="129">
        <v>0.38911945730000003</v>
      </c>
      <c r="Y748" s="130">
        <v>0.50204019880000006</v>
      </c>
    </row>
    <row r="749" spans="8:25" ht="15.5" x14ac:dyDescent="0.35">
      <c r="H749" s="383"/>
      <c r="I749" s="331" t="s">
        <v>1059</v>
      </c>
      <c r="J749" s="320" t="s">
        <v>1788</v>
      </c>
      <c r="K749" s="302">
        <v>4.4502679800000004E-3</v>
      </c>
      <c r="O749" s="308">
        <v>0.42</v>
      </c>
      <c r="P749" s="312">
        <v>6.2257812251109996</v>
      </c>
      <c r="Q749" s="344"/>
      <c r="U749" s="126" t="s">
        <v>1059</v>
      </c>
      <c r="V749" s="131" t="s">
        <v>6595</v>
      </c>
      <c r="W749" s="132">
        <v>0.16674558450000002</v>
      </c>
      <c r="X749" s="129">
        <v>0.45140873966</v>
      </c>
      <c r="Y749" s="130">
        <v>0.35268981450000003</v>
      </c>
    </row>
    <row r="750" spans="8:25" ht="15.5" x14ac:dyDescent="0.35">
      <c r="H750" s="383"/>
      <c r="I750" s="331" t="s">
        <v>1059</v>
      </c>
      <c r="J750" s="320" t="s">
        <v>1789</v>
      </c>
      <c r="K750" s="302">
        <v>7.420985146E-3</v>
      </c>
      <c r="O750" s="308">
        <v>0.03</v>
      </c>
      <c r="P750" s="312">
        <v>2.6641011829999998E-2</v>
      </c>
      <c r="Q750" s="344"/>
      <c r="U750" s="126" t="s">
        <v>1059</v>
      </c>
      <c r="V750" s="131" t="s">
        <v>6596</v>
      </c>
      <c r="W750" s="132">
        <v>0.21275917420000001</v>
      </c>
      <c r="X750" s="129">
        <v>0.55168855066</v>
      </c>
      <c r="Y750" s="130">
        <v>0.42163670419999999</v>
      </c>
    </row>
    <row r="751" spans="8:25" ht="15.5" x14ac:dyDescent="0.35">
      <c r="H751" s="383"/>
      <c r="I751" s="331" t="s">
        <v>1059</v>
      </c>
      <c r="J751" s="320" t="s">
        <v>1790</v>
      </c>
      <c r="K751" s="302">
        <v>3.4311263000000002E-3</v>
      </c>
      <c r="O751" s="308">
        <v>0.01</v>
      </c>
      <c r="P751" s="312">
        <v>1.2055620765E-2</v>
      </c>
      <c r="Q751" s="344"/>
      <c r="U751" s="126" t="s">
        <v>1059</v>
      </c>
      <c r="V751" s="131" t="s">
        <v>6597</v>
      </c>
      <c r="W751" s="132">
        <v>0.16167392511000001</v>
      </c>
      <c r="X751" s="129">
        <v>0.11890683655999999</v>
      </c>
      <c r="Y751" s="130">
        <v>0.29798855511</v>
      </c>
    </row>
    <row r="752" spans="8:25" ht="15.5" x14ac:dyDescent="0.35">
      <c r="H752" s="383"/>
      <c r="I752" s="331" t="s">
        <v>1059</v>
      </c>
      <c r="J752" s="320" t="s">
        <v>1791</v>
      </c>
      <c r="K752" s="302">
        <v>4.1531963100000001E-3</v>
      </c>
      <c r="O752" s="308">
        <v>0.02</v>
      </c>
      <c r="P752" s="312">
        <v>1.4695231346999999E-2</v>
      </c>
      <c r="Q752" s="344"/>
      <c r="U752" s="126" t="s">
        <v>1059</v>
      </c>
      <c r="V752" s="131" t="s">
        <v>6598</v>
      </c>
      <c r="W752" s="132">
        <v>0.15581263331999998</v>
      </c>
      <c r="X752" s="129">
        <v>0.12906869399999998</v>
      </c>
      <c r="Y752" s="130">
        <v>0.27027494331999996</v>
      </c>
    </row>
    <row r="753" spans="8:25" ht="15.5" x14ac:dyDescent="0.35">
      <c r="H753" s="383"/>
      <c r="I753" s="331" t="s">
        <v>1059</v>
      </c>
      <c r="J753" s="320" t="s">
        <v>1792</v>
      </c>
      <c r="K753" s="302">
        <v>4.1531963100000001E-3</v>
      </c>
      <c r="O753" s="308">
        <v>0.42</v>
      </c>
      <c r="P753" s="312">
        <v>3.8246952368580001</v>
      </c>
      <c r="Q753" s="344"/>
      <c r="U753" s="126" t="s">
        <v>1059</v>
      </c>
      <c r="V753" s="131" t="s">
        <v>6599</v>
      </c>
      <c r="W753" s="132">
        <v>0.17263611399999998</v>
      </c>
      <c r="X753" s="129">
        <v>0.14608923411000002</v>
      </c>
      <c r="Y753" s="130">
        <v>0.32862260399999998</v>
      </c>
    </row>
    <row r="754" spans="8:25" ht="15.5" x14ac:dyDescent="0.35">
      <c r="H754" s="383"/>
      <c r="I754" s="331" t="s">
        <v>1059</v>
      </c>
      <c r="J754" s="320" t="s">
        <v>1793</v>
      </c>
      <c r="K754" s="302">
        <v>5.8799256209999991E-3</v>
      </c>
      <c r="O754" s="308">
        <v>0.03</v>
      </c>
      <c r="P754" s="312">
        <v>2.1007490141999995E-2</v>
      </c>
      <c r="Q754" s="344"/>
      <c r="U754" s="126" t="s">
        <v>1059</v>
      </c>
      <c r="V754" s="131" t="s">
        <v>6600</v>
      </c>
      <c r="W754" s="132">
        <v>0.2684795968</v>
      </c>
      <c r="X754" s="129">
        <v>0.12323390718</v>
      </c>
      <c r="Y754" s="130">
        <v>0.39651778679999999</v>
      </c>
    </row>
    <row r="755" spans="8:25" ht="15.5" x14ac:dyDescent="0.35">
      <c r="H755" s="383"/>
      <c r="I755" s="331" t="s">
        <v>1059</v>
      </c>
      <c r="J755" s="320" t="s">
        <v>1794</v>
      </c>
      <c r="K755" s="302">
        <v>5.8799256209999991E-3</v>
      </c>
      <c r="O755" s="308">
        <v>0.43</v>
      </c>
      <c r="P755" s="312">
        <v>3.7710074637169999</v>
      </c>
      <c r="Q755" s="344"/>
      <c r="U755" s="126" t="s">
        <v>1059</v>
      </c>
      <c r="V755" s="131" t="s">
        <v>6601</v>
      </c>
      <c r="W755" s="132">
        <v>0.13723890882999998</v>
      </c>
      <c r="X755" s="129">
        <v>9.7385808560000009E-2</v>
      </c>
      <c r="Y755" s="130">
        <v>0.25509090882999996</v>
      </c>
    </row>
    <row r="756" spans="8:25" ht="15.5" x14ac:dyDescent="0.35">
      <c r="H756" s="383"/>
      <c r="I756" s="331" t="s">
        <v>1059</v>
      </c>
      <c r="J756" s="320" t="s">
        <v>1795</v>
      </c>
      <c r="K756" s="302">
        <v>6.2698323309999995E-3</v>
      </c>
      <c r="O756" s="308">
        <v>0.03</v>
      </c>
      <c r="P756" s="312">
        <v>2.2432838962999999E-2</v>
      </c>
      <c r="Q756" s="344"/>
      <c r="U756" s="126" t="s">
        <v>1059</v>
      </c>
      <c r="V756" s="131" t="s">
        <v>6602</v>
      </c>
      <c r="W756" s="132">
        <v>0.13309996902000001</v>
      </c>
      <c r="X756" s="129">
        <v>0.10533074206000001</v>
      </c>
      <c r="Y756" s="130">
        <v>0.23400257902000002</v>
      </c>
    </row>
    <row r="757" spans="8:25" ht="15.5" x14ac:dyDescent="0.35">
      <c r="H757" s="383"/>
      <c r="I757" s="331" t="s">
        <v>1059</v>
      </c>
      <c r="J757" s="320" t="s">
        <v>1796</v>
      </c>
      <c r="K757" s="302">
        <v>6.2698323309999995E-3</v>
      </c>
      <c r="O757" s="308">
        <v>0.43</v>
      </c>
      <c r="P757" s="312">
        <v>4.1849327924240001</v>
      </c>
      <c r="Q757" s="344"/>
      <c r="U757" s="126" t="s">
        <v>1059</v>
      </c>
      <c r="V757" s="131" t="s">
        <v>6603</v>
      </c>
      <c r="W757" s="132">
        <v>0.14613694789999998</v>
      </c>
      <c r="X757" s="129">
        <v>0.11985688484000001</v>
      </c>
      <c r="Y757" s="130">
        <v>0.27967505789999997</v>
      </c>
    </row>
    <row r="758" spans="8:25" ht="15.5" x14ac:dyDescent="0.35">
      <c r="H758" s="383">
        <v>1</v>
      </c>
      <c r="I758" s="331" t="s">
        <v>1059</v>
      </c>
      <c r="J758" s="320" t="s">
        <v>1797</v>
      </c>
      <c r="K758" s="302">
        <v>5.1372463380000002E-3</v>
      </c>
      <c r="O758" s="308">
        <v>0.02</v>
      </c>
      <c r="P758" s="312">
        <v>1.8292539704999999E-2</v>
      </c>
      <c r="Q758" s="344"/>
      <c r="U758" s="126" t="s">
        <v>1059</v>
      </c>
      <c r="V758" s="131" t="s">
        <v>6604</v>
      </c>
      <c r="W758" s="132">
        <v>0.22420470879999999</v>
      </c>
      <c r="X758" s="129">
        <v>0.101058539</v>
      </c>
      <c r="Y758" s="130">
        <v>0.33519185880000002</v>
      </c>
    </row>
    <row r="759" spans="8:25" ht="15.5" x14ac:dyDescent="0.35">
      <c r="H759" s="383">
        <v>1</v>
      </c>
      <c r="I759" s="331" t="s">
        <v>1059</v>
      </c>
      <c r="J759" s="320" t="s">
        <v>1798</v>
      </c>
      <c r="K759" s="302">
        <v>5.1372463380000002E-3</v>
      </c>
      <c r="O759" s="308">
        <v>0.42</v>
      </c>
      <c r="P759" s="312">
        <v>9.7382925420700008</v>
      </c>
      <c r="Q759" s="344"/>
      <c r="U759" s="126" t="s">
        <v>1059</v>
      </c>
      <c r="V759" s="131" t="s">
        <v>6605</v>
      </c>
      <c r="W759" s="132">
        <v>7.7000523799999998E-2</v>
      </c>
      <c r="X759" s="129">
        <v>7.2102457480000007E-2</v>
      </c>
      <c r="Y759" s="130">
        <v>0.6382716638</v>
      </c>
    </row>
    <row r="760" spans="8:25" ht="15.5" x14ac:dyDescent="0.35">
      <c r="H760" s="384"/>
      <c r="I760" s="331" t="s">
        <v>1059</v>
      </c>
      <c r="J760" s="320" t="s">
        <v>1799</v>
      </c>
      <c r="K760" s="302">
        <v>4.4131340430000002E-3</v>
      </c>
      <c r="O760" s="308">
        <v>0.02</v>
      </c>
      <c r="P760" s="312">
        <v>1.5645463889E-2</v>
      </c>
      <c r="Q760" s="344"/>
      <c r="U760" s="126" t="s">
        <v>1059</v>
      </c>
      <c r="V760" s="131" t="s">
        <v>6606</v>
      </c>
      <c r="W760" s="132">
        <v>7.6181109509999997E-2</v>
      </c>
      <c r="X760" s="129">
        <v>5.8464983970000002E-2</v>
      </c>
      <c r="Y760" s="130">
        <v>0.34099523950999999</v>
      </c>
    </row>
    <row r="761" spans="8:25" ht="15.5" x14ac:dyDescent="0.35">
      <c r="H761" s="383"/>
      <c r="I761" s="331" t="s">
        <v>1059</v>
      </c>
      <c r="J761" s="320" t="s">
        <v>1800</v>
      </c>
      <c r="K761" s="302">
        <v>4.4131340430000002E-3</v>
      </c>
      <c r="O761" s="308">
        <v>0.42</v>
      </c>
      <c r="P761" s="312">
        <v>5.9556454893230004</v>
      </c>
      <c r="Q761" s="344"/>
      <c r="U761" s="126" t="s">
        <v>1059</v>
      </c>
      <c r="V761" s="131" t="s">
        <v>6607</v>
      </c>
      <c r="W761" s="132">
        <v>0.14127705609999999</v>
      </c>
      <c r="X761" s="129">
        <v>0.18762670179999999</v>
      </c>
      <c r="Y761" s="130">
        <v>0.28750901610000001</v>
      </c>
    </row>
    <row r="762" spans="8:25" ht="15.5" x14ac:dyDescent="0.35">
      <c r="H762" s="383"/>
      <c r="I762" s="331" t="s">
        <v>1059</v>
      </c>
      <c r="J762" s="320" t="s">
        <v>1801</v>
      </c>
      <c r="K762" s="302">
        <v>9.3890853189999984E-3</v>
      </c>
      <c r="O762" s="308">
        <v>0.04</v>
      </c>
      <c r="P762" s="312">
        <v>3.3835630566999994E-2</v>
      </c>
      <c r="Q762" s="344"/>
      <c r="U762" s="126" t="s">
        <v>1059</v>
      </c>
      <c r="V762" s="131" t="s">
        <v>6608</v>
      </c>
      <c r="W762" s="132">
        <v>0.13093484039999997</v>
      </c>
      <c r="X762" s="129">
        <v>0.12521513807000001</v>
      </c>
      <c r="Y762" s="130">
        <v>0.21171064339999995</v>
      </c>
    </row>
    <row r="763" spans="8:25" ht="15.5" x14ac:dyDescent="0.35">
      <c r="H763" s="383"/>
      <c r="I763" s="331" t="s">
        <v>1059</v>
      </c>
      <c r="J763" s="320" t="s">
        <v>1802</v>
      </c>
      <c r="K763" s="302">
        <v>5.1150297600000005E-3</v>
      </c>
      <c r="O763" s="308">
        <v>0.02</v>
      </c>
      <c r="P763" s="312">
        <v>1.8482532396999998E-2</v>
      </c>
      <c r="Q763" s="344"/>
      <c r="U763" s="126" t="s">
        <v>1059</v>
      </c>
      <c r="V763" s="131" t="s">
        <v>6609</v>
      </c>
      <c r="W763" s="132">
        <v>0.1366856749</v>
      </c>
      <c r="X763" s="129">
        <v>0.18682470527</v>
      </c>
      <c r="Y763" s="130">
        <v>0.2789169849</v>
      </c>
    </row>
    <row r="764" spans="8:25" ht="15.5" x14ac:dyDescent="0.35">
      <c r="H764" s="383"/>
      <c r="I764" s="331" t="s">
        <v>1059</v>
      </c>
      <c r="J764" s="320" t="s">
        <v>1803</v>
      </c>
      <c r="K764" s="302">
        <v>3.894224094E-3</v>
      </c>
      <c r="O764" s="308">
        <v>0.02</v>
      </c>
      <c r="P764" s="312">
        <v>1.3906732072999998E-2</v>
      </c>
      <c r="Q764" s="344"/>
      <c r="U764" s="126" t="s">
        <v>1059</v>
      </c>
      <c r="V764" s="131" t="s">
        <v>6610</v>
      </c>
      <c r="W764" s="132">
        <v>0.1208096888</v>
      </c>
      <c r="X764" s="129">
        <v>0.15709051978999999</v>
      </c>
      <c r="Y764" s="130">
        <v>0.24782337879999999</v>
      </c>
    </row>
    <row r="765" spans="8:25" ht="15.5" x14ac:dyDescent="0.35">
      <c r="H765" s="383">
        <v>1</v>
      </c>
      <c r="I765" s="331" t="s">
        <v>1059</v>
      </c>
      <c r="J765" s="320" t="s">
        <v>1804</v>
      </c>
      <c r="K765" s="302">
        <v>1.6474588040000001E-3</v>
      </c>
      <c r="O765" s="308">
        <v>0.01</v>
      </c>
      <c r="P765" s="312">
        <v>5.4063939189999992E-3</v>
      </c>
      <c r="Q765" s="344"/>
      <c r="U765" s="126" t="s">
        <v>1059</v>
      </c>
      <c r="V765" s="131" t="s">
        <v>6611</v>
      </c>
      <c r="W765" s="132">
        <v>0.11185001071</v>
      </c>
      <c r="X765" s="129">
        <v>0.10489981692</v>
      </c>
      <c r="Y765" s="130">
        <v>0.18387011171000001</v>
      </c>
    </row>
    <row r="766" spans="8:25" ht="15.5" x14ac:dyDescent="0.35">
      <c r="H766" s="383"/>
      <c r="I766" s="331" t="s">
        <v>1059</v>
      </c>
      <c r="J766" s="320" t="s">
        <v>1805</v>
      </c>
      <c r="K766" s="302">
        <v>2.909208418E-3</v>
      </c>
      <c r="O766" s="308">
        <v>0.01</v>
      </c>
      <c r="P766" s="312">
        <v>1.0147689327E-2</v>
      </c>
      <c r="Q766" s="344"/>
      <c r="U766" s="126" t="s">
        <v>1059</v>
      </c>
      <c r="V766" s="131" t="s">
        <v>6612</v>
      </c>
      <c r="W766" s="132">
        <v>0.11659388429999999</v>
      </c>
      <c r="X766" s="129">
        <v>0.15664582449</v>
      </c>
      <c r="Y766" s="130">
        <v>0.23983764429999999</v>
      </c>
    </row>
    <row r="767" spans="8:25" ht="15.5" x14ac:dyDescent="0.35">
      <c r="H767" s="384" t="s">
        <v>1806</v>
      </c>
      <c r="I767" s="333"/>
      <c r="J767" s="319"/>
      <c r="K767" s="303"/>
      <c r="O767" s="308"/>
      <c r="P767" s="313"/>
      <c r="Q767" s="344"/>
      <c r="U767" s="126" t="s">
        <v>1059</v>
      </c>
      <c r="V767" s="131" t="s">
        <v>6613</v>
      </c>
      <c r="W767" s="132">
        <v>0.21186215580000001</v>
      </c>
      <c r="X767" s="129">
        <v>0.17101594014000002</v>
      </c>
      <c r="Y767" s="130">
        <v>0.32019304580000002</v>
      </c>
    </row>
    <row r="768" spans="8:25" ht="15.5" x14ac:dyDescent="0.35">
      <c r="H768" s="383"/>
      <c r="I768" s="331" t="s">
        <v>1059</v>
      </c>
      <c r="J768" s="320" t="s">
        <v>1807</v>
      </c>
      <c r="K768" s="302">
        <v>4.8030406430000002E-3</v>
      </c>
      <c r="O768" s="308">
        <v>0.02</v>
      </c>
      <c r="P768" s="312">
        <v>1.7070812720000002E-2</v>
      </c>
      <c r="Q768" s="344"/>
      <c r="U768" s="126" t="s">
        <v>1059</v>
      </c>
      <c r="V768" s="131" t="s">
        <v>6614</v>
      </c>
      <c r="W768" s="132">
        <v>0.2056845601</v>
      </c>
      <c r="X768" s="129">
        <v>8.9655299630000004E-2</v>
      </c>
      <c r="Y768" s="130">
        <v>0.3982415601</v>
      </c>
    </row>
    <row r="769" spans="8:25" ht="15.5" x14ac:dyDescent="0.35">
      <c r="H769" s="383"/>
      <c r="I769" s="331" t="s">
        <v>1059</v>
      </c>
      <c r="J769" s="320" t="s">
        <v>1808</v>
      </c>
      <c r="K769" s="302">
        <v>4.8030406430000002E-3</v>
      </c>
      <c r="O769" s="308">
        <v>0.42</v>
      </c>
      <c r="P769" s="312">
        <v>4.7795708180399998</v>
      </c>
      <c r="Q769" s="344"/>
      <c r="U769" s="126" t="s">
        <v>1059</v>
      </c>
      <c r="V769" s="131" t="s">
        <v>6615</v>
      </c>
      <c r="W769" s="132">
        <v>6.4794911799999994E-2</v>
      </c>
      <c r="X769" s="129">
        <v>0.30023454411</v>
      </c>
      <c r="Y769" s="130">
        <v>0.90407356179999998</v>
      </c>
    </row>
    <row r="770" spans="8:25" ht="15.5" x14ac:dyDescent="0.35">
      <c r="H770" s="383"/>
      <c r="I770" s="331" t="s">
        <v>1059</v>
      </c>
      <c r="J770" s="320" t="s">
        <v>1809</v>
      </c>
      <c r="K770" s="302">
        <v>5.1150297600000005E-3</v>
      </c>
      <c r="O770" s="308">
        <v>0.02</v>
      </c>
      <c r="P770" s="312">
        <v>1.8482532396999998E-2</v>
      </c>
      <c r="Q770" s="344"/>
      <c r="U770" s="126" t="s">
        <v>1059</v>
      </c>
      <c r="V770" s="131" t="s">
        <v>6616</v>
      </c>
      <c r="W770" s="132">
        <v>0.1037743626</v>
      </c>
      <c r="X770" s="129">
        <v>0.27198366482000003</v>
      </c>
      <c r="Y770" s="130">
        <v>0.77690835260000002</v>
      </c>
    </row>
    <row r="771" spans="8:25" ht="15.5" x14ac:dyDescent="0.35">
      <c r="H771" s="383"/>
      <c r="I771" s="331" t="s">
        <v>1059</v>
      </c>
      <c r="J771" s="320" t="s">
        <v>1810</v>
      </c>
      <c r="K771" s="302">
        <v>5.1150297600000005E-3</v>
      </c>
      <c r="O771" s="308">
        <v>0.02</v>
      </c>
      <c r="P771" s="312">
        <v>1.8482532396999998E-2</v>
      </c>
      <c r="Q771" s="344"/>
      <c r="U771" s="126" t="s">
        <v>1059</v>
      </c>
      <c r="V771" s="131" t="s">
        <v>6617</v>
      </c>
      <c r="W771" s="132">
        <v>0.1038068919</v>
      </c>
      <c r="X771" s="129">
        <v>0.27209981513000003</v>
      </c>
      <c r="Y771" s="130">
        <v>0.7781327119</v>
      </c>
    </row>
    <row r="772" spans="8:25" ht="15.5" x14ac:dyDescent="0.35">
      <c r="H772" s="383"/>
      <c r="I772" s="331" t="s">
        <v>1059</v>
      </c>
      <c r="J772" s="320" t="s">
        <v>1811</v>
      </c>
      <c r="K772" s="302">
        <v>4.6545048079999997E-3</v>
      </c>
      <c r="O772" s="308">
        <v>0.02</v>
      </c>
      <c r="P772" s="312">
        <v>1.6527822830999999E-2</v>
      </c>
      <c r="Q772" s="344"/>
      <c r="U772" s="126" t="s">
        <v>1059</v>
      </c>
      <c r="V772" s="131" t="s">
        <v>6618</v>
      </c>
      <c r="W772" s="132">
        <v>2.507168962E-2</v>
      </c>
      <c r="X772" s="129">
        <v>4.6466784999000005E-2</v>
      </c>
      <c r="Y772" s="130">
        <v>0.16938435962000001</v>
      </c>
    </row>
    <row r="773" spans="8:25" ht="15.5" x14ac:dyDescent="0.35">
      <c r="H773" s="383"/>
      <c r="I773" s="331" t="s">
        <v>1059</v>
      </c>
      <c r="J773" s="320" t="s">
        <v>1812</v>
      </c>
      <c r="K773" s="302">
        <v>4.6545048079999997E-3</v>
      </c>
      <c r="O773" s="308">
        <v>0.42</v>
      </c>
      <c r="P773" s="312">
        <v>4.8165277739090007</v>
      </c>
      <c r="Q773" s="344"/>
      <c r="U773" s="126" t="s">
        <v>1059</v>
      </c>
      <c r="V773" s="131" t="s">
        <v>6619</v>
      </c>
      <c r="W773" s="132">
        <v>2.8310413990000002E-2</v>
      </c>
      <c r="X773" s="129">
        <v>4.2047715188000004E-2</v>
      </c>
      <c r="Y773" s="130">
        <v>0.14338129398999999</v>
      </c>
    </row>
    <row r="774" spans="8:25" ht="15.5" x14ac:dyDescent="0.35">
      <c r="H774" s="383"/>
      <c r="I774" s="331" t="s">
        <v>1059</v>
      </c>
      <c r="J774" s="320" t="s">
        <v>1813</v>
      </c>
      <c r="K774" s="302">
        <v>5.1150297600000005E-3</v>
      </c>
      <c r="O774" s="308">
        <v>0.02</v>
      </c>
      <c r="P774" s="312">
        <v>1.8482532396999998E-2</v>
      </c>
      <c r="Q774" s="344"/>
      <c r="U774" s="126" t="s">
        <v>1059</v>
      </c>
      <c r="V774" s="131" t="s">
        <v>6620</v>
      </c>
      <c r="W774" s="132">
        <v>2.9017349389999999E-2</v>
      </c>
      <c r="X774" s="129">
        <v>4.5384512814000001E-2</v>
      </c>
      <c r="Y774" s="130">
        <v>0.10352548239000001</v>
      </c>
    </row>
    <row r="775" spans="8:25" ht="15.5" x14ac:dyDescent="0.35">
      <c r="H775" s="383"/>
      <c r="I775" s="331" t="s">
        <v>1059</v>
      </c>
      <c r="J775" s="320" t="s">
        <v>1814</v>
      </c>
      <c r="K775" s="302">
        <v>6.335835578E-3</v>
      </c>
      <c r="O775" s="308">
        <v>0.03</v>
      </c>
      <c r="P775" s="312">
        <v>2.3058331725000002E-2</v>
      </c>
      <c r="Q775" s="344"/>
      <c r="U775" s="126" t="s">
        <v>1059</v>
      </c>
      <c r="V775" s="131" t="s">
        <v>6621</v>
      </c>
      <c r="W775" s="132">
        <v>3.7694952859999999E-2</v>
      </c>
      <c r="X775" s="129">
        <v>4.5513490768000001E-2</v>
      </c>
      <c r="Y775" s="130">
        <v>0.13830411285999999</v>
      </c>
    </row>
    <row r="776" spans="8:25" ht="15.5" x14ac:dyDescent="0.35">
      <c r="H776" s="383"/>
      <c r="I776" s="331" t="s">
        <v>1059</v>
      </c>
      <c r="J776" s="320" t="s">
        <v>1815</v>
      </c>
      <c r="K776" s="302">
        <v>9.4364310069999999E-3</v>
      </c>
      <c r="O776" s="308">
        <v>0.04</v>
      </c>
      <c r="P776" s="312">
        <v>3.4038842263000003E-2</v>
      </c>
      <c r="Q776" s="344"/>
      <c r="U776" s="126" t="s">
        <v>1059</v>
      </c>
      <c r="V776" s="131" t="s">
        <v>6622</v>
      </c>
      <c r="W776" s="132">
        <v>3.7387700949999998E-2</v>
      </c>
      <c r="X776" s="129">
        <v>4.0141725320999994E-2</v>
      </c>
      <c r="Y776" s="130">
        <v>0.10467157094999999</v>
      </c>
    </row>
    <row r="777" spans="8:25" ht="15.5" x14ac:dyDescent="0.35">
      <c r="H777" s="383"/>
      <c r="I777" s="331" t="s">
        <v>1059</v>
      </c>
      <c r="J777" s="320" t="s">
        <v>1816</v>
      </c>
      <c r="K777" s="302">
        <v>9.4364310069999999E-3</v>
      </c>
      <c r="O777" s="308">
        <v>0.44</v>
      </c>
      <c r="P777" s="312">
        <v>7.8640388103579992</v>
      </c>
      <c r="Q777" s="344"/>
      <c r="U777" s="126" t="s">
        <v>1059</v>
      </c>
      <c r="V777" s="131" t="s">
        <v>6623</v>
      </c>
      <c r="W777" s="132">
        <v>2.889638035E-2</v>
      </c>
      <c r="X777" s="129">
        <v>4.3990708646999999E-2</v>
      </c>
      <c r="Y777" s="130">
        <v>0.10885460235</v>
      </c>
    </row>
    <row r="778" spans="8:25" ht="15.5" x14ac:dyDescent="0.35">
      <c r="H778" s="383"/>
      <c r="I778" s="331" t="s">
        <v>1059</v>
      </c>
      <c r="J778" s="320" t="s">
        <v>1817</v>
      </c>
      <c r="K778" s="302">
        <v>1.7700221970000001E-3</v>
      </c>
      <c r="O778" s="308">
        <v>0.01</v>
      </c>
      <c r="P778" s="312">
        <v>5.9448408920000006E-3</v>
      </c>
      <c r="Q778" s="344"/>
      <c r="U778" s="126" t="s">
        <v>1059</v>
      </c>
      <c r="V778" s="131" t="s">
        <v>6624</v>
      </c>
      <c r="W778" s="132">
        <v>3.2719834170000003E-2</v>
      </c>
      <c r="X778" s="129">
        <v>4.3341225454000001E-2</v>
      </c>
      <c r="Y778" s="130">
        <v>0.12374662517</v>
      </c>
    </row>
    <row r="779" spans="8:25" ht="15.5" x14ac:dyDescent="0.35">
      <c r="H779" s="383"/>
      <c r="I779" s="331" t="s">
        <v>1059</v>
      </c>
      <c r="J779" s="320" t="s">
        <v>1818</v>
      </c>
      <c r="K779" s="302">
        <v>5.1150297600000005E-3</v>
      </c>
      <c r="O779" s="308">
        <v>0.02</v>
      </c>
      <c r="P779" s="312">
        <v>1.8482532396999998E-2</v>
      </c>
      <c r="Q779" s="344"/>
      <c r="U779" s="126" t="s">
        <v>1059</v>
      </c>
      <c r="V779" s="131" t="s">
        <v>6625</v>
      </c>
      <c r="W779" s="132">
        <v>3.1694916980000001E-2</v>
      </c>
      <c r="X779" s="129">
        <v>4.4039924402000004E-2</v>
      </c>
      <c r="Y779" s="130">
        <v>0.13420975697999998</v>
      </c>
    </row>
    <row r="780" spans="8:25" ht="15.5" x14ac:dyDescent="0.35">
      <c r="H780" s="384"/>
      <c r="I780" s="331" t="s">
        <v>1059</v>
      </c>
      <c r="J780" s="320" t="s">
        <v>1819</v>
      </c>
      <c r="K780" s="302">
        <v>5.9913275E-3</v>
      </c>
      <c r="O780" s="308">
        <v>0.03</v>
      </c>
      <c r="P780" s="312">
        <v>2.1414732804000001E-2</v>
      </c>
      <c r="Q780" s="344"/>
      <c r="U780" s="126" t="s">
        <v>1059</v>
      </c>
      <c r="V780" s="131" t="s">
        <v>6626</v>
      </c>
      <c r="W780" s="132">
        <v>6.6594202599999999E-2</v>
      </c>
      <c r="X780" s="129">
        <v>0.26935889769000004</v>
      </c>
      <c r="Y780" s="130">
        <v>0.83414709260000008</v>
      </c>
    </row>
    <row r="781" spans="8:25" ht="15.5" x14ac:dyDescent="0.35">
      <c r="H781" s="384"/>
      <c r="I781" s="331" t="s">
        <v>1059</v>
      </c>
      <c r="J781" s="320" t="s">
        <v>1820</v>
      </c>
      <c r="K781" s="302">
        <v>5.9913275E-3</v>
      </c>
      <c r="O781" s="308">
        <v>0.43</v>
      </c>
      <c r="P781" s="312">
        <v>1.2064147720610001</v>
      </c>
      <c r="Q781" s="344"/>
      <c r="U781" s="126" t="s">
        <v>1059</v>
      </c>
      <c r="V781" s="131" t="s">
        <v>6627</v>
      </c>
      <c r="W781" s="132">
        <v>0.10010973070000001</v>
      </c>
      <c r="X781" s="129">
        <v>0.24398336198999998</v>
      </c>
      <c r="Y781" s="130">
        <v>0.71672473069999998</v>
      </c>
    </row>
    <row r="782" spans="8:25" ht="15.5" x14ac:dyDescent="0.35">
      <c r="H782" s="384"/>
      <c r="I782" s="331" t="s">
        <v>1059</v>
      </c>
      <c r="J782" s="320" t="s">
        <v>1821</v>
      </c>
      <c r="K782" s="302">
        <v>3.7447226419999998E-3</v>
      </c>
      <c r="O782" s="308">
        <v>0.02</v>
      </c>
      <c r="P782" s="312">
        <v>1.3202007906999999E-2</v>
      </c>
      <c r="Q782" s="344"/>
      <c r="U782" s="126" t="s">
        <v>1059</v>
      </c>
      <c r="V782" s="131" t="s">
        <v>6628</v>
      </c>
      <c r="W782" s="132">
        <v>9.2065197399999993E-2</v>
      </c>
      <c r="X782" s="129">
        <v>0.23083176871</v>
      </c>
      <c r="Y782" s="130">
        <v>0.44130423740000002</v>
      </c>
    </row>
    <row r="783" spans="8:25" ht="15.5" x14ac:dyDescent="0.35">
      <c r="H783" s="384"/>
      <c r="I783" s="331" t="s">
        <v>1059</v>
      </c>
      <c r="J783" s="320" t="s">
        <v>1822</v>
      </c>
      <c r="K783" s="302">
        <v>3.7447226419999998E-3</v>
      </c>
      <c r="O783" s="308">
        <v>0.42</v>
      </c>
      <c r="P783" s="312">
        <v>5.1732020392519997</v>
      </c>
      <c r="Q783" s="344"/>
      <c r="U783" s="126" t="s">
        <v>1059</v>
      </c>
      <c r="V783" s="131" t="s">
        <v>6629</v>
      </c>
      <c r="W783" s="132">
        <v>0.113320907</v>
      </c>
      <c r="X783" s="129">
        <v>0.44329555566000001</v>
      </c>
      <c r="Y783" s="130">
        <v>0.25630543699999997</v>
      </c>
    </row>
    <row r="784" spans="8:25" ht="15.5" x14ac:dyDescent="0.35">
      <c r="H784" s="384"/>
      <c r="I784" s="331" t="s">
        <v>1059</v>
      </c>
      <c r="J784" s="320" t="s">
        <v>1823</v>
      </c>
      <c r="K784" s="302">
        <v>4.3017321549999998E-3</v>
      </c>
      <c r="O784" s="308">
        <v>0.02</v>
      </c>
      <c r="P784" s="312">
        <v>1.5238221226E-2</v>
      </c>
      <c r="Q784" s="344"/>
      <c r="U784" s="126" t="s">
        <v>1059</v>
      </c>
      <c r="V784" s="131" t="s">
        <v>6630</v>
      </c>
      <c r="W784" s="132">
        <v>0.32159292629999997</v>
      </c>
      <c r="X784" s="129">
        <v>0.31878107014000001</v>
      </c>
      <c r="Y784" s="130">
        <v>0.50984318629999992</v>
      </c>
    </row>
    <row r="785" spans="8:25" ht="15.5" x14ac:dyDescent="0.35">
      <c r="H785" s="384"/>
      <c r="I785" s="331" t="s">
        <v>1059</v>
      </c>
      <c r="J785" s="320" t="s">
        <v>1824</v>
      </c>
      <c r="K785" s="302">
        <v>4.3017321549999998E-3</v>
      </c>
      <c r="O785" s="308">
        <v>0.42</v>
      </c>
      <c r="P785" s="312">
        <v>0.50123822097899995</v>
      </c>
      <c r="Q785" s="344"/>
      <c r="U785" s="126" t="s">
        <v>1059</v>
      </c>
      <c r="V785" s="131" t="s">
        <v>6631</v>
      </c>
      <c r="W785" s="132">
        <v>0.20163789500000001</v>
      </c>
      <c r="X785" s="129">
        <v>0.45087542041000001</v>
      </c>
      <c r="Y785" s="130">
        <v>0.409512975</v>
      </c>
    </row>
    <row r="786" spans="8:25" ht="15.5" x14ac:dyDescent="0.35">
      <c r="H786" s="384"/>
      <c r="I786" s="331" t="s">
        <v>1059</v>
      </c>
      <c r="J786" s="320" t="s">
        <v>1825</v>
      </c>
      <c r="K786" s="302">
        <v>2.6734183690000001E-3</v>
      </c>
      <c r="O786" s="308">
        <v>0.01</v>
      </c>
      <c r="P786" s="312">
        <v>9.3309327390000002E-3</v>
      </c>
      <c r="Q786" s="344"/>
      <c r="U786" s="126" t="s">
        <v>1059</v>
      </c>
      <c r="V786" s="131" t="s">
        <v>6632</v>
      </c>
      <c r="W786" s="132">
        <v>0.1035836826</v>
      </c>
      <c r="X786" s="129">
        <v>0.37928184094</v>
      </c>
      <c r="Y786" s="130">
        <v>0.23318754259999999</v>
      </c>
    </row>
    <row r="787" spans="8:25" ht="15.5" x14ac:dyDescent="0.35">
      <c r="H787" s="384"/>
      <c r="I787" s="331" t="s">
        <v>1059</v>
      </c>
      <c r="J787" s="320" t="s">
        <v>1826</v>
      </c>
      <c r="K787" s="302">
        <v>2.6734183690000001E-3</v>
      </c>
      <c r="O787" s="308">
        <v>0.01</v>
      </c>
      <c r="P787" s="312">
        <v>9.3309327390000002E-3</v>
      </c>
      <c r="Q787" s="344"/>
      <c r="U787" s="126" t="s">
        <v>1059</v>
      </c>
      <c r="V787" s="131" t="s">
        <v>6633</v>
      </c>
      <c r="W787" s="132">
        <v>0.28312891550000002</v>
      </c>
      <c r="X787" s="129">
        <v>0.27247333314</v>
      </c>
      <c r="Y787" s="130">
        <v>0.45210517550000001</v>
      </c>
    </row>
    <row r="788" spans="8:25" ht="15.5" x14ac:dyDescent="0.35">
      <c r="H788" s="384"/>
      <c r="I788" s="331" t="s">
        <v>1059</v>
      </c>
      <c r="J788" s="320" t="s">
        <v>1827</v>
      </c>
      <c r="K788" s="302">
        <v>4.8958755839999995E-3</v>
      </c>
      <c r="O788" s="308">
        <v>0.02</v>
      </c>
      <c r="P788" s="312">
        <v>1.7410181773999996E-2</v>
      </c>
      <c r="Q788" s="344"/>
      <c r="U788" s="126" t="s">
        <v>1059</v>
      </c>
      <c r="V788" s="131" t="s">
        <v>6634</v>
      </c>
      <c r="W788" s="132">
        <v>0.17909735870000001</v>
      </c>
      <c r="X788" s="129">
        <v>0.38574275277999998</v>
      </c>
      <c r="Y788" s="130">
        <v>0.36420749870000002</v>
      </c>
    </row>
    <row r="789" spans="8:25" ht="15.5" x14ac:dyDescent="0.35">
      <c r="H789" s="384"/>
      <c r="I789" s="331" t="s">
        <v>1059</v>
      </c>
      <c r="J789" s="320" t="s">
        <v>1828</v>
      </c>
      <c r="K789" s="302">
        <v>4.8958755839999995E-3</v>
      </c>
      <c r="O789" s="308">
        <v>0.42</v>
      </c>
      <c r="P789" s="312">
        <v>5.6049101584950005</v>
      </c>
      <c r="Q789" s="344"/>
      <c r="U789" s="126" t="s">
        <v>1059</v>
      </c>
      <c r="V789" s="131" t="s">
        <v>6635</v>
      </c>
      <c r="W789" s="132">
        <v>0.1330814958</v>
      </c>
      <c r="X789" s="129">
        <v>0.27418944806000001</v>
      </c>
      <c r="Y789" s="130">
        <v>0.95053999580000004</v>
      </c>
    </row>
    <row r="790" spans="8:25" ht="15.5" x14ac:dyDescent="0.35">
      <c r="H790" s="384"/>
      <c r="I790" s="331" t="s">
        <v>1059</v>
      </c>
      <c r="J790" s="320" t="s">
        <v>1829</v>
      </c>
      <c r="K790" s="302">
        <v>4.1531963100000001E-3</v>
      </c>
      <c r="O790" s="308">
        <v>0.02</v>
      </c>
      <c r="P790" s="312">
        <v>1.4695231346999999E-2</v>
      </c>
      <c r="Q790" s="344"/>
      <c r="U790" s="126" t="s">
        <v>1059</v>
      </c>
      <c r="V790" s="131" t="s">
        <v>6636</v>
      </c>
      <c r="W790" s="132">
        <v>0.15692442550000002</v>
      </c>
      <c r="X790" s="129">
        <v>0.24811775068</v>
      </c>
      <c r="Y790" s="130">
        <v>0.80725037550000001</v>
      </c>
    </row>
    <row r="791" spans="8:25" ht="15.5" x14ac:dyDescent="0.35">
      <c r="H791" s="384"/>
      <c r="I791" s="331" t="s">
        <v>1059</v>
      </c>
      <c r="J791" s="320" t="s">
        <v>1830</v>
      </c>
      <c r="K791" s="302">
        <v>4.1531963100000001E-3</v>
      </c>
      <c r="O791" s="308">
        <v>0.42</v>
      </c>
      <c r="P791" s="312">
        <v>3.8246952368580001</v>
      </c>
      <c r="Q791" s="344"/>
      <c r="U791" s="126" t="s">
        <v>1059</v>
      </c>
      <c r="V791" s="131" t="s">
        <v>6637</v>
      </c>
      <c r="W791" s="132">
        <v>0.16013324640000001</v>
      </c>
      <c r="X791" s="129">
        <v>0.26548373189999996</v>
      </c>
      <c r="Y791" s="130">
        <v>0.56274830640000006</v>
      </c>
    </row>
    <row r="792" spans="8:25" ht="15.5" x14ac:dyDescent="0.35">
      <c r="H792" s="384"/>
      <c r="I792" s="331" t="s">
        <v>1059</v>
      </c>
      <c r="J792" s="320" t="s">
        <v>1831</v>
      </c>
      <c r="K792" s="302">
        <v>2.6734183690000001E-3</v>
      </c>
      <c r="O792" s="308">
        <v>0.01</v>
      </c>
      <c r="P792" s="312">
        <v>9.3309327390000002E-3</v>
      </c>
      <c r="Q792" s="344"/>
      <c r="U792" s="126" t="s">
        <v>1059</v>
      </c>
      <c r="V792" s="131" t="s">
        <v>6638</v>
      </c>
      <c r="W792" s="132">
        <v>0.20796121249999999</v>
      </c>
      <c r="X792" s="129">
        <v>0.26637908440000002</v>
      </c>
      <c r="Y792" s="130">
        <v>0.76601824249999995</v>
      </c>
    </row>
    <row r="793" spans="8:25" ht="15.5" x14ac:dyDescent="0.35">
      <c r="H793" s="384"/>
      <c r="I793" s="331" t="s">
        <v>1059</v>
      </c>
      <c r="J793" s="320" t="s">
        <v>1832</v>
      </c>
      <c r="K793" s="302">
        <v>2.6734183690000001E-3</v>
      </c>
      <c r="O793" s="308">
        <v>0.01</v>
      </c>
      <c r="P793" s="312">
        <v>9.3309327390000002E-3</v>
      </c>
      <c r="Q793" s="344"/>
      <c r="U793" s="126" t="s">
        <v>1059</v>
      </c>
      <c r="V793" s="131" t="s">
        <v>6639</v>
      </c>
      <c r="W793" s="132">
        <v>0.1617536437</v>
      </c>
      <c r="X793" s="129">
        <v>0.27733475741000002</v>
      </c>
      <c r="Y793" s="130">
        <v>0.50598162369999999</v>
      </c>
    </row>
    <row r="794" spans="8:25" ht="15.5" x14ac:dyDescent="0.35">
      <c r="H794" s="384"/>
      <c r="I794" s="331" t="s">
        <v>1059</v>
      </c>
      <c r="J794" s="320" t="s">
        <v>1833</v>
      </c>
      <c r="K794" s="302">
        <v>2.6734183690000001E-3</v>
      </c>
      <c r="O794" s="308">
        <v>0.01</v>
      </c>
      <c r="P794" s="312">
        <v>9.3309327390000002E-3</v>
      </c>
      <c r="Q794" s="344"/>
      <c r="U794" s="126" t="s">
        <v>1059</v>
      </c>
      <c r="V794" s="131" t="s">
        <v>6640</v>
      </c>
      <c r="W794" s="132">
        <v>0.20777347459999998</v>
      </c>
      <c r="X794" s="129">
        <v>0.23619929094</v>
      </c>
      <c r="Y794" s="130">
        <v>0.56744561459999998</v>
      </c>
    </row>
    <row r="795" spans="8:25" ht="15.5" x14ac:dyDescent="0.35">
      <c r="H795" s="384"/>
      <c r="I795" s="331" t="s">
        <v>1059</v>
      </c>
      <c r="J795" s="320" t="s">
        <v>1834</v>
      </c>
      <c r="K795" s="302">
        <v>6.3441001729999998E-3</v>
      </c>
      <c r="O795" s="308">
        <v>0.03</v>
      </c>
      <c r="P795" s="312">
        <v>2.2704334407999998E-2</v>
      </c>
      <c r="Q795" s="344"/>
      <c r="U795" s="126" t="s">
        <v>1059</v>
      </c>
      <c r="V795" s="131" t="s">
        <v>6641</v>
      </c>
      <c r="W795" s="132">
        <v>0.1602109454</v>
      </c>
      <c r="X795" s="129">
        <v>0.25896624738000001</v>
      </c>
      <c r="Y795" s="130">
        <v>0.5949470254</v>
      </c>
    </row>
    <row r="796" spans="8:25" ht="15.5" x14ac:dyDescent="0.35">
      <c r="H796" s="384"/>
      <c r="I796" s="331" t="s">
        <v>1059</v>
      </c>
      <c r="J796" s="320" t="s">
        <v>1835</v>
      </c>
      <c r="K796" s="302">
        <v>5.6492336389999996E-3</v>
      </c>
      <c r="O796" s="308">
        <v>0.02</v>
      </c>
      <c r="P796" s="312">
        <v>2.0175468563999998E-2</v>
      </c>
      <c r="Q796" s="344"/>
      <c r="U796" s="126" t="s">
        <v>1059</v>
      </c>
      <c r="V796" s="131" t="s">
        <v>6642</v>
      </c>
      <c r="W796" s="132">
        <v>0.17754340839999999</v>
      </c>
      <c r="X796" s="129">
        <v>0.25593536451999999</v>
      </c>
      <c r="Y796" s="130">
        <v>0.67707660839999995</v>
      </c>
    </row>
    <row r="797" spans="8:25" ht="15.5" x14ac:dyDescent="0.35">
      <c r="H797" s="384"/>
      <c r="I797" s="331" t="s">
        <v>1059</v>
      </c>
      <c r="J797" s="320" t="s">
        <v>1836</v>
      </c>
      <c r="K797" s="302">
        <v>5.6492336389999996E-3</v>
      </c>
      <c r="O797" s="308">
        <v>0.42</v>
      </c>
      <c r="P797" s="312">
        <v>6.8826754720070005</v>
      </c>
      <c r="Q797" s="344"/>
      <c r="U797" s="126" t="s">
        <v>1059</v>
      </c>
      <c r="V797" s="131" t="s">
        <v>6643</v>
      </c>
      <c r="W797" s="132">
        <v>0.17380455569999997</v>
      </c>
      <c r="X797" s="129">
        <v>0.25795947457000001</v>
      </c>
      <c r="Y797" s="130">
        <v>0.74326210569999995</v>
      </c>
    </row>
    <row r="798" spans="8:25" ht="15.5" x14ac:dyDescent="0.35">
      <c r="H798" s="384"/>
      <c r="I798" s="331" t="s">
        <v>1059</v>
      </c>
      <c r="J798" s="320" t="s">
        <v>1837</v>
      </c>
      <c r="K798" s="302">
        <v>1.452612713E-3</v>
      </c>
      <c r="O798" s="308">
        <v>0.01</v>
      </c>
      <c r="P798" s="312">
        <v>4.7551329059999994E-3</v>
      </c>
      <c r="Q798" s="344"/>
      <c r="U798" s="126" t="s">
        <v>1059</v>
      </c>
      <c r="V798" s="131" t="s">
        <v>6644</v>
      </c>
      <c r="W798" s="132">
        <v>3.3039507590000003E-2</v>
      </c>
      <c r="X798" s="129">
        <v>1.4868817211E-2</v>
      </c>
      <c r="Y798" s="130">
        <v>5.627418159E-2</v>
      </c>
    </row>
    <row r="799" spans="8:25" ht="15.5" x14ac:dyDescent="0.35">
      <c r="H799" s="384" t="s">
        <v>1838</v>
      </c>
      <c r="I799" s="333"/>
      <c r="J799" s="319"/>
      <c r="K799" s="303"/>
      <c r="O799" s="308"/>
      <c r="P799" s="313"/>
      <c r="Q799" s="344"/>
      <c r="U799" s="126" t="s">
        <v>1059</v>
      </c>
      <c r="V799" s="131" t="s">
        <v>6645</v>
      </c>
      <c r="W799" s="132">
        <v>2.2119831900000001E-2</v>
      </c>
      <c r="X799" s="129">
        <v>1.6077477215999999E-2</v>
      </c>
      <c r="Y799" s="130">
        <v>4.3033319900000006E-2</v>
      </c>
    </row>
    <row r="800" spans="8:25" ht="15.5" x14ac:dyDescent="0.35">
      <c r="H800" s="384"/>
      <c r="I800" s="331" t="s">
        <v>1059</v>
      </c>
      <c r="J800" s="320" t="s">
        <v>1839</v>
      </c>
      <c r="K800" s="302">
        <v>3.503351867E-3</v>
      </c>
      <c r="O800" s="308">
        <v>0.02</v>
      </c>
      <c r="P800" s="312">
        <v>1.2319649965E-2</v>
      </c>
      <c r="Q800" s="344"/>
      <c r="U800" s="126" t="s">
        <v>1059</v>
      </c>
      <c r="V800" s="131" t="s">
        <v>6646</v>
      </c>
      <c r="W800" s="132">
        <v>2.10805601E-2</v>
      </c>
      <c r="X800" s="129">
        <v>1.2956320455000003E-2</v>
      </c>
      <c r="Y800" s="130">
        <v>4.2483551100000003E-2</v>
      </c>
    </row>
    <row r="801" spans="8:25" ht="15.5" x14ac:dyDescent="0.35">
      <c r="H801" s="384"/>
      <c r="I801" s="331" t="s">
        <v>1059</v>
      </c>
      <c r="J801" s="320" t="s">
        <v>1840</v>
      </c>
      <c r="K801" s="302">
        <v>3.503351867E-3</v>
      </c>
      <c r="O801" s="308">
        <v>0.42</v>
      </c>
      <c r="P801" s="312">
        <v>2.2923196556660002</v>
      </c>
      <c r="Q801" s="344"/>
      <c r="U801" s="126" t="s">
        <v>1059</v>
      </c>
      <c r="V801" s="131" t="s">
        <v>6647</v>
      </c>
      <c r="W801" s="132">
        <v>1.768861876E-2</v>
      </c>
      <c r="X801" s="129">
        <v>1.3474810538000001E-2</v>
      </c>
      <c r="Y801" s="130">
        <v>3.7358728760000001E-2</v>
      </c>
    </row>
    <row r="802" spans="8:25" ht="15.5" x14ac:dyDescent="0.35">
      <c r="H802" s="384"/>
      <c r="I802" s="331" t="s">
        <v>1059</v>
      </c>
      <c r="J802" s="320" t="s">
        <v>1841</v>
      </c>
      <c r="K802" s="302">
        <v>5.2857821420000005E-3</v>
      </c>
      <c r="O802" s="308">
        <v>0.02</v>
      </c>
      <c r="P802" s="312">
        <v>1.8835530595E-2</v>
      </c>
      <c r="Q802" s="344"/>
      <c r="U802" s="126" t="s">
        <v>1059</v>
      </c>
      <c r="V802" s="131" t="s">
        <v>6648</v>
      </c>
      <c r="W802" s="132">
        <v>2.2771950239999998E-2</v>
      </c>
      <c r="X802" s="129">
        <v>1.9322294197000003E-2</v>
      </c>
      <c r="Y802" s="130">
        <v>4.5581175239999994E-2</v>
      </c>
    </row>
    <row r="803" spans="8:25" ht="15.5" x14ac:dyDescent="0.35">
      <c r="H803" s="383"/>
      <c r="I803" s="331" t="s">
        <v>1059</v>
      </c>
      <c r="J803" s="320" t="s">
        <v>1842</v>
      </c>
      <c r="K803" s="302">
        <v>5.2857821420000005E-3</v>
      </c>
      <c r="O803" s="308">
        <v>0.42</v>
      </c>
      <c r="P803" s="312">
        <v>4.8938354872020007</v>
      </c>
      <c r="Q803" s="344"/>
      <c r="U803" s="126" t="s">
        <v>1059</v>
      </c>
      <c r="V803" s="131" t="s">
        <v>6649</v>
      </c>
      <c r="W803" s="132">
        <v>8.5625170930000008E-2</v>
      </c>
      <c r="X803" s="129">
        <v>1.9215878097000001E-2</v>
      </c>
      <c r="Y803" s="130">
        <v>0.11148535793</v>
      </c>
    </row>
    <row r="804" spans="8:25" ht="15.5" x14ac:dyDescent="0.35">
      <c r="H804" s="383"/>
      <c r="I804" s="331" t="s">
        <v>1059</v>
      </c>
      <c r="J804" s="320" t="s">
        <v>1843</v>
      </c>
      <c r="K804" s="302">
        <v>4.0789283480000002E-3</v>
      </c>
      <c r="O804" s="308">
        <v>0.02</v>
      </c>
      <c r="P804" s="312">
        <v>1.4423735901999999E-2</v>
      </c>
      <c r="Q804" s="344"/>
      <c r="U804" s="126" t="s">
        <v>1059</v>
      </c>
      <c r="V804" s="131" t="s">
        <v>6650</v>
      </c>
      <c r="W804" s="132">
        <v>1.997782369E-2</v>
      </c>
      <c r="X804" s="129">
        <v>1.6296686070999999E-2</v>
      </c>
      <c r="Y804" s="130">
        <v>4.140385269E-2</v>
      </c>
    </row>
    <row r="805" spans="8:25" ht="15.5" x14ac:dyDescent="0.35">
      <c r="H805" s="383"/>
      <c r="I805" s="331" t="s">
        <v>1059</v>
      </c>
      <c r="J805" s="320" t="s">
        <v>1844</v>
      </c>
      <c r="K805" s="302">
        <v>4.0789283480000002E-3</v>
      </c>
      <c r="O805" s="308">
        <v>0.42</v>
      </c>
      <c r="P805" s="312">
        <v>6.1944237642919999</v>
      </c>
      <c r="Q805" s="344"/>
      <c r="U805" s="126" t="s">
        <v>1059</v>
      </c>
      <c r="V805" s="131" t="s">
        <v>6651</v>
      </c>
      <c r="W805" s="132">
        <v>3.4924837309999991E-2</v>
      </c>
      <c r="X805" s="129">
        <v>1.2618298231999999E-2</v>
      </c>
      <c r="Y805" s="130">
        <v>5.3262021309999991E-2</v>
      </c>
    </row>
    <row r="806" spans="8:25" ht="15.5" x14ac:dyDescent="0.35">
      <c r="H806" s="383"/>
      <c r="I806" s="331" t="s">
        <v>1059</v>
      </c>
      <c r="J806" s="320" t="s">
        <v>1845</v>
      </c>
      <c r="K806" s="302">
        <v>5.5416416120000001E-3</v>
      </c>
      <c r="O806" s="308">
        <v>0.02</v>
      </c>
      <c r="P806" s="312">
        <v>1.9797974457E-2</v>
      </c>
      <c r="Q806" s="344"/>
      <c r="U806" s="126" t="s">
        <v>1059</v>
      </c>
      <c r="V806" s="131" t="s">
        <v>6652</v>
      </c>
      <c r="W806" s="132">
        <v>1.9023318929999998E-2</v>
      </c>
      <c r="X806" s="129">
        <v>1.3423885921000002E-2</v>
      </c>
      <c r="Y806" s="130">
        <v>3.6619791929999999E-2</v>
      </c>
    </row>
    <row r="807" spans="8:25" ht="15.5" x14ac:dyDescent="0.35">
      <c r="H807" s="383"/>
      <c r="I807" s="331" t="s">
        <v>1059</v>
      </c>
      <c r="J807" s="320" t="s">
        <v>1846</v>
      </c>
      <c r="K807" s="302">
        <v>5.5416416120000001E-3</v>
      </c>
      <c r="O807" s="308">
        <v>0.42</v>
      </c>
      <c r="P807" s="312">
        <v>5.9597979733650002</v>
      </c>
      <c r="Q807" s="344"/>
      <c r="U807" s="126" t="s">
        <v>1059</v>
      </c>
      <c r="V807" s="131" t="s">
        <v>6653</v>
      </c>
      <c r="W807" s="132">
        <v>2.0997620947000001E-2</v>
      </c>
      <c r="X807" s="129">
        <v>1.4394600782999999E-2</v>
      </c>
      <c r="Y807" s="130">
        <v>6.5185874947000011E-2</v>
      </c>
    </row>
    <row r="808" spans="8:25" ht="15.5" x14ac:dyDescent="0.35">
      <c r="H808" s="383"/>
      <c r="I808" s="331" t="s">
        <v>1059</v>
      </c>
      <c r="J808" s="320" t="s">
        <v>1847</v>
      </c>
      <c r="K808" s="302">
        <v>8.3844290809999989E-3</v>
      </c>
      <c r="O808" s="308">
        <v>0.04</v>
      </c>
      <c r="P808" s="312">
        <v>3.0176553744999998E-2</v>
      </c>
      <c r="Q808" s="344"/>
      <c r="U808" s="126" t="s">
        <v>1059</v>
      </c>
      <c r="V808" s="131" t="s">
        <v>6654</v>
      </c>
      <c r="W808" s="132">
        <v>2.4867012399999999E-2</v>
      </c>
      <c r="X808" s="129">
        <v>1.6403493335999997E-2</v>
      </c>
      <c r="Y808" s="130">
        <v>4.5401085399999999E-2</v>
      </c>
    </row>
    <row r="809" spans="8:25" ht="15.5" x14ac:dyDescent="0.35">
      <c r="H809" s="383"/>
      <c r="I809" s="331" t="s">
        <v>1059</v>
      </c>
      <c r="J809" s="320" t="s">
        <v>1848</v>
      </c>
      <c r="K809" s="302">
        <v>2.0297216690000003E-3</v>
      </c>
      <c r="O809" s="308">
        <v>0.01</v>
      </c>
      <c r="P809" s="312">
        <v>1.1179602420799999E-2</v>
      </c>
      <c r="Q809" s="344"/>
      <c r="U809" s="126" t="s">
        <v>1059</v>
      </c>
      <c r="V809" s="131" t="s">
        <v>6655</v>
      </c>
      <c r="W809" s="132">
        <v>3.3595180959999998E-2</v>
      </c>
      <c r="X809" s="129">
        <v>2.1712637156000025E-2</v>
      </c>
      <c r="Y809" s="130">
        <v>6.9330231959999988E-2</v>
      </c>
    </row>
    <row r="810" spans="8:25" ht="15.5" x14ac:dyDescent="0.35">
      <c r="H810" s="384"/>
      <c r="I810" s="331" t="s">
        <v>1059</v>
      </c>
      <c r="J810" s="320" t="s">
        <v>1849</v>
      </c>
      <c r="K810" s="302">
        <v>2.0297216690000003E-3</v>
      </c>
      <c r="O810" s="308">
        <v>0.41</v>
      </c>
      <c r="P810" s="312">
        <v>2.3811795886638003</v>
      </c>
      <c r="Q810" s="344"/>
      <c r="U810" s="126" t="s">
        <v>1059</v>
      </c>
      <c r="V810" s="131" t="s">
        <v>6656</v>
      </c>
      <c r="W810" s="132">
        <v>1.4960036154999998E-2</v>
      </c>
      <c r="X810" s="129">
        <v>1.1496261105000002E-2</v>
      </c>
      <c r="Y810" s="130">
        <v>3.1380741155000003E-2</v>
      </c>
    </row>
    <row r="811" spans="8:25" ht="15.5" x14ac:dyDescent="0.35">
      <c r="H811" s="383"/>
      <c r="I811" s="331" t="s">
        <v>1059</v>
      </c>
      <c r="J811" s="320" t="s">
        <v>1850</v>
      </c>
      <c r="K811" s="302">
        <v>2.6734183690000001E-3</v>
      </c>
      <c r="O811" s="308">
        <v>0.01</v>
      </c>
      <c r="P811" s="312">
        <v>9.3309327390000002E-3</v>
      </c>
      <c r="Q811" s="344"/>
      <c r="U811" s="126" t="s">
        <v>1059</v>
      </c>
      <c r="V811" s="131" t="s">
        <v>6657</v>
      </c>
      <c r="W811" s="132">
        <v>2.3972366241999998E-2</v>
      </c>
      <c r="X811" s="129">
        <v>1.4866182443E-2</v>
      </c>
      <c r="Y811" s="130">
        <v>4.2880923241999998E-2</v>
      </c>
    </row>
    <row r="812" spans="8:25" ht="15.5" x14ac:dyDescent="0.35">
      <c r="H812" s="383"/>
      <c r="I812" s="331" t="s">
        <v>1059</v>
      </c>
      <c r="J812" s="320" t="s">
        <v>1851</v>
      </c>
      <c r="K812" s="302">
        <v>3.076311331E-3</v>
      </c>
      <c r="O812" s="308">
        <v>0.01</v>
      </c>
      <c r="P812" s="312">
        <v>1.0758552915000002E-2</v>
      </c>
      <c r="Q812" s="344"/>
      <c r="U812" s="126" t="s">
        <v>1059</v>
      </c>
      <c r="V812" s="131" t="s">
        <v>6658</v>
      </c>
      <c r="W812" s="132">
        <v>0.1293634531</v>
      </c>
      <c r="X812" s="129">
        <v>0.60300812175999996</v>
      </c>
      <c r="Y812" s="130">
        <v>0.26205931309999997</v>
      </c>
    </row>
    <row r="813" spans="8:25" ht="15.5" x14ac:dyDescent="0.35">
      <c r="H813" s="383"/>
      <c r="I813" s="331" t="s">
        <v>1059</v>
      </c>
      <c r="J813" s="320" t="s">
        <v>1852</v>
      </c>
      <c r="K813" s="302">
        <v>3.076311331E-3</v>
      </c>
      <c r="O813" s="308">
        <v>0.41</v>
      </c>
      <c r="P813" s="312">
        <v>2.5907585901710002</v>
      </c>
      <c r="Q813" s="344"/>
      <c r="U813" s="126" t="s">
        <v>1059</v>
      </c>
      <c r="V813" s="131" t="s">
        <v>6659</v>
      </c>
      <c r="W813" s="132">
        <v>0.40984012530000002</v>
      </c>
      <c r="X813" s="129">
        <v>0.43353909927000006</v>
      </c>
      <c r="Y813" s="130">
        <v>0.64012294530000002</v>
      </c>
    </row>
    <row r="814" spans="8:25" ht="15.5" x14ac:dyDescent="0.35">
      <c r="H814" s="383"/>
      <c r="I814" s="331" t="s">
        <v>1059</v>
      </c>
      <c r="J814" s="320" t="s">
        <v>1853</v>
      </c>
      <c r="K814" s="302">
        <v>3.7261556749999996E-3</v>
      </c>
      <c r="O814" s="308">
        <v>0.02</v>
      </c>
      <c r="P814" s="312">
        <v>1.3134134298E-2</v>
      </c>
      <c r="Q814" s="344"/>
      <c r="U814" s="126" t="s">
        <v>1059</v>
      </c>
      <c r="V814" s="131" t="s">
        <v>6660</v>
      </c>
      <c r="W814" s="132">
        <v>0.26326606070000003</v>
      </c>
      <c r="X814" s="129">
        <v>0.61240746533000001</v>
      </c>
      <c r="Y814" s="130">
        <v>0.53062092070000011</v>
      </c>
    </row>
    <row r="815" spans="8:25" ht="15.5" x14ac:dyDescent="0.35">
      <c r="H815" s="383"/>
      <c r="I815" s="331" t="s">
        <v>1059</v>
      </c>
      <c r="J815" s="320" t="s">
        <v>1854</v>
      </c>
      <c r="K815" s="302">
        <v>3.7261556749999996E-3</v>
      </c>
      <c r="O815" s="308">
        <v>0.42</v>
      </c>
      <c r="P815" s="312">
        <v>5.0531341713630002</v>
      </c>
      <c r="Q815" s="344"/>
      <c r="U815" s="126" t="s">
        <v>1059</v>
      </c>
      <c r="V815" s="131" t="s">
        <v>6661</v>
      </c>
      <c r="W815" s="132">
        <v>0.1098339274</v>
      </c>
      <c r="X815" s="129">
        <v>0.47535313244999999</v>
      </c>
      <c r="Y815" s="130">
        <v>0.2346559674</v>
      </c>
    </row>
    <row r="816" spans="8:25" ht="15.5" x14ac:dyDescent="0.35">
      <c r="H816" s="383"/>
      <c r="I816" s="331" t="s">
        <v>1059</v>
      </c>
      <c r="J816" s="320" t="s">
        <v>1855</v>
      </c>
      <c r="K816" s="302">
        <v>4.5616698770000004E-3</v>
      </c>
      <c r="O816" s="308">
        <v>0.02</v>
      </c>
      <c r="P816" s="312">
        <v>1.6188453776999998E-2</v>
      </c>
      <c r="Q816" s="344"/>
      <c r="U816" s="126" t="s">
        <v>1059</v>
      </c>
      <c r="V816" s="131" t="s">
        <v>6662</v>
      </c>
      <c r="W816" s="132">
        <v>0.32034854469999996</v>
      </c>
      <c r="X816" s="129">
        <v>0.34134593337000008</v>
      </c>
      <c r="Y816" s="130">
        <v>0.48758409469999997</v>
      </c>
    </row>
    <row r="817" spans="8:25" ht="15.5" x14ac:dyDescent="0.35">
      <c r="H817" s="383"/>
      <c r="I817" s="331" t="s">
        <v>1059</v>
      </c>
      <c r="J817" s="320" t="s">
        <v>1856</v>
      </c>
      <c r="K817" s="302">
        <v>4.5616698770000004E-3</v>
      </c>
      <c r="O817" s="308">
        <v>0.42</v>
      </c>
      <c r="P817" s="312">
        <v>7.8161884334540002</v>
      </c>
      <c r="Q817" s="344"/>
      <c r="U817" s="126" t="s">
        <v>1059</v>
      </c>
      <c r="V817" s="131" t="s">
        <v>6663</v>
      </c>
      <c r="W817" s="132">
        <v>0.20486594830000002</v>
      </c>
      <c r="X817" s="129">
        <v>0.48227251395000004</v>
      </c>
      <c r="Y817" s="130">
        <v>0.40130976829999998</v>
      </c>
    </row>
    <row r="818" spans="8:25" ht="15.5" x14ac:dyDescent="0.35">
      <c r="H818" s="383"/>
      <c r="I818" s="331" t="s">
        <v>1059</v>
      </c>
      <c r="J818" s="320" t="s">
        <v>1857</v>
      </c>
      <c r="K818" s="302">
        <v>3.8746915089999997E-3</v>
      </c>
      <c r="O818" s="308">
        <v>0.02</v>
      </c>
      <c r="P818" s="312">
        <v>1.3677125177E-2</v>
      </c>
      <c r="Q818" s="344"/>
      <c r="U818" s="126" t="s">
        <v>1059</v>
      </c>
      <c r="V818" s="131" t="s">
        <v>6664</v>
      </c>
      <c r="W818" s="132">
        <v>0.21673584669999998</v>
      </c>
      <c r="X818" s="129">
        <v>0.13528344479000001</v>
      </c>
      <c r="Y818" s="130">
        <v>1.4602713466999999</v>
      </c>
    </row>
    <row r="819" spans="8:25" ht="15.5" x14ac:dyDescent="0.35">
      <c r="H819" s="383"/>
      <c r="I819" s="331" t="s">
        <v>1059</v>
      </c>
      <c r="J819" s="320" t="s">
        <v>1858</v>
      </c>
      <c r="K819" s="302">
        <v>3.8746915089999997E-3</v>
      </c>
      <c r="O819" s="308">
        <v>0.42</v>
      </c>
      <c r="P819" s="312">
        <v>2.4886771164840003</v>
      </c>
      <c r="Q819" s="344"/>
      <c r="U819" s="126" t="s">
        <v>1059</v>
      </c>
      <c r="V819" s="131" t="s">
        <v>6665</v>
      </c>
      <c r="W819" s="132">
        <v>1.066153435E-2</v>
      </c>
      <c r="X819" s="129">
        <v>7.8441301670000001E-3</v>
      </c>
      <c r="Y819" s="130">
        <v>1.9939914449999999E-2</v>
      </c>
    </row>
    <row r="820" spans="8:25" ht="15.5" x14ac:dyDescent="0.35">
      <c r="H820" s="383"/>
      <c r="I820" s="331" t="s">
        <v>1059</v>
      </c>
      <c r="J820" s="320" t="s">
        <v>1859</v>
      </c>
      <c r="K820" s="302">
        <v>1.0297525463000001E-2</v>
      </c>
      <c r="O820" s="308">
        <v>0.05</v>
      </c>
      <c r="P820" s="312">
        <v>3.7371244779000001E-2</v>
      </c>
      <c r="Q820" s="344"/>
      <c r="U820" s="126" t="s">
        <v>1059</v>
      </c>
      <c r="V820" s="131" t="s">
        <v>6666</v>
      </c>
      <c r="W820" s="132">
        <v>8.806782103E-3</v>
      </c>
      <c r="X820" s="129">
        <v>6.8302508729999999E-3</v>
      </c>
      <c r="Y820" s="130">
        <v>1.8654383303E-2</v>
      </c>
    </row>
    <row r="821" spans="8:25" ht="15.5" x14ac:dyDescent="0.35">
      <c r="H821" s="383"/>
      <c r="I821" s="331" t="s">
        <v>1059</v>
      </c>
      <c r="J821" s="320" t="s">
        <v>1860</v>
      </c>
      <c r="K821" s="302">
        <v>1.0297525463000001E-2</v>
      </c>
      <c r="O821" s="308">
        <v>0.45</v>
      </c>
      <c r="P821" s="312">
        <v>11.287370874680001</v>
      </c>
      <c r="Q821" s="344"/>
      <c r="U821" s="126" t="s">
        <v>1059</v>
      </c>
      <c r="V821" s="131" t="s">
        <v>6667</v>
      </c>
      <c r="W821" s="132">
        <v>1.3808601209999999E-2</v>
      </c>
      <c r="X821" s="129">
        <v>1.3492917891E-2</v>
      </c>
      <c r="Y821" s="130">
        <v>2.606986721E-2</v>
      </c>
    </row>
    <row r="822" spans="8:25" ht="15.5" x14ac:dyDescent="0.35">
      <c r="H822" s="383"/>
      <c r="I822" s="331" t="s">
        <v>1059</v>
      </c>
      <c r="J822" s="320" t="s">
        <v>1861</v>
      </c>
      <c r="K822" s="302">
        <v>3.0803537179999998E-3</v>
      </c>
      <c r="O822" s="308">
        <v>0.01</v>
      </c>
      <c r="P822" s="312">
        <v>1.0856198854E-2</v>
      </c>
      <c r="Q822" s="344"/>
      <c r="U822" s="126" t="s">
        <v>1059</v>
      </c>
      <c r="V822" s="131" t="s">
        <v>6668</v>
      </c>
      <c r="W822" s="132">
        <v>8.7099002400000004E-3</v>
      </c>
      <c r="X822" s="129">
        <v>8.533794606000001E-3</v>
      </c>
      <c r="Y822" s="130">
        <v>1.717660914E-2</v>
      </c>
    </row>
    <row r="823" spans="8:25" ht="15.5" x14ac:dyDescent="0.35">
      <c r="H823" s="383"/>
      <c r="I823" s="331" t="s">
        <v>1059</v>
      </c>
      <c r="J823" s="320" t="s">
        <v>1862</v>
      </c>
      <c r="K823" s="302">
        <v>3.614753776E-3</v>
      </c>
      <c r="O823" s="308">
        <v>0.02</v>
      </c>
      <c r="P823" s="312">
        <v>1.2726891625999999E-2</v>
      </c>
      <c r="Q823" s="344"/>
      <c r="U823" s="126" t="s">
        <v>1059</v>
      </c>
      <c r="V823" s="131" t="s">
        <v>6669</v>
      </c>
      <c r="W823" s="132">
        <v>1.128156045E-2</v>
      </c>
      <c r="X823" s="129">
        <v>1.1124998376999999E-2</v>
      </c>
      <c r="Y823" s="130">
        <v>2.2353689449999999E-2</v>
      </c>
    </row>
    <row r="824" spans="8:25" ht="15.5" x14ac:dyDescent="0.35">
      <c r="H824" s="383"/>
      <c r="I824" s="331" t="s">
        <v>1059</v>
      </c>
      <c r="J824" s="320" t="s">
        <v>1863</v>
      </c>
      <c r="K824" s="302">
        <v>3.614753776E-3</v>
      </c>
      <c r="O824" s="308">
        <v>0.42</v>
      </c>
      <c r="P824" s="312">
        <v>2.577726863009</v>
      </c>
      <c r="Q824" s="344"/>
      <c r="U824" s="126" t="s">
        <v>1059</v>
      </c>
      <c r="V824" s="131" t="s">
        <v>6670</v>
      </c>
      <c r="W824" s="132">
        <v>1.158928819E-2</v>
      </c>
      <c r="X824" s="129">
        <v>6.6139267050000002E-3</v>
      </c>
      <c r="Y824" s="130">
        <v>2.222031419E-2</v>
      </c>
    </row>
    <row r="825" spans="8:25" ht="15.5" x14ac:dyDescent="0.35">
      <c r="H825" s="383"/>
      <c r="I825" s="331" t="s">
        <v>1059</v>
      </c>
      <c r="J825" s="320" t="s">
        <v>1864</v>
      </c>
      <c r="K825" s="302">
        <v>3.3733830110000002E-3</v>
      </c>
      <c r="O825" s="308">
        <v>0.01</v>
      </c>
      <c r="P825" s="312">
        <v>1.1844533694000001E-2</v>
      </c>
      <c r="Q825" s="344"/>
      <c r="U825" s="126" t="s">
        <v>1059</v>
      </c>
      <c r="V825" s="131" t="s">
        <v>6671</v>
      </c>
      <c r="W825" s="132">
        <v>1.004825963E-2</v>
      </c>
      <c r="X825" s="129">
        <v>6.6926359500000003E-3</v>
      </c>
      <c r="Y825" s="130">
        <v>1.987106143E-2</v>
      </c>
    </row>
    <row r="826" spans="8:25" ht="15.5" x14ac:dyDescent="0.35">
      <c r="H826" s="383"/>
      <c r="I826" s="331" t="s">
        <v>1059</v>
      </c>
      <c r="J826" s="320" t="s">
        <v>1865</v>
      </c>
      <c r="K826" s="302">
        <v>3.7632896100000006E-3</v>
      </c>
      <c r="O826" s="308">
        <v>0.02</v>
      </c>
      <c r="P826" s="312">
        <v>1.3269882516E-2</v>
      </c>
      <c r="Q826" s="344"/>
      <c r="U826" s="126"/>
      <c r="V826" s="134"/>
      <c r="W826" s="132"/>
      <c r="X826" s="129"/>
      <c r="Y826" s="130" t="s">
        <v>6949</v>
      </c>
    </row>
    <row r="827" spans="8:25" ht="15.5" x14ac:dyDescent="0.35">
      <c r="H827" s="383"/>
      <c r="I827" s="331" t="s">
        <v>1059</v>
      </c>
      <c r="J827" s="320" t="s">
        <v>1866</v>
      </c>
      <c r="K827" s="302">
        <v>3.7632896100000006E-3</v>
      </c>
      <c r="O827" s="308">
        <v>0.42</v>
      </c>
      <c r="P827" s="312">
        <v>3.073269908141</v>
      </c>
      <c r="Q827" s="344"/>
      <c r="U827" s="126"/>
      <c r="V827" s="127" t="s">
        <v>6672</v>
      </c>
      <c r="W827" s="132"/>
      <c r="X827" s="129"/>
      <c r="Y827" s="130" t="s">
        <v>6949</v>
      </c>
    </row>
    <row r="828" spans="8:25" ht="15.5" x14ac:dyDescent="0.35">
      <c r="H828" s="383"/>
      <c r="I828" s="331" t="s">
        <v>1059</v>
      </c>
      <c r="J828" s="320" t="s">
        <v>1867</v>
      </c>
      <c r="K828" s="302">
        <v>3.503351867E-3</v>
      </c>
      <c r="O828" s="308">
        <v>0.02</v>
      </c>
      <c r="P828" s="312">
        <v>1.2319649965E-2</v>
      </c>
      <c r="Q828" s="344"/>
      <c r="U828" s="126" t="s">
        <v>1059</v>
      </c>
      <c r="V828" s="131" t="s">
        <v>6673</v>
      </c>
      <c r="W828" s="132">
        <v>0.10035750679000002</v>
      </c>
      <c r="X828" s="129">
        <v>8.2833260880000009E-2</v>
      </c>
      <c r="Y828" s="130">
        <v>0.16173394379000003</v>
      </c>
    </row>
    <row r="829" spans="8:25" ht="15.5" x14ac:dyDescent="0.35">
      <c r="H829" s="384"/>
      <c r="I829" s="331" t="s">
        <v>1059</v>
      </c>
      <c r="J829" s="320" t="s">
        <v>1868</v>
      </c>
      <c r="K829" s="302">
        <v>3.503351867E-3</v>
      </c>
      <c r="O829" s="308">
        <v>0.42</v>
      </c>
      <c r="P829" s="312">
        <v>2.382319655666</v>
      </c>
      <c r="Q829" s="344"/>
      <c r="U829" s="126" t="s">
        <v>1059</v>
      </c>
      <c r="V829" s="131" t="s">
        <v>6674</v>
      </c>
      <c r="W829" s="132">
        <v>9.6067772150000008E-2</v>
      </c>
      <c r="X829" s="129">
        <v>8.5058294800000003E-2</v>
      </c>
      <c r="Y829" s="130">
        <v>0.14817019815000002</v>
      </c>
    </row>
    <row r="830" spans="8:25" ht="15.5" x14ac:dyDescent="0.35">
      <c r="H830" s="384" t="s">
        <v>1869</v>
      </c>
      <c r="I830" s="333"/>
      <c r="J830" s="320"/>
      <c r="K830" s="302"/>
      <c r="O830" s="308"/>
      <c r="P830" s="312"/>
      <c r="Q830" s="344"/>
      <c r="U830" s="126" t="s">
        <v>1059</v>
      </c>
      <c r="V830" s="131" t="s">
        <v>6675</v>
      </c>
      <c r="W830" s="132">
        <v>0.11217748146999999</v>
      </c>
      <c r="X830" s="129">
        <v>8.4779360249999991E-2</v>
      </c>
      <c r="Y830" s="130">
        <v>0.17768563746999999</v>
      </c>
    </row>
    <row r="831" spans="8:25" ht="15.5" x14ac:dyDescent="0.35">
      <c r="H831" s="384"/>
      <c r="I831" s="331" t="s">
        <v>1059</v>
      </c>
      <c r="J831" s="320" t="s">
        <v>1870</v>
      </c>
      <c r="K831" s="302">
        <v>3.614753776E-3</v>
      </c>
      <c r="O831" s="308">
        <v>0.02</v>
      </c>
      <c r="P831" s="312">
        <v>1.2726891625999999E-2</v>
      </c>
      <c r="Q831" s="344"/>
      <c r="U831" s="126" t="s">
        <v>1059</v>
      </c>
      <c r="V831" s="131" t="s">
        <v>6676</v>
      </c>
      <c r="W831" s="132">
        <v>0.10972539112999999</v>
      </c>
      <c r="X831" s="129">
        <v>0.10464057287</v>
      </c>
      <c r="Y831" s="130">
        <v>0.18633628812999997</v>
      </c>
    </row>
    <row r="832" spans="8:25" ht="15.5" x14ac:dyDescent="0.35">
      <c r="H832" s="384"/>
      <c r="I832" s="331" t="s">
        <v>1059</v>
      </c>
      <c r="J832" s="320" t="s">
        <v>1871</v>
      </c>
      <c r="K832" s="302">
        <v>3.614753776E-3</v>
      </c>
      <c r="O832" s="308">
        <v>0.3</v>
      </c>
      <c r="P832" s="312">
        <v>2.2627268630090001</v>
      </c>
      <c r="Q832" s="344"/>
      <c r="U832" s="126" t="s">
        <v>1059</v>
      </c>
      <c r="V832" s="131" t="s">
        <v>6677</v>
      </c>
      <c r="W832" s="132">
        <v>0.14658701099999999</v>
      </c>
      <c r="X832" s="129">
        <v>0.10659203483</v>
      </c>
      <c r="Y832" s="130">
        <v>0.23462149499999999</v>
      </c>
    </row>
    <row r="833" spans="8:25" ht="15.5" x14ac:dyDescent="0.35">
      <c r="H833" s="384"/>
      <c r="I833" s="331" t="s">
        <v>1059</v>
      </c>
      <c r="J833" s="320" t="s">
        <v>1872</v>
      </c>
      <c r="K833" s="302">
        <v>3.614753776E-3</v>
      </c>
      <c r="O833" s="308">
        <v>0.02</v>
      </c>
      <c r="P833" s="312">
        <v>1.2726891625999999E-2</v>
      </c>
      <c r="Q833" s="344"/>
      <c r="U833" s="126" t="s">
        <v>1059</v>
      </c>
      <c r="V833" s="131" t="s">
        <v>6678</v>
      </c>
      <c r="W833" s="132">
        <v>0.1662868045</v>
      </c>
      <c r="X833" s="129">
        <v>8.7321387090000008E-2</v>
      </c>
      <c r="Y833" s="130">
        <v>0.2202118575</v>
      </c>
    </row>
    <row r="834" spans="8:25" ht="15.5" x14ac:dyDescent="0.35">
      <c r="H834" s="384"/>
      <c r="I834" s="331" t="s">
        <v>1059</v>
      </c>
      <c r="J834" s="320" t="s">
        <v>1873</v>
      </c>
      <c r="K834" s="302">
        <v>3.614753776E-3</v>
      </c>
      <c r="O834" s="308">
        <v>0.37</v>
      </c>
      <c r="P834" s="312">
        <v>2.6677268630089999</v>
      </c>
      <c r="Q834" s="344"/>
      <c r="U834" s="126" t="s">
        <v>1059</v>
      </c>
      <c r="V834" s="131" t="s">
        <v>6679</v>
      </c>
      <c r="W834" s="132">
        <v>0.14168756459999998</v>
      </c>
      <c r="X834" s="129">
        <v>0.12950787215000001</v>
      </c>
      <c r="Y834" s="130">
        <v>0.2120639976</v>
      </c>
    </row>
    <row r="835" spans="8:25" ht="15.5" x14ac:dyDescent="0.35">
      <c r="H835" s="384"/>
      <c r="I835" s="331" t="s">
        <v>1059</v>
      </c>
      <c r="J835" s="320" t="s">
        <v>1874</v>
      </c>
      <c r="K835" s="302">
        <v>3.614753776E-3</v>
      </c>
      <c r="O835" s="308">
        <v>0.02</v>
      </c>
      <c r="P835" s="312">
        <v>1.2726891625999999E-2</v>
      </c>
      <c r="Q835" s="344"/>
      <c r="U835" s="126" t="s">
        <v>1059</v>
      </c>
      <c r="V835" s="131" t="s">
        <v>6680</v>
      </c>
      <c r="W835" s="132">
        <v>0.16826476840000001</v>
      </c>
      <c r="X835" s="129">
        <v>0.13832277041999999</v>
      </c>
      <c r="Y835" s="130">
        <v>0.25105646840000001</v>
      </c>
    </row>
    <row r="836" spans="8:25" ht="15.5" x14ac:dyDescent="0.35">
      <c r="H836" s="384"/>
      <c r="I836" s="331" t="s">
        <v>1059</v>
      </c>
      <c r="J836" s="320" t="s">
        <v>1875</v>
      </c>
      <c r="K836" s="302">
        <v>3.614753776E-3</v>
      </c>
      <c r="O836" s="308">
        <v>0.37</v>
      </c>
      <c r="P836" s="312">
        <v>2.6677268630089999</v>
      </c>
      <c r="Q836" s="344"/>
      <c r="U836" s="126" t="s">
        <v>1059</v>
      </c>
      <c r="V836" s="131" t="s">
        <v>6681</v>
      </c>
      <c r="W836" s="132">
        <v>0.1219405165</v>
      </c>
      <c r="X836" s="129">
        <v>0.12509068057</v>
      </c>
      <c r="Y836" s="130">
        <v>0.1853460465</v>
      </c>
    </row>
    <row r="837" spans="8:25" ht="15.5" x14ac:dyDescent="0.35">
      <c r="H837" s="384"/>
      <c r="I837" s="331" t="s">
        <v>1059</v>
      </c>
      <c r="J837" s="320" t="s">
        <v>1876</v>
      </c>
      <c r="K837" s="302">
        <v>3.503351867E-3</v>
      </c>
      <c r="O837" s="308">
        <v>0.02</v>
      </c>
      <c r="P837" s="312">
        <v>1.2319649965E-2</v>
      </c>
      <c r="Q837" s="344"/>
      <c r="U837" s="126" t="s">
        <v>1059</v>
      </c>
      <c r="V837" s="131" t="s">
        <v>6682</v>
      </c>
      <c r="W837" s="132">
        <v>0.10253026570000001</v>
      </c>
      <c r="X837" s="129">
        <v>0.11088881053999999</v>
      </c>
      <c r="Y837" s="130">
        <v>0.15021062570000002</v>
      </c>
    </row>
    <row r="838" spans="8:25" ht="15.5" x14ac:dyDescent="0.35">
      <c r="H838" s="384"/>
      <c r="I838" s="331" t="s">
        <v>1059</v>
      </c>
      <c r="J838" s="320" t="s">
        <v>1877</v>
      </c>
      <c r="K838" s="302">
        <v>3.503351867E-3</v>
      </c>
      <c r="O838" s="308">
        <v>0.36</v>
      </c>
      <c r="P838" s="312">
        <v>1.9923196556659999</v>
      </c>
      <c r="Q838" s="344"/>
      <c r="U838" s="126" t="s">
        <v>1059</v>
      </c>
      <c r="V838" s="131" t="s">
        <v>6683</v>
      </c>
      <c r="W838" s="132">
        <v>0.13323470430000001</v>
      </c>
      <c r="X838" s="129">
        <v>0.14059379862999999</v>
      </c>
      <c r="Y838" s="130">
        <v>0.21461690529999999</v>
      </c>
    </row>
    <row r="839" spans="8:25" ht="15.5" x14ac:dyDescent="0.35">
      <c r="H839" s="384"/>
      <c r="I839" s="331" t="s">
        <v>1059</v>
      </c>
      <c r="J839" s="320" t="s">
        <v>1878</v>
      </c>
      <c r="K839" s="302">
        <v>3.614753776E-3</v>
      </c>
      <c r="O839" s="308">
        <v>0.02</v>
      </c>
      <c r="P839" s="312">
        <v>1.2726891625999999E-2</v>
      </c>
      <c r="Q839" s="344"/>
      <c r="U839" s="126" t="s">
        <v>1059</v>
      </c>
      <c r="V839" s="131" t="s">
        <v>6684</v>
      </c>
      <c r="W839" s="132">
        <v>0.11411668150000001</v>
      </c>
      <c r="X839" s="129">
        <v>7.8667693319999996E-2</v>
      </c>
      <c r="Y839" s="130">
        <v>0.16419484250000002</v>
      </c>
    </row>
    <row r="840" spans="8:25" ht="15.5" x14ac:dyDescent="0.35">
      <c r="H840" s="384"/>
      <c r="I840" s="331" t="s">
        <v>1059</v>
      </c>
      <c r="J840" s="320" t="s">
        <v>1879</v>
      </c>
      <c r="K840" s="302">
        <v>3.614753776E-3</v>
      </c>
      <c r="O840" s="308">
        <v>0.3</v>
      </c>
      <c r="P840" s="312">
        <v>2.9827268630089998</v>
      </c>
      <c r="Q840" s="344"/>
      <c r="U840" s="126" t="s">
        <v>1059</v>
      </c>
      <c r="V840" s="131" t="s">
        <v>6685</v>
      </c>
      <c r="W840" s="132">
        <v>0.109073922</v>
      </c>
      <c r="X840" s="129">
        <v>0.10266190577000001</v>
      </c>
      <c r="Y840" s="130">
        <v>0.159703437</v>
      </c>
    </row>
    <row r="841" spans="8:25" ht="15.5" x14ac:dyDescent="0.35">
      <c r="H841" s="384" t="s">
        <v>1880</v>
      </c>
      <c r="I841" s="333"/>
      <c r="J841" s="319"/>
      <c r="K841" s="303"/>
      <c r="O841" s="308"/>
      <c r="P841" s="313"/>
      <c r="Q841" s="344"/>
      <c r="U841" s="126" t="s">
        <v>1059</v>
      </c>
      <c r="V841" s="131" t="s">
        <v>6686</v>
      </c>
      <c r="W841" s="132">
        <v>9.2144270579999993E-2</v>
      </c>
      <c r="X841" s="129">
        <v>7.5271816679999992E-2</v>
      </c>
      <c r="Y841" s="130">
        <v>0.13617144957999999</v>
      </c>
    </row>
    <row r="842" spans="8:25" ht="15.5" x14ac:dyDescent="0.35">
      <c r="H842" s="383">
        <v>1</v>
      </c>
      <c r="I842" s="331" t="s">
        <v>1059</v>
      </c>
      <c r="J842" s="320" t="s">
        <v>1881</v>
      </c>
      <c r="K842" s="302">
        <v>5.0892825799999999E-2</v>
      </c>
      <c r="O842" s="308">
        <v>0.1</v>
      </c>
      <c r="P842" s="312">
        <v>9.5162667000000006E-2</v>
      </c>
      <c r="Q842" s="344"/>
      <c r="U842" s="126" t="s">
        <v>1059</v>
      </c>
      <c r="V842" s="131" t="s">
        <v>6687</v>
      </c>
      <c r="W842" s="132">
        <v>0.13881620660000002</v>
      </c>
      <c r="X842" s="129">
        <v>0.15851008879</v>
      </c>
      <c r="Y842" s="130">
        <v>0.20956259860000004</v>
      </c>
    </row>
    <row r="843" spans="8:25" ht="15.5" x14ac:dyDescent="0.35">
      <c r="H843" s="383">
        <v>1</v>
      </c>
      <c r="I843" s="331" t="s">
        <v>1059</v>
      </c>
      <c r="J843" s="320" t="s">
        <v>1882</v>
      </c>
      <c r="K843" s="302">
        <v>5.4072343000000009E-3</v>
      </c>
      <c r="O843" s="308">
        <v>-0.02</v>
      </c>
      <c r="P843" s="312">
        <v>0.10362696</v>
      </c>
      <c r="Q843" s="344"/>
      <c r="U843" s="126" t="s">
        <v>1059</v>
      </c>
      <c r="V843" s="131" t="s">
        <v>6688</v>
      </c>
      <c r="W843" s="132">
        <v>9.1515350849999996E-2</v>
      </c>
      <c r="X843" s="129">
        <v>8.0917234970000002E-2</v>
      </c>
      <c r="Y843" s="130">
        <v>0.13875317085</v>
      </c>
    </row>
    <row r="844" spans="8:25" ht="15.5" x14ac:dyDescent="0.35">
      <c r="H844" s="389"/>
      <c r="I844" s="331" t="s">
        <v>1059</v>
      </c>
      <c r="J844" s="320" t="s">
        <v>1883</v>
      </c>
      <c r="K844" s="302">
        <v>4.0152823080000007E-3</v>
      </c>
      <c r="O844" s="308">
        <v>0.02</v>
      </c>
      <c r="P844" s="312">
        <v>1.1465106627999998E-2</v>
      </c>
      <c r="Q844" s="344"/>
      <c r="U844" s="126" t="s">
        <v>1059</v>
      </c>
      <c r="V844" s="131" t="s">
        <v>6689</v>
      </c>
      <c r="W844" s="132">
        <v>0.16108174619999999</v>
      </c>
      <c r="X844" s="129">
        <v>0.13643492388</v>
      </c>
      <c r="Y844" s="130">
        <v>0.21401903719999998</v>
      </c>
    </row>
    <row r="845" spans="8:25" ht="15.5" x14ac:dyDescent="0.35">
      <c r="H845" s="390"/>
      <c r="I845" s="331" t="s">
        <v>1059</v>
      </c>
      <c r="J845" s="320" t="s">
        <v>1884</v>
      </c>
      <c r="K845" s="302">
        <v>1.71856860229</v>
      </c>
      <c r="O845" s="308">
        <v>1.74</v>
      </c>
      <c r="P845" s="312">
        <v>2.1441384970999997E-2</v>
      </c>
      <c r="Q845" s="344"/>
      <c r="U845" s="126" t="s">
        <v>1059</v>
      </c>
      <c r="V845" s="131" t="s">
        <v>6690</v>
      </c>
      <c r="W845" s="132">
        <v>0.11379400960000001</v>
      </c>
      <c r="X845" s="129">
        <v>0.13501465022</v>
      </c>
      <c r="Y845" s="130">
        <v>0.1691177036</v>
      </c>
    </row>
    <row r="846" spans="8:25" ht="15.5" x14ac:dyDescent="0.35">
      <c r="H846" s="390"/>
      <c r="I846" s="331" t="s">
        <v>1059</v>
      </c>
      <c r="J846" s="320" t="s">
        <v>1885</v>
      </c>
      <c r="K846" s="302">
        <v>1.1974574734E-2</v>
      </c>
      <c r="O846" s="308">
        <v>0.04</v>
      </c>
      <c r="P846" s="312">
        <v>5.9049791745999995E-2</v>
      </c>
      <c r="Q846" s="344"/>
      <c r="U846" s="126" t="s">
        <v>1059</v>
      </c>
      <c r="V846" s="131" t="s">
        <v>6691</v>
      </c>
      <c r="W846" s="132">
        <v>0.130718052</v>
      </c>
      <c r="X846" s="129">
        <v>7.8671105919999998E-2</v>
      </c>
      <c r="Y846" s="130">
        <v>0.186733553</v>
      </c>
    </row>
    <row r="847" spans="8:25" ht="15.5" x14ac:dyDescent="0.35">
      <c r="H847" s="390"/>
      <c r="I847" s="331" t="s">
        <v>1059</v>
      </c>
      <c r="J847" s="320" t="s">
        <v>1886</v>
      </c>
      <c r="K847" s="302">
        <v>9.2399700000000001E-3</v>
      </c>
      <c r="O847" s="308">
        <v>0.03</v>
      </c>
      <c r="P847" s="312">
        <v>4.8800000000000003E-2</v>
      </c>
      <c r="Q847" s="344"/>
      <c r="U847" s="126" t="s">
        <v>1059</v>
      </c>
      <c r="V847" s="131" t="s">
        <v>6692</v>
      </c>
      <c r="W847" s="132">
        <v>0.1059046491</v>
      </c>
      <c r="X847" s="129">
        <v>0.12943548472999999</v>
      </c>
      <c r="Y847" s="130">
        <v>0.1579987601</v>
      </c>
    </row>
    <row r="848" spans="8:25" ht="15.5" x14ac:dyDescent="0.35">
      <c r="H848" s="390"/>
      <c r="I848" s="331" t="s">
        <v>1059</v>
      </c>
      <c r="J848" s="320" t="s">
        <v>1887</v>
      </c>
      <c r="K848" s="302">
        <v>8.7081610259999997E-3</v>
      </c>
      <c r="O848" s="308">
        <v>0.03</v>
      </c>
      <c r="P848" s="312">
        <v>8.9622425640000017E-3</v>
      </c>
      <c r="Q848" s="344"/>
      <c r="U848" s="126" t="s">
        <v>1059</v>
      </c>
      <c r="V848" s="131" t="s">
        <v>6693</v>
      </c>
      <c r="W848" s="132">
        <v>0.123355496</v>
      </c>
      <c r="X848" s="129">
        <v>0.12413731590000002</v>
      </c>
      <c r="Y848" s="130">
        <v>0.184233335</v>
      </c>
    </row>
    <row r="849" spans="8:25" ht="15.5" x14ac:dyDescent="0.35">
      <c r="H849" s="390"/>
      <c r="I849" s="331" t="s">
        <v>1059</v>
      </c>
      <c r="J849" s="320" t="s">
        <v>1888</v>
      </c>
      <c r="K849" s="302">
        <v>4.044091583E-2</v>
      </c>
      <c r="O849" s="308">
        <v>0.13</v>
      </c>
      <c r="P849" s="312">
        <v>8.9229001710000005E-2</v>
      </c>
      <c r="Q849" s="344"/>
      <c r="U849" s="126" t="s">
        <v>1059</v>
      </c>
      <c r="V849" s="131" t="s">
        <v>6694</v>
      </c>
      <c r="W849" s="132">
        <v>8.8678376399999981E-2</v>
      </c>
      <c r="X849" s="129">
        <v>0.17734765784000001</v>
      </c>
      <c r="Y849" s="130">
        <v>0.14273420739999998</v>
      </c>
    </row>
    <row r="850" spans="8:25" ht="15.5" x14ac:dyDescent="0.35">
      <c r="H850" s="390"/>
      <c r="I850" s="331" t="s">
        <v>1059</v>
      </c>
      <c r="J850" s="320" t="s">
        <v>1889</v>
      </c>
      <c r="K850" s="302">
        <v>1.7261659500000002E-2</v>
      </c>
      <c r="O850" s="308">
        <v>7.0000000000000007E-2</v>
      </c>
      <c r="P850" s="312">
        <v>7.9968239999999996E-3</v>
      </c>
      <c r="Q850" s="344"/>
      <c r="U850" s="126" t="s">
        <v>1059</v>
      </c>
      <c r="V850" s="131" t="s">
        <v>6695</v>
      </c>
      <c r="W850" s="132">
        <v>0.10071216528</v>
      </c>
      <c r="X850" s="129">
        <v>7.5212252009999994E-2</v>
      </c>
      <c r="Y850" s="130">
        <v>0.14826994428000001</v>
      </c>
    </row>
    <row r="851" spans="8:25" ht="15.5" x14ac:dyDescent="0.35">
      <c r="H851" s="390"/>
      <c r="I851" s="331" t="s">
        <v>1059</v>
      </c>
      <c r="J851" s="320" t="s">
        <v>1890</v>
      </c>
      <c r="K851" s="302">
        <v>3.9715051129999998E-2</v>
      </c>
      <c r="O851" s="308">
        <v>0.14000000000000001</v>
      </c>
      <c r="P851" s="312">
        <v>8.7850407968000005E-2</v>
      </c>
      <c r="Q851" s="344"/>
      <c r="U851" s="126"/>
      <c r="V851" s="134"/>
      <c r="W851" s="132"/>
      <c r="X851" s="129"/>
      <c r="Y851" s="130" t="s">
        <v>6949</v>
      </c>
    </row>
    <row r="852" spans="8:25" ht="15.5" x14ac:dyDescent="0.35">
      <c r="H852" s="383">
        <v>1</v>
      </c>
      <c r="I852" s="331" t="s">
        <v>1059</v>
      </c>
      <c r="J852" s="320" t="s">
        <v>1891</v>
      </c>
      <c r="K852" s="302">
        <v>4.2460942899999993E-2</v>
      </c>
      <c r="O852" s="308">
        <v>0.15</v>
      </c>
      <c r="P852" s="312">
        <v>5.5921370790000006E-3</v>
      </c>
      <c r="Q852" s="344"/>
      <c r="U852" s="126"/>
      <c r="V852" s="127" t="s">
        <v>6696</v>
      </c>
      <c r="W852" s="132"/>
      <c r="X852" s="129"/>
      <c r="Y852" s="130" t="s">
        <v>6949</v>
      </c>
    </row>
    <row r="853" spans="8:25" ht="15.5" x14ac:dyDescent="0.35">
      <c r="H853" s="383">
        <v>1</v>
      </c>
      <c r="I853" s="331" t="s">
        <v>1059</v>
      </c>
      <c r="J853" s="320" t="s">
        <v>1892</v>
      </c>
      <c r="K853" s="302">
        <v>3.344378647E-2</v>
      </c>
      <c r="O853" s="308">
        <v>0.14000000000000001</v>
      </c>
      <c r="P853" s="312">
        <v>5.5977984979999999E-3</v>
      </c>
      <c r="Q853" s="344"/>
      <c r="U853" s="126" t="s">
        <v>1059</v>
      </c>
      <c r="V853" s="131" t="s">
        <v>6697</v>
      </c>
      <c r="W853" s="132">
        <v>5.6105220300000001E-2</v>
      </c>
      <c r="X853" s="129">
        <v>0.27558463934999999</v>
      </c>
      <c r="Y853" s="130">
        <v>0.81958819029999996</v>
      </c>
    </row>
    <row r="854" spans="8:25" ht="15.5" x14ac:dyDescent="0.35">
      <c r="H854" s="383">
        <v>1</v>
      </c>
      <c r="I854" s="331" t="s">
        <v>1059</v>
      </c>
      <c r="J854" s="320" t="s">
        <v>1893</v>
      </c>
      <c r="K854" s="302">
        <v>9.6017433500000006E-3</v>
      </c>
      <c r="O854" s="308">
        <v>0.04</v>
      </c>
      <c r="P854" s="312">
        <v>1.3699335182E-2</v>
      </c>
      <c r="Q854" s="344"/>
      <c r="U854" s="126" t="s">
        <v>1059</v>
      </c>
      <c r="V854" s="131" t="s">
        <v>6698</v>
      </c>
      <c r="W854" s="132">
        <v>9.3774831099999983E-2</v>
      </c>
      <c r="X854" s="129">
        <v>0.24968529926999999</v>
      </c>
      <c r="Y854" s="130">
        <v>0.70714440109999999</v>
      </c>
    </row>
    <row r="855" spans="8:25" ht="15.5" x14ac:dyDescent="0.35">
      <c r="H855" s="383">
        <v>1</v>
      </c>
      <c r="I855" s="331" t="s">
        <v>1059</v>
      </c>
      <c r="J855" s="320" t="s">
        <v>1894</v>
      </c>
      <c r="K855" s="302">
        <v>3.745867848E-2</v>
      </c>
      <c r="O855" s="308">
        <v>0.05</v>
      </c>
      <c r="P855" s="312">
        <v>7.3969450330000006E-2</v>
      </c>
      <c r="Q855" s="344"/>
      <c r="U855" s="126" t="s">
        <v>1059</v>
      </c>
      <c r="V855" s="131" t="s">
        <v>6699</v>
      </c>
      <c r="W855" s="132">
        <v>9.4637390799999999E-2</v>
      </c>
      <c r="X855" s="129">
        <v>0.26009039999</v>
      </c>
      <c r="Y855" s="130">
        <v>0.4371963908</v>
      </c>
    </row>
    <row r="856" spans="8:25" ht="15.5" x14ac:dyDescent="0.35">
      <c r="H856" s="383">
        <v>1</v>
      </c>
      <c r="I856" s="331" t="s">
        <v>1059</v>
      </c>
      <c r="J856" s="320" t="s">
        <v>1895</v>
      </c>
      <c r="K856" s="302">
        <v>2.6339216572000002E-2</v>
      </c>
      <c r="O856" s="308">
        <v>0.08</v>
      </c>
      <c r="P856" s="312">
        <v>7.4420846865000001E-2</v>
      </c>
      <c r="Q856" s="344"/>
      <c r="U856" s="126" t="s">
        <v>1059</v>
      </c>
      <c r="V856" s="131" t="s">
        <v>6700</v>
      </c>
      <c r="W856" s="132">
        <v>0.13166032</v>
      </c>
      <c r="X856" s="129">
        <v>0.26136854475999999</v>
      </c>
      <c r="Y856" s="130">
        <v>0.63200195999999997</v>
      </c>
    </row>
    <row r="857" spans="8:25" ht="15.5" x14ac:dyDescent="0.35">
      <c r="H857" s="383">
        <v>1</v>
      </c>
      <c r="I857" s="331" t="s">
        <v>1059</v>
      </c>
      <c r="J857" s="320" t="s">
        <v>1896</v>
      </c>
      <c r="K857" s="302">
        <v>2.9191273979999998E-2</v>
      </c>
      <c r="O857" s="308">
        <v>0.1</v>
      </c>
      <c r="P857" s="312">
        <v>9.5768204726999998E-2</v>
      </c>
      <c r="Q857" s="344"/>
      <c r="U857" s="126" t="s">
        <v>1059</v>
      </c>
      <c r="V857" s="131" t="s">
        <v>6701</v>
      </c>
      <c r="W857" s="132">
        <v>9.9346942800000004E-2</v>
      </c>
      <c r="X857" s="129">
        <v>0.25897684930999998</v>
      </c>
      <c r="Y857" s="130">
        <v>0.40182259279999999</v>
      </c>
    </row>
    <row r="858" spans="8:25" ht="15.5" x14ac:dyDescent="0.35">
      <c r="H858" s="383"/>
      <c r="I858" s="333"/>
      <c r="J858" s="321"/>
      <c r="K858" s="302"/>
      <c r="O858" s="308" t="s">
        <v>6949</v>
      </c>
      <c r="P858" s="310"/>
      <c r="Q858" s="344"/>
      <c r="U858" s="126" t="s">
        <v>1059</v>
      </c>
      <c r="V858" s="131" t="s">
        <v>6702</v>
      </c>
      <c r="W858" s="132">
        <v>0.1364242054</v>
      </c>
      <c r="X858" s="129">
        <v>0.23586664187999998</v>
      </c>
      <c r="Y858" s="130">
        <v>0.43465523540000001</v>
      </c>
    </row>
    <row r="859" spans="8:25" ht="15.5" x14ac:dyDescent="0.35">
      <c r="H859" s="384" t="s">
        <v>1897</v>
      </c>
      <c r="I859" s="334"/>
      <c r="J859" s="321"/>
      <c r="K859" s="302"/>
      <c r="O859" s="161"/>
      <c r="P859" s="310"/>
      <c r="Q859" s="344"/>
      <c r="U859" s="126" t="s">
        <v>1059</v>
      </c>
      <c r="V859" s="131" t="s">
        <v>6703</v>
      </c>
      <c r="W859" s="132">
        <v>9.7290540699999983E-2</v>
      </c>
      <c r="X859" s="129">
        <v>0.25866608668000002</v>
      </c>
      <c r="Y859" s="130">
        <v>0.47224635069999998</v>
      </c>
    </row>
    <row r="860" spans="8:25" ht="15.5" x14ac:dyDescent="0.35">
      <c r="H860" s="391"/>
      <c r="I860" s="335" t="s">
        <v>1227</v>
      </c>
      <c r="J860" s="320" t="s">
        <v>1898</v>
      </c>
      <c r="K860" s="302">
        <v>2.759607177E-3</v>
      </c>
      <c r="O860" s="308"/>
      <c r="P860" s="310">
        <v>2.1349188343999996E-3</v>
      </c>
      <c r="Q860" s="344"/>
      <c r="U860" s="126" t="s">
        <v>1059</v>
      </c>
      <c r="V860" s="131" t="s">
        <v>6704</v>
      </c>
      <c r="W860" s="132">
        <v>9.8320600899999999E-2</v>
      </c>
      <c r="X860" s="129">
        <v>0.25803014148999998</v>
      </c>
      <c r="Y860" s="130">
        <v>0.53466054090000004</v>
      </c>
    </row>
    <row r="861" spans="8:25" ht="15.5" x14ac:dyDescent="0.35">
      <c r="H861" s="383">
        <v>1</v>
      </c>
      <c r="I861" s="335" t="s">
        <v>1227</v>
      </c>
      <c r="J861" s="320" t="s">
        <v>1899</v>
      </c>
      <c r="K861" s="302">
        <v>3.1719622930000001E-3</v>
      </c>
      <c r="O861" s="308"/>
      <c r="P861" s="312">
        <v>2.4539297308999999E-3</v>
      </c>
      <c r="Q861" s="344"/>
      <c r="U861" s="126" t="s">
        <v>1059</v>
      </c>
      <c r="V861" s="131" t="s">
        <v>6705</v>
      </c>
      <c r="W861" s="132">
        <v>0.10208529329999999</v>
      </c>
      <c r="X861" s="129">
        <v>0.25383687817</v>
      </c>
      <c r="Y861" s="130">
        <v>0.61552025329999993</v>
      </c>
    </row>
    <row r="862" spans="8:25" ht="15.5" x14ac:dyDescent="0.35">
      <c r="H862" s="391"/>
      <c r="I862" s="335" t="s">
        <v>1227</v>
      </c>
      <c r="J862" s="320" t="s">
        <v>1900</v>
      </c>
      <c r="K862" s="302">
        <v>1.6820950380999999E-3</v>
      </c>
      <c r="O862" s="308"/>
      <c r="P862" s="312">
        <v>1.1416385521E-5</v>
      </c>
      <c r="Q862" s="344"/>
      <c r="U862" s="126" t="s">
        <v>1059</v>
      </c>
      <c r="V862" s="131" t="s">
        <v>6706</v>
      </c>
      <c r="W862" s="132">
        <v>8.3223281900000001E-2</v>
      </c>
      <c r="X862" s="129">
        <v>0.27561230438999995</v>
      </c>
      <c r="Y862" s="130">
        <v>0.13772272290000001</v>
      </c>
    </row>
    <row r="863" spans="8:25" ht="15.5" x14ac:dyDescent="0.35">
      <c r="H863" s="391"/>
      <c r="I863" s="335" t="s">
        <v>1227</v>
      </c>
      <c r="J863" s="320" t="s">
        <v>1901</v>
      </c>
      <c r="K863" s="302">
        <v>9.7750058500000007E-3</v>
      </c>
      <c r="O863" s="308"/>
      <c r="P863" s="312">
        <v>1.1964371300000001E-5</v>
      </c>
      <c r="Q863" s="344"/>
      <c r="U863" s="126"/>
      <c r="V863" s="140"/>
      <c r="W863" s="128"/>
      <c r="X863" s="129"/>
      <c r="Y863" s="130" t="s">
        <v>6949</v>
      </c>
    </row>
    <row r="864" spans="8:25" ht="15.5" x14ac:dyDescent="0.35">
      <c r="H864" s="391"/>
      <c r="I864" s="335" t="s">
        <v>1227</v>
      </c>
      <c r="J864" s="320" t="s">
        <v>1902</v>
      </c>
      <c r="K864" s="302">
        <v>1.6820950380999999E-3</v>
      </c>
      <c r="O864" s="308"/>
      <c r="P864" s="312">
        <v>1.1416385521E-5</v>
      </c>
      <c r="Q864" s="344"/>
      <c r="U864" s="126"/>
      <c r="V864" s="127" t="s">
        <v>6707</v>
      </c>
      <c r="W864" s="128"/>
      <c r="X864" s="129"/>
      <c r="Y864" s="130" t="s">
        <v>6949</v>
      </c>
    </row>
    <row r="865" spans="8:25" ht="15.5" x14ac:dyDescent="0.35">
      <c r="H865" s="391"/>
      <c r="I865" s="335" t="s">
        <v>1059</v>
      </c>
      <c r="J865" s="320" t="s">
        <v>1903</v>
      </c>
      <c r="K865" s="302">
        <v>-5.519214393E-2</v>
      </c>
      <c r="O865" s="308"/>
      <c r="P865" s="312">
        <v>-4.2698377697000002E-2</v>
      </c>
      <c r="Q865" s="344"/>
      <c r="U865" s="126" t="s">
        <v>1059</v>
      </c>
      <c r="V865" s="131" t="s">
        <v>6708</v>
      </c>
      <c r="W865" s="132">
        <v>0.1970351602</v>
      </c>
      <c r="X865" s="129">
        <v>0.23892886186999998</v>
      </c>
      <c r="Y865" s="130">
        <v>0.30861954019999999</v>
      </c>
    </row>
    <row r="866" spans="8:25" ht="15.5" x14ac:dyDescent="0.35">
      <c r="H866" s="391"/>
      <c r="I866" s="335" t="s">
        <v>1059</v>
      </c>
      <c r="J866" s="320" t="s">
        <v>1904</v>
      </c>
      <c r="K866" s="302">
        <v>-4.7741204000000002E-2</v>
      </c>
      <c r="O866" s="308"/>
      <c r="P866" s="312">
        <v>-3.6934095846999998E-2</v>
      </c>
      <c r="Q866" s="344"/>
      <c r="U866" s="126" t="s">
        <v>1059</v>
      </c>
      <c r="V866" s="131" t="s">
        <v>6709</v>
      </c>
      <c r="W866" s="132">
        <v>0.25281712589999999</v>
      </c>
      <c r="X866" s="129">
        <v>0.33413345583000004</v>
      </c>
      <c r="Y866" s="130">
        <v>0.50959161590000002</v>
      </c>
    </row>
    <row r="867" spans="8:25" ht="15.5" x14ac:dyDescent="0.35">
      <c r="H867" s="391"/>
      <c r="I867" s="335" t="s">
        <v>1059</v>
      </c>
      <c r="J867" s="320" t="s">
        <v>1905</v>
      </c>
      <c r="K867" s="302">
        <v>-2.4560503570000003E-2</v>
      </c>
      <c r="O867" s="308"/>
      <c r="P867" s="312">
        <v>-1.9000777385000001E-2</v>
      </c>
      <c r="Q867" s="344"/>
      <c r="U867" s="126" t="s">
        <v>1059</v>
      </c>
      <c r="V867" s="131" t="s">
        <v>6710</v>
      </c>
      <c r="W867" s="132">
        <v>0.21886572240000002</v>
      </c>
      <c r="X867" s="129">
        <v>0.22120869431999998</v>
      </c>
      <c r="Y867" s="130">
        <v>0.31264534440000002</v>
      </c>
    </row>
    <row r="868" spans="8:25" ht="15.5" x14ac:dyDescent="0.35">
      <c r="H868" s="391"/>
      <c r="I868" s="334"/>
      <c r="J868" s="321"/>
      <c r="K868" s="302"/>
      <c r="O868" s="308" t="s">
        <v>6949</v>
      </c>
      <c r="P868" s="310"/>
      <c r="Q868" s="344"/>
      <c r="U868" s="126" t="s">
        <v>1059</v>
      </c>
      <c r="V868" s="131" t="s">
        <v>6711</v>
      </c>
      <c r="W868" s="132">
        <v>0.23383247409999997</v>
      </c>
      <c r="X868" s="129">
        <v>0.22367702369</v>
      </c>
      <c r="Y868" s="130">
        <v>0.36943539409999993</v>
      </c>
    </row>
    <row r="869" spans="8:25" ht="15.5" x14ac:dyDescent="0.35">
      <c r="H869" s="384" t="s">
        <v>1906</v>
      </c>
      <c r="I869" s="333"/>
      <c r="J869" s="319"/>
      <c r="K869" s="303"/>
      <c r="O869" s="308"/>
      <c r="P869" s="310"/>
      <c r="Q869" s="344"/>
      <c r="U869" s="126" t="s">
        <v>1059</v>
      </c>
      <c r="V869" s="131" t="s">
        <v>6712</v>
      </c>
      <c r="W869" s="132">
        <v>0.23651453040000001</v>
      </c>
      <c r="X869" s="129">
        <v>0.21230456046000001</v>
      </c>
      <c r="Y869" s="130">
        <v>0.33724370040000001</v>
      </c>
    </row>
    <row r="870" spans="8:25" ht="15.5" x14ac:dyDescent="0.35">
      <c r="H870" s="383"/>
      <c r="I870" s="334" t="s">
        <v>1907</v>
      </c>
      <c r="J870" s="320" t="s">
        <v>1908</v>
      </c>
      <c r="K870" s="302">
        <v>1.6195559309000001E-2</v>
      </c>
      <c r="O870" s="308"/>
      <c r="P870" s="312">
        <v>0.1760801305079</v>
      </c>
      <c r="Q870" s="344"/>
      <c r="U870" s="126" t="s">
        <v>1059</v>
      </c>
      <c r="V870" s="131" t="s">
        <v>6713</v>
      </c>
      <c r="W870" s="132">
        <v>0.22714795809999999</v>
      </c>
      <c r="X870" s="129">
        <v>0.22539658088</v>
      </c>
      <c r="Y870" s="130">
        <v>0.3798409781</v>
      </c>
    </row>
    <row r="871" spans="8:25" ht="15.5" x14ac:dyDescent="0.35">
      <c r="H871" s="383"/>
      <c r="I871" s="334" t="s">
        <v>1907</v>
      </c>
      <c r="J871" s="320" t="s">
        <v>1909</v>
      </c>
      <c r="K871" s="302">
        <v>1.8951901596E-2</v>
      </c>
      <c r="O871" s="308"/>
      <c r="P871" s="312">
        <v>7.1899386956999989E-2</v>
      </c>
      <c r="Q871" s="344"/>
      <c r="U871" s="126" t="s">
        <v>1059</v>
      </c>
      <c r="V871" s="131" t="s">
        <v>6714</v>
      </c>
      <c r="W871" s="132">
        <v>0.2449127374</v>
      </c>
      <c r="X871" s="129">
        <v>0.33636624450000002</v>
      </c>
      <c r="Y871" s="130">
        <v>0.49136783740000001</v>
      </c>
    </row>
    <row r="872" spans="8:25" ht="15.5" x14ac:dyDescent="0.35">
      <c r="H872" s="383"/>
      <c r="I872" s="335" t="s">
        <v>1910</v>
      </c>
      <c r="J872" s="323" t="s">
        <v>1911</v>
      </c>
      <c r="K872" s="302">
        <v>2.7046584046030004E-3</v>
      </c>
      <c r="O872" s="308"/>
      <c r="P872" s="312">
        <v>2.9405381794819302E-2</v>
      </c>
      <c r="Q872" s="344"/>
      <c r="U872" s="126" t="s">
        <v>1059</v>
      </c>
      <c r="V872" s="131" t="s">
        <v>6715</v>
      </c>
      <c r="W872" s="132">
        <v>0.25778412210000001</v>
      </c>
      <c r="X872" s="129">
        <v>0.27296203045</v>
      </c>
      <c r="Y872" s="130">
        <v>0.37330141210000001</v>
      </c>
    </row>
    <row r="873" spans="8:25" ht="15.5" x14ac:dyDescent="0.35">
      <c r="H873" s="383"/>
      <c r="I873" s="335" t="s">
        <v>1910</v>
      </c>
      <c r="J873" s="323" t="s">
        <v>1912</v>
      </c>
      <c r="K873" s="302">
        <v>3.164967566532E-3</v>
      </c>
      <c r="O873" s="308"/>
      <c r="P873" s="312">
        <v>1.2007197621818998E-2</v>
      </c>
      <c r="Q873" s="344"/>
      <c r="U873" s="126" t="s">
        <v>1059</v>
      </c>
      <c r="V873" s="131" t="s">
        <v>6716</v>
      </c>
      <c r="W873" s="132">
        <v>0.26085166809999999</v>
      </c>
      <c r="X873" s="129">
        <v>0.20196282398000001</v>
      </c>
      <c r="Y873" s="130">
        <v>0.37230417809999999</v>
      </c>
    </row>
    <row r="874" spans="8:25" ht="15.5" x14ac:dyDescent="0.35">
      <c r="H874" s="384" t="s">
        <v>1913</v>
      </c>
      <c r="I874" s="333"/>
      <c r="J874" s="321"/>
      <c r="K874" s="302"/>
      <c r="O874" s="308"/>
      <c r="P874" s="310"/>
      <c r="Q874" s="344"/>
      <c r="U874" s="126" t="s">
        <v>1059</v>
      </c>
      <c r="V874" s="131" t="s">
        <v>6717</v>
      </c>
      <c r="W874" s="132">
        <v>0.45728207590000003</v>
      </c>
      <c r="X874" s="129">
        <v>0.38010106701999996</v>
      </c>
      <c r="Y874" s="130">
        <v>0.67450929590000008</v>
      </c>
    </row>
    <row r="875" spans="8:25" ht="15.5" x14ac:dyDescent="0.35">
      <c r="H875" s="390"/>
      <c r="I875" s="336" t="s">
        <v>1907</v>
      </c>
      <c r="J875" s="320" t="s">
        <v>1914</v>
      </c>
      <c r="K875" s="302">
        <v>6.2560343553000001E-3</v>
      </c>
      <c r="O875" s="308"/>
      <c r="P875" s="310">
        <v>2.6078531999999999E-3</v>
      </c>
      <c r="Q875" s="344"/>
      <c r="U875" s="126" t="s">
        <v>1059</v>
      </c>
      <c r="V875" s="131" t="s">
        <v>6718</v>
      </c>
      <c r="W875" s="132">
        <v>9.2924930400000008E-2</v>
      </c>
      <c r="X875" s="129">
        <v>0.39199734785000001</v>
      </c>
      <c r="Y875" s="130">
        <v>0.18920250440000003</v>
      </c>
    </row>
    <row r="876" spans="8:25" ht="15.5" x14ac:dyDescent="0.35">
      <c r="H876" s="390"/>
      <c r="I876" s="336" t="s">
        <v>1907</v>
      </c>
      <c r="J876" s="320" t="s">
        <v>1915</v>
      </c>
      <c r="K876" s="302">
        <v>2.1796403015000004E-3</v>
      </c>
      <c r="O876" s="308"/>
      <c r="P876" s="312">
        <v>1.9310836999999998E-6</v>
      </c>
      <c r="Q876" s="344"/>
      <c r="U876" s="126" t="s">
        <v>1059</v>
      </c>
      <c r="V876" s="131" t="s">
        <v>6719</v>
      </c>
      <c r="W876" s="132">
        <v>0.19998035980000001</v>
      </c>
      <c r="X876" s="129">
        <v>0.35087216362999996</v>
      </c>
      <c r="Y876" s="130">
        <v>0.34557284980000003</v>
      </c>
    </row>
    <row r="877" spans="8:25" ht="15.5" x14ac:dyDescent="0.35">
      <c r="H877" s="384" t="s">
        <v>1916</v>
      </c>
      <c r="I877" s="333"/>
      <c r="J877" s="319"/>
      <c r="K877" s="303"/>
      <c r="O877" s="308"/>
      <c r="P877" s="312"/>
      <c r="Q877" s="344"/>
      <c r="U877" s="126" t="s">
        <v>1059</v>
      </c>
      <c r="V877" s="131" t="s">
        <v>6720</v>
      </c>
      <c r="W877" s="132">
        <v>0.27535947560000001</v>
      </c>
      <c r="X877" s="129">
        <v>0.28145845348999998</v>
      </c>
      <c r="Y877" s="130">
        <v>0.41097228559999999</v>
      </c>
    </row>
    <row r="878" spans="8:25" ht="15.5" x14ac:dyDescent="0.35">
      <c r="H878" s="383">
        <v>1</v>
      </c>
      <c r="I878" s="337" t="s">
        <v>1907</v>
      </c>
      <c r="J878" s="320" t="s">
        <v>1917</v>
      </c>
      <c r="K878" s="302">
        <v>2.9838841710000002E-3</v>
      </c>
      <c r="O878" s="308"/>
      <c r="P878" s="312">
        <v>2.7360721487999999E-2</v>
      </c>
      <c r="Q878" s="344"/>
      <c r="U878" s="126" t="s">
        <v>1059</v>
      </c>
      <c r="V878" s="131" t="s">
        <v>6721</v>
      </c>
      <c r="W878" s="132">
        <v>0.17307740909999997</v>
      </c>
      <c r="X878" s="129">
        <v>0.32788741380999997</v>
      </c>
      <c r="Y878" s="130">
        <v>0.29786991909999994</v>
      </c>
    </row>
    <row r="879" spans="8:25" ht="15.5" x14ac:dyDescent="0.35">
      <c r="H879" s="383">
        <v>1</v>
      </c>
      <c r="I879" s="338" t="s">
        <v>1918</v>
      </c>
      <c r="J879" s="320" t="s">
        <v>1919</v>
      </c>
      <c r="K879" s="302">
        <v>3.5789794200000001E-5</v>
      </c>
      <c r="O879" s="308"/>
      <c r="P879" s="312">
        <v>1.2842041357000002E-4</v>
      </c>
      <c r="Q879" s="344"/>
      <c r="U879" s="126" t="s">
        <v>1059</v>
      </c>
      <c r="V879" s="131" t="s">
        <v>6722</v>
      </c>
      <c r="W879" s="132">
        <v>0.21889875340000001</v>
      </c>
      <c r="X879" s="129">
        <v>0.54396969053999988</v>
      </c>
      <c r="Y879" s="130">
        <v>0.34918142340000002</v>
      </c>
    </row>
    <row r="880" spans="8:25" ht="15.5" x14ac:dyDescent="0.35">
      <c r="H880" s="383">
        <v>1</v>
      </c>
      <c r="I880" s="336" t="s">
        <v>1907</v>
      </c>
      <c r="J880" s="320" t="s">
        <v>1920</v>
      </c>
      <c r="K880" s="302">
        <v>2.556413869E-3</v>
      </c>
      <c r="O880" s="308"/>
      <c r="P880" s="312">
        <v>9.172886735E-3</v>
      </c>
      <c r="Q880" s="344"/>
      <c r="U880" s="126" t="s">
        <v>1059</v>
      </c>
      <c r="V880" s="131" t="s">
        <v>6723</v>
      </c>
      <c r="W880" s="132">
        <v>0.1376634702</v>
      </c>
      <c r="X880" s="129">
        <v>0.31948309120999996</v>
      </c>
      <c r="Y880" s="130">
        <v>0.21817962120000001</v>
      </c>
    </row>
    <row r="881" spans="8:25" ht="15.5" x14ac:dyDescent="0.35">
      <c r="H881" s="383">
        <v>1</v>
      </c>
      <c r="I881" s="336" t="s">
        <v>1907</v>
      </c>
      <c r="J881" s="320" t="s">
        <v>1921</v>
      </c>
      <c r="K881" s="302">
        <v>2.9824828910000002E-3</v>
      </c>
      <c r="O881" s="308"/>
      <c r="P881" s="312">
        <v>1.0701701133999998E-2</v>
      </c>
      <c r="Q881" s="344"/>
      <c r="U881" s="126" t="s">
        <v>1059</v>
      </c>
      <c r="V881" s="131" t="s">
        <v>6724</v>
      </c>
      <c r="W881" s="132">
        <v>0.16020481860000002</v>
      </c>
      <c r="X881" s="129">
        <v>0.31189733116000001</v>
      </c>
      <c r="Y881" s="130">
        <v>0.2807605286</v>
      </c>
    </row>
    <row r="882" spans="8:25" ht="15.5" x14ac:dyDescent="0.35">
      <c r="H882" s="383">
        <v>1</v>
      </c>
      <c r="I882" s="336" t="s">
        <v>1910</v>
      </c>
      <c r="J882" s="325" t="s">
        <v>1922</v>
      </c>
      <c r="K882" s="302">
        <v>1.0481296862899999E-3</v>
      </c>
      <c r="O882" s="308"/>
      <c r="P882" s="312">
        <v>3.7608835613499995E-3</v>
      </c>
      <c r="Q882" s="344"/>
      <c r="U882" s="126" t="s">
        <v>1059</v>
      </c>
      <c r="V882" s="131" t="s">
        <v>6725</v>
      </c>
      <c r="W882" s="132">
        <v>0.21195122350000001</v>
      </c>
      <c r="X882" s="129">
        <v>0.34294810038000001</v>
      </c>
      <c r="Y882" s="130">
        <v>0.3443145635</v>
      </c>
    </row>
    <row r="883" spans="8:25" ht="15.5" x14ac:dyDescent="0.35">
      <c r="H883" s="383">
        <v>1</v>
      </c>
      <c r="I883" s="336" t="s">
        <v>1910</v>
      </c>
      <c r="J883" s="325" t="s">
        <v>1923</v>
      </c>
      <c r="K883" s="302">
        <v>9.5439452512000012E-4</v>
      </c>
      <c r="O883" s="308"/>
      <c r="P883" s="312">
        <v>3.4245443628799993E-3</v>
      </c>
      <c r="Q883" s="344"/>
      <c r="U883" s="126" t="s">
        <v>1059</v>
      </c>
      <c r="V883" s="131" t="s">
        <v>6726</v>
      </c>
      <c r="W883" s="132">
        <v>0.18629645799999997</v>
      </c>
      <c r="X883" s="129">
        <v>0.34363179535999999</v>
      </c>
      <c r="Y883" s="130">
        <v>0.32261458799999998</v>
      </c>
    </row>
    <row r="884" spans="8:25" ht="15.5" x14ac:dyDescent="0.35">
      <c r="H884" s="384" t="s">
        <v>1924</v>
      </c>
      <c r="I884" s="331"/>
      <c r="J884" s="319"/>
      <c r="K884" s="303"/>
      <c r="O884" s="308"/>
      <c r="P884" s="310"/>
      <c r="Q884" s="344"/>
      <c r="U884" s="126" t="s">
        <v>1059</v>
      </c>
      <c r="V884" s="131" t="s">
        <v>6727</v>
      </c>
      <c r="W884" s="132">
        <v>0.21540549419999999</v>
      </c>
      <c r="X884" s="129">
        <v>0.39177708849000004</v>
      </c>
      <c r="Y884" s="130">
        <v>0.37396848419999995</v>
      </c>
    </row>
    <row r="885" spans="8:25" ht="15.5" x14ac:dyDescent="0.35">
      <c r="H885" s="383">
        <v>1</v>
      </c>
      <c r="I885" s="335" t="s">
        <v>1907</v>
      </c>
      <c r="J885" s="320" t="s">
        <v>1925</v>
      </c>
      <c r="K885" s="302">
        <v>3.6922867690000001E-4</v>
      </c>
      <c r="O885" s="308"/>
      <c r="P885" s="312">
        <v>2.4935584108999997E-3</v>
      </c>
      <c r="Q885" s="344"/>
      <c r="U885" s="126" t="s">
        <v>1059</v>
      </c>
      <c r="V885" s="131" t="s">
        <v>6728</v>
      </c>
      <c r="W885" s="132">
        <v>0.16966421980000002</v>
      </c>
      <c r="X885" s="129">
        <v>0.39769872995</v>
      </c>
      <c r="Y885" s="130">
        <v>0.32333379979999999</v>
      </c>
    </row>
    <row r="886" spans="8:25" ht="15.5" x14ac:dyDescent="0.35">
      <c r="H886" s="391"/>
      <c r="I886" s="335" t="s">
        <v>1907</v>
      </c>
      <c r="J886" s="320" t="s">
        <v>1926</v>
      </c>
      <c r="K886" s="302">
        <v>1.8566982757999999E-4</v>
      </c>
      <c r="O886" s="308"/>
      <c r="P886" s="312">
        <v>6.7873756712999987E-4</v>
      </c>
      <c r="Q886" s="344"/>
      <c r="U886" s="138"/>
      <c r="V886" s="134"/>
      <c r="W886" s="132"/>
      <c r="X886" s="129"/>
      <c r="Y886" s="130" t="s">
        <v>6949</v>
      </c>
    </row>
    <row r="887" spans="8:25" ht="15.5" x14ac:dyDescent="0.35">
      <c r="H887" s="391"/>
      <c r="I887" s="335" t="s">
        <v>1907</v>
      </c>
      <c r="J887" s="320" t="s">
        <v>1927</v>
      </c>
      <c r="K887" s="302">
        <v>1.1124402200000001E-4</v>
      </c>
      <c r="O887" s="308"/>
      <c r="P887" s="312">
        <v>4.0666541944799994E-4</v>
      </c>
      <c r="Q887" s="344"/>
      <c r="U887" s="138"/>
      <c r="V887" s="127" t="s">
        <v>6729</v>
      </c>
      <c r="W887" s="132"/>
      <c r="X887" s="129"/>
      <c r="Y887" s="130" t="s">
        <v>6949</v>
      </c>
    </row>
    <row r="888" spans="8:25" ht="15.5" x14ac:dyDescent="0.35">
      <c r="H888" s="391"/>
      <c r="I888" s="335" t="s">
        <v>1907</v>
      </c>
      <c r="J888" s="320" t="s">
        <v>1928</v>
      </c>
      <c r="K888" s="302">
        <v>4.3558406785000001E-4</v>
      </c>
      <c r="O888" s="308"/>
      <c r="P888" s="312">
        <v>1.5923280541599999E-3</v>
      </c>
      <c r="Q888" s="344"/>
      <c r="U888" s="126" t="s">
        <v>1059</v>
      </c>
      <c r="V888" s="131" t="s">
        <v>6730</v>
      </c>
      <c r="W888" s="132">
        <v>4.6061185630000001E-2</v>
      </c>
      <c r="X888" s="129">
        <v>0.11682546196</v>
      </c>
      <c r="Y888" s="130">
        <v>0.12750932063000001</v>
      </c>
    </row>
    <row r="889" spans="8:25" ht="15.5" x14ac:dyDescent="0.35">
      <c r="H889" s="391"/>
      <c r="I889" s="335" t="s">
        <v>1907</v>
      </c>
      <c r="J889" s="320" t="s">
        <v>1929</v>
      </c>
      <c r="K889" s="302">
        <v>3.8040602203000002E-4</v>
      </c>
      <c r="O889" s="308"/>
      <c r="P889" s="312">
        <v>1.3906182628700002E-3</v>
      </c>
      <c r="Q889" s="344"/>
      <c r="U889" s="126" t="s">
        <v>1059</v>
      </c>
      <c r="V889" s="131" t="s">
        <v>6731</v>
      </c>
      <c r="W889" s="132">
        <v>4.2055698570000001E-2</v>
      </c>
      <c r="X889" s="129">
        <v>0.13551000374</v>
      </c>
      <c r="Y889" s="130">
        <v>8.089502657E-2</v>
      </c>
    </row>
    <row r="890" spans="8:25" ht="15.5" x14ac:dyDescent="0.35">
      <c r="H890" s="391"/>
      <c r="I890" s="335" t="s">
        <v>1907</v>
      </c>
      <c r="J890" s="320" t="s">
        <v>1930</v>
      </c>
      <c r="K890" s="302">
        <v>1.6159715212000001E-4</v>
      </c>
      <c r="O890" s="308"/>
      <c r="P890" s="310">
        <v>5.9073711835100004E-4</v>
      </c>
      <c r="Q890" s="344"/>
      <c r="U890" s="126" t="s">
        <v>1059</v>
      </c>
      <c r="V890" s="131" t="s">
        <v>6732</v>
      </c>
      <c r="W890" s="132">
        <v>5.7454925699999992E-2</v>
      </c>
      <c r="X890" s="129">
        <v>0.16574496353000001</v>
      </c>
      <c r="Y890" s="130">
        <v>0.1040223837</v>
      </c>
    </row>
    <row r="891" spans="8:25" ht="15.5" x14ac:dyDescent="0.35">
      <c r="H891" s="391"/>
      <c r="I891" s="335" t="s">
        <v>1907</v>
      </c>
      <c r="J891" s="320" t="s">
        <v>1931</v>
      </c>
      <c r="K891" s="302">
        <v>9.7557749549999977E-5</v>
      </c>
      <c r="O891" s="308"/>
      <c r="P891" s="312">
        <v>3.5663366418299997E-4</v>
      </c>
      <c r="Q891" s="344"/>
      <c r="U891" s="126" t="s">
        <v>1059</v>
      </c>
      <c r="V891" s="131" t="s">
        <v>6733</v>
      </c>
      <c r="W891" s="132">
        <v>0.84021290399999993</v>
      </c>
      <c r="X891" s="129">
        <v>0.92917397869999996</v>
      </c>
      <c r="Y891" s="130">
        <v>1.2674854339999999</v>
      </c>
    </row>
    <row r="892" spans="8:25" ht="15.5" x14ac:dyDescent="0.35">
      <c r="H892" s="391"/>
      <c r="I892" s="335" t="s">
        <v>1910</v>
      </c>
      <c r="J892" s="326" t="s">
        <v>1932</v>
      </c>
      <c r="K892" s="302">
        <v>6.6254832369199993E-5</v>
      </c>
      <c r="O892" s="308"/>
      <c r="P892" s="312">
        <v>2.4220221852391002E-4</v>
      </c>
      <c r="Q892" s="344"/>
      <c r="U892" s="126" t="s">
        <v>1059</v>
      </c>
      <c r="V892" s="131" t="s">
        <v>6734</v>
      </c>
      <c r="W892" s="132">
        <v>0.53171717909999994</v>
      </c>
      <c r="X892" s="129">
        <v>0.631022851</v>
      </c>
      <c r="Y892" s="130">
        <v>0.84027443909999988</v>
      </c>
    </row>
    <row r="893" spans="8:25" ht="15.5" x14ac:dyDescent="0.35">
      <c r="H893" s="383"/>
      <c r="I893" s="335"/>
      <c r="J893" s="319"/>
      <c r="K893" s="302"/>
      <c r="O893" s="308"/>
      <c r="P893" s="313"/>
      <c r="Q893" s="344"/>
      <c r="U893" s="126" t="s">
        <v>1059</v>
      </c>
      <c r="V893" s="131" t="s">
        <v>6735</v>
      </c>
      <c r="W893" s="132">
        <v>1.1094520560000001</v>
      </c>
      <c r="X893" s="129">
        <v>0.42933422700000001</v>
      </c>
      <c r="Y893" s="130">
        <v>1.5343701160000001</v>
      </c>
    </row>
    <row r="894" spans="8:25" ht="15.5" x14ac:dyDescent="0.35">
      <c r="H894" s="384" t="s">
        <v>1933</v>
      </c>
      <c r="I894" s="333"/>
      <c r="J894" s="319"/>
      <c r="K894" s="303"/>
      <c r="O894" s="308"/>
      <c r="P894" s="312"/>
      <c r="Q894" s="344"/>
      <c r="U894" s="126" t="s">
        <v>1059</v>
      </c>
      <c r="V894" s="131" t="s">
        <v>6736</v>
      </c>
      <c r="W894" s="132">
        <v>0.95902888100000006</v>
      </c>
      <c r="X894" s="129">
        <v>0.43909195330000017</v>
      </c>
      <c r="Y894" s="130">
        <v>1.4103384010000002</v>
      </c>
    </row>
    <row r="895" spans="8:25" ht="15.5" x14ac:dyDescent="0.35">
      <c r="H895" s="384"/>
      <c r="I895" s="333" t="s">
        <v>1059</v>
      </c>
      <c r="J895" s="320" t="s">
        <v>1934</v>
      </c>
      <c r="K895" s="302">
        <v>2.250612967E-2</v>
      </c>
      <c r="O895" s="308">
        <v>7.1021998670000003E-2</v>
      </c>
      <c r="P895" s="312">
        <v>1.7411449161999999E-2</v>
      </c>
      <c r="Q895" s="344"/>
      <c r="U895" s="126" t="s">
        <v>1059</v>
      </c>
      <c r="V895" s="131" t="s">
        <v>6737</v>
      </c>
      <c r="W895" s="132">
        <v>0.76892472700000003</v>
      </c>
      <c r="X895" s="129">
        <v>0.80500378699999997</v>
      </c>
      <c r="Y895" s="130">
        <v>1.196732677</v>
      </c>
    </row>
    <row r="896" spans="8:25" ht="15.5" x14ac:dyDescent="0.35">
      <c r="H896" s="383"/>
      <c r="I896" s="333" t="s">
        <v>1059</v>
      </c>
      <c r="J896" s="320" t="s">
        <v>1935</v>
      </c>
      <c r="K896" s="302">
        <v>2.6553553300000001E-2</v>
      </c>
      <c r="O896" s="308">
        <v>8.3794346300000003E-2</v>
      </c>
      <c r="P896" s="312">
        <v>2.0542664067000001E-2</v>
      </c>
      <c r="Q896" s="344"/>
      <c r="U896" s="126" t="s">
        <v>1059</v>
      </c>
      <c r="V896" s="131" t="s">
        <v>6738</v>
      </c>
      <c r="W896" s="132">
        <v>0.55340128120000009</v>
      </c>
      <c r="X896" s="129">
        <v>0.70208335209999995</v>
      </c>
      <c r="Y896" s="130">
        <v>0.89938104120000006</v>
      </c>
    </row>
    <row r="897" spans="8:25" ht="15.5" x14ac:dyDescent="0.35">
      <c r="H897" s="384" t="s">
        <v>1936</v>
      </c>
      <c r="I897" s="333"/>
      <c r="J897" s="319"/>
      <c r="K897" s="303"/>
      <c r="O897" s="308" t="s">
        <v>6949</v>
      </c>
      <c r="P897" s="312"/>
      <c r="Q897" s="344"/>
      <c r="U897" s="126" t="s">
        <v>1059</v>
      </c>
      <c r="V897" s="131" t="s">
        <v>6739</v>
      </c>
      <c r="W897" s="132">
        <v>0.52786633039999997</v>
      </c>
      <c r="X897" s="129">
        <v>0.63323726079999987</v>
      </c>
      <c r="Y897" s="130">
        <v>0.82969987040000004</v>
      </c>
    </row>
    <row r="898" spans="8:25" ht="15.5" x14ac:dyDescent="0.35">
      <c r="H898" s="383"/>
      <c r="I898" s="333" t="s">
        <v>1059</v>
      </c>
      <c r="J898" s="320" t="s">
        <v>1937</v>
      </c>
      <c r="K898" s="302">
        <v>3.0355679149999997E-3</v>
      </c>
      <c r="O898" s="308">
        <v>9.579261415E-3</v>
      </c>
      <c r="P898" s="312">
        <v>2.3484107297999999E-3</v>
      </c>
      <c r="Q898" s="344"/>
      <c r="U898" s="126" t="s">
        <v>1059</v>
      </c>
      <c r="V898" s="131" t="s">
        <v>6740</v>
      </c>
      <c r="W898" s="132">
        <v>0.61560267209999997</v>
      </c>
      <c r="X898" s="129">
        <v>0.63711933050000003</v>
      </c>
      <c r="Y898" s="130">
        <v>0.94344248210000003</v>
      </c>
    </row>
    <row r="899" spans="8:25" ht="15.5" x14ac:dyDescent="0.35">
      <c r="H899" s="383"/>
      <c r="I899" s="333" t="s">
        <v>1059</v>
      </c>
      <c r="J899" s="320" t="s">
        <v>1938</v>
      </c>
      <c r="K899" s="302">
        <v>3.0355679149999997E-3</v>
      </c>
      <c r="O899" s="308">
        <v>9.579261415E-3</v>
      </c>
      <c r="P899" s="312">
        <v>2.3484107297999999E-3</v>
      </c>
      <c r="Q899" s="344"/>
      <c r="U899" s="126" t="s">
        <v>1059</v>
      </c>
      <c r="V899" s="131" t="s">
        <v>6741</v>
      </c>
      <c r="W899" s="132">
        <v>0.60257046999999997</v>
      </c>
      <c r="X899" s="129">
        <v>0.79591202049999998</v>
      </c>
      <c r="Y899" s="130">
        <v>0.95011076999999999</v>
      </c>
    </row>
    <row r="900" spans="8:25" ht="15.5" x14ac:dyDescent="0.35">
      <c r="H900" s="383"/>
      <c r="I900" s="333" t="s">
        <v>1059</v>
      </c>
      <c r="J900" s="320" t="s">
        <v>1939</v>
      </c>
      <c r="K900" s="302">
        <v>3.0355679149999997E-3</v>
      </c>
      <c r="O900" s="308">
        <v>9.579261415E-3</v>
      </c>
      <c r="P900" s="313">
        <v>2.3484107297999999E-3</v>
      </c>
      <c r="Q900" s="344"/>
      <c r="U900" s="126" t="s">
        <v>1059</v>
      </c>
      <c r="V900" s="131" t="s">
        <v>6742</v>
      </c>
      <c r="W900" s="132">
        <v>0.70336990099999985</v>
      </c>
      <c r="X900" s="129">
        <v>0.81827710480000004</v>
      </c>
      <c r="Y900" s="130">
        <v>1.080737391</v>
      </c>
    </row>
    <row r="901" spans="8:25" ht="15.5" x14ac:dyDescent="0.35">
      <c r="H901" s="384" t="s">
        <v>1940</v>
      </c>
      <c r="I901" s="332"/>
      <c r="J901" s="321"/>
      <c r="K901" s="302"/>
      <c r="O901" s="308" t="s">
        <v>6949</v>
      </c>
      <c r="P901" s="312"/>
      <c r="Q901" s="344"/>
      <c r="U901" s="126" t="s">
        <v>1059</v>
      </c>
      <c r="V901" s="131" t="s">
        <v>6743</v>
      </c>
      <c r="W901" s="132">
        <v>0.71696313899999997</v>
      </c>
      <c r="X901" s="129">
        <v>0.82942232049999998</v>
      </c>
      <c r="Y901" s="130">
        <v>1.120361299</v>
      </c>
    </row>
    <row r="902" spans="8:25" ht="15.5" x14ac:dyDescent="0.35">
      <c r="H902" s="384"/>
      <c r="I902" s="333" t="s">
        <v>1056</v>
      </c>
      <c r="J902" s="320" t="s">
        <v>1941</v>
      </c>
      <c r="K902" s="302">
        <v>0.31636336510000002</v>
      </c>
      <c r="O902" s="308">
        <v>0.76978825510000004</v>
      </c>
      <c r="P902" s="312">
        <v>0.34955828289199997</v>
      </c>
      <c r="Q902" s="344"/>
      <c r="U902" s="126" t="s">
        <v>1059</v>
      </c>
      <c r="V902" s="131" t="s">
        <v>6744</v>
      </c>
      <c r="W902" s="132">
        <v>0.6534082283</v>
      </c>
      <c r="X902" s="129">
        <v>1.2048645899000001</v>
      </c>
      <c r="Y902" s="130">
        <v>1.0724290383000001</v>
      </c>
    </row>
    <row r="903" spans="8:25" ht="15.5" x14ac:dyDescent="0.35">
      <c r="H903" s="384"/>
      <c r="I903" s="333" t="s">
        <v>1056</v>
      </c>
      <c r="J903" s="320" t="s">
        <v>1942</v>
      </c>
      <c r="K903" s="302">
        <v>0.34227294680000003</v>
      </c>
      <c r="O903" s="308">
        <v>0.8170718468</v>
      </c>
      <c r="P903" s="312">
        <v>0.48659940917099997</v>
      </c>
      <c r="Q903" s="344"/>
      <c r="U903" s="126" t="s">
        <v>1059</v>
      </c>
      <c r="V903" s="131" t="s">
        <v>6745</v>
      </c>
      <c r="W903" s="132">
        <v>0.70570133300000004</v>
      </c>
      <c r="X903" s="129">
        <v>0.82518198350000027</v>
      </c>
      <c r="Y903" s="130">
        <v>1.0985698130000001</v>
      </c>
    </row>
    <row r="904" spans="8:25" ht="15.5" x14ac:dyDescent="0.35">
      <c r="H904" s="383">
        <v>1</v>
      </c>
      <c r="I904" s="333" t="s">
        <v>1056</v>
      </c>
      <c r="J904" s="320" t="s">
        <v>1943</v>
      </c>
      <c r="K904" s="302">
        <v>0.65662575889999997</v>
      </c>
      <c r="O904" s="308">
        <v>0.93858774889999996</v>
      </c>
      <c r="P904" s="312">
        <v>0.17358318743000001</v>
      </c>
      <c r="Q904" s="344"/>
      <c r="U904" s="126" t="s">
        <v>1059</v>
      </c>
      <c r="V904" s="131" t="s">
        <v>6746</v>
      </c>
      <c r="W904" s="132">
        <v>0.15126896409999999</v>
      </c>
      <c r="X904" s="129">
        <v>0.16728519740999998</v>
      </c>
      <c r="Y904" s="130">
        <v>0.22819360109999998</v>
      </c>
    </row>
    <row r="905" spans="8:25" ht="15.5" x14ac:dyDescent="0.35">
      <c r="H905" s="383">
        <v>1</v>
      </c>
      <c r="I905" s="333" t="s">
        <v>1056</v>
      </c>
      <c r="J905" s="320" t="s">
        <v>1944</v>
      </c>
      <c r="K905" s="302">
        <v>0.16425618855999999</v>
      </c>
      <c r="O905" s="308">
        <v>0.30560732855999995</v>
      </c>
      <c r="P905" s="312">
        <v>8.6924433694000006E-2</v>
      </c>
      <c r="Q905" s="344"/>
      <c r="U905" s="126" t="s">
        <v>1059</v>
      </c>
      <c r="V905" s="131" t="s">
        <v>6747</v>
      </c>
      <c r="W905" s="132">
        <v>9.5714926100000014E-2</v>
      </c>
      <c r="X905" s="129">
        <v>0.11359103587999998</v>
      </c>
      <c r="Y905" s="130">
        <v>0.15125862010000002</v>
      </c>
    </row>
    <row r="906" spans="8:25" ht="15.5" x14ac:dyDescent="0.35">
      <c r="H906" s="383">
        <v>1</v>
      </c>
      <c r="I906" s="333" t="s">
        <v>1056</v>
      </c>
      <c r="J906" s="320" t="s">
        <v>1945</v>
      </c>
      <c r="K906" s="302">
        <v>0.38936105839999996</v>
      </c>
      <c r="O906" s="308">
        <v>1.0768816384</v>
      </c>
      <c r="P906" s="312">
        <v>0.74946229601999992</v>
      </c>
      <c r="Q906" s="344"/>
      <c r="U906" s="126" t="s">
        <v>1059</v>
      </c>
      <c r="V906" s="131" t="s">
        <v>6748</v>
      </c>
      <c r="W906" s="132">
        <v>0.19967459100000001</v>
      </c>
      <c r="X906" s="129">
        <v>7.7269796249999967E-2</v>
      </c>
      <c r="Y906" s="130">
        <v>0.27614958500000003</v>
      </c>
    </row>
    <row r="907" spans="8:25" ht="15.5" x14ac:dyDescent="0.35">
      <c r="H907" s="386"/>
      <c r="I907" s="333" t="s">
        <v>1056</v>
      </c>
      <c r="J907" s="320" t="s">
        <v>1946</v>
      </c>
      <c r="K907" s="302">
        <v>4.0361963349999995E-2</v>
      </c>
      <c r="O907" s="308">
        <v>0.10527975435</v>
      </c>
      <c r="P907" s="312">
        <v>2.3251261641000002E-2</v>
      </c>
      <c r="Q907" s="344"/>
      <c r="U907" s="126" t="s">
        <v>1059</v>
      </c>
      <c r="V907" s="131" t="s">
        <v>6749</v>
      </c>
      <c r="W907" s="132">
        <v>0.17261274460000001</v>
      </c>
      <c r="X907" s="129">
        <v>7.9030851860000029E-2</v>
      </c>
      <c r="Y907" s="130">
        <v>0.25384259860000002</v>
      </c>
    </row>
    <row r="908" spans="8:25" ht="15.5" x14ac:dyDescent="0.35">
      <c r="H908" s="384"/>
      <c r="I908" s="333" t="s">
        <v>1056</v>
      </c>
      <c r="J908" s="320" t="s">
        <v>1947</v>
      </c>
      <c r="K908" s="302">
        <v>2.4869352484999999E-2</v>
      </c>
      <c r="O908" s="308">
        <v>2.6194698284999998E-2</v>
      </c>
      <c r="P908" s="312">
        <v>3.1477106775859996E-3</v>
      </c>
      <c r="Q908" s="344"/>
      <c r="U908" s="126" t="s">
        <v>1059</v>
      </c>
      <c r="V908" s="131" t="s">
        <v>6750</v>
      </c>
      <c r="W908" s="132">
        <v>0.13842429939999998</v>
      </c>
      <c r="X908" s="129">
        <v>0.1449193667</v>
      </c>
      <c r="Y908" s="130">
        <v>0.21543965939999998</v>
      </c>
    </row>
    <row r="909" spans="8:25" ht="15.5" x14ac:dyDescent="0.35">
      <c r="H909" s="384"/>
      <c r="I909" s="333" t="s">
        <v>1056</v>
      </c>
      <c r="J909" s="320" t="s">
        <v>1948</v>
      </c>
      <c r="K909" s="302">
        <v>1.1055069847999999E-2</v>
      </c>
      <c r="O909" s="308">
        <v>1.1712287517999999E-2</v>
      </c>
      <c r="P909" s="310">
        <v>1.5736873954130001E-3</v>
      </c>
      <c r="Q909" s="344"/>
      <c r="U909" s="126" t="s">
        <v>1059</v>
      </c>
      <c r="V909" s="131" t="s">
        <v>6751</v>
      </c>
      <c r="W909" s="132">
        <v>9.9660666799999992E-2</v>
      </c>
      <c r="X909" s="129">
        <v>0.12643645225</v>
      </c>
      <c r="Y909" s="130">
        <v>0.16196730479999999</v>
      </c>
    </row>
    <row r="910" spans="8:25" ht="15.5" x14ac:dyDescent="0.35">
      <c r="H910" s="384"/>
      <c r="I910" s="333" t="s">
        <v>1056</v>
      </c>
      <c r="J910" s="320" t="s">
        <v>1949</v>
      </c>
      <c r="K910" s="302">
        <v>0.12530154669999999</v>
      </c>
      <c r="O910" s="308">
        <v>0.41325925669999997</v>
      </c>
      <c r="P910" s="310">
        <v>0.24263162685</v>
      </c>
      <c r="Q910" s="344"/>
      <c r="U910" s="126" t="s">
        <v>1059</v>
      </c>
      <c r="V910" s="131" t="s">
        <v>6752</v>
      </c>
      <c r="W910" s="132">
        <v>9.5018052969999989E-2</v>
      </c>
      <c r="X910" s="129">
        <v>0.11398523942000001</v>
      </c>
      <c r="Y910" s="130">
        <v>0.14934929896999999</v>
      </c>
    </row>
    <row r="911" spans="8:25" ht="15.5" x14ac:dyDescent="0.35">
      <c r="H911" s="384"/>
      <c r="I911" s="333" t="s">
        <v>1056</v>
      </c>
      <c r="J911" s="320" t="s">
        <v>1950</v>
      </c>
      <c r="K911" s="302">
        <v>0.12499690449999999</v>
      </c>
      <c r="O911" s="308">
        <v>0.41551123449999999</v>
      </c>
      <c r="P911" s="312">
        <v>0.30803416368999997</v>
      </c>
      <c r="Q911" s="344"/>
      <c r="U911" s="126" t="s">
        <v>1059</v>
      </c>
      <c r="V911" s="131" t="s">
        <v>6753</v>
      </c>
      <c r="W911" s="132">
        <v>0.1108090317</v>
      </c>
      <c r="X911" s="129">
        <v>0.11468204856</v>
      </c>
      <c r="Y911" s="130">
        <v>0.16982048970000002</v>
      </c>
    </row>
    <row r="912" spans="8:25" ht="15.5" x14ac:dyDescent="0.35">
      <c r="H912" s="384" t="s">
        <v>1951</v>
      </c>
      <c r="I912" s="331"/>
      <c r="J912" s="319"/>
      <c r="K912" s="303"/>
      <c r="O912" s="308" t="s">
        <v>6949</v>
      </c>
      <c r="P912" s="312"/>
      <c r="Q912" s="344"/>
      <c r="U912" s="126" t="s">
        <v>1059</v>
      </c>
      <c r="V912" s="131" t="s">
        <v>6754</v>
      </c>
      <c r="W912" s="132">
        <v>0.10849330319999999</v>
      </c>
      <c r="X912" s="129">
        <v>0.14330460907000001</v>
      </c>
      <c r="Y912" s="130">
        <v>0.17106821619999998</v>
      </c>
    </row>
    <row r="913" spans="8:25" ht="15.5" x14ac:dyDescent="0.35">
      <c r="H913" s="384"/>
      <c r="I913" s="331" t="s">
        <v>1918</v>
      </c>
      <c r="J913" s="320" t="s">
        <v>1952</v>
      </c>
      <c r="K913" s="302">
        <v>4.9490670300000005E-2</v>
      </c>
      <c r="O913" s="308">
        <v>0.1756067603</v>
      </c>
      <c r="P913" s="310">
        <v>4.2491671268999998E-2</v>
      </c>
      <c r="Q913" s="344"/>
      <c r="U913" s="126" t="s">
        <v>1059</v>
      </c>
      <c r="V913" s="131" t="s">
        <v>6755</v>
      </c>
      <c r="W913" s="132">
        <v>0.1266028515</v>
      </c>
      <c r="X913" s="129">
        <v>0.14728553444</v>
      </c>
      <c r="Y913" s="130">
        <v>0.19452699750000002</v>
      </c>
    </row>
    <row r="914" spans="8:25" ht="15.5" x14ac:dyDescent="0.35">
      <c r="H914" s="384"/>
      <c r="I914" s="331" t="s">
        <v>1059</v>
      </c>
      <c r="J914" s="320" t="s">
        <v>1953</v>
      </c>
      <c r="K914" s="302">
        <v>7.2013781010000004</v>
      </c>
      <c r="O914" s="308">
        <v>22.803902101000002</v>
      </c>
      <c r="P914" s="312">
        <v>5.6340767080000003</v>
      </c>
      <c r="Q914" s="344"/>
      <c r="U914" s="126" t="s">
        <v>1059</v>
      </c>
      <c r="V914" s="131" t="s">
        <v>6756</v>
      </c>
      <c r="W914" s="132">
        <v>0.12904135010000001</v>
      </c>
      <c r="X914" s="129">
        <v>0.14928212198999999</v>
      </c>
      <c r="Y914" s="130">
        <v>0.2016462581</v>
      </c>
    </row>
    <row r="915" spans="8:25" ht="15.5" x14ac:dyDescent="0.35">
      <c r="H915" s="383">
        <v>1</v>
      </c>
      <c r="I915" s="331" t="s">
        <v>1918</v>
      </c>
      <c r="J915" s="320" t="s">
        <v>1954</v>
      </c>
      <c r="K915" s="302">
        <v>1.1177297059999999E-2</v>
      </c>
      <c r="O915" s="308">
        <v>4.2635726060000004E-2</v>
      </c>
      <c r="P915" s="312">
        <v>2.2974187351E-2</v>
      </c>
      <c r="Q915" s="344"/>
      <c r="U915" s="126" t="s">
        <v>1059</v>
      </c>
      <c r="V915" s="131" t="s">
        <v>6757</v>
      </c>
      <c r="W915" s="132">
        <v>0.11758162750000001</v>
      </c>
      <c r="X915" s="129">
        <v>0.21681689551000002</v>
      </c>
      <c r="Y915" s="130">
        <v>0.1929849455</v>
      </c>
    </row>
    <row r="916" spans="8:25" ht="15.5" x14ac:dyDescent="0.35">
      <c r="H916" s="383">
        <v>1</v>
      </c>
      <c r="I916" s="331" t="s">
        <v>1918</v>
      </c>
      <c r="J916" s="320" t="s">
        <v>1955</v>
      </c>
      <c r="K916" s="302">
        <v>9.6921111300000001E-3</v>
      </c>
      <c r="O916" s="308">
        <v>3.8374504130000001E-2</v>
      </c>
      <c r="P916" s="312">
        <v>2.1392249048890002E-2</v>
      </c>
      <c r="Q916" s="344"/>
      <c r="U916" s="126" t="s">
        <v>1059</v>
      </c>
      <c r="V916" s="131" t="s">
        <v>6758</v>
      </c>
      <c r="W916" s="132">
        <v>0.1270212047</v>
      </c>
      <c r="X916" s="129">
        <v>0.14852248624000003</v>
      </c>
      <c r="Y916" s="130">
        <v>0.1977344087</v>
      </c>
    </row>
    <row r="917" spans="8:25" ht="15.5" x14ac:dyDescent="0.35">
      <c r="H917" s="384" t="s">
        <v>1956</v>
      </c>
      <c r="I917" s="332"/>
      <c r="J917" s="319"/>
      <c r="K917" s="303"/>
      <c r="O917" s="308" t="s">
        <v>6949</v>
      </c>
      <c r="P917" s="310"/>
      <c r="Q917" s="344"/>
      <c r="U917" s="126" t="s">
        <v>1059</v>
      </c>
      <c r="V917" s="131" t="s">
        <v>6759</v>
      </c>
      <c r="W917" s="132">
        <v>2.2092850930000001E-2</v>
      </c>
      <c r="X917" s="129">
        <v>8.5937418389999999E-3</v>
      </c>
      <c r="Y917" s="130">
        <v>2.7503187730000003E-2</v>
      </c>
    </row>
    <row r="918" spans="8:25" ht="15.5" x14ac:dyDescent="0.35">
      <c r="H918" s="383"/>
      <c r="I918" s="331" t="s">
        <v>1056</v>
      </c>
      <c r="J918" s="320" t="s">
        <v>1957</v>
      </c>
      <c r="K918" s="302">
        <v>5.7221233799999993E-2</v>
      </c>
      <c r="O918" s="308">
        <v>0.26539846379999998</v>
      </c>
      <c r="P918" s="312">
        <v>3.4268002759999999E-2</v>
      </c>
      <c r="Q918" s="344"/>
      <c r="U918" s="126" t="s">
        <v>1059</v>
      </c>
      <c r="V918" s="131" t="s">
        <v>6760</v>
      </c>
      <c r="W918" s="132">
        <v>4.2000364243E-2</v>
      </c>
      <c r="X918" s="129">
        <v>1.00939618532E-2</v>
      </c>
      <c r="Y918" s="130">
        <v>5.0212442043000002E-2</v>
      </c>
    </row>
    <row r="919" spans="8:25" ht="15.5" x14ac:dyDescent="0.35">
      <c r="H919" s="383"/>
      <c r="I919" s="331" t="s">
        <v>1181</v>
      </c>
      <c r="J919" s="320" t="s">
        <v>1958</v>
      </c>
      <c r="K919" s="302">
        <v>2.6663938120000001E-2</v>
      </c>
      <c r="O919" s="308">
        <v>8.4142684120000005E-2</v>
      </c>
      <c r="P919" s="312">
        <v>2.0628060853000004E-2</v>
      </c>
      <c r="Q919" s="344"/>
      <c r="U919" s="126" t="s">
        <v>1059</v>
      </c>
      <c r="V919" s="131" t="s">
        <v>6761</v>
      </c>
      <c r="W919" s="132">
        <v>4.8296941399999994E-2</v>
      </c>
      <c r="X919" s="129">
        <v>1.00977626911E-2</v>
      </c>
      <c r="Y919" s="130">
        <v>5.7364251799999995E-2</v>
      </c>
    </row>
    <row r="920" spans="8:25" ht="15.5" x14ac:dyDescent="0.35">
      <c r="H920" s="383"/>
      <c r="I920" s="331" t="s">
        <v>1181</v>
      </c>
      <c r="J920" s="320" t="s">
        <v>1959</v>
      </c>
      <c r="K920" s="302">
        <v>7.2724848049999999E-2</v>
      </c>
      <c r="O920" s="308">
        <v>0.22949587804999999</v>
      </c>
      <c r="P920" s="312">
        <v>5.6262228650000003E-2</v>
      </c>
      <c r="Q920" s="344"/>
      <c r="U920" s="126" t="s">
        <v>1059</v>
      </c>
      <c r="V920" s="131" t="s">
        <v>6762</v>
      </c>
      <c r="W920" s="132">
        <v>6.4629555699999994E-2</v>
      </c>
      <c r="X920" s="129">
        <v>0.27810665610000002</v>
      </c>
      <c r="Y920" s="130">
        <v>0.65229440569999997</v>
      </c>
    </row>
    <row r="921" spans="8:25" ht="15.5" x14ac:dyDescent="0.35">
      <c r="H921" s="383"/>
      <c r="I921" s="331" t="s">
        <v>1181</v>
      </c>
      <c r="J921" s="320" t="s">
        <v>1960</v>
      </c>
      <c r="K921" s="302">
        <v>0.11393498084000001</v>
      </c>
      <c r="O921" s="308">
        <v>0.35954161084000003</v>
      </c>
      <c r="P921" s="312">
        <v>8.814368420999999E-2</v>
      </c>
      <c r="Q921" s="344"/>
      <c r="U921" s="126" t="s">
        <v>1059</v>
      </c>
      <c r="V921" s="131" t="s">
        <v>6763</v>
      </c>
      <c r="W921" s="132">
        <v>0.16217126091999998</v>
      </c>
      <c r="X921" s="129">
        <v>0.20614135124999999</v>
      </c>
      <c r="Y921" s="130">
        <v>0.23863440991999996</v>
      </c>
    </row>
    <row r="922" spans="8:25" ht="15.5" x14ac:dyDescent="0.35">
      <c r="H922" s="383"/>
      <c r="I922" s="331" t="s">
        <v>1059</v>
      </c>
      <c r="J922" s="320" t="s">
        <v>1961</v>
      </c>
      <c r="K922" s="302">
        <v>4.488961031E-3</v>
      </c>
      <c r="O922" s="308">
        <v>1.4165695631000001E-2</v>
      </c>
      <c r="P922" s="312">
        <v>3.4728013921999997E-3</v>
      </c>
      <c r="Q922" s="344"/>
      <c r="U922" s="126" t="s">
        <v>1059</v>
      </c>
      <c r="V922" s="131" t="s">
        <v>6764</v>
      </c>
      <c r="W922" s="132">
        <v>0.1414916148</v>
      </c>
      <c r="X922" s="129">
        <v>0.45195429053999997</v>
      </c>
      <c r="Y922" s="130">
        <v>0.2382950368</v>
      </c>
    </row>
    <row r="923" spans="8:25" ht="15.5" x14ac:dyDescent="0.35">
      <c r="H923" s="383"/>
      <c r="I923" s="331" t="s">
        <v>1056</v>
      </c>
      <c r="J923" s="320" t="s">
        <v>1962</v>
      </c>
      <c r="K923" s="302">
        <v>7.2730979549999993E-3</v>
      </c>
      <c r="O923" s="308">
        <v>2.2951522954999998E-2</v>
      </c>
      <c r="P923" s="312">
        <v>5.6266972950000009E-3</v>
      </c>
      <c r="Q923" s="344"/>
      <c r="U923" s="126" t="s">
        <v>1059</v>
      </c>
      <c r="V923" s="131" t="s">
        <v>6765</v>
      </c>
      <c r="W923" s="132">
        <v>0.14034110220000001</v>
      </c>
      <c r="X923" s="129">
        <v>0.55374002878999995</v>
      </c>
      <c r="Y923" s="130">
        <v>0.25583398220000003</v>
      </c>
    </row>
    <row r="924" spans="8:25" ht="15.5" x14ac:dyDescent="0.35">
      <c r="H924" s="383"/>
      <c r="I924" s="331" t="s">
        <v>1056</v>
      </c>
      <c r="J924" s="320" t="s">
        <v>1963</v>
      </c>
      <c r="K924" s="302">
        <v>2.7271051299999998E-2</v>
      </c>
      <c r="O924" s="308">
        <v>8.6058536300000002E-2</v>
      </c>
      <c r="P924" s="312">
        <v>2.1097742204E-2</v>
      </c>
      <c r="Q924" s="344"/>
      <c r="U924" s="126" t="s">
        <v>1059</v>
      </c>
      <c r="V924" s="131" t="s">
        <v>6766</v>
      </c>
      <c r="W924" s="132">
        <v>0.262528818</v>
      </c>
      <c r="X924" s="129">
        <v>0.44445084346999997</v>
      </c>
      <c r="Y924" s="130">
        <v>0.38783978799999996</v>
      </c>
    </row>
    <row r="925" spans="8:25" ht="15.5" x14ac:dyDescent="0.35">
      <c r="H925" s="383"/>
      <c r="I925" s="331" t="s">
        <v>1059</v>
      </c>
      <c r="J925" s="320" t="s">
        <v>1964</v>
      </c>
      <c r="K925" s="302">
        <v>2.925183562E-3</v>
      </c>
      <c r="O925" s="308">
        <v>9.2309245620000001E-3</v>
      </c>
      <c r="P925" s="312">
        <v>2.2630140280000001E-3</v>
      </c>
      <c r="Q925" s="344"/>
      <c r="U925" s="126" t="s">
        <v>1059</v>
      </c>
      <c r="V925" s="131" t="s">
        <v>6767</v>
      </c>
      <c r="W925" s="132">
        <v>0.11703130540000001</v>
      </c>
      <c r="X925" s="129">
        <v>0.96783352933999989</v>
      </c>
      <c r="Y925" s="130">
        <v>2.6941838053999998</v>
      </c>
    </row>
    <row r="926" spans="8:25" ht="15.5" x14ac:dyDescent="0.35">
      <c r="H926" s="383"/>
      <c r="I926" s="331" t="s">
        <v>1059</v>
      </c>
      <c r="J926" s="320" t="s">
        <v>1965</v>
      </c>
      <c r="K926" s="302">
        <v>4.3211078857000006E-2</v>
      </c>
      <c r="O926" s="308">
        <v>0.121326978857</v>
      </c>
      <c r="P926" s="312">
        <v>8.6294355410000013E-3</v>
      </c>
      <c r="Q926" s="344"/>
      <c r="U926" s="126" t="s">
        <v>1059</v>
      </c>
      <c r="V926" s="131" t="s">
        <v>6768</v>
      </c>
      <c r="W926" s="132">
        <v>0.15760179249999998</v>
      </c>
      <c r="X926" s="129">
        <v>0.99817269384000007</v>
      </c>
      <c r="Y926" s="130">
        <v>0.27110302249999996</v>
      </c>
    </row>
    <row r="927" spans="8:25" ht="15.5" x14ac:dyDescent="0.35">
      <c r="H927" s="383"/>
      <c r="I927" s="331" t="s">
        <v>1059</v>
      </c>
      <c r="J927" s="320" t="s">
        <v>1966</v>
      </c>
      <c r="K927" s="302">
        <v>9.8732611440000007E-3</v>
      </c>
      <c r="O927" s="308">
        <v>3.1156789144E-2</v>
      </c>
      <c r="P927" s="312">
        <v>7.638265299000001E-3</v>
      </c>
      <c r="Q927" s="344"/>
      <c r="U927" s="126" t="s">
        <v>1059</v>
      </c>
      <c r="V927" s="131" t="s">
        <v>6769</v>
      </c>
      <c r="W927" s="132">
        <v>0.18379348680000002</v>
      </c>
      <c r="X927" s="129">
        <v>1.0664723870300001</v>
      </c>
      <c r="Y927" s="130">
        <v>1.6418665868</v>
      </c>
    </row>
    <row r="928" spans="8:25" ht="15.5" x14ac:dyDescent="0.35">
      <c r="H928" s="383"/>
      <c r="I928" s="331" t="s">
        <v>1059</v>
      </c>
      <c r="J928" s="320" t="s">
        <v>1967</v>
      </c>
      <c r="K928" s="302">
        <v>3.59362174E-3</v>
      </c>
      <c r="O928" s="308">
        <v>1.134029724E-2</v>
      </c>
      <c r="P928" s="312">
        <v>2.7801387857999994E-3</v>
      </c>
      <c r="Q928" s="344"/>
      <c r="U928" s="126" t="s">
        <v>1059</v>
      </c>
      <c r="V928" s="131" t="s">
        <v>6770</v>
      </c>
      <c r="W928" s="132">
        <v>0.12500821179999999</v>
      </c>
      <c r="X928" s="129">
        <v>0.26885770692000005</v>
      </c>
      <c r="Y928" s="130">
        <v>0.22072018879999999</v>
      </c>
    </row>
    <row r="929" spans="8:25" ht="15.5" x14ac:dyDescent="0.35">
      <c r="H929" s="383"/>
      <c r="I929" s="331" t="s">
        <v>1181</v>
      </c>
      <c r="J929" s="320" t="s">
        <v>1968</v>
      </c>
      <c r="K929" s="302">
        <v>0.15029433831</v>
      </c>
      <c r="O929" s="308">
        <v>0.47427986831000002</v>
      </c>
      <c r="P929" s="312">
        <v>0.11627242168</v>
      </c>
      <c r="Q929" s="344"/>
      <c r="U929" s="126" t="s">
        <v>1059</v>
      </c>
      <c r="V929" s="131" t="s">
        <v>6771</v>
      </c>
      <c r="W929" s="132">
        <v>0.1266364039</v>
      </c>
      <c r="X929" s="129">
        <v>0.26911989022000005</v>
      </c>
      <c r="Y929" s="130">
        <v>0.2365491139</v>
      </c>
    </row>
    <row r="930" spans="8:25" ht="15.5" x14ac:dyDescent="0.35">
      <c r="H930" s="383"/>
      <c r="I930" s="331" t="s">
        <v>1181</v>
      </c>
      <c r="J930" s="320" t="s">
        <v>1969</v>
      </c>
      <c r="K930" s="302">
        <v>0.26424771859999996</v>
      </c>
      <c r="O930" s="308">
        <v>0.83387953859999997</v>
      </c>
      <c r="P930" s="312">
        <v>0.20443034476999999</v>
      </c>
      <c r="Q930" s="344"/>
      <c r="U930" s="126" t="s">
        <v>1059</v>
      </c>
      <c r="V930" s="131" t="s">
        <v>6772</v>
      </c>
      <c r="W930" s="132">
        <v>0.10237118520000001</v>
      </c>
      <c r="X930" s="129">
        <v>0.24049085107000001</v>
      </c>
      <c r="Y930" s="130">
        <v>0.19991427020000002</v>
      </c>
    </row>
    <row r="931" spans="8:25" ht="15.5" x14ac:dyDescent="0.35">
      <c r="H931" s="383"/>
      <c r="I931" s="331" t="s">
        <v>1181</v>
      </c>
      <c r="J931" s="320" t="s">
        <v>1970</v>
      </c>
      <c r="K931" s="302">
        <v>2.9092392039999998E-2</v>
      </c>
      <c r="O931" s="308">
        <v>9.1806093039999995E-2</v>
      </c>
      <c r="P931" s="312">
        <v>2.2506789360000001E-2</v>
      </c>
      <c r="Q931" s="344"/>
      <c r="U931" s="126" t="s">
        <v>1059</v>
      </c>
      <c r="V931" s="131" t="s">
        <v>6773</v>
      </c>
      <c r="W931" s="132">
        <v>0.1012018041</v>
      </c>
      <c r="X931" s="129">
        <v>0.23696573786</v>
      </c>
      <c r="Y931" s="130">
        <v>0.2008259711</v>
      </c>
    </row>
    <row r="932" spans="8:25" ht="15.5" x14ac:dyDescent="0.35">
      <c r="H932" s="383"/>
      <c r="I932" s="331" t="s">
        <v>1181</v>
      </c>
      <c r="J932" s="320" t="s">
        <v>1971</v>
      </c>
      <c r="K932" s="302">
        <v>6.3041693410000002E-2</v>
      </c>
      <c r="O932" s="308">
        <v>0.19893900340999998</v>
      </c>
      <c r="P932" s="312">
        <v>4.8771035833000007E-2</v>
      </c>
      <c r="Q932" s="344"/>
      <c r="U932" s="126" t="s">
        <v>1059</v>
      </c>
      <c r="V932" s="131" t="s">
        <v>6774</v>
      </c>
      <c r="W932" s="132">
        <v>0.20272058209999999</v>
      </c>
      <c r="X932" s="129">
        <v>0.22851863763000002</v>
      </c>
      <c r="Y932" s="130">
        <v>0.34578433209999998</v>
      </c>
    </row>
    <row r="933" spans="8:25" ht="15.5" x14ac:dyDescent="0.35">
      <c r="H933" s="383"/>
      <c r="I933" s="331" t="s">
        <v>1181</v>
      </c>
      <c r="J933" s="320" t="s">
        <v>1972</v>
      </c>
      <c r="K933" s="302">
        <v>9.4562538769999996E-2</v>
      </c>
      <c r="O933" s="308">
        <v>0.29840850876999997</v>
      </c>
      <c r="P933" s="312">
        <v>7.3156552779999981E-2</v>
      </c>
      <c r="Q933" s="344"/>
      <c r="U933" s="126" t="s">
        <v>1059</v>
      </c>
      <c r="V933" s="131" t="s">
        <v>6775</v>
      </c>
      <c r="W933" s="132">
        <v>0.131644331</v>
      </c>
      <c r="X933" s="129">
        <v>0.24276295112000001</v>
      </c>
      <c r="Y933" s="130">
        <v>0.241045071</v>
      </c>
    </row>
    <row r="934" spans="8:25" ht="15.5" x14ac:dyDescent="0.35">
      <c r="H934" s="383"/>
      <c r="I934" s="331" t="s">
        <v>1181</v>
      </c>
      <c r="J934" s="320" t="s">
        <v>1973</v>
      </c>
      <c r="K934" s="302">
        <v>0.11222402533</v>
      </c>
      <c r="O934" s="308">
        <v>0.35414239533000003</v>
      </c>
      <c r="P934" s="312">
        <v>8.6820033399999996E-2</v>
      </c>
      <c r="Q934" s="344"/>
      <c r="U934" s="126" t="s">
        <v>1059</v>
      </c>
      <c r="V934" s="131" t="s">
        <v>6776</v>
      </c>
      <c r="W934" s="132">
        <v>2.7545303409999999E-2</v>
      </c>
      <c r="X934" s="129">
        <v>4.2737119559999995E-2</v>
      </c>
      <c r="Y934" s="130">
        <v>0.29633983340999998</v>
      </c>
    </row>
    <row r="935" spans="8:25" ht="15.5" x14ac:dyDescent="0.35">
      <c r="H935" s="383"/>
      <c r="I935" s="331" t="s">
        <v>1181</v>
      </c>
      <c r="J935" s="320" t="s">
        <v>1974</v>
      </c>
      <c r="K935" s="302">
        <v>0.14300897495999998</v>
      </c>
      <c r="O935" s="308">
        <v>0.45128964495999996</v>
      </c>
      <c r="P935" s="312">
        <v>0.11063623945999999</v>
      </c>
      <c r="Q935" s="344"/>
      <c r="U935" s="126" t="s">
        <v>1059</v>
      </c>
      <c r="V935" s="131" t="s">
        <v>6777</v>
      </c>
      <c r="W935" s="132">
        <v>2.6634711319999997E-2</v>
      </c>
      <c r="X935" s="129">
        <v>3.4521830419000005E-2</v>
      </c>
      <c r="Y935" s="130">
        <v>0.11650584831999999</v>
      </c>
    </row>
    <row r="936" spans="8:25" ht="15.5" x14ac:dyDescent="0.35">
      <c r="H936" s="383"/>
      <c r="I936" s="331" t="s">
        <v>1059</v>
      </c>
      <c r="J936" s="320" t="s">
        <v>1975</v>
      </c>
      <c r="K936" s="302">
        <v>2.925183562E-3</v>
      </c>
      <c r="O936" s="308">
        <v>9.2309245620000001E-3</v>
      </c>
      <c r="P936" s="312">
        <v>2.2630140280000001E-3</v>
      </c>
      <c r="Q936" s="344"/>
      <c r="U936" s="126" t="s">
        <v>1176</v>
      </c>
      <c r="V936" s="131" t="s">
        <v>6778</v>
      </c>
      <c r="W936" s="132">
        <v>1.139425858E-2</v>
      </c>
      <c r="X936" s="129">
        <v>2.5309269478000003E-2</v>
      </c>
      <c r="Y936" s="130">
        <v>0.16719881858000002</v>
      </c>
    </row>
    <row r="937" spans="8:25" ht="15.5" x14ac:dyDescent="0.35">
      <c r="H937" s="383"/>
      <c r="I937" s="331" t="s">
        <v>1059</v>
      </c>
      <c r="J937" s="320" t="s">
        <v>1976</v>
      </c>
      <c r="K937" s="302">
        <v>3.9974237199999998E-2</v>
      </c>
      <c r="O937" s="308">
        <v>0.1382976142</v>
      </c>
      <c r="P937" s="312">
        <v>1.3494898846999998E-2</v>
      </c>
      <c r="Q937" s="344"/>
      <c r="U937" s="126" t="s">
        <v>1176</v>
      </c>
      <c r="V937" s="131" t="s">
        <v>6779</v>
      </c>
      <c r="W937" s="132">
        <v>1.2002690490000001E-2</v>
      </c>
      <c r="X937" s="129">
        <v>2.5308943116000002E-2</v>
      </c>
      <c r="Y937" s="130">
        <v>7.5969755489999999E-2</v>
      </c>
    </row>
    <row r="938" spans="8:25" ht="15.5" x14ac:dyDescent="0.35">
      <c r="H938" s="383"/>
      <c r="I938" s="331" t="s">
        <v>1059</v>
      </c>
      <c r="J938" s="320" t="s">
        <v>1977</v>
      </c>
      <c r="K938" s="302">
        <v>3.0991579101999997E-2</v>
      </c>
      <c r="O938" s="308">
        <v>0.113468907102</v>
      </c>
      <c r="P938" s="312">
        <v>8.7466618629999989E-3</v>
      </c>
      <c r="Q938" s="344"/>
      <c r="U938" s="138"/>
      <c r="V938" s="131"/>
      <c r="W938" s="132"/>
      <c r="X938" s="129"/>
      <c r="Y938" s="130" t="s">
        <v>6949</v>
      </c>
    </row>
    <row r="939" spans="8:25" ht="15.5" x14ac:dyDescent="0.35">
      <c r="H939" s="383"/>
      <c r="I939" s="331" t="s">
        <v>1059</v>
      </c>
      <c r="J939" s="320" t="s">
        <v>1978</v>
      </c>
      <c r="K939" s="302">
        <v>1.8816311734600001E-2</v>
      </c>
      <c r="O939" s="308">
        <v>6.29900987346E-2</v>
      </c>
      <c r="P939" s="312">
        <v>6.9930389390000002E-3</v>
      </c>
      <c r="Q939" s="344"/>
      <c r="U939" s="138"/>
      <c r="V939" s="127" t="s">
        <v>6780</v>
      </c>
      <c r="W939" s="132"/>
      <c r="X939" s="129"/>
      <c r="Y939" s="130" t="s">
        <v>6949</v>
      </c>
    </row>
    <row r="940" spans="8:25" ht="15.5" x14ac:dyDescent="0.35">
      <c r="H940" s="383"/>
      <c r="I940" s="331" t="s">
        <v>1056</v>
      </c>
      <c r="J940" s="320" t="s">
        <v>1979</v>
      </c>
      <c r="K940" s="302">
        <v>1.8182745038000003E-2</v>
      </c>
      <c r="O940" s="308">
        <v>5.7378808038000009E-2</v>
      </c>
      <c r="P940" s="312">
        <v>1.4066743242E-2</v>
      </c>
      <c r="Q940" s="344"/>
      <c r="U940" s="126" t="s">
        <v>1059</v>
      </c>
      <c r="V940" s="131" t="s">
        <v>6781</v>
      </c>
      <c r="W940" s="132">
        <v>2.1813916611999998E-2</v>
      </c>
      <c r="X940" s="129">
        <v>1.70992254117E-2</v>
      </c>
      <c r="Y940" s="130">
        <v>3.2120930611999998E-2</v>
      </c>
    </row>
    <row r="941" spans="8:25" ht="15.5" x14ac:dyDescent="0.35">
      <c r="H941" s="383"/>
      <c r="I941" s="331" t="s">
        <v>1056</v>
      </c>
      <c r="J941" s="320" t="s">
        <v>1980</v>
      </c>
      <c r="K941" s="302">
        <v>3.6365490280000003E-2</v>
      </c>
      <c r="O941" s="308">
        <v>0.11475761628</v>
      </c>
      <c r="P941" s="312">
        <v>2.8133486475E-2</v>
      </c>
      <c r="Q941" s="344"/>
      <c r="U941" s="126" t="s">
        <v>1059</v>
      </c>
      <c r="V941" s="131" t="s">
        <v>6782</v>
      </c>
      <c r="W941" s="132">
        <v>4.502009547E-2</v>
      </c>
      <c r="X941" s="129">
        <v>1.6580715002700003E-2</v>
      </c>
      <c r="Y941" s="130">
        <v>5.9552106469999998E-2</v>
      </c>
    </row>
    <row r="942" spans="8:25" ht="15.5" x14ac:dyDescent="0.35">
      <c r="H942" s="383"/>
      <c r="I942" s="331" t="s">
        <v>1059</v>
      </c>
      <c r="J942" s="320" t="s">
        <v>1981</v>
      </c>
      <c r="K942" s="302">
        <v>3.8143903370000003E-2</v>
      </c>
      <c r="O942" s="308">
        <v>0.12036970836999999</v>
      </c>
      <c r="P942" s="312">
        <v>2.9509322802999997E-2</v>
      </c>
      <c r="Q942" s="344"/>
      <c r="U942" s="138"/>
      <c r="V942" s="134"/>
      <c r="W942" s="132"/>
      <c r="X942" s="129"/>
      <c r="Y942" s="130" t="s">
        <v>6949</v>
      </c>
    </row>
    <row r="943" spans="8:25" ht="15.5" x14ac:dyDescent="0.35">
      <c r="H943" s="383"/>
      <c r="I943" s="331" t="s">
        <v>1181</v>
      </c>
      <c r="J943" s="320" t="s">
        <v>1982</v>
      </c>
      <c r="K943" s="302">
        <v>0.12120808008</v>
      </c>
      <c r="O943" s="308">
        <v>0.38249313008000002</v>
      </c>
      <c r="P943" s="312">
        <v>9.3770381220000004E-2</v>
      </c>
      <c r="Q943" s="344"/>
      <c r="U943" s="138"/>
      <c r="V943" s="127" t="s">
        <v>6783</v>
      </c>
      <c r="W943" s="132"/>
      <c r="X943" s="129"/>
      <c r="Y943" s="130" t="s">
        <v>6949</v>
      </c>
    </row>
    <row r="944" spans="8:25" ht="15.5" x14ac:dyDescent="0.35">
      <c r="H944" s="383"/>
      <c r="I944" s="331" t="s">
        <v>1181</v>
      </c>
      <c r="J944" s="320" t="s">
        <v>1983</v>
      </c>
      <c r="K944" s="302">
        <v>0.38786585099999998</v>
      </c>
      <c r="O944" s="308">
        <v>1.223978021</v>
      </c>
      <c r="P944" s="312">
        <v>0.30006521661999996</v>
      </c>
      <c r="Q944" s="344"/>
      <c r="U944" s="126" t="s">
        <v>1059</v>
      </c>
      <c r="V944" s="131" t="s">
        <v>6784</v>
      </c>
      <c r="W944" s="132">
        <v>6.2966801369999997E-3</v>
      </c>
      <c r="X944" s="129">
        <v>1.29500033704E-2</v>
      </c>
      <c r="Y944" s="130">
        <v>9.5804629369999998E-3</v>
      </c>
    </row>
    <row r="945" spans="8:25" ht="15.5" x14ac:dyDescent="0.35">
      <c r="H945" s="383"/>
      <c r="I945" s="331" t="s">
        <v>1181</v>
      </c>
      <c r="J945" s="320" t="s">
        <v>1984</v>
      </c>
      <c r="K945" s="302">
        <v>0.55756330269999999</v>
      </c>
      <c r="O945" s="308">
        <v>1.7594878027</v>
      </c>
      <c r="P945" s="312">
        <v>0.43134849212000004</v>
      </c>
      <c r="Q945" s="344"/>
      <c r="U945" s="126" t="s">
        <v>1059</v>
      </c>
      <c r="V945" s="131" t="s">
        <v>6785</v>
      </c>
      <c r="W945" s="132">
        <v>3.8595992094999997E-2</v>
      </c>
      <c r="X945" s="129">
        <v>2.5519760177E-2</v>
      </c>
      <c r="Y945" s="130">
        <v>5.1785497094999994E-2</v>
      </c>
    </row>
    <row r="946" spans="8:25" ht="15.5" x14ac:dyDescent="0.35">
      <c r="H946" s="383"/>
      <c r="I946" s="331" t="s">
        <v>1176</v>
      </c>
      <c r="J946" s="320" t="s">
        <v>1985</v>
      </c>
      <c r="K946" s="302">
        <v>1.2142271622E-3</v>
      </c>
      <c r="O946" s="308">
        <v>3.8317045622000001E-3</v>
      </c>
      <c r="P946" s="312">
        <v>9.3936430450000002E-4</v>
      </c>
      <c r="Q946" s="344"/>
      <c r="U946" s="138"/>
      <c r="V946" s="134"/>
      <c r="W946" s="132"/>
      <c r="X946" s="129"/>
      <c r="Y946" s="130" t="s">
        <v>6949</v>
      </c>
    </row>
    <row r="947" spans="8:25" ht="15.5" x14ac:dyDescent="0.35">
      <c r="H947" s="383"/>
      <c r="I947" s="331" t="s">
        <v>1176</v>
      </c>
      <c r="J947" s="320" t="s">
        <v>1986</v>
      </c>
      <c r="K947" s="302">
        <v>2.4241615420000002E-3</v>
      </c>
      <c r="O947" s="308">
        <v>7.6498626420000004E-3</v>
      </c>
      <c r="P947" s="312">
        <v>1.8754076553999998E-3</v>
      </c>
      <c r="Q947" s="344"/>
      <c r="U947" s="138"/>
      <c r="V947" s="127" t="s">
        <v>6786</v>
      </c>
      <c r="W947" s="132"/>
      <c r="X947" s="129"/>
      <c r="Y947" s="130" t="s">
        <v>6949</v>
      </c>
    </row>
    <row r="948" spans="8:25" ht="15.5" x14ac:dyDescent="0.35">
      <c r="H948" s="383"/>
      <c r="I948" s="331" t="s">
        <v>1176</v>
      </c>
      <c r="J948" s="320" t="s">
        <v>1987</v>
      </c>
      <c r="K948" s="302">
        <v>4.8507761760000004E-3</v>
      </c>
      <c r="O948" s="308">
        <v>1.5307466176E-2</v>
      </c>
      <c r="P948" s="312">
        <v>3.7527129219999998E-3</v>
      </c>
      <c r="Q948" s="344"/>
      <c r="U948" s="126" t="s">
        <v>1059</v>
      </c>
      <c r="V948" s="131" t="s">
        <v>6787</v>
      </c>
      <c r="W948" s="132">
        <v>1.9983020939999999E-2</v>
      </c>
      <c r="X948" s="129">
        <v>8.9606379349999998E-3</v>
      </c>
      <c r="Y948" s="130">
        <v>2.8518245339999998E-2</v>
      </c>
    </row>
    <row r="949" spans="8:25" ht="15.5" x14ac:dyDescent="0.35">
      <c r="H949" s="383"/>
      <c r="I949" s="331" t="s">
        <v>1176</v>
      </c>
      <c r="J949" s="320" t="s">
        <v>1988</v>
      </c>
      <c r="K949" s="302">
        <v>1.1394111315E-2</v>
      </c>
      <c r="O949" s="308">
        <v>3.5956096315000005E-2</v>
      </c>
      <c r="P949" s="312">
        <v>8.8148427869999997E-3</v>
      </c>
      <c r="Q949" s="344"/>
      <c r="U949" s="126" t="s">
        <v>1059</v>
      </c>
      <c r="V949" s="131" t="s">
        <v>6788</v>
      </c>
      <c r="W949" s="132">
        <v>1.28931614E-2</v>
      </c>
      <c r="X949" s="129">
        <v>9.9907852390000006E-3</v>
      </c>
      <c r="Y949" s="130">
        <v>1.95971697E-2</v>
      </c>
    </row>
    <row r="950" spans="8:25" ht="15.5" x14ac:dyDescent="0.35">
      <c r="H950" s="383"/>
      <c r="I950" s="331" t="s">
        <v>1059</v>
      </c>
      <c r="J950" s="320" t="s">
        <v>1989</v>
      </c>
      <c r="K950" s="302">
        <v>2.925183562E-3</v>
      </c>
      <c r="O950" s="308">
        <v>9.2309245620000001E-3</v>
      </c>
      <c r="P950" s="312">
        <v>2.2630140280000001E-3</v>
      </c>
      <c r="Q950" s="344"/>
      <c r="U950" s="126" t="s">
        <v>1059</v>
      </c>
      <c r="V950" s="131" t="s">
        <v>6789</v>
      </c>
      <c r="W950" s="132">
        <v>1.187860187E-2</v>
      </c>
      <c r="X950" s="129">
        <v>7.9891618020000027E-3</v>
      </c>
      <c r="Y950" s="130">
        <v>1.8939684469999999E-2</v>
      </c>
    </row>
    <row r="951" spans="8:25" ht="15.5" x14ac:dyDescent="0.35">
      <c r="H951" s="383"/>
      <c r="I951" s="331" t="s">
        <v>1181</v>
      </c>
      <c r="J951" s="320" t="s">
        <v>1990</v>
      </c>
      <c r="K951" s="302">
        <v>1.203833876E-2</v>
      </c>
      <c r="O951" s="308">
        <v>3.009477176E-2</v>
      </c>
      <c r="P951" s="312">
        <v>2.2213071285000004E-2</v>
      </c>
      <c r="Q951" s="344"/>
      <c r="U951" s="126" t="s">
        <v>1059</v>
      </c>
      <c r="V951" s="131" t="s">
        <v>6790</v>
      </c>
      <c r="W951" s="132">
        <v>1.0154793839999999E-2</v>
      </c>
      <c r="X951" s="129">
        <v>7.898213539999999E-3</v>
      </c>
      <c r="Y951" s="130">
        <v>1.667368114E-2</v>
      </c>
    </row>
    <row r="952" spans="8:25" ht="15.5" x14ac:dyDescent="0.35">
      <c r="H952" s="384" t="s">
        <v>1991</v>
      </c>
      <c r="I952" s="331"/>
      <c r="J952" s="319"/>
      <c r="K952" s="303"/>
      <c r="O952" s="308" t="s">
        <v>6949</v>
      </c>
      <c r="P952" s="312"/>
      <c r="Q952" s="344"/>
      <c r="U952" s="126" t="s">
        <v>1059</v>
      </c>
      <c r="V952" s="131" t="s">
        <v>6791</v>
      </c>
      <c r="W952" s="132">
        <v>1.312190936E-2</v>
      </c>
      <c r="X952" s="129">
        <v>1.2256036983000002E-2</v>
      </c>
      <c r="Y952" s="130">
        <v>2.104502456E-2</v>
      </c>
    </row>
    <row r="953" spans="8:25" ht="15.5" x14ac:dyDescent="0.35">
      <c r="H953" s="383"/>
      <c r="I953" s="331" t="s">
        <v>1059</v>
      </c>
      <c r="J953" s="320" t="s">
        <v>1992</v>
      </c>
      <c r="K953" s="302">
        <v>9.4930486780000004E-3</v>
      </c>
      <c r="O953" s="308">
        <v>2.9956962678E-2</v>
      </c>
      <c r="P953" s="312">
        <v>7.3441208770000004E-3</v>
      </c>
      <c r="Q953" s="344"/>
      <c r="U953" s="126" t="s">
        <v>1059</v>
      </c>
      <c r="V953" s="131" t="s">
        <v>6792</v>
      </c>
      <c r="W953" s="132">
        <v>2.3382075250000002E-2</v>
      </c>
      <c r="X953" s="129">
        <v>8.6823529499999996E-3</v>
      </c>
      <c r="Y953" s="130">
        <v>3.0379465850000002E-2</v>
      </c>
    </row>
    <row r="954" spans="8:25" ht="15.5" x14ac:dyDescent="0.35">
      <c r="H954" s="383"/>
      <c r="I954" s="331" t="s">
        <v>1059</v>
      </c>
      <c r="J954" s="320" t="s">
        <v>1993</v>
      </c>
      <c r="K954" s="302">
        <v>4.9231392069999998E-2</v>
      </c>
      <c r="O954" s="308">
        <v>0.15535820207000001</v>
      </c>
      <c r="P954" s="312">
        <v>3.8086952654999999E-2</v>
      </c>
      <c r="Q954" s="344"/>
      <c r="U954" s="126" t="s">
        <v>1059</v>
      </c>
      <c r="V954" s="131" t="s">
        <v>6793</v>
      </c>
      <c r="W954" s="132">
        <v>5.2483026359999997E-2</v>
      </c>
      <c r="X954" s="129">
        <v>1.2267018641000001E-2</v>
      </c>
      <c r="Y954" s="130">
        <v>6.1846867859999995E-2</v>
      </c>
    </row>
    <row r="955" spans="8:25" ht="15.5" x14ac:dyDescent="0.35">
      <c r="H955" s="383">
        <v>1</v>
      </c>
      <c r="I955" s="331" t="s">
        <v>1059</v>
      </c>
      <c r="J955" s="320" t="s">
        <v>1994</v>
      </c>
      <c r="K955" s="302">
        <v>5.5192143930000003E-3</v>
      </c>
      <c r="O955" s="308">
        <v>1.7416839393000001E-2</v>
      </c>
      <c r="P955" s="312">
        <v>4.2698377697000002E-3</v>
      </c>
      <c r="Q955" s="344"/>
      <c r="U955" s="126" t="s">
        <v>1059</v>
      </c>
      <c r="V955" s="131" t="s">
        <v>6794</v>
      </c>
      <c r="W955" s="132">
        <v>1.1304102009999999E-2</v>
      </c>
      <c r="X955" s="129">
        <v>1.0174990714E-2</v>
      </c>
      <c r="Y955" s="130">
        <v>1.838784551E-2</v>
      </c>
    </row>
    <row r="956" spans="8:25" ht="15.5" x14ac:dyDescent="0.35">
      <c r="H956" s="383">
        <v>1</v>
      </c>
      <c r="I956" s="331" t="s">
        <v>1059</v>
      </c>
      <c r="J956" s="320" t="s">
        <v>1995</v>
      </c>
      <c r="K956" s="302">
        <v>1.5012262992000001E-2</v>
      </c>
      <c r="O956" s="308">
        <v>4.7373801992000003E-2</v>
      </c>
      <c r="P956" s="312">
        <v>1.1613958475E-2</v>
      </c>
      <c r="Q956" s="344"/>
      <c r="U956" s="138"/>
      <c r="V956" s="134"/>
      <c r="W956" s="132"/>
      <c r="X956" s="129"/>
      <c r="Y956" s="130" t="s">
        <v>6949</v>
      </c>
    </row>
    <row r="957" spans="8:25" ht="15.5" x14ac:dyDescent="0.35">
      <c r="H957" s="383"/>
      <c r="I957" s="331" t="s">
        <v>1059</v>
      </c>
      <c r="J957" s="320" t="s">
        <v>1996</v>
      </c>
      <c r="K957" s="302">
        <v>2.0531477265E-2</v>
      </c>
      <c r="O957" s="308">
        <v>6.4790640265000005E-2</v>
      </c>
      <c r="P957" s="312">
        <v>1.5883796284000003E-2</v>
      </c>
      <c r="Q957" s="344"/>
      <c r="U957" s="138"/>
      <c r="V957" s="127" t="s">
        <v>6795</v>
      </c>
      <c r="W957" s="132"/>
      <c r="X957" s="129"/>
      <c r="Y957" s="130" t="s">
        <v>6949</v>
      </c>
    </row>
    <row r="958" spans="8:25" ht="15.5" x14ac:dyDescent="0.35">
      <c r="H958" s="383"/>
      <c r="I958" s="331" t="s">
        <v>1059</v>
      </c>
      <c r="J958" s="320" t="s">
        <v>1997</v>
      </c>
      <c r="K958" s="302">
        <v>5.2322152219999994E-2</v>
      </c>
      <c r="O958" s="308">
        <v>0.16511163222</v>
      </c>
      <c r="P958" s="312">
        <v>4.0478061957000003E-2</v>
      </c>
      <c r="Q958" s="344"/>
      <c r="U958" s="126" t="s">
        <v>1059</v>
      </c>
      <c r="V958" s="131" t="s">
        <v>6796</v>
      </c>
      <c r="W958" s="132">
        <v>8.5137728052999996E-3</v>
      </c>
      <c r="X958" s="129">
        <v>1.1306515502000002E-2</v>
      </c>
      <c r="Y958" s="130">
        <v>2.5341699805299999E-2</v>
      </c>
    </row>
    <row r="959" spans="8:25" ht="15.5" x14ac:dyDescent="0.35">
      <c r="H959" s="383"/>
      <c r="I959" s="331" t="s">
        <v>1059</v>
      </c>
      <c r="J959" s="320" t="s">
        <v>1998</v>
      </c>
      <c r="K959" s="302">
        <v>1.3471783713999999E-2</v>
      </c>
      <c r="O959" s="308">
        <v>5.3360449714000002E-2</v>
      </c>
      <c r="P959" s="312">
        <v>7.7681500410000008E-3</v>
      </c>
      <c r="Q959" s="344"/>
      <c r="U959" s="126" t="s">
        <v>1059</v>
      </c>
      <c r="V959" s="131" t="s">
        <v>6797</v>
      </c>
      <c r="W959" s="132">
        <v>7.5925045010000001E-3</v>
      </c>
      <c r="X959" s="129">
        <v>8.8951325919999977E-3</v>
      </c>
      <c r="Y959" s="130">
        <v>1.3248298101E-2</v>
      </c>
    </row>
    <row r="960" spans="8:25" ht="15.5" x14ac:dyDescent="0.35">
      <c r="H960" s="383"/>
      <c r="I960" s="331" t="s">
        <v>1059</v>
      </c>
      <c r="J960" s="320" t="s">
        <v>1999</v>
      </c>
      <c r="K960" s="302">
        <v>9.7138171950000001E-3</v>
      </c>
      <c r="O960" s="308">
        <v>3.0653636195E-2</v>
      </c>
      <c r="P960" s="312">
        <v>7.5149143679999995E-3</v>
      </c>
      <c r="Q960" s="344"/>
      <c r="U960" s="126" t="s">
        <v>1059</v>
      </c>
      <c r="V960" s="131" t="s">
        <v>6798</v>
      </c>
      <c r="W960" s="132">
        <v>8.920126195000001E-3</v>
      </c>
      <c r="X960" s="129">
        <v>9.5478907779999993E-3</v>
      </c>
      <c r="Y960" s="130">
        <v>3.2457594195000002E-2</v>
      </c>
    </row>
    <row r="961" spans="8:25" ht="15.5" x14ac:dyDescent="0.35">
      <c r="H961" s="383"/>
      <c r="I961" s="331" t="s">
        <v>1059</v>
      </c>
      <c r="J961" s="320" t="s">
        <v>2000</v>
      </c>
      <c r="K961" s="302">
        <v>1.9869171724E-2</v>
      </c>
      <c r="O961" s="308">
        <v>6.2700619723999998E-2</v>
      </c>
      <c r="P961" s="312">
        <v>1.5371415489E-2</v>
      </c>
      <c r="Q961" s="344"/>
      <c r="U961" s="126" t="s">
        <v>1059</v>
      </c>
      <c r="V961" s="131" t="s">
        <v>6799</v>
      </c>
      <c r="W961" s="132">
        <v>2.0175395509999999E-2</v>
      </c>
      <c r="X961" s="129">
        <v>1.0789876162999999E-2</v>
      </c>
      <c r="Y961" s="130">
        <v>3.015465011E-2</v>
      </c>
    </row>
    <row r="962" spans="8:25" ht="15.5" x14ac:dyDescent="0.35">
      <c r="H962" s="384" t="s">
        <v>2001</v>
      </c>
      <c r="I962" s="331"/>
      <c r="J962" s="319"/>
      <c r="K962" s="303"/>
      <c r="O962" s="308" t="s">
        <v>6949</v>
      </c>
      <c r="P962" s="312"/>
      <c r="Q962" s="344"/>
      <c r="U962" s="126" t="s">
        <v>1059</v>
      </c>
      <c r="V962" s="131" t="s">
        <v>6800</v>
      </c>
      <c r="W962" s="132">
        <v>8.7193352979999996E-3</v>
      </c>
      <c r="X962" s="129">
        <v>8.2119994140000003E-3</v>
      </c>
      <c r="Y962" s="130">
        <v>1.4455559898000001E-2</v>
      </c>
    </row>
    <row r="963" spans="8:25" ht="15.5" x14ac:dyDescent="0.35">
      <c r="H963" s="392"/>
      <c r="I963" s="339" t="s">
        <v>2002</v>
      </c>
      <c r="J963" s="320" t="s">
        <v>2003</v>
      </c>
      <c r="K963" s="302">
        <v>4.6858362435999999E-5</v>
      </c>
      <c r="O963" s="308">
        <v>1.33601369436E-4</v>
      </c>
      <c r="P963" s="312">
        <v>8.2137097220999985E-5</v>
      </c>
      <c r="Q963" s="344"/>
      <c r="U963" s="126" t="s">
        <v>1059</v>
      </c>
      <c r="V963" s="131" t="s">
        <v>6801</v>
      </c>
      <c r="W963" s="132">
        <v>1.3956512900419996E-2</v>
      </c>
      <c r="X963" s="129">
        <v>1.2298957932999996E-2</v>
      </c>
      <c r="Y963" s="130">
        <v>2.6786054900419996E-2</v>
      </c>
    </row>
    <row r="964" spans="8:25" ht="15.5" x14ac:dyDescent="0.35">
      <c r="H964" s="392"/>
      <c r="I964" s="339" t="s">
        <v>2002</v>
      </c>
      <c r="J964" s="320" t="s">
        <v>2004</v>
      </c>
      <c r="K964" s="302">
        <v>3.0487360100000001E-5</v>
      </c>
      <c r="O964" s="308">
        <v>2.5699265010000003E-4</v>
      </c>
      <c r="P964" s="312">
        <v>2.72039882601E-4</v>
      </c>
      <c r="Q964" s="344"/>
      <c r="U964" s="126" t="s">
        <v>1059</v>
      </c>
      <c r="V964" s="131" t="s">
        <v>6802</v>
      </c>
      <c r="W964" s="132">
        <v>1.1522102875000001E-2</v>
      </c>
      <c r="X964" s="129">
        <v>1.0898772670000001E-2</v>
      </c>
      <c r="Y964" s="130">
        <v>1.9153289375E-2</v>
      </c>
    </row>
    <row r="965" spans="8:25" ht="15.5" x14ac:dyDescent="0.35">
      <c r="H965" s="392"/>
      <c r="I965" s="339" t="s">
        <v>1059</v>
      </c>
      <c r="J965" s="320" t="s">
        <v>2005</v>
      </c>
      <c r="K965" s="302">
        <v>3.3641900160000003E-3</v>
      </c>
      <c r="O965" s="308">
        <v>2.0405968016E-2</v>
      </c>
      <c r="P965" s="312">
        <v>2.2832772041000002E-5</v>
      </c>
      <c r="Q965" s="344"/>
      <c r="U965" s="126" t="s">
        <v>1059</v>
      </c>
      <c r="V965" s="131" t="s">
        <v>6803</v>
      </c>
      <c r="W965" s="132">
        <v>1.7391370162999999E-2</v>
      </c>
      <c r="X965" s="129">
        <v>1.4468912219999991E-2</v>
      </c>
      <c r="Y965" s="130">
        <v>3.5244472163000001E-2</v>
      </c>
    </row>
    <row r="966" spans="8:25" ht="15.5" x14ac:dyDescent="0.35">
      <c r="H966" s="392"/>
      <c r="I966" s="339" t="s">
        <v>1059</v>
      </c>
      <c r="J966" s="320" t="s">
        <v>2006</v>
      </c>
      <c r="K966" s="302">
        <v>2.5651948710000002E-3</v>
      </c>
      <c r="O966" s="308">
        <v>1.5559550871E-2</v>
      </c>
      <c r="P966" s="312">
        <v>1.7409988869E-5</v>
      </c>
      <c r="Q966" s="344"/>
      <c r="U966" s="126" t="s">
        <v>1059</v>
      </c>
      <c r="V966" s="131" t="s">
        <v>6804</v>
      </c>
      <c r="W966" s="132">
        <v>4.8601451354E-3</v>
      </c>
      <c r="X966" s="129">
        <v>7.5988987848999989E-3</v>
      </c>
      <c r="Y966" s="130">
        <v>9.7252923353999994E-3</v>
      </c>
    </row>
    <row r="967" spans="8:25" ht="15.5" x14ac:dyDescent="0.35">
      <c r="H967" s="384"/>
      <c r="I967" s="331"/>
      <c r="J967" s="319"/>
      <c r="K967" s="302"/>
      <c r="O967" s="308" t="s">
        <v>6949</v>
      </c>
      <c r="P967" s="312"/>
      <c r="Q967" s="344"/>
      <c r="U967" s="126" t="s">
        <v>1059</v>
      </c>
      <c r="V967" s="131" t="s">
        <v>6805</v>
      </c>
      <c r="W967" s="132">
        <v>6.3712620200000007E-3</v>
      </c>
      <c r="X967" s="129">
        <v>9.7880288680000007E-3</v>
      </c>
      <c r="Y967" s="130">
        <v>1.2016424720000002E-2</v>
      </c>
    </row>
    <row r="968" spans="8:25" ht="15.5" x14ac:dyDescent="0.35">
      <c r="H968" s="383"/>
      <c r="I968" s="333"/>
      <c r="J968" s="323"/>
      <c r="K968" s="302"/>
      <c r="O968" s="308" t="s">
        <v>6949</v>
      </c>
      <c r="P968" s="312"/>
      <c r="Q968" s="344"/>
      <c r="U968" s="126" t="s">
        <v>1059</v>
      </c>
      <c r="V968" s="131" t="s">
        <v>6806</v>
      </c>
      <c r="W968" s="132">
        <v>1.0920497322000001E-2</v>
      </c>
      <c r="X968" s="129">
        <v>9.8650062810000019E-3</v>
      </c>
      <c r="Y968" s="130">
        <v>1.7458603722000001E-2</v>
      </c>
    </row>
    <row r="969" spans="8:25" ht="15.5" x14ac:dyDescent="0.35">
      <c r="H969" s="384" t="s">
        <v>2007</v>
      </c>
      <c r="I969" s="331"/>
      <c r="J969" s="323"/>
      <c r="K969" s="302"/>
      <c r="O969" s="308"/>
      <c r="P969" s="312"/>
      <c r="Q969" s="344"/>
      <c r="U969" s="126" t="s">
        <v>1059</v>
      </c>
      <c r="V969" s="131" t="s">
        <v>6807</v>
      </c>
      <c r="W969" s="132">
        <v>1.4051780149E-2</v>
      </c>
      <c r="X969" s="129">
        <v>1.0647445170999999E-2</v>
      </c>
      <c r="Y969" s="130">
        <v>2.1398005049E-2</v>
      </c>
    </row>
    <row r="970" spans="8:25" ht="15.5" x14ac:dyDescent="0.35">
      <c r="H970" s="384" t="s">
        <v>2008</v>
      </c>
      <c r="I970" s="333"/>
      <c r="J970" s="323"/>
      <c r="K970" s="302"/>
      <c r="O970" s="308"/>
      <c r="P970" s="312"/>
      <c r="Q970" s="344"/>
      <c r="U970" s="126"/>
      <c r="V970" s="127"/>
      <c r="W970" s="128"/>
      <c r="X970" s="129"/>
      <c r="Y970" s="130" t="s">
        <v>6949</v>
      </c>
    </row>
    <row r="971" spans="8:25" ht="15.5" x14ac:dyDescent="0.35">
      <c r="H971" s="383"/>
      <c r="I971" s="331" t="s">
        <v>1059</v>
      </c>
      <c r="J971" s="323" t="s">
        <v>2009</v>
      </c>
      <c r="K971" s="302">
        <v>5.493389734000001E-2</v>
      </c>
      <c r="O971" s="308">
        <v>0.11459260134000002</v>
      </c>
      <c r="P971" s="312">
        <v>2.1318366227999999E-2</v>
      </c>
      <c r="Q971" s="344"/>
      <c r="U971" s="138"/>
      <c r="V971" s="127" t="s">
        <v>6808</v>
      </c>
      <c r="W971" s="141"/>
      <c r="X971" s="129"/>
      <c r="Y971" s="130" t="s">
        <v>6949</v>
      </c>
    </row>
    <row r="972" spans="8:25" ht="15.5" x14ac:dyDescent="0.35">
      <c r="H972" s="383"/>
      <c r="I972" s="331" t="s">
        <v>1059</v>
      </c>
      <c r="J972" s="323" t="s">
        <v>2010</v>
      </c>
      <c r="K972" s="302">
        <v>5.969843457E-2</v>
      </c>
      <c r="O972" s="308">
        <v>0.12517967857000001</v>
      </c>
      <c r="P972" s="312">
        <v>1.7914172739999998E-2</v>
      </c>
      <c r="Q972" s="344"/>
      <c r="U972" s="126" t="s">
        <v>1059</v>
      </c>
      <c r="V972" s="131" t="s">
        <v>6809</v>
      </c>
      <c r="W972" s="132">
        <v>5.9480379800000004E-2</v>
      </c>
      <c r="X972" s="129">
        <v>4.0177409093999999E-2</v>
      </c>
      <c r="Y972" s="130">
        <v>9.7077088800000003E-2</v>
      </c>
    </row>
    <row r="973" spans="8:25" ht="15.5" x14ac:dyDescent="0.35">
      <c r="H973" s="383"/>
      <c r="I973" s="331" t="s">
        <v>1059</v>
      </c>
      <c r="J973" s="323" t="s">
        <v>2011</v>
      </c>
      <c r="K973" s="302">
        <v>7.2172682539999991E-2</v>
      </c>
      <c r="O973" s="308">
        <v>0.13896037553999999</v>
      </c>
      <c r="P973" s="312">
        <v>3.0943656752999999E-2</v>
      </c>
      <c r="Q973" s="344"/>
      <c r="U973" s="126" t="s">
        <v>1059</v>
      </c>
      <c r="V973" s="131" t="s">
        <v>6810</v>
      </c>
      <c r="W973" s="132">
        <v>0.20482424145999997</v>
      </c>
      <c r="X973" s="129">
        <v>5.6850863255000002E-2</v>
      </c>
      <c r="Y973" s="130">
        <v>0.27505971445999999</v>
      </c>
    </row>
    <row r="974" spans="8:25" ht="15.5" x14ac:dyDescent="0.35">
      <c r="H974" s="383"/>
      <c r="I974" s="331" t="s">
        <v>1059</v>
      </c>
      <c r="J974" s="323" t="s">
        <v>2012</v>
      </c>
      <c r="K974" s="302">
        <v>8.1701755040000018E-2</v>
      </c>
      <c r="O974" s="308">
        <v>0.16013452704000003</v>
      </c>
      <c r="P974" s="312">
        <v>2.4135269777999999E-2</v>
      </c>
      <c r="Q974" s="344"/>
      <c r="U974" s="126" t="s">
        <v>1059</v>
      </c>
      <c r="V974" s="131" t="s">
        <v>6811</v>
      </c>
      <c r="W974" s="132">
        <v>1.9615488055000001E-2</v>
      </c>
      <c r="X974" s="129">
        <v>1.1864105781899999E-2</v>
      </c>
      <c r="Y974" s="130">
        <v>2.6490505755000001E-2</v>
      </c>
    </row>
    <row r="975" spans="8:25" ht="15.5" x14ac:dyDescent="0.35">
      <c r="H975" s="383"/>
      <c r="I975" s="331" t="s">
        <v>1059</v>
      </c>
      <c r="J975" s="323" t="s">
        <v>2013</v>
      </c>
      <c r="K975" s="302">
        <v>6.2101946820000004E-2</v>
      </c>
      <c r="O975" s="308">
        <v>0.13774513082000001</v>
      </c>
      <c r="P975" s="312">
        <v>1.8003374999E-2</v>
      </c>
      <c r="Q975" s="344"/>
      <c r="U975" s="126" t="s">
        <v>1059</v>
      </c>
      <c r="V975" s="131" t="s">
        <v>6812</v>
      </c>
      <c r="W975" s="132">
        <v>3.3076457354999998E-2</v>
      </c>
      <c r="X975" s="129">
        <v>1.29924838103E-2</v>
      </c>
      <c r="Y975" s="130">
        <v>4.2466344454999999E-2</v>
      </c>
    </row>
    <row r="976" spans="8:25" ht="15.5" x14ac:dyDescent="0.35">
      <c r="H976" s="383"/>
      <c r="I976" s="331" t="s">
        <v>1059</v>
      </c>
      <c r="J976" s="323" t="s">
        <v>2014</v>
      </c>
      <c r="K976" s="302">
        <v>6.2101946820000004E-2</v>
      </c>
      <c r="O976" s="308">
        <v>0.13774513082000001</v>
      </c>
      <c r="P976" s="312">
        <v>1.8003374999E-2</v>
      </c>
      <c r="Q976" s="344"/>
      <c r="U976" s="126" t="s">
        <v>1059</v>
      </c>
      <c r="V976" s="131" t="s">
        <v>6813</v>
      </c>
      <c r="W976" s="132">
        <v>5.3676323344999992E-2</v>
      </c>
      <c r="X976" s="129">
        <v>4.0370777728000004E-2</v>
      </c>
      <c r="Y976" s="130">
        <v>8.1812976344999996E-2</v>
      </c>
    </row>
    <row r="977" spans="8:25" ht="15.5" x14ac:dyDescent="0.35">
      <c r="H977" s="384" t="s">
        <v>2015</v>
      </c>
      <c r="I977" s="333"/>
      <c r="J977" s="323"/>
      <c r="K977" s="302"/>
      <c r="O977" s="308" t="s">
        <v>6949</v>
      </c>
      <c r="P977" s="312"/>
      <c r="Q977" s="344"/>
      <c r="U977" s="126" t="s">
        <v>1059</v>
      </c>
      <c r="V977" s="131" t="s">
        <v>6814</v>
      </c>
      <c r="W977" s="132">
        <v>0.17067827464000002</v>
      </c>
      <c r="X977" s="129">
        <v>5.6766814573999999E-2</v>
      </c>
      <c r="Y977" s="130">
        <v>0.21755991664000002</v>
      </c>
    </row>
    <row r="978" spans="8:25" ht="15.5" x14ac:dyDescent="0.35">
      <c r="H978" s="383"/>
      <c r="I978" s="331" t="s">
        <v>1059</v>
      </c>
      <c r="J978" s="323" t="s">
        <v>2016</v>
      </c>
      <c r="K978" s="302">
        <v>2.3442352452999997</v>
      </c>
      <c r="O978" s="308">
        <v>3.5777114452999994</v>
      </c>
      <c r="P978" s="312">
        <v>1.5891516440000003E-2</v>
      </c>
      <c r="Q978" s="344"/>
      <c r="U978" s="126" t="s">
        <v>1059</v>
      </c>
      <c r="V978" s="131" t="s">
        <v>6815</v>
      </c>
      <c r="W978" s="132">
        <v>2.6247805369E-2</v>
      </c>
      <c r="X978" s="129">
        <v>2.1053938991900001E-2</v>
      </c>
      <c r="Y978" s="130">
        <v>3.9580764369000002E-2</v>
      </c>
    </row>
    <row r="979" spans="8:25" ht="15.5" x14ac:dyDescent="0.35">
      <c r="H979" s="383"/>
      <c r="I979" s="331" t="s">
        <v>1059</v>
      </c>
      <c r="J979" s="323" t="s">
        <v>2017</v>
      </c>
      <c r="K979" s="302">
        <v>0.89311583960000007</v>
      </c>
      <c r="O979" s="308">
        <v>1.3570249196000002</v>
      </c>
      <c r="P979" s="312">
        <v>5.6203654500000004E-3</v>
      </c>
      <c r="Q979" s="344"/>
      <c r="U979" s="126" t="s">
        <v>1059</v>
      </c>
      <c r="V979" s="131" t="s">
        <v>6816</v>
      </c>
      <c r="W979" s="132">
        <v>4.4368632667000009E-2</v>
      </c>
      <c r="X979" s="129">
        <v>1.45447310372E-2</v>
      </c>
      <c r="Y979" s="130">
        <v>5.8685731667000009E-2</v>
      </c>
    </row>
    <row r="980" spans="8:25" ht="15.5" x14ac:dyDescent="0.35">
      <c r="H980" s="383"/>
      <c r="I980" s="331" t="s">
        <v>1059</v>
      </c>
      <c r="J980" s="323" t="s">
        <v>2018</v>
      </c>
      <c r="K980" s="302">
        <v>0.32699131740000004</v>
      </c>
      <c r="O980" s="308">
        <v>0.49683965740000002</v>
      </c>
      <c r="P980" s="310">
        <v>2.0577516799999999E-3</v>
      </c>
      <c r="Q980" s="344"/>
      <c r="U980" s="126" t="s">
        <v>1059</v>
      </c>
      <c r="V980" s="131" t="s">
        <v>6817</v>
      </c>
      <c r="W980" s="132">
        <v>2.684888949E-2</v>
      </c>
      <c r="X980" s="129">
        <v>3.6674891214999998E-2</v>
      </c>
      <c r="Y980" s="130">
        <v>4.2604577490000003E-2</v>
      </c>
    </row>
    <row r="981" spans="8:25" ht="15.5" x14ac:dyDescent="0.35">
      <c r="H981" s="383"/>
      <c r="I981" s="331" t="s">
        <v>1059</v>
      </c>
      <c r="J981" s="323" t="s">
        <v>2019</v>
      </c>
      <c r="K981" s="302">
        <v>0.30362139443000002</v>
      </c>
      <c r="O981" s="308">
        <v>0.46133074442999999</v>
      </c>
      <c r="P981" s="310">
        <v>1.9106851899999997E-3</v>
      </c>
      <c r="Q981" s="344"/>
      <c r="U981" s="126" t="s">
        <v>1059</v>
      </c>
      <c r="V981" s="131" t="s">
        <v>6818</v>
      </c>
      <c r="W981" s="132">
        <v>5.7730504300000006E-2</v>
      </c>
      <c r="X981" s="129">
        <v>3.0843689133999999E-2</v>
      </c>
      <c r="Y981" s="130">
        <v>7.4471989300000013E-2</v>
      </c>
    </row>
    <row r="982" spans="8:25" ht="15.5" x14ac:dyDescent="0.35">
      <c r="H982" s="383"/>
      <c r="I982" s="331" t="s">
        <v>1059</v>
      </c>
      <c r="J982" s="323" t="s">
        <v>2020</v>
      </c>
      <c r="K982" s="302">
        <v>2.9222055455000002</v>
      </c>
      <c r="O982" s="308">
        <v>4.5232722455000003</v>
      </c>
      <c r="P982" s="310">
        <v>2.0960161100000003E-2</v>
      </c>
      <c r="Q982" s="344"/>
      <c r="U982" s="126" t="s">
        <v>1059</v>
      </c>
      <c r="V982" s="131" t="s">
        <v>6819</v>
      </c>
      <c r="W982" s="132">
        <v>0.12148813947000001</v>
      </c>
      <c r="X982" s="129">
        <v>4.1957432505999995E-2</v>
      </c>
      <c r="Y982" s="130">
        <v>0.15284594446999999</v>
      </c>
    </row>
    <row r="983" spans="8:25" ht="15.5" x14ac:dyDescent="0.35">
      <c r="H983" s="383"/>
      <c r="I983" s="331" t="s">
        <v>1059</v>
      </c>
      <c r="J983" s="323" t="s">
        <v>2021</v>
      </c>
      <c r="K983" s="302">
        <v>2.6308518519000001</v>
      </c>
      <c r="O983" s="308">
        <v>4.0631927519</v>
      </c>
      <c r="P983" s="310">
        <v>1.8589344640000002E-2</v>
      </c>
      <c r="Q983" s="344"/>
      <c r="U983" s="138"/>
      <c r="V983" s="134"/>
      <c r="W983" s="141"/>
      <c r="X983" s="129"/>
      <c r="Y983" s="130" t="s">
        <v>6949</v>
      </c>
    </row>
    <row r="984" spans="8:25" ht="15.5" x14ac:dyDescent="0.35">
      <c r="H984" s="384" t="s">
        <v>2022</v>
      </c>
      <c r="I984" s="333"/>
      <c r="J984" s="323"/>
      <c r="K984" s="302"/>
      <c r="O984" s="308" t="s">
        <v>6949</v>
      </c>
      <c r="P984" s="310"/>
      <c r="Q984" s="344"/>
      <c r="U984" s="126"/>
      <c r="V984" s="131"/>
      <c r="W984" s="128"/>
      <c r="X984" s="129"/>
      <c r="Y984" s="130" t="s">
        <v>6949</v>
      </c>
    </row>
    <row r="985" spans="8:25" ht="15.5" x14ac:dyDescent="0.35">
      <c r="H985" s="383"/>
      <c r="I985" s="331" t="s">
        <v>1059</v>
      </c>
      <c r="J985" s="323" t="s">
        <v>2023</v>
      </c>
      <c r="K985" s="302">
        <v>8.6725532739999993E-3</v>
      </c>
      <c r="O985" s="308">
        <v>2.7894160274000001E-2</v>
      </c>
      <c r="P985" s="310">
        <v>1.0080519311E-2</v>
      </c>
      <c r="Q985" s="344"/>
      <c r="U985" s="126"/>
      <c r="V985" s="127" t="s">
        <v>6820</v>
      </c>
      <c r="W985" s="142"/>
      <c r="X985" s="129"/>
      <c r="Y985" s="130" t="s">
        <v>6949</v>
      </c>
    </row>
    <row r="986" spans="8:25" ht="15.5" x14ac:dyDescent="0.35">
      <c r="H986" s="383"/>
      <c r="I986" s="331" t="s">
        <v>1059</v>
      </c>
      <c r="J986" s="323" t="s">
        <v>2024</v>
      </c>
      <c r="K986" s="302">
        <v>2.8807652352000002E-2</v>
      </c>
      <c r="O986" s="308">
        <v>5.3998473352000004E-2</v>
      </c>
      <c r="P986" s="310">
        <v>1.2778502384000023E-2</v>
      </c>
      <c r="Q986" s="344"/>
      <c r="U986" s="138" t="s">
        <v>1059</v>
      </c>
      <c r="V986" s="131" t="s">
        <v>6821</v>
      </c>
      <c r="W986" s="132">
        <v>1.9616296260999998E-2</v>
      </c>
      <c r="X986" s="129">
        <v>2.0052621617999999E-3</v>
      </c>
      <c r="Y986" s="130">
        <v>0.22531875626100001</v>
      </c>
    </row>
    <row r="987" spans="8:25" ht="15.5" x14ac:dyDescent="0.35">
      <c r="H987" s="383"/>
      <c r="I987" s="331" t="s">
        <v>1059</v>
      </c>
      <c r="J987" s="323" t="s">
        <v>2025</v>
      </c>
      <c r="K987" s="302">
        <v>1.2767109119E-2</v>
      </c>
      <c r="O987" s="308">
        <v>2.2199877018999999E-2</v>
      </c>
      <c r="P987" s="312">
        <v>2.0294975437000003E-3</v>
      </c>
      <c r="Q987" s="344"/>
      <c r="U987" s="138" t="s">
        <v>1059</v>
      </c>
      <c r="V987" s="131" t="s">
        <v>6822</v>
      </c>
      <c r="W987" s="132">
        <v>2.1235523820000001E-2</v>
      </c>
      <c r="X987" s="129">
        <v>2.1137343488899997E-3</v>
      </c>
      <c r="Y987" s="130">
        <v>0.22900953382</v>
      </c>
    </row>
    <row r="988" spans="8:25" ht="15.5" x14ac:dyDescent="0.35">
      <c r="H988" s="383"/>
      <c r="I988" s="331" t="s">
        <v>1059</v>
      </c>
      <c r="J988" s="323" t="s">
        <v>2026</v>
      </c>
      <c r="K988" s="302">
        <v>4.6213773920000005E-3</v>
      </c>
      <c r="O988" s="308">
        <v>1.1390601592000001E-2</v>
      </c>
      <c r="P988" s="312">
        <v>3.8860717140000028E-3</v>
      </c>
      <c r="Q988" s="344"/>
      <c r="U988" s="138" t="s">
        <v>1059</v>
      </c>
      <c r="V988" s="131" t="s">
        <v>6823</v>
      </c>
      <c r="W988" s="132">
        <v>0.161527136668</v>
      </c>
      <c r="X988" s="129">
        <v>9.1728789436999996E-4</v>
      </c>
      <c r="Y988" s="130">
        <v>0.408705996668</v>
      </c>
    </row>
    <row r="989" spans="8:25" ht="15.5" x14ac:dyDescent="0.35">
      <c r="H989" s="383"/>
      <c r="I989" s="331" t="s">
        <v>1059</v>
      </c>
      <c r="J989" s="323" t="s">
        <v>2027</v>
      </c>
      <c r="K989" s="302">
        <v>6.3238712670000002E-3</v>
      </c>
      <c r="O989" s="308">
        <v>1.6210191667000003E-2</v>
      </c>
      <c r="P989" s="312">
        <v>4.3310645869999997E-3</v>
      </c>
      <c r="Q989" s="344"/>
      <c r="U989" s="138" t="s">
        <v>1059</v>
      </c>
      <c r="V989" s="131" t="s">
        <v>6824</v>
      </c>
      <c r="W989" s="132">
        <v>0.16314635995999999</v>
      </c>
      <c r="X989" s="129">
        <v>1.02576005146E-3</v>
      </c>
      <c r="Y989" s="130">
        <v>0.41239676995999996</v>
      </c>
    </row>
    <row r="990" spans="8:25" ht="15.5" x14ac:dyDescent="0.35">
      <c r="H990" s="383"/>
      <c r="I990" s="331" t="s">
        <v>1059</v>
      </c>
      <c r="J990" s="323" t="s">
        <v>2028</v>
      </c>
      <c r="K990" s="302">
        <v>1.7641343367E-2</v>
      </c>
      <c r="O990" s="308">
        <v>4.4047313367000004E-2</v>
      </c>
      <c r="P990" s="312">
        <v>3.3993355000000031E-3</v>
      </c>
      <c r="Q990" s="344"/>
      <c r="U990" s="138" t="s">
        <v>1059</v>
      </c>
      <c r="V990" s="131" t="s">
        <v>6825</v>
      </c>
      <c r="W990" s="132">
        <v>1.3436384404000001E-2</v>
      </c>
      <c r="X990" s="129">
        <v>1.2759680156E-3</v>
      </c>
      <c r="Y990" s="130">
        <v>8.5565157403999989E-2</v>
      </c>
    </row>
    <row r="991" spans="8:25" ht="15.5" x14ac:dyDescent="0.35">
      <c r="H991" s="383"/>
      <c r="I991" s="331" t="s">
        <v>1059</v>
      </c>
      <c r="J991" s="323" t="s">
        <v>2029</v>
      </c>
      <c r="K991" s="302">
        <v>6.536236380000001E-3</v>
      </c>
      <c r="O991" s="308">
        <v>1.2813497980000001E-2</v>
      </c>
      <c r="P991" s="312">
        <v>2.6584865058999997E-3</v>
      </c>
      <c r="Q991" s="344"/>
      <c r="U991" s="138" t="s">
        <v>1059</v>
      </c>
      <c r="V991" s="131" t="s">
        <v>6826</v>
      </c>
      <c r="W991" s="132">
        <v>1.5055611369999999E-2</v>
      </c>
      <c r="X991" s="129">
        <v>1.38444009969E-3</v>
      </c>
      <c r="Y991" s="130">
        <v>8.9255928370000001E-2</v>
      </c>
    </row>
    <row r="992" spans="8:25" ht="15.5" x14ac:dyDescent="0.35">
      <c r="H992" s="383"/>
      <c r="I992" s="331" t="s">
        <v>1059</v>
      </c>
      <c r="J992" s="323" t="s">
        <v>2030</v>
      </c>
      <c r="K992" s="302">
        <v>9.3197385459999997E-3</v>
      </c>
      <c r="O992" s="308">
        <v>1.7204058446000002E-2</v>
      </c>
      <c r="P992" s="312">
        <v>2.1485382910000003E-3</v>
      </c>
      <c r="Q992" s="344"/>
      <c r="U992" s="138" t="s">
        <v>1059</v>
      </c>
      <c r="V992" s="131" t="s">
        <v>6827</v>
      </c>
      <c r="W992" s="132">
        <v>0.122475554049</v>
      </c>
      <c r="X992" s="129">
        <v>2.2286533999999998E-3</v>
      </c>
      <c r="Y992" s="130">
        <v>0.30974160404899997</v>
      </c>
    </row>
    <row r="993" spans="8:25" ht="15.5" x14ac:dyDescent="0.35">
      <c r="H993" s="383"/>
      <c r="I993" s="331" t="s">
        <v>1059</v>
      </c>
      <c r="J993" s="323" t="s">
        <v>2031</v>
      </c>
      <c r="K993" s="302">
        <v>1.1258725002E-2</v>
      </c>
      <c r="O993" s="308">
        <v>3.3751406002000002E-2</v>
      </c>
      <c r="P993" s="310">
        <v>6.2586787200000008E-3</v>
      </c>
      <c r="Q993" s="344"/>
      <c r="U993" s="138" t="s">
        <v>1059</v>
      </c>
      <c r="V993" s="131" t="s">
        <v>6828</v>
      </c>
      <c r="W993" s="132">
        <v>0.12409477734</v>
      </c>
      <c r="X993" s="129">
        <v>2.3371255669999997E-3</v>
      </c>
      <c r="Y993" s="130">
        <v>0.31343236734000002</v>
      </c>
    </row>
    <row r="994" spans="8:25" ht="15.5" x14ac:dyDescent="0.35">
      <c r="H994" s="383"/>
      <c r="I994" s="331" t="s">
        <v>1059</v>
      </c>
      <c r="J994" s="323" t="s">
        <v>2032</v>
      </c>
      <c r="K994" s="302">
        <v>5.7144116710000003E-3</v>
      </c>
      <c r="O994" s="308">
        <v>1.1054042171000001E-2</v>
      </c>
      <c r="P994" s="312">
        <v>1.8735706049999995E-3</v>
      </c>
      <c r="Q994" s="344"/>
      <c r="U994" s="138" t="s">
        <v>1059</v>
      </c>
      <c r="V994" s="131" t="s">
        <v>6829</v>
      </c>
      <c r="W994" s="132">
        <v>1.1863451925999999E-2</v>
      </c>
      <c r="X994" s="129">
        <v>2.7740656100000002E-3</v>
      </c>
      <c r="Y994" s="130">
        <v>7.5085231926000001E-2</v>
      </c>
    </row>
    <row r="995" spans="8:25" ht="15.5" x14ac:dyDescent="0.35">
      <c r="H995" s="383"/>
      <c r="I995" s="331" t="s">
        <v>1059</v>
      </c>
      <c r="J995" s="323" t="s">
        <v>2033</v>
      </c>
      <c r="K995" s="302">
        <v>1.1148451113E-2</v>
      </c>
      <c r="O995" s="308">
        <v>3.6385148112999997E-2</v>
      </c>
      <c r="P995" s="312">
        <v>3.6566648787E-2</v>
      </c>
      <c r="Q995" s="344"/>
      <c r="U995" s="138" t="s">
        <v>1059</v>
      </c>
      <c r="V995" s="131" t="s">
        <v>6830</v>
      </c>
      <c r="W995" s="132">
        <v>1.9646412373846699E-2</v>
      </c>
      <c r="X995" s="129">
        <v>3.8041446E-3</v>
      </c>
      <c r="Y995" s="130">
        <v>0.1135749663738467</v>
      </c>
    </row>
    <row r="996" spans="8:25" ht="15.5" x14ac:dyDescent="0.35">
      <c r="H996" s="384" t="s">
        <v>2034</v>
      </c>
      <c r="I996" s="333"/>
      <c r="J996" s="323"/>
      <c r="K996" s="302"/>
      <c r="O996" s="308" t="s">
        <v>6949</v>
      </c>
      <c r="P996" s="312"/>
      <c r="Q996" s="344"/>
      <c r="U996" s="138" t="s">
        <v>1059</v>
      </c>
      <c r="V996" s="131" t="s">
        <v>6831</v>
      </c>
      <c r="W996" s="132">
        <v>6.2616702570000002E-2</v>
      </c>
      <c r="X996" s="129">
        <v>5.1582302499999996E-3</v>
      </c>
      <c r="Y996" s="130">
        <v>0.19236916256999997</v>
      </c>
    </row>
    <row r="997" spans="8:25" ht="15.5" x14ac:dyDescent="0.35">
      <c r="H997" s="383"/>
      <c r="I997" s="331" t="s">
        <v>1059</v>
      </c>
      <c r="J997" s="323" t="s">
        <v>2035</v>
      </c>
      <c r="K997" s="302">
        <v>1.2143210778</v>
      </c>
      <c r="O997" s="308">
        <v>1.6155705478</v>
      </c>
      <c r="P997" s="312">
        <v>6.65121605E-2</v>
      </c>
      <c r="Q997" s="344"/>
      <c r="U997" s="138" t="s">
        <v>1059</v>
      </c>
      <c r="V997" s="131" t="s">
        <v>6832</v>
      </c>
      <c r="W997" s="132">
        <v>6.4235928780000007E-2</v>
      </c>
      <c r="X997" s="129">
        <v>5.2667024399999998E-3</v>
      </c>
      <c r="Y997" s="130">
        <v>0.19605992878</v>
      </c>
    </row>
    <row r="998" spans="8:25" ht="15.5" x14ac:dyDescent="0.35">
      <c r="H998" s="383"/>
      <c r="I998" s="331" t="s">
        <v>1059</v>
      </c>
      <c r="J998" s="323" t="s">
        <v>2036</v>
      </c>
      <c r="K998" s="302">
        <v>5.2459230884000005</v>
      </c>
      <c r="O998" s="308">
        <v>9.5380203883999997</v>
      </c>
      <c r="P998" s="312">
        <v>0.39770579079999996</v>
      </c>
      <c r="Q998" s="344"/>
      <c r="U998" s="138" t="s">
        <v>1059</v>
      </c>
      <c r="V998" s="131" t="s">
        <v>6833</v>
      </c>
      <c r="W998" s="132">
        <v>6.359028051E-2</v>
      </c>
      <c r="X998" s="129">
        <v>3.3092769090000002E-2</v>
      </c>
      <c r="Y998" s="130">
        <v>0.19596835051</v>
      </c>
    </row>
    <row r="999" spans="8:25" ht="15.5" x14ac:dyDescent="0.35">
      <c r="H999" s="383"/>
      <c r="I999" s="331" t="s">
        <v>1059</v>
      </c>
      <c r="J999" s="323" t="s">
        <v>2037</v>
      </c>
      <c r="K999" s="302">
        <v>8.9974850516999982</v>
      </c>
      <c r="O999" s="308">
        <v>16.357923451699996</v>
      </c>
      <c r="P999" s="312">
        <v>0.6799187887</v>
      </c>
      <c r="Q999" s="344"/>
      <c r="U999" s="138" t="s">
        <v>1059</v>
      </c>
      <c r="V999" s="131" t="s">
        <v>6834</v>
      </c>
      <c r="W999" s="132">
        <v>1.4760242179E-3</v>
      </c>
      <c r="X999" s="129">
        <v>6.2898065143900004E-3</v>
      </c>
      <c r="Y999" s="130">
        <v>3.1061875178999996E-3</v>
      </c>
    </row>
    <row r="1000" spans="8:25" ht="15.5" x14ac:dyDescent="0.35">
      <c r="H1000" s="383"/>
      <c r="I1000" s="331" t="s">
        <v>1059</v>
      </c>
      <c r="J1000" s="323" t="s">
        <v>2038</v>
      </c>
      <c r="K1000" s="302">
        <v>0.54377176168999997</v>
      </c>
      <c r="O1000" s="308">
        <v>0.83024049168999992</v>
      </c>
      <c r="P1000" s="310">
        <v>4.1261397390000003E-2</v>
      </c>
      <c r="Q1000" s="344"/>
      <c r="U1000" s="138" t="s">
        <v>1059</v>
      </c>
      <c r="V1000" s="131" t="s">
        <v>6835</v>
      </c>
      <c r="W1000" s="132">
        <v>3.0952512100000003E-3</v>
      </c>
      <c r="X1000" s="129">
        <v>6.3982786919000003E-3</v>
      </c>
      <c r="Y1000" s="130">
        <v>6.7969578100000004E-3</v>
      </c>
    </row>
    <row r="1001" spans="8:25" ht="15.5" x14ac:dyDescent="0.35">
      <c r="H1001" s="383"/>
      <c r="I1001" s="331" t="s">
        <v>1059</v>
      </c>
      <c r="J1001" s="323" t="s">
        <v>2039</v>
      </c>
      <c r="K1001" s="302">
        <v>0.56340274027999993</v>
      </c>
      <c r="O1001" s="308">
        <v>0.89207095027999994</v>
      </c>
      <c r="P1001" s="312">
        <v>4.3261653359999999E-2</v>
      </c>
      <c r="Q1001" s="344"/>
      <c r="U1001" s="138" t="s">
        <v>1059</v>
      </c>
      <c r="V1001" s="131" t="s">
        <v>6836</v>
      </c>
      <c r="W1001" s="132">
        <v>1.815791362E-2</v>
      </c>
      <c r="X1001" s="129">
        <v>8.1716319570000005E-3</v>
      </c>
      <c r="Y1001" s="130">
        <v>3.092726862E-2</v>
      </c>
    </row>
    <row r="1002" spans="8:25" ht="15.5" x14ac:dyDescent="0.35">
      <c r="H1002" s="383"/>
      <c r="I1002" s="331" t="s">
        <v>1059</v>
      </c>
      <c r="J1002" s="323" t="s">
        <v>2040</v>
      </c>
      <c r="K1002" s="302">
        <v>1.7660230479999997E-2</v>
      </c>
      <c r="O1002" s="308">
        <v>7.8629421479999989E-2</v>
      </c>
      <c r="P1002" s="312">
        <v>8.02104002E-3</v>
      </c>
      <c r="Q1002" s="344"/>
      <c r="U1002" s="138" t="s">
        <v>1059</v>
      </c>
      <c r="V1002" s="131" t="s">
        <v>6837</v>
      </c>
      <c r="W1002" s="132">
        <v>1.2156657990000002E-2</v>
      </c>
      <c r="X1002" s="129">
        <v>8.835889512000001E-3</v>
      </c>
      <c r="Y1002" s="130">
        <v>2.3650330990000003E-2</v>
      </c>
    </row>
    <row r="1003" spans="8:25" ht="15.5" x14ac:dyDescent="0.35">
      <c r="H1003" s="383"/>
      <c r="I1003" s="331" t="s">
        <v>1059</v>
      </c>
      <c r="J1003" s="323" t="s">
        <v>2041</v>
      </c>
      <c r="K1003" s="302">
        <v>2.9677242615000002E-3</v>
      </c>
      <c r="O1003" s="308">
        <v>9.9213139615000005E-3</v>
      </c>
      <c r="P1003" s="312">
        <v>3.362259927E-3</v>
      </c>
      <c r="Q1003" s="344"/>
      <c r="U1003" s="138" t="s">
        <v>1059</v>
      </c>
      <c r="V1003" s="131" t="s">
        <v>6838</v>
      </c>
      <c r="W1003" s="132">
        <v>1.1585493091000001E-2</v>
      </c>
      <c r="X1003" s="129">
        <v>7.1205582119999999E-3</v>
      </c>
      <c r="Y1003" s="130">
        <v>2.3348188091000002E-2</v>
      </c>
    </row>
    <row r="1004" spans="8:25" ht="15.5" x14ac:dyDescent="0.35">
      <c r="H1004" s="383"/>
      <c r="I1004" s="331" t="s">
        <v>1059</v>
      </c>
      <c r="J1004" s="323" t="s">
        <v>2042</v>
      </c>
      <c r="K1004" s="302">
        <v>2.2132766920000001E-2</v>
      </c>
      <c r="O1004" s="308">
        <v>9.271418092E-2</v>
      </c>
      <c r="P1004" s="312">
        <v>8.47658523E-3</v>
      </c>
      <c r="Q1004" s="344"/>
      <c r="U1004" s="138" t="s">
        <v>1059</v>
      </c>
      <c r="V1004" s="131" t="s">
        <v>6839</v>
      </c>
      <c r="W1004" s="132">
        <v>9.721343997999999E-3</v>
      </c>
      <c r="X1004" s="129">
        <v>7.4055112730000002E-3</v>
      </c>
      <c r="Y1004" s="130">
        <v>2.0531678998E-2</v>
      </c>
    </row>
    <row r="1005" spans="8:25" ht="15.5" x14ac:dyDescent="0.35">
      <c r="H1005" s="383"/>
      <c r="I1005" s="331" t="s">
        <v>1059</v>
      </c>
      <c r="J1005" s="323" t="s">
        <v>2043</v>
      </c>
      <c r="K1005" s="302">
        <v>4.9803656889999999E-3</v>
      </c>
      <c r="O1005" s="308">
        <v>1.6259455689000002E-2</v>
      </c>
      <c r="P1005" s="312">
        <v>3.5672552520000004E-3</v>
      </c>
      <c r="Q1005" s="344"/>
      <c r="U1005" s="138" t="s">
        <v>1059</v>
      </c>
      <c r="V1005" s="131" t="s">
        <v>6840</v>
      </c>
      <c r="W1005" s="132">
        <v>1.251505042E-2</v>
      </c>
      <c r="X1005" s="129">
        <v>1.0619181755999999E-2</v>
      </c>
      <c r="Y1005" s="130">
        <v>2.505058642E-2</v>
      </c>
    </row>
    <row r="1006" spans="8:25" ht="15.5" x14ac:dyDescent="0.35">
      <c r="H1006" s="383"/>
      <c r="I1006" s="331" t="s">
        <v>1059</v>
      </c>
      <c r="J1006" s="323" t="s">
        <v>2044</v>
      </c>
      <c r="K1006" s="302">
        <v>0.62314493498000001</v>
      </c>
      <c r="O1006" s="308">
        <v>0.94919691498000003</v>
      </c>
      <c r="P1006" s="312">
        <v>5.9513222380000001E-2</v>
      </c>
      <c r="Q1006" s="344"/>
      <c r="U1006" s="138" t="s">
        <v>1059</v>
      </c>
      <c r="V1006" s="131" t="s">
        <v>6841</v>
      </c>
      <c r="W1006" s="132">
        <v>4.7058038490000002E-2</v>
      </c>
      <c r="X1006" s="129">
        <v>1.0560697576999999E-2</v>
      </c>
      <c r="Y1006" s="130">
        <v>6.1270327489999998E-2</v>
      </c>
    </row>
    <row r="1007" spans="8:25" ht="15.5" x14ac:dyDescent="0.35">
      <c r="H1007" s="383"/>
      <c r="I1007" s="331" t="s">
        <v>1059</v>
      </c>
      <c r="J1007" s="323" t="s">
        <v>2045</v>
      </c>
      <c r="K1007" s="302">
        <v>1.6910478119999999E-2</v>
      </c>
      <c r="O1007" s="308">
        <v>7.7125094120000001E-2</v>
      </c>
      <c r="P1007" s="312">
        <v>7.3091726099999994E-3</v>
      </c>
      <c r="Q1007" s="344"/>
      <c r="U1007" s="138" t="s">
        <v>1059</v>
      </c>
      <c r="V1007" s="131" t="s">
        <v>6842</v>
      </c>
      <c r="W1007" s="132">
        <v>1.097944901E-2</v>
      </c>
      <c r="X1007" s="129">
        <v>8.9563626069999996E-3</v>
      </c>
      <c r="Y1007" s="130">
        <v>2.275480501E-2</v>
      </c>
    </row>
    <row r="1008" spans="8:25" ht="15.5" x14ac:dyDescent="0.35">
      <c r="H1008" s="383"/>
      <c r="I1008" s="331" t="s">
        <v>1059</v>
      </c>
      <c r="J1008" s="323" t="s">
        <v>2046</v>
      </c>
      <c r="K1008" s="302">
        <v>1.2710313300000001E-3</v>
      </c>
      <c r="O1008" s="308">
        <v>4.5693160300000002E-3</v>
      </c>
      <c r="P1008" s="312">
        <v>3.188715432E-3</v>
      </c>
      <c r="Q1008" s="344"/>
      <c r="U1008" s="138" t="s">
        <v>1059</v>
      </c>
      <c r="V1008" s="131" t="s">
        <v>6843</v>
      </c>
      <c r="W1008" s="132">
        <v>1.772176135E-3</v>
      </c>
      <c r="X1008" s="129">
        <v>6.4028493460000001E-4</v>
      </c>
      <c r="Y1008" s="130">
        <v>2.702652075E-3</v>
      </c>
    </row>
    <row r="1009" spans="8:25" ht="15.5" x14ac:dyDescent="0.35">
      <c r="H1009" s="383"/>
      <c r="I1009" s="331" t="s">
        <v>1059</v>
      </c>
      <c r="J1009" s="323" t="s">
        <v>2047</v>
      </c>
      <c r="K1009" s="302">
        <v>1.6277009570000001E-2</v>
      </c>
      <c r="O1009" s="308">
        <v>7.6155703570000011E-2</v>
      </c>
      <c r="P1009" s="312">
        <v>7.2256829400000003E-3</v>
      </c>
      <c r="Q1009" s="344"/>
      <c r="U1009" s="138" t="s">
        <v>1059</v>
      </c>
      <c r="V1009" s="131" t="s">
        <v>6844</v>
      </c>
      <c r="W1009" s="132">
        <v>6.5789861855999998E-2</v>
      </c>
      <c r="X1009" s="129">
        <v>8.6368961728000007E-4</v>
      </c>
      <c r="Y1009" s="130">
        <v>0.18112723185599999</v>
      </c>
    </row>
    <row r="1010" spans="8:25" ht="15.5" x14ac:dyDescent="0.35">
      <c r="H1010" s="383"/>
      <c r="I1010" s="331" t="s">
        <v>1059</v>
      </c>
      <c r="J1010" s="323" t="s">
        <v>2048</v>
      </c>
      <c r="K1010" s="302">
        <v>8.387651967999999E-4</v>
      </c>
      <c r="O1010" s="308">
        <v>3.2078344967999997E-3</v>
      </c>
      <c r="P1010" s="312">
        <v>3.1446706090000002E-3</v>
      </c>
      <c r="Q1010" s="344"/>
      <c r="U1010" s="138" t="s">
        <v>1059</v>
      </c>
      <c r="V1010" s="131" t="s">
        <v>6845</v>
      </c>
      <c r="W1010" s="132">
        <v>6.7409088349999993E-2</v>
      </c>
      <c r="X1010" s="129">
        <v>9.7216178436999997E-4</v>
      </c>
      <c r="Y1010" s="130">
        <v>0.18481799835000001</v>
      </c>
    </row>
    <row r="1011" spans="8:25" ht="15.5" x14ac:dyDescent="0.35">
      <c r="H1011" s="383"/>
      <c r="I1011" s="331" t="s">
        <v>1059</v>
      </c>
      <c r="J1011" s="323" t="s">
        <v>2049</v>
      </c>
      <c r="K1011" s="302">
        <v>6.8409717109999999E-4</v>
      </c>
      <c r="O1011" s="308">
        <v>2.7973617710999998E-3</v>
      </c>
      <c r="P1011" s="312">
        <v>3.3158600927000004E-3</v>
      </c>
      <c r="Q1011" s="344"/>
      <c r="U1011" s="138" t="s">
        <v>1059</v>
      </c>
      <c r="V1011" s="131" t="s">
        <v>6846</v>
      </c>
      <c r="W1011" s="132">
        <v>6.0510536806E-2</v>
      </c>
      <c r="X1011" s="129">
        <v>3.04216042E-3</v>
      </c>
      <c r="Y1011" s="130">
        <v>0.16639929680599999</v>
      </c>
    </row>
    <row r="1012" spans="8:25" ht="15.5" x14ac:dyDescent="0.35">
      <c r="H1012" s="383"/>
      <c r="I1012" s="331" t="s">
        <v>1059</v>
      </c>
      <c r="J1012" s="323" t="s">
        <v>2050</v>
      </c>
      <c r="K1012" s="302">
        <v>0.62346321406000016</v>
      </c>
      <c r="O1012" s="308">
        <v>0.94968083406000015</v>
      </c>
      <c r="P1012" s="310">
        <v>5.9542052980000003E-2</v>
      </c>
      <c r="Q1012" s="344"/>
      <c r="U1012" s="138" t="s">
        <v>1059</v>
      </c>
      <c r="V1012" s="131" t="s">
        <v>6847</v>
      </c>
      <c r="W1012" s="132">
        <v>6.2129763299999995E-2</v>
      </c>
      <c r="X1012" s="129">
        <v>3.1506326200000001E-3</v>
      </c>
      <c r="Y1012" s="130">
        <v>0.17009006329999998</v>
      </c>
    </row>
    <row r="1013" spans="8:25" ht="15.5" x14ac:dyDescent="0.35">
      <c r="H1013" s="383"/>
      <c r="I1013" s="331" t="s">
        <v>1059</v>
      </c>
      <c r="J1013" s="323" t="s">
        <v>2051</v>
      </c>
      <c r="K1013" s="302">
        <v>-1.8200312994000002E-3</v>
      </c>
      <c r="O1013" s="308">
        <v>-5.2084236993999999E-3</v>
      </c>
      <c r="P1013" s="312">
        <v>2.8702864260000001E-3</v>
      </c>
      <c r="Q1013" s="344"/>
      <c r="U1013" s="138" t="s">
        <v>1059</v>
      </c>
      <c r="V1013" s="131" t="s">
        <v>6848</v>
      </c>
      <c r="W1013" s="132">
        <v>9.0997364522000003E-3</v>
      </c>
      <c r="X1013" s="129">
        <v>3.2630756210000003E-4</v>
      </c>
      <c r="Y1013" s="130">
        <v>1.8723091552199998E-2</v>
      </c>
    </row>
    <row r="1014" spans="8:25" ht="15.5" x14ac:dyDescent="0.35">
      <c r="H1014" s="383"/>
      <c r="I1014" s="331" t="s">
        <v>1059</v>
      </c>
      <c r="J1014" s="323" t="s">
        <v>2052</v>
      </c>
      <c r="K1014" s="302">
        <v>3.0985164599999997E-2</v>
      </c>
      <c r="O1014" s="308">
        <v>0.16859631459999999</v>
      </c>
      <c r="P1014" s="312">
        <v>9.3535620899999998E-3</v>
      </c>
      <c r="Q1014" s="344"/>
      <c r="U1014" s="138" t="s">
        <v>1059</v>
      </c>
      <c r="V1014" s="131" t="s">
        <v>6849</v>
      </c>
      <c r="W1014" s="132">
        <v>2.1870203636E-2</v>
      </c>
      <c r="X1014" s="129">
        <v>2.3243517200000003E-3</v>
      </c>
      <c r="Y1014" s="130">
        <v>6.1281379636E-2</v>
      </c>
    </row>
    <row r="1015" spans="8:25" ht="15.5" x14ac:dyDescent="0.35">
      <c r="H1015" s="383"/>
      <c r="I1015" s="331" t="s">
        <v>1059</v>
      </c>
      <c r="J1015" s="323" t="s">
        <v>2053</v>
      </c>
      <c r="K1015" s="302">
        <v>0.18693330146000003</v>
      </c>
      <c r="O1015" s="308">
        <v>0.53377468145999996</v>
      </c>
      <c r="P1015" s="312">
        <v>3.9807163900000005E-2</v>
      </c>
      <c r="Q1015" s="344"/>
      <c r="U1015" s="138" t="s">
        <v>1059</v>
      </c>
      <c r="V1015" s="131" t="s">
        <v>6850</v>
      </c>
      <c r="W1015" s="132">
        <v>2.348943115E-2</v>
      </c>
      <c r="X1015" s="129">
        <v>2.4328238599999998E-3</v>
      </c>
      <c r="Y1015" s="130">
        <v>6.4972150150000005E-2</v>
      </c>
    </row>
    <row r="1016" spans="8:25" ht="15.5" x14ac:dyDescent="0.35">
      <c r="H1016" s="384" t="s">
        <v>2054</v>
      </c>
      <c r="I1016" s="333"/>
      <c r="J1016" s="323"/>
      <c r="K1016" s="302"/>
      <c r="O1016" s="308" t="s">
        <v>6949</v>
      </c>
      <c r="P1016" s="312"/>
      <c r="Q1016" s="344"/>
      <c r="U1016" s="138" t="s">
        <v>1059</v>
      </c>
      <c r="V1016" s="131" t="s">
        <v>6851</v>
      </c>
      <c r="W1016" s="132">
        <v>4.9203130199999999E-3</v>
      </c>
      <c r="X1016" s="129">
        <v>1.4153006956199999E-4</v>
      </c>
      <c r="Y1016" s="130">
        <v>3.0482980020000001E-2</v>
      </c>
    </row>
    <row r="1017" spans="8:25" ht="15.5" x14ac:dyDescent="0.35">
      <c r="H1017" s="383"/>
      <c r="I1017" s="331" t="s">
        <v>1059</v>
      </c>
      <c r="J1017" s="323" t="s">
        <v>2055</v>
      </c>
      <c r="K1017" s="302">
        <v>4.4233548589999991E-2</v>
      </c>
      <c r="O1017" s="308">
        <v>6.9395784589999995E-2</v>
      </c>
      <c r="P1017" s="312">
        <v>1.0910995489999999E-3</v>
      </c>
      <c r="Q1017" s="344"/>
      <c r="U1017" s="138" t="s">
        <v>1059</v>
      </c>
      <c r="V1017" s="131" t="s">
        <v>6852</v>
      </c>
      <c r="W1017" s="132">
        <v>2.19809025E-2</v>
      </c>
      <c r="X1017" s="129">
        <v>2.8454755077999996E-3</v>
      </c>
      <c r="Y1017" s="130">
        <v>6.07195715E-2</v>
      </c>
    </row>
    <row r="1018" spans="8:25" ht="15.5" x14ac:dyDescent="0.35">
      <c r="H1018" s="383"/>
      <c r="I1018" s="331" t="s">
        <v>1059</v>
      </c>
      <c r="J1018" s="323" t="s">
        <v>2056</v>
      </c>
      <c r="K1018" s="302">
        <v>0.13431677717999999</v>
      </c>
      <c r="O1018" s="308">
        <v>0.20483940917999999</v>
      </c>
      <c r="P1018" s="312">
        <v>1.2999779300000001E-3</v>
      </c>
      <c r="Q1018" s="344"/>
      <c r="U1018" s="138" t="s">
        <v>1059</v>
      </c>
      <c r="V1018" s="131" t="s">
        <v>6853</v>
      </c>
      <c r="W1018" s="132">
        <v>1.823411497E-2</v>
      </c>
      <c r="X1018" s="129">
        <v>2.7391757453999999E-3</v>
      </c>
      <c r="Y1018" s="130">
        <v>6.5492158969999992E-2</v>
      </c>
    </row>
    <row r="1019" spans="8:25" ht="15.5" x14ac:dyDescent="0.35">
      <c r="H1019" s="383"/>
      <c r="I1019" s="331" t="s">
        <v>1059</v>
      </c>
      <c r="J1019" s="323" t="s">
        <v>2057</v>
      </c>
      <c r="K1019" s="302">
        <v>1.5957094894000001E-2</v>
      </c>
      <c r="O1019" s="308">
        <v>3.1769918894E-2</v>
      </c>
      <c r="P1019" s="312">
        <v>6.9283973010000003E-3</v>
      </c>
      <c r="Q1019" s="344"/>
      <c r="U1019" s="138" t="s">
        <v>1059</v>
      </c>
      <c r="V1019" s="131" t="s">
        <v>6854</v>
      </c>
      <c r="W1019" s="132">
        <v>1.6614888012999998E-2</v>
      </c>
      <c r="X1019" s="129">
        <v>2.6307035603000003E-3</v>
      </c>
      <c r="Y1019" s="130">
        <v>6.1801389012999995E-2</v>
      </c>
    </row>
    <row r="1020" spans="8:25" ht="15.5" x14ac:dyDescent="0.35">
      <c r="H1020" s="383"/>
      <c r="I1020" s="331" t="s">
        <v>1059</v>
      </c>
      <c r="J1020" s="323" t="s">
        <v>2058</v>
      </c>
      <c r="K1020" s="302">
        <v>1.2535717938999999E-2</v>
      </c>
      <c r="O1020" s="308">
        <v>3.9482963938999999E-2</v>
      </c>
      <c r="P1020" s="312">
        <v>1.27729986E-3</v>
      </c>
      <c r="Q1020" s="344"/>
      <c r="U1020" s="138" t="s">
        <v>1059</v>
      </c>
      <c r="V1020" s="131" t="s">
        <v>6855</v>
      </c>
      <c r="W1020" s="132">
        <v>1.6011217983000002E-2</v>
      </c>
      <c r="X1020" s="129">
        <v>7.6934315507000005E-4</v>
      </c>
      <c r="Y1020" s="130">
        <v>4.2177861982999998E-2</v>
      </c>
    </row>
    <row r="1021" spans="8:25" ht="15.5" x14ac:dyDescent="0.35">
      <c r="H1021" s="383"/>
      <c r="I1021" s="331" t="s">
        <v>1059</v>
      </c>
      <c r="J1021" s="323" t="s">
        <v>2059</v>
      </c>
      <c r="K1021" s="302">
        <v>9.1928598630000007E-3</v>
      </c>
      <c r="O1021" s="308">
        <v>2.8954173862999998E-2</v>
      </c>
      <c r="P1021" s="312">
        <v>9.3668655999999998E-4</v>
      </c>
      <c r="Q1021" s="344"/>
      <c r="U1021" s="138" t="s">
        <v>1059</v>
      </c>
      <c r="V1021" s="131" t="s">
        <v>6856</v>
      </c>
      <c r="W1021" s="132">
        <v>1.7630444969999999E-2</v>
      </c>
      <c r="X1021" s="129">
        <v>8.7781530220000005E-4</v>
      </c>
      <c r="Y1021" s="130">
        <v>4.5868631970000004E-2</v>
      </c>
    </row>
    <row r="1022" spans="8:25" ht="15.5" x14ac:dyDescent="0.35">
      <c r="H1022" s="383"/>
      <c r="I1022" s="331" t="s">
        <v>1059</v>
      </c>
      <c r="J1022" s="323" t="s">
        <v>2060</v>
      </c>
      <c r="K1022" s="302">
        <v>2.5071436079E-2</v>
      </c>
      <c r="O1022" s="308">
        <v>7.8965928079000006E-2</v>
      </c>
      <c r="P1022" s="312">
        <v>2.55459972E-3</v>
      </c>
      <c r="Q1022" s="344"/>
      <c r="U1022" s="138" t="s">
        <v>1059</v>
      </c>
      <c r="V1022" s="131" t="s">
        <v>6857</v>
      </c>
      <c r="W1022" s="132">
        <v>4.3247113599999998E-2</v>
      </c>
      <c r="X1022" s="129">
        <v>2.5542567799999999E-3</v>
      </c>
      <c r="Y1022" s="130">
        <v>0.10820689059999999</v>
      </c>
    </row>
    <row r="1023" spans="8:25" ht="15.5" x14ac:dyDescent="0.35">
      <c r="H1023" s="384" t="s">
        <v>2061</v>
      </c>
      <c r="I1023" s="333"/>
      <c r="J1023" s="323"/>
      <c r="K1023" s="302"/>
      <c r="O1023" s="308" t="s">
        <v>6949</v>
      </c>
      <c r="P1023" s="312"/>
      <c r="Q1023" s="344"/>
      <c r="U1023" s="138" t="s">
        <v>1059</v>
      </c>
      <c r="V1023" s="131" t="s">
        <v>6858</v>
      </c>
      <c r="W1023" s="132">
        <v>4.4866340810000002E-2</v>
      </c>
      <c r="X1023" s="129">
        <v>2.66272887E-3</v>
      </c>
      <c r="Y1023" s="130">
        <v>0.11189766081000001</v>
      </c>
    </row>
    <row r="1024" spans="8:25" ht="15.5" x14ac:dyDescent="0.35">
      <c r="H1024" s="383"/>
      <c r="I1024" s="331" t="s">
        <v>1059</v>
      </c>
      <c r="J1024" s="323" t="s">
        <v>2062</v>
      </c>
      <c r="K1024" s="302">
        <v>0.13135951479999999</v>
      </c>
      <c r="O1024" s="308">
        <v>0.28134877479999998</v>
      </c>
      <c r="P1024" s="312">
        <v>1.4069996560000006E-2</v>
      </c>
      <c r="Q1024" s="344"/>
      <c r="U1024" s="138" t="s">
        <v>1059</v>
      </c>
      <c r="V1024" s="131" t="s">
        <v>6859</v>
      </c>
      <c r="W1024" s="132">
        <v>1.8010878324000001E-2</v>
      </c>
      <c r="X1024" s="129">
        <v>1.3351258058200001E-3</v>
      </c>
      <c r="Y1024" s="130">
        <v>8.5403908324000008E-2</v>
      </c>
    </row>
    <row r="1025" spans="8:25" ht="15.5" x14ac:dyDescent="0.35">
      <c r="H1025" s="383"/>
      <c r="I1025" s="331" t="s">
        <v>1059</v>
      </c>
      <c r="J1025" s="323" t="s">
        <v>2063</v>
      </c>
      <c r="K1025" s="302">
        <v>0.20482424145999997</v>
      </c>
      <c r="O1025" s="308">
        <v>0.27505971445999999</v>
      </c>
      <c r="P1025" s="312">
        <v>1.2016062550000001E-3</v>
      </c>
      <c r="Q1025" s="344"/>
      <c r="U1025" s="138" t="s">
        <v>1059</v>
      </c>
      <c r="V1025" s="131" t="s">
        <v>6860</v>
      </c>
      <c r="W1025" s="132">
        <v>1.9630105089999999E-2</v>
      </c>
      <c r="X1025" s="129">
        <v>1.4435978829100001E-3</v>
      </c>
      <c r="Y1025" s="130">
        <v>8.9094678090000004E-2</v>
      </c>
    </row>
    <row r="1026" spans="8:25" ht="15.5" x14ac:dyDescent="0.35">
      <c r="H1026" s="383"/>
      <c r="I1026" s="331" t="s">
        <v>1059</v>
      </c>
      <c r="J1026" s="323" t="s">
        <v>2064</v>
      </c>
      <c r="K1026" s="302">
        <v>3.3076457354999998E-2</v>
      </c>
      <c r="O1026" s="308">
        <v>4.2466344454999999E-2</v>
      </c>
      <c r="P1026" s="312">
        <v>4.0608081030000002E-4</v>
      </c>
      <c r="Q1026" s="344"/>
      <c r="U1026" s="126"/>
      <c r="V1026" s="140"/>
      <c r="W1026" s="128"/>
      <c r="X1026" s="129"/>
      <c r="Y1026" s="130" t="s">
        <v>6949</v>
      </c>
    </row>
    <row r="1027" spans="8:25" ht="15.5" x14ac:dyDescent="0.35">
      <c r="H1027" s="383"/>
      <c r="I1027" s="331" t="s">
        <v>1059</v>
      </c>
      <c r="J1027" s="323" t="s">
        <v>2065</v>
      </c>
      <c r="K1027" s="302">
        <v>0.17067827464000002</v>
      </c>
      <c r="O1027" s="308">
        <v>0.21755991664000002</v>
      </c>
      <c r="P1027" s="312">
        <v>1.117557574E-3</v>
      </c>
      <c r="Q1027" s="344"/>
      <c r="U1027" s="126"/>
      <c r="V1027" s="137" t="s">
        <v>6861</v>
      </c>
      <c r="W1027" s="128"/>
      <c r="X1027" s="129"/>
      <c r="Y1027" s="130" t="s">
        <v>6949</v>
      </c>
    </row>
    <row r="1028" spans="8:25" ht="15.5" x14ac:dyDescent="0.35">
      <c r="H1028" s="383"/>
      <c r="I1028" s="331" t="s">
        <v>1059</v>
      </c>
      <c r="J1028" s="323" t="s">
        <v>2066</v>
      </c>
      <c r="K1028" s="302">
        <v>4.4368632667000009E-2</v>
      </c>
      <c r="O1028" s="308">
        <v>5.8685731667000009E-2</v>
      </c>
      <c r="P1028" s="312">
        <v>2.9097003720000001E-4</v>
      </c>
      <c r="Q1028" s="344"/>
      <c r="U1028" s="138" t="s">
        <v>1059</v>
      </c>
      <c r="V1028" s="131" t="s">
        <v>6862</v>
      </c>
      <c r="W1028" s="132">
        <v>0.57717080900000006</v>
      </c>
      <c r="X1028" s="129">
        <v>0.35671025359000008</v>
      </c>
      <c r="Y1028" s="130">
        <v>1.6346882090000001</v>
      </c>
    </row>
    <row r="1029" spans="8:25" ht="15.5" x14ac:dyDescent="0.35">
      <c r="H1029" s="383"/>
      <c r="I1029" s="331" t="s">
        <v>1059</v>
      </c>
      <c r="J1029" s="323" t="s">
        <v>2067</v>
      </c>
      <c r="K1029" s="302">
        <v>4.32956049E-2</v>
      </c>
      <c r="O1029" s="308">
        <v>0.20485970489999999</v>
      </c>
      <c r="P1029" s="312">
        <v>1.3219807520000001E-2</v>
      </c>
      <c r="Q1029" s="344"/>
      <c r="U1029" s="138" t="s">
        <v>1059</v>
      </c>
      <c r="V1029" s="131" t="s">
        <v>6863</v>
      </c>
      <c r="W1029" s="132">
        <v>0.53301613599999997</v>
      </c>
      <c r="X1029" s="129">
        <v>0.34125791974000003</v>
      </c>
      <c r="Y1029" s="130">
        <v>1.451759786</v>
      </c>
    </row>
    <row r="1030" spans="8:25" ht="15.5" x14ac:dyDescent="0.35">
      <c r="H1030" s="383"/>
      <c r="I1030" s="331" t="s">
        <v>1059</v>
      </c>
      <c r="J1030" s="323" t="s">
        <v>2068</v>
      </c>
      <c r="K1030" s="302">
        <v>2.684888949E-2</v>
      </c>
      <c r="O1030" s="308">
        <v>4.2604577490000003E-2</v>
      </c>
      <c r="P1030" s="312">
        <v>8.9291202150000009E-3</v>
      </c>
      <c r="Q1030" s="344"/>
      <c r="U1030" s="138" t="s">
        <v>1059</v>
      </c>
      <c r="V1030" s="131" t="s">
        <v>6864</v>
      </c>
      <c r="W1030" s="132">
        <v>1.245038595</v>
      </c>
      <c r="X1030" s="129">
        <v>0.64343573329999992</v>
      </c>
      <c r="Y1030" s="130">
        <v>3.722879195</v>
      </c>
    </row>
    <row r="1031" spans="8:25" ht="15.5" x14ac:dyDescent="0.35">
      <c r="H1031" s="383"/>
      <c r="I1031" s="331" t="s">
        <v>1059</v>
      </c>
      <c r="J1031" s="323" t="s">
        <v>2069</v>
      </c>
      <c r="K1031" s="302">
        <v>8.4978787200000003E-2</v>
      </c>
      <c r="O1031" s="308">
        <v>0.2022371372</v>
      </c>
      <c r="P1031" s="312">
        <v>3.2439947970000001E-2</v>
      </c>
      <c r="Q1031" s="344"/>
      <c r="U1031" s="138" t="s">
        <v>1059</v>
      </c>
      <c r="V1031" s="131" t="s">
        <v>6865</v>
      </c>
      <c r="W1031" s="132">
        <v>0.64299897400000006</v>
      </c>
      <c r="X1031" s="129">
        <v>0.42890402344</v>
      </c>
      <c r="Y1031" s="130">
        <v>1.735944774</v>
      </c>
    </row>
    <row r="1032" spans="8:25" ht="15.5" x14ac:dyDescent="0.35">
      <c r="H1032" s="383"/>
      <c r="I1032" s="331" t="s">
        <v>1059</v>
      </c>
      <c r="J1032" s="323" t="s">
        <v>2070</v>
      </c>
      <c r="K1032" s="302">
        <v>0.12148813947000001</v>
      </c>
      <c r="O1032" s="308">
        <v>0.15284594446999999</v>
      </c>
      <c r="P1032" s="310">
        <v>7.8549150600000007E-4</v>
      </c>
      <c r="Q1032" s="344"/>
      <c r="U1032" s="138" t="s">
        <v>1059</v>
      </c>
      <c r="V1032" s="131" t="s">
        <v>6866</v>
      </c>
      <c r="W1032" s="132">
        <v>0.92505016300000009</v>
      </c>
      <c r="X1032" s="129">
        <v>0.51357728424000004</v>
      </c>
      <c r="Y1032" s="130">
        <v>2.7182372629999998</v>
      </c>
    </row>
    <row r="1033" spans="8:25" ht="15.5" x14ac:dyDescent="0.35">
      <c r="H1033" s="383"/>
      <c r="I1033" s="331" t="s">
        <v>1059</v>
      </c>
      <c r="J1033" s="323" t="s">
        <v>2071</v>
      </c>
      <c r="K1033" s="302">
        <v>9.7353189020000008E-2</v>
      </c>
      <c r="O1033" s="308">
        <v>0.36020792901999998</v>
      </c>
      <c r="P1033" s="312">
        <v>2.8408394800000002E-3</v>
      </c>
      <c r="Q1033" s="344"/>
      <c r="U1033" s="138" t="s">
        <v>1059</v>
      </c>
      <c r="V1033" s="131" t="s">
        <v>6867</v>
      </c>
      <c r="W1033" s="132">
        <v>0.83132201399999994</v>
      </c>
      <c r="X1033" s="129">
        <v>0.52491588</v>
      </c>
      <c r="Y1033" s="130">
        <v>2.3488585139999998</v>
      </c>
    </row>
    <row r="1034" spans="8:25" ht="15.5" x14ac:dyDescent="0.35">
      <c r="H1034" s="383"/>
      <c r="I1034" s="331" t="s">
        <v>1059</v>
      </c>
      <c r="J1034" s="323" t="s">
        <v>2072</v>
      </c>
      <c r="K1034" s="302">
        <v>3.9697731489999999E-2</v>
      </c>
      <c r="O1034" s="308">
        <v>0.18519377148999999</v>
      </c>
      <c r="P1034" s="312">
        <v>6.9475336899999995E-3</v>
      </c>
      <c r="Q1034" s="344"/>
      <c r="U1034" s="138" t="s">
        <v>1059</v>
      </c>
      <c r="V1034" s="131" t="s">
        <v>6868</v>
      </c>
      <c r="W1034" s="132">
        <v>0.72420906299999999</v>
      </c>
      <c r="X1034" s="129">
        <v>0.40895947513999997</v>
      </c>
      <c r="Y1034" s="130">
        <v>2.1739566630000002</v>
      </c>
    </row>
    <row r="1035" spans="8:25" ht="15.5" x14ac:dyDescent="0.35">
      <c r="H1035" s="383"/>
      <c r="I1035" s="331" t="s">
        <v>1059</v>
      </c>
      <c r="J1035" s="323" t="s">
        <v>2073</v>
      </c>
      <c r="K1035" s="302">
        <v>1.8956943316000001E-2</v>
      </c>
      <c r="O1035" s="308">
        <v>4.8057616316000001E-2</v>
      </c>
      <c r="P1035" s="312">
        <v>9.6879242200000014E-3</v>
      </c>
      <c r="Q1035" s="344"/>
      <c r="U1035" s="138" t="s">
        <v>1059</v>
      </c>
      <c r="V1035" s="131" t="s">
        <v>6869</v>
      </c>
      <c r="W1035" s="132">
        <v>2.8005234430000003</v>
      </c>
      <c r="X1035" s="129">
        <v>1.30979843211</v>
      </c>
      <c r="Y1035" s="130">
        <v>8.7139775430000004</v>
      </c>
    </row>
    <row r="1036" spans="8:25" ht="15.5" x14ac:dyDescent="0.35">
      <c r="H1036" s="383"/>
      <c r="I1036" s="331" t="s">
        <v>1059</v>
      </c>
      <c r="J1036" s="323" t="s">
        <v>2074</v>
      </c>
      <c r="K1036" s="302">
        <v>7.3479062709999998E-3</v>
      </c>
      <c r="O1036" s="308">
        <v>2.1631875271000002E-2</v>
      </c>
      <c r="P1036" s="312">
        <v>1.9603370794E-2</v>
      </c>
      <c r="Q1036" s="344"/>
      <c r="U1036" s="138" t="s">
        <v>1059</v>
      </c>
      <c r="V1036" s="131" t="s">
        <v>6870</v>
      </c>
      <c r="W1036" s="132">
        <v>1.685577254</v>
      </c>
      <c r="X1036" s="129">
        <v>0.81546845894000008</v>
      </c>
      <c r="Y1036" s="130">
        <v>5.2606974540000007</v>
      </c>
    </row>
    <row r="1037" spans="8:25" ht="15.5" x14ac:dyDescent="0.35">
      <c r="H1037" s="383"/>
      <c r="I1037" s="331" t="s">
        <v>1059</v>
      </c>
      <c r="J1037" s="323" t="s">
        <v>2075</v>
      </c>
      <c r="K1037" s="302">
        <v>4.146121874E-2</v>
      </c>
      <c r="O1037" s="308">
        <v>0.23303636874</v>
      </c>
      <c r="P1037" s="312">
        <v>4.4472207089999993E-3</v>
      </c>
      <c r="Q1037" s="344"/>
      <c r="U1037" s="138" t="s">
        <v>1059</v>
      </c>
      <c r="V1037" s="131" t="s">
        <v>6871</v>
      </c>
      <c r="W1037" s="132">
        <v>0.86283318600000003</v>
      </c>
      <c r="X1037" s="129">
        <v>0.52146228654000004</v>
      </c>
      <c r="Y1037" s="130">
        <v>2.499340986</v>
      </c>
    </row>
    <row r="1038" spans="8:25" ht="15.5" x14ac:dyDescent="0.35">
      <c r="H1038" s="383"/>
      <c r="I1038" s="331" t="s">
        <v>1059</v>
      </c>
      <c r="J1038" s="323" t="s">
        <v>2076</v>
      </c>
      <c r="K1038" s="302">
        <v>1.9180580302000001E-2</v>
      </c>
      <c r="O1038" s="308">
        <v>4.0990973302000001E-2</v>
      </c>
      <c r="P1038" s="312">
        <v>1.6221332292999997E-2</v>
      </c>
      <c r="Q1038" s="344"/>
      <c r="U1038" s="138" t="s">
        <v>1059</v>
      </c>
      <c r="V1038" s="131" t="s">
        <v>6872</v>
      </c>
      <c r="W1038" s="132">
        <v>0.96152057499999999</v>
      </c>
      <c r="X1038" s="129">
        <v>0.53150023460999996</v>
      </c>
      <c r="Y1038" s="130">
        <v>2.6353865750000001</v>
      </c>
    </row>
    <row r="1039" spans="8:25" ht="15.5" x14ac:dyDescent="0.35">
      <c r="H1039" s="383"/>
      <c r="I1039" s="331" t="s">
        <v>1059</v>
      </c>
      <c r="J1039" s="323" t="s">
        <v>2077</v>
      </c>
      <c r="K1039" s="302">
        <v>7.7809069470000006E-2</v>
      </c>
      <c r="O1039" s="308">
        <v>0.14198825146999999</v>
      </c>
      <c r="P1039" s="310">
        <v>3.3346689581999996E-2</v>
      </c>
      <c r="Q1039" s="344"/>
      <c r="U1039" s="138" t="s">
        <v>1059</v>
      </c>
      <c r="V1039" s="131" t="s">
        <v>6873</v>
      </c>
      <c r="W1039" s="132">
        <v>0.34305943480000001</v>
      </c>
      <c r="X1039" s="129">
        <v>0.30999587202000001</v>
      </c>
      <c r="Y1039" s="130">
        <v>0.83230214480000009</v>
      </c>
    </row>
    <row r="1040" spans="8:25" ht="15.5" x14ac:dyDescent="0.35">
      <c r="H1040" s="383"/>
      <c r="I1040" s="331" t="s">
        <v>1059</v>
      </c>
      <c r="J1040" s="323" t="s">
        <v>2078</v>
      </c>
      <c r="K1040" s="302">
        <v>7.8351572250000001E-3</v>
      </c>
      <c r="O1040" s="308">
        <v>1.8775325225E-2</v>
      </c>
      <c r="P1040" s="312">
        <v>9.9839772920000004E-3</v>
      </c>
      <c r="Q1040" s="344"/>
      <c r="U1040" s="138" t="s">
        <v>1059</v>
      </c>
      <c r="V1040" s="131" t="s">
        <v>6874</v>
      </c>
      <c r="W1040" s="132">
        <v>1.106431961</v>
      </c>
      <c r="X1040" s="129">
        <v>0.53514222392999999</v>
      </c>
      <c r="Y1040" s="130">
        <v>2.9176462609999998</v>
      </c>
    </row>
    <row r="1041" spans="8:25" ht="15.5" x14ac:dyDescent="0.35">
      <c r="H1041" s="383"/>
      <c r="I1041" s="331" t="s">
        <v>1059</v>
      </c>
      <c r="J1041" s="323" t="s">
        <v>2079</v>
      </c>
      <c r="K1041" s="302">
        <v>8.3969652869999994E-3</v>
      </c>
      <c r="O1041" s="308">
        <v>2.0483970286999997E-2</v>
      </c>
      <c r="P1041" s="312">
        <v>1.0861051267E-2</v>
      </c>
      <c r="Q1041" s="344"/>
      <c r="U1041" s="138" t="s">
        <v>1059</v>
      </c>
      <c r="V1041" s="131" t="s">
        <v>6875</v>
      </c>
      <c r="W1041" s="132">
        <v>0.43656259689999999</v>
      </c>
      <c r="X1041" s="129">
        <v>0.34557851131</v>
      </c>
      <c r="Y1041" s="130">
        <v>1.1386381469</v>
      </c>
    </row>
    <row r="1042" spans="8:25" ht="15.5" x14ac:dyDescent="0.35">
      <c r="H1042" s="383"/>
      <c r="I1042" s="331" t="s">
        <v>1059</v>
      </c>
      <c r="J1042" s="323" t="s">
        <v>2080</v>
      </c>
      <c r="K1042" s="302">
        <v>0.1195776829</v>
      </c>
      <c r="O1042" s="308">
        <v>0.51655028290000005</v>
      </c>
      <c r="P1042" s="312">
        <v>5.6327700300000004E-3</v>
      </c>
      <c r="Q1042" s="344"/>
      <c r="U1042" s="138" t="s">
        <v>1059</v>
      </c>
      <c r="V1042" s="131" t="s">
        <v>6876</v>
      </c>
      <c r="W1042" s="132">
        <v>0.34305943480000001</v>
      </c>
      <c r="X1042" s="129">
        <v>0.30999587202000001</v>
      </c>
      <c r="Y1042" s="130">
        <v>0.83230214480000009</v>
      </c>
    </row>
    <row r="1043" spans="8:25" ht="15.5" x14ac:dyDescent="0.35">
      <c r="H1043" s="383"/>
      <c r="I1043" s="331" t="s">
        <v>1059</v>
      </c>
      <c r="J1043" s="323" t="s">
        <v>2081</v>
      </c>
      <c r="K1043" s="302">
        <v>9.6858179730000007E-2</v>
      </c>
      <c r="O1043" s="308">
        <v>0.57446253973000005</v>
      </c>
      <c r="P1043" s="312">
        <v>4.9533460580000008E-2</v>
      </c>
      <c r="Q1043" s="344"/>
      <c r="U1043" s="138" t="s">
        <v>1059</v>
      </c>
      <c r="V1043" s="131" t="s">
        <v>6877</v>
      </c>
      <c r="W1043" s="132">
        <v>1.079133345</v>
      </c>
      <c r="X1043" s="129">
        <v>0.57790603626000003</v>
      </c>
      <c r="Y1043" s="130">
        <v>3.2114988450000004</v>
      </c>
    </row>
    <row r="1044" spans="8:25" ht="15.5" x14ac:dyDescent="0.35">
      <c r="H1044" s="383"/>
      <c r="I1044" s="331" t="s">
        <v>1059</v>
      </c>
      <c r="J1044" s="323" t="s">
        <v>2082</v>
      </c>
      <c r="K1044" s="302">
        <v>1.2972763606000002E-2</v>
      </c>
      <c r="O1044" s="308">
        <v>3.1984328606000006E-2</v>
      </c>
      <c r="P1044" s="312">
        <v>6.1810237489999999E-3</v>
      </c>
      <c r="Q1044" s="344"/>
      <c r="U1044" s="138" t="s">
        <v>1059</v>
      </c>
      <c r="V1044" s="131" t="s">
        <v>6878</v>
      </c>
      <c r="W1044" s="132">
        <v>0.83440378599999998</v>
      </c>
      <c r="X1044" s="129">
        <v>0.46642634567999997</v>
      </c>
      <c r="Y1044" s="130">
        <v>2.4845372860000001</v>
      </c>
    </row>
    <row r="1045" spans="8:25" ht="15.5" x14ac:dyDescent="0.35">
      <c r="H1045" s="383"/>
      <c r="I1045" s="331" t="s">
        <v>1059</v>
      </c>
      <c r="J1045" s="323" t="s">
        <v>2083</v>
      </c>
      <c r="K1045" s="302">
        <v>2.2627279350000001E-2</v>
      </c>
      <c r="O1045" s="308">
        <v>0.11374308135</v>
      </c>
      <c r="P1045" s="312">
        <v>4.4263955520000009E-3</v>
      </c>
      <c r="Q1045" s="344"/>
      <c r="U1045" s="138" t="s">
        <v>1059</v>
      </c>
      <c r="V1045" s="131" t="s">
        <v>6879</v>
      </c>
      <c r="W1045" s="132">
        <v>0.46291953049999995</v>
      </c>
      <c r="X1045" s="129">
        <v>0.35812085367000002</v>
      </c>
      <c r="Y1045" s="130">
        <v>1.2154149404999999</v>
      </c>
    </row>
    <row r="1046" spans="8:25" ht="15.5" x14ac:dyDescent="0.35">
      <c r="H1046" s="383"/>
      <c r="I1046" s="331" t="s">
        <v>1059</v>
      </c>
      <c r="J1046" s="323" t="s">
        <v>2084</v>
      </c>
      <c r="K1046" s="302">
        <v>2.1507272190000003E-2</v>
      </c>
      <c r="O1046" s="308">
        <v>0.10802457319</v>
      </c>
      <c r="P1046" s="312">
        <v>4.1540288170000004E-3</v>
      </c>
      <c r="Q1046" s="344"/>
      <c r="U1046" s="138" t="s">
        <v>1059</v>
      </c>
      <c r="V1046" s="131" t="s">
        <v>6880</v>
      </c>
      <c r="W1046" s="132">
        <v>1.3287706247</v>
      </c>
      <c r="X1046" s="129">
        <v>0.56474894148999999</v>
      </c>
      <c r="Y1046" s="130">
        <v>4.3228622246999997</v>
      </c>
    </row>
    <row r="1047" spans="8:25" ht="15.5" x14ac:dyDescent="0.35">
      <c r="H1047" s="383"/>
      <c r="I1047" s="331" t="s">
        <v>1059</v>
      </c>
      <c r="J1047" s="323" t="s">
        <v>2085</v>
      </c>
      <c r="K1047" s="302">
        <v>4.5995261331999999E-2</v>
      </c>
      <c r="O1047" s="308">
        <v>8.0811619331999998E-2</v>
      </c>
      <c r="P1047" s="312">
        <v>1.4668359592E-2</v>
      </c>
      <c r="Q1047" s="344"/>
      <c r="U1047" s="138" t="s">
        <v>1059</v>
      </c>
      <c r="V1047" s="131" t="s">
        <v>6881</v>
      </c>
      <c r="W1047" s="132">
        <v>0.77405192619999996</v>
      </c>
      <c r="X1047" s="129">
        <v>0.50582710599999992</v>
      </c>
      <c r="Y1047" s="130">
        <v>2.1699709262</v>
      </c>
    </row>
    <row r="1048" spans="8:25" ht="15.5" x14ac:dyDescent="0.35">
      <c r="H1048" s="383"/>
      <c r="I1048" s="331" t="s">
        <v>1059</v>
      </c>
      <c r="J1048" s="323" t="s">
        <v>2086</v>
      </c>
      <c r="K1048" s="302">
        <v>1.2498796479000001E-2</v>
      </c>
      <c r="O1048" s="308">
        <v>3.0972535479000002E-2</v>
      </c>
      <c r="P1048" s="312">
        <v>5.6461622010000002E-3</v>
      </c>
      <c r="Q1048" s="344"/>
      <c r="U1048" s="138" t="s">
        <v>1059</v>
      </c>
      <c r="V1048" s="131" t="s">
        <v>6882</v>
      </c>
      <c r="W1048" s="132">
        <v>0.98683651999999999</v>
      </c>
      <c r="X1048" s="129">
        <v>0.56649832007000001</v>
      </c>
      <c r="Y1048" s="130">
        <v>2.8724257199999998</v>
      </c>
    </row>
    <row r="1049" spans="8:25" ht="15.5" x14ac:dyDescent="0.35">
      <c r="H1049" s="383"/>
      <c r="I1049" s="331" t="s">
        <v>1059</v>
      </c>
      <c r="J1049" s="323" t="s">
        <v>2087</v>
      </c>
      <c r="K1049" s="302">
        <v>7.3678726879999991E-3</v>
      </c>
      <c r="O1049" s="308">
        <v>2.1889456687999999E-2</v>
      </c>
      <c r="P1049" s="312">
        <v>2.0084312821000001E-2</v>
      </c>
      <c r="Q1049" s="344"/>
      <c r="U1049" s="138" t="s">
        <v>1059</v>
      </c>
      <c r="V1049" s="131" t="s">
        <v>6883</v>
      </c>
      <c r="W1049" s="132">
        <v>0.66534517900000001</v>
      </c>
      <c r="X1049" s="129">
        <v>0.42470908552000008</v>
      </c>
      <c r="Y1049" s="130">
        <v>1.8290647790000001</v>
      </c>
    </row>
    <row r="1050" spans="8:25" ht="15.5" x14ac:dyDescent="0.35">
      <c r="H1050" s="393" t="s">
        <v>2088</v>
      </c>
      <c r="I1050" s="333"/>
      <c r="J1050" s="394"/>
      <c r="K1050" s="302"/>
      <c r="O1050" s="308"/>
      <c r="P1050" s="314"/>
      <c r="Q1050" s="344"/>
      <c r="U1050" s="138" t="s">
        <v>1059</v>
      </c>
      <c r="V1050" s="131" t="s">
        <v>6884</v>
      </c>
      <c r="W1050" s="132">
        <v>0.52195299400000006</v>
      </c>
      <c r="X1050" s="129">
        <v>0.33107277406000002</v>
      </c>
      <c r="Y1050" s="130">
        <v>1.4798356340000001</v>
      </c>
    </row>
    <row r="1051" spans="8:25" ht="15.5" x14ac:dyDescent="0.35">
      <c r="H1051" s="395"/>
      <c r="I1051" s="333" t="s">
        <v>1059</v>
      </c>
      <c r="J1051" s="396" t="s">
        <v>2089</v>
      </c>
      <c r="K1051" s="302"/>
      <c r="O1051" s="308"/>
      <c r="P1051" s="315">
        <v>22655.05</v>
      </c>
      <c r="Q1051" s="344"/>
      <c r="U1051" s="138" t="s">
        <v>1059</v>
      </c>
      <c r="V1051" s="131" t="s">
        <v>6885</v>
      </c>
      <c r="W1051" s="132">
        <v>1.017200595</v>
      </c>
      <c r="X1051" s="129">
        <v>0.55449501549000002</v>
      </c>
      <c r="Y1051" s="130">
        <v>2.8836527949999997</v>
      </c>
    </row>
    <row r="1052" spans="8:25" ht="15.5" x14ac:dyDescent="0.35">
      <c r="H1052" s="395"/>
      <c r="I1052" s="333" t="s">
        <v>1059</v>
      </c>
      <c r="J1052" s="396" t="s">
        <v>2090</v>
      </c>
      <c r="K1052" s="302"/>
      <c r="O1052" s="308"/>
      <c r="P1052" s="315">
        <v>22655.05</v>
      </c>
      <c r="Q1052" s="344"/>
      <c r="U1052" s="138" t="s">
        <v>1059</v>
      </c>
      <c r="V1052" s="131" t="s">
        <v>6886</v>
      </c>
      <c r="W1052" s="132">
        <v>0.68468378959999998</v>
      </c>
      <c r="X1052" s="129">
        <v>0.44192570774999995</v>
      </c>
      <c r="Y1052" s="130">
        <v>1.9729097896000001</v>
      </c>
    </row>
    <row r="1053" spans="8:25" ht="15.5" x14ac:dyDescent="0.35">
      <c r="H1053" s="395"/>
      <c r="I1053" s="333" t="s">
        <v>1059</v>
      </c>
      <c r="J1053" s="396" t="s">
        <v>2091</v>
      </c>
      <c r="K1053" s="302"/>
      <c r="O1053" s="308"/>
      <c r="P1053" s="315">
        <v>22655.05</v>
      </c>
      <c r="Q1053" s="344"/>
      <c r="U1053" s="138" t="s">
        <v>1059</v>
      </c>
      <c r="V1053" s="131" t="s">
        <v>6887</v>
      </c>
      <c r="W1053" s="132">
        <v>0.48428416299999999</v>
      </c>
      <c r="X1053" s="129">
        <v>0.31419901880000001</v>
      </c>
      <c r="Y1053" s="130">
        <v>1.317537873</v>
      </c>
    </row>
    <row r="1054" spans="8:25" ht="15.5" x14ac:dyDescent="0.35">
      <c r="H1054" s="395"/>
      <c r="I1054" s="333" t="s">
        <v>1059</v>
      </c>
      <c r="J1054" s="396" t="s">
        <v>2092</v>
      </c>
      <c r="K1054" s="302"/>
      <c r="O1054" s="308"/>
      <c r="P1054" s="315">
        <v>22655.05</v>
      </c>
      <c r="Q1054" s="344"/>
      <c r="U1054" s="138" t="s">
        <v>1059</v>
      </c>
      <c r="V1054" s="131" t="s">
        <v>6888</v>
      </c>
      <c r="W1054" s="132">
        <v>1.1481711300000002</v>
      </c>
      <c r="X1054" s="129">
        <v>0.60926052804000008</v>
      </c>
      <c r="Y1054" s="130">
        <v>3.42277393</v>
      </c>
    </row>
    <row r="1055" spans="8:25" ht="15.5" x14ac:dyDescent="0.35">
      <c r="H1055" s="395"/>
      <c r="I1055" s="333" t="s">
        <v>1059</v>
      </c>
      <c r="J1055" s="396" t="s">
        <v>2093</v>
      </c>
      <c r="K1055" s="302"/>
      <c r="O1055" s="308"/>
      <c r="P1055" s="315">
        <v>22655.05</v>
      </c>
      <c r="Q1055" s="344"/>
      <c r="U1055" s="138" t="s">
        <v>1059</v>
      </c>
      <c r="V1055" s="131" t="s">
        <v>6889</v>
      </c>
      <c r="W1055" s="132">
        <v>0.82861004540000005</v>
      </c>
      <c r="X1055" s="129">
        <v>0.52916378740000003</v>
      </c>
      <c r="Y1055" s="130">
        <v>2.3320668454</v>
      </c>
    </row>
    <row r="1056" spans="8:25" ht="15.5" x14ac:dyDescent="0.35">
      <c r="H1056" s="395"/>
      <c r="I1056" s="333" t="s">
        <v>1059</v>
      </c>
      <c r="J1056" s="396" t="s">
        <v>2094</v>
      </c>
      <c r="K1056" s="302"/>
      <c r="O1056" s="308"/>
      <c r="P1056" s="315">
        <v>22655.05</v>
      </c>
      <c r="Q1056" s="344"/>
      <c r="U1056" s="138" t="s">
        <v>1059</v>
      </c>
      <c r="V1056" s="131" t="s">
        <v>6890</v>
      </c>
      <c r="W1056" s="132">
        <v>1.0399539690000001</v>
      </c>
      <c r="X1056" s="129">
        <v>0.50070413221999999</v>
      </c>
      <c r="Y1056" s="130">
        <v>3.3632308690000006</v>
      </c>
    </row>
    <row r="1057" spans="8:25" ht="15.5" x14ac:dyDescent="0.35">
      <c r="H1057" s="395"/>
      <c r="I1057" s="333" t="s">
        <v>1059</v>
      </c>
      <c r="J1057" s="396" t="s">
        <v>2095</v>
      </c>
      <c r="K1057" s="302"/>
      <c r="O1057" s="308"/>
      <c r="P1057" s="315">
        <v>22655.05</v>
      </c>
      <c r="Q1057" s="344"/>
      <c r="U1057" s="138" t="s">
        <v>1059</v>
      </c>
      <c r="V1057" s="131" t="s">
        <v>6891</v>
      </c>
      <c r="W1057" s="132">
        <v>0.74521027699999998</v>
      </c>
      <c r="X1057" s="129">
        <v>0.44306653743000002</v>
      </c>
      <c r="Y1057" s="130">
        <v>2.097917577</v>
      </c>
    </row>
    <row r="1058" spans="8:25" ht="15.5" x14ac:dyDescent="0.35">
      <c r="H1058" s="395"/>
      <c r="I1058" s="333" t="s">
        <v>1059</v>
      </c>
      <c r="J1058" s="396" t="s">
        <v>2096</v>
      </c>
      <c r="K1058" s="302"/>
      <c r="O1058" s="308"/>
      <c r="P1058" s="315">
        <v>22655.05</v>
      </c>
      <c r="Q1058" s="344"/>
      <c r="U1058" s="138" t="s">
        <v>1059</v>
      </c>
      <c r="V1058" s="131" t="s">
        <v>6892</v>
      </c>
      <c r="W1058" s="132">
        <v>1.7867934320000001</v>
      </c>
      <c r="X1058" s="129">
        <v>1.0485164365999999</v>
      </c>
      <c r="Y1058" s="130">
        <v>4.9196182319999995</v>
      </c>
    </row>
    <row r="1059" spans="8:25" ht="15.5" x14ac:dyDescent="0.35">
      <c r="H1059" s="395"/>
      <c r="I1059" s="333" t="s">
        <v>1059</v>
      </c>
      <c r="J1059" s="396" t="s">
        <v>2097</v>
      </c>
      <c r="K1059" s="302"/>
      <c r="O1059" s="308"/>
      <c r="P1059" s="315">
        <v>22655.05</v>
      </c>
      <c r="Q1059" s="344"/>
      <c r="U1059" s="138" t="s">
        <v>1059</v>
      </c>
      <c r="V1059" s="131" t="s">
        <v>6893</v>
      </c>
      <c r="W1059" s="132">
        <v>1.005718157</v>
      </c>
      <c r="X1059" s="129">
        <v>0.5563802498</v>
      </c>
      <c r="Y1059" s="130">
        <v>2.960200757</v>
      </c>
    </row>
    <row r="1060" spans="8:25" ht="15.5" x14ac:dyDescent="0.35">
      <c r="H1060" s="395"/>
      <c r="I1060" s="333" t="s">
        <v>1059</v>
      </c>
      <c r="J1060" s="396" t="s">
        <v>2098</v>
      </c>
      <c r="K1060" s="302"/>
      <c r="O1060" s="308"/>
      <c r="P1060" s="315">
        <v>22655.05</v>
      </c>
      <c r="Q1060" s="344"/>
      <c r="U1060" s="138" t="s">
        <v>1059</v>
      </c>
      <c r="V1060" s="131" t="s">
        <v>6894</v>
      </c>
      <c r="W1060" s="132">
        <v>0.83644720699999997</v>
      </c>
      <c r="X1060" s="129">
        <v>0.50184095563000009</v>
      </c>
      <c r="Y1060" s="130">
        <v>2.323286907</v>
      </c>
    </row>
    <row r="1061" spans="8:25" ht="15.5" x14ac:dyDescent="0.35">
      <c r="H1061" s="395"/>
      <c r="I1061" s="333" t="s">
        <v>1059</v>
      </c>
      <c r="J1061" s="323" t="s">
        <v>2099</v>
      </c>
      <c r="K1061" s="302"/>
      <c r="O1061" s="308"/>
      <c r="P1061" s="315">
        <v>22655.05</v>
      </c>
      <c r="Q1061" s="344"/>
      <c r="U1061" s="138" t="s">
        <v>1059</v>
      </c>
      <c r="V1061" s="131" t="s">
        <v>6895</v>
      </c>
      <c r="W1061" s="132">
        <v>0.73626414289999997</v>
      </c>
      <c r="X1061" s="129">
        <v>0.41941546940999996</v>
      </c>
      <c r="Y1061" s="130">
        <v>1.9018878428999999</v>
      </c>
    </row>
    <row r="1062" spans="8:25" ht="15.5" x14ac:dyDescent="0.35">
      <c r="H1062" s="395"/>
      <c r="I1062" s="333" t="s">
        <v>1059</v>
      </c>
      <c r="J1062" s="396" t="s">
        <v>2100</v>
      </c>
      <c r="K1062" s="302"/>
      <c r="O1062" s="308"/>
      <c r="P1062" s="315">
        <v>22655.05</v>
      </c>
      <c r="Q1062" s="344"/>
      <c r="U1062" s="138" t="s">
        <v>1059</v>
      </c>
      <c r="V1062" s="131" t="s">
        <v>6896</v>
      </c>
      <c r="W1062" s="132">
        <v>1.226985894</v>
      </c>
      <c r="X1062" s="129">
        <v>0.63857099190999989</v>
      </c>
      <c r="Y1062" s="130">
        <v>3.6909595939999997</v>
      </c>
    </row>
    <row r="1063" spans="8:25" ht="15.5" x14ac:dyDescent="0.35">
      <c r="H1063" s="395"/>
      <c r="I1063" s="333" t="s">
        <v>1059</v>
      </c>
      <c r="J1063" s="396" t="s">
        <v>2101</v>
      </c>
      <c r="K1063" s="302"/>
      <c r="O1063" s="308"/>
      <c r="P1063" s="315">
        <v>22655.05</v>
      </c>
      <c r="Q1063" s="344"/>
      <c r="U1063" s="138" t="s">
        <v>1059</v>
      </c>
      <c r="V1063" s="131" t="s">
        <v>6897</v>
      </c>
      <c r="W1063" s="132">
        <v>1.1878582310000001</v>
      </c>
      <c r="X1063" s="129">
        <v>0.65786758764999997</v>
      </c>
      <c r="Y1063" s="130">
        <v>3.3790208310000001</v>
      </c>
    </row>
    <row r="1064" spans="8:25" ht="15.5" x14ac:dyDescent="0.35">
      <c r="H1064" s="395"/>
      <c r="I1064" s="333" t="s">
        <v>1059</v>
      </c>
      <c r="J1064" s="396" t="s">
        <v>2102</v>
      </c>
      <c r="K1064" s="302"/>
      <c r="O1064" s="308"/>
      <c r="P1064" s="315">
        <v>22655.05</v>
      </c>
      <c r="Q1064" s="344"/>
      <c r="U1064" s="138" t="s">
        <v>1059</v>
      </c>
      <c r="V1064" s="131" t="s">
        <v>6898</v>
      </c>
      <c r="W1064" s="132">
        <v>0.88855065489999996</v>
      </c>
      <c r="X1064" s="129">
        <v>0.40331052227999997</v>
      </c>
      <c r="Y1064" s="130">
        <v>2.5139474549000003</v>
      </c>
    </row>
    <row r="1065" spans="8:25" ht="15.5" x14ac:dyDescent="0.35">
      <c r="H1065" s="395"/>
      <c r="I1065" s="333" t="s">
        <v>1059</v>
      </c>
      <c r="J1065" s="396" t="s">
        <v>2103</v>
      </c>
      <c r="K1065" s="302"/>
      <c r="O1065" s="308"/>
      <c r="P1065" s="315">
        <v>22655.05</v>
      </c>
      <c r="Q1065" s="344"/>
      <c r="U1065" s="138" t="s">
        <v>1059</v>
      </c>
      <c r="V1065" s="131" t="s">
        <v>6899</v>
      </c>
      <c r="W1065" s="132">
        <v>1.294937784</v>
      </c>
      <c r="X1065" s="129">
        <v>0.64373436413999996</v>
      </c>
      <c r="Y1065" s="130">
        <v>3.945552384</v>
      </c>
    </row>
    <row r="1066" spans="8:25" ht="15.5" x14ac:dyDescent="0.35">
      <c r="H1066" s="395"/>
      <c r="I1066" s="333" t="s">
        <v>1059</v>
      </c>
      <c r="J1066" s="323" t="s">
        <v>2104</v>
      </c>
      <c r="K1066" s="302"/>
      <c r="O1066" s="308"/>
      <c r="P1066" s="315">
        <v>22655.05</v>
      </c>
      <c r="Q1066" s="344"/>
      <c r="U1066" s="138" t="s">
        <v>1059</v>
      </c>
      <c r="V1066" s="131" t="s">
        <v>6900</v>
      </c>
      <c r="W1066" s="132">
        <v>0.66463466100000002</v>
      </c>
      <c r="X1066" s="129">
        <v>0.42108412978999998</v>
      </c>
      <c r="Y1066" s="130">
        <v>1.7693643610000001</v>
      </c>
    </row>
    <row r="1067" spans="8:25" ht="15.5" x14ac:dyDescent="0.35">
      <c r="H1067" s="395"/>
      <c r="I1067" s="333" t="s">
        <v>1059</v>
      </c>
      <c r="J1067" s="396" t="s">
        <v>2105</v>
      </c>
      <c r="K1067" s="302"/>
      <c r="O1067" s="308"/>
      <c r="P1067" s="315">
        <v>22655.05</v>
      </c>
      <c r="Q1067" s="344"/>
      <c r="U1067" s="138" t="s">
        <v>1059</v>
      </c>
      <c r="V1067" s="131" t="s">
        <v>6901</v>
      </c>
      <c r="W1067" s="132">
        <v>0.55305791819999994</v>
      </c>
      <c r="X1067" s="129">
        <v>0.40324254491</v>
      </c>
      <c r="Y1067" s="130">
        <v>1.4653822982</v>
      </c>
    </row>
    <row r="1068" spans="8:25" ht="15.5" x14ac:dyDescent="0.35">
      <c r="H1068" s="393" t="s">
        <v>2106</v>
      </c>
      <c r="I1068" s="327"/>
      <c r="J1068" s="397"/>
      <c r="K1068" s="302"/>
      <c r="O1068" s="308"/>
      <c r="P1068" s="315"/>
      <c r="Q1068" s="344"/>
      <c r="U1068" s="138" t="s">
        <v>1059</v>
      </c>
      <c r="V1068" s="131" t="s">
        <v>6902</v>
      </c>
      <c r="W1068" s="132">
        <v>0.76428267560000007</v>
      </c>
      <c r="X1068" s="129">
        <v>0.48994103049999999</v>
      </c>
      <c r="Y1068" s="130">
        <v>2.1741570756000002</v>
      </c>
    </row>
    <row r="1069" spans="8:25" ht="15.5" x14ac:dyDescent="0.35">
      <c r="H1069" s="395"/>
      <c r="I1069" s="333" t="s">
        <v>1059</v>
      </c>
      <c r="J1069" s="396" t="s">
        <v>2105</v>
      </c>
      <c r="K1069" s="302"/>
      <c r="O1069" s="308"/>
      <c r="P1069" s="315">
        <v>1530</v>
      </c>
      <c r="Q1069" s="344"/>
      <c r="U1069" s="138" t="s">
        <v>1059</v>
      </c>
      <c r="V1069" s="131" t="s">
        <v>6903</v>
      </c>
      <c r="W1069" s="132">
        <v>0.84608906800000017</v>
      </c>
      <c r="X1069" s="129">
        <v>0.48756501931000001</v>
      </c>
      <c r="Y1069" s="130">
        <v>2.2907345680000004</v>
      </c>
    </row>
    <row r="1070" spans="8:25" ht="15.5" x14ac:dyDescent="0.35">
      <c r="H1070" s="395"/>
      <c r="I1070" s="333" t="s">
        <v>1059</v>
      </c>
      <c r="J1070" s="396" t="s">
        <v>2107</v>
      </c>
      <c r="K1070" s="302"/>
      <c r="O1070" s="308"/>
      <c r="P1070" s="315">
        <v>1530</v>
      </c>
      <c r="Q1070" s="344"/>
      <c r="U1070" s="138" t="s">
        <v>1059</v>
      </c>
      <c r="V1070" s="131" t="s">
        <v>6904</v>
      </c>
      <c r="W1070" s="132">
        <v>0.77514766499999999</v>
      </c>
      <c r="X1070" s="129">
        <v>0.47897475634999997</v>
      </c>
      <c r="Y1070" s="130">
        <v>2.059298165</v>
      </c>
    </row>
    <row r="1071" spans="8:25" ht="15.5" x14ac:dyDescent="0.35">
      <c r="H1071" s="395"/>
      <c r="I1071" s="333" t="s">
        <v>1059</v>
      </c>
      <c r="J1071" s="396" t="s">
        <v>2108</v>
      </c>
      <c r="K1071" s="302"/>
      <c r="O1071" s="308"/>
      <c r="P1071" s="315">
        <v>1530</v>
      </c>
      <c r="Q1071" s="344"/>
      <c r="U1071" s="138" t="s">
        <v>1059</v>
      </c>
      <c r="V1071" s="131" t="s">
        <v>6905</v>
      </c>
      <c r="W1071" s="132">
        <v>0.64608129700000005</v>
      </c>
      <c r="X1071" s="129">
        <v>0.38834573885000001</v>
      </c>
      <c r="Y1071" s="130">
        <v>1.826134097</v>
      </c>
    </row>
    <row r="1072" spans="8:25" ht="15.5" x14ac:dyDescent="0.35">
      <c r="H1072" s="395"/>
      <c r="I1072" s="333" t="s">
        <v>1059</v>
      </c>
      <c r="J1072" s="396" t="s">
        <v>2109</v>
      </c>
      <c r="K1072" s="302"/>
      <c r="O1072" s="308"/>
      <c r="P1072" s="315">
        <v>1530</v>
      </c>
      <c r="Q1072" s="344"/>
      <c r="U1072" s="138" t="s">
        <v>1059</v>
      </c>
      <c r="V1072" s="131" t="s">
        <v>6906</v>
      </c>
      <c r="W1072" s="132">
        <v>0.72567832700000001</v>
      </c>
      <c r="X1072" s="129">
        <v>0.45659723675000002</v>
      </c>
      <c r="Y1072" s="130">
        <v>1.9438865270000001</v>
      </c>
    </row>
    <row r="1073" spans="8:25" ht="15.5" x14ac:dyDescent="0.35">
      <c r="H1073" s="395"/>
      <c r="I1073" s="333" t="s">
        <v>1059</v>
      </c>
      <c r="J1073" s="396" t="s">
        <v>2110</v>
      </c>
      <c r="K1073" s="302"/>
      <c r="O1073" s="308"/>
      <c r="P1073" s="315">
        <v>1530</v>
      </c>
      <c r="Q1073" s="344"/>
      <c r="U1073" s="138" t="s">
        <v>1059</v>
      </c>
      <c r="V1073" s="131" t="s">
        <v>6907</v>
      </c>
      <c r="W1073" s="132">
        <v>0.82817117899999992</v>
      </c>
      <c r="X1073" s="129">
        <v>0.48411902889999997</v>
      </c>
      <c r="Y1073" s="130">
        <v>2.4245302789999998</v>
      </c>
    </row>
    <row r="1074" spans="8:25" ht="15.5" x14ac:dyDescent="0.35">
      <c r="H1074" s="395"/>
      <c r="I1074" s="333" t="s">
        <v>1059</v>
      </c>
      <c r="J1074" s="396" t="s">
        <v>2111</v>
      </c>
      <c r="K1074" s="302"/>
      <c r="O1074" s="308"/>
      <c r="P1074" s="315">
        <v>1530</v>
      </c>
      <c r="Q1074" s="344"/>
      <c r="U1074" s="138" t="s">
        <v>1059</v>
      </c>
      <c r="V1074" s="131" t="s">
        <v>6908</v>
      </c>
      <c r="W1074" s="132">
        <v>0.50953936209999995</v>
      </c>
      <c r="X1074" s="129">
        <v>0.37929361380999999</v>
      </c>
      <c r="Y1074" s="130">
        <v>1.3262997420999998</v>
      </c>
    </row>
    <row r="1075" spans="8:25" ht="15.5" x14ac:dyDescent="0.35">
      <c r="H1075" s="395"/>
      <c r="I1075" s="333" t="s">
        <v>1059</v>
      </c>
      <c r="J1075" s="396" t="s">
        <v>2112</v>
      </c>
      <c r="K1075" s="302"/>
      <c r="O1075" s="308"/>
      <c r="P1075" s="315">
        <v>1339.6</v>
      </c>
      <c r="Q1075" s="344"/>
      <c r="U1075" s="138" t="s">
        <v>1059</v>
      </c>
      <c r="V1075" s="131" t="s">
        <v>6909</v>
      </c>
      <c r="W1075" s="132">
        <v>0.54921314799999998</v>
      </c>
      <c r="X1075" s="129">
        <v>0.38383065891000001</v>
      </c>
      <c r="Y1075" s="130">
        <v>1.4333303079999999</v>
      </c>
    </row>
    <row r="1076" spans="8:25" ht="15.5" x14ac:dyDescent="0.35">
      <c r="H1076" s="395"/>
      <c r="I1076" s="333" t="s">
        <v>1059</v>
      </c>
      <c r="J1076" s="396" t="s">
        <v>2113</v>
      </c>
      <c r="K1076" s="302"/>
      <c r="O1076" s="308"/>
      <c r="P1076" s="315">
        <v>1530</v>
      </c>
      <c r="Q1076" s="344"/>
      <c r="U1076" s="138" t="s">
        <v>1059</v>
      </c>
      <c r="V1076" s="131" t="s">
        <v>6910</v>
      </c>
      <c r="W1076" s="132">
        <v>1.0705232499999999</v>
      </c>
      <c r="X1076" s="129">
        <v>0.57720498949999999</v>
      </c>
      <c r="Y1076" s="130">
        <v>3.10800125</v>
      </c>
    </row>
    <row r="1077" spans="8:25" ht="15.5" x14ac:dyDescent="0.35">
      <c r="H1077" s="395"/>
      <c r="I1077" s="333" t="s">
        <v>1059</v>
      </c>
      <c r="J1077" s="396" t="s">
        <v>2114</v>
      </c>
      <c r="K1077" s="302"/>
      <c r="O1077" s="308"/>
      <c r="P1077" s="315">
        <v>1530</v>
      </c>
      <c r="Q1077" s="344"/>
      <c r="U1077" s="138" t="s">
        <v>1059</v>
      </c>
      <c r="V1077" s="131" t="s">
        <v>6911</v>
      </c>
      <c r="W1077" s="132">
        <v>0.77560229800000002</v>
      </c>
      <c r="X1077" s="129">
        <v>0.40448301997999997</v>
      </c>
      <c r="Y1077" s="130">
        <v>2.1739947979999998</v>
      </c>
    </row>
    <row r="1078" spans="8:25" ht="15.5" x14ac:dyDescent="0.35">
      <c r="H1078" s="395"/>
      <c r="I1078" s="333" t="s">
        <v>1059</v>
      </c>
      <c r="J1078" s="396" t="s">
        <v>2115</v>
      </c>
      <c r="K1078" s="302"/>
      <c r="O1078" s="308"/>
      <c r="P1078" s="315">
        <v>1530</v>
      </c>
      <c r="Q1078" s="344"/>
      <c r="U1078" s="138" t="s">
        <v>1059</v>
      </c>
      <c r="V1078" s="131" t="s">
        <v>6912</v>
      </c>
      <c r="W1078" s="132">
        <v>1.2742687619999999</v>
      </c>
      <c r="X1078" s="129">
        <v>0.64347745351000007</v>
      </c>
      <c r="Y1078" s="130">
        <v>3.8660601620000001</v>
      </c>
    </row>
    <row r="1079" spans="8:25" ht="15.5" x14ac:dyDescent="0.35">
      <c r="H1079" s="395"/>
      <c r="I1079" s="333" t="s">
        <v>1059</v>
      </c>
      <c r="J1079" s="396" t="s">
        <v>2116</v>
      </c>
      <c r="K1079" s="302"/>
      <c r="O1079" s="308"/>
      <c r="P1079" s="315">
        <v>1530</v>
      </c>
      <c r="Q1079" s="344"/>
      <c r="U1079" s="138" t="s">
        <v>1059</v>
      </c>
      <c r="V1079" s="131" t="s">
        <v>6913</v>
      </c>
      <c r="W1079" s="132">
        <v>0.91298908499999998</v>
      </c>
      <c r="X1079" s="129">
        <v>0.50935829778999997</v>
      </c>
      <c r="Y1079" s="130">
        <v>2.6791533850000002</v>
      </c>
    </row>
    <row r="1080" spans="8:25" ht="15.5" x14ac:dyDescent="0.35">
      <c r="H1080" s="395"/>
      <c r="I1080" s="333" t="s">
        <v>1059</v>
      </c>
      <c r="J1080" s="396" t="s">
        <v>2117</v>
      </c>
      <c r="K1080" s="302"/>
      <c r="O1080" s="308"/>
      <c r="P1080" s="315">
        <v>1530</v>
      </c>
      <c r="Q1080" s="344"/>
      <c r="U1080" s="138" t="s">
        <v>1059</v>
      </c>
      <c r="V1080" s="131" t="s">
        <v>6914</v>
      </c>
      <c r="W1080" s="132">
        <v>0.51734343430000007</v>
      </c>
      <c r="X1080" s="129">
        <v>0.38709833442999997</v>
      </c>
      <c r="Y1080" s="130">
        <v>1.3706222942999999</v>
      </c>
    </row>
    <row r="1081" spans="8:25" ht="15.5" x14ac:dyDescent="0.35">
      <c r="H1081" s="395"/>
      <c r="I1081" s="333" t="s">
        <v>1059</v>
      </c>
      <c r="J1081" s="396" t="s">
        <v>2118</v>
      </c>
      <c r="K1081" s="302"/>
      <c r="O1081" s="308"/>
      <c r="P1081" s="315">
        <v>1530</v>
      </c>
      <c r="Q1081" s="344"/>
      <c r="U1081" s="138" t="s">
        <v>1059</v>
      </c>
      <c r="V1081" s="131" t="s">
        <v>6915</v>
      </c>
      <c r="W1081" s="132">
        <v>0.75277272100000003</v>
      </c>
      <c r="X1081" s="129">
        <v>0.47764371462999999</v>
      </c>
      <c r="Y1081" s="130">
        <v>2.1650526210000001</v>
      </c>
    </row>
    <row r="1082" spans="8:25" ht="15.5" x14ac:dyDescent="0.35">
      <c r="H1082" s="395"/>
      <c r="I1082" s="333" t="s">
        <v>1059</v>
      </c>
      <c r="J1082" s="396" t="s">
        <v>2119</v>
      </c>
      <c r="K1082" s="302"/>
      <c r="O1082" s="308"/>
      <c r="P1082" s="315">
        <v>1530</v>
      </c>
      <c r="Q1082" s="344"/>
      <c r="U1082" s="138" t="s">
        <v>1059</v>
      </c>
      <c r="V1082" s="131" t="s">
        <v>6916</v>
      </c>
      <c r="W1082" s="132">
        <v>1.2501645251</v>
      </c>
      <c r="X1082" s="129">
        <v>0.58249170859999999</v>
      </c>
      <c r="Y1082" s="130">
        <v>3.7163161250999996</v>
      </c>
    </row>
    <row r="1083" spans="8:25" ht="15.5" x14ac:dyDescent="0.35">
      <c r="H1083" s="395"/>
      <c r="I1083" s="333" t="s">
        <v>1059</v>
      </c>
      <c r="J1083" s="396" t="s">
        <v>2120</v>
      </c>
      <c r="K1083" s="302"/>
      <c r="O1083" s="308"/>
      <c r="P1083" s="315">
        <v>1530</v>
      </c>
      <c r="Q1083" s="344"/>
      <c r="U1083" s="138" t="s">
        <v>1059</v>
      </c>
      <c r="V1083" s="131" t="s">
        <v>6917</v>
      </c>
      <c r="W1083" s="132">
        <v>0.72094057300000003</v>
      </c>
      <c r="X1083" s="129">
        <v>0.45661566833</v>
      </c>
      <c r="Y1083" s="130">
        <v>1.9519801729999999</v>
      </c>
    </row>
    <row r="1084" spans="8:25" ht="15.5" x14ac:dyDescent="0.35">
      <c r="H1084" s="395"/>
      <c r="I1084" s="333" t="s">
        <v>1059</v>
      </c>
      <c r="J1084" s="323" t="s">
        <v>2121</v>
      </c>
      <c r="K1084" s="302"/>
      <c r="O1084" s="308"/>
      <c r="P1084" s="315">
        <v>1530</v>
      </c>
      <c r="Q1084" s="344"/>
      <c r="U1084" s="138" t="s">
        <v>1059</v>
      </c>
      <c r="V1084" s="131" t="s">
        <v>6918</v>
      </c>
      <c r="W1084" s="132">
        <v>0.71315069600000003</v>
      </c>
      <c r="X1084" s="129">
        <v>0.44390639360999995</v>
      </c>
      <c r="Y1084" s="130">
        <v>2.0153418959999998</v>
      </c>
    </row>
    <row r="1085" spans="8:25" ht="15.5" x14ac:dyDescent="0.35">
      <c r="H1085" s="395"/>
      <c r="I1085" s="333" t="s">
        <v>1059</v>
      </c>
      <c r="J1085" s="323" t="s">
        <v>2122</v>
      </c>
      <c r="K1085" s="302"/>
      <c r="O1085" s="308"/>
      <c r="P1085" s="315">
        <v>1530</v>
      </c>
      <c r="Q1085" s="344"/>
      <c r="U1085" s="138" t="s">
        <v>1059</v>
      </c>
      <c r="V1085" s="131" t="s">
        <v>6919</v>
      </c>
      <c r="W1085" s="132">
        <v>0.89275809799999994</v>
      </c>
      <c r="X1085" s="129">
        <v>0.50234415243000008</v>
      </c>
      <c r="Y1085" s="130">
        <v>2.5077313979999998</v>
      </c>
    </row>
    <row r="1086" spans="8:25" ht="16" thickBot="1" x14ac:dyDescent="0.4">
      <c r="H1086" s="395"/>
      <c r="I1086" s="333" t="s">
        <v>1059</v>
      </c>
      <c r="J1086" s="323" t="s">
        <v>2123</v>
      </c>
      <c r="K1086" s="302"/>
      <c r="O1086" s="308"/>
      <c r="P1086" s="315">
        <v>1530</v>
      </c>
      <c r="Q1086" s="344"/>
      <c r="U1086" s="143" t="s">
        <v>1059</v>
      </c>
      <c r="V1086" s="144" t="s">
        <v>6920</v>
      </c>
      <c r="W1086" s="145">
        <v>0.57627514670000002</v>
      </c>
      <c r="X1086" s="146">
        <v>0.39759374210999998</v>
      </c>
      <c r="Y1086" s="147">
        <v>1.5900247466999999</v>
      </c>
    </row>
    <row r="1087" spans="8:25" ht="15.5" x14ac:dyDescent="0.35">
      <c r="H1087" s="395"/>
      <c r="I1087" s="333" t="s">
        <v>1059</v>
      </c>
      <c r="J1087" s="396" t="s">
        <v>2124</v>
      </c>
      <c r="K1087" s="302"/>
      <c r="O1087" s="308"/>
      <c r="P1087" s="315">
        <v>1530</v>
      </c>
      <c r="Q1087" s="344"/>
    </row>
    <row r="1088" spans="8:25" ht="15.5" x14ac:dyDescent="0.35">
      <c r="H1088" s="395"/>
      <c r="I1088" s="333" t="s">
        <v>1059</v>
      </c>
      <c r="J1088" s="396" t="s">
        <v>2125</v>
      </c>
      <c r="K1088" s="302"/>
      <c r="O1088" s="308"/>
      <c r="P1088" s="315">
        <v>1530</v>
      </c>
      <c r="Q1088" s="344"/>
    </row>
    <row r="1089" spans="8:17" ht="15.5" x14ac:dyDescent="0.35">
      <c r="H1089" s="395"/>
      <c r="I1089" s="333" t="s">
        <v>1059</v>
      </c>
      <c r="J1089" s="396" t="s">
        <v>2126</v>
      </c>
      <c r="K1089" s="302"/>
      <c r="O1089" s="308"/>
      <c r="P1089" s="315">
        <v>1530</v>
      </c>
      <c r="Q1089" s="344"/>
    </row>
    <row r="1090" spans="8:17" ht="15.5" x14ac:dyDescent="0.35">
      <c r="H1090" s="395"/>
      <c r="I1090" s="333" t="s">
        <v>1059</v>
      </c>
      <c r="J1090" s="396" t="s">
        <v>2127</v>
      </c>
      <c r="K1090" s="302"/>
      <c r="O1090" s="308"/>
      <c r="P1090" s="315">
        <v>1530</v>
      </c>
      <c r="Q1090" s="344"/>
    </row>
    <row r="1091" spans="8:17" ht="15.5" x14ac:dyDescent="0.35">
      <c r="H1091" s="395"/>
      <c r="I1091" s="333" t="s">
        <v>1059</v>
      </c>
      <c r="J1091" s="396" t="s">
        <v>2128</v>
      </c>
      <c r="K1091" s="302"/>
      <c r="O1091" s="308"/>
      <c r="P1091" s="315">
        <v>1530</v>
      </c>
      <c r="Q1091" s="344"/>
    </row>
    <row r="1092" spans="8:17" ht="15.5" x14ac:dyDescent="0.35">
      <c r="H1092" s="395"/>
      <c r="I1092" s="333" t="s">
        <v>1059</v>
      </c>
      <c r="J1092" s="396" t="s">
        <v>2129</v>
      </c>
      <c r="K1092" s="302"/>
      <c r="O1092" s="308"/>
      <c r="P1092" s="315">
        <v>1530</v>
      </c>
      <c r="Q1092" s="344"/>
    </row>
    <row r="1093" spans="8:17" ht="15.5" x14ac:dyDescent="0.35">
      <c r="H1093" s="395"/>
      <c r="I1093" s="333" t="s">
        <v>1059</v>
      </c>
      <c r="J1093" s="396" t="s">
        <v>2130</v>
      </c>
      <c r="K1093" s="302"/>
      <c r="O1093" s="308"/>
      <c r="P1093" s="315">
        <v>1530</v>
      </c>
      <c r="Q1093" s="344"/>
    </row>
    <row r="1094" spans="8:17" ht="15.5" x14ac:dyDescent="0.35">
      <c r="H1094" s="395"/>
      <c r="I1094" s="333" t="s">
        <v>1059</v>
      </c>
      <c r="J1094" s="323" t="s">
        <v>2131</v>
      </c>
      <c r="K1094" s="302"/>
      <c r="O1094" s="308"/>
      <c r="P1094" s="315" t="s">
        <v>2132</v>
      </c>
      <c r="Q1094" s="344"/>
    </row>
    <row r="1095" spans="8:17" ht="15.5" x14ac:dyDescent="0.35">
      <c r="H1095" s="384" t="s">
        <v>2133</v>
      </c>
      <c r="I1095" s="328"/>
      <c r="J1095" s="398"/>
      <c r="K1095" s="302"/>
      <c r="O1095" s="308"/>
      <c r="P1095" s="315"/>
      <c r="Q1095" s="344"/>
    </row>
    <row r="1096" spans="8:17" ht="15.5" x14ac:dyDescent="0.35">
      <c r="H1096" s="395"/>
      <c r="I1096" s="331" t="s">
        <v>1059</v>
      </c>
      <c r="J1096" s="396" t="s">
        <v>2134</v>
      </c>
      <c r="K1096" s="302"/>
      <c r="O1096" s="308"/>
      <c r="P1096" s="315">
        <v>17</v>
      </c>
      <c r="Q1096" s="344"/>
    </row>
    <row r="1097" spans="8:17" ht="15.5" x14ac:dyDescent="0.35">
      <c r="H1097" s="395"/>
      <c r="I1097" s="333" t="s">
        <v>1059</v>
      </c>
      <c r="J1097" s="396" t="s">
        <v>2135</v>
      </c>
      <c r="K1097" s="302"/>
      <c r="O1097" s="308"/>
      <c r="P1097" s="315">
        <v>17</v>
      </c>
      <c r="Q1097" s="344"/>
    </row>
    <row r="1098" spans="8:17" ht="15.5" x14ac:dyDescent="0.35">
      <c r="H1098" s="395"/>
      <c r="I1098" s="333" t="s">
        <v>1059</v>
      </c>
      <c r="J1098" s="396" t="s">
        <v>2136</v>
      </c>
      <c r="K1098" s="302"/>
      <c r="O1098" s="308"/>
      <c r="P1098" s="315">
        <v>17</v>
      </c>
      <c r="Q1098" s="344"/>
    </row>
    <row r="1099" spans="8:17" ht="15.5" x14ac:dyDescent="0.35">
      <c r="H1099" s="395"/>
      <c r="I1099" s="333" t="s">
        <v>1059</v>
      </c>
      <c r="J1099" s="396" t="s">
        <v>2135</v>
      </c>
      <c r="K1099" s="302"/>
      <c r="O1099" s="308"/>
      <c r="P1099" s="315">
        <v>17</v>
      </c>
      <c r="Q1099" s="344"/>
    </row>
    <row r="1100" spans="8:17" ht="15.5" x14ac:dyDescent="0.35">
      <c r="H1100" s="395"/>
      <c r="I1100" s="333" t="s">
        <v>1059</v>
      </c>
      <c r="J1100" s="396" t="s">
        <v>2136</v>
      </c>
      <c r="K1100" s="302"/>
      <c r="O1100" s="308"/>
      <c r="P1100" s="315">
        <v>17</v>
      </c>
      <c r="Q1100" s="344"/>
    </row>
    <row r="1101" spans="8:17" ht="15.5" x14ac:dyDescent="0.35">
      <c r="H1101" s="395"/>
      <c r="I1101" s="333" t="s">
        <v>1059</v>
      </c>
      <c r="J1101" s="396" t="s">
        <v>2137</v>
      </c>
      <c r="K1101" s="302"/>
      <c r="O1101" s="308"/>
      <c r="P1101" s="315">
        <v>17</v>
      </c>
      <c r="Q1101" s="344"/>
    </row>
    <row r="1102" spans="8:17" ht="15.5" x14ac:dyDescent="0.35">
      <c r="H1102" s="395"/>
      <c r="I1102" s="333" t="s">
        <v>1059</v>
      </c>
      <c r="J1102" s="396" t="s">
        <v>2138</v>
      </c>
      <c r="K1102" s="302"/>
      <c r="O1102" s="308"/>
      <c r="P1102" s="315">
        <v>17</v>
      </c>
      <c r="Q1102" s="344"/>
    </row>
    <row r="1103" spans="8:17" ht="15.5" x14ac:dyDescent="0.35">
      <c r="H1103" s="395"/>
      <c r="I1103" s="333" t="s">
        <v>1059</v>
      </c>
      <c r="J1103" s="396" t="s">
        <v>2139</v>
      </c>
      <c r="K1103" s="302"/>
      <c r="O1103" s="308"/>
      <c r="P1103" s="315">
        <v>17</v>
      </c>
      <c r="Q1103" s="344"/>
    </row>
    <row r="1104" spans="8:17" ht="15.5" x14ac:dyDescent="0.35">
      <c r="H1104" s="395"/>
      <c r="I1104" s="333" t="s">
        <v>1059</v>
      </c>
      <c r="J1104" s="396" t="s">
        <v>2140</v>
      </c>
      <c r="K1104" s="302"/>
      <c r="O1104" s="308"/>
      <c r="P1104" s="315">
        <v>17</v>
      </c>
      <c r="Q1104" s="344"/>
    </row>
    <row r="1105" spans="8:17" ht="15.5" x14ac:dyDescent="0.35">
      <c r="H1105" s="395"/>
      <c r="I1105" s="333" t="s">
        <v>1059</v>
      </c>
      <c r="J1105" s="396" t="s">
        <v>2141</v>
      </c>
      <c r="K1105" s="302"/>
      <c r="O1105" s="308"/>
      <c r="P1105" s="315">
        <v>17</v>
      </c>
      <c r="Q1105" s="344"/>
    </row>
    <row r="1106" spans="8:17" ht="15.5" x14ac:dyDescent="0.35">
      <c r="H1106" s="395"/>
      <c r="I1106" s="333" t="s">
        <v>1059</v>
      </c>
      <c r="J1106" s="396" t="s">
        <v>2142</v>
      </c>
      <c r="K1106" s="302"/>
      <c r="O1106" s="308"/>
      <c r="P1106" s="315">
        <v>17</v>
      </c>
      <c r="Q1106" s="344"/>
    </row>
    <row r="1107" spans="8:17" ht="15.5" x14ac:dyDescent="0.35">
      <c r="H1107" s="395"/>
      <c r="I1107" s="333" t="s">
        <v>1059</v>
      </c>
      <c r="J1107" s="396" t="s">
        <v>2143</v>
      </c>
      <c r="K1107" s="302"/>
      <c r="O1107" s="308"/>
      <c r="P1107" s="315">
        <v>17</v>
      </c>
      <c r="Q1107" s="344"/>
    </row>
    <row r="1108" spans="8:17" ht="15.5" x14ac:dyDescent="0.35">
      <c r="H1108" s="395"/>
      <c r="I1108" s="333" t="s">
        <v>1059</v>
      </c>
      <c r="J1108" s="396" t="s">
        <v>2122</v>
      </c>
      <c r="K1108" s="302"/>
      <c r="O1108" s="308"/>
      <c r="P1108" s="315">
        <v>17</v>
      </c>
      <c r="Q1108" s="344"/>
    </row>
    <row r="1109" spans="8:17" ht="15.5" x14ac:dyDescent="0.35">
      <c r="H1109" s="395"/>
      <c r="I1109" s="333" t="s">
        <v>1059</v>
      </c>
      <c r="J1109" s="396" t="s">
        <v>2144</v>
      </c>
      <c r="K1109" s="302"/>
      <c r="O1109" s="308"/>
      <c r="P1109" s="315">
        <v>17</v>
      </c>
      <c r="Q1109" s="344"/>
    </row>
    <row r="1110" spans="8:17" ht="15.5" x14ac:dyDescent="0.35">
      <c r="H1110" s="395"/>
      <c r="I1110" s="333" t="s">
        <v>1059</v>
      </c>
      <c r="J1110" s="396" t="s">
        <v>2145</v>
      </c>
      <c r="K1110" s="302"/>
      <c r="O1110" s="308"/>
      <c r="P1110" s="315">
        <v>17</v>
      </c>
      <c r="Q1110" s="344"/>
    </row>
    <row r="1111" spans="8:17" ht="15.5" x14ac:dyDescent="0.35">
      <c r="H1111" s="395"/>
      <c r="I1111" s="333" t="s">
        <v>1059</v>
      </c>
      <c r="J1111" s="396" t="s">
        <v>2146</v>
      </c>
      <c r="K1111" s="302"/>
      <c r="O1111" s="308"/>
      <c r="P1111" s="315">
        <v>17</v>
      </c>
      <c r="Q1111" s="344"/>
    </row>
    <row r="1112" spans="8:17" ht="15.5" x14ac:dyDescent="0.35">
      <c r="H1112" s="395"/>
      <c r="I1112" s="331" t="s">
        <v>1059</v>
      </c>
      <c r="J1112" s="396" t="s">
        <v>2147</v>
      </c>
      <c r="K1112" s="302"/>
      <c r="O1112" s="308"/>
      <c r="P1112" s="315">
        <v>17</v>
      </c>
      <c r="Q1112" s="344"/>
    </row>
    <row r="1113" spans="8:17" ht="15.5" x14ac:dyDescent="0.35">
      <c r="H1113" s="395"/>
      <c r="I1113" s="333" t="s">
        <v>1059</v>
      </c>
      <c r="J1113" s="396" t="s">
        <v>2148</v>
      </c>
      <c r="K1113" s="302"/>
      <c r="O1113" s="308"/>
      <c r="P1113" s="315">
        <v>17</v>
      </c>
      <c r="Q1113" s="344"/>
    </row>
    <row r="1114" spans="8:17" ht="15.5" x14ac:dyDescent="0.35">
      <c r="H1114" s="1842" t="s">
        <v>2149</v>
      </c>
      <c r="I1114" s="1843"/>
      <c r="J1114" s="1844"/>
      <c r="K1114" s="302"/>
      <c r="O1114" s="308"/>
      <c r="P1114" s="315"/>
      <c r="Q1114" s="344"/>
    </row>
    <row r="1115" spans="8:17" ht="15.5" x14ac:dyDescent="0.35">
      <c r="H1115" s="395"/>
      <c r="I1115" s="333" t="s">
        <v>1059</v>
      </c>
      <c r="J1115" s="396" t="s">
        <v>2150</v>
      </c>
      <c r="K1115" s="302"/>
      <c r="O1115" s="308"/>
      <c r="P1115" s="315">
        <v>10</v>
      </c>
      <c r="Q1115" s="344"/>
    </row>
    <row r="1116" spans="8:17" ht="15.5" x14ac:dyDescent="0.35">
      <c r="H1116" s="395"/>
      <c r="I1116" s="333" t="s">
        <v>1059</v>
      </c>
      <c r="J1116" s="396" t="s">
        <v>2151</v>
      </c>
      <c r="K1116" s="302"/>
      <c r="O1116" s="308"/>
      <c r="P1116" s="315">
        <v>10</v>
      </c>
      <c r="Q1116" s="344"/>
    </row>
    <row r="1117" spans="8:17" ht="15.5" x14ac:dyDescent="0.35">
      <c r="H1117" s="395"/>
      <c r="I1117" s="333" t="s">
        <v>1059</v>
      </c>
      <c r="J1117" s="396" t="s">
        <v>2152</v>
      </c>
      <c r="K1117" s="302"/>
      <c r="O1117" s="308"/>
      <c r="P1117" s="315">
        <v>10</v>
      </c>
      <c r="Q1117" s="344"/>
    </row>
    <row r="1118" spans="8:17" ht="15.5" x14ac:dyDescent="0.35">
      <c r="H1118" s="395"/>
      <c r="I1118" s="333" t="s">
        <v>1059</v>
      </c>
      <c r="J1118" s="396" t="s">
        <v>2153</v>
      </c>
      <c r="K1118" s="302"/>
      <c r="O1118" s="308"/>
      <c r="P1118" s="315">
        <v>10</v>
      </c>
      <c r="Q1118" s="344"/>
    </row>
    <row r="1119" spans="8:17" ht="15.5" x14ac:dyDescent="0.35">
      <c r="H1119" s="395"/>
      <c r="I1119" s="333" t="s">
        <v>1059</v>
      </c>
      <c r="J1119" s="396" t="s">
        <v>2154</v>
      </c>
      <c r="K1119" s="302"/>
      <c r="O1119" s="308"/>
      <c r="P1119" s="315">
        <v>10</v>
      </c>
      <c r="Q1119" s="344"/>
    </row>
    <row r="1120" spans="8:17" ht="15.5" x14ac:dyDescent="0.35">
      <c r="H1120" s="395"/>
      <c r="I1120" s="333" t="s">
        <v>1059</v>
      </c>
      <c r="J1120" s="396" t="s">
        <v>2155</v>
      </c>
      <c r="K1120" s="302"/>
      <c r="O1120" s="308"/>
      <c r="P1120" s="315">
        <v>10</v>
      </c>
      <c r="Q1120" s="344"/>
    </row>
    <row r="1121" spans="8:17" ht="15.5" x14ac:dyDescent="0.35">
      <c r="H1121" s="395"/>
      <c r="I1121" s="333" t="s">
        <v>1059</v>
      </c>
      <c r="J1121" s="396" t="s">
        <v>2156</v>
      </c>
      <c r="K1121" s="302"/>
      <c r="O1121" s="308"/>
      <c r="P1121" s="315">
        <v>10</v>
      </c>
      <c r="Q1121" s="344"/>
    </row>
    <row r="1122" spans="8:17" ht="15.5" x14ac:dyDescent="0.35">
      <c r="H1122" s="395"/>
      <c r="I1122" s="333" t="s">
        <v>1059</v>
      </c>
      <c r="J1122" s="396" t="s">
        <v>2157</v>
      </c>
      <c r="K1122" s="302"/>
      <c r="O1122" s="308"/>
      <c r="P1122" s="315">
        <v>10</v>
      </c>
      <c r="Q1122" s="344"/>
    </row>
    <row r="1123" spans="8:17" ht="15.5" x14ac:dyDescent="0.35">
      <c r="H1123" s="395"/>
      <c r="I1123" s="333" t="s">
        <v>1059</v>
      </c>
      <c r="J1123" s="396" t="s">
        <v>2158</v>
      </c>
      <c r="K1123" s="302"/>
      <c r="O1123" s="308"/>
      <c r="P1123" s="315">
        <v>10</v>
      </c>
      <c r="Q1123" s="344"/>
    </row>
    <row r="1124" spans="8:17" ht="16" thickBot="1" x14ac:dyDescent="0.4">
      <c r="H1124" s="399"/>
      <c r="I1124" s="329" t="s">
        <v>1059</v>
      </c>
      <c r="J1124" s="400"/>
      <c r="K1124" s="306"/>
      <c r="O1124" s="309"/>
      <c r="P1124" s="316"/>
      <c r="Q1124" s="157"/>
    </row>
  </sheetData>
  <sheetProtection algorithmName="SHA-512" hashValue="SA5cydDPclgfxa0P7EZng0DCcyrnRBmoTi2dxpy86syxfFNLM6GMbSJyXL62nUF9ohs4KF9u9wh8DJarDfmtgw==" saltValue="xSeKx8TnU4d3u00p3HbG3A==" spinCount="100000" sheet="1" selectLockedCells="1" selectUnlockedCells="1"/>
  <mergeCells count="2">
    <mergeCell ref="H1114:J1114"/>
    <mergeCell ref="AC4:AF4"/>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1"/>
  <dimension ref="A1:M95"/>
  <sheetViews>
    <sheetView zoomScale="90" zoomScaleNormal="90" workbookViewId="0">
      <pane ySplit="4" topLeftCell="A5" activePane="bottomLeft" state="frozen"/>
      <selection activeCell="G28" sqref="G28"/>
      <selection pane="bottomLeft"/>
    </sheetView>
  </sheetViews>
  <sheetFormatPr defaultColWidth="9.1796875" defaultRowHeight="14.5" x14ac:dyDescent="0.35"/>
  <cols>
    <col min="1" max="1" width="5.453125" style="872" customWidth="1"/>
    <col min="2" max="2" width="6.453125" style="872" customWidth="1"/>
    <col min="3" max="3" width="70.453125" style="872" customWidth="1"/>
    <col min="4" max="4" width="11.81640625" style="1568" customWidth="1"/>
    <col min="5" max="5" width="9" style="1568" customWidth="1"/>
    <col min="6" max="6" width="9.453125" style="872" customWidth="1"/>
    <col min="7" max="7" width="9.81640625" style="872" customWidth="1"/>
    <col min="8" max="8" width="11.1796875" style="872" customWidth="1"/>
    <col min="9" max="9" width="9.81640625" style="872" customWidth="1"/>
    <col min="10" max="10" width="10.6328125" style="872" customWidth="1"/>
    <col min="11" max="11" width="12.453125" style="872" customWidth="1"/>
    <col min="12" max="16384" width="9.1796875" style="872"/>
  </cols>
  <sheetData>
    <row r="1" spans="1:13" ht="15" thickBot="1" x14ac:dyDescent="0.4"/>
    <row r="2" spans="1:13" ht="21.75" customHeight="1" thickBot="1" x14ac:dyDescent="0.4">
      <c r="A2" s="1569"/>
      <c r="B2" s="1570"/>
      <c r="C2" s="1571" t="s">
        <v>8485</v>
      </c>
      <c r="D2" s="1572"/>
      <c r="E2" s="1573"/>
      <c r="G2" s="1574"/>
    </row>
    <row r="3" spans="1:13" ht="45" customHeight="1" thickTop="1" thickBot="1" x14ac:dyDescent="0.4">
      <c r="A3" s="1850" t="s">
        <v>89</v>
      </c>
      <c r="B3" s="1851"/>
      <c r="C3" s="1852" t="s">
        <v>8232</v>
      </c>
      <c r="D3" s="1853"/>
      <c r="E3" s="1853"/>
      <c r="F3" s="1853"/>
      <c r="G3" s="1853"/>
      <c r="H3" s="1853"/>
      <c r="I3" s="1853"/>
      <c r="J3" s="1853"/>
      <c r="K3" s="1853"/>
      <c r="L3" s="1853"/>
      <c r="M3" s="1853"/>
    </row>
    <row r="4" spans="1:13" ht="73.5" thickTop="1" thickBot="1" x14ac:dyDescent="0.4">
      <c r="A4" s="1575" t="s">
        <v>455</v>
      </c>
      <c r="B4" s="1576" t="s">
        <v>829</v>
      </c>
      <c r="C4" s="1577" t="s">
        <v>7734</v>
      </c>
      <c r="D4" s="1578" t="s">
        <v>830</v>
      </c>
      <c r="E4" s="1578" t="s">
        <v>831</v>
      </c>
      <c r="F4" s="1578" t="s">
        <v>832</v>
      </c>
      <c r="G4" s="1578" t="s">
        <v>833</v>
      </c>
      <c r="H4" s="1578" t="s">
        <v>7427</v>
      </c>
      <c r="I4" s="1578" t="s">
        <v>834</v>
      </c>
      <c r="J4" s="1578" t="s">
        <v>835</v>
      </c>
      <c r="K4" s="1578" t="s">
        <v>7736</v>
      </c>
      <c r="L4" s="1578" t="s">
        <v>837</v>
      </c>
      <c r="M4" s="1578" t="s">
        <v>838</v>
      </c>
    </row>
    <row r="5" spans="1:13" ht="15.5" thickTop="1" thickBot="1" x14ac:dyDescent="0.4">
      <c r="A5" s="1579"/>
      <c r="B5" s="1580"/>
      <c r="C5" s="1581"/>
      <c r="D5" s="1582"/>
      <c r="E5" s="1582"/>
      <c r="F5" s="1583"/>
      <c r="G5" s="1584"/>
      <c r="H5" s="1585"/>
      <c r="I5" s="1585"/>
      <c r="J5" s="1585"/>
      <c r="K5" s="1585"/>
      <c r="L5" s="1585"/>
      <c r="M5" s="1585"/>
    </row>
    <row r="6" spans="1:13" ht="15" thickBot="1" x14ac:dyDescent="0.4">
      <c r="A6" s="1579"/>
      <c r="B6" s="1580"/>
      <c r="C6" s="1586" t="s">
        <v>839</v>
      </c>
      <c r="D6" s="1587">
        <f>SUM(D13:D27)/11</f>
        <v>0</v>
      </c>
      <c r="E6" s="1587">
        <f t="shared" ref="E6:M6" si="0">SUM(E13:E27)/11</f>
        <v>0</v>
      </c>
      <c r="F6" s="1587">
        <f t="shared" si="0"/>
        <v>0</v>
      </c>
      <c r="G6" s="1587">
        <f t="shared" si="0"/>
        <v>0</v>
      </c>
      <c r="H6" s="1587">
        <f t="shared" si="0"/>
        <v>0</v>
      </c>
      <c r="I6" s="1587">
        <f t="shared" si="0"/>
        <v>0</v>
      </c>
      <c r="J6" s="1587">
        <f t="shared" si="0"/>
        <v>0</v>
      </c>
      <c r="K6" s="1587">
        <f t="shared" si="0"/>
        <v>0</v>
      </c>
      <c r="L6" s="1587">
        <f t="shared" si="0"/>
        <v>0</v>
      </c>
      <c r="M6" s="1587">
        <f t="shared" si="0"/>
        <v>0</v>
      </c>
    </row>
    <row r="7" spans="1:13" ht="15" thickBot="1" x14ac:dyDescent="0.4">
      <c r="A7" s="1579"/>
      <c r="B7" s="1580"/>
      <c r="C7" s="1586" t="s">
        <v>840</v>
      </c>
      <c r="D7" s="1587">
        <f>SUM(D28:D67)/32</f>
        <v>0</v>
      </c>
      <c r="E7" s="1587">
        <f t="shared" ref="E7:M7" si="1">SUM(E28:E67)/32</f>
        <v>0</v>
      </c>
      <c r="F7" s="1587">
        <f t="shared" si="1"/>
        <v>0</v>
      </c>
      <c r="G7" s="1587">
        <f t="shared" si="1"/>
        <v>0</v>
      </c>
      <c r="H7" s="1587">
        <f t="shared" si="1"/>
        <v>0</v>
      </c>
      <c r="I7" s="1587">
        <f t="shared" si="1"/>
        <v>0</v>
      </c>
      <c r="J7" s="1587">
        <f t="shared" si="1"/>
        <v>0</v>
      </c>
      <c r="K7" s="1587">
        <f t="shared" si="1"/>
        <v>0</v>
      </c>
      <c r="L7" s="1587">
        <f t="shared" si="1"/>
        <v>0</v>
      </c>
      <c r="M7" s="1587">
        <f t="shared" si="1"/>
        <v>0</v>
      </c>
    </row>
    <row r="8" spans="1:13" ht="15" thickBot="1" x14ac:dyDescent="0.4">
      <c r="A8" s="1579"/>
      <c r="B8" s="1580"/>
      <c r="C8" s="1586" t="s">
        <v>841</v>
      </c>
      <c r="D8" s="1587">
        <f>SUM(D68:D88)/16</f>
        <v>0</v>
      </c>
      <c r="E8" s="1587">
        <f t="shared" ref="E8:M8" si="2">SUM(E68:E88)/16</f>
        <v>0</v>
      </c>
      <c r="F8" s="1587">
        <f t="shared" si="2"/>
        <v>0</v>
      </c>
      <c r="G8" s="1587">
        <f t="shared" si="2"/>
        <v>0</v>
      </c>
      <c r="H8" s="1587">
        <f t="shared" si="2"/>
        <v>0</v>
      </c>
      <c r="I8" s="1587">
        <f t="shared" si="2"/>
        <v>0</v>
      </c>
      <c r="J8" s="1587">
        <f t="shared" si="2"/>
        <v>0</v>
      </c>
      <c r="K8" s="1587">
        <f t="shared" si="2"/>
        <v>0</v>
      </c>
      <c r="L8" s="1587">
        <f t="shared" si="2"/>
        <v>0</v>
      </c>
      <c r="M8" s="1587">
        <f t="shared" si="2"/>
        <v>0</v>
      </c>
    </row>
    <row r="9" spans="1:13" ht="15" thickBot="1" x14ac:dyDescent="0.4">
      <c r="A9" s="1579"/>
      <c r="B9" s="1580"/>
      <c r="C9" s="1586" t="s">
        <v>842</v>
      </c>
      <c r="D9" s="1588">
        <f>SUM(D89:D93)/4</f>
        <v>0</v>
      </c>
      <c r="E9" s="1588">
        <f t="shared" ref="E9:M9" si="3">SUM(E89:E93)/4</f>
        <v>0</v>
      </c>
      <c r="F9" s="1588">
        <f t="shared" si="3"/>
        <v>0</v>
      </c>
      <c r="G9" s="1588">
        <f t="shared" si="3"/>
        <v>0</v>
      </c>
      <c r="H9" s="1588">
        <f t="shared" si="3"/>
        <v>0</v>
      </c>
      <c r="I9" s="1588">
        <f t="shared" si="3"/>
        <v>0</v>
      </c>
      <c r="J9" s="1588">
        <f t="shared" si="3"/>
        <v>0</v>
      </c>
      <c r="K9" s="1588">
        <f t="shared" si="3"/>
        <v>0</v>
      </c>
      <c r="L9" s="1588">
        <f t="shared" si="3"/>
        <v>0</v>
      </c>
      <c r="M9" s="1588">
        <f t="shared" si="3"/>
        <v>0</v>
      </c>
    </row>
    <row r="10" spans="1:13" ht="15" thickBot="1" x14ac:dyDescent="0.4">
      <c r="A10" s="1579"/>
      <c r="B10" s="1580"/>
      <c r="C10" s="1589" t="s">
        <v>843</v>
      </c>
      <c r="D10" s="1590">
        <f t="shared" ref="D10:L10" si="4">D6*D7*D8*D9</f>
        <v>0</v>
      </c>
      <c r="E10" s="1590">
        <f>E6*E7*E8*E9</f>
        <v>0</v>
      </c>
      <c r="F10" s="1590">
        <f t="shared" si="4"/>
        <v>0</v>
      </c>
      <c r="G10" s="1590">
        <f t="shared" si="4"/>
        <v>0</v>
      </c>
      <c r="H10" s="1590">
        <f t="shared" si="4"/>
        <v>0</v>
      </c>
      <c r="I10" s="1590">
        <f t="shared" si="4"/>
        <v>0</v>
      </c>
      <c r="J10" s="1590">
        <f t="shared" si="4"/>
        <v>0</v>
      </c>
      <c r="K10" s="1590">
        <f t="shared" si="4"/>
        <v>0</v>
      </c>
      <c r="L10" s="1590">
        <f t="shared" si="4"/>
        <v>0</v>
      </c>
      <c r="M10" s="1590">
        <f>M6*M7*M8*M9</f>
        <v>0</v>
      </c>
    </row>
    <row r="11" spans="1:13" ht="15.5" thickTop="1" thickBot="1" x14ac:dyDescent="0.4">
      <c r="A11" s="1579"/>
      <c r="B11" s="1580"/>
      <c r="C11" s="1591" t="s">
        <v>844</v>
      </c>
      <c r="D11" s="1592">
        <f t="shared" ref="D11:L11" si="5">1-D10</f>
        <v>1</v>
      </c>
      <c r="E11" s="1592">
        <f>1-E10</f>
        <v>1</v>
      </c>
      <c r="F11" s="1592">
        <f t="shared" si="5"/>
        <v>1</v>
      </c>
      <c r="G11" s="1592">
        <f t="shared" si="5"/>
        <v>1</v>
      </c>
      <c r="H11" s="1592">
        <f t="shared" si="5"/>
        <v>1</v>
      </c>
      <c r="I11" s="1592">
        <f t="shared" si="5"/>
        <v>1</v>
      </c>
      <c r="J11" s="1592">
        <f t="shared" si="5"/>
        <v>1</v>
      </c>
      <c r="K11" s="1592">
        <f t="shared" si="5"/>
        <v>1</v>
      </c>
      <c r="L11" s="1592">
        <f t="shared" si="5"/>
        <v>1</v>
      </c>
      <c r="M11" s="1592">
        <f>1-M10</f>
        <v>1</v>
      </c>
    </row>
    <row r="12" spans="1:13" ht="34.5" customHeight="1" thickTop="1" x14ac:dyDescent="0.35">
      <c r="A12" s="1579"/>
      <c r="B12" s="1580"/>
      <c r="C12" s="1581"/>
      <c r="D12" s="1846" t="s">
        <v>8314</v>
      </c>
      <c r="E12" s="1847"/>
      <c r="F12" s="1847"/>
      <c r="G12" s="1847"/>
      <c r="H12" s="1847"/>
      <c r="I12" s="1847"/>
      <c r="J12" s="1847"/>
      <c r="K12" s="1847"/>
    </row>
    <row r="13" spans="1:13" ht="15" thickBot="1" x14ac:dyDescent="0.4">
      <c r="A13" s="1593">
        <v>1</v>
      </c>
      <c r="B13" s="1594" t="s">
        <v>839</v>
      </c>
      <c r="C13" s="1595" t="s">
        <v>845</v>
      </c>
      <c r="D13" s="1596"/>
      <c r="E13" s="1597"/>
      <c r="F13" s="1598"/>
      <c r="G13" s="1598"/>
      <c r="H13" s="1598"/>
      <c r="I13" s="1598"/>
      <c r="J13" s="1598"/>
      <c r="K13" s="1598"/>
      <c r="L13" s="1598"/>
      <c r="M13" s="1598"/>
    </row>
    <row r="14" spans="1:13" ht="29.5" thickBot="1" x14ac:dyDescent="0.4">
      <c r="A14" s="1599"/>
      <c r="B14" s="1600" t="s">
        <v>846</v>
      </c>
      <c r="C14" s="1601" t="s">
        <v>847</v>
      </c>
      <c r="D14" s="1996">
        <v>0</v>
      </c>
      <c r="E14" s="1996">
        <v>0</v>
      </c>
      <c r="F14" s="1996">
        <v>0</v>
      </c>
      <c r="G14" s="1996">
        <v>0</v>
      </c>
      <c r="H14" s="1996">
        <v>0</v>
      </c>
      <c r="I14" s="1996">
        <v>0</v>
      </c>
      <c r="J14" s="1996">
        <v>0</v>
      </c>
      <c r="K14" s="1996">
        <v>0</v>
      </c>
      <c r="L14" s="1996">
        <v>0</v>
      </c>
      <c r="M14" s="1996">
        <v>0</v>
      </c>
    </row>
    <row r="15" spans="1:13" ht="15" thickBot="1" x14ac:dyDescent="0.4">
      <c r="A15" s="1599"/>
      <c r="B15" s="1600" t="s">
        <v>848</v>
      </c>
      <c r="C15" s="1601" t="s">
        <v>849</v>
      </c>
      <c r="D15" s="1996">
        <v>0</v>
      </c>
      <c r="E15" s="1996">
        <v>0</v>
      </c>
      <c r="F15" s="1996">
        <v>0</v>
      </c>
      <c r="G15" s="1996">
        <v>0</v>
      </c>
      <c r="H15" s="1996">
        <v>0</v>
      </c>
      <c r="I15" s="1996">
        <v>0</v>
      </c>
      <c r="J15" s="1996">
        <v>0</v>
      </c>
      <c r="K15" s="1996">
        <v>0</v>
      </c>
      <c r="L15" s="1996">
        <v>0</v>
      </c>
      <c r="M15" s="1996">
        <v>0</v>
      </c>
    </row>
    <row r="16" spans="1:13" ht="29.5" thickBot="1" x14ac:dyDescent="0.4">
      <c r="A16" s="1599"/>
      <c r="B16" s="1600" t="s">
        <v>850</v>
      </c>
      <c r="C16" s="1601" t="s">
        <v>851</v>
      </c>
      <c r="D16" s="1996">
        <v>0</v>
      </c>
      <c r="E16" s="1996">
        <v>0</v>
      </c>
      <c r="F16" s="1996">
        <v>0</v>
      </c>
      <c r="G16" s="1996">
        <v>0</v>
      </c>
      <c r="H16" s="1996">
        <v>0</v>
      </c>
      <c r="I16" s="1996">
        <v>0</v>
      </c>
      <c r="J16" s="1996">
        <v>0</v>
      </c>
      <c r="K16" s="1996">
        <v>0</v>
      </c>
      <c r="L16" s="1996">
        <v>0</v>
      </c>
      <c r="M16" s="1996">
        <v>0</v>
      </c>
    </row>
    <row r="17" spans="1:13" ht="29.5" thickBot="1" x14ac:dyDescent="0.4">
      <c r="A17" s="1599"/>
      <c r="B17" s="1600" t="s">
        <v>852</v>
      </c>
      <c r="C17" s="1601" t="s">
        <v>853</v>
      </c>
      <c r="D17" s="1996">
        <v>0</v>
      </c>
      <c r="E17" s="1996">
        <v>0</v>
      </c>
      <c r="F17" s="1996">
        <v>0</v>
      </c>
      <c r="G17" s="1996">
        <v>0</v>
      </c>
      <c r="H17" s="1996">
        <v>0</v>
      </c>
      <c r="I17" s="1996">
        <v>0</v>
      </c>
      <c r="J17" s="1996">
        <v>0</v>
      </c>
      <c r="K17" s="1996">
        <v>0</v>
      </c>
      <c r="L17" s="1996">
        <v>0</v>
      </c>
      <c r="M17" s="1996">
        <v>0</v>
      </c>
    </row>
    <row r="18" spans="1:13" ht="15" thickBot="1" x14ac:dyDescent="0.4">
      <c r="A18" s="1593">
        <v>2</v>
      </c>
      <c r="B18" s="1594" t="s">
        <v>839</v>
      </c>
      <c r="C18" s="1602" t="s">
        <v>854</v>
      </c>
      <c r="D18" s="1596"/>
      <c r="E18" s="1596"/>
      <c r="F18" s="1598"/>
      <c r="G18" s="1598"/>
      <c r="H18" s="1598"/>
      <c r="I18" s="1598"/>
      <c r="J18" s="1598"/>
      <c r="K18" s="1598"/>
      <c r="L18" s="1598"/>
      <c r="M18" s="1598"/>
    </row>
    <row r="19" spans="1:13" ht="15" thickBot="1" x14ac:dyDescent="0.4">
      <c r="A19" s="1599"/>
      <c r="B19" s="1600" t="s">
        <v>855</v>
      </c>
      <c r="C19" s="1601" t="s">
        <v>856</v>
      </c>
      <c r="D19" s="1996">
        <v>0</v>
      </c>
      <c r="E19" s="1996">
        <v>0</v>
      </c>
      <c r="F19" s="1996">
        <v>0</v>
      </c>
      <c r="G19" s="1996">
        <v>0</v>
      </c>
      <c r="H19" s="1996">
        <v>0</v>
      </c>
      <c r="I19" s="1996">
        <v>0</v>
      </c>
      <c r="J19" s="1996">
        <v>0</v>
      </c>
      <c r="K19" s="1996">
        <v>0</v>
      </c>
      <c r="L19" s="1996">
        <v>0</v>
      </c>
      <c r="M19" s="1996">
        <v>0</v>
      </c>
    </row>
    <row r="20" spans="1:13" ht="15.75" customHeight="1" thickBot="1" x14ac:dyDescent="0.4">
      <c r="A20" s="1599"/>
      <c r="B20" s="1600" t="s">
        <v>857</v>
      </c>
      <c r="C20" s="1601" t="s">
        <v>858</v>
      </c>
      <c r="D20" s="1996">
        <v>0</v>
      </c>
      <c r="E20" s="1996">
        <v>0</v>
      </c>
      <c r="F20" s="1996">
        <v>0</v>
      </c>
      <c r="G20" s="1996">
        <v>0</v>
      </c>
      <c r="H20" s="1996">
        <v>0</v>
      </c>
      <c r="I20" s="1996">
        <v>0</v>
      </c>
      <c r="J20" s="1996">
        <v>0</v>
      </c>
      <c r="K20" s="1996">
        <v>0</v>
      </c>
      <c r="L20" s="1996">
        <v>0</v>
      </c>
      <c r="M20" s="1996">
        <v>0</v>
      </c>
    </row>
    <row r="21" spans="1:13" ht="18" customHeight="1" thickBot="1" x14ac:dyDescent="0.4">
      <c r="A21" s="1599"/>
      <c r="B21" s="1599" t="s">
        <v>857</v>
      </c>
      <c r="C21" s="1601" t="s">
        <v>859</v>
      </c>
      <c r="D21" s="1996">
        <v>0</v>
      </c>
      <c r="E21" s="1996">
        <v>0</v>
      </c>
      <c r="F21" s="1996">
        <v>0</v>
      </c>
      <c r="G21" s="1996">
        <v>0</v>
      </c>
      <c r="H21" s="1996">
        <v>0</v>
      </c>
      <c r="I21" s="1996">
        <v>0</v>
      </c>
      <c r="J21" s="1996">
        <v>0</v>
      </c>
      <c r="K21" s="1996">
        <v>0</v>
      </c>
      <c r="L21" s="1996">
        <v>0</v>
      </c>
      <c r="M21" s="1996">
        <v>0</v>
      </c>
    </row>
    <row r="22" spans="1:13" ht="29.5" thickBot="1" x14ac:dyDescent="0.4">
      <c r="A22" s="1599"/>
      <c r="B22" s="1600" t="s">
        <v>860</v>
      </c>
      <c r="C22" s="1601" t="s">
        <v>861</v>
      </c>
      <c r="D22" s="1996">
        <v>0</v>
      </c>
      <c r="E22" s="1996">
        <v>0</v>
      </c>
      <c r="F22" s="1996">
        <v>0</v>
      </c>
      <c r="G22" s="1996">
        <v>0</v>
      </c>
      <c r="H22" s="1996">
        <v>0</v>
      </c>
      <c r="I22" s="1996">
        <v>0</v>
      </c>
      <c r="J22" s="1996">
        <v>0</v>
      </c>
      <c r="K22" s="1996">
        <v>0</v>
      </c>
      <c r="L22" s="1996">
        <v>0</v>
      </c>
      <c r="M22" s="1996">
        <v>0</v>
      </c>
    </row>
    <row r="23" spans="1:13" ht="15" thickBot="1" x14ac:dyDescent="0.4">
      <c r="A23" s="1593">
        <v>3</v>
      </c>
      <c r="B23" s="1594" t="s">
        <v>839</v>
      </c>
      <c r="C23" s="1602" t="s">
        <v>862</v>
      </c>
      <c r="D23" s="1596"/>
      <c r="E23" s="1596"/>
      <c r="F23" s="1598"/>
      <c r="G23" s="1598"/>
      <c r="H23" s="1598"/>
      <c r="I23" s="1598"/>
      <c r="J23" s="1598"/>
      <c r="K23" s="1598"/>
      <c r="L23" s="1598"/>
      <c r="M23" s="1598"/>
    </row>
    <row r="24" spans="1:13" ht="40.5" customHeight="1" thickBot="1" x14ac:dyDescent="0.4">
      <c r="A24" s="1599"/>
      <c r="B24" s="1600" t="s">
        <v>863</v>
      </c>
      <c r="C24" s="1601" t="s">
        <v>7735</v>
      </c>
      <c r="D24" s="1996">
        <v>0</v>
      </c>
      <c r="E24" s="1996">
        <v>0</v>
      </c>
      <c r="F24" s="1996">
        <v>0</v>
      </c>
      <c r="G24" s="1996">
        <v>0</v>
      </c>
      <c r="H24" s="1996">
        <v>0</v>
      </c>
      <c r="I24" s="1996">
        <v>0</v>
      </c>
      <c r="J24" s="1996">
        <v>0</v>
      </c>
      <c r="K24" s="1996">
        <v>0</v>
      </c>
      <c r="L24" s="1996">
        <v>0</v>
      </c>
      <c r="M24" s="1996">
        <v>0</v>
      </c>
    </row>
    <row r="25" spans="1:13" ht="15" thickBot="1" x14ac:dyDescent="0.4">
      <c r="A25" s="1593">
        <v>4</v>
      </c>
      <c r="B25" s="1594" t="s">
        <v>839</v>
      </c>
      <c r="C25" s="1602" t="s">
        <v>864</v>
      </c>
      <c r="D25" s="1596"/>
      <c r="E25" s="1596"/>
      <c r="F25" s="1598"/>
      <c r="G25" s="1598"/>
      <c r="H25" s="1598"/>
      <c r="I25" s="1598"/>
      <c r="J25" s="1598"/>
      <c r="K25" s="1598"/>
      <c r="L25" s="1598"/>
      <c r="M25" s="1598"/>
    </row>
    <row r="26" spans="1:13" ht="29.5" thickBot="1" x14ac:dyDescent="0.4">
      <c r="A26" s="1599"/>
      <c r="B26" s="1600" t="s">
        <v>865</v>
      </c>
      <c r="C26" s="1601" t="s">
        <v>866</v>
      </c>
      <c r="D26" s="1996">
        <v>0</v>
      </c>
      <c r="E26" s="1996">
        <v>0</v>
      </c>
      <c r="F26" s="1996">
        <v>0</v>
      </c>
      <c r="G26" s="1996">
        <v>0</v>
      </c>
      <c r="H26" s="1996">
        <v>0</v>
      </c>
      <c r="I26" s="1996">
        <v>0</v>
      </c>
      <c r="J26" s="1996">
        <v>0</v>
      </c>
      <c r="K26" s="1996">
        <v>0</v>
      </c>
      <c r="L26" s="1996">
        <v>0</v>
      </c>
      <c r="M26" s="1996">
        <v>0</v>
      </c>
    </row>
    <row r="27" spans="1:13" ht="15.75" customHeight="1" thickBot="1" x14ac:dyDescent="0.4">
      <c r="A27" s="1599"/>
      <c r="B27" s="1600" t="s">
        <v>867</v>
      </c>
      <c r="C27" s="1601" t="s">
        <v>868</v>
      </c>
      <c r="D27" s="1996">
        <v>0</v>
      </c>
      <c r="E27" s="1996">
        <v>0</v>
      </c>
      <c r="F27" s="1996">
        <v>0</v>
      </c>
      <c r="G27" s="1996">
        <v>0</v>
      </c>
      <c r="H27" s="1996">
        <v>0</v>
      </c>
      <c r="I27" s="1996">
        <v>0</v>
      </c>
      <c r="J27" s="1996">
        <v>0</v>
      </c>
      <c r="K27" s="1996">
        <v>0</v>
      </c>
      <c r="L27" s="1996">
        <v>0</v>
      </c>
      <c r="M27" s="1996">
        <v>0</v>
      </c>
    </row>
    <row r="28" spans="1:13" ht="15" thickBot="1" x14ac:dyDescent="0.4">
      <c r="A28" s="1593">
        <v>5</v>
      </c>
      <c r="B28" s="1594" t="s">
        <v>840</v>
      </c>
      <c r="C28" s="1602" t="s">
        <v>869</v>
      </c>
      <c r="D28" s="1596"/>
      <c r="E28" s="1596"/>
      <c r="F28" s="1598"/>
      <c r="G28" s="1598"/>
      <c r="H28" s="1598"/>
      <c r="I28" s="1598"/>
      <c r="J28" s="1598"/>
      <c r="K28" s="1598"/>
      <c r="L28" s="1598"/>
      <c r="M28" s="1598"/>
    </row>
    <row r="29" spans="1:13" ht="15" thickBot="1" x14ac:dyDescent="0.4">
      <c r="A29" s="1599"/>
      <c r="B29" s="1600" t="s">
        <v>870</v>
      </c>
      <c r="C29" s="1601" t="s">
        <v>871</v>
      </c>
      <c r="D29" s="1996">
        <v>0</v>
      </c>
      <c r="E29" s="1996">
        <v>0</v>
      </c>
      <c r="F29" s="1996">
        <v>0</v>
      </c>
      <c r="G29" s="1996">
        <v>0</v>
      </c>
      <c r="H29" s="1996">
        <v>0</v>
      </c>
      <c r="I29" s="1996">
        <v>0</v>
      </c>
      <c r="J29" s="1996">
        <v>0</v>
      </c>
      <c r="K29" s="1996">
        <v>0</v>
      </c>
      <c r="L29" s="1996">
        <v>0</v>
      </c>
      <c r="M29" s="1996">
        <v>0</v>
      </c>
    </row>
    <row r="30" spans="1:13" ht="15" thickBot="1" x14ac:dyDescent="0.4">
      <c r="A30" s="1599"/>
      <c r="B30" s="1600" t="s">
        <v>872</v>
      </c>
      <c r="C30" s="1601" t="s">
        <v>873</v>
      </c>
      <c r="D30" s="1996">
        <v>0</v>
      </c>
      <c r="E30" s="1996">
        <v>0</v>
      </c>
      <c r="F30" s="1996">
        <v>0</v>
      </c>
      <c r="G30" s="1996">
        <v>0</v>
      </c>
      <c r="H30" s="1996">
        <v>0</v>
      </c>
      <c r="I30" s="1996">
        <v>0</v>
      </c>
      <c r="J30" s="1996">
        <v>0</v>
      </c>
      <c r="K30" s="1996">
        <v>0</v>
      </c>
      <c r="L30" s="1996">
        <v>0</v>
      </c>
      <c r="M30" s="1996">
        <v>0</v>
      </c>
    </row>
    <row r="31" spans="1:13" ht="29.5" thickBot="1" x14ac:dyDescent="0.4">
      <c r="A31" s="1599"/>
      <c r="B31" s="1600" t="s">
        <v>874</v>
      </c>
      <c r="C31" s="1601" t="s">
        <v>875</v>
      </c>
      <c r="D31" s="1996">
        <v>0</v>
      </c>
      <c r="E31" s="1996">
        <v>0</v>
      </c>
      <c r="F31" s="1996">
        <v>0</v>
      </c>
      <c r="G31" s="1996">
        <v>0</v>
      </c>
      <c r="H31" s="1996">
        <v>0</v>
      </c>
      <c r="I31" s="1996">
        <v>0</v>
      </c>
      <c r="J31" s="1996">
        <v>0</v>
      </c>
      <c r="K31" s="1996">
        <v>0</v>
      </c>
      <c r="L31" s="1996">
        <v>0</v>
      </c>
      <c r="M31" s="1996">
        <v>0</v>
      </c>
    </row>
    <row r="32" spans="1:13" ht="29.5" thickBot="1" x14ac:dyDescent="0.4">
      <c r="A32" s="1599"/>
      <c r="B32" s="1600" t="s">
        <v>876</v>
      </c>
      <c r="C32" s="1601" t="s">
        <v>877</v>
      </c>
      <c r="D32" s="1996">
        <v>0</v>
      </c>
      <c r="E32" s="1996">
        <v>0</v>
      </c>
      <c r="F32" s="1996">
        <v>0</v>
      </c>
      <c r="G32" s="1996">
        <v>0</v>
      </c>
      <c r="H32" s="1996">
        <v>0</v>
      </c>
      <c r="I32" s="1996">
        <v>0</v>
      </c>
      <c r="J32" s="1996">
        <v>0</v>
      </c>
      <c r="K32" s="1996">
        <v>0</v>
      </c>
      <c r="L32" s="1996">
        <v>0</v>
      </c>
      <c r="M32" s="1996">
        <v>0</v>
      </c>
    </row>
    <row r="33" spans="1:13" ht="15" thickBot="1" x14ac:dyDescent="0.4">
      <c r="A33" s="1593">
        <v>6</v>
      </c>
      <c r="B33" s="1594" t="s">
        <v>840</v>
      </c>
      <c r="C33" s="1602" t="s">
        <v>878</v>
      </c>
      <c r="D33" s="1596"/>
      <c r="E33" s="1596"/>
      <c r="F33" s="1598"/>
      <c r="G33" s="1598"/>
      <c r="H33" s="1598"/>
      <c r="I33" s="1598"/>
      <c r="J33" s="1598"/>
      <c r="K33" s="1598"/>
      <c r="L33" s="1598"/>
      <c r="M33" s="1598"/>
    </row>
    <row r="34" spans="1:13" ht="29.5" thickBot="1" x14ac:dyDescent="0.4">
      <c r="A34" s="1599"/>
      <c r="B34" s="1600" t="s">
        <v>879</v>
      </c>
      <c r="C34" s="1601" t="s">
        <v>880</v>
      </c>
      <c r="D34" s="1996">
        <v>0</v>
      </c>
      <c r="E34" s="1996">
        <v>0</v>
      </c>
      <c r="F34" s="1996">
        <v>0</v>
      </c>
      <c r="G34" s="1996">
        <v>0</v>
      </c>
      <c r="H34" s="1996">
        <v>0</v>
      </c>
      <c r="I34" s="1996">
        <v>0</v>
      </c>
      <c r="J34" s="1996">
        <v>0</v>
      </c>
      <c r="K34" s="1996">
        <v>0</v>
      </c>
      <c r="L34" s="1996">
        <v>0</v>
      </c>
      <c r="M34" s="1996">
        <v>0</v>
      </c>
    </row>
    <row r="35" spans="1:13" ht="15" thickBot="1" x14ac:dyDescent="0.4">
      <c r="A35" s="1599"/>
      <c r="B35" s="1600" t="s">
        <v>881</v>
      </c>
      <c r="C35" s="1601" t="s">
        <v>882</v>
      </c>
      <c r="D35" s="1996">
        <v>0</v>
      </c>
      <c r="E35" s="1996">
        <v>0</v>
      </c>
      <c r="F35" s="1996">
        <v>0</v>
      </c>
      <c r="G35" s="1996">
        <v>0</v>
      </c>
      <c r="H35" s="1996">
        <v>0</v>
      </c>
      <c r="I35" s="1996">
        <v>0</v>
      </c>
      <c r="J35" s="1996">
        <v>0</v>
      </c>
      <c r="K35" s="1996">
        <v>0</v>
      </c>
      <c r="L35" s="1996">
        <v>0</v>
      </c>
      <c r="M35" s="1996">
        <v>0</v>
      </c>
    </row>
    <row r="36" spans="1:13" ht="29.5" thickBot="1" x14ac:dyDescent="0.4">
      <c r="A36" s="1599"/>
      <c r="B36" s="1600" t="s">
        <v>883</v>
      </c>
      <c r="C36" s="1601" t="s">
        <v>884</v>
      </c>
      <c r="D36" s="1996">
        <v>0</v>
      </c>
      <c r="E36" s="1996">
        <v>0</v>
      </c>
      <c r="F36" s="1996">
        <v>0</v>
      </c>
      <c r="G36" s="1996">
        <v>0</v>
      </c>
      <c r="H36" s="1996">
        <v>0</v>
      </c>
      <c r="I36" s="1996">
        <v>0</v>
      </c>
      <c r="J36" s="1996">
        <v>0</v>
      </c>
      <c r="K36" s="1996">
        <v>0</v>
      </c>
      <c r="L36" s="1996">
        <v>0</v>
      </c>
      <c r="M36" s="1996">
        <v>0</v>
      </c>
    </row>
    <row r="37" spans="1:13" ht="15" thickBot="1" x14ac:dyDescent="0.4">
      <c r="A37" s="1593">
        <v>7</v>
      </c>
      <c r="B37" s="1594" t="s">
        <v>840</v>
      </c>
      <c r="C37" s="1602" t="s">
        <v>885</v>
      </c>
      <c r="D37" s="1596"/>
      <c r="E37" s="1596"/>
      <c r="F37" s="1598"/>
      <c r="G37" s="1598"/>
      <c r="H37" s="1598"/>
      <c r="I37" s="1598"/>
      <c r="J37" s="1598"/>
      <c r="K37" s="1598"/>
      <c r="L37" s="1598"/>
      <c r="M37" s="1598"/>
    </row>
    <row r="38" spans="1:13" ht="15" thickBot="1" x14ac:dyDescent="0.4">
      <c r="A38" s="1599"/>
      <c r="B38" s="1600" t="s">
        <v>886</v>
      </c>
      <c r="C38" s="1601" t="s">
        <v>887</v>
      </c>
      <c r="D38" s="1996">
        <v>0</v>
      </c>
      <c r="E38" s="1996">
        <v>0</v>
      </c>
      <c r="F38" s="1996">
        <v>0</v>
      </c>
      <c r="G38" s="1996">
        <v>0</v>
      </c>
      <c r="H38" s="1996">
        <v>0</v>
      </c>
      <c r="I38" s="1996">
        <v>0</v>
      </c>
      <c r="J38" s="1996">
        <v>0</v>
      </c>
      <c r="K38" s="1996">
        <v>0</v>
      </c>
      <c r="L38" s="1996">
        <v>0</v>
      </c>
      <c r="M38" s="1996">
        <v>0</v>
      </c>
    </row>
    <row r="39" spans="1:13" ht="29.5" thickBot="1" x14ac:dyDescent="0.4">
      <c r="A39" s="1599"/>
      <c r="B39" s="1600" t="s">
        <v>888</v>
      </c>
      <c r="C39" s="1601" t="s">
        <v>889</v>
      </c>
      <c r="D39" s="1996">
        <v>0</v>
      </c>
      <c r="E39" s="1996">
        <v>0</v>
      </c>
      <c r="F39" s="1996">
        <v>0</v>
      </c>
      <c r="G39" s="1996">
        <v>0</v>
      </c>
      <c r="H39" s="1996">
        <v>0</v>
      </c>
      <c r="I39" s="1996">
        <v>0</v>
      </c>
      <c r="J39" s="1996">
        <v>0</v>
      </c>
      <c r="K39" s="1996">
        <v>0</v>
      </c>
      <c r="L39" s="1996">
        <v>0</v>
      </c>
      <c r="M39" s="1996">
        <v>0</v>
      </c>
    </row>
    <row r="40" spans="1:13" ht="29.5" thickBot="1" x14ac:dyDescent="0.4">
      <c r="A40" s="1599"/>
      <c r="B40" s="1600" t="s">
        <v>890</v>
      </c>
      <c r="C40" s="1601" t="s">
        <v>891</v>
      </c>
      <c r="D40" s="1996">
        <v>0</v>
      </c>
      <c r="E40" s="1996">
        <v>0</v>
      </c>
      <c r="F40" s="1996">
        <v>0</v>
      </c>
      <c r="G40" s="1996">
        <v>0</v>
      </c>
      <c r="H40" s="1996">
        <v>0</v>
      </c>
      <c r="I40" s="1996">
        <v>0</v>
      </c>
      <c r="J40" s="1996">
        <v>0</v>
      </c>
      <c r="K40" s="1996">
        <v>0</v>
      </c>
      <c r="L40" s="1996">
        <v>0</v>
      </c>
      <c r="M40" s="1996">
        <v>0</v>
      </c>
    </row>
    <row r="41" spans="1:13" ht="29.5" thickBot="1" x14ac:dyDescent="0.4">
      <c r="A41" s="1599"/>
      <c r="B41" s="1600" t="s">
        <v>892</v>
      </c>
      <c r="C41" s="1601" t="s">
        <v>893</v>
      </c>
      <c r="D41" s="1996">
        <v>0</v>
      </c>
      <c r="E41" s="1996">
        <v>0</v>
      </c>
      <c r="F41" s="1996">
        <v>0</v>
      </c>
      <c r="G41" s="1996">
        <v>0</v>
      </c>
      <c r="H41" s="1996">
        <v>0</v>
      </c>
      <c r="I41" s="1996">
        <v>0</v>
      </c>
      <c r="J41" s="1996">
        <v>0</v>
      </c>
      <c r="K41" s="1996">
        <v>0</v>
      </c>
      <c r="L41" s="1996">
        <v>0</v>
      </c>
      <c r="M41" s="1996">
        <v>0</v>
      </c>
    </row>
    <row r="42" spans="1:13" ht="15" thickBot="1" x14ac:dyDescent="0.4">
      <c r="A42" s="1603"/>
      <c r="B42" s="1600" t="s">
        <v>894</v>
      </c>
      <c r="C42" s="1601" t="s">
        <v>895</v>
      </c>
      <c r="D42" s="1996">
        <v>0</v>
      </c>
      <c r="E42" s="1996">
        <v>0</v>
      </c>
      <c r="F42" s="1996">
        <v>0</v>
      </c>
      <c r="G42" s="1996">
        <v>0</v>
      </c>
      <c r="H42" s="1996">
        <v>0</v>
      </c>
      <c r="I42" s="1996">
        <v>0</v>
      </c>
      <c r="J42" s="1996">
        <v>0</v>
      </c>
      <c r="K42" s="1996">
        <v>0</v>
      </c>
      <c r="L42" s="1996">
        <v>0</v>
      </c>
      <c r="M42" s="1996">
        <v>0</v>
      </c>
    </row>
    <row r="43" spans="1:13" ht="58.5" thickBot="1" x14ac:dyDescent="0.4">
      <c r="A43" s="1599"/>
      <c r="B43" s="1599" t="s">
        <v>896</v>
      </c>
      <c r="C43" s="1601" t="s">
        <v>897</v>
      </c>
      <c r="D43" s="1996">
        <v>0</v>
      </c>
      <c r="E43" s="1996">
        <v>0</v>
      </c>
      <c r="F43" s="1996">
        <v>0</v>
      </c>
      <c r="G43" s="1996">
        <v>0</v>
      </c>
      <c r="H43" s="1996">
        <v>0</v>
      </c>
      <c r="I43" s="1996">
        <v>0</v>
      </c>
      <c r="J43" s="1996">
        <v>0</v>
      </c>
      <c r="K43" s="1996">
        <v>0</v>
      </c>
      <c r="L43" s="1996">
        <v>0</v>
      </c>
      <c r="M43" s="1996">
        <v>0</v>
      </c>
    </row>
    <row r="44" spans="1:13" ht="15" thickBot="1" x14ac:dyDescent="0.4">
      <c r="A44" s="1593">
        <v>8</v>
      </c>
      <c r="B44" s="1594" t="s">
        <v>840</v>
      </c>
      <c r="C44" s="1602" t="s">
        <v>898</v>
      </c>
      <c r="D44" s="1596"/>
      <c r="E44" s="1596"/>
      <c r="F44" s="1598"/>
      <c r="G44" s="1598"/>
      <c r="H44" s="1598"/>
      <c r="I44" s="1598"/>
      <c r="J44" s="1598"/>
      <c r="K44" s="1598"/>
      <c r="L44" s="1598"/>
      <c r="M44" s="1598"/>
    </row>
    <row r="45" spans="1:13" ht="15" thickBot="1" x14ac:dyDescent="0.4">
      <c r="A45" s="1599"/>
      <c r="B45" s="1600" t="s">
        <v>899</v>
      </c>
      <c r="C45" s="1601" t="s">
        <v>900</v>
      </c>
      <c r="D45" s="1996">
        <v>0</v>
      </c>
      <c r="E45" s="1996">
        <v>0</v>
      </c>
      <c r="F45" s="1996">
        <v>0</v>
      </c>
      <c r="G45" s="1996">
        <v>0</v>
      </c>
      <c r="H45" s="1996">
        <v>0</v>
      </c>
      <c r="I45" s="1996">
        <v>0</v>
      </c>
      <c r="J45" s="1996">
        <v>0</v>
      </c>
      <c r="K45" s="1996">
        <v>0</v>
      </c>
      <c r="L45" s="1996">
        <v>0</v>
      </c>
      <c r="M45" s="1996">
        <v>0</v>
      </c>
    </row>
    <row r="46" spans="1:13" ht="15" thickBot="1" x14ac:dyDescent="0.4">
      <c r="A46" s="1599"/>
      <c r="B46" s="1600" t="s">
        <v>901</v>
      </c>
      <c r="C46" s="1601" t="s">
        <v>902</v>
      </c>
      <c r="D46" s="1996">
        <v>0</v>
      </c>
      <c r="E46" s="1996">
        <v>0</v>
      </c>
      <c r="F46" s="1996">
        <v>0</v>
      </c>
      <c r="G46" s="1996">
        <v>0</v>
      </c>
      <c r="H46" s="1996">
        <v>0</v>
      </c>
      <c r="I46" s="1996">
        <v>0</v>
      </c>
      <c r="J46" s="1996">
        <v>0</v>
      </c>
      <c r="K46" s="1996">
        <v>0</v>
      </c>
      <c r="L46" s="1996">
        <v>0</v>
      </c>
      <c r="M46" s="1996">
        <v>0</v>
      </c>
    </row>
    <row r="47" spans="1:13" ht="15" thickBot="1" x14ac:dyDescent="0.4">
      <c r="A47" s="1599"/>
      <c r="B47" s="1600" t="s">
        <v>903</v>
      </c>
      <c r="C47" s="1601" t="s">
        <v>904</v>
      </c>
      <c r="D47" s="1996">
        <v>0</v>
      </c>
      <c r="E47" s="1996">
        <v>0</v>
      </c>
      <c r="F47" s="1996">
        <v>0</v>
      </c>
      <c r="G47" s="1996">
        <v>0</v>
      </c>
      <c r="H47" s="1996">
        <v>0</v>
      </c>
      <c r="I47" s="1996">
        <v>0</v>
      </c>
      <c r="J47" s="1996">
        <v>0</v>
      </c>
      <c r="K47" s="1996">
        <v>0</v>
      </c>
      <c r="L47" s="1996">
        <v>0</v>
      </c>
      <c r="M47" s="1996">
        <v>0</v>
      </c>
    </row>
    <row r="48" spans="1:13" ht="15" thickBot="1" x14ac:dyDescent="0.4">
      <c r="A48" s="1599"/>
      <c r="B48" s="1600" t="s">
        <v>903</v>
      </c>
      <c r="C48" s="1601" t="s">
        <v>905</v>
      </c>
      <c r="D48" s="1996">
        <v>0</v>
      </c>
      <c r="E48" s="1996">
        <v>0</v>
      </c>
      <c r="F48" s="1996">
        <v>0</v>
      </c>
      <c r="G48" s="1996">
        <v>0</v>
      </c>
      <c r="H48" s="1996">
        <v>0</v>
      </c>
      <c r="I48" s="1996">
        <v>0</v>
      </c>
      <c r="J48" s="1996">
        <v>0</v>
      </c>
      <c r="K48" s="1996">
        <v>0</v>
      </c>
      <c r="L48" s="1996">
        <v>0</v>
      </c>
      <c r="M48" s="1996">
        <v>0</v>
      </c>
    </row>
    <row r="49" spans="1:13" ht="15" thickBot="1" x14ac:dyDescent="0.4">
      <c r="A49" s="1599"/>
      <c r="B49" s="1600" t="s">
        <v>906</v>
      </c>
      <c r="C49" s="1601" t="s">
        <v>907</v>
      </c>
      <c r="D49" s="1996">
        <v>0</v>
      </c>
      <c r="E49" s="1996">
        <v>0</v>
      </c>
      <c r="F49" s="1996">
        <v>0</v>
      </c>
      <c r="G49" s="1996">
        <v>0</v>
      </c>
      <c r="H49" s="1996">
        <v>0</v>
      </c>
      <c r="I49" s="1996">
        <v>0</v>
      </c>
      <c r="J49" s="1996">
        <v>0</v>
      </c>
      <c r="K49" s="1996">
        <v>0</v>
      </c>
      <c r="L49" s="1996">
        <v>0</v>
      </c>
      <c r="M49" s="1996">
        <v>0</v>
      </c>
    </row>
    <row r="50" spans="1:13" ht="15" thickBot="1" x14ac:dyDescent="0.4">
      <c r="A50" s="1593">
        <v>9</v>
      </c>
      <c r="B50" s="1594" t="s">
        <v>840</v>
      </c>
      <c r="C50" s="1602" t="s">
        <v>908</v>
      </c>
      <c r="D50" s="1596"/>
      <c r="E50" s="1596"/>
      <c r="F50" s="1598"/>
      <c r="G50" s="1598"/>
      <c r="H50" s="1598"/>
      <c r="I50" s="1598"/>
      <c r="J50" s="1598"/>
      <c r="K50" s="1598"/>
      <c r="L50" s="1598"/>
      <c r="M50" s="1598"/>
    </row>
    <row r="51" spans="1:13" ht="15" thickBot="1" x14ac:dyDescent="0.4">
      <c r="A51" s="1599"/>
      <c r="B51" s="1600" t="s">
        <v>909</v>
      </c>
      <c r="C51" s="1601" t="s">
        <v>910</v>
      </c>
      <c r="D51" s="1996">
        <v>0</v>
      </c>
      <c r="E51" s="1996">
        <v>0</v>
      </c>
      <c r="F51" s="1996">
        <v>0</v>
      </c>
      <c r="G51" s="1996">
        <v>0</v>
      </c>
      <c r="H51" s="1996">
        <v>0</v>
      </c>
      <c r="I51" s="1996">
        <v>0</v>
      </c>
      <c r="J51" s="1996">
        <v>0</v>
      </c>
      <c r="K51" s="1996">
        <v>0</v>
      </c>
      <c r="L51" s="1996">
        <v>0</v>
      </c>
      <c r="M51" s="1996">
        <v>0</v>
      </c>
    </row>
    <row r="52" spans="1:13" ht="15" thickBot="1" x14ac:dyDescent="0.4">
      <c r="A52" s="1599"/>
      <c r="B52" s="1600" t="s">
        <v>911</v>
      </c>
      <c r="C52" s="1601" t="s">
        <v>912</v>
      </c>
      <c r="D52" s="1996">
        <v>0</v>
      </c>
      <c r="E52" s="1996">
        <v>0</v>
      </c>
      <c r="F52" s="1996">
        <v>0</v>
      </c>
      <c r="G52" s="1996">
        <v>0</v>
      </c>
      <c r="H52" s="1996">
        <v>0</v>
      </c>
      <c r="I52" s="1996">
        <v>0</v>
      </c>
      <c r="J52" s="1996">
        <v>0</v>
      </c>
      <c r="K52" s="1996">
        <v>0</v>
      </c>
      <c r="L52" s="1996">
        <v>0</v>
      </c>
      <c r="M52" s="1996">
        <v>0</v>
      </c>
    </row>
    <row r="53" spans="1:13" ht="15" thickBot="1" x14ac:dyDescent="0.4">
      <c r="A53" s="1599"/>
      <c r="B53" s="1600" t="s">
        <v>913</v>
      </c>
      <c r="C53" s="1601" t="s">
        <v>914</v>
      </c>
      <c r="D53" s="1996">
        <v>0</v>
      </c>
      <c r="E53" s="1996">
        <v>0</v>
      </c>
      <c r="F53" s="1996">
        <v>0</v>
      </c>
      <c r="G53" s="1996">
        <v>0</v>
      </c>
      <c r="H53" s="1996">
        <v>0</v>
      </c>
      <c r="I53" s="1996">
        <v>0</v>
      </c>
      <c r="J53" s="1996">
        <v>0</v>
      </c>
      <c r="K53" s="1996">
        <v>0</v>
      </c>
      <c r="L53" s="1996">
        <v>0</v>
      </c>
      <c r="M53" s="1996">
        <v>0</v>
      </c>
    </row>
    <row r="54" spans="1:13" ht="29.5" thickBot="1" x14ac:dyDescent="0.4">
      <c r="A54" s="1599"/>
      <c r="B54" s="1600" t="s">
        <v>915</v>
      </c>
      <c r="C54" s="1601" t="s">
        <v>916</v>
      </c>
      <c r="D54" s="1996">
        <v>0</v>
      </c>
      <c r="E54" s="1996">
        <v>0</v>
      </c>
      <c r="F54" s="1996">
        <v>0</v>
      </c>
      <c r="G54" s="1996">
        <v>0</v>
      </c>
      <c r="H54" s="1996">
        <v>0</v>
      </c>
      <c r="I54" s="1996">
        <v>0</v>
      </c>
      <c r="J54" s="1996">
        <v>0</v>
      </c>
      <c r="K54" s="1996">
        <v>0</v>
      </c>
      <c r="L54" s="1996">
        <v>0</v>
      </c>
      <c r="M54" s="1996">
        <v>0</v>
      </c>
    </row>
    <row r="55" spans="1:13" ht="15" thickBot="1" x14ac:dyDescent="0.4">
      <c r="A55" s="1593">
        <v>10</v>
      </c>
      <c r="B55" s="1594" t="s">
        <v>840</v>
      </c>
      <c r="C55" s="1602" t="s">
        <v>917</v>
      </c>
      <c r="D55" s="1596"/>
      <c r="E55" s="1596"/>
      <c r="F55" s="1598"/>
      <c r="G55" s="1598"/>
      <c r="H55" s="1598"/>
      <c r="I55" s="1598"/>
      <c r="J55" s="1598"/>
      <c r="K55" s="1598"/>
      <c r="L55" s="1598"/>
      <c r="M55" s="1598"/>
    </row>
    <row r="56" spans="1:13" ht="15" thickBot="1" x14ac:dyDescent="0.4">
      <c r="A56" s="1599"/>
      <c r="B56" s="1600" t="s">
        <v>918</v>
      </c>
      <c r="C56" s="1601" t="s">
        <v>919</v>
      </c>
      <c r="D56" s="1996">
        <v>0</v>
      </c>
      <c r="E56" s="1996">
        <v>0</v>
      </c>
      <c r="F56" s="1996">
        <v>0</v>
      </c>
      <c r="G56" s="1996">
        <v>0</v>
      </c>
      <c r="H56" s="1996">
        <v>0</v>
      </c>
      <c r="I56" s="1996">
        <v>0</v>
      </c>
      <c r="J56" s="1996">
        <v>0</v>
      </c>
      <c r="K56" s="1996">
        <v>0</v>
      </c>
      <c r="L56" s="1996">
        <v>0</v>
      </c>
      <c r="M56" s="1996">
        <v>0</v>
      </c>
    </row>
    <row r="57" spans="1:13" ht="44" thickBot="1" x14ac:dyDescent="0.4">
      <c r="A57" s="1599"/>
      <c r="B57" s="1600" t="s">
        <v>920</v>
      </c>
      <c r="C57" s="1601" t="s">
        <v>921</v>
      </c>
      <c r="D57" s="1996">
        <v>0</v>
      </c>
      <c r="E57" s="1996">
        <v>0</v>
      </c>
      <c r="F57" s="1996">
        <v>0</v>
      </c>
      <c r="G57" s="1996">
        <v>0</v>
      </c>
      <c r="H57" s="1996">
        <v>0</v>
      </c>
      <c r="I57" s="1996">
        <v>0</v>
      </c>
      <c r="J57" s="1996">
        <v>0</v>
      </c>
      <c r="K57" s="1996">
        <v>0</v>
      </c>
      <c r="L57" s="1996">
        <v>0</v>
      </c>
      <c r="M57" s="1996">
        <v>0</v>
      </c>
    </row>
    <row r="58" spans="1:13" ht="44" thickBot="1" x14ac:dyDescent="0.4">
      <c r="A58" s="1599"/>
      <c r="B58" s="1600" t="s">
        <v>922</v>
      </c>
      <c r="C58" s="1601" t="s">
        <v>923</v>
      </c>
      <c r="D58" s="1996">
        <v>0</v>
      </c>
      <c r="E58" s="1996">
        <v>0</v>
      </c>
      <c r="F58" s="1996">
        <v>0</v>
      </c>
      <c r="G58" s="1996">
        <v>0</v>
      </c>
      <c r="H58" s="1996">
        <v>0</v>
      </c>
      <c r="I58" s="1996">
        <v>0</v>
      </c>
      <c r="J58" s="1996">
        <v>0</v>
      </c>
      <c r="K58" s="1996">
        <v>0</v>
      </c>
      <c r="L58" s="1996">
        <v>0</v>
      </c>
      <c r="M58" s="1996">
        <v>0</v>
      </c>
    </row>
    <row r="59" spans="1:13" ht="44" thickBot="1" x14ac:dyDescent="0.4">
      <c r="A59" s="1599"/>
      <c r="B59" s="1600" t="s">
        <v>924</v>
      </c>
      <c r="C59" s="1601" t="s">
        <v>925</v>
      </c>
      <c r="D59" s="1996">
        <v>0</v>
      </c>
      <c r="E59" s="1996">
        <v>0</v>
      </c>
      <c r="F59" s="1996">
        <v>0</v>
      </c>
      <c r="G59" s="1996">
        <v>0</v>
      </c>
      <c r="H59" s="1996">
        <v>0</v>
      </c>
      <c r="I59" s="1996">
        <v>0</v>
      </c>
      <c r="J59" s="1996">
        <v>0</v>
      </c>
      <c r="K59" s="1996">
        <v>0</v>
      </c>
      <c r="L59" s="1996">
        <v>0</v>
      </c>
      <c r="M59" s="1996">
        <v>0</v>
      </c>
    </row>
    <row r="60" spans="1:13" ht="15" thickBot="1" x14ac:dyDescent="0.4">
      <c r="A60" s="1593">
        <v>11</v>
      </c>
      <c r="B60" s="1594" t="s">
        <v>840</v>
      </c>
      <c r="C60" s="1602" t="s">
        <v>926</v>
      </c>
      <c r="D60" s="1596"/>
      <c r="E60" s="1596"/>
      <c r="F60" s="1598"/>
      <c r="G60" s="1598"/>
      <c r="H60" s="1598"/>
      <c r="I60" s="1598"/>
      <c r="J60" s="1598"/>
      <c r="K60" s="1598"/>
      <c r="L60" s="1598"/>
      <c r="M60" s="1598"/>
    </row>
    <row r="61" spans="1:13" ht="44" thickBot="1" x14ac:dyDescent="0.4">
      <c r="A61" s="1599"/>
      <c r="B61" s="1600" t="s">
        <v>927</v>
      </c>
      <c r="C61" s="1601" t="s">
        <v>928</v>
      </c>
      <c r="D61" s="1996">
        <v>0</v>
      </c>
      <c r="E61" s="1996">
        <v>0</v>
      </c>
      <c r="F61" s="1996">
        <v>0</v>
      </c>
      <c r="G61" s="1996">
        <v>0</v>
      </c>
      <c r="H61" s="1996">
        <v>0</v>
      </c>
      <c r="I61" s="1996">
        <v>0</v>
      </c>
      <c r="J61" s="1996">
        <v>0</v>
      </c>
      <c r="K61" s="1996">
        <v>0</v>
      </c>
      <c r="L61" s="1996">
        <v>0</v>
      </c>
      <c r="M61" s="1996">
        <v>0</v>
      </c>
    </row>
    <row r="62" spans="1:13" ht="15" thickBot="1" x14ac:dyDescent="0.4">
      <c r="A62" s="1599"/>
      <c r="B62" s="1600" t="s">
        <v>929</v>
      </c>
      <c r="C62" s="1601" t="s">
        <v>930</v>
      </c>
      <c r="D62" s="1996">
        <v>0</v>
      </c>
      <c r="E62" s="1996">
        <v>0</v>
      </c>
      <c r="F62" s="1996">
        <v>0</v>
      </c>
      <c r="G62" s="1996">
        <v>0</v>
      </c>
      <c r="H62" s="1996">
        <v>0</v>
      </c>
      <c r="I62" s="1996">
        <v>0</v>
      </c>
      <c r="J62" s="1996">
        <v>0</v>
      </c>
      <c r="K62" s="1996">
        <v>0</v>
      </c>
      <c r="L62" s="1996">
        <v>0</v>
      </c>
      <c r="M62" s="1996">
        <v>0</v>
      </c>
    </row>
    <row r="63" spans="1:13" ht="15" thickBot="1" x14ac:dyDescent="0.4">
      <c r="A63" s="1599"/>
      <c r="B63" s="1600" t="s">
        <v>931</v>
      </c>
      <c r="C63" s="1601" t="s">
        <v>932</v>
      </c>
      <c r="D63" s="1996">
        <v>0</v>
      </c>
      <c r="E63" s="1996">
        <v>0</v>
      </c>
      <c r="F63" s="1996">
        <v>0</v>
      </c>
      <c r="G63" s="1996">
        <v>0</v>
      </c>
      <c r="H63" s="1996">
        <v>0</v>
      </c>
      <c r="I63" s="1996">
        <v>0</v>
      </c>
      <c r="J63" s="1996">
        <v>0</v>
      </c>
      <c r="K63" s="1996">
        <v>0</v>
      </c>
      <c r="L63" s="1996">
        <v>0</v>
      </c>
      <c r="M63" s="1996">
        <v>0</v>
      </c>
    </row>
    <row r="64" spans="1:13" ht="15" thickBot="1" x14ac:dyDescent="0.4">
      <c r="A64" s="1599"/>
      <c r="B64" s="1848" t="s">
        <v>933</v>
      </c>
      <c r="C64" s="1849"/>
      <c r="D64" s="1596"/>
      <c r="E64" s="1596"/>
      <c r="F64" s="1598"/>
      <c r="G64" s="1598"/>
      <c r="H64" s="1598"/>
      <c r="I64" s="1598"/>
      <c r="J64" s="1598"/>
      <c r="K64" s="1598"/>
      <c r="L64" s="1598"/>
      <c r="M64" s="1598"/>
    </row>
    <row r="65" spans="1:13" ht="15" thickBot="1" x14ac:dyDescent="0.4">
      <c r="A65" s="1599"/>
      <c r="B65" s="1604" t="s">
        <v>934</v>
      </c>
      <c r="C65" s="1605" t="s">
        <v>935</v>
      </c>
      <c r="D65" s="1996">
        <v>0</v>
      </c>
      <c r="E65" s="1996">
        <v>0</v>
      </c>
      <c r="F65" s="1996">
        <v>0</v>
      </c>
      <c r="G65" s="1996">
        <v>0</v>
      </c>
      <c r="H65" s="1996">
        <v>0</v>
      </c>
      <c r="I65" s="1996">
        <v>0</v>
      </c>
      <c r="J65" s="1996">
        <v>0</v>
      </c>
      <c r="K65" s="1996">
        <v>0</v>
      </c>
      <c r="L65" s="1996">
        <v>0</v>
      </c>
      <c r="M65" s="1996">
        <v>0</v>
      </c>
    </row>
    <row r="66" spans="1:13" ht="15" thickBot="1" x14ac:dyDescent="0.4">
      <c r="A66" s="1599"/>
      <c r="B66" s="1606" t="s">
        <v>936</v>
      </c>
      <c r="C66" s="1607" t="s">
        <v>937</v>
      </c>
      <c r="D66" s="1996">
        <v>0</v>
      </c>
      <c r="E66" s="1996">
        <v>0</v>
      </c>
      <c r="F66" s="1996">
        <v>0</v>
      </c>
      <c r="G66" s="1996">
        <v>0</v>
      </c>
      <c r="H66" s="1996">
        <v>0</v>
      </c>
      <c r="I66" s="1996">
        <v>0</v>
      </c>
      <c r="J66" s="1996">
        <v>0</v>
      </c>
      <c r="K66" s="1996">
        <v>0</v>
      </c>
      <c r="L66" s="1996">
        <v>0</v>
      </c>
      <c r="M66" s="1996">
        <v>0</v>
      </c>
    </row>
    <row r="67" spans="1:13" ht="15" thickBot="1" x14ac:dyDescent="0.4">
      <c r="A67" s="1599"/>
      <c r="B67" s="1606" t="s">
        <v>938</v>
      </c>
      <c r="C67" s="1607" t="s">
        <v>939</v>
      </c>
      <c r="D67" s="1996">
        <v>0</v>
      </c>
      <c r="E67" s="1996">
        <v>0</v>
      </c>
      <c r="F67" s="1996">
        <v>0</v>
      </c>
      <c r="G67" s="1996">
        <v>0</v>
      </c>
      <c r="H67" s="1996">
        <v>0</v>
      </c>
      <c r="I67" s="1996">
        <v>0</v>
      </c>
      <c r="J67" s="1996">
        <v>0</v>
      </c>
      <c r="K67" s="1996">
        <v>0</v>
      </c>
      <c r="L67" s="1996">
        <v>0</v>
      </c>
      <c r="M67" s="1996">
        <v>0</v>
      </c>
    </row>
    <row r="68" spans="1:13" ht="15" thickBot="1" x14ac:dyDescent="0.4">
      <c r="A68" s="1593">
        <v>12</v>
      </c>
      <c r="B68" s="1594" t="s">
        <v>841</v>
      </c>
      <c r="C68" s="1602" t="s">
        <v>940</v>
      </c>
      <c r="D68" s="1596"/>
      <c r="E68" s="1596"/>
      <c r="F68" s="1598"/>
      <c r="G68" s="1598"/>
      <c r="H68" s="1598"/>
      <c r="I68" s="1598"/>
      <c r="J68" s="1598"/>
      <c r="K68" s="1598"/>
      <c r="L68" s="1598"/>
      <c r="M68" s="1598"/>
    </row>
    <row r="69" spans="1:13" ht="44" thickBot="1" x14ac:dyDescent="0.4">
      <c r="A69" s="1599"/>
      <c r="B69" s="1600" t="s">
        <v>941</v>
      </c>
      <c r="C69" s="1601" t="s">
        <v>942</v>
      </c>
      <c r="D69" s="1996">
        <v>0</v>
      </c>
      <c r="E69" s="1996">
        <v>0</v>
      </c>
      <c r="F69" s="1996">
        <v>0</v>
      </c>
      <c r="G69" s="1996">
        <v>0</v>
      </c>
      <c r="H69" s="1996">
        <v>0</v>
      </c>
      <c r="I69" s="1996">
        <v>0</v>
      </c>
      <c r="J69" s="1996">
        <v>0</v>
      </c>
      <c r="K69" s="1996">
        <v>0</v>
      </c>
      <c r="L69" s="1996">
        <v>0</v>
      </c>
      <c r="M69" s="1996">
        <v>0</v>
      </c>
    </row>
    <row r="70" spans="1:13" ht="29.5" thickBot="1" x14ac:dyDescent="0.4">
      <c r="A70" s="1599"/>
      <c r="B70" s="1600" t="s">
        <v>943</v>
      </c>
      <c r="C70" s="1601" t="s">
        <v>944</v>
      </c>
      <c r="D70" s="1996">
        <v>0</v>
      </c>
      <c r="E70" s="1996">
        <v>0</v>
      </c>
      <c r="F70" s="1996">
        <v>0</v>
      </c>
      <c r="G70" s="1996">
        <v>0</v>
      </c>
      <c r="H70" s="1996">
        <v>0</v>
      </c>
      <c r="I70" s="1996">
        <v>0</v>
      </c>
      <c r="J70" s="1996">
        <v>0</v>
      </c>
      <c r="K70" s="1996">
        <v>0</v>
      </c>
      <c r="L70" s="1996">
        <v>0</v>
      </c>
      <c r="M70" s="1996">
        <v>0</v>
      </c>
    </row>
    <row r="71" spans="1:13" ht="15" thickBot="1" x14ac:dyDescent="0.4">
      <c r="A71" s="1593">
        <v>13</v>
      </c>
      <c r="B71" s="1594" t="s">
        <v>841</v>
      </c>
      <c r="C71" s="1602" t="s">
        <v>945</v>
      </c>
      <c r="D71" s="1596"/>
      <c r="E71" s="1596"/>
      <c r="F71" s="1598"/>
      <c r="G71" s="1598"/>
      <c r="H71" s="1598"/>
      <c r="I71" s="1598"/>
      <c r="J71" s="1598"/>
      <c r="K71" s="1598"/>
      <c r="L71" s="1598"/>
      <c r="M71" s="1598"/>
    </row>
    <row r="72" spans="1:13" ht="29.5" thickBot="1" x14ac:dyDescent="0.4">
      <c r="A72" s="1599"/>
      <c r="B72" s="1600" t="s">
        <v>946</v>
      </c>
      <c r="C72" s="1601" t="s">
        <v>947</v>
      </c>
      <c r="D72" s="1996">
        <v>0</v>
      </c>
      <c r="E72" s="1996">
        <v>0</v>
      </c>
      <c r="F72" s="1996">
        <v>0</v>
      </c>
      <c r="G72" s="1996">
        <v>0</v>
      </c>
      <c r="H72" s="1996">
        <v>0</v>
      </c>
      <c r="I72" s="1996">
        <v>0</v>
      </c>
      <c r="J72" s="1996">
        <v>0</v>
      </c>
      <c r="K72" s="1996">
        <v>0</v>
      </c>
      <c r="L72" s="1996">
        <v>0</v>
      </c>
      <c r="M72" s="1996">
        <v>0</v>
      </c>
    </row>
    <row r="73" spans="1:13" ht="29.5" thickBot="1" x14ac:dyDescent="0.4">
      <c r="A73" s="1599"/>
      <c r="B73" s="1600" t="s">
        <v>948</v>
      </c>
      <c r="C73" s="1601" t="s">
        <v>949</v>
      </c>
      <c r="D73" s="1996">
        <v>0</v>
      </c>
      <c r="E73" s="1996">
        <v>0</v>
      </c>
      <c r="F73" s="1996">
        <v>0</v>
      </c>
      <c r="G73" s="1996">
        <v>0</v>
      </c>
      <c r="H73" s="1996">
        <v>0</v>
      </c>
      <c r="I73" s="1996">
        <v>0</v>
      </c>
      <c r="J73" s="1996">
        <v>0</v>
      </c>
      <c r="K73" s="1996">
        <v>0</v>
      </c>
      <c r="L73" s="1996">
        <v>0</v>
      </c>
      <c r="M73" s="1996">
        <v>0</v>
      </c>
    </row>
    <row r="74" spans="1:13" ht="15" thickBot="1" x14ac:dyDescent="0.4">
      <c r="A74" s="1593">
        <v>14</v>
      </c>
      <c r="B74" s="1594" t="s">
        <v>841</v>
      </c>
      <c r="C74" s="1602" t="s">
        <v>950</v>
      </c>
      <c r="D74" s="1596"/>
      <c r="E74" s="1596"/>
      <c r="F74" s="1598"/>
      <c r="G74" s="1598"/>
      <c r="H74" s="1598"/>
      <c r="I74" s="1598"/>
      <c r="J74" s="1598"/>
      <c r="K74" s="1598"/>
      <c r="L74" s="1598"/>
      <c r="M74" s="1598"/>
    </row>
    <row r="75" spans="1:13" ht="44" thickBot="1" x14ac:dyDescent="0.4">
      <c r="A75" s="1599"/>
      <c r="B75" s="1600" t="s">
        <v>951</v>
      </c>
      <c r="C75" s="1601" t="s">
        <v>952</v>
      </c>
      <c r="D75" s="1996">
        <v>0</v>
      </c>
      <c r="E75" s="1996">
        <v>0</v>
      </c>
      <c r="F75" s="1996">
        <v>0</v>
      </c>
      <c r="G75" s="1996">
        <v>0</v>
      </c>
      <c r="H75" s="1996">
        <v>0</v>
      </c>
      <c r="I75" s="1996">
        <v>0</v>
      </c>
      <c r="J75" s="1996">
        <v>0</v>
      </c>
      <c r="K75" s="1996">
        <v>0</v>
      </c>
      <c r="L75" s="1996">
        <v>0</v>
      </c>
      <c r="M75" s="1996">
        <v>0</v>
      </c>
    </row>
    <row r="76" spans="1:13" ht="29.5" thickBot="1" x14ac:dyDescent="0.4">
      <c r="A76" s="1599"/>
      <c r="B76" s="1600" t="s">
        <v>953</v>
      </c>
      <c r="C76" s="1601" t="s">
        <v>954</v>
      </c>
      <c r="D76" s="1996">
        <v>0</v>
      </c>
      <c r="E76" s="1996">
        <v>0</v>
      </c>
      <c r="F76" s="1996">
        <v>0</v>
      </c>
      <c r="G76" s="1996">
        <v>0</v>
      </c>
      <c r="H76" s="1996">
        <v>0</v>
      </c>
      <c r="I76" s="1996">
        <v>0</v>
      </c>
      <c r="J76" s="1996">
        <v>0</v>
      </c>
      <c r="K76" s="1996">
        <v>0</v>
      </c>
      <c r="L76" s="1996">
        <v>0</v>
      </c>
      <c r="M76" s="1996">
        <v>0</v>
      </c>
    </row>
    <row r="77" spans="1:13" ht="29.5" thickBot="1" x14ac:dyDescent="0.4">
      <c r="A77" s="1599"/>
      <c r="B77" s="1600" t="s">
        <v>955</v>
      </c>
      <c r="C77" s="1601" t="s">
        <v>956</v>
      </c>
      <c r="D77" s="1996">
        <v>0</v>
      </c>
      <c r="E77" s="1996">
        <v>0</v>
      </c>
      <c r="F77" s="1996">
        <v>0</v>
      </c>
      <c r="G77" s="1996">
        <v>0</v>
      </c>
      <c r="H77" s="1996">
        <v>0</v>
      </c>
      <c r="I77" s="1996">
        <v>0</v>
      </c>
      <c r="J77" s="1996">
        <v>0</v>
      </c>
      <c r="K77" s="1996">
        <v>0</v>
      </c>
      <c r="L77" s="1996">
        <v>0</v>
      </c>
      <c r="M77" s="1996">
        <v>0</v>
      </c>
    </row>
    <row r="78" spans="1:13" ht="29.5" thickBot="1" x14ac:dyDescent="0.4">
      <c r="A78" s="1599"/>
      <c r="B78" s="1600" t="s">
        <v>957</v>
      </c>
      <c r="C78" s="1601" t="s">
        <v>958</v>
      </c>
      <c r="D78" s="1996">
        <v>0</v>
      </c>
      <c r="E78" s="1996">
        <v>0</v>
      </c>
      <c r="F78" s="1996">
        <v>0</v>
      </c>
      <c r="G78" s="1996">
        <v>0</v>
      </c>
      <c r="H78" s="1996">
        <v>0</v>
      </c>
      <c r="I78" s="1996">
        <v>0</v>
      </c>
      <c r="J78" s="1996">
        <v>0</v>
      </c>
      <c r="K78" s="1996">
        <v>0</v>
      </c>
      <c r="L78" s="1996">
        <v>0</v>
      </c>
      <c r="M78" s="1996">
        <v>0</v>
      </c>
    </row>
    <row r="79" spans="1:13" ht="15" thickBot="1" x14ac:dyDescent="0.4">
      <c r="A79" s="1599"/>
      <c r="B79" s="1600" t="s">
        <v>959</v>
      </c>
      <c r="C79" s="1601" t="s">
        <v>960</v>
      </c>
      <c r="D79" s="1996">
        <v>0</v>
      </c>
      <c r="E79" s="1996">
        <v>0</v>
      </c>
      <c r="F79" s="1996">
        <v>0</v>
      </c>
      <c r="G79" s="1996">
        <v>0</v>
      </c>
      <c r="H79" s="1996">
        <v>0</v>
      </c>
      <c r="I79" s="1996">
        <v>0</v>
      </c>
      <c r="J79" s="1996">
        <v>0</v>
      </c>
      <c r="K79" s="1996">
        <v>0</v>
      </c>
      <c r="L79" s="1996">
        <v>0</v>
      </c>
      <c r="M79" s="1996">
        <v>0</v>
      </c>
    </row>
    <row r="80" spans="1:13" ht="29.5" thickBot="1" x14ac:dyDescent="0.4">
      <c r="A80" s="1599"/>
      <c r="B80" s="1600" t="s">
        <v>961</v>
      </c>
      <c r="C80" s="1601" t="s">
        <v>962</v>
      </c>
      <c r="D80" s="1996">
        <v>0</v>
      </c>
      <c r="E80" s="1996">
        <v>0</v>
      </c>
      <c r="F80" s="1996">
        <v>0</v>
      </c>
      <c r="G80" s="1996">
        <v>0</v>
      </c>
      <c r="H80" s="1996">
        <v>0</v>
      </c>
      <c r="I80" s="1996">
        <v>0</v>
      </c>
      <c r="J80" s="1996">
        <v>0</v>
      </c>
      <c r="K80" s="1996">
        <v>0</v>
      </c>
      <c r="L80" s="1996">
        <v>0</v>
      </c>
      <c r="M80" s="1996">
        <v>0</v>
      </c>
    </row>
    <row r="81" spans="1:13" ht="15" thickBot="1" x14ac:dyDescent="0.4">
      <c r="A81" s="1593">
        <v>15</v>
      </c>
      <c r="B81" s="1594" t="s">
        <v>841</v>
      </c>
      <c r="C81" s="1602" t="s">
        <v>963</v>
      </c>
      <c r="D81" s="1596"/>
      <c r="E81" s="1596"/>
      <c r="F81" s="1598"/>
      <c r="G81" s="1598"/>
      <c r="H81" s="1598"/>
      <c r="I81" s="1598"/>
      <c r="J81" s="1598"/>
      <c r="K81" s="1598"/>
      <c r="L81" s="1598"/>
      <c r="M81" s="1598"/>
    </row>
    <row r="82" spans="1:13" ht="15" thickBot="1" x14ac:dyDescent="0.4">
      <c r="A82" s="1599"/>
      <c r="B82" s="1600" t="s">
        <v>964</v>
      </c>
      <c r="C82" s="1601" t="s">
        <v>965</v>
      </c>
      <c r="D82" s="1996">
        <v>0</v>
      </c>
      <c r="E82" s="1996">
        <v>0</v>
      </c>
      <c r="F82" s="1996">
        <v>0</v>
      </c>
      <c r="G82" s="1996">
        <v>0</v>
      </c>
      <c r="H82" s="1996">
        <v>0</v>
      </c>
      <c r="I82" s="1996">
        <v>0</v>
      </c>
      <c r="J82" s="1996">
        <v>0</v>
      </c>
      <c r="K82" s="1996">
        <v>0</v>
      </c>
      <c r="L82" s="1996">
        <v>0</v>
      </c>
      <c r="M82" s="1996">
        <v>0</v>
      </c>
    </row>
    <row r="83" spans="1:13" ht="29.5" thickBot="1" x14ac:dyDescent="0.4">
      <c r="A83" s="1599"/>
      <c r="B83" s="1600" t="s">
        <v>966</v>
      </c>
      <c r="C83" s="1601" t="s">
        <v>967</v>
      </c>
      <c r="D83" s="1996">
        <v>0</v>
      </c>
      <c r="E83" s="1996">
        <v>0</v>
      </c>
      <c r="F83" s="1996">
        <v>0</v>
      </c>
      <c r="G83" s="1996">
        <v>0</v>
      </c>
      <c r="H83" s="1996">
        <v>0</v>
      </c>
      <c r="I83" s="1996">
        <v>0</v>
      </c>
      <c r="J83" s="1996">
        <v>0</v>
      </c>
      <c r="K83" s="1996">
        <v>0</v>
      </c>
      <c r="L83" s="1996">
        <v>0</v>
      </c>
      <c r="M83" s="1996">
        <v>0</v>
      </c>
    </row>
    <row r="84" spans="1:13" ht="15" thickBot="1" x14ac:dyDescent="0.4">
      <c r="A84" s="1599"/>
      <c r="B84" s="1600" t="s">
        <v>968</v>
      </c>
      <c r="C84" s="1601" t="s">
        <v>969</v>
      </c>
      <c r="D84" s="1996">
        <v>0</v>
      </c>
      <c r="E84" s="1996">
        <v>0</v>
      </c>
      <c r="F84" s="1996">
        <v>0</v>
      </c>
      <c r="G84" s="1996">
        <v>0</v>
      </c>
      <c r="H84" s="1996">
        <v>0</v>
      </c>
      <c r="I84" s="1996">
        <v>0</v>
      </c>
      <c r="J84" s="1996">
        <v>0</v>
      </c>
      <c r="K84" s="1996">
        <v>0</v>
      </c>
      <c r="L84" s="1996">
        <v>0</v>
      </c>
      <c r="M84" s="1996">
        <v>0</v>
      </c>
    </row>
    <row r="85" spans="1:13" ht="15" thickBot="1" x14ac:dyDescent="0.4">
      <c r="A85" s="1593">
        <v>16</v>
      </c>
      <c r="B85" s="1594" t="s">
        <v>841</v>
      </c>
      <c r="C85" s="1602" t="s">
        <v>970</v>
      </c>
      <c r="D85" s="1596"/>
      <c r="E85" s="1596"/>
      <c r="F85" s="1598"/>
      <c r="G85" s="1598"/>
      <c r="H85" s="1598"/>
      <c r="I85" s="1598"/>
      <c r="J85" s="1598"/>
      <c r="K85" s="1598"/>
      <c r="L85" s="1598"/>
      <c r="M85" s="1598"/>
    </row>
    <row r="86" spans="1:13" ht="29.5" thickBot="1" x14ac:dyDescent="0.4">
      <c r="A86" s="1599"/>
      <c r="B86" s="1600" t="s">
        <v>971</v>
      </c>
      <c r="C86" s="1601" t="s">
        <v>972</v>
      </c>
      <c r="D86" s="1996">
        <v>0</v>
      </c>
      <c r="E86" s="1996">
        <v>0</v>
      </c>
      <c r="F86" s="1996">
        <v>0</v>
      </c>
      <c r="G86" s="1996">
        <v>0</v>
      </c>
      <c r="H86" s="1996">
        <v>0</v>
      </c>
      <c r="I86" s="1996">
        <v>0</v>
      </c>
      <c r="J86" s="1996">
        <v>0</v>
      </c>
      <c r="K86" s="1996">
        <v>0</v>
      </c>
      <c r="L86" s="1996">
        <v>0</v>
      </c>
      <c r="M86" s="1996">
        <v>0</v>
      </c>
    </row>
    <row r="87" spans="1:13" ht="15" thickBot="1" x14ac:dyDescent="0.4">
      <c r="A87" s="1599"/>
      <c r="B87" s="1600" t="s">
        <v>973</v>
      </c>
      <c r="C87" s="1601" t="s">
        <v>974</v>
      </c>
      <c r="D87" s="1996">
        <v>0</v>
      </c>
      <c r="E87" s="1996">
        <v>0</v>
      </c>
      <c r="F87" s="1996">
        <v>0</v>
      </c>
      <c r="G87" s="1996">
        <v>0</v>
      </c>
      <c r="H87" s="1996">
        <v>0</v>
      </c>
      <c r="I87" s="1996">
        <v>0</v>
      </c>
      <c r="J87" s="1996">
        <v>0</v>
      </c>
      <c r="K87" s="1996">
        <v>0</v>
      </c>
      <c r="L87" s="1996">
        <v>0</v>
      </c>
      <c r="M87" s="1996">
        <v>0</v>
      </c>
    </row>
    <row r="88" spans="1:13" ht="29.5" thickBot="1" x14ac:dyDescent="0.4">
      <c r="A88" s="1599"/>
      <c r="B88" s="1600" t="s">
        <v>975</v>
      </c>
      <c r="C88" s="1601" t="s">
        <v>976</v>
      </c>
      <c r="D88" s="1996">
        <v>0</v>
      </c>
      <c r="E88" s="1996">
        <v>0</v>
      </c>
      <c r="F88" s="1996">
        <v>0</v>
      </c>
      <c r="G88" s="1996">
        <v>0</v>
      </c>
      <c r="H88" s="1996">
        <v>0</v>
      </c>
      <c r="I88" s="1996">
        <v>0</v>
      </c>
      <c r="J88" s="1996">
        <v>0</v>
      </c>
      <c r="K88" s="1996">
        <v>0</v>
      </c>
      <c r="L88" s="1996">
        <v>0</v>
      </c>
      <c r="M88" s="1996">
        <v>0</v>
      </c>
    </row>
    <row r="89" spans="1:13" ht="15" thickBot="1" x14ac:dyDescent="0.4">
      <c r="A89" s="1593">
        <v>17</v>
      </c>
      <c r="B89" s="1594" t="s">
        <v>842</v>
      </c>
      <c r="C89" s="1602" t="s">
        <v>977</v>
      </c>
      <c r="D89" s="1596"/>
      <c r="E89" s="1596"/>
      <c r="F89" s="1598"/>
      <c r="G89" s="1598"/>
      <c r="H89" s="1598"/>
      <c r="I89" s="1598"/>
      <c r="J89" s="1598"/>
      <c r="K89" s="1598"/>
      <c r="L89" s="1598"/>
      <c r="M89" s="1598"/>
    </row>
    <row r="90" spans="1:13" ht="15" thickBot="1" x14ac:dyDescent="0.4">
      <c r="A90" s="1599"/>
      <c r="B90" s="1600" t="s">
        <v>978</v>
      </c>
      <c r="C90" s="1601" t="s">
        <v>979</v>
      </c>
      <c r="D90" s="1996">
        <v>0</v>
      </c>
      <c r="E90" s="1996">
        <v>0</v>
      </c>
      <c r="F90" s="1996">
        <v>0</v>
      </c>
      <c r="G90" s="1996">
        <v>0</v>
      </c>
      <c r="H90" s="1996">
        <v>0</v>
      </c>
      <c r="I90" s="1996">
        <v>0</v>
      </c>
      <c r="J90" s="1996">
        <v>0</v>
      </c>
      <c r="K90" s="1996">
        <v>0</v>
      </c>
      <c r="L90" s="1996">
        <v>0</v>
      </c>
      <c r="M90" s="1996">
        <v>0</v>
      </c>
    </row>
    <row r="91" spans="1:13" ht="15" thickBot="1" x14ac:dyDescent="0.4">
      <c r="A91" s="1599"/>
      <c r="B91" s="1600" t="s">
        <v>980</v>
      </c>
      <c r="C91" s="1601" t="s">
        <v>981</v>
      </c>
      <c r="D91" s="1996">
        <v>0</v>
      </c>
      <c r="E91" s="1996">
        <v>0</v>
      </c>
      <c r="F91" s="1996">
        <v>0</v>
      </c>
      <c r="G91" s="1996">
        <v>0</v>
      </c>
      <c r="H91" s="1996">
        <v>0</v>
      </c>
      <c r="I91" s="1996">
        <v>0</v>
      </c>
      <c r="J91" s="1996">
        <v>0</v>
      </c>
      <c r="K91" s="1996">
        <v>0</v>
      </c>
      <c r="L91" s="1996">
        <v>0</v>
      </c>
      <c r="M91" s="1996">
        <v>0</v>
      </c>
    </row>
    <row r="92" spans="1:13" ht="58.5" thickBot="1" x14ac:dyDescent="0.4">
      <c r="A92" s="1599"/>
      <c r="B92" s="1600" t="s">
        <v>982</v>
      </c>
      <c r="C92" s="1601" t="s">
        <v>983</v>
      </c>
      <c r="D92" s="1996">
        <v>0</v>
      </c>
      <c r="E92" s="1996">
        <v>0</v>
      </c>
      <c r="F92" s="1996">
        <v>0</v>
      </c>
      <c r="G92" s="1996">
        <v>0</v>
      </c>
      <c r="H92" s="1996">
        <v>0</v>
      </c>
      <c r="I92" s="1996">
        <v>0</v>
      </c>
      <c r="J92" s="1996">
        <v>0</v>
      </c>
      <c r="K92" s="1996">
        <v>0</v>
      </c>
      <c r="L92" s="1996">
        <v>0</v>
      </c>
      <c r="M92" s="1996">
        <v>0</v>
      </c>
    </row>
    <row r="93" spans="1:13" ht="29.5" thickBot="1" x14ac:dyDescent="0.4">
      <c r="A93" s="1599"/>
      <c r="B93" s="1600" t="s">
        <v>984</v>
      </c>
      <c r="C93" s="1601" t="s">
        <v>985</v>
      </c>
      <c r="D93" s="1996">
        <v>0</v>
      </c>
      <c r="E93" s="1996">
        <v>0</v>
      </c>
      <c r="F93" s="1996">
        <v>0</v>
      </c>
      <c r="G93" s="1996">
        <v>0</v>
      </c>
      <c r="H93" s="1996">
        <v>0</v>
      </c>
      <c r="I93" s="1996">
        <v>0</v>
      </c>
      <c r="J93" s="1996">
        <v>0</v>
      </c>
      <c r="K93" s="1996">
        <v>0</v>
      </c>
      <c r="L93" s="1996">
        <v>0</v>
      </c>
      <c r="M93" s="1996">
        <v>0</v>
      </c>
    </row>
    <row r="94" spans="1:13" ht="15" thickBot="1" x14ac:dyDescent="0.4">
      <c r="A94" s="1599"/>
      <c r="B94" s="1600"/>
      <c r="C94" s="1608"/>
      <c r="D94" s="1609"/>
      <c r="E94" s="1609"/>
    </row>
    <row r="95" spans="1:13" ht="15" thickBot="1" x14ac:dyDescent="0.4">
      <c r="A95" s="1610"/>
      <c r="B95" s="1611"/>
      <c r="C95" s="1612" t="s">
        <v>986</v>
      </c>
      <c r="D95" s="1613"/>
      <c r="E95" s="1613"/>
      <c r="F95" s="1614"/>
      <c r="G95" s="1614"/>
      <c r="H95" s="1614"/>
      <c r="I95" s="1614"/>
      <c r="J95" s="1614"/>
      <c r="K95" s="1614"/>
      <c r="L95" s="1614"/>
      <c r="M95" s="1614"/>
    </row>
  </sheetData>
  <sheetProtection algorithmName="SHA-512" hashValue="U2dthWWF8wW7ANvqjwAfBGTGl0NnTTLUnR9xYToD3jxCQc6Bu6u0BM0gUM84ESb2BPkaPUvSdLyoG4fQpFU9Rw==" saltValue="TCXcMtCwGAaZT8VDnx6/JQ==" spinCount="100000" sheet="1" objects="1" scenarios="1"/>
  <mergeCells count="4">
    <mergeCell ref="D12:K12"/>
    <mergeCell ref="B64:C64"/>
    <mergeCell ref="A3:B3"/>
    <mergeCell ref="C3:M3"/>
  </mergeCells>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B1:AA105"/>
  <sheetViews>
    <sheetView tabSelected="1" zoomScale="80" zoomScaleNormal="80" workbookViewId="0">
      <selection activeCell="D32" sqref="D32:E32"/>
    </sheetView>
  </sheetViews>
  <sheetFormatPr defaultColWidth="8.81640625" defaultRowHeight="20.25" customHeight="1" x14ac:dyDescent="0.35"/>
  <cols>
    <col min="1" max="1" width="4.453125" customWidth="1"/>
    <col min="2" max="2" width="10.36328125" customWidth="1"/>
    <col min="3" max="3" width="12.6328125" style="96" customWidth="1"/>
    <col min="4" max="4" width="12.1796875" customWidth="1"/>
    <col min="5" max="5" width="12.453125" customWidth="1"/>
    <col min="6" max="6" width="12" customWidth="1"/>
    <col min="7" max="7" width="14.36328125" customWidth="1"/>
    <col min="8" max="8" width="13.453125" customWidth="1"/>
    <col min="9" max="9" width="13.1796875" customWidth="1"/>
    <col min="10" max="10" width="11" customWidth="1"/>
    <col min="11" max="11" width="13.81640625" customWidth="1"/>
    <col min="12" max="12" width="12.453125" customWidth="1"/>
    <col min="13" max="13" width="13.453125" customWidth="1"/>
    <col min="14" max="14" width="13.6328125" customWidth="1"/>
    <col min="15" max="15" width="13" customWidth="1"/>
    <col min="16" max="16" width="15.453125" customWidth="1"/>
    <col min="17" max="17" width="11" customWidth="1"/>
    <col min="18" max="18" width="10.6328125" customWidth="1"/>
    <col min="19" max="19" width="10.453125" customWidth="1"/>
    <col min="20" max="20" width="13.453125" customWidth="1"/>
    <col min="21" max="21" width="11.453125" customWidth="1"/>
    <col min="22" max="22" width="12.1796875" customWidth="1"/>
    <col min="23" max="23" width="11.453125" customWidth="1"/>
    <col min="24" max="24" width="16.6328125" customWidth="1"/>
    <col min="25" max="25" width="10.453125" customWidth="1"/>
    <col min="26" max="26" width="11.453125" customWidth="1"/>
    <col min="27" max="27" width="13.1796875" customWidth="1"/>
  </cols>
  <sheetData>
    <row r="1" spans="2:27" ht="50.25" customHeight="1" thickBot="1" x14ac:dyDescent="0.4">
      <c r="B1" s="1615" t="s">
        <v>89</v>
      </c>
      <c r="C1" s="1664" t="s">
        <v>8483</v>
      </c>
      <c r="D1" s="1665"/>
      <c r="E1" s="1665"/>
      <c r="F1" s="1665"/>
      <c r="G1" s="1665"/>
      <c r="H1" s="1665"/>
      <c r="I1" s="1665"/>
      <c r="J1" s="1665"/>
      <c r="K1" s="1665"/>
      <c r="L1" s="1665"/>
      <c r="M1" s="1665"/>
      <c r="N1" s="1665"/>
      <c r="O1" s="1665"/>
      <c r="P1" s="1665"/>
      <c r="Q1" s="1665"/>
      <c r="X1" s="461" t="s">
        <v>8842</v>
      </c>
    </row>
    <row r="2" spans="2:27" ht="30.75" customHeight="1" thickBot="1" x14ac:dyDescent="0.4">
      <c r="C2" s="413" t="s">
        <v>8479</v>
      </c>
      <c r="D2" s="413"/>
      <c r="E2" s="413"/>
      <c r="F2" s="413"/>
      <c r="G2" s="413"/>
      <c r="P2" s="413" t="s">
        <v>8880</v>
      </c>
      <c r="Q2" s="413"/>
      <c r="R2" s="413"/>
      <c r="S2" s="413"/>
      <c r="T2" s="413"/>
      <c r="W2" s="100"/>
      <c r="X2" s="430" t="str">
        <f>LOOKUP(' Preparation'!$F$4,Data!$B$2:$B$194,Data!$C$2:$C$194)</f>
        <v>€ (Euro)</v>
      </c>
    </row>
    <row r="3" spans="2:27" ht="27" customHeight="1" thickTop="1" thickBot="1" x14ac:dyDescent="0.5">
      <c r="C3" s="117"/>
      <c r="D3" s="1669" t="s">
        <v>7175</v>
      </c>
      <c r="E3" s="1670"/>
      <c r="F3" s="1670"/>
      <c r="G3" s="1670"/>
      <c r="H3" s="1670"/>
      <c r="I3" s="1666" t="s">
        <v>7176</v>
      </c>
      <c r="J3" s="1666"/>
      <c r="K3" s="1666"/>
      <c r="L3" s="1667" t="s">
        <v>7177</v>
      </c>
      <c r="M3" s="1668"/>
      <c r="N3" s="116"/>
      <c r="P3" s="117"/>
      <c r="Q3" s="1669" t="s">
        <v>7175</v>
      </c>
      <c r="R3" s="1670"/>
      <c r="S3" s="1670"/>
      <c r="T3" s="1670"/>
      <c r="U3" s="1670"/>
      <c r="V3" s="1666" t="s">
        <v>7176</v>
      </c>
      <c r="W3" s="1666"/>
      <c r="X3" s="1666"/>
      <c r="Y3" s="1667" t="s">
        <v>7177</v>
      </c>
      <c r="Z3" s="1668"/>
      <c r="AA3" s="116"/>
    </row>
    <row r="4" spans="2:27" ht="43.5" customHeight="1" thickTop="1" thickBot="1" x14ac:dyDescent="0.4">
      <c r="C4" s="117" t="s">
        <v>7162</v>
      </c>
      <c r="D4" s="113" t="s">
        <v>37</v>
      </c>
      <c r="E4" s="114" t="s">
        <v>1040</v>
      </c>
      <c r="F4" s="114" t="s">
        <v>7165</v>
      </c>
      <c r="G4" s="114" t="s">
        <v>7170</v>
      </c>
      <c r="H4" s="114" t="s">
        <v>7166</v>
      </c>
      <c r="I4" s="114" t="s">
        <v>7167</v>
      </c>
      <c r="J4" s="114" t="s">
        <v>819</v>
      </c>
      <c r="K4" s="114" t="s">
        <v>8478</v>
      </c>
      <c r="L4" s="114" t="s">
        <v>7169</v>
      </c>
      <c r="M4" s="115" t="s">
        <v>7168</v>
      </c>
      <c r="N4" s="116" t="s">
        <v>40</v>
      </c>
      <c r="P4" s="117" t="s">
        <v>7162</v>
      </c>
      <c r="Q4" s="113" t="s">
        <v>37</v>
      </c>
      <c r="R4" s="114" t="s">
        <v>1040</v>
      </c>
      <c r="S4" s="114" t="s">
        <v>7165</v>
      </c>
      <c r="T4" s="114" t="s">
        <v>7170</v>
      </c>
      <c r="U4" s="114" t="s">
        <v>7166</v>
      </c>
      <c r="V4" s="114" t="s">
        <v>7167</v>
      </c>
      <c r="W4" s="114" t="s">
        <v>819</v>
      </c>
      <c r="X4" s="114" t="s">
        <v>8477</v>
      </c>
      <c r="Y4" s="114" t="s">
        <v>7169</v>
      </c>
      <c r="Z4" s="115" t="s">
        <v>7168</v>
      </c>
      <c r="AA4" s="116" t="s">
        <v>40</v>
      </c>
    </row>
    <row r="5" spans="2:27" s="100" customFormat="1" ht="28.5" customHeight="1" thickTop="1" x14ac:dyDescent="0.35">
      <c r="C5" s="118" t="s">
        <v>66</v>
      </c>
      <c r="D5" s="414" t="s">
        <v>7178</v>
      </c>
      <c r="E5" s="415" t="s">
        <v>7179</v>
      </c>
      <c r="F5" s="415" t="s">
        <v>7180</v>
      </c>
      <c r="G5" s="415" t="s">
        <v>7181</v>
      </c>
      <c r="H5" s="415" t="s">
        <v>7182</v>
      </c>
      <c r="I5" s="416" t="s">
        <v>7183</v>
      </c>
      <c r="J5" s="416" t="s">
        <v>7184</v>
      </c>
      <c r="K5" s="416" t="s">
        <v>7185</v>
      </c>
      <c r="L5" s="417" t="s">
        <v>7186</v>
      </c>
      <c r="M5" s="418" t="s">
        <v>7187</v>
      </c>
      <c r="N5" s="119" t="s">
        <v>7171</v>
      </c>
      <c r="P5" s="118" t="s">
        <v>66</v>
      </c>
      <c r="Q5" s="414" t="s">
        <v>7178</v>
      </c>
      <c r="R5" s="415" t="s">
        <v>7179</v>
      </c>
      <c r="S5" s="415" t="s">
        <v>7180</v>
      </c>
      <c r="T5" s="415" t="s">
        <v>7181</v>
      </c>
      <c r="U5" s="415" t="s">
        <v>7182</v>
      </c>
      <c r="V5" s="416" t="s">
        <v>7183</v>
      </c>
      <c r="W5" s="416" t="s">
        <v>7184</v>
      </c>
      <c r="X5" s="416" t="s">
        <v>7185</v>
      </c>
      <c r="Y5" s="417" t="s">
        <v>7186</v>
      </c>
      <c r="Z5" s="418" t="s">
        <v>7187</v>
      </c>
      <c r="AA5" s="119" t="s">
        <v>7171</v>
      </c>
    </row>
    <row r="6" spans="2:27" s="96" customFormat="1" ht="20.25" customHeight="1" thickBot="1" x14ac:dyDescent="0.4">
      <c r="C6" s="120" t="s">
        <v>7212</v>
      </c>
      <c r="D6" s="426">
        <f>Q6/' Preparation'!$H$4</f>
        <v>0</v>
      </c>
      <c r="E6" s="426">
        <f>R6/' Preparation'!$H$4</f>
        <v>0</v>
      </c>
      <c r="F6" s="426">
        <f>S6/' Preparation'!$H$4</f>
        <v>0</v>
      </c>
      <c r="G6" s="426">
        <f>T6/' Preparation'!$H$4</f>
        <v>0</v>
      </c>
      <c r="H6" s="426">
        <f>U6/' Preparation'!$H$4</f>
        <v>0</v>
      </c>
      <c r="I6" s="427">
        <f>V6/' Preparation'!$H$4</f>
        <v>0</v>
      </c>
      <c r="J6" s="427">
        <f>W6/' Preparation'!$H$4</f>
        <v>0</v>
      </c>
      <c r="K6" s="427">
        <f>X6/' Preparation'!$H$4</f>
        <v>0</v>
      </c>
      <c r="L6" s="429">
        <f>Y6/' Preparation'!$H$4</f>
        <v>0</v>
      </c>
      <c r="M6" s="429">
        <f>Z6/' Preparation'!$H$4</f>
        <v>0</v>
      </c>
      <c r="N6" s="428" t="str">
        <f>IF(OR(AA6=0,AA6=""),"No data",AA6/' Preparation'!$H$4)</f>
        <v>No data</v>
      </c>
      <c r="P6" s="120" t="s">
        <v>7212</v>
      </c>
      <c r="Q6" s="426">
        <f>Suppliers!AA4</f>
        <v>0</v>
      </c>
      <c r="R6" s="426">
        <f>Suppliers!AB4</f>
        <v>0</v>
      </c>
      <c r="S6" s="426">
        <f>Suppliers!AC4</f>
        <v>0</v>
      </c>
      <c r="T6" s="426">
        <f>Suppliers!AD4</f>
        <v>0</v>
      </c>
      <c r="U6" s="426">
        <f>Suppliers!AE4</f>
        <v>0</v>
      </c>
      <c r="V6" s="427">
        <f>Suppliers!AF4</f>
        <v>0</v>
      </c>
      <c r="W6" s="427">
        <f>Suppliers!AG4</f>
        <v>0</v>
      </c>
      <c r="X6" s="427">
        <f>Suppliers!AH4</f>
        <v>0</v>
      </c>
      <c r="Y6" s="429">
        <f>Suppliers!AI4</f>
        <v>0</v>
      </c>
      <c r="Z6" s="429">
        <f>Suppliers!AJ4</f>
        <v>0</v>
      </c>
      <c r="AA6" s="428">
        <f>Suppliers!AK4</f>
        <v>0</v>
      </c>
    </row>
    <row r="7" spans="2:27" s="100" customFormat="1" ht="28.5" customHeight="1" thickTop="1" x14ac:dyDescent="0.35">
      <c r="C7" s="118" t="s">
        <v>7188</v>
      </c>
      <c r="D7" s="414" t="s">
        <v>7189</v>
      </c>
      <c r="E7" s="415" t="s">
        <v>7190</v>
      </c>
      <c r="F7" s="415" t="s">
        <v>7191</v>
      </c>
      <c r="G7" s="415" t="s">
        <v>7192</v>
      </c>
      <c r="H7" s="415" t="s">
        <v>7193</v>
      </c>
      <c r="I7" s="416" t="s">
        <v>7194</v>
      </c>
      <c r="J7" s="416" t="s">
        <v>7195</v>
      </c>
      <c r="K7" s="416" t="s">
        <v>7708</v>
      </c>
      <c r="L7" s="417" t="s">
        <v>7196</v>
      </c>
      <c r="M7" s="418" t="s">
        <v>7197</v>
      </c>
      <c r="N7" s="119" t="s">
        <v>7172</v>
      </c>
      <c r="P7" s="118" t="s">
        <v>7188</v>
      </c>
      <c r="Q7" s="414" t="s">
        <v>7189</v>
      </c>
      <c r="R7" s="415" t="s">
        <v>7190</v>
      </c>
      <c r="S7" s="415" t="s">
        <v>7191</v>
      </c>
      <c r="T7" s="415" t="s">
        <v>7192</v>
      </c>
      <c r="U7" s="415" t="s">
        <v>7193</v>
      </c>
      <c r="V7" s="416" t="s">
        <v>7194</v>
      </c>
      <c r="W7" s="416" t="s">
        <v>7195</v>
      </c>
      <c r="X7" s="416" t="s">
        <v>7708</v>
      </c>
      <c r="Y7" s="417" t="s">
        <v>7196</v>
      </c>
      <c r="Z7" s="418" t="s">
        <v>7197</v>
      </c>
      <c r="AA7" s="119" t="s">
        <v>7172</v>
      </c>
    </row>
    <row r="8" spans="2:27" s="100" customFormat="1" ht="20.25" customHeight="1" thickBot="1" x14ac:dyDescent="0.4">
      <c r="C8" s="120" t="s">
        <v>7212</v>
      </c>
      <c r="D8" s="426">
        <f>Q8/' Preparation'!$H$4</f>
        <v>0</v>
      </c>
      <c r="E8" s="426">
        <f>R8/' Preparation'!$H$4</f>
        <v>0</v>
      </c>
      <c r="F8" s="426">
        <f>S8/' Preparation'!$H$4</f>
        <v>0</v>
      </c>
      <c r="G8" s="426">
        <f>T8/' Preparation'!$H$4</f>
        <v>0</v>
      </c>
      <c r="H8" s="426">
        <f ca="1">U8/' Preparation'!$H$4</f>
        <v>0</v>
      </c>
      <c r="I8" s="427">
        <f>V8/' Preparation'!$H$4</f>
        <v>0</v>
      </c>
      <c r="J8" s="427">
        <f ca="1">W8/' Preparation'!$H$4</f>
        <v>0.14381170930493911</v>
      </c>
      <c r="K8" s="427">
        <f>X8/' Preparation'!$H$4</f>
        <v>0</v>
      </c>
      <c r="L8" s="429">
        <f>Y8/' Preparation'!$H$4</f>
        <v>0</v>
      </c>
      <c r="M8" s="429">
        <f ca="1">Z8/' Preparation'!$H$4</f>
        <v>0</v>
      </c>
      <c r="N8" s="428">
        <f ca="1">IF(OR(AA8=0,AA8=""),"No data",AA8/' Preparation'!$H$4)</f>
        <v>0.14381170930493911</v>
      </c>
      <c r="P8" s="120" t="s">
        <v>7212</v>
      </c>
      <c r="Q8" s="426">
        <f>'Pollution &amp; Climate'!F121</f>
        <v>0</v>
      </c>
      <c r="R8" s="426">
        <f>Depletion!F33</f>
        <v>0</v>
      </c>
      <c r="S8" s="426">
        <f>'Land Occ.'!F41</f>
        <v>0</v>
      </c>
      <c r="T8" s="426">
        <f>Biodiversity!F25</f>
        <v>0</v>
      </c>
      <c r="U8" s="426">
        <f ca="1">'Disposal-Waste'!F14</f>
        <v>0</v>
      </c>
      <c r="V8" s="427">
        <f>'Public Health'!F11</f>
        <v>0</v>
      </c>
      <c r="W8" s="427">
        <f ca="1">Labor!F114</f>
        <v>0.14381170930493911</v>
      </c>
      <c r="X8" s="427">
        <f>Var.Social!F23</f>
        <v>0</v>
      </c>
      <c r="Y8" s="429">
        <f>Economic!F63</f>
        <v>0</v>
      </c>
      <c r="Z8" s="429">
        <f ca="1">'Corr &amp; Confl.'!F14</f>
        <v>0</v>
      </c>
      <c r="AA8" s="428">
        <f ca="1">Q8+R8+S8+T8+U8+V8+W8+X8+Y8+Z8</f>
        <v>0.14381170930493911</v>
      </c>
    </row>
    <row r="9" spans="2:27" s="100" customFormat="1" ht="28.5" customHeight="1" thickTop="1" x14ac:dyDescent="0.35">
      <c r="C9" s="118" t="s">
        <v>7163</v>
      </c>
      <c r="D9" s="414" t="s">
        <v>7208</v>
      </c>
      <c r="E9" s="414" t="s">
        <v>8879</v>
      </c>
      <c r="F9" s="415"/>
      <c r="G9" s="415"/>
      <c r="H9" s="415" t="s">
        <v>8721</v>
      </c>
      <c r="I9" s="416" t="s">
        <v>7209</v>
      </c>
      <c r="J9" s="416"/>
      <c r="K9" s="416" t="s">
        <v>7707</v>
      </c>
      <c r="L9" s="417"/>
      <c r="M9" s="418"/>
      <c r="N9" s="119" t="s">
        <v>7173</v>
      </c>
      <c r="P9" s="118" t="s">
        <v>7163</v>
      </c>
      <c r="Q9" s="414" t="s">
        <v>7208</v>
      </c>
      <c r="R9" s="414" t="s">
        <v>8879</v>
      </c>
      <c r="S9" s="415"/>
      <c r="T9" s="415"/>
      <c r="U9" s="415" t="s">
        <v>8721</v>
      </c>
      <c r="V9" s="416" t="s">
        <v>7209</v>
      </c>
      <c r="W9" s="416"/>
      <c r="X9" s="416" t="s">
        <v>7707</v>
      </c>
      <c r="Y9" s="417"/>
      <c r="Z9" s="418"/>
      <c r="AA9" s="119" t="s">
        <v>7173</v>
      </c>
    </row>
    <row r="10" spans="2:27" s="100" customFormat="1" ht="20.25" customHeight="1" thickBot="1" x14ac:dyDescent="0.4">
      <c r="C10" s="120" t="s">
        <v>7212</v>
      </c>
      <c r="D10" s="426">
        <f>Q10/' Preparation'!$H$4</f>
        <v>0</v>
      </c>
      <c r="E10" s="426">
        <f>R10/' Preparation'!$H$4</f>
        <v>0</v>
      </c>
      <c r="F10" s="409"/>
      <c r="G10" s="409"/>
      <c r="H10" s="426">
        <f>U10/' Preparation'!$H$4</f>
        <v>0</v>
      </c>
      <c r="I10" s="427">
        <f>V10/' Preparation'!$H$4</f>
        <v>0</v>
      </c>
      <c r="J10" s="410"/>
      <c r="K10" s="427">
        <f>X10/' Preparation'!$H$4</f>
        <v>0</v>
      </c>
      <c r="L10" s="411"/>
      <c r="M10" s="412"/>
      <c r="N10" s="428" t="str">
        <f>IF(OR(AA10=0,AA10=""),"No data",AA10/' Preparation'!$H$4)</f>
        <v>No data</v>
      </c>
      <c r="P10" s="120" t="s">
        <v>7212</v>
      </c>
      <c r="Q10" s="426">
        <f>'Use-pollution'!F37</f>
        <v>0</v>
      </c>
      <c r="R10" s="426">
        <f>'Use- Depl'!F24</f>
        <v>0</v>
      </c>
      <c r="S10" s="408"/>
      <c r="T10" s="408"/>
      <c r="U10" s="426">
        <f>'Use- Depl'!F23</f>
        <v>0</v>
      </c>
      <c r="V10" s="427">
        <f>'Use-Health'!F11</f>
        <v>0</v>
      </c>
      <c r="W10" s="410"/>
      <c r="X10" s="427">
        <f>'Use-Social'!F32</f>
        <v>0</v>
      </c>
      <c r="Y10" s="411"/>
      <c r="Z10" s="411"/>
      <c r="AA10" s="428">
        <f>Q10+R10+S10+T10+U10+V10+W10+X10+Y10+Z10</f>
        <v>0</v>
      </c>
    </row>
    <row r="11" spans="2:27" s="100" customFormat="1" ht="28.5" customHeight="1" thickTop="1" x14ac:dyDescent="0.35">
      <c r="C11" s="118" t="s">
        <v>815</v>
      </c>
      <c r="D11" s="414" t="s">
        <v>7210</v>
      </c>
      <c r="E11" s="415"/>
      <c r="F11" s="415"/>
      <c r="G11" s="415"/>
      <c r="H11" s="415" t="s">
        <v>7211</v>
      </c>
      <c r="I11" s="416"/>
      <c r="J11" s="416"/>
      <c r="K11" s="416"/>
      <c r="L11" s="417"/>
      <c r="M11" s="418"/>
      <c r="N11" s="119" t="s">
        <v>7174</v>
      </c>
      <c r="P11" s="118" t="s">
        <v>815</v>
      </c>
      <c r="Q11" s="414" t="s">
        <v>7210</v>
      </c>
      <c r="R11" s="415"/>
      <c r="S11" s="415"/>
      <c r="T11" s="415"/>
      <c r="U11" s="415" t="s">
        <v>7211</v>
      </c>
      <c r="V11" s="416"/>
      <c r="W11" s="416"/>
      <c r="X11" s="416"/>
      <c r="Y11" s="417"/>
      <c r="Z11" s="418"/>
      <c r="AA11" s="119" t="s">
        <v>7174</v>
      </c>
    </row>
    <row r="12" spans="2:27" s="100" customFormat="1" ht="20.25" customHeight="1" thickBot="1" x14ac:dyDescent="0.4">
      <c r="C12" s="120" t="s">
        <v>7212</v>
      </c>
      <c r="D12" s="426">
        <f>Q12/' Preparation'!$H$4</f>
        <v>0</v>
      </c>
      <c r="E12" s="409"/>
      <c r="F12" s="409"/>
      <c r="G12" s="409"/>
      <c r="H12" s="426">
        <f>U12/' Preparation'!$H$4</f>
        <v>0</v>
      </c>
      <c r="I12" s="410"/>
      <c r="J12" s="410"/>
      <c r="K12" s="410"/>
      <c r="L12" s="411"/>
      <c r="M12" s="412"/>
      <c r="N12" s="428" t="str">
        <f>IF(OR(AA12=0,AA12=""),"No data",AA12/' Preparation'!$H$4)</f>
        <v>No data</v>
      </c>
      <c r="P12" s="120" t="s">
        <v>7212</v>
      </c>
      <c r="Q12" s="426"/>
      <c r="R12" s="409"/>
      <c r="S12" s="409"/>
      <c r="T12" s="409"/>
      <c r="U12" s="426"/>
      <c r="V12" s="410"/>
      <c r="W12" s="410"/>
      <c r="X12" s="410"/>
      <c r="Y12" s="411"/>
      <c r="Z12" s="412"/>
      <c r="AA12" s="428">
        <f>Q12+R12+S12+T12+U12+V12+W12+X12+Y12+Z12</f>
        <v>0</v>
      </c>
    </row>
    <row r="13" spans="2:27" s="100" customFormat="1" ht="28.5" customHeight="1" thickTop="1" x14ac:dyDescent="0.35">
      <c r="C13" s="118" t="s">
        <v>7164</v>
      </c>
      <c r="D13" s="414" t="s">
        <v>7698</v>
      </c>
      <c r="E13" s="415" t="s">
        <v>7699</v>
      </c>
      <c r="F13" s="415" t="s">
        <v>7700</v>
      </c>
      <c r="G13" s="415" t="s">
        <v>7701</v>
      </c>
      <c r="H13" s="415" t="s">
        <v>7702</v>
      </c>
      <c r="I13" s="416" t="s">
        <v>7703</v>
      </c>
      <c r="J13" s="416" t="s">
        <v>7704</v>
      </c>
      <c r="K13" s="416" t="s">
        <v>7709</v>
      </c>
      <c r="L13" s="417" t="s">
        <v>7705</v>
      </c>
      <c r="M13" s="418" t="s">
        <v>7706</v>
      </c>
      <c r="N13" s="119" t="s">
        <v>23</v>
      </c>
      <c r="P13" s="118" t="s">
        <v>7164</v>
      </c>
      <c r="Q13" s="414" t="s">
        <v>7698</v>
      </c>
      <c r="R13" s="415" t="s">
        <v>7699</v>
      </c>
      <c r="S13" s="415" t="s">
        <v>7700</v>
      </c>
      <c r="T13" s="415" t="s">
        <v>7701</v>
      </c>
      <c r="U13" s="415" t="s">
        <v>7702</v>
      </c>
      <c r="V13" s="416" t="s">
        <v>7703</v>
      </c>
      <c r="W13" s="416" t="s">
        <v>7704</v>
      </c>
      <c r="X13" s="416" t="s">
        <v>7709</v>
      </c>
      <c r="Y13" s="417" t="s">
        <v>7705</v>
      </c>
      <c r="Z13" s="418" t="s">
        <v>7706</v>
      </c>
      <c r="AA13" s="119" t="s">
        <v>23</v>
      </c>
    </row>
    <row r="14" spans="2:27" s="100" customFormat="1" ht="20.25" customHeight="1" thickBot="1" x14ac:dyDescent="0.4">
      <c r="C14" s="120" t="s">
        <v>7212</v>
      </c>
      <c r="D14" s="426">
        <f>Q14/' Preparation'!$H$4</f>
        <v>0</v>
      </c>
      <c r="E14" s="426">
        <f>R14/' Preparation'!$H$4</f>
        <v>0</v>
      </c>
      <c r="F14" s="426">
        <f>S14/' Preparation'!$H$4</f>
        <v>0</v>
      </c>
      <c r="G14" s="426">
        <f>T14/' Preparation'!$H$4</f>
        <v>0</v>
      </c>
      <c r="H14" s="426">
        <f>U14/' Preparation'!$H$4</f>
        <v>0</v>
      </c>
      <c r="I14" s="427">
        <f>V14/' Preparation'!$H$4</f>
        <v>0</v>
      </c>
      <c r="J14" s="427">
        <f>W14/' Preparation'!$H$4</f>
        <v>0</v>
      </c>
      <c r="K14" s="427">
        <f>X14/' Preparation'!$H$4</f>
        <v>0</v>
      </c>
      <c r="L14" s="429">
        <f>Y14/' Preparation'!$H$4</f>
        <v>0</v>
      </c>
      <c r="M14" s="429">
        <f>Z14/' Preparation'!$H$4</f>
        <v>0</v>
      </c>
      <c r="N14" s="428" t="str">
        <f>IF(OR(AA14=0,AA14=""),"No data",AA14/' Preparation'!$H$4)</f>
        <v>No data</v>
      </c>
      <c r="P14" s="120" t="s">
        <v>7212</v>
      </c>
      <c r="Q14" s="426">
        <f>Bonus!J35</f>
        <v>0</v>
      </c>
      <c r="R14" s="426">
        <f>Bonus!K35</f>
        <v>0</v>
      </c>
      <c r="S14" s="426">
        <f>Bonus!L35</f>
        <v>0</v>
      </c>
      <c r="T14" s="426">
        <f>Bonus!M35</f>
        <v>0</v>
      </c>
      <c r="U14" s="426">
        <f>Bonus!N35</f>
        <v>0</v>
      </c>
      <c r="V14" s="427">
        <f>Bonus!O35</f>
        <v>0</v>
      </c>
      <c r="W14" s="427">
        <f>Bonus!P35</f>
        <v>0</v>
      </c>
      <c r="X14" s="427">
        <f>Bonus!Q35</f>
        <v>0</v>
      </c>
      <c r="Y14" s="429">
        <f>Bonus!R35</f>
        <v>0</v>
      </c>
      <c r="Z14" s="429">
        <f>Bonus!S35</f>
        <v>0</v>
      </c>
      <c r="AA14" s="428">
        <f>Bonus!$G$35</f>
        <v>0</v>
      </c>
    </row>
    <row r="15" spans="2:27" s="100" customFormat="1" ht="42.75" customHeight="1" thickTop="1" x14ac:dyDescent="0.35">
      <c r="C15" s="424" t="s">
        <v>8482</v>
      </c>
      <c r="D15" s="419" t="s">
        <v>7198</v>
      </c>
      <c r="E15" s="420" t="s">
        <v>7199</v>
      </c>
      <c r="F15" s="420" t="s">
        <v>7200</v>
      </c>
      <c r="G15" s="420" t="s">
        <v>7201</v>
      </c>
      <c r="H15" s="420" t="s">
        <v>7202</v>
      </c>
      <c r="I15" s="421" t="s">
        <v>7203</v>
      </c>
      <c r="J15" s="421" t="s">
        <v>7204</v>
      </c>
      <c r="K15" s="421" t="s">
        <v>7205</v>
      </c>
      <c r="L15" s="422" t="s">
        <v>7206</v>
      </c>
      <c r="M15" s="423" t="s">
        <v>7207</v>
      </c>
      <c r="N15" s="119" t="s">
        <v>8484</v>
      </c>
      <c r="P15" s="424" t="s">
        <v>8482</v>
      </c>
      <c r="Q15" s="419" t="s">
        <v>7198</v>
      </c>
      <c r="R15" s="420" t="s">
        <v>7199</v>
      </c>
      <c r="S15" s="420" t="s">
        <v>7200</v>
      </c>
      <c r="T15" s="420" t="s">
        <v>7201</v>
      </c>
      <c r="U15" s="420" t="s">
        <v>7202</v>
      </c>
      <c r="V15" s="421" t="s">
        <v>7203</v>
      </c>
      <c r="W15" s="421" t="s">
        <v>7204</v>
      </c>
      <c r="X15" s="421" t="s">
        <v>7205</v>
      </c>
      <c r="Y15" s="422" t="s">
        <v>7206</v>
      </c>
      <c r="Z15" s="423" t="s">
        <v>7207</v>
      </c>
      <c r="AA15" s="119" t="s">
        <v>8484</v>
      </c>
    </row>
    <row r="16" spans="2:27" s="100" customFormat="1" ht="21" customHeight="1" thickBot="1" x14ac:dyDescent="0.4">
      <c r="C16" s="120" t="s">
        <v>7212</v>
      </c>
      <c r="D16" s="426" t="str">
        <f>IF(' Preparation'!$H$4=0,0,IF(Q16=0,"No data",Q16/' Preparation'!$H$4))</f>
        <v>No data</v>
      </c>
      <c r="E16" s="426" t="str">
        <f>IF(' Preparation'!$H$4=0,0,IF(R16=0,"No data",R16/' Preparation'!$H$4))</f>
        <v>No data</v>
      </c>
      <c r="F16" s="426" t="str">
        <f>IF(' Preparation'!$H$4=0,0,IF(S16=0,"No data",S16/' Preparation'!$H$4))</f>
        <v>No data</v>
      </c>
      <c r="G16" s="426" t="str">
        <f>IF(' Preparation'!$H$4=0,0,IF(T16=0,"No data",T16/' Preparation'!$H$4))</f>
        <v>No data</v>
      </c>
      <c r="H16" s="426" t="str">
        <f ca="1">IF(' Preparation'!$H$4=0,0,IF(U16=0,"No data",U16/' Preparation'!$H$4))</f>
        <v>No data</v>
      </c>
      <c r="I16" s="427" t="str">
        <f>IF(' Preparation'!$H$4=0,0,IF(V16=0,"No data",V16/' Preparation'!$H$4))</f>
        <v>No data</v>
      </c>
      <c r="J16" s="427">
        <f ca="1">IF(' Preparation'!$H$4=0,0,IF(W16=0,"No data",W16/' Preparation'!$H$4))</f>
        <v>0.14381170930493911</v>
      </c>
      <c r="K16" s="427" t="str">
        <f>IF(' Preparation'!$H$4=0,0,IF(X16=0,"No data",X16/' Preparation'!$H$4))</f>
        <v>No data</v>
      </c>
      <c r="L16" s="429" t="str">
        <f>IF(' Preparation'!$H$4=0,0,IF(Y16=0,"No data",Y16/' Preparation'!$H$4))</f>
        <v>No data</v>
      </c>
      <c r="M16" s="429" t="str">
        <f ca="1">IF(' Preparation'!$H$4=0,0,IF(Z16=0,"No data",Z16/' Preparation'!$H$4))</f>
        <v>No data</v>
      </c>
      <c r="N16" s="428">
        <f ca="1">IF(' Preparation'!$H$4=0,0,IF(AA16=0,"No data",AA16/' Preparation'!$H$4))</f>
        <v>0.14381170930493911</v>
      </c>
      <c r="P16" s="120" t="s">
        <v>7212</v>
      </c>
      <c r="Q16" s="426">
        <f>Q6+Q8+Q10+Q12+Q14</f>
        <v>0</v>
      </c>
      <c r="R16" s="426">
        <f t="shared" ref="R16:Z16" si="0">R6+R8+R10+R12+R14</f>
        <v>0</v>
      </c>
      <c r="S16" s="426">
        <f t="shared" si="0"/>
        <v>0</v>
      </c>
      <c r="T16" s="426">
        <f t="shared" si="0"/>
        <v>0</v>
      </c>
      <c r="U16" s="426">
        <f t="shared" ca="1" si="0"/>
        <v>0</v>
      </c>
      <c r="V16" s="427">
        <f t="shared" si="0"/>
        <v>0</v>
      </c>
      <c r="W16" s="427">
        <f t="shared" ca="1" si="0"/>
        <v>0.14381170930493911</v>
      </c>
      <c r="X16" s="427">
        <f t="shared" si="0"/>
        <v>0</v>
      </c>
      <c r="Y16" s="429">
        <f t="shared" si="0"/>
        <v>0</v>
      </c>
      <c r="Z16" s="429">
        <f t="shared" ca="1" si="0"/>
        <v>0</v>
      </c>
      <c r="AA16" s="428">
        <f ca="1">AA6+AA8+AA10+AA12+AA14</f>
        <v>0.14381170930493911</v>
      </c>
    </row>
    <row r="17" spans="2:15" ht="43.5" customHeight="1" thickTop="1" thickBot="1" x14ac:dyDescent="0.4">
      <c r="O17" s="122"/>
    </row>
    <row r="18" spans="2:15" ht="43.5" customHeight="1" thickTop="1" thickBot="1" x14ac:dyDescent="0.4">
      <c r="C18" s="435" t="s">
        <v>8817</v>
      </c>
      <c r="D18" s="439" t="s">
        <v>37</v>
      </c>
      <c r="E18" s="440" t="s">
        <v>1040</v>
      </c>
      <c r="F18" s="440" t="s">
        <v>7165</v>
      </c>
      <c r="G18" s="440" t="s">
        <v>7170</v>
      </c>
      <c r="H18" s="440" t="s">
        <v>7166</v>
      </c>
      <c r="I18" s="440" t="s">
        <v>7167</v>
      </c>
      <c r="J18" s="440" t="s">
        <v>819</v>
      </c>
      <c r="K18" s="440" t="s">
        <v>8478</v>
      </c>
      <c r="L18" s="440" t="s">
        <v>7169</v>
      </c>
      <c r="M18" s="441" t="s">
        <v>7168</v>
      </c>
      <c r="N18" s="116" t="s">
        <v>40</v>
      </c>
    </row>
    <row r="19" spans="2:15" ht="20.25" customHeight="1" thickTop="1" thickBot="1" x14ac:dyDescent="0.4">
      <c r="C19" s="437" t="s">
        <v>66</v>
      </c>
      <c r="D19" s="464">
        <f ca="1">IF(OR(D6="No data",$N$16="No data"),"No data",D6/$N$16)</f>
        <v>0</v>
      </c>
      <c r="E19" s="464">
        <f t="shared" ref="E19:M19" ca="1" si="1">IF(OR(E6="No data",$N$16="No data"),"No data",E6/$N$16)</f>
        <v>0</v>
      </c>
      <c r="F19" s="464">
        <f t="shared" ca="1" si="1"/>
        <v>0</v>
      </c>
      <c r="G19" s="464">
        <f t="shared" ca="1" si="1"/>
        <v>0</v>
      </c>
      <c r="H19" s="464">
        <f t="shared" ca="1" si="1"/>
        <v>0</v>
      </c>
      <c r="I19" s="462">
        <f t="shared" ca="1" si="1"/>
        <v>0</v>
      </c>
      <c r="J19" s="453">
        <f t="shared" ca="1" si="1"/>
        <v>0</v>
      </c>
      <c r="K19" s="453">
        <f t="shared" ca="1" si="1"/>
        <v>0</v>
      </c>
      <c r="L19" s="442">
        <f t="shared" ca="1" si="1"/>
        <v>0</v>
      </c>
      <c r="M19" s="465">
        <f t="shared" ca="1" si="1"/>
        <v>0</v>
      </c>
      <c r="N19" s="468">
        <f ca="1">SUM(D19:M19)</f>
        <v>0</v>
      </c>
    </row>
    <row r="20" spans="2:15" ht="20.25" customHeight="1" thickBot="1" x14ac:dyDescent="0.4">
      <c r="C20" s="437" t="s">
        <v>8818</v>
      </c>
      <c r="D20" s="464">
        <f ca="1">IF(OR(D8="No data",$N$16="No data"),"No data",D8/$N$16)</f>
        <v>0</v>
      </c>
      <c r="E20" s="464">
        <f t="shared" ref="E20:M20" ca="1" si="2">IF(OR(E8="No data",$N$16="No data"),"No data",E8/$N$16)</f>
        <v>0</v>
      </c>
      <c r="F20" s="464">
        <f t="shared" ca="1" si="2"/>
        <v>0</v>
      </c>
      <c r="G20" s="464">
        <f t="shared" ca="1" si="2"/>
        <v>0</v>
      </c>
      <c r="H20" s="464">
        <f t="shared" ca="1" si="2"/>
        <v>0</v>
      </c>
      <c r="I20" s="462">
        <f t="shared" ca="1" si="2"/>
        <v>0</v>
      </c>
      <c r="J20" s="453">
        <f t="shared" ca="1" si="2"/>
        <v>1</v>
      </c>
      <c r="K20" s="453">
        <f t="shared" ca="1" si="2"/>
        <v>0</v>
      </c>
      <c r="L20" s="436">
        <f t="shared" ca="1" si="2"/>
        <v>0</v>
      </c>
      <c r="M20" s="466">
        <f t="shared" ca="1" si="2"/>
        <v>0</v>
      </c>
      <c r="N20" s="468">
        <f t="shared" ref="N20:N23" ca="1" si="3">SUM(D20:M20)</f>
        <v>1</v>
      </c>
    </row>
    <row r="21" spans="2:15" ht="20.25" customHeight="1" thickBot="1" x14ac:dyDescent="0.4">
      <c r="C21" s="437" t="s">
        <v>8819</v>
      </c>
      <c r="D21" s="464">
        <f ca="1">IF(OR(D10="No data",$N$16="No data"),"No data",D10/$N$16)</f>
        <v>0</v>
      </c>
      <c r="E21" s="464">
        <f t="shared" ref="E21:M21" ca="1" si="4">IF(OR(E10="No data",$N$16="No data"),"No data",E10/$N$16)</f>
        <v>0</v>
      </c>
      <c r="F21" s="464">
        <f t="shared" ca="1" si="4"/>
        <v>0</v>
      </c>
      <c r="G21" s="464">
        <f t="shared" ca="1" si="4"/>
        <v>0</v>
      </c>
      <c r="H21" s="464">
        <f t="shared" ca="1" si="4"/>
        <v>0</v>
      </c>
      <c r="I21" s="462">
        <f t="shared" ca="1" si="4"/>
        <v>0</v>
      </c>
      <c r="J21" s="453">
        <f t="shared" ca="1" si="4"/>
        <v>0</v>
      </c>
      <c r="K21" s="453">
        <f t="shared" ca="1" si="4"/>
        <v>0</v>
      </c>
      <c r="L21" s="436">
        <f t="shared" ca="1" si="4"/>
        <v>0</v>
      </c>
      <c r="M21" s="466">
        <f t="shared" ca="1" si="4"/>
        <v>0</v>
      </c>
      <c r="N21" s="468">
        <f t="shared" ca="1" si="3"/>
        <v>0</v>
      </c>
    </row>
    <row r="22" spans="2:15" ht="20.25" customHeight="1" thickBot="1" x14ac:dyDescent="0.4">
      <c r="C22" s="437" t="s">
        <v>8820</v>
      </c>
      <c r="D22" s="464">
        <f ca="1">IF(OR(D12="No data",$N$16="No data"),"No data",D12/$N$16)</f>
        <v>0</v>
      </c>
      <c r="E22" s="464">
        <f t="shared" ref="E22:M22" ca="1" si="5">IF(OR(E12="No data",$N$16="No data"),"No data",E12/$N$16)</f>
        <v>0</v>
      </c>
      <c r="F22" s="464">
        <f t="shared" ca="1" si="5"/>
        <v>0</v>
      </c>
      <c r="G22" s="464">
        <f t="shared" ca="1" si="5"/>
        <v>0</v>
      </c>
      <c r="H22" s="464">
        <f t="shared" ca="1" si="5"/>
        <v>0</v>
      </c>
      <c r="I22" s="462">
        <f t="shared" ca="1" si="5"/>
        <v>0</v>
      </c>
      <c r="J22" s="453">
        <f t="shared" ca="1" si="5"/>
        <v>0</v>
      </c>
      <c r="K22" s="453">
        <f t="shared" ca="1" si="5"/>
        <v>0</v>
      </c>
      <c r="L22" s="436">
        <f t="shared" ca="1" si="5"/>
        <v>0</v>
      </c>
      <c r="M22" s="466">
        <f t="shared" ca="1" si="5"/>
        <v>0</v>
      </c>
      <c r="N22" s="468">
        <f t="shared" ca="1" si="3"/>
        <v>0</v>
      </c>
    </row>
    <row r="23" spans="2:15" ht="20.25" customHeight="1" thickBot="1" x14ac:dyDescent="0.4">
      <c r="C23" s="438" t="s">
        <v>8816</v>
      </c>
      <c r="D23" s="464">
        <f ca="1">IF(OR(D14="No data",$N$16="No data"),"No data",D14/$N$16)</f>
        <v>0</v>
      </c>
      <c r="E23" s="464">
        <f t="shared" ref="E23:M23" ca="1" si="6">IF(OR(E14="No data",$N$16="No data"),"No data",E14/$N$16)</f>
        <v>0</v>
      </c>
      <c r="F23" s="464">
        <f t="shared" ca="1" si="6"/>
        <v>0</v>
      </c>
      <c r="G23" s="464">
        <f t="shared" ca="1" si="6"/>
        <v>0</v>
      </c>
      <c r="H23" s="464">
        <f t="shared" ca="1" si="6"/>
        <v>0</v>
      </c>
      <c r="I23" s="463">
        <f t="shared" ca="1" si="6"/>
        <v>0</v>
      </c>
      <c r="J23" s="454">
        <f t="shared" ca="1" si="6"/>
        <v>0</v>
      </c>
      <c r="K23" s="454">
        <f t="shared" ca="1" si="6"/>
        <v>0</v>
      </c>
      <c r="L23" s="455">
        <f t="shared" ca="1" si="6"/>
        <v>0</v>
      </c>
      <c r="M23" s="467">
        <f t="shared" ca="1" si="6"/>
        <v>0</v>
      </c>
      <c r="N23" s="468">
        <f t="shared" ca="1" si="3"/>
        <v>0</v>
      </c>
    </row>
    <row r="24" spans="2:15" ht="26.25" customHeight="1" thickBot="1" x14ac:dyDescent="0.4">
      <c r="C24" s="438" t="s">
        <v>40</v>
      </c>
      <c r="D24" s="456">
        <f ca="1">SUM(D19:D23)</f>
        <v>0</v>
      </c>
      <c r="E24" s="457">
        <f t="shared" ref="E24:N24" ca="1" si="7">SUM(E19:E23)</f>
        <v>0</v>
      </c>
      <c r="F24" s="457">
        <f t="shared" ca="1" si="7"/>
        <v>0</v>
      </c>
      <c r="G24" s="457">
        <f t="shared" ca="1" si="7"/>
        <v>0</v>
      </c>
      <c r="H24" s="457">
        <f t="shared" ca="1" si="7"/>
        <v>0</v>
      </c>
      <c r="I24" s="458">
        <f t="shared" ca="1" si="7"/>
        <v>0</v>
      </c>
      <c r="J24" s="458">
        <f t="shared" ca="1" si="7"/>
        <v>1</v>
      </c>
      <c r="K24" s="458">
        <f t="shared" ca="1" si="7"/>
        <v>0</v>
      </c>
      <c r="L24" s="459">
        <f t="shared" ca="1" si="7"/>
        <v>0</v>
      </c>
      <c r="M24" s="459">
        <f t="shared" ca="1" si="7"/>
        <v>0</v>
      </c>
      <c r="N24" s="460">
        <f t="shared" ca="1" si="7"/>
        <v>1</v>
      </c>
    </row>
    <row r="25" spans="2:15" ht="43.5" customHeight="1" thickBot="1" x14ac:dyDescent="0.4"/>
    <row r="26" spans="2:15" ht="20.25" customHeight="1" thickBot="1" x14ac:dyDescent="0.4">
      <c r="C26" s="1671" t="s">
        <v>8888</v>
      </c>
      <c r="D26" s="1672"/>
    </row>
    <row r="27" spans="2:15" ht="69" customHeight="1" thickBot="1" x14ac:dyDescent="0.4">
      <c r="B27" s="1663" t="s">
        <v>150</v>
      </c>
      <c r="C27" s="1663"/>
      <c r="D27" s="1663"/>
      <c r="E27" s="1663"/>
      <c r="F27" s="476" t="s">
        <v>8870</v>
      </c>
      <c r="G27" s="1673"/>
      <c r="H27" s="1674"/>
      <c r="I27" s="1674"/>
    </row>
    <row r="28" spans="2:15" ht="25" customHeight="1" x14ac:dyDescent="0.35">
      <c r="B28" s="1649" t="s">
        <v>8850</v>
      </c>
      <c r="C28" s="1650"/>
      <c r="D28" s="1650"/>
      <c r="E28" s="1650"/>
      <c r="F28" s="1651"/>
    </row>
    <row r="29" spans="2:15" ht="20.25" customHeight="1" x14ac:dyDescent="0.35">
      <c r="B29" s="480"/>
      <c r="C29" s="474" t="s">
        <v>66</v>
      </c>
      <c r="D29" s="1659"/>
      <c r="E29" s="1660"/>
      <c r="F29" s="481"/>
    </row>
    <row r="30" spans="2:15" ht="20.25" customHeight="1" x14ac:dyDescent="0.35">
      <c r="B30" s="480" t="s">
        <v>37</v>
      </c>
      <c r="C30" s="160" t="s">
        <v>8844</v>
      </c>
      <c r="D30" s="1653" t="s">
        <v>8845</v>
      </c>
      <c r="E30" s="1654"/>
      <c r="F30" s="481" t="str">
        <f>IF('Pollution &amp; Climate'!$F$14="","No","Yes")</f>
        <v>No</v>
      </c>
    </row>
    <row r="31" spans="2:15" ht="20.25" customHeight="1" x14ac:dyDescent="0.35">
      <c r="B31" s="480"/>
      <c r="C31" s="160"/>
      <c r="D31" s="1653" t="s">
        <v>6999</v>
      </c>
      <c r="E31" s="1654"/>
      <c r="F31" s="481" t="str">
        <f>IF('Pollution &amp; Climate'!F17=1,"No","Yes")</f>
        <v>No</v>
      </c>
    </row>
    <row r="32" spans="2:15" ht="20.25" customHeight="1" x14ac:dyDescent="0.35">
      <c r="B32" s="480"/>
      <c r="C32" s="160"/>
      <c r="D32" s="1653" t="s">
        <v>83</v>
      </c>
      <c r="E32" s="1654"/>
      <c r="F32" s="481" t="str">
        <f>IF('Pollution &amp; Climate'!F34="","No","Yes")</f>
        <v>No</v>
      </c>
    </row>
    <row r="33" spans="2:6" ht="20.25" customHeight="1" x14ac:dyDescent="0.35">
      <c r="B33" s="480"/>
      <c r="C33" s="160"/>
      <c r="D33" s="1653" t="s">
        <v>8846</v>
      </c>
      <c r="E33" s="1654"/>
      <c r="F33" s="481" t="str">
        <f>IF('Pollution &amp; Climate'!F42="","No","Yes")</f>
        <v>No</v>
      </c>
    </row>
    <row r="34" spans="2:6" ht="20.25" customHeight="1" x14ac:dyDescent="0.35">
      <c r="B34" s="480"/>
      <c r="C34" s="160"/>
      <c r="D34" s="1653" t="s">
        <v>8847</v>
      </c>
      <c r="E34" s="1654"/>
      <c r="F34" s="481" t="str">
        <f>IF('Pollution &amp; Climate'!F48="","No","Yes")</f>
        <v>No</v>
      </c>
    </row>
    <row r="35" spans="2:6" ht="30" customHeight="1" x14ac:dyDescent="0.35">
      <c r="B35" s="480" t="s">
        <v>37</v>
      </c>
      <c r="C35" s="160" t="s">
        <v>8848</v>
      </c>
      <c r="D35" s="1653" t="s">
        <v>8891</v>
      </c>
      <c r="E35" s="1654"/>
      <c r="F35" s="481" t="str">
        <f>IF('Pollution &amp; Climate'!F68="","No","Yes")</f>
        <v>No</v>
      </c>
    </row>
    <row r="36" spans="2:6" ht="26.5" customHeight="1" x14ac:dyDescent="0.35">
      <c r="B36" s="480" t="s">
        <v>37</v>
      </c>
      <c r="C36" s="160" t="s">
        <v>8849</v>
      </c>
      <c r="D36" s="1653" t="s">
        <v>8890</v>
      </c>
      <c r="E36" s="1654"/>
      <c r="F36" s="481" t="str">
        <f>IF('Pollution &amp; Climate'!F101="","No","Yes")</f>
        <v>No</v>
      </c>
    </row>
    <row r="37" spans="2:6" ht="20.25" customHeight="1" x14ac:dyDescent="0.35">
      <c r="B37" s="480" t="s">
        <v>37</v>
      </c>
      <c r="C37" s="160" t="s">
        <v>8851</v>
      </c>
      <c r="D37" s="1653" t="s">
        <v>8871</v>
      </c>
      <c r="E37" s="1654"/>
      <c r="F37" s="481" t="str">
        <f>IF('Pollution &amp; Climate'!F106="","No","Yes")</f>
        <v>No</v>
      </c>
    </row>
    <row r="38" spans="2:6" ht="20.25" customHeight="1" x14ac:dyDescent="0.35">
      <c r="B38" s="480" t="s">
        <v>37</v>
      </c>
      <c r="C38" s="160" t="s">
        <v>8852</v>
      </c>
      <c r="D38" s="1653" t="s">
        <v>8872</v>
      </c>
      <c r="E38" s="1654"/>
      <c r="F38" s="481" t="str">
        <f>IF('Pollution &amp; Climate'!F118="","No","Yes")</f>
        <v>Yes</v>
      </c>
    </row>
    <row r="39" spans="2:6" ht="20.25" customHeight="1" x14ac:dyDescent="0.35">
      <c r="B39" s="480" t="s">
        <v>37</v>
      </c>
      <c r="C39" s="160" t="s">
        <v>8819</v>
      </c>
      <c r="D39" s="1653" t="s">
        <v>8873</v>
      </c>
      <c r="E39" s="1654"/>
      <c r="F39" s="481" t="str">
        <f>IF('Use-pollution'!F5=1,"No","Yes")</f>
        <v>No</v>
      </c>
    </row>
    <row r="40" spans="2:6" ht="20.25" customHeight="1" x14ac:dyDescent="0.35">
      <c r="B40" s="480"/>
      <c r="C40" s="160"/>
      <c r="D40" s="1653" t="s">
        <v>8874</v>
      </c>
      <c r="E40" s="1654"/>
      <c r="F40" s="481" t="str">
        <f>IF('Use-pollution'!F13=1,"No","Yes")</f>
        <v>No</v>
      </c>
    </row>
    <row r="41" spans="2:6" ht="30" customHeight="1" x14ac:dyDescent="0.35">
      <c r="B41" s="480"/>
      <c r="C41" s="160"/>
      <c r="D41" s="1653" t="s">
        <v>8892</v>
      </c>
      <c r="E41" s="1654"/>
      <c r="F41" s="482" t="str">
        <f>IF('Use-pollution'!F18=1,"No","Yes")</f>
        <v>No</v>
      </c>
    </row>
    <row r="42" spans="2:6" ht="20.25" customHeight="1" x14ac:dyDescent="0.35">
      <c r="B42" s="480" t="s">
        <v>37</v>
      </c>
      <c r="C42" s="160" t="s">
        <v>815</v>
      </c>
      <c r="D42" s="1653" t="s">
        <v>8875</v>
      </c>
      <c r="E42" s="1654"/>
      <c r="F42" s="481"/>
    </row>
    <row r="43" spans="2:6" ht="20.25" customHeight="1" x14ac:dyDescent="0.35">
      <c r="B43" s="483" t="s">
        <v>1040</v>
      </c>
      <c r="C43" s="479"/>
      <c r="D43" s="479"/>
      <c r="E43" s="479"/>
      <c r="F43" s="484"/>
    </row>
    <row r="44" spans="2:6" ht="20.25" customHeight="1" x14ac:dyDescent="0.35">
      <c r="B44" s="480"/>
      <c r="C44" s="160" t="s">
        <v>66</v>
      </c>
      <c r="D44" s="1653"/>
      <c r="E44" s="1654"/>
      <c r="F44" s="481"/>
    </row>
    <row r="45" spans="2:6" ht="20.25" customHeight="1" x14ac:dyDescent="0.35">
      <c r="B45" s="480"/>
      <c r="C45" s="160"/>
      <c r="D45" s="1653" t="s">
        <v>8854</v>
      </c>
      <c r="E45" s="1654"/>
      <c r="F45" s="481" t="str">
        <f>IF(Depletion!$F$12="","No","Yes")</f>
        <v>No</v>
      </c>
    </row>
    <row r="46" spans="2:6" ht="20.25" customHeight="1" x14ac:dyDescent="0.35">
      <c r="B46" s="480"/>
      <c r="C46" s="160"/>
      <c r="D46" s="1661" t="s">
        <v>8881</v>
      </c>
      <c r="E46" s="1662"/>
      <c r="F46" s="481" t="str">
        <f>IF('Use- Depl'!F9="","No","Yes")</f>
        <v>No</v>
      </c>
    </row>
    <row r="47" spans="2:6" ht="20.25" customHeight="1" x14ac:dyDescent="0.35">
      <c r="B47" s="480"/>
      <c r="C47" s="160"/>
      <c r="D47" s="1653" t="s">
        <v>4573</v>
      </c>
      <c r="E47" s="1654"/>
      <c r="F47" s="481" t="str">
        <f>IF(Depletion!$F$31="","No","Yes")</f>
        <v>No</v>
      </c>
    </row>
    <row r="48" spans="2:6" ht="20.25" customHeight="1" x14ac:dyDescent="0.35">
      <c r="B48" s="480"/>
      <c r="C48" s="160"/>
      <c r="D48" s="1661" t="s">
        <v>8881</v>
      </c>
      <c r="E48" s="1662"/>
      <c r="F48" s="481" t="str">
        <f>IF('Use- Depl'!F21="","No","Yes")</f>
        <v>No</v>
      </c>
    </row>
    <row r="49" spans="2:6" ht="20.25" customHeight="1" x14ac:dyDescent="0.35">
      <c r="B49" s="485" t="s">
        <v>8853</v>
      </c>
      <c r="C49" s="478"/>
      <c r="D49" s="478"/>
      <c r="E49" s="478"/>
      <c r="F49" s="486"/>
    </row>
    <row r="50" spans="2:6" ht="20.25" customHeight="1" x14ac:dyDescent="0.35">
      <c r="B50" s="480"/>
      <c r="C50" s="160" t="s">
        <v>66</v>
      </c>
      <c r="D50" s="1653"/>
      <c r="E50" s="1654"/>
      <c r="F50" s="481"/>
    </row>
    <row r="51" spans="2:6" ht="30.75" customHeight="1" x14ac:dyDescent="0.35">
      <c r="B51" s="480"/>
      <c r="C51" s="160"/>
      <c r="D51" s="1653" t="s">
        <v>8855</v>
      </c>
      <c r="E51" s="1654"/>
      <c r="F51" s="481" t="str">
        <f>IF('Land Occ.'!$F$18="","No","Yes")</f>
        <v>No</v>
      </c>
    </row>
    <row r="52" spans="2:6" ht="20.25" customHeight="1" x14ac:dyDescent="0.35">
      <c r="B52" s="480"/>
      <c r="C52" s="160"/>
      <c r="D52" s="1653" t="s">
        <v>8856</v>
      </c>
      <c r="E52" s="1654"/>
      <c r="F52" s="481" t="str">
        <f>IF('Land Occ.'!$F$27="","No","Yes")</f>
        <v>Yes</v>
      </c>
    </row>
    <row r="53" spans="2:6" ht="28" customHeight="1" x14ac:dyDescent="0.35">
      <c r="B53" s="480"/>
      <c r="C53" s="160"/>
      <c r="D53" s="1653" t="s">
        <v>8895</v>
      </c>
      <c r="E53" s="1654"/>
      <c r="F53" s="487"/>
    </row>
    <row r="54" spans="2:6" ht="20.25" customHeight="1" x14ac:dyDescent="0.35">
      <c r="B54" s="480"/>
      <c r="C54" s="160"/>
      <c r="D54" s="1653" t="s">
        <v>8857</v>
      </c>
      <c r="E54" s="1654"/>
      <c r="F54" s="481" t="str">
        <f>IF('Land Occ.'!$F$39="","No","Yes")</f>
        <v>No</v>
      </c>
    </row>
    <row r="55" spans="2:6" ht="20.25" customHeight="1" x14ac:dyDescent="0.35">
      <c r="B55" s="485" t="s">
        <v>8752</v>
      </c>
      <c r="C55" s="478"/>
      <c r="D55" s="478"/>
      <c r="E55" s="478"/>
      <c r="F55" s="486"/>
    </row>
    <row r="56" spans="2:6" ht="20.25" customHeight="1" x14ac:dyDescent="0.35">
      <c r="B56" s="480"/>
      <c r="C56" s="160" t="s">
        <v>66</v>
      </c>
      <c r="D56" s="1653"/>
      <c r="E56" s="1654"/>
      <c r="F56" s="481"/>
    </row>
    <row r="57" spans="2:6" ht="20.25" customHeight="1" x14ac:dyDescent="0.35">
      <c r="B57" s="480"/>
      <c r="C57" s="160"/>
      <c r="D57" s="1653" t="s">
        <v>8876</v>
      </c>
      <c r="E57" s="1654"/>
      <c r="F57" s="481" t="str">
        <f>IF(Biodiversity!$F$14="","No","Yes")</f>
        <v>No</v>
      </c>
    </row>
    <row r="58" spans="2:6" ht="20.25" customHeight="1" x14ac:dyDescent="0.35">
      <c r="B58" s="480"/>
      <c r="C58" s="473"/>
      <c r="D58" s="1653" t="s">
        <v>8877</v>
      </c>
      <c r="E58" s="1654"/>
      <c r="F58" s="481" t="str">
        <f>IF(Biodiversity!$F$18=1,"No","Yes")</f>
        <v>No</v>
      </c>
    </row>
    <row r="59" spans="2:6" ht="20.25" customHeight="1" x14ac:dyDescent="0.35">
      <c r="B59" s="485" t="s">
        <v>8869</v>
      </c>
      <c r="C59" s="478"/>
      <c r="D59" s="478"/>
      <c r="E59" s="478"/>
      <c r="F59" s="486"/>
    </row>
    <row r="60" spans="2:6" ht="20.25" customHeight="1" x14ac:dyDescent="0.35">
      <c r="B60" s="480"/>
      <c r="C60" s="160" t="s">
        <v>66</v>
      </c>
      <c r="D60" s="1653"/>
      <c r="E60" s="1654"/>
      <c r="F60" s="481"/>
    </row>
    <row r="61" spans="2:6" ht="20.25" customHeight="1" x14ac:dyDescent="0.35">
      <c r="B61" s="480"/>
      <c r="C61" s="160"/>
      <c r="D61" s="1653" t="s">
        <v>8818</v>
      </c>
      <c r="E61" s="1654"/>
      <c r="F61" s="481" t="str">
        <f>IF('Disposal-Waste'!$F$7=1,"No","Yes")</f>
        <v>Yes</v>
      </c>
    </row>
    <row r="62" spans="2:6" ht="20.25" customHeight="1" x14ac:dyDescent="0.35">
      <c r="B62" s="488"/>
      <c r="C62" s="160"/>
      <c r="D62" s="1653" t="s">
        <v>815</v>
      </c>
      <c r="E62" s="1654"/>
      <c r="F62" s="481" t="str">
        <f>IF('End-of-Life'!F4=1,"No","Yes")</f>
        <v>No</v>
      </c>
    </row>
    <row r="63" spans="2:6" ht="20.25" customHeight="1" x14ac:dyDescent="0.35">
      <c r="B63" s="488"/>
      <c r="C63" s="160"/>
      <c r="D63" s="1653"/>
      <c r="E63" s="1654"/>
      <c r="F63" s="481"/>
    </row>
    <row r="64" spans="2:6" ht="20.25" customHeight="1" x14ac:dyDescent="0.35">
      <c r="B64" s="485" t="s">
        <v>7167</v>
      </c>
      <c r="C64" s="478"/>
      <c r="D64" s="478"/>
      <c r="E64" s="478"/>
      <c r="F64" s="486"/>
    </row>
    <row r="65" spans="2:6" ht="20.25" customHeight="1" x14ac:dyDescent="0.35">
      <c r="B65" s="480"/>
      <c r="C65" s="160" t="s">
        <v>66</v>
      </c>
      <c r="D65" s="1653"/>
      <c r="E65" s="1654"/>
      <c r="F65" s="481"/>
    </row>
    <row r="66" spans="2:6" ht="20.25" customHeight="1" x14ac:dyDescent="0.35">
      <c r="B66" s="480"/>
      <c r="C66" s="160"/>
      <c r="D66" s="1653" t="s">
        <v>8818</v>
      </c>
      <c r="E66" s="1654"/>
      <c r="F66" s="481" t="str">
        <f>IF('Public Health'!$F$4=1,"No","Yes")</f>
        <v>No</v>
      </c>
    </row>
    <row r="67" spans="2:6" ht="20.25" customHeight="1" x14ac:dyDescent="0.35">
      <c r="B67" s="488"/>
      <c r="C67" s="160"/>
      <c r="D67" s="1653" t="s">
        <v>7163</v>
      </c>
      <c r="E67" s="1654"/>
      <c r="F67" s="481" t="str">
        <f>IF('Use-Health'!F4=1,"No","Yes")</f>
        <v>No</v>
      </c>
    </row>
    <row r="68" spans="2:6" ht="20.25" customHeight="1" x14ac:dyDescent="0.35">
      <c r="B68" s="485" t="s">
        <v>819</v>
      </c>
      <c r="C68" s="478"/>
      <c r="D68" s="478"/>
      <c r="E68" s="478"/>
      <c r="F68" s="486"/>
    </row>
    <row r="69" spans="2:6" ht="20.25" customHeight="1" x14ac:dyDescent="0.35">
      <c r="B69" s="480"/>
      <c r="C69" s="160" t="s">
        <v>66</v>
      </c>
      <c r="D69" s="1653"/>
      <c r="E69" s="1654"/>
      <c r="F69" s="481"/>
    </row>
    <row r="70" spans="2:6" ht="20.25" customHeight="1" x14ac:dyDescent="0.35">
      <c r="B70" s="480"/>
      <c r="C70" s="160"/>
      <c r="D70" s="1653" t="s">
        <v>8858</v>
      </c>
      <c r="E70" s="1654"/>
      <c r="F70" s="481" t="str">
        <f>IF(Labor!$F$15="","No","Yes")</f>
        <v>Yes</v>
      </c>
    </row>
    <row r="71" spans="2:6" ht="20.25" customHeight="1" x14ac:dyDescent="0.35">
      <c r="B71" s="480"/>
      <c r="C71" s="160"/>
      <c r="D71" s="1653" t="s">
        <v>244</v>
      </c>
      <c r="E71" s="1654"/>
      <c r="F71" s="481" t="str">
        <f ca="1">IF(Labor!$F$28="","No","Yes")</f>
        <v>Yes</v>
      </c>
    </row>
    <row r="72" spans="2:6" ht="20.25" customHeight="1" x14ac:dyDescent="0.35">
      <c r="B72" s="480"/>
      <c r="C72" s="160"/>
      <c r="D72" s="1653" t="s">
        <v>8859</v>
      </c>
      <c r="E72" s="1654"/>
      <c r="F72" s="481" t="str">
        <f>IF(Labor!$F$36="","No","Yes")</f>
        <v>No</v>
      </c>
    </row>
    <row r="73" spans="2:6" ht="20.25" customHeight="1" x14ac:dyDescent="0.35">
      <c r="B73" s="480"/>
      <c r="C73" s="160"/>
      <c r="D73" s="1653" t="s">
        <v>7762</v>
      </c>
      <c r="E73" s="1654"/>
      <c r="F73" s="481" t="str">
        <f>IF(Labor!$F$43="","No","Yes")</f>
        <v>Yes</v>
      </c>
    </row>
    <row r="74" spans="2:6" ht="20.25" customHeight="1" x14ac:dyDescent="0.35">
      <c r="B74" s="480"/>
      <c r="C74" s="160"/>
      <c r="D74" s="1653" t="s">
        <v>8860</v>
      </c>
      <c r="E74" s="1654"/>
      <c r="F74" s="481" t="str">
        <f>IF(Labor!$F$49="","No","Yes")</f>
        <v>Yes</v>
      </c>
    </row>
    <row r="75" spans="2:6" ht="20.25" customHeight="1" x14ac:dyDescent="0.35">
      <c r="B75" s="480"/>
      <c r="C75" s="160"/>
      <c r="D75" s="1653" t="s">
        <v>265</v>
      </c>
      <c r="E75" s="1654"/>
      <c r="F75" s="481" t="str">
        <f>IF(Labor!$F$55="","No","Yes")</f>
        <v>Yes</v>
      </c>
    </row>
    <row r="76" spans="2:6" ht="29.25" customHeight="1" x14ac:dyDescent="0.35">
      <c r="B76" s="480"/>
      <c r="C76" s="160"/>
      <c r="D76" s="1653" t="s">
        <v>8894</v>
      </c>
      <c r="E76" s="1654"/>
      <c r="F76" s="487"/>
    </row>
    <row r="77" spans="2:6" ht="20.25" customHeight="1" x14ac:dyDescent="0.35">
      <c r="B77" s="480"/>
      <c r="C77" s="160"/>
      <c r="D77" s="1653" t="s">
        <v>8861</v>
      </c>
      <c r="E77" s="1654"/>
      <c r="F77" s="481" t="str">
        <f>IF(Labor!$F$79="","No","Yes")</f>
        <v>No</v>
      </c>
    </row>
    <row r="78" spans="2:6" ht="27.75" customHeight="1" x14ac:dyDescent="0.35">
      <c r="B78" s="480"/>
      <c r="C78" s="160"/>
      <c r="D78" s="1653" t="s">
        <v>8882</v>
      </c>
      <c r="E78" s="1654"/>
      <c r="F78" s="481" t="str">
        <f>IF(Labor!$F$86="","No","Yes")</f>
        <v>No</v>
      </c>
    </row>
    <row r="79" spans="2:6" ht="19.5" customHeight="1" x14ac:dyDescent="0.35">
      <c r="B79" s="480"/>
      <c r="C79" s="160"/>
      <c r="D79" s="1653" t="s">
        <v>834</v>
      </c>
      <c r="E79" s="1654"/>
      <c r="F79" s="481" t="str">
        <f>IF(Labor!$F$89=1,"No","Yes")</f>
        <v>Yes</v>
      </c>
    </row>
    <row r="80" spans="2:6" ht="20.25" customHeight="1" x14ac:dyDescent="0.35">
      <c r="B80" s="480"/>
      <c r="C80" s="160"/>
      <c r="D80" s="1653" t="s">
        <v>8862</v>
      </c>
      <c r="E80" s="1654"/>
      <c r="F80" s="481" t="str">
        <f>IF(Labor!$F$97=1,"No","Yes")</f>
        <v>Yes</v>
      </c>
    </row>
    <row r="81" spans="2:6" ht="20.25" customHeight="1" x14ac:dyDescent="0.35">
      <c r="B81" s="485" t="s">
        <v>8863</v>
      </c>
      <c r="C81" s="478"/>
      <c r="D81" s="478"/>
      <c r="E81" s="478"/>
      <c r="F81" s="486"/>
    </row>
    <row r="82" spans="2:6" ht="20.25" customHeight="1" x14ac:dyDescent="0.35">
      <c r="B82" s="480"/>
      <c r="C82" s="160" t="s">
        <v>66</v>
      </c>
      <c r="D82" s="1653"/>
      <c r="E82" s="1654"/>
      <c r="F82" s="481"/>
    </row>
    <row r="83" spans="2:6" ht="20.25" customHeight="1" x14ac:dyDescent="0.35">
      <c r="B83" s="480"/>
      <c r="C83" s="160"/>
      <c r="D83" s="1653" t="s">
        <v>8864</v>
      </c>
      <c r="E83" s="1654"/>
      <c r="F83" s="481" t="str">
        <f>IF(Var.Social!$F$11="","No","Yes")</f>
        <v>No</v>
      </c>
    </row>
    <row r="84" spans="2:6" ht="20.25" customHeight="1" x14ac:dyDescent="0.35">
      <c r="B84" s="480"/>
      <c r="C84" s="160"/>
      <c r="D84" s="1653" t="s">
        <v>837</v>
      </c>
      <c r="E84" s="1654"/>
      <c r="F84" s="481" t="str">
        <f>IF(Var.Social!$F$21="","No","Yes")</f>
        <v>No</v>
      </c>
    </row>
    <row r="85" spans="2:6" ht="20.25" customHeight="1" x14ac:dyDescent="0.35">
      <c r="B85" s="480"/>
      <c r="C85" s="160" t="s">
        <v>7163</v>
      </c>
      <c r="D85" s="1653" t="s">
        <v>41</v>
      </c>
      <c r="E85" s="1654"/>
      <c r="F85" s="481" t="str">
        <f>IF('Use-Social'!$F$6=1,"No","Yes")</f>
        <v>No</v>
      </c>
    </row>
    <row r="86" spans="2:6" ht="20.25" customHeight="1" x14ac:dyDescent="0.35">
      <c r="B86" s="480"/>
      <c r="C86" s="160"/>
      <c r="D86" s="1653" t="s">
        <v>7472</v>
      </c>
      <c r="E86" s="1654"/>
      <c r="F86" s="481" t="str">
        <f>IF('Use-Social'!$F$17="","No","Yes")</f>
        <v>No</v>
      </c>
    </row>
    <row r="87" spans="2:6" ht="20.25" customHeight="1" x14ac:dyDescent="0.35">
      <c r="B87" s="480"/>
      <c r="C87" s="160"/>
      <c r="D87" s="1653" t="s">
        <v>8883</v>
      </c>
      <c r="E87" s="1654"/>
      <c r="F87" s="481" t="str">
        <f>IF('Use-Social'!$F$26="","No","Yes")</f>
        <v>Yes</v>
      </c>
    </row>
    <row r="88" spans="2:6" ht="20.25" customHeight="1" thickBot="1" x14ac:dyDescent="0.4">
      <c r="B88" s="480"/>
      <c r="C88" s="160"/>
      <c r="D88" s="1657" t="s">
        <v>7479</v>
      </c>
      <c r="E88" s="1658"/>
      <c r="F88" s="481" t="str">
        <f>IF('Use-Social'!$F$30="","No","Yes")</f>
        <v>No</v>
      </c>
    </row>
    <row r="89" spans="2:6" ht="20.25" customHeight="1" thickBot="1" x14ac:dyDescent="0.4">
      <c r="B89" s="470" t="s">
        <v>8865</v>
      </c>
      <c r="C89" s="471"/>
      <c r="D89" s="471"/>
      <c r="E89" s="471"/>
      <c r="F89" s="489"/>
    </row>
    <row r="90" spans="2:6" ht="20.25" customHeight="1" x14ac:dyDescent="0.35">
      <c r="B90" s="480"/>
      <c r="C90" s="160" t="s">
        <v>66</v>
      </c>
      <c r="D90" s="1655"/>
      <c r="E90" s="1656"/>
      <c r="F90" s="481"/>
    </row>
    <row r="91" spans="2:6" ht="20.25" customHeight="1" x14ac:dyDescent="0.35">
      <c r="B91" s="480"/>
      <c r="C91" s="160"/>
      <c r="D91" s="1653" t="s">
        <v>8866</v>
      </c>
      <c r="E91" s="1654"/>
      <c r="F91" s="481" t="str">
        <f>IF(Economic!$F$5=1,"No","Yes")</f>
        <v>Yes</v>
      </c>
    </row>
    <row r="92" spans="2:6" ht="20.25" customHeight="1" x14ac:dyDescent="0.35">
      <c r="B92" s="480"/>
      <c r="C92" s="160"/>
      <c r="D92" s="1653" t="s">
        <v>8867</v>
      </c>
      <c r="E92" s="1654"/>
      <c r="F92" s="481" t="str">
        <f>IF(Economic!$F$22=1,"No","Yes")</f>
        <v>No</v>
      </c>
    </row>
    <row r="93" spans="2:6" ht="28" customHeight="1" x14ac:dyDescent="0.35">
      <c r="B93" s="480"/>
      <c r="C93" s="160"/>
      <c r="D93" s="1653" t="s">
        <v>8893</v>
      </c>
      <c r="E93" s="1654"/>
      <c r="F93" s="487"/>
    </row>
    <row r="94" spans="2:6" ht="20.25" customHeight="1" thickBot="1" x14ac:dyDescent="0.4">
      <c r="B94" s="490"/>
      <c r="C94" s="477"/>
      <c r="D94" s="1657" t="s">
        <v>8868</v>
      </c>
      <c r="E94" s="1658"/>
      <c r="F94" s="491" t="str">
        <f>IF(Economic!$F$57=1,"No","Yes")</f>
        <v>No</v>
      </c>
    </row>
    <row r="95" spans="2:6" ht="20.25" customHeight="1" thickBot="1" x14ac:dyDescent="0.4">
      <c r="B95" s="470" t="s">
        <v>8754</v>
      </c>
      <c r="C95" s="471"/>
      <c r="D95" s="471"/>
      <c r="E95" s="471"/>
      <c r="F95" s="472"/>
    </row>
    <row r="96" spans="2:6" ht="20.25" customHeight="1" x14ac:dyDescent="0.35">
      <c r="B96" s="492"/>
      <c r="C96" s="475" t="s">
        <v>66</v>
      </c>
      <c r="D96" s="1653"/>
      <c r="E96" s="1654"/>
      <c r="F96" s="493"/>
    </row>
    <row r="97" spans="2:6" ht="20.25" customHeight="1" thickBot="1" x14ac:dyDescent="0.4">
      <c r="B97" s="494"/>
      <c r="C97" s="495" t="s">
        <v>8818</v>
      </c>
      <c r="D97" s="1657"/>
      <c r="E97" s="1658"/>
      <c r="F97" s="496" t="str">
        <f>IF('Corr &amp; Confl.'!$F$8=1,"No","Yes")</f>
        <v>Yes</v>
      </c>
    </row>
    <row r="98" spans="2:6" ht="20.25" customHeight="1" x14ac:dyDescent="0.35">
      <c r="B98" s="469"/>
      <c r="D98" s="1652"/>
      <c r="E98" s="1652"/>
    </row>
    <row r="99" spans="2:6" ht="20.25" customHeight="1" x14ac:dyDescent="0.35">
      <c r="D99" s="1652"/>
      <c r="E99" s="1652"/>
    </row>
    <row r="100" spans="2:6" ht="20.25" customHeight="1" x14ac:dyDescent="0.35">
      <c r="D100" s="1652"/>
      <c r="E100" s="1652"/>
    </row>
    <row r="101" spans="2:6" ht="20.25" customHeight="1" x14ac:dyDescent="0.35">
      <c r="D101" s="1621"/>
      <c r="E101" s="1621"/>
    </row>
    <row r="102" spans="2:6" ht="20.25" customHeight="1" x14ac:dyDescent="0.35">
      <c r="D102" s="1621"/>
      <c r="E102" s="1621"/>
    </row>
    <row r="103" spans="2:6" ht="20.25" customHeight="1" x14ac:dyDescent="0.35">
      <c r="D103" s="1621"/>
      <c r="E103" s="1621"/>
    </row>
    <row r="104" spans="2:6" ht="20.25" customHeight="1" x14ac:dyDescent="0.35">
      <c r="D104" s="1621"/>
      <c r="E104" s="1621"/>
    </row>
    <row r="105" spans="2:6" ht="20.25" customHeight="1" x14ac:dyDescent="0.35">
      <c r="D105" s="1621"/>
      <c r="E105" s="1621"/>
    </row>
  </sheetData>
  <sheetProtection algorithmName="SHA-512" hashValue="/RoiUKCy8zvGMiO0MsbYvAFLaLpbagphvw/Pe4/PC6/EhmhDvcaRusyK3U1YiA/Ow9FE/0NrRaPhsVCUfJUUHw==" saltValue="Mc2YsgUmCYAfTiIMA08ZLQ==" spinCount="100000" sheet="1" objects="1" scenarios="1"/>
  <mergeCells count="74">
    <mergeCell ref="B27:E27"/>
    <mergeCell ref="C1:Q1"/>
    <mergeCell ref="V3:X3"/>
    <mergeCell ref="Y3:Z3"/>
    <mergeCell ref="D3:H3"/>
    <mergeCell ref="I3:K3"/>
    <mergeCell ref="L3:M3"/>
    <mergeCell ref="Q3:U3"/>
    <mergeCell ref="C26:D26"/>
    <mergeCell ref="G27:I27"/>
    <mergeCell ref="D30:E30"/>
    <mergeCell ref="D31:E31"/>
    <mergeCell ref="D32:E32"/>
    <mergeCell ref="D34:E34"/>
    <mergeCell ref="D33:E33"/>
    <mergeCell ref="D44:E44"/>
    <mergeCell ref="D45:E45"/>
    <mergeCell ref="D35:E35"/>
    <mergeCell ref="D36:E36"/>
    <mergeCell ref="D37:E37"/>
    <mergeCell ref="D38:E38"/>
    <mergeCell ref="D40:E40"/>
    <mergeCell ref="D39:E39"/>
    <mergeCell ref="D29:E29"/>
    <mergeCell ref="D50:E50"/>
    <mergeCell ref="D61:E61"/>
    <mergeCell ref="D56:E56"/>
    <mergeCell ref="D58:E58"/>
    <mergeCell ref="D60:E60"/>
    <mergeCell ref="D46:E46"/>
    <mergeCell ref="D48:E48"/>
    <mergeCell ref="D57:E57"/>
    <mergeCell ref="D47:E47"/>
    <mergeCell ref="D51:E51"/>
    <mergeCell ref="D52:E52"/>
    <mergeCell ref="D53:E53"/>
    <mergeCell ref="D54:E54"/>
    <mergeCell ref="D41:E41"/>
    <mergeCell ref="D42:E42"/>
    <mergeCell ref="D67:E67"/>
    <mergeCell ref="D69:E69"/>
    <mergeCell ref="D70:E70"/>
    <mergeCell ref="D71:E71"/>
    <mergeCell ref="D62:E62"/>
    <mergeCell ref="D66:E66"/>
    <mergeCell ref="D65:E65"/>
    <mergeCell ref="D63:E63"/>
    <mergeCell ref="D72:E72"/>
    <mergeCell ref="D73:E73"/>
    <mergeCell ref="D74:E74"/>
    <mergeCell ref="D75:E75"/>
    <mergeCell ref="D76:E76"/>
    <mergeCell ref="D93:E93"/>
    <mergeCell ref="D77:E77"/>
    <mergeCell ref="D78:E78"/>
    <mergeCell ref="D79:E79"/>
    <mergeCell ref="D80:E80"/>
    <mergeCell ref="D83:E83"/>
    <mergeCell ref="B28:F28"/>
    <mergeCell ref="D99:E99"/>
    <mergeCell ref="D100:E100"/>
    <mergeCell ref="D82:E82"/>
    <mergeCell ref="D90:E90"/>
    <mergeCell ref="D86:E86"/>
    <mergeCell ref="D87:E87"/>
    <mergeCell ref="D88:E88"/>
    <mergeCell ref="D94:E94"/>
    <mergeCell ref="D96:E96"/>
    <mergeCell ref="D97:E97"/>
    <mergeCell ref="D98:E98"/>
    <mergeCell ref="D84:E84"/>
    <mergeCell ref="D85:E85"/>
    <mergeCell ref="D91:E91"/>
    <mergeCell ref="D92:E92"/>
  </mergeCells>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rgb="FFFF0000"/>
  </sheetPr>
  <dimension ref="A1:N65"/>
  <sheetViews>
    <sheetView zoomScale="90" zoomScaleNormal="90" workbookViewId="0">
      <selection sqref="A1:XFD1048576"/>
    </sheetView>
  </sheetViews>
  <sheetFormatPr defaultColWidth="9.1796875" defaultRowHeight="14.5" x14ac:dyDescent="0.35"/>
  <cols>
    <col min="1" max="1" width="5.81640625" style="547" customWidth="1"/>
    <col min="2" max="2" width="14.36328125" style="512" customWidth="1"/>
    <col min="3" max="3" width="98.81640625" style="549" customWidth="1"/>
    <col min="4" max="4" width="13.81640625" style="499" customWidth="1"/>
    <col min="5" max="5" width="16.453125" style="512" customWidth="1"/>
    <col min="6" max="6" width="17.81640625" style="548" customWidth="1"/>
    <col min="7" max="7" width="13.453125" style="512" customWidth="1"/>
    <col min="8" max="8" width="11.453125" style="499" bestFit="1" customWidth="1"/>
    <col min="9" max="9" width="11.36328125" style="499" customWidth="1"/>
    <col min="10" max="10" width="15.36328125" style="499" customWidth="1"/>
    <col min="11" max="11" width="11.453125" style="499" bestFit="1" customWidth="1"/>
    <col min="12" max="12" width="19.6328125" style="499" customWidth="1"/>
    <col min="13" max="13" width="11.453125" style="499" customWidth="1"/>
    <col min="14" max="14" width="11.81640625" style="499" customWidth="1"/>
    <col min="15" max="16384" width="9.1796875" style="499"/>
  </cols>
  <sheetData>
    <row r="1" spans="1:14" ht="19" thickBot="1" x14ac:dyDescent="0.4">
      <c r="A1" s="498"/>
      <c r="B1" s="1676" t="s">
        <v>2169</v>
      </c>
      <c r="C1" s="1677"/>
      <c r="D1" s="1633"/>
      <c r="E1" s="1633"/>
      <c r="F1" s="1633"/>
      <c r="G1" s="1633"/>
    </row>
    <row r="2" spans="1:14" s="503" customFormat="1" ht="37.5" thickBot="1" x14ac:dyDescent="0.4">
      <c r="A2" s="500" t="s">
        <v>82</v>
      </c>
      <c r="B2" s="1675" t="s">
        <v>470</v>
      </c>
      <c r="C2" s="1675"/>
      <c r="D2" s="501" t="s">
        <v>224</v>
      </c>
      <c r="E2" s="501" t="s">
        <v>8112</v>
      </c>
      <c r="F2" s="502" t="s">
        <v>223</v>
      </c>
      <c r="G2" s="502" t="s">
        <v>8316</v>
      </c>
      <c r="N2" s="499"/>
    </row>
    <row r="3" spans="1:14" ht="32.5" customHeight="1" thickBot="1" x14ac:dyDescent="0.4">
      <c r="A3" s="504"/>
      <c r="B3" s="505" t="s">
        <v>89</v>
      </c>
      <c r="C3" s="1678" t="s">
        <v>8667</v>
      </c>
      <c r="D3" s="1679"/>
      <c r="E3" s="1679"/>
      <c r="F3" s="1679"/>
      <c r="G3" s="1680"/>
      <c r="H3" s="506" t="s">
        <v>8794</v>
      </c>
      <c r="I3" s="506" t="s">
        <v>8795</v>
      </c>
    </row>
    <row r="4" spans="1:14" ht="61.5" customHeight="1" thickBot="1" x14ac:dyDescent="0.4">
      <c r="A4" s="507" t="s">
        <v>683</v>
      </c>
      <c r="B4" s="508" t="s">
        <v>471</v>
      </c>
      <c r="C4" s="509" t="s">
        <v>8824</v>
      </c>
      <c r="D4" s="510"/>
      <c r="E4" s="511" t="s">
        <v>8413</v>
      </c>
      <c r="F4" s="1856">
        <v>2</v>
      </c>
      <c r="H4" s="513">
        <f>LOOKUP(IF($F$4=1,2,$F$4),Data!$B$2:$B$194,Data!$L$2:$L$194)</f>
        <v>1</v>
      </c>
      <c r="I4" s="513">
        <f>LOOKUP(IF($F$4=1,2,$F$4),Data!$B$2:$B$194,Data!$L$2:$L$194)/Data!L4</f>
        <v>0.876</v>
      </c>
    </row>
    <row r="5" spans="1:14" ht="29" x14ac:dyDescent="0.35">
      <c r="A5" s="514" t="s">
        <v>682</v>
      </c>
      <c r="B5" s="443" t="s">
        <v>111</v>
      </c>
      <c r="C5" s="515" t="s">
        <v>8528</v>
      </c>
      <c r="D5" s="516" t="s">
        <v>69</v>
      </c>
      <c r="E5" s="517" t="s">
        <v>113</v>
      </c>
      <c r="F5" s="518" t="s">
        <v>8491</v>
      </c>
      <c r="G5" s="443"/>
    </row>
    <row r="6" spans="1:14" ht="32.5" customHeight="1" thickBot="1" x14ac:dyDescent="0.4">
      <c r="A6" s="514" t="s">
        <v>684</v>
      </c>
      <c r="B6" s="443" t="s">
        <v>112</v>
      </c>
      <c r="C6" s="519" t="s">
        <v>8931</v>
      </c>
      <c r="D6" s="516" t="s">
        <v>69</v>
      </c>
      <c r="E6" s="517" t="s">
        <v>112</v>
      </c>
      <c r="F6" s="1857">
        <v>1</v>
      </c>
      <c r="G6" s="443"/>
    </row>
    <row r="7" spans="1:14" ht="49" customHeight="1" thickBot="1" x14ac:dyDescent="0.4">
      <c r="A7" s="514" t="s">
        <v>6950</v>
      </c>
      <c r="B7" s="443" t="s">
        <v>133</v>
      </c>
      <c r="C7" s="519" t="s">
        <v>8529</v>
      </c>
      <c r="D7" s="516" t="s">
        <v>69</v>
      </c>
      <c r="E7" s="517" t="s">
        <v>133</v>
      </c>
      <c r="F7" s="520" t="s">
        <v>8492</v>
      </c>
      <c r="G7" s="443"/>
    </row>
    <row r="8" spans="1:14" ht="22.5" customHeight="1" x14ac:dyDescent="0.35">
      <c r="A8" s="514" t="s">
        <v>2219</v>
      </c>
      <c r="B8" s="443" t="s">
        <v>2173</v>
      </c>
      <c r="C8" s="519" t="s">
        <v>8689</v>
      </c>
      <c r="D8" s="516" t="s">
        <v>69</v>
      </c>
      <c r="E8" s="517" t="s">
        <v>2175</v>
      </c>
      <c r="F8" s="1858"/>
      <c r="G8" s="443"/>
    </row>
    <row r="9" spans="1:14" ht="31.5" customHeight="1" x14ac:dyDescent="0.35">
      <c r="A9" s="514" t="s">
        <v>2220</v>
      </c>
      <c r="B9" s="443" t="s">
        <v>2174</v>
      </c>
      <c r="C9" s="519" t="s">
        <v>8690</v>
      </c>
      <c r="D9" s="516" t="s">
        <v>69</v>
      </c>
      <c r="E9" s="517" t="s">
        <v>2176</v>
      </c>
      <c r="F9" s="1858"/>
      <c r="G9" s="443"/>
    </row>
    <row r="10" spans="1:14" ht="26.25" customHeight="1" x14ac:dyDescent="0.35">
      <c r="A10" s="514" t="s">
        <v>686</v>
      </c>
      <c r="B10" s="443" t="s">
        <v>134</v>
      </c>
      <c r="C10" s="519" t="s">
        <v>7633</v>
      </c>
      <c r="D10" s="516" t="s">
        <v>69</v>
      </c>
      <c r="E10" s="517" t="s">
        <v>134</v>
      </c>
      <c r="F10" s="1857">
        <v>1</v>
      </c>
      <c r="G10" s="443"/>
    </row>
    <row r="11" spans="1:14" ht="34" customHeight="1" thickBot="1" x14ac:dyDescent="0.4">
      <c r="A11" s="514" t="s">
        <v>687</v>
      </c>
      <c r="B11" s="443" t="s">
        <v>689</v>
      </c>
      <c r="C11" s="519" t="s">
        <v>8326</v>
      </c>
      <c r="D11" s="516" t="s">
        <v>69</v>
      </c>
      <c r="E11" s="517" t="s">
        <v>8325</v>
      </c>
      <c r="F11" s="1859">
        <v>100000</v>
      </c>
      <c r="G11" s="443"/>
    </row>
    <row r="12" spans="1:14" ht="37.5" customHeight="1" thickBot="1" x14ac:dyDescent="0.4">
      <c r="A12" s="514" t="s">
        <v>685</v>
      </c>
      <c r="B12" s="521" t="s">
        <v>688</v>
      </c>
      <c r="C12" s="522" t="s">
        <v>676</v>
      </c>
      <c r="D12" s="516" t="s">
        <v>69</v>
      </c>
      <c r="E12" s="523" t="s">
        <v>132</v>
      </c>
      <c r="F12" s="520" t="s">
        <v>8493</v>
      </c>
      <c r="G12" s="443"/>
    </row>
    <row r="13" spans="1:14" ht="36.75" customHeight="1" x14ac:dyDescent="0.35">
      <c r="A13" s="514" t="s">
        <v>2202</v>
      </c>
      <c r="B13" s="524" t="s">
        <v>681</v>
      </c>
      <c r="C13" s="525" t="s">
        <v>8917</v>
      </c>
      <c r="D13" s="516" t="s">
        <v>69</v>
      </c>
      <c r="E13" s="517" t="s">
        <v>117</v>
      </c>
      <c r="F13" s="1857">
        <v>1</v>
      </c>
      <c r="G13" s="526"/>
    </row>
    <row r="14" spans="1:14" ht="24" customHeight="1" x14ac:dyDescent="0.35">
      <c r="A14" s="514" t="s">
        <v>2203</v>
      </c>
      <c r="B14" s="524" t="s">
        <v>6959</v>
      </c>
      <c r="C14" s="525" t="s">
        <v>8530</v>
      </c>
      <c r="D14" s="516" t="s">
        <v>69</v>
      </c>
      <c r="E14" s="517" t="s">
        <v>7634</v>
      </c>
      <c r="F14" s="1857">
        <v>3</v>
      </c>
      <c r="G14" s="443"/>
    </row>
    <row r="15" spans="1:14" ht="28.5" customHeight="1" thickBot="1" x14ac:dyDescent="0.4">
      <c r="A15" s="514" t="s">
        <v>2204</v>
      </c>
      <c r="B15" s="524" t="s">
        <v>474</v>
      </c>
      <c r="C15" s="525" t="s">
        <v>8531</v>
      </c>
      <c r="D15" s="516" t="s">
        <v>69</v>
      </c>
      <c r="E15" s="517" t="s">
        <v>7635</v>
      </c>
      <c r="F15" s="1857">
        <v>3</v>
      </c>
      <c r="G15" s="443"/>
    </row>
    <row r="16" spans="1:14" ht="34.5" customHeight="1" thickBot="1" x14ac:dyDescent="0.4">
      <c r="A16" s="514" t="s">
        <v>2205</v>
      </c>
      <c r="B16" s="524" t="s">
        <v>677</v>
      </c>
      <c r="C16" s="527" t="s">
        <v>60</v>
      </c>
      <c r="D16" s="516" t="s">
        <v>69</v>
      </c>
      <c r="E16" s="517" t="s">
        <v>677</v>
      </c>
      <c r="F16" s="520" t="s">
        <v>8494</v>
      </c>
      <c r="G16" s="443"/>
    </row>
    <row r="17" spans="1:13" ht="30" customHeight="1" x14ac:dyDescent="0.35">
      <c r="A17" s="514" t="s">
        <v>2206</v>
      </c>
      <c r="B17" s="524" t="s">
        <v>678</v>
      </c>
      <c r="C17" s="527" t="s">
        <v>7637</v>
      </c>
      <c r="D17" s="516" t="s">
        <v>69</v>
      </c>
      <c r="E17" s="517" t="s">
        <v>678</v>
      </c>
      <c r="F17" s="1857">
        <v>1</v>
      </c>
      <c r="G17" s="443"/>
    </row>
    <row r="18" spans="1:13" ht="22.5" customHeight="1" thickBot="1" x14ac:dyDescent="0.4">
      <c r="A18" s="514" t="s">
        <v>2207</v>
      </c>
      <c r="B18" s="524" t="s">
        <v>7997</v>
      </c>
      <c r="C18" s="515" t="s">
        <v>7638</v>
      </c>
      <c r="D18" s="528" t="s">
        <v>69</v>
      </c>
      <c r="E18" s="512" t="s">
        <v>7639</v>
      </c>
      <c r="F18" s="574"/>
      <c r="G18" s="443"/>
      <c r="H18" s="444" t="s">
        <v>8002</v>
      </c>
      <c r="I18" s="445" t="s">
        <v>8004</v>
      </c>
      <c r="J18" s="445" t="s">
        <v>8003</v>
      </c>
      <c r="K18" s="445" t="s">
        <v>155</v>
      </c>
    </row>
    <row r="19" spans="1:13" ht="31.5" customHeight="1" thickBot="1" x14ac:dyDescent="0.4">
      <c r="A19" s="514" t="s">
        <v>2208</v>
      </c>
      <c r="B19" s="443" t="s">
        <v>8682</v>
      </c>
      <c r="C19" s="499" t="s">
        <v>8922</v>
      </c>
      <c r="D19" s="528" t="s">
        <v>69</v>
      </c>
      <c r="E19" s="529" t="s">
        <v>675</v>
      </c>
      <c r="F19" s="530">
        <f>$H$19+$I$19/12+$J$19/365+$K$19/(365*24)</f>
        <v>0</v>
      </c>
      <c r="G19" s="443"/>
      <c r="H19" s="1860"/>
      <c r="I19" s="574"/>
      <c r="J19" s="574"/>
      <c r="K19" s="574"/>
    </row>
    <row r="20" spans="1:13" ht="72.5" customHeight="1" x14ac:dyDescent="0.35">
      <c r="A20" s="514" t="s">
        <v>2209</v>
      </c>
      <c r="B20" s="524" t="s">
        <v>475</v>
      </c>
      <c r="C20" s="527" t="s">
        <v>8921</v>
      </c>
      <c r="D20" s="516" t="s">
        <v>69</v>
      </c>
      <c r="E20" s="517" t="s">
        <v>8681</v>
      </c>
      <c r="F20" s="1857">
        <v>1</v>
      </c>
      <c r="G20" s="443"/>
    </row>
    <row r="21" spans="1:13" ht="58" x14ac:dyDescent="0.35">
      <c r="A21" s="514" t="s">
        <v>2210</v>
      </c>
      <c r="B21" s="524" t="s">
        <v>1038</v>
      </c>
      <c r="C21" s="527" t="s">
        <v>8527</v>
      </c>
      <c r="D21" s="516" t="s">
        <v>69</v>
      </c>
      <c r="E21" s="517" t="s">
        <v>8327</v>
      </c>
      <c r="F21" s="1858">
        <v>50000</v>
      </c>
      <c r="G21" s="443"/>
    </row>
    <row r="22" spans="1:13" ht="58.5" thickBot="1" x14ac:dyDescent="0.4">
      <c r="A22" s="514" t="s">
        <v>2211</v>
      </c>
      <c r="B22" s="524" t="s">
        <v>7161</v>
      </c>
      <c r="C22" s="527" t="s">
        <v>8916</v>
      </c>
      <c r="D22" s="516" t="s">
        <v>69</v>
      </c>
      <c r="E22" s="517" t="s">
        <v>8328</v>
      </c>
      <c r="F22" s="1858"/>
      <c r="G22" s="443"/>
    </row>
    <row r="23" spans="1:13" s="528" customFormat="1" ht="30.75" customHeight="1" thickBot="1" x14ac:dyDescent="0.4">
      <c r="A23" s="514" t="s">
        <v>2212</v>
      </c>
      <c r="B23" s="524" t="s">
        <v>7640</v>
      </c>
      <c r="C23" s="531" t="s">
        <v>8622</v>
      </c>
      <c r="D23" s="516" t="s">
        <v>7760</v>
      </c>
      <c r="E23" s="532" t="s">
        <v>7641</v>
      </c>
      <c r="F23" s="533">
        <f>IF(F21=0,0,F22/F21)</f>
        <v>0</v>
      </c>
      <c r="G23" s="524"/>
      <c r="H23" s="1682" t="s">
        <v>8694</v>
      </c>
      <c r="I23" s="1683"/>
      <c r="J23" s="534" t="s">
        <v>8695</v>
      </c>
      <c r="K23" s="499"/>
      <c r="L23" s="499"/>
      <c r="M23" s="499"/>
    </row>
    <row r="24" spans="1:13" ht="43" customHeight="1" thickTop="1" thickBot="1" x14ac:dyDescent="0.4">
      <c r="A24" s="514" t="s">
        <v>2213</v>
      </c>
      <c r="B24" s="524" t="s">
        <v>7127</v>
      </c>
      <c r="C24" s="527" t="s">
        <v>8996</v>
      </c>
      <c r="D24" s="516" t="s">
        <v>69</v>
      </c>
      <c r="E24" s="532" t="s">
        <v>8995</v>
      </c>
      <c r="F24" s="574">
        <v>2</v>
      </c>
      <c r="G24" s="443"/>
      <c r="H24" s="535" t="s">
        <v>155</v>
      </c>
      <c r="I24" s="536" t="s">
        <v>8731</v>
      </c>
      <c r="J24" s="537" t="s">
        <v>8677</v>
      </c>
    </row>
    <row r="25" spans="1:13" ht="62.25" customHeight="1" thickBot="1" x14ac:dyDescent="0.4">
      <c r="A25" s="514" t="s">
        <v>2214</v>
      </c>
      <c r="B25" s="524" t="s">
        <v>7998</v>
      </c>
      <c r="C25" s="515" t="s">
        <v>8889</v>
      </c>
      <c r="D25" s="516" t="s">
        <v>69</v>
      </c>
      <c r="E25" s="517" t="s">
        <v>8730</v>
      </c>
      <c r="F25" s="530">
        <f>IF(L25&lt;&gt;0,L25,H25+I25/60)</f>
        <v>0</v>
      </c>
      <c r="G25" s="443"/>
      <c r="H25" s="1860"/>
      <c r="I25" s="574"/>
      <c r="J25" s="1861"/>
    </row>
    <row r="26" spans="1:13" ht="48" customHeight="1" x14ac:dyDescent="0.35">
      <c r="A26" s="514" t="s">
        <v>2215</v>
      </c>
      <c r="B26" s="443" t="s">
        <v>679</v>
      </c>
      <c r="C26" s="538" t="s">
        <v>9006</v>
      </c>
      <c r="D26" s="516" t="s">
        <v>69</v>
      </c>
      <c r="E26" s="517" t="s">
        <v>8215</v>
      </c>
      <c r="F26" s="574"/>
      <c r="G26" s="526"/>
    </row>
    <row r="27" spans="1:13" ht="43.5" x14ac:dyDescent="0.35">
      <c r="A27" s="514" t="s">
        <v>2216</v>
      </c>
      <c r="B27" s="524" t="s">
        <v>680</v>
      </c>
      <c r="C27" s="525" t="s">
        <v>7654</v>
      </c>
      <c r="D27" s="516" t="s">
        <v>69</v>
      </c>
      <c r="E27" s="517" t="s">
        <v>8216</v>
      </c>
      <c r="F27" s="574"/>
      <c r="G27" s="443"/>
    </row>
    <row r="28" spans="1:13" ht="60.75" customHeight="1" thickBot="1" x14ac:dyDescent="0.4">
      <c r="A28" s="514" t="s">
        <v>2217</v>
      </c>
      <c r="B28" s="524" t="s">
        <v>7646</v>
      </c>
      <c r="C28" s="525" t="s">
        <v>8999</v>
      </c>
      <c r="D28" s="516" t="s">
        <v>69</v>
      </c>
      <c r="E28" s="517" t="s">
        <v>7647</v>
      </c>
      <c r="F28" s="517">
        <v>1</v>
      </c>
      <c r="G28" s="446" t="str">
        <f>IF(OR(AND(F26&lt;0.2,F27&lt;0.2),F28=2),"Goto Pr 30","Goto Pr 24")</f>
        <v>Goto Pr 30</v>
      </c>
    </row>
    <row r="29" spans="1:13" ht="89.25" customHeight="1" thickBot="1" x14ac:dyDescent="0.4">
      <c r="A29" s="514" t="s">
        <v>2218</v>
      </c>
      <c r="B29" s="524" t="s">
        <v>6952</v>
      </c>
      <c r="C29" s="519" t="s">
        <v>9002</v>
      </c>
      <c r="D29" s="516" t="s">
        <v>69</v>
      </c>
      <c r="E29" s="517" t="s">
        <v>6954</v>
      </c>
      <c r="F29" s="520" t="s">
        <v>8495</v>
      </c>
      <c r="G29" s="446"/>
    </row>
    <row r="30" spans="1:13" ht="29.5" thickBot="1" x14ac:dyDescent="0.4">
      <c r="A30" s="514" t="s">
        <v>6956</v>
      </c>
      <c r="B30" s="443" t="s">
        <v>6953</v>
      </c>
      <c r="C30" s="525" t="s">
        <v>9000</v>
      </c>
      <c r="D30" s="538" t="s">
        <v>7655</v>
      </c>
      <c r="E30" s="517" t="s">
        <v>125</v>
      </c>
      <c r="F30" s="520" t="s">
        <v>8496</v>
      </c>
      <c r="G30" s="443"/>
    </row>
    <row r="31" spans="1:13" ht="58.5" thickBot="1" x14ac:dyDescent="0.4">
      <c r="A31" s="514" t="s">
        <v>7480</v>
      </c>
      <c r="B31" s="443" t="s">
        <v>6951</v>
      </c>
      <c r="C31" s="525" t="s">
        <v>9001</v>
      </c>
      <c r="D31" s="538" t="s">
        <v>7655</v>
      </c>
      <c r="E31" s="517" t="s">
        <v>126</v>
      </c>
      <c r="F31" s="520" t="s">
        <v>8497</v>
      </c>
      <c r="G31" s="443"/>
    </row>
    <row r="32" spans="1:13" ht="31.5" customHeight="1" thickBot="1" x14ac:dyDescent="0.4">
      <c r="A32" s="514" t="s">
        <v>6957</v>
      </c>
      <c r="B32" s="524" t="s">
        <v>674</v>
      </c>
      <c r="C32" s="525" t="s">
        <v>9004</v>
      </c>
      <c r="D32" s="516" t="s">
        <v>69</v>
      </c>
      <c r="E32" s="517" t="s">
        <v>7999</v>
      </c>
      <c r="F32" s="520" t="s">
        <v>8498</v>
      </c>
      <c r="G32" s="443"/>
    </row>
    <row r="33" spans="1:8" ht="29.5" thickBot="1" x14ac:dyDescent="0.4">
      <c r="A33" s="514" t="s">
        <v>7636</v>
      </c>
      <c r="B33" s="443" t="s">
        <v>6955</v>
      </c>
      <c r="C33" s="525" t="s">
        <v>9005</v>
      </c>
      <c r="D33" s="538" t="s">
        <v>69</v>
      </c>
      <c r="E33" s="517" t="s">
        <v>127</v>
      </c>
      <c r="F33" s="520" t="s">
        <v>8499</v>
      </c>
      <c r="G33" s="443"/>
    </row>
    <row r="34" spans="1:8" ht="31.5" thickBot="1" x14ac:dyDescent="0.4">
      <c r="A34" s="514" t="s">
        <v>7644</v>
      </c>
      <c r="B34" s="443" t="s">
        <v>61</v>
      </c>
      <c r="C34" s="539" t="s">
        <v>7649</v>
      </c>
      <c r="D34" s="1681" t="s">
        <v>7655</v>
      </c>
      <c r="E34" s="517" t="s">
        <v>61</v>
      </c>
      <c r="F34" s="540" t="s">
        <v>131</v>
      </c>
      <c r="G34" s="443"/>
    </row>
    <row r="35" spans="1:8" ht="32.25" customHeight="1" thickBot="1" x14ac:dyDescent="0.4">
      <c r="A35" s="514"/>
      <c r="B35" s="443"/>
      <c r="C35" s="525" t="s">
        <v>8503</v>
      </c>
      <c r="D35" s="1681"/>
      <c r="E35" s="517" t="s">
        <v>128</v>
      </c>
      <c r="F35" s="520" t="s">
        <v>8500</v>
      </c>
      <c r="G35" s="443"/>
    </row>
    <row r="36" spans="1:8" ht="31.5" customHeight="1" thickBot="1" x14ac:dyDescent="0.4">
      <c r="A36" s="514"/>
      <c r="B36" s="443"/>
      <c r="C36" s="525" t="s">
        <v>0</v>
      </c>
      <c r="D36" s="1681"/>
      <c r="E36" s="517" t="s">
        <v>129</v>
      </c>
      <c r="F36" s="520" t="s">
        <v>8500</v>
      </c>
      <c r="G36" s="443"/>
    </row>
    <row r="37" spans="1:8" ht="45" customHeight="1" thickBot="1" x14ac:dyDescent="0.4">
      <c r="A37" s="514"/>
      <c r="B37" s="443"/>
      <c r="C37" s="525" t="s">
        <v>8505</v>
      </c>
      <c r="D37" s="1681"/>
      <c r="E37" s="517" t="s">
        <v>130</v>
      </c>
      <c r="F37" s="520" t="s">
        <v>8500</v>
      </c>
      <c r="G37" s="447" t="str">
        <f>IF(OR(AND($F$26&lt;0.2,$F$27&lt;0.2),$F$28=2),"Goto sheet Pollution &amp; Climate","Goto sheet Suppliers.")</f>
        <v>Goto sheet Pollution &amp; Climate</v>
      </c>
    </row>
    <row r="38" spans="1:8" ht="46" customHeight="1" thickBot="1" x14ac:dyDescent="0.4">
      <c r="A38" s="541" t="s">
        <v>7648</v>
      </c>
      <c r="B38" s="542" t="s">
        <v>6958</v>
      </c>
      <c r="C38" s="543" t="str">
        <f>IF(OR(AND(F26&lt;0.2,F27&lt;0.2),F28=2),"The Organization is considered Origin supplier; No Supplier ESCU's are required."," Supplier ESCU's are required for all items on the SCID list; Goto sheet Suppliers.")</f>
        <v>The Organization is considered Origin supplier; No Supplier ESCU's are required.</v>
      </c>
      <c r="D38" s="544"/>
      <c r="E38" s="544"/>
      <c r="F38" s="545"/>
      <c r="G38" s="447" t="str">
        <f>IF(OR(AND($F$26&lt;0.2,$F$27&lt;0.2),$F$28=2),"Goto sheet Pollution &amp; Climate","Goto sheet Suppliers.")</f>
        <v>Goto sheet Pollution &amp; Climate</v>
      </c>
      <c r="H38" s="546"/>
    </row>
    <row r="39" spans="1:8" x14ac:dyDescent="0.35">
      <c r="C39" s="519"/>
      <c r="D39" s="516"/>
    </row>
    <row r="40" spans="1:8" ht="15" thickBot="1" x14ac:dyDescent="0.4"/>
    <row r="41" spans="1:8" ht="16" thickBot="1" x14ac:dyDescent="0.4">
      <c r="A41" s="541" t="s">
        <v>9003</v>
      </c>
      <c r="C41" s="550" t="s">
        <v>8000</v>
      </c>
    </row>
    <row r="42" spans="1:8" x14ac:dyDescent="0.35">
      <c r="C42" s="551" t="s">
        <v>193</v>
      </c>
    </row>
    <row r="43" spans="1:8" x14ac:dyDescent="0.35">
      <c r="C43" s="551" t="s">
        <v>195</v>
      </c>
    </row>
    <row r="44" spans="1:8" x14ac:dyDescent="0.35">
      <c r="C44" s="551" t="s">
        <v>197</v>
      </c>
    </row>
    <row r="45" spans="1:8" x14ac:dyDescent="0.35">
      <c r="C45" s="551" t="s">
        <v>198</v>
      </c>
    </row>
    <row r="46" spans="1:8" x14ac:dyDescent="0.35">
      <c r="C46" s="552" t="s">
        <v>7643</v>
      </c>
    </row>
    <row r="47" spans="1:8" x14ac:dyDescent="0.35">
      <c r="C47" s="551" t="s">
        <v>201</v>
      </c>
    </row>
    <row r="48" spans="1:8" x14ac:dyDescent="0.35">
      <c r="C48" s="551" t="s">
        <v>202</v>
      </c>
    </row>
    <row r="49" spans="3:3" x14ac:dyDescent="0.35">
      <c r="C49" s="551" t="s">
        <v>203</v>
      </c>
    </row>
    <row r="50" spans="3:3" x14ac:dyDescent="0.35">
      <c r="C50" s="551" t="s">
        <v>204</v>
      </c>
    </row>
    <row r="51" spans="3:3" x14ac:dyDescent="0.35">
      <c r="C51" s="551" t="s">
        <v>206</v>
      </c>
    </row>
    <row r="52" spans="3:3" x14ac:dyDescent="0.35">
      <c r="C52" s="551" t="s">
        <v>207</v>
      </c>
    </row>
    <row r="53" spans="3:3" x14ac:dyDescent="0.35">
      <c r="C53" s="551" t="s">
        <v>208</v>
      </c>
    </row>
    <row r="54" spans="3:3" x14ac:dyDescent="0.35">
      <c r="C54" s="551" t="s">
        <v>209</v>
      </c>
    </row>
    <row r="55" spans="3:3" x14ac:dyDescent="0.35">
      <c r="C55" s="551" t="s">
        <v>210</v>
      </c>
    </row>
    <row r="56" spans="3:3" x14ac:dyDescent="0.35">
      <c r="C56" s="551" t="s">
        <v>211</v>
      </c>
    </row>
    <row r="57" spans="3:3" x14ac:dyDescent="0.35">
      <c r="C57" s="551" t="s">
        <v>212</v>
      </c>
    </row>
    <row r="58" spans="3:3" x14ac:dyDescent="0.35">
      <c r="C58" s="551" t="s">
        <v>213</v>
      </c>
    </row>
    <row r="59" spans="3:3" x14ac:dyDescent="0.35">
      <c r="C59" s="551" t="s">
        <v>214</v>
      </c>
    </row>
    <row r="60" spans="3:3" x14ac:dyDescent="0.35">
      <c r="C60" s="551" t="s">
        <v>215</v>
      </c>
    </row>
    <row r="61" spans="3:3" x14ac:dyDescent="0.35">
      <c r="C61" s="551" t="s">
        <v>216</v>
      </c>
    </row>
    <row r="62" spans="3:3" x14ac:dyDescent="0.35">
      <c r="C62" s="551" t="s">
        <v>217</v>
      </c>
    </row>
    <row r="63" spans="3:3" x14ac:dyDescent="0.35">
      <c r="C63" s="551" t="s">
        <v>218</v>
      </c>
    </row>
    <row r="64" spans="3:3" x14ac:dyDescent="0.35">
      <c r="C64" s="551" t="s">
        <v>220</v>
      </c>
    </row>
    <row r="65" spans="3:3" x14ac:dyDescent="0.35">
      <c r="C65" s="551" t="s">
        <v>222</v>
      </c>
    </row>
  </sheetData>
  <sheetProtection algorithmName="SHA-512" hashValue="ErF4aaN4XKLWfJYqftIzhP+T7R84zxTlcWpJ6UHP2Cp8HarmrhovgYAWF/kdS6qKOddP4AzGMxKe/w2enfKJgQ==" saltValue="j4Jv4nQAQ7UocAi/jvUDWw==" spinCount="100000" sheet="1" selectLockedCells="1"/>
  <mergeCells count="5">
    <mergeCell ref="B2:C2"/>
    <mergeCell ref="B1:C1"/>
    <mergeCell ref="C3:G3"/>
    <mergeCell ref="D34:D37"/>
    <mergeCell ref="H23:I23"/>
  </mergeCell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52" r:id="rId4" name="Drop Down 4">
              <controlPr defaultSize="0" autoLine="0" autoPict="0">
                <anchor moveWithCells="1">
                  <from>
                    <xdr:col>5</xdr:col>
                    <xdr:colOff>0</xdr:colOff>
                    <xdr:row>2</xdr:row>
                    <xdr:rowOff>419100</xdr:rowOff>
                  </from>
                  <to>
                    <xdr:col>6</xdr:col>
                    <xdr:colOff>0</xdr:colOff>
                    <xdr:row>4</xdr:row>
                    <xdr:rowOff>12700</xdr:rowOff>
                  </to>
                </anchor>
              </controlPr>
            </control>
          </mc:Choice>
        </mc:AlternateContent>
        <mc:AlternateContent xmlns:mc="http://schemas.openxmlformats.org/markup-compatibility/2006">
          <mc:Choice Requires="x14">
            <control shapeId="2053" r:id="rId5" name="Drop Down 5">
              <controlPr defaultSize="0" autoLine="0" autoPict="0">
                <anchor moveWithCells="1">
                  <from>
                    <xdr:col>5</xdr:col>
                    <xdr:colOff>0</xdr:colOff>
                    <xdr:row>5</xdr:row>
                    <xdr:rowOff>0</xdr:rowOff>
                  </from>
                  <to>
                    <xdr:col>6</xdr:col>
                    <xdr:colOff>12700</xdr:colOff>
                    <xdr:row>6</xdr:row>
                    <xdr:rowOff>12700</xdr:rowOff>
                  </to>
                </anchor>
              </controlPr>
            </control>
          </mc:Choice>
        </mc:AlternateContent>
        <mc:AlternateContent xmlns:mc="http://schemas.openxmlformats.org/markup-compatibility/2006">
          <mc:Choice Requires="x14">
            <control shapeId="2056" r:id="rId6" name="Drop Down 8">
              <controlPr defaultSize="0" autoLine="0" autoPict="0">
                <anchor moveWithCells="1">
                  <from>
                    <xdr:col>5</xdr:col>
                    <xdr:colOff>12700</xdr:colOff>
                    <xdr:row>12</xdr:row>
                    <xdr:rowOff>469900</xdr:rowOff>
                  </from>
                  <to>
                    <xdr:col>6</xdr:col>
                    <xdr:colOff>0</xdr:colOff>
                    <xdr:row>14</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5</xdr:col>
                    <xdr:colOff>12700</xdr:colOff>
                    <xdr:row>19</xdr:row>
                    <xdr:rowOff>0</xdr:rowOff>
                  </from>
                  <to>
                    <xdr:col>6</xdr:col>
                    <xdr:colOff>0</xdr:colOff>
                    <xdr:row>19</xdr:row>
                    <xdr:rowOff>584200</xdr:rowOff>
                  </to>
                </anchor>
              </controlPr>
            </control>
          </mc:Choice>
        </mc:AlternateContent>
        <mc:AlternateContent xmlns:mc="http://schemas.openxmlformats.org/markup-compatibility/2006">
          <mc:Choice Requires="x14">
            <control shapeId="2077" r:id="rId8" name="Drop Down 29">
              <controlPr defaultSize="0" autoLine="0" autoPict="0">
                <anchor moveWithCells="1">
                  <from>
                    <xdr:col>5</xdr:col>
                    <xdr:colOff>0</xdr:colOff>
                    <xdr:row>9</xdr:row>
                    <xdr:rowOff>12700</xdr:rowOff>
                  </from>
                  <to>
                    <xdr:col>6</xdr:col>
                    <xdr:colOff>927100</xdr:colOff>
                    <xdr:row>10</xdr:row>
                    <xdr:rowOff>0</xdr:rowOff>
                  </to>
                </anchor>
              </controlPr>
            </control>
          </mc:Choice>
        </mc:AlternateContent>
        <mc:AlternateContent xmlns:mc="http://schemas.openxmlformats.org/markup-compatibility/2006">
          <mc:Choice Requires="x14">
            <control shapeId="2078" r:id="rId9" name="Drop Down 30">
              <controlPr defaultSize="0" autoLine="0" autoPict="0">
                <anchor moveWithCells="1">
                  <from>
                    <xdr:col>5</xdr:col>
                    <xdr:colOff>12700</xdr:colOff>
                    <xdr:row>12</xdr:row>
                    <xdr:rowOff>12700</xdr:rowOff>
                  </from>
                  <to>
                    <xdr:col>6</xdr:col>
                    <xdr:colOff>0</xdr:colOff>
                    <xdr:row>13</xdr:row>
                    <xdr:rowOff>0</xdr:rowOff>
                  </to>
                </anchor>
              </controlPr>
            </control>
          </mc:Choice>
        </mc:AlternateContent>
        <mc:AlternateContent xmlns:mc="http://schemas.openxmlformats.org/markup-compatibility/2006">
          <mc:Choice Requires="x14">
            <control shapeId="2079" r:id="rId10" name="Drop Down 31">
              <controlPr defaultSize="0" autoLine="0" autoPict="0">
                <anchor moveWithCells="1">
                  <from>
                    <xdr:col>5</xdr:col>
                    <xdr:colOff>12700</xdr:colOff>
                    <xdr:row>13</xdr:row>
                    <xdr:rowOff>304800</xdr:rowOff>
                  </from>
                  <to>
                    <xdr:col>6</xdr:col>
                    <xdr:colOff>0</xdr:colOff>
                    <xdr:row>15</xdr:row>
                    <xdr:rowOff>0</xdr:rowOff>
                  </to>
                </anchor>
              </controlPr>
            </control>
          </mc:Choice>
        </mc:AlternateContent>
        <mc:AlternateContent xmlns:mc="http://schemas.openxmlformats.org/markup-compatibility/2006">
          <mc:Choice Requires="x14">
            <control shapeId="2080" r:id="rId11" name="Drop Down 32">
              <controlPr defaultSize="0" autoLine="0" autoPict="0">
                <anchor moveWithCells="1">
                  <from>
                    <xdr:col>5</xdr:col>
                    <xdr:colOff>12700</xdr:colOff>
                    <xdr:row>16</xdr:row>
                    <xdr:rowOff>12700</xdr:rowOff>
                  </from>
                  <to>
                    <xdr:col>6</xdr:col>
                    <xdr:colOff>0</xdr:colOff>
                    <xdr:row>16</xdr:row>
                    <xdr:rowOff>381000</xdr:rowOff>
                  </to>
                </anchor>
              </controlPr>
            </control>
          </mc:Choice>
        </mc:AlternateContent>
        <mc:AlternateContent xmlns:mc="http://schemas.openxmlformats.org/markup-compatibility/2006">
          <mc:Choice Requires="x14">
            <control shapeId="2083" r:id="rId12" name="Drop Down 35">
              <controlPr defaultSize="0" autoLine="0" autoPict="0">
                <anchor moveWithCells="1">
                  <from>
                    <xdr:col>5</xdr:col>
                    <xdr:colOff>0</xdr:colOff>
                    <xdr:row>27</xdr:row>
                    <xdr:rowOff>0</xdr:rowOff>
                  </from>
                  <to>
                    <xdr:col>6</xdr:col>
                    <xdr:colOff>12700</xdr:colOff>
                    <xdr:row>27</xdr:row>
                    <xdr:rowOff>508000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tabColor rgb="FFFF0000"/>
  </sheetPr>
  <dimension ref="A1:AK102"/>
  <sheetViews>
    <sheetView zoomScale="90" zoomScaleNormal="90" workbookViewId="0">
      <pane ySplit="2" topLeftCell="A3" activePane="bottomLeft" state="frozen"/>
      <selection activeCell="G28" sqref="G28"/>
      <selection pane="bottomLeft" sqref="A1:XFD1048576"/>
    </sheetView>
  </sheetViews>
  <sheetFormatPr defaultColWidth="9.1796875" defaultRowHeight="14.5" x14ac:dyDescent="0.35"/>
  <cols>
    <col min="1" max="1" width="4.81640625" style="529" customWidth="1"/>
    <col min="2" max="2" width="14.81640625" style="529" customWidth="1"/>
    <col min="3" max="3" width="102.453125" style="577" customWidth="1"/>
    <col min="4" max="4" width="15.1796875" style="601" customWidth="1"/>
    <col min="5" max="5" width="17.36328125" style="601" customWidth="1"/>
    <col min="6" max="6" width="17.453125" style="577" customWidth="1"/>
    <col min="7" max="7" width="13.453125" style="577" customWidth="1"/>
    <col min="8" max="8" width="10.6328125" style="577" customWidth="1"/>
    <col min="9" max="9" width="23.453125" style="577" customWidth="1"/>
    <col min="10" max="11" width="12" style="577" customWidth="1"/>
    <col min="12" max="12" width="17" style="577" customWidth="1"/>
    <col min="13" max="13" width="15.453125" style="577" customWidth="1"/>
    <col min="14" max="14" width="13.1796875" style="577" customWidth="1"/>
    <col min="15" max="15" width="17.81640625" style="577" customWidth="1"/>
    <col min="16" max="18" width="12" style="577" customWidth="1"/>
    <col min="19" max="19" width="14.1796875" style="577" customWidth="1"/>
    <col min="20" max="20" width="12.81640625" style="577" customWidth="1"/>
    <col min="21" max="21" width="13.6328125" style="577" customWidth="1"/>
    <col min="22" max="22" width="10.6328125" style="577" customWidth="1"/>
    <col min="23" max="23" width="14.1796875" style="577" customWidth="1"/>
    <col min="24" max="24" width="12.81640625" style="577" customWidth="1"/>
    <col min="25" max="25" width="15.1796875" style="577" customWidth="1"/>
    <col min="26" max="26" width="9.1796875" style="577"/>
    <col min="27" max="27" width="11.1796875" style="577" customWidth="1"/>
    <col min="28" max="28" width="11.81640625" style="577" customWidth="1"/>
    <col min="29" max="29" width="12.1796875" style="577" customWidth="1"/>
    <col min="30" max="30" width="13.6328125" style="577" customWidth="1"/>
    <col min="31" max="31" width="12.453125" style="577" customWidth="1"/>
    <col min="32" max="32" width="13.1796875" style="577" customWidth="1"/>
    <col min="33" max="33" width="13.453125" style="577" customWidth="1"/>
    <col min="34" max="34" width="14.453125" style="577" customWidth="1"/>
    <col min="35" max="35" width="11.6328125" style="577" customWidth="1"/>
    <col min="36" max="36" width="15.453125" style="577" customWidth="1"/>
    <col min="37" max="37" width="13.453125" style="577" customWidth="1"/>
    <col min="38" max="16384" width="9.1796875" style="577"/>
  </cols>
  <sheetData>
    <row r="1" spans="1:37" ht="19.5" customHeight="1" thickBot="1" x14ac:dyDescent="0.4">
      <c r="A1" s="575"/>
      <c r="B1" s="1676" t="s">
        <v>66</v>
      </c>
      <c r="C1" s="1677"/>
      <c r="D1" s="1688" t="s">
        <v>8412</v>
      </c>
      <c r="E1" s="1689"/>
      <c r="F1" s="554" t="str">
        <f>LOOKUP(' Preparation'!$F$4,Data!$B$2:$B$194,Data!$C$2:$C$194)</f>
        <v>€ (Euro)</v>
      </c>
      <c r="G1" s="576"/>
      <c r="P1" s="578"/>
      <c r="Q1" s="578"/>
      <c r="R1" s="578"/>
      <c r="S1" s="1688" t="s">
        <v>8412</v>
      </c>
      <c r="T1" s="1689"/>
      <c r="U1" s="554" t="str">
        <f>LOOKUP(' Preparation'!$F$4,Data!$B$2:$B$194,Data!$C$2:$C$194)</f>
        <v>€ (Euro)</v>
      </c>
      <c r="V1" s="578"/>
      <c r="W1" s="578"/>
      <c r="X1" s="578"/>
      <c r="Y1" s="578"/>
      <c r="Z1" s="499"/>
      <c r="AA1" s="499"/>
      <c r="AB1" s="499"/>
      <c r="AC1" s="499"/>
      <c r="AD1" s="499"/>
      <c r="AE1" s="1688" t="s">
        <v>8412</v>
      </c>
      <c r="AF1" s="1689"/>
      <c r="AG1" s="554" t="str">
        <f>LOOKUP(' Preparation'!$F$4,Data!$B$2:$B$194,Data!$C$2:$C$194)</f>
        <v>€ (Euro)</v>
      </c>
      <c r="AH1" s="499"/>
      <c r="AI1" s="499"/>
      <c r="AJ1" s="499"/>
      <c r="AK1" s="499"/>
    </row>
    <row r="2" spans="1:37" ht="54.75" customHeight="1" thickTop="1" thickBot="1" x14ac:dyDescent="0.4">
      <c r="A2" s="579" t="s">
        <v>82</v>
      </c>
      <c r="B2" s="580" t="s">
        <v>150</v>
      </c>
      <c r="C2" s="581" t="s">
        <v>709</v>
      </c>
      <c r="D2" s="582" t="s">
        <v>67</v>
      </c>
      <c r="E2" s="501" t="s">
        <v>8112</v>
      </c>
      <c r="F2" s="559" t="s">
        <v>225</v>
      </c>
      <c r="G2" s="559" t="s">
        <v>258</v>
      </c>
      <c r="K2" s="1685" t="s">
        <v>8511</v>
      </c>
      <c r="L2" s="1686"/>
      <c r="M2" s="1687"/>
      <c r="N2" s="583"/>
      <c r="O2" s="583"/>
      <c r="P2" s="583"/>
      <c r="Q2" s="583"/>
      <c r="R2" s="1684" t="s">
        <v>8836</v>
      </c>
      <c r="S2" s="1684"/>
      <c r="T2" s="1684"/>
      <c r="U2" s="1684"/>
      <c r="V2" s="1684"/>
      <c r="W2" s="1684"/>
      <c r="X2" s="1684"/>
      <c r="Y2" s="503"/>
      <c r="Z2" s="503"/>
      <c r="AA2" s="503"/>
      <c r="AB2" s="503"/>
      <c r="AC2" s="1684" t="s">
        <v>8509</v>
      </c>
      <c r="AD2" s="1684"/>
      <c r="AE2" s="1684"/>
      <c r="AF2" s="1684"/>
      <c r="AG2" s="1684"/>
      <c r="AH2" s="1684"/>
      <c r="AI2" s="1684"/>
      <c r="AJ2" s="503"/>
      <c r="AK2" s="503"/>
    </row>
    <row r="3" spans="1:37" ht="52" customHeight="1" thickBot="1" x14ac:dyDescent="0.4">
      <c r="A3" s="584"/>
      <c r="B3" s="585" t="s">
        <v>89</v>
      </c>
      <c r="C3" s="1690" t="s">
        <v>8691</v>
      </c>
      <c r="D3" s="1691"/>
      <c r="E3" s="1691"/>
      <c r="F3" s="586"/>
      <c r="G3" s="587"/>
      <c r="J3" s="588" t="s">
        <v>8504</v>
      </c>
      <c r="K3" s="589" t="s">
        <v>8506</v>
      </c>
      <c r="L3" s="589" t="s">
        <v>8673</v>
      </c>
      <c r="M3" s="590" t="s">
        <v>8507</v>
      </c>
      <c r="N3" s="591" t="s">
        <v>8840</v>
      </c>
      <c r="O3" s="591" t="s">
        <v>8841</v>
      </c>
      <c r="P3" s="592" t="s">
        <v>8826</v>
      </c>
      <c r="Q3" s="593" t="s">
        <v>8827</v>
      </c>
      <c r="R3" s="593" t="s">
        <v>8828</v>
      </c>
      <c r="S3" s="593" t="s">
        <v>8829</v>
      </c>
      <c r="T3" s="593" t="s">
        <v>8830</v>
      </c>
      <c r="U3" s="594" t="s">
        <v>8831</v>
      </c>
      <c r="V3" s="594" t="s">
        <v>8832</v>
      </c>
      <c r="W3" s="594" t="s">
        <v>8833</v>
      </c>
      <c r="X3" s="595" t="s">
        <v>8834</v>
      </c>
      <c r="Y3" s="596" t="s">
        <v>8835</v>
      </c>
      <c r="Z3" s="503"/>
      <c r="AA3" s="592" t="s">
        <v>8826</v>
      </c>
      <c r="AB3" s="593" t="s">
        <v>8827</v>
      </c>
      <c r="AC3" s="593" t="s">
        <v>8828</v>
      </c>
      <c r="AD3" s="593" t="s">
        <v>8829</v>
      </c>
      <c r="AE3" s="593" t="s">
        <v>8830</v>
      </c>
      <c r="AF3" s="594" t="s">
        <v>8837</v>
      </c>
      <c r="AG3" s="594" t="s">
        <v>8838</v>
      </c>
      <c r="AH3" s="594" t="s">
        <v>8839</v>
      </c>
      <c r="AI3" s="595" t="s">
        <v>8834</v>
      </c>
      <c r="AJ3" s="596" t="s">
        <v>8835</v>
      </c>
      <c r="AK3" s="597" t="s">
        <v>8508</v>
      </c>
    </row>
    <row r="4" spans="1:37" s="601" customFormat="1" ht="32.25" customHeight="1" thickBot="1" x14ac:dyDescent="0.4">
      <c r="A4" s="514" t="s">
        <v>176</v>
      </c>
      <c r="B4" s="524" t="s">
        <v>62</v>
      </c>
      <c r="C4" s="516" t="s">
        <v>8510</v>
      </c>
      <c r="D4" s="1626" t="s">
        <v>66</v>
      </c>
      <c r="E4" s="598" t="s">
        <v>7626</v>
      </c>
      <c r="F4" s="599" t="s">
        <v>1</v>
      </c>
      <c r="G4" s="600"/>
      <c r="J4" s="602"/>
      <c r="K4" s="602"/>
      <c r="L4" s="602"/>
      <c r="M4" s="602"/>
      <c r="N4" s="602"/>
      <c r="O4" s="602"/>
      <c r="P4" s="602"/>
      <c r="Q4" s="602"/>
      <c r="R4" s="602"/>
      <c r="S4" s="602"/>
      <c r="T4" s="602"/>
      <c r="U4" s="602"/>
      <c r="V4" s="602"/>
      <c r="W4" s="602"/>
      <c r="X4" s="602"/>
      <c r="Y4" s="602"/>
      <c r="Z4" s="499"/>
      <c r="AA4" s="603">
        <f t="shared" ref="AA4:AK4" si="0">SUM(AA5:AA200)</f>
        <v>0</v>
      </c>
      <c r="AB4" s="603">
        <f t="shared" si="0"/>
        <v>0</v>
      </c>
      <c r="AC4" s="603">
        <f t="shared" si="0"/>
        <v>0</v>
      </c>
      <c r="AD4" s="603">
        <f t="shared" si="0"/>
        <v>0</v>
      </c>
      <c r="AE4" s="603">
        <f t="shared" si="0"/>
        <v>0</v>
      </c>
      <c r="AF4" s="603">
        <f t="shared" si="0"/>
        <v>0</v>
      </c>
      <c r="AG4" s="603">
        <f t="shared" si="0"/>
        <v>0</v>
      </c>
      <c r="AH4" s="603">
        <f t="shared" si="0"/>
        <v>0</v>
      </c>
      <c r="AI4" s="603">
        <f t="shared" si="0"/>
        <v>0</v>
      </c>
      <c r="AJ4" s="604">
        <f t="shared" si="0"/>
        <v>0</v>
      </c>
      <c r="AK4" s="605">
        <f t="shared" si="0"/>
        <v>0</v>
      </c>
    </row>
    <row r="5" spans="1:37" ht="23.5" customHeight="1" thickTop="1" thickBot="1" x14ac:dyDescent="0.4">
      <c r="A5" s="606"/>
      <c r="B5" s="524"/>
      <c r="C5" s="607" t="s">
        <v>7627</v>
      </c>
      <c r="D5" s="1626" t="s">
        <v>8502</v>
      </c>
      <c r="E5" s="598" t="s">
        <v>63</v>
      </c>
      <c r="F5" s="607"/>
      <c r="G5" s="608"/>
      <c r="J5" s="1858"/>
      <c r="K5" s="1858"/>
      <c r="L5" s="1858"/>
      <c r="M5" s="1858"/>
      <c r="N5" s="1858"/>
      <c r="O5" s="1858"/>
      <c r="P5" s="609"/>
      <c r="Q5" s="609"/>
      <c r="R5" s="609"/>
      <c r="S5" s="609"/>
      <c r="T5" s="609"/>
      <c r="U5" s="610"/>
      <c r="V5" s="610"/>
      <c r="W5" s="610"/>
      <c r="X5" s="611"/>
      <c r="Y5" s="612"/>
      <c r="Z5" s="499"/>
      <c r="AA5" s="609">
        <f>P5*$N5</f>
        <v>0</v>
      </c>
      <c r="AB5" s="613">
        <f t="shared" ref="AB5:AB68" si="1">Q5*$N5</f>
        <v>0</v>
      </c>
      <c r="AC5" s="613">
        <f t="shared" ref="AC5:AC68" si="2">R5*$N5</f>
        <v>0</v>
      </c>
      <c r="AD5" s="613">
        <f t="shared" ref="AD5:AD68" si="3">S5*$N5</f>
        <v>0</v>
      </c>
      <c r="AE5" s="613">
        <f t="shared" ref="AE5:AE68" si="4">T5*$N5</f>
        <v>0</v>
      </c>
      <c r="AF5" s="610">
        <f t="shared" ref="AF5:AF68" si="5">U5*$N5</f>
        <v>0</v>
      </c>
      <c r="AG5" s="610">
        <f t="shared" ref="AG5:AG68" si="6">V5*$N5</f>
        <v>0</v>
      </c>
      <c r="AH5" s="610">
        <f t="shared" ref="AH5:AH68" si="7">W5*$N5</f>
        <v>0</v>
      </c>
      <c r="AI5" s="611">
        <f t="shared" ref="AI5:AI68" si="8">X5*$N5</f>
        <v>0</v>
      </c>
      <c r="AJ5" s="612">
        <f t="shared" ref="AJ5:AJ68" si="9">Y5*$N5</f>
        <v>0</v>
      </c>
      <c r="AK5" s="614">
        <f>SUM(AA5:AJ5)</f>
        <v>0</v>
      </c>
    </row>
    <row r="6" spans="1:37" ht="25.5" customHeight="1" thickTop="1" thickBot="1" x14ac:dyDescent="0.4">
      <c r="A6" s="606"/>
      <c r="B6" s="524"/>
      <c r="C6" s="607" t="s">
        <v>7628</v>
      </c>
      <c r="D6" s="1626" t="s">
        <v>8501</v>
      </c>
      <c r="E6" s="598" t="s">
        <v>63</v>
      </c>
      <c r="F6" s="607"/>
      <c r="G6" s="608"/>
      <c r="J6" s="1858"/>
      <c r="K6" s="1858"/>
      <c r="L6" s="1858"/>
      <c r="M6" s="1858"/>
      <c r="N6" s="1858"/>
      <c r="O6" s="1858"/>
      <c r="P6" s="609"/>
      <c r="Q6" s="613"/>
      <c r="R6" s="613"/>
      <c r="S6" s="613"/>
      <c r="T6" s="613"/>
      <c r="U6" s="610"/>
      <c r="V6" s="610"/>
      <c r="W6" s="610"/>
      <c r="X6" s="611"/>
      <c r="Y6" s="612"/>
      <c r="Z6" s="499"/>
      <c r="AA6" s="609">
        <f t="shared" ref="AA6:AA69" si="10">P6*$N6</f>
        <v>0</v>
      </c>
      <c r="AB6" s="613">
        <f t="shared" si="1"/>
        <v>0</v>
      </c>
      <c r="AC6" s="613">
        <f t="shared" si="2"/>
        <v>0</v>
      </c>
      <c r="AD6" s="613">
        <f t="shared" si="3"/>
        <v>0</v>
      </c>
      <c r="AE6" s="613">
        <f t="shared" si="4"/>
        <v>0</v>
      </c>
      <c r="AF6" s="610">
        <f t="shared" si="5"/>
        <v>0</v>
      </c>
      <c r="AG6" s="610">
        <f t="shared" si="6"/>
        <v>0</v>
      </c>
      <c r="AH6" s="610">
        <f t="shared" si="7"/>
        <v>0</v>
      </c>
      <c r="AI6" s="611">
        <f t="shared" si="8"/>
        <v>0</v>
      </c>
      <c r="AJ6" s="612">
        <f t="shared" si="9"/>
        <v>0</v>
      </c>
      <c r="AK6" s="614">
        <f>SUM(AA6:AJ6)</f>
        <v>0</v>
      </c>
    </row>
    <row r="7" spans="1:37" ht="44.25" customHeight="1" thickTop="1" thickBot="1" x14ac:dyDescent="0.4">
      <c r="A7" s="606" t="s">
        <v>177</v>
      </c>
      <c r="B7" s="615" t="s">
        <v>700</v>
      </c>
      <c r="C7" s="531" t="s">
        <v>7629</v>
      </c>
      <c r="D7" s="616" t="s">
        <v>69</v>
      </c>
      <c r="E7" s="598" t="s">
        <v>6960</v>
      </c>
      <c r="F7" s="607">
        <v>1</v>
      </c>
      <c r="G7" s="617" t="str">
        <f>IF(F7=1,"",IF(F7=2," Goto S 3","Goto S 4"))</f>
        <v/>
      </c>
      <c r="J7" s="1858"/>
      <c r="K7" s="1858"/>
      <c r="L7" s="1858"/>
      <c r="M7" s="1858"/>
      <c r="N7" s="1858"/>
      <c r="O7" s="1858"/>
      <c r="P7" s="609"/>
      <c r="Q7" s="613"/>
      <c r="R7" s="613"/>
      <c r="S7" s="613"/>
      <c r="T7" s="613"/>
      <c r="U7" s="610"/>
      <c r="V7" s="610"/>
      <c r="W7" s="610"/>
      <c r="X7" s="611"/>
      <c r="Y7" s="612"/>
      <c r="Z7" s="499"/>
      <c r="AA7" s="609">
        <f t="shared" si="10"/>
        <v>0</v>
      </c>
      <c r="AB7" s="613">
        <f t="shared" si="1"/>
        <v>0</v>
      </c>
      <c r="AC7" s="613">
        <f t="shared" si="2"/>
        <v>0</v>
      </c>
      <c r="AD7" s="613">
        <f t="shared" si="3"/>
        <v>0</v>
      </c>
      <c r="AE7" s="613">
        <f t="shared" si="4"/>
        <v>0</v>
      </c>
      <c r="AF7" s="610">
        <f t="shared" si="5"/>
        <v>0</v>
      </c>
      <c r="AG7" s="610">
        <f t="shared" si="6"/>
        <v>0</v>
      </c>
      <c r="AH7" s="610">
        <f t="shared" si="7"/>
        <v>0</v>
      </c>
      <c r="AI7" s="611">
        <f t="shared" si="8"/>
        <v>0</v>
      </c>
      <c r="AJ7" s="612">
        <f t="shared" si="9"/>
        <v>0</v>
      </c>
      <c r="AK7" s="614">
        <f t="shared" ref="AK7:AK70" si="11">SUM(AA7:AJ7)</f>
        <v>0</v>
      </c>
    </row>
    <row r="8" spans="1:37" ht="66" customHeight="1" thickTop="1" thickBot="1" x14ac:dyDescent="0.4">
      <c r="A8" s="606" t="s">
        <v>178</v>
      </c>
      <c r="B8" s="615" t="s">
        <v>6961</v>
      </c>
      <c r="C8" s="618" t="s">
        <v>8933</v>
      </c>
      <c r="D8" s="619" t="s">
        <v>48</v>
      </c>
      <c r="E8" s="620" t="s">
        <v>7630</v>
      </c>
      <c r="F8" s="621" t="s">
        <v>7631</v>
      </c>
      <c r="G8" s="622" t="s">
        <v>7632</v>
      </c>
      <c r="J8" s="1858"/>
      <c r="K8" s="1858"/>
      <c r="L8" s="1858"/>
      <c r="M8" s="1858"/>
      <c r="N8" s="1858"/>
      <c r="O8" s="1858"/>
      <c r="P8" s="609"/>
      <c r="Q8" s="613"/>
      <c r="R8" s="613"/>
      <c r="S8" s="613"/>
      <c r="T8" s="613"/>
      <c r="U8" s="610"/>
      <c r="V8" s="610"/>
      <c r="W8" s="610"/>
      <c r="X8" s="611"/>
      <c r="Y8" s="612"/>
      <c r="Z8" s="499"/>
      <c r="AA8" s="609">
        <f t="shared" si="10"/>
        <v>0</v>
      </c>
      <c r="AB8" s="613">
        <f t="shared" si="1"/>
        <v>0</v>
      </c>
      <c r="AC8" s="613">
        <f t="shared" si="2"/>
        <v>0</v>
      </c>
      <c r="AD8" s="613">
        <f t="shared" si="3"/>
        <v>0</v>
      </c>
      <c r="AE8" s="613">
        <f t="shared" si="4"/>
        <v>0</v>
      </c>
      <c r="AF8" s="610">
        <f t="shared" si="5"/>
        <v>0</v>
      </c>
      <c r="AG8" s="610">
        <f t="shared" si="6"/>
        <v>0</v>
      </c>
      <c r="AH8" s="610">
        <f t="shared" si="7"/>
        <v>0</v>
      </c>
      <c r="AI8" s="611">
        <f t="shared" si="8"/>
        <v>0</v>
      </c>
      <c r="AJ8" s="612">
        <f t="shared" si="9"/>
        <v>0</v>
      </c>
      <c r="AK8" s="614">
        <f t="shared" si="11"/>
        <v>0</v>
      </c>
    </row>
    <row r="9" spans="1:37" ht="19.5" thickTop="1" thickBot="1" x14ac:dyDescent="0.4">
      <c r="A9" s="606"/>
      <c r="B9" s="623"/>
      <c r="C9" s="624"/>
      <c r="D9" s="625"/>
      <c r="E9" s="626"/>
      <c r="F9" s="624"/>
      <c r="G9" s="627"/>
      <c r="J9" s="1858"/>
      <c r="K9" s="1858"/>
      <c r="L9" s="1858"/>
      <c r="M9" s="1858"/>
      <c r="N9" s="1858"/>
      <c r="O9" s="1858"/>
      <c r="P9" s="609"/>
      <c r="Q9" s="613"/>
      <c r="R9" s="613"/>
      <c r="S9" s="613"/>
      <c r="T9" s="613"/>
      <c r="U9" s="610"/>
      <c r="V9" s="610"/>
      <c r="W9" s="610"/>
      <c r="X9" s="611"/>
      <c r="Y9" s="612"/>
      <c r="Z9" s="499"/>
      <c r="AA9" s="609">
        <f t="shared" si="10"/>
        <v>0</v>
      </c>
      <c r="AB9" s="613">
        <f t="shared" si="1"/>
        <v>0</v>
      </c>
      <c r="AC9" s="613">
        <f t="shared" si="2"/>
        <v>0</v>
      </c>
      <c r="AD9" s="613">
        <f t="shared" si="3"/>
        <v>0</v>
      </c>
      <c r="AE9" s="613">
        <f t="shared" si="4"/>
        <v>0</v>
      </c>
      <c r="AF9" s="610">
        <f t="shared" si="5"/>
        <v>0</v>
      </c>
      <c r="AG9" s="610">
        <f t="shared" si="6"/>
        <v>0</v>
      </c>
      <c r="AH9" s="610">
        <f t="shared" si="7"/>
        <v>0</v>
      </c>
      <c r="AI9" s="611">
        <f t="shared" si="8"/>
        <v>0</v>
      </c>
      <c r="AJ9" s="612">
        <f t="shared" si="9"/>
        <v>0</v>
      </c>
      <c r="AK9" s="614">
        <f t="shared" si="11"/>
        <v>0</v>
      </c>
    </row>
    <row r="10" spans="1:37" ht="63.75" customHeight="1" thickTop="1" thickBot="1" x14ac:dyDescent="0.4">
      <c r="A10" s="606" t="s">
        <v>179</v>
      </c>
      <c r="B10" s="524" t="s">
        <v>136</v>
      </c>
      <c r="C10" s="628" t="s">
        <v>8513</v>
      </c>
      <c r="D10" s="1626" t="s">
        <v>7657</v>
      </c>
      <c r="E10" s="598" t="s">
        <v>704</v>
      </c>
      <c r="F10" s="599" t="s">
        <v>705</v>
      </c>
      <c r="G10" s="608"/>
      <c r="J10" s="1858"/>
      <c r="K10" s="1858"/>
      <c r="L10" s="1858"/>
      <c r="M10" s="1858"/>
      <c r="N10" s="1858"/>
      <c r="O10" s="1858"/>
      <c r="P10" s="609"/>
      <c r="Q10" s="613"/>
      <c r="R10" s="613"/>
      <c r="S10" s="613"/>
      <c r="T10" s="613"/>
      <c r="U10" s="610"/>
      <c r="V10" s="610"/>
      <c r="W10" s="610"/>
      <c r="X10" s="611"/>
      <c r="Y10" s="612"/>
      <c r="Z10" s="499"/>
      <c r="AA10" s="609">
        <f t="shared" si="10"/>
        <v>0</v>
      </c>
      <c r="AB10" s="613">
        <f t="shared" si="1"/>
        <v>0</v>
      </c>
      <c r="AC10" s="613">
        <f t="shared" si="2"/>
        <v>0</v>
      </c>
      <c r="AD10" s="613">
        <f t="shared" si="3"/>
        <v>0</v>
      </c>
      <c r="AE10" s="613">
        <f t="shared" si="4"/>
        <v>0</v>
      </c>
      <c r="AF10" s="610">
        <f t="shared" si="5"/>
        <v>0</v>
      </c>
      <c r="AG10" s="610">
        <f t="shared" si="6"/>
        <v>0</v>
      </c>
      <c r="AH10" s="610">
        <f t="shared" si="7"/>
        <v>0</v>
      </c>
      <c r="AI10" s="611">
        <f t="shared" si="8"/>
        <v>0</v>
      </c>
      <c r="AJ10" s="612">
        <f t="shared" si="9"/>
        <v>0</v>
      </c>
      <c r="AK10" s="614">
        <f t="shared" si="11"/>
        <v>0</v>
      </c>
    </row>
    <row r="11" spans="1:37" ht="64.5" customHeight="1" thickTop="1" thickBot="1" x14ac:dyDescent="0.4">
      <c r="A11" s="606"/>
      <c r="B11" s="629" t="s">
        <v>701</v>
      </c>
      <c r="C11" s="628" t="s">
        <v>8514</v>
      </c>
      <c r="D11" s="1626"/>
      <c r="E11" s="598" t="s">
        <v>8157</v>
      </c>
      <c r="F11" s="599" t="s">
        <v>7213</v>
      </c>
      <c r="G11" s="608"/>
      <c r="J11" s="1858"/>
      <c r="K11" s="1858"/>
      <c r="L11" s="1858"/>
      <c r="M11" s="1858"/>
      <c r="N11" s="1858"/>
      <c r="O11" s="1858"/>
      <c r="P11" s="609"/>
      <c r="Q11" s="613"/>
      <c r="R11" s="613"/>
      <c r="S11" s="613"/>
      <c r="T11" s="613"/>
      <c r="U11" s="610"/>
      <c r="V11" s="610"/>
      <c r="W11" s="610"/>
      <c r="X11" s="611"/>
      <c r="Y11" s="612"/>
      <c r="Z11" s="499"/>
      <c r="AA11" s="609">
        <f t="shared" si="10"/>
        <v>0</v>
      </c>
      <c r="AB11" s="613">
        <f t="shared" si="1"/>
        <v>0</v>
      </c>
      <c r="AC11" s="613">
        <f t="shared" si="2"/>
        <v>0</v>
      </c>
      <c r="AD11" s="613">
        <f t="shared" si="3"/>
        <v>0</v>
      </c>
      <c r="AE11" s="613">
        <f t="shared" si="4"/>
        <v>0</v>
      </c>
      <c r="AF11" s="610">
        <f t="shared" si="5"/>
        <v>0</v>
      </c>
      <c r="AG11" s="610">
        <f t="shared" si="6"/>
        <v>0</v>
      </c>
      <c r="AH11" s="610">
        <f t="shared" si="7"/>
        <v>0</v>
      </c>
      <c r="AI11" s="611">
        <f t="shared" si="8"/>
        <v>0</v>
      </c>
      <c r="AJ11" s="612">
        <f t="shared" si="9"/>
        <v>0</v>
      </c>
      <c r="AK11" s="614">
        <f t="shared" si="11"/>
        <v>0</v>
      </c>
    </row>
    <row r="12" spans="1:37" ht="48" customHeight="1" thickTop="1" thickBot="1" x14ac:dyDescent="0.4">
      <c r="A12" s="606"/>
      <c r="B12" s="629" t="s">
        <v>701</v>
      </c>
      <c r="C12" s="628" t="s">
        <v>8934</v>
      </c>
      <c r="D12" s="630" t="s">
        <v>139</v>
      </c>
      <c r="E12" s="598" t="s">
        <v>64</v>
      </c>
      <c r="F12" s="519"/>
      <c r="G12" s="608"/>
      <c r="J12" s="1858"/>
      <c r="K12" s="1858"/>
      <c r="L12" s="1858"/>
      <c r="M12" s="1858"/>
      <c r="N12" s="1858"/>
      <c r="O12" s="1858"/>
      <c r="P12" s="609"/>
      <c r="Q12" s="613"/>
      <c r="R12" s="613"/>
      <c r="S12" s="613"/>
      <c r="T12" s="613"/>
      <c r="U12" s="610"/>
      <c r="V12" s="610"/>
      <c r="W12" s="610"/>
      <c r="X12" s="611"/>
      <c r="Y12" s="612"/>
      <c r="Z12" s="499"/>
      <c r="AA12" s="609">
        <f t="shared" si="10"/>
        <v>0</v>
      </c>
      <c r="AB12" s="613">
        <f t="shared" si="1"/>
        <v>0</v>
      </c>
      <c r="AC12" s="613">
        <f t="shared" si="2"/>
        <v>0</v>
      </c>
      <c r="AD12" s="613">
        <f t="shared" si="3"/>
        <v>0</v>
      </c>
      <c r="AE12" s="613">
        <f t="shared" si="4"/>
        <v>0</v>
      </c>
      <c r="AF12" s="610">
        <f t="shared" si="5"/>
        <v>0</v>
      </c>
      <c r="AG12" s="610">
        <f t="shared" si="6"/>
        <v>0</v>
      </c>
      <c r="AH12" s="610">
        <f t="shared" si="7"/>
        <v>0</v>
      </c>
      <c r="AI12" s="611">
        <f t="shared" si="8"/>
        <v>0</v>
      </c>
      <c r="AJ12" s="612">
        <f t="shared" si="9"/>
        <v>0</v>
      </c>
      <c r="AK12" s="614">
        <f t="shared" si="11"/>
        <v>0</v>
      </c>
    </row>
    <row r="13" spans="1:37" ht="61.5" customHeight="1" thickTop="1" thickBot="1" x14ac:dyDescent="0.4">
      <c r="A13" s="606"/>
      <c r="B13" s="629" t="s">
        <v>701</v>
      </c>
      <c r="C13" s="628" t="s">
        <v>7214</v>
      </c>
      <c r="D13" s="1626" t="s">
        <v>138</v>
      </c>
      <c r="E13" s="598" t="s">
        <v>702</v>
      </c>
      <c r="F13" s="607"/>
      <c r="G13" s="608"/>
      <c r="J13" s="1858"/>
      <c r="K13" s="1858"/>
      <c r="L13" s="1858"/>
      <c r="M13" s="1858"/>
      <c r="N13" s="1858"/>
      <c r="O13" s="1858"/>
      <c r="P13" s="609"/>
      <c r="Q13" s="613"/>
      <c r="R13" s="613"/>
      <c r="S13" s="613"/>
      <c r="T13" s="613"/>
      <c r="U13" s="610"/>
      <c r="V13" s="610"/>
      <c r="W13" s="610"/>
      <c r="X13" s="611"/>
      <c r="Y13" s="612"/>
      <c r="Z13" s="499"/>
      <c r="AA13" s="609">
        <f t="shared" si="10"/>
        <v>0</v>
      </c>
      <c r="AB13" s="613">
        <f t="shared" si="1"/>
        <v>0</v>
      </c>
      <c r="AC13" s="613">
        <f t="shared" si="2"/>
        <v>0</v>
      </c>
      <c r="AD13" s="613">
        <f t="shared" si="3"/>
        <v>0</v>
      </c>
      <c r="AE13" s="613">
        <f t="shared" si="4"/>
        <v>0</v>
      </c>
      <c r="AF13" s="610">
        <f t="shared" si="5"/>
        <v>0</v>
      </c>
      <c r="AG13" s="610">
        <f t="shared" si="6"/>
        <v>0</v>
      </c>
      <c r="AH13" s="610">
        <f t="shared" si="7"/>
        <v>0</v>
      </c>
      <c r="AI13" s="611">
        <f t="shared" si="8"/>
        <v>0</v>
      </c>
      <c r="AJ13" s="612">
        <f t="shared" si="9"/>
        <v>0</v>
      </c>
      <c r="AK13" s="614">
        <f t="shared" si="11"/>
        <v>0</v>
      </c>
    </row>
    <row r="14" spans="1:37" ht="34" customHeight="1" thickTop="1" thickBot="1" x14ac:dyDescent="0.4">
      <c r="A14" s="606" t="s">
        <v>180</v>
      </c>
      <c r="B14" s="631" t="s">
        <v>706</v>
      </c>
      <c r="C14" s="628" t="s">
        <v>703</v>
      </c>
      <c r="D14" s="632"/>
      <c r="E14" s="598" t="s">
        <v>8158</v>
      </c>
      <c r="F14" s="607"/>
      <c r="G14" s="608"/>
      <c r="J14" s="1858"/>
      <c r="K14" s="1858"/>
      <c r="L14" s="1858"/>
      <c r="M14" s="1858"/>
      <c r="N14" s="1858"/>
      <c r="O14" s="1858"/>
      <c r="P14" s="609"/>
      <c r="Q14" s="613"/>
      <c r="R14" s="613"/>
      <c r="S14" s="613"/>
      <c r="T14" s="613"/>
      <c r="U14" s="610"/>
      <c r="V14" s="610"/>
      <c r="W14" s="610"/>
      <c r="X14" s="611"/>
      <c r="Y14" s="612"/>
      <c r="Z14" s="499"/>
      <c r="AA14" s="609">
        <f t="shared" si="10"/>
        <v>0</v>
      </c>
      <c r="AB14" s="613">
        <f t="shared" si="1"/>
        <v>0</v>
      </c>
      <c r="AC14" s="613">
        <f t="shared" si="2"/>
        <v>0</v>
      </c>
      <c r="AD14" s="613">
        <f t="shared" si="3"/>
        <v>0</v>
      </c>
      <c r="AE14" s="613">
        <f t="shared" si="4"/>
        <v>0</v>
      </c>
      <c r="AF14" s="610">
        <f t="shared" si="5"/>
        <v>0</v>
      </c>
      <c r="AG14" s="610">
        <f t="shared" si="6"/>
        <v>0</v>
      </c>
      <c r="AH14" s="610">
        <f t="shared" si="7"/>
        <v>0</v>
      </c>
      <c r="AI14" s="611">
        <f t="shared" si="8"/>
        <v>0</v>
      </c>
      <c r="AJ14" s="612">
        <f t="shared" si="9"/>
        <v>0</v>
      </c>
      <c r="AK14" s="614">
        <f t="shared" si="11"/>
        <v>0</v>
      </c>
    </row>
    <row r="15" spans="1:37" ht="56.5" customHeight="1" thickTop="1" thickBot="1" x14ac:dyDescent="0.4">
      <c r="A15" s="606" t="s">
        <v>181</v>
      </c>
      <c r="B15" s="631" t="s">
        <v>137</v>
      </c>
      <c r="C15" s="628" t="s">
        <v>8515</v>
      </c>
      <c r="D15" s="632"/>
      <c r="E15" s="598"/>
      <c r="F15" s="607"/>
      <c r="G15" s="608"/>
      <c r="J15" s="1858"/>
      <c r="K15" s="1858"/>
      <c r="L15" s="1858"/>
      <c r="M15" s="1858"/>
      <c r="N15" s="1858"/>
      <c r="O15" s="1858"/>
      <c r="P15" s="609"/>
      <c r="Q15" s="613"/>
      <c r="R15" s="613"/>
      <c r="S15" s="613"/>
      <c r="T15" s="613"/>
      <c r="U15" s="610"/>
      <c r="V15" s="610"/>
      <c r="W15" s="610"/>
      <c r="X15" s="611"/>
      <c r="Y15" s="612"/>
      <c r="Z15" s="499"/>
      <c r="AA15" s="609">
        <f t="shared" si="10"/>
        <v>0</v>
      </c>
      <c r="AB15" s="613">
        <f t="shared" si="1"/>
        <v>0</v>
      </c>
      <c r="AC15" s="613">
        <f t="shared" si="2"/>
        <v>0</v>
      </c>
      <c r="AD15" s="613">
        <f t="shared" si="3"/>
        <v>0</v>
      </c>
      <c r="AE15" s="613">
        <f t="shared" si="4"/>
        <v>0</v>
      </c>
      <c r="AF15" s="610">
        <f t="shared" si="5"/>
        <v>0</v>
      </c>
      <c r="AG15" s="610">
        <f t="shared" si="6"/>
        <v>0</v>
      </c>
      <c r="AH15" s="610">
        <f t="shared" si="7"/>
        <v>0</v>
      </c>
      <c r="AI15" s="611">
        <f t="shared" si="8"/>
        <v>0</v>
      </c>
      <c r="AJ15" s="612">
        <f t="shared" si="9"/>
        <v>0</v>
      </c>
      <c r="AK15" s="614">
        <f t="shared" si="11"/>
        <v>0</v>
      </c>
    </row>
    <row r="16" spans="1:37" ht="46" customHeight="1" thickTop="1" thickBot="1" x14ac:dyDescent="0.4">
      <c r="A16" s="606" t="s">
        <v>182</v>
      </c>
      <c r="B16" s="631" t="s">
        <v>1</v>
      </c>
      <c r="C16" s="633" t="s">
        <v>8516</v>
      </c>
      <c r="D16" s="632"/>
      <c r="E16" s="598"/>
      <c r="F16" s="634" t="s">
        <v>8111</v>
      </c>
      <c r="G16" s="617" t="s">
        <v>8517</v>
      </c>
      <c r="J16" s="1858"/>
      <c r="K16" s="1858"/>
      <c r="L16" s="1858"/>
      <c r="M16" s="1858"/>
      <c r="N16" s="1858"/>
      <c r="O16" s="1858"/>
      <c r="P16" s="609"/>
      <c r="Q16" s="613"/>
      <c r="R16" s="613"/>
      <c r="S16" s="613"/>
      <c r="T16" s="613"/>
      <c r="U16" s="610"/>
      <c r="V16" s="610"/>
      <c r="W16" s="610"/>
      <c r="X16" s="611"/>
      <c r="Y16" s="612"/>
      <c r="Z16" s="499"/>
      <c r="AA16" s="609">
        <f t="shared" si="10"/>
        <v>0</v>
      </c>
      <c r="AB16" s="613">
        <f t="shared" si="1"/>
        <v>0</v>
      </c>
      <c r="AC16" s="613">
        <f t="shared" si="2"/>
        <v>0</v>
      </c>
      <c r="AD16" s="613">
        <f t="shared" si="3"/>
        <v>0</v>
      </c>
      <c r="AE16" s="613">
        <f t="shared" si="4"/>
        <v>0</v>
      </c>
      <c r="AF16" s="610">
        <f t="shared" si="5"/>
        <v>0</v>
      </c>
      <c r="AG16" s="610">
        <f t="shared" si="6"/>
        <v>0</v>
      </c>
      <c r="AH16" s="610">
        <f t="shared" si="7"/>
        <v>0</v>
      </c>
      <c r="AI16" s="611">
        <f t="shared" si="8"/>
        <v>0</v>
      </c>
      <c r="AJ16" s="612">
        <f t="shared" si="9"/>
        <v>0</v>
      </c>
      <c r="AK16" s="614">
        <f t="shared" si="11"/>
        <v>0</v>
      </c>
    </row>
    <row r="17" spans="1:37" ht="19" customHeight="1" thickTop="1" thickBot="1" x14ac:dyDescent="0.4">
      <c r="A17" s="606"/>
      <c r="B17" s="524"/>
      <c r="C17" s="607"/>
      <c r="D17" s="1626"/>
      <c r="E17" s="1626"/>
      <c r="F17" s="607"/>
      <c r="G17" s="608"/>
      <c r="J17" s="1858"/>
      <c r="K17" s="1858"/>
      <c r="L17" s="1858"/>
      <c r="M17" s="1858"/>
      <c r="N17" s="1858"/>
      <c r="O17" s="1858"/>
      <c r="P17" s="609"/>
      <c r="Q17" s="613"/>
      <c r="R17" s="613"/>
      <c r="S17" s="613"/>
      <c r="T17" s="613"/>
      <c r="U17" s="610"/>
      <c r="V17" s="610"/>
      <c r="W17" s="610"/>
      <c r="X17" s="611"/>
      <c r="Y17" s="612"/>
      <c r="Z17" s="499"/>
      <c r="AA17" s="609">
        <f t="shared" si="10"/>
        <v>0</v>
      </c>
      <c r="AB17" s="613">
        <f t="shared" si="1"/>
        <v>0</v>
      </c>
      <c r="AC17" s="613">
        <f t="shared" si="2"/>
        <v>0</v>
      </c>
      <c r="AD17" s="613">
        <f t="shared" si="3"/>
        <v>0</v>
      </c>
      <c r="AE17" s="613">
        <f t="shared" si="4"/>
        <v>0</v>
      </c>
      <c r="AF17" s="610">
        <f t="shared" si="5"/>
        <v>0</v>
      </c>
      <c r="AG17" s="610">
        <f t="shared" si="6"/>
        <v>0</v>
      </c>
      <c r="AH17" s="610">
        <f t="shared" si="7"/>
        <v>0</v>
      </c>
      <c r="AI17" s="611">
        <f t="shared" si="8"/>
        <v>0</v>
      </c>
      <c r="AJ17" s="612">
        <f t="shared" si="9"/>
        <v>0</v>
      </c>
      <c r="AK17" s="614">
        <f t="shared" si="11"/>
        <v>0</v>
      </c>
    </row>
    <row r="18" spans="1:37" ht="19.5" customHeight="1" thickTop="1" thickBot="1" x14ac:dyDescent="0.4">
      <c r="A18" s="606"/>
      <c r="B18" s="635" t="s">
        <v>7665</v>
      </c>
      <c r="C18" s="636"/>
      <c r="D18" s="637"/>
      <c r="E18" s="637"/>
      <c r="F18" s="638"/>
      <c r="G18" s="639"/>
      <c r="J18" s="1858"/>
      <c r="K18" s="1858"/>
      <c r="L18" s="1858"/>
      <c r="M18" s="1858"/>
      <c r="N18" s="1858"/>
      <c r="O18" s="1858"/>
      <c r="P18" s="609"/>
      <c r="Q18" s="613"/>
      <c r="R18" s="613"/>
      <c r="S18" s="613"/>
      <c r="T18" s="613"/>
      <c r="U18" s="610"/>
      <c r="V18" s="610"/>
      <c r="W18" s="610"/>
      <c r="X18" s="611"/>
      <c r="Y18" s="612"/>
      <c r="Z18" s="499"/>
      <c r="AA18" s="609">
        <f t="shared" si="10"/>
        <v>0</v>
      </c>
      <c r="AB18" s="613">
        <f t="shared" si="1"/>
        <v>0</v>
      </c>
      <c r="AC18" s="613">
        <f t="shared" si="2"/>
        <v>0</v>
      </c>
      <c r="AD18" s="613">
        <f t="shared" si="3"/>
        <v>0</v>
      </c>
      <c r="AE18" s="613">
        <f t="shared" si="4"/>
        <v>0</v>
      </c>
      <c r="AF18" s="610">
        <f t="shared" si="5"/>
        <v>0</v>
      </c>
      <c r="AG18" s="610">
        <f t="shared" si="6"/>
        <v>0</v>
      </c>
      <c r="AH18" s="610">
        <f t="shared" si="7"/>
        <v>0</v>
      </c>
      <c r="AI18" s="611">
        <f t="shared" si="8"/>
        <v>0</v>
      </c>
      <c r="AJ18" s="612">
        <f t="shared" si="9"/>
        <v>0</v>
      </c>
      <c r="AK18" s="614">
        <f t="shared" si="11"/>
        <v>0</v>
      </c>
    </row>
    <row r="19" spans="1:37" ht="19.5" thickTop="1" thickBot="1" x14ac:dyDescent="0.4">
      <c r="A19" s="606"/>
      <c r="B19" s="524"/>
      <c r="C19" s="640" t="s">
        <v>7216</v>
      </c>
      <c r="D19" s="1626"/>
      <c r="E19" s="641"/>
      <c r="F19" s="607"/>
      <c r="G19" s="608"/>
      <c r="J19" s="1858"/>
      <c r="K19" s="1858"/>
      <c r="L19" s="1858"/>
      <c r="M19" s="1858"/>
      <c r="N19" s="1858"/>
      <c r="O19" s="1858"/>
      <c r="P19" s="609"/>
      <c r="Q19" s="613"/>
      <c r="R19" s="613"/>
      <c r="S19" s="613"/>
      <c r="T19" s="613"/>
      <c r="U19" s="610"/>
      <c r="V19" s="610"/>
      <c r="W19" s="610"/>
      <c r="X19" s="611"/>
      <c r="Y19" s="612"/>
      <c r="Z19" s="499"/>
      <c r="AA19" s="609">
        <f t="shared" si="10"/>
        <v>0</v>
      </c>
      <c r="AB19" s="613">
        <f t="shared" si="1"/>
        <v>0</v>
      </c>
      <c r="AC19" s="613">
        <f t="shared" si="2"/>
        <v>0</v>
      </c>
      <c r="AD19" s="613">
        <f t="shared" si="3"/>
        <v>0</v>
      </c>
      <c r="AE19" s="613">
        <f t="shared" si="4"/>
        <v>0</v>
      </c>
      <c r="AF19" s="610">
        <f t="shared" si="5"/>
        <v>0</v>
      </c>
      <c r="AG19" s="610">
        <f t="shared" si="6"/>
        <v>0</v>
      </c>
      <c r="AH19" s="610">
        <f t="shared" si="7"/>
        <v>0</v>
      </c>
      <c r="AI19" s="611">
        <f t="shared" si="8"/>
        <v>0</v>
      </c>
      <c r="AJ19" s="612">
        <f t="shared" si="9"/>
        <v>0</v>
      </c>
      <c r="AK19" s="614">
        <f t="shared" si="11"/>
        <v>0</v>
      </c>
    </row>
    <row r="20" spans="1:37" ht="32" thickTop="1" thickBot="1" x14ac:dyDescent="0.4">
      <c r="A20" s="606"/>
      <c r="B20" s="642" t="s">
        <v>89</v>
      </c>
      <c r="C20" s="643" t="s">
        <v>7851</v>
      </c>
      <c r="D20" s="1626"/>
      <c r="E20" s="1626"/>
      <c r="F20" s="644"/>
      <c r="G20" s="608"/>
      <c r="H20" s="645" t="s">
        <v>8163</v>
      </c>
      <c r="J20" s="1858"/>
      <c r="K20" s="1858"/>
      <c r="L20" s="1858"/>
      <c r="M20" s="1858"/>
      <c r="N20" s="1858"/>
      <c r="O20" s="1858"/>
      <c r="P20" s="609"/>
      <c r="Q20" s="613"/>
      <c r="R20" s="613"/>
      <c r="S20" s="613"/>
      <c r="T20" s="613"/>
      <c r="U20" s="610"/>
      <c r="V20" s="610"/>
      <c r="W20" s="610"/>
      <c r="X20" s="611"/>
      <c r="Y20" s="612"/>
      <c r="Z20" s="499"/>
      <c r="AA20" s="609">
        <f t="shared" si="10"/>
        <v>0</v>
      </c>
      <c r="AB20" s="613">
        <f t="shared" si="1"/>
        <v>0</v>
      </c>
      <c r="AC20" s="613">
        <f t="shared" si="2"/>
        <v>0</v>
      </c>
      <c r="AD20" s="613">
        <f t="shared" si="3"/>
        <v>0</v>
      </c>
      <c r="AE20" s="613">
        <f t="shared" si="4"/>
        <v>0</v>
      </c>
      <c r="AF20" s="610">
        <f t="shared" si="5"/>
        <v>0</v>
      </c>
      <c r="AG20" s="610">
        <f t="shared" si="6"/>
        <v>0</v>
      </c>
      <c r="AH20" s="610">
        <f t="shared" si="7"/>
        <v>0</v>
      </c>
      <c r="AI20" s="611">
        <f t="shared" si="8"/>
        <v>0</v>
      </c>
      <c r="AJ20" s="612">
        <f t="shared" si="9"/>
        <v>0</v>
      </c>
      <c r="AK20" s="614">
        <f t="shared" si="11"/>
        <v>0</v>
      </c>
    </row>
    <row r="21" spans="1:37" ht="19.5" thickTop="1" thickBot="1" x14ac:dyDescent="0.4">
      <c r="A21" s="606"/>
      <c r="B21" s="646"/>
      <c r="C21" s="647" t="s">
        <v>8166</v>
      </c>
      <c r="D21" s="1626" t="s">
        <v>7213</v>
      </c>
      <c r="E21" s="598" t="s">
        <v>8160</v>
      </c>
      <c r="F21" s="644">
        <v>1</v>
      </c>
      <c r="G21" s="608"/>
      <c r="H21" s="648" t="str">
        <f>IF(F21=1,"",LOOKUP($F21,Data!$B$2:$B$193,Data!$E$2:$E$194))</f>
        <v/>
      </c>
      <c r="J21" s="1858"/>
      <c r="K21" s="1858"/>
      <c r="L21" s="1858"/>
      <c r="M21" s="1858"/>
      <c r="N21" s="1858"/>
      <c r="O21" s="1858"/>
      <c r="P21" s="609"/>
      <c r="Q21" s="613"/>
      <c r="R21" s="613"/>
      <c r="S21" s="613"/>
      <c r="T21" s="613"/>
      <c r="U21" s="610"/>
      <c r="V21" s="610"/>
      <c r="W21" s="610"/>
      <c r="X21" s="611"/>
      <c r="Y21" s="612"/>
      <c r="Z21" s="499"/>
      <c r="AA21" s="609">
        <f t="shared" si="10"/>
        <v>0</v>
      </c>
      <c r="AB21" s="613">
        <f t="shared" si="1"/>
        <v>0</v>
      </c>
      <c r="AC21" s="613">
        <f t="shared" si="2"/>
        <v>0</v>
      </c>
      <c r="AD21" s="613">
        <f t="shared" si="3"/>
        <v>0</v>
      </c>
      <c r="AE21" s="613">
        <f t="shared" si="4"/>
        <v>0</v>
      </c>
      <c r="AF21" s="610">
        <f t="shared" si="5"/>
        <v>0</v>
      </c>
      <c r="AG21" s="610">
        <f t="shared" si="6"/>
        <v>0</v>
      </c>
      <c r="AH21" s="610">
        <f t="shared" si="7"/>
        <v>0</v>
      </c>
      <c r="AI21" s="611">
        <f t="shared" si="8"/>
        <v>0</v>
      </c>
      <c r="AJ21" s="612">
        <f t="shared" si="9"/>
        <v>0</v>
      </c>
      <c r="AK21" s="614">
        <f t="shared" si="11"/>
        <v>0</v>
      </c>
    </row>
    <row r="22" spans="1:37" ht="19.5" thickTop="1" thickBot="1" x14ac:dyDescent="0.4">
      <c r="A22" s="606"/>
      <c r="B22" s="646"/>
      <c r="C22" s="643"/>
      <c r="D22" s="1626" t="s">
        <v>7213</v>
      </c>
      <c r="E22" s="598" t="s">
        <v>8161</v>
      </c>
      <c r="F22" s="644">
        <v>1</v>
      </c>
      <c r="G22" s="608"/>
      <c r="H22" s="648" t="str">
        <f>IF(F22=1,"",LOOKUP($F22,Data!$B$2:$B$193,Data!$E$2:$E$194))</f>
        <v/>
      </c>
      <c r="J22" s="1858"/>
      <c r="K22" s="1858"/>
      <c r="L22" s="1858"/>
      <c r="M22" s="1858"/>
      <c r="N22" s="1858"/>
      <c r="O22" s="1858"/>
      <c r="P22" s="609"/>
      <c r="Q22" s="613"/>
      <c r="R22" s="613"/>
      <c r="S22" s="613"/>
      <c r="T22" s="613"/>
      <c r="U22" s="610"/>
      <c r="V22" s="610"/>
      <c r="W22" s="610"/>
      <c r="X22" s="611"/>
      <c r="Y22" s="612"/>
      <c r="Z22" s="499"/>
      <c r="AA22" s="609">
        <f t="shared" si="10"/>
        <v>0</v>
      </c>
      <c r="AB22" s="613">
        <f t="shared" si="1"/>
        <v>0</v>
      </c>
      <c r="AC22" s="613">
        <f t="shared" si="2"/>
        <v>0</v>
      </c>
      <c r="AD22" s="613">
        <f t="shared" si="3"/>
        <v>0</v>
      </c>
      <c r="AE22" s="613">
        <f t="shared" si="4"/>
        <v>0</v>
      </c>
      <c r="AF22" s="610">
        <f t="shared" si="5"/>
        <v>0</v>
      </c>
      <c r="AG22" s="610">
        <f t="shared" si="6"/>
        <v>0</v>
      </c>
      <c r="AH22" s="610">
        <f t="shared" si="7"/>
        <v>0</v>
      </c>
      <c r="AI22" s="611">
        <f t="shared" si="8"/>
        <v>0</v>
      </c>
      <c r="AJ22" s="612">
        <f t="shared" si="9"/>
        <v>0</v>
      </c>
      <c r="AK22" s="614">
        <f t="shared" si="11"/>
        <v>0</v>
      </c>
    </row>
    <row r="23" spans="1:37" ht="19.5" thickTop="1" thickBot="1" x14ac:dyDescent="0.4">
      <c r="A23" s="606"/>
      <c r="B23" s="646"/>
      <c r="C23" s="643"/>
      <c r="D23" s="1626" t="s">
        <v>7213</v>
      </c>
      <c r="E23" s="598" t="s">
        <v>8161</v>
      </c>
      <c r="F23" s="644">
        <v>1</v>
      </c>
      <c r="G23" s="608"/>
      <c r="H23" s="649" t="str">
        <f>IF(F23=1,"",LOOKUP($F23,Data!$B$2:$B$193,Data!$E$2:$E$194))</f>
        <v/>
      </c>
      <c r="J23" s="1858"/>
      <c r="K23" s="1858"/>
      <c r="L23" s="1858"/>
      <c r="M23" s="1858"/>
      <c r="N23" s="1858"/>
      <c r="O23" s="1858"/>
      <c r="P23" s="609"/>
      <c r="Q23" s="613"/>
      <c r="R23" s="613"/>
      <c r="S23" s="613"/>
      <c r="T23" s="613"/>
      <c r="U23" s="610"/>
      <c r="V23" s="610"/>
      <c r="W23" s="610"/>
      <c r="X23" s="611"/>
      <c r="Y23" s="612"/>
      <c r="Z23" s="528"/>
      <c r="AA23" s="609">
        <f t="shared" si="10"/>
        <v>0</v>
      </c>
      <c r="AB23" s="613">
        <f t="shared" si="1"/>
        <v>0</v>
      </c>
      <c r="AC23" s="613">
        <f t="shared" si="2"/>
        <v>0</v>
      </c>
      <c r="AD23" s="613">
        <f t="shared" si="3"/>
        <v>0</v>
      </c>
      <c r="AE23" s="613">
        <f t="shared" si="4"/>
        <v>0</v>
      </c>
      <c r="AF23" s="610">
        <f t="shared" si="5"/>
        <v>0</v>
      </c>
      <c r="AG23" s="610">
        <f t="shared" si="6"/>
        <v>0</v>
      </c>
      <c r="AH23" s="610">
        <f t="shared" si="7"/>
        <v>0</v>
      </c>
      <c r="AI23" s="611">
        <f t="shared" si="8"/>
        <v>0</v>
      </c>
      <c r="AJ23" s="612">
        <f t="shared" si="9"/>
        <v>0</v>
      </c>
      <c r="AK23" s="614">
        <f t="shared" si="11"/>
        <v>0</v>
      </c>
    </row>
    <row r="24" spans="1:37" ht="31.5" customHeight="1" thickTop="1" thickBot="1" x14ac:dyDescent="0.4">
      <c r="A24" s="606" t="s">
        <v>183</v>
      </c>
      <c r="B24" s="631" t="s">
        <v>8162</v>
      </c>
      <c r="C24" s="633" t="s">
        <v>8164</v>
      </c>
      <c r="D24" s="1626" t="s">
        <v>7760</v>
      </c>
      <c r="E24" s="532" t="s">
        <v>7215</v>
      </c>
      <c r="F24" s="650">
        <v>1</v>
      </c>
      <c r="G24" s="617" t="s">
        <v>8159</v>
      </c>
      <c r="J24" s="1858"/>
      <c r="K24" s="1858"/>
      <c r="L24" s="1858"/>
      <c r="M24" s="1858"/>
      <c r="N24" s="1858"/>
      <c r="O24" s="1858"/>
      <c r="P24" s="609"/>
      <c r="Q24" s="613"/>
      <c r="R24" s="613"/>
      <c r="S24" s="613"/>
      <c r="T24" s="613"/>
      <c r="U24" s="610"/>
      <c r="V24" s="610"/>
      <c r="W24" s="610"/>
      <c r="X24" s="611"/>
      <c r="Y24" s="612"/>
      <c r="Z24" s="499"/>
      <c r="AA24" s="609">
        <f t="shared" si="10"/>
        <v>0</v>
      </c>
      <c r="AB24" s="613">
        <f t="shared" si="1"/>
        <v>0</v>
      </c>
      <c r="AC24" s="613">
        <f t="shared" si="2"/>
        <v>0</v>
      </c>
      <c r="AD24" s="613">
        <f t="shared" si="3"/>
        <v>0</v>
      </c>
      <c r="AE24" s="613">
        <f t="shared" si="4"/>
        <v>0</v>
      </c>
      <c r="AF24" s="610">
        <f t="shared" si="5"/>
        <v>0</v>
      </c>
      <c r="AG24" s="610">
        <f t="shared" si="6"/>
        <v>0</v>
      </c>
      <c r="AH24" s="610">
        <f t="shared" si="7"/>
        <v>0</v>
      </c>
      <c r="AI24" s="611">
        <f t="shared" si="8"/>
        <v>0</v>
      </c>
      <c r="AJ24" s="612">
        <f t="shared" si="9"/>
        <v>0</v>
      </c>
      <c r="AK24" s="614">
        <f t="shared" si="11"/>
        <v>0</v>
      </c>
    </row>
    <row r="25" spans="1:37" ht="19.5" thickTop="1" thickBot="1" x14ac:dyDescent="0.4">
      <c r="A25" s="606"/>
      <c r="B25" s="631"/>
      <c r="C25" s="647"/>
      <c r="D25" s="1626"/>
      <c r="E25" s="1626"/>
      <c r="F25" s="644"/>
      <c r="G25" s="608"/>
      <c r="J25" s="1858"/>
      <c r="K25" s="1858"/>
      <c r="L25" s="1858"/>
      <c r="M25" s="1858"/>
      <c r="N25" s="1858"/>
      <c r="O25" s="1858"/>
      <c r="P25" s="609"/>
      <c r="Q25" s="613"/>
      <c r="R25" s="613"/>
      <c r="S25" s="613"/>
      <c r="T25" s="613"/>
      <c r="U25" s="610"/>
      <c r="V25" s="610"/>
      <c r="W25" s="610"/>
      <c r="X25" s="611"/>
      <c r="Y25" s="612"/>
      <c r="Z25" s="499"/>
      <c r="AA25" s="609">
        <f t="shared" si="10"/>
        <v>0</v>
      </c>
      <c r="AB25" s="613">
        <f t="shared" si="1"/>
        <v>0</v>
      </c>
      <c r="AC25" s="613">
        <f t="shared" si="2"/>
        <v>0</v>
      </c>
      <c r="AD25" s="613">
        <f t="shared" si="3"/>
        <v>0</v>
      </c>
      <c r="AE25" s="613">
        <f t="shared" si="4"/>
        <v>0</v>
      </c>
      <c r="AF25" s="610">
        <f t="shared" si="5"/>
        <v>0</v>
      </c>
      <c r="AG25" s="610">
        <f t="shared" si="6"/>
        <v>0</v>
      </c>
      <c r="AH25" s="610">
        <f t="shared" si="7"/>
        <v>0</v>
      </c>
      <c r="AI25" s="611">
        <f t="shared" si="8"/>
        <v>0</v>
      </c>
      <c r="AJ25" s="612">
        <f t="shared" si="9"/>
        <v>0</v>
      </c>
      <c r="AK25" s="614">
        <f t="shared" si="11"/>
        <v>0</v>
      </c>
    </row>
    <row r="26" spans="1:37" ht="14.25" customHeight="1" thickTop="1" thickBot="1" x14ac:dyDescent="0.4">
      <c r="A26" s="606"/>
      <c r="B26" s="635"/>
      <c r="C26" s="640" t="s">
        <v>7220</v>
      </c>
      <c r="D26" s="651"/>
      <c r="E26" s="651"/>
      <c r="F26" s="652"/>
      <c r="G26" s="653"/>
      <c r="J26" s="1858"/>
      <c r="K26" s="1858"/>
      <c r="L26" s="1858"/>
      <c r="M26" s="1858"/>
      <c r="N26" s="1858"/>
      <c r="O26" s="1858"/>
      <c r="P26" s="609"/>
      <c r="Q26" s="613"/>
      <c r="R26" s="613"/>
      <c r="S26" s="613"/>
      <c r="T26" s="613"/>
      <c r="U26" s="610"/>
      <c r="V26" s="610"/>
      <c r="W26" s="610"/>
      <c r="X26" s="611"/>
      <c r="Y26" s="612"/>
      <c r="Z26" s="499"/>
      <c r="AA26" s="609">
        <f t="shared" si="10"/>
        <v>0</v>
      </c>
      <c r="AB26" s="613">
        <f t="shared" si="1"/>
        <v>0</v>
      </c>
      <c r="AC26" s="613">
        <f t="shared" si="2"/>
        <v>0</v>
      </c>
      <c r="AD26" s="613">
        <f t="shared" si="3"/>
        <v>0</v>
      </c>
      <c r="AE26" s="613">
        <f t="shared" si="4"/>
        <v>0</v>
      </c>
      <c r="AF26" s="610">
        <f t="shared" si="5"/>
        <v>0</v>
      </c>
      <c r="AG26" s="610">
        <f t="shared" si="6"/>
        <v>0</v>
      </c>
      <c r="AH26" s="610">
        <f t="shared" si="7"/>
        <v>0</v>
      </c>
      <c r="AI26" s="611">
        <f t="shared" si="8"/>
        <v>0</v>
      </c>
      <c r="AJ26" s="612">
        <f t="shared" si="9"/>
        <v>0</v>
      </c>
      <c r="AK26" s="614">
        <f t="shared" si="11"/>
        <v>0</v>
      </c>
    </row>
    <row r="27" spans="1:37" ht="129.75" customHeight="1" thickTop="1" thickBot="1" x14ac:dyDescent="0.4">
      <c r="A27" s="606"/>
      <c r="B27" s="642" t="s">
        <v>89</v>
      </c>
      <c r="C27" s="643" t="s">
        <v>8167</v>
      </c>
      <c r="D27" s="1626"/>
      <c r="E27" s="1626"/>
      <c r="F27" s="644"/>
      <c r="G27" s="407"/>
      <c r="J27" s="1858"/>
      <c r="K27" s="1858"/>
      <c r="L27" s="1858"/>
      <c r="M27" s="1858"/>
      <c r="N27" s="1858"/>
      <c r="O27" s="1858"/>
      <c r="P27" s="609"/>
      <c r="Q27" s="613"/>
      <c r="R27" s="613"/>
      <c r="S27" s="613"/>
      <c r="T27" s="613"/>
      <c r="U27" s="610"/>
      <c r="V27" s="610"/>
      <c r="W27" s="610"/>
      <c r="X27" s="611"/>
      <c r="Y27" s="612"/>
      <c r="Z27" s="499"/>
      <c r="AA27" s="609">
        <f t="shared" si="10"/>
        <v>0</v>
      </c>
      <c r="AB27" s="613">
        <f t="shared" si="1"/>
        <v>0</v>
      </c>
      <c r="AC27" s="613">
        <f t="shared" si="2"/>
        <v>0</v>
      </c>
      <c r="AD27" s="613">
        <f t="shared" si="3"/>
        <v>0</v>
      </c>
      <c r="AE27" s="613">
        <f t="shared" si="4"/>
        <v>0</v>
      </c>
      <c r="AF27" s="610">
        <f t="shared" si="5"/>
        <v>0</v>
      </c>
      <c r="AG27" s="610">
        <f t="shared" si="6"/>
        <v>0</v>
      </c>
      <c r="AH27" s="610">
        <f t="shared" si="7"/>
        <v>0</v>
      </c>
      <c r="AI27" s="611">
        <f t="shared" si="8"/>
        <v>0</v>
      </c>
      <c r="AJ27" s="612">
        <f t="shared" si="9"/>
        <v>0</v>
      </c>
      <c r="AK27" s="614">
        <f t="shared" si="11"/>
        <v>0</v>
      </c>
    </row>
    <row r="28" spans="1:37" ht="29.25" customHeight="1" thickTop="1" thickBot="1" x14ac:dyDescent="0.4">
      <c r="A28" s="606" t="s">
        <v>184</v>
      </c>
      <c r="B28" s="524" t="s">
        <v>7217</v>
      </c>
      <c r="C28" s="519" t="s">
        <v>8165</v>
      </c>
      <c r="D28" s="1626" t="s">
        <v>7655</v>
      </c>
      <c r="E28" s="598" t="s">
        <v>140</v>
      </c>
      <c r="F28" s="607">
        <v>1</v>
      </c>
      <c r="G28" s="608"/>
      <c r="J28" s="1858"/>
      <c r="K28" s="1858"/>
      <c r="L28" s="1858"/>
      <c r="M28" s="1858"/>
      <c r="N28" s="1858"/>
      <c r="O28" s="1858"/>
      <c r="P28" s="609"/>
      <c r="Q28" s="613"/>
      <c r="R28" s="613"/>
      <c r="S28" s="613"/>
      <c r="T28" s="613"/>
      <c r="U28" s="610"/>
      <c r="V28" s="610"/>
      <c r="W28" s="610"/>
      <c r="X28" s="611"/>
      <c r="Y28" s="612"/>
      <c r="Z28" s="499"/>
      <c r="AA28" s="609">
        <f t="shared" si="10"/>
        <v>0</v>
      </c>
      <c r="AB28" s="613">
        <f t="shared" si="1"/>
        <v>0</v>
      </c>
      <c r="AC28" s="613">
        <f t="shared" si="2"/>
        <v>0</v>
      </c>
      <c r="AD28" s="613">
        <f t="shared" si="3"/>
        <v>0</v>
      </c>
      <c r="AE28" s="613">
        <f t="shared" si="4"/>
        <v>0</v>
      </c>
      <c r="AF28" s="610">
        <f t="shared" si="5"/>
        <v>0</v>
      </c>
      <c r="AG28" s="610">
        <f t="shared" si="6"/>
        <v>0</v>
      </c>
      <c r="AH28" s="610">
        <f t="shared" si="7"/>
        <v>0</v>
      </c>
      <c r="AI28" s="611">
        <f t="shared" si="8"/>
        <v>0</v>
      </c>
      <c r="AJ28" s="612">
        <f t="shared" si="9"/>
        <v>0</v>
      </c>
      <c r="AK28" s="614">
        <f t="shared" si="11"/>
        <v>0</v>
      </c>
    </row>
    <row r="29" spans="1:37" ht="43.5" customHeight="1" thickTop="1" thickBot="1" x14ac:dyDescent="0.4">
      <c r="A29" s="654" t="s">
        <v>185</v>
      </c>
      <c r="B29" s="655" t="s">
        <v>7218</v>
      </c>
      <c r="C29" s="656" t="s">
        <v>7219</v>
      </c>
      <c r="D29" s="657"/>
      <c r="E29" s="658" t="s">
        <v>141</v>
      </c>
      <c r="F29" s="1862"/>
      <c r="G29" s="659" t="s">
        <v>8159</v>
      </c>
      <c r="J29" s="1858"/>
      <c r="K29" s="1858"/>
      <c r="L29" s="1858"/>
      <c r="M29" s="1858"/>
      <c r="N29" s="1858"/>
      <c r="O29" s="1858"/>
      <c r="P29" s="609"/>
      <c r="Q29" s="613"/>
      <c r="R29" s="613"/>
      <c r="S29" s="613"/>
      <c r="T29" s="613"/>
      <c r="U29" s="610"/>
      <c r="V29" s="610"/>
      <c r="W29" s="610"/>
      <c r="X29" s="611"/>
      <c r="Y29" s="612"/>
      <c r="Z29" s="499"/>
      <c r="AA29" s="609">
        <f t="shared" si="10"/>
        <v>0</v>
      </c>
      <c r="AB29" s="613">
        <f t="shared" si="1"/>
        <v>0</v>
      </c>
      <c r="AC29" s="613">
        <f t="shared" si="2"/>
        <v>0</v>
      </c>
      <c r="AD29" s="613">
        <f t="shared" si="3"/>
        <v>0</v>
      </c>
      <c r="AE29" s="613">
        <f t="shared" si="4"/>
        <v>0</v>
      </c>
      <c r="AF29" s="610">
        <f t="shared" si="5"/>
        <v>0</v>
      </c>
      <c r="AG29" s="610">
        <f t="shared" si="6"/>
        <v>0</v>
      </c>
      <c r="AH29" s="610">
        <f t="shared" si="7"/>
        <v>0</v>
      </c>
      <c r="AI29" s="611">
        <f t="shared" si="8"/>
        <v>0</v>
      </c>
      <c r="AJ29" s="612">
        <f t="shared" si="9"/>
        <v>0</v>
      </c>
      <c r="AK29" s="614">
        <f t="shared" si="11"/>
        <v>0</v>
      </c>
    </row>
    <row r="30" spans="1:37" ht="19.5" thickTop="1" thickBot="1" x14ac:dyDescent="0.4">
      <c r="J30" s="1858"/>
      <c r="K30" s="1858"/>
      <c r="L30" s="1858"/>
      <c r="M30" s="1858"/>
      <c r="N30" s="1858"/>
      <c r="O30" s="1858"/>
      <c r="P30" s="609"/>
      <c r="Q30" s="613"/>
      <c r="R30" s="613"/>
      <c r="S30" s="613"/>
      <c r="T30" s="613"/>
      <c r="U30" s="610"/>
      <c r="V30" s="610"/>
      <c r="W30" s="610"/>
      <c r="X30" s="611"/>
      <c r="Y30" s="612"/>
      <c r="Z30" s="499"/>
      <c r="AA30" s="609">
        <f t="shared" si="10"/>
        <v>0</v>
      </c>
      <c r="AB30" s="613">
        <f t="shared" si="1"/>
        <v>0</v>
      </c>
      <c r="AC30" s="613">
        <f t="shared" si="2"/>
        <v>0</v>
      </c>
      <c r="AD30" s="613">
        <f t="shared" si="3"/>
        <v>0</v>
      </c>
      <c r="AE30" s="613">
        <f t="shared" si="4"/>
        <v>0</v>
      </c>
      <c r="AF30" s="610">
        <f t="shared" si="5"/>
        <v>0</v>
      </c>
      <c r="AG30" s="610">
        <f t="shared" si="6"/>
        <v>0</v>
      </c>
      <c r="AH30" s="610">
        <f t="shared" si="7"/>
        <v>0</v>
      </c>
      <c r="AI30" s="611">
        <f t="shared" si="8"/>
        <v>0</v>
      </c>
      <c r="AJ30" s="612">
        <f t="shared" si="9"/>
        <v>0</v>
      </c>
      <c r="AK30" s="614">
        <f t="shared" si="11"/>
        <v>0</v>
      </c>
    </row>
    <row r="31" spans="1:37" ht="19.5" thickTop="1" thickBot="1" x14ac:dyDescent="0.4">
      <c r="A31" s="660"/>
      <c r="J31" s="1858"/>
      <c r="K31" s="1858"/>
      <c r="L31" s="1858"/>
      <c r="M31" s="1858"/>
      <c r="N31" s="1858"/>
      <c r="O31" s="1858"/>
      <c r="P31" s="609"/>
      <c r="Q31" s="613"/>
      <c r="R31" s="613"/>
      <c r="S31" s="613"/>
      <c r="T31" s="613"/>
      <c r="U31" s="610"/>
      <c r="V31" s="610"/>
      <c r="W31" s="610"/>
      <c r="X31" s="611"/>
      <c r="Y31" s="612"/>
      <c r="Z31" s="499"/>
      <c r="AA31" s="609">
        <f t="shared" si="10"/>
        <v>0</v>
      </c>
      <c r="AB31" s="613">
        <f t="shared" si="1"/>
        <v>0</v>
      </c>
      <c r="AC31" s="613">
        <f t="shared" si="2"/>
        <v>0</v>
      </c>
      <c r="AD31" s="613">
        <f t="shared" si="3"/>
        <v>0</v>
      </c>
      <c r="AE31" s="613">
        <f t="shared" si="4"/>
        <v>0</v>
      </c>
      <c r="AF31" s="610">
        <f t="shared" si="5"/>
        <v>0</v>
      </c>
      <c r="AG31" s="610">
        <f t="shared" si="6"/>
        <v>0</v>
      </c>
      <c r="AH31" s="610">
        <f t="shared" si="7"/>
        <v>0</v>
      </c>
      <c r="AI31" s="611">
        <f t="shared" si="8"/>
        <v>0</v>
      </c>
      <c r="AJ31" s="612">
        <f t="shared" si="9"/>
        <v>0</v>
      </c>
      <c r="AK31" s="614">
        <f t="shared" si="11"/>
        <v>0</v>
      </c>
    </row>
    <row r="32" spans="1:37" ht="19.5" thickTop="1" thickBot="1" x14ac:dyDescent="0.4">
      <c r="J32" s="1858"/>
      <c r="K32" s="1858"/>
      <c r="L32" s="1858"/>
      <c r="M32" s="1858"/>
      <c r="N32" s="1858"/>
      <c r="O32" s="1858"/>
      <c r="P32" s="609"/>
      <c r="Q32" s="613"/>
      <c r="R32" s="613"/>
      <c r="S32" s="613"/>
      <c r="T32" s="613"/>
      <c r="U32" s="610"/>
      <c r="V32" s="610"/>
      <c r="W32" s="610"/>
      <c r="X32" s="611"/>
      <c r="Y32" s="612"/>
      <c r="Z32" s="499"/>
      <c r="AA32" s="609">
        <f t="shared" si="10"/>
        <v>0</v>
      </c>
      <c r="AB32" s="613">
        <f t="shared" si="1"/>
        <v>0</v>
      </c>
      <c r="AC32" s="613">
        <f t="shared" si="2"/>
        <v>0</v>
      </c>
      <c r="AD32" s="613">
        <f t="shared" si="3"/>
        <v>0</v>
      </c>
      <c r="AE32" s="613">
        <f t="shared" si="4"/>
        <v>0</v>
      </c>
      <c r="AF32" s="610">
        <f t="shared" si="5"/>
        <v>0</v>
      </c>
      <c r="AG32" s="610">
        <f t="shared" si="6"/>
        <v>0</v>
      </c>
      <c r="AH32" s="610">
        <f t="shared" si="7"/>
        <v>0</v>
      </c>
      <c r="AI32" s="611">
        <f t="shared" si="8"/>
        <v>0</v>
      </c>
      <c r="AJ32" s="612">
        <f t="shared" si="9"/>
        <v>0</v>
      </c>
      <c r="AK32" s="614">
        <f t="shared" si="11"/>
        <v>0</v>
      </c>
    </row>
    <row r="33" spans="10:37" ht="19.5" thickTop="1" thickBot="1" x14ac:dyDescent="0.4">
      <c r="J33" s="1858"/>
      <c r="K33" s="1858"/>
      <c r="L33" s="1858"/>
      <c r="M33" s="1858"/>
      <c r="N33" s="1858"/>
      <c r="O33" s="1858"/>
      <c r="P33" s="609"/>
      <c r="Q33" s="613"/>
      <c r="R33" s="613"/>
      <c r="S33" s="613"/>
      <c r="T33" s="613"/>
      <c r="U33" s="610"/>
      <c r="V33" s="610"/>
      <c r="W33" s="610"/>
      <c r="X33" s="611"/>
      <c r="Y33" s="612"/>
      <c r="Z33" s="499"/>
      <c r="AA33" s="609">
        <f t="shared" si="10"/>
        <v>0</v>
      </c>
      <c r="AB33" s="613">
        <f t="shared" si="1"/>
        <v>0</v>
      </c>
      <c r="AC33" s="613">
        <f t="shared" si="2"/>
        <v>0</v>
      </c>
      <c r="AD33" s="613">
        <f t="shared" si="3"/>
        <v>0</v>
      </c>
      <c r="AE33" s="613">
        <f t="shared" si="4"/>
        <v>0</v>
      </c>
      <c r="AF33" s="610">
        <f t="shared" si="5"/>
        <v>0</v>
      </c>
      <c r="AG33" s="610">
        <f t="shared" si="6"/>
        <v>0</v>
      </c>
      <c r="AH33" s="610">
        <f t="shared" si="7"/>
        <v>0</v>
      </c>
      <c r="AI33" s="611">
        <f t="shared" si="8"/>
        <v>0</v>
      </c>
      <c r="AJ33" s="612">
        <f t="shared" si="9"/>
        <v>0</v>
      </c>
      <c r="AK33" s="614">
        <f t="shared" si="11"/>
        <v>0</v>
      </c>
    </row>
    <row r="34" spans="10:37" ht="19.5" thickTop="1" thickBot="1" x14ac:dyDescent="0.4">
      <c r="J34" s="1858"/>
      <c r="K34" s="1858"/>
      <c r="L34" s="1858"/>
      <c r="M34" s="1858"/>
      <c r="N34" s="1858"/>
      <c r="O34" s="1858"/>
      <c r="P34" s="609"/>
      <c r="Q34" s="613"/>
      <c r="R34" s="613"/>
      <c r="S34" s="613"/>
      <c r="T34" s="613"/>
      <c r="U34" s="610"/>
      <c r="V34" s="610"/>
      <c r="W34" s="610"/>
      <c r="X34" s="611"/>
      <c r="Y34" s="612"/>
      <c r="Z34" s="499"/>
      <c r="AA34" s="609">
        <f t="shared" si="10"/>
        <v>0</v>
      </c>
      <c r="AB34" s="613">
        <f t="shared" si="1"/>
        <v>0</v>
      </c>
      <c r="AC34" s="613">
        <f t="shared" si="2"/>
        <v>0</v>
      </c>
      <c r="AD34" s="613">
        <f t="shared" si="3"/>
        <v>0</v>
      </c>
      <c r="AE34" s="613">
        <f t="shared" si="4"/>
        <v>0</v>
      </c>
      <c r="AF34" s="610">
        <f t="shared" si="5"/>
        <v>0</v>
      </c>
      <c r="AG34" s="610">
        <f t="shared" si="6"/>
        <v>0</v>
      </c>
      <c r="AH34" s="610">
        <f t="shared" si="7"/>
        <v>0</v>
      </c>
      <c r="AI34" s="611">
        <f t="shared" si="8"/>
        <v>0</v>
      </c>
      <c r="AJ34" s="612">
        <f t="shared" si="9"/>
        <v>0</v>
      </c>
      <c r="AK34" s="614">
        <f t="shared" si="11"/>
        <v>0</v>
      </c>
    </row>
    <row r="35" spans="10:37" ht="19.5" thickTop="1" thickBot="1" x14ac:dyDescent="0.4">
      <c r="J35" s="1858"/>
      <c r="K35" s="1858"/>
      <c r="L35" s="1858"/>
      <c r="M35" s="1858"/>
      <c r="N35" s="1858"/>
      <c r="O35" s="1858"/>
      <c r="P35" s="609"/>
      <c r="Q35" s="613"/>
      <c r="R35" s="613"/>
      <c r="S35" s="613"/>
      <c r="T35" s="613"/>
      <c r="U35" s="610"/>
      <c r="V35" s="610"/>
      <c r="W35" s="610"/>
      <c r="X35" s="611"/>
      <c r="Y35" s="612"/>
      <c r="Z35" s="499"/>
      <c r="AA35" s="609">
        <f t="shared" si="10"/>
        <v>0</v>
      </c>
      <c r="AB35" s="613">
        <f t="shared" si="1"/>
        <v>0</v>
      </c>
      <c r="AC35" s="613">
        <f t="shared" si="2"/>
        <v>0</v>
      </c>
      <c r="AD35" s="613">
        <f t="shared" si="3"/>
        <v>0</v>
      </c>
      <c r="AE35" s="613">
        <f t="shared" si="4"/>
        <v>0</v>
      </c>
      <c r="AF35" s="610">
        <f t="shared" si="5"/>
        <v>0</v>
      </c>
      <c r="AG35" s="610">
        <f t="shared" si="6"/>
        <v>0</v>
      </c>
      <c r="AH35" s="610">
        <f t="shared" si="7"/>
        <v>0</v>
      </c>
      <c r="AI35" s="611">
        <f t="shared" si="8"/>
        <v>0</v>
      </c>
      <c r="AJ35" s="612">
        <f t="shared" si="9"/>
        <v>0</v>
      </c>
      <c r="AK35" s="614">
        <f t="shared" si="11"/>
        <v>0</v>
      </c>
    </row>
    <row r="36" spans="10:37" ht="19.5" thickTop="1" thickBot="1" x14ac:dyDescent="0.4">
      <c r="J36" s="1858"/>
      <c r="K36" s="1858"/>
      <c r="L36" s="1858"/>
      <c r="M36" s="1858"/>
      <c r="N36" s="1858"/>
      <c r="O36" s="1858"/>
      <c r="P36" s="609"/>
      <c r="Q36" s="613"/>
      <c r="R36" s="613"/>
      <c r="S36" s="613"/>
      <c r="T36" s="613"/>
      <c r="U36" s="610"/>
      <c r="V36" s="610"/>
      <c r="W36" s="610"/>
      <c r="X36" s="611"/>
      <c r="Y36" s="612"/>
      <c r="Z36" s="499"/>
      <c r="AA36" s="609">
        <f t="shared" si="10"/>
        <v>0</v>
      </c>
      <c r="AB36" s="613">
        <f t="shared" si="1"/>
        <v>0</v>
      </c>
      <c r="AC36" s="613">
        <f t="shared" si="2"/>
        <v>0</v>
      </c>
      <c r="AD36" s="613">
        <f t="shared" si="3"/>
        <v>0</v>
      </c>
      <c r="AE36" s="613">
        <f t="shared" si="4"/>
        <v>0</v>
      </c>
      <c r="AF36" s="610">
        <f t="shared" si="5"/>
        <v>0</v>
      </c>
      <c r="AG36" s="610">
        <f t="shared" si="6"/>
        <v>0</v>
      </c>
      <c r="AH36" s="610">
        <f t="shared" si="7"/>
        <v>0</v>
      </c>
      <c r="AI36" s="611">
        <f t="shared" si="8"/>
        <v>0</v>
      </c>
      <c r="AJ36" s="612">
        <f t="shared" si="9"/>
        <v>0</v>
      </c>
      <c r="AK36" s="614">
        <f t="shared" si="11"/>
        <v>0</v>
      </c>
    </row>
    <row r="37" spans="10:37" ht="19.5" thickTop="1" thickBot="1" x14ac:dyDescent="0.4">
      <c r="J37" s="1858"/>
      <c r="K37" s="1858"/>
      <c r="L37" s="1858"/>
      <c r="M37" s="1858"/>
      <c r="N37" s="1858"/>
      <c r="O37" s="1858"/>
      <c r="P37" s="609"/>
      <c r="Q37" s="613"/>
      <c r="R37" s="613"/>
      <c r="S37" s="613"/>
      <c r="T37" s="613"/>
      <c r="U37" s="610"/>
      <c r="V37" s="610"/>
      <c r="W37" s="610"/>
      <c r="X37" s="611"/>
      <c r="Y37" s="612"/>
      <c r="Z37" s="499"/>
      <c r="AA37" s="609">
        <f t="shared" si="10"/>
        <v>0</v>
      </c>
      <c r="AB37" s="613">
        <f t="shared" si="1"/>
        <v>0</v>
      </c>
      <c r="AC37" s="613">
        <f t="shared" si="2"/>
        <v>0</v>
      </c>
      <c r="AD37" s="613">
        <f t="shared" si="3"/>
        <v>0</v>
      </c>
      <c r="AE37" s="613">
        <f t="shared" si="4"/>
        <v>0</v>
      </c>
      <c r="AF37" s="610">
        <f t="shared" si="5"/>
        <v>0</v>
      </c>
      <c r="AG37" s="610">
        <f t="shared" si="6"/>
        <v>0</v>
      </c>
      <c r="AH37" s="610">
        <f t="shared" si="7"/>
        <v>0</v>
      </c>
      <c r="AI37" s="611">
        <f t="shared" si="8"/>
        <v>0</v>
      </c>
      <c r="AJ37" s="612">
        <f t="shared" si="9"/>
        <v>0</v>
      </c>
      <c r="AK37" s="614">
        <f t="shared" si="11"/>
        <v>0</v>
      </c>
    </row>
    <row r="38" spans="10:37" ht="19.5" thickTop="1" thickBot="1" x14ac:dyDescent="0.4">
      <c r="J38" s="1858"/>
      <c r="K38" s="1858"/>
      <c r="L38" s="1858"/>
      <c r="M38" s="1858"/>
      <c r="N38" s="1858"/>
      <c r="O38" s="1858"/>
      <c r="P38" s="609"/>
      <c r="Q38" s="613"/>
      <c r="R38" s="613"/>
      <c r="S38" s="613"/>
      <c r="T38" s="613"/>
      <c r="U38" s="610"/>
      <c r="V38" s="610"/>
      <c r="W38" s="610"/>
      <c r="X38" s="611"/>
      <c r="Y38" s="612"/>
      <c r="Z38" s="499"/>
      <c r="AA38" s="609">
        <f t="shared" si="10"/>
        <v>0</v>
      </c>
      <c r="AB38" s="613">
        <f t="shared" si="1"/>
        <v>0</v>
      </c>
      <c r="AC38" s="613">
        <f t="shared" si="2"/>
        <v>0</v>
      </c>
      <c r="AD38" s="613">
        <f t="shared" si="3"/>
        <v>0</v>
      </c>
      <c r="AE38" s="613">
        <f t="shared" si="4"/>
        <v>0</v>
      </c>
      <c r="AF38" s="610">
        <f t="shared" si="5"/>
        <v>0</v>
      </c>
      <c r="AG38" s="610">
        <f t="shared" si="6"/>
        <v>0</v>
      </c>
      <c r="AH38" s="610">
        <f t="shared" si="7"/>
        <v>0</v>
      </c>
      <c r="AI38" s="611">
        <f t="shared" si="8"/>
        <v>0</v>
      </c>
      <c r="AJ38" s="612">
        <f t="shared" si="9"/>
        <v>0</v>
      </c>
      <c r="AK38" s="614">
        <f t="shared" si="11"/>
        <v>0</v>
      </c>
    </row>
    <row r="39" spans="10:37" ht="19.5" thickTop="1" thickBot="1" x14ac:dyDescent="0.4">
      <c r="J39" s="1858"/>
      <c r="K39" s="1858"/>
      <c r="L39" s="1858"/>
      <c r="M39" s="1858"/>
      <c r="N39" s="1858"/>
      <c r="O39" s="1858"/>
      <c r="P39" s="609"/>
      <c r="Q39" s="613"/>
      <c r="R39" s="613"/>
      <c r="S39" s="613"/>
      <c r="T39" s="613"/>
      <c r="U39" s="610"/>
      <c r="V39" s="610"/>
      <c r="W39" s="610"/>
      <c r="X39" s="611"/>
      <c r="Y39" s="612"/>
      <c r="Z39" s="499"/>
      <c r="AA39" s="609">
        <f t="shared" si="10"/>
        <v>0</v>
      </c>
      <c r="AB39" s="613">
        <f t="shared" si="1"/>
        <v>0</v>
      </c>
      <c r="AC39" s="613">
        <f t="shared" si="2"/>
        <v>0</v>
      </c>
      <c r="AD39" s="613">
        <f t="shared" si="3"/>
        <v>0</v>
      </c>
      <c r="AE39" s="613">
        <f t="shared" si="4"/>
        <v>0</v>
      </c>
      <c r="AF39" s="610">
        <f t="shared" si="5"/>
        <v>0</v>
      </c>
      <c r="AG39" s="610">
        <f t="shared" si="6"/>
        <v>0</v>
      </c>
      <c r="AH39" s="610">
        <f t="shared" si="7"/>
        <v>0</v>
      </c>
      <c r="AI39" s="611">
        <f t="shared" si="8"/>
        <v>0</v>
      </c>
      <c r="AJ39" s="612">
        <f t="shared" si="9"/>
        <v>0</v>
      </c>
      <c r="AK39" s="614">
        <f t="shared" si="11"/>
        <v>0</v>
      </c>
    </row>
    <row r="40" spans="10:37" ht="19.5" thickTop="1" thickBot="1" x14ac:dyDescent="0.4">
      <c r="J40" s="1858"/>
      <c r="K40" s="1858"/>
      <c r="L40" s="1858"/>
      <c r="M40" s="1858"/>
      <c r="N40" s="1858"/>
      <c r="O40" s="1858"/>
      <c r="P40" s="609"/>
      <c r="Q40" s="613"/>
      <c r="R40" s="613"/>
      <c r="S40" s="613"/>
      <c r="T40" s="613"/>
      <c r="U40" s="610"/>
      <c r="V40" s="610"/>
      <c r="W40" s="610"/>
      <c r="X40" s="611"/>
      <c r="Y40" s="612"/>
      <c r="Z40" s="499"/>
      <c r="AA40" s="609">
        <f t="shared" si="10"/>
        <v>0</v>
      </c>
      <c r="AB40" s="613">
        <f t="shared" si="1"/>
        <v>0</v>
      </c>
      <c r="AC40" s="613">
        <f t="shared" si="2"/>
        <v>0</v>
      </c>
      <c r="AD40" s="613">
        <f t="shared" si="3"/>
        <v>0</v>
      </c>
      <c r="AE40" s="613">
        <f t="shared" si="4"/>
        <v>0</v>
      </c>
      <c r="AF40" s="610">
        <f t="shared" si="5"/>
        <v>0</v>
      </c>
      <c r="AG40" s="610">
        <f t="shared" si="6"/>
        <v>0</v>
      </c>
      <c r="AH40" s="610">
        <f t="shared" si="7"/>
        <v>0</v>
      </c>
      <c r="AI40" s="611">
        <f t="shared" si="8"/>
        <v>0</v>
      </c>
      <c r="AJ40" s="612">
        <f t="shared" si="9"/>
        <v>0</v>
      </c>
      <c r="AK40" s="614">
        <f t="shared" si="11"/>
        <v>0</v>
      </c>
    </row>
    <row r="41" spans="10:37" ht="19.5" thickTop="1" thickBot="1" x14ac:dyDescent="0.4">
      <c r="J41" s="1858"/>
      <c r="K41" s="1858"/>
      <c r="L41" s="1858"/>
      <c r="M41" s="1858"/>
      <c r="N41" s="1858"/>
      <c r="O41" s="1858"/>
      <c r="P41" s="609"/>
      <c r="Q41" s="613"/>
      <c r="R41" s="613"/>
      <c r="S41" s="613"/>
      <c r="T41" s="613"/>
      <c r="U41" s="610"/>
      <c r="V41" s="610"/>
      <c r="W41" s="610"/>
      <c r="X41" s="611"/>
      <c r="Y41" s="612"/>
      <c r="Z41" s="499"/>
      <c r="AA41" s="609">
        <f t="shared" si="10"/>
        <v>0</v>
      </c>
      <c r="AB41" s="613">
        <f t="shared" si="1"/>
        <v>0</v>
      </c>
      <c r="AC41" s="613">
        <f t="shared" si="2"/>
        <v>0</v>
      </c>
      <c r="AD41" s="613">
        <f t="shared" si="3"/>
        <v>0</v>
      </c>
      <c r="AE41" s="613">
        <f t="shared" si="4"/>
        <v>0</v>
      </c>
      <c r="AF41" s="610">
        <f t="shared" si="5"/>
        <v>0</v>
      </c>
      <c r="AG41" s="610">
        <f t="shared" si="6"/>
        <v>0</v>
      </c>
      <c r="AH41" s="610">
        <f t="shared" si="7"/>
        <v>0</v>
      </c>
      <c r="AI41" s="611">
        <f t="shared" si="8"/>
        <v>0</v>
      </c>
      <c r="AJ41" s="612">
        <f t="shared" si="9"/>
        <v>0</v>
      </c>
      <c r="AK41" s="614">
        <f t="shared" si="11"/>
        <v>0</v>
      </c>
    </row>
    <row r="42" spans="10:37" ht="19.5" thickTop="1" thickBot="1" x14ac:dyDescent="0.4">
      <c r="J42" s="1858"/>
      <c r="K42" s="1858"/>
      <c r="L42" s="1858"/>
      <c r="M42" s="1858"/>
      <c r="N42" s="1858"/>
      <c r="O42" s="1858"/>
      <c r="P42" s="609"/>
      <c r="Q42" s="613"/>
      <c r="R42" s="613"/>
      <c r="S42" s="613"/>
      <c r="T42" s="613"/>
      <c r="U42" s="610"/>
      <c r="V42" s="610"/>
      <c r="W42" s="610"/>
      <c r="X42" s="611"/>
      <c r="Y42" s="612"/>
      <c r="Z42" s="499"/>
      <c r="AA42" s="609">
        <f t="shared" si="10"/>
        <v>0</v>
      </c>
      <c r="AB42" s="613">
        <f t="shared" si="1"/>
        <v>0</v>
      </c>
      <c r="AC42" s="613">
        <f t="shared" si="2"/>
        <v>0</v>
      </c>
      <c r="AD42" s="613">
        <f t="shared" si="3"/>
        <v>0</v>
      </c>
      <c r="AE42" s="613">
        <f t="shared" si="4"/>
        <v>0</v>
      </c>
      <c r="AF42" s="610">
        <f t="shared" si="5"/>
        <v>0</v>
      </c>
      <c r="AG42" s="610">
        <f t="shared" si="6"/>
        <v>0</v>
      </c>
      <c r="AH42" s="610">
        <f t="shared" si="7"/>
        <v>0</v>
      </c>
      <c r="AI42" s="611">
        <f t="shared" si="8"/>
        <v>0</v>
      </c>
      <c r="AJ42" s="612">
        <f t="shared" si="9"/>
        <v>0</v>
      </c>
      <c r="AK42" s="614">
        <f t="shared" si="11"/>
        <v>0</v>
      </c>
    </row>
    <row r="43" spans="10:37" ht="19.5" thickTop="1" thickBot="1" x14ac:dyDescent="0.4">
      <c r="J43" s="1858"/>
      <c r="K43" s="1858"/>
      <c r="L43" s="1858"/>
      <c r="M43" s="1858"/>
      <c r="N43" s="1858"/>
      <c r="O43" s="1858"/>
      <c r="P43" s="609"/>
      <c r="Q43" s="613"/>
      <c r="R43" s="613"/>
      <c r="S43" s="613"/>
      <c r="T43" s="613"/>
      <c r="U43" s="610"/>
      <c r="V43" s="610"/>
      <c r="W43" s="610"/>
      <c r="X43" s="611"/>
      <c r="Y43" s="612"/>
      <c r="Z43" s="499"/>
      <c r="AA43" s="609">
        <f t="shared" si="10"/>
        <v>0</v>
      </c>
      <c r="AB43" s="613">
        <f t="shared" si="1"/>
        <v>0</v>
      </c>
      <c r="AC43" s="613">
        <f t="shared" si="2"/>
        <v>0</v>
      </c>
      <c r="AD43" s="613">
        <f t="shared" si="3"/>
        <v>0</v>
      </c>
      <c r="AE43" s="613">
        <f t="shared" si="4"/>
        <v>0</v>
      </c>
      <c r="AF43" s="610">
        <f t="shared" si="5"/>
        <v>0</v>
      </c>
      <c r="AG43" s="610">
        <f t="shared" si="6"/>
        <v>0</v>
      </c>
      <c r="AH43" s="610">
        <f t="shared" si="7"/>
        <v>0</v>
      </c>
      <c r="AI43" s="611">
        <f t="shared" si="8"/>
        <v>0</v>
      </c>
      <c r="AJ43" s="612">
        <f t="shared" si="9"/>
        <v>0</v>
      </c>
      <c r="AK43" s="614">
        <f t="shared" si="11"/>
        <v>0</v>
      </c>
    </row>
    <row r="44" spans="10:37" ht="19.5" thickTop="1" thickBot="1" x14ac:dyDescent="0.4">
      <c r="J44" s="1858"/>
      <c r="K44" s="1858"/>
      <c r="L44" s="1858"/>
      <c r="M44" s="1858"/>
      <c r="N44" s="1858"/>
      <c r="O44" s="1858"/>
      <c r="P44" s="609"/>
      <c r="Q44" s="613"/>
      <c r="R44" s="613"/>
      <c r="S44" s="613"/>
      <c r="T44" s="613"/>
      <c r="U44" s="610"/>
      <c r="V44" s="610"/>
      <c r="W44" s="610"/>
      <c r="X44" s="611"/>
      <c r="Y44" s="612"/>
      <c r="Z44" s="499"/>
      <c r="AA44" s="609">
        <f t="shared" si="10"/>
        <v>0</v>
      </c>
      <c r="AB44" s="613">
        <f t="shared" si="1"/>
        <v>0</v>
      </c>
      <c r="AC44" s="613">
        <f t="shared" si="2"/>
        <v>0</v>
      </c>
      <c r="AD44" s="613">
        <f t="shared" si="3"/>
        <v>0</v>
      </c>
      <c r="AE44" s="613">
        <f t="shared" si="4"/>
        <v>0</v>
      </c>
      <c r="AF44" s="610">
        <f t="shared" si="5"/>
        <v>0</v>
      </c>
      <c r="AG44" s="610">
        <f t="shared" si="6"/>
        <v>0</v>
      </c>
      <c r="AH44" s="610">
        <f t="shared" si="7"/>
        <v>0</v>
      </c>
      <c r="AI44" s="611">
        <f t="shared" si="8"/>
        <v>0</v>
      </c>
      <c r="AJ44" s="612">
        <f t="shared" si="9"/>
        <v>0</v>
      </c>
      <c r="AK44" s="614">
        <f t="shared" si="11"/>
        <v>0</v>
      </c>
    </row>
    <row r="45" spans="10:37" ht="19.5" thickTop="1" thickBot="1" x14ac:dyDescent="0.4">
      <c r="J45" s="1858"/>
      <c r="K45" s="1858"/>
      <c r="L45" s="1858"/>
      <c r="M45" s="1858"/>
      <c r="N45" s="1858"/>
      <c r="O45" s="1858"/>
      <c r="P45" s="609"/>
      <c r="Q45" s="613"/>
      <c r="R45" s="613"/>
      <c r="S45" s="613"/>
      <c r="T45" s="613"/>
      <c r="U45" s="610"/>
      <c r="V45" s="610"/>
      <c r="W45" s="610"/>
      <c r="X45" s="611"/>
      <c r="Y45" s="612"/>
      <c r="Z45" s="499"/>
      <c r="AA45" s="609">
        <f t="shared" si="10"/>
        <v>0</v>
      </c>
      <c r="AB45" s="613">
        <f t="shared" si="1"/>
        <v>0</v>
      </c>
      <c r="AC45" s="613">
        <f t="shared" si="2"/>
        <v>0</v>
      </c>
      <c r="AD45" s="613">
        <f t="shared" si="3"/>
        <v>0</v>
      </c>
      <c r="AE45" s="613">
        <f t="shared" si="4"/>
        <v>0</v>
      </c>
      <c r="AF45" s="610">
        <f t="shared" si="5"/>
        <v>0</v>
      </c>
      <c r="AG45" s="610">
        <f t="shared" si="6"/>
        <v>0</v>
      </c>
      <c r="AH45" s="610">
        <f t="shared" si="7"/>
        <v>0</v>
      </c>
      <c r="AI45" s="611">
        <f t="shared" si="8"/>
        <v>0</v>
      </c>
      <c r="AJ45" s="612">
        <f t="shared" si="9"/>
        <v>0</v>
      </c>
      <c r="AK45" s="614">
        <f t="shared" si="11"/>
        <v>0</v>
      </c>
    </row>
    <row r="46" spans="10:37" ht="19.5" thickTop="1" thickBot="1" x14ac:dyDescent="0.4">
      <c r="J46" s="1858"/>
      <c r="K46" s="1858"/>
      <c r="L46" s="1858"/>
      <c r="M46" s="1858"/>
      <c r="N46" s="1858"/>
      <c r="O46" s="1858"/>
      <c r="P46" s="609"/>
      <c r="Q46" s="613"/>
      <c r="R46" s="613"/>
      <c r="S46" s="613"/>
      <c r="T46" s="613"/>
      <c r="U46" s="610"/>
      <c r="V46" s="610"/>
      <c r="W46" s="610"/>
      <c r="X46" s="611"/>
      <c r="Y46" s="612"/>
      <c r="Z46" s="499"/>
      <c r="AA46" s="609">
        <f t="shared" si="10"/>
        <v>0</v>
      </c>
      <c r="AB46" s="613">
        <f t="shared" si="1"/>
        <v>0</v>
      </c>
      <c r="AC46" s="613">
        <f t="shared" si="2"/>
        <v>0</v>
      </c>
      <c r="AD46" s="613">
        <f t="shared" si="3"/>
        <v>0</v>
      </c>
      <c r="AE46" s="613">
        <f t="shared" si="4"/>
        <v>0</v>
      </c>
      <c r="AF46" s="610">
        <f t="shared" si="5"/>
        <v>0</v>
      </c>
      <c r="AG46" s="610">
        <f t="shared" si="6"/>
        <v>0</v>
      </c>
      <c r="AH46" s="610">
        <f t="shared" si="7"/>
        <v>0</v>
      </c>
      <c r="AI46" s="611">
        <f t="shared" si="8"/>
        <v>0</v>
      </c>
      <c r="AJ46" s="612">
        <f t="shared" si="9"/>
        <v>0</v>
      </c>
      <c r="AK46" s="614">
        <f t="shared" si="11"/>
        <v>0</v>
      </c>
    </row>
    <row r="47" spans="10:37" ht="19.5" thickTop="1" thickBot="1" x14ac:dyDescent="0.4">
      <c r="J47" s="1858"/>
      <c r="K47" s="1858"/>
      <c r="L47" s="1858"/>
      <c r="M47" s="1858"/>
      <c r="N47" s="1858"/>
      <c r="O47" s="1858"/>
      <c r="P47" s="609"/>
      <c r="Q47" s="613"/>
      <c r="R47" s="613"/>
      <c r="S47" s="613"/>
      <c r="T47" s="613"/>
      <c r="U47" s="610"/>
      <c r="V47" s="610"/>
      <c r="W47" s="610"/>
      <c r="X47" s="611"/>
      <c r="Y47" s="612"/>
      <c r="Z47" s="499"/>
      <c r="AA47" s="609">
        <f t="shared" si="10"/>
        <v>0</v>
      </c>
      <c r="AB47" s="613">
        <f t="shared" si="1"/>
        <v>0</v>
      </c>
      <c r="AC47" s="613">
        <f t="shared" si="2"/>
        <v>0</v>
      </c>
      <c r="AD47" s="613">
        <f t="shared" si="3"/>
        <v>0</v>
      </c>
      <c r="AE47" s="613">
        <f t="shared" si="4"/>
        <v>0</v>
      </c>
      <c r="AF47" s="610">
        <f t="shared" si="5"/>
        <v>0</v>
      </c>
      <c r="AG47" s="610">
        <f t="shared" si="6"/>
        <v>0</v>
      </c>
      <c r="AH47" s="610">
        <f t="shared" si="7"/>
        <v>0</v>
      </c>
      <c r="AI47" s="611">
        <f t="shared" si="8"/>
        <v>0</v>
      </c>
      <c r="AJ47" s="612">
        <f t="shared" si="9"/>
        <v>0</v>
      </c>
      <c r="AK47" s="614">
        <f t="shared" si="11"/>
        <v>0</v>
      </c>
    </row>
    <row r="48" spans="10:37" ht="19.5" thickTop="1" thickBot="1" x14ac:dyDescent="0.4">
      <c r="J48" s="1858"/>
      <c r="K48" s="1858"/>
      <c r="L48" s="1858"/>
      <c r="M48" s="1858"/>
      <c r="N48" s="1858"/>
      <c r="O48" s="1858"/>
      <c r="P48" s="609"/>
      <c r="Q48" s="613"/>
      <c r="R48" s="613"/>
      <c r="S48" s="613"/>
      <c r="T48" s="613"/>
      <c r="U48" s="610"/>
      <c r="V48" s="610"/>
      <c r="W48" s="610"/>
      <c r="X48" s="611"/>
      <c r="Y48" s="612"/>
      <c r="Z48" s="499"/>
      <c r="AA48" s="609">
        <f t="shared" si="10"/>
        <v>0</v>
      </c>
      <c r="AB48" s="613">
        <f t="shared" si="1"/>
        <v>0</v>
      </c>
      <c r="AC48" s="613">
        <f t="shared" si="2"/>
        <v>0</v>
      </c>
      <c r="AD48" s="613">
        <f t="shared" si="3"/>
        <v>0</v>
      </c>
      <c r="AE48" s="613">
        <f t="shared" si="4"/>
        <v>0</v>
      </c>
      <c r="AF48" s="610">
        <f t="shared" si="5"/>
        <v>0</v>
      </c>
      <c r="AG48" s="610">
        <f t="shared" si="6"/>
        <v>0</v>
      </c>
      <c r="AH48" s="610">
        <f t="shared" si="7"/>
        <v>0</v>
      </c>
      <c r="AI48" s="611">
        <f t="shared" si="8"/>
        <v>0</v>
      </c>
      <c r="AJ48" s="612">
        <f t="shared" si="9"/>
        <v>0</v>
      </c>
      <c r="AK48" s="614">
        <f t="shared" si="11"/>
        <v>0</v>
      </c>
    </row>
    <row r="49" spans="10:37" ht="19.5" thickTop="1" thickBot="1" x14ac:dyDescent="0.4">
      <c r="J49" s="1858"/>
      <c r="K49" s="1858"/>
      <c r="L49" s="1858"/>
      <c r="M49" s="1858"/>
      <c r="N49" s="1858"/>
      <c r="O49" s="1858"/>
      <c r="P49" s="609"/>
      <c r="Q49" s="613"/>
      <c r="R49" s="613"/>
      <c r="S49" s="613"/>
      <c r="T49" s="613"/>
      <c r="U49" s="610"/>
      <c r="V49" s="610"/>
      <c r="W49" s="610"/>
      <c r="X49" s="611"/>
      <c r="Y49" s="612"/>
      <c r="Z49" s="499"/>
      <c r="AA49" s="609">
        <f t="shared" si="10"/>
        <v>0</v>
      </c>
      <c r="AB49" s="613">
        <f t="shared" si="1"/>
        <v>0</v>
      </c>
      <c r="AC49" s="613">
        <f t="shared" si="2"/>
        <v>0</v>
      </c>
      <c r="AD49" s="613">
        <f t="shared" si="3"/>
        <v>0</v>
      </c>
      <c r="AE49" s="613">
        <f t="shared" si="4"/>
        <v>0</v>
      </c>
      <c r="AF49" s="610">
        <f t="shared" si="5"/>
        <v>0</v>
      </c>
      <c r="AG49" s="610">
        <f t="shared" si="6"/>
        <v>0</v>
      </c>
      <c r="AH49" s="610">
        <f t="shared" si="7"/>
        <v>0</v>
      </c>
      <c r="AI49" s="611">
        <f t="shared" si="8"/>
        <v>0</v>
      </c>
      <c r="AJ49" s="612">
        <f t="shared" si="9"/>
        <v>0</v>
      </c>
      <c r="AK49" s="614">
        <f t="shared" si="11"/>
        <v>0</v>
      </c>
    </row>
    <row r="50" spans="10:37" ht="19.5" thickTop="1" thickBot="1" x14ac:dyDescent="0.4">
      <c r="J50" s="1858"/>
      <c r="K50" s="1858"/>
      <c r="L50" s="1858"/>
      <c r="M50" s="1858"/>
      <c r="N50" s="1858"/>
      <c r="O50" s="1858"/>
      <c r="P50" s="609"/>
      <c r="Q50" s="613"/>
      <c r="R50" s="613"/>
      <c r="S50" s="613"/>
      <c r="T50" s="613"/>
      <c r="U50" s="610"/>
      <c r="V50" s="610"/>
      <c r="W50" s="610"/>
      <c r="X50" s="611"/>
      <c r="Y50" s="612"/>
      <c r="Z50" s="499"/>
      <c r="AA50" s="609">
        <f t="shared" si="10"/>
        <v>0</v>
      </c>
      <c r="AB50" s="613">
        <f t="shared" si="1"/>
        <v>0</v>
      </c>
      <c r="AC50" s="613">
        <f t="shared" si="2"/>
        <v>0</v>
      </c>
      <c r="AD50" s="613">
        <f t="shared" si="3"/>
        <v>0</v>
      </c>
      <c r="AE50" s="613">
        <f t="shared" si="4"/>
        <v>0</v>
      </c>
      <c r="AF50" s="610">
        <f t="shared" si="5"/>
        <v>0</v>
      </c>
      <c r="AG50" s="610">
        <f t="shared" si="6"/>
        <v>0</v>
      </c>
      <c r="AH50" s="610">
        <f t="shared" si="7"/>
        <v>0</v>
      </c>
      <c r="AI50" s="611">
        <f t="shared" si="8"/>
        <v>0</v>
      </c>
      <c r="AJ50" s="612">
        <f t="shared" si="9"/>
        <v>0</v>
      </c>
      <c r="AK50" s="614">
        <f t="shared" si="11"/>
        <v>0</v>
      </c>
    </row>
    <row r="51" spans="10:37" ht="19.5" thickTop="1" thickBot="1" x14ac:dyDescent="0.4">
      <c r="J51" s="1858"/>
      <c r="K51" s="1858"/>
      <c r="L51" s="1858"/>
      <c r="M51" s="1858"/>
      <c r="N51" s="1858"/>
      <c r="O51" s="1858"/>
      <c r="P51" s="609"/>
      <c r="Q51" s="613"/>
      <c r="R51" s="613"/>
      <c r="S51" s="613"/>
      <c r="T51" s="613"/>
      <c r="U51" s="610"/>
      <c r="V51" s="610"/>
      <c r="W51" s="610"/>
      <c r="X51" s="611"/>
      <c r="Y51" s="612"/>
      <c r="Z51" s="499"/>
      <c r="AA51" s="609">
        <f t="shared" si="10"/>
        <v>0</v>
      </c>
      <c r="AB51" s="613">
        <f t="shared" si="1"/>
        <v>0</v>
      </c>
      <c r="AC51" s="613">
        <f t="shared" si="2"/>
        <v>0</v>
      </c>
      <c r="AD51" s="613">
        <f t="shared" si="3"/>
        <v>0</v>
      </c>
      <c r="AE51" s="613">
        <f t="shared" si="4"/>
        <v>0</v>
      </c>
      <c r="AF51" s="610">
        <f t="shared" si="5"/>
        <v>0</v>
      </c>
      <c r="AG51" s="610">
        <f t="shared" si="6"/>
        <v>0</v>
      </c>
      <c r="AH51" s="610">
        <f t="shared" si="7"/>
        <v>0</v>
      </c>
      <c r="AI51" s="611">
        <f t="shared" si="8"/>
        <v>0</v>
      </c>
      <c r="AJ51" s="612">
        <f t="shared" si="9"/>
        <v>0</v>
      </c>
      <c r="AK51" s="614">
        <f t="shared" si="11"/>
        <v>0</v>
      </c>
    </row>
    <row r="52" spans="10:37" ht="19.5" thickTop="1" thickBot="1" x14ac:dyDescent="0.4">
      <c r="J52" s="1858"/>
      <c r="K52" s="1858"/>
      <c r="L52" s="1858"/>
      <c r="M52" s="1858"/>
      <c r="N52" s="1858"/>
      <c r="O52" s="1858"/>
      <c r="P52" s="609"/>
      <c r="Q52" s="613"/>
      <c r="R52" s="613"/>
      <c r="S52" s="613"/>
      <c r="T52" s="613"/>
      <c r="U52" s="610"/>
      <c r="V52" s="610"/>
      <c r="W52" s="610"/>
      <c r="X52" s="611"/>
      <c r="Y52" s="612"/>
      <c r="Z52" s="499"/>
      <c r="AA52" s="609">
        <f t="shared" si="10"/>
        <v>0</v>
      </c>
      <c r="AB52" s="613">
        <f t="shared" si="1"/>
        <v>0</v>
      </c>
      <c r="AC52" s="613">
        <f t="shared" si="2"/>
        <v>0</v>
      </c>
      <c r="AD52" s="613">
        <f t="shared" si="3"/>
        <v>0</v>
      </c>
      <c r="AE52" s="613">
        <f t="shared" si="4"/>
        <v>0</v>
      </c>
      <c r="AF52" s="610">
        <f t="shared" si="5"/>
        <v>0</v>
      </c>
      <c r="AG52" s="610">
        <f t="shared" si="6"/>
        <v>0</v>
      </c>
      <c r="AH52" s="610">
        <f t="shared" si="7"/>
        <v>0</v>
      </c>
      <c r="AI52" s="611">
        <f t="shared" si="8"/>
        <v>0</v>
      </c>
      <c r="AJ52" s="612">
        <f t="shared" si="9"/>
        <v>0</v>
      </c>
      <c r="AK52" s="614">
        <f t="shared" si="11"/>
        <v>0</v>
      </c>
    </row>
    <row r="53" spans="10:37" ht="19.5" thickTop="1" thickBot="1" x14ac:dyDescent="0.4">
      <c r="J53" s="1858"/>
      <c r="K53" s="1858"/>
      <c r="L53" s="1858"/>
      <c r="M53" s="1858"/>
      <c r="N53" s="1858"/>
      <c r="O53" s="1858"/>
      <c r="P53" s="609"/>
      <c r="Q53" s="613"/>
      <c r="R53" s="613"/>
      <c r="S53" s="613"/>
      <c r="T53" s="613"/>
      <c r="U53" s="610"/>
      <c r="V53" s="610"/>
      <c r="W53" s="610"/>
      <c r="X53" s="611"/>
      <c r="Y53" s="612"/>
      <c r="Z53" s="499"/>
      <c r="AA53" s="609">
        <f t="shared" si="10"/>
        <v>0</v>
      </c>
      <c r="AB53" s="613">
        <f t="shared" si="1"/>
        <v>0</v>
      </c>
      <c r="AC53" s="613">
        <f t="shared" si="2"/>
        <v>0</v>
      </c>
      <c r="AD53" s="613">
        <f t="shared" si="3"/>
        <v>0</v>
      </c>
      <c r="AE53" s="613">
        <f t="shared" si="4"/>
        <v>0</v>
      </c>
      <c r="AF53" s="610">
        <f t="shared" si="5"/>
        <v>0</v>
      </c>
      <c r="AG53" s="610">
        <f t="shared" si="6"/>
        <v>0</v>
      </c>
      <c r="AH53" s="610">
        <f t="shared" si="7"/>
        <v>0</v>
      </c>
      <c r="AI53" s="611">
        <f t="shared" si="8"/>
        <v>0</v>
      </c>
      <c r="AJ53" s="612">
        <f t="shared" si="9"/>
        <v>0</v>
      </c>
      <c r="AK53" s="614">
        <f t="shared" si="11"/>
        <v>0</v>
      </c>
    </row>
    <row r="54" spans="10:37" ht="19.5" thickTop="1" thickBot="1" x14ac:dyDescent="0.4">
      <c r="J54" s="1858"/>
      <c r="K54" s="1858"/>
      <c r="L54" s="1858"/>
      <c r="M54" s="1858"/>
      <c r="N54" s="1858"/>
      <c r="O54" s="1858"/>
      <c r="P54" s="609"/>
      <c r="Q54" s="613"/>
      <c r="R54" s="613"/>
      <c r="S54" s="613"/>
      <c r="T54" s="613"/>
      <c r="U54" s="610"/>
      <c r="V54" s="610"/>
      <c r="W54" s="610"/>
      <c r="X54" s="611"/>
      <c r="Y54" s="612"/>
      <c r="Z54" s="499"/>
      <c r="AA54" s="609">
        <f t="shared" si="10"/>
        <v>0</v>
      </c>
      <c r="AB54" s="613">
        <f t="shared" si="1"/>
        <v>0</v>
      </c>
      <c r="AC54" s="613">
        <f t="shared" si="2"/>
        <v>0</v>
      </c>
      <c r="AD54" s="613">
        <f t="shared" si="3"/>
        <v>0</v>
      </c>
      <c r="AE54" s="613">
        <f t="shared" si="4"/>
        <v>0</v>
      </c>
      <c r="AF54" s="610">
        <f t="shared" si="5"/>
        <v>0</v>
      </c>
      <c r="AG54" s="610">
        <f t="shared" si="6"/>
        <v>0</v>
      </c>
      <c r="AH54" s="610">
        <f t="shared" si="7"/>
        <v>0</v>
      </c>
      <c r="AI54" s="611">
        <f t="shared" si="8"/>
        <v>0</v>
      </c>
      <c r="AJ54" s="612">
        <f t="shared" si="9"/>
        <v>0</v>
      </c>
      <c r="AK54" s="614">
        <f t="shared" si="11"/>
        <v>0</v>
      </c>
    </row>
    <row r="55" spans="10:37" ht="19.5" thickTop="1" thickBot="1" x14ac:dyDescent="0.4">
      <c r="J55" s="1858"/>
      <c r="K55" s="1858"/>
      <c r="L55" s="1858"/>
      <c r="M55" s="1858"/>
      <c r="N55" s="1858"/>
      <c r="O55" s="1858"/>
      <c r="P55" s="609"/>
      <c r="Q55" s="613"/>
      <c r="R55" s="613"/>
      <c r="S55" s="613"/>
      <c r="T55" s="613"/>
      <c r="U55" s="610"/>
      <c r="V55" s="610"/>
      <c r="W55" s="610"/>
      <c r="X55" s="611"/>
      <c r="Y55" s="612"/>
      <c r="Z55" s="499"/>
      <c r="AA55" s="609">
        <f t="shared" si="10"/>
        <v>0</v>
      </c>
      <c r="AB55" s="613">
        <f t="shared" si="1"/>
        <v>0</v>
      </c>
      <c r="AC55" s="613">
        <f t="shared" si="2"/>
        <v>0</v>
      </c>
      <c r="AD55" s="613">
        <f t="shared" si="3"/>
        <v>0</v>
      </c>
      <c r="AE55" s="613">
        <f t="shared" si="4"/>
        <v>0</v>
      </c>
      <c r="AF55" s="610">
        <f t="shared" si="5"/>
        <v>0</v>
      </c>
      <c r="AG55" s="610">
        <f t="shared" si="6"/>
        <v>0</v>
      </c>
      <c r="AH55" s="610">
        <f t="shared" si="7"/>
        <v>0</v>
      </c>
      <c r="AI55" s="611">
        <f t="shared" si="8"/>
        <v>0</v>
      </c>
      <c r="AJ55" s="612">
        <f t="shared" si="9"/>
        <v>0</v>
      </c>
      <c r="AK55" s="614">
        <f t="shared" si="11"/>
        <v>0</v>
      </c>
    </row>
    <row r="56" spans="10:37" ht="19.5" thickTop="1" thickBot="1" x14ac:dyDescent="0.4">
      <c r="J56" s="1858"/>
      <c r="K56" s="1858"/>
      <c r="L56" s="1858"/>
      <c r="M56" s="1858"/>
      <c r="N56" s="1858"/>
      <c r="O56" s="1858"/>
      <c r="P56" s="609"/>
      <c r="Q56" s="613"/>
      <c r="R56" s="613"/>
      <c r="S56" s="613"/>
      <c r="T56" s="613"/>
      <c r="U56" s="610"/>
      <c r="V56" s="610"/>
      <c r="W56" s="610"/>
      <c r="X56" s="611"/>
      <c r="Y56" s="612"/>
      <c r="Z56" s="499"/>
      <c r="AA56" s="609">
        <f t="shared" si="10"/>
        <v>0</v>
      </c>
      <c r="AB56" s="613">
        <f t="shared" si="1"/>
        <v>0</v>
      </c>
      <c r="AC56" s="613">
        <f t="shared" si="2"/>
        <v>0</v>
      </c>
      <c r="AD56" s="613">
        <f t="shared" si="3"/>
        <v>0</v>
      </c>
      <c r="AE56" s="613">
        <f t="shared" si="4"/>
        <v>0</v>
      </c>
      <c r="AF56" s="610">
        <f t="shared" si="5"/>
        <v>0</v>
      </c>
      <c r="AG56" s="610">
        <f t="shared" si="6"/>
        <v>0</v>
      </c>
      <c r="AH56" s="610">
        <f t="shared" si="7"/>
        <v>0</v>
      </c>
      <c r="AI56" s="611">
        <f t="shared" si="8"/>
        <v>0</v>
      </c>
      <c r="AJ56" s="612">
        <f t="shared" si="9"/>
        <v>0</v>
      </c>
      <c r="AK56" s="614">
        <f t="shared" si="11"/>
        <v>0</v>
      </c>
    </row>
    <row r="57" spans="10:37" ht="19.5" thickTop="1" thickBot="1" x14ac:dyDescent="0.4">
      <c r="J57" s="1858"/>
      <c r="K57" s="1858"/>
      <c r="L57" s="1858"/>
      <c r="M57" s="1858"/>
      <c r="N57" s="1858"/>
      <c r="O57" s="1858"/>
      <c r="P57" s="609"/>
      <c r="Q57" s="613"/>
      <c r="R57" s="613"/>
      <c r="S57" s="613"/>
      <c r="T57" s="613"/>
      <c r="U57" s="610"/>
      <c r="V57" s="610"/>
      <c r="W57" s="610"/>
      <c r="X57" s="611"/>
      <c r="Y57" s="612"/>
      <c r="Z57" s="499"/>
      <c r="AA57" s="609">
        <f t="shared" si="10"/>
        <v>0</v>
      </c>
      <c r="AB57" s="613">
        <f t="shared" si="1"/>
        <v>0</v>
      </c>
      <c r="AC57" s="613">
        <f t="shared" si="2"/>
        <v>0</v>
      </c>
      <c r="AD57" s="613">
        <f t="shared" si="3"/>
        <v>0</v>
      </c>
      <c r="AE57" s="613">
        <f t="shared" si="4"/>
        <v>0</v>
      </c>
      <c r="AF57" s="610">
        <f t="shared" si="5"/>
        <v>0</v>
      </c>
      <c r="AG57" s="610">
        <f t="shared" si="6"/>
        <v>0</v>
      </c>
      <c r="AH57" s="610">
        <f t="shared" si="7"/>
        <v>0</v>
      </c>
      <c r="AI57" s="611">
        <f t="shared" si="8"/>
        <v>0</v>
      </c>
      <c r="AJ57" s="612">
        <f t="shared" si="9"/>
        <v>0</v>
      </c>
      <c r="AK57" s="614">
        <f t="shared" si="11"/>
        <v>0</v>
      </c>
    </row>
    <row r="58" spans="10:37" ht="19.5" thickTop="1" thickBot="1" x14ac:dyDescent="0.4">
      <c r="J58" s="1858"/>
      <c r="K58" s="1858"/>
      <c r="L58" s="1858"/>
      <c r="M58" s="1858"/>
      <c r="N58" s="1858"/>
      <c r="O58" s="1858"/>
      <c r="P58" s="609"/>
      <c r="Q58" s="613"/>
      <c r="R58" s="613"/>
      <c r="S58" s="613"/>
      <c r="T58" s="613"/>
      <c r="U58" s="610"/>
      <c r="V58" s="610"/>
      <c r="W58" s="610"/>
      <c r="X58" s="611"/>
      <c r="Y58" s="612"/>
      <c r="Z58" s="499"/>
      <c r="AA58" s="609">
        <f t="shared" si="10"/>
        <v>0</v>
      </c>
      <c r="AB58" s="613">
        <f t="shared" si="1"/>
        <v>0</v>
      </c>
      <c r="AC58" s="613">
        <f t="shared" si="2"/>
        <v>0</v>
      </c>
      <c r="AD58" s="613">
        <f t="shared" si="3"/>
        <v>0</v>
      </c>
      <c r="AE58" s="613">
        <f t="shared" si="4"/>
        <v>0</v>
      </c>
      <c r="AF58" s="610">
        <f t="shared" si="5"/>
        <v>0</v>
      </c>
      <c r="AG58" s="610">
        <f t="shared" si="6"/>
        <v>0</v>
      </c>
      <c r="AH58" s="610">
        <f t="shared" si="7"/>
        <v>0</v>
      </c>
      <c r="AI58" s="611">
        <f t="shared" si="8"/>
        <v>0</v>
      </c>
      <c r="AJ58" s="612">
        <f t="shared" si="9"/>
        <v>0</v>
      </c>
      <c r="AK58" s="614">
        <f t="shared" si="11"/>
        <v>0</v>
      </c>
    </row>
    <row r="59" spans="10:37" ht="19.5" thickTop="1" thickBot="1" x14ac:dyDescent="0.4">
      <c r="J59" s="1858"/>
      <c r="K59" s="1858"/>
      <c r="L59" s="1858"/>
      <c r="M59" s="1858"/>
      <c r="N59" s="1858"/>
      <c r="O59" s="1858"/>
      <c r="P59" s="609"/>
      <c r="Q59" s="613"/>
      <c r="R59" s="613"/>
      <c r="S59" s="613"/>
      <c r="T59" s="613"/>
      <c r="U59" s="610"/>
      <c r="V59" s="610"/>
      <c r="W59" s="610"/>
      <c r="X59" s="611"/>
      <c r="Y59" s="612"/>
      <c r="Z59" s="499"/>
      <c r="AA59" s="609">
        <f t="shared" si="10"/>
        <v>0</v>
      </c>
      <c r="AB59" s="613">
        <f t="shared" si="1"/>
        <v>0</v>
      </c>
      <c r="AC59" s="613">
        <f t="shared" si="2"/>
        <v>0</v>
      </c>
      <c r="AD59" s="613">
        <f t="shared" si="3"/>
        <v>0</v>
      </c>
      <c r="AE59" s="613">
        <f t="shared" si="4"/>
        <v>0</v>
      </c>
      <c r="AF59" s="610">
        <f t="shared" si="5"/>
        <v>0</v>
      </c>
      <c r="AG59" s="610">
        <f t="shared" si="6"/>
        <v>0</v>
      </c>
      <c r="AH59" s="610">
        <f t="shared" si="7"/>
        <v>0</v>
      </c>
      <c r="AI59" s="611">
        <f t="shared" si="8"/>
        <v>0</v>
      </c>
      <c r="AJ59" s="612">
        <f t="shared" si="9"/>
        <v>0</v>
      </c>
      <c r="AK59" s="614">
        <f t="shared" si="11"/>
        <v>0</v>
      </c>
    </row>
    <row r="60" spans="10:37" ht="19.5" thickTop="1" thickBot="1" x14ac:dyDescent="0.4">
      <c r="J60" s="1858"/>
      <c r="K60" s="1858"/>
      <c r="L60" s="1858"/>
      <c r="M60" s="1858"/>
      <c r="N60" s="1858"/>
      <c r="O60" s="1858"/>
      <c r="P60" s="609"/>
      <c r="Q60" s="613"/>
      <c r="R60" s="613"/>
      <c r="S60" s="613"/>
      <c r="T60" s="613"/>
      <c r="U60" s="610"/>
      <c r="V60" s="610"/>
      <c r="W60" s="610"/>
      <c r="X60" s="611"/>
      <c r="Y60" s="612"/>
      <c r="Z60" s="499"/>
      <c r="AA60" s="609">
        <f t="shared" si="10"/>
        <v>0</v>
      </c>
      <c r="AB60" s="613">
        <f t="shared" si="1"/>
        <v>0</v>
      </c>
      <c r="AC60" s="613">
        <f t="shared" si="2"/>
        <v>0</v>
      </c>
      <c r="AD60" s="613">
        <f t="shared" si="3"/>
        <v>0</v>
      </c>
      <c r="AE60" s="613">
        <f t="shared" si="4"/>
        <v>0</v>
      </c>
      <c r="AF60" s="610">
        <f t="shared" si="5"/>
        <v>0</v>
      </c>
      <c r="AG60" s="610">
        <f t="shared" si="6"/>
        <v>0</v>
      </c>
      <c r="AH60" s="610">
        <f t="shared" si="7"/>
        <v>0</v>
      </c>
      <c r="AI60" s="611">
        <f t="shared" si="8"/>
        <v>0</v>
      </c>
      <c r="AJ60" s="612">
        <f t="shared" si="9"/>
        <v>0</v>
      </c>
      <c r="AK60" s="614">
        <f t="shared" si="11"/>
        <v>0</v>
      </c>
    </row>
    <row r="61" spans="10:37" ht="19.5" thickTop="1" thickBot="1" x14ac:dyDescent="0.4">
      <c r="J61" s="1858"/>
      <c r="K61" s="1858"/>
      <c r="L61" s="1858"/>
      <c r="M61" s="1858"/>
      <c r="N61" s="1858"/>
      <c r="O61" s="1858"/>
      <c r="P61" s="609"/>
      <c r="Q61" s="613"/>
      <c r="R61" s="613"/>
      <c r="S61" s="613"/>
      <c r="T61" s="613"/>
      <c r="U61" s="610"/>
      <c r="V61" s="610"/>
      <c r="W61" s="610"/>
      <c r="X61" s="611"/>
      <c r="Y61" s="612"/>
      <c r="Z61" s="499"/>
      <c r="AA61" s="609">
        <f t="shared" si="10"/>
        <v>0</v>
      </c>
      <c r="AB61" s="613">
        <f t="shared" si="1"/>
        <v>0</v>
      </c>
      <c r="AC61" s="613">
        <f t="shared" si="2"/>
        <v>0</v>
      </c>
      <c r="AD61" s="613">
        <f t="shared" si="3"/>
        <v>0</v>
      </c>
      <c r="AE61" s="613">
        <f t="shared" si="4"/>
        <v>0</v>
      </c>
      <c r="AF61" s="610">
        <f t="shared" si="5"/>
        <v>0</v>
      </c>
      <c r="AG61" s="610">
        <f t="shared" si="6"/>
        <v>0</v>
      </c>
      <c r="AH61" s="610">
        <f t="shared" si="7"/>
        <v>0</v>
      </c>
      <c r="AI61" s="611">
        <f t="shared" si="8"/>
        <v>0</v>
      </c>
      <c r="AJ61" s="612">
        <f t="shared" si="9"/>
        <v>0</v>
      </c>
      <c r="AK61" s="614">
        <f t="shared" si="11"/>
        <v>0</v>
      </c>
    </row>
    <row r="62" spans="10:37" ht="19.5" thickTop="1" thickBot="1" x14ac:dyDescent="0.4">
      <c r="J62" s="1858"/>
      <c r="K62" s="1858"/>
      <c r="L62" s="1858"/>
      <c r="M62" s="1858"/>
      <c r="N62" s="1858"/>
      <c r="O62" s="1858"/>
      <c r="P62" s="609"/>
      <c r="Q62" s="613"/>
      <c r="R62" s="613"/>
      <c r="S62" s="613"/>
      <c r="T62" s="613"/>
      <c r="U62" s="610"/>
      <c r="V62" s="610"/>
      <c r="W62" s="610"/>
      <c r="X62" s="611"/>
      <c r="Y62" s="612"/>
      <c r="Z62" s="499"/>
      <c r="AA62" s="609">
        <f t="shared" si="10"/>
        <v>0</v>
      </c>
      <c r="AB62" s="613">
        <f t="shared" si="1"/>
        <v>0</v>
      </c>
      <c r="AC62" s="613">
        <f t="shared" si="2"/>
        <v>0</v>
      </c>
      <c r="AD62" s="613">
        <f t="shared" si="3"/>
        <v>0</v>
      </c>
      <c r="AE62" s="613">
        <f t="shared" si="4"/>
        <v>0</v>
      </c>
      <c r="AF62" s="610">
        <f t="shared" si="5"/>
        <v>0</v>
      </c>
      <c r="AG62" s="610">
        <f t="shared" si="6"/>
        <v>0</v>
      </c>
      <c r="AH62" s="610">
        <f t="shared" si="7"/>
        <v>0</v>
      </c>
      <c r="AI62" s="611">
        <f t="shared" si="8"/>
        <v>0</v>
      </c>
      <c r="AJ62" s="612">
        <f t="shared" si="9"/>
        <v>0</v>
      </c>
      <c r="AK62" s="614">
        <f t="shared" si="11"/>
        <v>0</v>
      </c>
    </row>
    <row r="63" spans="10:37" ht="19.5" thickTop="1" thickBot="1" x14ac:dyDescent="0.4">
      <c r="J63" s="1858"/>
      <c r="K63" s="1858"/>
      <c r="L63" s="1858"/>
      <c r="M63" s="1858"/>
      <c r="N63" s="1858"/>
      <c r="O63" s="1858"/>
      <c r="P63" s="609"/>
      <c r="Q63" s="613"/>
      <c r="R63" s="613"/>
      <c r="S63" s="613"/>
      <c r="T63" s="613"/>
      <c r="U63" s="610"/>
      <c r="V63" s="610"/>
      <c r="W63" s="610"/>
      <c r="X63" s="611"/>
      <c r="Y63" s="612"/>
      <c r="Z63" s="499"/>
      <c r="AA63" s="609">
        <f t="shared" si="10"/>
        <v>0</v>
      </c>
      <c r="AB63" s="613">
        <f t="shared" si="1"/>
        <v>0</v>
      </c>
      <c r="AC63" s="613">
        <f t="shared" si="2"/>
        <v>0</v>
      </c>
      <c r="AD63" s="613">
        <f t="shared" si="3"/>
        <v>0</v>
      </c>
      <c r="AE63" s="613">
        <f t="shared" si="4"/>
        <v>0</v>
      </c>
      <c r="AF63" s="610">
        <f t="shared" si="5"/>
        <v>0</v>
      </c>
      <c r="AG63" s="610">
        <f t="shared" si="6"/>
        <v>0</v>
      </c>
      <c r="AH63" s="610">
        <f t="shared" si="7"/>
        <v>0</v>
      </c>
      <c r="AI63" s="611">
        <f t="shared" si="8"/>
        <v>0</v>
      </c>
      <c r="AJ63" s="612">
        <f t="shared" si="9"/>
        <v>0</v>
      </c>
      <c r="AK63" s="614">
        <f t="shared" si="11"/>
        <v>0</v>
      </c>
    </row>
    <row r="64" spans="10:37" ht="19.5" thickTop="1" thickBot="1" x14ac:dyDescent="0.4">
      <c r="J64" s="1858"/>
      <c r="K64" s="1858"/>
      <c r="L64" s="1858"/>
      <c r="M64" s="1858"/>
      <c r="N64" s="1858"/>
      <c r="O64" s="1858"/>
      <c r="P64" s="609"/>
      <c r="Q64" s="613"/>
      <c r="R64" s="613"/>
      <c r="S64" s="613"/>
      <c r="T64" s="613"/>
      <c r="U64" s="610"/>
      <c r="V64" s="610"/>
      <c r="W64" s="610"/>
      <c r="X64" s="611"/>
      <c r="Y64" s="612"/>
      <c r="Z64" s="499"/>
      <c r="AA64" s="609">
        <f t="shared" si="10"/>
        <v>0</v>
      </c>
      <c r="AB64" s="613">
        <f t="shared" si="1"/>
        <v>0</v>
      </c>
      <c r="AC64" s="613">
        <f t="shared" si="2"/>
        <v>0</v>
      </c>
      <c r="AD64" s="613">
        <f t="shared" si="3"/>
        <v>0</v>
      </c>
      <c r="AE64" s="613">
        <f t="shared" si="4"/>
        <v>0</v>
      </c>
      <c r="AF64" s="610">
        <f t="shared" si="5"/>
        <v>0</v>
      </c>
      <c r="AG64" s="610">
        <f t="shared" si="6"/>
        <v>0</v>
      </c>
      <c r="AH64" s="610">
        <f t="shared" si="7"/>
        <v>0</v>
      </c>
      <c r="AI64" s="611">
        <f t="shared" si="8"/>
        <v>0</v>
      </c>
      <c r="AJ64" s="612">
        <f t="shared" si="9"/>
        <v>0</v>
      </c>
      <c r="AK64" s="614">
        <f t="shared" si="11"/>
        <v>0</v>
      </c>
    </row>
    <row r="65" spans="10:37" ht="19.5" thickTop="1" thickBot="1" x14ac:dyDescent="0.4">
      <c r="J65" s="1858"/>
      <c r="K65" s="1858"/>
      <c r="L65" s="1858"/>
      <c r="M65" s="1858"/>
      <c r="N65" s="1858"/>
      <c r="O65" s="1858"/>
      <c r="P65" s="609"/>
      <c r="Q65" s="613"/>
      <c r="R65" s="613"/>
      <c r="S65" s="613"/>
      <c r="T65" s="613"/>
      <c r="U65" s="610"/>
      <c r="V65" s="610"/>
      <c r="W65" s="610"/>
      <c r="X65" s="611"/>
      <c r="Y65" s="612"/>
      <c r="Z65" s="499"/>
      <c r="AA65" s="609">
        <f t="shared" si="10"/>
        <v>0</v>
      </c>
      <c r="AB65" s="613">
        <f t="shared" si="1"/>
        <v>0</v>
      </c>
      <c r="AC65" s="613">
        <f t="shared" si="2"/>
        <v>0</v>
      </c>
      <c r="AD65" s="613">
        <f t="shared" si="3"/>
        <v>0</v>
      </c>
      <c r="AE65" s="613">
        <f t="shared" si="4"/>
        <v>0</v>
      </c>
      <c r="AF65" s="610">
        <f t="shared" si="5"/>
        <v>0</v>
      </c>
      <c r="AG65" s="610">
        <f t="shared" si="6"/>
        <v>0</v>
      </c>
      <c r="AH65" s="610">
        <f t="shared" si="7"/>
        <v>0</v>
      </c>
      <c r="AI65" s="611">
        <f t="shared" si="8"/>
        <v>0</v>
      </c>
      <c r="AJ65" s="612">
        <f t="shared" si="9"/>
        <v>0</v>
      </c>
      <c r="AK65" s="614">
        <f t="shared" si="11"/>
        <v>0</v>
      </c>
    </row>
    <row r="66" spans="10:37" ht="19.5" thickTop="1" thickBot="1" x14ac:dyDescent="0.4">
      <c r="J66" s="1858"/>
      <c r="K66" s="1858"/>
      <c r="L66" s="1858"/>
      <c r="M66" s="1858"/>
      <c r="N66" s="1858"/>
      <c r="O66" s="1858"/>
      <c r="P66" s="609"/>
      <c r="Q66" s="613"/>
      <c r="R66" s="613"/>
      <c r="S66" s="613"/>
      <c r="T66" s="613"/>
      <c r="U66" s="610"/>
      <c r="V66" s="610"/>
      <c r="W66" s="610"/>
      <c r="X66" s="611"/>
      <c r="Y66" s="612"/>
      <c r="Z66" s="499"/>
      <c r="AA66" s="609">
        <f t="shared" si="10"/>
        <v>0</v>
      </c>
      <c r="AB66" s="613">
        <f t="shared" si="1"/>
        <v>0</v>
      </c>
      <c r="AC66" s="613">
        <f t="shared" si="2"/>
        <v>0</v>
      </c>
      <c r="AD66" s="613">
        <f t="shared" si="3"/>
        <v>0</v>
      </c>
      <c r="AE66" s="613">
        <f t="shared" si="4"/>
        <v>0</v>
      </c>
      <c r="AF66" s="610">
        <f t="shared" si="5"/>
        <v>0</v>
      </c>
      <c r="AG66" s="610">
        <f t="shared" si="6"/>
        <v>0</v>
      </c>
      <c r="AH66" s="610">
        <f t="shared" si="7"/>
        <v>0</v>
      </c>
      <c r="AI66" s="611">
        <f t="shared" si="8"/>
        <v>0</v>
      </c>
      <c r="AJ66" s="612">
        <f t="shared" si="9"/>
        <v>0</v>
      </c>
      <c r="AK66" s="614">
        <f t="shared" si="11"/>
        <v>0</v>
      </c>
    </row>
    <row r="67" spans="10:37" ht="19.5" thickTop="1" thickBot="1" x14ac:dyDescent="0.4">
      <c r="J67" s="1858"/>
      <c r="K67" s="1858"/>
      <c r="L67" s="1858"/>
      <c r="M67" s="1858"/>
      <c r="N67" s="1858"/>
      <c r="O67" s="1858"/>
      <c r="P67" s="609"/>
      <c r="Q67" s="613"/>
      <c r="R67" s="613"/>
      <c r="S67" s="613"/>
      <c r="T67" s="613"/>
      <c r="U67" s="610"/>
      <c r="V67" s="610"/>
      <c r="W67" s="610"/>
      <c r="X67" s="611"/>
      <c r="Y67" s="612"/>
      <c r="Z67" s="499"/>
      <c r="AA67" s="609">
        <f t="shared" si="10"/>
        <v>0</v>
      </c>
      <c r="AB67" s="613">
        <f t="shared" si="1"/>
        <v>0</v>
      </c>
      <c r="AC67" s="613">
        <f t="shared" si="2"/>
        <v>0</v>
      </c>
      <c r="AD67" s="613">
        <f t="shared" si="3"/>
        <v>0</v>
      </c>
      <c r="AE67" s="613">
        <f t="shared" si="4"/>
        <v>0</v>
      </c>
      <c r="AF67" s="610">
        <f t="shared" si="5"/>
        <v>0</v>
      </c>
      <c r="AG67" s="610">
        <f t="shared" si="6"/>
        <v>0</v>
      </c>
      <c r="AH67" s="610">
        <f t="shared" si="7"/>
        <v>0</v>
      </c>
      <c r="AI67" s="611">
        <f t="shared" si="8"/>
        <v>0</v>
      </c>
      <c r="AJ67" s="612">
        <f t="shared" si="9"/>
        <v>0</v>
      </c>
      <c r="AK67" s="614">
        <f t="shared" si="11"/>
        <v>0</v>
      </c>
    </row>
    <row r="68" spans="10:37" ht="19.5" thickTop="1" thickBot="1" x14ac:dyDescent="0.4">
      <c r="J68" s="1858"/>
      <c r="K68" s="1858"/>
      <c r="L68" s="1858"/>
      <c r="M68" s="1858"/>
      <c r="N68" s="1858"/>
      <c r="O68" s="1858"/>
      <c r="P68" s="609"/>
      <c r="Q68" s="613"/>
      <c r="R68" s="613"/>
      <c r="S68" s="613"/>
      <c r="T68" s="613"/>
      <c r="U68" s="610"/>
      <c r="V68" s="610"/>
      <c r="W68" s="610"/>
      <c r="X68" s="611"/>
      <c r="Y68" s="612"/>
      <c r="Z68" s="499"/>
      <c r="AA68" s="609">
        <f t="shared" si="10"/>
        <v>0</v>
      </c>
      <c r="AB68" s="613">
        <f t="shared" si="1"/>
        <v>0</v>
      </c>
      <c r="AC68" s="613">
        <f t="shared" si="2"/>
        <v>0</v>
      </c>
      <c r="AD68" s="613">
        <f t="shared" si="3"/>
        <v>0</v>
      </c>
      <c r="AE68" s="613">
        <f t="shared" si="4"/>
        <v>0</v>
      </c>
      <c r="AF68" s="610">
        <f t="shared" si="5"/>
        <v>0</v>
      </c>
      <c r="AG68" s="610">
        <f t="shared" si="6"/>
        <v>0</v>
      </c>
      <c r="AH68" s="610">
        <f t="shared" si="7"/>
        <v>0</v>
      </c>
      <c r="AI68" s="611">
        <f t="shared" si="8"/>
        <v>0</v>
      </c>
      <c r="AJ68" s="612">
        <f t="shared" si="9"/>
        <v>0</v>
      </c>
      <c r="AK68" s="614">
        <f t="shared" si="11"/>
        <v>0</v>
      </c>
    </row>
    <row r="69" spans="10:37" ht="19.5" thickTop="1" thickBot="1" x14ac:dyDescent="0.4">
      <c r="J69" s="1858"/>
      <c r="K69" s="1858"/>
      <c r="L69" s="1858"/>
      <c r="M69" s="1858"/>
      <c r="N69" s="1858"/>
      <c r="O69" s="1858"/>
      <c r="P69" s="609"/>
      <c r="Q69" s="613"/>
      <c r="R69" s="613"/>
      <c r="S69" s="613"/>
      <c r="T69" s="613"/>
      <c r="U69" s="610"/>
      <c r="V69" s="610"/>
      <c r="W69" s="610"/>
      <c r="X69" s="611"/>
      <c r="Y69" s="612"/>
      <c r="Z69" s="499"/>
      <c r="AA69" s="609">
        <f t="shared" si="10"/>
        <v>0</v>
      </c>
      <c r="AB69" s="613">
        <f t="shared" ref="AB69:AB101" si="12">Q69*$N69</f>
        <v>0</v>
      </c>
      <c r="AC69" s="613">
        <f t="shared" ref="AC69:AC101" si="13">R69*$N69</f>
        <v>0</v>
      </c>
      <c r="AD69" s="613">
        <f t="shared" ref="AD69:AD101" si="14">S69*$N69</f>
        <v>0</v>
      </c>
      <c r="AE69" s="613">
        <f t="shared" ref="AE69:AE101" si="15">T69*$N69</f>
        <v>0</v>
      </c>
      <c r="AF69" s="610">
        <f t="shared" ref="AF69:AF101" si="16">U69*$N69</f>
        <v>0</v>
      </c>
      <c r="AG69" s="610">
        <f t="shared" ref="AG69:AG101" si="17">V69*$N69</f>
        <v>0</v>
      </c>
      <c r="AH69" s="610">
        <f t="shared" ref="AH69:AH101" si="18">W69*$N69</f>
        <v>0</v>
      </c>
      <c r="AI69" s="611">
        <f t="shared" ref="AI69:AI101" si="19">X69*$N69</f>
        <v>0</v>
      </c>
      <c r="AJ69" s="612">
        <f t="shared" ref="AJ69:AJ101" si="20">Y69*$N69</f>
        <v>0</v>
      </c>
      <c r="AK69" s="614">
        <f t="shared" si="11"/>
        <v>0</v>
      </c>
    </row>
    <row r="70" spans="10:37" ht="19.5" thickTop="1" thickBot="1" x14ac:dyDescent="0.4">
      <c r="J70" s="1858"/>
      <c r="K70" s="1858"/>
      <c r="L70" s="1858"/>
      <c r="M70" s="1858"/>
      <c r="N70" s="1858"/>
      <c r="O70" s="1858"/>
      <c r="P70" s="609"/>
      <c r="Q70" s="613"/>
      <c r="R70" s="613"/>
      <c r="S70" s="613"/>
      <c r="T70" s="613"/>
      <c r="U70" s="610"/>
      <c r="V70" s="610"/>
      <c r="W70" s="610"/>
      <c r="X70" s="611"/>
      <c r="Y70" s="612"/>
      <c r="Z70" s="499"/>
      <c r="AA70" s="609">
        <f t="shared" ref="AA70:AA101" si="21">P70*$N70</f>
        <v>0</v>
      </c>
      <c r="AB70" s="613">
        <f t="shared" si="12"/>
        <v>0</v>
      </c>
      <c r="AC70" s="613">
        <f t="shared" si="13"/>
        <v>0</v>
      </c>
      <c r="AD70" s="613">
        <f t="shared" si="14"/>
        <v>0</v>
      </c>
      <c r="AE70" s="613">
        <f t="shared" si="15"/>
        <v>0</v>
      </c>
      <c r="AF70" s="610">
        <f t="shared" si="16"/>
        <v>0</v>
      </c>
      <c r="AG70" s="610">
        <f t="shared" si="17"/>
        <v>0</v>
      </c>
      <c r="AH70" s="610">
        <f t="shared" si="18"/>
        <v>0</v>
      </c>
      <c r="AI70" s="611">
        <f t="shared" si="19"/>
        <v>0</v>
      </c>
      <c r="AJ70" s="612">
        <f t="shared" si="20"/>
        <v>0</v>
      </c>
      <c r="AK70" s="614">
        <f t="shared" si="11"/>
        <v>0</v>
      </c>
    </row>
    <row r="71" spans="10:37" ht="19.5" thickTop="1" thickBot="1" x14ac:dyDescent="0.4">
      <c r="J71" s="1858"/>
      <c r="K71" s="1858"/>
      <c r="L71" s="1858"/>
      <c r="M71" s="1858"/>
      <c r="N71" s="1858"/>
      <c r="O71" s="1858"/>
      <c r="P71" s="609"/>
      <c r="Q71" s="613"/>
      <c r="R71" s="613"/>
      <c r="S71" s="613"/>
      <c r="T71" s="613"/>
      <c r="U71" s="610"/>
      <c r="V71" s="610"/>
      <c r="W71" s="610"/>
      <c r="X71" s="611"/>
      <c r="Y71" s="612"/>
      <c r="Z71" s="499"/>
      <c r="AA71" s="609">
        <f t="shared" si="21"/>
        <v>0</v>
      </c>
      <c r="AB71" s="613">
        <f t="shared" si="12"/>
        <v>0</v>
      </c>
      <c r="AC71" s="613">
        <f t="shared" si="13"/>
        <v>0</v>
      </c>
      <c r="AD71" s="613">
        <f t="shared" si="14"/>
        <v>0</v>
      </c>
      <c r="AE71" s="613">
        <f t="shared" si="15"/>
        <v>0</v>
      </c>
      <c r="AF71" s="610">
        <f t="shared" si="16"/>
        <v>0</v>
      </c>
      <c r="AG71" s="610">
        <f t="shared" si="17"/>
        <v>0</v>
      </c>
      <c r="AH71" s="610">
        <f t="shared" si="18"/>
        <v>0</v>
      </c>
      <c r="AI71" s="611">
        <f t="shared" si="19"/>
        <v>0</v>
      </c>
      <c r="AJ71" s="612">
        <f t="shared" si="20"/>
        <v>0</v>
      </c>
      <c r="AK71" s="614">
        <f t="shared" ref="AK71:AK101" si="22">SUM(AA71:AJ71)</f>
        <v>0</v>
      </c>
    </row>
    <row r="72" spans="10:37" ht="19.5" thickTop="1" thickBot="1" x14ac:dyDescent="0.4">
      <c r="J72" s="1858"/>
      <c r="K72" s="1858"/>
      <c r="L72" s="1858"/>
      <c r="M72" s="1858"/>
      <c r="N72" s="1858"/>
      <c r="O72" s="1858"/>
      <c r="P72" s="609"/>
      <c r="Q72" s="613"/>
      <c r="R72" s="613"/>
      <c r="S72" s="613"/>
      <c r="T72" s="613"/>
      <c r="U72" s="610"/>
      <c r="V72" s="610"/>
      <c r="W72" s="610"/>
      <c r="X72" s="611"/>
      <c r="Y72" s="612"/>
      <c r="Z72" s="499"/>
      <c r="AA72" s="609">
        <f t="shared" si="21"/>
        <v>0</v>
      </c>
      <c r="AB72" s="613">
        <f t="shared" si="12"/>
        <v>0</v>
      </c>
      <c r="AC72" s="613">
        <f t="shared" si="13"/>
        <v>0</v>
      </c>
      <c r="AD72" s="613">
        <f t="shared" si="14"/>
        <v>0</v>
      </c>
      <c r="AE72" s="613">
        <f t="shared" si="15"/>
        <v>0</v>
      </c>
      <c r="AF72" s="610">
        <f t="shared" si="16"/>
        <v>0</v>
      </c>
      <c r="AG72" s="610">
        <f t="shared" si="17"/>
        <v>0</v>
      </c>
      <c r="AH72" s="610">
        <f t="shared" si="18"/>
        <v>0</v>
      </c>
      <c r="AI72" s="611">
        <f t="shared" si="19"/>
        <v>0</v>
      </c>
      <c r="AJ72" s="612">
        <f t="shared" si="20"/>
        <v>0</v>
      </c>
      <c r="AK72" s="614">
        <f t="shared" si="22"/>
        <v>0</v>
      </c>
    </row>
    <row r="73" spans="10:37" ht="19.5" thickTop="1" thickBot="1" x14ac:dyDescent="0.4">
      <c r="J73" s="1858"/>
      <c r="K73" s="1858"/>
      <c r="L73" s="1858"/>
      <c r="M73" s="1858"/>
      <c r="N73" s="1858"/>
      <c r="O73" s="1858"/>
      <c r="P73" s="609"/>
      <c r="Q73" s="613"/>
      <c r="R73" s="613"/>
      <c r="S73" s="613"/>
      <c r="T73" s="613"/>
      <c r="U73" s="610"/>
      <c r="V73" s="610"/>
      <c r="W73" s="610"/>
      <c r="X73" s="611"/>
      <c r="Y73" s="612"/>
      <c r="Z73" s="499"/>
      <c r="AA73" s="609">
        <f t="shared" si="21"/>
        <v>0</v>
      </c>
      <c r="AB73" s="613">
        <f t="shared" si="12"/>
        <v>0</v>
      </c>
      <c r="AC73" s="613">
        <f t="shared" si="13"/>
        <v>0</v>
      </c>
      <c r="AD73" s="613">
        <f t="shared" si="14"/>
        <v>0</v>
      </c>
      <c r="AE73" s="613">
        <f t="shared" si="15"/>
        <v>0</v>
      </c>
      <c r="AF73" s="610">
        <f t="shared" si="16"/>
        <v>0</v>
      </c>
      <c r="AG73" s="610">
        <f t="shared" si="17"/>
        <v>0</v>
      </c>
      <c r="AH73" s="610">
        <f t="shared" si="18"/>
        <v>0</v>
      </c>
      <c r="AI73" s="611">
        <f t="shared" si="19"/>
        <v>0</v>
      </c>
      <c r="AJ73" s="612">
        <f t="shared" si="20"/>
        <v>0</v>
      </c>
      <c r="AK73" s="614">
        <f t="shared" si="22"/>
        <v>0</v>
      </c>
    </row>
    <row r="74" spans="10:37" ht="19.5" thickTop="1" thickBot="1" x14ac:dyDescent="0.4">
      <c r="J74" s="1858"/>
      <c r="K74" s="1858"/>
      <c r="L74" s="1858"/>
      <c r="M74" s="1858"/>
      <c r="N74" s="1858"/>
      <c r="O74" s="1858"/>
      <c r="P74" s="609"/>
      <c r="Q74" s="613"/>
      <c r="R74" s="613"/>
      <c r="S74" s="613"/>
      <c r="T74" s="613"/>
      <c r="U74" s="610"/>
      <c r="V74" s="610"/>
      <c r="W74" s="610"/>
      <c r="X74" s="611"/>
      <c r="Y74" s="612"/>
      <c r="Z74" s="499"/>
      <c r="AA74" s="609">
        <f t="shared" si="21"/>
        <v>0</v>
      </c>
      <c r="AB74" s="613">
        <f t="shared" si="12"/>
        <v>0</v>
      </c>
      <c r="AC74" s="613">
        <f t="shared" si="13"/>
        <v>0</v>
      </c>
      <c r="AD74" s="613">
        <f t="shared" si="14"/>
        <v>0</v>
      </c>
      <c r="AE74" s="613">
        <f t="shared" si="15"/>
        <v>0</v>
      </c>
      <c r="AF74" s="610">
        <f t="shared" si="16"/>
        <v>0</v>
      </c>
      <c r="AG74" s="610">
        <f t="shared" si="17"/>
        <v>0</v>
      </c>
      <c r="AH74" s="610">
        <f t="shared" si="18"/>
        <v>0</v>
      </c>
      <c r="AI74" s="611">
        <f t="shared" si="19"/>
        <v>0</v>
      </c>
      <c r="AJ74" s="612">
        <f t="shared" si="20"/>
        <v>0</v>
      </c>
      <c r="AK74" s="614">
        <f t="shared" si="22"/>
        <v>0</v>
      </c>
    </row>
    <row r="75" spans="10:37" ht="19.5" thickTop="1" thickBot="1" x14ac:dyDescent="0.4">
      <c r="J75" s="1858"/>
      <c r="K75" s="1858"/>
      <c r="L75" s="1858"/>
      <c r="M75" s="1858"/>
      <c r="N75" s="1858"/>
      <c r="O75" s="1858"/>
      <c r="P75" s="609"/>
      <c r="Q75" s="613"/>
      <c r="R75" s="613"/>
      <c r="S75" s="613"/>
      <c r="T75" s="613"/>
      <c r="U75" s="610"/>
      <c r="V75" s="610"/>
      <c r="W75" s="610"/>
      <c r="X75" s="611"/>
      <c r="Y75" s="612"/>
      <c r="Z75" s="499"/>
      <c r="AA75" s="609">
        <f t="shared" si="21"/>
        <v>0</v>
      </c>
      <c r="AB75" s="613">
        <f t="shared" si="12"/>
        <v>0</v>
      </c>
      <c r="AC75" s="613">
        <f t="shared" si="13"/>
        <v>0</v>
      </c>
      <c r="AD75" s="613">
        <f t="shared" si="14"/>
        <v>0</v>
      </c>
      <c r="AE75" s="613">
        <f t="shared" si="15"/>
        <v>0</v>
      </c>
      <c r="AF75" s="610">
        <f t="shared" si="16"/>
        <v>0</v>
      </c>
      <c r="AG75" s="610">
        <f t="shared" si="17"/>
        <v>0</v>
      </c>
      <c r="AH75" s="610">
        <f t="shared" si="18"/>
        <v>0</v>
      </c>
      <c r="AI75" s="611">
        <f t="shared" si="19"/>
        <v>0</v>
      </c>
      <c r="AJ75" s="612">
        <f t="shared" si="20"/>
        <v>0</v>
      </c>
      <c r="AK75" s="614">
        <f t="shared" si="22"/>
        <v>0</v>
      </c>
    </row>
    <row r="76" spans="10:37" ht="19.5" thickTop="1" thickBot="1" x14ac:dyDescent="0.4">
      <c r="J76" s="1858"/>
      <c r="K76" s="1858"/>
      <c r="L76" s="1858"/>
      <c r="M76" s="1858"/>
      <c r="N76" s="1858"/>
      <c r="O76" s="1858"/>
      <c r="P76" s="609"/>
      <c r="Q76" s="613"/>
      <c r="R76" s="613"/>
      <c r="S76" s="613"/>
      <c r="T76" s="613"/>
      <c r="U76" s="610"/>
      <c r="V76" s="610"/>
      <c r="W76" s="610"/>
      <c r="X76" s="611"/>
      <c r="Y76" s="612"/>
      <c r="Z76" s="499"/>
      <c r="AA76" s="609">
        <f t="shared" si="21"/>
        <v>0</v>
      </c>
      <c r="AB76" s="613">
        <f t="shared" si="12"/>
        <v>0</v>
      </c>
      <c r="AC76" s="613">
        <f t="shared" si="13"/>
        <v>0</v>
      </c>
      <c r="AD76" s="613">
        <f t="shared" si="14"/>
        <v>0</v>
      </c>
      <c r="AE76" s="613">
        <f t="shared" si="15"/>
        <v>0</v>
      </c>
      <c r="AF76" s="610">
        <f t="shared" si="16"/>
        <v>0</v>
      </c>
      <c r="AG76" s="610">
        <f t="shared" si="17"/>
        <v>0</v>
      </c>
      <c r="AH76" s="610">
        <f t="shared" si="18"/>
        <v>0</v>
      </c>
      <c r="AI76" s="611">
        <f t="shared" si="19"/>
        <v>0</v>
      </c>
      <c r="AJ76" s="612">
        <f t="shared" si="20"/>
        <v>0</v>
      </c>
      <c r="AK76" s="614">
        <f t="shared" si="22"/>
        <v>0</v>
      </c>
    </row>
    <row r="77" spans="10:37" ht="19.5" thickTop="1" thickBot="1" x14ac:dyDescent="0.4">
      <c r="J77" s="1858"/>
      <c r="K77" s="1858"/>
      <c r="L77" s="1858"/>
      <c r="M77" s="1858"/>
      <c r="N77" s="1858"/>
      <c r="O77" s="1858"/>
      <c r="P77" s="609"/>
      <c r="Q77" s="613"/>
      <c r="R77" s="613"/>
      <c r="S77" s="613"/>
      <c r="T77" s="613"/>
      <c r="U77" s="610"/>
      <c r="V77" s="610"/>
      <c r="W77" s="610"/>
      <c r="X77" s="611"/>
      <c r="Y77" s="612"/>
      <c r="Z77" s="499"/>
      <c r="AA77" s="609">
        <f t="shared" si="21"/>
        <v>0</v>
      </c>
      <c r="AB77" s="613">
        <f t="shared" si="12"/>
        <v>0</v>
      </c>
      <c r="AC77" s="613">
        <f t="shared" si="13"/>
        <v>0</v>
      </c>
      <c r="AD77" s="613">
        <f t="shared" si="14"/>
        <v>0</v>
      </c>
      <c r="AE77" s="613">
        <f t="shared" si="15"/>
        <v>0</v>
      </c>
      <c r="AF77" s="610">
        <f t="shared" si="16"/>
        <v>0</v>
      </c>
      <c r="AG77" s="610">
        <f t="shared" si="17"/>
        <v>0</v>
      </c>
      <c r="AH77" s="610">
        <f t="shared" si="18"/>
        <v>0</v>
      </c>
      <c r="AI77" s="611">
        <f t="shared" si="19"/>
        <v>0</v>
      </c>
      <c r="AJ77" s="612">
        <f t="shared" si="20"/>
        <v>0</v>
      </c>
      <c r="AK77" s="614">
        <f t="shared" si="22"/>
        <v>0</v>
      </c>
    </row>
    <row r="78" spans="10:37" ht="19.5" thickTop="1" thickBot="1" x14ac:dyDescent="0.4">
      <c r="J78" s="1858"/>
      <c r="K78" s="1858"/>
      <c r="L78" s="1858"/>
      <c r="M78" s="1858"/>
      <c r="N78" s="1858"/>
      <c r="O78" s="1858"/>
      <c r="P78" s="609"/>
      <c r="Q78" s="613"/>
      <c r="R78" s="613"/>
      <c r="S78" s="613"/>
      <c r="T78" s="613"/>
      <c r="U78" s="610"/>
      <c r="V78" s="610"/>
      <c r="W78" s="610"/>
      <c r="X78" s="611"/>
      <c r="Y78" s="612"/>
      <c r="Z78" s="499"/>
      <c r="AA78" s="609">
        <f t="shared" si="21"/>
        <v>0</v>
      </c>
      <c r="AB78" s="613">
        <f t="shared" si="12"/>
        <v>0</v>
      </c>
      <c r="AC78" s="613">
        <f t="shared" si="13"/>
        <v>0</v>
      </c>
      <c r="AD78" s="613">
        <f t="shared" si="14"/>
        <v>0</v>
      </c>
      <c r="AE78" s="613">
        <f t="shared" si="15"/>
        <v>0</v>
      </c>
      <c r="AF78" s="610">
        <f t="shared" si="16"/>
        <v>0</v>
      </c>
      <c r="AG78" s="610">
        <f t="shared" si="17"/>
        <v>0</v>
      </c>
      <c r="AH78" s="610">
        <f t="shared" si="18"/>
        <v>0</v>
      </c>
      <c r="AI78" s="611">
        <f t="shared" si="19"/>
        <v>0</v>
      </c>
      <c r="AJ78" s="612">
        <f t="shared" si="20"/>
        <v>0</v>
      </c>
      <c r="AK78" s="614">
        <f t="shared" si="22"/>
        <v>0</v>
      </c>
    </row>
    <row r="79" spans="10:37" ht="19.5" thickTop="1" thickBot="1" x14ac:dyDescent="0.4">
      <c r="J79" s="1858"/>
      <c r="K79" s="1858"/>
      <c r="L79" s="1858"/>
      <c r="M79" s="1858"/>
      <c r="N79" s="1858"/>
      <c r="O79" s="1858"/>
      <c r="P79" s="609"/>
      <c r="Q79" s="613"/>
      <c r="R79" s="613"/>
      <c r="S79" s="613"/>
      <c r="T79" s="613"/>
      <c r="U79" s="610"/>
      <c r="V79" s="610"/>
      <c r="W79" s="610"/>
      <c r="X79" s="611"/>
      <c r="Y79" s="612"/>
      <c r="Z79" s="499"/>
      <c r="AA79" s="609">
        <f t="shared" si="21"/>
        <v>0</v>
      </c>
      <c r="AB79" s="613">
        <f t="shared" si="12"/>
        <v>0</v>
      </c>
      <c r="AC79" s="613">
        <f t="shared" si="13"/>
        <v>0</v>
      </c>
      <c r="AD79" s="613">
        <f t="shared" si="14"/>
        <v>0</v>
      </c>
      <c r="AE79" s="613">
        <f t="shared" si="15"/>
        <v>0</v>
      </c>
      <c r="AF79" s="610">
        <f t="shared" si="16"/>
        <v>0</v>
      </c>
      <c r="AG79" s="610">
        <f t="shared" si="17"/>
        <v>0</v>
      </c>
      <c r="AH79" s="610">
        <f t="shared" si="18"/>
        <v>0</v>
      </c>
      <c r="AI79" s="611">
        <f t="shared" si="19"/>
        <v>0</v>
      </c>
      <c r="AJ79" s="612">
        <f t="shared" si="20"/>
        <v>0</v>
      </c>
      <c r="AK79" s="614">
        <f t="shared" si="22"/>
        <v>0</v>
      </c>
    </row>
    <row r="80" spans="10:37" ht="19.5" thickTop="1" thickBot="1" x14ac:dyDescent="0.4">
      <c r="J80" s="1858"/>
      <c r="K80" s="1858"/>
      <c r="L80" s="1858"/>
      <c r="M80" s="1858"/>
      <c r="N80" s="1858"/>
      <c r="O80" s="1858"/>
      <c r="P80" s="609"/>
      <c r="Q80" s="613"/>
      <c r="R80" s="613"/>
      <c r="S80" s="613"/>
      <c r="T80" s="613"/>
      <c r="U80" s="610"/>
      <c r="V80" s="610"/>
      <c r="W80" s="610"/>
      <c r="X80" s="611"/>
      <c r="Y80" s="612"/>
      <c r="Z80" s="499"/>
      <c r="AA80" s="609">
        <f t="shared" si="21"/>
        <v>0</v>
      </c>
      <c r="AB80" s="613">
        <f t="shared" si="12"/>
        <v>0</v>
      </c>
      <c r="AC80" s="613">
        <f t="shared" si="13"/>
        <v>0</v>
      </c>
      <c r="AD80" s="613">
        <f t="shared" si="14"/>
        <v>0</v>
      </c>
      <c r="AE80" s="613">
        <f t="shared" si="15"/>
        <v>0</v>
      </c>
      <c r="AF80" s="610">
        <f t="shared" si="16"/>
        <v>0</v>
      </c>
      <c r="AG80" s="610">
        <f t="shared" si="17"/>
        <v>0</v>
      </c>
      <c r="AH80" s="610">
        <f t="shared" si="18"/>
        <v>0</v>
      </c>
      <c r="AI80" s="611">
        <f t="shared" si="19"/>
        <v>0</v>
      </c>
      <c r="AJ80" s="612">
        <f t="shared" si="20"/>
        <v>0</v>
      </c>
      <c r="AK80" s="614">
        <f t="shared" si="22"/>
        <v>0</v>
      </c>
    </row>
    <row r="81" spans="10:37" ht="19.5" thickTop="1" thickBot="1" x14ac:dyDescent="0.4">
      <c r="J81" s="1858"/>
      <c r="K81" s="1858"/>
      <c r="L81" s="1858"/>
      <c r="M81" s="1858"/>
      <c r="N81" s="1858"/>
      <c r="O81" s="1858"/>
      <c r="P81" s="609"/>
      <c r="Q81" s="613"/>
      <c r="R81" s="613"/>
      <c r="S81" s="613"/>
      <c r="T81" s="613"/>
      <c r="U81" s="610"/>
      <c r="V81" s="610"/>
      <c r="W81" s="610"/>
      <c r="X81" s="611"/>
      <c r="Y81" s="612"/>
      <c r="Z81" s="499"/>
      <c r="AA81" s="609">
        <f t="shared" si="21"/>
        <v>0</v>
      </c>
      <c r="AB81" s="613">
        <f t="shared" si="12"/>
        <v>0</v>
      </c>
      <c r="AC81" s="613">
        <f t="shared" si="13"/>
        <v>0</v>
      </c>
      <c r="AD81" s="613">
        <f t="shared" si="14"/>
        <v>0</v>
      </c>
      <c r="AE81" s="613">
        <f t="shared" si="15"/>
        <v>0</v>
      </c>
      <c r="AF81" s="610">
        <f t="shared" si="16"/>
        <v>0</v>
      </c>
      <c r="AG81" s="610">
        <f t="shared" si="17"/>
        <v>0</v>
      </c>
      <c r="AH81" s="610">
        <f t="shared" si="18"/>
        <v>0</v>
      </c>
      <c r="AI81" s="611">
        <f t="shared" si="19"/>
        <v>0</v>
      </c>
      <c r="AJ81" s="612">
        <f t="shared" si="20"/>
        <v>0</v>
      </c>
      <c r="AK81" s="614">
        <f t="shared" si="22"/>
        <v>0</v>
      </c>
    </row>
    <row r="82" spans="10:37" ht="19.5" thickTop="1" thickBot="1" x14ac:dyDescent="0.4">
      <c r="J82" s="1858"/>
      <c r="K82" s="1858"/>
      <c r="L82" s="1858"/>
      <c r="M82" s="1858"/>
      <c r="N82" s="1858"/>
      <c r="O82" s="1858"/>
      <c r="P82" s="609"/>
      <c r="Q82" s="613"/>
      <c r="R82" s="613"/>
      <c r="S82" s="613"/>
      <c r="T82" s="613"/>
      <c r="U82" s="610"/>
      <c r="V82" s="610"/>
      <c r="W82" s="610"/>
      <c r="X82" s="611"/>
      <c r="Y82" s="612"/>
      <c r="Z82" s="499"/>
      <c r="AA82" s="609">
        <f t="shared" si="21"/>
        <v>0</v>
      </c>
      <c r="AB82" s="613">
        <f t="shared" si="12"/>
        <v>0</v>
      </c>
      <c r="AC82" s="613">
        <f t="shared" si="13"/>
        <v>0</v>
      </c>
      <c r="AD82" s="613">
        <f t="shared" si="14"/>
        <v>0</v>
      </c>
      <c r="AE82" s="613">
        <f t="shared" si="15"/>
        <v>0</v>
      </c>
      <c r="AF82" s="610">
        <f t="shared" si="16"/>
        <v>0</v>
      </c>
      <c r="AG82" s="610">
        <f t="shared" si="17"/>
        <v>0</v>
      </c>
      <c r="AH82" s="610">
        <f t="shared" si="18"/>
        <v>0</v>
      </c>
      <c r="AI82" s="611">
        <f t="shared" si="19"/>
        <v>0</v>
      </c>
      <c r="AJ82" s="612">
        <f t="shared" si="20"/>
        <v>0</v>
      </c>
      <c r="AK82" s="614">
        <f t="shared" si="22"/>
        <v>0</v>
      </c>
    </row>
    <row r="83" spans="10:37" ht="19.5" thickTop="1" thickBot="1" x14ac:dyDescent="0.4">
      <c r="J83" s="1858"/>
      <c r="K83" s="1858"/>
      <c r="L83" s="1858"/>
      <c r="M83" s="1858"/>
      <c r="N83" s="1858"/>
      <c r="O83" s="1858"/>
      <c r="P83" s="609"/>
      <c r="Q83" s="613"/>
      <c r="R83" s="613"/>
      <c r="S83" s="613"/>
      <c r="T83" s="613"/>
      <c r="U83" s="610"/>
      <c r="V83" s="610"/>
      <c r="W83" s="610"/>
      <c r="X83" s="611"/>
      <c r="Y83" s="612"/>
      <c r="Z83" s="499"/>
      <c r="AA83" s="609">
        <f t="shared" si="21"/>
        <v>0</v>
      </c>
      <c r="AB83" s="613">
        <f t="shared" si="12"/>
        <v>0</v>
      </c>
      <c r="AC83" s="613">
        <f t="shared" si="13"/>
        <v>0</v>
      </c>
      <c r="AD83" s="613">
        <f t="shared" si="14"/>
        <v>0</v>
      </c>
      <c r="AE83" s="613">
        <f t="shared" si="15"/>
        <v>0</v>
      </c>
      <c r="AF83" s="610">
        <f t="shared" si="16"/>
        <v>0</v>
      </c>
      <c r="AG83" s="610">
        <f t="shared" si="17"/>
        <v>0</v>
      </c>
      <c r="AH83" s="610">
        <f t="shared" si="18"/>
        <v>0</v>
      </c>
      <c r="AI83" s="611">
        <f t="shared" si="19"/>
        <v>0</v>
      </c>
      <c r="AJ83" s="612">
        <f t="shared" si="20"/>
        <v>0</v>
      </c>
      <c r="AK83" s="614">
        <f t="shared" si="22"/>
        <v>0</v>
      </c>
    </row>
    <row r="84" spans="10:37" ht="19.5" thickTop="1" thickBot="1" x14ac:dyDescent="0.4">
      <c r="J84" s="1858"/>
      <c r="K84" s="1858"/>
      <c r="L84" s="1858"/>
      <c r="M84" s="1858"/>
      <c r="N84" s="1858"/>
      <c r="O84" s="1858"/>
      <c r="P84" s="609"/>
      <c r="Q84" s="613"/>
      <c r="R84" s="613"/>
      <c r="S84" s="613"/>
      <c r="T84" s="613"/>
      <c r="U84" s="610"/>
      <c r="V84" s="610"/>
      <c r="W84" s="610"/>
      <c r="X84" s="611"/>
      <c r="Y84" s="612"/>
      <c r="Z84" s="499"/>
      <c r="AA84" s="609">
        <f t="shared" si="21"/>
        <v>0</v>
      </c>
      <c r="AB84" s="613">
        <f t="shared" si="12"/>
        <v>0</v>
      </c>
      <c r="AC84" s="613">
        <f t="shared" si="13"/>
        <v>0</v>
      </c>
      <c r="AD84" s="613">
        <f t="shared" si="14"/>
        <v>0</v>
      </c>
      <c r="AE84" s="613">
        <f t="shared" si="15"/>
        <v>0</v>
      </c>
      <c r="AF84" s="610">
        <f t="shared" si="16"/>
        <v>0</v>
      </c>
      <c r="AG84" s="610">
        <f t="shared" si="17"/>
        <v>0</v>
      </c>
      <c r="AH84" s="610">
        <f t="shared" si="18"/>
        <v>0</v>
      </c>
      <c r="AI84" s="611">
        <f t="shared" si="19"/>
        <v>0</v>
      </c>
      <c r="AJ84" s="612">
        <f t="shared" si="20"/>
        <v>0</v>
      </c>
      <c r="AK84" s="614">
        <f t="shared" si="22"/>
        <v>0</v>
      </c>
    </row>
    <row r="85" spans="10:37" ht="19.5" thickTop="1" thickBot="1" x14ac:dyDescent="0.4">
      <c r="J85" s="1858"/>
      <c r="K85" s="1858"/>
      <c r="L85" s="1858"/>
      <c r="M85" s="1858"/>
      <c r="N85" s="1858"/>
      <c r="O85" s="1858"/>
      <c r="P85" s="609"/>
      <c r="Q85" s="613"/>
      <c r="R85" s="613"/>
      <c r="S85" s="613"/>
      <c r="T85" s="613"/>
      <c r="U85" s="610"/>
      <c r="V85" s="610"/>
      <c r="W85" s="610"/>
      <c r="X85" s="611"/>
      <c r="Y85" s="612"/>
      <c r="Z85" s="499"/>
      <c r="AA85" s="609">
        <f t="shared" si="21"/>
        <v>0</v>
      </c>
      <c r="AB85" s="613">
        <f t="shared" si="12"/>
        <v>0</v>
      </c>
      <c r="AC85" s="613">
        <f t="shared" si="13"/>
        <v>0</v>
      </c>
      <c r="AD85" s="613">
        <f t="shared" si="14"/>
        <v>0</v>
      </c>
      <c r="AE85" s="613">
        <f t="shared" si="15"/>
        <v>0</v>
      </c>
      <c r="AF85" s="610">
        <f t="shared" si="16"/>
        <v>0</v>
      </c>
      <c r="AG85" s="610">
        <f t="shared" si="17"/>
        <v>0</v>
      </c>
      <c r="AH85" s="610">
        <f t="shared" si="18"/>
        <v>0</v>
      </c>
      <c r="AI85" s="611">
        <f t="shared" si="19"/>
        <v>0</v>
      </c>
      <c r="AJ85" s="612">
        <f t="shared" si="20"/>
        <v>0</v>
      </c>
      <c r="AK85" s="614">
        <f t="shared" si="22"/>
        <v>0</v>
      </c>
    </row>
    <row r="86" spans="10:37" ht="19.5" thickTop="1" thickBot="1" x14ac:dyDescent="0.4">
      <c r="J86" s="1858"/>
      <c r="K86" s="1858"/>
      <c r="L86" s="1858"/>
      <c r="M86" s="1858"/>
      <c r="N86" s="1858"/>
      <c r="O86" s="1858"/>
      <c r="P86" s="609"/>
      <c r="Q86" s="613"/>
      <c r="R86" s="613"/>
      <c r="S86" s="613"/>
      <c r="T86" s="613"/>
      <c r="U86" s="610"/>
      <c r="V86" s="610"/>
      <c r="W86" s="610"/>
      <c r="X86" s="611"/>
      <c r="Y86" s="612"/>
      <c r="Z86" s="499"/>
      <c r="AA86" s="609">
        <f t="shared" si="21"/>
        <v>0</v>
      </c>
      <c r="AB86" s="613">
        <f t="shared" si="12"/>
        <v>0</v>
      </c>
      <c r="AC86" s="613">
        <f t="shared" si="13"/>
        <v>0</v>
      </c>
      <c r="AD86" s="613">
        <f t="shared" si="14"/>
        <v>0</v>
      </c>
      <c r="AE86" s="613">
        <f t="shared" si="15"/>
        <v>0</v>
      </c>
      <c r="AF86" s="610">
        <f t="shared" si="16"/>
        <v>0</v>
      </c>
      <c r="AG86" s="610">
        <f t="shared" si="17"/>
        <v>0</v>
      </c>
      <c r="AH86" s="610">
        <f t="shared" si="18"/>
        <v>0</v>
      </c>
      <c r="AI86" s="611">
        <f t="shared" si="19"/>
        <v>0</v>
      </c>
      <c r="AJ86" s="612">
        <f t="shared" si="20"/>
        <v>0</v>
      </c>
      <c r="AK86" s="614">
        <f t="shared" si="22"/>
        <v>0</v>
      </c>
    </row>
    <row r="87" spans="10:37" ht="19.5" thickTop="1" thickBot="1" x14ac:dyDescent="0.4">
      <c r="J87" s="1858"/>
      <c r="K87" s="1858"/>
      <c r="L87" s="1858"/>
      <c r="M87" s="1858"/>
      <c r="N87" s="1858"/>
      <c r="O87" s="1858"/>
      <c r="P87" s="609"/>
      <c r="Q87" s="613"/>
      <c r="R87" s="613"/>
      <c r="S87" s="613"/>
      <c r="T87" s="613"/>
      <c r="U87" s="610"/>
      <c r="V87" s="610"/>
      <c r="W87" s="610"/>
      <c r="X87" s="611"/>
      <c r="Y87" s="612"/>
      <c r="Z87" s="499"/>
      <c r="AA87" s="609">
        <f t="shared" si="21"/>
        <v>0</v>
      </c>
      <c r="AB87" s="613">
        <f t="shared" si="12"/>
        <v>0</v>
      </c>
      <c r="AC87" s="613">
        <f t="shared" si="13"/>
        <v>0</v>
      </c>
      <c r="AD87" s="613">
        <f t="shared" si="14"/>
        <v>0</v>
      </c>
      <c r="AE87" s="613">
        <f t="shared" si="15"/>
        <v>0</v>
      </c>
      <c r="AF87" s="610">
        <f t="shared" si="16"/>
        <v>0</v>
      </c>
      <c r="AG87" s="610">
        <f t="shared" si="17"/>
        <v>0</v>
      </c>
      <c r="AH87" s="610">
        <f t="shared" si="18"/>
        <v>0</v>
      </c>
      <c r="AI87" s="611">
        <f t="shared" si="19"/>
        <v>0</v>
      </c>
      <c r="AJ87" s="612">
        <f t="shared" si="20"/>
        <v>0</v>
      </c>
      <c r="AK87" s="614">
        <f t="shared" si="22"/>
        <v>0</v>
      </c>
    </row>
    <row r="88" spans="10:37" ht="19.5" thickTop="1" thickBot="1" x14ac:dyDescent="0.4">
      <c r="J88" s="1858"/>
      <c r="K88" s="1858"/>
      <c r="L88" s="1858"/>
      <c r="M88" s="1858"/>
      <c r="N88" s="1858"/>
      <c r="O88" s="1858"/>
      <c r="P88" s="609"/>
      <c r="Q88" s="613"/>
      <c r="R88" s="613"/>
      <c r="S88" s="613"/>
      <c r="T88" s="613"/>
      <c r="U88" s="610"/>
      <c r="V88" s="610"/>
      <c r="W88" s="610"/>
      <c r="X88" s="611"/>
      <c r="Y88" s="612"/>
      <c r="Z88" s="499"/>
      <c r="AA88" s="609">
        <f t="shared" si="21"/>
        <v>0</v>
      </c>
      <c r="AB88" s="613">
        <f t="shared" si="12"/>
        <v>0</v>
      </c>
      <c r="AC88" s="613">
        <f t="shared" si="13"/>
        <v>0</v>
      </c>
      <c r="AD88" s="613">
        <f t="shared" si="14"/>
        <v>0</v>
      </c>
      <c r="AE88" s="613">
        <f t="shared" si="15"/>
        <v>0</v>
      </c>
      <c r="AF88" s="610">
        <f t="shared" si="16"/>
        <v>0</v>
      </c>
      <c r="AG88" s="610">
        <f t="shared" si="17"/>
        <v>0</v>
      </c>
      <c r="AH88" s="610">
        <f t="shared" si="18"/>
        <v>0</v>
      </c>
      <c r="AI88" s="611">
        <f t="shared" si="19"/>
        <v>0</v>
      </c>
      <c r="AJ88" s="612">
        <f t="shared" si="20"/>
        <v>0</v>
      </c>
      <c r="AK88" s="614">
        <f t="shared" si="22"/>
        <v>0</v>
      </c>
    </row>
    <row r="89" spans="10:37" ht="19.5" thickTop="1" thickBot="1" x14ac:dyDescent="0.4">
      <c r="J89" s="1858"/>
      <c r="K89" s="1858"/>
      <c r="L89" s="1858"/>
      <c r="M89" s="1858"/>
      <c r="N89" s="1858"/>
      <c r="O89" s="1858"/>
      <c r="P89" s="609"/>
      <c r="Q89" s="613"/>
      <c r="R89" s="613"/>
      <c r="S89" s="613"/>
      <c r="T89" s="613"/>
      <c r="U89" s="610"/>
      <c r="V89" s="610"/>
      <c r="W89" s="610"/>
      <c r="X89" s="611"/>
      <c r="Y89" s="612"/>
      <c r="Z89" s="499"/>
      <c r="AA89" s="609">
        <f t="shared" si="21"/>
        <v>0</v>
      </c>
      <c r="AB89" s="613">
        <f t="shared" si="12"/>
        <v>0</v>
      </c>
      <c r="AC89" s="613">
        <f t="shared" si="13"/>
        <v>0</v>
      </c>
      <c r="AD89" s="613">
        <f t="shared" si="14"/>
        <v>0</v>
      </c>
      <c r="AE89" s="613">
        <f t="shared" si="15"/>
        <v>0</v>
      </c>
      <c r="AF89" s="610">
        <f t="shared" si="16"/>
        <v>0</v>
      </c>
      <c r="AG89" s="610">
        <f t="shared" si="17"/>
        <v>0</v>
      </c>
      <c r="AH89" s="610">
        <f t="shared" si="18"/>
        <v>0</v>
      </c>
      <c r="AI89" s="611">
        <f t="shared" si="19"/>
        <v>0</v>
      </c>
      <c r="AJ89" s="612">
        <f t="shared" si="20"/>
        <v>0</v>
      </c>
      <c r="AK89" s="614">
        <f t="shared" si="22"/>
        <v>0</v>
      </c>
    </row>
    <row r="90" spans="10:37" ht="19.5" thickTop="1" thickBot="1" x14ac:dyDescent="0.4">
      <c r="J90" s="1858"/>
      <c r="K90" s="1858"/>
      <c r="L90" s="1858"/>
      <c r="M90" s="1858"/>
      <c r="N90" s="1858"/>
      <c r="O90" s="1858"/>
      <c r="P90" s="609"/>
      <c r="Q90" s="613"/>
      <c r="R90" s="613"/>
      <c r="S90" s="613"/>
      <c r="T90" s="613"/>
      <c r="U90" s="610"/>
      <c r="V90" s="610"/>
      <c r="W90" s="610"/>
      <c r="X90" s="611"/>
      <c r="Y90" s="612"/>
      <c r="Z90" s="499"/>
      <c r="AA90" s="609">
        <f t="shared" si="21"/>
        <v>0</v>
      </c>
      <c r="AB90" s="613">
        <f t="shared" si="12"/>
        <v>0</v>
      </c>
      <c r="AC90" s="613">
        <f t="shared" si="13"/>
        <v>0</v>
      </c>
      <c r="AD90" s="613">
        <f t="shared" si="14"/>
        <v>0</v>
      </c>
      <c r="AE90" s="613">
        <f t="shared" si="15"/>
        <v>0</v>
      </c>
      <c r="AF90" s="610">
        <f t="shared" si="16"/>
        <v>0</v>
      </c>
      <c r="AG90" s="610">
        <f t="shared" si="17"/>
        <v>0</v>
      </c>
      <c r="AH90" s="610">
        <f t="shared" si="18"/>
        <v>0</v>
      </c>
      <c r="AI90" s="611">
        <f t="shared" si="19"/>
        <v>0</v>
      </c>
      <c r="AJ90" s="612">
        <f t="shared" si="20"/>
        <v>0</v>
      </c>
      <c r="AK90" s="614">
        <f t="shared" si="22"/>
        <v>0</v>
      </c>
    </row>
    <row r="91" spans="10:37" ht="19.5" thickTop="1" thickBot="1" x14ac:dyDescent="0.4">
      <c r="J91" s="1858"/>
      <c r="K91" s="1858"/>
      <c r="L91" s="1858"/>
      <c r="M91" s="1858"/>
      <c r="N91" s="1858"/>
      <c r="O91" s="1858"/>
      <c r="P91" s="609"/>
      <c r="Q91" s="613"/>
      <c r="R91" s="613"/>
      <c r="S91" s="613"/>
      <c r="T91" s="613"/>
      <c r="U91" s="610"/>
      <c r="V91" s="610"/>
      <c r="W91" s="610"/>
      <c r="X91" s="611"/>
      <c r="Y91" s="612"/>
      <c r="Z91" s="499"/>
      <c r="AA91" s="609">
        <f t="shared" si="21"/>
        <v>0</v>
      </c>
      <c r="AB91" s="613">
        <f t="shared" si="12"/>
        <v>0</v>
      </c>
      <c r="AC91" s="613">
        <f t="shared" si="13"/>
        <v>0</v>
      </c>
      <c r="AD91" s="613">
        <f t="shared" si="14"/>
        <v>0</v>
      </c>
      <c r="AE91" s="613">
        <f t="shared" si="15"/>
        <v>0</v>
      </c>
      <c r="AF91" s="610">
        <f t="shared" si="16"/>
        <v>0</v>
      </c>
      <c r="AG91" s="610">
        <f t="shared" si="17"/>
        <v>0</v>
      </c>
      <c r="AH91" s="610">
        <f t="shared" si="18"/>
        <v>0</v>
      </c>
      <c r="AI91" s="611">
        <f t="shared" si="19"/>
        <v>0</v>
      </c>
      <c r="AJ91" s="612">
        <f t="shared" si="20"/>
        <v>0</v>
      </c>
      <c r="AK91" s="614">
        <f t="shared" si="22"/>
        <v>0</v>
      </c>
    </row>
    <row r="92" spans="10:37" ht="19.5" thickTop="1" thickBot="1" x14ac:dyDescent="0.4">
      <c r="J92" s="1858"/>
      <c r="K92" s="1858"/>
      <c r="L92" s="1858"/>
      <c r="M92" s="1858"/>
      <c r="N92" s="1858"/>
      <c r="O92" s="1858"/>
      <c r="P92" s="609"/>
      <c r="Q92" s="613"/>
      <c r="R92" s="613"/>
      <c r="S92" s="613"/>
      <c r="T92" s="613"/>
      <c r="U92" s="610"/>
      <c r="V92" s="610"/>
      <c r="W92" s="610"/>
      <c r="X92" s="611"/>
      <c r="Y92" s="612"/>
      <c r="Z92" s="499"/>
      <c r="AA92" s="609">
        <f t="shared" si="21"/>
        <v>0</v>
      </c>
      <c r="AB92" s="613">
        <f t="shared" si="12"/>
        <v>0</v>
      </c>
      <c r="AC92" s="613">
        <f t="shared" si="13"/>
        <v>0</v>
      </c>
      <c r="AD92" s="613">
        <f t="shared" si="14"/>
        <v>0</v>
      </c>
      <c r="AE92" s="613">
        <f t="shared" si="15"/>
        <v>0</v>
      </c>
      <c r="AF92" s="610">
        <f t="shared" si="16"/>
        <v>0</v>
      </c>
      <c r="AG92" s="610">
        <f t="shared" si="17"/>
        <v>0</v>
      </c>
      <c r="AH92" s="610">
        <f t="shared" si="18"/>
        <v>0</v>
      </c>
      <c r="AI92" s="611">
        <f t="shared" si="19"/>
        <v>0</v>
      </c>
      <c r="AJ92" s="612">
        <f t="shared" si="20"/>
        <v>0</v>
      </c>
      <c r="AK92" s="614">
        <f t="shared" si="22"/>
        <v>0</v>
      </c>
    </row>
    <row r="93" spans="10:37" ht="19.5" thickTop="1" thickBot="1" x14ac:dyDescent="0.4">
      <c r="J93" s="1858"/>
      <c r="K93" s="1858"/>
      <c r="L93" s="1858"/>
      <c r="M93" s="1858"/>
      <c r="N93" s="1858"/>
      <c r="O93" s="1858"/>
      <c r="P93" s="609"/>
      <c r="Q93" s="613"/>
      <c r="R93" s="613"/>
      <c r="S93" s="613"/>
      <c r="T93" s="613"/>
      <c r="U93" s="610"/>
      <c r="V93" s="610"/>
      <c r="W93" s="610"/>
      <c r="X93" s="611"/>
      <c r="Y93" s="612"/>
      <c r="Z93" s="499"/>
      <c r="AA93" s="609">
        <f t="shared" si="21"/>
        <v>0</v>
      </c>
      <c r="AB93" s="613">
        <f t="shared" si="12"/>
        <v>0</v>
      </c>
      <c r="AC93" s="613">
        <f t="shared" si="13"/>
        <v>0</v>
      </c>
      <c r="AD93" s="613">
        <f t="shared" si="14"/>
        <v>0</v>
      </c>
      <c r="AE93" s="613">
        <f t="shared" si="15"/>
        <v>0</v>
      </c>
      <c r="AF93" s="610">
        <f t="shared" si="16"/>
        <v>0</v>
      </c>
      <c r="AG93" s="610">
        <f t="shared" si="17"/>
        <v>0</v>
      </c>
      <c r="AH93" s="610">
        <f t="shared" si="18"/>
        <v>0</v>
      </c>
      <c r="AI93" s="611">
        <f t="shared" si="19"/>
        <v>0</v>
      </c>
      <c r="AJ93" s="612">
        <f t="shared" si="20"/>
        <v>0</v>
      </c>
      <c r="AK93" s="614">
        <f t="shared" si="22"/>
        <v>0</v>
      </c>
    </row>
    <row r="94" spans="10:37" ht="19.5" thickTop="1" thickBot="1" x14ac:dyDescent="0.4">
      <c r="J94" s="1858"/>
      <c r="K94" s="1858"/>
      <c r="L94" s="1858"/>
      <c r="M94" s="1858"/>
      <c r="N94" s="1858"/>
      <c r="O94" s="1858"/>
      <c r="P94" s="609"/>
      <c r="Q94" s="613"/>
      <c r="R94" s="613"/>
      <c r="S94" s="613"/>
      <c r="T94" s="613"/>
      <c r="U94" s="610"/>
      <c r="V94" s="610"/>
      <c r="W94" s="610"/>
      <c r="X94" s="611"/>
      <c r="Y94" s="612"/>
      <c r="Z94" s="499"/>
      <c r="AA94" s="609">
        <f t="shared" si="21"/>
        <v>0</v>
      </c>
      <c r="AB94" s="613">
        <f t="shared" si="12"/>
        <v>0</v>
      </c>
      <c r="AC94" s="613">
        <f t="shared" si="13"/>
        <v>0</v>
      </c>
      <c r="AD94" s="613">
        <f t="shared" si="14"/>
        <v>0</v>
      </c>
      <c r="AE94" s="613">
        <f t="shared" si="15"/>
        <v>0</v>
      </c>
      <c r="AF94" s="610">
        <f t="shared" si="16"/>
        <v>0</v>
      </c>
      <c r="AG94" s="610">
        <f t="shared" si="17"/>
        <v>0</v>
      </c>
      <c r="AH94" s="610">
        <f t="shared" si="18"/>
        <v>0</v>
      </c>
      <c r="AI94" s="611">
        <f t="shared" si="19"/>
        <v>0</v>
      </c>
      <c r="AJ94" s="612">
        <f t="shared" si="20"/>
        <v>0</v>
      </c>
      <c r="AK94" s="614">
        <f t="shared" si="22"/>
        <v>0</v>
      </c>
    </row>
    <row r="95" spans="10:37" ht="19.5" thickTop="1" thickBot="1" x14ac:dyDescent="0.4">
      <c r="J95" s="1858"/>
      <c r="K95" s="1858"/>
      <c r="L95" s="1858"/>
      <c r="M95" s="1858"/>
      <c r="N95" s="1858"/>
      <c r="O95" s="1858"/>
      <c r="P95" s="609"/>
      <c r="Q95" s="613"/>
      <c r="R95" s="613"/>
      <c r="S95" s="613"/>
      <c r="T95" s="613"/>
      <c r="U95" s="610"/>
      <c r="V95" s="610"/>
      <c r="W95" s="610"/>
      <c r="X95" s="611"/>
      <c r="Y95" s="612"/>
      <c r="Z95" s="499"/>
      <c r="AA95" s="609">
        <f t="shared" si="21"/>
        <v>0</v>
      </c>
      <c r="AB95" s="613">
        <f t="shared" si="12"/>
        <v>0</v>
      </c>
      <c r="AC95" s="613">
        <f t="shared" si="13"/>
        <v>0</v>
      </c>
      <c r="AD95" s="613">
        <f t="shared" si="14"/>
        <v>0</v>
      </c>
      <c r="AE95" s="613">
        <f t="shared" si="15"/>
        <v>0</v>
      </c>
      <c r="AF95" s="610">
        <f t="shared" si="16"/>
        <v>0</v>
      </c>
      <c r="AG95" s="610">
        <f t="shared" si="17"/>
        <v>0</v>
      </c>
      <c r="AH95" s="610">
        <f t="shared" si="18"/>
        <v>0</v>
      </c>
      <c r="AI95" s="611">
        <f t="shared" si="19"/>
        <v>0</v>
      </c>
      <c r="AJ95" s="612">
        <f t="shared" si="20"/>
        <v>0</v>
      </c>
      <c r="AK95" s="614">
        <f t="shared" si="22"/>
        <v>0</v>
      </c>
    </row>
    <row r="96" spans="10:37" ht="19.5" thickTop="1" thickBot="1" x14ac:dyDescent="0.4">
      <c r="J96" s="1858"/>
      <c r="K96" s="1858"/>
      <c r="L96" s="1858"/>
      <c r="M96" s="1858"/>
      <c r="N96" s="1858"/>
      <c r="O96" s="1858"/>
      <c r="P96" s="609"/>
      <c r="Q96" s="613"/>
      <c r="R96" s="613"/>
      <c r="S96" s="613"/>
      <c r="T96" s="613"/>
      <c r="U96" s="610"/>
      <c r="V96" s="610"/>
      <c r="W96" s="610"/>
      <c r="X96" s="611"/>
      <c r="Y96" s="612"/>
      <c r="Z96" s="499"/>
      <c r="AA96" s="609">
        <f t="shared" si="21"/>
        <v>0</v>
      </c>
      <c r="AB96" s="613">
        <f t="shared" si="12"/>
        <v>0</v>
      </c>
      <c r="AC96" s="613">
        <f t="shared" si="13"/>
        <v>0</v>
      </c>
      <c r="AD96" s="613">
        <f t="shared" si="14"/>
        <v>0</v>
      </c>
      <c r="AE96" s="613">
        <f t="shared" si="15"/>
        <v>0</v>
      </c>
      <c r="AF96" s="610">
        <f t="shared" si="16"/>
        <v>0</v>
      </c>
      <c r="AG96" s="610">
        <f t="shared" si="17"/>
        <v>0</v>
      </c>
      <c r="AH96" s="610">
        <f t="shared" si="18"/>
        <v>0</v>
      </c>
      <c r="AI96" s="611">
        <f t="shared" si="19"/>
        <v>0</v>
      </c>
      <c r="AJ96" s="612">
        <f t="shared" si="20"/>
        <v>0</v>
      </c>
      <c r="AK96" s="614">
        <f t="shared" si="22"/>
        <v>0</v>
      </c>
    </row>
    <row r="97" spans="10:37" ht="19.5" thickTop="1" thickBot="1" x14ac:dyDescent="0.4">
      <c r="J97" s="1858"/>
      <c r="K97" s="1858"/>
      <c r="L97" s="1858"/>
      <c r="M97" s="1858"/>
      <c r="N97" s="1858"/>
      <c r="O97" s="1858"/>
      <c r="P97" s="609"/>
      <c r="Q97" s="613"/>
      <c r="R97" s="613"/>
      <c r="S97" s="613"/>
      <c r="T97" s="613"/>
      <c r="U97" s="610"/>
      <c r="V97" s="610"/>
      <c r="W97" s="610"/>
      <c r="X97" s="611"/>
      <c r="Y97" s="612"/>
      <c r="Z97" s="499"/>
      <c r="AA97" s="609">
        <f t="shared" si="21"/>
        <v>0</v>
      </c>
      <c r="AB97" s="613">
        <f t="shared" si="12"/>
        <v>0</v>
      </c>
      <c r="AC97" s="613">
        <f t="shared" si="13"/>
        <v>0</v>
      </c>
      <c r="AD97" s="613">
        <f t="shared" si="14"/>
        <v>0</v>
      </c>
      <c r="AE97" s="613">
        <f t="shared" si="15"/>
        <v>0</v>
      </c>
      <c r="AF97" s="610">
        <f t="shared" si="16"/>
        <v>0</v>
      </c>
      <c r="AG97" s="610">
        <f t="shared" si="17"/>
        <v>0</v>
      </c>
      <c r="AH97" s="610">
        <f t="shared" si="18"/>
        <v>0</v>
      </c>
      <c r="AI97" s="611">
        <f t="shared" si="19"/>
        <v>0</v>
      </c>
      <c r="AJ97" s="612">
        <f t="shared" si="20"/>
        <v>0</v>
      </c>
      <c r="AK97" s="614">
        <f t="shared" si="22"/>
        <v>0</v>
      </c>
    </row>
    <row r="98" spans="10:37" ht="19.5" thickTop="1" thickBot="1" x14ac:dyDescent="0.4">
      <c r="J98" s="1858"/>
      <c r="K98" s="1858"/>
      <c r="L98" s="1858"/>
      <c r="M98" s="1858"/>
      <c r="N98" s="1858"/>
      <c r="O98" s="1858"/>
      <c r="P98" s="609"/>
      <c r="Q98" s="613"/>
      <c r="R98" s="613"/>
      <c r="S98" s="613"/>
      <c r="T98" s="613"/>
      <c r="U98" s="610"/>
      <c r="V98" s="610"/>
      <c r="W98" s="610"/>
      <c r="X98" s="611"/>
      <c r="Y98" s="612"/>
      <c r="Z98" s="499"/>
      <c r="AA98" s="609">
        <f t="shared" si="21"/>
        <v>0</v>
      </c>
      <c r="AB98" s="613">
        <f t="shared" si="12"/>
        <v>0</v>
      </c>
      <c r="AC98" s="613">
        <f t="shared" si="13"/>
        <v>0</v>
      </c>
      <c r="AD98" s="613">
        <f t="shared" si="14"/>
        <v>0</v>
      </c>
      <c r="AE98" s="613">
        <f t="shared" si="15"/>
        <v>0</v>
      </c>
      <c r="AF98" s="610">
        <f t="shared" si="16"/>
        <v>0</v>
      </c>
      <c r="AG98" s="610">
        <f t="shared" si="17"/>
        <v>0</v>
      </c>
      <c r="AH98" s="610">
        <f t="shared" si="18"/>
        <v>0</v>
      </c>
      <c r="AI98" s="611">
        <f t="shared" si="19"/>
        <v>0</v>
      </c>
      <c r="AJ98" s="612">
        <f t="shared" si="20"/>
        <v>0</v>
      </c>
      <c r="AK98" s="614">
        <f t="shared" si="22"/>
        <v>0</v>
      </c>
    </row>
    <row r="99" spans="10:37" ht="19.5" thickTop="1" thickBot="1" x14ac:dyDescent="0.4">
      <c r="J99" s="1858"/>
      <c r="K99" s="1858"/>
      <c r="L99" s="1858"/>
      <c r="M99" s="1858"/>
      <c r="N99" s="1858"/>
      <c r="O99" s="1858"/>
      <c r="P99" s="609"/>
      <c r="Q99" s="613"/>
      <c r="R99" s="613"/>
      <c r="S99" s="613"/>
      <c r="T99" s="613"/>
      <c r="U99" s="610"/>
      <c r="V99" s="610"/>
      <c r="W99" s="610"/>
      <c r="X99" s="611"/>
      <c r="Y99" s="612"/>
      <c r="Z99" s="499"/>
      <c r="AA99" s="609">
        <f t="shared" si="21"/>
        <v>0</v>
      </c>
      <c r="AB99" s="613">
        <f t="shared" si="12"/>
        <v>0</v>
      </c>
      <c r="AC99" s="613">
        <f t="shared" si="13"/>
        <v>0</v>
      </c>
      <c r="AD99" s="613">
        <f t="shared" si="14"/>
        <v>0</v>
      </c>
      <c r="AE99" s="613">
        <f t="shared" si="15"/>
        <v>0</v>
      </c>
      <c r="AF99" s="610">
        <f t="shared" si="16"/>
        <v>0</v>
      </c>
      <c r="AG99" s="610">
        <f t="shared" si="17"/>
        <v>0</v>
      </c>
      <c r="AH99" s="610">
        <f t="shared" si="18"/>
        <v>0</v>
      </c>
      <c r="AI99" s="611">
        <f t="shared" si="19"/>
        <v>0</v>
      </c>
      <c r="AJ99" s="612">
        <f t="shared" si="20"/>
        <v>0</v>
      </c>
      <c r="AK99" s="614">
        <f t="shared" si="22"/>
        <v>0</v>
      </c>
    </row>
    <row r="100" spans="10:37" ht="19.5" thickTop="1" thickBot="1" x14ac:dyDescent="0.4">
      <c r="J100" s="1858"/>
      <c r="K100" s="1858"/>
      <c r="L100" s="1858"/>
      <c r="M100" s="1858"/>
      <c r="N100" s="1858"/>
      <c r="O100" s="1858"/>
      <c r="P100" s="609"/>
      <c r="Q100" s="613"/>
      <c r="R100" s="613"/>
      <c r="S100" s="613"/>
      <c r="T100" s="613"/>
      <c r="U100" s="610"/>
      <c r="V100" s="610"/>
      <c r="W100" s="610"/>
      <c r="X100" s="611"/>
      <c r="Y100" s="612"/>
      <c r="Z100" s="499"/>
      <c r="AA100" s="609">
        <f t="shared" si="21"/>
        <v>0</v>
      </c>
      <c r="AB100" s="613">
        <f t="shared" si="12"/>
        <v>0</v>
      </c>
      <c r="AC100" s="613">
        <f t="shared" si="13"/>
        <v>0</v>
      </c>
      <c r="AD100" s="613">
        <f t="shared" si="14"/>
        <v>0</v>
      </c>
      <c r="AE100" s="613">
        <f t="shared" si="15"/>
        <v>0</v>
      </c>
      <c r="AF100" s="610">
        <f t="shared" si="16"/>
        <v>0</v>
      </c>
      <c r="AG100" s="610">
        <f t="shared" si="17"/>
        <v>0</v>
      </c>
      <c r="AH100" s="610">
        <f t="shared" si="18"/>
        <v>0</v>
      </c>
      <c r="AI100" s="611">
        <f t="shared" si="19"/>
        <v>0</v>
      </c>
      <c r="AJ100" s="612">
        <f t="shared" si="20"/>
        <v>0</v>
      </c>
      <c r="AK100" s="614">
        <f t="shared" si="22"/>
        <v>0</v>
      </c>
    </row>
    <row r="101" spans="10:37" ht="19.5" thickTop="1" thickBot="1" x14ac:dyDescent="0.4">
      <c r="J101" s="1858"/>
      <c r="K101" s="1858"/>
      <c r="L101" s="1858"/>
      <c r="M101" s="1858"/>
      <c r="N101" s="1858"/>
      <c r="O101" s="1858"/>
      <c r="P101" s="609"/>
      <c r="Q101" s="613"/>
      <c r="R101" s="613"/>
      <c r="S101" s="613"/>
      <c r="T101" s="613"/>
      <c r="U101" s="610"/>
      <c r="V101" s="610"/>
      <c r="W101" s="610"/>
      <c r="X101" s="611"/>
      <c r="Y101" s="612"/>
      <c r="Z101" s="499"/>
      <c r="AA101" s="609">
        <f t="shared" si="21"/>
        <v>0</v>
      </c>
      <c r="AB101" s="613">
        <f t="shared" si="12"/>
        <v>0</v>
      </c>
      <c r="AC101" s="613">
        <f t="shared" si="13"/>
        <v>0</v>
      </c>
      <c r="AD101" s="613">
        <f t="shared" si="14"/>
        <v>0</v>
      </c>
      <c r="AE101" s="613">
        <f t="shared" si="15"/>
        <v>0</v>
      </c>
      <c r="AF101" s="610">
        <f t="shared" si="16"/>
        <v>0</v>
      </c>
      <c r="AG101" s="610">
        <f t="shared" si="17"/>
        <v>0</v>
      </c>
      <c r="AH101" s="610">
        <f t="shared" si="18"/>
        <v>0</v>
      </c>
      <c r="AI101" s="611">
        <f t="shared" si="19"/>
        <v>0</v>
      </c>
      <c r="AJ101" s="612">
        <f t="shared" si="20"/>
        <v>0</v>
      </c>
      <c r="AK101" s="614">
        <f t="shared" si="22"/>
        <v>0</v>
      </c>
    </row>
    <row r="102" spans="10:37" ht="15" thickTop="1" x14ac:dyDescent="0.35"/>
  </sheetData>
  <sheetProtection algorithmName="SHA-512" hashValue="ALg2sLu7uhoMhToxywro1RtO0fE2Gl/kCjDVG371m/Ox8GMwiORVrhvCBwOv81FdlOqwp9TNEaiemuxXqbZNeg==" saltValue="Z3hIXi9rTwgAnf0ZgN+JAQ==" spinCount="100000" sheet="1" objects="1" scenarios="1"/>
  <mergeCells count="8">
    <mergeCell ref="AC2:AI2"/>
    <mergeCell ref="K2:M2"/>
    <mergeCell ref="B1:C1"/>
    <mergeCell ref="D1:E1"/>
    <mergeCell ref="C3:E3"/>
    <mergeCell ref="R2:X2"/>
    <mergeCell ref="S1:T1"/>
    <mergeCell ref="AE1:AF1"/>
  </mergeCells>
  <pageMargins left="0.7" right="0.7" top="0.75" bottom="0.75" header="0.3" footer="0.3"/>
  <pageSetup paperSize="9" orientation="portrait" horizontalDpi="4294967293"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35843" r:id="rId4" name="Drop Down 3">
              <controlPr defaultSize="0" autoLine="0" autoPict="0">
                <anchor moveWithCells="1">
                  <from>
                    <xdr:col>5</xdr:col>
                    <xdr:colOff>0</xdr:colOff>
                    <xdr:row>6</xdr:row>
                    <xdr:rowOff>12700</xdr:rowOff>
                  </from>
                  <to>
                    <xdr:col>6</xdr:col>
                    <xdr:colOff>12700</xdr:colOff>
                    <xdr:row>7</xdr:row>
                    <xdr:rowOff>0</xdr:rowOff>
                  </to>
                </anchor>
              </controlPr>
            </control>
          </mc:Choice>
        </mc:AlternateContent>
        <mc:AlternateContent xmlns:mc="http://schemas.openxmlformats.org/markup-compatibility/2006">
          <mc:Choice Requires="x14">
            <control shapeId="35844" r:id="rId5" name="Drop Down 4">
              <controlPr defaultSize="0" autoLine="0" autoPict="0">
                <anchor moveWithCells="1">
                  <from>
                    <xdr:col>5</xdr:col>
                    <xdr:colOff>12700</xdr:colOff>
                    <xdr:row>27</xdr:row>
                    <xdr:rowOff>12700</xdr:rowOff>
                  </from>
                  <to>
                    <xdr:col>6</xdr:col>
                    <xdr:colOff>12700</xdr:colOff>
                    <xdr:row>28</xdr:row>
                    <xdr:rowOff>0</xdr:rowOff>
                  </to>
                </anchor>
              </controlPr>
            </control>
          </mc:Choice>
        </mc:AlternateContent>
        <mc:AlternateContent xmlns:mc="http://schemas.openxmlformats.org/markup-compatibility/2006">
          <mc:Choice Requires="x14">
            <control shapeId="35845" r:id="rId6" name="Drop Down 5">
              <controlPr defaultSize="0" autoLine="0" autoPict="0">
                <anchor moveWithCells="1">
                  <from>
                    <xdr:col>5</xdr:col>
                    <xdr:colOff>12700</xdr:colOff>
                    <xdr:row>20</xdr:row>
                    <xdr:rowOff>12700</xdr:rowOff>
                  </from>
                  <to>
                    <xdr:col>6</xdr:col>
                    <xdr:colOff>12700</xdr:colOff>
                    <xdr:row>21</xdr:row>
                    <xdr:rowOff>12700</xdr:rowOff>
                  </to>
                </anchor>
              </controlPr>
            </control>
          </mc:Choice>
        </mc:AlternateContent>
        <mc:AlternateContent xmlns:mc="http://schemas.openxmlformats.org/markup-compatibility/2006">
          <mc:Choice Requires="x14">
            <control shapeId="35846" r:id="rId7" name="Drop Down 6">
              <controlPr defaultSize="0" autoLine="0" autoPict="0">
                <anchor moveWithCells="1">
                  <from>
                    <xdr:col>5</xdr:col>
                    <xdr:colOff>12700</xdr:colOff>
                    <xdr:row>21</xdr:row>
                    <xdr:rowOff>12700</xdr:rowOff>
                  </from>
                  <to>
                    <xdr:col>6</xdr:col>
                    <xdr:colOff>12700</xdr:colOff>
                    <xdr:row>22</xdr:row>
                    <xdr:rowOff>0</xdr:rowOff>
                  </to>
                </anchor>
              </controlPr>
            </control>
          </mc:Choice>
        </mc:AlternateContent>
        <mc:AlternateContent xmlns:mc="http://schemas.openxmlformats.org/markup-compatibility/2006">
          <mc:Choice Requires="x14">
            <control shapeId="35847" r:id="rId8" name="Drop Down 7">
              <controlPr defaultSize="0" autoLine="0" autoPict="0">
                <anchor moveWithCells="1">
                  <from>
                    <xdr:col>5</xdr:col>
                    <xdr:colOff>12700</xdr:colOff>
                    <xdr:row>22</xdr:row>
                    <xdr:rowOff>12700</xdr:rowOff>
                  </from>
                  <to>
                    <xdr:col>6</xdr:col>
                    <xdr:colOff>12700</xdr:colOff>
                    <xdr:row>23</xdr:row>
                    <xdr:rowOff>12700</xdr:rowOff>
                  </to>
                </anchor>
              </controlPr>
            </control>
          </mc:Choice>
        </mc:AlternateContent>
        <mc:AlternateContent xmlns:mc="http://schemas.openxmlformats.org/markup-compatibility/2006">
          <mc:Choice Requires="x14">
            <control shapeId="35888" r:id="rId9" name="Drop Down 48">
              <controlPr defaultSize="0" autoLine="0" autoPict="0">
                <anchor moveWithCells="1">
                  <from>
                    <xdr:col>5</xdr:col>
                    <xdr:colOff>12700</xdr:colOff>
                    <xdr:row>23</xdr:row>
                    <xdr:rowOff>12700</xdr:rowOff>
                  </from>
                  <to>
                    <xdr:col>6</xdr:col>
                    <xdr:colOff>12700</xdr:colOff>
                    <xdr:row>24</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tabColor rgb="FF00B050"/>
  </sheetPr>
  <dimension ref="A1:O131"/>
  <sheetViews>
    <sheetView zoomScale="90" zoomScaleNormal="90" workbookViewId="0">
      <selection sqref="A1:XFD1048576"/>
    </sheetView>
  </sheetViews>
  <sheetFormatPr defaultColWidth="9.1796875" defaultRowHeight="14.5" x14ac:dyDescent="0.35"/>
  <cols>
    <col min="1" max="1" width="7.453125" style="712" customWidth="1"/>
    <col min="2" max="2" width="18.36328125" style="512" customWidth="1"/>
    <col min="3" max="3" width="91.1796875" style="549" customWidth="1"/>
    <col min="4" max="4" width="16.81640625" style="549" customWidth="1"/>
    <col min="5" max="5" width="20.453125" style="529" customWidth="1"/>
    <col min="6" max="6" width="17.453125" style="568" customWidth="1"/>
    <col min="7" max="7" width="14.36328125" style="601" customWidth="1"/>
    <col min="8" max="8" width="13" style="549" customWidth="1"/>
    <col min="9" max="9" width="8.453125" style="549" customWidth="1"/>
    <col min="10" max="10" width="46.6328125" style="515" customWidth="1"/>
    <col min="11" max="11" width="15" style="549" customWidth="1"/>
    <col min="12" max="12" width="20.453125" style="549" customWidth="1"/>
    <col min="13" max="13" width="19.453125" style="662" customWidth="1"/>
    <col min="14" max="14" width="12" style="662" customWidth="1"/>
    <col min="15" max="15" width="18.453125" style="549" customWidth="1"/>
    <col min="16" max="16384" width="9.1796875" style="549"/>
  </cols>
  <sheetData>
    <row r="1" spans="1:12" ht="19" customHeight="1" thickBot="1" x14ac:dyDescent="0.4">
      <c r="A1" s="661"/>
      <c r="B1" s="1694" t="s">
        <v>403</v>
      </c>
      <c r="C1" s="1694"/>
      <c r="D1" s="1688" t="s">
        <v>8412</v>
      </c>
      <c r="E1" s="1689"/>
      <c r="F1" s="554" t="str">
        <f>LOOKUP(' Preparation'!$F$4,Data!$B$2:$B$194,Data!$C$2:$C$194)</f>
        <v>€ (Euro)</v>
      </c>
      <c r="G1" s="1634"/>
    </row>
    <row r="2" spans="1:12" s="547" customFormat="1" ht="26.5" customHeight="1" thickBot="1" x14ac:dyDescent="0.4">
      <c r="A2" s="579" t="s">
        <v>82</v>
      </c>
      <c r="B2" s="558" t="s">
        <v>150</v>
      </c>
      <c r="C2" s="558" t="s">
        <v>404</v>
      </c>
      <c r="D2" s="558" t="s">
        <v>67</v>
      </c>
      <c r="E2" s="501" t="s">
        <v>8112</v>
      </c>
      <c r="F2" s="559" t="s">
        <v>149</v>
      </c>
      <c r="G2" s="559" t="s">
        <v>258</v>
      </c>
      <c r="I2" s="549"/>
      <c r="J2" s="515"/>
      <c r="K2" s="549"/>
      <c r="L2" s="549"/>
    </row>
    <row r="3" spans="1:12" ht="25.5" customHeight="1" thickBot="1" x14ac:dyDescent="0.4">
      <c r="A3" s="663"/>
      <c r="B3" s="563" t="s">
        <v>89</v>
      </c>
      <c r="C3" s="1690" t="s">
        <v>8691</v>
      </c>
      <c r="D3" s="1691"/>
      <c r="E3" s="1691"/>
      <c r="F3" s="586"/>
      <c r="G3" s="587"/>
    </row>
    <row r="4" spans="1:12" ht="21" customHeight="1" thickBot="1" x14ac:dyDescent="0.4">
      <c r="A4" s="661"/>
      <c r="B4" s="664"/>
      <c r="C4" s="665" t="s">
        <v>7738</v>
      </c>
      <c r="D4" s="666" t="s">
        <v>67</v>
      </c>
      <c r="E4" s="667" t="s">
        <v>151</v>
      </c>
      <c r="F4" s="666" t="s">
        <v>149</v>
      </c>
      <c r="G4" s="668" t="s">
        <v>258</v>
      </c>
    </row>
    <row r="5" spans="1:12" ht="33.75" customHeight="1" x14ac:dyDescent="0.35">
      <c r="A5" s="669" t="s">
        <v>6963</v>
      </c>
      <c r="B5" s="670" t="s">
        <v>5837</v>
      </c>
      <c r="C5" s="525" t="s">
        <v>7938</v>
      </c>
      <c r="D5" s="525" t="s">
        <v>6964</v>
      </c>
      <c r="E5" s="532" t="s">
        <v>721</v>
      </c>
      <c r="F5" s="643">
        <v>1</v>
      </c>
      <c r="G5" s="671" t="str">
        <f>IF($F$5=1,"",IF($F$5=2,"Goto P-Ab 1", "Goto P-Gen 2"))</f>
        <v/>
      </c>
    </row>
    <row r="6" spans="1:12" ht="62.25" customHeight="1" x14ac:dyDescent="0.35">
      <c r="A6" s="672" t="s">
        <v>6965</v>
      </c>
      <c r="B6" s="443" t="s">
        <v>6967</v>
      </c>
      <c r="C6" s="525" t="s">
        <v>8825</v>
      </c>
      <c r="D6" s="525" t="s">
        <v>7740</v>
      </c>
      <c r="E6" s="532" t="s">
        <v>6966</v>
      </c>
      <c r="F6" s="673" t="str">
        <f>IF(AND($F$5=3,Pol.Data!I69&lt;&gt;0),Pol.Data!I69,"")</f>
        <v/>
      </c>
      <c r="G6" s="671"/>
    </row>
    <row r="7" spans="1:12" ht="61" customHeight="1" thickBot="1" x14ac:dyDescent="0.4">
      <c r="A7" s="672" t="s">
        <v>7739</v>
      </c>
      <c r="B7" s="443" t="s">
        <v>6958</v>
      </c>
      <c r="C7" s="525" t="s">
        <v>8935</v>
      </c>
      <c r="D7" s="525"/>
      <c r="E7" s="532"/>
      <c r="F7" s="671" t="s">
        <v>7946</v>
      </c>
      <c r="G7" s="671" t="s">
        <v>7947</v>
      </c>
    </row>
    <row r="8" spans="1:12" ht="17.25" customHeight="1" thickBot="1" x14ac:dyDescent="0.4">
      <c r="A8" s="672"/>
      <c r="B8" s="1698" t="s">
        <v>8512</v>
      </c>
      <c r="C8" s="1698"/>
      <c r="D8" s="666" t="s">
        <v>67</v>
      </c>
      <c r="E8" s="667" t="s">
        <v>151</v>
      </c>
      <c r="F8" s="666" t="s">
        <v>149</v>
      </c>
      <c r="G8" s="668" t="s">
        <v>258</v>
      </c>
    </row>
    <row r="9" spans="1:12" ht="47.25" customHeight="1" x14ac:dyDescent="0.35">
      <c r="A9" s="669" t="s">
        <v>6976</v>
      </c>
      <c r="B9" s="443" t="s">
        <v>461</v>
      </c>
      <c r="C9" s="525" t="s">
        <v>7948</v>
      </c>
      <c r="D9" s="525" t="s">
        <v>8616</v>
      </c>
      <c r="E9" s="532" t="s">
        <v>8637</v>
      </c>
      <c r="F9" s="674">
        <v>1</v>
      </c>
      <c r="G9" s="446" t="str">
        <f>IF($F$9=1,"",IF($F$9=2,"Goto P-Ab 2", "Goto P-Ab 3"))</f>
        <v/>
      </c>
    </row>
    <row r="10" spans="1:12" ht="44.5" customHeight="1" x14ac:dyDescent="0.35">
      <c r="A10" s="669" t="s">
        <v>6977</v>
      </c>
      <c r="B10" s="443" t="s">
        <v>5860</v>
      </c>
      <c r="C10" s="525" t="s">
        <v>8618</v>
      </c>
      <c r="D10" s="525" t="s">
        <v>8617</v>
      </c>
      <c r="E10" s="532" t="s">
        <v>5859</v>
      </c>
      <c r="F10" s="675" t="s">
        <v>7890</v>
      </c>
      <c r="G10" s="446" t="str">
        <f>IF(F9=2,"Goto P-Ab 4","")</f>
        <v/>
      </c>
    </row>
    <row r="11" spans="1:12" ht="59.5" customHeight="1" x14ac:dyDescent="0.35">
      <c r="A11" s="669" t="s">
        <v>6978</v>
      </c>
      <c r="B11" s="443" t="s">
        <v>5861</v>
      </c>
      <c r="C11" s="525" t="s">
        <v>8660</v>
      </c>
      <c r="D11" s="525" t="s">
        <v>8619</v>
      </c>
      <c r="E11" s="532" t="s">
        <v>5861</v>
      </c>
      <c r="F11" s="675" t="s">
        <v>7737</v>
      </c>
      <c r="G11" s="446"/>
    </row>
    <row r="12" spans="1:12" ht="46" customHeight="1" x14ac:dyDescent="0.35">
      <c r="A12" s="672" t="s">
        <v>6979</v>
      </c>
      <c r="B12" s="443" t="s">
        <v>7536</v>
      </c>
      <c r="C12" s="525" t="s">
        <v>8661</v>
      </c>
      <c r="D12" s="525" t="s">
        <v>8620</v>
      </c>
      <c r="E12" s="532" t="s">
        <v>7536</v>
      </c>
      <c r="F12" s="675" t="s">
        <v>7949</v>
      </c>
      <c r="G12" s="446"/>
    </row>
    <row r="13" spans="1:12" ht="33.75" customHeight="1" thickBot="1" x14ac:dyDescent="0.4">
      <c r="A13" s="672" t="s">
        <v>6980</v>
      </c>
      <c r="B13" s="443" t="s">
        <v>7600</v>
      </c>
      <c r="C13" s="525" t="s">
        <v>8971</v>
      </c>
      <c r="D13" s="525" t="s">
        <v>91</v>
      </c>
      <c r="E13" s="532" t="s">
        <v>78</v>
      </c>
      <c r="F13" s="1863"/>
      <c r="G13" s="446"/>
    </row>
    <row r="14" spans="1:12" ht="36" customHeight="1" thickBot="1" x14ac:dyDescent="0.4">
      <c r="A14" s="672" t="s">
        <v>6981</v>
      </c>
      <c r="B14" s="676" t="s">
        <v>1050</v>
      </c>
      <c r="C14" s="677" t="s">
        <v>7891</v>
      </c>
      <c r="D14" s="525"/>
      <c r="E14" s="532"/>
      <c r="F14" s="678" t="str">
        <f>IF($F$5=1,"",IF($F$5=2,$F$13,$F$6))</f>
        <v/>
      </c>
      <c r="G14" s="600"/>
    </row>
    <row r="15" spans="1:12" ht="15.75" customHeight="1" thickBot="1" x14ac:dyDescent="0.4">
      <c r="A15" s="672"/>
      <c r="B15" s="676"/>
      <c r="C15" s="679"/>
      <c r="D15" s="525"/>
      <c r="E15" s="532"/>
      <c r="F15" s="680"/>
      <c r="G15" s="1626"/>
    </row>
    <row r="16" spans="1:12" ht="16.5" customHeight="1" thickBot="1" x14ac:dyDescent="0.4">
      <c r="A16" s="672"/>
      <c r="B16" s="1698" t="s">
        <v>6999</v>
      </c>
      <c r="C16" s="1698"/>
      <c r="D16" s="666" t="s">
        <v>67</v>
      </c>
      <c r="E16" s="667" t="s">
        <v>151</v>
      </c>
      <c r="F16" s="666" t="s">
        <v>149</v>
      </c>
      <c r="G16" s="668" t="s">
        <v>258</v>
      </c>
    </row>
    <row r="17" spans="1:15" ht="45.75" customHeight="1" x14ac:dyDescent="0.35">
      <c r="A17" s="669" t="s">
        <v>6982</v>
      </c>
      <c r="B17" s="443" t="s">
        <v>6975</v>
      </c>
      <c r="C17" s="516" t="s">
        <v>8633</v>
      </c>
      <c r="D17" s="525" t="s">
        <v>76</v>
      </c>
      <c r="E17" s="524" t="s">
        <v>6975</v>
      </c>
      <c r="F17" s="681">
        <v>1</v>
      </c>
      <c r="G17" s="446" t="str">
        <f>IF($F$17=1,"",IF($F$17=3,"Goto P-Ae 2", "Goto P-Ae 3"))</f>
        <v/>
      </c>
    </row>
    <row r="18" spans="1:15" ht="47.5" customHeight="1" x14ac:dyDescent="0.35">
      <c r="A18" s="669" t="s">
        <v>6983</v>
      </c>
      <c r="B18" s="443" t="s">
        <v>6984</v>
      </c>
      <c r="C18" s="516" t="s">
        <v>8662</v>
      </c>
      <c r="D18" s="525" t="s">
        <v>7660</v>
      </c>
      <c r="E18" s="532" t="s">
        <v>6985</v>
      </c>
      <c r="F18" s="682" t="str">
        <f>IF(F17=2,"","No result")</f>
        <v>No result</v>
      </c>
      <c r="G18" s="446" t="str">
        <f>IF($F$17=3,"Return to P-Gen 1","")</f>
        <v/>
      </c>
    </row>
    <row r="19" spans="1:15" ht="59.25" customHeight="1" x14ac:dyDescent="0.35">
      <c r="A19" s="669" t="s">
        <v>6986</v>
      </c>
      <c r="B19" s="443" t="s">
        <v>7601</v>
      </c>
      <c r="C19" s="525" t="s">
        <v>8663</v>
      </c>
      <c r="D19" s="525" t="s">
        <v>76</v>
      </c>
      <c r="E19" s="532" t="s">
        <v>6995</v>
      </c>
      <c r="F19" s="1864"/>
      <c r="G19" s="446"/>
    </row>
    <row r="20" spans="1:15" ht="44.5" customHeight="1" x14ac:dyDescent="0.35">
      <c r="A20" s="669" t="s">
        <v>6987</v>
      </c>
      <c r="B20" s="443" t="s">
        <v>6962</v>
      </c>
      <c r="C20" s="516" t="s">
        <v>8669</v>
      </c>
      <c r="D20" s="525" t="s">
        <v>76</v>
      </c>
      <c r="E20" s="532" t="s">
        <v>8518</v>
      </c>
      <c r="F20" s="538">
        <v>1</v>
      </c>
      <c r="G20" s="446" t="str">
        <f>IF($F$20=1,"",IF($F$20=2,"Goto P-Ae 5", "Goto P-Ae 6"))</f>
        <v/>
      </c>
    </row>
    <row r="21" spans="1:15" ht="59.5" customHeight="1" x14ac:dyDescent="0.35">
      <c r="A21" s="669" t="s">
        <v>6988</v>
      </c>
      <c r="B21" s="443" t="s">
        <v>7950</v>
      </c>
      <c r="C21" s="525" t="s">
        <v>8679</v>
      </c>
      <c r="D21" s="525" t="s">
        <v>8632</v>
      </c>
      <c r="E21" s="532" t="s">
        <v>7005</v>
      </c>
      <c r="F21" s="683"/>
      <c r="G21" s="446" t="str">
        <f>IF($F$20=2,"Goto P-Ae 8","")</f>
        <v/>
      </c>
    </row>
    <row r="22" spans="1:15" ht="30.75" customHeight="1" x14ac:dyDescent="0.35">
      <c r="A22" s="669" t="s">
        <v>6989</v>
      </c>
      <c r="B22" s="443" t="s">
        <v>6993</v>
      </c>
      <c r="C22" s="525" t="s">
        <v>8229</v>
      </c>
      <c r="D22" s="525" t="s">
        <v>7760</v>
      </c>
      <c r="E22" s="532" t="s">
        <v>6993</v>
      </c>
      <c r="F22" s="682">
        <f ca="1">LOOKUP(' Preparation'!$F$6,Pol.Data!$A$47:$A$238,Pol.Data!$C$47:$C$239)</f>
        <v>0</v>
      </c>
      <c r="G22" s="600"/>
    </row>
    <row r="23" spans="1:15" ht="35.25" customHeight="1" thickBot="1" x14ac:dyDescent="0.4">
      <c r="A23" s="669" t="s">
        <v>6992</v>
      </c>
      <c r="B23" s="443" t="s">
        <v>7661</v>
      </c>
      <c r="C23" s="525" t="s">
        <v>7662</v>
      </c>
      <c r="D23" s="525" t="s">
        <v>7760</v>
      </c>
      <c r="E23" s="532" t="s">
        <v>6990</v>
      </c>
      <c r="F23" s="682">
        <f ca="1">IF(F22="n.a.", "no data", $F$19*$F$22)</f>
        <v>0</v>
      </c>
      <c r="G23" s="446" t="str">
        <f>IF(OR($F$20=1,$F$20=2),"","Goto P-Ae 9")</f>
        <v/>
      </c>
    </row>
    <row r="24" spans="1:15" ht="57.75" customHeight="1" thickBot="1" x14ac:dyDescent="0.4">
      <c r="A24" s="669" t="s">
        <v>6996</v>
      </c>
      <c r="B24" s="443" t="s">
        <v>7004</v>
      </c>
      <c r="C24" s="525" t="s">
        <v>8671</v>
      </c>
      <c r="D24" s="525" t="s">
        <v>8672</v>
      </c>
      <c r="E24" s="532" t="s">
        <v>6998</v>
      </c>
      <c r="F24" s="684">
        <f>Pol.Data!G260</f>
        <v>0</v>
      </c>
      <c r="G24" s="600"/>
      <c r="L24" s="1703" t="s">
        <v>8412</v>
      </c>
      <c r="M24" s="1704"/>
      <c r="N24" s="1705" t="s">
        <v>8659</v>
      </c>
      <c r="O24" s="1706"/>
    </row>
    <row r="25" spans="1:15" ht="20.25" customHeight="1" thickBot="1" x14ac:dyDescent="0.4">
      <c r="A25" s="669"/>
      <c r="B25" s="443"/>
      <c r="C25" s="525"/>
      <c r="D25" s="525"/>
      <c r="E25" s="532"/>
      <c r="F25" s="532"/>
      <c r="G25" s="600"/>
    </row>
    <row r="26" spans="1:15" ht="31.5" customHeight="1" thickBot="1" x14ac:dyDescent="0.4">
      <c r="A26" s="669" t="s">
        <v>6997</v>
      </c>
      <c r="B26" s="676" t="s">
        <v>1050</v>
      </c>
      <c r="C26" s="685" t="s">
        <v>7892</v>
      </c>
      <c r="D26" s="525"/>
      <c r="E26" s="532"/>
      <c r="F26" s="678" t="str">
        <f>IF($F$17=1,"",IF($F$20=2,$F$24,$F$23))</f>
        <v/>
      </c>
      <c r="G26" s="600"/>
      <c r="I26" s="1708" t="s">
        <v>7951</v>
      </c>
      <c r="J26" s="1709"/>
      <c r="K26" s="1709"/>
      <c r="L26" s="1709"/>
      <c r="M26" s="1709"/>
      <c r="N26" s="1709"/>
      <c r="O26" s="1710"/>
    </row>
    <row r="27" spans="1:15" ht="44.25" customHeight="1" thickBot="1" x14ac:dyDescent="0.4">
      <c r="A27" s="669"/>
      <c r="B27" s="676"/>
      <c r="C27" s="685"/>
      <c r="D27" s="525"/>
      <c r="E27" s="532"/>
      <c r="F27" s="680"/>
      <c r="G27" s="600"/>
      <c r="I27" s="686" t="s">
        <v>82</v>
      </c>
      <c r="J27" s="687" t="s">
        <v>6927</v>
      </c>
      <c r="K27" s="688" t="s">
        <v>7956</v>
      </c>
      <c r="L27" s="689" t="s">
        <v>8641</v>
      </c>
      <c r="M27" s="689" t="s">
        <v>8642</v>
      </c>
      <c r="N27" s="690" t="s">
        <v>7129</v>
      </c>
      <c r="O27" s="691" t="s">
        <v>8643</v>
      </c>
    </row>
    <row r="28" spans="1:15" ht="23.25" customHeight="1" thickBot="1" x14ac:dyDescent="0.4">
      <c r="A28" s="672"/>
      <c r="B28" s="1698" t="s">
        <v>7000</v>
      </c>
      <c r="C28" s="1698"/>
      <c r="D28" s="666" t="s">
        <v>67</v>
      </c>
      <c r="E28" s="667" t="s">
        <v>151</v>
      </c>
      <c r="F28" s="666" t="s">
        <v>149</v>
      </c>
      <c r="G28" s="668" t="s">
        <v>258</v>
      </c>
      <c r="I28" s="692">
        <v>1</v>
      </c>
      <c r="J28" s="1865">
        <v>1</v>
      </c>
      <c r="K28" s="1866"/>
      <c r="L28" s="693">
        <f>K28*LOOKUP(J28,Pol.Data!$AN$4:$AN$48,Pol.Data!$AQ$4:$AQ$48)</f>
        <v>0</v>
      </c>
      <c r="M28" s="1867"/>
      <c r="N28" s="1868"/>
      <c r="O28" s="693">
        <f>(N28*M28+(1-N28)*L28)</f>
        <v>0</v>
      </c>
    </row>
    <row r="29" spans="1:15" ht="24.75" customHeight="1" thickBot="1" x14ac:dyDescent="0.4">
      <c r="A29" s="672"/>
      <c r="B29" s="694" t="s">
        <v>6973</v>
      </c>
      <c r="C29" s="1699" t="s">
        <v>7027</v>
      </c>
      <c r="D29" s="1700"/>
      <c r="E29" s="1700"/>
      <c r="F29" s="1700"/>
      <c r="G29" s="1701"/>
      <c r="I29" s="692">
        <v>2</v>
      </c>
      <c r="J29" s="1865">
        <v>1</v>
      </c>
      <c r="K29" s="1866"/>
      <c r="L29" s="693">
        <f>K29*LOOKUP(J29,Pol.Data!$AN$4:$AN$48,Pol.Data!$AQ$4:$AQ$48)</f>
        <v>0</v>
      </c>
      <c r="M29" s="1867"/>
      <c r="N29" s="1868"/>
      <c r="O29" s="693">
        <f>(N29*M29+(1-N29)*L29)</f>
        <v>0</v>
      </c>
    </row>
    <row r="30" spans="1:15" ht="32.5" customHeight="1" thickBot="1" x14ac:dyDescent="0.4">
      <c r="A30" s="669" t="s">
        <v>7006</v>
      </c>
      <c r="B30" s="443" t="s">
        <v>65</v>
      </c>
      <c r="C30" s="539" t="s">
        <v>7741</v>
      </c>
      <c r="D30" s="525" t="s">
        <v>66</v>
      </c>
      <c r="E30" s="532" t="s">
        <v>7733</v>
      </c>
      <c r="F30" s="538">
        <v>1</v>
      </c>
      <c r="G30" s="446" t="str">
        <f>IF($F$30=1,"",IF($F$30=3,"Goto P-Af 2", "Goto P-Af 5"))</f>
        <v/>
      </c>
      <c r="I30" s="692">
        <v>3</v>
      </c>
      <c r="J30" s="1865">
        <v>1</v>
      </c>
      <c r="K30" s="1866"/>
      <c r="L30" s="693">
        <f>K30*LOOKUP(J30,Pol.Data!$AN$4:$AN$48,Pol.Data!$AQ$4:$AQ$48)</f>
        <v>0</v>
      </c>
      <c r="M30" s="1867"/>
      <c r="N30" s="1868"/>
      <c r="O30" s="693">
        <f>(N30*M30+(1-N30)*L30)</f>
        <v>0</v>
      </c>
    </row>
    <row r="31" spans="1:15" ht="59.25" customHeight="1" thickBot="1" x14ac:dyDescent="0.4">
      <c r="A31" s="669" t="s">
        <v>8621</v>
      </c>
      <c r="B31" s="443" t="s">
        <v>83</v>
      </c>
      <c r="C31" s="525" t="s">
        <v>8639</v>
      </c>
      <c r="D31" s="525" t="s">
        <v>7954</v>
      </c>
      <c r="E31" s="532" t="s">
        <v>83</v>
      </c>
      <c r="F31" s="693" t="s">
        <v>7955</v>
      </c>
      <c r="G31" s="600"/>
      <c r="I31" s="692">
        <v>4</v>
      </c>
      <c r="J31" s="1865">
        <v>1</v>
      </c>
      <c r="K31" s="1866"/>
      <c r="L31" s="693">
        <f>K31*LOOKUP(J31,Pol.Data!$AN$4:$AN$48,Pol.Data!$AQ$4:$AQ$48)</f>
        <v>0</v>
      </c>
      <c r="M31" s="1867"/>
      <c r="N31" s="1868"/>
      <c r="O31" s="693">
        <f>(N31*M31+(1-N31)*L31)</f>
        <v>0</v>
      </c>
    </row>
    <row r="32" spans="1:15" ht="60.75" customHeight="1" thickBot="1" x14ac:dyDescent="0.4">
      <c r="A32" s="669" t="s">
        <v>7007</v>
      </c>
      <c r="B32" s="443" t="s">
        <v>7952</v>
      </c>
      <c r="C32" s="525" t="s">
        <v>8638</v>
      </c>
      <c r="D32" s="525" t="s">
        <v>76</v>
      </c>
      <c r="E32" s="532" t="s">
        <v>8331</v>
      </c>
      <c r="F32" s="693">
        <f>$O$33</f>
        <v>0</v>
      </c>
      <c r="G32" s="600"/>
      <c r="I32" s="692">
        <v>5</v>
      </c>
      <c r="J32" s="1869">
        <v>1</v>
      </c>
      <c r="K32" s="1866"/>
      <c r="L32" s="693">
        <f>K32*LOOKUP(J32,Pol.Data!$AN$4:$AN$48,Pol.Data!$AQ$4:$AQ$48)</f>
        <v>0</v>
      </c>
      <c r="M32" s="1867"/>
      <c r="N32" s="1868"/>
      <c r="O32" s="693">
        <f>(N32*M32+(1-N32)*L32)</f>
        <v>0</v>
      </c>
    </row>
    <row r="33" spans="1:15" ht="44" thickBot="1" x14ac:dyDescent="0.4">
      <c r="A33" s="669" t="s">
        <v>7008</v>
      </c>
      <c r="B33" s="443" t="s">
        <v>1050</v>
      </c>
      <c r="C33" s="525" t="s">
        <v>8640</v>
      </c>
      <c r="D33" s="525" t="s">
        <v>76</v>
      </c>
      <c r="E33" s="532" t="s">
        <v>8330</v>
      </c>
      <c r="F33" s="683"/>
      <c r="G33" s="600"/>
      <c r="K33" s="1711" t="s">
        <v>8626</v>
      </c>
      <c r="L33" s="1711"/>
      <c r="M33" s="1711"/>
      <c r="O33" s="678">
        <f>SUM(O28:O32)</f>
        <v>0</v>
      </c>
    </row>
    <row r="34" spans="1:15" ht="24" customHeight="1" thickBot="1" x14ac:dyDescent="0.4">
      <c r="A34" s="669" t="s">
        <v>7009</v>
      </c>
      <c r="B34" s="443" t="s">
        <v>272</v>
      </c>
      <c r="C34" s="695" t="s">
        <v>6968</v>
      </c>
      <c r="D34" s="525"/>
      <c r="E34" s="532"/>
      <c r="F34" s="678" t="str">
        <f>IF($F$30=1,"",IF($F$30=2,0,$F$33))</f>
        <v/>
      </c>
      <c r="G34" s="600"/>
    </row>
    <row r="35" spans="1:15" ht="15.75" customHeight="1" thickBot="1" x14ac:dyDescent="0.4">
      <c r="A35" s="669"/>
      <c r="B35" s="443"/>
      <c r="C35" s="695"/>
      <c r="D35" s="525"/>
      <c r="E35" s="532"/>
      <c r="F35" s="681"/>
      <c r="G35" s="1626"/>
      <c r="L35" s="1703" t="s">
        <v>8412</v>
      </c>
      <c r="M35" s="1704"/>
      <c r="N35" s="1705" t="s">
        <v>8659</v>
      </c>
      <c r="O35" s="1707"/>
    </row>
    <row r="36" spans="1:15" ht="15" customHeight="1" thickBot="1" x14ac:dyDescent="0.4">
      <c r="A36" s="672"/>
      <c r="B36" s="1698" t="s">
        <v>7001</v>
      </c>
      <c r="C36" s="1698"/>
      <c r="D36" s="666" t="s">
        <v>67</v>
      </c>
      <c r="E36" s="667" t="s">
        <v>151</v>
      </c>
      <c r="F36" s="666" t="s">
        <v>149</v>
      </c>
      <c r="G36" s="668" t="s">
        <v>258</v>
      </c>
    </row>
    <row r="37" spans="1:15" ht="38.25" customHeight="1" thickBot="1" x14ac:dyDescent="0.4">
      <c r="A37" s="669" t="s">
        <v>7010</v>
      </c>
      <c r="B37" s="443" t="s">
        <v>6929</v>
      </c>
      <c r="C37" s="525" t="s">
        <v>7852</v>
      </c>
      <c r="D37" s="525" t="s">
        <v>76</v>
      </c>
      <c r="E37" s="532" t="s">
        <v>6930</v>
      </c>
      <c r="F37" s="674">
        <v>1</v>
      </c>
      <c r="G37" s="446" t="str">
        <f>IF($F$37=1,"",IF($F$37=2,"Goto P-Atc 2", "Goto P-Atc 5"))</f>
        <v/>
      </c>
      <c r="I37" s="1708" t="s">
        <v>7896</v>
      </c>
      <c r="J37" s="1709"/>
      <c r="K37" s="1709"/>
      <c r="L37" s="1709"/>
      <c r="M37" s="1709"/>
      <c r="N37" s="1709"/>
      <c r="O37" s="1710"/>
    </row>
    <row r="38" spans="1:15" ht="58" customHeight="1" thickBot="1" x14ac:dyDescent="0.4">
      <c r="A38" s="669" t="s">
        <v>7011</v>
      </c>
      <c r="B38" s="443" t="s">
        <v>8623</v>
      </c>
      <c r="C38" s="525" t="s">
        <v>8519</v>
      </c>
      <c r="D38" s="525" t="s">
        <v>7926</v>
      </c>
      <c r="E38" s="532" t="s">
        <v>7901</v>
      </c>
      <c r="F38" s="693" t="s">
        <v>7931</v>
      </c>
      <c r="G38" s="446"/>
      <c r="I38" s="686" t="s">
        <v>82</v>
      </c>
      <c r="J38" s="687" t="s">
        <v>7893</v>
      </c>
      <c r="K38" s="688" t="s">
        <v>7894</v>
      </c>
      <c r="L38" s="689" t="s">
        <v>8644</v>
      </c>
      <c r="M38" s="689" t="s">
        <v>8645</v>
      </c>
      <c r="N38" s="690" t="s">
        <v>7129</v>
      </c>
      <c r="O38" s="691" t="s">
        <v>8646</v>
      </c>
    </row>
    <row r="39" spans="1:15" ht="60" customHeight="1" thickBot="1" x14ac:dyDescent="0.4">
      <c r="A39" s="669" t="s">
        <v>7012</v>
      </c>
      <c r="B39" s="443" t="s">
        <v>7897</v>
      </c>
      <c r="C39" s="525" t="s">
        <v>8970</v>
      </c>
      <c r="D39" s="525" t="s">
        <v>76</v>
      </c>
      <c r="E39" s="532" t="s">
        <v>8333</v>
      </c>
      <c r="F39" s="1870"/>
      <c r="G39" s="446"/>
      <c r="I39" s="692">
        <v>1</v>
      </c>
      <c r="J39" s="1865">
        <v>1</v>
      </c>
      <c r="K39" s="1866">
        <v>0</v>
      </c>
      <c r="L39" s="693">
        <f>K39*LOOKUP(J39,Pol.Data!$AN$4:$AN$48,Pol.Data!$AQ$4:$AQ$48)</f>
        <v>0</v>
      </c>
      <c r="M39" s="1867"/>
      <c r="N39" s="1868"/>
      <c r="O39" s="693">
        <f>(N39*M39+(1-N39)*L39)</f>
        <v>0</v>
      </c>
    </row>
    <row r="40" spans="1:15" ht="34" customHeight="1" thickBot="1" x14ac:dyDescent="0.4">
      <c r="A40" s="669" t="s">
        <v>7013</v>
      </c>
      <c r="B40" s="443" t="s">
        <v>7898</v>
      </c>
      <c r="C40" s="696" t="s">
        <v>7899</v>
      </c>
      <c r="D40" s="525" t="s">
        <v>7759</v>
      </c>
      <c r="E40" s="532" t="s">
        <v>8332</v>
      </c>
      <c r="F40" s="697">
        <f>IF(OR(' Preparation'!$F$11=0,' Preparation'!$F$24=0),"no data",($F$39*(' Preparation'!$F$21/' Preparation'!$F$11)/(' Preparation'!$F$21/' Preparation'!$F$24)))</f>
        <v>0</v>
      </c>
      <c r="G40" s="446" t="s">
        <v>7028</v>
      </c>
      <c r="I40" s="692">
        <v>2</v>
      </c>
      <c r="J40" s="1865">
        <v>1</v>
      </c>
      <c r="K40" s="1866">
        <v>0</v>
      </c>
      <c r="L40" s="693">
        <f>K40*LOOKUP(J40,Pol.Data!$AN$4:$AN$48,Pol.Data!$AQ$4:$AQ$48)</f>
        <v>0</v>
      </c>
      <c r="M40" s="1867"/>
      <c r="N40" s="1868"/>
      <c r="O40" s="693">
        <f t="shared" ref="O40:O51" si="0">(N40*M40+(1-N40)*L40)</f>
        <v>0</v>
      </c>
    </row>
    <row r="41" spans="1:15" ht="50.25" customHeight="1" thickBot="1" x14ac:dyDescent="0.4">
      <c r="A41" s="669" t="s">
        <v>7014</v>
      </c>
      <c r="B41" s="443" t="s">
        <v>7902</v>
      </c>
      <c r="C41" s="696" t="s">
        <v>8977</v>
      </c>
      <c r="D41" s="525" t="s">
        <v>6928</v>
      </c>
      <c r="E41" s="532" t="s">
        <v>8334</v>
      </c>
      <c r="F41" s="697">
        <f>233*20*Pol.Data!$AQ$6*Labor!$F$10/1864</f>
        <v>0</v>
      </c>
      <c r="G41" s="446"/>
      <c r="I41" s="692">
        <v>3</v>
      </c>
      <c r="J41" s="1865">
        <v>1</v>
      </c>
      <c r="K41" s="1866">
        <v>0</v>
      </c>
      <c r="L41" s="693">
        <f>K41*LOOKUP(J41,Pol.Data!$AN$4:$AN$48,Pol.Data!$AQ$4:$AQ$48)</f>
        <v>0</v>
      </c>
      <c r="M41" s="1867"/>
      <c r="N41" s="1868"/>
      <c r="O41" s="693">
        <f t="shared" si="0"/>
        <v>0</v>
      </c>
    </row>
    <row r="42" spans="1:15" ht="30.75" customHeight="1" thickBot="1" x14ac:dyDescent="0.4">
      <c r="A42" s="669" t="s">
        <v>7015</v>
      </c>
      <c r="B42" s="676" t="s">
        <v>1050</v>
      </c>
      <c r="C42" s="695" t="s">
        <v>6969</v>
      </c>
      <c r="D42" s="525"/>
      <c r="E42" s="532" t="s">
        <v>8335</v>
      </c>
      <c r="F42" s="678" t="str">
        <f>IF($F$37=1,"",IF($F$37=2,$F$40,$F$41))</f>
        <v/>
      </c>
      <c r="G42" s="600"/>
      <c r="I42" s="692">
        <v>4</v>
      </c>
      <c r="J42" s="1865">
        <v>1</v>
      </c>
      <c r="K42" s="1866">
        <v>0</v>
      </c>
      <c r="L42" s="693">
        <f>K42*LOOKUP(J42,Pol.Data!$AN$4:$AN$48,Pol.Data!$AQ$4:$AQ$48)</f>
        <v>0</v>
      </c>
      <c r="M42" s="1867"/>
      <c r="N42" s="1868"/>
      <c r="O42" s="693">
        <f t="shared" si="0"/>
        <v>0</v>
      </c>
    </row>
    <row r="43" spans="1:15" ht="30.75" customHeight="1" thickBot="1" x14ac:dyDescent="0.4">
      <c r="A43" s="669" t="s">
        <v>7900</v>
      </c>
      <c r="B43" s="676"/>
      <c r="E43" s="528"/>
      <c r="F43" s="499"/>
      <c r="G43" s="600"/>
      <c r="H43" s="698"/>
      <c r="I43" s="692">
        <v>5</v>
      </c>
      <c r="J43" s="1869">
        <v>1</v>
      </c>
      <c r="K43" s="1866">
        <v>4.0000000000000001E-3</v>
      </c>
      <c r="L43" s="693">
        <f>K43*LOOKUP(J43,Pol.Data!$AN$4:$AN$48,Pol.Data!$AQ$4:$AQ$48)</f>
        <v>0</v>
      </c>
      <c r="M43" s="1867"/>
      <c r="N43" s="1868"/>
      <c r="O43" s="693">
        <f t="shared" si="0"/>
        <v>0</v>
      </c>
    </row>
    <row r="44" spans="1:15" ht="23.25" customHeight="1" thickBot="1" x14ac:dyDescent="0.4">
      <c r="A44" s="672"/>
      <c r="B44" s="1698" t="s">
        <v>7002</v>
      </c>
      <c r="C44" s="1698"/>
      <c r="D44" s="666" t="s">
        <v>67</v>
      </c>
      <c r="E44" s="667" t="s">
        <v>151</v>
      </c>
      <c r="F44" s="666" t="s">
        <v>149</v>
      </c>
      <c r="G44" s="668" t="s">
        <v>258</v>
      </c>
      <c r="H44" s="698"/>
      <c r="I44" s="692">
        <v>6</v>
      </c>
      <c r="J44" s="1871">
        <v>1</v>
      </c>
      <c r="K44" s="1866">
        <v>5.0000000000000001E-3</v>
      </c>
      <c r="L44" s="693">
        <f>K44*LOOKUP(J44,Pol.Data!$AN$4:$AN$48,Pol.Data!$AQ$4:$AQ$48)</f>
        <v>0</v>
      </c>
      <c r="M44" s="1867"/>
      <c r="N44" s="1868"/>
      <c r="O44" s="693">
        <f t="shared" si="0"/>
        <v>0</v>
      </c>
    </row>
    <row r="45" spans="1:15" ht="30.75" customHeight="1" thickBot="1" x14ac:dyDescent="0.4">
      <c r="A45" s="669" t="s">
        <v>7016</v>
      </c>
      <c r="B45" s="443" t="s">
        <v>6931</v>
      </c>
      <c r="C45" s="525" t="s">
        <v>6935</v>
      </c>
      <c r="D45" s="525" t="s">
        <v>69</v>
      </c>
      <c r="E45" s="532" t="s">
        <v>6933</v>
      </c>
      <c r="F45" s="674">
        <v>1</v>
      </c>
      <c r="G45" s="446" t="str">
        <f>IF(F45=1,"",IF(F45=2,"Goto P-Abt 2", "Goto P-Abt 3"))</f>
        <v/>
      </c>
      <c r="I45" s="692">
        <v>7</v>
      </c>
      <c r="J45" s="1871">
        <v>1</v>
      </c>
      <c r="K45" s="1866">
        <v>6.0000000000000001E-3</v>
      </c>
      <c r="L45" s="693">
        <f>K45*LOOKUP(J45,Pol.Data!$AN$4:$AN$48,Pol.Data!$AQ$4:$AQ$48)</f>
        <v>0</v>
      </c>
      <c r="M45" s="1867"/>
      <c r="N45" s="1868"/>
      <c r="O45" s="693">
        <f t="shared" si="0"/>
        <v>0</v>
      </c>
    </row>
    <row r="46" spans="1:15" ht="45.75" customHeight="1" thickBot="1" x14ac:dyDescent="0.4">
      <c r="A46" s="669" t="s">
        <v>7017</v>
      </c>
      <c r="B46" s="443" t="s">
        <v>6934</v>
      </c>
      <c r="C46" s="525" t="s">
        <v>8972</v>
      </c>
      <c r="D46" s="525" t="s">
        <v>6928</v>
      </c>
      <c r="E46" s="532" t="s">
        <v>8336</v>
      </c>
      <c r="F46" s="1870"/>
      <c r="G46" s="446" t="s">
        <v>7029</v>
      </c>
      <c r="I46" s="692">
        <v>8</v>
      </c>
      <c r="J46" s="1871">
        <v>1</v>
      </c>
      <c r="K46" s="1866">
        <v>7.0000000000000001E-3</v>
      </c>
      <c r="L46" s="693">
        <f>K46*LOOKUP(J46,Pol.Data!$AN$4:$AN$48,Pol.Data!$AQ$4:$AQ$48)</f>
        <v>0</v>
      </c>
      <c r="M46" s="1867"/>
      <c r="N46" s="1868"/>
      <c r="O46" s="693">
        <f t="shared" si="0"/>
        <v>0</v>
      </c>
    </row>
    <row r="47" spans="1:15" ht="36.75" customHeight="1" thickBot="1" x14ac:dyDescent="0.4">
      <c r="A47" s="669" t="s">
        <v>7018</v>
      </c>
      <c r="B47" s="443" t="s">
        <v>6932</v>
      </c>
      <c r="C47" s="525" t="s">
        <v>7903</v>
      </c>
      <c r="D47" s="525" t="s">
        <v>7759</v>
      </c>
      <c r="E47" s="699" t="s">
        <v>8337</v>
      </c>
      <c r="F47" s="697" t="str">
        <f>IF(F42="","no data",0.33*$F$42)</f>
        <v>no data</v>
      </c>
      <c r="G47" s="600"/>
      <c r="I47" s="692">
        <v>9</v>
      </c>
      <c r="J47" s="1871">
        <v>1</v>
      </c>
      <c r="K47" s="1866">
        <v>8.0000000000000002E-3</v>
      </c>
      <c r="L47" s="693">
        <f>K47*LOOKUP(J47,Pol.Data!$AN$4:$AN$48,Pol.Data!$AQ$4:$AQ$48)</f>
        <v>0</v>
      </c>
      <c r="M47" s="1867"/>
      <c r="N47" s="1868"/>
      <c r="O47" s="693">
        <f t="shared" si="0"/>
        <v>0</v>
      </c>
    </row>
    <row r="48" spans="1:15" ht="35.25" customHeight="1" thickBot="1" x14ac:dyDescent="0.4">
      <c r="A48" s="669" t="s">
        <v>7019</v>
      </c>
      <c r="B48" s="676" t="s">
        <v>1050</v>
      </c>
      <c r="C48" s="695" t="s">
        <v>6970</v>
      </c>
      <c r="D48" s="525"/>
      <c r="E48" s="532" t="s">
        <v>78</v>
      </c>
      <c r="F48" s="678" t="str">
        <f>IF(F45=1,"",IF($F$45=2,$F$46,$F$47))</f>
        <v/>
      </c>
      <c r="G48" s="600"/>
      <c r="I48" s="692">
        <v>10</v>
      </c>
      <c r="J48" s="1871">
        <v>1</v>
      </c>
      <c r="K48" s="1866">
        <v>1.9E-2</v>
      </c>
      <c r="L48" s="693">
        <f>K48*LOOKUP(J48,Pol.Data!$AN$4:$AN$48,Pol.Data!$AQ$4:$AQ$48)</f>
        <v>0</v>
      </c>
      <c r="M48" s="1867"/>
      <c r="N48" s="1868"/>
      <c r="O48" s="693">
        <f t="shared" si="0"/>
        <v>0</v>
      </c>
    </row>
    <row r="49" spans="1:15" ht="24.75" customHeight="1" thickBot="1" x14ac:dyDescent="0.4">
      <c r="A49" s="672"/>
      <c r="B49" s="1698" t="s">
        <v>7003</v>
      </c>
      <c r="C49" s="1698"/>
      <c r="D49" s="666" t="s">
        <v>67</v>
      </c>
      <c r="E49" s="667" t="s">
        <v>151</v>
      </c>
      <c r="F49" s="666" t="s">
        <v>149</v>
      </c>
      <c r="G49" s="668" t="s">
        <v>258</v>
      </c>
      <c r="I49" s="692">
        <v>11</v>
      </c>
      <c r="J49" s="1871">
        <v>1</v>
      </c>
      <c r="K49" s="1866">
        <v>0.02</v>
      </c>
      <c r="L49" s="693">
        <f>K49*LOOKUP(J49,Pol.Data!$AN$4:$AN$48,Pol.Data!$AQ$4:$AQ$48)</f>
        <v>0</v>
      </c>
      <c r="M49" s="1867"/>
      <c r="N49" s="1868"/>
      <c r="O49" s="693">
        <f t="shared" si="0"/>
        <v>0</v>
      </c>
    </row>
    <row r="50" spans="1:15" ht="33" customHeight="1" thickBot="1" x14ac:dyDescent="0.4">
      <c r="A50" s="669" t="s">
        <v>7020</v>
      </c>
      <c r="B50" s="443" t="s">
        <v>6929</v>
      </c>
      <c r="C50" s="525" t="s">
        <v>7935</v>
      </c>
      <c r="D50" s="525" t="s">
        <v>76</v>
      </c>
      <c r="E50" s="532" t="s">
        <v>6930</v>
      </c>
      <c r="F50" s="674">
        <v>2</v>
      </c>
      <c r="G50" s="446" t="str">
        <f>IF(F50=1,"",IF(F50=2,"Goto P-Atc 2", "Goto P-Atc 5"))</f>
        <v>Goto P-Atc 2</v>
      </c>
      <c r="I50" s="692">
        <v>12</v>
      </c>
      <c r="J50" s="1872">
        <v>1</v>
      </c>
      <c r="K50" s="1866">
        <v>0.02</v>
      </c>
      <c r="L50" s="693">
        <f>K50*LOOKUP(J50,Pol.Data!$AN$4:$AN$48,Pol.Data!$AQ$4:$AQ$48)</f>
        <v>0</v>
      </c>
      <c r="M50" s="1867"/>
      <c r="N50" s="1868"/>
      <c r="O50" s="693">
        <f>(N50*M50+(1-N50)*L50)</f>
        <v>0</v>
      </c>
    </row>
    <row r="51" spans="1:15" ht="77.25" customHeight="1" thickBot="1" x14ac:dyDescent="0.4">
      <c r="A51" s="669" t="s">
        <v>7021</v>
      </c>
      <c r="B51" s="443" t="s">
        <v>84</v>
      </c>
      <c r="C51" s="525" t="s">
        <v>7929</v>
      </c>
      <c r="D51" s="525" t="s">
        <v>7925</v>
      </c>
      <c r="E51" s="532" t="s">
        <v>7923</v>
      </c>
      <c r="F51" s="700" t="s">
        <v>7924</v>
      </c>
      <c r="G51" s="600"/>
      <c r="I51" s="692">
        <v>13</v>
      </c>
      <c r="J51" s="1873">
        <v>1</v>
      </c>
      <c r="K51" s="1866">
        <v>0</v>
      </c>
      <c r="L51" s="693">
        <f>K51*LOOKUP(J51,Pol.Data!$AN$4:$AN$48,Pol.Data!$AQ$4:$AQ$48)</f>
        <v>0</v>
      </c>
      <c r="M51" s="1867"/>
      <c r="N51" s="1868"/>
      <c r="O51" s="693">
        <f t="shared" si="0"/>
        <v>0</v>
      </c>
    </row>
    <row r="52" spans="1:15" ht="63" customHeight="1" thickBot="1" x14ac:dyDescent="0.4">
      <c r="A52" s="669" t="s">
        <v>7022</v>
      </c>
      <c r="B52" s="443" t="s">
        <v>7927</v>
      </c>
      <c r="C52" s="525" t="s">
        <v>8268</v>
      </c>
      <c r="D52" s="525" t="s">
        <v>8269</v>
      </c>
      <c r="E52" s="529" t="s">
        <v>7966</v>
      </c>
      <c r="F52" s="700" t="s">
        <v>7930</v>
      </c>
      <c r="G52" s="600"/>
      <c r="I52" s="701"/>
      <c r="J52" s="702"/>
      <c r="K52" s="703"/>
      <c r="L52" s="704" t="s">
        <v>8625</v>
      </c>
      <c r="M52" s="705"/>
      <c r="N52" s="706"/>
      <c r="O52" s="678">
        <f>SUM(O40:O51)</f>
        <v>0</v>
      </c>
    </row>
    <row r="53" spans="1:15" ht="29" x14ac:dyDescent="0.35">
      <c r="A53" s="669" t="s">
        <v>7023</v>
      </c>
      <c r="B53" s="443" t="s">
        <v>7898</v>
      </c>
      <c r="C53" s="696" t="s">
        <v>8267</v>
      </c>
      <c r="D53" s="525" t="s">
        <v>8270</v>
      </c>
      <c r="E53" s="529" t="s">
        <v>8338</v>
      </c>
      <c r="F53" s="700">
        <f>IF($F$50=2,'Idemat Data'!$AH$32,"")</f>
        <v>0</v>
      </c>
      <c r="G53" s="446" t="s">
        <v>7936</v>
      </c>
      <c r="I53" s="701"/>
      <c r="J53" s="707"/>
      <c r="K53" s="703"/>
      <c r="M53" s="549"/>
      <c r="N53" s="549"/>
    </row>
    <row r="54" spans="1:15" ht="60.75" customHeight="1" x14ac:dyDescent="0.35">
      <c r="A54" s="669" t="s">
        <v>7933</v>
      </c>
      <c r="B54" s="443" t="s">
        <v>7560</v>
      </c>
      <c r="C54" s="525" t="s">
        <v>7937</v>
      </c>
      <c r="D54" s="525" t="s">
        <v>7033</v>
      </c>
      <c r="E54" s="529" t="s">
        <v>8339</v>
      </c>
      <c r="F54" s="700" t="str">
        <f>IF($F$50=3,'Idemat Data'!$AH$32,"")</f>
        <v/>
      </c>
      <c r="G54" s="600"/>
      <c r="J54" s="549"/>
      <c r="M54" s="549"/>
      <c r="N54" s="549"/>
    </row>
    <row r="55" spans="1:15" ht="16" thickBot="1" x14ac:dyDescent="0.4">
      <c r="A55" s="669"/>
      <c r="B55" s="443"/>
      <c r="C55" s="696"/>
      <c r="D55" s="525"/>
      <c r="F55" s="708"/>
      <c r="G55" s="600"/>
    </row>
    <row r="56" spans="1:15" ht="19" thickBot="1" x14ac:dyDescent="0.4">
      <c r="A56" s="669" t="s">
        <v>7934</v>
      </c>
      <c r="B56" s="676" t="s">
        <v>1050</v>
      </c>
      <c r="C56" s="695" t="s">
        <v>6971</v>
      </c>
      <c r="D56" s="525"/>
      <c r="E56" s="532" t="s">
        <v>78</v>
      </c>
      <c r="F56" s="678">
        <f>IF($F$50=1,"",IF($F$50=2,$F$53,$F$54))</f>
        <v>0</v>
      </c>
      <c r="G56" s="600"/>
    </row>
    <row r="57" spans="1:15" ht="22.5" customHeight="1" x14ac:dyDescent="0.35">
      <c r="A57" s="669"/>
      <c r="B57" s="676"/>
      <c r="E57" s="528"/>
      <c r="F57" s="499"/>
      <c r="G57" s="600"/>
    </row>
    <row r="58" spans="1:15" ht="17.25" customHeight="1" x14ac:dyDescent="0.35">
      <c r="A58" s="672"/>
      <c r="B58" s="1698" t="s">
        <v>8236</v>
      </c>
      <c r="C58" s="1698"/>
      <c r="D58" s="1698"/>
      <c r="E58" s="1698"/>
      <c r="F58" s="1698"/>
      <c r="G58" s="1698"/>
    </row>
    <row r="59" spans="1:15" ht="75" customHeight="1" x14ac:dyDescent="0.35">
      <c r="A59" s="669" t="s">
        <v>7024</v>
      </c>
      <c r="B59" s="443" t="s">
        <v>79</v>
      </c>
      <c r="C59" s="696" t="s">
        <v>8634</v>
      </c>
      <c r="D59" s="525" t="s">
        <v>80</v>
      </c>
      <c r="E59" s="529" t="s">
        <v>7037</v>
      </c>
      <c r="F59" s="709" t="s">
        <v>7034</v>
      </c>
      <c r="G59" s="600"/>
    </row>
    <row r="60" spans="1:15" ht="31" customHeight="1" thickBot="1" x14ac:dyDescent="0.4">
      <c r="A60" s="669" t="s">
        <v>7025</v>
      </c>
      <c r="B60" s="443" t="s">
        <v>3</v>
      </c>
      <c r="C60" s="710" t="s">
        <v>7036</v>
      </c>
      <c r="D60" s="525" t="s">
        <v>7035</v>
      </c>
      <c r="E60" s="529" t="s">
        <v>81</v>
      </c>
      <c r="F60" s="683"/>
      <c r="G60" s="600"/>
    </row>
    <row r="61" spans="1:15" ht="19" thickBot="1" x14ac:dyDescent="0.4">
      <c r="A61" s="669" t="s">
        <v>7026</v>
      </c>
      <c r="B61" s="676" t="s">
        <v>1050</v>
      </c>
      <c r="C61" s="695" t="s">
        <v>6972</v>
      </c>
      <c r="D61" s="525"/>
      <c r="E61" s="532"/>
      <c r="F61" s="678">
        <f>$F$60</f>
        <v>0</v>
      </c>
      <c r="G61" s="600"/>
    </row>
    <row r="62" spans="1:15" ht="15.75" customHeight="1" thickBot="1" x14ac:dyDescent="0.4">
      <c r="A62" s="549"/>
      <c r="B62" s="676"/>
      <c r="E62" s="528"/>
      <c r="F62" s="499"/>
      <c r="G62" s="600"/>
    </row>
    <row r="63" spans="1:15" ht="19" thickBot="1" x14ac:dyDescent="0.4">
      <c r="A63" s="669" t="s">
        <v>8486</v>
      </c>
      <c r="B63" s="676" t="s">
        <v>272</v>
      </c>
      <c r="C63" s="695" t="s">
        <v>7957</v>
      </c>
      <c r="D63" s="538" t="s">
        <v>91</v>
      </c>
      <c r="E63" s="532" t="s">
        <v>272</v>
      </c>
      <c r="F63" s="678">
        <f>IF($F$14="",0,$F$14)+IF($F$26="",0,$F$26)+IF($F$34="",0,$F$34)+IF($F$42="",0,$F$42)+IF($F$48="",0,$F$48)+IF($F$56="",0,$F$56)</f>
        <v>0</v>
      </c>
      <c r="G63" s="711"/>
    </row>
    <row r="64" spans="1:15" x14ac:dyDescent="0.35">
      <c r="G64" s="711"/>
    </row>
    <row r="65" spans="1:14" ht="18.5" x14ac:dyDescent="0.35">
      <c r="A65" s="669"/>
      <c r="B65" s="676"/>
      <c r="C65" s="713" t="s">
        <v>8615</v>
      </c>
      <c r="D65" s="1702" t="str">
        <f>IF($F$14="","no data included for non agricultural emission of bulk gasses","")</f>
        <v>no data included for non agricultural emission of bulk gasses</v>
      </c>
      <c r="E65" s="1702"/>
      <c r="F65" s="1702"/>
      <c r="G65" s="1702"/>
    </row>
    <row r="66" spans="1:14" ht="18.75" customHeight="1" x14ac:dyDescent="0.35">
      <c r="A66" s="669"/>
      <c r="B66" s="676"/>
      <c r="C66" s="695"/>
      <c r="D66" s="1702" t="str">
        <f>IF($F$26="","no data included for the use of electricity","")</f>
        <v>no data included for the use of electricity</v>
      </c>
      <c r="E66" s="1702"/>
      <c r="F66" s="1702"/>
      <c r="G66" s="1702"/>
    </row>
    <row r="67" spans="1:14" ht="18.5" x14ac:dyDescent="0.35">
      <c r="A67" s="669"/>
      <c r="B67" s="676"/>
      <c r="C67" s="695"/>
      <c r="D67" s="1702"/>
      <c r="E67" s="1702"/>
      <c r="F67" s="1702"/>
      <c r="G67" s="1702"/>
    </row>
    <row r="68" spans="1:14" ht="18.5" x14ac:dyDescent="0.35">
      <c r="A68" s="669"/>
      <c r="B68" s="676"/>
      <c r="C68" s="695"/>
      <c r="D68" s="1702"/>
      <c r="E68" s="1702"/>
      <c r="F68" s="1702"/>
      <c r="G68" s="1702"/>
    </row>
    <row r="69" spans="1:14" ht="18.5" x14ac:dyDescent="0.35">
      <c r="A69" s="669"/>
      <c r="B69" s="676"/>
      <c r="C69" s="695"/>
      <c r="D69" s="1702"/>
      <c r="E69" s="1702"/>
      <c r="F69" s="1702"/>
      <c r="G69" s="1702"/>
    </row>
    <row r="70" spans="1:14" ht="18.5" x14ac:dyDescent="0.35">
      <c r="A70" s="669"/>
      <c r="B70" s="676"/>
      <c r="C70" s="695"/>
      <c r="D70" s="1702" t="str">
        <f>IF($F$56="","no data included for transport of goods","")</f>
        <v/>
      </c>
      <c r="E70" s="1702"/>
      <c r="F70" s="1702"/>
      <c r="G70" s="1702"/>
    </row>
    <row r="71" spans="1:14" ht="15" thickBot="1" x14ac:dyDescent="0.4">
      <c r="A71" s="669"/>
      <c r="B71" s="714"/>
      <c r="C71" s="525"/>
      <c r="D71" s="525"/>
      <c r="E71" s="532"/>
      <c r="F71" s="674"/>
      <c r="G71" s="600"/>
    </row>
    <row r="72" spans="1:14" ht="25.5" customHeight="1" thickBot="1" x14ac:dyDescent="0.4">
      <c r="A72" s="661"/>
      <c r="B72" s="1692" t="s">
        <v>405</v>
      </c>
      <c r="C72" s="1693"/>
      <c r="D72" s="666" t="s">
        <v>67</v>
      </c>
      <c r="E72" s="667" t="s">
        <v>151</v>
      </c>
      <c r="F72" s="666" t="s">
        <v>149</v>
      </c>
      <c r="G72" s="668" t="s">
        <v>258</v>
      </c>
    </row>
    <row r="73" spans="1:14" ht="21" customHeight="1" x14ac:dyDescent="0.35">
      <c r="A73" s="715"/>
      <c r="B73" s="716" t="s">
        <v>89</v>
      </c>
      <c r="C73" s="1695" t="s">
        <v>5840</v>
      </c>
      <c r="D73" s="1695"/>
      <c r="E73" s="1695"/>
      <c r="F73" s="1696"/>
      <c r="G73" s="1697"/>
    </row>
    <row r="74" spans="1:14" ht="30.75" customHeight="1" x14ac:dyDescent="0.35">
      <c r="A74" s="669" t="s">
        <v>6936</v>
      </c>
      <c r="B74" s="443" t="s">
        <v>15</v>
      </c>
      <c r="C74" s="525" t="s">
        <v>5864</v>
      </c>
      <c r="D74" s="549" t="s">
        <v>2</v>
      </c>
      <c r="E74" s="532" t="s">
        <v>15</v>
      </c>
      <c r="F74" s="1874">
        <v>3</v>
      </c>
      <c r="G74" s="717" t="str">
        <f>IF($F$74=1,"",IF($F$74=2,"Goto P-B 13", "Goto P-B 2"))</f>
        <v>Goto P-B 2</v>
      </c>
    </row>
    <row r="75" spans="1:14" ht="44.25" customHeight="1" x14ac:dyDescent="0.35">
      <c r="A75" s="669" t="s">
        <v>6937</v>
      </c>
      <c r="B75" s="443" t="s">
        <v>5868</v>
      </c>
      <c r="C75" s="525" t="s">
        <v>8522</v>
      </c>
      <c r="D75" s="525" t="s">
        <v>5869</v>
      </c>
      <c r="E75" s="532" t="s">
        <v>5868</v>
      </c>
      <c r="F75" s="718">
        <v>3</v>
      </c>
      <c r="G75" s="719" t="str">
        <f>IF($F$75=1,"",IF($F$75=2,"Goto P-B 3", "Goto P-B 4"))</f>
        <v>Goto P-B 4</v>
      </c>
    </row>
    <row r="76" spans="1:14" ht="45" customHeight="1" x14ac:dyDescent="0.35">
      <c r="A76" s="669" t="s">
        <v>6938</v>
      </c>
      <c r="B76" s="443" t="s">
        <v>5870</v>
      </c>
      <c r="C76" s="525" t="s">
        <v>8973</v>
      </c>
      <c r="D76" s="525" t="s">
        <v>7961</v>
      </c>
      <c r="E76" s="532" t="s">
        <v>7960</v>
      </c>
      <c r="F76" s="1875"/>
      <c r="G76" s="719" t="str">
        <f>IF(F75=2,"Goto P-B 11","")</f>
        <v/>
      </c>
    </row>
    <row r="77" spans="1:14" ht="33.75" customHeight="1" x14ac:dyDescent="0.35">
      <c r="A77" s="669" t="s">
        <v>6939</v>
      </c>
      <c r="B77" s="443" t="s">
        <v>5837</v>
      </c>
      <c r="C77" s="525" t="s">
        <v>5835</v>
      </c>
      <c r="D77" s="538" t="s">
        <v>76</v>
      </c>
      <c r="E77" s="532" t="s">
        <v>5861</v>
      </c>
      <c r="F77" s="538">
        <v>2</v>
      </c>
      <c r="G77" s="719" t="str">
        <f>IF($F$77=1,"",IF($F$77=2,"Goto P-B 5", "Goto P-B 7"))</f>
        <v>Goto P-B 5</v>
      </c>
    </row>
    <row r="78" spans="1:14" ht="205.5" customHeight="1" x14ac:dyDescent="0.35">
      <c r="A78" s="669" t="s">
        <v>6940</v>
      </c>
      <c r="B78" s="443" t="s">
        <v>5862</v>
      </c>
      <c r="C78" s="525" t="s">
        <v>8258</v>
      </c>
      <c r="D78" s="525" t="s">
        <v>7971</v>
      </c>
      <c r="E78" s="532" t="s">
        <v>5847</v>
      </c>
      <c r="F78" s="718" t="s">
        <v>7973</v>
      </c>
      <c r="G78" s="719"/>
    </row>
    <row r="79" spans="1:14" ht="59.5" customHeight="1" x14ac:dyDescent="0.35">
      <c r="A79" s="669" t="s">
        <v>6941</v>
      </c>
      <c r="B79" s="443" t="s">
        <v>7927</v>
      </c>
      <c r="C79" s="525" t="s">
        <v>8976</v>
      </c>
      <c r="D79" s="525" t="s">
        <v>76</v>
      </c>
      <c r="E79" s="529" t="s">
        <v>8969</v>
      </c>
      <c r="F79" s="1875"/>
      <c r="G79" s="719" t="str">
        <f>IF(F77=2,"Goto P-B 11","")</f>
        <v>Goto P-B 11</v>
      </c>
    </row>
    <row r="80" spans="1:14" s="499" customFormat="1" ht="34.5" customHeight="1" x14ac:dyDescent="0.35">
      <c r="A80" s="669" t="s">
        <v>6942</v>
      </c>
      <c r="B80" s="443" t="s">
        <v>5872</v>
      </c>
      <c r="C80" s="538" t="s">
        <v>7962</v>
      </c>
      <c r="D80" s="538" t="s">
        <v>76</v>
      </c>
      <c r="E80" s="532" t="s">
        <v>5872</v>
      </c>
      <c r="F80" s="538">
        <v>2</v>
      </c>
      <c r="G80" s="719" t="str">
        <f>IF($F$80=1,"",IF($F$80=2,"Goto P-B 8", "Goto P-B 12"))</f>
        <v>Goto P-B 8</v>
      </c>
      <c r="J80" s="528"/>
      <c r="M80" s="601"/>
      <c r="N80" s="601"/>
    </row>
    <row r="81" spans="1:14" ht="192" customHeight="1" x14ac:dyDescent="0.35">
      <c r="A81" s="669" t="s">
        <v>6943</v>
      </c>
      <c r="B81" s="443" t="s">
        <v>7963</v>
      </c>
      <c r="C81" s="525" t="s">
        <v>7968</v>
      </c>
      <c r="D81" s="525" t="s">
        <v>5824</v>
      </c>
      <c r="E81" s="532" t="s">
        <v>7963</v>
      </c>
      <c r="F81" s="718" t="s">
        <v>7974</v>
      </c>
      <c r="G81" s="719"/>
    </row>
    <row r="82" spans="1:14" ht="32.25" customHeight="1" x14ac:dyDescent="0.35">
      <c r="A82" s="669" t="s">
        <v>6944</v>
      </c>
      <c r="B82" s="443" t="s">
        <v>32</v>
      </c>
      <c r="C82" s="525" t="s">
        <v>8974</v>
      </c>
      <c r="D82" s="525" t="s">
        <v>76</v>
      </c>
      <c r="E82" s="532" t="s">
        <v>8340</v>
      </c>
      <c r="F82" s="1875"/>
      <c r="G82" s="719"/>
    </row>
    <row r="83" spans="1:14" ht="47.25" customHeight="1" x14ac:dyDescent="0.35">
      <c r="A83" s="669" t="s">
        <v>6945</v>
      </c>
      <c r="B83" s="443" t="s">
        <v>85</v>
      </c>
      <c r="C83" s="525" t="s">
        <v>7964</v>
      </c>
      <c r="D83" s="525" t="s">
        <v>7958</v>
      </c>
      <c r="E83" s="532" t="s">
        <v>2197</v>
      </c>
      <c r="F83" s="1876"/>
      <c r="G83" s="719"/>
    </row>
    <row r="84" spans="1:14" ht="44.25" customHeight="1" x14ac:dyDescent="0.35">
      <c r="A84" s="669" t="s">
        <v>6946</v>
      </c>
      <c r="B84" s="443" t="s">
        <v>88</v>
      </c>
      <c r="C84" s="538" t="s">
        <v>7959</v>
      </c>
      <c r="D84" s="538" t="s">
        <v>7760</v>
      </c>
      <c r="E84" s="532"/>
      <c r="F84" s="684">
        <f>IF($F$75=2,$F$76,IF($F$77=2,$F$79,$F$82*$F$83))</f>
        <v>0</v>
      </c>
      <c r="G84" s="719" t="str">
        <f>IF(F80=2,"Goto P-B 13","")</f>
        <v>Goto P-B 13</v>
      </c>
    </row>
    <row r="85" spans="1:14" ht="88" customHeight="1" thickBot="1" x14ac:dyDescent="0.4">
      <c r="A85" s="669" t="s">
        <v>6947</v>
      </c>
      <c r="B85" s="443" t="s">
        <v>5866</v>
      </c>
      <c r="C85" s="538" t="s">
        <v>8975</v>
      </c>
      <c r="D85" s="525"/>
      <c r="E85" s="532"/>
      <c r="F85" s="1875"/>
      <c r="G85" s="549"/>
    </row>
    <row r="86" spans="1:14" ht="29.5" thickBot="1" x14ac:dyDescent="0.4">
      <c r="A86" s="669" t="s">
        <v>6948</v>
      </c>
      <c r="B86" s="443" t="s">
        <v>272</v>
      </c>
      <c r="C86" s="720" t="s">
        <v>5871</v>
      </c>
      <c r="D86" s="538" t="s">
        <v>91</v>
      </c>
      <c r="E86" s="532" t="s">
        <v>7599</v>
      </c>
      <c r="F86" s="678">
        <f>IF($F$74=1,"",IF($F$74=2,0,IF($F$80=2,$F$84,$F$85)))</f>
        <v>0</v>
      </c>
      <c r="G86" s="549"/>
    </row>
    <row r="87" spans="1:14" ht="15" thickBot="1" x14ac:dyDescent="0.4">
      <c r="A87" s="669"/>
      <c r="B87" s="714"/>
      <c r="C87" s="525"/>
      <c r="D87" s="525"/>
      <c r="E87" s="532"/>
      <c r="F87" s="674"/>
      <c r="G87" s="600"/>
    </row>
    <row r="88" spans="1:14" s="499" customFormat="1" ht="24.75" customHeight="1" thickBot="1" x14ac:dyDescent="0.4">
      <c r="A88" s="661"/>
      <c r="B88" s="1692" t="s">
        <v>7978</v>
      </c>
      <c r="C88" s="1693"/>
      <c r="D88" s="666" t="s">
        <v>67</v>
      </c>
      <c r="E88" s="667" t="s">
        <v>151</v>
      </c>
      <c r="F88" s="666" t="s">
        <v>149</v>
      </c>
      <c r="G88" s="668" t="s">
        <v>258</v>
      </c>
      <c r="J88" s="528"/>
      <c r="M88" s="601"/>
      <c r="N88" s="601"/>
    </row>
    <row r="89" spans="1:14" ht="66" customHeight="1" x14ac:dyDescent="0.35">
      <c r="A89" s="661"/>
      <c r="B89" s="721" t="s">
        <v>89</v>
      </c>
      <c r="C89" s="1712" t="s">
        <v>5844</v>
      </c>
      <c r="D89" s="1712"/>
      <c r="E89" s="1712"/>
      <c r="F89" s="722"/>
      <c r="G89" s="723"/>
    </row>
    <row r="90" spans="1:14" ht="34.5" customHeight="1" x14ac:dyDescent="0.35">
      <c r="A90" s="669" t="s">
        <v>2241</v>
      </c>
      <c r="B90" s="443" t="s">
        <v>7967</v>
      </c>
      <c r="C90" s="525" t="s">
        <v>8843</v>
      </c>
      <c r="D90" s="525" t="s">
        <v>7760</v>
      </c>
      <c r="E90" s="532" t="s">
        <v>7967</v>
      </c>
      <c r="F90" s="718" t="str">
        <f>IF(LOOKUP(' Preparation'!$F$10,Data!$B$2:$B$115,Data!$R$2:$R$115)="Y","Yes","No")</f>
        <v>No</v>
      </c>
      <c r="G90" s="446" t="str">
        <f>IF(F90="Yes","Goto P-C 12","Goto P-C 2")</f>
        <v>Goto P-C 2</v>
      </c>
    </row>
    <row r="91" spans="1:14" ht="34.5" customHeight="1" x14ac:dyDescent="0.35">
      <c r="A91" s="669" t="s">
        <v>2242</v>
      </c>
      <c r="B91" s="443" t="s">
        <v>753</v>
      </c>
      <c r="C91" s="525" t="s">
        <v>8261</v>
      </c>
      <c r="D91" s="525" t="s">
        <v>2</v>
      </c>
      <c r="E91" s="532" t="s">
        <v>753</v>
      </c>
      <c r="F91" s="1874">
        <v>1</v>
      </c>
      <c r="G91" s="446" t="str">
        <f>IF(F91=1,"",IF(F91=2,"Goto P-C 11", "Goto P-C 3"))</f>
        <v/>
      </c>
    </row>
    <row r="92" spans="1:14" ht="30.75" customHeight="1" x14ac:dyDescent="0.35">
      <c r="A92" s="669" t="s">
        <v>2243</v>
      </c>
      <c r="B92" s="443" t="s">
        <v>5837</v>
      </c>
      <c r="C92" s="525" t="s">
        <v>5835</v>
      </c>
      <c r="D92" s="525" t="s">
        <v>76</v>
      </c>
      <c r="E92" s="532" t="s">
        <v>721</v>
      </c>
      <c r="F92" s="718">
        <v>1</v>
      </c>
      <c r="G92" s="446" t="str">
        <f>IF(F92=1,"",IF(F92=2,"Goto P-C 4","Goto P-C 7"))</f>
        <v/>
      </c>
    </row>
    <row r="93" spans="1:14" ht="164.25" customHeight="1" x14ac:dyDescent="0.35">
      <c r="A93" s="669" t="s">
        <v>2244</v>
      </c>
      <c r="B93" s="443" t="s">
        <v>7969</v>
      </c>
      <c r="C93" s="525" t="s">
        <v>7975</v>
      </c>
      <c r="D93" s="525" t="s">
        <v>7970</v>
      </c>
      <c r="E93" s="532" t="s">
        <v>5847</v>
      </c>
      <c r="F93" s="718" t="s">
        <v>8259</v>
      </c>
      <c r="G93" s="600"/>
    </row>
    <row r="94" spans="1:14" ht="45.75" customHeight="1" x14ac:dyDescent="0.35">
      <c r="A94" s="669" t="s">
        <v>2245</v>
      </c>
      <c r="B94" s="443" t="s">
        <v>7976</v>
      </c>
      <c r="C94" s="525" t="s">
        <v>8260</v>
      </c>
      <c r="D94" s="525" t="s">
        <v>76</v>
      </c>
      <c r="E94" s="443" t="s">
        <v>7976</v>
      </c>
      <c r="F94" s="718" t="s">
        <v>7977</v>
      </c>
      <c r="G94" s="600"/>
    </row>
    <row r="95" spans="1:14" ht="59.5" customHeight="1" x14ac:dyDescent="0.35">
      <c r="A95" s="669" t="s">
        <v>5827</v>
      </c>
      <c r="B95" s="443" t="s">
        <v>7927</v>
      </c>
      <c r="C95" s="525" t="s">
        <v>8976</v>
      </c>
      <c r="D95" s="525" t="s">
        <v>7760</v>
      </c>
      <c r="E95" s="529" t="s">
        <v>8341</v>
      </c>
      <c r="F95" s="1875"/>
      <c r="G95" s="446" t="str">
        <f>IF(F92=2,"Goto P-C 11","")</f>
        <v/>
      </c>
    </row>
    <row r="96" spans="1:14" ht="35.25" customHeight="1" x14ac:dyDescent="0.35">
      <c r="A96" s="669" t="s">
        <v>5828</v>
      </c>
      <c r="B96" s="443" t="s">
        <v>5872</v>
      </c>
      <c r="C96" s="525" t="s">
        <v>7962</v>
      </c>
      <c r="D96" s="538" t="s">
        <v>76</v>
      </c>
      <c r="E96" s="532" t="s">
        <v>5872</v>
      </c>
      <c r="F96" s="538">
        <v>2</v>
      </c>
      <c r="G96" s="446" t="str">
        <f>IF(F96=1,"",IF(F96=2,"Goto P-C 8", "Goto P-C 10"))</f>
        <v>Goto P-C 8</v>
      </c>
    </row>
    <row r="97" spans="1:9" ht="191.25" customHeight="1" x14ac:dyDescent="0.35">
      <c r="A97" s="669" t="s">
        <v>5829</v>
      </c>
      <c r="B97" s="443" t="s">
        <v>5845</v>
      </c>
      <c r="C97" s="525" t="s">
        <v>8262</v>
      </c>
      <c r="D97" s="525" t="s">
        <v>7592</v>
      </c>
      <c r="E97" s="532" t="s">
        <v>5846</v>
      </c>
      <c r="F97" s="718" t="s">
        <v>8263</v>
      </c>
      <c r="G97" s="600"/>
    </row>
    <row r="98" spans="1:9" ht="30.75" customHeight="1" x14ac:dyDescent="0.35">
      <c r="A98" s="669" t="s">
        <v>5836</v>
      </c>
      <c r="B98" s="443" t="s">
        <v>32</v>
      </c>
      <c r="C98" s="525" t="s">
        <v>7965</v>
      </c>
      <c r="D98" s="525" t="s">
        <v>76</v>
      </c>
      <c r="E98" s="532" t="s">
        <v>8340</v>
      </c>
      <c r="F98" s="1875"/>
      <c r="G98" s="446" t="s">
        <v>7972</v>
      </c>
    </row>
    <row r="99" spans="1:9" ht="75" customHeight="1" x14ac:dyDescent="0.35">
      <c r="A99" s="669" t="s">
        <v>5834</v>
      </c>
      <c r="B99" s="443" t="s">
        <v>5866</v>
      </c>
      <c r="C99" s="525" t="s">
        <v>8614</v>
      </c>
      <c r="D99" s="525" t="s">
        <v>7149</v>
      </c>
      <c r="E99" s="532" t="s">
        <v>7150</v>
      </c>
      <c r="F99" s="724">
        <f>I96</f>
        <v>0</v>
      </c>
      <c r="G99" s="446"/>
    </row>
    <row r="100" spans="1:9" ht="60.75" customHeight="1" thickBot="1" x14ac:dyDescent="0.4">
      <c r="A100" s="669" t="s">
        <v>5865</v>
      </c>
      <c r="B100" s="443" t="s">
        <v>7598</v>
      </c>
      <c r="C100" s="525" t="s">
        <v>8980</v>
      </c>
      <c r="D100" s="525" t="s">
        <v>7148</v>
      </c>
      <c r="E100" s="532" t="s">
        <v>7147</v>
      </c>
      <c r="F100" s="718" t="s">
        <v>8264</v>
      </c>
      <c r="G100" s="446"/>
    </row>
    <row r="101" spans="1:9" ht="32.25" customHeight="1" thickBot="1" x14ac:dyDescent="0.4">
      <c r="A101" s="669" t="s">
        <v>7146</v>
      </c>
      <c r="B101" s="443" t="s">
        <v>272</v>
      </c>
      <c r="C101" s="720" t="s">
        <v>7145</v>
      </c>
      <c r="D101" s="525" t="s">
        <v>91</v>
      </c>
      <c r="E101" s="532" t="s">
        <v>7599</v>
      </c>
      <c r="F101" s="678" t="str">
        <f>IF(AND($F$91=1,F90="No"),"",IF(OR(F90="Yes",F91=2),0,IF(F92=2,F95,IF(F96=2,F98,F99))))</f>
        <v/>
      </c>
      <c r="G101" s="600"/>
    </row>
    <row r="102" spans="1:9" ht="20.25" customHeight="1" thickBot="1" x14ac:dyDescent="0.4">
      <c r="A102" s="669"/>
      <c r="B102" s="714"/>
      <c r="C102" s="525"/>
      <c r="D102" s="525"/>
      <c r="E102" s="532"/>
      <c r="F102" s="674"/>
      <c r="G102" s="600"/>
    </row>
    <row r="103" spans="1:9" ht="16" thickBot="1" x14ac:dyDescent="0.4">
      <c r="A103" s="661"/>
      <c r="B103" s="1713" t="s">
        <v>8265</v>
      </c>
      <c r="C103" s="1714"/>
      <c r="D103" s="666" t="s">
        <v>67</v>
      </c>
      <c r="E103" s="667" t="s">
        <v>151</v>
      </c>
      <c r="F103" s="666" t="s">
        <v>149</v>
      </c>
      <c r="G103" s="668" t="s">
        <v>258</v>
      </c>
    </row>
    <row r="104" spans="1:9" ht="26.25" customHeight="1" x14ac:dyDescent="0.35">
      <c r="A104" s="669" t="s">
        <v>2238</v>
      </c>
      <c r="B104" s="443" t="s">
        <v>86</v>
      </c>
      <c r="C104" s="525" t="s">
        <v>2226</v>
      </c>
      <c r="D104" s="525" t="s">
        <v>76</v>
      </c>
      <c r="E104" s="532" t="s">
        <v>7151</v>
      </c>
      <c r="F104" s="674">
        <v>1</v>
      </c>
      <c r="G104" s="446" t="str">
        <f>IF($F$104=1,"",IF($F$104=3,"Goto P-D 2","Goto P-D 3"))</f>
        <v/>
      </c>
    </row>
    <row r="105" spans="1:9" ht="77.25" customHeight="1" thickBot="1" x14ac:dyDescent="0.4">
      <c r="A105" s="669" t="s">
        <v>2240</v>
      </c>
      <c r="B105" s="443" t="s">
        <v>26</v>
      </c>
      <c r="C105" s="525" t="s">
        <v>8266</v>
      </c>
      <c r="D105" s="525" t="s">
        <v>76</v>
      </c>
      <c r="E105" s="532"/>
      <c r="F105" s="1875"/>
      <c r="G105" s="600"/>
    </row>
    <row r="106" spans="1:9" ht="19" thickBot="1" x14ac:dyDescent="0.4">
      <c r="A106" s="669" t="s">
        <v>2239</v>
      </c>
      <c r="B106" s="443" t="s">
        <v>272</v>
      </c>
      <c r="C106" s="695" t="s">
        <v>2227</v>
      </c>
      <c r="D106" s="549" t="s">
        <v>91</v>
      </c>
      <c r="E106" s="532" t="s">
        <v>78</v>
      </c>
      <c r="F106" s="678" t="str">
        <f>IF($F$104=1,"",IF($F$104=2,0,$F$105))</f>
        <v/>
      </c>
      <c r="G106" s="600"/>
    </row>
    <row r="107" spans="1:9" ht="15" thickBot="1" x14ac:dyDescent="0.4">
      <c r="A107" s="669"/>
      <c r="B107" s="443"/>
      <c r="C107" s="525"/>
      <c r="D107" s="525"/>
      <c r="E107" s="532"/>
      <c r="F107" s="674"/>
      <c r="G107" s="600"/>
    </row>
    <row r="108" spans="1:9" s="662" customFormat="1" ht="16" thickBot="1" x14ac:dyDescent="0.4">
      <c r="A108" s="564"/>
      <c r="B108" s="1692" t="s">
        <v>406</v>
      </c>
      <c r="C108" s="1693"/>
      <c r="D108" s="668" t="s">
        <v>67</v>
      </c>
      <c r="E108" s="668" t="s">
        <v>151</v>
      </c>
      <c r="F108" s="668" t="s">
        <v>149</v>
      </c>
      <c r="G108" s="668" t="s">
        <v>258</v>
      </c>
    </row>
    <row r="109" spans="1:9" ht="47.25" customHeight="1" x14ac:dyDescent="0.35">
      <c r="A109" s="669" t="s">
        <v>2228</v>
      </c>
      <c r="B109" s="443" t="s">
        <v>7979</v>
      </c>
      <c r="C109" s="525" t="s">
        <v>5826</v>
      </c>
      <c r="D109" s="525" t="s">
        <v>69</v>
      </c>
      <c r="E109" s="532" t="s">
        <v>2194</v>
      </c>
      <c r="F109" s="725" t="s">
        <v>7980</v>
      </c>
      <c r="G109" s="600"/>
    </row>
    <row r="110" spans="1:9" ht="45" customHeight="1" x14ac:dyDescent="0.35">
      <c r="A110" s="669" t="s">
        <v>2229</v>
      </c>
      <c r="B110" s="443" t="s">
        <v>2196</v>
      </c>
      <c r="C110" s="525" t="s">
        <v>7989</v>
      </c>
      <c r="D110" s="525" t="s">
        <v>2</v>
      </c>
      <c r="E110" s="532" t="s">
        <v>753</v>
      </c>
      <c r="F110" s="674">
        <v>3</v>
      </c>
      <c r="G110" s="446" t="str">
        <f>IF($F$110=1,"",IF($F$110=2,"Goto P-E 10","Goto P-E 3"))</f>
        <v>Goto P-E 3</v>
      </c>
    </row>
    <row r="111" spans="1:9" ht="33" customHeight="1" x14ac:dyDescent="0.35">
      <c r="A111" s="669" t="s">
        <v>2230</v>
      </c>
      <c r="B111" s="443" t="s">
        <v>87</v>
      </c>
      <c r="C111" s="525" t="s">
        <v>8978</v>
      </c>
      <c r="D111" s="525" t="s">
        <v>7981</v>
      </c>
      <c r="E111" s="532" t="s">
        <v>2195</v>
      </c>
      <c r="F111" s="674">
        <v>3</v>
      </c>
      <c r="G111" s="446" t="str">
        <f>IF($F$111=1,"",IF($F$111=2,"Goto P-E4","Goto P-E 7"))</f>
        <v>Goto P-E 7</v>
      </c>
    </row>
    <row r="112" spans="1:9" ht="34.5" customHeight="1" x14ac:dyDescent="0.35">
      <c r="A112" s="669" t="s">
        <v>2231</v>
      </c>
      <c r="B112" s="443" t="s">
        <v>7986</v>
      </c>
      <c r="C112" s="525" t="s">
        <v>8979</v>
      </c>
      <c r="D112" s="525" t="s">
        <v>5824</v>
      </c>
      <c r="E112" s="532" t="s">
        <v>7987</v>
      </c>
      <c r="F112" s="725" t="s">
        <v>7988</v>
      </c>
      <c r="G112" s="446"/>
      <c r="I112" s="726"/>
    </row>
    <row r="113" spans="1:9" ht="48" customHeight="1" x14ac:dyDescent="0.35">
      <c r="A113" s="669" t="s">
        <v>2232</v>
      </c>
      <c r="B113" s="443" t="s">
        <v>2200</v>
      </c>
      <c r="C113" s="522" t="s">
        <v>7983</v>
      </c>
      <c r="D113" s="525" t="s">
        <v>8344</v>
      </c>
      <c r="E113" s="532" t="s">
        <v>8345</v>
      </c>
      <c r="F113" s="725" t="s">
        <v>8343</v>
      </c>
      <c r="G113" s="446"/>
      <c r="I113" s="726"/>
    </row>
    <row r="114" spans="1:9" ht="48" customHeight="1" x14ac:dyDescent="0.35">
      <c r="A114" s="669" t="s">
        <v>2233</v>
      </c>
      <c r="B114" s="443" t="s">
        <v>26</v>
      </c>
      <c r="C114" s="727" t="s">
        <v>7984</v>
      </c>
      <c r="D114" s="525"/>
      <c r="E114" s="532" t="s">
        <v>8342</v>
      </c>
      <c r="F114" s="683"/>
      <c r="G114" s="446" t="s">
        <v>7990</v>
      </c>
      <c r="I114" s="726"/>
    </row>
    <row r="115" spans="1:9" ht="30" customHeight="1" x14ac:dyDescent="0.35">
      <c r="A115" s="669" t="s">
        <v>2234</v>
      </c>
      <c r="B115" s="443" t="s">
        <v>2246</v>
      </c>
      <c r="C115" s="525" t="s">
        <v>5822</v>
      </c>
      <c r="D115" s="525" t="s">
        <v>7985</v>
      </c>
      <c r="E115" s="532" t="s">
        <v>8346</v>
      </c>
      <c r="F115" s="1854">
        <f>' Preparation'!$F$24</f>
        <v>2</v>
      </c>
      <c r="G115" s="446"/>
      <c r="I115" s="726"/>
    </row>
    <row r="116" spans="1:9" ht="36" customHeight="1" x14ac:dyDescent="0.35">
      <c r="A116" s="669" t="s">
        <v>2235</v>
      </c>
      <c r="B116" s="443" t="s">
        <v>2198</v>
      </c>
      <c r="C116" s="525" t="s">
        <v>7982</v>
      </c>
      <c r="D116" s="525" t="s">
        <v>2199</v>
      </c>
      <c r="E116" s="532" t="s">
        <v>2197</v>
      </c>
      <c r="F116" s="574"/>
      <c r="G116" s="446" t="s">
        <v>7990</v>
      </c>
      <c r="I116" s="726"/>
    </row>
    <row r="117" spans="1:9" ht="29.5" thickBot="1" x14ac:dyDescent="0.4">
      <c r="A117" s="669" t="s">
        <v>2236</v>
      </c>
      <c r="B117" s="443" t="s">
        <v>2201</v>
      </c>
      <c r="C117" s="525" t="s">
        <v>2221</v>
      </c>
      <c r="D117" s="525" t="s">
        <v>91</v>
      </c>
      <c r="E117" s="532" t="s">
        <v>2222</v>
      </c>
      <c r="F117" s="682">
        <f>$F$116*$F$115*Pol.Data!$V$1</f>
        <v>0</v>
      </c>
      <c r="G117" s="600"/>
      <c r="I117" s="726"/>
    </row>
    <row r="118" spans="1:9" ht="33" customHeight="1" thickBot="1" x14ac:dyDescent="0.4">
      <c r="A118" s="728" t="s">
        <v>2237</v>
      </c>
      <c r="B118" s="714" t="s">
        <v>272</v>
      </c>
      <c r="C118" s="729" t="s">
        <v>2193</v>
      </c>
      <c r="D118" s="730" t="s">
        <v>91</v>
      </c>
      <c r="E118" s="731" t="s">
        <v>7599</v>
      </c>
      <c r="F118" s="678">
        <f>IF($F$110=1,0,IF($F$110=2,0,IF($F$111=2,$F$114,$F$117)))</f>
        <v>0</v>
      </c>
      <c r="G118" s="732"/>
      <c r="I118" s="726"/>
    </row>
    <row r="119" spans="1:9" ht="23.25" customHeight="1" thickBot="1" x14ac:dyDescent="0.4">
      <c r="I119" s="726"/>
    </row>
    <row r="120" spans="1:9" ht="22.5" customHeight="1" thickTop="1" thickBot="1" x14ac:dyDescent="0.4">
      <c r="A120" s="728" t="s">
        <v>8488</v>
      </c>
      <c r="C120" s="733" t="s">
        <v>5867</v>
      </c>
      <c r="F120" s="734">
        <f>IF($F$63="",0,$F$63)+IF($F$86="",0,$F$86)+IF($F$101="",0,$F$101)+IF($F$106="",0,$F$106)+IF($F$118="",0,$F$118)</f>
        <v>0</v>
      </c>
      <c r="I120" s="726"/>
    </row>
    <row r="121" spans="1:9" ht="19" thickBot="1" x14ac:dyDescent="0.4">
      <c r="A121" s="728" t="s">
        <v>8489</v>
      </c>
      <c r="B121" s="677" t="s">
        <v>8487</v>
      </c>
      <c r="C121" s="695" t="s">
        <v>8981</v>
      </c>
      <c r="D121" s="538"/>
      <c r="E121" s="532"/>
      <c r="F121" s="683"/>
    </row>
    <row r="122" spans="1:9" ht="15.5" x14ac:dyDescent="0.35">
      <c r="D122" s="1702" t="str">
        <f>IF($F$14="","No data included for type A - non agricultural emission of bulk gasses","")</f>
        <v>No data included for type A - non agricultural emission of bulk gasses</v>
      </c>
      <c r="E122" s="1702"/>
      <c r="F122" s="1702"/>
      <c r="G122" s="1702"/>
    </row>
    <row r="123" spans="1:9" ht="15.5" x14ac:dyDescent="0.35">
      <c r="D123" s="1702" t="str">
        <f>IF($F$17=1,"No data included for type A - the use of electricity","")</f>
        <v>No data included for type A - the use of electricity</v>
      </c>
      <c r="E123" s="1702"/>
      <c r="F123" s="1702"/>
      <c r="G123" s="1702"/>
    </row>
    <row r="124" spans="1:9" ht="15.5" x14ac:dyDescent="0.35">
      <c r="D124" s="1702" t="str">
        <f>IF($F$34="","No data included for type A Pollution - purchase of fuels","")</f>
        <v>No data included for type A Pollution - purchase of fuels</v>
      </c>
      <c r="E124" s="1702"/>
      <c r="F124" s="1702"/>
      <c r="G124" s="1702"/>
    </row>
    <row r="125" spans="1:9" ht="15.5" x14ac:dyDescent="0.35">
      <c r="D125" s="1702" t="str">
        <f>IF($F$42="","No data included for type A Pollution - emission by commuting","")</f>
        <v>No data included for type A Pollution - emission by commuting</v>
      </c>
      <c r="E125" s="1702"/>
      <c r="F125" s="1702"/>
      <c r="G125" s="1702"/>
    </row>
    <row r="126" spans="1:9" ht="15.5" x14ac:dyDescent="0.35">
      <c r="D126" s="1702" t="str">
        <f>IF($F$48="","No data included for type A Pollution - emission by business trips","")</f>
        <v>No data included for type A Pollution - emission by business trips</v>
      </c>
      <c r="E126" s="1702"/>
      <c r="F126" s="1702"/>
      <c r="G126" s="1702"/>
    </row>
    <row r="127" spans="1:9" ht="15.75" customHeight="1" x14ac:dyDescent="0.35">
      <c r="D127" s="1702" t="str">
        <f>IF($F$68="","No data included for typ B pollution (hard to measure agricultural emissions)","")</f>
        <v>No data included for typ B pollution (hard to measure agricultural emissions)</v>
      </c>
      <c r="E127" s="1702"/>
      <c r="F127" s="1702"/>
      <c r="G127" s="1702"/>
      <c r="H127" s="1702"/>
    </row>
    <row r="128" spans="1:9" ht="15.5" x14ac:dyDescent="0.35">
      <c r="D128" s="1702" t="str">
        <f>IF($F$101="","No data included for type C pollution (quantifiable chemicals)","")</f>
        <v>No data included for type C pollution (quantifiable chemicals)</v>
      </c>
      <c r="E128" s="1702"/>
      <c r="F128" s="1702"/>
      <c r="G128" s="1702"/>
    </row>
    <row r="129" spans="4:7" ht="15.5" x14ac:dyDescent="0.35">
      <c r="D129" s="1702" t="str">
        <f>IF($F$106="","No data included for type D pollution (heat)","")</f>
        <v>No data included for type D pollution (heat)</v>
      </c>
      <c r="E129" s="1702"/>
      <c r="F129" s="1702"/>
      <c r="G129" s="1702"/>
    </row>
    <row r="130" spans="4:7" ht="15.5" x14ac:dyDescent="0.35">
      <c r="D130" s="1702" t="str">
        <f>IF($F$118="","No data included for type E pollution (incident caused emissions","")</f>
        <v/>
      </c>
      <c r="E130" s="1702"/>
      <c r="F130" s="1702"/>
      <c r="G130" s="1702"/>
    </row>
    <row r="131" spans="4:7" ht="15.5" x14ac:dyDescent="0.35">
      <c r="D131" s="1702"/>
      <c r="E131" s="1702"/>
      <c r="F131" s="1702"/>
      <c r="G131" s="1702"/>
    </row>
  </sheetData>
  <sheetProtection algorithmName="SHA-512" hashValue="YmL/y85znzeWKoFiaxLzPIhOMUd4qnkXkr6blc42oHdF89Kf9Oj8kSLbIT4solWkKLik0vIOP5KmdjRnY0ZSEQ==" saltValue="jIfWxEaBqwjsvV3ths7kzA==" spinCount="100000" sheet="1" objects="1" scenarios="1"/>
  <mergeCells count="40">
    <mergeCell ref="L24:M24"/>
    <mergeCell ref="N24:O24"/>
    <mergeCell ref="L35:M35"/>
    <mergeCell ref="N35:O35"/>
    <mergeCell ref="D128:G128"/>
    <mergeCell ref="I37:O37"/>
    <mergeCell ref="I26:O26"/>
    <mergeCell ref="K33:M33"/>
    <mergeCell ref="C89:E89"/>
    <mergeCell ref="B103:C103"/>
    <mergeCell ref="D65:G65"/>
    <mergeCell ref="D66:G66"/>
    <mergeCell ref="D67:G67"/>
    <mergeCell ref="D68:G68"/>
    <mergeCell ref="D69:G69"/>
    <mergeCell ref="D70:G70"/>
    <mergeCell ref="D129:G129"/>
    <mergeCell ref="D130:G130"/>
    <mergeCell ref="D131:G131"/>
    <mergeCell ref="D127:H127"/>
    <mergeCell ref="D122:G122"/>
    <mergeCell ref="D123:G123"/>
    <mergeCell ref="D124:G124"/>
    <mergeCell ref="D125:G125"/>
    <mergeCell ref="D126:G126"/>
    <mergeCell ref="B108:C108"/>
    <mergeCell ref="B1:C1"/>
    <mergeCell ref="B72:C72"/>
    <mergeCell ref="B88:C88"/>
    <mergeCell ref="C73:G73"/>
    <mergeCell ref="B8:C8"/>
    <mergeCell ref="B16:C16"/>
    <mergeCell ref="B28:C28"/>
    <mergeCell ref="B36:C36"/>
    <mergeCell ref="B44:C44"/>
    <mergeCell ref="B49:C49"/>
    <mergeCell ref="C29:G29"/>
    <mergeCell ref="B58:G58"/>
    <mergeCell ref="D1:E1"/>
    <mergeCell ref="C3:E3"/>
  </mergeCells>
  <dataValidations disablePrompts="1" count="1">
    <dataValidation type="list" allowBlank="1" showInputMessage="1" showErrorMessage="1" sqref="I33" xr:uid="{00000000-0002-0000-0500-000000000000}">
      <formula1>$E$41:$E$45</formula1>
    </dataValidation>
  </dataValidations>
  <pageMargins left="0.7" right="0.7" top="0.75" bottom="0.75" header="0.3" footer="0.3"/>
  <pageSetup paperSize="9"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locked="0" defaultSize="0" autoLine="0" autoPict="0">
                <anchor moveWithCells="1">
                  <from>
                    <xdr:col>5</xdr:col>
                    <xdr:colOff>12700</xdr:colOff>
                    <xdr:row>7</xdr:row>
                    <xdr:rowOff>215900</xdr:rowOff>
                  </from>
                  <to>
                    <xdr:col>6</xdr:col>
                    <xdr:colOff>0</xdr:colOff>
                    <xdr:row>8</xdr:row>
                    <xdr:rowOff>584200</xdr:rowOff>
                  </to>
                </anchor>
              </controlPr>
            </control>
          </mc:Choice>
        </mc:AlternateContent>
        <mc:AlternateContent xmlns:mc="http://schemas.openxmlformats.org/markup-compatibility/2006">
          <mc:Choice Requires="x14">
            <control shapeId="15363" r:id="rId5" name="Drop Down 3">
              <controlPr defaultSize="0" autoLine="0" autoPict="0">
                <anchor moveWithCells="1">
                  <from>
                    <xdr:col>5</xdr:col>
                    <xdr:colOff>12700</xdr:colOff>
                    <xdr:row>18</xdr:row>
                    <xdr:rowOff>736600</xdr:rowOff>
                  </from>
                  <to>
                    <xdr:col>6</xdr:col>
                    <xdr:colOff>0</xdr:colOff>
                    <xdr:row>20</xdr:row>
                    <xdr:rowOff>0</xdr:rowOff>
                  </to>
                </anchor>
              </controlPr>
            </control>
          </mc:Choice>
        </mc:AlternateContent>
        <mc:AlternateContent xmlns:mc="http://schemas.openxmlformats.org/markup-compatibility/2006">
          <mc:Choice Requires="x14">
            <control shapeId="15366" r:id="rId6" name="Drop Down 6">
              <controlPr defaultSize="0" autoLine="0" autoPict="0">
                <anchor moveWithCells="1">
                  <from>
                    <xdr:col>5</xdr:col>
                    <xdr:colOff>0</xdr:colOff>
                    <xdr:row>108</xdr:row>
                    <xdr:rowOff>609600</xdr:rowOff>
                  </from>
                  <to>
                    <xdr:col>6</xdr:col>
                    <xdr:colOff>0</xdr:colOff>
                    <xdr:row>110</xdr:row>
                    <xdr:rowOff>12700</xdr:rowOff>
                  </to>
                </anchor>
              </controlPr>
            </control>
          </mc:Choice>
        </mc:AlternateContent>
        <mc:AlternateContent xmlns:mc="http://schemas.openxmlformats.org/markup-compatibility/2006">
          <mc:Choice Requires="x14">
            <control shapeId="15493" r:id="rId7" name="Drop Down 133">
              <controlPr defaultSize="0" autoLine="0" autoPict="0">
                <anchor moveWithCells="1">
                  <from>
                    <xdr:col>5</xdr:col>
                    <xdr:colOff>12700</xdr:colOff>
                    <xdr:row>102</xdr:row>
                    <xdr:rowOff>203200</xdr:rowOff>
                  </from>
                  <to>
                    <xdr:col>5</xdr:col>
                    <xdr:colOff>1219200</xdr:colOff>
                    <xdr:row>104</xdr:row>
                    <xdr:rowOff>12700</xdr:rowOff>
                  </to>
                </anchor>
              </controlPr>
            </control>
          </mc:Choice>
        </mc:AlternateContent>
        <mc:AlternateContent xmlns:mc="http://schemas.openxmlformats.org/markup-compatibility/2006">
          <mc:Choice Requires="x14">
            <control shapeId="15501" r:id="rId8" name="Drop Down 141">
              <controlPr defaultSize="0" autoLine="0" autoPict="0">
                <anchor moveWithCells="1">
                  <from>
                    <xdr:col>5</xdr:col>
                    <xdr:colOff>12700</xdr:colOff>
                    <xdr:row>90</xdr:row>
                    <xdr:rowOff>431800</xdr:rowOff>
                  </from>
                  <to>
                    <xdr:col>6</xdr:col>
                    <xdr:colOff>0</xdr:colOff>
                    <xdr:row>92</xdr:row>
                    <xdr:rowOff>0</xdr:rowOff>
                  </to>
                </anchor>
              </controlPr>
            </control>
          </mc:Choice>
        </mc:AlternateContent>
        <mc:AlternateContent xmlns:mc="http://schemas.openxmlformats.org/markup-compatibility/2006">
          <mc:Choice Requires="x14">
            <control shapeId="15574" r:id="rId9" name="Drop Down 214">
              <controlPr defaultSize="0" autoLine="0" autoPict="0">
                <anchor moveWithCells="1">
                  <from>
                    <xdr:col>5</xdr:col>
                    <xdr:colOff>12700</xdr:colOff>
                    <xdr:row>72</xdr:row>
                    <xdr:rowOff>266700</xdr:rowOff>
                  </from>
                  <to>
                    <xdr:col>6</xdr:col>
                    <xdr:colOff>0</xdr:colOff>
                    <xdr:row>74</xdr:row>
                    <xdr:rowOff>0</xdr:rowOff>
                  </to>
                </anchor>
              </controlPr>
            </control>
          </mc:Choice>
        </mc:AlternateContent>
        <mc:AlternateContent xmlns:mc="http://schemas.openxmlformats.org/markup-compatibility/2006">
          <mc:Choice Requires="x14">
            <control shapeId="15575" r:id="rId10" name="Drop Down 215">
              <controlPr defaultSize="0" autoLine="0" autoPict="0">
                <anchor moveWithCells="1">
                  <from>
                    <xdr:col>5</xdr:col>
                    <xdr:colOff>12700</xdr:colOff>
                    <xdr:row>75</xdr:row>
                    <xdr:rowOff>571500</xdr:rowOff>
                  </from>
                  <to>
                    <xdr:col>6</xdr:col>
                    <xdr:colOff>0</xdr:colOff>
                    <xdr:row>77</xdr:row>
                    <xdr:rowOff>0</xdr:rowOff>
                  </to>
                </anchor>
              </controlPr>
            </control>
          </mc:Choice>
        </mc:AlternateContent>
        <mc:AlternateContent xmlns:mc="http://schemas.openxmlformats.org/markup-compatibility/2006">
          <mc:Choice Requires="x14">
            <control shapeId="15579" r:id="rId11" name="Drop Down 219">
              <controlPr defaultSize="0" autoLine="0" autoPict="0">
                <anchor moveWithCells="1">
                  <from>
                    <xdr:col>5</xdr:col>
                    <xdr:colOff>12700</xdr:colOff>
                    <xdr:row>89</xdr:row>
                    <xdr:rowOff>431800</xdr:rowOff>
                  </from>
                  <to>
                    <xdr:col>6</xdr:col>
                    <xdr:colOff>12700</xdr:colOff>
                    <xdr:row>91</xdr:row>
                    <xdr:rowOff>0</xdr:rowOff>
                  </to>
                </anchor>
              </controlPr>
            </control>
          </mc:Choice>
        </mc:AlternateContent>
        <mc:AlternateContent xmlns:mc="http://schemas.openxmlformats.org/markup-compatibility/2006">
          <mc:Choice Requires="x14">
            <control shapeId="15580" r:id="rId12" name="Drop Down 220">
              <controlPr defaultSize="0" autoLine="0" autoPict="0">
                <anchor moveWithCells="1">
                  <from>
                    <xdr:col>5</xdr:col>
                    <xdr:colOff>12700</xdr:colOff>
                    <xdr:row>73</xdr:row>
                    <xdr:rowOff>381000</xdr:rowOff>
                  </from>
                  <to>
                    <xdr:col>6</xdr:col>
                    <xdr:colOff>0</xdr:colOff>
                    <xdr:row>75</xdr:row>
                    <xdr:rowOff>0</xdr:rowOff>
                  </to>
                </anchor>
              </controlPr>
            </control>
          </mc:Choice>
        </mc:AlternateContent>
        <mc:AlternateContent xmlns:mc="http://schemas.openxmlformats.org/markup-compatibility/2006">
          <mc:Choice Requires="x14">
            <control shapeId="15585" r:id="rId13" name="Drop Down 225">
              <controlPr defaultSize="0" autoLine="0" autoPict="0">
                <anchor moveWithCells="1">
                  <from>
                    <xdr:col>5</xdr:col>
                    <xdr:colOff>12700</xdr:colOff>
                    <xdr:row>36</xdr:row>
                    <xdr:rowOff>0</xdr:rowOff>
                  </from>
                  <to>
                    <xdr:col>6</xdr:col>
                    <xdr:colOff>0</xdr:colOff>
                    <xdr:row>37</xdr:row>
                    <xdr:rowOff>0</xdr:rowOff>
                  </to>
                </anchor>
              </controlPr>
            </control>
          </mc:Choice>
        </mc:AlternateContent>
        <mc:AlternateContent xmlns:mc="http://schemas.openxmlformats.org/markup-compatibility/2006">
          <mc:Choice Requires="x14">
            <control shapeId="15587" r:id="rId14" name="Drop Down 227">
              <controlPr defaultSize="0" autoLine="0" autoPict="0">
                <anchor moveWithCells="1">
                  <from>
                    <xdr:col>5</xdr:col>
                    <xdr:colOff>12700</xdr:colOff>
                    <xdr:row>44</xdr:row>
                    <xdr:rowOff>0</xdr:rowOff>
                  </from>
                  <to>
                    <xdr:col>6</xdr:col>
                    <xdr:colOff>0</xdr:colOff>
                    <xdr:row>45</xdr:row>
                    <xdr:rowOff>0</xdr:rowOff>
                  </to>
                </anchor>
              </controlPr>
            </control>
          </mc:Choice>
        </mc:AlternateContent>
        <mc:AlternateContent xmlns:mc="http://schemas.openxmlformats.org/markup-compatibility/2006">
          <mc:Choice Requires="x14">
            <control shapeId="15591" r:id="rId15" name="Drop Down 231">
              <controlPr defaultSize="0" autoLine="0" autoPict="0">
                <anchor moveWithCells="1">
                  <from>
                    <xdr:col>5</xdr:col>
                    <xdr:colOff>6350</xdr:colOff>
                    <xdr:row>4</xdr:row>
                    <xdr:rowOff>0</xdr:rowOff>
                  </from>
                  <to>
                    <xdr:col>5</xdr:col>
                    <xdr:colOff>1219200</xdr:colOff>
                    <xdr:row>5</xdr:row>
                    <xdr:rowOff>0</xdr:rowOff>
                  </to>
                </anchor>
              </controlPr>
            </control>
          </mc:Choice>
        </mc:AlternateContent>
        <mc:AlternateContent xmlns:mc="http://schemas.openxmlformats.org/markup-compatibility/2006">
          <mc:Choice Requires="x14">
            <control shapeId="15593" r:id="rId16" name="Drop Down 233">
              <controlPr defaultSize="0" autoLine="0" autoPict="0">
                <anchor moveWithCells="1">
                  <from>
                    <xdr:col>5</xdr:col>
                    <xdr:colOff>12700</xdr:colOff>
                    <xdr:row>29</xdr:row>
                    <xdr:rowOff>12700</xdr:rowOff>
                  </from>
                  <to>
                    <xdr:col>6</xdr:col>
                    <xdr:colOff>0</xdr:colOff>
                    <xdr:row>30</xdr:row>
                    <xdr:rowOff>0</xdr:rowOff>
                  </to>
                </anchor>
              </controlPr>
            </control>
          </mc:Choice>
        </mc:AlternateContent>
        <mc:AlternateContent xmlns:mc="http://schemas.openxmlformats.org/markup-compatibility/2006">
          <mc:Choice Requires="x14">
            <control shapeId="15595" r:id="rId17" name="Drop Down 235">
              <controlPr defaultSize="0" autoLine="0" autoPict="0">
                <anchor moveWithCells="1">
                  <from>
                    <xdr:col>5</xdr:col>
                    <xdr:colOff>12700</xdr:colOff>
                    <xdr:row>16</xdr:row>
                    <xdr:rowOff>12700</xdr:rowOff>
                  </from>
                  <to>
                    <xdr:col>6</xdr:col>
                    <xdr:colOff>12700</xdr:colOff>
                    <xdr:row>17</xdr:row>
                    <xdr:rowOff>12700</xdr:rowOff>
                  </to>
                </anchor>
              </controlPr>
            </control>
          </mc:Choice>
        </mc:AlternateContent>
        <mc:AlternateContent xmlns:mc="http://schemas.openxmlformats.org/markup-compatibility/2006">
          <mc:Choice Requires="x14">
            <control shapeId="15597" r:id="rId18" name="Drop Down 237">
              <controlPr defaultSize="0" autoLine="0" autoPict="0">
                <anchor moveWithCells="1">
                  <from>
                    <xdr:col>9</xdr:col>
                    <xdr:colOff>12700</xdr:colOff>
                    <xdr:row>38</xdr:row>
                    <xdr:rowOff>762000</xdr:rowOff>
                  </from>
                  <to>
                    <xdr:col>10</xdr:col>
                    <xdr:colOff>12700</xdr:colOff>
                    <xdr:row>40</xdr:row>
                    <xdr:rowOff>12700</xdr:rowOff>
                  </to>
                </anchor>
              </controlPr>
            </control>
          </mc:Choice>
        </mc:AlternateContent>
        <mc:AlternateContent xmlns:mc="http://schemas.openxmlformats.org/markup-compatibility/2006">
          <mc:Choice Requires="x14">
            <control shapeId="15609" r:id="rId19" name="Drop Down 249">
              <controlPr defaultSize="0" autoLine="0" autoPict="0">
                <anchor moveWithCells="1">
                  <from>
                    <xdr:col>9</xdr:col>
                    <xdr:colOff>12700</xdr:colOff>
                    <xdr:row>40</xdr:row>
                    <xdr:rowOff>0</xdr:rowOff>
                  </from>
                  <to>
                    <xdr:col>9</xdr:col>
                    <xdr:colOff>3263900</xdr:colOff>
                    <xdr:row>41</xdr:row>
                    <xdr:rowOff>0</xdr:rowOff>
                  </to>
                </anchor>
              </controlPr>
            </control>
          </mc:Choice>
        </mc:AlternateContent>
        <mc:AlternateContent xmlns:mc="http://schemas.openxmlformats.org/markup-compatibility/2006">
          <mc:Choice Requires="x14">
            <control shapeId="15610" r:id="rId20" name="Drop Down 250">
              <controlPr defaultSize="0" autoLine="0" autoPict="0">
                <anchor moveWithCells="1">
                  <from>
                    <xdr:col>9</xdr:col>
                    <xdr:colOff>12700</xdr:colOff>
                    <xdr:row>40</xdr:row>
                    <xdr:rowOff>647700</xdr:rowOff>
                  </from>
                  <to>
                    <xdr:col>10</xdr:col>
                    <xdr:colOff>12700</xdr:colOff>
                    <xdr:row>41</xdr:row>
                    <xdr:rowOff>381000</xdr:rowOff>
                  </to>
                </anchor>
              </controlPr>
            </control>
          </mc:Choice>
        </mc:AlternateContent>
        <mc:AlternateContent xmlns:mc="http://schemas.openxmlformats.org/markup-compatibility/2006">
          <mc:Choice Requires="x14">
            <control shapeId="15611" r:id="rId21" name="Drop Down 251">
              <controlPr defaultSize="0" autoLine="0" autoPict="0">
                <anchor moveWithCells="1">
                  <from>
                    <xdr:col>9</xdr:col>
                    <xdr:colOff>12700</xdr:colOff>
                    <xdr:row>42</xdr:row>
                    <xdr:rowOff>0</xdr:rowOff>
                  </from>
                  <to>
                    <xdr:col>10</xdr:col>
                    <xdr:colOff>0</xdr:colOff>
                    <xdr:row>43</xdr:row>
                    <xdr:rowOff>12700</xdr:rowOff>
                  </to>
                </anchor>
              </controlPr>
            </control>
          </mc:Choice>
        </mc:AlternateContent>
        <mc:AlternateContent xmlns:mc="http://schemas.openxmlformats.org/markup-compatibility/2006">
          <mc:Choice Requires="x14">
            <control shapeId="15612" r:id="rId22" name="Drop Down 252">
              <controlPr defaultSize="0" autoLine="0" autoPict="0">
                <anchor moveWithCells="1">
                  <from>
                    <xdr:col>9</xdr:col>
                    <xdr:colOff>12700</xdr:colOff>
                    <xdr:row>43</xdr:row>
                    <xdr:rowOff>0</xdr:rowOff>
                  </from>
                  <to>
                    <xdr:col>10</xdr:col>
                    <xdr:colOff>0</xdr:colOff>
                    <xdr:row>44</xdr:row>
                    <xdr:rowOff>12700</xdr:rowOff>
                  </to>
                </anchor>
              </controlPr>
            </control>
          </mc:Choice>
        </mc:AlternateContent>
        <mc:AlternateContent xmlns:mc="http://schemas.openxmlformats.org/markup-compatibility/2006">
          <mc:Choice Requires="x14">
            <control shapeId="15613" r:id="rId23" name="Drop Down 253">
              <controlPr defaultSize="0" autoLine="0" autoPict="0">
                <anchor moveWithCells="1">
                  <from>
                    <xdr:col>9</xdr:col>
                    <xdr:colOff>12700</xdr:colOff>
                    <xdr:row>44</xdr:row>
                    <xdr:rowOff>0</xdr:rowOff>
                  </from>
                  <to>
                    <xdr:col>10</xdr:col>
                    <xdr:colOff>12700</xdr:colOff>
                    <xdr:row>45</xdr:row>
                    <xdr:rowOff>12700</xdr:rowOff>
                  </to>
                </anchor>
              </controlPr>
            </control>
          </mc:Choice>
        </mc:AlternateContent>
        <mc:AlternateContent xmlns:mc="http://schemas.openxmlformats.org/markup-compatibility/2006">
          <mc:Choice Requires="x14">
            <control shapeId="15614" r:id="rId24" name="Drop Down 254">
              <controlPr defaultSize="0" autoLine="0" autoPict="0">
                <anchor moveWithCells="1">
                  <from>
                    <xdr:col>9</xdr:col>
                    <xdr:colOff>12700</xdr:colOff>
                    <xdr:row>45</xdr:row>
                    <xdr:rowOff>0</xdr:rowOff>
                  </from>
                  <to>
                    <xdr:col>10</xdr:col>
                    <xdr:colOff>12700</xdr:colOff>
                    <xdr:row>46</xdr:row>
                    <xdr:rowOff>12700</xdr:rowOff>
                  </to>
                </anchor>
              </controlPr>
            </control>
          </mc:Choice>
        </mc:AlternateContent>
        <mc:AlternateContent xmlns:mc="http://schemas.openxmlformats.org/markup-compatibility/2006">
          <mc:Choice Requires="x14">
            <control shapeId="15615" r:id="rId25" name="Drop Down 255">
              <controlPr defaultSize="0" autoLine="0" autoPict="0">
                <anchor moveWithCells="1">
                  <from>
                    <xdr:col>9</xdr:col>
                    <xdr:colOff>12700</xdr:colOff>
                    <xdr:row>46</xdr:row>
                    <xdr:rowOff>0</xdr:rowOff>
                  </from>
                  <to>
                    <xdr:col>10</xdr:col>
                    <xdr:colOff>12700</xdr:colOff>
                    <xdr:row>47</xdr:row>
                    <xdr:rowOff>12700</xdr:rowOff>
                  </to>
                </anchor>
              </controlPr>
            </control>
          </mc:Choice>
        </mc:AlternateContent>
        <mc:AlternateContent xmlns:mc="http://schemas.openxmlformats.org/markup-compatibility/2006">
          <mc:Choice Requires="x14">
            <control shapeId="15616" r:id="rId26" name="Drop Down 256">
              <controlPr defaultSize="0" autoLine="0" autoPict="0">
                <anchor moveWithCells="1">
                  <from>
                    <xdr:col>9</xdr:col>
                    <xdr:colOff>12700</xdr:colOff>
                    <xdr:row>46</xdr:row>
                    <xdr:rowOff>469900</xdr:rowOff>
                  </from>
                  <to>
                    <xdr:col>10</xdr:col>
                    <xdr:colOff>0</xdr:colOff>
                    <xdr:row>47</xdr:row>
                    <xdr:rowOff>431800</xdr:rowOff>
                  </to>
                </anchor>
              </controlPr>
            </control>
          </mc:Choice>
        </mc:AlternateContent>
        <mc:AlternateContent xmlns:mc="http://schemas.openxmlformats.org/markup-compatibility/2006">
          <mc:Choice Requires="x14">
            <control shapeId="15617" r:id="rId27" name="Drop Down 257">
              <controlPr defaultSize="0" autoLine="0" autoPict="0">
                <anchor moveWithCells="1">
                  <from>
                    <xdr:col>9</xdr:col>
                    <xdr:colOff>12700</xdr:colOff>
                    <xdr:row>47</xdr:row>
                    <xdr:rowOff>457200</xdr:rowOff>
                  </from>
                  <to>
                    <xdr:col>10</xdr:col>
                    <xdr:colOff>12700</xdr:colOff>
                    <xdr:row>48</xdr:row>
                    <xdr:rowOff>304800</xdr:rowOff>
                  </to>
                </anchor>
              </controlPr>
            </control>
          </mc:Choice>
        </mc:AlternateContent>
        <mc:AlternateContent xmlns:mc="http://schemas.openxmlformats.org/markup-compatibility/2006">
          <mc:Choice Requires="x14">
            <control shapeId="15618" r:id="rId28" name="Drop Down 258">
              <controlPr defaultSize="0" autoLine="0" autoPict="0">
                <anchor moveWithCells="1">
                  <from>
                    <xdr:col>8</xdr:col>
                    <xdr:colOff>609600</xdr:colOff>
                    <xdr:row>50</xdr:row>
                    <xdr:rowOff>12700</xdr:rowOff>
                  </from>
                  <to>
                    <xdr:col>10</xdr:col>
                    <xdr:colOff>0</xdr:colOff>
                    <xdr:row>50</xdr:row>
                    <xdr:rowOff>660400</xdr:rowOff>
                  </to>
                </anchor>
              </controlPr>
            </control>
          </mc:Choice>
        </mc:AlternateContent>
        <mc:AlternateContent xmlns:mc="http://schemas.openxmlformats.org/markup-compatibility/2006">
          <mc:Choice Requires="x14">
            <control shapeId="15620" r:id="rId29" name="Drop Down 260">
              <controlPr defaultSize="0" autoLine="0" autoPict="0">
                <anchor moveWithCells="1">
                  <from>
                    <xdr:col>9</xdr:col>
                    <xdr:colOff>12700</xdr:colOff>
                    <xdr:row>38</xdr:row>
                    <xdr:rowOff>12700</xdr:rowOff>
                  </from>
                  <to>
                    <xdr:col>10</xdr:col>
                    <xdr:colOff>12700</xdr:colOff>
                    <xdr:row>38</xdr:row>
                    <xdr:rowOff>762000</xdr:rowOff>
                  </to>
                </anchor>
              </controlPr>
            </control>
          </mc:Choice>
        </mc:AlternateContent>
        <mc:AlternateContent xmlns:mc="http://schemas.openxmlformats.org/markup-compatibility/2006">
          <mc:Choice Requires="x14">
            <control shapeId="15632" r:id="rId30" name="Drop Down 272">
              <controlPr defaultSize="0" autoLine="0" autoPict="0">
                <anchor moveWithCells="1">
                  <from>
                    <xdr:col>9</xdr:col>
                    <xdr:colOff>12700</xdr:colOff>
                    <xdr:row>48</xdr:row>
                    <xdr:rowOff>304800</xdr:rowOff>
                  </from>
                  <to>
                    <xdr:col>10</xdr:col>
                    <xdr:colOff>0</xdr:colOff>
                    <xdr:row>49</xdr:row>
                    <xdr:rowOff>419100</xdr:rowOff>
                  </to>
                </anchor>
              </controlPr>
            </control>
          </mc:Choice>
        </mc:AlternateContent>
        <mc:AlternateContent xmlns:mc="http://schemas.openxmlformats.org/markup-compatibility/2006">
          <mc:Choice Requires="x14">
            <control shapeId="15633" r:id="rId31" name="Drop Down 273">
              <controlPr defaultSize="0" autoLine="0" autoPict="0">
                <anchor moveWithCells="1">
                  <from>
                    <xdr:col>5</xdr:col>
                    <xdr:colOff>12700</xdr:colOff>
                    <xdr:row>48</xdr:row>
                    <xdr:rowOff>317500</xdr:rowOff>
                  </from>
                  <to>
                    <xdr:col>6</xdr:col>
                    <xdr:colOff>0</xdr:colOff>
                    <xdr:row>50</xdr:row>
                    <xdr:rowOff>0</xdr:rowOff>
                  </to>
                </anchor>
              </controlPr>
            </control>
          </mc:Choice>
        </mc:AlternateContent>
        <mc:AlternateContent xmlns:mc="http://schemas.openxmlformats.org/markup-compatibility/2006">
          <mc:Choice Requires="x14">
            <control shapeId="15644" r:id="rId32" name="Drop Down 284">
              <controlPr defaultSize="0" autoLine="0" autoPict="0">
                <anchor moveWithCells="1">
                  <from>
                    <xdr:col>9</xdr:col>
                    <xdr:colOff>12700</xdr:colOff>
                    <xdr:row>26</xdr:row>
                    <xdr:rowOff>558800</xdr:rowOff>
                  </from>
                  <to>
                    <xdr:col>10</xdr:col>
                    <xdr:colOff>12700</xdr:colOff>
                    <xdr:row>28</xdr:row>
                    <xdr:rowOff>0</xdr:rowOff>
                  </to>
                </anchor>
              </controlPr>
            </control>
          </mc:Choice>
        </mc:AlternateContent>
        <mc:AlternateContent xmlns:mc="http://schemas.openxmlformats.org/markup-compatibility/2006">
          <mc:Choice Requires="x14">
            <control shapeId="15645" r:id="rId33" name="Drop Down 285">
              <controlPr defaultSize="0" autoLine="0" autoPict="0">
                <anchor moveWithCells="1">
                  <from>
                    <xdr:col>9</xdr:col>
                    <xdr:colOff>12700</xdr:colOff>
                    <xdr:row>28</xdr:row>
                    <xdr:rowOff>12700</xdr:rowOff>
                  </from>
                  <to>
                    <xdr:col>10</xdr:col>
                    <xdr:colOff>25400</xdr:colOff>
                    <xdr:row>29</xdr:row>
                    <xdr:rowOff>12700</xdr:rowOff>
                  </to>
                </anchor>
              </controlPr>
            </control>
          </mc:Choice>
        </mc:AlternateContent>
        <mc:AlternateContent xmlns:mc="http://schemas.openxmlformats.org/markup-compatibility/2006">
          <mc:Choice Requires="x14">
            <control shapeId="15646" r:id="rId34" name="Drop Down 286">
              <controlPr defaultSize="0" autoLine="0" autoPict="0">
                <anchor moveWithCells="1">
                  <from>
                    <xdr:col>9</xdr:col>
                    <xdr:colOff>12700</xdr:colOff>
                    <xdr:row>28</xdr:row>
                    <xdr:rowOff>304800</xdr:rowOff>
                  </from>
                  <to>
                    <xdr:col>10</xdr:col>
                    <xdr:colOff>12700</xdr:colOff>
                    <xdr:row>29</xdr:row>
                    <xdr:rowOff>406400</xdr:rowOff>
                  </to>
                </anchor>
              </controlPr>
            </control>
          </mc:Choice>
        </mc:AlternateContent>
        <mc:AlternateContent xmlns:mc="http://schemas.openxmlformats.org/markup-compatibility/2006">
          <mc:Choice Requires="x14">
            <control shapeId="15647" r:id="rId35" name="Drop Down 287">
              <controlPr defaultSize="0" autoLine="0" autoPict="0">
                <anchor moveWithCells="1">
                  <from>
                    <xdr:col>9</xdr:col>
                    <xdr:colOff>12700</xdr:colOff>
                    <xdr:row>29</xdr:row>
                    <xdr:rowOff>419100</xdr:rowOff>
                  </from>
                  <to>
                    <xdr:col>10</xdr:col>
                    <xdr:colOff>12700</xdr:colOff>
                    <xdr:row>31</xdr:row>
                    <xdr:rowOff>12700</xdr:rowOff>
                  </to>
                </anchor>
              </controlPr>
            </control>
          </mc:Choice>
        </mc:AlternateContent>
        <mc:AlternateContent xmlns:mc="http://schemas.openxmlformats.org/markup-compatibility/2006">
          <mc:Choice Requires="x14">
            <control shapeId="15648" r:id="rId36" name="Drop Down 288">
              <controlPr defaultSize="0" autoLine="0" autoPict="0">
                <anchor moveWithCells="1">
                  <from>
                    <xdr:col>9</xdr:col>
                    <xdr:colOff>12700</xdr:colOff>
                    <xdr:row>31</xdr:row>
                    <xdr:rowOff>12700</xdr:rowOff>
                  </from>
                  <to>
                    <xdr:col>10</xdr:col>
                    <xdr:colOff>12700</xdr:colOff>
                    <xdr:row>31</xdr:row>
                    <xdr:rowOff>762000</xdr:rowOff>
                  </to>
                </anchor>
              </controlPr>
            </control>
          </mc:Choice>
        </mc:AlternateContent>
        <mc:AlternateContent xmlns:mc="http://schemas.openxmlformats.org/markup-compatibility/2006">
          <mc:Choice Requires="x14">
            <control shapeId="15658" r:id="rId37" name="Drop Down 298">
              <controlPr defaultSize="0" autoLine="0" autoPict="0">
                <anchor moveWithCells="1">
                  <from>
                    <xdr:col>5</xdr:col>
                    <xdr:colOff>12700</xdr:colOff>
                    <xdr:row>79</xdr:row>
                    <xdr:rowOff>12700</xdr:rowOff>
                  </from>
                  <to>
                    <xdr:col>6</xdr:col>
                    <xdr:colOff>12700</xdr:colOff>
                    <xdr:row>80</xdr:row>
                    <xdr:rowOff>0</xdr:rowOff>
                  </to>
                </anchor>
              </controlPr>
            </control>
          </mc:Choice>
        </mc:AlternateContent>
        <mc:AlternateContent xmlns:mc="http://schemas.openxmlformats.org/markup-compatibility/2006">
          <mc:Choice Requires="x14">
            <control shapeId="15659" r:id="rId38" name="Drop Down 299">
              <controlPr defaultSize="0" autoLine="0" autoPict="0">
                <anchor moveWithCells="1">
                  <from>
                    <xdr:col>4</xdr:col>
                    <xdr:colOff>1428750</xdr:colOff>
                    <xdr:row>94</xdr:row>
                    <xdr:rowOff>749300</xdr:rowOff>
                  </from>
                  <to>
                    <xdr:col>5</xdr:col>
                    <xdr:colOff>1219200</xdr:colOff>
                    <xdr:row>96</xdr:row>
                    <xdr:rowOff>6350</xdr:rowOff>
                  </to>
                </anchor>
              </controlPr>
            </control>
          </mc:Choice>
        </mc:AlternateContent>
        <mc:AlternateContent xmlns:mc="http://schemas.openxmlformats.org/markup-compatibility/2006">
          <mc:Choice Requires="x14">
            <control shapeId="15661" r:id="rId39" name="Drop Down 301">
              <controlPr defaultSize="0" autoLine="0" autoPict="0">
                <anchor moveWithCells="1">
                  <from>
                    <xdr:col>5</xdr:col>
                    <xdr:colOff>0</xdr:colOff>
                    <xdr:row>109</xdr:row>
                    <xdr:rowOff>571500</xdr:rowOff>
                  </from>
                  <to>
                    <xdr:col>6</xdr:col>
                    <xdr:colOff>0</xdr:colOff>
                    <xdr:row>111</xdr:row>
                    <xdr:rowOff>12700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21">
    <tabColor rgb="FF7030A0"/>
  </sheetPr>
  <dimension ref="A1:AQ7775"/>
  <sheetViews>
    <sheetView zoomScale="80" zoomScaleNormal="80" workbookViewId="0">
      <selection sqref="A1:XFD1048576"/>
    </sheetView>
  </sheetViews>
  <sheetFormatPr defaultColWidth="8.6328125" defaultRowHeight="14.5" x14ac:dyDescent="0.35"/>
  <cols>
    <col min="1" max="1" width="9.453125" style="803" customWidth="1"/>
    <col min="2" max="2" width="37.453125" style="737" customWidth="1"/>
    <col min="3" max="3" width="16.1796875" style="804" customWidth="1"/>
    <col min="4" max="4" width="18.1796875" style="804" customWidth="1"/>
    <col min="5" max="5" width="14.81640625" style="804" customWidth="1"/>
    <col min="6" max="6" width="12.1796875" style="805" customWidth="1"/>
    <col min="7" max="7" width="37.453125" style="737" customWidth="1"/>
    <col min="8" max="8" width="14.453125" style="737" customWidth="1"/>
    <col min="9" max="9" width="15.81640625" style="737" customWidth="1"/>
    <col min="10" max="10" width="17.81640625" style="737" customWidth="1"/>
    <col min="11" max="11" width="13.453125" style="737" customWidth="1"/>
    <col min="12" max="12" width="37.453125" style="806" customWidth="1"/>
    <col min="13" max="13" width="16.6328125" style="737" customWidth="1"/>
    <col min="14" max="15" width="15.453125" style="737" customWidth="1"/>
    <col min="16" max="18" width="12.453125" style="737" customWidth="1"/>
    <col min="19" max="19" width="6.453125" style="737" customWidth="1"/>
    <col min="20" max="20" width="9.453125" style="737" customWidth="1"/>
    <col min="21" max="21" width="45" style="737" customWidth="1"/>
    <col min="22" max="22" width="14.453125" style="737" customWidth="1"/>
    <col min="23" max="23" width="8.81640625" style="737" customWidth="1"/>
    <col min="24" max="24" width="6.81640625" style="737" customWidth="1"/>
    <col min="25" max="25" width="10.1796875" style="737" customWidth="1"/>
    <col min="26" max="26" width="48.1796875" style="737" customWidth="1"/>
    <col min="27" max="27" width="14.81640625" style="737" customWidth="1"/>
    <col min="28" max="28" width="6.81640625" style="737" customWidth="1"/>
    <col min="29" max="29" width="6" style="737" customWidth="1"/>
    <col min="30" max="30" width="12.453125" style="737" customWidth="1"/>
    <col min="31" max="31" width="35.453125" style="737" customWidth="1"/>
    <col min="32" max="32" width="15.453125" style="737" customWidth="1"/>
    <col min="33" max="33" width="4.453125" style="737" customWidth="1"/>
    <col min="34" max="34" width="14.453125" style="737" customWidth="1"/>
    <col min="35" max="36" width="8.6328125" style="737"/>
    <col min="37" max="37" width="69" style="1629" customWidth="1"/>
    <col min="38" max="38" width="10.81640625" style="737" customWidth="1"/>
    <col min="39" max="39" width="10.1796875" style="737" bestFit="1" customWidth="1"/>
    <col min="40" max="40" width="8.6328125" style="737"/>
    <col min="41" max="41" width="23" style="737" customWidth="1"/>
    <col min="42" max="42" width="19.453125" style="737" customWidth="1"/>
    <col min="43" max="43" width="15.453125" style="857" customWidth="1"/>
    <col min="44" max="16384" width="8.6328125" style="737"/>
  </cols>
  <sheetData>
    <row r="1" spans="1:43" ht="33" customHeight="1" thickBot="1" x14ac:dyDescent="0.4">
      <c r="A1" s="735" t="s">
        <v>89</v>
      </c>
      <c r="B1" s="1728" t="s">
        <v>8693</v>
      </c>
      <c r="C1" s="1729"/>
      <c r="D1" s="1729"/>
      <c r="E1" s="1729"/>
      <c r="F1" s="1729"/>
      <c r="G1" s="1729"/>
      <c r="H1" s="1729"/>
      <c r="I1" s="1729"/>
      <c r="J1" s="1729"/>
      <c r="K1" s="1729"/>
      <c r="L1" s="1729"/>
      <c r="M1" s="1729"/>
      <c r="N1" s="1729"/>
      <c r="O1" s="1729"/>
      <c r="P1" s="1730" t="s">
        <v>8321</v>
      </c>
      <c r="Q1" s="1730"/>
      <c r="R1" s="736" t="str">
        <f>LOOKUP(' Preparation'!$F$4,Data!$B$2:$B$194,Data!$C$2:$C$194)</f>
        <v>€ (Euro)</v>
      </c>
      <c r="S1" s="736">
        <f>' Preparation'!$H$4</f>
        <v>1</v>
      </c>
      <c r="U1" s="738" t="s">
        <v>5823</v>
      </c>
      <c r="V1" s="739">
        <v>1.3999999999999999E-4</v>
      </c>
      <c r="AA1" s="740"/>
      <c r="AO1" s="1725"/>
      <c r="AP1" s="1725"/>
      <c r="AQ1" s="1725"/>
    </row>
    <row r="2" spans="1:43" ht="19.5" customHeight="1" thickBot="1" x14ac:dyDescent="0.4">
      <c r="A2" s="741"/>
      <c r="B2" s="1726" t="s">
        <v>7593</v>
      </c>
      <c r="C2" s="1727"/>
      <c r="D2" s="1727"/>
      <c r="E2" s="1727"/>
      <c r="F2" s="1727"/>
      <c r="G2" s="1688" t="s">
        <v>8412</v>
      </c>
      <c r="H2" s="1689"/>
      <c r="I2" s="554" t="str">
        <f>LOOKUP(' Preparation'!$F$4,Data!$B$2:$B$194,Data!$C$2:$C$194)</f>
        <v>€ (Euro)</v>
      </c>
      <c r="J2" s="742"/>
      <c r="K2" s="742"/>
      <c r="L2" s="743"/>
      <c r="M2" s="742"/>
      <c r="N2" s="742"/>
      <c r="O2" s="742"/>
      <c r="P2" s="742"/>
      <c r="Q2" s="742"/>
      <c r="S2" s="744" t="s">
        <v>7594</v>
      </c>
      <c r="T2" s="745"/>
      <c r="U2" s="745"/>
      <c r="V2" s="745"/>
      <c r="W2" s="745"/>
      <c r="X2" s="746" t="s">
        <v>7595</v>
      </c>
      <c r="Y2" s="745"/>
      <c r="Z2" s="745"/>
      <c r="AA2" s="745"/>
      <c r="AB2" s="745"/>
      <c r="AC2" s="746" t="s">
        <v>7596</v>
      </c>
      <c r="AD2" s="745"/>
      <c r="AE2" s="745"/>
      <c r="AF2" s="745"/>
      <c r="AG2" s="747"/>
      <c r="AH2" s="747"/>
      <c r="AJ2" s="748" t="s">
        <v>7597</v>
      </c>
      <c r="AN2" s="748" t="s">
        <v>7945</v>
      </c>
      <c r="AO2" s="749"/>
      <c r="AP2" s="750"/>
      <c r="AQ2" s="751"/>
    </row>
    <row r="3" spans="1:43" ht="58" customHeight="1" thickBot="1" x14ac:dyDescent="0.4">
      <c r="A3" s="752" t="s">
        <v>82</v>
      </c>
      <c r="B3" s="753" t="s">
        <v>2223</v>
      </c>
      <c r="C3" s="754" t="s">
        <v>5819</v>
      </c>
      <c r="D3" s="754" t="s">
        <v>8610</v>
      </c>
      <c r="E3" s="754" t="s">
        <v>8379</v>
      </c>
      <c r="F3" s="690" t="s">
        <v>5833</v>
      </c>
      <c r="G3" s="755" t="s">
        <v>2224</v>
      </c>
      <c r="H3" s="754" t="s">
        <v>5820</v>
      </c>
      <c r="I3" s="754" t="s">
        <v>8610</v>
      </c>
      <c r="J3" s="754" t="s">
        <v>8379</v>
      </c>
      <c r="K3" s="754" t="s">
        <v>5833</v>
      </c>
      <c r="L3" s="755" t="s">
        <v>2225</v>
      </c>
      <c r="M3" s="754" t="s">
        <v>5821</v>
      </c>
      <c r="N3" s="754" t="s">
        <v>8610</v>
      </c>
      <c r="O3" s="754" t="s">
        <v>8379</v>
      </c>
      <c r="P3" s="754" t="s">
        <v>5833</v>
      </c>
      <c r="Q3" s="689" t="s">
        <v>421</v>
      </c>
      <c r="R3" s="756"/>
      <c r="S3" s="757" t="s">
        <v>82</v>
      </c>
      <c r="T3" s="758" t="s">
        <v>5818</v>
      </c>
      <c r="U3" s="758" t="s">
        <v>5832</v>
      </c>
      <c r="V3" s="759" t="s">
        <v>8649</v>
      </c>
      <c r="W3" s="760"/>
      <c r="X3" s="761" t="s">
        <v>82</v>
      </c>
      <c r="Y3" s="758" t="s">
        <v>5818</v>
      </c>
      <c r="Z3" s="758" t="s">
        <v>5831</v>
      </c>
      <c r="AA3" s="759" t="s">
        <v>8649</v>
      </c>
      <c r="AB3" s="760"/>
      <c r="AC3" s="761" t="s">
        <v>82</v>
      </c>
      <c r="AD3" s="758" t="s">
        <v>5818</v>
      </c>
      <c r="AE3" s="758" t="s">
        <v>5830</v>
      </c>
      <c r="AF3" s="759" t="s">
        <v>8649</v>
      </c>
      <c r="AJ3" s="762" t="s">
        <v>673</v>
      </c>
      <c r="AK3" s="762" t="s">
        <v>6927</v>
      </c>
      <c r="AL3" s="762" t="s">
        <v>8380</v>
      </c>
      <c r="AM3" s="763"/>
      <c r="AN3" s="762" t="s">
        <v>82</v>
      </c>
      <c r="AO3" s="762" t="s">
        <v>7889</v>
      </c>
      <c r="AP3" s="762" t="s">
        <v>7895</v>
      </c>
      <c r="AQ3" s="762" t="s">
        <v>8381</v>
      </c>
    </row>
    <row r="4" spans="1:43" ht="25" customHeight="1" thickTop="1" thickBot="1" x14ac:dyDescent="0.4">
      <c r="A4" s="764">
        <v>1</v>
      </c>
      <c r="B4" s="1877">
        <v>1</v>
      </c>
      <c r="C4" s="1878"/>
      <c r="D4" s="765">
        <f t="shared" ref="D4:D23" si="0">LOOKUP(B4,S$1:S$4237,V$1:V$4237)</f>
        <v>0</v>
      </c>
      <c r="E4" s="1878"/>
      <c r="F4" s="1879"/>
      <c r="G4" s="766">
        <v>1</v>
      </c>
      <c r="H4" s="1878"/>
      <c r="I4" s="765">
        <f t="shared" ref="I4:I23" si="1">LOOKUP(G4,X$1:X$7150,AA$1:AA$7150)</f>
        <v>0</v>
      </c>
      <c r="J4" s="1878"/>
      <c r="K4" s="1880"/>
      <c r="L4" s="767">
        <v>1</v>
      </c>
      <c r="M4" s="1878"/>
      <c r="N4" s="768">
        <f t="shared" ref="N4:N23" si="2">LOOKUP(L4,AC$1:AC$3583,AF$1:AF$3583)</f>
        <v>0</v>
      </c>
      <c r="O4" s="1878"/>
      <c r="P4" s="1880"/>
      <c r="Q4" s="768">
        <f t="shared" ref="Q4:Q23" si="3">C4*((F4*E4)+(1-F4)*D4)+H4*((K4*J4)+(1-K4)*I4)+M4*((P4*O4)+(1-P4)*N4)</f>
        <v>0</v>
      </c>
      <c r="R4" s="769"/>
      <c r="S4" s="770">
        <v>1</v>
      </c>
      <c r="T4" s="758"/>
      <c r="U4" s="758" t="s">
        <v>7458</v>
      </c>
      <c r="V4" s="759">
        <v>0</v>
      </c>
      <c r="W4" s="771"/>
      <c r="X4" s="772">
        <v>1</v>
      </c>
      <c r="Y4" s="758"/>
      <c r="Z4" s="758" t="s">
        <v>7458</v>
      </c>
      <c r="AA4" s="759">
        <v>0</v>
      </c>
      <c r="AB4" s="773"/>
      <c r="AC4" s="772">
        <v>1</v>
      </c>
      <c r="AD4" s="758"/>
      <c r="AE4" s="758" t="s">
        <v>7458</v>
      </c>
      <c r="AF4" s="759">
        <v>0</v>
      </c>
      <c r="AK4" s="1629" t="s">
        <v>7458</v>
      </c>
      <c r="AN4" s="737">
        <v>1</v>
      </c>
      <c r="AO4" s="774" t="s">
        <v>7458</v>
      </c>
      <c r="AP4" s="775"/>
      <c r="AQ4" s="776"/>
    </row>
    <row r="5" spans="1:43" ht="25" customHeight="1" thickBot="1" x14ac:dyDescent="0.4">
      <c r="A5" s="777">
        <v>2</v>
      </c>
      <c r="B5" s="1881">
        <v>1</v>
      </c>
      <c r="C5" s="1878"/>
      <c r="D5" s="765">
        <f t="shared" si="0"/>
        <v>0</v>
      </c>
      <c r="E5" s="1878"/>
      <c r="F5" s="1879"/>
      <c r="G5" s="778">
        <v>1</v>
      </c>
      <c r="H5" s="1878"/>
      <c r="I5" s="765">
        <f t="shared" si="1"/>
        <v>0</v>
      </c>
      <c r="J5" s="1878"/>
      <c r="K5" s="1880"/>
      <c r="L5" s="767">
        <v>1</v>
      </c>
      <c r="M5" s="1882"/>
      <c r="N5" s="768">
        <f t="shared" si="2"/>
        <v>0</v>
      </c>
      <c r="O5" s="1878"/>
      <c r="P5" s="1880"/>
      <c r="Q5" s="768">
        <f t="shared" si="3"/>
        <v>0</v>
      </c>
      <c r="R5" s="769"/>
      <c r="S5" s="770">
        <v>2</v>
      </c>
      <c r="T5" s="770" t="s">
        <v>4284</v>
      </c>
      <c r="U5" s="770" t="s">
        <v>5817</v>
      </c>
      <c r="V5" s="779">
        <f>$S$1*P!V5</f>
        <v>0.11600000000000001</v>
      </c>
      <c r="W5" s="780"/>
      <c r="X5" s="772">
        <v>2</v>
      </c>
      <c r="Y5" s="772" t="s">
        <v>2248</v>
      </c>
      <c r="Z5" s="772" t="s">
        <v>5805</v>
      </c>
      <c r="AA5" s="781">
        <f>$S$1*P!AA5</f>
        <v>1.2818548387096775E-3</v>
      </c>
      <c r="AB5" s="773"/>
      <c r="AC5" s="782">
        <v>2</v>
      </c>
      <c r="AD5" s="782" t="s">
        <v>4573</v>
      </c>
      <c r="AE5" s="782" t="s">
        <v>5805</v>
      </c>
      <c r="AF5" s="781">
        <f>$S$1*P!AF5</f>
        <v>0.13983870967741938</v>
      </c>
      <c r="AJ5" s="783" t="s">
        <v>1059</v>
      </c>
      <c r="AK5" s="784" t="s">
        <v>1205</v>
      </c>
      <c r="AL5" s="785">
        <f>$S$1*P!AL5</f>
        <v>0.80556328656402298</v>
      </c>
      <c r="AM5" s="737">
        <f>S1</f>
        <v>1</v>
      </c>
      <c r="AN5" s="737">
        <v>2</v>
      </c>
      <c r="AO5" s="786" t="s">
        <v>7742</v>
      </c>
      <c r="AP5" s="787">
        <v>1.39</v>
      </c>
      <c r="AQ5" s="788">
        <f>$S$1*P!AQ5</f>
        <v>2.2092489999999999E-2</v>
      </c>
    </row>
    <row r="6" spans="1:43" ht="25" customHeight="1" thickBot="1" x14ac:dyDescent="0.4">
      <c r="A6" s="777">
        <v>3</v>
      </c>
      <c r="B6" s="1881">
        <v>1</v>
      </c>
      <c r="C6" s="1878"/>
      <c r="D6" s="765">
        <f t="shared" si="0"/>
        <v>0</v>
      </c>
      <c r="E6" s="1878"/>
      <c r="F6" s="1879"/>
      <c r="G6" s="778">
        <v>1</v>
      </c>
      <c r="H6" s="1878"/>
      <c r="I6" s="765">
        <f t="shared" si="1"/>
        <v>0</v>
      </c>
      <c r="J6" s="1878"/>
      <c r="K6" s="1880"/>
      <c r="L6" s="767">
        <v>1</v>
      </c>
      <c r="M6" s="1882"/>
      <c r="N6" s="768">
        <f t="shared" si="2"/>
        <v>0</v>
      </c>
      <c r="O6" s="1878"/>
      <c r="P6" s="1880"/>
      <c r="Q6" s="768">
        <f t="shared" si="3"/>
        <v>0</v>
      </c>
      <c r="R6" s="769"/>
      <c r="S6" s="789">
        <v>3</v>
      </c>
      <c r="T6" s="789" t="s">
        <v>4284</v>
      </c>
      <c r="U6" s="789" t="s">
        <v>5816</v>
      </c>
      <c r="V6" s="779">
        <f>$S$1*P!V6</f>
        <v>1.5776000000000002E-2</v>
      </c>
      <c r="W6" s="780"/>
      <c r="X6" s="782">
        <v>3</v>
      </c>
      <c r="Y6" s="782" t="s">
        <v>2248</v>
      </c>
      <c r="Z6" s="782" t="s">
        <v>5803</v>
      </c>
      <c r="AA6" s="781">
        <f>$S$1*P!AA6</f>
        <v>2.4848790322580649E-2</v>
      </c>
      <c r="AB6" s="780"/>
      <c r="AC6" s="782">
        <v>3</v>
      </c>
      <c r="AD6" s="782" t="s">
        <v>4573</v>
      </c>
      <c r="AE6" s="782" t="s">
        <v>5803</v>
      </c>
      <c r="AF6" s="781">
        <f>$S$1*P!AF6</f>
        <v>5.175403225806452E-2</v>
      </c>
      <c r="AJ6" s="783" t="s">
        <v>1059</v>
      </c>
      <c r="AK6" s="784" t="s">
        <v>1206</v>
      </c>
      <c r="AL6" s="785">
        <f>$S$1*P!AL6</f>
        <v>0.48133851228532987</v>
      </c>
      <c r="AN6" s="737">
        <v>3</v>
      </c>
      <c r="AO6" s="786" t="s">
        <v>7853</v>
      </c>
      <c r="AP6" s="787">
        <v>1.39</v>
      </c>
      <c r="AQ6" s="788">
        <f>$S$1*P!AQ6</f>
        <v>2.2219219999999998E-2</v>
      </c>
    </row>
    <row r="7" spans="1:43" ht="25" customHeight="1" thickBot="1" x14ac:dyDescent="0.4">
      <c r="A7" s="777">
        <v>4</v>
      </c>
      <c r="B7" s="1881">
        <v>1</v>
      </c>
      <c r="C7" s="1878"/>
      <c r="D7" s="765">
        <f t="shared" si="0"/>
        <v>0</v>
      </c>
      <c r="E7" s="1878"/>
      <c r="F7" s="1879"/>
      <c r="G7" s="778">
        <v>1</v>
      </c>
      <c r="H7" s="1878"/>
      <c r="I7" s="765">
        <f t="shared" si="1"/>
        <v>0</v>
      </c>
      <c r="J7" s="1878"/>
      <c r="K7" s="1880"/>
      <c r="L7" s="767">
        <v>1</v>
      </c>
      <c r="M7" s="1882"/>
      <c r="N7" s="768">
        <f t="shared" si="2"/>
        <v>0</v>
      </c>
      <c r="O7" s="1878"/>
      <c r="P7" s="1880"/>
      <c r="Q7" s="768">
        <f t="shared" si="3"/>
        <v>0</v>
      </c>
      <c r="R7" s="769"/>
      <c r="S7" s="789">
        <v>4</v>
      </c>
      <c r="T7" s="789" t="s">
        <v>4284</v>
      </c>
      <c r="U7" s="789" t="s">
        <v>5815</v>
      </c>
      <c r="V7" s="790">
        <f>$S$1*P!V7</f>
        <v>1.07764E-2</v>
      </c>
      <c r="W7" s="780"/>
      <c r="X7" s="782">
        <v>4</v>
      </c>
      <c r="Y7" s="782" t="s">
        <v>2248</v>
      </c>
      <c r="Z7" s="782" t="s">
        <v>3851</v>
      </c>
      <c r="AA7" s="781">
        <f>$S$1*P!AA7</f>
        <v>8.3535999999999999E-2</v>
      </c>
      <c r="AB7" s="780"/>
      <c r="AC7" s="782">
        <v>4</v>
      </c>
      <c r="AD7" s="782" t="s">
        <v>4573</v>
      </c>
      <c r="AE7" s="782" t="s">
        <v>3851</v>
      </c>
      <c r="AF7" s="781">
        <f>$S$1*P!AF7</f>
        <v>23.276</v>
      </c>
      <c r="AJ7" s="783" t="s">
        <v>1059</v>
      </c>
      <c r="AK7" s="784" t="s">
        <v>1207</v>
      </c>
      <c r="AL7" s="785">
        <f>$S$1*P!AL7</f>
        <v>0.18007927662229828</v>
      </c>
      <c r="AN7" s="737">
        <v>4</v>
      </c>
      <c r="AO7" s="786" t="s">
        <v>7854</v>
      </c>
      <c r="AP7" s="787">
        <v>1.39</v>
      </c>
      <c r="AQ7" s="788">
        <f>$S$1*P!AQ7</f>
        <v>2.1703159999999999E-2</v>
      </c>
    </row>
    <row r="8" spans="1:43" ht="25" customHeight="1" thickBot="1" x14ac:dyDescent="0.4">
      <c r="A8" s="777">
        <v>5</v>
      </c>
      <c r="B8" s="1883">
        <v>1</v>
      </c>
      <c r="C8" s="1878"/>
      <c r="D8" s="765">
        <f t="shared" si="0"/>
        <v>0</v>
      </c>
      <c r="E8" s="1878"/>
      <c r="F8" s="1879"/>
      <c r="G8" s="778">
        <v>1</v>
      </c>
      <c r="H8" s="1878"/>
      <c r="I8" s="765">
        <f t="shared" si="1"/>
        <v>0</v>
      </c>
      <c r="J8" s="1878"/>
      <c r="K8" s="1880"/>
      <c r="L8" s="767">
        <v>1</v>
      </c>
      <c r="M8" s="1882"/>
      <c r="N8" s="768">
        <f t="shared" si="2"/>
        <v>0</v>
      </c>
      <c r="O8" s="1878"/>
      <c r="P8" s="1880"/>
      <c r="Q8" s="768">
        <f t="shared" si="3"/>
        <v>0</v>
      </c>
      <c r="R8" s="769"/>
      <c r="S8" s="789">
        <v>5</v>
      </c>
      <c r="T8" s="789" t="s">
        <v>4284</v>
      </c>
      <c r="U8" s="791" t="s">
        <v>5814</v>
      </c>
      <c r="V8" s="792">
        <f>$S$1*P!V8</f>
        <v>1.2528000000000001E-2</v>
      </c>
      <c r="W8" s="793"/>
      <c r="X8" s="782">
        <v>5</v>
      </c>
      <c r="Y8" s="782" t="s">
        <v>2248</v>
      </c>
      <c r="Z8" s="782" t="s">
        <v>5800</v>
      </c>
      <c r="AA8" s="781">
        <f>$S$1*P!AA8</f>
        <v>2.1215725806451616E-4</v>
      </c>
      <c r="AB8" s="780"/>
      <c r="AC8" s="782">
        <v>5</v>
      </c>
      <c r="AD8" s="782" t="s">
        <v>4573</v>
      </c>
      <c r="AE8" s="782" t="s">
        <v>5800</v>
      </c>
      <c r="AF8" s="781">
        <f>$S$1*P!AF8</f>
        <v>1.5697580645161291E-3</v>
      </c>
      <c r="AJ8" s="783" t="s">
        <v>1059</v>
      </c>
      <c r="AK8" s="784" t="s">
        <v>1208</v>
      </c>
      <c r="AL8" s="785">
        <f>$S$1*P!AL8</f>
        <v>0.19035990887282983</v>
      </c>
      <c r="AN8" s="737">
        <v>5</v>
      </c>
      <c r="AO8" s="786" t="s">
        <v>7855</v>
      </c>
      <c r="AP8" s="787">
        <v>1.39</v>
      </c>
      <c r="AQ8" s="788">
        <f>$S$1*P!AQ8</f>
        <v>1.9451340000000001E-2</v>
      </c>
    </row>
    <row r="9" spans="1:43" ht="25" customHeight="1" thickBot="1" x14ac:dyDescent="0.4">
      <c r="A9" s="777">
        <v>6</v>
      </c>
      <c r="B9" s="777">
        <v>1</v>
      </c>
      <c r="C9" s="1878"/>
      <c r="D9" s="765">
        <f t="shared" si="0"/>
        <v>0</v>
      </c>
      <c r="E9" s="1878"/>
      <c r="F9" s="1879"/>
      <c r="G9" s="778">
        <v>1</v>
      </c>
      <c r="H9" s="1878"/>
      <c r="I9" s="765">
        <f t="shared" si="1"/>
        <v>0</v>
      </c>
      <c r="J9" s="1878"/>
      <c r="K9" s="1880"/>
      <c r="L9" s="767">
        <v>1</v>
      </c>
      <c r="M9" s="1882"/>
      <c r="N9" s="768">
        <f t="shared" si="2"/>
        <v>0</v>
      </c>
      <c r="O9" s="1878"/>
      <c r="P9" s="1880"/>
      <c r="Q9" s="768">
        <f t="shared" si="3"/>
        <v>0</v>
      </c>
      <c r="R9" s="769"/>
      <c r="S9" s="789">
        <v>6</v>
      </c>
      <c r="T9" s="789" t="s">
        <v>4284</v>
      </c>
      <c r="U9" s="789" t="s">
        <v>5813</v>
      </c>
      <c r="V9" s="790">
        <f>$S$1*P!V9</f>
        <v>0.23200000000000001</v>
      </c>
      <c r="W9" s="780"/>
      <c r="X9" s="782">
        <v>6</v>
      </c>
      <c r="Y9" s="782" t="s">
        <v>2248</v>
      </c>
      <c r="Z9" s="782" t="s">
        <v>5799</v>
      </c>
      <c r="AA9" s="781">
        <f>$S$1*P!AA9</f>
        <v>1.994758064516129E-5</v>
      </c>
      <c r="AB9" s="780"/>
      <c r="AC9" s="782">
        <v>6</v>
      </c>
      <c r="AD9" s="782" t="s">
        <v>4573</v>
      </c>
      <c r="AE9" s="782" t="s">
        <v>5799</v>
      </c>
      <c r="AF9" s="781">
        <f>$S$1*P!AF9</f>
        <v>5.9294354838709683E-5</v>
      </c>
      <c r="AJ9" s="783" t="s">
        <v>1059</v>
      </c>
      <c r="AK9" s="784" t="s">
        <v>1209</v>
      </c>
      <c r="AL9" s="785">
        <f>$S$1*P!AL9</f>
        <v>0.25162748441890009</v>
      </c>
      <c r="AN9" s="737">
        <v>6</v>
      </c>
      <c r="AO9" s="786"/>
      <c r="AP9" s="787">
        <v>1.39</v>
      </c>
      <c r="AQ9" s="788">
        <f>$S$1*P!AQ9</f>
        <v>0</v>
      </c>
    </row>
    <row r="10" spans="1:43" ht="25" customHeight="1" thickBot="1" x14ac:dyDescent="0.4">
      <c r="A10" s="777">
        <v>7</v>
      </c>
      <c r="B10" s="777">
        <v>1</v>
      </c>
      <c r="C10" s="1878"/>
      <c r="D10" s="765">
        <f t="shared" si="0"/>
        <v>0</v>
      </c>
      <c r="E10" s="1878"/>
      <c r="F10" s="1879"/>
      <c r="G10" s="778">
        <v>1</v>
      </c>
      <c r="H10" s="1884"/>
      <c r="I10" s="765">
        <f t="shared" si="1"/>
        <v>0</v>
      </c>
      <c r="J10" s="1878"/>
      <c r="K10" s="1880"/>
      <c r="L10" s="767">
        <v>1</v>
      </c>
      <c r="M10" s="1882"/>
      <c r="N10" s="768">
        <f t="shared" si="2"/>
        <v>0</v>
      </c>
      <c r="O10" s="1878"/>
      <c r="P10" s="1880"/>
      <c r="Q10" s="768">
        <f t="shared" si="3"/>
        <v>0</v>
      </c>
      <c r="R10" s="769"/>
      <c r="S10" s="789">
        <v>7</v>
      </c>
      <c r="T10" s="789" t="s">
        <v>4284</v>
      </c>
      <c r="U10" s="789" t="s">
        <v>5812</v>
      </c>
      <c r="V10" s="790">
        <f>$S$1*P!V10</f>
        <v>2.7028000000000003E-2</v>
      </c>
      <c r="W10" s="780"/>
      <c r="X10" s="782">
        <v>7</v>
      </c>
      <c r="Y10" s="782" t="s">
        <v>2248</v>
      </c>
      <c r="Z10" s="782" t="s">
        <v>5797</v>
      </c>
      <c r="AA10" s="781">
        <f>$S$1*P!AA10</f>
        <v>2.4197580645161291E-4</v>
      </c>
      <c r="AB10" s="780"/>
      <c r="AC10" s="782">
        <v>7</v>
      </c>
      <c r="AD10" s="782" t="s">
        <v>4573</v>
      </c>
      <c r="AE10" s="782" t="s">
        <v>5797</v>
      </c>
      <c r="AF10" s="781">
        <f>$S$1*P!AF10</f>
        <v>0.30092741935483874</v>
      </c>
      <c r="AJ10" s="783" t="s">
        <v>1059</v>
      </c>
      <c r="AK10" s="784" t="s">
        <v>1211</v>
      </c>
      <c r="AL10" s="785">
        <f>$S$1*P!AL10</f>
        <v>6.0919887324989999E-2</v>
      </c>
      <c r="AN10" s="737">
        <v>7</v>
      </c>
      <c r="AO10" s="794" t="s">
        <v>7857</v>
      </c>
      <c r="AP10" s="787">
        <v>1.39</v>
      </c>
      <c r="AQ10" s="795">
        <f>$S$1*P!AQ10</f>
        <v>1.8554046000000001E-2</v>
      </c>
    </row>
    <row r="11" spans="1:43" ht="25" customHeight="1" thickBot="1" x14ac:dyDescent="0.4">
      <c r="A11" s="777">
        <v>8</v>
      </c>
      <c r="B11" s="777">
        <v>1</v>
      </c>
      <c r="C11" s="1878"/>
      <c r="D11" s="765">
        <f t="shared" si="0"/>
        <v>0</v>
      </c>
      <c r="E11" s="1878"/>
      <c r="F11" s="1879"/>
      <c r="G11" s="778">
        <v>1</v>
      </c>
      <c r="H11" s="1884"/>
      <c r="I11" s="765">
        <f t="shared" si="1"/>
        <v>0</v>
      </c>
      <c r="J11" s="1878"/>
      <c r="K11" s="1880"/>
      <c r="L11" s="767">
        <v>1</v>
      </c>
      <c r="M11" s="1882"/>
      <c r="N11" s="768">
        <f t="shared" si="2"/>
        <v>0</v>
      </c>
      <c r="O11" s="1878"/>
      <c r="P11" s="1880"/>
      <c r="Q11" s="768">
        <f t="shared" si="3"/>
        <v>0</v>
      </c>
      <c r="R11" s="769"/>
      <c r="S11" s="789">
        <v>8</v>
      </c>
      <c r="T11" s="789" t="s">
        <v>4284</v>
      </c>
      <c r="U11" s="789" t="s">
        <v>5811</v>
      </c>
      <c r="V11" s="790">
        <f>$S$1*P!V11</f>
        <v>3.3059999999999999E-2</v>
      </c>
      <c r="W11" s="780"/>
      <c r="X11" s="782">
        <v>8</v>
      </c>
      <c r="Y11" s="782" t="s">
        <v>2248</v>
      </c>
      <c r="Z11" s="782" t="s">
        <v>5796</v>
      </c>
      <c r="AA11" s="781">
        <f>$S$1*P!AA11</f>
        <v>5.449596774193549E-4</v>
      </c>
      <c r="AB11" s="780"/>
      <c r="AC11" s="782">
        <v>8</v>
      </c>
      <c r="AD11" s="782" t="s">
        <v>4573</v>
      </c>
      <c r="AE11" s="782" t="s">
        <v>5796</v>
      </c>
      <c r="AF11" s="781">
        <f>$S$1*P!AF11</f>
        <v>0.23683467741935485</v>
      </c>
      <c r="AJ11" s="783" t="s">
        <v>1059</v>
      </c>
      <c r="AK11" s="784" t="s">
        <v>1213</v>
      </c>
      <c r="AL11" s="785">
        <f>$S$1*P!AL11</f>
        <v>2.6792674056349997E-2</v>
      </c>
      <c r="AN11" s="737">
        <v>8</v>
      </c>
      <c r="AO11" s="796" t="s">
        <v>7858</v>
      </c>
      <c r="AP11" s="787">
        <v>1.39</v>
      </c>
      <c r="AQ11" s="795">
        <f>$S$1*P!AQ11</f>
        <v>1.4872560000000002E-2</v>
      </c>
    </row>
    <row r="12" spans="1:43" ht="25" customHeight="1" thickBot="1" x14ac:dyDescent="0.4">
      <c r="A12" s="777">
        <v>9</v>
      </c>
      <c r="B12" s="777">
        <v>1</v>
      </c>
      <c r="C12" s="1878"/>
      <c r="D12" s="765">
        <f t="shared" si="0"/>
        <v>0</v>
      </c>
      <c r="E12" s="1878"/>
      <c r="F12" s="1879"/>
      <c r="G12" s="778">
        <v>1</v>
      </c>
      <c r="H12" s="1884"/>
      <c r="I12" s="765">
        <f t="shared" si="1"/>
        <v>0</v>
      </c>
      <c r="J12" s="1878"/>
      <c r="K12" s="1880"/>
      <c r="L12" s="767">
        <v>1</v>
      </c>
      <c r="M12" s="1882"/>
      <c r="N12" s="768">
        <f t="shared" si="2"/>
        <v>0</v>
      </c>
      <c r="O12" s="1878"/>
      <c r="P12" s="1880"/>
      <c r="Q12" s="768">
        <f t="shared" si="3"/>
        <v>0</v>
      </c>
      <c r="R12" s="769"/>
      <c r="S12" s="782">
        <v>9</v>
      </c>
      <c r="T12" s="782" t="s">
        <v>4284</v>
      </c>
      <c r="U12" s="782" t="s">
        <v>5805</v>
      </c>
      <c r="V12" s="797">
        <f>$S$1*P!V12</f>
        <v>1.9502016129032259E-3</v>
      </c>
      <c r="W12" s="798"/>
      <c r="X12" s="782">
        <v>9</v>
      </c>
      <c r="Y12" s="782" t="s">
        <v>2248</v>
      </c>
      <c r="Z12" s="782" t="s">
        <v>5795</v>
      </c>
      <c r="AA12" s="781">
        <f>$S$1*P!AA12</f>
        <v>1.4909274193548388E-2</v>
      </c>
      <c r="AB12" s="780"/>
      <c r="AC12" s="782">
        <v>9</v>
      </c>
      <c r="AD12" s="782" t="s">
        <v>4573</v>
      </c>
      <c r="AE12" s="782" t="s">
        <v>5795</v>
      </c>
      <c r="AF12" s="781">
        <f>$S$1*P!AF12</f>
        <v>6.5120967741935489</v>
      </c>
      <c r="AJ12" s="783" t="s">
        <v>1059</v>
      </c>
      <c r="AK12" s="784" t="s">
        <v>1215</v>
      </c>
      <c r="AL12" s="785">
        <f>$S$1*P!AL12</f>
        <v>0.51709646204000004</v>
      </c>
      <c r="AN12" s="737">
        <v>9</v>
      </c>
      <c r="AO12" s="796" t="s">
        <v>7859</v>
      </c>
      <c r="AP12" s="787">
        <v>1.39</v>
      </c>
      <c r="AQ12" s="795">
        <f>$S$1*P!AQ12</f>
        <v>1.2884940000000001E-2</v>
      </c>
    </row>
    <row r="13" spans="1:43" ht="25" customHeight="1" thickBot="1" x14ac:dyDescent="0.4">
      <c r="A13" s="777">
        <v>10</v>
      </c>
      <c r="B13" s="777">
        <v>1</v>
      </c>
      <c r="C13" s="1878"/>
      <c r="D13" s="765">
        <f t="shared" si="0"/>
        <v>0</v>
      </c>
      <c r="E13" s="1878"/>
      <c r="F13" s="1879"/>
      <c r="G13" s="778">
        <v>1</v>
      </c>
      <c r="H13" s="1884"/>
      <c r="I13" s="765">
        <f t="shared" si="1"/>
        <v>0</v>
      </c>
      <c r="J13" s="1878"/>
      <c r="K13" s="1880"/>
      <c r="L13" s="767">
        <v>1</v>
      </c>
      <c r="M13" s="1882"/>
      <c r="N13" s="768">
        <f t="shared" si="2"/>
        <v>0</v>
      </c>
      <c r="O13" s="1878"/>
      <c r="P13" s="1880"/>
      <c r="Q13" s="768">
        <f t="shared" si="3"/>
        <v>0</v>
      </c>
      <c r="R13" s="769"/>
      <c r="S13" s="782">
        <v>10</v>
      </c>
      <c r="T13" s="782" t="s">
        <v>4284</v>
      </c>
      <c r="U13" s="782" t="s">
        <v>5803</v>
      </c>
      <c r="V13" s="797">
        <f>$S$1*P!V13</f>
        <v>1.5046370967741936E-3</v>
      </c>
      <c r="W13" s="780"/>
      <c r="X13" s="782">
        <v>10</v>
      </c>
      <c r="Y13" s="782" t="s">
        <v>2248</v>
      </c>
      <c r="Z13" s="782" t="s">
        <v>5793</v>
      </c>
      <c r="AA13" s="781">
        <f>$S$1*P!AA13</f>
        <v>4.8669354838709681E-4</v>
      </c>
      <c r="AB13" s="780"/>
      <c r="AC13" s="782">
        <v>10</v>
      </c>
      <c r="AD13" s="782" t="s">
        <v>4573</v>
      </c>
      <c r="AE13" s="782" t="s">
        <v>5793</v>
      </c>
      <c r="AF13" s="781">
        <f>$S$1*P!AF13</f>
        <v>0.3495967741935484</v>
      </c>
      <c r="AJ13" s="783" t="s">
        <v>1059</v>
      </c>
      <c r="AK13" s="784" t="s">
        <v>1216</v>
      </c>
      <c r="AL13" s="785">
        <f>$S$1*P!AL13</f>
        <v>0.86509646204000001</v>
      </c>
      <c r="AN13" s="737">
        <v>10</v>
      </c>
      <c r="AO13" s="796" t="s">
        <v>7860</v>
      </c>
      <c r="AP13" s="787">
        <v>1.39</v>
      </c>
      <c r="AQ13" s="795">
        <f>$S$1*P!AQ13</f>
        <v>1.2303740000000001E-2</v>
      </c>
    </row>
    <row r="14" spans="1:43" ht="25" customHeight="1" thickBot="1" x14ac:dyDescent="0.4">
      <c r="A14" s="777">
        <v>11</v>
      </c>
      <c r="B14" s="777">
        <v>1</v>
      </c>
      <c r="C14" s="1878"/>
      <c r="D14" s="765">
        <f t="shared" si="0"/>
        <v>0</v>
      </c>
      <c r="E14" s="1878"/>
      <c r="F14" s="1879"/>
      <c r="G14" s="778">
        <v>1</v>
      </c>
      <c r="H14" s="1884"/>
      <c r="I14" s="765">
        <f t="shared" si="1"/>
        <v>0</v>
      </c>
      <c r="J14" s="1878"/>
      <c r="K14" s="1880"/>
      <c r="L14" s="767">
        <v>1</v>
      </c>
      <c r="M14" s="1882"/>
      <c r="N14" s="768">
        <f t="shared" si="2"/>
        <v>0</v>
      </c>
      <c r="O14" s="1878"/>
      <c r="P14" s="1880"/>
      <c r="Q14" s="768">
        <f t="shared" si="3"/>
        <v>0</v>
      </c>
      <c r="R14" s="769"/>
      <c r="S14" s="782">
        <v>11</v>
      </c>
      <c r="T14" s="782" t="s">
        <v>4284</v>
      </c>
      <c r="U14" s="782" t="s">
        <v>3851</v>
      </c>
      <c r="V14" s="797">
        <f>$S$1*P!V14</f>
        <v>9.5679999999999996</v>
      </c>
      <c r="W14" s="780"/>
      <c r="X14" s="782">
        <v>11</v>
      </c>
      <c r="Y14" s="782" t="s">
        <v>2248</v>
      </c>
      <c r="Z14" s="782" t="s">
        <v>5792</v>
      </c>
      <c r="AA14" s="781">
        <f>$S$1*P!AA14</f>
        <v>2.3649193548387097E-3</v>
      </c>
      <c r="AB14" s="780"/>
      <c r="AC14" s="782">
        <v>11</v>
      </c>
      <c r="AD14" s="782" t="s">
        <v>4573</v>
      </c>
      <c r="AE14" s="782" t="s">
        <v>5792</v>
      </c>
      <c r="AF14" s="781">
        <f>$S$1*P!AF14</f>
        <v>1.5149193548387099</v>
      </c>
      <c r="AJ14" s="783" t="s">
        <v>1059</v>
      </c>
      <c r="AK14" s="784" t="s">
        <v>1218</v>
      </c>
      <c r="AL14" s="785">
        <f>$S$1*P!AL14</f>
        <v>0.46939290745700002</v>
      </c>
      <c r="AN14" s="737">
        <v>11</v>
      </c>
      <c r="AO14" s="796" t="s">
        <v>7861</v>
      </c>
      <c r="AP14" s="787">
        <v>1.39</v>
      </c>
      <c r="AQ14" s="795">
        <f>$S$1*P!AQ14</f>
        <v>1.9356999999999999E-2</v>
      </c>
    </row>
    <row r="15" spans="1:43" ht="25" customHeight="1" thickBot="1" x14ac:dyDescent="0.4">
      <c r="A15" s="777">
        <v>12</v>
      </c>
      <c r="B15" s="778">
        <v>1</v>
      </c>
      <c r="C15" s="1878"/>
      <c r="D15" s="765">
        <f t="shared" si="0"/>
        <v>0</v>
      </c>
      <c r="E15" s="1878"/>
      <c r="F15" s="1879"/>
      <c r="G15" s="778">
        <v>1</v>
      </c>
      <c r="H15" s="1884"/>
      <c r="I15" s="765">
        <f t="shared" si="1"/>
        <v>0</v>
      </c>
      <c r="J15" s="1878"/>
      <c r="K15" s="1880"/>
      <c r="L15" s="767">
        <v>1</v>
      </c>
      <c r="M15" s="1882"/>
      <c r="N15" s="768">
        <f t="shared" si="2"/>
        <v>0</v>
      </c>
      <c r="O15" s="1878"/>
      <c r="P15" s="1880"/>
      <c r="Q15" s="768">
        <f t="shared" si="3"/>
        <v>0</v>
      </c>
      <c r="R15" s="769"/>
      <c r="S15" s="789">
        <v>12</v>
      </c>
      <c r="T15" s="789" t="s">
        <v>4284</v>
      </c>
      <c r="U15" s="789" t="s">
        <v>5800</v>
      </c>
      <c r="V15" s="790">
        <f>$S$1*P!V15</f>
        <v>21.112000000000002</v>
      </c>
      <c r="W15" s="780"/>
      <c r="X15" s="782">
        <v>12</v>
      </c>
      <c r="Y15" s="782" t="s">
        <v>2248</v>
      </c>
      <c r="Z15" s="782" t="s">
        <v>5791</v>
      </c>
      <c r="AA15" s="781">
        <f>$S$1*P!AA15</f>
        <v>7.8145161290322585E-4</v>
      </c>
      <c r="AB15" s="780"/>
      <c r="AC15" s="782">
        <v>12</v>
      </c>
      <c r="AD15" s="782" t="s">
        <v>4573</v>
      </c>
      <c r="AE15" s="782" t="s">
        <v>5791</v>
      </c>
      <c r="AF15" s="781">
        <f>$S$1*P!AF15</f>
        <v>0.14052419354838711</v>
      </c>
      <c r="AJ15" s="783" t="s">
        <v>1059</v>
      </c>
      <c r="AK15" s="784" t="s">
        <v>1219</v>
      </c>
      <c r="AL15" s="785">
        <f>$S$1*P!AL15</f>
        <v>0.78828846345699999</v>
      </c>
      <c r="AN15" s="737">
        <v>12</v>
      </c>
      <c r="AO15" s="796" t="s">
        <v>7862</v>
      </c>
      <c r="AP15" s="787">
        <v>1.39</v>
      </c>
      <c r="AQ15" s="795">
        <f>$S$1*P!AQ15</f>
        <v>1.83076E-2</v>
      </c>
    </row>
    <row r="16" spans="1:43" ht="25" customHeight="1" thickBot="1" x14ac:dyDescent="0.4">
      <c r="A16" s="777">
        <v>13</v>
      </c>
      <c r="B16" s="799">
        <v>1</v>
      </c>
      <c r="C16" s="1878"/>
      <c r="D16" s="765">
        <f t="shared" si="0"/>
        <v>0</v>
      </c>
      <c r="E16" s="1878"/>
      <c r="F16" s="1879"/>
      <c r="G16" s="799">
        <v>1</v>
      </c>
      <c r="H16" s="1884"/>
      <c r="I16" s="765">
        <f t="shared" si="1"/>
        <v>0</v>
      </c>
      <c r="J16" s="1878"/>
      <c r="K16" s="1880"/>
      <c r="L16" s="767">
        <v>1</v>
      </c>
      <c r="M16" s="1882"/>
      <c r="N16" s="768">
        <f t="shared" si="2"/>
        <v>0</v>
      </c>
      <c r="O16" s="1878"/>
      <c r="P16" s="1880"/>
      <c r="Q16" s="768">
        <f t="shared" si="3"/>
        <v>0</v>
      </c>
      <c r="R16" s="769"/>
      <c r="S16" s="782">
        <v>13</v>
      </c>
      <c r="T16" s="782" t="s">
        <v>4284</v>
      </c>
      <c r="U16" s="782" t="s">
        <v>5800</v>
      </c>
      <c r="V16" s="797">
        <f>$S$1*P!V16</f>
        <v>5.5866935483870967E-5</v>
      </c>
      <c r="W16" s="780"/>
      <c r="X16" s="782">
        <v>13</v>
      </c>
      <c r="Y16" s="782" t="s">
        <v>2248</v>
      </c>
      <c r="Z16" s="782" t="s">
        <v>5790</v>
      </c>
      <c r="AA16" s="781">
        <f>$S$1*P!AA16</f>
        <v>8.054435483870968E-3</v>
      </c>
      <c r="AB16" s="780"/>
      <c r="AC16" s="782">
        <v>13</v>
      </c>
      <c r="AD16" s="782" t="s">
        <v>4573</v>
      </c>
      <c r="AE16" s="782" t="s">
        <v>5790</v>
      </c>
      <c r="AF16" s="781">
        <f>$S$1*P!AF16</f>
        <v>0.82943548387096777</v>
      </c>
      <c r="AJ16" s="783" t="s">
        <v>1059</v>
      </c>
      <c r="AK16" s="784" t="s">
        <v>1220</v>
      </c>
      <c r="AL16" s="785">
        <f>$S$1*P!AL16</f>
        <v>7.7536576714218E-2</v>
      </c>
      <c r="AN16" s="737">
        <v>13</v>
      </c>
      <c r="AO16" s="796" t="s">
        <v>7863</v>
      </c>
      <c r="AP16" s="787">
        <v>1.39</v>
      </c>
      <c r="AQ16" s="795">
        <f>$S$1*P!AQ16</f>
        <v>1.6038940000000002E-2</v>
      </c>
    </row>
    <row r="17" spans="1:43" ht="25" customHeight="1" thickBot="1" x14ac:dyDescent="0.4">
      <c r="A17" s="777">
        <v>14</v>
      </c>
      <c r="B17" s="799">
        <v>1</v>
      </c>
      <c r="C17" s="1878"/>
      <c r="D17" s="765">
        <f t="shared" si="0"/>
        <v>0</v>
      </c>
      <c r="E17" s="1878"/>
      <c r="F17" s="1879"/>
      <c r="G17" s="799">
        <v>1</v>
      </c>
      <c r="H17" s="1884"/>
      <c r="I17" s="765">
        <f t="shared" si="1"/>
        <v>0</v>
      </c>
      <c r="J17" s="1878"/>
      <c r="K17" s="1880"/>
      <c r="L17" s="767">
        <v>1</v>
      </c>
      <c r="M17" s="1882"/>
      <c r="N17" s="768">
        <f t="shared" si="2"/>
        <v>0</v>
      </c>
      <c r="O17" s="1878"/>
      <c r="P17" s="1880"/>
      <c r="Q17" s="768">
        <f t="shared" si="3"/>
        <v>0</v>
      </c>
      <c r="R17" s="769"/>
      <c r="S17" s="782">
        <v>14</v>
      </c>
      <c r="T17" s="782" t="s">
        <v>4284</v>
      </c>
      <c r="U17" s="782" t="s">
        <v>5799</v>
      </c>
      <c r="V17" s="797">
        <f>$S$1*P!V17</f>
        <v>7.3004032258064522E-6</v>
      </c>
      <c r="W17" s="780"/>
      <c r="X17" s="782">
        <v>14</v>
      </c>
      <c r="Y17" s="782" t="s">
        <v>2248</v>
      </c>
      <c r="Z17" s="782" t="s">
        <v>5789</v>
      </c>
      <c r="AA17" s="781">
        <f>$S$1*P!AA17</f>
        <v>3.0743951612903232E-4</v>
      </c>
      <c r="AB17" s="780"/>
      <c r="AC17" s="782">
        <v>14</v>
      </c>
      <c r="AD17" s="782" t="s">
        <v>4573</v>
      </c>
      <c r="AE17" s="782" t="s">
        <v>5789</v>
      </c>
      <c r="AF17" s="781">
        <f>$S$1*P!AF17</f>
        <v>0.10659274193548388</v>
      </c>
      <c r="AJ17" s="783" t="s">
        <v>1059</v>
      </c>
      <c r="AK17" s="784" t="s">
        <v>1221</v>
      </c>
      <c r="AL17" s="785">
        <f>$S$1*P!AL17</f>
        <v>0.39643213371421798</v>
      </c>
      <c r="AN17" s="737">
        <v>14</v>
      </c>
      <c r="AO17" s="796" t="s">
        <v>7864</v>
      </c>
      <c r="AP17" s="787">
        <v>1.39</v>
      </c>
      <c r="AQ17" s="795">
        <f>$S$1*P!AQ17</f>
        <v>2.129638E-2</v>
      </c>
    </row>
    <row r="18" spans="1:43" ht="25" customHeight="1" thickBot="1" x14ac:dyDescent="0.4">
      <c r="A18" s="777">
        <v>15</v>
      </c>
      <c r="B18" s="799">
        <v>1</v>
      </c>
      <c r="C18" s="1878"/>
      <c r="D18" s="765">
        <f t="shared" si="0"/>
        <v>0</v>
      </c>
      <c r="E18" s="1878"/>
      <c r="F18" s="1879"/>
      <c r="G18" s="799">
        <v>1</v>
      </c>
      <c r="H18" s="1884"/>
      <c r="I18" s="765">
        <f t="shared" si="1"/>
        <v>0</v>
      </c>
      <c r="J18" s="1878"/>
      <c r="K18" s="1880"/>
      <c r="L18" s="767">
        <v>1</v>
      </c>
      <c r="M18" s="1882"/>
      <c r="N18" s="768">
        <f t="shared" si="2"/>
        <v>0</v>
      </c>
      <c r="O18" s="1878"/>
      <c r="P18" s="1880"/>
      <c r="Q18" s="768">
        <f t="shared" si="3"/>
        <v>0</v>
      </c>
      <c r="R18" s="769"/>
      <c r="S18" s="782">
        <v>15</v>
      </c>
      <c r="T18" s="782" t="s">
        <v>4284</v>
      </c>
      <c r="U18" s="782" t="s">
        <v>5797</v>
      </c>
      <c r="V18" s="797">
        <f>$S$1*P!V18</f>
        <v>9.8024193548387111E-4</v>
      </c>
      <c r="W18" s="780"/>
      <c r="X18" s="782">
        <v>15</v>
      </c>
      <c r="Y18" s="782" t="s">
        <v>2248</v>
      </c>
      <c r="Z18" s="782" t="s">
        <v>5787</v>
      </c>
      <c r="AA18" s="781">
        <f>$S$1*P!AA18</f>
        <v>3.0606854838709681E-3</v>
      </c>
      <c r="AB18" s="780"/>
      <c r="AC18" s="782">
        <v>15</v>
      </c>
      <c r="AD18" s="782" t="s">
        <v>4573</v>
      </c>
      <c r="AE18" s="782" t="s">
        <v>5787</v>
      </c>
      <c r="AF18" s="781">
        <f>$S$1*P!AF18</f>
        <v>1.8782258064516131</v>
      </c>
      <c r="AJ18" s="783" t="s">
        <v>1059</v>
      </c>
      <c r="AK18" s="784" t="s">
        <v>1223</v>
      </c>
      <c r="AL18" s="785">
        <f>$S$1*P!AL18</f>
        <v>3.4208184814214102E-2</v>
      </c>
      <c r="AN18" s="737">
        <v>15</v>
      </c>
      <c r="AO18" s="796" t="s">
        <v>7865</v>
      </c>
      <c r="AP18" s="787">
        <v>1.39</v>
      </c>
      <c r="AQ18" s="795">
        <f>$S$1*P!AQ18</f>
        <v>9.7691200000000009E-3</v>
      </c>
    </row>
    <row r="19" spans="1:43" ht="25" customHeight="1" thickBot="1" x14ac:dyDescent="0.4">
      <c r="A19" s="777">
        <v>16</v>
      </c>
      <c r="B19" s="799">
        <v>1</v>
      </c>
      <c r="C19" s="1878"/>
      <c r="D19" s="765">
        <f t="shared" si="0"/>
        <v>0</v>
      </c>
      <c r="E19" s="1878"/>
      <c r="F19" s="1879"/>
      <c r="G19" s="799">
        <v>1</v>
      </c>
      <c r="H19" s="1884"/>
      <c r="I19" s="765">
        <f t="shared" si="1"/>
        <v>0</v>
      </c>
      <c r="J19" s="1878"/>
      <c r="K19" s="1880"/>
      <c r="L19" s="767">
        <v>1</v>
      </c>
      <c r="M19" s="1882"/>
      <c r="N19" s="768">
        <f t="shared" si="2"/>
        <v>0</v>
      </c>
      <c r="O19" s="1878"/>
      <c r="P19" s="1880"/>
      <c r="Q19" s="768">
        <f t="shared" si="3"/>
        <v>0</v>
      </c>
      <c r="R19" s="769"/>
      <c r="S19" s="782">
        <v>16</v>
      </c>
      <c r="T19" s="782" t="s">
        <v>4284</v>
      </c>
      <c r="U19" s="782" t="s">
        <v>5796</v>
      </c>
      <c r="V19" s="797">
        <f>$S$1*P!V19</f>
        <v>2.800201612903226E-3</v>
      </c>
      <c r="W19" s="780"/>
      <c r="X19" s="782">
        <v>16</v>
      </c>
      <c r="Y19" s="782" t="s">
        <v>2248</v>
      </c>
      <c r="Z19" s="782" t="s">
        <v>5786</v>
      </c>
      <c r="AA19" s="781">
        <f>$S$1*P!AA19</f>
        <v>6.7177419354838715E-4</v>
      </c>
      <c r="AB19" s="780"/>
      <c r="AC19" s="782">
        <v>16</v>
      </c>
      <c r="AD19" s="782" t="s">
        <v>4573</v>
      </c>
      <c r="AE19" s="782" t="s">
        <v>5786</v>
      </c>
      <c r="AF19" s="781">
        <f>$S$1*P!AF19</f>
        <v>0.23409274193548388</v>
      </c>
      <c r="AJ19" s="783" t="s">
        <v>1059</v>
      </c>
      <c r="AK19" s="784" t="s">
        <v>1224</v>
      </c>
      <c r="AL19" s="785">
        <f>$S$1*P!AL19</f>
        <v>4.8004380097999996E-2</v>
      </c>
      <c r="AN19" s="737">
        <v>16</v>
      </c>
      <c r="AO19" s="796" t="s">
        <v>7866</v>
      </c>
      <c r="AP19" s="787">
        <v>1.39</v>
      </c>
      <c r="AQ19" s="795">
        <f>$S$1*P!AQ19</f>
        <v>1.6538180000000003E-2</v>
      </c>
    </row>
    <row r="20" spans="1:43" ht="25" customHeight="1" thickBot="1" x14ac:dyDescent="0.4">
      <c r="A20" s="777">
        <v>17</v>
      </c>
      <c r="B20" s="799">
        <v>1</v>
      </c>
      <c r="C20" s="1878"/>
      <c r="D20" s="765">
        <f t="shared" si="0"/>
        <v>0</v>
      </c>
      <c r="E20" s="1878"/>
      <c r="F20" s="1879"/>
      <c r="G20" s="799">
        <v>1</v>
      </c>
      <c r="H20" s="1884"/>
      <c r="I20" s="765">
        <f t="shared" si="1"/>
        <v>0</v>
      </c>
      <c r="J20" s="1878"/>
      <c r="K20" s="1880"/>
      <c r="L20" s="767">
        <v>1</v>
      </c>
      <c r="M20" s="1882"/>
      <c r="N20" s="768">
        <f t="shared" si="2"/>
        <v>0</v>
      </c>
      <c r="O20" s="1878"/>
      <c r="P20" s="1880"/>
      <c r="Q20" s="768">
        <f t="shared" si="3"/>
        <v>0</v>
      </c>
      <c r="R20" s="769"/>
      <c r="S20" s="782">
        <v>17</v>
      </c>
      <c r="T20" s="782" t="s">
        <v>4284</v>
      </c>
      <c r="U20" s="782" t="s">
        <v>5795</v>
      </c>
      <c r="V20" s="797">
        <f>$S$1*P!V20</f>
        <v>5.963709677419355E-2</v>
      </c>
      <c r="W20" s="780"/>
      <c r="X20" s="782">
        <v>17</v>
      </c>
      <c r="Y20" s="782" t="s">
        <v>2248</v>
      </c>
      <c r="Z20" s="782" t="s">
        <v>3848</v>
      </c>
      <c r="AA20" s="781">
        <f>$S$1*P!AA20</f>
        <v>0.34592000000000001</v>
      </c>
      <c r="AB20" s="780"/>
      <c r="AC20" s="782">
        <v>17</v>
      </c>
      <c r="AD20" s="782" t="s">
        <v>4573</v>
      </c>
      <c r="AE20" s="782" t="s">
        <v>3848</v>
      </c>
      <c r="AF20" s="781">
        <f>$S$1*P!AF20</f>
        <v>2.1896</v>
      </c>
      <c r="AJ20" s="783" t="s">
        <v>1059</v>
      </c>
      <c r="AK20" s="784" t="s">
        <v>1225</v>
      </c>
      <c r="AL20" s="785">
        <f>$S$1*P!AL20</f>
        <v>0.55779549019829833</v>
      </c>
      <c r="AN20" s="737">
        <v>17</v>
      </c>
      <c r="AO20" s="796" t="s">
        <v>7867</v>
      </c>
      <c r="AP20" s="787">
        <v>1.39</v>
      </c>
      <c r="AQ20" s="795">
        <f>$S$1*P!AQ20</f>
        <v>7.0102200000000002E-3</v>
      </c>
    </row>
    <row r="21" spans="1:43" ht="25" customHeight="1" thickBot="1" x14ac:dyDescent="0.4">
      <c r="A21" s="777">
        <v>18</v>
      </c>
      <c r="B21" s="799">
        <v>1</v>
      </c>
      <c r="C21" s="1878"/>
      <c r="D21" s="765">
        <f t="shared" si="0"/>
        <v>0</v>
      </c>
      <c r="E21" s="1878"/>
      <c r="F21" s="1879"/>
      <c r="G21" s="799">
        <v>1</v>
      </c>
      <c r="H21" s="1884"/>
      <c r="I21" s="765">
        <f t="shared" si="1"/>
        <v>0</v>
      </c>
      <c r="J21" s="1878"/>
      <c r="K21" s="1880"/>
      <c r="L21" s="767">
        <v>1</v>
      </c>
      <c r="M21" s="1882"/>
      <c r="N21" s="768">
        <f t="shared" si="2"/>
        <v>0</v>
      </c>
      <c r="O21" s="1878"/>
      <c r="P21" s="1880"/>
      <c r="Q21" s="768">
        <f t="shared" si="3"/>
        <v>0</v>
      </c>
      <c r="R21" s="769"/>
      <c r="S21" s="782">
        <v>18</v>
      </c>
      <c r="T21" s="782" t="s">
        <v>4284</v>
      </c>
      <c r="U21" s="782" t="s">
        <v>5793</v>
      </c>
      <c r="V21" s="797">
        <f>$S$1*P!V21</f>
        <v>3.413709677419355E-3</v>
      </c>
      <c r="W21" s="780"/>
      <c r="X21" s="782">
        <v>18</v>
      </c>
      <c r="Y21" s="782" t="s">
        <v>2248</v>
      </c>
      <c r="Z21" s="782" t="s">
        <v>5785</v>
      </c>
      <c r="AA21" s="781">
        <f>$S$1*P!AA21</f>
        <v>0.13401209677419357</v>
      </c>
      <c r="AB21" s="780"/>
      <c r="AC21" s="782">
        <v>18</v>
      </c>
      <c r="AD21" s="782" t="s">
        <v>4573</v>
      </c>
      <c r="AE21" s="782" t="s">
        <v>5785</v>
      </c>
      <c r="AF21" s="781">
        <f>$S$1*P!AF21</f>
        <v>34.616935483870968</v>
      </c>
      <c r="AJ21" s="783" t="s">
        <v>1059</v>
      </c>
      <c r="AK21" s="784" t="s">
        <v>1226</v>
      </c>
      <c r="AL21" s="785">
        <f>$S$1*P!AL21</f>
        <v>0.92236029119829821</v>
      </c>
      <c r="AN21" s="737">
        <v>18</v>
      </c>
      <c r="AO21" s="796" t="s">
        <v>7868</v>
      </c>
      <c r="AP21" s="787">
        <v>1.39</v>
      </c>
      <c r="AQ21" s="795">
        <f>$S$1*P!AQ21</f>
        <v>1.1517200000000002E-2</v>
      </c>
    </row>
    <row r="22" spans="1:43" ht="25" customHeight="1" thickBot="1" x14ac:dyDescent="0.4">
      <c r="A22" s="777">
        <v>19</v>
      </c>
      <c r="B22" s="799">
        <v>1</v>
      </c>
      <c r="C22" s="1878"/>
      <c r="D22" s="765">
        <f t="shared" si="0"/>
        <v>0</v>
      </c>
      <c r="E22" s="1878"/>
      <c r="F22" s="1879"/>
      <c r="G22" s="799">
        <v>1</v>
      </c>
      <c r="H22" s="1884"/>
      <c r="I22" s="765">
        <f t="shared" si="1"/>
        <v>0</v>
      </c>
      <c r="J22" s="1878"/>
      <c r="K22" s="1880"/>
      <c r="L22" s="767">
        <v>1</v>
      </c>
      <c r="M22" s="1882"/>
      <c r="N22" s="768">
        <f t="shared" si="2"/>
        <v>0</v>
      </c>
      <c r="O22" s="1878"/>
      <c r="P22" s="1880"/>
      <c r="Q22" s="768">
        <f t="shared" si="3"/>
        <v>0</v>
      </c>
      <c r="R22" s="769"/>
      <c r="S22" s="782">
        <v>19</v>
      </c>
      <c r="T22" s="782" t="s">
        <v>4284</v>
      </c>
      <c r="U22" s="782" t="s">
        <v>5792</v>
      </c>
      <c r="V22" s="797">
        <f>$S$1*P!V22</f>
        <v>8.3286290322580649E-3</v>
      </c>
      <c r="W22" s="780"/>
      <c r="X22" s="782">
        <v>19</v>
      </c>
      <c r="Y22" s="782" t="s">
        <v>2248</v>
      </c>
      <c r="Z22" s="782" t="s">
        <v>3845</v>
      </c>
      <c r="AA22" s="781">
        <f>$S$1*P!AA22</f>
        <v>0</v>
      </c>
      <c r="AB22" s="780"/>
      <c r="AC22" s="782">
        <v>19</v>
      </c>
      <c r="AD22" s="782" t="s">
        <v>4573</v>
      </c>
      <c r="AE22" s="782" t="s">
        <v>3845</v>
      </c>
      <c r="AF22" s="781">
        <f>$S$1*P!AF22</f>
        <v>3.153225806451613</v>
      </c>
      <c r="AJ22" s="783" t="s">
        <v>1059</v>
      </c>
      <c r="AK22" s="784" t="s">
        <v>1229</v>
      </c>
      <c r="AL22" s="785">
        <f>$S$1*P!AL22</f>
        <v>0.53355859317229826</v>
      </c>
      <c r="AN22" s="737">
        <v>19</v>
      </c>
      <c r="AO22" s="796"/>
      <c r="AP22" s="800"/>
      <c r="AQ22" s="800"/>
    </row>
    <row r="23" spans="1:43" ht="25" customHeight="1" thickBot="1" x14ac:dyDescent="0.4">
      <c r="A23" s="801">
        <v>20</v>
      </c>
      <c r="B23" s="802">
        <v>1</v>
      </c>
      <c r="C23" s="1878"/>
      <c r="D23" s="765">
        <f t="shared" si="0"/>
        <v>0</v>
      </c>
      <c r="E23" s="1878"/>
      <c r="F23" s="1879"/>
      <c r="G23" s="802">
        <v>1</v>
      </c>
      <c r="H23" s="1884"/>
      <c r="I23" s="765">
        <f t="shared" si="1"/>
        <v>0</v>
      </c>
      <c r="J23" s="1878"/>
      <c r="K23" s="1880"/>
      <c r="L23" s="767">
        <v>1</v>
      </c>
      <c r="M23" s="1882"/>
      <c r="N23" s="768">
        <f t="shared" si="2"/>
        <v>0</v>
      </c>
      <c r="O23" s="1878"/>
      <c r="P23" s="1880"/>
      <c r="Q23" s="768">
        <f t="shared" si="3"/>
        <v>0</v>
      </c>
      <c r="R23" s="769"/>
      <c r="S23" s="782">
        <v>20</v>
      </c>
      <c r="T23" s="782" t="s">
        <v>4284</v>
      </c>
      <c r="U23" s="782" t="s">
        <v>5791</v>
      </c>
      <c r="V23" s="797">
        <f>$S$1*P!V23</f>
        <v>3.3417338709677423E-4</v>
      </c>
      <c r="W23" s="780"/>
      <c r="X23" s="782">
        <v>20</v>
      </c>
      <c r="Y23" s="782" t="s">
        <v>2248</v>
      </c>
      <c r="Z23" s="782" t="s">
        <v>3845</v>
      </c>
      <c r="AA23" s="781">
        <f>$S$1*P!AA23</f>
        <v>9.7338709677419362E-4</v>
      </c>
      <c r="AB23" s="780"/>
      <c r="AC23" s="782">
        <v>20</v>
      </c>
      <c r="AD23" s="782" t="s">
        <v>4573</v>
      </c>
      <c r="AE23" s="782" t="s">
        <v>3845</v>
      </c>
      <c r="AF23" s="781">
        <f>$S$1*P!AF23</f>
        <v>0</v>
      </c>
      <c r="AJ23" s="783" t="s">
        <v>1059</v>
      </c>
      <c r="AK23" s="784" t="s">
        <v>1230</v>
      </c>
      <c r="AL23" s="785">
        <f>$S$1*P!AL23</f>
        <v>0.51878016978499997</v>
      </c>
      <c r="AN23" s="737">
        <v>20</v>
      </c>
      <c r="AO23" s="796" t="s">
        <v>7856</v>
      </c>
      <c r="AP23" s="800">
        <v>1.1000000000000001</v>
      </c>
      <c r="AQ23" s="795">
        <f>$S$1*P!AQ23</f>
        <v>7.7720400000000009E-4</v>
      </c>
    </row>
    <row r="24" spans="1:43" ht="22.5" customHeight="1" thickBot="1" x14ac:dyDescent="0.4">
      <c r="S24" s="782">
        <v>21</v>
      </c>
      <c r="T24" s="782" t="s">
        <v>4284</v>
      </c>
      <c r="U24" s="782" t="s">
        <v>5790</v>
      </c>
      <c r="V24" s="797">
        <f>$S$1*P!V24</f>
        <v>2.8207661290322584E-2</v>
      </c>
      <c r="W24" s="780"/>
      <c r="X24" s="782">
        <v>21</v>
      </c>
      <c r="Y24" s="782" t="s">
        <v>2248</v>
      </c>
      <c r="Z24" s="782" t="s">
        <v>5784</v>
      </c>
      <c r="AA24" s="781">
        <f>$S$1*P!AA24</f>
        <v>8.2943548387096782E-5</v>
      </c>
      <c r="AB24" s="780"/>
      <c r="AC24" s="782">
        <v>21</v>
      </c>
      <c r="AD24" s="782" t="s">
        <v>4573</v>
      </c>
      <c r="AE24" s="782" t="s">
        <v>5784</v>
      </c>
      <c r="AF24" s="781">
        <f>$S$1*P!AF24</f>
        <v>2.5122983870967744E-3</v>
      </c>
      <c r="AJ24" s="783" t="s">
        <v>1059</v>
      </c>
      <c r="AK24" s="784" t="s">
        <v>1231</v>
      </c>
      <c r="AL24" s="785">
        <f>$S$1*P!AL24</f>
        <v>0.88334496778500005</v>
      </c>
      <c r="AN24" s="737">
        <v>21</v>
      </c>
      <c r="AO24" s="796" t="s">
        <v>7869</v>
      </c>
      <c r="AP24" s="800">
        <v>1.1000000000000001</v>
      </c>
      <c r="AQ24" s="795">
        <f>$S$1*P!AQ24</f>
        <v>8.0058600000000018E-3</v>
      </c>
    </row>
    <row r="25" spans="1:43" ht="23.25" customHeight="1" thickBot="1" x14ac:dyDescent="0.4">
      <c r="L25" s="807"/>
      <c r="N25" s="807" t="s">
        <v>7599</v>
      </c>
      <c r="Q25" s="808">
        <f>SUM(Q4:Q23)</f>
        <v>0</v>
      </c>
      <c r="S25" s="782">
        <v>22</v>
      </c>
      <c r="T25" s="782" t="s">
        <v>4284</v>
      </c>
      <c r="U25" s="782" t="s">
        <v>5789</v>
      </c>
      <c r="V25" s="797">
        <f>$S$1*P!V25</f>
        <v>1.9536290322580646E-4</v>
      </c>
      <c r="W25" s="780"/>
      <c r="X25" s="782">
        <v>22</v>
      </c>
      <c r="Y25" s="782" t="s">
        <v>2248</v>
      </c>
      <c r="Z25" s="782" t="s">
        <v>5783</v>
      </c>
      <c r="AA25" s="781">
        <f>$S$1*P!AA25</f>
        <v>1.9502016129032257E-5</v>
      </c>
      <c r="AB25" s="780"/>
      <c r="AC25" s="782">
        <v>22</v>
      </c>
      <c r="AD25" s="782" t="s">
        <v>4573</v>
      </c>
      <c r="AE25" s="782" t="s">
        <v>5783</v>
      </c>
      <c r="AF25" s="781">
        <f>$S$1*P!AF25</f>
        <v>2.4231854838709679E-2</v>
      </c>
      <c r="AJ25" s="783" t="s">
        <v>1059</v>
      </c>
      <c r="AK25" s="784" t="s">
        <v>1232</v>
      </c>
      <c r="AL25" s="785">
        <f>$S$1*P!AL25</f>
        <v>0.56180449497999996</v>
      </c>
      <c r="AN25" s="737">
        <v>22</v>
      </c>
      <c r="AO25" s="796" t="s">
        <v>7870</v>
      </c>
      <c r="AP25" s="800">
        <v>1.1000000000000001</v>
      </c>
      <c r="AQ25" s="795">
        <f>$S$1*P!AQ25</f>
        <v>2.1221399999999998E-3</v>
      </c>
    </row>
    <row r="26" spans="1:43" ht="20.25" customHeight="1" thickBot="1" x14ac:dyDescent="0.4">
      <c r="R26" s="809"/>
      <c r="S26" s="782">
        <v>23</v>
      </c>
      <c r="T26" s="782" t="s">
        <v>4284</v>
      </c>
      <c r="U26" s="782" t="s">
        <v>5787</v>
      </c>
      <c r="V26" s="797">
        <f>$S$1*P!V26</f>
        <v>1.5286290322580647E-2</v>
      </c>
      <c r="W26" s="780"/>
      <c r="X26" s="782">
        <v>23</v>
      </c>
      <c r="Y26" s="782" t="s">
        <v>2248</v>
      </c>
      <c r="Z26" s="782" t="s">
        <v>5782</v>
      </c>
      <c r="AA26" s="781">
        <f>$S$1*P!AA26</f>
        <v>8.911290322580645E-3</v>
      </c>
      <c r="AB26" s="780"/>
      <c r="AC26" s="782">
        <v>23</v>
      </c>
      <c r="AD26" s="782" t="s">
        <v>4573</v>
      </c>
      <c r="AE26" s="782" t="s">
        <v>5782</v>
      </c>
      <c r="AF26" s="781">
        <f>$S$1*P!AF26</f>
        <v>2.6973790322580647E-2</v>
      </c>
      <c r="AJ26" s="783" t="s">
        <v>1059</v>
      </c>
      <c r="AK26" s="784" t="s">
        <v>1233</v>
      </c>
      <c r="AL26" s="785">
        <f>$S$1*P!AL26</f>
        <v>0.5988103937512983</v>
      </c>
      <c r="AN26" s="737">
        <v>23</v>
      </c>
      <c r="AO26" s="796" t="s">
        <v>7871</v>
      </c>
      <c r="AP26" s="800">
        <v>1.1499999999999999</v>
      </c>
      <c r="AQ26" s="795">
        <f>$S$1*P!AQ26</f>
        <v>1.7554660000000003E-2</v>
      </c>
    </row>
    <row r="27" spans="1:43" ht="36" customHeight="1" thickBot="1" x14ac:dyDescent="0.4">
      <c r="A27" s="1708" t="s">
        <v>5858</v>
      </c>
      <c r="B27" s="1709"/>
      <c r="C27" s="1709"/>
      <c r="D27" s="1709"/>
      <c r="E27" s="1709"/>
      <c r="F27" s="1709"/>
      <c r="G27" s="1710"/>
      <c r="I27" s="1708" t="s">
        <v>6974</v>
      </c>
      <c r="J27" s="1709"/>
      <c r="K27" s="1710"/>
      <c r="S27" s="782">
        <v>24</v>
      </c>
      <c r="T27" s="782" t="s">
        <v>4284</v>
      </c>
      <c r="U27" s="782" t="s">
        <v>5786</v>
      </c>
      <c r="V27" s="797">
        <f>$S$1*P!V27</f>
        <v>5.6552419354838714E-4</v>
      </c>
      <c r="W27" s="780"/>
      <c r="X27" s="782">
        <v>24</v>
      </c>
      <c r="Y27" s="782" t="s">
        <v>2248</v>
      </c>
      <c r="Z27" s="782" t="s">
        <v>5781</v>
      </c>
      <c r="AA27" s="781">
        <f>$S$1*P!AA27</f>
        <v>4.5584677419354845E-3</v>
      </c>
      <c r="AB27" s="780"/>
      <c r="AC27" s="782">
        <v>24</v>
      </c>
      <c r="AD27" s="782" t="s">
        <v>4573</v>
      </c>
      <c r="AE27" s="782" t="s">
        <v>5781</v>
      </c>
      <c r="AF27" s="781">
        <f>$S$1*P!AF27</f>
        <v>1.3743951612903227</v>
      </c>
      <c r="AJ27" s="783" t="s">
        <v>1059</v>
      </c>
      <c r="AK27" s="784" t="s">
        <v>1234</v>
      </c>
      <c r="AL27" s="785">
        <f>$S$1*P!AL27</f>
        <v>0.96337519275129835</v>
      </c>
      <c r="AN27" s="737">
        <v>24</v>
      </c>
      <c r="AO27" s="749"/>
      <c r="AP27" s="810"/>
      <c r="AQ27" s="811"/>
    </row>
    <row r="28" spans="1:43" ht="62.25" customHeight="1" thickBot="1" x14ac:dyDescent="0.4">
      <c r="A28" s="752" t="s">
        <v>82</v>
      </c>
      <c r="B28" s="753" t="s">
        <v>8670</v>
      </c>
      <c r="C28" s="688" t="s">
        <v>5819</v>
      </c>
      <c r="D28" s="812" t="s">
        <v>8382</v>
      </c>
      <c r="E28" s="689" t="s">
        <v>8383</v>
      </c>
      <c r="F28" s="690" t="s">
        <v>7129</v>
      </c>
      <c r="G28" s="691" t="s">
        <v>8384</v>
      </c>
      <c r="I28" s="813"/>
      <c r="J28" s="814" t="s">
        <v>5848</v>
      </c>
      <c r="K28" s="815" t="s">
        <v>8601</v>
      </c>
      <c r="S28" s="782">
        <v>25</v>
      </c>
      <c r="T28" s="782" t="s">
        <v>4284</v>
      </c>
      <c r="U28" s="782" t="s">
        <v>3848</v>
      </c>
      <c r="V28" s="797">
        <f>$S$1*P!V28</f>
        <v>254.84</v>
      </c>
      <c r="W28" s="780"/>
      <c r="X28" s="782">
        <v>25</v>
      </c>
      <c r="Y28" s="782" t="s">
        <v>2248</v>
      </c>
      <c r="Z28" s="782" t="s">
        <v>3843</v>
      </c>
      <c r="AA28" s="781">
        <f>$S$1*P!AA28</f>
        <v>0</v>
      </c>
      <c r="AB28" s="780"/>
      <c r="AC28" s="782">
        <v>25</v>
      </c>
      <c r="AD28" s="782" t="s">
        <v>4573</v>
      </c>
      <c r="AE28" s="782" t="s">
        <v>3843</v>
      </c>
      <c r="AF28" s="781">
        <f>$S$1*P!AF28</f>
        <v>0</v>
      </c>
      <c r="AN28" s="737">
        <v>25</v>
      </c>
      <c r="AO28" s="816" t="s">
        <v>7872</v>
      </c>
      <c r="AP28" s="800">
        <v>5</v>
      </c>
      <c r="AQ28" s="795">
        <f>$S$1*P!AQ28</f>
        <v>8.8150199999999998E-3</v>
      </c>
    </row>
    <row r="29" spans="1:43" ht="25" customHeight="1" thickBot="1" x14ac:dyDescent="0.4">
      <c r="A29" s="764">
        <v>1</v>
      </c>
      <c r="B29" s="1877">
        <v>1</v>
      </c>
      <c r="C29" s="1885"/>
      <c r="D29" s="817">
        <f t="shared" ref="D29:D40" si="4">LOOKUP(B29,I$29:I$41,K$29:K$41)</f>
        <v>0</v>
      </c>
      <c r="E29" s="1885"/>
      <c r="F29" s="1886"/>
      <c r="G29" s="818">
        <f t="shared" ref="G29:G40" si="5">C29*(F29*E29+(1-F29)*D29)</f>
        <v>0</v>
      </c>
      <c r="I29" s="819">
        <v>1</v>
      </c>
      <c r="J29" s="820" t="s">
        <v>7458</v>
      </c>
      <c r="K29" s="821">
        <f>$S$1*P!K29</f>
        <v>0</v>
      </c>
      <c r="S29" s="782">
        <v>26</v>
      </c>
      <c r="T29" s="782" t="s">
        <v>4284</v>
      </c>
      <c r="U29" s="782" t="s">
        <v>5785</v>
      </c>
      <c r="V29" s="797">
        <f>$S$1*P!V29</f>
        <v>0.30709677419354842</v>
      </c>
      <c r="W29" s="780"/>
      <c r="X29" s="782">
        <v>26</v>
      </c>
      <c r="Y29" s="782" t="s">
        <v>2248</v>
      </c>
      <c r="Z29" s="782" t="s">
        <v>5780</v>
      </c>
      <c r="AA29" s="781">
        <f>$S$1*P!AA29</f>
        <v>2.8653225806451617</v>
      </c>
      <c r="AB29" s="780"/>
      <c r="AC29" s="782">
        <v>26</v>
      </c>
      <c r="AD29" s="782" t="s">
        <v>4573</v>
      </c>
      <c r="AE29" s="782" t="s">
        <v>5780</v>
      </c>
      <c r="AF29" s="781">
        <f>$S$1*P!AF29</f>
        <v>104.19354838709678</v>
      </c>
      <c r="AN29" s="737">
        <v>26</v>
      </c>
      <c r="AO29" s="816"/>
      <c r="AP29" s="800"/>
      <c r="AQ29" s="811"/>
    </row>
    <row r="30" spans="1:43" ht="25" customHeight="1" thickBot="1" x14ac:dyDescent="0.4">
      <c r="A30" s="777">
        <v>2</v>
      </c>
      <c r="B30" s="1887">
        <v>1</v>
      </c>
      <c r="C30" s="1885"/>
      <c r="D30" s="817">
        <f t="shared" si="4"/>
        <v>0</v>
      </c>
      <c r="E30" s="1885"/>
      <c r="F30" s="1886"/>
      <c r="G30" s="818">
        <f t="shared" si="5"/>
        <v>0</v>
      </c>
      <c r="I30" s="819">
        <v>2</v>
      </c>
      <c r="J30" s="822" t="s">
        <v>5849</v>
      </c>
      <c r="K30" s="821">
        <f>$S$1*P!K30</f>
        <v>0.11600000000000001</v>
      </c>
      <c r="S30" s="782">
        <v>27</v>
      </c>
      <c r="T30" s="782" t="s">
        <v>4284</v>
      </c>
      <c r="U30" s="782" t="s">
        <v>3845</v>
      </c>
      <c r="V30" s="797">
        <f>$S$1*P!V30</f>
        <v>1.8370967741935484E-2</v>
      </c>
      <c r="W30" s="780"/>
      <c r="X30" s="782">
        <v>27</v>
      </c>
      <c r="Y30" s="782" t="s">
        <v>2248</v>
      </c>
      <c r="Z30" s="782" t="s">
        <v>5779</v>
      </c>
      <c r="AA30" s="781">
        <f>$S$1*P!AA30</f>
        <v>2998.9919354838712</v>
      </c>
      <c r="AB30" s="780"/>
      <c r="AC30" s="782">
        <v>27</v>
      </c>
      <c r="AD30" s="782" t="s">
        <v>4573</v>
      </c>
      <c r="AE30" s="782" t="s">
        <v>5779</v>
      </c>
      <c r="AF30" s="781">
        <f>$S$1*P!AF30</f>
        <v>39072.580645161295</v>
      </c>
      <c r="AN30" s="737">
        <v>27</v>
      </c>
      <c r="AO30" s="816" t="s">
        <v>7873</v>
      </c>
      <c r="AP30" s="800">
        <v>31.6</v>
      </c>
      <c r="AQ30" s="795">
        <f>$S$1*P!AQ30</f>
        <v>5.9820239999999998E-3</v>
      </c>
    </row>
    <row r="31" spans="1:43" ht="25" customHeight="1" thickBot="1" x14ac:dyDescent="0.4">
      <c r="A31" s="777">
        <v>3</v>
      </c>
      <c r="B31" s="1887">
        <v>1</v>
      </c>
      <c r="C31" s="1885"/>
      <c r="D31" s="817">
        <f t="shared" si="4"/>
        <v>0</v>
      </c>
      <c r="E31" s="1885"/>
      <c r="F31" s="1886"/>
      <c r="G31" s="818">
        <f t="shared" si="5"/>
        <v>0</v>
      </c>
      <c r="I31" s="819">
        <v>3</v>
      </c>
      <c r="J31" s="822" t="s">
        <v>5850</v>
      </c>
      <c r="K31" s="821">
        <f>$S$1*P!K31</f>
        <v>17.18</v>
      </c>
      <c r="S31" s="782">
        <v>28</v>
      </c>
      <c r="T31" s="782" t="s">
        <v>4284</v>
      </c>
      <c r="U31" s="782" t="s">
        <v>3845</v>
      </c>
      <c r="V31" s="797">
        <f>$S$1*P!V31</f>
        <v>0</v>
      </c>
      <c r="W31" s="780"/>
      <c r="X31" s="782">
        <v>28</v>
      </c>
      <c r="Y31" s="782" t="s">
        <v>2248</v>
      </c>
      <c r="Z31" s="782" t="s">
        <v>5778</v>
      </c>
      <c r="AA31" s="781">
        <f>$S$1*P!AA31</f>
        <v>7.4717741935483879E-3</v>
      </c>
      <c r="AB31" s="780"/>
      <c r="AC31" s="782">
        <v>28</v>
      </c>
      <c r="AD31" s="782" t="s">
        <v>4573</v>
      </c>
      <c r="AE31" s="782" t="s">
        <v>5778</v>
      </c>
      <c r="AF31" s="781">
        <f>$S$1*P!AF31</f>
        <v>0.43185483870967745</v>
      </c>
      <c r="AN31" s="737">
        <v>28</v>
      </c>
      <c r="AO31" s="816" t="s">
        <v>7874</v>
      </c>
      <c r="AP31" s="800">
        <v>9</v>
      </c>
      <c r="AQ31" s="795">
        <f>$S$1*P!AQ31</f>
        <v>2.2216470000000002E-2</v>
      </c>
    </row>
    <row r="32" spans="1:43" ht="25" customHeight="1" thickBot="1" x14ac:dyDescent="0.4">
      <c r="A32" s="777">
        <v>4</v>
      </c>
      <c r="B32" s="1887">
        <v>1</v>
      </c>
      <c r="C32" s="1885"/>
      <c r="D32" s="817">
        <f t="shared" si="4"/>
        <v>0</v>
      </c>
      <c r="E32" s="1885"/>
      <c r="F32" s="1886"/>
      <c r="G32" s="818">
        <f t="shared" si="5"/>
        <v>0</v>
      </c>
      <c r="I32" s="819">
        <v>4</v>
      </c>
      <c r="J32" s="822" t="s">
        <v>5851</v>
      </c>
      <c r="K32" s="821">
        <f>$S$1*P!K32</f>
        <v>6.36</v>
      </c>
      <c r="S32" s="782">
        <v>29</v>
      </c>
      <c r="T32" s="782" t="s">
        <v>4284</v>
      </c>
      <c r="U32" s="782" t="s">
        <v>5784</v>
      </c>
      <c r="V32" s="797">
        <f>$S$1*P!V32</f>
        <v>3.4274193548387101E-6</v>
      </c>
      <c r="W32" s="780"/>
      <c r="X32" s="782">
        <v>29</v>
      </c>
      <c r="Y32" s="782" t="s">
        <v>2248</v>
      </c>
      <c r="Z32" s="782" t="s">
        <v>5777</v>
      </c>
      <c r="AA32" s="781">
        <f>$S$1*P!AA32</f>
        <v>1.1790322580645162E-4</v>
      </c>
      <c r="AB32" s="780"/>
      <c r="AC32" s="782">
        <v>29</v>
      </c>
      <c r="AD32" s="782" t="s">
        <v>4573</v>
      </c>
      <c r="AE32" s="782" t="s">
        <v>5777</v>
      </c>
      <c r="AF32" s="781">
        <f>$S$1*P!AF32</f>
        <v>3.564516129032258E-2</v>
      </c>
      <c r="AN32" s="737">
        <v>29</v>
      </c>
      <c r="AO32" s="816" t="s">
        <v>7875</v>
      </c>
      <c r="AP32" s="800">
        <v>9</v>
      </c>
      <c r="AQ32" s="795">
        <f>$S$1*P!AQ32</f>
        <v>1.8855E-2</v>
      </c>
    </row>
    <row r="33" spans="1:43" ht="25" customHeight="1" thickBot="1" x14ac:dyDescent="0.4">
      <c r="A33" s="777">
        <v>5</v>
      </c>
      <c r="B33" s="1888">
        <v>1</v>
      </c>
      <c r="C33" s="1885"/>
      <c r="D33" s="817">
        <f t="shared" si="4"/>
        <v>0</v>
      </c>
      <c r="E33" s="1885"/>
      <c r="F33" s="1886"/>
      <c r="G33" s="818">
        <f t="shared" si="5"/>
        <v>0</v>
      </c>
      <c r="I33" s="819">
        <v>5</v>
      </c>
      <c r="J33" s="822" t="s">
        <v>5852</v>
      </c>
      <c r="K33" s="821">
        <f>$S$1*P!K33</f>
        <v>9.75</v>
      </c>
      <c r="S33" s="782">
        <v>30</v>
      </c>
      <c r="T33" s="782" t="s">
        <v>4284</v>
      </c>
      <c r="U33" s="782" t="s">
        <v>5783</v>
      </c>
      <c r="V33" s="797">
        <f>$S$1*P!V33</f>
        <v>1.5800403225806455E-7</v>
      </c>
      <c r="W33" s="793"/>
      <c r="X33" s="782">
        <v>30</v>
      </c>
      <c r="Y33" s="782" t="s">
        <v>2248</v>
      </c>
      <c r="Z33" s="782" t="s">
        <v>5776</v>
      </c>
      <c r="AA33" s="781">
        <f>$S$1*P!AA33</f>
        <v>8.0201612903225809E-12</v>
      </c>
      <c r="AB33" s="780"/>
      <c r="AC33" s="782">
        <v>30</v>
      </c>
      <c r="AD33" s="782" t="s">
        <v>4573</v>
      </c>
      <c r="AE33" s="782" t="s">
        <v>5776</v>
      </c>
      <c r="AF33" s="781">
        <f>$S$1*P!AF33</f>
        <v>2.2518145161290325E-7</v>
      </c>
      <c r="AN33" s="737">
        <v>30</v>
      </c>
      <c r="AO33" s="816"/>
      <c r="AP33" s="800"/>
      <c r="AQ33" s="795">
        <f>$S$1*P!AQ33</f>
        <v>0</v>
      </c>
    </row>
    <row r="34" spans="1:43" ht="25" customHeight="1" thickBot="1" x14ac:dyDescent="0.4">
      <c r="A34" s="777">
        <v>6</v>
      </c>
      <c r="B34" s="777">
        <v>1</v>
      </c>
      <c r="C34" s="1885"/>
      <c r="D34" s="817">
        <f t="shared" si="4"/>
        <v>0</v>
      </c>
      <c r="E34" s="1885"/>
      <c r="F34" s="1886"/>
      <c r="G34" s="818">
        <f t="shared" si="5"/>
        <v>0</v>
      </c>
      <c r="I34" s="819">
        <v>6</v>
      </c>
      <c r="J34" s="822" t="s">
        <v>5853</v>
      </c>
      <c r="K34" s="821">
        <f>$S$1*P!K34</f>
        <v>8.75</v>
      </c>
      <c r="S34" s="782">
        <v>31</v>
      </c>
      <c r="T34" s="782" t="s">
        <v>4284</v>
      </c>
      <c r="U34" s="782" t="s">
        <v>5782</v>
      </c>
      <c r="V34" s="797">
        <f>$S$1*P!V34</f>
        <v>2.5157258064516133E-3</v>
      </c>
      <c r="W34" s="780"/>
      <c r="X34" s="782">
        <v>31</v>
      </c>
      <c r="Y34" s="782" t="s">
        <v>2248</v>
      </c>
      <c r="Z34" s="782" t="s">
        <v>5775</v>
      </c>
      <c r="AA34" s="781">
        <f>$S$1*P!AA34</f>
        <v>1.0659274193548387E-4</v>
      </c>
      <c r="AB34" s="780"/>
      <c r="AC34" s="782">
        <v>31</v>
      </c>
      <c r="AD34" s="782" t="s">
        <v>4573</v>
      </c>
      <c r="AE34" s="782" t="s">
        <v>5775</v>
      </c>
      <c r="AF34" s="781">
        <f>$S$1*P!AF34</f>
        <v>9.5625000000000007E-4</v>
      </c>
      <c r="AN34" s="737">
        <v>31</v>
      </c>
      <c r="AO34" s="816" t="s">
        <v>7876</v>
      </c>
      <c r="AP34" s="800">
        <v>9</v>
      </c>
      <c r="AQ34" s="795">
        <f>$S$1*P!AQ34</f>
        <v>2.6296140000000003E-2</v>
      </c>
    </row>
    <row r="35" spans="1:43" ht="25" customHeight="1" thickBot="1" x14ac:dyDescent="0.4">
      <c r="A35" s="777">
        <v>7</v>
      </c>
      <c r="B35" s="777">
        <v>1</v>
      </c>
      <c r="C35" s="1885"/>
      <c r="D35" s="817">
        <f t="shared" si="4"/>
        <v>0</v>
      </c>
      <c r="E35" s="1885"/>
      <c r="F35" s="1886"/>
      <c r="G35" s="818">
        <f t="shared" si="5"/>
        <v>0</v>
      </c>
      <c r="I35" s="819">
        <v>7</v>
      </c>
      <c r="J35" s="822" t="s">
        <v>5854</v>
      </c>
      <c r="K35" s="821">
        <f>$S$1*P!K35</f>
        <v>0.24</v>
      </c>
      <c r="S35" s="789">
        <v>32</v>
      </c>
      <c r="T35" s="789" t="s">
        <v>4284</v>
      </c>
      <c r="U35" s="789" t="s">
        <v>5810</v>
      </c>
      <c r="V35" s="790">
        <f>$S$1*P!V35</f>
        <v>6.8440000000000003</v>
      </c>
      <c r="W35" s="823"/>
      <c r="X35" s="782">
        <v>32</v>
      </c>
      <c r="Y35" s="782" t="s">
        <v>2248</v>
      </c>
      <c r="Z35" s="782" t="s">
        <v>5774</v>
      </c>
      <c r="AA35" s="781">
        <f>$S$1*P!AA35</f>
        <v>1.2441532258064517E-4</v>
      </c>
      <c r="AB35" s="780"/>
      <c r="AC35" s="782">
        <v>32</v>
      </c>
      <c r="AD35" s="782" t="s">
        <v>4573</v>
      </c>
      <c r="AE35" s="782" t="s">
        <v>5774</v>
      </c>
      <c r="AF35" s="781">
        <f>$S$1*P!AF35</f>
        <v>1.4052419354838711E-3</v>
      </c>
      <c r="AN35" s="737">
        <v>32</v>
      </c>
      <c r="AO35" s="816" t="s">
        <v>7877</v>
      </c>
      <c r="AP35" s="800">
        <v>9</v>
      </c>
      <c r="AQ35" s="795">
        <f>$S$1*P!AQ35</f>
        <v>2.0381880000000002E-2</v>
      </c>
    </row>
    <row r="36" spans="1:43" ht="25" customHeight="1" thickBot="1" x14ac:dyDescent="0.4">
      <c r="A36" s="777">
        <v>8</v>
      </c>
      <c r="B36" s="777">
        <v>1</v>
      </c>
      <c r="C36" s="1885"/>
      <c r="D36" s="817">
        <f t="shared" si="4"/>
        <v>0</v>
      </c>
      <c r="E36" s="1885"/>
      <c r="F36" s="1886"/>
      <c r="G36" s="818">
        <f t="shared" si="5"/>
        <v>0</v>
      </c>
      <c r="I36" s="819">
        <v>8</v>
      </c>
      <c r="J36" s="822" t="s">
        <v>2869</v>
      </c>
      <c r="K36" s="821">
        <f>$S$1*P!K36</f>
        <v>41.49</v>
      </c>
      <c r="S36" s="782">
        <v>33</v>
      </c>
      <c r="T36" s="782" t="s">
        <v>4284</v>
      </c>
      <c r="U36" s="782" t="s">
        <v>5781</v>
      </c>
      <c r="V36" s="797">
        <f>$S$1*P!V36</f>
        <v>7.6088709677419363E-5</v>
      </c>
      <c r="W36" s="780"/>
      <c r="X36" s="782">
        <v>33</v>
      </c>
      <c r="Y36" s="782" t="s">
        <v>2248</v>
      </c>
      <c r="Z36" s="782" t="s">
        <v>5773</v>
      </c>
      <c r="AA36" s="781">
        <f>$S$1*P!AA36</f>
        <v>7.7116935483870975E-6</v>
      </c>
      <c r="AB36" s="780"/>
      <c r="AC36" s="782">
        <v>33</v>
      </c>
      <c r="AD36" s="782" t="s">
        <v>4573</v>
      </c>
      <c r="AE36" s="782" t="s">
        <v>5773</v>
      </c>
      <c r="AF36" s="781">
        <f>$S$1*P!AF36</f>
        <v>2.8756048387096776E-5</v>
      </c>
      <c r="AN36" s="737">
        <v>33</v>
      </c>
      <c r="AO36" s="816" t="s">
        <v>7878</v>
      </c>
      <c r="AP36" s="800">
        <v>9</v>
      </c>
      <c r="AQ36" s="795">
        <f>$S$1*P!AQ36</f>
        <v>2.01906E-2</v>
      </c>
    </row>
    <row r="37" spans="1:43" ht="25" customHeight="1" thickBot="1" x14ac:dyDescent="0.4">
      <c r="A37" s="777">
        <v>9</v>
      </c>
      <c r="B37" s="777">
        <v>1</v>
      </c>
      <c r="C37" s="1885"/>
      <c r="D37" s="817">
        <f t="shared" si="4"/>
        <v>0</v>
      </c>
      <c r="E37" s="1885"/>
      <c r="F37" s="1886"/>
      <c r="G37" s="818">
        <f t="shared" si="5"/>
        <v>0</v>
      </c>
      <c r="I37" s="819">
        <v>9</v>
      </c>
      <c r="J37" s="822" t="s">
        <v>2842</v>
      </c>
      <c r="K37" s="821">
        <f>$S$1*P!K37</f>
        <v>9844</v>
      </c>
      <c r="S37" s="782">
        <v>34</v>
      </c>
      <c r="T37" s="782" t="s">
        <v>4284</v>
      </c>
      <c r="U37" s="782" t="s">
        <v>3843</v>
      </c>
      <c r="V37" s="797">
        <f>$S$1*P!V37</f>
        <v>0</v>
      </c>
      <c r="W37" s="780"/>
      <c r="X37" s="782">
        <v>34</v>
      </c>
      <c r="Y37" s="782" t="s">
        <v>2248</v>
      </c>
      <c r="Z37" s="782" t="s">
        <v>3840</v>
      </c>
      <c r="AA37" s="781">
        <f>$S$1*P!AA37</f>
        <v>0</v>
      </c>
      <c r="AB37" s="780"/>
      <c r="AC37" s="782">
        <v>34</v>
      </c>
      <c r="AD37" s="782" t="s">
        <v>4573</v>
      </c>
      <c r="AE37" s="782" t="s">
        <v>3840</v>
      </c>
      <c r="AF37" s="781">
        <f>$S$1*P!AF37</f>
        <v>0</v>
      </c>
      <c r="AN37" s="737">
        <v>34</v>
      </c>
      <c r="AO37" s="816" t="s">
        <v>7879</v>
      </c>
      <c r="AP37" s="800">
        <v>9</v>
      </c>
      <c r="AQ37" s="795">
        <f>$S$1*P!AQ37</f>
        <v>1.8839040000000001E-2</v>
      </c>
    </row>
    <row r="38" spans="1:43" ht="25" customHeight="1" thickBot="1" x14ac:dyDescent="0.4">
      <c r="A38" s="777">
        <v>10</v>
      </c>
      <c r="B38" s="777">
        <v>1</v>
      </c>
      <c r="C38" s="1885"/>
      <c r="D38" s="817">
        <f t="shared" si="4"/>
        <v>0</v>
      </c>
      <c r="E38" s="1885"/>
      <c r="F38" s="1886"/>
      <c r="G38" s="818">
        <f t="shared" si="5"/>
        <v>0</v>
      </c>
      <c r="I38" s="819">
        <v>10</v>
      </c>
      <c r="J38" s="820" t="s">
        <v>4963</v>
      </c>
      <c r="K38" s="821">
        <f>$S$1*P!K38</f>
        <v>3.5379999999999998</v>
      </c>
      <c r="S38" s="782">
        <v>35</v>
      </c>
      <c r="T38" s="782" t="s">
        <v>4284</v>
      </c>
      <c r="U38" s="782" t="s">
        <v>5780</v>
      </c>
      <c r="V38" s="797">
        <f>$S$1*P!V38</f>
        <v>4.627016129032258</v>
      </c>
      <c r="W38" s="780"/>
      <c r="X38" s="782">
        <v>35</v>
      </c>
      <c r="Y38" s="782" t="s">
        <v>2248</v>
      </c>
      <c r="Z38" s="782" t="s">
        <v>5771</v>
      </c>
      <c r="AA38" s="781">
        <f>$S$1*P!AA38</f>
        <v>1.9227822580645165E-9</v>
      </c>
      <c r="AB38" s="780"/>
      <c r="AC38" s="782">
        <v>35</v>
      </c>
      <c r="AD38" s="782" t="s">
        <v>4573</v>
      </c>
      <c r="AE38" s="782" t="s">
        <v>5771</v>
      </c>
      <c r="AF38" s="781">
        <f>$S$1*P!AF38</f>
        <v>1.3401209677419356E-5</v>
      </c>
      <c r="AN38" s="737">
        <v>35</v>
      </c>
      <c r="AO38" s="816" t="s">
        <v>7880</v>
      </c>
      <c r="AP38" s="800">
        <v>9</v>
      </c>
      <c r="AQ38" s="795">
        <f>$S$1*P!AQ38</f>
        <v>8.7882399999999992E-3</v>
      </c>
    </row>
    <row r="39" spans="1:43" ht="25" customHeight="1" thickBot="1" x14ac:dyDescent="0.4">
      <c r="A39" s="777">
        <v>11</v>
      </c>
      <c r="B39" s="777">
        <v>1</v>
      </c>
      <c r="C39" s="1885"/>
      <c r="D39" s="817">
        <f t="shared" si="4"/>
        <v>0</v>
      </c>
      <c r="E39" s="1885"/>
      <c r="F39" s="1886"/>
      <c r="G39" s="818">
        <f t="shared" si="5"/>
        <v>0</v>
      </c>
      <c r="I39" s="819">
        <v>11</v>
      </c>
      <c r="J39" s="822" t="s">
        <v>5855</v>
      </c>
      <c r="K39" s="821">
        <f>$S$1*P!K39</f>
        <v>30.74</v>
      </c>
      <c r="S39" s="782">
        <v>36</v>
      </c>
      <c r="T39" s="782" t="s">
        <v>4284</v>
      </c>
      <c r="U39" s="782" t="s">
        <v>5779</v>
      </c>
      <c r="V39" s="797">
        <f>$S$1*P!V39</f>
        <v>2964.7177419354839</v>
      </c>
      <c r="W39" s="780"/>
      <c r="X39" s="782">
        <v>36</v>
      </c>
      <c r="Y39" s="782" t="s">
        <v>2248</v>
      </c>
      <c r="Z39" s="782" t="s">
        <v>5770</v>
      </c>
      <c r="AA39" s="781">
        <f>$S$1*P!AA39</f>
        <v>2.5157258064516135E-6</v>
      </c>
      <c r="AB39" s="780"/>
      <c r="AC39" s="782">
        <v>36</v>
      </c>
      <c r="AD39" s="782" t="s">
        <v>4573</v>
      </c>
      <c r="AE39" s="782" t="s">
        <v>5770</v>
      </c>
      <c r="AF39" s="781">
        <f>$S$1*P!AF39</f>
        <v>1.7754032258064517E-2</v>
      </c>
      <c r="AN39" s="737">
        <v>36</v>
      </c>
      <c r="AO39" s="816" t="s">
        <v>7881</v>
      </c>
      <c r="AP39" s="800">
        <v>9</v>
      </c>
      <c r="AQ39" s="795">
        <f>$S$1*P!AQ39</f>
        <v>1.7690999999999998E-2</v>
      </c>
    </row>
    <row r="40" spans="1:43" ht="25" customHeight="1" thickBot="1" x14ac:dyDescent="0.4">
      <c r="A40" s="777">
        <v>12</v>
      </c>
      <c r="B40" s="1889">
        <v>1</v>
      </c>
      <c r="C40" s="1885"/>
      <c r="D40" s="817">
        <f t="shared" si="4"/>
        <v>0</v>
      </c>
      <c r="E40" s="1885"/>
      <c r="F40" s="1886"/>
      <c r="G40" s="818">
        <f t="shared" si="5"/>
        <v>0</v>
      </c>
      <c r="I40" s="819">
        <v>12</v>
      </c>
      <c r="J40" s="822" t="s">
        <v>5856</v>
      </c>
      <c r="K40" s="821">
        <f>$S$1*P!K40</f>
        <v>7.98</v>
      </c>
      <c r="S40" s="782">
        <v>37</v>
      </c>
      <c r="T40" s="782" t="s">
        <v>4284</v>
      </c>
      <c r="U40" s="782" t="s">
        <v>5778</v>
      </c>
      <c r="V40" s="797">
        <f>$S$1*P!V40</f>
        <v>2.3237903225806454E-3</v>
      </c>
      <c r="W40" s="780"/>
      <c r="X40" s="782">
        <v>37</v>
      </c>
      <c r="Y40" s="782" t="s">
        <v>2248</v>
      </c>
      <c r="Z40" s="782" t="s">
        <v>5769</v>
      </c>
      <c r="AA40" s="781">
        <f>$S$1*P!AA40</f>
        <v>6.375E-9</v>
      </c>
      <c r="AB40" s="780"/>
      <c r="AC40" s="782">
        <v>37</v>
      </c>
      <c r="AD40" s="782" t="s">
        <v>4573</v>
      </c>
      <c r="AE40" s="782" t="s">
        <v>5769</v>
      </c>
      <c r="AF40" s="781">
        <f>$S$1*P!AF40</f>
        <v>1.7582661290322581E-4</v>
      </c>
      <c r="AN40" s="737">
        <v>37</v>
      </c>
      <c r="AO40" s="816" t="s">
        <v>7882</v>
      </c>
      <c r="AP40" s="800">
        <v>9</v>
      </c>
      <c r="AQ40" s="795">
        <f>$S$1*P!AQ40</f>
        <v>1.512022E-2</v>
      </c>
    </row>
    <row r="41" spans="1:43" ht="25" customHeight="1" thickBot="1" x14ac:dyDescent="0.4">
      <c r="A41" s="701"/>
      <c r="B41" s="824"/>
      <c r="C41" s="703"/>
      <c r="D41" s="825"/>
      <c r="E41" s="825"/>
      <c r="F41" s="826"/>
      <c r="G41" s="703"/>
      <c r="I41" s="819">
        <v>13</v>
      </c>
      <c r="J41" s="822" t="s">
        <v>8684</v>
      </c>
      <c r="K41" s="821">
        <f>$S$1*P!K41</f>
        <v>7.98</v>
      </c>
      <c r="S41" s="782">
        <v>38</v>
      </c>
      <c r="T41" s="782" t="s">
        <v>4284</v>
      </c>
      <c r="U41" s="782" t="s">
        <v>5777</v>
      </c>
      <c r="V41" s="797">
        <f>$S$1*P!V41</f>
        <v>7.9516129032258064E-7</v>
      </c>
      <c r="W41" s="780"/>
      <c r="X41" s="782">
        <v>38</v>
      </c>
      <c r="Y41" s="782" t="s">
        <v>2248</v>
      </c>
      <c r="Z41" s="782" t="s">
        <v>3839</v>
      </c>
      <c r="AA41" s="781">
        <f>$S$1*P!AA41</f>
        <v>4.5631999999999999E-3</v>
      </c>
      <c r="AB41" s="780"/>
      <c r="AC41" s="782">
        <v>38</v>
      </c>
      <c r="AD41" s="782" t="s">
        <v>4573</v>
      </c>
      <c r="AE41" s="782" t="s">
        <v>3839</v>
      </c>
      <c r="AF41" s="781">
        <f>$S$1*P!AF41</f>
        <v>2.2758064516129038E-3</v>
      </c>
      <c r="AN41" s="737">
        <v>38</v>
      </c>
      <c r="AO41" s="816"/>
      <c r="AP41" s="800"/>
      <c r="AQ41" s="810">
        <f>$S$1*P!AQ41</f>
        <v>0</v>
      </c>
    </row>
    <row r="42" spans="1:43" ht="25" customHeight="1" thickBot="1" x14ac:dyDescent="0.4">
      <c r="A42" s="701"/>
      <c r="B42" s="704" t="s">
        <v>7599</v>
      </c>
      <c r="C42" s="827" t="s">
        <v>8624</v>
      </c>
      <c r="D42" s="678">
        <f>SUM(D29:D40)</f>
        <v>0</v>
      </c>
      <c r="E42" s="1715" t="s">
        <v>8631</v>
      </c>
      <c r="F42" s="1716"/>
      <c r="G42" s="678">
        <f>SUM(G29:G40)</f>
        <v>0</v>
      </c>
      <c r="I42" s="819">
        <v>14</v>
      </c>
      <c r="J42" s="822" t="s">
        <v>8685</v>
      </c>
      <c r="K42" s="821">
        <f>$S$1*P!K42</f>
        <v>35</v>
      </c>
      <c r="S42" s="782"/>
      <c r="T42" s="782"/>
      <c r="U42" s="782"/>
      <c r="V42" s="797">
        <f>$S$1*P!V42</f>
        <v>0</v>
      </c>
      <c r="W42" s="780"/>
      <c r="X42" s="782"/>
      <c r="Y42" s="782"/>
      <c r="Z42" s="782"/>
      <c r="AA42" s="781">
        <f>$S$1*P!AA42</f>
        <v>0</v>
      </c>
      <c r="AB42" s="780"/>
      <c r="AC42" s="782"/>
      <c r="AD42" s="782"/>
      <c r="AE42" s="782"/>
      <c r="AF42" s="781">
        <f>$S$1*P!AF42</f>
        <v>0</v>
      </c>
      <c r="AN42" s="737">
        <v>39</v>
      </c>
      <c r="AO42" s="816" t="s">
        <v>7883</v>
      </c>
      <c r="AP42" s="828">
        <v>0.14000000000000001</v>
      </c>
      <c r="AQ42" s="795">
        <f>$S$1*P!AQ42</f>
        <v>1.008242E-2</v>
      </c>
    </row>
    <row r="43" spans="1:43" ht="25" customHeight="1" thickBot="1" x14ac:dyDescent="0.4">
      <c r="I43" s="819">
        <v>15</v>
      </c>
      <c r="J43" s="822" t="s">
        <v>4707</v>
      </c>
      <c r="K43" s="821">
        <f>$S$1*P!K43</f>
        <v>32660000</v>
      </c>
      <c r="S43" s="782">
        <v>39</v>
      </c>
      <c r="T43" s="782" t="s">
        <v>4284</v>
      </c>
      <c r="U43" s="782" t="s">
        <v>5776</v>
      </c>
      <c r="V43" s="797">
        <f>$S$1*P!V43</f>
        <v>5.9294354838709686E-9</v>
      </c>
      <c r="W43" s="780"/>
      <c r="X43" s="782">
        <v>39</v>
      </c>
      <c r="Y43" s="782" t="s">
        <v>2248</v>
      </c>
      <c r="Z43" s="782" t="s">
        <v>3839</v>
      </c>
      <c r="AA43" s="781">
        <f>$S$1*P!AA43</f>
        <v>7.8830645161290329E-8</v>
      </c>
      <c r="AB43" s="780"/>
      <c r="AC43" s="782">
        <v>39</v>
      </c>
      <c r="AD43" s="782" t="s">
        <v>4573</v>
      </c>
      <c r="AE43" s="782" t="s">
        <v>3839</v>
      </c>
      <c r="AF43" s="781">
        <f>$S$1*P!AF43</f>
        <v>3.4592000000000004E-3</v>
      </c>
      <c r="AN43" s="737">
        <v>40</v>
      </c>
      <c r="AO43" s="816" t="s">
        <v>7884</v>
      </c>
      <c r="AP43" s="828">
        <v>0.14000000000000001</v>
      </c>
      <c r="AQ43" s="795">
        <f>$S$1*P!AQ43</f>
        <v>1.099792E-2</v>
      </c>
    </row>
    <row r="44" spans="1:43" ht="37.5" customHeight="1" thickBot="1" x14ac:dyDescent="0.4">
      <c r="F44" s="737"/>
      <c r="I44" s="829">
        <v>16</v>
      </c>
      <c r="J44" s="830" t="s">
        <v>5857</v>
      </c>
      <c r="K44" s="831">
        <f>$S$1*P!K44</f>
        <v>0</v>
      </c>
      <c r="S44" s="782">
        <v>40</v>
      </c>
      <c r="T44" s="782" t="s">
        <v>4284</v>
      </c>
      <c r="U44" s="782" t="s">
        <v>5775</v>
      </c>
      <c r="V44" s="797">
        <f>$S$1*P!V44</f>
        <v>8.5685483870967752E-5</v>
      </c>
      <c r="W44" s="780"/>
      <c r="X44" s="782">
        <v>40</v>
      </c>
      <c r="Y44" s="782" t="s">
        <v>2248</v>
      </c>
      <c r="Z44" s="782" t="s">
        <v>5767</v>
      </c>
      <c r="AA44" s="781">
        <f>$S$1*P!AA44</f>
        <v>7.848790322580645E-8</v>
      </c>
      <c r="AB44" s="780"/>
      <c r="AC44" s="782">
        <v>40</v>
      </c>
      <c r="AD44" s="782" t="s">
        <v>4573</v>
      </c>
      <c r="AE44" s="782" t="s">
        <v>5767</v>
      </c>
      <c r="AF44" s="781">
        <f>$S$1*P!AF44</f>
        <v>5.4838709677419359E-4</v>
      </c>
      <c r="AN44" s="737">
        <v>41</v>
      </c>
      <c r="AO44" s="816" t="s">
        <v>7885</v>
      </c>
      <c r="AP44" s="828">
        <v>0.28999999999999998</v>
      </c>
      <c r="AQ44" s="795">
        <f>$S$1*P!AQ44</f>
        <v>5.4794400000000004E-3</v>
      </c>
    </row>
    <row r="45" spans="1:43" ht="39" customHeight="1" thickBot="1" x14ac:dyDescent="0.4">
      <c r="A45" s="832"/>
      <c r="B45" s="1722" t="s">
        <v>6991</v>
      </c>
      <c r="C45" s="1723"/>
      <c r="D45" s="1724"/>
      <c r="F45" s="1717" t="s">
        <v>8613</v>
      </c>
      <c r="G45" s="1718"/>
      <c r="H45" s="1718"/>
      <c r="I45" s="1719"/>
      <c r="K45" s="1717" t="s">
        <v>8279</v>
      </c>
      <c r="L45" s="1718"/>
      <c r="M45" s="1718"/>
      <c r="N45" s="1719"/>
      <c r="S45" s="782">
        <v>41</v>
      </c>
      <c r="T45" s="782" t="s">
        <v>4284</v>
      </c>
      <c r="U45" s="782" t="s">
        <v>5774</v>
      </c>
      <c r="V45" s="797">
        <f>$S$1*P!V45</f>
        <v>6.2379032258064526E-5</v>
      </c>
      <c r="W45" s="780"/>
      <c r="X45" s="782">
        <v>41</v>
      </c>
      <c r="Y45" s="782" t="s">
        <v>2248</v>
      </c>
      <c r="Z45" s="782" t="s">
        <v>5766</v>
      </c>
      <c r="AA45" s="781">
        <f>$S$1*P!AA45</f>
        <v>8.1229838709677425E-10</v>
      </c>
      <c r="AB45" s="780"/>
      <c r="AC45" s="782">
        <v>41</v>
      </c>
      <c r="AD45" s="782" t="s">
        <v>4573</v>
      </c>
      <c r="AE45" s="782" t="s">
        <v>5766</v>
      </c>
      <c r="AF45" s="781">
        <f>$S$1*P!AF45</f>
        <v>9.0826612903225826E-6</v>
      </c>
      <c r="AN45" s="737">
        <v>42</v>
      </c>
      <c r="AO45" s="816"/>
      <c r="AP45" s="800"/>
      <c r="AQ45" s="833"/>
    </row>
    <row r="46" spans="1:43" ht="90" customHeight="1" thickBot="1" x14ac:dyDescent="0.4">
      <c r="A46" s="834"/>
      <c r="B46" s="835" t="s">
        <v>112</v>
      </c>
      <c r="C46" s="836" t="s">
        <v>8385</v>
      </c>
      <c r="D46" s="837" t="s">
        <v>8386</v>
      </c>
      <c r="F46" s="838" t="s">
        <v>82</v>
      </c>
      <c r="G46" s="839" t="s">
        <v>2159</v>
      </c>
      <c r="H46" s="840" t="s">
        <v>8225</v>
      </c>
      <c r="I46" s="840" t="s">
        <v>78</v>
      </c>
      <c r="K46" s="838" t="s">
        <v>82</v>
      </c>
      <c r="L46" s="839" t="s">
        <v>2159</v>
      </c>
      <c r="M46" s="840" t="s">
        <v>8225</v>
      </c>
      <c r="N46" s="840" t="s">
        <v>78</v>
      </c>
      <c r="S46" s="782">
        <v>42</v>
      </c>
      <c r="T46" s="782" t="s">
        <v>4284</v>
      </c>
      <c r="U46" s="782" t="s">
        <v>5773</v>
      </c>
      <c r="V46" s="797">
        <f>$S$1*P!V46</f>
        <v>2.1901209677419356E-6</v>
      </c>
      <c r="W46" s="780"/>
      <c r="X46" s="782">
        <v>42</v>
      </c>
      <c r="Y46" s="782" t="s">
        <v>2248</v>
      </c>
      <c r="Z46" s="782" t="s">
        <v>5765</v>
      </c>
      <c r="AA46" s="781">
        <f>$S$1*P!AA46</f>
        <v>4.25E-6</v>
      </c>
      <c r="AB46" s="780"/>
      <c r="AC46" s="782">
        <v>42</v>
      </c>
      <c r="AD46" s="782" t="s">
        <v>4573</v>
      </c>
      <c r="AE46" s="782" t="s">
        <v>5765</v>
      </c>
      <c r="AF46" s="781">
        <f>$S$1*P!AF46</f>
        <v>4.7641129032258069E-2</v>
      </c>
      <c r="AN46" s="737">
        <v>43</v>
      </c>
      <c r="AO46" s="841" t="s">
        <v>7886</v>
      </c>
      <c r="AP46" s="842">
        <v>67</v>
      </c>
      <c r="AQ46" s="795">
        <f>$S$1*P!AQ46</f>
        <v>3.9363180000000005E-2</v>
      </c>
    </row>
    <row r="47" spans="1:43" ht="25.5" thickBot="1" x14ac:dyDescent="0.4">
      <c r="A47" s="843">
        <v>1</v>
      </c>
      <c r="B47" s="844" t="s">
        <v>7458</v>
      </c>
      <c r="C47" s="845">
        <v>0</v>
      </c>
      <c r="D47" s="845" t="s">
        <v>6926</v>
      </c>
      <c r="F47" s="846">
        <v>1</v>
      </c>
      <c r="G47" s="847">
        <v>1</v>
      </c>
      <c r="H47" s="1890">
        <v>0</v>
      </c>
      <c r="I47" s="848">
        <f>H47*LOOKUP(G47,'Idemat Data'!$G$4:$G$1123,'Idemat Data'!$O$4:$O$1123)</f>
        <v>0</v>
      </c>
      <c r="J47" s="804"/>
      <c r="K47" s="846">
        <v>1</v>
      </c>
      <c r="L47" s="847">
        <v>1</v>
      </c>
      <c r="M47" s="1891">
        <v>0</v>
      </c>
      <c r="N47" s="847">
        <f>M47*LOOKUP(L47,'Idemat Data'!$G$4:$G$1123,'Idemat Data'!$O$4:$O$1123)</f>
        <v>0</v>
      </c>
      <c r="S47" s="782">
        <v>43</v>
      </c>
      <c r="T47" s="782" t="s">
        <v>4284</v>
      </c>
      <c r="U47" s="782" t="s">
        <v>3840</v>
      </c>
      <c r="V47" s="797">
        <f>$S$1*P!V47</f>
        <v>0</v>
      </c>
      <c r="W47" s="780"/>
      <c r="X47" s="782">
        <v>43</v>
      </c>
      <c r="Y47" s="782" t="s">
        <v>2248</v>
      </c>
      <c r="Z47" s="782" t="s">
        <v>5764</v>
      </c>
      <c r="AA47" s="781">
        <f>$S$1*P!AA47</f>
        <v>2.5294354838709683E-9</v>
      </c>
      <c r="AB47" s="780"/>
      <c r="AC47" s="782">
        <v>43</v>
      </c>
      <c r="AD47" s="782" t="s">
        <v>4573</v>
      </c>
      <c r="AE47" s="782" t="s">
        <v>5764</v>
      </c>
      <c r="AF47" s="781">
        <f>$S$1*P!AF47</f>
        <v>7.3004032258064514E-5</v>
      </c>
      <c r="AN47" s="737">
        <v>44</v>
      </c>
      <c r="AO47" s="841" t="s">
        <v>7887</v>
      </c>
      <c r="AP47" s="800">
        <v>124</v>
      </c>
      <c r="AQ47" s="795">
        <f>$S$1*P!AQ47</f>
        <v>2.7238760000000001E-2</v>
      </c>
    </row>
    <row r="48" spans="1:43" ht="25.5" thickBot="1" x14ac:dyDescent="0.4">
      <c r="A48" s="849">
        <v>2</v>
      </c>
      <c r="B48" s="850" t="s">
        <v>6994</v>
      </c>
      <c r="C48" s="851">
        <f>$S$1*P!C48</f>
        <v>0.21731324533779911</v>
      </c>
      <c r="D48" s="852">
        <f>$S$1*P!D48</f>
        <v>0.26077589440535892</v>
      </c>
      <c r="F48" s="846">
        <v>2</v>
      </c>
      <c r="G48" s="847">
        <v>1</v>
      </c>
      <c r="H48" s="1890">
        <v>0</v>
      </c>
      <c r="I48" s="848">
        <f>H48*LOOKUP(G48,'Idemat Data'!$G$4:$G$1123,'Idemat Data'!$K$4:$K$1123)</f>
        <v>0</v>
      </c>
      <c r="K48" s="846">
        <v>2</v>
      </c>
      <c r="L48" s="847">
        <v>1</v>
      </c>
      <c r="M48" s="1891">
        <v>0</v>
      </c>
      <c r="N48" s="847">
        <f>M48*LOOKUP(L48,'Idemat Data'!$G$4:$G$1123,'Idemat Data'!$K$4:$K$1123)</f>
        <v>0</v>
      </c>
      <c r="S48" s="782">
        <v>44</v>
      </c>
      <c r="T48" s="782" t="s">
        <v>4284</v>
      </c>
      <c r="U48" s="782" t="s">
        <v>5771</v>
      </c>
      <c r="V48" s="797">
        <f>$S$1*P!V48</f>
        <v>1.3915322580645162E-7</v>
      </c>
      <c r="W48" s="780"/>
      <c r="X48" s="782">
        <v>44</v>
      </c>
      <c r="Y48" s="782" t="s">
        <v>2248</v>
      </c>
      <c r="Z48" s="782" t="s">
        <v>3838</v>
      </c>
      <c r="AA48" s="781">
        <f>$S$1*P!AA48</f>
        <v>0.11039999999999998</v>
      </c>
      <c r="AB48" s="780"/>
      <c r="AC48" s="782">
        <v>44</v>
      </c>
      <c r="AD48" s="782" t="s">
        <v>4573</v>
      </c>
      <c r="AE48" s="782" t="s">
        <v>3838</v>
      </c>
      <c r="AF48" s="781">
        <f>$S$1*P!AF48</f>
        <v>0.84639999999999993</v>
      </c>
      <c r="AN48" s="737">
        <v>45</v>
      </c>
      <c r="AO48" s="841" t="s">
        <v>7888</v>
      </c>
      <c r="AP48" s="800">
        <v>327</v>
      </c>
      <c r="AQ48" s="795">
        <f>$S$1*P!AQ48</f>
        <v>2.106562E-2</v>
      </c>
    </row>
    <row r="49" spans="1:41" ht="20.25" customHeight="1" x14ac:dyDescent="0.35">
      <c r="A49" s="853">
        <v>3</v>
      </c>
      <c r="B49" s="854"/>
      <c r="C49" s="855"/>
      <c r="D49" s="856"/>
      <c r="E49" s="804" t="s">
        <v>8697</v>
      </c>
      <c r="F49" s="846">
        <v>3</v>
      </c>
      <c r="G49" s="847">
        <v>1</v>
      </c>
      <c r="H49" s="1890">
        <v>0</v>
      </c>
      <c r="I49" s="848">
        <f>H49*LOOKUP(G49,'Idemat Data'!$G$4:$G$1123,'Idemat Data'!$K$4:$K$1123)</f>
        <v>0</v>
      </c>
      <c r="K49" s="846">
        <v>3</v>
      </c>
      <c r="L49" s="847">
        <v>1</v>
      </c>
      <c r="M49" s="1891">
        <v>0</v>
      </c>
      <c r="N49" s="847">
        <f>M49*LOOKUP(L49,'Idemat Data'!$G$4:$G$1123,'Idemat Data'!$K$4:$K$1123)</f>
        <v>0</v>
      </c>
      <c r="S49" s="782">
        <v>45</v>
      </c>
      <c r="T49" s="782" t="s">
        <v>4284</v>
      </c>
      <c r="U49" s="782" t="s">
        <v>5770</v>
      </c>
      <c r="V49" s="797">
        <f>$S$1*P!V49</f>
        <v>1.2955645161290323E-4</v>
      </c>
      <c r="W49" s="780"/>
      <c r="X49" s="782">
        <v>45</v>
      </c>
      <c r="Y49" s="782" t="s">
        <v>2248</v>
      </c>
      <c r="Z49" s="782" t="s">
        <v>3836</v>
      </c>
      <c r="AA49" s="781">
        <f>$S$1*P!AA49</f>
        <v>1.426E-2</v>
      </c>
      <c r="AB49" s="780"/>
      <c r="AC49" s="782">
        <v>45</v>
      </c>
      <c r="AD49" s="782" t="s">
        <v>4573</v>
      </c>
      <c r="AE49" s="782" t="s">
        <v>3836</v>
      </c>
      <c r="AF49" s="781">
        <f>$S$1*P!AF49</f>
        <v>2.3237903225806454E-2</v>
      </c>
    </row>
    <row r="50" spans="1:41" ht="20.25" customHeight="1" x14ac:dyDescent="0.35">
      <c r="A50" s="849">
        <v>4</v>
      </c>
      <c r="B50" s="854" t="s">
        <v>476</v>
      </c>
      <c r="C50" s="855" t="s">
        <v>6926</v>
      </c>
      <c r="D50" s="856" t="str">
        <f>IF(P!D49="n.a.","n.a.",$S$1*P!D49)</f>
        <v>n.a.</v>
      </c>
      <c r="F50" s="846">
        <v>4</v>
      </c>
      <c r="G50" s="847">
        <v>1</v>
      </c>
      <c r="H50" s="1890">
        <v>0</v>
      </c>
      <c r="I50" s="848">
        <f>H50*LOOKUP(G50,'Idemat Data'!$G$4:$G$1123,'Idemat Data'!$K$4:$K$1123)</f>
        <v>0</v>
      </c>
      <c r="K50" s="846">
        <v>4</v>
      </c>
      <c r="L50" s="847">
        <v>1</v>
      </c>
      <c r="M50" s="1891">
        <v>0</v>
      </c>
      <c r="N50" s="847">
        <f>M50*LOOKUP(L50,'Idemat Data'!$G$4:$G$1123,'Idemat Data'!$K$4:$K$1123)</f>
        <v>0</v>
      </c>
      <c r="S50" s="782">
        <v>46</v>
      </c>
      <c r="T50" s="782" t="s">
        <v>4284</v>
      </c>
      <c r="U50" s="782" t="s">
        <v>5769</v>
      </c>
      <c r="V50" s="797">
        <f>$S$1*P!V50</f>
        <v>5.8951612903225807E-7</v>
      </c>
      <c r="W50" s="780"/>
      <c r="X50" s="782">
        <v>46</v>
      </c>
      <c r="Y50" s="782" t="s">
        <v>2248</v>
      </c>
      <c r="Z50" s="782" t="s">
        <v>3836</v>
      </c>
      <c r="AA50" s="781">
        <f>$S$1*P!AA50</f>
        <v>1.9570564516129033E-3</v>
      </c>
      <c r="AB50" s="780"/>
      <c r="AC50" s="782">
        <v>46</v>
      </c>
      <c r="AD50" s="782" t="s">
        <v>4573</v>
      </c>
      <c r="AE50" s="782" t="s">
        <v>3836</v>
      </c>
      <c r="AF50" s="781">
        <f>$S$1*P!AF50</f>
        <v>0.16652</v>
      </c>
      <c r="AO50" s="783"/>
    </row>
    <row r="51" spans="1:41" ht="20.25" customHeight="1" x14ac:dyDescent="0.35">
      <c r="A51" s="849">
        <v>5</v>
      </c>
      <c r="B51" s="858" t="s">
        <v>477</v>
      </c>
      <c r="C51" s="855">
        <f>$S$1*P!C50</f>
        <v>1.1759004871550001E-3</v>
      </c>
      <c r="D51" s="856">
        <f>IF(P!D50="n.a.","n.a.",$S$1*P!D50)</f>
        <v>1.4110805845859999E-3</v>
      </c>
      <c r="F51" s="846">
        <v>5</v>
      </c>
      <c r="G51" s="847">
        <v>1</v>
      </c>
      <c r="H51" s="1890">
        <v>0</v>
      </c>
      <c r="I51" s="848">
        <f>H51*LOOKUP(G51,'Idemat Data'!$G$4:$G$1123,'Idemat Data'!$K$4:$K$1123)</f>
        <v>0</v>
      </c>
      <c r="K51" s="846">
        <v>5</v>
      </c>
      <c r="L51" s="847">
        <v>1</v>
      </c>
      <c r="M51" s="1891">
        <v>0</v>
      </c>
      <c r="N51" s="847">
        <f>M51*LOOKUP(L51,'Idemat Data'!$G$4:$G$1123,'Idemat Data'!$K$4:$K$1123)</f>
        <v>0</v>
      </c>
      <c r="S51" s="782">
        <v>47</v>
      </c>
      <c r="T51" s="782" t="s">
        <v>4284</v>
      </c>
      <c r="U51" s="782" t="s">
        <v>3839</v>
      </c>
      <c r="V51" s="797">
        <f>$S$1*P!V51</f>
        <v>3.3383064516129034E-6</v>
      </c>
      <c r="W51" s="780"/>
      <c r="X51" s="782">
        <v>47</v>
      </c>
      <c r="Y51" s="782" t="s">
        <v>2248</v>
      </c>
      <c r="Z51" s="782" t="s">
        <v>3835</v>
      </c>
      <c r="AA51" s="781">
        <f>$S$1*P!AA51</f>
        <v>0</v>
      </c>
      <c r="AB51" s="780"/>
      <c r="AC51" s="782">
        <v>47</v>
      </c>
      <c r="AD51" s="782" t="s">
        <v>4573</v>
      </c>
      <c r="AE51" s="782" t="s">
        <v>3835</v>
      </c>
      <c r="AF51" s="781">
        <f>$S$1*P!AF51</f>
        <v>0</v>
      </c>
      <c r="AO51" s="783"/>
    </row>
    <row r="52" spans="1:41" ht="20.25" customHeight="1" x14ac:dyDescent="0.35">
      <c r="A52" s="849">
        <v>6</v>
      </c>
      <c r="B52" s="858" t="s">
        <v>478</v>
      </c>
      <c r="C52" s="855">
        <f>$S$1*P!C51</f>
        <v>8.5323832187944995E-2</v>
      </c>
      <c r="D52" s="856">
        <f>IF(P!D51="n.a.","n.a.",$S$1*P!D51)</f>
        <v>0.102388598625534</v>
      </c>
      <c r="F52" s="846">
        <v>6</v>
      </c>
      <c r="G52" s="847">
        <v>1</v>
      </c>
      <c r="H52" s="1890">
        <v>0</v>
      </c>
      <c r="I52" s="848">
        <f>H52*LOOKUP(G52,'Idemat Data'!$G$4:$G$1123,'Idemat Data'!$K$4:$K$1123)</f>
        <v>0</v>
      </c>
      <c r="K52" s="846">
        <v>6</v>
      </c>
      <c r="L52" s="847">
        <v>1</v>
      </c>
      <c r="M52" s="1891">
        <v>0</v>
      </c>
      <c r="N52" s="847">
        <f>M52*LOOKUP(L52,'Idemat Data'!$G$4:$G$1123,'Idemat Data'!$K$4:$K$1123)</f>
        <v>0</v>
      </c>
      <c r="S52" s="782">
        <v>48</v>
      </c>
      <c r="T52" s="782" t="s">
        <v>4284</v>
      </c>
      <c r="U52" s="782" t="s">
        <v>3839</v>
      </c>
      <c r="V52" s="797">
        <f>$S$1*P!V52</f>
        <v>0.14351999999999998</v>
      </c>
      <c r="W52" s="780"/>
      <c r="X52" s="782">
        <v>48</v>
      </c>
      <c r="Y52" s="782" t="s">
        <v>2248</v>
      </c>
      <c r="Z52" s="782" t="s">
        <v>5763</v>
      </c>
      <c r="AA52" s="781">
        <f>$S$1*P!AA52</f>
        <v>4.1471774193548389E-2</v>
      </c>
      <c r="AB52" s="780"/>
      <c r="AC52" s="782">
        <v>48</v>
      </c>
      <c r="AD52" s="782" t="s">
        <v>4573</v>
      </c>
      <c r="AE52" s="782" t="s">
        <v>5763</v>
      </c>
      <c r="AF52" s="781">
        <f>$S$1*P!AF52</f>
        <v>0.27076612903225811</v>
      </c>
      <c r="AO52" s="783"/>
    </row>
    <row r="53" spans="1:41" ht="20.25" customHeight="1" x14ac:dyDescent="0.35">
      <c r="A53" s="849">
        <v>7</v>
      </c>
      <c r="B53" s="858" t="s">
        <v>479</v>
      </c>
      <c r="C53" s="855">
        <f>$S$1*P!C52</f>
        <v>4.8873408943349997E-3</v>
      </c>
      <c r="D53" s="856">
        <f>IF(P!D52="n.a.","n.a.",$S$1*P!D52)</f>
        <v>5.8648090732019995E-3</v>
      </c>
      <c r="F53" s="846">
        <v>7</v>
      </c>
      <c r="G53" s="847">
        <v>1</v>
      </c>
      <c r="H53" s="1890">
        <v>0</v>
      </c>
      <c r="I53" s="848">
        <f>H53*LOOKUP(G53,'Idemat Data'!$G$4:$G$1123,'Idemat Data'!$K$4:$K$1123)</f>
        <v>0</v>
      </c>
      <c r="K53" s="846">
        <v>7</v>
      </c>
      <c r="L53" s="847">
        <v>1</v>
      </c>
      <c r="M53" s="1891">
        <v>0</v>
      </c>
      <c r="N53" s="847">
        <f>M53*LOOKUP(L53,'Idemat Data'!$G$4:$G$1123,'Idemat Data'!$K$4:$K$1123)</f>
        <v>0</v>
      </c>
      <c r="S53" s="782">
        <v>49</v>
      </c>
      <c r="T53" s="782" t="s">
        <v>4284</v>
      </c>
      <c r="U53" s="782" t="s">
        <v>5767</v>
      </c>
      <c r="V53" s="797">
        <f>$S$1*P!V53</f>
        <v>2.0324596774193548E-6</v>
      </c>
      <c r="W53" s="780"/>
      <c r="X53" s="782">
        <v>49</v>
      </c>
      <c r="Y53" s="782" t="s">
        <v>2248</v>
      </c>
      <c r="Z53" s="782" t="s">
        <v>5762</v>
      </c>
      <c r="AA53" s="781">
        <f>$S$1*P!AA53</f>
        <v>1.1721774193548387E-4</v>
      </c>
      <c r="AB53" s="780"/>
      <c r="AC53" s="782">
        <v>49</v>
      </c>
      <c r="AD53" s="782" t="s">
        <v>4573</v>
      </c>
      <c r="AE53" s="782" t="s">
        <v>5762</v>
      </c>
      <c r="AF53" s="781">
        <f>$S$1*P!AF53</f>
        <v>3.8044354838709681E-2</v>
      </c>
    </row>
    <row r="54" spans="1:41" ht="20.25" customHeight="1" x14ac:dyDescent="0.35">
      <c r="A54" s="849">
        <v>8</v>
      </c>
      <c r="B54" s="858" t="s">
        <v>480</v>
      </c>
      <c r="C54" s="855" t="s">
        <v>6926</v>
      </c>
      <c r="D54" s="856" t="str">
        <f>IF(P!D53="n.a.","n.a.",$S$1*P!D53)</f>
        <v>n.a.</v>
      </c>
      <c r="F54" s="846">
        <v>8</v>
      </c>
      <c r="G54" s="847">
        <v>1</v>
      </c>
      <c r="H54" s="1890">
        <v>0</v>
      </c>
      <c r="I54" s="848">
        <f>H54*LOOKUP(G54,'Idemat Data'!$G$4:$G$1123,'Idemat Data'!$K$4:$K$1123)</f>
        <v>0</v>
      </c>
      <c r="K54" s="846">
        <v>8</v>
      </c>
      <c r="L54" s="847">
        <v>1</v>
      </c>
      <c r="M54" s="1891">
        <v>0</v>
      </c>
      <c r="N54" s="847">
        <f>M54*LOOKUP(L54,'Idemat Data'!$G$4:$G$1123,'Idemat Data'!$K$4:$K$1123)</f>
        <v>0</v>
      </c>
      <c r="S54" s="782">
        <v>50</v>
      </c>
      <c r="T54" s="782" t="s">
        <v>4284</v>
      </c>
      <c r="U54" s="782" t="s">
        <v>5766</v>
      </c>
      <c r="V54" s="797">
        <f>$S$1*P!V54</f>
        <v>3.6673387096774197E-8</v>
      </c>
      <c r="W54" s="780"/>
      <c r="X54" s="782">
        <v>50</v>
      </c>
      <c r="Y54" s="782" t="s">
        <v>2248</v>
      </c>
      <c r="Z54" s="782" t="s">
        <v>5761</v>
      </c>
      <c r="AA54" s="781">
        <f>$S$1*P!AA54</f>
        <v>3.941532258064517E-6</v>
      </c>
      <c r="AB54" s="780"/>
      <c r="AC54" s="782">
        <v>50</v>
      </c>
      <c r="AD54" s="782" t="s">
        <v>4573</v>
      </c>
      <c r="AE54" s="782" t="s">
        <v>5761</v>
      </c>
      <c r="AF54" s="781">
        <f>$S$1*P!AF54</f>
        <v>5.5866935483870977E-4</v>
      </c>
    </row>
    <row r="55" spans="1:41" ht="20.25" customHeight="1" x14ac:dyDescent="0.35">
      <c r="A55" s="849">
        <v>9</v>
      </c>
      <c r="B55" s="858" t="s">
        <v>481</v>
      </c>
      <c r="C55" s="855">
        <f>$S$1*P!C54</f>
        <v>5.3360000091045849E-2</v>
      </c>
      <c r="D55" s="856">
        <f>IF(P!D54="n.a.","n.a.",$S$1*P!D54)</f>
        <v>6.4032000109255013E-2</v>
      </c>
      <c r="F55" s="846">
        <v>9</v>
      </c>
      <c r="G55" s="847">
        <v>1</v>
      </c>
      <c r="H55" s="1890">
        <v>0</v>
      </c>
      <c r="I55" s="848">
        <f>H55*LOOKUP(G55,'Idemat Data'!$G$4:$G$1123,'Idemat Data'!$K$4:$K$1123)</f>
        <v>0</v>
      </c>
      <c r="K55" s="846">
        <v>9</v>
      </c>
      <c r="L55" s="847">
        <v>1</v>
      </c>
      <c r="M55" s="1891">
        <v>0</v>
      </c>
      <c r="N55" s="847">
        <f>M55*LOOKUP(L55,'Idemat Data'!$G$4:$G$1123,'Idemat Data'!$K$4:$K$1123)</f>
        <v>0</v>
      </c>
      <c r="S55" s="782">
        <v>51</v>
      </c>
      <c r="T55" s="782" t="s">
        <v>4284</v>
      </c>
      <c r="U55" s="782" t="s">
        <v>5765</v>
      </c>
      <c r="V55" s="797">
        <f>$S$1*P!V55</f>
        <v>7.1975806451612915E-5</v>
      </c>
      <c r="W55" s="780"/>
      <c r="X55" s="782">
        <v>51</v>
      </c>
      <c r="Y55" s="782" t="s">
        <v>2248</v>
      </c>
      <c r="Z55" s="782" t="s">
        <v>5760</v>
      </c>
      <c r="AA55" s="781">
        <f>$S$1*P!AA55</f>
        <v>1.5389112903225808E-2</v>
      </c>
      <c r="AB55" s="780"/>
      <c r="AC55" s="782">
        <v>51</v>
      </c>
      <c r="AD55" s="782" t="s">
        <v>4573</v>
      </c>
      <c r="AE55" s="782" t="s">
        <v>5760</v>
      </c>
      <c r="AF55" s="781">
        <f>$S$1*P!AF55</f>
        <v>0.18816532258064517</v>
      </c>
    </row>
    <row r="56" spans="1:41" ht="20.25" customHeight="1" x14ac:dyDescent="0.35">
      <c r="A56" s="849">
        <v>10</v>
      </c>
      <c r="B56" s="858" t="s">
        <v>482</v>
      </c>
      <c r="C56" s="855">
        <f>$S$1*P!C55</f>
        <v>2.3992155441793825E-2</v>
      </c>
      <c r="D56" s="856">
        <f>IF(P!D55="n.a.","n.a.",$S$1*P!D55)</f>
        <v>2.8790586530152588E-2</v>
      </c>
      <c r="F56" s="846">
        <v>10</v>
      </c>
      <c r="G56" s="847">
        <v>3</v>
      </c>
      <c r="H56" s="1890">
        <v>0</v>
      </c>
      <c r="I56" s="848">
        <f>H56*LOOKUP(G56,'Idemat Data'!$G$4:$G$1123,'Idemat Data'!$K$4:$K$1123)</f>
        <v>0</v>
      </c>
      <c r="K56" s="846">
        <v>10</v>
      </c>
      <c r="L56" s="847">
        <v>1</v>
      </c>
      <c r="M56" s="1891">
        <v>0</v>
      </c>
      <c r="N56" s="847">
        <f>M56*LOOKUP(L56,'Idemat Data'!$G$4:$G$1123,'Idemat Data'!$K$4:$K$1123)</f>
        <v>0</v>
      </c>
      <c r="S56" s="782">
        <v>52</v>
      </c>
      <c r="T56" s="782" t="s">
        <v>4284</v>
      </c>
      <c r="U56" s="782" t="s">
        <v>5764</v>
      </c>
      <c r="V56" s="797">
        <f>$S$1*P!V56</f>
        <v>1.0727822580645162E-7</v>
      </c>
      <c r="W56" s="780"/>
      <c r="X56" s="782">
        <v>52</v>
      </c>
      <c r="Y56" s="782" t="s">
        <v>2248</v>
      </c>
      <c r="Z56" s="782" t="s">
        <v>5759</v>
      </c>
      <c r="AA56" s="781">
        <f>$S$1*P!AA56</f>
        <v>2.4780241935483876E-4</v>
      </c>
      <c r="AB56" s="780"/>
      <c r="AC56" s="782">
        <v>52</v>
      </c>
      <c r="AD56" s="782" t="s">
        <v>4573</v>
      </c>
      <c r="AE56" s="782" t="s">
        <v>5759</v>
      </c>
      <c r="AF56" s="781">
        <f>$S$1*P!AF56</f>
        <v>1.0419354838709679E-2</v>
      </c>
    </row>
    <row r="57" spans="1:41" ht="20.25" customHeight="1" x14ac:dyDescent="0.35">
      <c r="A57" s="849">
        <v>11</v>
      </c>
      <c r="B57" s="858" t="s">
        <v>483</v>
      </c>
      <c r="C57" s="855">
        <f>$S$1*P!C56</f>
        <v>0.12539189559588498</v>
      </c>
      <c r="D57" s="856">
        <f>IF(P!D56="n.a.","n.a.",$S$1*P!D56)</f>
        <v>0.15047027471506197</v>
      </c>
      <c r="F57" s="846">
        <v>11</v>
      </c>
      <c r="G57" s="847">
        <v>1</v>
      </c>
      <c r="H57" s="1890">
        <v>0</v>
      </c>
      <c r="I57" s="848">
        <f>H57*LOOKUP(G57,'Idemat Data'!$G$4:$G$1123,'Idemat Data'!$K$4:$K$1123)</f>
        <v>0</v>
      </c>
      <c r="K57" s="846">
        <v>11</v>
      </c>
      <c r="L57" s="847">
        <v>1</v>
      </c>
      <c r="M57" s="1891">
        <v>0</v>
      </c>
      <c r="N57" s="847">
        <f>M57*LOOKUP(L57,'Idemat Data'!$G$4:$G$1123,'Idemat Data'!$K$4:$K$1123)</f>
        <v>0</v>
      </c>
      <c r="S57" s="782">
        <v>53</v>
      </c>
      <c r="T57" s="782" t="s">
        <v>4284</v>
      </c>
      <c r="U57" s="782" t="s">
        <v>3838</v>
      </c>
      <c r="V57" s="797">
        <f>$S$1*P!V57</f>
        <v>0.27232000000000001</v>
      </c>
      <c r="W57" s="780"/>
      <c r="X57" s="782">
        <v>53</v>
      </c>
      <c r="Y57" s="782" t="s">
        <v>2248</v>
      </c>
      <c r="Z57" s="782" t="s">
        <v>5758</v>
      </c>
      <c r="AA57" s="781">
        <f>$S$1*P!AA57</f>
        <v>2.6836693548387097E-3</v>
      </c>
      <c r="AB57" s="780"/>
      <c r="AC57" s="782">
        <v>53</v>
      </c>
      <c r="AD57" s="782" t="s">
        <v>4573</v>
      </c>
      <c r="AE57" s="782" t="s">
        <v>5758</v>
      </c>
      <c r="AF57" s="781">
        <f>$S$1*P!AF57</f>
        <v>5.4838709677419356E-2</v>
      </c>
    </row>
    <row r="58" spans="1:41" ht="20.25" customHeight="1" x14ac:dyDescent="0.35">
      <c r="A58" s="849">
        <v>12</v>
      </c>
      <c r="B58" s="854" t="s">
        <v>484</v>
      </c>
      <c r="C58" s="855">
        <f>$S$1*P!C57</f>
        <v>2.1892689504035001E-2</v>
      </c>
      <c r="D58" s="856">
        <f>IF(P!D57="n.a.","n.a.",$S$1*P!D57)</f>
        <v>2.6271227404842001E-2</v>
      </c>
      <c r="F58" s="846">
        <v>12</v>
      </c>
      <c r="G58" s="847">
        <v>1</v>
      </c>
      <c r="H58" s="1890">
        <v>0</v>
      </c>
      <c r="I58" s="848">
        <f>H58*LOOKUP(G58,'Idemat Data'!$G$4:$G$1123,'Idemat Data'!$K$4:$K$1123)</f>
        <v>0</v>
      </c>
      <c r="K58" s="846">
        <v>12</v>
      </c>
      <c r="L58" s="847">
        <v>1</v>
      </c>
      <c r="M58" s="1891">
        <v>0</v>
      </c>
      <c r="N58" s="847">
        <f>M58*LOOKUP(L58,'Idemat Data'!$G$4:$G$1123,'Idemat Data'!$K$4:$K$1123)</f>
        <v>0</v>
      </c>
      <c r="S58" s="782">
        <v>54</v>
      </c>
      <c r="T58" s="782" t="s">
        <v>4284</v>
      </c>
      <c r="U58" s="782" t="s">
        <v>3836</v>
      </c>
      <c r="V58" s="797">
        <f>$S$1*P!V58</f>
        <v>3.4959677419354839E-4</v>
      </c>
      <c r="W58" s="780"/>
      <c r="X58" s="782">
        <v>54</v>
      </c>
      <c r="Y58" s="782" t="s">
        <v>2248</v>
      </c>
      <c r="Z58" s="782" t="s">
        <v>5757</v>
      </c>
      <c r="AA58" s="781">
        <f>$S$1*P!AA58</f>
        <v>9.1512096774193558E-4</v>
      </c>
      <c r="AB58" s="780"/>
      <c r="AC58" s="782">
        <v>54</v>
      </c>
      <c r="AD58" s="782" t="s">
        <v>4573</v>
      </c>
      <c r="AE58" s="782" t="s">
        <v>5757</v>
      </c>
      <c r="AF58" s="781">
        <f>$S$1*P!AF58</f>
        <v>3.838709677419355E-3</v>
      </c>
    </row>
    <row r="59" spans="1:41" ht="20.25" customHeight="1" x14ac:dyDescent="0.35">
      <c r="A59" s="849">
        <v>13</v>
      </c>
      <c r="B59" s="854" t="s">
        <v>485</v>
      </c>
      <c r="C59" s="855">
        <f>$S$1*P!C58</f>
        <v>5.0343170597960001E-2</v>
      </c>
      <c r="D59" s="856">
        <f>IF(P!D58="n.a.","n.a.",$S$1*P!D58)</f>
        <v>6.0411804717551996E-2</v>
      </c>
      <c r="F59" s="846">
        <v>13</v>
      </c>
      <c r="G59" s="847">
        <v>1</v>
      </c>
      <c r="H59" s="1890">
        <v>0</v>
      </c>
      <c r="I59" s="848">
        <f>H59*LOOKUP(G59,'Idemat Data'!$G$4:$G$1123,'Idemat Data'!$K$4:$K$1123)</f>
        <v>0</v>
      </c>
      <c r="K59" s="846">
        <v>13</v>
      </c>
      <c r="L59" s="847">
        <v>1</v>
      </c>
      <c r="M59" s="1891">
        <v>0</v>
      </c>
      <c r="N59" s="847">
        <f>M59*LOOKUP(L59,'Idemat Data'!$G$4:$G$1123,'Idemat Data'!$K$4:$K$1123)</f>
        <v>0</v>
      </c>
      <c r="S59" s="782">
        <v>55</v>
      </c>
      <c r="T59" s="782" t="s">
        <v>4284</v>
      </c>
      <c r="U59" s="782" t="s">
        <v>3836</v>
      </c>
      <c r="V59" s="797">
        <f>$S$1*P!V59</f>
        <v>6.7895999999999998E-2</v>
      </c>
      <c r="W59" s="780"/>
      <c r="X59" s="782">
        <v>55</v>
      </c>
      <c r="Y59" s="782" t="s">
        <v>2248</v>
      </c>
      <c r="Z59" s="782" t="s">
        <v>5756</v>
      </c>
      <c r="AA59" s="781">
        <f>$S$1*P!AA59</f>
        <v>1.5149193548387097E-4</v>
      </c>
      <c r="AB59" s="780"/>
      <c r="AC59" s="782">
        <v>55</v>
      </c>
      <c r="AD59" s="782" t="s">
        <v>4573</v>
      </c>
      <c r="AE59" s="782" t="s">
        <v>5756</v>
      </c>
      <c r="AF59" s="781">
        <f>$S$1*P!AF59</f>
        <v>3.5302419354838716E-2</v>
      </c>
    </row>
    <row r="60" spans="1:41" ht="20.25" customHeight="1" x14ac:dyDescent="0.35">
      <c r="A60" s="849">
        <v>14</v>
      </c>
      <c r="B60" s="854" t="s">
        <v>486</v>
      </c>
      <c r="C60" s="855" t="s">
        <v>6926</v>
      </c>
      <c r="D60" s="856" t="str">
        <f>IF(P!D59="n.a.","n.a.",$S$1*P!D59)</f>
        <v>n.a.</v>
      </c>
      <c r="F60" s="846">
        <v>14</v>
      </c>
      <c r="G60" s="847">
        <v>1</v>
      </c>
      <c r="H60" s="1890">
        <v>0</v>
      </c>
      <c r="I60" s="848">
        <f>H60*LOOKUP(G60,'Idemat Data'!$G$4:$G$1123,'Idemat Data'!$K$4:$K$1123)</f>
        <v>0</v>
      </c>
      <c r="K60" s="846">
        <v>14</v>
      </c>
      <c r="L60" s="847">
        <v>1</v>
      </c>
      <c r="M60" s="1891">
        <v>0</v>
      </c>
      <c r="N60" s="847">
        <f>M60*LOOKUP(L60,'Idemat Data'!$G$4:$G$1123,'Idemat Data'!$K$4:$K$1123)</f>
        <v>0</v>
      </c>
      <c r="S60" s="782">
        <v>56</v>
      </c>
      <c r="T60" s="782" t="s">
        <v>4284</v>
      </c>
      <c r="U60" s="782" t="s">
        <v>3835</v>
      </c>
      <c r="V60" s="797">
        <f>$S$1*P!V60</f>
        <v>0</v>
      </c>
      <c r="W60" s="780"/>
      <c r="X60" s="782">
        <v>56</v>
      </c>
      <c r="Y60" s="782" t="s">
        <v>2248</v>
      </c>
      <c r="Z60" s="782" t="s">
        <v>5755</v>
      </c>
      <c r="AA60" s="781">
        <f>$S$1*P!AA60</f>
        <v>2.0804435483870971E-2</v>
      </c>
      <c r="AB60" s="780"/>
      <c r="AC60" s="782">
        <v>56</v>
      </c>
      <c r="AD60" s="782" t="s">
        <v>4573</v>
      </c>
      <c r="AE60" s="782" t="s">
        <v>5755</v>
      </c>
      <c r="AF60" s="781">
        <f>$S$1*P!AF60</f>
        <v>5.4495967741935492E-2</v>
      </c>
    </row>
    <row r="61" spans="1:41" ht="20.25" customHeight="1" x14ac:dyDescent="0.35">
      <c r="A61" s="849">
        <v>15</v>
      </c>
      <c r="B61" s="858" t="s">
        <v>487</v>
      </c>
      <c r="C61" s="855">
        <f>$S$1*P!C60</f>
        <v>9.3361942748835011E-2</v>
      </c>
      <c r="D61" s="856">
        <f>IF(P!D60="n.a.","n.a.",$S$1*P!D60)</f>
        <v>0.11203433129860201</v>
      </c>
      <c r="F61" s="846">
        <v>15</v>
      </c>
      <c r="G61" s="847">
        <v>1</v>
      </c>
      <c r="H61" s="1890">
        <v>0</v>
      </c>
      <c r="I61" s="848">
        <f>H61*LOOKUP(G61,'Idemat Data'!$G$4:$G$1123,'Idemat Data'!$K$4:$K$1123)</f>
        <v>0</v>
      </c>
      <c r="K61" s="846">
        <v>15</v>
      </c>
      <c r="L61" s="847">
        <v>1</v>
      </c>
      <c r="M61" s="1891">
        <v>0</v>
      </c>
      <c r="N61" s="847">
        <f>M61*LOOKUP(L61,'Idemat Data'!$G$4:$G$1123,'Idemat Data'!$K$4:$K$1123)</f>
        <v>0</v>
      </c>
      <c r="S61" s="782">
        <v>57</v>
      </c>
      <c r="T61" s="782" t="s">
        <v>4284</v>
      </c>
      <c r="U61" s="782" t="s">
        <v>5763</v>
      </c>
      <c r="V61" s="797">
        <f>$S$1*P!V61</f>
        <v>1.6314516129032258E-2</v>
      </c>
      <c r="W61" s="780"/>
      <c r="X61" s="782">
        <v>57</v>
      </c>
      <c r="Y61" s="782" t="s">
        <v>2248</v>
      </c>
      <c r="Z61" s="782" t="s">
        <v>5754</v>
      </c>
      <c r="AA61" s="781">
        <f>$S$1*P!AA61</f>
        <v>1.2133064516129033E-3</v>
      </c>
      <c r="AB61" s="780"/>
      <c r="AC61" s="782">
        <v>57</v>
      </c>
      <c r="AD61" s="782" t="s">
        <v>4573</v>
      </c>
      <c r="AE61" s="782" t="s">
        <v>5754</v>
      </c>
      <c r="AF61" s="781">
        <f>$S$1*P!AF61</f>
        <v>3.3897177419354843E-2</v>
      </c>
    </row>
    <row r="62" spans="1:41" ht="20.25" customHeight="1" x14ac:dyDescent="0.35">
      <c r="A62" s="849">
        <v>16</v>
      </c>
      <c r="B62" s="858" t="s">
        <v>488</v>
      </c>
      <c r="C62" s="855">
        <f>$S$1*P!C61</f>
        <v>8.1876348020835002E-2</v>
      </c>
      <c r="D62" s="856">
        <f>IF(P!D61="n.a.","n.a.",$S$1*P!D61)</f>
        <v>9.8251617625001994E-2</v>
      </c>
      <c r="F62" s="846">
        <v>16</v>
      </c>
      <c r="G62" s="847">
        <v>1</v>
      </c>
      <c r="H62" s="1890">
        <v>0</v>
      </c>
      <c r="I62" s="848">
        <f>H62*LOOKUP(G62,'Idemat Data'!$G$4:$G$1123,'Idemat Data'!$K$4:$K$1123)</f>
        <v>0</v>
      </c>
      <c r="K62" s="846">
        <v>16</v>
      </c>
      <c r="L62" s="847">
        <v>1</v>
      </c>
      <c r="M62" s="1891">
        <v>0</v>
      </c>
      <c r="N62" s="847">
        <f>M62*LOOKUP(L62,'Idemat Data'!$G$4:$G$1123,'Idemat Data'!$K$4:$K$1123)</f>
        <v>0</v>
      </c>
      <c r="S62" s="782">
        <v>58</v>
      </c>
      <c r="T62" s="782" t="s">
        <v>4284</v>
      </c>
      <c r="U62" s="782" t="s">
        <v>5762</v>
      </c>
      <c r="V62" s="797">
        <f>$S$1*P!V62</f>
        <v>3.7016129032258068E-4</v>
      </c>
      <c r="W62" s="780"/>
      <c r="X62" s="782">
        <v>58</v>
      </c>
      <c r="Y62" s="782" t="s">
        <v>2248</v>
      </c>
      <c r="Z62" s="782" t="s">
        <v>5753</v>
      </c>
      <c r="AA62" s="781">
        <f>$S$1*P!AA62</f>
        <v>2.7247983870967744E-3</v>
      </c>
      <c r="AB62" s="780"/>
      <c r="AC62" s="782">
        <v>58</v>
      </c>
      <c r="AD62" s="782" t="s">
        <v>4573</v>
      </c>
      <c r="AE62" s="782" t="s">
        <v>5753</v>
      </c>
      <c r="AF62" s="781">
        <f>$S$1*P!AF62</f>
        <v>4.8669354838709683E-2</v>
      </c>
    </row>
    <row r="63" spans="1:41" ht="20.25" customHeight="1" x14ac:dyDescent="0.35">
      <c r="A63" s="849">
        <v>17</v>
      </c>
      <c r="B63" s="858" t="s">
        <v>489</v>
      </c>
      <c r="C63" s="855" t="s">
        <v>6926</v>
      </c>
      <c r="D63" s="856" t="str">
        <f>IF(P!D62="n.a.","n.a.",$S$1*P!D62)</f>
        <v>n.a.</v>
      </c>
      <c r="F63" s="846">
        <v>17</v>
      </c>
      <c r="G63" s="847">
        <v>1</v>
      </c>
      <c r="H63" s="1890">
        <v>0</v>
      </c>
      <c r="I63" s="848">
        <f>H63*LOOKUP(G63,'Idemat Data'!$G$4:$G$1123,'Idemat Data'!$K$4:$K$1123)</f>
        <v>0</v>
      </c>
      <c r="K63" s="846">
        <v>17</v>
      </c>
      <c r="L63" s="847">
        <v>1</v>
      </c>
      <c r="M63" s="1891">
        <v>0</v>
      </c>
      <c r="N63" s="847">
        <f>M63*LOOKUP(L63,'Idemat Data'!$G$4:$G$1123,'Idemat Data'!$K$4:$K$1123)</f>
        <v>0</v>
      </c>
      <c r="S63" s="782">
        <v>59</v>
      </c>
      <c r="T63" s="782" t="s">
        <v>4284</v>
      </c>
      <c r="U63" s="782" t="s">
        <v>5761</v>
      </c>
      <c r="V63" s="797">
        <f>$S$1*P!V63</f>
        <v>7.1290322580645166E-6</v>
      </c>
      <c r="W63" s="780"/>
      <c r="X63" s="782">
        <v>59</v>
      </c>
      <c r="Y63" s="782" t="s">
        <v>2248</v>
      </c>
      <c r="Z63" s="782" t="s">
        <v>5752</v>
      </c>
      <c r="AA63" s="781">
        <f>$S$1*P!AA63</f>
        <v>3.0058467741935488E-5</v>
      </c>
      <c r="AB63" s="780"/>
      <c r="AC63" s="782">
        <v>59</v>
      </c>
      <c r="AD63" s="782" t="s">
        <v>4573</v>
      </c>
      <c r="AE63" s="782" t="s">
        <v>5752</v>
      </c>
      <c r="AF63" s="781">
        <f>$S$1*P!AF63</f>
        <v>6.3750000000000001E-2</v>
      </c>
    </row>
    <row r="64" spans="1:41" ht="20.25" customHeight="1" x14ac:dyDescent="0.35">
      <c r="A64" s="849">
        <v>18</v>
      </c>
      <c r="B64" s="858" t="s">
        <v>490</v>
      </c>
      <c r="C64" s="855">
        <f>$S$1*P!C63</f>
        <v>7.8473983381805001E-2</v>
      </c>
      <c r="D64" s="856">
        <f>IF(P!D63="n.a.","n.a.",$S$1*P!D63)</f>
        <v>9.4168780058165993E-2</v>
      </c>
      <c r="F64" s="846">
        <v>18</v>
      </c>
      <c r="G64" s="847">
        <v>1</v>
      </c>
      <c r="H64" s="1890">
        <v>0</v>
      </c>
      <c r="I64" s="848">
        <f>H64*LOOKUP(G64,'Idemat Data'!$G$4:$G$1123,'Idemat Data'!$K$4:$K$1123)</f>
        <v>0</v>
      </c>
      <c r="K64" s="846">
        <v>18</v>
      </c>
      <c r="L64" s="847">
        <v>1</v>
      </c>
      <c r="M64" s="1891">
        <v>0</v>
      </c>
      <c r="N64" s="847">
        <f>M64*LOOKUP(L64,'Idemat Data'!$G$4:$G$1123,'Idemat Data'!$K$4:$K$1123)</f>
        <v>0</v>
      </c>
      <c r="S64" s="782">
        <v>60</v>
      </c>
      <c r="T64" s="782" t="s">
        <v>4284</v>
      </c>
      <c r="U64" s="782" t="s">
        <v>5760</v>
      </c>
      <c r="V64" s="797">
        <f>$S$1*P!V64</f>
        <v>7.3346774193548394E-3</v>
      </c>
      <c r="W64" s="780"/>
      <c r="X64" s="782">
        <v>60</v>
      </c>
      <c r="Y64" s="782" t="s">
        <v>2248</v>
      </c>
      <c r="Z64" s="782" t="s">
        <v>5751</v>
      </c>
      <c r="AA64" s="781">
        <f>$S$1*P!AA64</f>
        <v>1.3778225806451615E-5</v>
      </c>
      <c r="AB64" s="780"/>
      <c r="AC64" s="782">
        <v>60</v>
      </c>
      <c r="AD64" s="782" t="s">
        <v>4573</v>
      </c>
      <c r="AE64" s="782" t="s">
        <v>5751</v>
      </c>
      <c r="AF64" s="781">
        <f>$S$1*P!AF64</f>
        <v>2.9167338709677422E-2</v>
      </c>
    </row>
    <row r="65" spans="1:32" ht="20.25" customHeight="1" x14ac:dyDescent="0.35">
      <c r="A65" s="849">
        <v>19</v>
      </c>
      <c r="B65" s="858" t="s">
        <v>459</v>
      </c>
      <c r="C65" s="855">
        <f>$S$1*P!C64</f>
        <v>5.6793427656135438E-2</v>
      </c>
      <c r="D65" s="856">
        <f>IF(P!D64="n.a.","n.a.",$S$1*P!D64)</f>
        <v>6.8152113187362529E-2</v>
      </c>
      <c r="F65" s="846">
        <v>19</v>
      </c>
      <c r="G65" s="847">
        <v>1</v>
      </c>
      <c r="H65" s="1890">
        <v>0</v>
      </c>
      <c r="I65" s="848">
        <f>H65*LOOKUP(G65,'Idemat Data'!$G$4:$G$1123,'Idemat Data'!$K$4:$K$1123)</f>
        <v>0</v>
      </c>
      <c r="K65" s="846">
        <v>19</v>
      </c>
      <c r="L65" s="847">
        <v>1</v>
      </c>
      <c r="M65" s="1891">
        <v>0</v>
      </c>
      <c r="N65" s="847">
        <f>M65*LOOKUP(L65,'Idemat Data'!$G$4:$G$1123,'Idemat Data'!$K$4:$K$1123)</f>
        <v>0</v>
      </c>
      <c r="S65" s="782">
        <v>61</v>
      </c>
      <c r="T65" s="782" t="s">
        <v>4284</v>
      </c>
      <c r="U65" s="782" t="s">
        <v>5759</v>
      </c>
      <c r="V65" s="797">
        <f>$S$1*P!V65</f>
        <v>3.5645161290322585E-5</v>
      </c>
      <c r="W65" s="780"/>
      <c r="X65" s="782">
        <v>61</v>
      </c>
      <c r="Y65" s="782" t="s">
        <v>2248</v>
      </c>
      <c r="Z65" s="782" t="s">
        <v>5750</v>
      </c>
      <c r="AA65" s="781">
        <f>$S$1*P!AA65</f>
        <v>1.3469758064516131E-5</v>
      </c>
      <c r="AB65" s="780"/>
      <c r="AC65" s="782">
        <v>61</v>
      </c>
      <c r="AD65" s="782" t="s">
        <v>4573</v>
      </c>
      <c r="AE65" s="782" t="s">
        <v>5750</v>
      </c>
      <c r="AF65" s="781">
        <f>$S$1*P!AF65</f>
        <v>2.8516129032258065E-2</v>
      </c>
    </row>
    <row r="66" spans="1:32" ht="20.25" customHeight="1" x14ac:dyDescent="0.35">
      <c r="A66" s="849">
        <v>20</v>
      </c>
      <c r="B66" s="854" t="s">
        <v>491</v>
      </c>
      <c r="C66" s="855" t="s">
        <v>6926</v>
      </c>
      <c r="D66" s="856" t="str">
        <f>IF(P!D65="n.a.","n.a.",$S$1*P!D65)</f>
        <v>n.a.</v>
      </c>
      <c r="F66" s="846">
        <v>20</v>
      </c>
      <c r="G66" s="847">
        <v>1</v>
      </c>
      <c r="H66" s="1890">
        <v>0</v>
      </c>
      <c r="I66" s="848">
        <f>H66*LOOKUP(G66,'Idemat Data'!$G$4:$G$1123,'Idemat Data'!$K$4:$K$1123)</f>
        <v>0</v>
      </c>
      <c r="K66" s="846">
        <v>20</v>
      </c>
      <c r="L66" s="847">
        <v>1</v>
      </c>
      <c r="M66" s="1891">
        <v>0</v>
      </c>
      <c r="N66" s="847">
        <f>M66*LOOKUP(L66,'Idemat Data'!$G$4:$G$1123,'Idemat Data'!$K$4:$K$1123)</f>
        <v>0</v>
      </c>
      <c r="S66" s="782">
        <v>62</v>
      </c>
      <c r="T66" s="782" t="s">
        <v>4284</v>
      </c>
      <c r="U66" s="782" t="s">
        <v>5758</v>
      </c>
      <c r="V66" s="797">
        <f>$S$1*P!V66</f>
        <v>1.5560483870967744E-4</v>
      </c>
      <c r="W66" s="780"/>
      <c r="X66" s="782">
        <v>62</v>
      </c>
      <c r="Y66" s="782" t="s">
        <v>2248</v>
      </c>
      <c r="Z66" s="782" t="s">
        <v>5749</v>
      </c>
      <c r="AA66" s="781">
        <f>$S$1*P!AA66</f>
        <v>4.8326612903225807E-4</v>
      </c>
      <c r="AB66" s="780"/>
      <c r="AC66" s="782">
        <v>62</v>
      </c>
      <c r="AD66" s="782" t="s">
        <v>4573</v>
      </c>
      <c r="AE66" s="782" t="s">
        <v>5749</v>
      </c>
      <c r="AF66" s="781">
        <f>$S$1*P!AF66</f>
        <v>1.8302419354838712E-3</v>
      </c>
    </row>
    <row r="67" spans="1:32" ht="20.25" customHeight="1" x14ac:dyDescent="0.35">
      <c r="A67" s="849">
        <v>21</v>
      </c>
      <c r="B67" s="854" t="s">
        <v>492</v>
      </c>
      <c r="C67" s="855">
        <f>$S$1*P!C66</f>
        <v>9.0240827517184999E-2</v>
      </c>
      <c r="D67" s="856">
        <f>IF(P!D66="n.a.","n.a.",$S$1*P!D66)</f>
        <v>0.10828899302062199</v>
      </c>
      <c r="F67" s="846">
        <v>21</v>
      </c>
      <c r="G67" s="847">
        <v>1</v>
      </c>
      <c r="H67" s="1890">
        <v>0</v>
      </c>
      <c r="I67" s="848">
        <f>H67*LOOKUP(G67,'Idemat Data'!$G$4:$G$1123,'Idemat Data'!$K$4:$K$1123)</f>
        <v>0</v>
      </c>
      <c r="K67" s="846">
        <v>21</v>
      </c>
      <c r="L67" s="847">
        <v>1</v>
      </c>
      <c r="M67" s="1891">
        <v>0</v>
      </c>
      <c r="N67" s="847">
        <f>M67*LOOKUP(L67,'Idemat Data'!$G$4:$G$1123,'Idemat Data'!$K$4:$K$1123)</f>
        <v>0</v>
      </c>
      <c r="S67" s="782">
        <v>63</v>
      </c>
      <c r="T67" s="782" t="s">
        <v>4284</v>
      </c>
      <c r="U67" s="782" t="s">
        <v>5757</v>
      </c>
      <c r="V67" s="797">
        <f>$S$1*P!V67</f>
        <v>5.9979838709677425E-4</v>
      </c>
      <c r="W67" s="780"/>
      <c r="X67" s="782">
        <v>63</v>
      </c>
      <c r="Y67" s="782" t="s">
        <v>2248</v>
      </c>
      <c r="Z67" s="782" t="s">
        <v>3833</v>
      </c>
      <c r="AA67" s="781">
        <f>$S$1*P!AA67</f>
        <v>0</v>
      </c>
      <c r="AB67" s="780"/>
      <c r="AC67" s="782">
        <v>63</v>
      </c>
      <c r="AD67" s="782" t="s">
        <v>4573</v>
      </c>
      <c r="AE67" s="782" t="s">
        <v>3833</v>
      </c>
      <c r="AF67" s="781">
        <f>$S$1*P!AF67</f>
        <v>0</v>
      </c>
    </row>
    <row r="68" spans="1:32" ht="20.25" customHeight="1" thickBot="1" x14ac:dyDescent="0.4">
      <c r="A68" s="849">
        <v>22</v>
      </c>
      <c r="B68" s="854"/>
      <c r="C68" s="855"/>
      <c r="D68" s="856"/>
      <c r="G68" s="804"/>
      <c r="H68" s="804"/>
      <c r="I68" s="804"/>
      <c r="K68" s="805"/>
      <c r="L68" s="804"/>
      <c r="M68" s="804"/>
      <c r="N68" s="804"/>
      <c r="S68" s="782">
        <v>64</v>
      </c>
      <c r="T68" s="782" t="s">
        <v>4284</v>
      </c>
      <c r="U68" s="782" t="s">
        <v>5756</v>
      </c>
      <c r="V68" s="797">
        <f>$S$1*P!V68</f>
        <v>7.883064516129034E-6</v>
      </c>
      <c r="W68" s="780"/>
      <c r="X68" s="782">
        <v>64</v>
      </c>
      <c r="Y68" s="782" t="s">
        <v>2248</v>
      </c>
      <c r="Z68" s="782" t="s">
        <v>5748</v>
      </c>
      <c r="AA68" s="781">
        <f>$S$1*P!AA68</f>
        <v>5.79233870967742E-2</v>
      </c>
      <c r="AB68" s="780"/>
      <c r="AC68" s="782">
        <v>64</v>
      </c>
      <c r="AD68" s="782" t="s">
        <v>4573</v>
      </c>
      <c r="AE68" s="782" t="s">
        <v>5748</v>
      </c>
      <c r="AF68" s="781">
        <f>$S$1*P!AF68</f>
        <v>0.64092741935483877</v>
      </c>
    </row>
    <row r="69" spans="1:32" ht="20.25" customHeight="1" thickBot="1" x14ac:dyDescent="0.4">
      <c r="A69" s="849">
        <v>23</v>
      </c>
      <c r="B69" s="854"/>
      <c r="C69" s="855"/>
      <c r="D69" s="856"/>
      <c r="G69" s="1628" t="s">
        <v>7658</v>
      </c>
      <c r="H69" s="1628"/>
      <c r="I69" s="859">
        <f>SUM(I47:I67)</f>
        <v>0</v>
      </c>
      <c r="K69" s="805"/>
      <c r="L69" s="1628" t="s">
        <v>7658</v>
      </c>
      <c r="M69" s="804"/>
      <c r="N69" s="859">
        <f>SUM(N47:N67)</f>
        <v>0</v>
      </c>
      <c r="S69" s="782">
        <v>65</v>
      </c>
      <c r="T69" s="782" t="s">
        <v>4284</v>
      </c>
      <c r="U69" s="782" t="s">
        <v>5755</v>
      </c>
      <c r="V69" s="797">
        <f>$S$1*P!V69</f>
        <v>2.1764112903225807E-3</v>
      </c>
      <c r="W69" s="780"/>
      <c r="X69" s="782">
        <v>65</v>
      </c>
      <c r="Y69" s="782" t="s">
        <v>2248</v>
      </c>
      <c r="Z69" s="782" t="s">
        <v>3832</v>
      </c>
      <c r="AA69" s="781">
        <f>$S$1*P!AA69</f>
        <v>1.0764</v>
      </c>
      <c r="AB69" s="780"/>
      <c r="AC69" s="782">
        <v>65</v>
      </c>
      <c r="AD69" s="782" t="s">
        <v>4573</v>
      </c>
      <c r="AE69" s="782" t="s">
        <v>3832</v>
      </c>
      <c r="AF69" s="781">
        <f>$S$1*P!AF69</f>
        <v>0.17719758064516131</v>
      </c>
    </row>
    <row r="70" spans="1:32" ht="20.25" customHeight="1" x14ac:dyDescent="0.35">
      <c r="A70" s="849">
        <v>24</v>
      </c>
      <c r="B70" s="854" t="s">
        <v>495</v>
      </c>
      <c r="C70" s="855">
        <f>$S$1*P!C69</f>
        <v>6.8781971462555005E-2</v>
      </c>
      <c r="D70" s="856">
        <f>IF(P!D69="n.a.","n.a.",$S$1*P!D69)</f>
        <v>8.2538365755065998E-2</v>
      </c>
      <c r="G70" s="804"/>
      <c r="H70" s="804"/>
      <c r="I70" s="804"/>
      <c r="S70" s="782">
        <v>66</v>
      </c>
      <c r="T70" s="782" t="s">
        <v>4284</v>
      </c>
      <c r="U70" s="782" t="s">
        <v>5754</v>
      </c>
      <c r="V70" s="797">
        <f>$S$1*P!V70</f>
        <v>1.8576612903225807E-4</v>
      </c>
      <c r="W70" s="780"/>
      <c r="X70" s="782">
        <v>66</v>
      </c>
      <c r="Y70" s="782" t="s">
        <v>2248</v>
      </c>
      <c r="Z70" s="782" t="s">
        <v>3832</v>
      </c>
      <c r="AA70" s="781">
        <f>$S$1*P!AA70</f>
        <v>6.5463709677419366E-2</v>
      </c>
      <c r="AB70" s="780"/>
      <c r="AC70" s="782">
        <v>66</v>
      </c>
      <c r="AD70" s="782" t="s">
        <v>4573</v>
      </c>
      <c r="AE70" s="782" t="s">
        <v>3832</v>
      </c>
      <c r="AF70" s="781">
        <f>$S$1*P!AF70</f>
        <v>2.9164000000000003</v>
      </c>
    </row>
    <row r="71" spans="1:32" ht="20.25" customHeight="1" x14ac:dyDescent="0.35">
      <c r="A71" s="849">
        <v>25</v>
      </c>
      <c r="B71" s="854" t="s">
        <v>496</v>
      </c>
      <c r="C71" s="855">
        <f>$S$1*P!C70</f>
        <v>0.17104078748110998</v>
      </c>
      <c r="D71" s="856">
        <f>IF(P!D70="n.a.","n.a.",$S$1*P!D70)</f>
        <v>0.20524894497733198</v>
      </c>
      <c r="G71" s="804"/>
      <c r="H71" s="804"/>
      <c r="I71" s="804"/>
      <c r="S71" s="782">
        <v>67</v>
      </c>
      <c r="T71" s="782" t="s">
        <v>4284</v>
      </c>
      <c r="U71" s="782" t="s">
        <v>5753</v>
      </c>
      <c r="V71" s="797">
        <f>$S$1*P!V71</f>
        <v>1.7411290322580646E-3</v>
      </c>
      <c r="W71" s="780"/>
      <c r="X71" s="782">
        <v>67</v>
      </c>
      <c r="Y71" s="782" t="s">
        <v>2248</v>
      </c>
      <c r="Z71" s="782" t="s">
        <v>5747</v>
      </c>
      <c r="AA71" s="781">
        <f>$S$1*P!AA71</f>
        <v>7.4032258064516137E-6</v>
      </c>
      <c r="AB71" s="780"/>
      <c r="AC71" s="782">
        <v>67</v>
      </c>
      <c r="AD71" s="782" t="s">
        <v>4573</v>
      </c>
      <c r="AE71" s="782" t="s">
        <v>5747</v>
      </c>
      <c r="AF71" s="781">
        <f>$S$1*P!AF71</f>
        <v>3.2046370967741942E-5</v>
      </c>
    </row>
    <row r="72" spans="1:32" ht="20.25" customHeight="1" x14ac:dyDescent="0.35">
      <c r="A72" s="849">
        <v>26</v>
      </c>
      <c r="B72" s="854" t="s">
        <v>497</v>
      </c>
      <c r="C72" s="855">
        <f>$S$1*P!C71</f>
        <v>0.23549522310426502</v>
      </c>
      <c r="D72" s="856">
        <f>IF(P!D71="n.a.","n.a.",$S$1*P!D71)</f>
        <v>0.28259426772511803</v>
      </c>
      <c r="F72" s="1717" t="s">
        <v>7659</v>
      </c>
      <c r="G72" s="1718"/>
      <c r="H72" s="1718"/>
      <c r="I72" s="1719"/>
      <c r="S72" s="782">
        <v>68</v>
      </c>
      <c r="T72" s="782" t="s">
        <v>4284</v>
      </c>
      <c r="U72" s="782" t="s">
        <v>5752</v>
      </c>
      <c r="V72" s="797">
        <f>$S$1*P!V72</f>
        <v>4.0786290322580654E-7</v>
      </c>
      <c r="W72" s="780"/>
      <c r="X72" s="782">
        <v>68</v>
      </c>
      <c r="Y72" s="782" t="s">
        <v>2248</v>
      </c>
      <c r="Z72" s="782" t="s">
        <v>5746</v>
      </c>
      <c r="AA72" s="781">
        <f>$S$1*P!AA72</f>
        <v>1.7993951612903228E-4</v>
      </c>
      <c r="AB72" s="780"/>
      <c r="AC72" s="782">
        <v>68</v>
      </c>
      <c r="AD72" s="782" t="s">
        <v>4573</v>
      </c>
      <c r="AE72" s="782" t="s">
        <v>5746</v>
      </c>
      <c r="AF72" s="781">
        <f>$S$1*P!AF72</f>
        <v>8.3971774193548389E-4</v>
      </c>
    </row>
    <row r="73" spans="1:32" ht="85.5" customHeight="1" x14ac:dyDescent="0.35">
      <c r="A73" s="849">
        <v>27</v>
      </c>
      <c r="B73" s="854" t="s">
        <v>498</v>
      </c>
      <c r="C73" s="855">
        <f>$S$1*P!C72</f>
        <v>1.3160960990219024E-2</v>
      </c>
      <c r="D73" s="856">
        <f>IF(P!D72="n.a.","n.a.",$S$1*P!D72)</f>
        <v>1.579315318826283E-2</v>
      </c>
      <c r="F73" s="838" t="s">
        <v>82</v>
      </c>
      <c r="G73" s="839" t="s">
        <v>2159</v>
      </c>
      <c r="H73" s="840" t="s">
        <v>8225</v>
      </c>
      <c r="I73" s="840" t="s">
        <v>78</v>
      </c>
      <c r="S73" s="782">
        <v>69</v>
      </c>
      <c r="T73" s="782" t="s">
        <v>4284</v>
      </c>
      <c r="U73" s="782" t="s">
        <v>5751</v>
      </c>
      <c r="V73" s="797">
        <f>$S$1*P!V73</f>
        <v>1.8645161290322583E-7</v>
      </c>
      <c r="W73" s="780"/>
      <c r="X73" s="782">
        <v>69</v>
      </c>
      <c r="Y73" s="782" t="s">
        <v>2248</v>
      </c>
      <c r="Z73" s="782" t="s">
        <v>5745</v>
      </c>
      <c r="AA73" s="781">
        <f>$S$1*P!AA73</f>
        <v>4.8326612903225813E-3</v>
      </c>
      <c r="AB73" s="780"/>
      <c r="AC73" s="782">
        <v>69</v>
      </c>
      <c r="AD73" s="782" t="s">
        <v>4573</v>
      </c>
      <c r="AE73" s="782" t="s">
        <v>5745</v>
      </c>
      <c r="AF73" s="781">
        <f>$S$1*P!AF73</f>
        <v>6.7177419354838716E-2</v>
      </c>
    </row>
    <row r="74" spans="1:32" ht="20.25" customHeight="1" x14ac:dyDescent="0.35">
      <c r="A74" s="849">
        <v>28</v>
      </c>
      <c r="B74" s="858" t="s">
        <v>500</v>
      </c>
      <c r="C74" s="855">
        <f>$S$1*P!C73</f>
        <v>0.10526711021278501</v>
      </c>
      <c r="D74" s="856">
        <f>IF(P!D73="n.a.","n.a.",$S$1*P!D73)</f>
        <v>0.12632053225534201</v>
      </c>
      <c r="F74" s="846">
        <v>1</v>
      </c>
      <c r="G74" s="847">
        <v>1</v>
      </c>
      <c r="H74" s="1890">
        <v>0</v>
      </c>
      <c r="I74" s="848">
        <f>H74*LOOKUP(G74,'Idemat Data'!$G$4:$G$1123,'Idemat Data'!$O$4:$O$1123)</f>
        <v>0</v>
      </c>
      <c r="S74" s="782">
        <v>70</v>
      </c>
      <c r="T74" s="782" t="s">
        <v>4284</v>
      </c>
      <c r="U74" s="782" t="s">
        <v>5750</v>
      </c>
      <c r="V74" s="797">
        <f>$S$1*P!V74</f>
        <v>1.8199596774193548E-7</v>
      </c>
      <c r="W74" s="780"/>
      <c r="X74" s="782">
        <v>70</v>
      </c>
      <c r="Y74" s="782" t="s">
        <v>2248</v>
      </c>
      <c r="Z74" s="782" t="s">
        <v>5744</v>
      </c>
      <c r="AA74" s="781">
        <f>$S$1*P!AA74</f>
        <v>6.3407258064516137E-2</v>
      </c>
      <c r="AB74" s="780"/>
      <c r="AC74" s="782">
        <v>70</v>
      </c>
      <c r="AD74" s="782" t="s">
        <v>4573</v>
      </c>
      <c r="AE74" s="782" t="s">
        <v>5744</v>
      </c>
      <c r="AF74" s="781">
        <f>$S$1*P!AF74</f>
        <v>0.47983870967741937</v>
      </c>
    </row>
    <row r="75" spans="1:32" ht="20.25" customHeight="1" x14ac:dyDescent="0.35">
      <c r="A75" s="849">
        <v>29</v>
      </c>
      <c r="B75" s="858" t="s">
        <v>500</v>
      </c>
      <c r="C75" s="855">
        <f>$S$1*P!C74</f>
        <v>0.10526711021278501</v>
      </c>
      <c r="D75" s="856">
        <f>IF(P!D74="n.a.","n.a.",$S$1*P!D74)</f>
        <v>0.12632053225534201</v>
      </c>
      <c r="F75" s="846">
        <v>2</v>
      </c>
      <c r="G75" s="847">
        <v>1</v>
      </c>
      <c r="H75" s="1890">
        <v>0</v>
      </c>
      <c r="I75" s="848">
        <f>H75*LOOKUP(G75,'Idemat Data'!$G$4:$G$1123,'Idemat Data'!$K$4:$K$1123)</f>
        <v>0</v>
      </c>
      <c r="S75" s="782">
        <v>71</v>
      </c>
      <c r="T75" s="782" t="s">
        <v>4284</v>
      </c>
      <c r="U75" s="782" t="s">
        <v>5749</v>
      </c>
      <c r="V75" s="797">
        <f>$S$1*P!V75</f>
        <v>2.6219758064516133E-4</v>
      </c>
      <c r="W75" s="780"/>
      <c r="X75" s="782">
        <v>71</v>
      </c>
      <c r="Y75" s="782" t="s">
        <v>2248</v>
      </c>
      <c r="Z75" s="782" t="s">
        <v>5741</v>
      </c>
      <c r="AA75" s="781">
        <f>$S$1*P!AA75</f>
        <v>2.8858870967741939E-3</v>
      </c>
      <c r="AB75" s="780"/>
      <c r="AC75" s="782">
        <v>71</v>
      </c>
      <c r="AD75" s="782" t="s">
        <v>4573</v>
      </c>
      <c r="AE75" s="782" t="s">
        <v>5741</v>
      </c>
      <c r="AF75" s="781">
        <f>$S$1*P!AF75</f>
        <v>9.1854838709677422E-2</v>
      </c>
    </row>
    <row r="76" spans="1:32" ht="20.25" customHeight="1" x14ac:dyDescent="0.35">
      <c r="A76" s="849">
        <v>30</v>
      </c>
      <c r="B76" s="854" t="s">
        <v>501</v>
      </c>
      <c r="C76" s="855">
        <f>$S$1*P!C75</f>
        <v>0.24503250194111115</v>
      </c>
      <c r="D76" s="856">
        <f>IF(P!D75="n.a.","n.a.",$S$1*P!D75)</f>
        <v>0.29403900232933339</v>
      </c>
      <c r="F76" s="846">
        <v>3</v>
      </c>
      <c r="G76" s="847">
        <v>1</v>
      </c>
      <c r="H76" s="1890">
        <v>0</v>
      </c>
      <c r="I76" s="848">
        <f>H76*LOOKUP(G76,'Idemat Data'!$G$4:$G$1123,'Idemat Data'!$K$4:$K$1123)</f>
        <v>0</v>
      </c>
      <c r="S76" s="782">
        <v>72</v>
      </c>
      <c r="T76" s="782" t="s">
        <v>4284</v>
      </c>
      <c r="U76" s="782" t="s">
        <v>3833</v>
      </c>
      <c r="V76" s="797">
        <f>$S$1*P!V76</f>
        <v>0</v>
      </c>
      <c r="W76" s="780"/>
      <c r="X76" s="782">
        <v>72</v>
      </c>
      <c r="Y76" s="782" t="s">
        <v>2248</v>
      </c>
      <c r="Z76" s="782" t="s">
        <v>5739</v>
      </c>
      <c r="AA76" s="781">
        <f>$S$1*P!AA76</f>
        <v>4.1129032258064517E-4</v>
      </c>
      <c r="AB76" s="780"/>
      <c r="AC76" s="782">
        <v>72</v>
      </c>
      <c r="AD76" s="782" t="s">
        <v>4573</v>
      </c>
      <c r="AE76" s="782" t="s">
        <v>5739</v>
      </c>
      <c r="AF76" s="781">
        <f>$S$1*P!AF76</f>
        <v>1.9776209677419359E-3</v>
      </c>
    </row>
    <row r="77" spans="1:32" ht="20.25" customHeight="1" x14ac:dyDescent="0.35">
      <c r="A77" s="849">
        <v>31</v>
      </c>
      <c r="B77" s="854" t="s">
        <v>502</v>
      </c>
      <c r="C77" s="855" t="s">
        <v>6926</v>
      </c>
      <c r="D77" s="856" t="str">
        <f>IF(P!D76="n.a.","n.a.",$S$1*P!D76)</f>
        <v>n.a.</v>
      </c>
      <c r="F77" s="846">
        <v>4</v>
      </c>
      <c r="G77" s="847">
        <v>1</v>
      </c>
      <c r="H77" s="1890">
        <v>0</v>
      </c>
      <c r="I77" s="848">
        <f>H77*LOOKUP(G77,'Idemat Data'!$G$4:$G$1123,'Idemat Data'!$K$4:$K$1123)</f>
        <v>0</v>
      </c>
      <c r="S77" s="782">
        <v>73</v>
      </c>
      <c r="T77" s="782" t="s">
        <v>4284</v>
      </c>
      <c r="U77" s="782" t="s">
        <v>5748</v>
      </c>
      <c r="V77" s="797">
        <f>$S$1*P!V77</f>
        <v>3.1395161290322583E-2</v>
      </c>
      <c r="W77" s="780"/>
      <c r="X77" s="782">
        <v>73</v>
      </c>
      <c r="Y77" s="782" t="s">
        <v>2248</v>
      </c>
      <c r="Z77" s="782" t="s">
        <v>5738</v>
      </c>
      <c r="AA77" s="781">
        <f>$S$1*P!AA77</f>
        <v>1.0008064516129032E-4</v>
      </c>
      <c r="AB77" s="780"/>
      <c r="AC77" s="782">
        <v>73</v>
      </c>
      <c r="AD77" s="782" t="s">
        <v>4573</v>
      </c>
      <c r="AE77" s="782" t="s">
        <v>5738</v>
      </c>
      <c r="AF77" s="781">
        <f>$S$1*P!AF77</f>
        <v>1.477217741935484E-3</v>
      </c>
    </row>
    <row r="78" spans="1:32" ht="20.25" customHeight="1" x14ac:dyDescent="0.35">
      <c r="A78" s="849">
        <v>32</v>
      </c>
      <c r="B78" s="854" t="s">
        <v>503</v>
      </c>
      <c r="C78" s="855" t="s">
        <v>6926</v>
      </c>
      <c r="D78" s="856" t="str">
        <f>IF(P!D77="n.a.","n.a.",$S$1*P!D77)</f>
        <v>n.a.</v>
      </c>
      <c r="F78" s="846">
        <v>5</v>
      </c>
      <c r="G78" s="847">
        <v>1</v>
      </c>
      <c r="H78" s="1890">
        <v>0</v>
      </c>
      <c r="I78" s="848">
        <f>H78*LOOKUP(G78,'Idemat Data'!$G$4:$G$1123,'Idemat Data'!$K$4:$K$1123)</f>
        <v>0</v>
      </c>
      <c r="S78" s="782">
        <v>74</v>
      </c>
      <c r="T78" s="782" t="s">
        <v>4284</v>
      </c>
      <c r="U78" s="782" t="s">
        <v>3832</v>
      </c>
      <c r="V78" s="797">
        <f>$S$1*P!V78</f>
        <v>5.3467741935483877E-3</v>
      </c>
      <c r="W78" s="780"/>
      <c r="X78" s="782">
        <v>74</v>
      </c>
      <c r="Y78" s="782" t="s">
        <v>2248</v>
      </c>
      <c r="Z78" s="782" t="s">
        <v>5737</v>
      </c>
      <c r="AA78" s="781">
        <f>$S$1*P!AA78</f>
        <v>5.8951612903225814E-3</v>
      </c>
      <c r="AB78" s="780"/>
      <c r="AC78" s="782">
        <v>74</v>
      </c>
      <c r="AD78" s="782" t="s">
        <v>4573</v>
      </c>
      <c r="AE78" s="782" t="s">
        <v>5737</v>
      </c>
      <c r="AF78" s="781">
        <f>$S$1*P!AF78</f>
        <v>2.1661290322580646E-2</v>
      </c>
    </row>
    <row r="79" spans="1:32" ht="20.25" customHeight="1" x14ac:dyDescent="0.35">
      <c r="A79" s="849">
        <v>33</v>
      </c>
      <c r="B79" s="854" t="s">
        <v>504</v>
      </c>
      <c r="C79" s="855" t="s">
        <v>6926</v>
      </c>
      <c r="D79" s="856" t="str">
        <f>IF(P!D78="n.a.","n.a.",$S$1*P!D78)</f>
        <v>n.a.</v>
      </c>
      <c r="F79" s="846">
        <v>6</v>
      </c>
      <c r="G79" s="847">
        <v>1</v>
      </c>
      <c r="H79" s="1890">
        <v>0</v>
      </c>
      <c r="I79" s="848">
        <f>H79*LOOKUP(G79,'Idemat Data'!$G$4:$G$1123,'Idemat Data'!$K$4:$K$1123)</f>
        <v>0</v>
      </c>
      <c r="S79" s="782">
        <v>75</v>
      </c>
      <c r="T79" s="782" t="s">
        <v>4284</v>
      </c>
      <c r="U79" s="782" t="s">
        <v>3832</v>
      </c>
      <c r="V79" s="797">
        <f>$S$1*P!V79</f>
        <v>0.60627999999999993</v>
      </c>
      <c r="W79" s="780"/>
      <c r="X79" s="782">
        <v>75</v>
      </c>
      <c r="Y79" s="782" t="s">
        <v>2248</v>
      </c>
      <c r="Z79" s="782" t="s">
        <v>5736</v>
      </c>
      <c r="AA79" s="781">
        <f>$S$1*P!AA79</f>
        <v>5.3125000000000004E-4</v>
      </c>
      <c r="AB79" s="780"/>
      <c r="AC79" s="782">
        <v>75</v>
      </c>
      <c r="AD79" s="782" t="s">
        <v>4573</v>
      </c>
      <c r="AE79" s="782" t="s">
        <v>5736</v>
      </c>
      <c r="AF79" s="781">
        <f>$S$1*P!AF79</f>
        <v>1.2098790322580646E-2</v>
      </c>
    </row>
    <row r="80" spans="1:32" ht="20.25" customHeight="1" x14ac:dyDescent="0.35">
      <c r="A80" s="849">
        <v>34</v>
      </c>
      <c r="B80" s="854" t="s">
        <v>505</v>
      </c>
      <c r="C80" s="855">
        <f>$S$1*P!C79</f>
        <v>0.15078488592434502</v>
      </c>
      <c r="D80" s="856">
        <f>IF(P!D79="n.a.","n.a.",$S$1*P!D79)</f>
        <v>0.18094186310921404</v>
      </c>
      <c r="F80" s="846">
        <v>7</v>
      </c>
      <c r="G80" s="847">
        <v>1</v>
      </c>
      <c r="H80" s="1890">
        <v>0</v>
      </c>
      <c r="I80" s="848">
        <f>H80*LOOKUP(G80,'Idemat Data'!$G$4:$G$1123,'Idemat Data'!$K$4:$K$1123)</f>
        <v>0</v>
      </c>
      <c r="S80" s="782">
        <v>76</v>
      </c>
      <c r="T80" s="782" t="s">
        <v>4284</v>
      </c>
      <c r="U80" s="782" t="s">
        <v>5747</v>
      </c>
      <c r="V80" s="797">
        <f>$S$1*P!V80</f>
        <v>6.3750000000000004E-7</v>
      </c>
      <c r="W80" s="780"/>
      <c r="X80" s="782">
        <v>76</v>
      </c>
      <c r="Y80" s="782" t="s">
        <v>2248</v>
      </c>
      <c r="Z80" s="782" t="s">
        <v>5735</v>
      </c>
      <c r="AA80" s="781">
        <f>$S$1*P!AA80</f>
        <v>4.6612903225806451E-4</v>
      </c>
      <c r="AB80" s="780"/>
      <c r="AC80" s="782">
        <v>76</v>
      </c>
      <c r="AD80" s="782" t="s">
        <v>4573</v>
      </c>
      <c r="AE80" s="782" t="s">
        <v>5735</v>
      </c>
      <c r="AF80" s="781">
        <f>$S$1*P!AF80</f>
        <v>0.13949596774193548</v>
      </c>
    </row>
    <row r="81" spans="1:32" ht="20.25" customHeight="1" x14ac:dyDescent="0.35">
      <c r="A81" s="849">
        <v>35</v>
      </c>
      <c r="B81" s="854" t="s">
        <v>506</v>
      </c>
      <c r="C81" s="855">
        <f>$S$1*P!C80</f>
        <v>3.2994175460648978E-2</v>
      </c>
      <c r="D81" s="856">
        <f>IF(P!D80="n.a.","n.a.",$S$1*P!D80)</f>
        <v>3.9593010552778772E-2</v>
      </c>
      <c r="F81" s="846">
        <v>8</v>
      </c>
      <c r="G81" s="847">
        <v>1</v>
      </c>
      <c r="H81" s="1890">
        <v>0</v>
      </c>
      <c r="I81" s="848">
        <f>H81*LOOKUP(G81,'Idemat Data'!$G$4:$G$1123,'Idemat Data'!$K$4:$K$1123)</f>
        <v>0</v>
      </c>
      <c r="S81" s="782">
        <v>77</v>
      </c>
      <c r="T81" s="782" t="s">
        <v>4284</v>
      </c>
      <c r="U81" s="782" t="s">
        <v>5746</v>
      </c>
      <c r="V81" s="797">
        <f>$S$1*P!V81</f>
        <v>1.4875000000000001E-4</v>
      </c>
      <c r="W81" s="780"/>
      <c r="X81" s="782">
        <v>77</v>
      </c>
      <c r="Y81" s="782" t="s">
        <v>2248</v>
      </c>
      <c r="Z81" s="782" t="s">
        <v>5734</v>
      </c>
      <c r="AA81" s="781">
        <f>$S$1*P!AA81</f>
        <v>6.8891129032258077E-6</v>
      </c>
      <c r="AB81" s="780"/>
      <c r="AC81" s="782">
        <v>77</v>
      </c>
      <c r="AD81" s="782" t="s">
        <v>4573</v>
      </c>
      <c r="AE81" s="782" t="s">
        <v>5734</v>
      </c>
      <c r="AF81" s="781">
        <f>$S$1*P!AF81</f>
        <v>3.2183467741935482E-5</v>
      </c>
    </row>
    <row r="82" spans="1:32" ht="20.25" customHeight="1" x14ac:dyDescent="0.35">
      <c r="A82" s="849">
        <v>36</v>
      </c>
      <c r="B82" s="854" t="s">
        <v>507</v>
      </c>
      <c r="C82" s="855">
        <f>$S$1*P!C81</f>
        <v>2.289284527165E-2</v>
      </c>
      <c r="D82" s="856">
        <f>IF(P!D81="n.a.","n.a.",$S$1*P!D81)</f>
        <v>2.7471414325979999E-2</v>
      </c>
      <c r="F82" s="846">
        <v>9</v>
      </c>
      <c r="G82" s="847">
        <v>1</v>
      </c>
      <c r="H82" s="1890">
        <v>0</v>
      </c>
      <c r="I82" s="848">
        <f>H82*LOOKUP(G82,'Idemat Data'!$G$4:$G$1123,'Idemat Data'!$K$4:$K$1123)</f>
        <v>0</v>
      </c>
      <c r="S82" s="782">
        <v>78</v>
      </c>
      <c r="T82" s="782" t="s">
        <v>4284</v>
      </c>
      <c r="U82" s="782" t="s">
        <v>5745</v>
      </c>
      <c r="V82" s="797">
        <f>$S$1*P!V82</f>
        <v>1.3401209677419356E-3</v>
      </c>
      <c r="W82" s="780"/>
      <c r="X82" s="782">
        <v>78</v>
      </c>
      <c r="Y82" s="782" t="s">
        <v>2248</v>
      </c>
      <c r="Z82" s="782" t="s">
        <v>5733</v>
      </c>
      <c r="AA82" s="781">
        <f>$S$1*P!AA82</f>
        <v>1.4052419354838709E-4</v>
      </c>
      <c r="AB82" s="780"/>
      <c r="AC82" s="782">
        <v>78</v>
      </c>
      <c r="AD82" s="782" t="s">
        <v>4573</v>
      </c>
      <c r="AE82" s="782" t="s">
        <v>5733</v>
      </c>
      <c r="AF82" s="781">
        <f>$S$1*P!AF82</f>
        <v>8.2258064516129033E-4</v>
      </c>
    </row>
    <row r="83" spans="1:32" ht="20.25" customHeight="1" x14ac:dyDescent="0.35">
      <c r="A83" s="849">
        <v>37</v>
      </c>
      <c r="B83" s="854" t="s">
        <v>509</v>
      </c>
      <c r="C83" s="855" t="s">
        <v>6926</v>
      </c>
      <c r="D83" s="856" t="str">
        <f>IF(P!D82="n.a.","n.a.",$S$1*P!D82)</f>
        <v>n.a.</v>
      </c>
      <c r="F83" s="846">
        <v>10</v>
      </c>
      <c r="G83" s="847">
        <v>3</v>
      </c>
      <c r="H83" s="1890">
        <v>0</v>
      </c>
      <c r="I83" s="848">
        <f>H83*LOOKUP(G83,'Idemat Data'!$G$4:$G$1123,'Idemat Data'!$K$4:$K$1123)</f>
        <v>0</v>
      </c>
      <c r="S83" s="782">
        <v>79</v>
      </c>
      <c r="T83" s="782" t="s">
        <v>4284</v>
      </c>
      <c r="U83" s="782" t="s">
        <v>5744</v>
      </c>
      <c r="V83" s="797">
        <f>$S$1*P!V83</f>
        <v>1.6588709677419357E-2</v>
      </c>
      <c r="W83" s="780"/>
      <c r="X83" s="782">
        <v>79</v>
      </c>
      <c r="Y83" s="782" t="s">
        <v>2248</v>
      </c>
      <c r="Z83" s="782" t="s">
        <v>5732</v>
      </c>
      <c r="AA83" s="781">
        <f>$S$1*P!AA83</f>
        <v>3.4239919354838713E-4</v>
      </c>
      <c r="AB83" s="780"/>
      <c r="AC83" s="782">
        <v>79</v>
      </c>
      <c r="AD83" s="782" t="s">
        <v>4573</v>
      </c>
      <c r="AE83" s="782" t="s">
        <v>5732</v>
      </c>
      <c r="AF83" s="781">
        <f>$S$1*P!AF83</f>
        <v>3.8044354838709681E-3</v>
      </c>
    </row>
    <row r="84" spans="1:32" ht="20.25" customHeight="1" x14ac:dyDescent="0.35">
      <c r="A84" s="849">
        <v>38</v>
      </c>
      <c r="B84" s="854" t="s">
        <v>509</v>
      </c>
      <c r="C84" s="855" t="s">
        <v>6926</v>
      </c>
      <c r="D84" s="856" t="str">
        <f>IF(P!D83="n.a.","n.a.",$S$1*P!D83)</f>
        <v>n.a.</v>
      </c>
      <c r="F84" s="846">
        <v>11</v>
      </c>
      <c r="G84" s="847">
        <v>1</v>
      </c>
      <c r="H84" s="1890">
        <v>0</v>
      </c>
      <c r="I84" s="848">
        <f>H84*LOOKUP(G84,'Idemat Data'!$G$4:$G$1123,'Idemat Data'!$K$4:$K$1123)</f>
        <v>0</v>
      </c>
      <c r="S84" s="782">
        <v>80</v>
      </c>
      <c r="T84" s="782" t="s">
        <v>4284</v>
      </c>
      <c r="U84" s="782" t="s">
        <v>5741</v>
      </c>
      <c r="V84" s="797">
        <f>$S$1*P!V84</f>
        <v>3.9758064516129036E-4</v>
      </c>
      <c r="W84" s="780"/>
      <c r="X84" s="782">
        <v>80</v>
      </c>
      <c r="Y84" s="782" t="s">
        <v>2248</v>
      </c>
      <c r="Z84" s="782" t="s">
        <v>5731</v>
      </c>
      <c r="AA84" s="781">
        <f>$S$1*P!AA84</f>
        <v>1.5320564516129034E-4</v>
      </c>
      <c r="AB84" s="780"/>
      <c r="AC84" s="782">
        <v>80</v>
      </c>
      <c r="AD84" s="782" t="s">
        <v>4573</v>
      </c>
      <c r="AE84" s="782" t="s">
        <v>5731</v>
      </c>
      <c r="AF84" s="781">
        <f>$S$1*P!AF84</f>
        <v>2.1558467741935486E-3</v>
      </c>
    </row>
    <row r="85" spans="1:32" ht="20.25" customHeight="1" x14ac:dyDescent="0.35">
      <c r="A85" s="849">
        <v>39</v>
      </c>
      <c r="B85" s="854" t="s">
        <v>510</v>
      </c>
      <c r="C85" s="855" t="s">
        <v>6926</v>
      </c>
      <c r="D85" s="856" t="str">
        <f>IF(P!D84="n.a.","n.a.",$S$1*P!D84)</f>
        <v>n.a.</v>
      </c>
      <c r="F85" s="846">
        <v>12</v>
      </c>
      <c r="G85" s="847">
        <v>1</v>
      </c>
      <c r="H85" s="1890">
        <v>0</v>
      </c>
      <c r="I85" s="848">
        <f>H85*LOOKUP(G85,'Idemat Data'!$G$4:$G$1123,'Idemat Data'!$K$4:$K$1123)</f>
        <v>0</v>
      </c>
      <c r="S85" s="782">
        <v>81</v>
      </c>
      <c r="T85" s="782" t="s">
        <v>4284</v>
      </c>
      <c r="U85" s="782" t="s">
        <v>5739</v>
      </c>
      <c r="V85" s="797">
        <f>$S$1*P!V85</f>
        <v>1.3572580645161291E-4</v>
      </c>
      <c r="W85" s="780"/>
      <c r="X85" s="782">
        <v>81</v>
      </c>
      <c r="Y85" s="782" t="s">
        <v>2248</v>
      </c>
      <c r="Z85" s="782" t="s">
        <v>5730</v>
      </c>
      <c r="AA85" s="781">
        <f>$S$1*P!AA85</f>
        <v>5.4153225806451619E-6</v>
      </c>
      <c r="AB85" s="780"/>
      <c r="AC85" s="782">
        <v>81</v>
      </c>
      <c r="AD85" s="782" t="s">
        <v>4573</v>
      </c>
      <c r="AE85" s="782" t="s">
        <v>5730</v>
      </c>
      <c r="AF85" s="781">
        <f>$S$1*P!AF85</f>
        <v>5.3467741935483873E-4</v>
      </c>
    </row>
    <row r="86" spans="1:32" ht="20.25" customHeight="1" x14ac:dyDescent="0.35">
      <c r="A86" s="849">
        <v>40</v>
      </c>
      <c r="B86" s="854" t="s">
        <v>511</v>
      </c>
      <c r="C86" s="855">
        <f>$S$1*P!C85</f>
        <v>5.2667648154399997E-2</v>
      </c>
      <c r="D86" s="856">
        <f>IF(P!D85="n.a.","n.a.",$S$1*P!D85)</f>
        <v>6.3201177785279991E-2</v>
      </c>
      <c r="F86" s="846">
        <v>13</v>
      </c>
      <c r="G86" s="847">
        <v>1</v>
      </c>
      <c r="H86" s="1890">
        <v>0</v>
      </c>
      <c r="I86" s="848">
        <f>H86*LOOKUP(G86,'Idemat Data'!$G$4:$G$1123,'Idemat Data'!$K$4:$K$1123)</f>
        <v>0</v>
      </c>
      <c r="S86" s="782">
        <v>82</v>
      </c>
      <c r="T86" s="782" t="s">
        <v>4284</v>
      </c>
      <c r="U86" s="782" t="s">
        <v>5738</v>
      </c>
      <c r="V86" s="797">
        <f>$S$1*P!V86</f>
        <v>7.0947580645161291E-6</v>
      </c>
      <c r="W86" s="780"/>
      <c r="X86" s="782">
        <v>82</v>
      </c>
      <c r="Y86" s="782" t="s">
        <v>2248</v>
      </c>
      <c r="Z86" s="782" t="s">
        <v>5729</v>
      </c>
      <c r="AA86" s="781">
        <f>$S$1*P!AA86</f>
        <v>2.2758064516129036E-5</v>
      </c>
      <c r="AB86" s="780"/>
      <c r="AC86" s="782">
        <v>82</v>
      </c>
      <c r="AD86" s="782" t="s">
        <v>4573</v>
      </c>
      <c r="AE86" s="782" t="s">
        <v>5729</v>
      </c>
      <c r="AF86" s="781">
        <f>$S$1*P!AF86</f>
        <v>1.4463709677419357E-2</v>
      </c>
    </row>
    <row r="87" spans="1:32" ht="20.25" customHeight="1" x14ac:dyDescent="0.35">
      <c r="A87" s="849">
        <v>41</v>
      </c>
      <c r="B87" s="858" t="s">
        <v>512</v>
      </c>
      <c r="C87" s="855">
        <f>$S$1*P!C86</f>
        <v>0.12547428007295425</v>
      </c>
      <c r="D87" s="856">
        <f>IF(P!D86="n.a.","n.a.",$S$1*P!D86)</f>
        <v>0.1505691360875451</v>
      </c>
      <c r="F87" s="846">
        <v>14</v>
      </c>
      <c r="G87" s="847">
        <v>1</v>
      </c>
      <c r="H87" s="1890">
        <v>0</v>
      </c>
      <c r="I87" s="848">
        <f>H87*LOOKUP(G87,'Idemat Data'!$G$4:$G$1123,'Idemat Data'!$K$4:$K$1123)</f>
        <v>0</v>
      </c>
      <c r="S87" s="782">
        <v>83</v>
      </c>
      <c r="T87" s="782" t="s">
        <v>4284</v>
      </c>
      <c r="U87" s="782" t="s">
        <v>5737</v>
      </c>
      <c r="V87" s="797">
        <f>$S$1*P!V87</f>
        <v>4.7298387096774194E-3</v>
      </c>
      <c r="W87" s="780"/>
      <c r="X87" s="782">
        <v>83</v>
      </c>
      <c r="Y87" s="782" t="s">
        <v>2248</v>
      </c>
      <c r="Z87" s="782" t="s">
        <v>5728</v>
      </c>
      <c r="AA87" s="781">
        <f>$S$1*P!AA87</f>
        <v>5.6552419354838713E-5</v>
      </c>
      <c r="AB87" s="780"/>
      <c r="AC87" s="782">
        <v>83</v>
      </c>
      <c r="AD87" s="782" t="s">
        <v>4573</v>
      </c>
      <c r="AE87" s="782" t="s">
        <v>5728</v>
      </c>
      <c r="AF87" s="781">
        <f>$S$1*P!AF87</f>
        <v>1.5217741935483873E-2</v>
      </c>
    </row>
    <row r="88" spans="1:32" ht="20.25" customHeight="1" x14ac:dyDescent="0.35">
      <c r="A88" s="849">
        <v>42</v>
      </c>
      <c r="B88" s="854" t="s">
        <v>513</v>
      </c>
      <c r="C88" s="855">
        <f>$S$1*P!C87</f>
        <v>1.4339723201359999E-2</v>
      </c>
      <c r="D88" s="856">
        <f>IF(P!D87="n.a.","n.a.",$S$1*P!D87)</f>
        <v>1.7207667841631996E-2</v>
      </c>
      <c r="F88" s="846">
        <v>15</v>
      </c>
      <c r="G88" s="847">
        <v>1</v>
      </c>
      <c r="H88" s="1890">
        <v>0</v>
      </c>
      <c r="I88" s="848">
        <f>H88*LOOKUP(G88,'Idemat Data'!$G$4:$G$1123,'Idemat Data'!$K$4:$K$1123)</f>
        <v>0</v>
      </c>
      <c r="S88" s="782">
        <v>84</v>
      </c>
      <c r="T88" s="782" t="s">
        <v>4284</v>
      </c>
      <c r="U88" s="782" t="s">
        <v>5736</v>
      </c>
      <c r="V88" s="797">
        <f>$S$1*P!V88</f>
        <v>3.3383064516129034E-6</v>
      </c>
      <c r="W88" s="780"/>
      <c r="X88" s="782">
        <v>84</v>
      </c>
      <c r="Y88" s="782" t="s">
        <v>2248</v>
      </c>
      <c r="Z88" s="782" t="s">
        <v>5727</v>
      </c>
      <c r="AA88" s="781">
        <f>$S$1*P!AA88</f>
        <v>5.895161290322581E-5</v>
      </c>
      <c r="AB88" s="780"/>
      <c r="AC88" s="782">
        <v>84</v>
      </c>
      <c r="AD88" s="782" t="s">
        <v>4573</v>
      </c>
      <c r="AE88" s="782" t="s">
        <v>5727</v>
      </c>
      <c r="AF88" s="781">
        <f>$S$1*P!AF88</f>
        <v>0.28756048387096778</v>
      </c>
    </row>
    <row r="89" spans="1:32" ht="20.25" customHeight="1" x14ac:dyDescent="0.35">
      <c r="A89" s="849">
        <v>43</v>
      </c>
      <c r="B89" s="854" t="s">
        <v>514</v>
      </c>
      <c r="C89" s="855" t="s">
        <v>6926</v>
      </c>
      <c r="D89" s="856" t="str">
        <f>IF(P!D88="n.a.","n.a.",$S$1*P!D88)</f>
        <v>n.a.</v>
      </c>
      <c r="F89" s="846">
        <v>16</v>
      </c>
      <c r="G89" s="847">
        <v>1</v>
      </c>
      <c r="H89" s="1890">
        <v>0</v>
      </c>
      <c r="I89" s="848">
        <f>H89*LOOKUP(G89,'Idemat Data'!$G$4:$G$1123,'Idemat Data'!$K$4:$K$1123)</f>
        <v>0</v>
      </c>
      <c r="S89" s="782">
        <v>85</v>
      </c>
      <c r="T89" s="782" t="s">
        <v>4284</v>
      </c>
      <c r="U89" s="782" t="s">
        <v>5735</v>
      </c>
      <c r="V89" s="797">
        <f>$S$1*P!V89</f>
        <v>3.5987903225806457E-5</v>
      </c>
      <c r="W89" s="780"/>
      <c r="X89" s="782">
        <v>85</v>
      </c>
      <c r="Y89" s="782" t="s">
        <v>2248</v>
      </c>
      <c r="Z89" s="782" t="s">
        <v>5724</v>
      </c>
      <c r="AA89" s="781">
        <f>$S$1*P!AA89</f>
        <v>1.3504032258064517E-5</v>
      </c>
      <c r="AB89" s="780"/>
      <c r="AC89" s="782">
        <v>85</v>
      </c>
      <c r="AD89" s="782" t="s">
        <v>4573</v>
      </c>
      <c r="AE89" s="782" t="s">
        <v>5724</v>
      </c>
      <c r="AF89" s="781">
        <f>$S$1*P!AF89</f>
        <v>5.0383064516129034E-5</v>
      </c>
    </row>
    <row r="90" spans="1:32" ht="20.25" customHeight="1" x14ac:dyDescent="0.35">
      <c r="A90" s="849">
        <v>44</v>
      </c>
      <c r="B90" s="854" t="s">
        <v>515</v>
      </c>
      <c r="C90" s="855">
        <f>$S$1*P!C89</f>
        <v>5.3475487931000005E-4</v>
      </c>
      <c r="D90" s="856">
        <f>IF(P!D89="n.a.","n.a.",$S$1*P!D89)</f>
        <v>6.4170585517200006E-4</v>
      </c>
      <c r="F90" s="846">
        <v>17</v>
      </c>
      <c r="G90" s="847">
        <v>1</v>
      </c>
      <c r="H90" s="1890">
        <v>0</v>
      </c>
      <c r="I90" s="848">
        <f>H90*LOOKUP(G90,'Idemat Data'!$G$4:$G$1123,'Idemat Data'!$K$4:$K$1123)</f>
        <v>0</v>
      </c>
      <c r="S90" s="782">
        <v>86</v>
      </c>
      <c r="T90" s="782" t="s">
        <v>4284</v>
      </c>
      <c r="U90" s="782" t="s">
        <v>5734</v>
      </c>
      <c r="V90" s="797">
        <f>$S$1*P!V90</f>
        <v>3.4616935483870971E-7</v>
      </c>
      <c r="W90" s="780"/>
      <c r="X90" s="782">
        <v>86</v>
      </c>
      <c r="Y90" s="782" t="s">
        <v>2248</v>
      </c>
      <c r="Z90" s="782" t="s">
        <v>3829</v>
      </c>
      <c r="AA90" s="781">
        <f>$S$1*P!AA90</f>
        <v>6.1456000000000004E-2</v>
      </c>
      <c r="AB90" s="780"/>
      <c r="AC90" s="782">
        <v>86</v>
      </c>
      <c r="AD90" s="782" t="s">
        <v>4573</v>
      </c>
      <c r="AE90" s="782" t="s">
        <v>3829</v>
      </c>
      <c r="AF90" s="781">
        <f>$S$1*P!AF90</f>
        <v>0.55199999999999994</v>
      </c>
    </row>
    <row r="91" spans="1:32" ht="20.25" customHeight="1" x14ac:dyDescent="0.35">
      <c r="A91" s="849">
        <v>45</v>
      </c>
      <c r="B91" s="854" t="s">
        <v>516</v>
      </c>
      <c r="C91" s="855">
        <f>$S$1*P!C90</f>
        <v>1.542811595681E-2</v>
      </c>
      <c r="D91" s="856">
        <f>IF(P!D90="n.a.","n.a.",$S$1*P!D90)</f>
        <v>1.8513739148172E-2</v>
      </c>
      <c r="F91" s="846">
        <v>18</v>
      </c>
      <c r="G91" s="847">
        <v>1</v>
      </c>
      <c r="H91" s="1890">
        <v>0</v>
      </c>
      <c r="I91" s="848">
        <f>H91*LOOKUP(G91,'Idemat Data'!$G$4:$G$1123,'Idemat Data'!$K$4:$K$1123)</f>
        <v>0</v>
      </c>
      <c r="S91" s="782">
        <v>87</v>
      </c>
      <c r="T91" s="782" t="s">
        <v>4284</v>
      </c>
      <c r="U91" s="782" t="s">
        <v>5733</v>
      </c>
      <c r="V91" s="797">
        <f>$S$1*P!V91</f>
        <v>2.6973790322580651E-6</v>
      </c>
      <c r="W91" s="780"/>
      <c r="X91" s="782">
        <v>87</v>
      </c>
      <c r="Y91" s="782" t="s">
        <v>2248</v>
      </c>
      <c r="Z91" s="782" t="s">
        <v>5723</v>
      </c>
      <c r="AA91" s="781">
        <f>$S$1*P!AA91</f>
        <v>2.4883064516129035E-4</v>
      </c>
      <c r="AB91" s="780"/>
      <c r="AC91" s="782">
        <v>87</v>
      </c>
      <c r="AD91" s="782" t="s">
        <v>4573</v>
      </c>
      <c r="AE91" s="782" t="s">
        <v>5723</v>
      </c>
      <c r="AF91" s="781">
        <f>$S$1*P!AF91</f>
        <v>7.9173387096774202E-4</v>
      </c>
    </row>
    <row r="92" spans="1:32" ht="20.25" customHeight="1" x14ac:dyDescent="0.35">
      <c r="A92" s="849">
        <v>46</v>
      </c>
      <c r="B92" s="854" t="s">
        <v>517</v>
      </c>
      <c r="C92" s="855">
        <f>$S$1*P!C91</f>
        <v>8.2112863843750005E-3</v>
      </c>
      <c r="D92" s="856">
        <f>IF(P!D91="n.a.","n.a.",$S$1*P!D91)</f>
        <v>9.8535436612500003E-3</v>
      </c>
      <c r="F92" s="846">
        <v>19</v>
      </c>
      <c r="G92" s="847">
        <v>1</v>
      </c>
      <c r="H92" s="1890">
        <v>0</v>
      </c>
      <c r="I92" s="848">
        <f>H92*LOOKUP(G92,'Idemat Data'!$G$4:$G$1123,'Idemat Data'!$K$4:$K$1123)</f>
        <v>0</v>
      </c>
      <c r="S92" s="782">
        <v>88</v>
      </c>
      <c r="T92" s="782" t="s">
        <v>4284</v>
      </c>
      <c r="U92" s="782" t="s">
        <v>5732</v>
      </c>
      <c r="V92" s="797">
        <f>$S$1*P!V92</f>
        <v>1.1002016129032259E-5</v>
      </c>
      <c r="W92" s="780"/>
      <c r="X92" s="782">
        <v>88</v>
      </c>
      <c r="Y92" s="782" t="s">
        <v>2248</v>
      </c>
      <c r="Z92" s="782" t="s">
        <v>5722</v>
      </c>
      <c r="AA92" s="781">
        <f>$S$1*P!AA92</f>
        <v>2.3135080645161291E-2</v>
      </c>
      <c r="AB92" s="780"/>
      <c r="AC92" s="782">
        <v>88</v>
      </c>
      <c r="AD92" s="782" t="s">
        <v>4573</v>
      </c>
      <c r="AE92" s="782" t="s">
        <v>5722</v>
      </c>
      <c r="AF92" s="781">
        <f>$S$1*P!AF92</f>
        <v>8.5342741935483885E-2</v>
      </c>
    </row>
    <row r="93" spans="1:32" ht="20.25" customHeight="1" x14ac:dyDescent="0.35">
      <c r="A93" s="849">
        <v>47</v>
      </c>
      <c r="B93" s="854" t="s">
        <v>518</v>
      </c>
      <c r="C93" s="855">
        <f>$S$1*P!C92</f>
        <v>6.4376992998624996E-2</v>
      </c>
      <c r="D93" s="856">
        <f>IF(P!D92="n.a.","n.a.",$S$1*P!D92)</f>
        <v>7.7252391598349998E-2</v>
      </c>
      <c r="F93" s="846">
        <v>20</v>
      </c>
      <c r="G93" s="847">
        <v>1</v>
      </c>
      <c r="H93" s="1890">
        <v>0</v>
      </c>
      <c r="I93" s="848">
        <f>H93*LOOKUP(G93,'Idemat Data'!$G$4:$G$1123,'Idemat Data'!$K$4:$K$1123)</f>
        <v>0</v>
      </c>
      <c r="S93" s="782">
        <v>89</v>
      </c>
      <c r="T93" s="782" t="s">
        <v>4284</v>
      </c>
      <c r="U93" s="782" t="s">
        <v>5731</v>
      </c>
      <c r="V93" s="797">
        <f>$S$1*P!V93</f>
        <v>3.2286290322580648E-5</v>
      </c>
      <c r="W93" s="780"/>
      <c r="X93" s="782">
        <v>89</v>
      </c>
      <c r="Y93" s="782" t="s">
        <v>2248</v>
      </c>
      <c r="Z93" s="782" t="s">
        <v>5721</v>
      </c>
      <c r="AA93" s="781">
        <f>$S$1*P!AA93</f>
        <v>1.4909274193548388E-3</v>
      </c>
      <c r="AB93" s="780"/>
      <c r="AC93" s="782">
        <v>89</v>
      </c>
      <c r="AD93" s="782" t="s">
        <v>4573</v>
      </c>
      <c r="AE93" s="782" t="s">
        <v>5721</v>
      </c>
      <c r="AF93" s="781">
        <f>$S$1*P!AF93</f>
        <v>4.7298387096774194E-3</v>
      </c>
    </row>
    <row r="94" spans="1:32" ht="20.25" customHeight="1" x14ac:dyDescent="0.35">
      <c r="A94" s="849">
        <v>48</v>
      </c>
      <c r="B94" s="854" t="s">
        <v>519</v>
      </c>
      <c r="C94" s="855">
        <f>$S$1*P!C93</f>
        <v>5.1224909715695002E-2</v>
      </c>
      <c r="D94" s="856">
        <f>IF(P!D93="n.a.","n.a.",$S$1*P!D93)</f>
        <v>6.1469891658834E-2</v>
      </c>
      <c r="F94" s="846">
        <v>21</v>
      </c>
      <c r="G94" s="847">
        <v>1</v>
      </c>
      <c r="H94" s="1890">
        <v>0</v>
      </c>
      <c r="I94" s="848">
        <f>H94*LOOKUP(G94,'Idemat Data'!$G$4:$G$1123,'Idemat Data'!$K$4:$K$1123)</f>
        <v>0</v>
      </c>
      <c r="S94" s="782">
        <v>90</v>
      </c>
      <c r="T94" s="782" t="s">
        <v>4284</v>
      </c>
      <c r="U94" s="782" t="s">
        <v>5730</v>
      </c>
      <c r="V94" s="797">
        <f>$S$1*P!V94</f>
        <v>7.2661290322580647E-6</v>
      </c>
      <c r="W94" s="780"/>
      <c r="X94" s="782">
        <v>90</v>
      </c>
      <c r="Y94" s="782" t="s">
        <v>2248</v>
      </c>
      <c r="Z94" s="782" t="s">
        <v>5720</v>
      </c>
      <c r="AA94" s="781">
        <f>$S$1*P!AA94</f>
        <v>3.7016129032258068E-4</v>
      </c>
      <c r="AB94" s="780"/>
      <c r="AC94" s="782">
        <v>90</v>
      </c>
      <c r="AD94" s="782" t="s">
        <v>4573</v>
      </c>
      <c r="AE94" s="782" t="s">
        <v>5720</v>
      </c>
      <c r="AF94" s="781">
        <f>$S$1*P!AF94</f>
        <v>8.431451612903226E-3</v>
      </c>
    </row>
    <row r="95" spans="1:32" ht="20.25" customHeight="1" thickBot="1" x14ac:dyDescent="0.4">
      <c r="A95" s="849">
        <v>49</v>
      </c>
      <c r="B95" s="854" t="s">
        <v>520</v>
      </c>
      <c r="C95" s="855">
        <f>$S$1*P!C94</f>
        <v>9.4021340690209995E-2</v>
      </c>
      <c r="D95" s="856">
        <f>IF(P!D94="n.a.","n.a.",$S$1*P!D94)</f>
        <v>0.11282560882825199</v>
      </c>
      <c r="G95" s="804"/>
      <c r="H95" s="804"/>
      <c r="I95" s="804"/>
      <c r="S95" s="782">
        <v>91</v>
      </c>
      <c r="T95" s="782" t="s">
        <v>4284</v>
      </c>
      <c r="U95" s="782" t="s">
        <v>5729</v>
      </c>
      <c r="V95" s="797">
        <f>$S$1*P!V95</f>
        <v>1.5183467741935485E-4</v>
      </c>
      <c r="W95" s="780"/>
      <c r="X95" s="782">
        <v>91</v>
      </c>
      <c r="Y95" s="782" t="s">
        <v>2248</v>
      </c>
      <c r="Z95" s="782" t="s">
        <v>5719</v>
      </c>
      <c r="AA95" s="781">
        <f>$S$1*P!AA95</f>
        <v>2.6733870967741939E-2</v>
      </c>
      <c r="AB95" s="780"/>
      <c r="AC95" s="782">
        <v>91</v>
      </c>
      <c r="AD95" s="782" t="s">
        <v>4573</v>
      </c>
      <c r="AE95" s="782" t="s">
        <v>5719</v>
      </c>
      <c r="AF95" s="781">
        <f>$S$1*P!AF95</f>
        <v>2.3340725806451617</v>
      </c>
    </row>
    <row r="96" spans="1:32" ht="20.25" customHeight="1" thickBot="1" x14ac:dyDescent="0.4">
      <c r="A96" s="849">
        <v>50</v>
      </c>
      <c r="B96" s="854" t="s">
        <v>521</v>
      </c>
      <c r="C96" s="855">
        <f>$S$1*P!C95</f>
        <v>0.17342148765078405</v>
      </c>
      <c r="D96" s="856">
        <f>IF(P!D95="n.a.","n.a.",$S$1*P!D95)</f>
        <v>0.20810578518094086</v>
      </c>
      <c r="G96" s="1720" t="s">
        <v>7658</v>
      </c>
      <c r="H96" s="1721"/>
      <c r="I96" s="859">
        <f>SUM(I74:I94)</f>
        <v>0</v>
      </c>
      <c r="S96" s="782">
        <v>92</v>
      </c>
      <c r="T96" s="782" t="s">
        <v>4284</v>
      </c>
      <c r="U96" s="782" t="s">
        <v>5728</v>
      </c>
      <c r="V96" s="797">
        <f>$S$1*P!V96</f>
        <v>1.7068548387096777E-4</v>
      </c>
      <c r="W96" s="780"/>
      <c r="X96" s="782">
        <v>92</v>
      </c>
      <c r="Y96" s="782" t="s">
        <v>2248</v>
      </c>
      <c r="Z96" s="782" t="s">
        <v>3828</v>
      </c>
      <c r="AA96" s="781">
        <f>$S$1*P!AA96</f>
        <v>0</v>
      </c>
      <c r="AB96" s="780"/>
      <c r="AC96" s="782">
        <v>92</v>
      </c>
      <c r="AD96" s="782" t="s">
        <v>4573</v>
      </c>
      <c r="AE96" s="782" t="s">
        <v>3828</v>
      </c>
      <c r="AF96" s="781">
        <f>$S$1*P!AF96</f>
        <v>0</v>
      </c>
    </row>
    <row r="97" spans="1:32" ht="20.25" customHeight="1" x14ac:dyDescent="0.35">
      <c r="A97" s="849">
        <v>51</v>
      </c>
      <c r="B97" s="858" t="s">
        <v>522</v>
      </c>
      <c r="C97" s="855">
        <f>$S$1*P!C96</f>
        <v>4.9543383980790001E-2</v>
      </c>
      <c r="D97" s="856">
        <f>IF(P!D96="n.a.","n.a.",$S$1*P!D96)</f>
        <v>5.9452060776948E-2</v>
      </c>
      <c r="G97" s="804"/>
      <c r="H97" s="804"/>
      <c r="I97" s="804"/>
      <c r="S97" s="782">
        <v>93</v>
      </c>
      <c r="T97" s="782" t="s">
        <v>4284</v>
      </c>
      <c r="U97" s="782" t="s">
        <v>5727</v>
      </c>
      <c r="V97" s="797">
        <f>$S$1*P!V97</f>
        <v>2.906451612903226E-3</v>
      </c>
      <c r="W97" s="780"/>
      <c r="X97" s="782">
        <v>93</v>
      </c>
      <c r="Y97" s="782" t="s">
        <v>2248</v>
      </c>
      <c r="Z97" s="782" t="s">
        <v>5717</v>
      </c>
      <c r="AA97" s="781">
        <f>$S$1*P!AA97</f>
        <v>4.524193548387097E-4</v>
      </c>
      <c r="AB97" s="780"/>
      <c r="AC97" s="782">
        <v>93</v>
      </c>
      <c r="AD97" s="782" t="s">
        <v>4573</v>
      </c>
      <c r="AE97" s="782" t="s">
        <v>5717</v>
      </c>
      <c r="AF97" s="781">
        <f>$S$1*P!AF97</f>
        <v>1.7719758064516132E-3</v>
      </c>
    </row>
    <row r="98" spans="1:32" ht="20.25" customHeight="1" x14ac:dyDescent="0.35">
      <c r="A98" s="849">
        <v>52</v>
      </c>
      <c r="B98" s="854" t="s">
        <v>523</v>
      </c>
      <c r="C98" s="855" t="s">
        <v>6926</v>
      </c>
      <c r="D98" s="856" t="str">
        <f>IF(P!D97="n.a.","n.a.",$S$1*P!D97)</f>
        <v>n.a.</v>
      </c>
      <c r="G98" s="805"/>
      <c r="H98" s="805"/>
      <c r="I98" s="805"/>
      <c r="S98" s="782">
        <v>94</v>
      </c>
      <c r="T98" s="782" t="s">
        <v>4284</v>
      </c>
      <c r="U98" s="782" t="s">
        <v>5724</v>
      </c>
      <c r="V98" s="797">
        <f>$S$1*P!V98</f>
        <v>6.1350806451612902E-6</v>
      </c>
      <c r="W98" s="780"/>
      <c r="X98" s="782">
        <v>94</v>
      </c>
      <c r="Y98" s="782" t="s">
        <v>2248</v>
      </c>
      <c r="Z98" s="782" t="s">
        <v>3826</v>
      </c>
      <c r="AA98" s="781">
        <f>$S$1*P!AA98</f>
        <v>0</v>
      </c>
      <c r="AB98" s="780"/>
      <c r="AC98" s="782">
        <v>94</v>
      </c>
      <c r="AD98" s="782" t="s">
        <v>4573</v>
      </c>
      <c r="AE98" s="782" t="s">
        <v>3826</v>
      </c>
      <c r="AF98" s="781">
        <f>$S$1*P!AF98</f>
        <v>1.9227822580645162</v>
      </c>
    </row>
    <row r="99" spans="1:32" ht="20.25" customHeight="1" x14ac:dyDescent="0.35">
      <c r="A99" s="849">
        <v>53</v>
      </c>
      <c r="B99" s="854" t="s">
        <v>524</v>
      </c>
      <c r="C99" s="855" t="s">
        <v>6926</v>
      </c>
      <c r="D99" s="856" t="str">
        <f>IF(P!D98="n.a.","n.a.",$S$1*P!D98)</f>
        <v>n.a.</v>
      </c>
      <c r="G99" s="805"/>
      <c r="H99" s="805"/>
      <c r="I99" s="805"/>
      <c r="S99" s="782">
        <v>95</v>
      </c>
      <c r="T99" s="782" t="s">
        <v>4284</v>
      </c>
      <c r="U99" s="782" t="s">
        <v>3829</v>
      </c>
      <c r="V99" s="797">
        <f>$S$1*P!V99</f>
        <v>1.5548</v>
      </c>
      <c r="W99" s="780"/>
      <c r="X99" s="782">
        <v>95</v>
      </c>
      <c r="Y99" s="782" t="s">
        <v>2248</v>
      </c>
      <c r="Z99" s="782" t="s">
        <v>3826</v>
      </c>
      <c r="AA99" s="781">
        <f>$S$1*P!AA99</f>
        <v>7.0262096774193553E-2</v>
      </c>
      <c r="AB99" s="780"/>
      <c r="AC99" s="782">
        <v>95</v>
      </c>
      <c r="AD99" s="782" t="s">
        <v>4573</v>
      </c>
      <c r="AE99" s="782" t="s">
        <v>3826</v>
      </c>
      <c r="AF99" s="781">
        <f>$S$1*P!AF99</f>
        <v>0</v>
      </c>
    </row>
    <row r="100" spans="1:32" ht="20.25" customHeight="1" x14ac:dyDescent="0.35">
      <c r="A100" s="849">
        <v>54</v>
      </c>
      <c r="B100" s="854" t="s">
        <v>525</v>
      </c>
      <c r="C100" s="855">
        <f>$S$1*P!C99</f>
        <v>8.2645779121354998E-2</v>
      </c>
      <c r="D100" s="856">
        <f>IF(P!D99="n.a.","n.a.",$S$1*P!D99)</f>
        <v>9.9174934945626E-2</v>
      </c>
      <c r="G100" s="805"/>
      <c r="H100" s="805"/>
      <c r="I100" s="805"/>
      <c r="S100" s="782">
        <v>96</v>
      </c>
      <c r="T100" s="782" t="s">
        <v>4284</v>
      </c>
      <c r="U100" s="782" t="s">
        <v>5723</v>
      </c>
      <c r="V100" s="797">
        <f>$S$1*P!V100</f>
        <v>1.1516129032258065E-4</v>
      </c>
      <c r="W100" s="780"/>
      <c r="X100" s="782">
        <v>96</v>
      </c>
      <c r="Y100" s="782" t="s">
        <v>2248</v>
      </c>
      <c r="Z100" s="782" t="s">
        <v>5716</v>
      </c>
      <c r="AA100" s="781">
        <f>$S$1*P!AA100</f>
        <v>1.5252016129032259E-2</v>
      </c>
      <c r="AB100" s="780"/>
      <c r="AC100" s="782">
        <v>96</v>
      </c>
      <c r="AD100" s="782" t="s">
        <v>4573</v>
      </c>
      <c r="AE100" s="782" t="s">
        <v>5716</v>
      </c>
      <c r="AF100" s="781">
        <f>$S$1*P!AF100</f>
        <v>0.24677419354838712</v>
      </c>
    </row>
    <row r="101" spans="1:32" ht="20.25" customHeight="1" x14ac:dyDescent="0.35">
      <c r="A101" s="849">
        <v>55</v>
      </c>
      <c r="B101" s="854" t="s">
        <v>526</v>
      </c>
      <c r="C101" s="855">
        <f>$S$1*P!C100</f>
        <v>3.4705104847665008E-2</v>
      </c>
      <c r="D101" s="856">
        <f>IF(P!D100="n.a.","n.a.",$S$1*P!D100)</f>
        <v>4.164612581719801E-2</v>
      </c>
      <c r="G101" s="805"/>
      <c r="H101" s="805"/>
      <c r="I101" s="805"/>
      <c r="S101" s="782">
        <v>97</v>
      </c>
      <c r="T101" s="782" t="s">
        <v>4284</v>
      </c>
      <c r="U101" s="782" t="s">
        <v>5722</v>
      </c>
      <c r="V101" s="797">
        <f>$S$1*P!V101</f>
        <v>1.7034274193548388E-2</v>
      </c>
      <c r="W101" s="780"/>
      <c r="X101" s="782">
        <v>97</v>
      </c>
      <c r="Y101" s="782" t="s">
        <v>2248</v>
      </c>
      <c r="Z101" s="782" t="s">
        <v>3825</v>
      </c>
      <c r="AA101" s="781">
        <f>$S$1*P!AA101</f>
        <v>0</v>
      </c>
      <c r="AB101" s="780"/>
      <c r="AC101" s="782">
        <v>97</v>
      </c>
      <c r="AD101" s="782" t="s">
        <v>4573</v>
      </c>
      <c r="AE101" s="782" t="s">
        <v>3825</v>
      </c>
      <c r="AF101" s="781">
        <f>$S$1*P!AF101</f>
        <v>0</v>
      </c>
    </row>
    <row r="102" spans="1:32" ht="20.25" customHeight="1" x14ac:dyDescent="0.35">
      <c r="A102" s="849">
        <v>56</v>
      </c>
      <c r="B102" s="854" t="s">
        <v>527</v>
      </c>
      <c r="C102" s="855">
        <f>$S$1*P!C101</f>
        <v>6.6633265056844998E-2</v>
      </c>
      <c r="D102" s="856">
        <f>IF(P!D101="n.a.","n.a.",$S$1*P!D101)</f>
        <v>7.9959918068213995E-2</v>
      </c>
      <c r="G102" s="805"/>
      <c r="H102" s="805"/>
      <c r="I102" s="805"/>
      <c r="S102" s="782">
        <v>98</v>
      </c>
      <c r="T102" s="782" t="s">
        <v>4284</v>
      </c>
      <c r="U102" s="782" t="s">
        <v>5721</v>
      </c>
      <c r="V102" s="797">
        <f>$S$1*P!V102</f>
        <v>1.028225806451613E-3</v>
      </c>
      <c r="W102" s="780"/>
      <c r="X102" s="782">
        <v>98</v>
      </c>
      <c r="Y102" s="782" t="s">
        <v>2248</v>
      </c>
      <c r="Z102" s="782" t="s">
        <v>5715</v>
      </c>
      <c r="AA102" s="781">
        <f>$S$1*P!AA102</f>
        <v>9.425403225806452E-4</v>
      </c>
      <c r="AB102" s="780"/>
      <c r="AC102" s="782">
        <v>98</v>
      </c>
      <c r="AD102" s="782" t="s">
        <v>4573</v>
      </c>
      <c r="AE102" s="782" t="s">
        <v>5715</v>
      </c>
      <c r="AF102" s="781">
        <f>$S$1*P!AF102</f>
        <v>1.1721774193548388E-2</v>
      </c>
    </row>
    <row r="103" spans="1:32" ht="20.25" customHeight="1" x14ac:dyDescent="0.35">
      <c r="A103" s="849">
        <v>57</v>
      </c>
      <c r="B103" s="854" t="s">
        <v>528</v>
      </c>
      <c r="C103" s="855">
        <f>$S$1*P!C102</f>
        <v>3.2975378054750003E-2</v>
      </c>
      <c r="D103" s="856">
        <f>IF(P!D102="n.a.","n.a.",$S$1*P!D102)</f>
        <v>3.9570453665700001E-2</v>
      </c>
      <c r="G103" s="805"/>
      <c r="H103" s="805"/>
      <c r="I103" s="805"/>
      <c r="S103" s="782">
        <v>99</v>
      </c>
      <c r="T103" s="782" t="s">
        <v>4284</v>
      </c>
      <c r="U103" s="782" t="s">
        <v>5720</v>
      </c>
      <c r="V103" s="797">
        <f>$S$1*P!V103</f>
        <v>1.4018145161290323E-4</v>
      </c>
      <c r="W103" s="780"/>
      <c r="X103" s="782">
        <v>99</v>
      </c>
      <c r="Y103" s="782" t="s">
        <v>2248</v>
      </c>
      <c r="Z103" s="782" t="s">
        <v>5714</v>
      </c>
      <c r="AA103" s="781">
        <f>$S$1*P!AA103</f>
        <v>6.7177419354838707E-5</v>
      </c>
      <c r="AB103" s="780"/>
      <c r="AC103" s="782">
        <v>99</v>
      </c>
      <c r="AD103" s="782" t="s">
        <v>4573</v>
      </c>
      <c r="AE103" s="782" t="s">
        <v>5714</v>
      </c>
      <c r="AF103" s="781">
        <f>$S$1*P!AF103</f>
        <v>2.5054435483870969E-4</v>
      </c>
    </row>
    <row r="104" spans="1:32" ht="20.25" customHeight="1" x14ac:dyDescent="0.35">
      <c r="A104" s="849">
        <v>58</v>
      </c>
      <c r="B104" s="854" t="s">
        <v>529</v>
      </c>
      <c r="C104" s="855" t="s">
        <v>6926</v>
      </c>
      <c r="D104" s="856" t="str">
        <f>IF(P!D103="n.a.","n.a.",$S$1*P!D103)</f>
        <v>n.a.</v>
      </c>
      <c r="G104" s="805"/>
      <c r="H104" s="805"/>
      <c r="I104" s="805"/>
      <c r="S104" s="782">
        <v>100</v>
      </c>
      <c r="T104" s="782" t="s">
        <v>4284</v>
      </c>
      <c r="U104" s="782" t="s">
        <v>5719</v>
      </c>
      <c r="V104" s="797">
        <f>$S$1*P!V104</f>
        <v>8.5000000000000006E-3</v>
      </c>
      <c r="W104" s="780"/>
      <c r="X104" s="782">
        <v>100</v>
      </c>
      <c r="Y104" s="782" t="s">
        <v>2248</v>
      </c>
      <c r="Z104" s="782" t="s">
        <v>5713</v>
      </c>
      <c r="AA104" s="781">
        <f>$S$1*P!AA104</f>
        <v>4.9697580645161291E-6</v>
      </c>
      <c r="AB104" s="780"/>
      <c r="AC104" s="782">
        <v>100</v>
      </c>
      <c r="AD104" s="782" t="s">
        <v>4573</v>
      </c>
      <c r="AE104" s="782" t="s">
        <v>5713</v>
      </c>
      <c r="AF104" s="781">
        <f>$S$1*P!AF104</f>
        <v>7.3346774193548388E-4</v>
      </c>
    </row>
    <row r="105" spans="1:32" ht="20.25" customHeight="1" x14ac:dyDescent="0.35">
      <c r="A105" s="849">
        <v>59</v>
      </c>
      <c r="B105" s="854" t="s">
        <v>530</v>
      </c>
      <c r="C105" s="855">
        <f>$S$1*P!C104</f>
        <v>8.7309968336720015E-2</v>
      </c>
      <c r="D105" s="856">
        <f>IF(P!D104="n.a.","n.a.",$S$1*P!D104)</f>
        <v>0.10477196200406401</v>
      </c>
      <c r="G105" s="805"/>
      <c r="H105" s="805"/>
      <c r="I105" s="805"/>
      <c r="S105" s="782">
        <v>101</v>
      </c>
      <c r="T105" s="782" t="s">
        <v>4284</v>
      </c>
      <c r="U105" s="782" t="s">
        <v>3828</v>
      </c>
      <c r="V105" s="797">
        <f>$S$1*P!V105</f>
        <v>0</v>
      </c>
      <c r="W105" s="780"/>
      <c r="X105" s="782">
        <v>101</v>
      </c>
      <c r="Y105" s="782" t="s">
        <v>2248</v>
      </c>
      <c r="Z105" s="782" t="s">
        <v>5712</v>
      </c>
      <c r="AA105" s="781">
        <f>$S$1*P!AA105</f>
        <v>1.2715725806451613E-4</v>
      </c>
      <c r="AB105" s="780"/>
      <c r="AC105" s="782">
        <v>101</v>
      </c>
      <c r="AD105" s="782" t="s">
        <v>4573</v>
      </c>
      <c r="AE105" s="782" t="s">
        <v>5712</v>
      </c>
      <c r="AF105" s="781">
        <f>$S$1*P!AF105</f>
        <v>3.3862903225806455E-3</v>
      </c>
    </row>
    <row r="106" spans="1:32" ht="20.25" customHeight="1" x14ac:dyDescent="0.35">
      <c r="A106" s="849">
        <v>60</v>
      </c>
      <c r="B106" s="854" t="s">
        <v>531</v>
      </c>
      <c r="C106" s="855">
        <f>$S$1*P!C105</f>
        <v>0.26202638341851003</v>
      </c>
      <c r="D106" s="856">
        <f>IF(P!D105="n.a.","n.a.",$S$1*P!D105)</f>
        <v>0.31443166010221202</v>
      </c>
      <c r="G106" s="805"/>
      <c r="H106" s="805"/>
      <c r="I106" s="805"/>
      <c r="S106" s="782">
        <v>102</v>
      </c>
      <c r="T106" s="782" t="s">
        <v>4284</v>
      </c>
      <c r="U106" s="782" t="s">
        <v>5717</v>
      </c>
      <c r="V106" s="797">
        <f>$S$1*P!V106</f>
        <v>3.1395161290322582E-4</v>
      </c>
      <c r="W106" s="780"/>
      <c r="X106" s="782">
        <v>102</v>
      </c>
      <c r="Y106" s="782" t="s">
        <v>2248</v>
      </c>
      <c r="Z106" s="782" t="s">
        <v>5711</v>
      </c>
      <c r="AA106" s="781">
        <f>$S$1*P!AA106</f>
        <v>2.3512096774193549E-3</v>
      </c>
      <c r="AB106" s="780"/>
      <c r="AC106" s="782">
        <v>102</v>
      </c>
      <c r="AD106" s="782" t="s">
        <v>4573</v>
      </c>
      <c r="AE106" s="782" t="s">
        <v>5711</v>
      </c>
      <c r="AF106" s="781">
        <f>$S$1*P!AF106</f>
        <v>0.20701612903225808</v>
      </c>
    </row>
    <row r="107" spans="1:32" ht="20.25" customHeight="1" x14ac:dyDescent="0.35">
      <c r="A107" s="849">
        <v>61</v>
      </c>
      <c r="B107" s="854" t="s">
        <v>532</v>
      </c>
      <c r="C107" s="855">
        <f>$S$1*P!C106</f>
        <v>1.5319846901670001E-2</v>
      </c>
      <c r="D107" s="856">
        <f>IF(P!D106="n.a.","n.a.",$S$1*P!D106)</f>
        <v>1.8383816282004001E-2</v>
      </c>
      <c r="G107" s="805"/>
      <c r="H107" s="805"/>
      <c r="I107" s="805"/>
      <c r="S107" s="782">
        <v>103</v>
      </c>
      <c r="T107" s="782" t="s">
        <v>4284</v>
      </c>
      <c r="U107" s="782" t="s">
        <v>3826</v>
      </c>
      <c r="V107" s="797">
        <f>$S$1*P!V107</f>
        <v>3.1360887096774197E-2</v>
      </c>
      <c r="W107" s="780"/>
      <c r="X107" s="782">
        <v>103</v>
      </c>
      <c r="Y107" s="782" t="s">
        <v>2248</v>
      </c>
      <c r="Z107" s="782" t="s">
        <v>5710</v>
      </c>
      <c r="AA107" s="781">
        <f>$S$1*P!AA107</f>
        <v>1.1721774193548389E-5</v>
      </c>
      <c r="AB107" s="780"/>
      <c r="AC107" s="782">
        <v>103</v>
      </c>
      <c r="AD107" s="782" t="s">
        <v>4573</v>
      </c>
      <c r="AE107" s="782" t="s">
        <v>5710</v>
      </c>
      <c r="AF107" s="781">
        <f>$S$1*P!AF107</f>
        <v>3.7701612903225809E-2</v>
      </c>
    </row>
    <row r="108" spans="1:32" ht="20.25" customHeight="1" x14ac:dyDescent="0.35">
      <c r="A108" s="849">
        <v>62</v>
      </c>
      <c r="B108" s="854" t="s">
        <v>533</v>
      </c>
      <c r="C108" s="855" t="s">
        <v>6926</v>
      </c>
      <c r="D108" s="856" t="str">
        <f>IF(P!D107="n.a.","n.a.",$S$1*P!D107)</f>
        <v>n.a.</v>
      </c>
      <c r="G108" s="805"/>
      <c r="H108" s="805"/>
      <c r="I108" s="805"/>
      <c r="S108" s="782">
        <v>104</v>
      </c>
      <c r="T108" s="782" t="s">
        <v>4284</v>
      </c>
      <c r="U108" s="782" t="s">
        <v>3826</v>
      </c>
      <c r="V108" s="797">
        <f>$S$1*P!V108</f>
        <v>0</v>
      </c>
      <c r="W108" s="780"/>
      <c r="X108" s="782">
        <v>104</v>
      </c>
      <c r="Y108" s="782" t="s">
        <v>2248</v>
      </c>
      <c r="Z108" s="782" t="s">
        <v>3823</v>
      </c>
      <c r="AA108" s="781">
        <f>$S$1*P!AA108</f>
        <v>7.2496000000000005E-2</v>
      </c>
      <c r="AB108" s="780"/>
      <c r="AC108" s="782">
        <v>104</v>
      </c>
      <c r="AD108" s="782" t="s">
        <v>4573</v>
      </c>
      <c r="AE108" s="782" t="s">
        <v>3823</v>
      </c>
      <c r="AF108" s="781">
        <f>$S$1*P!AF108</f>
        <v>1.0659274193548387E-4</v>
      </c>
    </row>
    <row r="109" spans="1:32" ht="20.25" customHeight="1" x14ac:dyDescent="0.35">
      <c r="A109" s="849">
        <v>63</v>
      </c>
      <c r="B109" s="854" t="s">
        <v>534</v>
      </c>
      <c r="C109" s="855">
        <f>$S$1*P!C108</f>
        <v>4.1375910425380587E-2</v>
      </c>
      <c r="D109" s="856">
        <f>IF(P!D108="n.a.","n.a.",$S$1*P!D108)</f>
        <v>4.9651092510456706E-2</v>
      </c>
      <c r="G109" s="805"/>
      <c r="H109" s="805"/>
      <c r="I109" s="805"/>
      <c r="S109" s="782">
        <v>105</v>
      </c>
      <c r="T109" s="782" t="s">
        <v>4284</v>
      </c>
      <c r="U109" s="782" t="s">
        <v>5716</v>
      </c>
      <c r="V109" s="797">
        <f>$S$1*P!V109</f>
        <v>3.3725806451612907E-3</v>
      </c>
      <c r="W109" s="780"/>
      <c r="X109" s="782">
        <v>105</v>
      </c>
      <c r="Y109" s="782" t="s">
        <v>2248</v>
      </c>
      <c r="Z109" s="782" t="s">
        <v>3823</v>
      </c>
      <c r="AA109" s="781">
        <f>$S$1*P!AA109</f>
        <v>2.5431451612903227E-5</v>
      </c>
      <c r="AB109" s="780"/>
      <c r="AC109" s="782">
        <v>105</v>
      </c>
      <c r="AD109" s="782" t="s">
        <v>4573</v>
      </c>
      <c r="AE109" s="782" t="s">
        <v>3823</v>
      </c>
      <c r="AF109" s="781">
        <f>$S$1*P!AF109</f>
        <v>0.28060000000000002</v>
      </c>
    </row>
    <row r="110" spans="1:32" ht="20.25" customHeight="1" x14ac:dyDescent="0.35">
      <c r="A110" s="849">
        <v>64</v>
      </c>
      <c r="B110" s="858" t="s">
        <v>535</v>
      </c>
      <c r="C110" s="855">
        <f>$S$1*P!C109</f>
        <v>3.1727383448667129E-2</v>
      </c>
      <c r="D110" s="856">
        <f>IF(P!D109="n.a.","n.a.",$S$1*P!D109)</f>
        <v>3.8072860138400555E-2</v>
      </c>
      <c r="G110" s="805"/>
      <c r="H110" s="805"/>
      <c r="I110" s="805"/>
      <c r="S110" s="782">
        <v>106</v>
      </c>
      <c r="T110" s="782" t="s">
        <v>4284</v>
      </c>
      <c r="U110" s="782" t="s">
        <v>3825</v>
      </c>
      <c r="V110" s="797">
        <f>$S$1*P!V110</f>
        <v>0</v>
      </c>
      <c r="W110" s="780"/>
      <c r="X110" s="782">
        <v>106</v>
      </c>
      <c r="Y110" s="782" t="s">
        <v>2248</v>
      </c>
      <c r="Z110" s="782" t="s">
        <v>5707</v>
      </c>
      <c r="AA110" s="781">
        <f>$S$1*P!AA110</f>
        <v>1.9262096774193551E-3</v>
      </c>
      <c r="AB110" s="780"/>
      <c r="AC110" s="782">
        <v>106</v>
      </c>
      <c r="AD110" s="782" t="s">
        <v>4573</v>
      </c>
      <c r="AE110" s="782" t="s">
        <v>5707</v>
      </c>
      <c r="AF110" s="781">
        <f>$S$1*P!AF110</f>
        <v>1.1036290322580645E-2</v>
      </c>
    </row>
    <row r="111" spans="1:32" ht="20.25" customHeight="1" x14ac:dyDescent="0.35">
      <c r="A111" s="849">
        <v>65</v>
      </c>
      <c r="B111" s="854" t="s">
        <v>536</v>
      </c>
      <c r="C111" s="855">
        <f>$S$1*P!C110</f>
        <v>5.4685825147665006E-2</v>
      </c>
      <c r="D111" s="856">
        <f>IF(P!D110="n.a.","n.a.",$S$1*P!D110)</f>
        <v>6.5622990177197998E-2</v>
      </c>
      <c r="G111" s="805"/>
      <c r="H111" s="805"/>
      <c r="I111" s="805"/>
      <c r="S111" s="782">
        <v>107</v>
      </c>
      <c r="T111" s="782" t="s">
        <v>4284</v>
      </c>
      <c r="U111" s="782" t="s">
        <v>5715</v>
      </c>
      <c r="V111" s="797">
        <f>$S$1*P!V111</f>
        <v>5.4495967741935489E-5</v>
      </c>
      <c r="W111" s="780"/>
      <c r="X111" s="782">
        <v>107</v>
      </c>
      <c r="Y111" s="782" t="s">
        <v>2248</v>
      </c>
      <c r="Z111" s="782" t="s">
        <v>5706</v>
      </c>
      <c r="AA111" s="781">
        <f>$S$1*P!AA111</f>
        <v>6.1693548387096783E-3</v>
      </c>
      <c r="AB111" s="780"/>
      <c r="AC111" s="782">
        <v>107</v>
      </c>
      <c r="AD111" s="782" t="s">
        <v>4573</v>
      </c>
      <c r="AE111" s="782" t="s">
        <v>5706</v>
      </c>
      <c r="AF111" s="781">
        <f>$S$1*P!AF111</f>
        <v>2.3820564516129034E-2</v>
      </c>
    </row>
    <row r="112" spans="1:32" ht="20.25" customHeight="1" x14ac:dyDescent="0.35">
      <c r="A112" s="849">
        <v>66</v>
      </c>
      <c r="B112" s="854" t="s">
        <v>537</v>
      </c>
      <c r="C112" s="855" t="s">
        <v>6926</v>
      </c>
      <c r="D112" s="856" t="str">
        <f>IF(P!D111="n.a.","n.a.",$S$1*P!D111)</f>
        <v>n.a.</v>
      </c>
      <c r="G112" s="805"/>
      <c r="H112" s="805"/>
      <c r="I112" s="805"/>
      <c r="S112" s="782">
        <v>108</v>
      </c>
      <c r="T112" s="782" t="s">
        <v>4284</v>
      </c>
      <c r="U112" s="782" t="s">
        <v>5714</v>
      </c>
      <c r="V112" s="797">
        <f>$S$1*P!V112</f>
        <v>2.8653225806451613E-5</v>
      </c>
      <c r="W112" s="780"/>
      <c r="X112" s="782">
        <v>108</v>
      </c>
      <c r="Y112" s="782" t="s">
        <v>2248</v>
      </c>
      <c r="Z112" s="782" t="s">
        <v>5705</v>
      </c>
      <c r="AA112" s="781">
        <f>$S$1*P!AA112</f>
        <v>1.2372983870967743E-3</v>
      </c>
      <c r="AB112" s="780"/>
      <c r="AC112" s="782">
        <v>108</v>
      </c>
      <c r="AD112" s="782" t="s">
        <v>4573</v>
      </c>
      <c r="AE112" s="782" t="s">
        <v>5705</v>
      </c>
      <c r="AF112" s="781">
        <f>$S$1*P!AF112</f>
        <v>4.8326612903225812E-2</v>
      </c>
    </row>
    <row r="113" spans="1:32" ht="20.25" customHeight="1" x14ac:dyDescent="0.35">
      <c r="A113" s="849">
        <v>67</v>
      </c>
      <c r="B113" s="854" t="s">
        <v>538</v>
      </c>
      <c r="C113" s="855">
        <f>$S$1*P!C112</f>
        <v>1.1490735436669999E-2</v>
      </c>
      <c r="D113" s="856">
        <f>IF(P!D112="n.a.","n.a.",$S$1*P!D112)</f>
        <v>1.3788882524003999E-2</v>
      </c>
      <c r="G113" s="805"/>
      <c r="H113" s="805"/>
      <c r="I113" s="805"/>
      <c r="S113" s="782">
        <v>109</v>
      </c>
      <c r="T113" s="782" t="s">
        <v>4284</v>
      </c>
      <c r="U113" s="782" t="s">
        <v>5713</v>
      </c>
      <c r="V113" s="797">
        <f>$S$1*P!V113</f>
        <v>1.429233870967742E-5</v>
      </c>
      <c r="W113" s="780"/>
      <c r="X113" s="782">
        <v>109</v>
      </c>
      <c r="Y113" s="782" t="s">
        <v>2248</v>
      </c>
      <c r="Z113" s="782" t="s">
        <v>5704</v>
      </c>
      <c r="AA113" s="781">
        <f>$S$1*P!AA113</f>
        <v>0.49354838709677423</v>
      </c>
      <c r="AB113" s="780"/>
      <c r="AC113" s="782">
        <v>109</v>
      </c>
      <c r="AD113" s="782" t="s">
        <v>4573</v>
      </c>
      <c r="AE113" s="782" t="s">
        <v>5704</v>
      </c>
      <c r="AF113" s="781">
        <f>$S$1*P!AF113</f>
        <v>3.369153225806452</v>
      </c>
    </row>
    <row r="114" spans="1:32" ht="20.25" customHeight="1" x14ac:dyDescent="0.35">
      <c r="A114" s="849">
        <v>68</v>
      </c>
      <c r="B114" s="858" t="s">
        <v>539</v>
      </c>
      <c r="C114" s="855">
        <f>$S$1*P!C113</f>
        <v>9.5775565303119953E-2</v>
      </c>
      <c r="D114" s="856">
        <f>IF(P!D113="n.a.","n.a.",$S$1*P!D113)</f>
        <v>0.11493067836374393</v>
      </c>
      <c r="G114" s="805"/>
      <c r="H114" s="805"/>
      <c r="I114" s="805"/>
      <c r="S114" s="782">
        <v>110</v>
      </c>
      <c r="T114" s="782" t="s">
        <v>4284</v>
      </c>
      <c r="U114" s="782" t="s">
        <v>5712</v>
      </c>
      <c r="V114" s="797">
        <f>$S$1*P!V114</f>
        <v>1.7514112903225809E-5</v>
      </c>
      <c r="W114" s="780"/>
      <c r="X114" s="782">
        <v>110</v>
      </c>
      <c r="Y114" s="782" t="s">
        <v>2248</v>
      </c>
      <c r="Z114" s="782" t="s">
        <v>5703</v>
      </c>
      <c r="AA114" s="781">
        <f>$S$1*P!AA114</f>
        <v>1.2064516129032259E-4</v>
      </c>
      <c r="AB114" s="780"/>
      <c r="AC114" s="782">
        <v>110</v>
      </c>
      <c r="AD114" s="782" t="s">
        <v>4573</v>
      </c>
      <c r="AE114" s="782" t="s">
        <v>5703</v>
      </c>
      <c r="AF114" s="781">
        <f>$S$1*P!AF114</f>
        <v>0.17411290322580647</v>
      </c>
    </row>
    <row r="115" spans="1:32" ht="20.25" customHeight="1" x14ac:dyDescent="0.35">
      <c r="A115" s="849">
        <v>69</v>
      </c>
      <c r="B115" s="854" t="s">
        <v>540</v>
      </c>
      <c r="C115" s="855">
        <f>$S$1*P!C114</f>
        <v>2.7661905754520003E-2</v>
      </c>
      <c r="D115" s="856">
        <f>IF(P!D114="n.a.","n.a.",$S$1*P!D114)</f>
        <v>3.3194286905424003E-2</v>
      </c>
      <c r="G115" s="805"/>
      <c r="H115" s="805"/>
      <c r="I115" s="805"/>
      <c r="S115" s="782">
        <v>111</v>
      </c>
      <c r="T115" s="782" t="s">
        <v>4284</v>
      </c>
      <c r="U115" s="782" t="s">
        <v>5711</v>
      </c>
      <c r="V115" s="797">
        <f>$S$1*P!V115</f>
        <v>5.4153225806451615E-3</v>
      </c>
      <c r="W115" s="780"/>
      <c r="X115" s="782">
        <v>111</v>
      </c>
      <c r="Y115" s="782" t="s">
        <v>2248</v>
      </c>
      <c r="Z115" s="782" t="s">
        <v>5702</v>
      </c>
      <c r="AA115" s="781">
        <f>$S$1*P!AA115</f>
        <v>1.5012096774193549E-5</v>
      </c>
      <c r="AB115" s="780"/>
      <c r="AC115" s="782">
        <v>111</v>
      </c>
      <c r="AD115" s="782" t="s">
        <v>4573</v>
      </c>
      <c r="AE115" s="782" t="s">
        <v>5702</v>
      </c>
      <c r="AF115" s="781">
        <f>$S$1*P!AF115</f>
        <v>4.2842741935483872E-4</v>
      </c>
    </row>
    <row r="116" spans="1:32" ht="20.25" customHeight="1" x14ac:dyDescent="0.35">
      <c r="A116" s="849">
        <v>70</v>
      </c>
      <c r="B116" s="854" t="s">
        <v>541</v>
      </c>
      <c r="C116" s="855">
        <f>$S$1*P!C115</f>
        <v>0.24559238779868006</v>
      </c>
      <c r="D116" s="856">
        <f>IF(P!D115="n.a.","n.a.",$S$1*P!D115)</f>
        <v>0.29471086535841606</v>
      </c>
      <c r="G116" s="805"/>
      <c r="H116" s="805"/>
      <c r="I116" s="805"/>
      <c r="S116" s="782">
        <v>112</v>
      </c>
      <c r="T116" s="782" t="s">
        <v>4284</v>
      </c>
      <c r="U116" s="782" t="s">
        <v>5710</v>
      </c>
      <c r="V116" s="797">
        <f>$S$1*P!V116</f>
        <v>1.3846774193548389E-7</v>
      </c>
      <c r="W116" s="780"/>
      <c r="X116" s="782">
        <v>112</v>
      </c>
      <c r="Y116" s="782" t="s">
        <v>2248</v>
      </c>
      <c r="Z116" s="782" t="s">
        <v>5701</v>
      </c>
      <c r="AA116" s="781">
        <f>$S$1*P!AA116</f>
        <v>3.2834677419354841E-6</v>
      </c>
      <c r="AB116" s="780"/>
      <c r="AC116" s="782">
        <v>112</v>
      </c>
      <c r="AD116" s="782" t="s">
        <v>4573</v>
      </c>
      <c r="AE116" s="782" t="s">
        <v>5701</v>
      </c>
      <c r="AF116" s="781">
        <f>$S$1*P!AF116</f>
        <v>1.9056451612903227E-2</v>
      </c>
    </row>
    <row r="117" spans="1:32" ht="20.25" customHeight="1" x14ac:dyDescent="0.35">
      <c r="A117" s="849">
        <v>71</v>
      </c>
      <c r="B117" s="854" t="s">
        <v>542</v>
      </c>
      <c r="C117" s="855" t="s">
        <v>6926</v>
      </c>
      <c r="D117" s="856" t="str">
        <f>IF(P!D116="n.a.","n.a.",$S$1*P!D116)</f>
        <v>n.a.</v>
      </c>
      <c r="G117" s="805"/>
      <c r="H117" s="805"/>
      <c r="I117" s="805"/>
      <c r="S117" s="782">
        <v>113</v>
      </c>
      <c r="T117" s="782" t="s">
        <v>4284</v>
      </c>
      <c r="U117" s="782" t="s">
        <v>3823</v>
      </c>
      <c r="V117" s="797">
        <f>$S$1*P!V117</f>
        <v>1.9467741935483874E-6</v>
      </c>
      <c r="W117" s="780"/>
      <c r="X117" s="782">
        <v>113</v>
      </c>
      <c r="Y117" s="782" t="s">
        <v>2248</v>
      </c>
      <c r="Z117" s="782" t="s">
        <v>5700</v>
      </c>
      <c r="AA117" s="781">
        <f>$S$1*P!AA117</f>
        <v>1.3504032258064517E-4</v>
      </c>
      <c r="AB117" s="780"/>
      <c r="AC117" s="782">
        <v>113</v>
      </c>
      <c r="AD117" s="782" t="s">
        <v>4573</v>
      </c>
      <c r="AE117" s="782" t="s">
        <v>5700</v>
      </c>
      <c r="AF117" s="781">
        <f>$S$1*P!AF117</f>
        <v>6.9576612903225815E-3</v>
      </c>
    </row>
    <row r="118" spans="1:32" ht="20.25" customHeight="1" x14ac:dyDescent="0.35">
      <c r="A118" s="849">
        <v>72</v>
      </c>
      <c r="B118" s="854" t="s">
        <v>543</v>
      </c>
      <c r="C118" s="855">
        <f>$S$1*P!C117</f>
        <v>4.4008067650025011E-2</v>
      </c>
      <c r="D118" s="856">
        <f>IF(P!D117="n.a.","n.a.",$S$1*P!D117)</f>
        <v>5.2809681180030009E-2</v>
      </c>
      <c r="G118" s="805"/>
      <c r="H118" s="805"/>
      <c r="I118" s="805"/>
      <c r="S118" s="782">
        <v>114</v>
      </c>
      <c r="T118" s="782" t="s">
        <v>4284</v>
      </c>
      <c r="U118" s="782" t="s">
        <v>3823</v>
      </c>
      <c r="V118" s="797">
        <f>$S$1*P!V118</f>
        <v>0.13156000000000001</v>
      </c>
      <c r="W118" s="780"/>
      <c r="X118" s="782">
        <v>114</v>
      </c>
      <c r="Y118" s="782" t="s">
        <v>2248</v>
      </c>
      <c r="Z118" s="782" t="s">
        <v>5699</v>
      </c>
      <c r="AA118" s="781">
        <f>$S$1*P!AA118</f>
        <v>1.4292338709677419E-4</v>
      </c>
      <c r="AB118" s="780"/>
      <c r="AC118" s="782">
        <v>114</v>
      </c>
      <c r="AD118" s="782" t="s">
        <v>4573</v>
      </c>
      <c r="AE118" s="782" t="s">
        <v>5699</v>
      </c>
      <c r="AF118" s="781">
        <f>$S$1*P!AF118</f>
        <v>3.8044354838709681E-2</v>
      </c>
    </row>
    <row r="119" spans="1:32" ht="20.25" customHeight="1" x14ac:dyDescent="0.35">
      <c r="A119" s="849">
        <v>73</v>
      </c>
      <c r="B119" s="854" t="s">
        <v>545</v>
      </c>
      <c r="C119" s="855" t="s">
        <v>6926</v>
      </c>
      <c r="D119" s="856" t="str">
        <f>IF(P!D118="n.a.","n.a.",$S$1*P!D118)</f>
        <v>n.a.</v>
      </c>
      <c r="G119" s="805"/>
      <c r="H119" s="805"/>
      <c r="I119" s="805"/>
      <c r="S119" s="782">
        <v>115</v>
      </c>
      <c r="T119" s="782" t="s">
        <v>4284</v>
      </c>
      <c r="U119" s="782" t="s">
        <v>5707</v>
      </c>
      <c r="V119" s="797">
        <f>$S$1*P!V119</f>
        <v>2.7282258064516131E-5</v>
      </c>
      <c r="W119" s="780"/>
      <c r="X119" s="782">
        <v>115</v>
      </c>
      <c r="Y119" s="782" t="s">
        <v>2248</v>
      </c>
      <c r="Z119" s="782" t="s">
        <v>5698</v>
      </c>
      <c r="AA119" s="781">
        <f>$S$1*P!AA119</f>
        <v>1.0830645161290324E-3</v>
      </c>
      <c r="AB119" s="780"/>
      <c r="AC119" s="782">
        <v>115</v>
      </c>
      <c r="AD119" s="782" t="s">
        <v>4573</v>
      </c>
      <c r="AE119" s="782" t="s">
        <v>5698</v>
      </c>
      <c r="AF119" s="781">
        <f>$S$1*P!AF119</f>
        <v>8.3629032258064531E-3</v>
      </c>
    </row>
    <row r="120" spans="1:32" ht="20.25" customHeight="1" x14ac:dyDescent="0.35">
      <c r="A120" s="849">
        <v>74</v>
      </c>
      <c r="B120" s="854" t="s">
        <v>545</v>
      </c>
      <c r="C120" s="855" t="s">
        <v>6926</v>
      </c>
      <c r="D120" s="856" t="str">
        <f>IF(P!D119="n.a.","n.a.",$S$1*P!D119)</f>
        <v>n.a.</v>
      </c>
      <c r="G120" s="805"/>
      <c r="H120" s="805"/>
      <c r="I120" s="805"/>
      <c r="S120" s="782">
        <v>116</v>
      </c>
      <c r="T120" s="782" t="s">
        <v>4284</v>
      </c>
      <c r="U120" s="782" t="s">
        <v>5706</v>
      </c>
      <c r="V120" s="797">
        <f>$S$1*P!V120</f>
        <v>7.7802419354838716E-4</v>
      </c>
      <c r="W120" s="780"/>
      <c r="X120" s="782">
        <v>116</v>
      </c>
      <c r="Y120" s="782" t="s">
        <v>2248</v>
      </c>
      <c r="Z120" s="782" t="s">
        <v>5697</v>
      </c>
      <c r="AA120" s="781">
        <f>$S$1*P!AA120</f>
        <v>8.6370967741935498E-5</v>
      </c>
      <c r="AB120" s="780"/>
      <c r="AC120" s="782">
        <v>116</v>
      </c>
      <c r="AD120" s="782" t="s">
        <v>4573</v>
      </c>
      <c r="AE120" s="782" t="s">
        <v>5697</v>
      </c>
      <c r="AF120" s="781">
        <f>$S$1*P!AF120</f>
        <v>3.5645161290322587E-4</v>
      </c>
    </row>
    <row r="121" spans="1:32" ht="20.25" customHeight="1" x14ac:dyDescent="0.35">
      <c r="A121" s="849">
        <v>75</v>
      </c>
      <c r="B121" s="854" t="s">
        <v>546</v>
      </c>
      <c r="C121" s="855" t="s">
        <v>6926</v>
      </c>
      <c r="D121" s="856" t="str">
        <f>IF(P!D120="n.a.","n.a.",$S$1*P!D120)</f>
        <v>n.a.</v>
      </c>
      <c r="G121" s="805"/>
      <c r="H121" s="805"/>
      <c r="I121" s="805"/>
      <c r="S121" s="782">
        <v>117</v>
      </c>
      <c r="T121" s="782" t="s">
        <v>4284</v>
      </c>
      <c r="U121" s="782" t="s">
        <v>5705</v>
      </c>
      <c r="V121" s="797">
        <f>$S$1*P!V121</f>
        <v>1.0625000000000001E-3</v>
      </c>
      <c r="W121" s="780"/>
      <c r="X121" s="782">
        <v>117</v>
      </c>
      <c r="Y121" s="782" t="s">
        <v>2248</v>
      </c>
      <c r="Z121" s="782" t="s">
        <v>5696</v>
      </c>
      <c r="AA121" s="781">
        <f>$S$1*P!AA121</f>
        <v>1.6931451612903226E-6</v>
      </c>
      <c r="AB121" s="780"/>
      <c r="AC121" s="782">
        <v>117</v>
      </c>
      <c r="AD121" s="782" t="s">
        <v>4573</v>
      </c>
      <c r="AE121" s="782" t="s">
        <v>5696</v>
      </c>
      <c r="AF121" s="781">
        <f>$S$1*P!AF121</f>
        <v>7.7459677419354847E-3</v>
      </c>
    </row>
    <row r="122" spans="1:32" ht="20.25" customHeight="1" x14ac:dyDescent="0.35">
      <c r="A122" s="849">
        <v>76</v>
      </c>
      <c r="B122" s="854" t="s">
        <v>547</v>
      </c>
      <c r="C122" s="855" t="s">
        <v>6926</v>
      </c>
      <c r="D122" s="856" t="str">
        <f>IF(P!D121="n.a.","n.a.",$S$1*P!D121)</f>
        <v>n.a.</v>
      </c>
      <c r="G122" s="805"/>
      <c r="H122" s="805"/>
      <c r="I122" s="805"/>
      <c r="S122" s="782">
        <v>118</v>
      </c>
      <c r="T122" s="782" t="s">
        <v>4284</v>
      </c>
      <c r="U122" s="782" t="s">
        <v>5704</v>
      </c>
      <c r="V122" s="797">
        <f>$S$1*P!V122</f>
        <v>0.37016129032258066</v>
      </c>
      <c r="W122" s="780"/>
      <c r="X122" s="782">
        <v>118</v>
      </c>
      <c r="Y122" s="782" t="s">
        <v>2248</v>
      </c>
      <c r="Z122" s="782" t="s">
        <v>5695</v>
      </c>
      <c r="AA122" s="781">
        <f>$S$1*P!AA122</f>
        <v>7.7802419354838721E-5</v>
      </c>
      <c r="AB122" s="780"/>
      <c r="AC122" s="782">
        <v>118</v>
      </c>
      <c r="AD122" s="782" t="s">
        <v>4573</v>
      </c>
      <c r="AE122" s="782" t="s">
        <v>5695</v>
      </c>
      <c r="AF122" s="781">
        <f>$S$1*P!AF122</f>
        <v>9.1169354838709679E-2</v>
      </c>
    </row>
    <row r="123" spans="1:32" ht="20.25" customHeight="1" x14ac:dyDescent="0.35">
      <c r="A123" s="849">
        <v>77</v>
      </c>
      <c r="B123" s="854" t="s">
        <v>548</v>
      </c>
      <c r="C123" s="855">
        <f>$S$1*P!C122</f>
        <v>6.224740034094E-2</v>
      </c>
      <c r="D123" s="856">
        <f>IF(P!D122="n.a.","n.a.",$S$1*P!D122)</f>
        <v>7.4696880409128003E-2</v>
      </c>
      <c r="G123" s="805"/>
      <c r="H123" s="805"/>
      <c r="I123" s="805"/>
      <c r="S123" s="782">
        <v>119</v>
      </c>
      <c r="T123" s="782" t="s">
        <v>4284</v>
      </c>
      <c r="U123" s="782" t="s">
        <v>5703</v>
      </c>
      <c r="V123" s="797">
        <f>$S$1*P!V123</f>
        <v>3.190927419354839E-4</v>
      </c>
      <c r="W123" s="780"/>
      <c r="X123" s="782">
        <v>119</v>
      </c>
      <c r="Y123" s="782" t="s">
        <v>2248</v>
      </c>
      <c r="Z123" s="782" t="s">
        <v>5694</v>
      </c>
      <c r="AA123" s="781">
        <f>$S$1*P!AA123</f>
        <v>6.9576612903225811E-5</v>
      </c>
      <c r="AB123" s="780"/>
      <c r="AC123" s="782">
        <v>119</v>
      </c>
      <c r="AD123" s="782" t="s">
        <v>4573</v>
      </c>
      <c r="AE123" s="782" t="s">
        <v>5694</v>
      </c>
      <c r="AF123" s="781">
        <f>$S$1*P!AF123</f>
        <v>3.3348790322580647E-4</v>
      </c>
    </row>
    <row r="124" spans="1:32" ht="20.25" customHeight="1" x14ac:dyDescent="0.35">
      <c r="A124" s="849">
        <v>78</v>
      </c>
      <c r="B124" s="854" t="s">
        <v>549</v>
      </c>
      <c r="C124" s="855">
        <f>$S$1*P!C123</f>
        <v>5.3503983023365002E-2</v>
      </c>
      <c r="D124" s="856">
        <f>IF(P!D123="n.a.","n.a.",$S$1*P!D123)</f>
        <v>6.4204779628038E-2</v>
      </c>
      <c r="G124" s="805"/>
      <c r="H124" s="805"/>
      <c r="I124" s="805"/>
      <c r="S124" s="782">
        <v>120</v>
      </c>
      <c r="T124" s="782" t="s">
        <v>4284</v>
      </c>
      <c r="U124" s="782" t="s">
        <v>5702</v>
      </c>
      <c r="V124" s="797">
        <f>$S$1*P!V124</f>
        <v>5.1068548387096773E-6</v>
      </c>
      <c r="W124" s="780"/>
      <c r="X124" s="782">
        <v>120</v>
      </c>
      <c r="Y124" s="782" t="s">
        <v>2248</v>
      </c>
      <c r="Z124" s="782" t="s">
        <v>3820</v>
      </c>
      <c r="AA124" s="781">
        <f>$S$1*P!AA124</f>
        <v>0</v>
      </c>
      <c r="AB124" s="780"/>
      <c r="AC124" s="782">
        <v>120</v>
      </c>
      <c r="AD124" s="782" t="s">
        <v>4573</v>
      </c>
      <c r="AE124" s="782" t="s">
        <v>3820</v>
      </c>
      <c r="AF124" s="781">
        <f>$S$1*P!AF124</f>
        <v>2.3717741935483875E-3</v>
      </c>
    </row>
    <row r="125" spans="1:32" ht="20.25" customHeight="1" x14ac:dyDescent="0.35">
      <c r="A125" s="849">
        <v>79</v>
      </c>
      <c r="B125" s="858" t="s">
        <v>550</v>
      </c>
      <c r="C125" s="855">
        <f>$S$1*P!C124</f>
        <v>0.10260383394967999</v>
      </c>
      <c r="D125" s="856">
        <f>IF(P!D124="n.a.","n.a.",$S$1*P!D124)</f>
        <v>0.12312460073961598</v>
      </c>
      <c r="G125" s="805"/>
      <c r="H125" s="805"/>
      <c r="I125" s="805"/>
      <c r="S125" s="782">
        <v>121</v>
      </c>
      <c r="T125" s="782" t="s">
        <v>4284</v>
      </c>
      <c r="U125" s="782" t="s">
        <v>5701</v>
      </c>
      <c r="V125" s="797">
        <f>$S$1*P!V125</f>
        <v>5.9979838709677429E-7</v>
      </c>
      <c r="W125" s="780"/>
      <c r="X125" s="782">
        <v>121</v>
      </c>
      <c r="Y125" s="782" t="s">
        <v>2248</v>
      </c>
      <c r="Z125" s="782" t="s">
        <v>3820</v>
      </c>
      <c r="AA125" s="781">
        <f>$S$1*P!AA125</f>
        <v>1.2578629032258066E-4</v>
      </c>
      <c r="AB125" s="780"/>
      <c r="AC125" s="782">
        <v>121</v>
      </c>
      <c r="AD125" s="782" t="s">
        <v>4573</v>
      </c>
      <c r="AE125" s="782" t="s">
        <v>3820</v>
      </c>
      <c r="AF125" s="781">
        <f>$S$1*P!AF125</f>
        <v>0</v>
      </c>
    </row>
    <row r="126" spans="1:32" ht="20.25" customHeight="1" x14ac:dyDescent="0.35">
      <c r="A126" s="849">
        <v>80</v>
      </c>
      <c r="B126" s="854" t="s">
        <v>551</v>
      </c>
      <c r="C126" s="855">
        <f>$S$1*P!C125</f>
        <v>0.15205474735172733</v>
      </c>
      <c r="D126" s="856">
        <f>IF(P!D125="n.a.","n.a.",$S$1*P!D125)</f>
        <v>0.18246569682207278</v>
      </c>
      <c r="G126" s="805"/>
      <c r="H126" s="805"/>
      <c r="I126" s="805"/>
      <c r="S126" s="782">
        <v>122</v>
      </c>
      <c r="T126" s="782" t="s">
        <v>4284</v>
      </c>
      <c r="U126" s="782" t="s">
        <v>5700</v>
      </c>
      <c r="V126" s="797">
        <f>$S$1*P!V126</f>
        <v>2.1112903225806452E-5</v>
      </c>
      <c r="W126" s="780"/>
      <c r="X126" s="782">
        <v>122</v>
      </c>
      <c r="Y126" s="782" t="s">
        <v>2248</v>
      </c>
      <c r="Z126" s="782" t="s">
        <v>5693</v>
      </c>
      <c r="AA126" s="781">
        <f>$S$1*P!AA126</f>
        <v>3.7701612903225808E-3</v>
      </c>
      <c r="AB126" s="780"/>
      <c r="AC126" s="782">
        <v>122</v>
      </c>
      <c r="AD126" s="782" t="s">
        <v>4573</v>
      </c>
      <c r="AE126" s="782" t="s">
        <v>5693</v>
      </c>
      <c r="AF126" s="781">
        <f>$S$1*P!AF126</f>
        <v>5.8266129032258071E-2</v>
      </c>
    </row>
    <row r="127" spans="1:32" ht="20.25" customHeight="1" x14ac:dyDescent="0.35">
      <c r="A127" s="849">
        <v>81</v>
      </c>
      <c r="B127" s="854" t="s">
        <v>552</v>
      </c>
      <c r="C127" s="855">
        <f>$S$1*P!C126</f>
        <v>2.3992142645000002E-5</v>
      </c>
      <c r="D127" s="856">
        <f>IF(P!D126="n.a.","n.a.",$S$1*P!D126)</f>
        <v>2.8790571174000001E-5</v>
      </c>
      <c r="G127" s="805"/>
      <c r="H127" s="805"/>
      <c r="I127" s="805"/>
      <c r="S127" s="782">
        <v>123</v>
      </c>
      <c r="T127" s="782" t="s">
        <v>4284</v>
      </c>
      <c r="U127" s="782" t="s">
        <v>5699</v>
      </c>
      <c r="V127" s="797">
        <f>$S$1*P!V127</f>
        <v>1.4875000000000001E-5</v>
      </c>
      <c r="W127" s="780"/>
      <c r="X127" s="782">
        <v>123</v>
      </c>
      <c r="Y127" s="782" t="s">
        <v>2248</v>
      </c>
      <c r="Z127" s="782" t="s">
        <v>5692</v>
      </c>
      <c r="AA127" s="781">
        <f>$S$1*P!AA127</f>
        <v>8.8770161290322588E-5</v>
      </c>
      <c r="AB127" s="780"/>
      <c r="AC127" s="782">
        <v>123</v>
      </c>
      <c r="AD127" s="782" t="s">
        <v>4573</v>
      </c>
      <c r="AE127" s="782" t="s">
        <v>5692</v>
      </c>
      <c r="AF127" s="781">
        <f>$S$1*P!AF127</f>
        <v>0.48326612903225813</v>
      </c>
    </row>
    <row r="128" spans="1:32" ht="20.25" customHeight="1" x14ac:dyDescent="0.35">
      <c r="A128" s="849">
        <v>82</v>
      </c>
      <c r="B128" s="858" t="s">
        <v>553</v>
      </c>
      <c r="C128" s="855">
        <f>$S$1*P!C127</f>
        <v>0.21731324533779911</v>
      </c>
      <c r="D128" s="856">
        <f>IF(P!D127="n.a.","n.a.",$S$1*P!D127)</f>
        <v>0.26077589440535892</v>
      </c>
      <c r="G128" s="804"/>
      <c r="H128" s="804"/>
      <c r="I128" s="804"/>
      <c r="S128" s="782">
        <v>124</v>
      </c>
      <c r="T128" s="782" t="s">
        <v>4284</v>
      </c>
      <c r="U128" s="782" t="s">
        <v>5698</v>
      </c>
      <c r="V128" s="797">
        <f>$S$1*P!V128</f>
        <v>1.8610887096774195E-5</v>
      </c>
      <c r="W128" s="780"/>
      <c r="X128" s="782">
        <v>124</v>
      </c>
      <c r="Y128" s="782" t="s">
        <v>2248</v>
      </c>
      <c r="Z128" s="782" t="s">
        <v>3819</v>
      </c>
      <c r="AA128" s="781">
        <f>$S$1*P!AA128</f>
        <v>0</v>
      </c>
      <c r="AB128" s="780"/>
      <c r="AC128" s="782">
        <v>124</v>
      </c>
      <c r="AD128" s="782" t="s">
        <v>4573</v>
      </c>
      <c r="AE128" s="782" t="s">
        <v>3819</v>
      </c>
      <c r="AF128" s="781">
        <f>$S$1*P!AF128</f>
        <v>0</v>
      </c>
    </row>
    <row r="129" spans="1:32" ht="20.25" customHeight="1" x14ac:dyDescent="0.35">
      <c r="A129" s="849">
        <v>83</v>
      </c>
      <c r="B129" s="854" t="s">
        <v>554</v>
      </c>
      <c r="C129" s="855">
        <f>$S$1*P!C128</f>
        <v>9.0206148430355015E-2</v>
      </c>
      <c r="D129" s="856">
        <f>IF(P!D128="n.a.","n.a.",$S$1*P!D128)</f>
        <v>0.10824737811642601</v>
      </c>
      <c r="G129" s="804"/>
      <c r="H129" s="804"/>
      <c r="I129" s="804"/>
      <c r="S129" s="782">
        <v>125</v>
      </c>
      <c r="T129" s="782" t="s">
        <v>4284</v>
      </c>
      <c r="U129" s="782" t="s">
        <v>5697</v>
      </c>
      <c r="V129" s="797">
        <f>$S$1*P!V129</f>
        <v>3.5302419354838712E-5</v>
      </c>
      <c r="W129" s="780"/>
      <c r="X129" s="782">
        <v>125</v>
      </c>
      <c r="Y129" s="782" t="s">
        <v>2248</v>
      </c>
      <c r="Z129" s="782" t="s">
        <v>3817</v>
      </c>
      <c r="AA129" s="781">
        <f>$S$1*P!AA129</f>
        <v>7.8751999999999994E-5</v>
      </c>
      <c r="AB129" s="780"/>
      <c r="AC129" s="782">
        <v>125</v>
      </c>
      <c r="AD129" s="782" t="s">
        <v>4573</v>
      </c>
      <c r="AE129" s="782" t="s">
        <v>3817</v>
      </c>
      <c r="AF129" s="781">
        <f>$S$1*P!AF129</f>
        <v>3.7443999999999998E-2</v>
      </c>
    </row>
    <row r="130" spans="1:32" ht="20.25" customHeight="1" x14ac:dyDescent="0.35">
      <c r="A130" s="849">
        <v>84</v>
      </c>
      <c r="B130" s="858" t="s">
        <v>555</v>
      </c>
      <c r="C130" s="855">
        <f>$S$1*P!C129</f>
        <v>8.2861419856888968E-2</v>
      </c>
      <c r="D130" s="856">
        <f>IF(P!D129="n.a.","n.a.",$S$1*P!D129)</f>
        <v>9.9433703828266759E-2</v>
      </c>
      <c r="G130" s="804"/>
      <c r="H130" s="804"/>
      <c r="I130" s="804"/>
      <c r="S130" s="782">
        <v>126</v>
      </c>
      <c r="T130" s="782" t="s">
        <v>4284</v>
      </c>
      <c r="U130" s="782" t="s">
        <v>5696</v>
      </c>
      <c r="V130" s="797">
        <f>$S$1*P!V130</f>
        <v>8.7741935483870976E-5</v>
      </c>
      <c r="W130" s="780"/>
      <c r="X130" s="782">
        <v>126</v>
      </c>
      <c r="Y130" s="782" t="s">
        <v>2248</v>
      </c>
      <c r="Z130" s="782" t="s">
        <v>3816</v>
      </c>
      <c r="AA130" s="781">
        <f>$S$1*P!AA130</f>
        <v>0.22908000000000001</v>
      </c>
      <c r="AB130" s="780"/>
      <c r="AC130" s="782">
        <v>126</v>
      </c>
      <c r="AD130" s="782" t="s">
        <v>4573</v>
      </c>
      <c r="AE130" s="782" t="s">
        <v>3816</v>
      </c>
      <c r="AF130" s="781">
        <f>$S$1*P!AF130</f>
        <v>3.7076000000000002</v>
      </c>
    </row>
    <row r="131" spans="1:32" ht="20.25" customHeight="1" x14ac:dyDescent="0.35">
      <c r="A131" s="849">
        <v>85</v>
      </c>
      <c r="B131" s="854" t="s">
        <v>556</v>
      </c>
      <c r="C131" s="855">
        <f>$S$1*P!C130</f>
        <v>0.105678964075615</v>
      </c>
      <c r="D131" s="856">
        <f>IF(P!D130="n.a.","n.a.",$S$1*P!D130)</f>
        <v>0.12681475689073798</v>
      </c>
      <c r="G131" s="804"/>
      <c r="H131" s="804"/>
      <c r="I131" s="804"/>
      <c r="S131" s="782">
        <v>127</v>
      </c>
      <c r="T131" s="782" t="s">
        <v>4284</v>
      </c>
      <c r="U131" s="782" t="s">
        <v>5695</v>
      </c>
      <c r="V131" s="797">
        <f>$S$1*P!V131</f>
        <v>9.425403225806452E-4</v>
      </c>
      <c r="W131" s="780"/>
      <c r="X131" s="782">
        <v>127</v>
      </c>
      <c r="Y131" s="782" t="s">
        <v>2248</v>
      </c>
      <c r="Z131" s="782" t="s">
        <v>3814</v>
      </c>
      <c r="AA131" s="781">
        <f>$S$1*P!AA131</f>
        <v>5.8604E-3</v>
      </c>
      <c r="AB131" s="780"/>
      <c r="AC131" s="782">
        <v>127</v>
      </c>
      <c r="AD131" s="782" t="s">
        <v>4573</v>
      </c>
      <c r="AE131" s="782" t="s">
        <v>3814</v>
      </c>
      <c r="AF131" s="781">
        <f>$S$1*P!AF131</f>
        <v>3.1004</v>
      </c>
    </row>
    <row r="132" spans="1:32" ht="20.25" customHeight="1" x14ac:dyDescent="0.35">
      <c r="A132" s="849">
        <v>86</v>
      </c>
      <c r="B132" s="854" t="s">
        <v>557</v>
      </c>
      <c r="C132" s="855">
        <f>$S$1*P!C131</f>
        <v>6.5871078068649988E-2</v>
      </c>
      <c r="D132" s="856">
        <f>IF(P!D131="n.a.","n.a.",$S$1*P!D131)</f>
        <v>7.9045293682379988E-2</v>
      </c>
      <c r="G132" s="804"/>
      <c r="H132" s="804"/>
      <c r="I132" s="804"/>
      <c r="S132" s="782">
        <v>128</v>
      </c>
      <c r="T132" s="782" t="s">
        <v>4284</v>
      </c>
      <c r="U132" s="782" t="s">
        <v>5694</v>
      </c>
      <c r="V132" s="797">
        <f>$S$1*P!V132</f>
        <v>2.7830645161290327E-5</v>
      </c>
      <c r="W132" s="780"/>
      <c r="X132" s="782">
        <v>128</v>
      </c>
      <c r="Y132" s="782" t="s">
        <v>2248</v>
      </c>
      <c r="Z132" s="782" t="s">
        <v>5691</v>
      </c>
      <c r="AA132" s="781">
        <f>$S$1*P!AA132</f>
        <v>1.0762096774193549E-5</v>
      </c>
      <c r="AB132" s="780"/>
      <c r="AC132" s="782">
        <v>128</v>
      </c>
      <c r="AD132" s="782" t="s">
        <v>4573</v>
      </c>
      <c r="AE132" s="782" t="s">
        <v>5691</v>
      </c>
      <c r="AF132" s="781">
        <f>$S$1*P!AF132</f>
        <v>2.1147177419354843E-3</v>
      </c>
    </row>
    <row r="133" spans="1:32" ht="20.25" customHeight="1" x14ac:dyDescent="0.35">
      <c r="A133" s="849">
        <v>87</v>
      </c>
      <c r="B133" s="860"/>
      <c r="C133" s="855"/>
      <c r="D133" s="856">
        <f>IF(P!D132="n.a.","n.a.",$S$1*P!D132)</f>
        <v>0</v>
      </c>
      <c r="G133" s="804"/>
      <c r="H133" s="804"/>
      <c r="I133" s="804"/>
      <c r="S133" s="782">
        <v>129</v>
      </c>
      <c r="T133" s="782" t="s">
        <v>4284</v>
      </c>
      <c r="U133" s="782" t="s">
        <v>3820</v>
      </c>
      <c r="V133" s="797">
        <f>$S$1*P!V133</f>
        <v>9.6310483870967753E-6</v>
      </c>
      <c r="W133" s="780"/>
      <c r="X133" s="782">
        <v>129</v>
      </c>
      <c r="Y133" s="782" t="s">
        <v>2248</v>
      </c>
      <c r="Z133" s="782" t="s">
        <v>3812</v>
      </c>
      <c r="AA133" s="781">
        <f>$S$1*P!AA133</f>
        <v>0</v>
      </c>
      <c r="AB133" s="780"/>
      <c r="AC133" s="782">
        <v>129</v>
      </c>
      <c r="AD133" s="782" t="s">
        <v>4573</v>
      </c>
      <c r="AE133" s="782" t="s">
        <v>3812</v>
      </c>
      <c r="AF133" s="781">
        <f>$S$1*P!AF133</f>
        <v>0</v>
      </c>
    </row>
    <row r="134" spans="1:32" ht="20.25" customHeight="1" x14ac:dyDescent="0.35">
      <c r="A134" s="849">
        <v>88</v>
      </c>
      <c r="B134" s="854" t="s">
        <v>559</v>
      </c>
      <c r="C134" s="855">
        <f>$S$1*P!C133</f>
        <v>8.8906026838630026E-2</v>
      </c>
      <c r="D134" s="856">
        <f>IF(P!D133="n.a.","n.a.",$S$1*P!D133)</f>
        <v>0.10668723220635602</v>
      </c>
      <c r="G134" s="804"/>
      <c r="H134" s="804"/>
      <c r="I134" s="804"/>
      <c r="S134" s="782">
        <v>130</v>
      </c>
      <c r="T134" s="782" t="s">
        <v>4284</v>
      </c>
      <c r="U134" s="782" t="s">
        <v>3820</v>
      </c>
      <c r="V134" s="797">
        <f>$S$1*P!V134</f>
        <v>0</v>
      </c>
      <c r="W134" s="780"/>
      <c r="X134" s="782">
        <v>130</v>
      </c>
      <c r="Y134" s="782" t="s">
        <v>2248</v>
      </c>
      <c r="Z134" s="782" t="s">
        <v>5690</v>
      </c>
      <c r="AA134" s="781">
        <f>$S$1*P!AA134</f>
        <v>1.7993951612903226E-2</v>
      </c>
      <c r="AB134" s="780"/>
      <c r="AC134" s="782">
        <v>130</v>
      </c>
      <c r="AD134" s="782" t="s">
        <v>4573</v>
      </c>
      <c r="AE134" s="782" t="s">
        <v>5690</v>
      </c>
      <c r="AF134" s="781">
        <f>$S$1*P!AF134</f>
        <v>4.3185483870967746E-2</v>
      </c>
    </row>
    <row r="135" spans="1:32" ht="20.25" customHeight="1" x14ac:dyDescent="0.35">
      <c r="A135" s="849">
        <v>89</v>
      </c>
      <c r="B135" s="858" t="s">
        <v>560</v>
      </c>
      <c r="C135" s="855">
        <f>$S$1*P!C134</f>
        <v>5.062607901472E-2</v>
      </c>
      <c r="D135" s="856">
        <f>IF(P!D134="n.a.","n.a.",$S$1*P!D134)</f>
        <v>6.0751294817663996E-2</v>
      </c>
      <c r="G135" s="804"/>
      <c r="H135" s="804"/>
      <c r="I135" s="804"/>
      <c r="S135" s="782">
        <v>131</v>
      </c>
      <c r="T135" s="782" t="s">
        <v>4284</v>
      </c>
      <c r="U135" s="782" t="s">
        <v>5693</v>
      </c>
      <c r="V135" s="797">
        <f>$S$1*P!V135</f>
        <v>8.2943548387096782E-4</v>
      </c>
      <c r="W135" s="780"/>
      <c r="X135" s="782">
        <v>131</v>
      </c>
      <c r="Y135" s="782" t="s">
        <v>2248</v>
      </c>
      <c r="Z135" s="782" t="s">
        <v>5689</v>
      </c>
      <c r="AA135" s="781">
        <f>$S$1*P!AA135</f>
        <v>3.4959677419354845E-5</v>
      </c>
      <c r="AB135" s="780"/>
      <c r="AC135" s="782">
        <v>131</v>
      </c>
      <c r="AD135" s="782" t="s">
        <v>4573</v>
      </c>
      <c r="AE135" s="782" t="s">
        <v>5689</v>
      </c>
      <c r="AF135" s="781">
        <f>$S$1*P!AF135</f>
        <v>3.9758064516129035E-3</v>
      </c>
    </row>
    <row r="136" spans="1:32" ht="20.25" customHeight="1" x14ac:dyDescent="0.35">
      <c r="A136" s="849">
        <v>90</v>
      </c>
      <c r="B136" s="854" t="s">
        <v>561</v>
      </c>
      <c r="C136" s="855">
        <f>$S$1*P!C135</f>
        <v>0.10251855252622001</v>
      </c>
      <c r="D136" s="856">
        <f>IF(P!D135="n.a.","n.a.",$S$1*P!D135)</f>
        <v>0.123022263031464</v>
      </c>
      <c r="G136" s="804"/>
      <c r="H136" s="804"/>
      <c r="I136" s="804"/>
      <c r="S136" s="782">
        <v>132</v>
      </c>
      <c r="T136" s="782" t="s">
        <v>4284</v>
      </c>
      <c r="U136" s="782" t="s">
        <v>5692</v>
      </c>
      <c r="V136" s="797">
        <f>$S$1*P!V136</f>
        <v>4.6955645161290328E-6</v>
      </c>
      <c r="W136" s="780"/>
      <c r="X136" s="782">
        <v>132</v>
      </c>
      <c r="Y136" s="782" t="s">
        <v>2248</v>
      </c>
      <c r="Z136" s="782" t="s">
        <v>5688</v>
      </c>
      <c r="AA136" s="781">
        <f>$S$1*P!AA136</f>
        <v>1.6554435483870967E-5</v>
      </c>
      <c r="AB136" s="780"/>
      <c r="AC136" s="782">
        <v>132</v>
      </c>
      <c r="AD136" s="782" t="s">
        <v>4573</v>
      </c>
      <c r="AE136" s="782" t="s">
        <v>5688</v>
      </c>
      <c r="AF136" s="781">
        <f>$S$1*P!AF136</f>
        <v>9.425403225806453E-2</v>
      </c>
    </row>
    <row r="137" spans="1:32" ht="20.25" customHeight="1" x14ac:dyDescent="0.35">
      <c r="A137" s="849">
        <v>91</v>
      </c>
      <c r="B137" s="858" t="s">
        <v>562</v>
      </c>
      <c r="C137" s="855">
        <f>$S$1*P!C136</f>
        <v>5.5444975452543226E-2</v>
      </c>
      <c r="D137" s="856">
        <f>IF(P!D136="n.a.","n.a.",$S$1*P!D136)</f>
        <v>6.6533970543051865E-2</v>
      </c>
      <c r="G137" s="804"/>
      <c r="H137" s="804"/>
      <c r="I137" s="804"/>
      <c r="S137" s="782">
        <v>133</v>
      </c>
      <c r="T137" s="782" t="s">
        <v>4284</v>
      </c>
      <c r="U137" s="782" t="s">
        <v>3819</v>
      </c>
      <c r="V137" s="797">
        <f>$S$1*P!V137</f>
        <v>0</v>
      </c>
      <c r="W137" s="780"/>
      <c r="X137" s="782">
        <v>133</v>
      </c>
      <c r="Y137" s="782" t="s">
        <v>2248</v>
      </c>
      <c r="Z137" s="782" t="s">
        <v>5687</v>
      </c>
      <c r="AA137" s="781">
        <f>$S$1*P!AA137</f>
        <v>7.91733870967742E-5</v>
      </c>
      <c r="AB137" s="780"/>
      <c r="AC137" s="782">
        <v>133</v>
      </c>
      <c r="AD137" s="782" t="s">
        <v>4573</v>
      </c>
      <c r="AE137" s="782" t="s">
        <v>5687</v>
      </c>
      <c r="AF137" s="781">
        <f>$S$1*P!AF137</f>
        <v>0.1028225806451613</v>
      </c>
    </row>
    <row r="138" spans="1:32" ht="20.25" customHeight="1" x14ac:dyDescent="0.35">
      <c r="A138" s="849">
        <v>92</v>
      </c>
      <c r="B138" s="860"/>
      <c r="C138" s="855"/>
      <c r="D138" s="856">
        <f>IF(P!D137="n.a.","n.a.",$S$1*P!D137)</f>
        <v>0</v>
      </c>
      <c r="G138" s="804"/>
      <c r="H138" s="804"/>
      <c r="I138" s="804"/>
      <c r="S138" s="782">
        <v>134</v>
      </c>
      <c r="T138" s="782" t="s">
        <v>4284</v>
      </c>
      <c r="U138" s="782" t="s">
        <v>3817</v>
      </c>
      <c r="V138" s="797">
        <f>$S$1*P!V138</f>
        <v>4.5080000000000002E-2</v>
      </c>
      <c r="W138" s="780"/>
      <c r="X138" s="782">
        <v>134</v>
      </c>
      <c r="Y138" s="782" t="s">
        <v>2248</v>
      </c>
      <c r="Z138" s="782" t="s">
        <v>5686</v>
      </c>
      <c r="AA138" s="781">
        <f>$S$1*P!AA138</f>
        <v>7.2661290322580661E-5</v>
      </c>
      <c r="AB138" s="780"/>
      <c r="AC138" s="782">
        <v>134</v>
      </c>
      <c r="AD138" s="782" t="s">
        <v>4573</v>
      </c>
      <c r="AE138" s="782" t="s">
        <v>5686</v>
      </c>
      <c r="AF138" s="781">
        <f>$S$1*P!AF138</f>
        <v>4.3528225806451618E-2</v>
      </c>
    </row>
    <row r="139" spans="1:32" ht="20.25" customHeight="1" x14ac:dyDescent="0.35">
      <c r="A139" s="849">
        <v>93</v>
      </c>
      <c r="B139" s="854" t="s">
        <v>563</v>
      </c>
      <c r="C139" s="855">
        <f>$S$1*P!C138</f>
        <v>8.2754133783125003E-2</v>
      </c>
      <c r="D139" s="856">
        <f>IF(P!D138="n.a.","n.a.",$S$1*P!D138)</f>
        <v>9.9304960539750006E-2</v>
      </c>
      <c r="G139" s="804"/>
      <c r="H139" s="804"/>
      <c r="I139" s="804"/>
      <c r="S139" s="782">
        <v>135</v>
      </c>
      <c r="T139" s="782" t="s">
        <v>4284</v>
      </c>
      <c r="U139" s="782" t="s">
        <v>3816</v>
      </c>
      <c r="V139" s="797">
        <f>$S$1*P!V139</f>
        <v>0.71484000000000003</v>
      </c>
      <c r="W139" s="780"/>
      <c r="X139" s="782">
        <v>135</v>
      </c>
      <c r="Y139" s="782" t="s">
        <v>2248</v>
      </c>
      <c r="Z139" s="782" t="s">
        <v>5685</v>
      </c>
      <c r="AA139" s="781">
        <f>$S$1*P!AA139</f>
        <v>9.8366935483870977E-5</v>
      </c>
      <c r="AB139" s="780"/>
      <c r="AC139" s="782">
        <v>135</v>
      </c>
      <c r="AD139" s="782" t="s">
        <v>4573</v>
      </c>
      <c r="AE139" s="782" t="s">
        <v>5685</v>
      </c>
      <c r="AF139" s="781">
        <f>$S$1*P!AF139</f>
        <v>0.27556451612903227</v>
      </c>
    </row>
    <row r="140" spans="1:32" ht="20.25" customHeight="1" x14ac:dyDescent="0.35">
      <c r="A140" s="849">
        <v>94</v>
      </c>
      <c r="B140" s="854" t="s">
        <v>564</v>
      </c>
      <c r="C140" s="855">
        <f>$S$1*P!C139</f>
        <v>0.119052671995435</v>
      </c>
      <c r="D140" s="856">
        <f>IF(P!D139="n.a.","n.a.",$S$1*P!D139)</f>
        <v>0.14286320639452199</v>
      </c>
      <c r="G140" s="804"/>
      <c r="H140" s="804"/>
      <c r="I140" s="804"/>
      <c r="S140" s="782">
        <v>136</v>
      </c>
      <c r="T140" s="782" t="s">
        <v>4284</v>
      </c>
      <c r="U140" s="782" t="s">
        <v>3814</v>
      </c>
      <c r="V140" s="797">
        <f>$S$1*P!V140</f>
        <v>4.1031999999999993</v>
      </c>
      <c r="W140" s="780"/>
      <c r="X140" s="782">
        <v>136</v>
      </c>
      <c r="Y140" s="782" t="s">
        <v>2248</v>
      </c>
      <c r="Z140" s="782" t="s">
        <v>5684</v>
      </c>
      <c r="AA140" s="781">
        <f>$S$1*P!AA140</f>
        <v>6.5806451612903229E-5</v>
      </c>
      <c r="AB140" s="780"/>
      <c r="AC140" s="782">
        <v>136</v>
      </c>
      <c r="AD140" s="782" t="s">
        <v>4573</v>
      </c>
      <c r="AE140" s="782" t="s">
        <v>5684</v>
      </c>
      <c r="AF140" s="781">
        <f>$S$1*P!AF140</f>
        <v>0.17856854838709679</v>
      </c>
    </row>
    <row r="141" spans="1:32" ht="20.25" customHeight="1" x14ac:dyDescent="0.35">
      <c r="A141" s="849">
        <v>95</v>
      </c>
      <c r="B141" s="854" t="s">
        <v>565</v>
      </c>
      <c r="C141" s="855">
        <f>$S$1*P!C140</f>
        <v>4.2793405770835007E-2</v>
      </c>
      <c r="D141" s="856">
        <f>IF(P!D140="n.a.","n.a.",$S$1*P!D140)</f>
        <v>5.1352086925002004E-2</v>
      </c>
      <c r="G141" s="804"/>
      <c r="H141" s="804"/>
      <c r="I141" s="804"/>
      <c r="S141" s="782">
        <v>137</v>
      </c>
      <c r="T141" s="782" t="s">
        <v>4284</v>
      </c>
      <c r="U141" s="782" t="s">
        <v>5691</v>
      </c>
      <c r="V141" s="797">
        <f>$S$1*P!V141</f>
        <v>3.2423387096774195E-5</v>
      </c>
      <c r="W141" s="780"/>
      <c r="X141" s="782">
        <v>137</v>
      </c>
      <c r="Y141" s="782" t="s">
        <v>2248</v>
      </c>
      <c r="Z141" s="782" t="s">
        <v>5683</v>
      </c>
      <c r="AA141" s="781">
        <f>$S$1*P!AA141</f>
        <v>3.7701612903225815E-5</v>
      </c>
      <c r="AB141" s="780"/>
      <c r="AC141" s="782">
        <v>137</v>
      </c>
      <c r="AD141" s="782" t="s">
        <v>4573</v>
      </c>
      <c r="AE141" s="782" t="s">
        <v>5683</v>
      </c>
      <c r="AF141" s="781">
        <f>$S$1*P!AF141</f>
        <v>2.1284274193548391E-3</v>
      </c>
    </row>
    <row r="142" spans="1:32" ht="20.25" customHeight="1" x14ac:dyDescent="0.35">
      <c r="A142" s="849">
        <v>96</v>
      </c>
      <c r="B142" s="854" t="s">
        <v>566</v>
      </c>
      <c r="C142" s="855" t="s">
        <v>6926</v>
      </c>
      <c r="D142" s="856" t="str">
        <f>IF(P!D141="n.a.","n.a.",$S$1*P!D141)</f>
        <v>n.a.</v>
      </c>
      <c r="G142" s="804"/>
      <c r="H142" s="804"/>
      <c r="I142" s="804"/>
      <c r="S142" s="782">
        <v>138</v>
      </c>
      <c r="T142" s="782" t="s">
        <v>4284</v>
      </c>
      <c r="U142" s="782" t="s">
        <v>3812</v>
      </c>
      <c r="V142" s="797">
        <f>$S$1*P!V142</f>
        <v>0</v>
      </c>
      <c r="W142" s="780"/>
      <c r="X142" s="782">
        <v>138</v>
      </c>
      <c r="Y142" s="782" t="s">
        <v>2248</v>
      </c>
      <c r="Z142" s="782" t="s">
        <v>5682</v>
      </c>
      <c r="AA142" s="781">
        <f>$S$1*P!AA142</f>
        <v>3.2354838709677422E-5</v>
      </c>
      <c r="AB142" s="780"/>
      <c r="AC142" s="782">
        <v>138</v>
      </c>
      <c r="AD142" s="782" t="s">
        <v>4573</v>
      </c>
      <c r="AE142" s="782" t="s">
        <v>5682</v>
      </c>
      <c r="AF142" s="781">
        <f>$S$1*P!AF142</f>
        <v>1.8987903225806452E-4</v>
      </c>
    </row>
    <row r="143" spans="1:32" ht="20.25" customHeight="1" x14ac:dyDescent="0.35">
      <c r="A143" s="849">
        <v>97</v>
      </c>
      <c r="B143" s="858" t="s">
        <v>567</v>
      </c>
      <c r="C143" s="855">
        <f>$S$1*P!C142</f>
        <v>8.7277009359967433E-2</v>
      </c>
      <c r="D143" s="856">
        <f>IF(P!D142="n.a.","n.a.",$S$1*P!D142)</f>
        <v>0.10473241123196092</v>
      </c>
      <c r="G143" s="804"/>
      <c r="H143" s="804"/>
      <c r="I143" s="804"/>
      <c r="S143" s="782">
        <v>139</v>
      </c>
      <c r="T143" s="782" t="s">
        <v>4284</v>
      </c>
      <c r="U143" s="782" t="s">
        <v>5690</v>
      </c>
      <c r="V143" s="797">
        <f>$S$1*P!V143</f>
        <v>1.1070564516129033E-2</v>
      </c>
      <c r="W143" s="780"/>
      <c r="X143" s="782">
        <v>139</v>
      </c>
      <c r="Y143" s="782" t="s">
        <v>2248</v>
      </c>
      <c r="Z143" s="782" t="s">
        <v>3810</v>
      </c>
      <c r="AA143" s="781">
        <f>$S$1*P!AA143</f>
        <v>22.632000000000001</v>
      </c>
      <c r="AB143" s="780"/>
      <c r="AC143" s="782">
        <v>139</v>
      </c>
      <c r="AD143" s="782" t="s">
        <v>4573</v>
      </c>
      <c r="AE143" s="782" t="s">
        <v>3810</v>
      </c>
      <c r="AF143" s="781">
        <f>$S$1*P!AF143</f>
        <v>79.855999999999995</v>
      </c>
    </row>
    <row r="144" spans="1:32" ht="20.25" customHeight="1" x14ac:dyDescent="0.35">
      <c r="A144" s="849">
        <v>98</v>
      </c>
      <c r="B144" s="854" t="s">
        <v>568</v>
      </c>
      <c r="C144" s="855" t="s">
        <v>6926</v>
      </c>
      <c r="D144" s="856" t="str">
        <f>IF(P!D143="n.a.","n.a.",$S$1*P!D143)</f>
        <v>n.a.</v>
      </c>
      <c r="G144" s="804"/>
      <c r="H144" s="804"/>
      <c r="I144" s="804"/>
      <c r="S144" s="782">
        <v>140</v>
      </c>
      <c r="T144" s="782" t="s">
        <v>4284</v>
      </c>
      <c r="U144" s="782" t="s">
        <v>5689</v>
      </c>
      <c r="V144" s="797">
        <f>$S$1*P!V144</f>
        <v>1.0659274193548387E-6</v>
      </c>
      <c r="W144" s="780"/>
      <c r="X144" s="782">
        <v>140</v>
      </c>
      <c r="Y144" s="782" t="s">
        <v>2248</v>
      </c>
      <c r="Z144" s="782" t="s">
        <v>5681</v>
      </c>
      <c r="AA144" s="781">
        <f>$S$1*P!AA144</f>
        <v>0.12544354838709679</v>
      </c>
      <c r="AB144" s="780"/>
      <c r="AC144" s="782">
        <v>140</v>
      </c>
      <c r="AD144" s="782" t="s">
        <v>4573</v>
      </c>
      <c r="AE144" s="782" t="s">
        <v>5681</v>
      </c>
      <c r="AF144" s="781">
        <f>$S$1*P!AF144</f>
        <v>1.370967741935484</v>
      </c>
    </row>
    <row r="145" spans="1:32" ht="20.25" customHeight="1" x14ac:dyDescent="0.35">
      <c r="A145" s="849">
        <v>99</v>
      </c>
      <c r="B145" s="854" t="s">
        <v>569</v>
      </c>
      <c r="C145" s="855">
        <f>$S$1*P!C144</f>
        <v>8.2017698475674999E-2</v>
      </c>
      <c r="D145" s="856">
        <f>IF(P!D144="n.a.","n.a.",$S$1*P!D144)</f>
        <v>9.8421238170809999E-2</v>
      </c>
      <c r="G145" s="804"/>
      <c r="H145" s="804"/>
      <c r="I145" s="804"/>
      <c r="S145" s="782">
        <v>141</v>
      </c>
      <c r="T145" s="782" t="s">
        <v>4284</v>
      </c>
      <c r="U145" s="782" t="s">
        <v>5688</v>
      </c>
      <c r="V145" s="797">
        <f>$S$1*P!V145</f>
        <v>9.2540322580645174E-6</v>
      </c>
      <c r="W145" s="780"/>
      <c r="X145" s="782">
        <v>141</v>
      </c>
      <c r="Y145" s="782" t="s">
        <v>2248</v>
      </c>
      <c r="Z145" s="782" t="s">
        <v>3808</v>
      </c>
      <c r="AA145" s="781">
        <f>$S$1*P!AA145</f>
        <v>0</v>
      </c>
      <c r="AB145" s="780"/>
      <c r="AC145" s="782">
        <v>141</v>
      </c>
      <c r="AD145" s="782" t="s">
        <v>4573</v>
      </c>
      <c r="AE145" s="782" t="s">
        <v>3808</v>
      </c>
      <c r="AF145" s="781">
        <f>$S$1*P!AF145</f>
        <v>1.5183467741935483E-3</v>
      </c>
    </row>
    <row r="146" spans="1:32" ht="20.25" customHeight="1" x14ac:dyDescent="0.35">
      <c r="A146" s="849">
        <v>100</v>
      </c>
      <c r="B146" s="854" t="s">
        <v>570</v>
      </c>
      <c r="C146" s="855">
        <f>$S$1*P!C145</f>
        <v>1.1764130973170001E-2</v>
      </c>
      <c r="D146" s="856">
        <f>IF(P!D145="n.a.","n.a.",$S$1*P!D145)</f>
        <v>1.4116957167803999E-2</v>
      </c>
      <c r="G146" s="804"/>
      <c r="H146" s="804"/>
      <c r="I146" s="804"/>
      <c r="S146" s="782">
        <v>142</v>
      </c>
      <c r="T146" s="782" t="s">
        <v>4284</v>
      </c>
      <c r="U146" s="782" t="s">
        <v>5687</v>
      </c>
      <c r="V146" s="797">
        <f>$S$1*P!V146</f>
        <v>3.941532258064517E-6</v>
      </c>
      <c r="W146" s="780"/>
      <c r="X146" s="782">
        <v>142</v>
      </c>
      <c r="Y146" s="782" t="s">
        <v>2248</v>
      </c>
      <c r="Z146" s="782" t="s">
        <v>3808</v>
      </c>
      <c r="AA146" s="781">
        <f>$S$1*P!AA146</f>
        <v>3.4205645161290325E-4</v>
      </c>
      <c r="AB146" s="780"/>
      <c r="AC146" s="782">
        <v>142</v>
      </c>
      <c r="AD146" s="782" t="s">
        <v>4573</v>
      </c>
      <c r="AE146" s="782" t="s">
        <v>3808</v>
      </c>
      <c r="AF146" s="781">
        <f>$S$1*P!AF146</f>
        <v>0</v>
      </c>
    </row>
    <row r="147" spans="1:32" ht="20.25" customHeight="1" x14ac:dyDescent="0.35">
      <c r="A147" s="849">
        <v>101</v>
      </c>
      <c r="B147" s="854" t="s">
        <v>571</v>
      </c>
      <c r="C147" s="855" t="s">
        <v>6926</v>
      </c>
      <c r="D147" s="856" t="str">
        <f>IF(P!D146="n.a.","n.a.",$S$1*P!D146)</f>
        <v>n.a.</v>
      </c>
      <c r="G147" s="804"/>
      <c r="H147" s="804"/>
      <c r="I147" s="804"/>
      <c r="S147" s="782">
        <v>143</v>
      </c>
      <c r="T147" s="782" t="s">
        <v>4284</v>
      </c>
      <c r="U147" s="782" t="s">
        <v>5686</v>
      </c>
      <c r="V147" s="797">
        <f>$S$1*P!V147</f>
        <v>1.9879032258064518E-6</v>
      </c>
      <c r="W147" s="780"/>
      <c r="X147" s="782">
        <v>143</v>
      </c>
      <c r="Y147" s="782" t="s">
        <v>2248</v>
      </c>
      <c r="Z147" s="782" t="s">
        <v>5679</v>
      </c>
      <c r="AA147" s="781">
        <f>$S$1*P!AA147</f>
        <v>2.3546370967741939E-4</v>
      </c>
      <c r="AB147" s="780"/>
      <c r="AC147" s="782">
        <v>143</v>
      </c>
      <c r="AD147" s="782" t="s">
        <v>4573</v>
      </c>
      <c r="AE147" s="782" t="s">
        <v>5679</v>
      </c>
      <c r="AF147" s="781">
        <f>$S$1*P!AF147</f>
        <v>3.3348790322580645E-3</v>
      </c>
    </row>
    <row r="148" spans="1:32" ht="20.25" customHeight="1" x14ac:dyDescent="0.35">
      <c r="A148" s="849">
        <v>102</v>
      </c>
      <c r="B148" s="854" t="s">
        <v>572</v>
      </c>
      <c r="C148" s="855">
        <f>$S$1*P!C147</f>
        <v>2.5997083662149999E-2</v>
      </c>
      <c r="D148" s="856">
        <f>IF(P!D147="n.a.","n.a.",$S$1*P!D147)</f>
        <v>3.1196500394579996E-2</v>
      </c>
      <c r="G148" s="804"/>
      <c r="H148" s="804"/>
      <c r="I148" s="804"/>
      <c r="S148" s="782">
        <v>144</v>
      </c>
      <c r="T148" s="782" t="s">
        <v>4284</v>
      </c>
      <c r="U148" s="782" t="s">
        <v>5685</v>
      </c>
      <c r="V148" s="797">
        <f>$S$1*P!V148</f>
        <v>2.3306451612903229E-5</v>
      </c>
      <c r="W148" s="780"/>
      <c r="X148" s="782">
        <v>144</v>
      </c>
      <c r="Y148" s="782" t="s">
        <v>2248</v>
      </c>
      <c r="Z148" s="782" t="s">
        <v>5678</v>
      </c>
      <c r="AA148" s="781">
        <f>$S$1*P!AA148</f>
        <v>4.3185483870967746E-4</v>
      </c>
      <c r="AB148" s="780"/>
      <c r="AC148" s="782">
        <v>144</v>
      </c>
      <c r="AD148" s="782" t="s">
        <v>4573</v>
      </c>
      <c r="AE148" s="782" t="s">
        <v>5678</v>
      </c>
      <c r="AF148" s="781">
        <f>$S$1*P!AF148</f>
        <v>6.4778225806451619</v>
      </c>
    </row>
    <row r="149" spans="1:32" ht="20.25" customHeight="1" x14ac:dyDescent="0.35">
      <c r="A149" s="849">
        <v>103</v>
      </c>
      <c r="B149" s="854" t="s">
        <v>573</v>
      </c>
      <c r="C149" s="855">
        <f>$S$1*P!C148</f>
        <v>8.9473797395030003E-2</v>
      </c>
      <c r="D149" s="856">
        <f>IF(P!D148="n.a.","n.a.",$S$1*P!D148)</f>
        <v>0.107368556874036</v>
      </c>
      <c r="G149" s="804"/>
      <c r="H149" s="804"/>
      <c r="I149" s="804"/>
      <c r="S149" s="782">
        <v>145</v>
      </c>
      <c r="T149" s="782" t="s">
        <v>4284</v>
      </c>
      <c r="U149" s="782" t="s">
        <v>5684</v>
      </c>
      <c r="V149" s="797">
        <f>$S$1*P!V149</f>
        <v>6.512096774193549E-6</v>
      </c>
      <c r="W149" s="780"/>
      <c r="X149" s="782">
        <v>145</v>
      </c>
      <c r="Y149" s="782" t="s">
        <v>2248</v>
      </c>
      <c r="Z149" s="782" t="s">
        <v>5677</v>
      </c>
      <c r="AA149" s="781">
        <f>$S$1*P!AA149</f>
        <v>1.0350806451612903E-3</v>
      </c>
      <c r="AB149" s="780"/>
      <c r="AC149" s="782">
        <v>145</v>
      </c>
      <c r="AD149" s="782" t="s">
        <v>4573</v>
      </c>
      <c r="AE149" s="782" t="s">
        <v>5677</v>
      </c>
      <c r="AF149" s="781">
        <f>$S$1*P!AF149</f>
        <v>0.1442943548387097</v>
      </c>
    </row>
    <row r="150" spans="1:32" ht="20.25" customHeight="1" x14ac:dyDescent="0.35">
      <c r="A150" s="849">
        <v>104</v>
      </c>
      <c r="B150" s="854" t="s">
        <v>574</v>
      </c>
      <c r="C150" s="855" t="s">
        <v>6926</v>
      </c>
      <c r="D150" s="856" t="str">
        <f>IF(P!D149="n.a.","n.a.",$S$1*P!D149)</f>
        <v>n.a.</v>
      </c>
      <c r="G150" s="804"/>
      <c r="H150" s="804"/>
      <c r="I150" s="804"/>
      <c r="S150" s="782">
        <v>146</v>
      </c>
      <c r="T150" s="782" t="s">
        <v>4284</v>
      </c>
      <c r="U150" s="782" t="s">
        <v>5683</v>
      </c>
      <c r="V150" s="797">
        <f>$S$1*P!V150</f>
        <v>1.1790322580645161E-6</v>
      </c>
      <c r="W150" s="780"/>
      <c r="X150" s="782">
        <v>146</v>
      </c>
      <c r="Y150" s="782" t="s">
        <v>2248</v>
      </c>
      <c r="Z150" s="782" t="s">
        <v>5676</v>
      </c>
      <c r="AA150" s="781">
        <f>$S$1*P!AA150</f>
        <v>5.3125000000000004E-4</v>
      </c>
      <c r="AB150" s="780"/>
      <c r="AC150" s="782">
        <v>146</v>
      </c>
      <c r="AD150" s="782" t="s">
        <v>4573</v>
      </c>
      <c r="AE150" s="782" t="s">
        <v>5676</v>
      </c>
      <c r="AF150" s="781">
        <f>$S$1*P!AF150</f>
        <v>4.9012096774193555E-2</v>
      </c>
    </row>
    <row r="151" spans="1:32" ht="20.25" customHeight="1" x14ac:dyDescent="0.35">
      <c r="A151" s="849">
        <v>105</v>
      </c>
      <c r="B151" s="854" t="s">
        <v>575</v>
      </c>
      <c r="C151" s="855" t="s">
        <v>6926</v>
      </c>
      <c r="D151" s="856" t="str">
        <f>IF(P!D150="n.a.","n.a.",$S$1*P!D150)</f>
        <v>n.a.</v>
      </c>
      <c r="G151" s="804"/>
      <c r="H151" s="804"/>
      <c r="I151" s="804"/>
      <c r="S151" s="861">
        <v>147</v>
      </c>
      <c r="T151" s="861" t="s">
        <v>4284</v>
      </c>
      <c r="U151" s="861" t="s">
        <v>5682</v>
      </c>
      <c r="V151" s="862">
        <f>$S$1*P!V151</f>
        <v>5.6174999999999997</v>
      </c>
      <c r="W151" s="780"/>
      <c r="X151" s="782">
        <v>147</v>
      </c>
      <c r="Y151" s="782" t="s">
        <v>2248</v>
      </c>
      <c r="Z151" s="782" t="s">
        <v>5675</v>
      </c>
      <c r="AA151" s="781">
        <f>$S$1*P!AA151</f>
        <v>6.4435483870967753E-4</v>
      </c>
      <c r="AB151" s="780"/>
      <c r="AC151" s="782">
        <v>147</v>
      </c>
      <c r="AD151" s="782" t="s">
        <v>4573</v>
      </c>
      <c r="AE151" s="782" t="s">
        <v>5675</v>
      </c>
      <c r="AF151" s="781">
        <f>$S$1*P!AF151</f>
        <v>0.11893145161290324</v>
      </c>
    </row>
    <row r="152" spans="1:32" ht="20.25" customHeight="1" x14ac:dyDescent="0.35">
      <c r="A152" s="849">
        <v>106</v>
      </c>
      <c r="B152" s="854" t="s">
        <v>576</v>
      </c>
      <c r="C152" s="855">
        <f>$S$1*P!C151</f>
        <v>0.11834296637422502</v>
      </c>
      <c r="D152" s="856">
        <f>IF(P!D151="n.a.","n.a.",$S$1*P!D151)</f>
        <v>0.14201155964907003</v>
      </c>
      <c r="G152" s="804"/>
      <c r="H152" s="804"/>
      <c r="I152" s="804"/>
      <c r="S152" s="782">
        <v>148</v>
      </c>
      <c r="T152" s="782" t="s">
        <v>4284</v>
      </c>
      <c r="U152" s="782" t="s">
        <v>5682</v>
      </c>
      <c r="V152" s="797">
        <f>$S$1*P!V152</f>
        <v>3.3280241935483875E-6</v>
      </c>
      <c r="W152" s="780"/>
      <c r="X152" s="782">
        <v>148</v>
      </c>
      <c r="Y152" s="782" t="s">
        <v>2248</v>
      </c>
      <c r="Z152" s="782" t="s">
        <v>5674</v>
      </c>
      <c r="AA152" s="781">
        <f>$S$1*P!AA152</f>
        <v>3.149798387096774E-4</v>
      </c>
      <c r="AB152" s="780"/>
      <c r="AC152" s="782">
        <v>148</v>
      </c>
      <c r="AD152" s="782" t="s">
        <v>4573</v>
      </c>
      <c r="AE152" s="782" t="s">
        <v>5674</v>
      </c>
      <c r="AF152" s="781">
        <f>$S$1*P!AF152</f>
        <v>1.6451612903225807E-3</v>
      </c>
    </row>
    <row r="153" spans="1:32" ht="20.25" customHeight="1" x14ac:dyDescent="0.35">
      <c r="A153" s="849">
        <v>107</v>
      </c>
      <c r="B153" s="860"/>
      <c r="C153" s="855"/>
      <c r="D153" s="856">
        <f>IF(P!D152="n.a.","n.a.",$S$1*P!D152)</f>
        <v>0</v>
      </c>
      <c r="G153" s="804"/>
      <c r="H153" s="804"/>
      <c r="I153" s="804"/>
      <c r="S153" s="861">
        <v>149</v>
      </c>
      <c r="T153" s="861" t="s">
        <v>4284</v>
      </c>
      <c r="U153" s="861" t="s">
        <v>5809</v>
      </c>
      <c r="V153" s="862">
        <f>$S$1*P!V153</f>
        <v>9.7370000000000001</v>
      </c>
      <c r="W153" s="780"/>
      <c r="X153" s="782">
        <v>149</v>
      </c>
      <c r="Y153" s="782" t="s">
        <v>2248</v>
      </c>
      <c r="Z153" s="782" t="s">
        <v>3807</v>
      </c>
      <c r="AA153" s="781">
        <f>$S$1*P!AA153</f>
        <v>853.76</v>
      </c>
      <c r="AB153" s="780"/>
      <c r="AC153" s="782">
        <v>149</v>
      </c>
      <c r="AD153" s="782" t="s">
        <v>4573</v>
      </c>
      <c r="AE153" s="782" t="s">
        <v>3807</v>
      </c>
      <c r="AF153" s="781">
        <f>$S$1*P!AF153</f>
        <v>1922.8</v>
      </c>
    </row>
    <row r="154" spans="1:32" ht="20.25" customHeight="1" x14ac:dyDescent="0.35">
      <c r="A154" s="849">
        <v>108</v>
      </c>
      <c r="B154" s="854" t="s">
        <v>578</v>
      </c>
      <c r="C154" s="855">
        <f>$S$1*P!C153</f>
        <v>1.5673823326345E-2</v>
      </c>
      <c r="D154" s="856">
        <f>IF(P!D153="n.a.","n.a.",$S$1*P!D153)</f>
        <v>1.8808587991613997E-2</v>
      </c>
      <c r="G154" s="804"/>
      <c r="H154" s="804"/>
      <c r="I154" s="804"/>
      <c r="S154" s="861">
        <v>150</v>
      </c>
      <c r="T154" s="861" t="s">
        <v>4284</v>
      </c>
      <c r="U154" s="861" t="s">
        <v>5808</v>
      </c>
      <c r="V154" s="862">
        <f>$S$1*P!V154</f>
        <v>6.9550000000000001</v>
      </c>
      <c r="W154" s="780"/>
      <c r="X154" s="782">
        <v>150</v>
      </c>
      <c r="Y154" s="782" t="s">
        <v>2248</v>
      </c>
      <c r="Z154" s="782" t="s">
        <v>3806</v>
      </c>
      <c r="AA154" s="781">
        <f>$S$1*P!AA154</f>
        <v>0</v>
      </c>
      <c r="AB154" s="780"/>
      <c r="AC154" s="782">
        <v>150</v>
      </c>
      <c r="AD154" s="782" t="s">
        <v>4573</v>
      </c>
      <c r="AE154" s="782" t="s">
        <v>3806</v>
      </c>
      <c r="AF154" s="781">
        <f>$S$1*P!AF154</f>
        <v>1.0213709677419356E-2</v>
      </c>
    </row>
    <row r="155" spans="1:32" ht="20.25" customHeight="1" x14ac:dyDescent="0.35">
      <c r="A155" s="849">
        <v>109</v>
      </c>
      <c r="B155" s="854" t="s">
        <v>579</v>
      </c>
      <c r="C155" s="855">
        <f>$S$1*P!C154</f>
        <v>3.2542208042484998E-2</v>
      </c>
      <c r="D155" s="856">
        <f>IF(P!D154="n.a.","n.a.",$S$1*P!D154)</f>
        <v>3.9050649650981997E-2</v>
      </c>
      <c r="G155" s="804"/>
      <c r="H155" s="804"/>
      <c r="I155" s="804"/>
      <c r="S155" s="861">
        <v>151</v>
      </c>
      <c r="T155" s="861" t="s">
        <v>4284</v>
      </c>
      <c r="U155" s="861" t="s">
        <v>5807</v>
      </c>
      <c r="V155" s="862">
        <f>$S$1*P!V155</f>
        <v>6.0454999999999988</v>
      </c>
      <c r="W155" s="780"/>
      <c r="X155" s="782">
        <v>151</v>
      </c>
      <c r="Y155" s="782" t="s">
        <v>2248</v>
      </c>
      <c r="Z155" s="782" t="s">
        <v>3806</v>
      </c>
      <c r="AA155" s="781">
        <f>$S$1*P!AA155</f>
        <v>1.1241935483870967E-3</v>
      </c>
      <c r="AB155" s="780"/>
      <c r="AC155" s="782">
        <v>151</v>
      </c>
      <c r="AD155" s="782" t="s">
        <v>4573</v>
      </c>
      <c r="AE155" s="782" t="s">
        <v>3806</v>
      </c>
      <c r="AF155" s="781">
        <f>$S$1*P!AF155</f>
        <v>0</v>
      </c>
    </row>
    <row r="156" spans="1:32" ht="20.25" customHeight="1" x14ac:dyDescent="0.35">
      <c r="A156" s="849">
        <v>110</v>
      </c>
      <c r="B156" s="854" t="s">
        <v>6924</v>
      </c>
      <c r="C156" s="855">
        <f>$S$1*P!C155</f>
        <v>0.25025764604057504</v>
      </c>
      <c r="D156" s="856">
        <f>IF(P!D155="n.a.","n.a.",$S$1*P!D155)</f>
        <v>0.30030917524869005</v>
      </c>
      <c r="G156" s="804"/>
      <c r="H156" s="804"/>
      <c r="I156" s="804"/>
      <c r="S156" s="782">
        <v>152</v>
      </c>
      <c r="T156" s="782" t="s">
        <v>4284</v>
      </c>
      <c r="U156" s="782" t="s">
        <v>3810</v>
      </c>
      <c r="V156" s="797">
        <f>$S$1*P!V156</f>
        <v>86.204000000000008</v>
      </c>
      <c r="W156" s="780"/>
      <c r="X156" s="782">
        <v>152</v>
      </c>
      <c r="Y156" s="782" t="s">
        <v>2248</v>
      </c>
      <c r="Z156" s="782" t="s">
        <v>5673</v>
      </c>
      <c r="AA156" s="781">
        <f>$S$1*P!AA156</f>
        <v>2.1764112903225808E-4</v>
      </c>
      <c r="AB156" s="780"/>
      <c r="AC156" s="782">
        <v>152</v>
      </c>
      <c r="AD156" s="782" t="s">
        <v>4573</v>
      </c>
      <c r="AE156" s="782" t="s">
        <v>5673</v>
      </c>
      <c r="AF156" s="781">
        <f>$S$1*P!AF156</f>
        <v>0.89112903225806461</v>
      </c>
    </row>
    <row r="157" spans="1:32" ht="20.25" customHeight="1" x14ac:dyDescent="0.35">
      <c r="A157" s="849">
        <v>111</v>
      </c>
      <c r="B157" s="854" t="s">
        <v>581</v>
      </c>
      <c r="C157" s="855" t="s">
        <v>6926</v>
      </c>
      <c r="D157" s="856" t="str">
        <f>IF(P!D156="n.a.","n.a.",$S$1*P!D156)</f>
        <v>n.a.</v>
      </c>
      <c r="G157" s="804"/>
      <c r="H157" s="804"/>
      <c r="I157" s="804"/>
      <c r="S157" s="782">
        <v>153</v>
      </c>
      <c r="T157" s="782" t="s">
        <v>4284</v>
      </c>
      <c r="U157" s="782" t="s">
        <v>5681</v>
      </c>
      <c r="V157" s="797">
        <f>$S$1*P!V157</f>
        <v>5.7580645161290328E-2</v>
      </c>
      <c r="W157" s="780"/>
      <c r="X157" s="782">
        <v>153</v>
      </c>
      <c r="Y157" s="782" t="s">
        <v>2248</v>
      </c>
      <c r="Z157" s="782" t="s">
        <v>5672</v>
      </c>
      <c r="AA157" s="781">
        <f>$S$1*P!AA157</f>
        <v>4.5927419354838714E-4</v>
      </c>
      <c r="AB157" s="780"/>
      <c r="AC157" s="782">
        <v>153</v>
      </c>
      <c r="AD157" s="782" t="s">
        <v>4573</v>
      </c>
      <c r="AE157" s="782" t="s">
        <v>5672</v>
      </c>
      <c r="AF157" s="781">
        <f>$S$1*P!AF157</f>
        <v>4.0786290322580646E-3</v>
      </c>
    </row>
    <row r="158" spans="1:32" ht="20.25" customHeight="1" x14ac:dyDescent="0.35">
      <c r="A158" s="849">
        <v>112</v>
      </c>
      <c r="B158" s="854" t="s">
        <v>582</v>
      </c>
      <c r="C158" s="855" t="s">
        <v>6926</v>
      </c>
      <c r="D158" s="856" t="str">
        <f>IF(P!D157="n.a.","n.a.",$S$1*P!D157)</f>
        <v>n.a.</v>
      </c>
      <c r="G158" s="804"/>
      <c r="H158" s="804"/>
      <c r="I158" s="804"/>
      <c r="S158" s="782">
        <v>154</v>
      </c>
      <c r="T158" s="782" t="s">
        <v>4284</v>
      </c>
      <c r="U158" s="782" t="s">
        <v>3808</v>
      </c>
      <c r="V158" s="797">
        <f>$S$1*P!V158</f>
        <v>5.7580645161290325E-5</v>
      </c>
      <c r="W158" s="780"/>
      <c r="X158" s="782">
        <v>154</v>
      </c>
      <c r="Y158" s="782" t="s">
        <v>2248</v>
      </c>
      <c r="Z158" s="782" t="s">
        <v>5671</v>
      </c>
      <c r="AA158" s="781">
        <f>$S$1*P!AA158</f>
        <v>1.3675403225806455E-4</v>
      </c>
      <c r="AB158" s="780"/>
      <c r="AC158" s="782">
        <v>154</v>
      </c>
      <c r="AD158" s="782" t="s">
        <v>4573</v>
      </c>
      <c r="AE158" s="782" t="s">
        <v>5671</v>
      </c>
      <c r="AF158" s="781">
        <f>$S$1*P!AF158</f>
        <v>5.0040322580645162E-3</v>
      </c>
    </row>
    <row r="159" spans="1:32" ht="20.25" customHeight="1" x14ac:dyDescent="0.35">
      <c r="A159" s="849">
        <v>113</v>
      </c>
      <c r="B159" s="854" t="s">
        <v>583</v>
      </c>
      <c r="C159" s="855">
        <f>$S$1*P!C158</f>
        <v>8.9695522023010024E-2</v>
      </c>
      <c r="D159" s="856">
        <f>IF(P!D158="n.a.","n.a.",$S$1*P!D158)</f>
        <v>0.10763462642761203</v>
      </c>
      <c r="G159" s="804"/>
      <c r="H159" s="804"/>
      <c r="I159" s="804"/>
      <c r="S159" s="782">
        <v>155</v>
      </c>
      <c r="T159" s="782" t="s">
        <v>4284</v>
      </c>
      <c r="U159" s="782" t="s">
        <v>3808</v>
      </c>
      <c r="V159" s="797">
        <f>$S$1*P!V159</f>
        <v>0</v>
      </c>
      <c r="W159" s="780"/>
      <c r="X159" s="782">
        <v>155</v>
      </c>
      <c r="Y159" s="782" t="s">
        <v>2248</v>
      </c>
      <c r="Z159" s="782" t="s">
        <v>5670</v>
      </c>
      <c r="AA159" s="781">
        <f>$S$1*P!AA159</f>
        <v>1.3195564516129035E-7</v>
      </c>
      <c r="AB159" s="780"/>
      <c r="AC159" s="782">
        <v>155</v>
      </c>
      <c r="AD159" s="782" t="s">
        <v>4573</v>
      </c>
      <c r="AE159" s="782" t="s">
        <v>5670</v>
      </c>
      <c r="AF159" s="781">
        <f>$S$1*P!AF159</f>
        <v>4.1471774193548391E-4</v>
      </c>
    </row>
    <row r="160" spans="1:32" ht="20.25" customHeight="1" x14ac:dyDescent="0.35">
      <c r="A160" s="849">
        <v>114</v>
      </c>
      <c r="B160" s="854" t="s">
        <v>584</v>
      </c>
      <c r="C160" s="855" t="s">
        <v>6926</v>
      </c>
      <c r="D160" s="856" t="str">
        <f>IF(P!D159="n.a.","n.a.",$S$1*P!D159)</f>
        <v>n.a.</v>
      </c>
      <c r="G160" s="804"/>
      <c r="H160" s="804"/>
      <c r="I160" s="804"/>
      <c r="S160" s="782">
        <v>156</v>
      </c>
      <c r="T160" s="782" t="s">
        <v>4284</v>
      </c>
      <c r="U160" s="782" t="s">
        <v>5679</v>
      </c>
      <c r="V160" s="797">
        <f>$S$1*P!V160</f>
        <v>2.0221774193548386E-5</v>
      </c>
      <c r="W160" s="780"/>
      <c r="X160" s="782">
        <v>156</v>
      </c>
      <c r="Y160" s="782" t="s">
        <v>2248</v>
      </c>
      <c r="Z160" s="782" t="s">
        <v>5669</v>
      </c>
      <c r="AA160" s="781">
        <f>$S$1*P!AA160</f>
        <v>1.8885080645161291E-4</v>
      </c>
      <c r="AB160" s="780"/>
      <c r="AC160" s="782">
        <v>156</v>
      </c>
      <c r="AD160" s="782" t="s">
        <v>4573</v>
      </c>
      <c r="AE160" s="782" t="s">
        <v>5669</v>
      </c>
      <c r="AF160" s="781">
        <f>$S$1*P!AF160</f>
        <v>4.181451612903226E-2</v>
      </c>
    </row>
    <row r="161" spans="1:32" ht="20.25" customHeight="1" x14ac:dyDescent="0.35">
      <c r="A161" s="849">
        <v>115</v>
      </c>
      <c r="B161" s="854" t="s">
        <v>585</v>
      </c>
      <c r="C161" s="855" t="s">
        <v>6926</v>
      </c>
      <c r="D161" s="856" t="str">
        <f>IF(P!D160="n.a.","n.a.",$S$1*P!D160)</f>
        <v>n.a.</v>
      </c>
      <c r="G161" s="804"/>
      <c r="H161" s="804"/>
      <c r="I161" s="804"/>
      <c r="S161" s="782">
        <v>157</v>
      </c>
      <c r="T161" s="782" t="s">
        <v>4284</v>
      </c>
      <c r="U161" s="782" t="s">
        <v>5678</v>
      </c>
      <c r="V161" s="797">
        <f>$S$1*P!V161</f>
        <v>1.5389112903225807E-3</v>
      </c>
      <c r="W161" s="780"/>
      <c r="X161" s="782">
        <v>157</v>
      </c>
      <c r="Y161" s="782" t="s">
        <v>2248</v>
      </c>
      <c r="Z161" s="782" t="s">
        <v>5668</v>
      </c>
      <c r="AA161" s="781">
        <f>$S$1*P!AA161</f>
        <v>6.5120967741935489E-3</v>
      </c>
      <c r="AB161" s="780"/>
      <c r="AC161" s="782">
        <v>157</v>
      </c>
      <c r="AD161" s="782" t="s">
        <v>4573</v>
      </c>
      <c r="AE161" s="782" t="s">
        <v>5668</v>
      </c>
      <c r="AF161" s="781">
        <f>$S$1*P!AF161</f>
        <v>0.95967741935483875</v>
      </c>
    </row>
    <row r="162" spans="1:32" ht="20.25" customHeight="1" x14ac:dyDescent="0.35">
      <c r="A162" s="849">
        <v>116</v>
      </c>
      <c r="B162" s="854" t="s">
        <v>586</v>
      </c>
      <c r="C162" s="855">
        <f>$S$1*P!C161</f>
        <v>0.11677401227218</v>
      </c>
      <c r="D162" s="856">
        <f>IF(P!D161="n.a.","n.a.",$S$1*P!D161)</f>
        <v>0.14012881472661598</v>
      </c>
      <c r="G162" s="804"/>
      <c r="H162" s="804"/>
      <c r="I162" s="804"/>
      <c r="S162" s="782">
        <v>158</v>
      </c>
      <c r="T162" s="782" t="s">
        <v>4284</v>
      </c>
      <c r="U162" s="782" t="s">
        <v>5677</v>
      </c>
      <c r="V162" s="797">
        <f>$S$1*P!V162</f>
        <v>1.8747983870967742E-4</v>
      </c>
      <c r="W162" s="780"/>
      <c r="X162" s="782">
        <v>158</v>
      </c>
      <c r="Y162" s="782" t="s">
        <v>2248</v>
      </c>
      <c r="Z162" s="782" t="s">
        <v>5667</v>
      </c>
      <c r="AA162" s="781">
        <f>$S$1*P!AA162</f>
        <v>2.0324596774193549E-5</v>
      </c>
      <c r="AB162" s="780"/>
      <c r="AC162" s="782">
        <v>158</v>
      </c>
      <c r="AD162" s="782" t="s">
        <v>4573</v>
      </c>
      <c r="AE162" s="782" t="s">
        <v>5667</v>
      </c>
      <c r="AF162" s="781">
        <f>$S$1*P!AF162</f>
        <v>0.17993951612903228</v>
      </c>
    </row>
    <row r="163" spans="1:32" ht="20.25" customHeight="1" x14ac:dyDescent="0.35">
      <c r="A163" s="849">
        <v>117</v>
      </c>
      <c r="B163" s="854" t="s">
        <v>587</v>
      </c>
      <c r="C163" s="855" t="s">
        <v>6926</v>
      </c>
      <c r="D163" s="856" t="str">
        <f>IF(P!D162="n.a.","n.a.",$S$1*P!D162)</f>
        <v>n.a.</v>
      </c>
      <c r="G163" s="804"/>
      <c r="H163" s="804"/>
      <c r="I163" s="804"/>
      <c r="S163" s="782">
        <v>159</v>
      </c>
      <c r="T163" s="782" t="s">
        <v>4284</v>
      </c>
      <c r="U163" s="782" t="s">
        <v>5676</v>
      </c>
      <c r="V163" s="797">
        <f>$S$1*P!V163</f>
        <v>2.8310483870967745E-4</v>
      </c>
      <c r="W163" s="780"/>
      <c r="X163" s="782">
        <v>159</v>
      </c>
      <c r="Y163" s="782" t="s">
        <v>2248</v>
      </c>
      <c r="Z163" s="782" t="s">
        <v>5666</v>
      </c>
      <c r="AA163" s="781">
        <f>$S$1*P!AA163</f>
        <v>1.6417338709677422E-4</v>
      </c>
      <c r="AB163" s="780"/>
      <c r="AC163" s="782">
        <v>159</v>
      </c>
      <c r="AD163" s="782" t="s">
        <v>4573</v>
      </c>
      <c r="AE163" s="782" t="s">
        <v>5666</v>
      </c>
      <c r="AF163" s="781">
        <f>$S$1*P!AF163</f>
        <v>1.3058467741935485E-3</v>
      </c>
    </row>
    <row r="164" spans="1:32" ht="20.25" customHeight="1" x14ac:dyDescent="0.35">
      <c r="A164" s="849">
        <v>118</v>
      </c>
      <c r="B164" s="854" t="s">
        <v>588</v>
      </c>
      <c r="C164" s="855" t="s">
        <v>6926</v>
      </c>
      <c r="D164" s="856" t="str">
        <f>IF(P!D163="n.a.","n.a.",$S$1*P!D163)</f>
        <v>n.a.</v>
      </c>
      <c r="G164" s="804"/>
      <c r="H164" s="804"/>
      <c r="I164" s="804"/>
      <c r="S164" s="782">
        <v>160</v>
      </c>
      <c r="T164" s="782" t="s">
        <v>4284</v>
      </c>
      <c r="U164" s="782" t="s">
        <v>5675</v>
      </c>
      <c r="V164" s="797">
        <f>$S$1*P!V164</f>
        <v>7.8487903225806454E-5</v>
      </c>
      <c r="W164" s="780"/>
      <c r="X164" s="782">
        <v>160</v>
      </c>
      <c r="Y164" s="782" t="s">
        <v>2248</v>
      </c>
      <c r="Z164" s="782" t="s">
        <v>5665</v>
      </c>
      <c r="AA164" s="781">
        <f>$S$1*P!AA164</f>
        <v>2.15241935483871E-4</v>
      </c>
      <c r="AB164" s="780"/>
      <c r="AC164" s="782">
        <v>160</v>
      </c>
      <c r="AD164" s="782" t="s">
        <v>4573</v>
      </c>
      <c r="AE164" s="782" t="s">
        <v>5665</v>
      </c>
      <c r="AF164" s="781">
        <f>$S$1*P!AF164</f>
        <v>1.3881048387096775E-2</v>
      </c>
    </row>
    <row r="165" spans="1:32" ht="20.25" customHeight="1" x14ac:dyDescent="0.35">
      <c r="A165" s="849">
        <v>119</v>
      </c>
      <c r="B165" s="854" t="s">
        <v>589</v>
      </c>
      <c r="C165" s="855">
        <f>$S$1*P!C164</f>
        <v>6.7996378552549697E-2</v>
      </c>
      <c r="D165" s="856">
        <f>IF(P!D164="n.a.","n.a.",$S$1*P!D164)</f>
        <v>8.1595654263059633E-2</v>
      </c>
      <c r="G165" s="804"/>
      <c r="H165" s="804"/>
      <c r="I165" s="804"/>
      <c r="S165" s="782">
        <v>161</v>
      </c>
      <c r="T165" s="782" t="s">
        <v>4284</v>
      </c>
      <c r="U165" s="782" t="s">
        <v>5674</v>
      </c>
      <c r="V165" s="797">
        <f>$S$1*P!V165</f>
        <v>1.7411290322580646E-5</v>
      </c>
      <c r="W165" s="780"/>
      <c r="X165" s="782">
        <v>161</v>
      </c>
      <c r="Y165" s="782" t="s">
        <v>2248</v>
      </c>
      <c r="Z165" s="782" t="s">
        <v>5664</v>
      </c>
      <c r="AA165" s="781">
        <f>$S$1*P!AA165</f>
        <v>1.3435483870967743E-3</v>
      </c>
      <c r="AB165" s="780"/>
      <c r="AC165" s="782">
        <v>161</v>
      </c>
      <c r="AD165" s="782" t="s">
        <v>4573</v>
      </c>
      <c r="AE165" s="782" t="s">
        <v>5664</v>
      </c>
      <c r="AF165" s="781">
        <f>$S$1*P!AF165</f>
        <v>1.1276209677419356E-2</v>
      </c>
    </row>
    <row r="166" spans="1:32" ht="20.25" customHeight="1" x14ac:dyDescent="0.35">
      <c r="A166" s="849">
        <v>120</v>
      </c>
      <c r="B166" s="854" t="s">
        <v>590</v>
      </c>
      <c r="C166" s="855">
        <f>$S$1*P!C165</f>
        <v>8.1853410838239993E-2</v>
      </c>
      <c r="D166" s="856">
        <f>IF(P!D165="n.a.","n.a.",$S$1*P!D165)</f>
        <v>9.8224093005887983E-2</v>
      </c>
      <c r="G166" s="804"/>
      <c r="H166" s="804"/>
      <c r="I166" s="804"/>
      <c r="S166" s="782">
        <v>162</v>
      </c>
      <c r="T166" s="782" t="s">
        <v>4284</v>
      </c>
      <c r="U166" s="782" t="s">
        <v>3807</v>
      </c>
      <c r="V166" s="797">
        <f>$S$1*P!V166</f>
        <v>975.19999999999993</v>
      </c>
      <c r="W166" s="780"/>
      <c r="X166" s="782">
        <v>162</v>
      </c>
      <c r="Y166" s="782" t="s">
        <v>2248</v>
      </c>
      <c r="Z166" s="782" t="s">
        <v>5663</v>
      </c>
      <c r="AA166" s="781">
        <f>$S$1*P!AA166</f>
        <v>5.6209677419354844E-7</v>
      </c>
      <c r="AB166" s="780"/>
      <c r="AC166" s="782">
        <v>162</v>
      </c>
      <c r="AD166" s="782" t="s">
        <v>4573</v>
      </c>
      <c r="AE166" s="782" t="s">
        <v>5663</v>
      </c>
      <c r="AF166" s="781">
        <f>$S$1*P!AF166</f>
        <v>1.0179435483870969E-3</v>
      </c>
    </row>
    <row r="167" spans="1:32" ht="20.25" customHeight="1" x14ac:dyDescent="0.35">
      <c r="A167" s="849">
        <v>121</v>
      </c>
      <c r="B167" s="854" t="s">
        <v>591</v>
      </c>
      <c r="C167" s="855">
        <f>$S$1*P!C166</f>
        <v>0.29800010068691501</v>
      </c>
      <c r="D167" s="856">
        <f>IF(P!D166="n.a.","n.a.",$S$1*P!D166)</f>
        <v>0.35760012082429798</v>
      </c>
      <c r="G167" s="804"/>
      <c r="H167" s="804"/>
      <c r="I167" s="804"/>
      <c r="S167" s="782">
        <v>163</v>
      </c>
      <c r="T167" s="782" t="s">
        <v>4284</v>
      </c>
      <c r="U167" s="782" t="s">
        <v>3806</v>
      </c>
      <c r="V167" s="797">
        <f>$S$1*P!V167</f>
        <v>1.0625000000000001E-3</v>
      </c>
      <c r="W167" s="780"/>
      <c r="X167" s="782">
        <v>163</v>
      </c>
      <c r="Y167" s="782" t="s">
        <v>2248</v>
      </c>
      <c r="Z167" s="782" t="s">
        <v>5662</v>
      </c>
      <c r="AA167" s="781">
        <f>$S$1*P!AA167</f>
        <v>2.4026209677419355E-5</v>
      </c>
      <c r="AB167" s="780"/>
      <c r="AC167" s="782">
        <v>163</v>
      </c>
      <c r="AD167" s="782" t="s">
        <v>4573</v>
      </c>
      <c r="AE167" s="782" t="s">
        <v>5662</v>
      </c>
      <c r="AF167" s="781">
        <f>$S$1*P!AF167</f>
        <v>4.3528225806451614E-3</v>
      </c>
    </row>
    <row r="168" spans="1:32" ht="20.25" customHeight="1" x14ac:dyDescent="0.35">
      <c r="A168" s="849">
        <v>122</v>
      </c>
      <c r="B168" s="854" t="s">
        <v>592</v>
      </c>
      <c r="C168" s="855" t="s">
        <v>6926</v>
      </c>
      <c r="D168" s="856" t="str">
        <f>IF(P!D167="n.a.","n.a.",$S$1*P!D167)</f>
        <v>n.a.</v>
      </c>
      <c r="G168" s="804"/>
      <c r="H168" s="804"/>
      <c r="I168" s="804"/>
      <c r="S168" s="782">
        <v>164</v>
      </c>
      <c r="T168" s="782" t="s">
        <v>4284</v>
      </c>
      <c r="U168" s="782" t="s">
        <v>3806</v>
      </c>
      <c r="V168" s="797">
        <f>$S$1*P!V168</f>
        <v>0</v>
      </c>
      <c r="W168" s="780"/>
      <c r="X168" s="782">
        <v>164</v>
      </c>
      <c r="Y168" s="782" t="s">
        <v>2248</v>
      </c>
      <c r="Z168" s="782" t="s">
        <v>3805</v>
      </c>
      <c r="AA168" s="781">
        <f>$S$1*P!AA168</f>
        <v>1.8767999999999999E-4</v>
      </c>
      <c r="AB168" s="780"/>
      <c r="AC168" s="782">
        <v>164</v>
      </c>
      <c r="AD168" s="782" t="s">
        <v>4573</v>
      </c>
      <c r="AE168" s="782" t="s">
        <v>3805</v>
      </c>
      <c r="AF168" s="781">
        <f>$S$1*P!AF168</f>
        <v>2.1558467741935486E-3</v>
      </c>
    </row>
    <row r="169" spans="1:32" ht="20.25" customHeight="1" x14ac:dyDescent="0.35">
      <c r="A169" s="849">
        <v>123</v>
      </c>
      <c r="B169" s="854" t="s">
        <v>593</v>
      </c>
      <c r="C169" s="855">
        <f>$S$1*P!C168</f>
        <v>9.4253567853229983E-2</v>
      </c>
      <c r="D169" s="856">
        <f>IF(P!D168="n.a.","n.a.",$S$1*P!D168)</f>
        <v>0.11310428142387598</v>
      </c>
      <c r="G169" s="804"/>
      <c r="H169" s="804"/>
      <c r="I169" s="804"/>
      <c r="S169" s="782">
        <v>165</v>
      </c>
      <c r="T169" s="782" t="s">
        <v>4284</v>
      </c>
      <c r="U169" s="782" t="s">
        <v>5673</v>
      </c>
      <c r="V169" s="797">
        <f>$S$1*P!V169</f>
        <v>1.0899193548387098E-2</v>
      </c>
      <c r="W169" s="780"/>
      <c r="X169" s="782">
        <v>165</v>
      </c>
      <c r="Y169" s="782" t="s">
        <v>2248</v>
      </c>
      <c r="Z169" s="782" t="s">
        <v>3805</v>
      </c>
      <c r="AA169" s="781">
        <f>$S$1*P!AA169</f>
        <v>4.4899193548387105E-6</v>
      </c>
      <c r="AB169" s="780"/>
      <c r="AC169" s="782">
        <v>165</v>
      </c>
      <c r="AD169" s="782" t="s">
        <v>4573</v>
      </c>
      <c r="AE169" s="782" t="s">
        <v>3805</v>
      </c>
      <c r="AF169" s="781">
        <f>$S$1*P!AF169</f>
        <v>9.0067999999999995E-2</v>
      </c>
    </row>
    <row r="170" spans="1:32" ht="20.25" customHeight="1" x14ac:dyDescent="0.35">
      <c r="A170" s="849">
        <v>124</v>
      </c>
      <c r="B170" s="854" t="s">
        <v>594</v>
      </c>
      <c r="C170" s="855">
        <f>$S$1*P!C169</f>
        <v>5.716443966E-5</v>
      </c>
      <c r="D170" s="856">
        <f>IF(P!D169="n.a.","n.a.",$S$1*P!D169)</f>
        <v>6.8597327592000002E-5</v>
      </c>
      <c r="G170" s="804"/>
      <c r="H170" s="804"/>
      <c r="I170" s="804"/>
      <c r="S170" s="782">
        <v>166</v>
      </c>
      <c r="T170" s="782" t="s">
        <v>4284</v>
      </c>
      <c r="U170" s="782" t="s">
        <v>5672</v>
      </c>
      <c r="V170" s="797">
        <f>$S$1*P!V170</f>
        <v>3.4616935483870972E-5</v>
      </c>
      <c r="W170" s="780"/>
      <c r="X170" s="782">
        <v>166</v>
      </c>
      <c r="Y170" s="782" t="s">
        <v>2248</v>
      </c>
      <c r="Z170" s="782" t="s">
        <v>5661</v>
      </c>
      <c r="AA170" s="781">
        <f>$S$1*P!AA170</f>
        <v>1.0830645161290325E-4</v>
      </c>
      <c r="AB170" s="780"/>
      <c r="AC170" s="782">
        <v>166</v>
      </c>
      <c r="AD170" s="782" t="s">
        <v>4573</v>
      </c>
      <c r="AE170" s="782" t="s">
        <v>5661</v>
      </c>
      <c r="AF170" s="781">
        <f>$S$1*P!AF170</f>
        <v>2.4334677419354842E-2</v>
      </c>
    </row>
    <row r="171" spans="1:32" ht="20.25" customHeight="1" x14ac:dyDescent="0.35">
      <c r="A171" s="849">
        <v>125</v>
      </c>
      <c r="B171" s="860"/>
      <c r="C171" s="855"/>
      <c r="D171" s="856">
        <f>IF(P!D170="n.a.","n.a.",$S$1*P!D170)</f>
        <v>0</v>
      </c>
      <c r="G171" s="804"/>
      <c r="H171" s="804"/>
      <c r="I171" s="804"/>
      <c r="S171" s="782">
        <v>167</v>
      </c>
      <c r="T171" s="782" t="s">
        <v>4284</v>
      </c>
      <c r="U171" s="782" t="s">
        <v>5671</v>
      </c>
      <c r="V171" s="797">
        <f>$S$1*P!V171</f>
        <v>2.1455645161290325E-5</v>
      </c>
      <c r="W171" s="780"/>
      <c r="X171" s="782">
        <v>167</v>
      </c>
      <c r="Y171" s="782" t="s">
        <v>2248</v>
      </c>
      <c r="Z171" s="782" t="s">
        <v>5660</v>
      </c>
      <c r="AA171" s="781">
        <f>$S$1*P!AA171</f>
        <v>6.7862903225806457E-3</v>
      </c>
      <c r="AB171" s="780"/>
      <c r="AC171" s="782">
        <v>167</v>
      </c>
      <c r="AD171" s="782" t="s">
        <v>4573</v>
      </c>
      <c r="AE171" s="782" t="s">
        <v>5660</v>
      </c>
      <c r="AF171" s="781">
        <f>$S$1*P!AF171</f>
        <v>0.58608870967741944</v>
      </c>
    </row>
    <row r="172" spans="1:32" ht="20.25" customHeight="1" x14ac:dyDescent="0.35">
      <c r="A172" s="849">
        <v>126</v>
      </c>
      <c r="B172" s="854" t="s">
        <v>596</v>
      </c>
      <c r="C172" s="855">
        <f>$S$1*P!C171</f>
        <v>6.3178377560955012E-2</v>
      </c>
      <c r="D172" s="856">
        <f>IF(P!D171="n.a.","n.a.",$S$1*P!D171)</f>
        <v>7.5814053073146009E-2</v>
      </c>
      <c r="G172" s="804"/>
      <c r="H172" s="804"/>
      <c r="I172" s="804"/>
      <c r="S172" s="782">
        <v>168</v>
      </c>
      <c r="T172" s="782" t="s">
        <v>4284</v>
      </c>
      <c r="U172" s="782" t="s">
        <v>5670</v>
      </c>
      <c r="V172" s="797">
        <f>$S$1*P!V172</f>
        <v>2.2826612903225812E-9</v>
      </c>
      <c r="W172" s="780"/>
      <c r="X172" s="782">
        <v>168</v>
      </c>
      <c r="Y172" s="782" t="s">
        <v>2248</v>
      </c>
      <c r="Z172" s="782" t="s">
        <v>5659</v>
      </c>
      <c r="AA172" s="781">
        <f>$S$1*P!AA172</f>
        <v>1.2201612903225808E-4</v>
      </c>
      <c r="AB172" s="780"/>
      <c r="AC172" s="782">
        <v>168</v>
      </c>
      <c r="AD172" s="782" t="s">
        <v>4573</v>
      </c>
      <c r="AE172" s="782" t="s">
        <v>5659</v>
      </c>
      <c r="AF172" s="781">
        <f>$S$1*P!AF172</f>
        <v>3.8729838709677424E-3</v>
      </c>
    </row>
    <row r="173" spans="1:32" ht="20.25" customHeight="1" x14ac:dyDescent="0.35">
      <c r="A173" s="849">
        <v>127</v>
      </c>
      <c r="B173" s="854" t="s">
        <v>597</v>
      </c>
      <c r="C173" s="855">
        <f>$S$1*P!C172</f>
        <v>3.9170124697999998E-4</v>
      </c>
      <c r="D173" s="856">
        <f>IF(P!D172="n.a.","n.a.",$S$1*P!D172)</f>
        <v>4.7004149637599996E-4</v>
      </c>
      <c r="G173" s="804"/>
      <c r="H173" s="804"/>
      <c r="I173" s="804"/>
      <c r="S173" s="782">
        <v>169</v>
      </c>
      <c r="T173" s="782" t="s">
        <v>4284</v>
      </c>
      <c r="U173" s="782" t="s">
        <v>5669</v>
      </c>
      <c r="V173" s="797">
        <f>$S$1*P!V173</f>
        <v>8.2600806451612916E-5</v>
      </c>
      <c r="W173" s="780"/>
      <c r="X173" s="782">
        <v>169</v>
      </c>
      <c r="Y173" s="782" t="s">
        <v>2248</v>
      </c>
      <c r="Z173" s="782" t="s">
        <v>5658</v>
      </c>
      <c r="AA173" s="781">
        <f>$S$1*P!AA173</f>
        <v>2.7967741935483871E-3</v>
      </c>
      <c r="AB173" s="780"/>
      <c r="AC173" s="782">
        <v>169</v>
      </c>
      <c r="AD173" s="782" t="s">
        <v>4573</v>
      </c>
      <c r="AE173" s="782" t="s">
        <v>5658</v>
      </c>
      <c r="AF173" s="781">
        <f>$S$1*P!AF173</f>
        <v>2.9201612903225808E-2</v>
      </c>
    </row>
    <row r="174" spans="1:32" ht="20.25" customHeight="1" x14ac:dyDescent="0.35">
      <c r="A174" s="849">
        <v>128</v>
      </c>
      <c r="B174" s="858" t="s">
        <v>458</v>
      </c>
      <c r="C174" s="855">
        <f>$S$1*P!C173</f>
        <v>5.3505173570388476E-2</v>
      </c>
      <c r="D174" s="856">
        <f>IF(P!D173="n.a.","n.a.",$S$1*P!D173)</f>
        <v>6.4206208284466174E-2</v>
      </c>
      <c r="G174" s="804"/>
      <c r="H174" s="804"/>
      <c r="I174" s="804"/>
      <c r="S174" s="782">
        <v>170</v>
      </c>
      <c r="T174" s="782" t="s">
        <v>4284</v>
      </c>
      <c r="U174" s="782" t="s">
        <v>5668</v>
      </c>
      <c r="V174" s="797">
        <f>$S$1*P!V174</f>
        <v>2.9750000000000002E-2</v>
      </c>
      <c r="W174" s="780"/>
      <c r="X174" s="782">
        <v>170</v>
      </c>
      <c r="Y174" s="782" t="s">
        <v>2248</v>
      </c>
      <c r="Z174" s="782" t="s">
        <v>5657</v>
      </c>
      <c r="AA174" s="781">
        <f>$S$1*P!AA174</f>
        <v>4.3870967741935487E-3</v>
      </c>
      <c r="AB174" s="780"/>
      <c r="AC174" s="782">
        <v>170</v>
      </c>
      <c r="AD174" s="782" t="s">
        <v>4573</v>
      </c>
      <c r="AE174" s="782" t="s">
        <v>5657</v>
      </c>
      <c r="AF174" s="781">
        <f>$S$1*P!AF174</f>
        <v>4.7641129032258069E-2</v>
      </c>
    </row>
    <row r="175" spans="1:32" ht="20.25" customHeight="1" x14ac:dyDescent="0.35">
      <c r="A175" s="849">
        <v>129</v>
      </c>
      <c r="B175" s="854" t="s">
        <v>598</v>
      </c>
      <c r="C175" s="855">
        <f>$S$1*P!C174</f>
        <v>2.489325765636E-2</v>
      </c>
      <c r="D175" s="856">
        <f>IF(P!D174="n.a.","n.a.",$S$1*P!D174)</f>
        <v>2.9871909187631999E-2</v>
      </c>
      <c r="G175" s="804"/>
      <c r="H175" s="804"/>
      <c r="I175" s="804"/>
      <c r="S175" s="782">
        <v>171</v>
      </c>
      <c r="T175" s="782" t="s">
        <v>4284</v>
      </c>
      <c r="U175" s="782" t="s">
        <v>5667</v>
      </c>
      <c r="V175" s="797">
        <f>$S$1*P!V175</f>
        <v>1.974193548387097E-3</v>
      </c>
      <c r="W175" s="780"/>
      <c r="X175" s="782">
        <v>171</v>
      </c>
      <c r="Y175" s="782" t="s">
        <v>2248</v>
      </c>
      <c r="Z175" s="782" t="s">
        <v>5656</v>
      </c>
      <c r="AA175" s="781">
        <f>$S$1*P!AA175</f>
        <v>1.2441532258064518E-2</v>
      </c>
      <c r="AB175" s="780"/>
      <c r="AC175" s="782">
        <v>171</v>
      </c>
      <c r="AD175" s="782" t="s">
        <v>4573</v>
      </c>
      <c r="AE175" s="782" t="s">
        <v>5656</v>
      </c>
      <c r="AF175" s="781">
        <f>$S$1*P!AF175</f>
        <v>0.89455645161290331</v>
      </c>
    </row>
    <row r="176" spans="1:32" ht="20.25" customHeight="1" x14ac:dyDescent="0.35">
      <c r="A176" s="849">
        <v>130</v>
      </c>
      <c r="B176" s="854" t="s">
        <v>599</v>
      </c>
      <c r="C176" s="855">
        <f>$S$1*P!C175</f>
        <v>6.0796819522875009E-2</v>
      </c>
      <c r="D176" s="856">
        <f>IF(P!D175="n.a.","n.a.",$S$1*P!D175)</f>
        <v>7.2956183427450014E-2</v>
      </c>
      <c r="G176" s="804"/>
      <c r="H176" s="804"/>
      <c r="I176" s="804"/>
      <c r="S176" s="782">
        <v>172</v>
      </c>
      <c r="T176" s="782" t="s">
        <v>4284</v>
      </c>
      <c r="U176" s="782" t="s">
        <v>5666</v>
      </c>
      <c r="V176" s="797">
        <f>$S$1*P!V176</f>
        <v>1.2852822580645161E-5</v>
      </c>
      <c r="W176" s="780"/>
      <c r="X176" s="782">
        <v>172</v>
      </c>
      <c r="Y176" s="782" t="s">
        <v>2248</v>
      </c>
      <c r="Z176" s="782" t="s">
        <v>5655</v>
      </c>
      <c r="AA176" s="781">
        <f>$S$1*P!AA176</f>
        <v>4.0786290322580654E-7</v>
      </c>
      <c r="AB176" s="780"/>
      <c r="AC176" s="782">
        <v>172</v>
      </c>
      <c r="AD176" s="782" t="s">
        <v>4573</v>
      </c>
      <c r="AE176" s="782" t="s">
        <v>5655</v>
      </c>
      <c r="AF176" s="781">
        <f>$S$1*P!AF176</f>
        <v>3.4274193548387101E-2</v>
      </c>
    </row>
    <row r="177" spans="1:32" ht="20.25" customHeight="1" x14ac:dyDescent="0.35">
      <c r="A177" s="849">
        <v>131</v>
      </c>
      <c r="B177" s="854" t="s">
        <v>600</v>
      </c>
      <c r="C177" s="855" t="s">
        <v>6926</v>
      </c>
      <c r="D177" s="856" t="str">
        <f>IF(P!D176="n.a.","n.a.",$S$1*P!D176)</f>
        <v>n.a.</v>
      </c>
      <c r="G177" s="804"/>
      <c r="H177" s="804"/>
      <c r="I177" s="804"/>
      <c r="S177" s="782">
        <v>173</v>
      </c>
      <c r="T177" s="782" t="s">
        <v>4284</v>
      </c>
      <c r="U177" s="782" t="s">
        <v>5665</v>
      </c>
      <c r="V177" s="797">
        <f>$S$1*P!V177</f>
        <v>6.3064516129032272E-5</v>
      </c>
      <c r="W177" s="780"/>
      <c r="X177" s="782">
        <v>173</v>
      </c>
      <c r="Y177" s="782" t="s">
        <v>2248</v>
      </c>
      <c r="Z177" s="782" t="s">
        <v>3803</v>
      </c>
      <c r="AA177" s="781">
        <f>$S$1*P!AA177</f>
        <v>0</v>
      </c>
      <c r="AB177" s="780"/>
      <c r="AC177" s="782">
        <v>173</v>
      </c>
      <c r="AD177" s="782" t="s">
        <v>4573</v>
      </c>
      <c r="AE177" s="782" t="s">
        <v>3803</v>
      </c>
      <c r="AF177" s="781">
        <f>$S$1*P!AF177</f>
        <v>0</v>
      </c>
    </row>
    <row r="178" spans="1:32" ht="20.25" customHeight="1" x14ac:dyDescent="0.35">
      <c r="A178" s="849">
        <v>132</v>
      </c>
      <c r="B178" s="854" t="s">
        <v>601</v>
      </c>
      <c r="C178" s="855">
        <f>$S$1*P!C177</f>
        <v>5.6505110671965009E-2</v>
      </c>
      <c r="D178" s="856">
        <f>IF(P!D177="n.a.","n.a.",$S$1*P!D177)</f>
        <v>6.7806132806358013E-2</v>
      </c>
      <c r="G178" s="804"/>
      <c r="H178" s="804"/>
      <c r="I178" s="804"/>
      <c r="S178" s="782">
        <v>174</v>
      </c>
      <c r="T178" s="782" t="s">
        <v>4284</v>
      </c>
      <c r="U178" s="782" t="s">
        <v>5664</v>
      </c>
      <c r="V178" s="797">
        <f>$S$1*P!V178</f>
        <v>4.2842741935483876E-5</v>
      </c>
      <c r="W178" s="780"/>
      <c r="X178" s="782">
        <v>174</v>
      </c>
      <c r="Y178" s="782" t="s">
        <v>2248</v>
      </c>
      <c r="Z178" s="782" t="s">
        <v>5654</v>
      </c>
      <c r="AA178" s="781">
        <f>$S$1*P!AA178</f>
        <v>5.6895161290322583E-3</v>
      </c>
      <c r="AB178" s="780"/>
      <c r="AC178" s="782">
        <v>174</v>
      </c>
      <c r="AD178" s="782" t="s">
        <v>4573</v>
      </c>
      <c r="AE178" s="782" t="s">
        <v>5654</v>
      </c>
      <c r="AF178" s="781">
        <f>$S$1*P!AF178</f>
        <v>1.4737903225806454E-2</v>
      </c>
    </row>
    <row r="179" spans="1:32" ht="20.25" customHeight="1" x14ac:dyDescent="0.35">
      <c r="A179" s="849">
        <v>133</v>
      </c>
      <c r="B179" s="854" t="s">
        <v>602</v>
      </c>
      <c r="C179" s="855">
        <f>$S$1*P!C178</f>
        <v>2.85175518975E-4</v>
      </c>
      <c r="D179" s="856">
        <f>IF(P!D178="n.a.","n.a.",$S$1*P!D178)</f>
        <v>3.4221062276999998E-4</v>
      </c>
      <c r="G179" s="804"/>
      <c r="H179" s="804"/>
      <c r="I179" s="804"/>
      <c r="S179" s="861">
        <v>175</v>
      </c>
      <c r="T179" s="861" t="s">
        <v>4284</v>
      </c>
      <c r="U179" s="861" t="s">
        <v>5663</v>
      </c>
      <c r="V179" s="862">
        <f>$S$1*P!V179</f>
        <v>7.9179999999999993</v>
      </c>
      <c r="W179" s="780"/>
      <c r="X179" s="782">
        <v>175</v>
      </c>
      <c r="Y179" s="782" t="s">
        <v>2248</v>
      </c>
      <c r="Z179" s="782" t="s">
        <v>5653</v>
      </c>
      <c r="AA179" s="781">
        <f>$S$1*P!AA179</f>
        <v>2.6082661290322582</v>
      </c>
      <c r="AB179" s="780"/>
      <c r="AC179" s="782">
        <v>175</v>
      </c>
      <c r="AD179" s="782" t="s">
        <v>4573</v>
      </c>
      <c r="AE179" s="782" t="s">
        <v>5653</v>
      </c>
      <c r="AF179" s="781">
        <f>$S$1*P!AF179</f>
        <v>7.7459677419354849</v>
      </c>
    </row>
    <row r="180" spans="1:32" ht="20.25" customHeight="1" x14ac:dyDescent="0.35">
      <c r="A180" s="849">
        <v>134</v>
      </c>
      <c r="B180" s="854" t="s">
        <v>603</v>
      </c>
      <c r="C180" s="855">
        <f>$S$1*P!C179</f>
        <v>0.12035794149548</v>
      </c>
      <c r="D180" s="856">
        <f>IF(P!D179="n.a.","n.a.",$S$1*P!D179)</f>
        <v>0.14442952979457599</v>
      </c>
      <c r="G180" s="804"/>
      <c r="H180" s="804"/>
      <c r="I180" s="804"/>
      <c r="S180" s="782">
        <v>176</v>
      </c>
      <c r="T180" s="782" t="s">
        <v>4284</v>
      </c>
      <c r="U180" s="782" t="s">
        <v>5663</v>
      </c>
      <c r="V180" s="797">
        <f>$S$1*P!V180</f>
        <v>3.7701612903225809E-9</v>
      </c>
      <c r="W180" s="780"/>
      <c r="X180" s="782">
        <v>176</v>
      </c>
      <c r="Y180" s="782" t="s">
        <v>2248</v>
      </c>
      <c r="Z180" s="782" t="s">
        <v>3802</v>
      </c>
      <c r="AA180" s="781">
        <f>$S$1*P!AA180</f>
        <v>0.16284000000000001</v>
      </c>
      <c r="AB180" s="780"/>
      <c r="AC180" s="782">
        <v>176</v>
      </c>
      <c r="AD180" s="782" t="s">
        <v>4573</v>
      </c>
      <c r="AE180" s="782" t="s">
        <v>3802</v>
      </c>
      <c r="AF180" s="781">
        <f>$S$1*P!AF180</f>
        <v>1.3431999999999999</v>
      </c>
    </row>
    <row r="181" spans="1:32" ht="20.25" customHeight="1" x14ac:dyDescent="0.35">
      <c r="A181" s="849">
        <v>135</v>
      </c>
      <c r="B181" s="854" t="s">
        <v>604</v>
      </c>
      <c r="C181" s="855">
        <f>$S$1*P!C180</f>
        <v>7.4848130382858757E-2</v>
      </c>
      <c r="D181" s="856">
        <f>IF(P!D180="n.a.","n.a.",$S$1*P!D180)</f>
        <v>8.9817756459430506E-2</v>
      </c>
      <c r="G181" s="804"/>
      <c r="H181" s="804"/>
      <c r="I181" s="804"/>
      <c r="S181" s="782">
        <v>177</v>
      </c>
      <c r="T181" s="782" t="s">
        <v>4284</v>
      </c>
      <c r="U181" s="782" t="s">
        <v>5662</v>
      </c>
      <c r="V181" s="797">
        <f>$S$1*P!V181</f>
        <v>6.7862903225806453E-5</v>
      </c>
      <c r="W181" s="780"/>
      <c r="X181" s="782">
        <v>177</v>
      </c>
      <c r="Y181" s="782" t="s">
        <v>2248</v>
      </c>
      <c r="Z181" s="782" t="s">
        <v>3799</v>
      </c>
      <c r="AA181" s="781">
        <f>$S$1*P!AA181</f>
        <v>0.27876000000000001</v>
      </c>
      <c r="AB181" s="780"/>
      <c r="AC181" s="782">
        <v>177</v>
      </c>
      <c r="AD181" s="782" t="s">
        <v>4573</v>
      </c>
      <c r="AE181" s="782" t="s">
        <v>3799</v>
      </c>
      <c r="AF181" s="781">
        <f>$S$1*P!AF181</f>
        <v>2.3643999999999998</v>
      </c>
    </row>
    <row r="182" spans="1:32" ht="20.25" customHeight="1" x14ac:dyDescent="0.35">
      <c r="A182" s="849">
        <v>136</v>
      </c>
      <c r="B182" s="854" t="s">
        <v>605</v>
      </c>
      <c r="C182" s="855">
        <f>$S$1*P!C181</f>
        <v>3.5645353067125005E-2</v>
      </c>
      <c r="D182" s="856">
        <f>IF(P!D181="n.a.","n.a.",$S$1*P!D181)</f>
        <v>4.2774423680550004E-2</v>
      </c>
      <c r="G182" s="804"/>
      <c r="H182" s="804"/>
      <c r="I182" s="804"/>
      <c r="S182" s="782">
        <v>178</v>
      </c>
      <c r="T182" s="782" t="s">
        <v>4284</v>
      </c>
      <c r="U182" s="782" t="s">
        <v>3805</v>
      </c>
      <c r="V182" s="797">
        <f>$S$1*P!V182</f>
        <v>2.4951612903225807E-5</v>
      </c>
      <c r="W182" s="780"/>
      <c r="X182" s="782">
        <v>178</v>
      </c>
      <c r="Y182" s="782" t="s">
        <v>2248</v>
      </c>
      <c r="Z182" s="782" t="s">
        <v>5652</v>
      </c>
      <c r="AA182" s="781">
        <f>$S$1*P!AA182</f>
        <v>1.2030241935483871E-6</v>
      </c>
      <c r="AB182" s="780"/>
      <c r="AC182" s="782">
        <v>178</v>
      </c>
      <c r="AD182" s="782" t="s">
        <v>4573</v>
      </c>
      <c r="AE182" s="782" t="s">
        <v>5652</v>
      </c>
      <c r="AF182" s="781">
        <f>$S$1*P!AF182</f>
        <v>1.418951612903226E-2</v>
      </c>
    </row>
    <row r="183" spans="1:32" ht="20.25" customHeight="1" x14ac:dyDescent="0.35">
      <c r="A183" s="849">
        <v>137</v>
      </c>
      <c r="B183" s="854" t="s">
        <v>606</v>
      </c>
      <c r="C183" s="855" t="s">
        <v>6926</v>
      </c>
      <c r="D183" s="856" t="str">
        <f>IF(P!D182="n.a.","n.a.",$S$1*P!D182)</f>
        <v>n.a.</v>
      </c>
      <c r="G183" s="804"/>
      <c r="H183" s="804"/>
      <c r="I183" s="804"/>
      <c r="S183" s="782">
        <v>179</v>
      </c>
      <c r="T183" s="782" t="s">
        <v>4284</v>
      </c>
      <c r="U183" s="782" t="s">
        <v>3805</v>
      </c>
      <c r="V183" s="797">
        <f>$S$1*P!V183</f>
        <v>6.3479999999999995E-2</v>
      </c>
      <c r="W183" s="780"/>
      <c r="X183" s="782">
        <v>179</v>
      </c>
      <c r="Y183" s="782" t="s">
        <v>2248</v>
      </c>
      <c r="Z183" s="782" t="s">
        <v>3798</v>
      </c>
      <c r="AA183" s="781">
        <f>$S$1*P!AA183</f>
        <v>6.0720000000000001E-3</v>
      </c>
      <c r="AB183" s="780"/>
      <c r="AC183" s="782">
        <v>179</v>
      </c>
      <c r="AD183" s="782" t="s">
        <v>4573</v>
      </c>
      <c r="AE183" s="782" t="s">
        <v>3798</v>
      </c>
      <c r="AF183" s="781">
        <f>$S$1*P!AF183</f>
        <v>4.0443548387096779E-4</v>
      </c>
    </row>
    <row r="184" spans="1:32" ht="20.25" customHeight="1" x14ac:dyDescent="0.35">
      <c r="A184" s="849">
        <v>138</v>
      </c>
      <c r="B184" s="854" t="s">
        <v>607</v>
      </c>
      <c r="C184" s="855">
        <f>$S$1*P!C183</f>
        <v>0</v>
      </c>
      <c r="D184" s="856" t="str">
        <f>IF(P!D183="n.a.","n.a.",$S$1*P!D183)</f>
        <v>n.a.</v>
      </c>
      <c r="G184" s="804"/>
      <c r="H184" s="804"/>
      <c r="I184" s="804"/>
      <c r="S184" s="782">
        <v>180</v>
      </c>
      <c r="T184" s="782" t="s">
        <v>4284</v>
      </c>
      <c r="U184" s="782" t="s">
        <v>5661</v>
      </c>
      <c r="V184" s="797">
        <f>$S$1*P!V184</f>
        <v>2.9270161290322581E-4</v>
      </c>
      <c r="W184" s="780"/>
      <c r="X184" s="782">
        <v>180</v>
      </c>
      <c r="Y184" s="782" t="s">
        <v>2248</v>
      </c>
      <c r="Z184" s="782" t="s">
        <v>3798</v>
      </c>
      <c r="AA184" s="781">
        <f>$S$1*P!AA184</f>
        <v>6.8548387096774199E-5</v>
      </c>
      <c r="AB184" s="780"/>
      <c r="AC184" s="782">
        <v>180</v>
      </c>
      <c r="AD184" s="782" t="s">
        <v>4573</v>
      </c>
      <c r="AE184" s="782" t="s">
        <v>3798</v>
      </c>
      <c r="AF184" s="781">
        <f>$S$1*P!AF184</f>
        <v>3.5788E-2</v>
      </c>
    </row>
    <row r="185" spans="1:32" ht="20.25" customHeight="1" x14ac:dyDescent="0.35">
      <c r="A185" s="849">
        <v>139</v>
      </c>
      <c r="B185" s="854" t="s">
        <v>608</v>
      </c>
      <c r="C185" s="855">
        <f>$S$1*P!C184</f>
        <v>3.0570729460200004E-2</v>
      </c>
      <c r="D185" s="856">
        <f>IF(P!D184="n.a.","n.a.",$S$1*P!D184)</f>
        <v>3.6684875352240007E-2</v>
      </c>
      <c r="G185" s="804"/>
      <c r="H185" s="804"/>
      <c r="I185" s="804"/>
      <c r="S185" s="782">
        <v>181</v>
      </c>
      <c r="T185" s="782" t="s">
        <v>4284</v>
      </c>
      <c r="U185" s="782" t="s">
        <v>5660</v>
      </c>
      <c r="V185" s="797">
        <f>$S$1*P!V185</f>
        <v>1.1481854838709678E-2</v>
      </c>
      <c r="W185" s="780"/>
      <c r="X185" s="782">
        <v>181</v>
      </c>
      <c r="Y185" s="782" t="s">
        <v>2248</v>
      </c>
      <c r="Z185" s="782" t="s">
        <v>3796</v>
      </c>
      <c r="AA185" s="781">
        <f>$S$1*P!AA185</f>
        <v>0</v>
      </c>
      <c r="AB185" s="780"/>
      <c r="AC185" s="782">
        <v>181</v>
      </c>
      <c r="AD185" s="782" t="s">
        <v>4573</v>
      </c>
      <c r="AE185" s="782" t="s">
        <v>3796</v>
      </c>
      <c r="AF185" s="781">
        <f>$S$1*P!AF185</f>
        <v>3.7358870967741938E-2</v>
      </c>
    </row>
    <row r="186" spans="1:32" ht="20.25" customHeight="1" x14ac:dyDescent="0.35">
      <c r="A186" s="849">
        <v>140</v>
      </c>
      <c r="B186" s="854" t="s">
        <v>609</v>
      </c>
      <c r="C186" s="855">
        <f>$S$1*P!C185</f>
        <v>7.0926259773640005E-2</v>
      </c>
      <c r="D186" s="856">
        <f>IF(P!D185="n.a.","n.a.",$S$1*P!D185)</f>
        <v>8.5111511728368006E-2</v>
      </c>
      <c r="G186" s="804"/>
      <c r="H186" s="804"/>
      <c r="I186" s="804"/>
      <c r="S186" s="782">
        <v>182</v>
      </c>
      <c r="T186" s="782" t="s">
        <v>4284</v>
      </c>
      <c r="U186" s="782" t="s">
        <v>5659</v>
      </c>
      <c r="V186" s="797">
        <f>$S$1*P!V186</f>
        <v>5.1411290322580646E-5</v>
      </c>
      <c r="W186" s="780"/>
      <c r="X186" s="782">
        <v>182</v>
      </c>
      <c r="Y186" s="782" t="s">
        <v>2248</v>
      </c>
      <c r="Z186" s="782" t="s">
        <v>3796</v>
      </c>
      <c r="AA186" s="781">
        <f>$S$1*P!AA186</f>
        <v>1.076209677419355E-4</v>
      </c>
      <c r="AB186" s="780"/>
      <c r="AC186" s="782">
        <v>182</v>
      </c>
      <c r="AD186" s="782" t="s">
        <v>4573</v>
      </c>
      <c r="AE186" s="782" t="s">
        <v>3796</v>
      </c>
      <c r="AF186" s="781">
        <f>$S$1*P!AF186</f>
        <v>0</v>
      </c>
    </row>
    <row r="187" spans="1:32" ht="20.25" customHeight="1" x14ac:dyDescent="0.35">
      <c r="A187" s="849">
        <v>141</v>
      </c>
      <c r="B187" s="854" t="s">
        <v>610</v>
      </c>
      <c r="C187" s="855">
        <f>$S$1*P!C186</f>
        <v>0.14920470545848002</v>
      </c>
      <c r="D187" s="856">
        <f>IF(P!D186="n.a.","n.a.",$S$1*P!D186)</f>
        <v>0.17904564655017602</v>
      </c>
      <c r="G187" s="804"/>
      <c r="H187" s="804"/>
      <c r="I187" s="804"/>
      <c r="S187" s="782">
        <v>183</v>
      </c>
      <c r="T187" s="782" t="s">
        <v>4284</v>
      </c>
      <c r="U187" s="782" t="s">
        <v>5658</v>
      </c>
      <c r="V187" s="797">
        <f>$S$1*P!V187</f>
        <v>2.2243951612903228E-3</v>
      </c>
      <c r="W187" s="780"/>
      <c r="X187" s="782">
        <v>183</v>
      </c>
      <c r="Y187" s="782" t="s">
        <v>2248</v>
      </c>
      <c r="Z187" s="782" t="s">
        <v>5651</v>
      </c>
      <c r="AA187" s="781">
        <f>$S$1*P!AA187</f>
        <v>1.5697580645161291E-5</v>
      </c>
      <c r="AB187" s="780"/>
      <c r="AC187" s="782">
        <v>183</v>
      </c>
      <c r="AD187" s="782" t="s">
        <v>4573</v>
      </c>
      <c r="AE187" s="782" t="s">
        <v>5651</v>
      </c>
      <c r="AF187" s="781">
        <f>$S$1*P!AF187</f>
        <v>4.6955645161290326E-2</v>
      </c>
    </row>
    <row r="188" spans="1:32" ht="20.25" customHeight="1" x14ac:dyDescent="0.35">
      <c r="A188" s="849">
        <v>142</v>
      </c>
      <c r="B188" s="854" t="s">
        <v>611</v>
      </c>
      <c r="C188" s="855">
        <f>$S$1*P!C187</f>
        <v>5.0146428652050011E-2</v>
      </c>
      <c r="D188" s="856">
        <f>IF(P!D187="n.a.","n.a.",$S$1*P!D187)</f>
        <v>6.0175714382460013E-2</v>
      </c>
      <c r="G188" s="804"/>
      <c r="H188" s="804"/>
      <c r="I188" s="804"/>
      <c r="S188" s="782">
        <v>184</v>
      </c>
      <c r="T188" s="782" t="s">
        <v>4284</v>
      </c>
      <c r="U188" s="782" t="s">
        <v>5657</v>
      </c>
      <c r="V188" s="797">
        <f>$S$1*P!V188</f>
        <v>7.4375000000000005E-4</v>
      </c>
      <c r="W188" s="780"/>
      <c r="X188" s="782">
        <v>184</v>
      </c>
      <c r="Y188" s="782" t="s">
        <v>2248</v>
      </c>
      <c r="Z188" s="782" t="s">
        <v>5650</v>
      </c>
      <c r="AA188" s="781">
        <f>$S$1*P!AA188</f>
        <v>3.4959677419354844E-2</v>
      </c>
      <c r="AB188" s="780"/>
      <c r="AC188" s="782">
        <v>184</v>
      </c>
      <c r="AD188" s="782" t="s">
        <v>4573</v>
      </c>
      <c r="AE188" s="782" t="s">
        <v>5650</v>
      </c>
      <c r="AF188" s="781">
        <f>$S$1*P!AF188</f>
        <v>1.6554435483870968</v>
      </c>
    </row>
    <row r="189" spans="1:32" ht="20.25" customHeight="1" x14ac:dyDescent="0.35">
      <c r="A189" s="849">
        <v>143</v>
      </c>
      <c r="B189" s="854" t="s">
        <v>612</v>
      </c>
      <c r="C189" s="855">
        <f>$S$1*P!C188</f>
        <v>7.6600511081165015E-2</v>
      </c>
      <c r="D189" s="856">
        <f>IF(P!D188="n.a.","n.a.",$S$1*P!D188)</f>
        <v>9.1920613297398021E-2</v>
      </c>
      <c r="G189" s="804"/>
      <c r="H189" s="804"/>
      <c r="I189" s="804"/>
      <c r="S189" s="782">
        <v>185</v>
      </c>
      <c r="T189" s="782" t="s">
        <v>4284</v>
      </c>
      <c r="U189" s="782" t="s">
        <v>5656</v>
      </c>
      <c r="V189" s="797">
        <f>$S$1*P!V189</f>
        <v>1.59375E-2</v>
      </c>
      <c r="W189" s="780"/>
      <c r="X189" s="782">
        <v>185</v>
      </c>
      <c r="Y189" s="782" t="s">
        <v>2248</v>
      </c>
      <c r="Z189" s="782" t="s">
        <v>3793</v>
      </c>
      <c r="AA189" s="781">
        <f>$S$1*P!AA189</f>
        <v>0</v>
      </c>
      <c r="AB189" s="780"/>
      <c r="AC189" s="782">
        <v>185</v>
      </c>
      <c r="AD189" s="782" t="s">
        <v>4573</v>
      </c>
      <c r="AE189" s="782" t="s">
        <v>3793</v>
      </c>
      <c r="AF189" s="781">
        <f>$S$1*P!AF189</f>
        <v>0</v>
      </c>
    </row>
    <row r="190" spans="1:32" ht="20.25" customHeight="1" x14ac:dyDescent="0.35">
      <c r="A190" s="849">
        <v>144</v>
      </c>
      <c r="B190" s="854" t="s">
        <v>613</v>
      </c>
      <c r="C190" s="855">
        <f>$S$1*P!C189</f>
        <v>0.18062775877619316</v>
      </c>
      <c r="D190" s="856">
        <f>IF(P!D189="n.a.","n.a.",$S$1*P!D189)</f>
        <v>0.21675331053143179</v>
      </c>
      <c r="G190" s="804"/>
      <c r="H190" s="804"/>
      <c r="I190" s="804"/>
      <c r="S190" s="782">
        <v>186</v>
      </c>
      <c r="T190" s="782" t="s">
        <v>4284</v>
      </c>
      <c r="U190" s="782" t="s">
        <v>5655</v>
      </c>
      <c r="V190" s="797">
        <f>$S$1*P!V190</f>
        <v>8.5685483870967744E-4</v>
      </c>
      <c r="W190" s="780"/>
      <c r="X190" s="782">
        <v>186</v>
      </c>
      <c r="Y190" s="782" t="s">
        <v>2248</v>
      </c>
      <c r="Z190" s="782" t="s">
        <v>3792</v>
      </c>
      <c r="AA190" s="781">
        <f>$S$1*P!AA190</f>
        <v>0</v>
      </c>
      <c r="AB190" s="780"/>
      <c r="AC190" s="782">
        <v>186</v>
      </c>
      <c r="AD190" s="782" t="s">
        <v>4573</v>
      </c>
      <c r="AE190" s="782" t="s">
        <v>3792</v>
      </c>
      <c r="AF190" s="781">
        <f>$S$1*P!AF190</f>
        <v>4.4213709677419361E-3</v>
      </c>
    </row>
    <row r="191" spans="1:32" ht="20.25" customHeight="1" x14ac:dyDescent="0.35">
      <c r="A191" s="849">
        <v>145</v>
      </c>
      <c r="B191" s="858" t="s">
        <v>614</v>
      </c>
      <c r="C191" s="855">
        <f>$S$1*P!C190</f>
        <v>7.8922113242670247E-2</v>
      </c>
      <c r="D191" s="856">
        <f>IF(P!D190="n.a.","n.a.",$S$1*P!D190)</f>
        <v>9.4706535891204299E-2</v>
      </c>
      <c r="G191" s="804"/>
      <c r="H191" s="804"/>
      <c r="I191" s="804"/>
      <c r="S191" s="782">
        <v>187</v>
      </c>
      <c r="T191" s="782" t="s">
        <v>4284</v>
      </c>
      <c r="U191" s="782" t="s">
        <v>3803</v>
      </c>
      <c r="V191" s="797">
        <f>$S$1*P!V191</f>
        <v>0</v>
      </c>
      <c r="W191" s="780"/>
      <c r="X191" s="782">
        <v>187</v>
      </c>
      <c r="Y191" s="782" t="s">
        <v>2248</v>
      </c>
      <c r="Z191" s="782" t="s">
        <v>3792</v>
      </c>
      <c r="AA191" s="781">
        <f>$S$1*P!AA191</f>
        <v>5.0040322580645162E-4</v>
      </c>
      <c r="AB191" s="780"/>
      <c r="AC191" s="782">
        <v>187</v>
      </c>
      <c r="AD191" s="782" t="s">
        <v>4573</v>
      </c>
      <c r="AE191" s="782" t="s">
        <v>3792</v>
      </c>
      <c r="AF191" s="781">
        <f>$S$1*P!AF191</f>
        <v>0</v>
      </c>
    </row>
    <row r="192" spans="1:32" ht="20.25" customHeight="1" x14ac:dyDescent="0.35">
      <c r="A192" s="849">
        <v>146</v>
      </c>
      <c r="B192" s="854" t="s">
        <v>615</v>
      </c>
      <c r="C192" s="855" t="s">
        <v>6926</v>
      </c>
      <c r="D192" s="856" t="str">
        <f>IF(P!D191="n.a.","n.a.",$S$1*P!D191)</f>
        <v>n.a.</v>
      </c>
      <c r="G192" s="804"/>
      <c r="H192" s="804"/>
      <c r="I192" s="804"/>
      <c r="S192" s="782">
        <v>188</v>
      </c>
      <c r="T192" s="782" t="s">
        <v>4284</v>
      </c>
      <c r="U192" s="782" t="s">
        <v>5654</v>
      </c>
      <c r="V192" s="797">
        <f>$S$1*P!V192</f>
        <v>4.1129032258064519E-3</v>
      </c>
      <c r="W192" s="780"/>
      <c r="X192" s="782">
        <v>188</v>
      </c>
      <c r="Y192" s="782" t="s">
        <v>2248</v>
      </c>
      <c r="Z192" s="782" t="s">
        <v>5649</v>
      </c>
      <c r="AA192" s="781">
        <f>$S$1*P!AA192</f>
        <v>2.8104838709677423E-3</v>
      </c>
      <c r="AB192" s="780"/>
      <c r="AC192" s="782">
        <v>188</v>
      </c>
      <c r="AD192" s="782" t="s">
        <v>4573</v>
      </c>
      <c r="AE192" s="782" t="s">
        <v>5649</v>
      </c>
      <c r="AF192" s="781">
        <f>$S$1*P!AF192</f>
        <v>8.0544354838709684E-2</v>
      </c>
    </row>
    <row r="193" spans="1:32" ht="20.25" customHeight="1" x14ac:dyDescent="0.35">
      <c r="A193" s="849">
        <v>147</v>
      </c>
      <c r="B193" s="854" t="s">
        <v>616</v>
      </c>
      <c r="C193" s="855" t="s">
        <v>6926</v>
      </c>
      <c r="D193" s="856" t="str">
        <f>IF(P!D192="n.a.","n.a.",$S$1*P!D192)</f>
        <v>n.a.</v>
      </c>
      <c r="G193" s="804"/>
      <c r="H193" s="804"/>
      <c r="I193" s="804"/>
      <c r="S193" s="782">
        <v>189</v>
      </c>
      <c r="T193" s="782" t="s">
        <v>4284</v>
      </c>
      <c r="U193" s="782" t="s">
        <v>5653</v>
      </c>
      <c r="V193" s="797">
        <f>$S$1*P!V193</f>
        <v>0.33794354838709678</v>
      </c>
      <c r="W193" s="780"/>
      <c r="X193" s="782">
        <v>189</v>
      </c>
      <c r="Y193" s="782" t="s">
        <v>2248</v>
      </c>
      <c r="Z193" s="782" t="s">
        <v>5648</v>
      </c>
      <c r="AA193" s="781">
        <f>$S$1*P!AA193</f>
        <v>5.6895161290322594E-4</v>
      </c>
      <c r="AB193" s="780"/>
      <c r="AC193" s="782">
        <v>189</v>
      </c>
      <c r="AD193" s="782" t="s">
        <v>4573</v>
      </c>
      <c r="AE193" s="782" t="s">
        <v>5648</v>
      </c>
      <c r="AF193" s="781">
        <f>$S$1*P!AF193</f>
        <v>1.2201612903225807E-2</v>
      </c>
    </row>
    <row r="194" spans="1:32" ht="20.25" customHeight="1" x14ac:dyDescent="0.35">
      <c r="A194" s="849">
        <v>148</v>
      </c>
      <c r="B194" s="854" t="s">
        <v>617</v>
      </c>
      <c r="C194" s="855" t="s">
        <v>6926</v>
      </c>
      <c r="D194" s="856" t="str">
        <f>IF(P!D193="n.a.","n.a.",$S$1*P!D193)</f>
        <v>n.a.</v>
      </c>
      <c r="G194" s="804"/>
      <c r="H194" s="804"/>
      <c r="I194" s="804"/>
      <c r="S194" s="782">
        <v>190</v>
      </c>
      <c r="T194" s="782" t="s">
        <v>4284</v>
      </c>
      <c r="U194" s="782" t="s">
        <v>3802</v>
      </c>
      <c r="V194" s="797">
        <f>$S$1*P!V194</f>
        <v>0.85007999999999995</v>
      </c>
      <c r="W194" s="780"/>
      <c r="X194" s="782">
        <v>190</v>
      </c>
      <c r="Y194" s="782" t="s">
        <v>2248</v>
      </c>
      <c r="Z194" s="782" t="s">
        <v>5647</v>
      </c>
      <c r="AA194" s="781">
        <f>$S$1*P!AA194</f>
        <v>1.4669354838709678E-5</v>
      </c>
      <c r="AB194" s="780"/>
      <c r="AC194" s="782">
        <v>190</v>
      </c>
      <c r="AD194" s="782" t="s">
        <v>4573</v>
      </c>
      <c r="AE194" s="782" t="s">
        <v>5647</v>
      </c>
      <c r="AF194" s="781">
        <f>$S$1*P!AF194</f>
        <v>0.13092741935483873</v>
      </c>
    </row>
    <row r="195" spans="1:32" ht="20.25" customHeight="1" x14ac:dyDescent="0.35">
      <c r="A195" s="849">
        <v>149</v>
      </c>
      <c r="B195" s="854" t="s">
        <v>618</v>
      </c>
      <c r="C195" s="855">
        <f>$S$1*P!C194</f>
        <v>0.10203238025240501</v>
      </c>
      <c r="D195" s="856">
        <f>IF(P!D194="n.a.","n.a.",$S$1*P!D194)</f>
        <v>0.12243885630288601</v>
      </c>
      <c r="G195" s="804"/>
      <c r="H195" s="804"/>
      <c r="I195" s="804"/>
      <c r="S195" s="782">
        <v>191</v>
      </c>
      <c r="T195" s="782" t="s">
        <v>4284</v>
      </c>
      <c r="U195" s="782" t="s">
        <v>3799</v>
      </c>
      <c r="V195" s="797">
        <f>$S$1*P!V195</f>
        <v>1.8216000000000001</v>
      </c>
      <c r="W195" s="780"/>
      <c r="X195" s="782">
        <v>191</v>
      </c>
      <c r="Y195" s="782" t="s">
        <v>2248</v>
      </c>
      <c r="Z195" s="782" t="s">
        <v>5646</v>
      </c>
      <c r="AA195" s="781">
        <f>$S$1*P!AA195</f>
        <v>1.2852822580645162E-2</v>
      </c>
      <c r="AB195" s="780"/>
      <c r="AC195" s="782">
        <v>191</v>
      </c>
      <c r="AD195" s="782" t="s">
        <v>4573</v>
      </c>
      <c r="AE195" s="782" t="s">
        <v>5646</v>
      </c>
      <c r="AF195" s="781">
        <f>$S$1*P!AF195</f>
        <v>3.8387096774193552E-2</v>
      </c>
    </row>
    <row r="196" spans="1:32" ht="20.25" customHeight="1" x14ac:dyDescent="0.35">
      <c r="A196" s="849">
        <v>150</v>
      </c>
      <c r="B196" s="854" t="s">
        <v>619</v>
      </c>
      <c r="C196" s="855">
        <f>$S$1*P!C195</f>
        <v>7.7039004104545006E-2</v>
      </c>
      <c r="D196" s="856">
        <f>IF(P!D195="n.a.","n.a.",$S$1*P!D195)</f>
        <v>9.2446804925453999E-2</v>
      </c>
      <c r="G196" s="804"/>
      <c r="H196" s="804"/>
      <c r="I196" s="804"/>
      <c r="S196" s="782">
        <v>192</v>
      </c>
      <c r="T196" s="782" t="s">
        <v>4284</v>
      </c>
      <c r="U196" s="782" t="s">
        <v>5652</v>
      </c>
      <c r="V196" s="797">
        <f>$S$1*P!V196</f>
        <v>1.5903225806451615E-5</v>
      </c>
      <c r="W196" s="780"/>
      <c r="X196" s="782">
        <v>192</v>
      </c>
      <c r="Y196" s="782" t="s">
        <v>2248</v>
      </c>
      <c r="Z196" s="782" t="s">
        <v>3789</v>
      </c>
      <c r="AA196" s="781">
        <f>$S$1*P!AA196</f>
        <v>0</v>
      </c>
      <c r="AB196" s="780"/>
      <c r="AC196" s="782">
        <v>192</v>
      </c>
      <c r="AD196" s="782" t="s">
        <v>4573</v>
      </c>
      <c r="AE196" s="782" t="s">
        <v>3789</v>
      </c>
      <c r="AF196" s="781">
        <f>$S$1*P!AF196</f>
        <v>0</v>
      </c>
    </row>
    <row r="197" spans="1:32" ht="20.25" customHeight="1" x14ac:dyDescent="0.35">
      <c r="A197" s="849">
        <v>151</v>
      </c>
      <c r="B197" s="854" t="s">
        <v>620</v>
      </c>
      <c r="C197" s="855">
        <f>$S$1*P!C196</f>
        <v>0.19969791466806</v>
      </c>
      <c r="D197" s="856">
        <f>IF(P!D196="n.a.","n.a.",$S$1*P!D196)</f>
        <v>0.23963749760167199</v>
      </c>
      <c r="G197" s="804"/>
      <c r="H197" s="804"/>
      <c r="I197" s="804"/>
      <c r="S197" s="782">
        <v>193</v>
      </c>
      <c r="T197" s="782" t="s">
        <v>4284</v>
      </c>
      <c r="U197" s="782" t="s">
        <v>3798</v>
      </c>
      <c r="V197" s="797">
        <f>$S$1*P!V197</f>
        <v>2.2723790322580646E-5</v>
      </c>
      <c r="W197" s="780"/>
      <c r="X197" s="782">
        <v>193</v>
      </c>
      <c r="Y197" s="782" t="s">
        <v>2248</v>
      </c>
      <c r="Z197" s="782" t="s">
        <v>3788</v>
      </c>
      <c r="AA197" s="781">
        <f>$S$1*P!AA197</f>
        <v>0</v>
      </c>
      <c r="AB197" s="780"/>
      <c r="AC197" s="782">
        <v>193</v>
      </c>
      <c r="AD197" s="782" t="s">
        <v>4573</v>
      </c>
      <c r="AE197" s="782" t="s">
        <v>3788</v>
      </c>
      <c r="AF197" s="781">
        <f>$S$1*P!AF197</f>
        <v>0</v>
      </c>
    </row>
    <row r="198" spans="1:32" ht="20.25" customHeight="1" x14ac:dyDescent="0.35">
      <c r="A198" s="849">
        <v>152</v>
      </c>
      <c r="B198" s="854" t="s">
        <v>621</v>
      </c>
      <c r="C198" s="855" t="s">
        <v>6926</v>
      </c>
      <c r="D198" s="856" t="str">
        <f>IF(P!D197="n.a.","n.a.",$S$1*P!D197)</f>
        <v>n.a.</v>
      </c>
      <c r="G198" s="804"/>
      <c r="H198" s="804"/>
      <c r="I198" s="804"/>
      <c r="S198" s="782">
        <v>194</v>
      </c>
      <c r="T198" s="782" t="s">
        <v>4284</v>
      </c>
      <c r="U198" s="782" t="s">
        <v>3798</v>
      </c>
      <c r="V198" s="797">
        <f>$S$1*P!V198</f>
        <v>9.1356000000000007E-3</v>
      </c>
      <c r="W198" s="780"/>
      <c r="X198" s="782">
        <v>194</v>
      </c>
      <c r="Y198" s="782" t="s">
        <v>2248</v>
      </c>
      <c r="Z198" s="782" t="s">
        <v>3786</v>
      </c>
      <c r="AA198" s="781">
        <f>$S$1*P!AA198</f>
        <v>0</v>
      </c>
      <c r="AB198" s="780"/>
      <c r="AC198" s="782">
        <v>194</v>
      </c>
      <c r="AD198" s="782" t="s">
        <v>4573</v>
      </c>
      <c r="AE198" s="782" t="s">
        <v>3786</v>
      </c>
      <c r="AF198" s="781">
        <f>$S$1*P!AF198</f>
        <v>0.11824596774193549</v>
      </c>
    </row>
    <row r="199" spans="1:32" ht="20.25" customHeight="1" x14ac:dyDescent="0.35">
      <c r="A199" s="849">
        <v>153</v>
      </c>
      <c r="B199" s="854" t="s">
        <v>622</v>
      </c>
      <c r="C199" s="855" t="s">
        <v>6926</v>
      </c>
      <c r="D199" s="856" t="str">
        <f>IF(P!D198="n.a.","n.a.",$S$1*P!D198)</f>
        <v>n.a.</v>
      </c>
      <c r="G199" s="804"/>
      <c r="H199" s="804"/>
      <c r="I199" s="804"/>
      <c r="S199" s="782">
        <v>195</v>
      </c>
      <c r="T199" s="782" t="s">
        <v>4284</v>
      </c>
      <c r="U199" s="782" t="s">
        <v>3796</v>
      </c>
      <c r="V199" s="797">
        <f>$S$1*P!V199</f>
        <v>1.3915322580645164E-5</v>
      </c>
      <c r="W199" s="780"/>
      <c r="X199" s="782">
        <v>195</v>
      </c>
      <c r="Y199" s="782" t="s">
        <v>2248</v>
      </c>
      <c r="Z199" s="782" t="s">
        <v>3786</v>
      </c>
      <c r="AA199" s="781">
        <f>$S$1*P!AA199</f>
        <v>4.2842741935483876E-3</v>
      </c>
      <c r="AB199" s="780"/>
      <c r="AC199" s="782">
        <v>195</v>
      </c>
      <c r="AD199" s="782" t="s">
        <v>4573</v>
      </c>
      <c r="AE199" s="782" t="s">
        <v>3786</v>
      </c>
      <c r="AF199" s="781">
        <f>$S$1*P!AF199</f>
        <v>0</v>
      </c>
    </row>
    <row r="200" spans="1:32" ht="20.25" customHeight="1" x14ac:dyDescent="0.35">
      <c r="A200" s="849">
        <v>154</v>
      </c>
      <c r="B200" s="854" t="s">
        <v>623</v>
      </c>
      <c r="C200" s="855">
        <f>$S$1*P!C199</f>
        <v>7.1409768154615E-2</v>
      </c>
      <c r="D200" s="856">
        <f>IF(P!D199="n.a.","n.a.",$S$1*P!D199)</f>
        <v>8.5691721785537994E-2</v>
      </c>
      <c r="G200" s="804"/>
      <c r="H200" s="804"/>
      <c r="I200" s="804"/>
      <c r="S200" s="782">
        <v>196</v>
      </c>
      <c r="T200" s="782" t="s">
        <v>4284</v>
      </c>
      <c r="U200" s="782" t="s">
        <v>3796</v>
      </c>
      <c r="V200" s="797">
        <f>$S$1*P!V200</f>
        <v>0</v>
      </c>
      <c r="W200" s="780"/>
      <c r="X200" s="782">
        <v>196</v>
      </c>
      <c r="Y200" s="782" t="s">
        <v>2248</v>
      </c>
      <c r="Z200" s="782" t="s">
        <v>3785</v>
      </c>
      <c r="AA200" s="781">
        <f>$S$1*P!AA200</f>
        <v>0</v>
      </c>
      <c r="AB200" s="780"/>
      <c r="AC200" s="782">
        <v>196</v>
      </c>
      <c r="AD200" s="782" t="s">
        <v>4573</v>
      </c>
      <c r="AE200" s="782" t="s">
        <v>3785</v>
      </c>
      <c r="AF200" s="781">
        <f>$S$1*P!AF200</f>
        <v>1.0762096774193548E-3</v>
      </c>
    </row>
    <row r="201" spans="1:32" ht="20.25" customHeight="1" x14ac:dyDescent="0.35">
      <c r="A201" s="849">
        <v>155</v>
      </c>
      <c r="B201" s="858" t="s">
        <v>624</v>
      </c>
      <c r="C201" s="855">
        <f>$S$1*P!C200</f>
        <v>7.7952568821513538E-2</v>
      </c>
      <c r="D201" s="856">
        <f>IF(P!D200="n.a.","n.a.",$S$1*P!D200)</f>
        <v>9.3543082585816242E-2</v>
      </c>
      <c r="G201" s="804"/>
      <c r="H201" s="804"/>
      <c r="I201" s="804"/>
      <c r="S201" s="782">
        <v>197</v>
      </c>
      <c r="T201" s="782" t="s">
        <v>4284</v>
      </c>
      <c r="U201" s="782" t="s">
        <v>5651</v>
      </c>
      <c r="V201" s="797">
        <f>$S$1*P!V201</f>
        <v>5.4838709677419359E-4</v>
      </c>
      <c r="W201" s="780"/>
      <c r="X201" s="782">
        <v>197</v>
      </c>
      <c r="Y201" s="782" t="s">
        <v>2248</v>
      </c>
      <c r="Z201" s="782" t="s">
        <v>3785</v>
      </c>
      <c r="AA201" s="781">
        <f>$S$1*P!AA201</f>
        <v>9.5625000000000007E-5</v>
      </c>
      <c r="AB201" s="780"/>
      <c r="AC201" s="782">
        <v>197</v>
      </c>
      <c r="AD201" s="782" t="s">
        <v>4573</v>
      </c>
      <c r="AE201" s="782" t="s">
        <v>3785</v>
      </c>
      <c r="AF201" s="781">
        <f>$S$1*P!AF201</f>
        <v>0</v>
      </c>
    </row>
    <row r="202" spans="1:32" ht="20.25" customHeight="1" x14ac:dyDescent="0.35">
      <c r="A202" s="849">
        <v>156</v>
      </c>
      <c r="B202" s="854" t="s">
        <v>625</v>
      </c>
      <c r="C202" s="855">
        <f>$S$1*P!C201</f>
        <v>0.11244376832445871</v>
      </c>
      <c r="D202" s="856">
        <f>IF(P!D201="n.a.","n.a.",$S$1*P!D201)</f>
        <v>0.13493252198935043</v>
      </c>
      <c r="G202" s="804"/>
      <c r="H202" s="804"/>
      <c r="I202" s="804"/>
      <c r="S202" s="782">
        <v>198</v>
      </c>
      <c r="T202" s="782" t="s">
        <v>4284</v>
      </c>
      <c r="U202" s="782" t="s">
        <v>5650</v>
      </c>
      <c r="V202" s="797">
        <f>$S$1*P!V202</f>
        <v>5.8608870967741941E-3</v>
      </c>
      <c r="W202" s="780"/>
      <c r="X202" s="782">
        <v>198</v>
      </c>
      <c r="Y202" s="782" t="s">
        <v>2248</v>
      </c>
      <c r="Z202" s="782" t="s">
        <v>5645</v>
      </c>
      <c r="AA202" s="781">
        <f>$S$1*P!AA202</f>
        <v>0.11139112903225808</v>
      </c>
      <c r="AB202" s="780"/>
      <c r="AC202" s="782">
        <v>198</v>
      </c>
      <c r="AD202" s="782" t="s">
        <v>4573</v>
      </c>
      <c r="AE202" s="782" t="s">
        <v>5645</v>
      </c>
      <c r="AF202" s="781">
        <f>$S$1*P!AF202</f>
        <v>1.3092741935483871</v>
      </c>
    </row>
    <row r="203" spans="1:32" ht="20.25" customHeight="1" x14ac:dyDescent="0.35">
      <c r="A203" s="849">
        <v>157</v>
      </c>
      <c r="B203" s="854" t="s">
        <v>626</v>
      </c>
      <c r="C203" s="855" t="s">
        <v>6926</v>
      </c>
      <c r="D203" s="856" t="str">
        <f>IF(P!D202="n.a.","n.a.",$S$1*P!D202)</f>
        <v>n.a.</v>
      </c>
      <c r="G203" s="804"/>
      <c r="H203" s="804"/>
      <c r="I203" s="804"/>
      <c r="S203" s="782">
        <v>199</v>
      </c>
      <c r="T203" s="782" t="s">
        <v>4284</v>
      </c>
      <c r="U203" s="782" t="s">
        <v>3793</v>
      </c>
      <c r="V203" s="797">
        <f>$S$1*P!V203</f>
        <v>0</v>
      </c>
      <c r="W203" s="780"/>
      <c r="X203" s="782">
        <v>199</v>
      </c>
      <c r="Y203" s="782" t="s">
        <v>2248</v>
      </c>
      <c r="Z203" s="782" t="s">
        <v>3783</v>
      </c>
      <c r="AA203" s="781">
        <f>$S$1*P!AA203</f>
        <v>82.432000000000002</v>
      </c>
      <c r="AB203" s="780"/>
      <c r="AC203" s="782">
        <v>199</v>
      </c>
      <c r="AD203" s="782" t="s">
        <v>4573</v>
      </c>
      <c r="AE203" s="782" t="s">
        <v>3783</v>
      </c>
      <c r="AF203" s="781">
        <f>$S$1*P!AF203</f>
        <v>419.52000000000004</v>
      </c>
    </row>
    <row r="204" spans="1:32" ht="20.25" customHeight="1" x14ac:dyDescent="0.35">
      <c r="A204" s="849">
        <v>158</v>
      </c>
      <c r="B204" s="854" t="s">
        <v>627</v>
      </c>
      <c r="C204" s="855">
        <f>$S$1*P!C203</f>
        <v>0.14764719330008713</v>
      </c>
      <c r="D204" s="856">
        <f>IF(P!D203="n.a.","n.a.",$S$1*P!D203)</f>
        <v>0.17717663196010455</v>
      </c>
      <c r="G204" s="804"/>
      <c r="H204" s="804"/>
      <c r="I204" s="804"/>
      <c r="S204" s="782">
        <v>200</v>
      </c>
      <c r="T204" s="782" t="s">
        <v>4284</v>
      </c>
      <c r="U204" s="782" t="s">
        <v>3792</v>
      </c>
      <c r="V204" s="797">
        <f>$S$1*P!V204</f>
        <v>1.4223790322580649E-4</v>
      </c>
      <c r="W204" s="780"/>
      <c r="X204" s="782">
        <v>200</v>
      </c>
      <c r="Y204" s="782" t="s">
        <v>2248</v>
      </c>
      <c r="Z204" s="782" t="s">
        <v>5644</v>
      </c>
      <c r="AA204" s="781">
        <f>$S$1*P!AA204</f>
        <v>1.0419354838709677E-3</v>
      </c>
      <c r="AB204" s="780"/>
      <c r="AC204" s="782">
        <v>200</v>
      </c>
      <c r="AD204" s="782" t="s">
        <v>4573</v>
      </c>
      <c r="AE204" s="782" t="s">
        <v>5644</v>
      </c>
      <c r="AF204" s="781">
        <f>$S$1*P!AF204</f>
        <v>2.5602822580645165E-2</v>
      </c>
    </row>
    <row r="205" spans="1:32" ht="20.25" customHeight="1" x14ac:dyDescent="0.35">
      <c r="A205" s="849">
        <v>159</v>
      </c>
      <c r="B205" s="854" t="s">
        <v>628</v>
      </c>
      <c r="C205" s="855">
        <f>$S$1*P!C204</f>
        <v>5.4635730730112755E-2</v>
      </c>
      <c r="D205" s="856">
        <f>IF(P!D204="n.a.","n.a.",$S$1*P!D204)</f>
        <v>6.5562876876135309E-2</v>
      </c>
      <c r="G205" s="804"/>
      <c r="H205" s="804"/>
      <c r="I205" s="804"/>
      <c r="S205" s="782">
        <v>201</v>
      </c>
      <c r="T205" s="782" t="s">
        <v>4284</v>
      </c>
      <c r="U205" s="782" t="s">
        <v>3792</v>
      </c>
      <c r="V205" s="797">
        <f>$S$1*P!V205</f>
        <v>0</v>
      </c>
      <c r="W205" s="780"/>
      <c r="X205" s="782">
        <v>201</v>
      </c>
      <c r="Y205" s="782" t="s">
        <v>2248</v>
      </c>
      <c r="Z205" s="782" t="s">
        <v>5643</v>
      </c>
      <c r="AA205" s="781">
        <f>$S$1*P!AA205</f>
        <v>4.0786290322580645E-10</v>
      </c>
      <c r="AB205" s="780"/>
      <c r="AC205" s="782">
        <v>201</v>
      </c>
      <c r="AD205" s="782" t="s">
        <v>4573</v>
      </c>
      <c r="AE205" s="782" t="s">
        <v>5643</v>
      </c>
      <c r="AF205" s="781">
        <f>$S$1*P!AF205</f>
        <v>9.8024193548387101E-6</v>
      </c>
    </row>
    <row r="206" spans="1:32" ht="20.25" customHeight="1" x14ac:dyDescent="0.35">
      <c r="A206" s="849">
        <v>160</v>
      </c>
      <c r="B206" s="854" t="s">
        <v>629</v>
      </c>
      <c r="C206" s="855">
        <f>$S$1*P!C205</f>
        <v>5.3733565441545006E-2</v>
      </c>
      <c r="D206" s="856">
        <f>IF(P!D205="n.a.","n.a.",$S$1*P!D205)</f>
        <v>6.448027852985401E-2</v>
      </c>
      <c r="G206" s="804"/>
      <c r="H206" s="804"/>
      <c r="I206" s="804"/>
      <c r="S206" s="782">
        <v>202</v>
      </c>
      <c r="T206" s="782" t="s">
        <v>4284</v>
      </c>
      <c r="U206" s="782" t="s">
        <v>5649</v>
      </c>
      <c r="V206" s="797">
        <f>$S$1*P!V206</f>
        <v>2.2483870967741934E-3</v>
      </c>
      <c r="W206" s="780"/>
      <c r="X206" s="782">
        <v>202</v>
      </c>
      <c r="Y206" s="782" t="s">
        <v>2248</v>
      </c>
      <c r="Z206" s="782" t="s">
        <v>5642</v>
      </c>
      <c r="AA206" s="781">
        <f>$S$1*P!AA206</f>
        <v>1.2030241935483871E-5</v>
      </c>
      <c r="AB206" s="780"/>
      <c r="AC206" s="782">
        <v>202</v>
      </c>
      <c r="AD206" s="782" t="s">
        <v>4573</v>
      </c>
      <c r="AE206" s="782" t="s">
        <v>5642</v>
      </c>
      <c r="AF206" s="781">
        <f>$S$1*P!AF206</f>
        <v>4.0443548387096774E-2</v>
      </c>
    </row>
    <row r="207" spans="1:32" ht="20.25" customHeight="1" x14ac:dyDescent="0.35">
      <c r="A207" s="849">
        <v>161</v>
      </c>
      <c r="B207" s="854" t="s">
        <v>630</v>
      </c>
      <c r="C207" s="855" t="s">
        <v>6926</v>
      </c>
      <c r="D207" s="856" t="str">
        <f>IF(P!D206="n.a.","n.a.",$S$1*P!D206)</f>
        <v>n.a.</v>
      </c>
      <c r="G207" s="804"/>
      <c r="H207" s="804"/>
      <c r="I207" s="804"/>
      <c r="S207" s="782">
        <v>203</v>
      </c>
      <c r="T207" s="782" t="s">
        <v>4284</v>
      </c>
      <c r="U207" s="782" t="s">
        <v>5648</v>
      </c>
      <c r="V207" s="797">
        <f>$S$1*P!V207</f>
        <v>2.1798387096774196E-4</v>
      </c>
      <c r="W207" s="780"/>
      <c r="X207" s="782">
        <v>203</v>
      </c>
      <c r="Y207" s="782" t="s">
        <v>2248</v>
      </c>
      <c r="Z207" s="782" t="s">
        <v>5641</v>
      </c>
      <c r="AA207" s="781">
        <f>$S$1*P!AA207</f>
        <v>1.0316532258064517E-3</v>
      </c>
      <c r="AB207" s="780"/>
      <c r="AC207" s="782">
        <v>203</v>
      </c>
      <c r="AD207" s="782" t="s">
        <v>4573</v>
      </c>
      <c r="AE207" s="782" t="s">
        <v>5641</v>
      </c>
      <c r="AF207" s="781">
        <f>$S$1*P!AF207</f>
        <v>2.3375000000000004</v>
      </c>
    </row>
    <row r="208" spans="1:32" ht="20.25" customHeight="1" x14ac:dyDescent="0.35">
      <c r="A208" s="849">
        <v>162</v>
      </c>
      <c r="B208" s="854" t="s">
        <v>631</v>
      </c>
      <c r="C208" s="855" t="s">
        <v>6926</v>
      </c>
      <c r="D208" s="856" t="str">
        <f>IF(P!D207="n.a.","n.a.",$S$1*P!D207)</f>
        <v>n.a.</v>
      </c>
      <c r="G208" s="804"/>
      <c r="H208" s="804"/>
      <c r="I208" s="804"/>
      <c r="S208" s="782">
        <v>204</v>
      </c>
      <c r="T208" s="782" t="s">
        <v>4284</v>
      </c>
      <c r="U208" s="782" t="s">
        <v>5647</v>
      </c>
      <c r="V208" s="797">
        <f>$S$1*P!V208</f>
        <v>8.705645161290323E-4</v>
      </c>
      <c r="W208" s="780"/>
      <c r="X208" s="782">
        <v>204</v>
      </c>
      <c r="Y208" s="782" t="s">
        <v>2248</v>
      </c>
      <c r="Z208" s="782" t="s">
        <v>5640</v>
      </c>
      <c r="AA208" s="781">
        <f>$S$1*P!AA208</f>
        <v>5.106854838709678E-4</v>
      </c>
      <c r="AB208" s="780"/>
      <c r="AC208" s="782">
        <v>204</v>
      </c>
      <c r="AD208" s="782" t="s">
        <v>4573</v>
      </c>
      <c r="AE208" s="782" t="s">
        <v>5640</v>
      </c>
      <c r="AF208" s="781">
        <f>$S$1*P!AF208</f>
        <v>7.4375000000000005E-3</v>
      </c>
    </row>
    <row r="209" spans="1:32" ht="20.25" customHeight="1" x14ac:dyDescent="0.35">
      <c r="A209" s="849">
        <v>163</v>
      </c>
      <c r="B209" s="854" t="s">
        <v>632</v>
      </c>
      <c r="C209" s="855" t="s">
        <v>6926</v>
      </c>
      <c r="D209" s="856" t="str">
        <f>IF(P!D208="n.a.","n.a.",$S$1*P!D208)</f>
        <v>n.a.</v>
      </c>
      <c r="G209" s="804"/>
      <c r="H209" s="804"/>
      <c r="I209" s="804"/>
      <c r="S209" s="782">
        <v>205</v>
      </c>
      <c r="T209" s="782" t="s">
        <v>4284</v>
      </c>
      <c r="U209" s="782" t="s">
        <v>5646</v>
      </c>
      <c r="V209" s="797">
        <f>$S$1*P!V209</f>
        <v>9.8709677419354849E-3</v>
      </c>
      <c r="W209" s="780"/>
      <c r="X209" s="782">
        <v>205</v>
      </c>
      <c r="Y209" s="782" t="s">
        <v>2248</v>
      </c>
      <c r="Z209" s="782" t="s">
        <v>5639</v>
      </c>
      <c r="AA209" s="781">
        <f>$S$1*P!AA209</f>
        <v>1.1893145161290325E-4</v>
      </c>
      <c r="AB209" s="780"/>
      <c r="AC209" s="782">
        <v>205</v>
      </c>
      <c r="AD209" s="782" t="s">
        <v>4573</v>
      </c>
      <c r="AE209" s="782" t="s">
        <v>5639</v>
      </c>
      <c r="AF209" s="781">
        <f>$S$1*P!AF209</f>
        <v>6.4435483870967751E-3</v>
      </c>
    </row>
    <row r="210" spans="1:32" ht="20.25" customHeight="1" x14ac:dyDescent="0.35">
      <c r="A210" s="849">
        <v>164</v>
      </c>
      <c r="B210" s="854" t="s">
        <v>633</v>
      </c>
      <c r="C210" s="855">
        <f>$S$1*P!C209</f>
        <v>7.9189810487689999E-2</v>
      </c>
      <c r="D210" s="856">
        <f>IF(P!D209="n.a.","n.a.",$S$1*P!D209)</f>
        <v>9.5027772585228001E-2</v>
      </c>
      <c r="G210" s="804"/>
      <c r="H210" s="804"/>
      <c r="I210" s="804"/>
      <c r="S210" s="782">
        <v>206</v>
      </c>
      <c r="T210" s="782" t="s">
        <v>4284</v>
      </c>
      <c r="U210" s="782" t="s">
        <v>3789</v>
      </c>
      <c r="V210" s="797">
        <f>$S$1*P!V210</f>
        <v>0</v>
      </c>
      <c r="W210" s="780"/>
      <c r="X210" s="782">
        <v>206</v>
      </c>
      <c r="Y210" s="782" t="s">
        <v>2248</v>
      </c>
      <c r="Z210" s="782" t="s">
        <v>5638</v>
      </c>
      <c r="AA210" s="781">
        <f>$S$1*P!AA210</f>
        <v>1.7616935483870969E-5</v>
      </c>
      <c r="AB210" s="780"/>
      <c r="AC210" s="782">
        <v>206</v>
      </c>
      <c r="AD210" s="782" t="s">
        <v>4573</v>
      </c>
      <c r="AE210" s="782" t="s">
        <v>5638</v>
      </c>
      <c r="AF210" s="781">
        <f>$S$1*P!AF210</f>
        <v>0.11310483870967743</v>
      </c>
    </row>
    <row r="211" spans="1:32" ht="20.25" customHeight="1" x14ac:dyDescent="0.35">
      <c r="A211" s="849">
        <v>165</v>
      </c>
      <c r="B211" s="854" t="s">
        <v>634</v>
      </c>
      <c r="C211" s="855" t="s">
        <v>6926</v>
      </c>
      <c r="D211" s="856" t="str">
        <f>IF(P!D210="n.a.","n.a.",$S$1*P!D210)</f>
        <v>n.a.</v>
      </c>
      <c r="G211" s="804"/>
      <c r="H211" s="804"/>
      <c r="I211" s="804"/>
      <c r="S211" s="782">
        <v>207</v>
      </c>
      <c r="T211" s="782" t="s">
        <v>4284</v>
      </c>
      <c r="U211" s="782" t="s">
        <v>3788</v>
      </c>
      <c r="V211" s="797">
        <f>$S$1*P!V211</f>
        <v>0</v>
      </c>
      <c r="W211" s="780"/>
      <c r="X211" s="782">
        <v>207</v>
      </c>
      <c r="Y211" s="782" t="s">
        <v>2248</v>
      </c>
      <c r="Z211" s="782" t="s">
        <v>5637</v>
      </c>
      <c r="AA211" s="781">
        <f>$S$1*P!AA211</f>
        <v>8.2600806451612916E-5</v>
      </c>
      <c r="AB211" s="780"/>
      <c r="AC211" s="782">
        <v>207</v>
      </c>
      <c r="AD211" s="782" t="s">
        <v>4573</v>
      </c>
      <c r="AE211" s="782" t="s">
        <v>5637</v>
      </c>
      <c r="AF211" s="781">
        <f>$S$1*P!AF211</f>
        <v>5.3467741935483873E-4</v>
      </c>
    </row>
    <row r="212" spans="1:32" ht="20.25" customHeight="1" x14ac:dyDescent="0.35">
      <c r="A212" s="849">
        <v>166</v>
      </c>
      <c r="B212" s="854" t="s">
        <v>635</v>
      </c>
      <c r="C212" s="855" t="s">
        <v>6926</v>
      </c>
      <c r="D212" s="856" t="str">
        <f>IF(P!D211="n.a.","n.a.",$S$1*P!D211)</f>
        <v>n.a.</v>
      </c>
      <c r="G212" s="804"/>
      <c r="H212" s="804"/>
      <c r="I212" s="804"/>
      <c r="S212" s="782">
        <v>208</v>
      </c>
      <c r="T212" s="782" t="s">
        <v>4284</v>
      </c>
      <c r="U212" s="782" t="s">
        <v>3786</v>
      </c>
      <c r="V212" s="797">
        <f>$S$1*P!V212</f>
        <v>2.7556451612903228E-3</v>
      </c>
      <c r="W212" s="780"/>
      <c r="X212" s="782">
        <v>208</v>
      </c>
      <c r="Y212" s="782" t="s">
        <v>2248</v>
      </c>
      <c r="Z212" s="782" t="s">
        <v>3780</v>
      </c>
      <c r="AA212" s="781">
        <f>$S$1*P!AA212</f>
        <v>0.44068000000000002</v>
      </c>
      <c r="AB212" s="780"/>
      <c r="AC212" s="782">
        <v>208</v>
      </c>
      <c r="AD212" s="782" t="s">
        <v>4573</v>
      </c>
      <c r="AE212" s="782" t="s">
        <v>3780</v>
      </c>
      <c r="AF212" s="781">
        <f>$S$1*P!AF212</f>
        <v>9.9359999999999999</v>
      </c>
    </row>
    <row r="213" spans="1:32" ht="20.25" customHeight="1" x14ac:dyDescent="0.35">
      <c r="A213" s="849">
        <v>167</v>
      </c>
      <c r="B213" s="854" t="s">
        <v>636</v>
      </c>
      <c r="C213" s="855">
        <f>$S$1*P!C212</f>
        <v>4.7781556544166668E-3</v>
      </c>
      <c r="D213" s="856">
        <f>IF(P!D212="n.a.","n.a.",$S$1*P!D212)</f>
        <v>5.7337867852999998E-3</v>
      </c>
      <c r="G213" s="804"/>
      <c r="H213" s="804"/>
      <c r="I213" s="804"/>
      <c r="S213" s="782">
        <v>209</v>
      </c>
      <c r="T213" s="782" t="s">
        <v>4284</v>
      </c>
      <c r="U213" s="782" t="s">
        <v>3786</v>
      </c>
      <c r="V213" s="797">
        <f>$S$1*P!V213</f>
        <v>0</v>
      </c>
      <c r="W213" s="780"/>
      <c r="X213" s="782">
        <v>209</v>
      </c>
      <c r="Y213" s="782" t="s">
        <v>2248</v>
      </c>
      <c r="Z213" s="782" t="s">
        <v>5636</v>
      </c>
      <c r="AA213" s="781">
        <f>$S$1*P!AA213</f>
        <v>3.3280241935483877E-4</v>
      </c>
      <c r="AB213" s="780"/>
      <c r="AC213" s="782">
        <v>209</v>
      </c>
      <c r="AD213" s="782" t="s">
        <v>4573</v>
      </c>
      <c r="AE213" s="782" t="s">
        <v>5636</v>
      </c>
      <c r="AF213" s="781">
        <f>$S$1*P!AF213</f>
        <v>7.9858870967741934E-3</v>
      </c>
    </row>
    <row r="214" spans="1:32" ht="20.25" customHeight="1" x14ac:dyDescent="0.35">
      <c r="A214" s="849">
        <v>168</v>
      </c>
      <c r="B214" s="854" t="s">
        <v>637</v>
      </c>
      <c r="C214" s="855">
        <f>$S$1*P!C213</f>
        <v>6.0461848583536588E-4</v>
      </c>
      <c r="D214" s="856">
        <f>IF(P!D213="n.a.","n.a.",$S$1*P!D213)</f>
        <v>7.2554218300243908E-4</v>
      </c>
      <c r="G214" s="804"/>
      <c r="H214" s="804"/>
      <c r="I214" s="804"/>
      <c r="S214" s="782">
        <v>210</v>
      </c>
      <c r="T214" s="782" t="s">
        <v>4284</v>
      </c>
      <c r="U214" s="782" t="s">
        <v>3785</v>
      </c>
      <c r="V214" s="797">
        <f>$S$1*P!V214</f>
        <v>2.7762096774193554E-5</v>
      </c>
      <c r="W214" s="780"/>
      <c r="X214" s="782">
        <v>210</v>
      </c>
      <c r="Y214" s="782" t="s">
        <v>2248</v>
      </c>
      <c r="Z214" s="782" t="s">
        <v>5635</v>
      </c>
      <c r="AA214" s="781">
        <f>$S$1*P!AA214</f>
        <v>1.0830645161290325E-4</v>
      </c>
      <c r="AB214" s="780"/>
      <c r="AC214" s="782">
        <v>210</v>
      </c>
      <c r="AD214" s="782" t="s">
        <v>4573</v>
      </c>
      <c r="AE214" s="782" t="s">
        <v>5635</v>
      </c>
      <c r="AF214" s="781">
        <f>$S$1*P!AF214</f>
        <v>2.7693548387096776E-3</v>
      </c>
    </row>
    <row r="215" spans="1:32" ht="20.25" customHeight="1" x14ac:dyDescent="0.35">
      <c r="A215" s="849">
        <v>169</v>
      </c>
      <c r="B215" s="858" t="s">
        <v>638</v>
      </c>
      <c r="C215" s="855">
        <f>$S$1*P!C214</f>
        <v>8.2239372059284999E-2</v>
      </c>
      <c r="D215" s="856">
        <f>IF(P!D214="n.a.","n.a.",$S$1*P!D214)</f>
        <v>9.8687246471141993E-2</v>
      </c>
      <c r="G215" s="804"/>
      <c r="H215" s="804"/>
      <c r="I215" s="804"/>
      <c r="S215" s="782">
        <v>211</v>
      </c>
      <c r="T215" s="782" t="s">
        <v>4284</v>
      </c>
      <c r="U215" s="782" t="s">
        <v>3785</v>
      </c>
      <c r="V215" s="797">
        <f>$S$1*P!V215</f>
        <v>0</v>
      </c>
      <c r="W215" s="780"/>
      <c r="X215" s="782">
        <v>211</v>
      </c>
      <c r="Y215" s="782" t="s">
        <v>2248</v>
      </c>
      <c r="Z215" s="782" t="s">
        <v>5634</v>
      </c>
      <c r="AA215" s="781">
        <f>$S$1*P!AA215</f>
        <v>1.8336693548387097E-6</v>
      </c>
      <c r="AB215" s="780"/>
      <c r="AC215" s="782">
        <v>211</v>
      </c>
      <c r="AD215" s="782" t="s">
        <v>4573</v>
      </c>
      <c r="AE215" s="782" t="s">
        <v>5634</v>
      </c>
      <c r="AF215" s="781">
        <f>$S$1*P!AF215</f>
        <v>9.9395161290322589E-5</v>
      </c>
    </row>
    <row r="216" spans="1:32" ht="20.25" customHeight="1" x14ac:dyDescent="0.35">
      <c r="A216" s="849">
        <v>170</v>
      </c>
      <c r="B216" s="854" t="s">
        <v>639</v>
      </c>
      <c r="C216" s="855">
        <f>$S$1*P!C215</f>
        <v>2.9858451126850002E-3</v>
      </c>
      <c r="D216" s="856">
        <f>IF(P!D215="n.a.","n.a.",$S$1*P!D215)</f>
        <v>3.5830141352220001E-3</v>
      </c>
      <c r="G216" s="804"/>
      <c r="H216" s="804"/>
      <c r="I216" s="804"/>
      <c r="S216" s="782">
        <v>212</v>
      </c>
      <c r="T216" s="782" t="s">
        <v>4284</v>
      </c>
      <c r="U216" s="782" t="s">
        <v>5645</v>
      </c>
      <c r="V216" s="797">
        <f>$S$1*P!V216</f>
        <v>2.1729838709677422E-2</v>
      </c>
      <c r="W216" s="780"/>
      <c r="X216" s="782">
        <v>212</v>
      </c>
      <c r="Y216" s="782" t="s">
        <v>2248</v>
      </c>
      <c r="Z216" s="782" t="s">
        <v>5633</v>
      </c>
      <c r="AA216" s="781">
        <f>$S$1*P!AA216</f>
        <v>2.2758064516129036E-5</v>
      </c>
      <c r="AB216" s="780"/>
      <c r="AC216" s="782">
        <v>212</v>
      </c>
      <c r="AD216" s="782" t="s">
        <v>4573</v>
      </c>
      <c r="AE216" s="782" t="s">
        <v>5633</v>
      </c>
      <c r="AF216" s="781">
        <f>$S$1*P!AF216</f>
        <v>1.1413306451612905E-2</v>
      </c>
    </row>
    <row r="217" spans="1:32" ht="20.25" customHeight="1" x14ac:dyDescent="0.35">
      <c r="A217" s="849">
        <v>171</v>
      </c>
      <c r="B217" s="854" t="s">
        <v>640</v>
      </c>
      <c r="C217" s="855">
        <f>$S$1*P!C216</f>
        <v>3.4284116217309993E-2</v>
      </c>
      <c r="D217" s="856">
        <f>IF(P!D216="n.a.","n.a.",$S$1*P!D216)</f>
        <v>4.1140939460771991E-2</v>
      </c>
      <c r="G217" s="804"/>
      <c r="H217" s="804"/>
      <c r="I217" s="804"/>
      <c r="S217" s="782">
        <v>213</v>
      </c>
      <c r="T217" s="782" t="s">
        <v>4284</v>
      </c>
      <c r="U217" s="782" t="s">
        <v>3783</v>
      </c>
      <c r="V217" s="797">
        <f>$S$1*P!V217</f>
        <v>965.99999999999989</v>
      </c>
      <c r="W217" s="863"/>
      <c r="X217" s="782">
        <v>213</v>
      </c>
      <c r="Y217" s="782" t="s">
        <v>2248</v>
      </c>
      <c r="Z217" s="782" t="s">
        <v>5632</v>
      </c>
      <c r="AA217" s="781">
        <f>$S$1*P!AA217</f>
        <v>1.8233870967741936</v>
      </c>
      <c r="AB217" s="780"/>
      <c r="AC217" s="782">
        <v>213</v>
      </c>
      <c r="AD217" s="782" t="s">
        <v>4573</v>
      </c>
      <c r="AE217" s="782" t="s">
        <v>5632</v>
      </c>
      <c r="AF217" s="781">
        <f>$S$1*P!AF217</f>
        <v>10.350806451612904</v>
      </c>
    </row>
    <row r="218" spans="1:32" ht="20.25" customHeight="1" x14ac:dyDescent="0.35">
      <c r="A218" s="849">
        <v>172</v>
      </c>
      <c r="B218" s="854" t="s">
        <v>641</v>
      </c>
      <c r="C218" s="855">
        <f>$S$1*P!C217</f>
        <v>7.871413176830501E-2</v>
      </c>
      <c r="D218" s="856">
        <f>IF(P!D217="n.a.","n.a.",$S$1*P!D217)</f>
        <v>9.4456958121966014E-2</v>
      </c>
      <c r="G218" s="804"/>
      <c r="H218" s="804"/>
      <c r="I218" s="804"/>
      <c r="S218" s="782">
        <v>214</v>
      </c>
      <c r="T218" s="782" t="s">
        <v>4284</v>
      </c>
      <c r="U218" s="782" t="s">
        <v>5644</v>
      </c>
      <c r="V218" s="797">
        <f>$S$1*P!V218</f>
        <v>1.6622983870967742E-4</v>
      </c>
      <c r="W218" s="863"/>
      <c r="X218" s="782">
        <v>214</v>
      </c>
      <c r="Y218" s="782" t="s">
        <v>2248</v>
      </c>
      <c r="Z218" s="782" t="s">
        <v>5631</v>
      </c>
      <c r="AA218" s="781">
        <f>$S$1*P!AA218</f>
        <v>9.7338709677419362E-4</v>
      </c>
      <c r="AB218" s="780"/>
      <c r="AC218" s="782">
        <v>214</v>
      </c>
      <c r="AD218" s="782" t="s">
        <v>4573</v>
      </c>
      <c r="AE218" s="782" t="s">
        <v>5631</v>
      </c>
      <c r="AF218" s="781">
        <f>$S$1*P!AF218</f>
        <v>5.8951612903225814E-2</v>
      </c>
    </row>
    <row r="219" spans="1:32" ht="20.25" customHeight="1" x14ac:dyDescent="0.35">
      <c r="A219" s="849">
        <v>173</v>
      </c>
      <c r="B219" s="854" t="s">
        <v>642</v>
      </c>
      <c r="C219" s="855" t="s">
        <v>6926</v>
      </c>
      <c r="D219" s="856" t="str">
        <f>IF(P!D218="n.a.","n.a.",$S$1*P!D218)</f>
        <v>n.a.</v>
      </c>
      <c r="G219" s="804"/>
      <c r="H219" s="804"/>
      <c r="I219" s="804"/>
      <c r="S219" s="782">
        <v>215</v>
      </c>
      <c r="T219" s="782" t="s">
        <v>4284</v>
      </c>
      <c r="U219" s="782" t="s">
        <v>5643</v>
      </c>
      <c r="V219" s="797">
        <f>$S$1*P!V219</f>
        <v>2.8173387096774197E-8</v>
      </c>
      <c r="W219" s="863"/>
      <c r="X219" s="782">
        <v>215</v>
      </c>
      <c r="Y219" s="782" t="s">
        <v>2248</v>
      </c>
      <c r="Z219" s="782" t="s">
        <v>5630</v>
      </c>
      <c r="AA219" s="781">
        <f>$S$1*P!AA219</f>
        <v>3.0743951612903227E-2</v>
      </c>
      <c r="AB219" s="780"/>
      <c r="AC219" s="782">
        <v>215</v>
      </c>
      <c r="AD219" s="782" t="s">
        <v>4573</v>
      </c>
      <c r="AE219" s="782" t="s">
        <v>5630</v>
      </c>
      <c r="AF219" s="781">
        <f>$S$1*P!AF219</f>
        <v>2.1798387096774197</v>
      </c>
    </row>
    <row r="220" spans="1:32" ht="20.25" customHeight="1" x14ac:dyDescent="0.35">
      <c r="A220" s="849">
        <v>174</v>
      </c>
      <c r="B220" s="854" t="s">
        <v>643</v>
      </c>
      <c r="C220" s="855">
        <f>$S$1*P!C219</f>
        <v>2.6691143094990002E-2</v>
      </c>
      <c r="D220" s="856">
        <f>IF(P!D219="n.a.","n.a.",$S$1*P!D219)</f>
        <v>3.2029371713988002E-2</v>
      </c>
      <c r="G220" s="804"/>
      <c r="H220" s="804"/>
      <c r="I220" s="804"/>
      <c r="S220" s="782">
        <v>216</v>
      </c>
      <c r="T220" s="782" t="s">
        <v>4284</v>
      </c>
      <c r="U220" s="782" t="s">
        <v>5642</v>
      </c>
      <c r="V220" s="797">
        <f>$S$1*P!V220</f>
        <v>4.4899193548387102E-4</v>
      </c>
      <c r="W220" s="863"/>
      <c r="X220" s="782">
        <v>216</v>
      </c>
      <c r="Y220" s="782" t="s">
        <v>2248</v>
      </c>
      <c r="Z220" s="782" t="s">
        <v>5629</v>
      </c>
      <c r="AA220" s="781">
        <f>$S$1*P!AA220</f>
        <v>2.220967741935484E-5</v>
      </c>
      <c r="AB220" s="780"/>
      <c r="AC220" s="782">
        <v>216</v>
      </c>
      <c r="AD220" s="782" t="s">
        <v>4573</v>
      </c>
      <c r="AE220" s="782" t="s">
        <v>5629</v>
      </c>
      <c r="AF220" s="781">
        <f>$S$1*P!AF220</f>
        <v>1.0247983870967744E-4</v>
      </c>
    </row>
    <row r="221" spans="1:32" ht="20.25" customHeight="1" x14ac:dyDescent="0.35">
      <c r="A221" s="849">
        <v>175</v>
      </c>
      <c r="B221" s="854" t="s">
        <v>644</v>
      </c>
      <c r="C221" s="855" t="s">
        <v>6926</v>
      </c>
      <c r="D221" s="856" t="str">
        <f>IF(P!D220="n.a.","n.a.",$S$1*P!D220)</f>
        <v>n.a.</v>
      </c>
      <c r="G221" s="804"/>
      <c r="H221" s="804"/>
      <c r="I221" s="804"/>
      <c r="S221" s="782">
        <v>217</v>
      </c>
      <c r="T221" s="782" t="s">
        <v>4284</v>
      </c>
      <c r="U221" s="782" t="s">
        <v>5641</v>
      </c>
      <c r="V221" s="797">
        <f>$S$1*P!V221</f>
        <v>1.6862903225806452E-2</v>
      </c>
      <c r="W221" s="863"/>
      <c r="X221" s="782">
        <v>217</v>
      </c>
      <c r="Y221" s="782" t="s">
        <v>2248</v>
      </c>
      <c r="Z221" s="782" t="s">
        <v>5628</v>
      </c>
      <c r="AA221" s="781">
        <f>$S$1*P!AA221</f>
        <v>8.6028225806451624E-4</v>
      </c>
      <c r="AB221" s="780"/>
      <c r="AC221" s="782">
        <v>217</v>
      </c>
      <c r="AD221" s="782" t="s">
        <v>4573</v>
      </c>
      <c r="AE221" s="782" t="s">
        <v>5628</v>
      </c>
      <c r="AF221" s="781">
        <f>$S$1*P!AF221</f>
        <v>8.8770161290322586E-3</v>
      </c>
    </row>
    <row r="222" spans="1:32" ht="20.25" customHeight="1" x14ac:dyDescent="0.35">
      <c r="A222" s="849">
        <v>176</v>
      </c>
      <c r="B222" s="854" t="s">
        <v>645</v>
      </c>
      <c r="C222" s="855">
        <f>$S$1*P!C221</f>
        <v>9.8480908590994995E-2</v>
      </c>
      <c r="D222" s="856">
        <f>IF(P!D221="n.a.","n.a.",$S$1*P!D221)</f>
        <v>0.11817709030919399</v>
      </c>
      <c r="G222" s="804"/>
      <c r="H222" s="804"/>
      <c r="I222" s="804"/>
      <c r="S222" s="782">
        <v>218</v>
      </c>
      <c r="T222" s="782" t="s">
        <v>4284</v>
      </c>
      <c r="U222" s="782" t="s">
        <v>5640</v>
      </c>
      <c r="V222" s="797">
        <f>$S$1*P!V222</f>
        <v>5.3125000000000004E-5</v>
      </c>
      <c r="W222" s="863"/>
      <c r="X222" s="782">
        <v>218</v>
      </c>
      <c r="Y222" s="782" t="s">
        <v>2248</v>
      </c>
      <c r="Z222" s="782" t="s">
        <v>3779</v>
      </c>
      <c r="AA222" s="781">
        <f>$S$1*P!AA222</f>
        <v>0</v>
      </c>
      <c r="AB222" s="780"/>
      <c r="AC222" s="782">
        <v>218</v>
      </c>
      <c r="AD222" s="782" t="s">
        <v>4573</v>
      </c>
      <c r="AE222" s="782" t="s">
        <v>3779</v>
      </c>
      <c r="AF222" s="781">
        <f>$S$1*P!AF222</f>
        <v>0</v>
      </c>
    </row>
    <row r="223" spans="1:32" ht="20.25" customHeight="1" x14ac:dyDescent="0.35">
      <c r="A223" s="849">
        <v>177</v>
      </c>
      <c r="B223" s="854" t="s">
        <v>6925</v>
      </c>
      <c r="C223" s="855">
        <f>$S$1*P!C222</f>
        <v>7.3524365826369995E-2</v>
      </c>
      <c r="D223" s="856">
        <f>IF(P!D222="n.a.","n.a.",$S$1*P!D222)</f>
        <v>8.8229238991643991E-2</v>
      </c>
      <c r="G223" s="804"/>
      <c r="H223" s="804"/>
      <c r="I223" s="804"/>
      <c r="S223" s="782">
        <v>219</v>
      </c>
      <c r="T223" s="782" t="s">
        <v>4284</v>
      </c>
      <c r="U223" s="782" t="s">
        <v>5639</v>
      </c>
      <c r="V223" s="797">
        <f>$S$1*P!V223</f>
        <v>9.6310483870967753E-6</v>
      </c>
      <c r="W223" s="863"/>
      <c r="X223" s="782">
        <v>219</v>
      </c>
      <c r="Y223" s="782" t="s">
        <v>2248</v>
      </c>
      <c r="Z223" s="782" t="s">
        <v>5627</v>
      </c>
      <c r="AA223" s="781">
        <f>$S$1*P!AA223</f>
        <v>5.4838709677419361E-3</v>
      </c>
      <c r="AB223" s="780"/>
      <c r="AC223" s="782">
        <v>219</v>
      </c>
      <c r="AD223" s="782" t="s">
        <v>4573</v>
      </c>
      <c r="AE223" s="782" t="s">
        <v>5627</v>
      </c>
      <c r="AF223" s="781">
        <f>$S$1*P!AF223</f>
        <v>22.415322580645164</v>
      </c>
    </row>
    <row r="224" spans="1:32" ht="20.25" customHeight="1" x14ac:dyDescent="0.35">
      <c r="A224" s="849">
        <v>178</v>
      </c>
      <c r="B224" s="854" t="s">
        <v>647</v>
      </c>
      <c r="C224" s="855">
        <f>$S$1*P!C223</f>
        <v>0.11759943293759501</v>
      </c>
      <c r="D224" s="856">
        <f>IF(P!D223="n.a.","n.a.",$S$1*P!D223)</f>
        <v>0.141119319525114</v>
      </c>
      <c r="G224" s="804"/>
      <c r="H224" s="804"/>
      <c r="I224" s="804"/>
      <c r="S224" s="782">
        <v>220</v>
      </c>
      <c r="T224" s="782" t="s">
        <v>4284</v>
      </c>
      <c r="U224" s="782" t="s">
        <v>5638</v>
      </c>
      <c r="V224" s="797">
        <f>$S$1*P!V224</f>
        <v>1.172177419354839E-3</v>
      </c>
      <c r="W224" s="863"/>
      <c r="X224" s="782">
        <v>220</v>
      </c>
      <c r="Y224" s="782" t="s">
        <v>2248</v>
      </c>
      <c r="Z224" s="782" t="s">
        <v>5626</v>
      </c>
      <c r="AA224" s="781">
        <f>$S$1*P!AA224</f>
        <v>1.1653225806451614E-2</v>
      </c>
      <c r="AB224" s="780"/>
      <c r="AC224" s="782">
        <v>220</v>
      </c>
      <c r="AD224" s="782" t="s">
        <v>4573</v>
      </c>
      <c r="AE224" s="782" t="s">
        <v>5626</v>
      </c>
      <c r="AF224" s="781">
        <f>$S$1*P!AF224</f>
        <v>0.30195564516129036</v>
      </c>
    </row>
    <row r="225" spans="1:32" ht="20.25" customHeight="1" x14ac:dyDescent="0.35">
      <c r="A225" s="849">
        <v>179</v>
      </c>
      <c r="B225" s="854" t="s">
        <v>648</v>
      </c>
      <c r="C225" s="855">
        <f>$S$1*P!C224</f>
        <v>8.2808131237540009E-2</v>
      </c>
      <c r="D225" s="856">
        <f>IF(P!D224="n.a.","n.a.",$S$1*P!D224)</f>
        <v>9.9369757485048005E-2</v>
      </c>
      <c r="G225" s="804"/>
      <c r="H225" s="804"/>
      <c r="I225" s="804"/>
      <c r="S225" s="782">
        <v>221</v>
      </c>
      <c r="T225" s="782" t="s">
        <v>4284</v>
      </c>
      <c r="U225" s="782" t="s">
        <v>5637</v>
      </c>
      <c r="V225" s="797">
        <f>$S$1*P!V225</f>
        <v>6.6149193548387105E-6</v>
      </c>
      <c r="W225" s="863"/>
      <c r="X225" s="782">
        <v>221</v>
      </c>
      <c r="Y225" s="782" t="s">
        <v>2248</v>
      </c>
      <c r="Z225" s="782" t="s">
        <v>5625</v>
      </c>
      <c r="AA225" s="781">
        <f>$S$1*P!AA225</f>
        <v>2.7727822580645165E-3</v>
      </c>
      <c r="AB225" s="780"/>
      <c r="AC225" s="782">
        <v>221</v>
      </c>
      <c r="AD225" s="782" t="s">
        <v>4573</v>
      </c>
      <c r="AE225" s="782" t="s">
        <v>5625</v>
      </c>
      <c r="AF225" s="781">
        <f>$S$1*P!AF225</f>
        <v>11.34475806451613</v>
      </c>
    </row>
    <row r="226" spans="1:32" ht="20.25" customHeight="1" x14ac:dyDescent="0.35">
      <c r="A226" s="849">
        <v>180</v>
      </c>
      <c r="B226" s="854" t="s">
        <v>649</v>
      </c>
      <c r="C226" s="855" t="s">
        <v>6926</v>
      </c>
      <c r="D226" s="856" t="str">
        <f>IF(P!D225="n.a.","n.a.",$S$1*P!D225)</f>
        <v>n.a.</v>
      </c>
      <c r="G226" s="804"/>
      <c r="H226" s="804"/>
      <c r="I226" s="804"/>
      <c r="S226" s="861">
        <v>222</v>
      </c>
      <c r="T226" s="861" t="s">
        <v>4284</v>
      </c>
      <c r="U226" s="861" t="s">
        <v>5806</v>
      </c>
      <c r="V226" s="862">
        <f>$S$1*P!V226</f>
        <v>8.8274999999999988</v>
      </c>
      <c r="W226" s="863"/>
      <c r="X226" s="782">
        <v>222</v>
      </c>
      <c r="Y226" s="782" t="s">
        <v>2248</v>
      </c>
      <c r="Z226" s="782" t="s">
        <v>5624</v>
      </c>
      <c r="AA226" s="781">
        <f>$S$1*P!AA226</f>
        <v>1.2784274193548389E-4</v>
      </c>
      <c r="AB226" s="780"/>
      <c r="AC226" s="782">
        <v>222</v>
      </c>
      <c r="AD226" s="782" t="s">
        <v>4573</v>
      </c>
      <c r="AE226" s="782" t="s">
        <v>5624</v>
      </c>
      <c r="AF226" s="781">
        <f>$S$1*P!AF226</f>
        <v>0.27179435483870967</v>
      </c>
    </row>
    <row r="227" spans="1:32" ht="20.25" customHeight="1" x14ac:dyDescent="0.35">
      <c r="A227" s="849">
        <v>181</v>
      </c>
      <c r="B227" s="854" t="s">
        <v>650</v>
      </c>
      <c r="C227" s="855" t="s">
        <v>6926</v>
      </c>
      <c r="D227" s="856" t="str">
        <f>IF(P!D226="n.a.","n.a.",$S$1*P!D226)</f>
        <v>n.a.</v>
      </c>
      <c r="G227" s="804"/>
      <c r="H227" s="804"/>
      <c r="I227" s="804"/>
      <c r="S227" s="782">
        <v>223</v>
      </c>
      <c r="T227" s="782" t="s">
        <v>4284</v>
      </c>
      <c r="U227" s="782" t="s">
        <v>3780</v>
      </c>
      <c r="V227" s="797">
        <f>$S$1*P!V227</f>
        <v>7.4611999999999998</v>
      </c>
      <c r="W227" s="863"/>
      <c r="X227" s="782">
        <v>223</v>
      </c>
      <c r="Y227" s="782" t="s">
        <v>2248</v>
      </c>
      <c r="Z227" s="782" t="s">
        <v>5623</v>
      </c>
      <c r="AA227" s="781">
        <f>$S$1*P!AA227</f>
        <v>1.9707661290322583E-4</v>
      </c>
      <c r="AB227" s="780"/>
      <c r="AC227" s="782">
        <v>223</v>
      </c>
      <c r="AD227" s="782" t="s">
        <v>4573</v>
      </c>
      <c r="AE227" s="782" t="s">
        <v>5623</v>
      </c>
      <c r="AF227" s="781">
        <f>$S$1*P!AF227</f>
        <v>0.13949596774193548</v>
      </c>
    </row>
    <row r="228" spans="1:32" ht="20.25" customHeight="1" x14ac:dyDescent="0.35">
      <c r="A228" s="849">
        <v>182</v>
      </c>
      <c r="B228" s="854" t="s">
        <v>651</v>
      </c>
      <c r="C228" s="855">
        <f>$S$1*P!C227</f>
        <v>0.17249780232771891</v>
      </c>
      <c r="D228" s="856">
        <f>IF(P!D227="n.a.","n.a.",$S$1*P!D227)</f>
        <v>0.2069973627932627</v>
      </c>
      <c r="G228" s="804"/>
      <c r="H228" s="804"/>
      <c r="I228" s="804"/>
      <c r="S228" s="782">
        <v>224</v>
      </c>
      <c r="T228" s="782" t="s">
        <v>4284</v>
      </c>
      <c r="U228" s="782" t="s">
        <v>5636</v>
      </c>
      <c r="V228" s="797">
        <f>$S$1*P!V228</f>
        <v>1.1002016129032259E-4</v>
      </c>
      <c r="W228" s="863"/>
      <c r="X228" s="782">
        <v>224</v>
      </c>
      <c r="Y228" s="782" t="s">
        <v>2248</v>
      </c>
      <c r="Z228" s="782" t="s">
        <v>4286</v>
      </c>
      <c r="AA228" s="781">
        <f>$S$1*P!AA228</f>
        <v>1.0693548387096775E-4</v>
      </c>
      <c r="AB228" s="780"/>
      <c r="AC228" s="782">
        <v>224</v>
      </c>
      <c r="AD228" s="782" t="s">
        <v>4573</v>
      </c>
      <c r="AE228" s="782" t="s">
        <v>5622</v>
      </c>
      <c r="AF228" s="781">
        <f>$S$1*P!AF228</f>
        <v>7.1290322580645164E-3</v>
      </c>
    </row>
    <row r="229" spans="1:32" ht="20.25" customHeight="1" x14ac:dyDescent="0.35">
      <c r="A229" s="849">
        <v>183</v>
      </c>
      <c r="B229" s="854" t="s">
        <v>652</v>
      </c>
      <c r="C229" s="855">
        <f>$S$1*P!C228</f>
        <v>0.12053122792747001</v>
      </c>
      <c r="D229" s="856">
        <f>IF(P!D228="n.a.","n.a.",$S$1*P!D228)</f>
        <v>0.14463747351296399</v>
      </c>
      <c r="G229" s="804"/>
      <c r="H229" s="804"/>
      <c r="I229" s="804"/>
      <c r="S229" s="782">
        <v>225</v>
      </c>
      <c r="T229" s="782" t="s">
        <v>4284</v>
      </c>
      <c r="U229" s="782" t="s">
        <v>5635</v>
      </c>
      <c r="V229" s="797">
        <f>$S$1*P!V229</f>
        <v>3.4616935483870972E-5</v>
      </c>
      <c r="W229" s="863"/>
      <c r="X229" s="782">
        <v>225</v>
      </c>
      <c r="Y229" s="782" t="s">
        <v>2248</v>
      </c>
      <c r="Z229" s="782" t="s">
        <v>5622</v>
      </c>
      <c r="AA229" s="781">
        <f>$S$1*P!AA229</f>
        <v>1.052217741935484E-4</v>
      </c>
      <c r="AB229" s="780"/>
      <c r="AC229" s="782">
        <v>225</v>
      </c>
      <c r="AD229" s="782" t="s">
        <v>4573</v>
      </c>
      <c r="AE229" s="782" t="s">
        <v>5621</v>
      </c>
      <c r="AF229" s="781">
        <f>$S$1*P!AF229</f>
        <v>1.830241935483871</v>
      </c>
    </row>
    <row r="230" spans="1:32" ht="20.25" customHeight="1" x14ac:dyDescent="0.35">
      <c r="A230" s="849">
        <v>184</v>
      </c>
      <c r="B230" s="854" t="s">
        <v>653</v>
      </c>
      <c r="C230" s="855">
        <f>$S$1*P!C229</f>
        <v>8.0145673058387545E-2</v>
      </c>
      <c r="D230" s="856">
        <f>IF(P!D229="n.a.","n.a.",$S$1*P!D229)</f>
        <v>9.6174807670065046E-2</v>
      </c>
      <c r="G230" s="804"/>
      <c r="H230" s="804"/>
      <c r="I230" s="804"/>
      <c r="S230" s="782">
        <v>226</v>
      </c>
      <c r="T230" s="782" t="s">
        <v>4284</v>
      </c>
      <c r="U230" s="782" t="s">
        <v>5634</v>
      </c>
      <c r="V230" s="797">
        <f>$S$1*P!V230</f>
        <v>1.134475806451613E-6</v>
      </c>
      <c r="W230" s="863"/>
      <c r="X230" s="782">
        <v>226</v>
      </c>
      <c r="Y230" s="782" t="s">
        <v>2248</v>
      </c>
      <c r="Z230" s="782" t="s">
        <v>5621</v>
      </c>
      <c r="AA230" s="781">
        <f>$S$1*P!AA230</f>
        <v>0.14018145161290324</v>
      </c>
      <c r="AB230" s="780"/>
      <c r="AC230" s="782">
        <v>226</v>
      </c>
      <c r="AD230" s="782" t="s">
        <v>4573</v>
      </c>
      <c r="AE230" s="782" t="s">
        <v>3776</v>
      </c>
      <c r="AF230" s="781">
        <f>$S$1*P!AF230</f>
        <v>215.28</v>
      </c>
    </row>
    <row r="231" spans="1:32" ht="20.25" customHeight="1" x14ac:dyDescent="0.35">
      <c r="A231" s="849">
        <v>185</v>
      </c>
      <c r="B231" s="854" t="s">
        <v>654</v>
      </c>
      <c r="C231" s="855">
        <f>$S$1*P!C230</f>
        <v>8.505764838210321E-2</v>
      </c>
      <c r="D231" s="856">
        <f>IF(P!D230="n.a.","n.a.",$S$1*P!D230)</f>
        <v>0.10206917805852385</v>
      </c>
      <c r="G231" s="804"/>
      <c r="H231" s="804"/>
      <c r="I231" s="804"/>
      <c r="S231" s="782">
        <v>227</v>
      </c>
      <c r="T231" s="782" t="s">
        <v>4284</v>
      </c>
      <c r="U231" s="782" t="s">
        <v>5633</v>
      </c>
      <c r="V231" s="797">
        <f>$S$1*P!V231</f>
        <v>1.2750000000000001E-4</v>
      </c>
      <c r="W231" s="863"/>
      <c r="X231" s="782">
        <v>227</v>
      </c>
      <c r="Y231" s="782" t="s">
        <v>2248</v>
      </c>
      <c r="Z231" s="782" t="s">
        <v>4285</v>
      </c>
      <c r="AA231" s="781">
        <f>$S$1*P!AA231</f>
        <v>1.2578629032258066E-4</v>
      </c>
      <c r="AB231" s="780"/>
      <c r="AC231" s="782">
        <v>227</v>
      </c>
      <c r="AD231" s="782" t="s">
        <v>4573</v>
      </c>
      <c r="AE231" s="782" t="s">
        <v>5620</v>
      </c>
      <c r="AF231" s="781">
        <f>$S$1*P!AF231</f>
        <v>2.4677419354838712E-3</v>
      </c>
    </row>
    <row r="232" spans="1:32" ht="20.25" customHeight="1" x14ac:dyDescent="0.35">
      <c r="A232" s="864">
        <v>186</v>
      </c>
      <c r="B232" s="854" t="s">
        <v>655</v>
      </c>
      <c r="C232" s="855">
        <f>$S$1*P!C231</f>
        <v>3.9113898100765002E-2</v>
      </c>
      <c r="D232" s="856">
        <f>IF(P!D231="n.a.","n.a.",$S$1*P!D231)</f>
        <v>4.6936677720918002E-2</v>
      </c>
      <c r="G232" s="804"/>
      <c r="H232" s="804"/>
      <c r="I232" s="804"/>
      <c r="S232" s="782">
        <v>228</v>
      </c>
      <c r="T232" s="782" t="s">
        <v>4284</v>
      </c>
      <c r="U232" s="782" t="s">
        <v>5632</v>
      </c>
      <c r="V232" s="797">
        <f>$S$1*P!V232</f>
        <v>0.32800403225806452</v>
      </c>
      <c r="W232" s="863"/>
      <c r="X232" s="782">
        <v>228</v>
      </c>
      <c r="Y232" s="782" t="s">
        <v>2248</v>
      </c>
      <c r="Z232" s="782" t="s">
        <v>3776</v>
      </c>
      <c r="AA232" s="781">
        <f>$S$1*P!AA232</f>
        <v>15.731999999999999</v>
      </c>
      <c r="AB232" s="780"/>
      <c r="AC232" s="782">
        <v>228</v>
      </c>
      <c r="AD232" s="782" t="s">
        <v>4573</v>
      </c>
      <c r="AE232" s="782" t="s">
        <v>5618</v>
      </c>
      <c r="AF232" s="781">
        <f>$S$1*P!AF232</f>
        <v>0.11995967741935484</v>
      </c>
    </row>
    <row r="233" spans="1:32" ht="20.25" customHeight="1" x14ac:dyDescent="0.35">
      <c r="A233" s="864">
        <v>187</v>
      </c>
      <c r="B233" s="854" t="s">
        <v>656</v>
      </c>
      <c r="C233" s="855">
        <f>$S$1*P!C232</f>
        <v>7.293944265187001E-2</v>
      </c>
      <c r="D233" s="856">
        <f>IF(P!D232="n.a.","n.a.",$S$1*P!D232)</f>
        <v>8.7527331182244011E-2</v>
      </c>
      <c r="G233" s="804"/>
      <c r="H233" s="804"/>
      <c r="I233" s="804"/>
      <c r="S233" s="782">
        <v>229</v>
      </c>
      <c r="T233" s="782" t="s">
        <v>4284</v>
      </c>
      <c r="U233" s="782" t="s">
        <v>5631</v>
      </c>
      <c r="V233" s="797">
        <f>$S$1*P!V233</f>
        <v>6.7177419354838715E-4</v>
      </c>
      <c r="W233" s="863"/>
      <c r="X233" s="782">
        <v>229</v>
      </c>
      <c r="Y233" s="782" t="s">
        <v>2248</v>
      </c>
      <c r="Z233" s="782" t="s">
        <v>5620</v>
      </c>
      <c r="AA233" s="781">
        <f>$S$1*P!AA233</f>
        <v>9.6310483870967753E-5</v>
      </c>
      <c r="AB233" s="780"/>
      <c r="AC233" s="782">
        <v>229</v>
      </c>
      <c r="AD233" s="782" t="s">
        <v>4573</v>
      </c>
      <c r="AE233" s="782" t="s">
        <v>5614</v>
      </c>
      <c r="AF233" s="781">
        <f>$S$1*P!AF233</f>
        <v>0.36673387096774196</v>
      </c>
    </row>
    <row r="234" spans="1:32" ht="20.25" customHeight="1" x14ac:dyDescent="0.35">
      <c r="A234" s="864">
        <v>188</v>
      </c>
      <c r="B234" s="854" t="s">
        <v>657</v>
      </c>
      <c r="C234" s="855" t="s">
        <v>6926</v>
      </c>
      <c r="D234" s="856" t="str">
        <f>IF(P!D233="n.a.","n.a.",$S$1*P!D233)</f>
        <v>n.a.</v>
      </c>
      <c r="G234" s="804"/>
      <c r="H234" s="804"/>
      <c r="I234" s="804"/>
      <c r="S234" s="782">
        <v>230</v>
      </c>
      <c r="T234" s="782" t="s">
        <v>4284</v>
      </c>
      <c r="U234" s="782" t="s">
        <v>5630</v>
      </c>
      <c r="V234" s="797">
        <f>$S$1*P!V234</f>
        <v>1.2921370967741935E-4</v>
      </c>
      <c r="W234" s="863"/>
      <c r="X234" s="782">
        <v>230</v>
      </c>
      <c r="Y234" s="782" t="s">
        <v>2248</v>
      </c>
      <c r="Z234" s="782" t="s">
        <v>5805</v>
      </c>
      <c r="AA234" s="781">
        <f>$S$1*P!AA234</f>
        <v>1.2818548387096775E-3</v>
      </c>
      <c r="AB234" s="780"/>
      <c r="AC234" s="782">
        <v>230</v>
      </c>
      <c r="AD234" s="782" t="s">
        <v>4573</v>
      </c>
      <c r="AE234" s="782" t="s">
        <v>5610</v>
      </c>
      <c r="AF234" s="781">
        <f>$S$1*P!AF234</f>
        <v>2.954435483870968E-2</v>
      </c>
    </row>
    <row r="235" spans="1:32" ht="20.25" customHeight="1" x14ac:dyDescent="0.35">
      <c r="A235" s="864">
        <v>189</v>
      </c>
      <c r="B235" s="854" t="s">
        <v>658</v>
      </c>
      <c r="C235" s="855">
        <f>$S$1*P!C234</f>
        <v>2.6761962654335E-2</v>
      </c>
      <c r="D235" s="856">
        <f>IF(P!D234="n.a.","n.a.",$S$1*P!D234)</f>
        <v>3.2114355185201997E-2</v>
      </c>
      <c r="G235" s="804"/>
      <c r="H235" s="804"/>
      <c r="I235" s="804"/>
      <c r="S235" s="861">
        <v>231</v>
      </c>
      <c r="T235" s="861" t="s">
        <v>4284</v>
      </c>
      <c r="U235" s="861" t="s">
        <v>5629</v>
      </c>
      <c r="V235" s="862">
        <f>$S$1*P!V235</f>
        <v>5.0717999999999996</v>
      </c>
      <c r="W235" s="863"/>
      <c r="X235" s="782">
        <v>231</v>
      </c>
      <c r="Y235" s="782" t="s">
        <v>2248</v>
      </c>
      <c r="Z235" s="782" t="s">
        <v>5618</v>
      </c>
      <c r="AA235" s="781">
        <f>$S$1*P!AA235</f>
        <v>1.7479838709677422E-2</v>
      </c>
      <c r="AB235" s="780"/>
      <c r="AC235" s="782">
        <v>231</v>
      </c>
      <c r="AD235" s="782" t="s">
        <v>4573</v>
      </c>
      <c r="AE235" s="782" t="s">
        <v>5607</v>
      </c>
      <c r="AF235" s="781">
        <f>$S$1*P!AF235</f>
        <v>2.6699596774193554E-3</v>
      </c>
    </row>
    <row r="236" spans="1:32" ht="20.25" customHeight="1" x14ac:dyDescent="0.35">
      <c r="A236" s="864">
        <v>190</v>
      </c>
      <c r="B236" s="854" t="s">
        <v>659</v>
      </c>
      <c r="C236" s="855">
        <f>$S$1*P!C235</f>
        <v>6.0097963020140012E-2</v>
      </c>
      <c r="D236" s="856">
        <f>IF(P!D235="n.a.","n.a.",$S$1*P!D235)</f>
        <v>7.2117555624168009E-2</v>
      </c>
      <c r="G236" s="804"/>
      <c r="H236" s="804"/>
      <c r="I236" s="804"/>
      <c r="S236" s="782">
        <v>232</v>
      </c>
      <c r="T236" s="782" t="s">
        <v>4284</v>
      </c>
      <c r="U236" s="782" t="s">
        <v>5629</v>
      </c>
      <c r="V236" s="797">
        <f>$S$1*P!V236</f>
        <v>2.704233870967742E-6</v>
      </c>
      <c r="W236" s="863"/>
      <c r="X236" s="782">
        <v>232</v>
      </c>
      <c r="Y236" s="782" t="s">
        <v>2248</v>
      </c>
      <c r="Z236" s="782" t="s">
        <v>5614</v>
      </c>
      <c r="AA236" s="781">
        <f>$S$1*P!AA236</f>
        <v>0.12098790322580646</v>
      </c>
      <c r="AB236" s="780"/>
      <c r="AC236" s="782">
        <v>232</v>
      </c>
      <c r="AD236" s="782" t="s">
        <v>4573</v>
      </c>
      <c r="AE236" s="782" t="s">
        <v>5606</v>
      </c>
      <c r="AF236" s="781">
        <f>$S$1*P!AF236</f>
        <v>0.8705645161290323</v>
      </c>
    </row>
    <row r="237" spans="1:32" ht="20.25" customHeight="1" x14ac:dyDescent="0.35">
      <c r="A237" s="864">
        <v>191</v>
      </c>
      <c r="B237" s="854" t="s">
        <v>660</v>
      </c>
      <c r="C237" s="855">
        <f>$S$1*P!C236</f>
        <v>8.2947045285945001E-2</v>
      </c>
      <c r="D237" s="856">
        <f>IF(P!D236="n.a.","n.a.",$S$1*P!D236)</f>
        <v>9.9536454343134004E-2</v>
      </c>
      <c r="G237" s="804"/>
      <c r="H237" s="804"/>
      <c r="I237" s="804"/>
      <c r="S237" s="865">
        <v>233</v>
      </c>
      <c r="T237" s="865" t="s">
        <v>4284</v>
      </c>
      <c r="U237" s="866" t="s">
        <v>5804</v>
      </c>
      <c r="V237" s="867">
        <f>$S$1*P!V237</f>
        <v>48.836000000000006</v>
      </c>
      <c r="W237" s="863"/>
      <c r="X237" s="782">
        <v>233</v>
      </c>
      <c r="Y237" s="782" t="s">
        <v>2248</v>
      </c>
      <c r="Z237" s="782" t="s">
        <v>5803</v>
      </c>
      <c r="AA237" s="781">
        <f>$S$1*P!AA237</f>
        <v>2.4848790322580649E-2</v>
      </c>
      <c r="AB237" s="780"/>
      <c r="AC237" s="782">
        <v>233</v>
      </c>
      <c r="AD237" s="782" t="s">
        <v>4573</v>
      </c>
      <c r="AE237" s="782" t="s">
        <v>5605</v>
      </c>
      <c r="AF237" s="781">
        <f>$S$1*P!AF237</f>
        <v>7.7459677419354847E-3</v>
      </c>
    </row>
    <row r="238" spans="1:32" ht="20.25" customHeight="1" x14ac:dyDescent="0.35">
      <c r="A238" s="864">
        <v>192</v>
      </c>
      <c r="B238" s="854" t="s">
        <v>115</v>
      </c>
      <c r="C238" s="855">
        <f>$S$1*P!C237</f>
        <v>4.1185382536500003E-4</v>
      </c>
      <c r="D238" s="856">
        <f>IF(P!D237="n.a.","n.a.",$S$1*P!D237)</f>
        <v>4.9422459043800006E-4</v>
      </c>
      <c r="G238" s="804"/>
      <c r="H238" s="804"/>
      <c r="I238" s="804"/>
      <c r="S238" s="789">
        <v>234</v>
      </c>
      <c r="T238" s="789" t="s">
        <v>4284</v>
      </c>
      <c r="U238" s="789" t="s">
        <v>5802</v>
      </c>
      <c r="V238" s="790">
        <f>$S$1*P!V238</f>
        <v>47.212000000000003</v>
      </c>
      <c r="W238" s="863"/>
      <c r="X238" s="782">
        <v>234</v>
      </c>
      <c r="Y238" s="782" t="s">
        <v>2248</v>
      </c>
      <c r="Z238" s="782" t="s">
        <v>5610</v>
      </c>
      <c r="AA238" s="781">
        <f>$S$1*P!AA238</f>
        <v>7.1975806451612912E-4</v>
      </c>
      <c r="AB238" s="780"/>
      <c r="AC238" s="782">
        <v>234</v>
      </c>
      <c r="AD238" s="782" t="s">
        <v>4573</v>
      </c>
      <c r="AE238" s="782" t="s">
        <v>5604</v>
      </c>
      <c r="AF238" s="781">
        <f>$S$1*P!AF238</f>
        <v>1.2441532258064518E-2</v>
      </c>
    </row>
    <row r="239" spans="1:32" x14ac:dyDescent="0.35">
      <c r="A239" s="803">
        <v>193</v>
      </c>
      <c r="B239" s="854" t="s">
        <v>116</v>
      </c>
      <c r="C239" s="855">
        <f>$S$1*P!C238</f>
        <v>7.7442583485419991E-2</v>
      </c>
      <c r="D239" s="856">
        <f>IF(P!D238="n.a.","n.a.",$S$1*P!D238)</f>
        <v>9.2931100182503987E-2</v>
      </c>
      <c r="S239" s="789">
        <v>235</v>
      </c>
      <c r="T239" s="789" t="s">
        <v>4284</v>
      </c>
      <c r="U239" s="789" t="s">
        <v>5801</v>
      </c>
      <c r="V239" s="790">
        <f>$S$1*P!V239</f>
        <v>56.376000000000005</v>
      </c>
      <c r="W239" s="863"/>
      <c r="X239" s="782">
        <v>235</v>
      </c>
      <c r="Y239" s="782" t="s">
        <v>2248</v>
      </c>
      <c r="Z239" s="782" t="s">
        <v>5607</v>
      </c>
      <c r="AA239" s="781">
        <f>$S$1*P!AA239</f>
        <v>1.2372983870967743E-6</v>
      </c>
      <c r="AB239" s="780"/>
      <c r="AC239" s="782">
        <v>235</v>
      </c>
      <c r="AD239" s="782" t="s">
        <v>4573</v>
      </c>
      <c r="AE239" s="782" t="s">
        <v>3773</v>
      </c>
      <c r="AF239" s="781">
        <f>$S$1*P!AF239</f>
        <v>0</v>
      </c>
    </row>
    <row r="240" spans="1:32" x14ac:dyDescent="0.35">
      <c r="S240" s="782">
        <v>236</v>
      </c>
      <c r="T240" s="782" t="s">
        <v>4284</v>
      </c>
      <c r="U240" s="782" t="s">
        <v>5628</v>
      </c>
      <c r="V240" s="797">
        <f>$S$1*P!V240</f>
        <v>8.705645161290323E-5</v>
      </c>
      <c r="W240" s="863"/>
      <c r="X240" s="782">
        <v>236</v>
      </c>
      <c r="Y240" s="782" t="s">
        <v>2248</v>
      </c>
      <c r="Z240" s="782" t="s">
        <v>5606</v>
      </c>
      <c r="AA240" s="781">
        <f>$S$1*P!AA240</f>
        <v>2.0358870967741936E-2</v>
      </c>
      <c r="AB240" s="780"/>
      <c r="AC240" s="782">
        <v>236</v>
      </c>
      <c r="AD240" s="782" t="s">
        <v>4573</v>
      </c>
      <c r="AE240" s="782" t="s">
        <v>5603</v>
      </c>
      <c r="AF240" s="781">
        <f>$S$1*P!AF240</f>
        <v>3.7358870967741939E-3</v>
      </c>
    </row>
    <row r="241" spans="1:32" x14ac:dyDescent="0.35">
      <c r="S241" s="782">
        <v>237</v>
      </c>
      <c r="T241" s="782" t="s">
        <v>4284</v>
      </c>
      <c r="U241" s="782" t="s">
        <v>3779</v>
      </c>
      <c r="V241" s="797">
        <f>$S$1*P!V241</f>
        <v>0</v>
      </c>
      <c r="W241" s="863"/>
      <c r="X241" s="782">
        <v>237</v>
      </c>
      <c r="Y241" s="782" t="s">
        <v>2248</v>
      </c>
      <c r="Z241" s="782" t="s">
        <v>5800</v>
      </c>
      <c r="AA241" s="781">
        <f>$S$1*P!AA241</f>
        <v>2.1215725806451616E-4</v>
      </c>
      <c r="AB241" s="780"/>
      <c r="AC241" s="782">
        <v>237</v>
      </c>
      <c r="AD241" s="782" t="s">
        <v>4573</v>
      </c>
      <c r="AE241" s="782" t="s">
        <v>3771</v>
      </c>
      <c r="AF241" s="781">
        <f>$S$1*P!AF241</f>
        <v>22.815999999999999</v>
      </c>
    </row>
    <row r="242" spans="1:32" x14ac:dyDescent="0.35">
      <c r="S242" s="782">
        <v>238</v>
      </c>
      <c r="T242" s="782" t="s">
        <v>4284</v>
      </c>
      <c r="U242" s="782" t="s">
        <v>5627</v>
      </c>
      <c r="V242" s="797">
        <f>$S$1*P!V242</f>
        <v>0.28687500000000005</v>
      </c>
      <c r="W242" s="863"/>
      <c r="X242" s="782">
        <v>238</v>
      </c>
      <c r="Y242" s="782" t="s">
        <v>2248</v>
      </c>
      <c r="Z242" s="782" t="s">
        <v>5605</v>
      </c>
      <c r="AA242" s="781">
        <f>$S$1*P!AA242</f>
        <v>1.8405241935483875E-5</v>
      </c>
      <c r="AB242" s="780"/>
      <c r="AC242" s="782">
        <v>238</v>
      </c>
      <c r="AD242" s="782" t="s">
        <v>4573</v>
      </c>
      <c r="AE242" s="782" t="s">
        <v>5602</v>
      </c>
      <c r="AF242" s="781">
        <f>$S$1*P!AF242</f>
        <v>2.8858870967741939E-3</v>
      </c>
    </row>
    <row r="243" spans="1:32" x14ac:dyDescent="0.35">
      <c r="S243" s="782">
        <v>239</v>
      </c>
      <c r="T243" s="782" t="s">
        <v>4284</v>
      </c>
      <c r="U243" s="782" t="s">
        <v>5626</v>
      </c>
      <c r="V243" s="797">
        <f>$S$1*P!V243</f>
        <v>1.5560483870967742E-2</v>
      </c>
      <c r="W243" s="863"/>
      <c r="X243" s="782">
        <v>239</v>
      </c>
      <c r="Y243" s="782" t="s">
        <v>2248</v>
      </c>
      <c r="Z243" s="782" t="s">
        <v>5604</v>
      </c>
      <c r="AA243" s="781">
        <f>$S$1*P!AA243</f>
        <v>4.9697580645161295E-5</v>
      </c>
      <c r="AB243" s="780"/>
      <c r="AC243" s="782">
        <v>239</v>
      </c>
      <c r="AD243" s="782" t="s">
        <v>4573</v>
      </c>
      <c r="AE243" s="782" t="s">
        <v>5601</v>
      </c>
      <c r="AF243" s="781">
        <f>$S$1*P!AF243</f>
        <v>9.836693548387098E-4</v>
      </c>
    </row>
    <row r="244" spans="1:32" ht="15" thickBot="1" x14ac:dyDescent="0.4">
      <c r="S244" s="782">
        <v>240</v>
      </c>
      <c r="T244" s="782" t="s">
        <v>4284</v>
      </c>
      <c r="U244" s="782" t="s">
        <v>5625</v>
      </c>
      <c r="V244" s="797">
        <f>$S$1*P!V244</f>
        <v>0.14703629032258064</v>
      </c>
      <c r="W244" s="863"/>
      <c r="X244" s="782">
        <v>240</v>
      </c>
      <c r="Y244" s="782" t="s">
        <v>2248</v>
      </c>
      <c r="Z244" s="782" t="s">
        <v>5799</v>
      </c>
      <c r="AA244" s="781">
        <f>$S$1*P!AA244</f>
        <v>1.994758064516129E-5</v>
      </c>
      <c r="AB244" s="780"/>
      <c r="AC244" s="782">
        <v>240</v>
      </c>
      <c r="AD244" s="782" t="s">
        <v>4573</v>
      </c>
      <c r="AE244" s="782" t="s">
        <v>5600</v>
      </c>
      <c r="AF244" s="781">
        <f>$S$1*P!AF244</f>
        <v>2.1147177419354839</v>
      </c>
    </row>
    <row r="245" spans="1:32" ht="30" customHeight="1" thickBot="1" x14ac:dyDescent="0.4">
      <c r="A245" s="1708" t="s">
        <v>8627</v>
      </c>
      <c r="B245" s="1709"/>
      <c r="C245" s="1709"/>
      <c r="D245" s="1709"/>
      <c r="E245" s="1709"/>
      <c r="F245" s="1709"/>
      <c r="G245" s="1710"/>
      <c r="S245" s="782">
        <v>241</v>
      </c>
      <c r="T245" s="782" t="s">
        <v>4284</v>
      </c>
      <c r="U245" s="782" t="s">
        <v>5624</v>
      </c>
      <c r="V245" s="797">
        <f>$S$1*P!V245</f>
        <v>1.7308467741935485E-3</v>
      </c>
      <c r="W245" s="863"/>
      <c r="X245" s="782">
        <v>241</v>
      </c>
      <c r="Y245" s="782" t="s">
        <v>2248</v>
      </c>
      <c r="Z245" s="782" t="s">
        <v>3773</v>
      </c>
      <c r="AA245" s="781">
        <f>$S$1*P!AA245</f>
        <v>0</v>
      </c>
      <c r="AB245" s="780"/>
      <c r="AC245" s="782">
        <v>241</v>
      </c>
      <c r="AD245" s="782" t="s">
        <v>4573</v>
      </c>
      <c r="AE245" s="782" t="s">
        <v>5599</v>
      </c>
      <c r="AF245" s="781">
        <f>$S$1*P!AF245</f>
        <v>0.89798387096774201</v>
      </c>
    </row>
    <row r="246" spans="1:32" ht="58.5" thickBot="1" x14ac:dyDescent="0.4">
      <c r="A246" s="752" t="s">
        <v>82</v>
      </c>
      <c r="B246" s="753" t="s">
        <v>2223</v>
      </c>
      <c r="C246" s="688" t="s">
        <v>8628</v>
      </c>
      <c r="D246" s="812" t="s">
        <v>8382</v>
      </c>
      <c r="E246" s="689" t="s">
        <v>8383</v>
      </c>
      <c r="F246" s="690" t="s">
        <v>7129</v>
      </c>
      <c r="G246" s="691" t="s">
        <v>8629</v>
      </c>
      <c r="S246" s="782">
        <v>242</v>
      </c>
      <c r="T246" s="782" t="s">
        <v>4284</v>
      </c>
      <c r="U246" s="782" t="s">
        <v>5623</v>
      </c>
      <c r="V246" s="797">
        <f>$S$1*P!V246</f>
        <v>1.0179435483870969E-3</v>
      </c>
      <c r="W246" s="863"/>
      <c r="X246" s="782">
        <v>242</v>
      </c>
      <c r="Y246" s="782" t="s">
        <v>2248</v>
      </c>
      <c r="Z246" s="782" t="s">
        <v>5603</v>
      </c>
      <c r="AA246" s="781">
        <f>$S$1*P!AA246</f>
        <v>5.3467741935483873E-4</v>
      </c>
      <c r="AB246" s="780"/>
      <c r="AC246" s="782">
        <v>242</v>
      </c>
      <c r="AD246" s="782" t="s">
        <v>4573</v>
      </c>
      <c r="AE246" s="782" t="s">
        <v>5598</v>
      </c>
      <c r="AF246" s="781">
        <f>$S$1*P!AF246</f>
        <v>2.772782258064516E-4</v>
      </c>
    </row>
    <row r="247" spans="1:32" ht="25" customHeight="1" thickBot="1" x14ac:dyDescent="0.4">
      <c r="A247" s="764">
        <v>1</v>
      </c>
      <c r="B247" s="1877">
        <v>1</v>
      </c>
      <c r="C247" s="1885"/>
      <c r="D247" s="817">
        <f t="shared" ref="D247:D258" si="6">LOOKUP(B247,I$29:I$41,K$29:K$41)</f>
        <v>0</v>
      </c>
      <c r="E247" s="1885"/>
      <c r="F247" s="1886"/>
      <c r="G247" s="818">
        <f t="shared" ref="G247:G258" si="7">C247*(F247*E247+(1-F247)*D247)</f>
        <v>0</v>
      </c>
      <c r="S247" s="789">
        <v>243</v>
      </c>
      <c r="T247" s="789" t="s">
        <v>4284</v>
      </c>
      <c r="U247" s="789" t="s">
        <v>5798</v>
      </c>
      <c r="V247" s="790">
        <f>$S$1*P!V247</f>
        <v>8.004E-2</v>
      </c>
      <c r="W247" s="863"/>
      <c r="X247" s="782">
        <v>243</v>
      </c>
      <c r="Y247" s="782" t="s">
        <v>2248</v>
      </c>
      <c r="Z247" s="782" t="s">
        <v>3771</v>
      </c>
      <c r="AA247" s="781">
        <f>$S$1*P!AA247</f>
        <v>0.53267999999999993</v>
      </c>
      <c r="AB247" s="780"/>
      <c r="AC247" s="782">
        <v>243</v>
      </c>
      <c r="AD247" s="782" t="s">
        <v>4573</v>
      </c>
      <c r="AE247" s="782" t="s">
        <v>5597</v>
      </c>
      <c r="AF247" s="781">
        <f>$S$1*P!AF247</f>
        <v>1.1139112903225806E-3</v>
      </c>
    </row>
    <row r="248" spans="1:32" ht="25" customHeight="1" thickBot="1" x14ac:dyDescent="0.4">
      <c r="A248" s="777">
        <v>2</v>
      </c>
      <c r="B248" s="1887">
        <v>1</v>
      </c>
      <c r="C248" s="1885"/>
      <c r="D248" s="817">
        <f t="shared" si="6"/>
        <v>0</v>
      </c>
      <c r="E248" s="1885"/>
      <c r="F248" s="1886"/>
      <c r="G248" s="818">
        <f t="shared" si="7"/>
        <v>0</v>
      </c>
      <c r="S248" s="782">
        <v>244</v>
      </c>
      <c r="T248" s="782" t="s">
        <v>4284</v>
      </c>
      <c r="U248" s="782" t="s">
        <v>5622</v>
      </c>
      <c r="V248" s="797">
        <f>$S$1*P!V248</f>
        <v>2.5739919354838712E-4</v>
      </c>
      <c r="W248" s="863"/>
      <c r="X248" s="782">
        <v>244</v>
      </c>
      <c r="Y248" s="782" t="s">
        <v>2248</v>
      </c>
      <c r="Z248" s="782" t="s">
        <v>5797</v>
      </c>
      <c r="AA248" s="781">
        <f>$S$1*P!AA248</f>
        <v>2.4197580645161291E-4</v>
      </c>
      <c r="AB248" s="780"/>
      <c r="AC248" s="782">
        <v>244</v>
      </c>
      <c r="AD248" s="782" t="s">
        <v>4573</v>
      </c>
      <c r="AE248" s="782" t="s">
        <v>5596</v>
      </c>
      <c r="AF248" s="781">
        <f>$S$1*P!AF248</f>
        <v>9.9052419354838717E-4</v>
      </c>
    </row>
    <row r="249" spans="1:32" ht="25" customHeight="1" thickBot="1" x14ac:dyDescent="0.4">
      <c r="A249" s="777">
        <v>3</v>
      </c>
      <c r="B249" s="1887">
        <v>1</v>
      </c>
      <c r="C249" s="1885"/>
      <c r="D249" s="817">
        <f t="shared" si="6"/>
        <v>0</v>
      </c>
      <c r="E249" s="1885"/>
      <c r="F249" s="1886"/>
      <c r="G249" s="818">
        <f t="shared" si="7"/>
        <v>0</v>
      </c>
      <c r="S249" s="782">
        <v>245</v>
      </c>
      <c r="T249" s="782" t="s">
        <v>4284</v>
      </c>
      <c r="U249" s="782" t="s">
        <v>5621</v>
      </c>
      <c r="V249" s="797">
        <f>$S$1*P!V249</f>
        <v>0.1370967741935484</v>
      </c>
      <c r="W249" s="863"/>
      <c r="X249" s="782">
        <v>245</v>
      </c>
      <c r="Y249" s="782" t="s">
        <v>2248</v>
      </c>
      <c r="Z249" s="782" t="s">
        <v>5602</v>
      </c>
      <c r="AA249" s="781">
        <f>$S$1*P!AA249</f>
        <v>1.9090725806451616E-4</v>
      </c>
      <c r="AB249" s="780"/>
      <c r="AC249" s="782">
        <v>245</v>
      </c>
      <c r="AD249" s="782" t="s">
        <v>4573</v>
      </c>
      <c r="AE249" s="782" t="s">
        <v>3770</v>
      </c>
      <c r="AF249" s="781">
        <f>$S$1*P!AF249</f>
        <v>0</v>
      </c>
    </row>
    <row r="250" spans="1:32" ht="25" customHeight="1" thickBot="1" x14ac:dyDescent="0.4">
      <c r="A250" s="777">
        <v>4</v>
      </c>
      <c r="B250" s="1887">
        <v>1</v>
      </c>
      <c r="C250" s="1885"/>
      <c r="D250" s="817">
        <f t="shared" si="6"/>
        <v>0</v>
      </c>
      <c r="E250" s="1885"/>
      <c r="F250" s="1886"/>
      <c r="G250" s="818">
        <f t="shared" si="7"/>
        <v>0</v>
      </c>
      <c r="S250" s="782">
        <v>246</v>
      </c>
      <c r="T250" s="782" t="s">
        <v>4284</v>
      </c>
      <c r="U250" s="782" t="s">
        <v>3776</v>
      </c>
      <c r="V250" s="797">
        <f>$S$1*P!V250</f>
        <v>245.64</v>
      </c>
      <c r="W250" s="863"/>
      <c r="X250" s="782">
        <v>246</v>
      </c>
      <c r="Y250" s="782" t="s">
        <v>2248</v>
      </c>
      <c r="Z250" s="782" t="s">
        <v>5601</v>
      </c>
      <c r="AA250" s="781">
        <f>$S$1*P!AA250</f>
        <v>4.3185483870967749E-5</v>
      </c>
      <c r="AB250" s="780"/>
      <c r="AC250" s="782">
        <v>246</v>
      </c>
      <c r="AD250" s="782" t="s">
        <v>4573</v>
      </c>
      <c r="AE250" s="782" t="s">
        <v>3767</v>
      </c>
      <c r="AF250" s="781">
        <f>$S$1*P!AF250</f>
        <v>0</v>
      </c>
    </row>
    <row r="251" spans="1:32" ht="25" customHeight="1" thickBot="1" x14ac:dyDescent="0.4">
      <c r="A251" s="777">
        <v>5</v>
      </c>
      <c r="B251" s="1888">
        <v>1</v>
      </c>
      <c r="C251" s="1885"/>
      <c r="D251" s="817">
        <f t="shared" si="6"/>
        <v>0</v>
      </c>
      <c r="E251" s="1885"/>
      <c r="F251" s="1886"/>
      <c r="G251" s="818">
        <f t="shared" si="7"/>
        <v>0</v>
      </c>
      <c r="S251" s="782">
        <v>247</v>
      </c>
      <c r="T251" s="782" t="s">
        <v>4284</v>
      </c>
      <c r="U251" s="782" t="s">
        <v>5620</v>
      </c>
      <c r="V251" s="797">
        <f>$S$1*P!V251</f>
        <v>3.4137096774193553E-5</v>
      </c>
      <c r="W251" s="863"/>
      <c r="X251" s="782">
        <v>247</v>
      </c>
      <c r="Y251" s="782" t="s">
        <v>2248</v>
      </c>
      <c r="Z251" s="782" t="s">
        <v>5796</v>
      </c>
      <c r="AA251" s="781">
        <f>$S$1*P!AA251</f>
        <v>5.449596774193549E-4</v>
      </c>
      <c r="AB251" s="780"/>
      <c r="AC251" s="782">
        <v>247</v>
      </c>
      <c r="AD251" s="782" t="s">
        <v>4573</v>
      </c>
      <c r="AE251" s="782" t="s">
        <v>5595</v>
      </c>
      <c r="AF251" s="781">
        <f>$S$1*P!AF251</f>
        <v>4.4899193548387102E-4</v>
      </c>
    </row>
    <row r="252" spans="1:32" ht="25" customHeight="1" thickBot="1" x14ac:dyDescent="0.4">
      <c r="A252" s="777">
        <v>6</v>
      </c>
      <c r="B252" s="777">
        <v>1</v>
      </c>
      <c r="C252" s="1885"/>
      <c r="D252" s="817">
        <f t="shared" si="6"/>
        <v>0</v>
      </c>
      <c r="E252" s="1885"/>
      <c r="F252" s="1886"/>
      <c r="G252" s="818">
        <f t="shared" si="7"/>
        <v>0</v>
      </c>
      <c r="S252" s="782">
        <v>248</v>
      </c>
      <c r="T252" s="782" t="s">
        <v>4284</v>
      </c>
      <c r="U252" s="782" t="s">
        <v>5618</v>
      </c>
      <c r="V252" s="797">
        <f>$S$1*P!V252</f>
        <v>2.6733870967741939E-3</v>
      </c>
      <c r="W252" s="863"/>
      <c r="X252" s="782">
        <v>248</v>
      </c>
      <c r="Y252" s="782" t="s">
        <v>2248</v>
      </c>
      <c r="Z252" s="782" t="s">
        <v>5600</v>
      </c>
      <c r="AA252" s="781">
        <f>$S$1*P!AA252</f>
        <v>3.094959677419355E-3</v>
      </c>
      <c r="AB252" s="780"/>
      <c r="AC252" s="782">
        <v>248</v>
      </c>
      <c r="AD252" s="782" t="s">
        <v>4573</v>
      </c>
      <c r="AE252" s="782" t="s">
        <v>5594</v>
      </c>
      <c r="AF252" s="781">
        <f>$S$1*P!AF252</f>
        <v>18.953629032258068</v>
      </c>
    </row>
    <row r="253" spans="1:32" ht="25" customHeight="1" thickBot="1" x14ac:dyDescent="0.4">
      <c r="A253" s="777">
        <v>7</v>
      </c>
      <c r="B253" s="777">
        <v>1</v>
      </c>
      <c r="C253" s="1885"/>
      <c r="D253" s="817">
        <f t="shared" si="6"/>
        <v>0</v>
      </c>
      <c r="E253" s="1885"/>
      <c r="F253" s="1886"/>
      <c r="G253" s="818">
        <f t="shared" si="7"/>
        <v>0</v>
      </c>
      <c r="S253" s="782">
        <v>249</v>
      </c>
      <c r="T253" s="782" t="s">
        <v>4284</v>
      </c>
      <c r="U253" s="782" t="s">
        <v>5614</v>
      </c>
      <c r="V253" s="797">
        <f>$S$1*P!V253</f>
        <v>8.9455645161290329E-2</v>
      </c>
      <c r="W253" s="863"/>
      <c r="X253" s="782">
        <v>249</v>
      </c>
      <c r="Y253" s="782" t="s">
        <v>2248</v>
      </c>
      <c r="Z253" s="782" t="s">
        <v>5599</v>
      </c>
      <c r="AA253" s="781">
        <f>$S$1*P!AA253</f>
        <v>0.21387096774193551</v>
      </c>
      <c r="AB253" s="780"/>
      <c r="AC253" s="782">
        <v>249</v>
      </c>
      <c r="AD253" s="782" t="s">
        <v>4573</v>
      </c>
      <c r="AE253" s="782" t="s">
        <v>5593</v>
      </c>
      <c r="AF253" s="781">
        <f>$S$1*P!AF253</f>
        <v>0.2954435483870968</v>
      </c>
    </row>
    <row r="254" spans="1:32" ht="25" customHeight="1" thickBot="1" x14ac:dyDescent="0.4">
      <c r="A254" s="777">
        <v>8</v>
      </c>
      <c r="B254" s="777">
        <v>1</v>
      </c>
      <c r="C254" s="1885"/>
      <c r="D254" s="817">
        <f t="shared" si="6"/>
        <v>0</v>
      </c>
      <c r="E254" s="1885"/>
      <c r="F254" s="1886"/>
      <c r="G254" s="818">
        <f t="shared" si="7"/>
        <v>0</v>
      </c>
      <c r="S254" s="782">
        <v>250</v>
      </c>
      <c r="T254" s="782" t="s">
        <v>4284</v>
      </c>
      <c r="U254" s="782" t="s">
        <v>5610</v>
      </c>
      <c r="V254" s="797">
        <f>$S$1*P!V254</f>
        <v>7.4375000000000005E-4</v>
      </c>
      <c r="W254" s="863"/>
      <c r="X254" s="782">
        <v>250</v>
      </c>
      <c r="Y254" s="782" t="s">
        <v>2248</v>
      </c>
      <c r="Z254" s="782" t="s">
        <v>5795</v>
      </c>
      <c r="AA254" s="781">
        <f>$S$1*P!AA254</f>
        <v>1.4909274193548388E-2</v>
      </c>
      <c r="AB254" s="780"/>
      <c r="AC254" s="782">
        <v>250</v>
      </c>
      <c r="AD254" s="782" t="s">
        <v>4573</v>
      </c>
      <c r="AE254" s="782" t="s">
        <v>5592</v>
      </c>
      <c r="AF254" s="781">
        <f>$S$1*P!AF254</f>
        <v>0.28790322580645161</v>
      </c>
    </row>
    <row r="255" spans="1:32" ht="25" customHeight="1" thickBot="1" x14ac:dyDescent="0.4">
      <c r="A255" s="777">
        <v>9</v>
      </c>
      <c r="B255" s="777">
        <v>1</v>
      </c>
      <c r="C255" s="1885"/>
      <c r="D255" s="817">
        <f t="shared" si="6"/>
        <v>0</v>
      </c>
      <c r="E255" s="1885"/>
      <c r="F255" s="1886"/>
      <c r="G255" s="818">
        <f t="shared" si="7"/>
        <v>0</v>
      </c>
      <c r="S255" s="782">
        <v>251</v>
      </c>
      <c r="T255" s="782" t="s">
        <v>4284</v>
      </c>
      <c r="U255" s="782" t="s">
        <v>5607</v>
      </c>
      <c r="V255" s="797">
        <f>$S$1*P!V255</f>
        <v>2.8721774193548389E-5</v>
      </c>
      <c r="W255" s="863"/>
      <c r="X255" s="782">
        <v>251</v>
      </c>
      <c r="Y255" s="782" t="s">
        <v>2248</v>
      </c>
      <c r="Z255" s="782" t="s">
        <v>5598</v>
      </c>
      <c r="AA255" s="781">
        <f>$S$1*P!AA255</f>
        <v>2.4471774193548388E-5</v>
      </c>
      <c r="AB255" s="780"/>
      <c r="AC255" s="782">
        <v>251</v>
      </c>
      <c r="AD255" s="782" t="s">
        <v>4573</v>
      </c>
      <c r="AE255" s="782" t="s">
        <v>5591</v>
      </c>
      <c r="AF255" s="781">
        <f>$S$1*P!AF255</f>
        <v>5.5181451612903226E-3</v>
      </c>
    </row>
    <row r="256" spans="1:32" ht="25" customHeight="1" thickBot="1" x14ac:dyDescent="0.4">
      <c r="A256" s="777">
        <v>10</v>
      </c>
      <c r="B256" s="777">
        <v>1</v>
      </c>
      <c r="C256" s="1885"/>
      <c r="D256" s="817">
        <f t="shared" si="6"/>
        <v>0</v>
      </c>
      <c r="E256" s="1885"/>
      <c r="F256" s="1886"/>
      <c r="G256" s="818">
        <f t="shared" si="7"/>
        <v>0</v>
      </c>
      <c r="S256" s="782">
        <v>252</v>
      </c>
      <c r="T256" s="782" t="s">
        <v>4284</v>
      </c>
      <c r="U256" s="782" t="s">
        <v>5794</v>
      </c>
      <c r="V256" s="797">
        <f>$S$1*P!V256</f>
        <v>9.4254032258064529E-5</v>
      </c>
      <c r="W256" s="863"/>
      <c r="X256" s="782">
        <v>252</v>
      </c>
      <c r="Y256" s="782" t="s">
        <v>2248</v>
      </c>
      <c r="Z256" s="782" t="s">
        <v>5597</v>
      </c>
      <c r="AA256" s="781">
        <f>$S$1*P!AA256</f>
        <v>1.1276209677419356E-4</v>
      </c>
      <c r="AB256" s="780"/>
      <c r="AC256" s="782">
        <v>252</v>
      </c>
      <c r="AD256" s="782" t="s">
        <v>4573</v>
      </c>
      <c r="AE256" s="782" t="s">
        <v>5590</v>
      </c>
      <c r="AF256" s="781">
        <f>$S$1*P!AF256</f>
        <v>1.4463709677419356</v>
      </c>
    </row>
    <row r="257" spans="1:32" ht="25" customHeight="1" thickBot="1" x14ac:dyDescent="0.4">
      <c r="A257" s="777">
        <v>11</v>
      </c>
      <c r="B257" s="777">
        <v>1</v>
      </c>
      <c r="C257" s="1885"/>
      <c r="D257" s="817">
        <f t="shared" si="6"/>
        <v>0</v>
      </c>
      <c r="E257" s="1885"/>
      <c r="F257" s="1886"/>
      <c r="G257" s="818">
        <f t="shared" si="7"/>
        <v>0</v>
      </c>
      <c r="S257" s="782">
        <v>253</v>
      </c>
      <c r="T257" s="782" t="s">
        <v>4284</v>
      </c>
      <c r="U257" s="782" t="s">
        <v>5605</v>
      </c>
      <c r="V257" s="797">
        <f>$S$1*P!V257</f>
        <v>8.6028225806451618E-5</v>
      </c>
      <c r="W257" s="863"/>
      <c r="X257" s="782">
        <v>253</v>
      </c>
      <c r="Y257" s="782" t="s">
        <v>2248</v>
      </c>
      <c r="Z257" s="782" t="s">
        <v>5596</v>
      </c>
      <c r="AA257" s="781">
        <f>$S$1*P!AA257</f>
        <v>2.6151209677419356E-7</v>
      </c>
      <c r="AB257" s="780"/>
      <c r="AC257" s="782">
        <v>253</v>
      </c>
      <c r="AD257" s="782" t="s">
        <v>4573</v>
      </c>
      <c r="AE257" s="782" t="s">
        <v>5589</v>
      </c>
      <c r="AF257" s="781">
        <f>$S$1*P!AF257</f>
        <v>1.6691532258064516</v>
      </c>
    </row>
    <row r="258" spans="1:32" ht="25" customHeight="1" thickBot="1" x14ac:dyDescent="0.4">
      <c r="A258" s="777">
        <v>12</v>
      </c>
      <c r="B258" s="1889">
        <v>1</v>
      </c>
      <c r="C258" s="1885"/>
      <c r="D258" s="817">
        <f t="shared" si="6"/>
        <v>0</v>
      </c>
      <c r="E258" s="1885"/>
      <c r="F258" s="1886"/>
      <c r="G258" s="818">
        <f t="shared" si="7"/>
        <v>0</v>
      </c>
      <c r="S258" s="782">
        <v>254</v>
      </c>
      <c r="T258" s="782" t="s">
        <v>4284</v>
      </c>
      <c r="U258" s="782" t="s">
        <v>5604</v>
      </c>
      <c r="V258" s="797">
        <f>$S$1*P!V258</f>
        <v>1.5252016129032261E-4</v>
      </c>
      <c r="W258" s="863"/>
      <c r="X258" s="782">
        <v>254</v>
      </c>
      <c r="Y258" s="782" t="s">
        <v>2248</v>
      </c>
      <c r="Z258" s="782" t="s">
        <v>5793</v>
      </c>
      <c r="AA258" s="781">
        <f>$S$1*P!AA258</f>
        <v>4.8669354838709681E-4</v>
      </c>
      <c r="AB258" s="780"/>
      <c r="AC258" s="782">
        <v>254</v>
      </c>
      <c r="AD258" s="782" t="s">
        <v>4573</v>
      </c>
      <c r="AE258" s="782" t="s">
        <v>5588</v>
      </c>
      <c r="AF258" s="781">
        <f>$S$1*P!AF258</f>
        <v>0.82258064516129037</v>
      </c>
    </row>
    <row r="259" spans="1:32" ht="25" customHeight="1" thickBot="1" x14ac:dyDescent="0.4">
      <c r="A259" s="701"/>
      <c r="B259" s="824"/>
      <c r="C259" s="703"/>
      <c r="D259" s="825"/>
      <c r="E259" s="825"/>
      <c r="F259" s="826"/>
      <c r="G259" s="703"/>
      <c r="S259" s="782">
        <v>255</v>
      </c>
      <c r="T259" s="782" t="s">
        <v>4284</v>
      </c>
      <c r="U259" s="782" t="s">
        <v>3773</v>
      </c>
      <c r="V259" s="797">
        <f>$S$1*P!V259</f>
        <v>0</v>
      </c>
      <c r="W259" s="863"/>
      <c r="X259" s="782">
        <v>255</v>
      </c>
      <c r="Y259" s="782" t="s">
        <v>2248</v>
      </c>
      <c r="Z259" s="782" t="s">
        <v>3770</v>
      </c>
      <c r="AA259" s="781">
        <f>$S$1*P!AA259</f>
        <v>0</v>
      </c>
      <c r="AB259" s="780"/>
      <c r="AC259" s="782">
        <v>255</v>
      </c>
      <c r="AD259" s="782" t="s">
        <v>4573</v>
      </c>
      <c r="AE259" s="782" t="s">
        <v>5587</v>
      </c>
      <c r="AF259" s="781">
        <f>$S$1*P!AF259</f>
        <v>3.1018145161290325</v>
      </c>
    </row>
    <row r="260" spans="1:32" ht="25" customHeight="1" thickBot="1" x14ac:dyDescent="0.4">
      <c r="A260" s="701"/>
      <c r="B260" s="704" t="s">
        <v>7599</v>
      </c>
      <c r="C260" s="827" t="s">
        <v>8624</v>
      </c>
      <c r="D260" s="678">
        <f>SUM(D247:D258)</f>
        <v>0</v>
      </c>
      <c r="E260" s="1715" t="s">
        <v>8630</v>
      </c>
      <c r="F260" s="1716"/>
      <c r="G260" s="678">
        <f>SUM(G247:G258)</f>
        <v>0</v>
      </c>
      <c r="S260" s="782">
        <v>256</v>
      </c>
      <c r="T260" s="782" t="s">
        <v>4284</v>
      </c>
      <c r="U260" s="782" t="s">
        <v>5603</v>
      </c>
      <c r="V260" s="797">
        <f>$S$1*P!V260</f>
        <v>2.2346774193548387E-4</v>
      </c>
      <c r="W260" s="863"/>
      <c r="X260" s="782">
        <v>256</v>
      </c>
      <c r="Y260" s="782" t="s">
        <v>2248</v>
      </c>
      <c r="Z260" s="782" t="s">
        <v>3767</v>
      </c>
      <c r="AA260" s="781">
        <f>$S$1*P!AA260</f>
        <v>0</v>
      </c>
      <c r="AB260" s="780"/>
      <c r="AC260" s="782">
        <v>256</v>
      </c>
      <c r="AD260" s="782" t="s">
        <v>4573</v>
      </c>
      <c r="AE260" s="782" t="s">
        <v>5586</v>
      </c>
      <c r="AF260" s="781">
        <f>$S$1*P!AF260</f>
        <v>0.50383064516129039</v>
      </c>
    </row>
    <row r="261" spans="1:32" x14ac:dyDescent="0.35">
      <c r="C261" s="737"/>
      <c r="D261" s="737"/>
      <c r="E261" s="737"/>
      <c r="S261" s="782">
        <v>257</v>
      </c>
      <c r="T261" s="782" t="s">
        <v>4284</v>
      </c>
      <c r="U261" s="782" t="s">
        <v>3771</v>
      </c>
      <c r="V261" s="797">
        <f>$S$1*P!V261</f>
        <v>21.896000000000001</v>
      </c>
      <c r="W261" s="863"/>
      <c r="X261" s="782">
        <v>257</v>
      </c>
      <c r="Y261" s="782" t="s">
        <v>2248</v>
      </c>
      <c r="Z261" s="782" t="s">
        <v>5792</v>
      </c>
      <c r="AA261" s="781">
        <f>$S$1*P!AA261</f>
        <v>2.3649193548387097E-3</v>
      </c>
      <c r="AB261" s="780"/>
      <c r="AC261" s="782">
        <v>257</v>
      </c>
      <c r="AD261" s="782" t="s">
        <v>4573</v>
      </c>
      <c r="AE261" s="782" t="s">
        <v>5585</v>
      </c>
      <c r="AF261" s="781">
        <f>$S$1*P!AF261</f>
        <v>7.0604838709677426E-3</v>
      </c>
    </row>
    <row r="262" spans="1:32" x14ac:dyDescent="0.35">
      <c r="C262" s="737"/>
      <c r="D262" s="737"/>
      <c r="E262" s="737"/>
      <c r="S262" s="782">
        <v>258</v>
      </c>
      <c r="T262" s="782" t="s">
        <v>4284</v>
      </c>
      <c r="U262" s="782" t="s">
        <v>5602</v>
      </c>
      <c r="V262" s="797">
        <f>$S$1*P!V262</f>
        <v>1.5800403225806455E-4</v>
      </c>
      <c r="W262" s="863"/>
      <c r="X262" s="782">
        <v>258</v>
      </c>
      <c r="Y262" s="782" t="s">
        <v>2248</v>
      </c>
      <c r="Z262" s="782" t="s">
        <v>5595</v>
      </c>
      <c r="AA262" s="781">
        <f>$S$1*P!AA262</f>
        <v>1.4943548387096777E-4</v>
      </c>
      <c r="AB262" s="780"/>
      <c r="AC262" s="782">
        <v>258</v>
      </c>
      <c r="AD262" s="782" t="s">
        <v>4573</v>
      </c>
      <c r="AE262" s="782" t="s">
        <v>3765</v>
      </c>
      <c r="AF262" s="781">
        <f>$S$1*P!AF262</f>
        <v>0</v>
      </c>
    </row>
    <row r="263" spans="1:32" x14ac:dyDescent="0.35">
      <c r="C263" s="737"/>
      <c r="D263" s="737"/>
      <c r="E263" s="737"/>
      <c r="S263" s="782">
        <v>259</v>
      </c>
      <c r="T263" s="782" t="s">
        <v>4284</v>
      </c>
      <c r="U263" s="782" t="s">
        <v>5601</v>
      </c>
      <c r="V263" s="797">
        <f>$S$1*P!V263</f>
        <v>3.770161290322581E-7</v>
      </c>
      <c r="W263" s="863"/>
      <c r="X263" s="782">
        <v>259</v>
      </c>
      <c r="Y263" s="782" t="s">
        <v>2248</v>
      </c>
      <c r="Z263" s="782" t="s">
        <v>5594</v>
      </c>
      <c r="AA263" s="781">
        <f>$S$1*P!AA263</f>
        <v>3.4959677419354844E-2</v>
      </c>
      <c r="AB263" s="780"/>
      <c r="AC263" s="782">
        <v>259</v>
      </c>
      <c r="AD263" s="782" t="s">
        <v>4573</v>
      </c>
      <c r="AE263" s="782" t="s">
        <v>5584</v>
      </c>
      <c r="AF263" s="781">
        <f>$S$1*P!AF263</f>
        <v>5.4153225806451619</v>
      </c>
    </row>
    <row r="264" spans="1:32" x14ac:dyDescent="0.35">
      <c r="C264" s="737"/>
      <c r="D264" s="737"/>
      <c r="E264" s="737"/>
      <c r="S264" s="782">
        <v>260</v>
      </c>
      <c r="T264" s="782" t="s">
        <v>4284</v>
      </c>
      <c r="U264" s="782" t="s">
        <v>5600</v>
      </c>
      <c r="V264" s="797">
        <f>$S$1*P!V264</f>
        <v>6.1008064516129036E-2</v>
      </c>
      <c r="W264" s="863"/>
      <c r="X264" s="782">
        <v>260</v>
      </c>
      <c r="Y264" s="782" t="s">
        <v>2248</v>
      </c>
      <c r="Z264" s="782" t="s">
        <v>5791</v>
      </c>
      <c r="AA264" s="781">
        <f>$S$1*P!AA264</f>
        <v>7.8145161290322585E-4</v>
      </c>
      <c r="AB264" s="780"/>
      <c r="AC264" s="782">
        <v>260</v>
      </c>
      <c r="AD264" s="782" t="s">
        <v>4573</v>
      </c>
      <c r="AE264" s="782" t="s">
        <v>5583</v>
      </c>
      <c r="AF264" s="781">
        <f>$S$1*P!AF264</f>
        <v>0.44213709677419361</v>
      </c>
    </row>
    <row r="265" spans="1:32" x14ac:dyDescent="0.35">
      <c r="C265" s="737"/>
      <c r="D265" s="737"/>
      <c r="E265" s="737"/>
      <c r="S265" s="782">
        <v>261</v>
      </c>
      <c r="T265" s="782" t="s">
        <v>4284</v>
      </c>
      <c r="U265" s="782" t="s">
        <v>5599</v>
      </c>
      <c r="V265" s="797">
        <f>$S$1*P!V265</f>
        <v>0.15252016129032259</v>
      </c>
      <c r="W265" s="863"/>
      <c r="X265" s="782">
        <v>261</v>
      </c>
      <c r="Y265" s="782" t="s">
        <v>2248</v>
      </c>
      <c r="Z265" s="782" t="s">
        <v>5593</v>
      </c>
      <c r="AA265" s="781">
        <f>$S$1*P!AA265</f>
        <v>5.1411290322580649E-4</v>
      </c>
      <c r="AB265" s="780"/>
      <c r="AC265" s="782">
        <v>261</v>
      </c>
      <c r="AD265" s="782" t="s">
        <v>4573</v>
      </c>
      <c r="AE265" s="782" t="s">
        <v>5581</v>
      </c>
      <c r="AF265" s="781">
        <f>$S$1*P!AF265</f>
        <v>0.92197580645161292</v>
      </c>
    </row>
    <row r="266" spans="1:32" x14ac:dyDescent="0.35">
      <c r="C266" s="737"/>
      <c r="D266" s="737"/>
      <c r="E266" s="737"/>
      <c r="S266" s="782">
        <v>262</v>
      </c>
      <c r="T266" s="782" t="s">
        <v>4284</v>
      </c>
      <c r="U266" s="782" t="s">
        <v>5598</v>
      </c>
      <c r="V266" s="797">
        <f>$S$1*P!V266</f>
        <v>1.8028225806451615E-5</v>
      </c>
      <c r="W266" s="863"/>
      <c r="X266" s="782">
        <v>262</v>
      </c>
      <c r="Y266" s="782" t="s">
        <v>2248</v>
      </c>
      <c r="Z266" s="782" t="s">
        <v>5592</v>
      </c>
      <c r="AA266" s="781">
        <f>$S$1*P!AA266</f>
        <v>1.7925403225806453E-2</v>
      </c>
      <c r="AB266" s="780"/>
      <c r="AC266" s="782">
        <v>262</v>
      </c>
      <c r="AD266" s="782" t="s">
        <v>4573</v>
      </c>
      <c r="AE266" s="782" t="s">
        <v>5579</v>
      </c>
      <c r="AF266" s="781">
        <f>$S$1*P!AF266</f>
        <v>0.14875000000000002</v>
      </c>
    </row>
    <row r="267" spans="1:32" x14ac:dyDescent="0.35">
      <c r="C267" s="737"/>
      <c r="D267" s="737"/>
      <c r="E267" s="737"/>
      <c r="S267" s="782">
        <v>263</v>
      </c>
      <c r="T267" s="782" t="s">
        <v>4284</v>
      </c>
      <c r="U267" s="782" t="s">
        <v>5597</v>
      </c>
      <c r="V267" s="797">
        <f>$S$1*P!V267</f>
        <v>9.3225806451612916E-5</v>
      </c>
      <c r="W267" s="863"/>
      <c r="X267" s="782">
        <v>263</v>
      </c>
      <c r="Y267" s="782" t="s">
        <v>2248</v>
      </c>
      <c r="Z267" s="782" t="s">
        <v>5790</v>
      </c>
      <c r="AA267" s="781">
        <f>$S$1*P!AA267</f>
        <v>8.054435483870968E-3</v>
      </c>
      <c r="AB267" s="780"/>
      <c r="AC267" s="782">
        <v>263</v>
      </c>
      <c r="AD267" s="782" t="s">
        <v>4573</v>
      </c>
      <c r="AE267" s="782" t="s">
        <v>5578</v>
      </c>
      <c r="AF267" s="781">
        <f>$S$1*P!AF267</f>
        <v>0.1676008064516129</v>
      </c>
    </row>
    <row r="268" spans="1:32" x14ac:dyDescent="0.35">
      <c r="C268" s="737"/>
      <c r="D268" s="737"/>
      <c r="E268" s="737"/>
      <c r="S268" s="782">
        <v>264</v>
      </c>
      <c r="T268" s="782" t="s">
        <v>4284</v>
      </c>
      <c r="U268" s="782" t="s">
        <v>5596</v>
      </c>
      <c r="V268" s="797">
        <f>$S$1*P!V268</f>
        <v>1.5560483870967745E-5</v>
      </c>
      <c r="W268" s="863"/>
      <c r="X268" s="782">
        <v>264</v>
      </c>
      <c r="Y268" s="782" t="s">
        <v>2248</v>
      </c>
      <c r="Z268" s="782" t="s">
        <v>5591</v>
      </c>
      <c r="AA268" s="781">
        <f>$S$1*P!AA268</f>
        <v>8.0201612903225809E-4</v>
      </c>
      <c r="AB268" s="780"/>
      <c r="AC268" s="782">
        <v>264</v>
      </c>
      <c r="AD268" s="782" t="s">
        <v>4573</v>
      </c>
      <c r="AE268" s="782" t="s">
        <v>5577</v>
      </c>
      <c r="AF268" s="781">
        <f>$S$1*P!AF268</f>
        <v>0.16897177419354839</v>
      </c>
    </row>
    <row r="269" spans="1:32" x14ac:dyDescent="0.35">
      <c r="C269" s="737"/>
      <c r="D269" s="737"/>
      <c r="E269" s="737"/>
      <c r="S269" s="782">
        <v>265</v>
      </c>
      <c r="T269" s="782" t="s">
        <v>4284</v>
      </c>
      <c r="U269" s="782" t="s">
        <v>3770</v>
      </c>
      <c r="V269" s="797">
        <f>$S$1*P!V269</f>
        <v>0</v>
      </c>
      <c r="W269" s="863"/>
      <c r="X269" s="782">
        <v>265</v>
      </c>
      <c r="Y269" s="782" t="s">
        <v>2248</v>
      </c>
      <c r="Z269" s="782" t="s">
        <v>5590</v>
      </c>
      <c r="AA269" s="781">
        <f>$S$1*P!AA269</f>
        <v>8.8427419354838721E-2</v>
      </c>
      <c r="AB269" s="780"/>
      <c r="AC269" s="782">
        <v>265</v>
      </c>
      <c r="AD269" s="782" t="s">
        <v>4573</v>
      </c>
      <c r="AE269" s="782" t="s">
        <v>5576</v>
      </c>
      <c r="AF269" s="781">
        <f>$S$1*P!AF269</f>
        <v>7.5403225806451616E-3</v>
      </c>
    </row>
    <row r="270" spans="1:32" x14ac:dyDescent="0.35">
      <c r="C270" s="737"/>
      <c r="D270" s="737"/>
      <c r="E270" s="737"/>
      <c r="S270" s="782">
        <v>266</v>
      </c>
      <c r="T270" s="782" t="s">
        <v>4284</v>
      </c>
      <c r="U270" s="782" t="s">
        <v>3767</v>
      </c>
      <c r="V270" s="797">
        <f>$S$1*P!V270</f>
        <v>0</v>
      </c>
      <c r="W270" s="863"/>
      <c r="X270" s="782">
        <v>266</v>
      </c>
      <c r="Y270" s="782" t="s">
        <v>2248</v>
      </c>
      <c r="Z270" s="782" t="s">
        <v>5589</v>
      </c>
      <c r="AA270" s="781">
        <f>$S$1*P!AA270</f>
        <v>6.3750000000000005E-3</v>
      </c>
      <c r="AB270" s="780"/>
      <c r="AC270" s="782">
        <v>266</v>
      </c>
      <c r="AD270" s="782" t="s">
        <v>4573</v>
      </c>
      <c r="AE270" s="782" t="s">
        <v>5573</v>
      </c>
      <c r="AF270" s="781">
        <f>$S$1*P!AF270</f>
        <v>0.32800403225806452</v>
      </c>
    </row>
    <row r="271" spans="1:32" x14ac:dyDescent="0.35">
      <c r="C271" s="737"/>
      <c r="D271" s="737"/>
      <c r="E271" s="737"/>
      <c r="S271" s="782">
        <v>267</v>
      </c>
      <c r="T271" s="782" t="s">
        <v>4284</v>
      </c>
      <c r="U271" s="782" t="s">
        <v>5595</v>
      </c>
      <c r="V271" s="797">
        <f>$S$1*P!V271</f>
        <v>3.5987903225806457E-5</v>
      </c>
      <c r="W271" s="863"/>
      <c r="X271" s="782">
        <v>267</v>
      </c>
      <c r="Y271" s="782" t="s">
        <v>2248</v>
      </c>
      <c r="Z271" s="782" t="s">
        <v>5789</v>
      </c>
      <c r="AA271" s="781">
        <f>$S$1*P!AA271</f>
        <v>3.0743951612903232E-4</v>
      </c>
      <c r="AB271" s="780"/>
      <c r="AC271" s="782">
        <v>267</v>
      </c>
      <c r="AD271" s="782" t="s">
        <v>4573</v>
      </c>
      <c r="AE271" s="782" t="s">
        <v>5570</v>
      </c>
      <c r="AF271" s="781">
        <f>$S$1*P!AF271</f>
        <v>1.3709677419354839E-2</v>
      </c>
    </row>
    <row r="272" spans="1:32" x14ac:dyDescent="0.35">
      <c r="C272" s="737"/>
      <c r="D272" s="737"/>
      <c r="E272" s="737"/>
      <c r="S272" s="789">
        <v>268</v>
      </c>
      <c r="T272" s="789" t="s">
        <v>4284</v>
      </c>
      <c r="U272" s="789" t="s">
        <v>5788</v>
      </c>
      <c r="V272" s="790">
        <f>$S$1*P!V272</f>
        <v>4.0832E-2</v>
      </c>
      <c r="W272" s="863"/>
      <c r="X272" s="782">
        <v>268</v>
      </c>
      <c r="Y272" s="782" t="s">
        <v>2248</v>
      </c>
      <c r="Z272" s="782" t="s">
        <v>5588</v>
      </c>
      <c r="AA272" s="781">
        <f>$S$1*P!AA272</f>
        <v>5.0040322580645162E-2</v>
      </c>
      <c r="AB272" s="780"/>
      <c r="AC272" s="782">
        <v>268</v>
      </c>
      <c r="AD272" s="782" t="s">
        <v>4573</v>
      </c>
      <c r="AE272" s="782" t="s">
        <v>5568</v>
      </c>
      <c r="AF272" s="781">
        <f>$S$1*P!AF272</f>
        <v>0.25602822580645163</v>
      </c>
    </row>
    <row r="273" spans="3:32" x14ac:dyDescent="0.35">
      <c r="C273" s="737"/>
      <c r="D273" s="737"/>
      <c r="E273" s="737"/>
      <c r="S273" s="782">
        <v>269</v>
      </c>
      <c r="T273" s="782" t="s">
        <v>4284</v>
      </c>
      <c r="U273" s="782" t="s">
        <v>5594</v>
      </c>
      <c r="V273" s="797">
        <f>$S$1*P!V273</f>
        <v>0.40100806451612908</v>
      </c>
      <c r="W273" s="863"/>
      <c r="X273" s="782">
        <v>269</v>
      </c>
      <c r="Y273" s="782" t="s">
        <v>2248</v>
      </c>
      <c r="Z273" s="782" t="s">
        <v>5587</v>
      </c>
      <c r="AA273" s="781">
        <f>$S$1*P!AA273</f>
        <v>7.0947580645161299E-3</v>
      </c>
      <c r="AB273" s="780"/>
      <c r="AC273" s="782">
        <v>269</v>
      </c>
      <c r="AD273" s="782" t="s">
        <v>4573</v>
      </c>
      <c r="AE273" s="782" t="s">
        <v>5565</v>
      </c>
      <c r="AF273" s="781">
        <f>$S$1*P!AF273</f>
        <v>9.6995967741935488E-2</v>
      </c>
    </row>
    <row r="274" spans="3:32" x14ac:dyDescent="0.35">
      <c r="S274" s="782">
        <v>270</v>
      </c>
      <c r="T274" s="782" t="s">
        <v>4284</v>
      </c>
      <c r="U274" s="782" t="s">
        <v>5593</v>
      </c>
      <c r="V274" s="797">
        <f>$S$1*P!V274</f>
        <v>5.9637096774193552E-3</v>
      </c>
      <c r="W274" s="863"/>
      <c r="X274" s="782">
        <v>270</v>
      </c>
      <c r="Y274" s="782" t="s">
        <v>2248</v>
      </c>
      <c r="Z274" s="782" t="s">
        <v>5787</v>
      </c>
      <c r="AA274" s="781">
        <f>$S$1*P!AA274</f>
        <v>3.0606854838709681E-3</v>
      </c>
      <c r="AB274" s="780"/>
      <c r="AC274" s="782">
        <v>270</v>
      </c>
      <c r="AD274" s="782" t="s">
        <v>4573</v>
      </c>
      <c r="AE274" s="782" t="s">
        <v>5562</v>
      </c>
      <c r="AF274" s="781">
        <f>$S$1*P!AF274</f>
        <v>7.2318548387096782E-2</v>
      </c>
    </row>
    <row r="275" spans="3:32" x14ac:dyDescent="0.35">
      <c r="S275" s="782">
        <v>271</v>
      </c>
      <c r="T275" s="782" t="s">
        <v>4284</v>
      </c>
      <c r="U275" s="782" t="s">
        <v>5592</v>
      </c>
      <c r="V275" s="797">
        <f>$S$1*P!V275</f>
        <v>7.2318548387096783E-3</v>
      </c>
      <c r="W275" s="863"/>
      <c r="X275" s="782">
        <v>271</v>
      </c>
      <c r="Y275" s="782" t="s">
        <v>2248</v>
      </c>
      <c r="Z275" s="782" t="s">
        <v>5586</v>
      </c>
      <c r="AA275" s="781">
        <f>$S$1*P!AA275</f>
        <v>1.1379032258064517E-2</v>
      </c>
      <c r="AB275" s="780"/>
      <c r="AC275" s="782">
        <v>271</v>
      </c>
      <c r="AD275" s="782" t="s">
        <v>4573</v>
      </c>
      <c r="AE275" s="782" t="s">
        <v>5560</v>
      </c>
      <c r="AF275" s="781">
        <f>$S$1*P!AF275</f>
        <v>2.5534274193548391E-3</v>
      </c>
    </row>
    <row r="276" spans="3:32" x14ac:dyDescent="0.35">
      <c r="S276" s="782">
        <v>272</v>
      </c>
      <c r="T276" s="782" t="s">
        <v>4284</v>
      </c>
      <c r="U276" s="782" t="s">
        <v>5591</v>
      </c>
      <c r="V276" s="797">
        <f>$S$1*P!V276</f>
        <v>7.5745967741935494E-6</v>
      </c>
      <c r="W276" s="863"/>
      <c r="X276" s="782">
        <v>272</v>
      </c>
      <c r="Y276" s="782" t="s">
        <v>2248</v>
      </c>
      <c r="Z276" s="782" t="s">
        <v>5585</v>
      </c>
      <c r="AA276" s="781">
        <f>$S$1*P!AA276</f>
        <v>1.6108870967741938E-3</v>
      </c>
      <c r="AB276" s="780"/>
      <c r="AC276" s="782">
        <v>272</v>
      </c>
      <c r="AD276" s="782" t="s">
        <v>4573</v>
      </c>
      <c r="AE276" s="782" t="s">
        <v>5557</v>
      </c>
      <c r="AF276" s="781">
        <f>$S$1*P!AF276</f>
        <v>0.10179435483870969</v>
      </c>
    </row>
    <row r="277" spans="3:32" x14ac:dyDescent="0.35">
      <c r="S277" s="782">
        <v>273</v>
      </c>
      <c r="T277" s="782" t="s">
        <v>4284</v>
      </c>
      <c r="U277" s="782" t="s">
        <v>5590</v>
      </c>
      <c r="V277" s="797">
        <f>$S$1*P!V277</f>
        <v>2.0461693548387099E-2</v>
      </c>
      <c r="W277" s="863"/>
      <c r="X277" s="782">
        <v>273</v>
      </c>
      <c r="Y277" s="782" t="s">
        <v>2248</v>
      </c>
      <c r="Z277" s="782" t="s">
        <v>3765</v>
      </c>
      <c r="AA277" s="781">
        <f>$S$1*P!AA277</f>
        <v>0</v>
      </c>
      <c r="AB277" s="780"/>
      <c r="AC277" s="782">
        <v>273</v>
      </c>
      <c r="AD277" s="782" t="s">
        <v>4573</v>
      </c>
      <c r="AE277" s="782" t="s">
        <v>5554</v>
      </c>
      <c r="AF277" s="781">
        <f>$S$1*P!AF277</f>
        <v>0.30709677419354842</v>
      </c>
    </row>
    <row r="278" spans="3:32" x14ac:dyDescent="0.35">
      <c r="S278" s="782">
        <v>274</v>
      </c>
      <c r="T278" s="782" t="s">
        <v>4284</v>
      </c>
      <c r="U278" s="782" t="s">
        <v>5589</v>
      </c>
      <c r="V278" s="797">
        <f>$S$1*P!V278</f>
        <v>4.9012096774193555E-2</v>
      </c>
      <c r="W278" s="863"/>
      <c r="X278" s="782">
        <v>274</v>
      </c>
      <c r="Y278" s="782" t="s">
        <v>2248</v>
      </c>
      <c r="Z278" s="782" t="s">
        <v>5786</v>
      </c>
      <c r="AA278" s="781">
        <f>$S$1*P!AA278</f>
        <v>6.7177419354838715E-4</v>
      </c>
      <c r="AB278" s="780"/>
      <c r="AC278" s="782">
        <v>274</v>
      </c>
      <c r="AD278" s="782" t="s">
        <v>4573</v>
      </c>
      <c r="AE278" s="782" t="s">
        <v>5552</v>
      </c>
      <c r="AF278" s="781">
        <f>$S$1*P!AF278</f>
        <v>2.6802419354838712E-3</v>
      </c>
    </row>
    <row r="279" spans="3:32" x14ac:dyDescent="0.35">
      <c r="S279" s="782">
        <v>275</v>
      </c>
      <c r="T279" s="782" t="s">
        <v>4284</v>
      </c>
      <c r="U279" s="782" t="s">
        <v>5588</v>
      </c>
      <c r="V279" s="797">
        <f>$S$1*P!V279</f>
        <v>1.477217741935484E-2</v>
      </c>
      <c r="W279" s="863"/>
      <c r="X279" s="782">
        <v>275</v>
      </c>
      <c r="Y279" s="782" t="s">
        <v>2248</v>
      </c>
      <c r="Z279" s="782" t="s">
        <v>5584</v>
      </c>
      <c r="AA279" s="781">
        <f>$S$1*P!AA279</f>
        <v>6.3750000000000001E-2</v>
      </c>
      <c r="AB279" s="780"/>
      <c r="AC279" s="782">
        <v>275</v>
      </c>
      <c r="AD279" s="782" t="s">
        <v>4573</v>
      </c>
      <c r="AE279" s="782" t="s">
        <v>5549</v>
      </c>
      <c r="AF279" s="781">
        <f>$S$1*P!AF279</f>
        <v>1.8987903225806454E-2</v>
      </c>
    </row>
    <row r="280" spans="3:32" x14ac:dyDescent="0.35">
      <c r="S280" s="782">
        <v>276</v>
      </c>
      <c r="T280" s="782" t="s">
        <v>4284</v>
      </c>
      <c r="U280" s="782" t="s">
        <v>5587</v>
      </c>
      <c r="V280" s="797">
        <f>$S$1*P!V280</f>
        <v>4.010080645161291E-2</v>
      </c>
      <c r="W280" s="863"/>
      <c r="X280" s="782">
        <v>276</v>
      </c>
      <c r="Y280" s="782" t="s">
        <v>2248</v>
      </c>
      <c r="Z280" s="782" t="s">
        <v>5583</v>
      </c>
      <c r="AA280" s="781">
        <f>$S$1*P!AA280</f>
        <v>5.1411290322580649E-4</v>
      </c>
      <c r="AB280" s="780"/>
      <c r="AC280" s="782">
        <v>276</v>
      </c>
      <c r="AD280" s="782" t="s">
        <v>4573</v>
      </c>
      <c r="AE280" s="782" t="s">
        <v>5546</v>
      </c>
      <c r="AF280" s="781">
        <f>$S$1*P!AF280</f>
        <v>2.9270161290322581E-2</v>
      </c>
    </row>
    <row r="281" spans="3:32" x14ac:dyDescent="0.35">
      <c r="S281" s="782">
        <v>277</v>
      </c>
      <c r="T281" s="782" t="s">
        <v>4284</v>
      </c>
      <c r="U281" s="782" t="s">
        <v>5586</v>
      </c>
      <c r="V281" s="797">
        <f>$S$1*P!V281</f>
        <v>1.4120967741935485E-2</v>
      </c>
      <c r="W281" s="863"/>
      <c r="X281" s="782">
        <v>277</v>
      </c>
      <c r="Y281" s="782" t="s">
        <v>2248</v>
      </c>
      <c r="Z281" s="782" t="s">
        <v>5785</v>
      </c>
      <c r="AA281" s="781">
        <f>$S$1*P!AA281</f>
        <v>0.13401209677419357</v>
      </c>
      <c r="AB281" s="780"/>
      <c r="AC281" s="782">
        <v>277</v>
      </c>
      <c r="AD281" s="782" t="s">
        <v>4573</v>
      </c>
      <c r="AE281" s="782" t="s">
        <v>5544</v>
      </c>
      <c r="AF281" s="781">
        <f>$S$1*P!AF281</f>
        <v>1.4703629032258065E-2</v>
      </c>
    </row>
    <row r="282" spans="3:32" x14ac:dyDescent="0.35">
      <c r="S282" s="782">
        <v>278</v>
      </c>
      <c r="T282" s="782" t="s">
        <v>4284</v>
      </c>
      <c r="U282" s="782" t="s">
        <v>5585</v>
      </c>
      <c r="V282" s="797">
        <f>$S$1*P!V282</f>
        <v>4.7641129032258064E-5</v>
      </c>
      <c r="W282" s="863"/>
      <c r="X282" s="782">
        <v>278</v>
      </c>
      <c r="Y282" s="782" t="s">
        <v>2248</v>
      </c>
      <c r="Z282" s="782" t="s">
        <v>5581</v>
      </c>
      <c r="AA282" s="781">
        <f>$S$1*P!AA282</f>
        <v>5.6552419354838714E-2</v>
      </c>
      <c r="AB282" s="780"/>
      <c r="AC282" s="782">
        <v>278</v>
      </c>
      <c r="AD282" s="782" t="s">
        <v>4573</v>
      </c>
      <c r="AE282" s="782" t="s">
        <v>5541</v>
      </c>
      <c r="AF282" s="781">
        <f>$S$1*P!AF282</f>
        <v>5.0725806451612905E-2</v>
      </c>
    </row>
    <row r="283" spans="3:32" x14ac:dyDescent="0.35">
      <c r="S283" s="782">
        <v>279</v>
      </c>
      <c r="T283" s="782" t="s">
        <v>4284</v>
      </c>
      <c r="U283" s="782" t="s">
        <v>3765</v>
      </c>
      <c r="V283" s="797">
        <f>$S$1*P!V283</f>
        <v>0</v>
      </c>
      <c r="W283" s="863"/>
      <c r="X283" s="782">
        <v>279</v>
      </c>
      <c r="Y283" s="782" t="s">
        <v>2248</v>
      </c>
      <c r="Z283" s="782" t="s">
        <v>5579</v>
      </c>
      <c r="AA283" s="781">
        <f>$S$1*P!AA283</f>
        <v>1.4155241935483872E-2</v>
      </c>
      <c r="AB283" s="780"/>
      <c r="AC283" s="782">
        <v>279</v>
      </c>
      <c r="AD283" s="782" t="s">
        <v>4573</v>
      </c>
      <c r="AE283" s="782" t="s">
        <v>5538</v>
      </c>
      <c r="AF283" s="781">
        <f>$S$1*P!AF283</f>
        <v>0.60665322580645165</v>
      </c>
    </row>
    <row r="284" spans="3:32" x14ac:dyDescent="0.35">
      <c r="S284" s="782">
        <v>280</v>
      </c>
      <c r="T284" s="782" t="s">
        <v>4284</v>
      </c>
      <c r="U284" s="782" t="s">
        <v>5584</v>
      </c>
      <c r="V284" s="797">
        <f>$S$1*P!V284</f>
        <v>9.0483870967741936E-2</v>
      </c>
      <c r="W284" s="863"/>
      <c r="X284" s="782">
        <v>280</v>
      </c>
      <c r="Y284" s="782" t="s">
        <v>2248</v>
      </c>
      <c r="Z284" s="782" t="s">
        <v>3845</v>
      </c>
      <c r="AA284" s="781">
        <f>$S$1*P!AA284</f>
        <v>9.7338709677419362E-4</v>
      </c>
      <c r="AB284" s="780"/>
      <c r="AC284" s="782">
        <v>280</v>
      </c>
      <c r="AD284" s="782" t="s">
        <v>4573</v>
      </c>
      <c r="AE284" s="782" t="s">
        <v>5536</v>
      </c>
      <c r="AF284" s="781">
        <f>$S$1*P!AF284</f>
        <v>2.4334677419354842E-2</v>
      </c>
    </row>
    <row r="285" spans="3:32" x14ac:dyDescent="0.35">
      <c r="S285" s="782">
        <v>281</v>
      </c>
      <c r="T285" s="782" t="s">
        <v>4284</v>
      </c>
      <c r="U285" s="782" t="s">
        <v>5583</v>
      </c>
      <c r="V285" s="797">
        <f>$S$1*P!V285</f>
        <v>8.9798387096774197E-3</v>
      </c>
      <c r="W285" s="863"/>
      <c r="X285" s="782">
        <v>281</v>
      </c>
      <c r="Y285" s="782" t="s">
        <v>2248</v>
      </c>
      <c r="Z285" s="782" t="s">
        <v>5578</v>
      </c>
      <c r="AA285" s="781">
        <f>$S$1*P!AA285</f>
        <v>1.4566532258064517E-3</v>
      </c>
      <c r="AB285" s="780"/>
      <c r="AC285" s="782">
        <v>281</v>
      </c>
      <c r="AD285" s="782" t="s">
        <v>4573</v>
      </c>
      <c r="AE285" s="782" t="s">
        <v>5533</v>
      </c>
      <c r="AF285" s="781">
        <f>$S$1*P!AF285</f>
        <v>0.93911290322580654</v>
      </c>
    </row>
    <row r="286" spans="3:32" x14ac:dyDescent="0.35">
      <c r="S286" s="782">
        <v>282</v>
      </c>
      <c r="T286" s="782" t="s">
        <v>4284</v>
      </c>
      <c r="U286" s="782" t="s">
        <v>5581</v>
      </c>
      <c r="V286" s="797">
        <f>$S$1*P!V286</f>
        <v>5.79233870967742E-2</v>
      </c>
      <c r="W286" s="863"/>
      <c r="X286" s="782">
        <v>282</v>
      </c>
      <c r="Y286" s="782" t="s">
        <v>2248</v>
      </c>
      <c r="Z286" s="782" t="s">
        <v>5577</v>
      </c>
      <c r="AA286" s="781">
        <f>$S$1*P!AA286</f>
        <v>3.2560483870967745E-4</v>
      </c>
      <c r="AB286" s="780"/>
      <c r="AC286" s="782">
        <v>282</v>
      </c>
      <c r="AD286" s="782" t="s">
        <v>4573</v>
      </c>
      <c r="AE286" s="782" t="s">
        <v>3763</v>
      </c>
      <c r="AF286" s="781">
        <f>$S$1*P!AF286</f>
        <v>7.6774193548387104E-2</v>
      </c>
    </row>
    <row r="287" spans="3:32" x14ac:dyDescent="0.35">
      <c r="S287" s="782">
        <v>283</v>
      </c>
      <c r="T287" s="782" t="s">
        <v>4284</v>
      </c>
      <c r="U287" s="782" t="s">
        <v>5579</v>
      </c>
      <c r="V287" s="797">
        <f>$S$1*P!V287</f>
        <v>5.5524193548387099E-3</v>
      </c>
      <c r="W287" s="863"/>
      <c r="X287" s="782">
        <v>283</v>
      </c>
      <c r="Y287" s="782" t="s">
        <v>2248</v>
      </c>
      <c r="Z287" s="782" t="s">
        <v>5576</v>
      </c>
      <c r="AA287" s="781">
        <f>$S$1*P!AA287</f>
        <v>3.6673387096774197E-5</v>
      </c>
      <c r="AB287" s="780"/>
      <c r="AC287" s="782">
        <v>283</v>
      </c>
      <c r="AD287" s="782" t="s">
        <v>4573</v>
      </c>
      <c r="AE287" s="782" t="s">
        <v>3763</v>
      </c>
      <c r="AF287" s="781">
        <f>$S$1*P!AF287</f>
        <v>0</v>
      </c>
    </row>
    <row r="288" spans="3:32" x14ac:dyDescent="0.35">
      <c r="S288" s="782">
        <v>284</v>
      </c>
      <c r="T288" s="782" t="s">
        <v>4284</v>
      </c>
      <c r="U288" s="782" t="s">
        <v>5578</v>
      </c>
      <c r="V288" s="797">
        <f>$S$1*P!V288</f>
        <v>1.6554435483870967E-3</v>
      </c>
      <c r="W288" s="863"/>
      <c r="X288" s="782">
        <v>284</v>
      </c>
      <c r="Y288" s="782" t="s">
        <v>2248</v>
      </c>
      <c r="Z288" s="782" t="s">
        <v>5784</v>
      </c>
      <c r="AA288" s="781">
        <f>$S$1*P!AA288</f>
        <v>8.2943548387096782E-5</v>
      </c>
      <c r="AB288" s="780"/>
      <c r="AC288" s="782">
        <v>284</v>
      </c>
      <c r="AD288" s="782" t="s">
        <v>4573</v>
      </c>
      <c r="AE288" s="782" t="s">
        <v>5528</v>
      </c>
      <c r="AF288" s="781">
        <f>$S$1*P!AF288</f>
        <v>1.1036290322580646</v>
      </c>
    </row>
    <row r="289" spans="19:32" x14ac:dyDescent="0.35">
      <c r="S289" s="782">
        <v>285</v>
      </c>
      <c r="T289" s="782" t="s">
        <v>4284</v>
      </c>
      <c r="U289" s="782" t="s">
        <v>5577</v>
      </c>
      <c r="V289" s="797">
        <f>$S$1*P!V289</f>
        <v>1.182459677419355E-4</v>
      </c>
      <c r="W289" s="863"/>
      <c r="X289" s="782">
        <v>285</v>
      </c>
      <c r="Y289" s="782" t="s">
        <v>2248</v>
      </c>
      <c r="Z289" s="782" t="s">
        <v>5573</v>
      </c>
      <c r="AA289" s="781">
        <f>$S$1*P!AA289</f>
        <v>6.7177419354838711E-3</v>
      </c>
      <c r="AB289" s="780"/>
      <c r="AC289" s="782">
        <v>285</v>
      </c>
      <c r="AD289" s="782" t="s">
        <v>4573</v>
      </c>
      <c r="AE289" s="782" t="s">
        <v>5526</v>
      </c>
      <c r="AF289" s="781">
        <f>$S$1*P!AF289</f>
        <v>2.3683467741935486E-3</v>
      </c>
    </row>
    <row r="290" spans="19:32" x14ac:dyDescent="0.35">
      <c r="S290" s="782">
        <v>286</v>
      </c>
      <c r="T290" s="782" t="s">
        <v>4284</v>
      </c>
      <c r="U290" s="782" t="s">
        <v>5576</v>
      </c>
      <c r="V290" s="797">
        <f>$S$1*P!V290</f>
        <v>2.820766129032258E-5</v>
      </c>
      <c r="W290" s="863"/>
      <c r="X290" s="782">
        <v>286</v>
      </c>
      <c r="Y290" s="782" t="s">
        <v>2248</v>
      </c>
      <c r="Z290" s="782" t="s">
        <v>5570</v>
      </c>
      <c r="AA290" s="781">
        <f>$S$1*P!AA290</f>
        <v>3.118951612903226E-3</v>
      </c>
      <c r="AB290" s="780"/>
      <c r="AC290" s="782">
        <v>286</v>
      </c>
      <c r="AD290" s="782" t="s">
        <v>4573</v>
      </c>
      <c r="AE290" s="782" t="s">
        <v>5523</v>
      </c>
      <c r="AF290" s="781">
        <f>$S$1*P!AF290</f>
        <v>0.22620967741935485</v>
      </c>
    </row>
    <row r="291" spans="19:32" x14ac:dyDescent="0.35">
      <c r="S291" s="782">
        <v>287</v>
      </c>
      <c r="T291" s="782" t="s">
        <v>4284</v>
      </c>
      <c r="U291" s="782" t="s">
        <v>5573</v>
      </c>
      <c r="V291" s="797">
        <f>$S$1*P!V291</f>
        <v>1.9844758064516128E-3</v>
      </c>
      <c r="W291" s="863"/>
      <c r="X291" s="782">
        <v>287</v>
      </c>
      <c r="Y291" s="782" t="s">
        <v>2248</v>
      </c>
      <c r="Z291" s="782" t="s">
        <v>5783</v>
      </c>
      <c r="AA291" s="781">
        <f>$S$1*P!AA291</f>
        <v>1.9502016129032257E-5</v>
      </c>
      <c r="AB291" s="780"/>
      <c r="AC291" s="782">
        <v>287</v>
      </c>
      <c r="AD291" s="782" t="s">
        <v>4573</v>
      </c>
      <c r="AE291" s="782" t="s">
        <v>5521</v>
      </c>
      <c r="AF291" s="781">
        <f>$S$1*P!AF291</f>
        <v>6.6491935483870973E-2</v>
      </c>
    </row>
    <row r="292" spans="19:32" x14ac:dyDescent="0.35">
      <c r="S292" s="782">
        <v>288</v>
      </c>
      <c r="T292" s="782" t="s">
        <v>4284</v>
      </c>
      <c r="U292" s="782" t="s">
        <v>5570</v>
      </c>
      <c r="V292" s="797">
        <f>$S$1*P!V292</f>
        <v>2.4848790322580649E-3</v>
      </c>
      <c r="W292" s="863"/>
      <c r="X292" s="782">
        <v>288</v>
      </c>
      <c r="Y292" s="782" t="s">
        <v>2248</v>
      </c>
      <c r="Z292" s="782" t="s">
        <v>5568</v>
      </c>
      <c r="AA292" s="781">
        <f>$S$1*P!AA292</f>
        <v>7.8145161290322594E-3</v>
      </c>
      <c r="AB292" s="780"/>
      <c r="AC292" s="782">
        <v>288</v>
      </c>
      <c r="AD292" s="782" t="s">
        <v>4573</v>
      </c>
      <c r="AE292" s="782" t="s">
        <v>5518</v>
      </c>
      <c r="AF292" s="781">
        <f>$S$1*P!AF292</f>
        <v>0.30024193548387101</v>
      </c>
    </row>
    <row r="293" spans="19:32" x14ac:dyDescent="0.35">
      <c r="S293" s="782">
        <v>289</v>
      </c>
      <c r="T293" s="782" t="s">
        <v>4284</v>
      </c>
      <c r="U293" s="782" t="s">
        <v>5568</v>
      </c>
      <c r="V293" s="797">
        <f>$S$1*P!V293</f>
        <v>8.911290322580645E-3</v>
      </c>
      <c r="W293" s="863"/>
      <c r="X293" s="782">
        <v>289</v>
      </c>
      <c r="Y293" s="782" t="s">
        <v>2248</v>
      </c>
      <c r="Z293" s="782" t="s">
        <v>5565</v>
      </c>
      <c r="AA293" s="781">
        <f>$S$1*P!AA293</f>
        <v>1.7479838709677422E-2</v>
      </c>
      <c r="AB293" s="780"/>
      <c r="AC293" s="782">
        <v>289</v>
      </c>
      <c r="AD293" s="782" t="s">
        <v>4573</v>
      </c>
      <c r="AE293" s="782" t="s">
        <v>5516</v>
      </c>
      <c r="AF293" s="781">
        <f>$S$1*P!AF293</f>
        <v>0.25397177419354838</v>
      </c>
    </row>
    <row r="294" spans="19:32" x14ac:dyDescent="0.35">
      <c r="S294" s="782">
        <v>290</v>
      </c>
      <c r="T294" s="782" t="s">
        <v>4284</v>
      </c>
      <c r="U294" s="782" t="s">
        <v>5565</v>
      </c>
      <c r="V294" s="797">
        <f>$S$1*P!V294</f>
        <v>1.5149193548387098E-2</v>
      </c>
      <c r="W294" s="863"/>
      <c r="X294" s="782">
        <v>290</v>
      </c>
      <c r="Y294" s="782" t="s">
        <v>2248</v>
      </c>
      <c r="Z294" s="782" t="s">
        <v>5782</v>
      </c>
      <c r="AA294" s="781">
        <f>$S$1*P!AA294</f>
        <v>8.911290322580645E-3</v>
      </c>
      <c r="AB294" s="780"/>
      <c r="AC294" s="782">
        <v>290</v>
      </c>
      <c r="AD294" s="782" t="s">
        <v>4573</v>
      </c>
      <c r="AE294" s="782" t="s">
        <v>3760</v>
      </c>
      <c r="AF294" s="781">
        <f>$S$1*P!AF294</f>
        <v>0</v>
      </c>
    </row>
    <row r="295" spans="19:32" x14ac:dyDescent="0.35">
      <c r="S295" s="782">
        <v>291</v>
      </c>
      <c r="T295" s="782" t="s">
        <v>4284</v>
      </c>
      <c r="U295" s="782" t="s">
        <v>5562</v>
      </c>
      <c r="V295" s="797">
        <f>$S$1*P!V295</f>
        <v>1.4292338709677419E-4</v>
      </c>
      <c r="W295" s="863"/>
      <c r="X295" s="782">
        <v>291</v>
      </c>
      <c r="Y295" s="782" t="s">
        <v>2248</v>
      </c>
      <c r="Z295" s="782" t="s">
        <v>5562</v>
      </c>
      <c r="AA295" s="781">
        <f>$S$1*P!AA295</f>
        <v>3.1635080645161292E-3</v>
      </c>
      <c r="AB295" s="780"/>
      <c r="AC295" s="782">
        <v>291</v>
      </c>
      <c r="AD295" s="782" t="s">
        <v>4573</v>
      </c>
      <c r="AE295" s="782" t="s">
        <v>3757</v>
      </c>
      <c r="AF295" s="781">
        <f>$S$1*P!AF295</f>
        <v>10.86491935483871</v>
      </c>
    </row>
    <row r="296" spans="19:32" x14ac:dyDescent="0.35">
      <c r="S296" s="782">
        <v>292</v>
      </c>
      <c r="T296" s="782" t="s">
        <v>4284</v>
      </c>
      <c r="U296" s="782" t="s">
        <v>5560</v>
      </c>
      <c r="V296" s="797">
        <f>$S$1*P!V296</f>
        <v>1.72741935483871E-4</v>
      </c>
      <c r="W296" s="863"/>
      <c r="X296" s="782">
        <v>292</v>
      </c>
      <c r="Y296" s="782" t="s">
        <v>2248</v>
      </c>
      <c r="Z296" s="782" t="s">
        <v>5560</v>
      </c>
      <c r="AA296" s="781">
        <f>$S$1*P!AA296</f>
        <v>2.9407258064516133E-4</v>
      </c>
      <c r="AB296" s="780"/>
      <c r="AC296" s="782">
        <v>292</v>
      </c>
      <c r="AD296" s="782" t="s">
        <v>4573</v>
      </c>
      <c r="AE296" s="782" t="s">
        <v>3757</v>
      </c>
      <c r="AF296" s="781">
        <f>$S$1*P!AF296</f>
        <v>0</v>
      </c>
    </row>
    <row r="297" spans="19:32" x14ac:dyDescent="0.35">
      <c r="S297" s="782">
        <v>293</v>
      </c>
      <c r="T297" s="782" t="s">
        <v>4284</v>
      </c>
      <c r="U297" s="782" t="s">
        <v>5557</v>
      </c>
      <c r="V297" s="797">
        <f>$S$1*P!V297</f>
        <v>3.5645161290322582E-3</v>
      </c>
      <c r="W297" s="863"/>
      <c r="X297" s="782">
        <v>293</v>
      </c>
      <c r="Y297" s="782" t="s">
        <v>2248</v>
      </c>
      <c r="Z297" s="782" t="s">
        <v>5557</v>
      </c>
      <c r="AA297" s="781">
        <f>$S$1*P!AA297</f>
        <v>6.4435483870967751E-3</v>
      </c>
      <c r="AB297" s="780"/>
      <c r="AC297" s="782">
        <v>293</v>
      </c>
      <c r="AD297" s="782" t="s">
        <v>4573</v>
      </c>
      <c r="AE297" s="782" t="s">
        <v>5515</v>
      </c>
      <c r="AF297" s="781">
        <f>$S$1*P!AF297</f>
        <v>1.9056451612903227</v>
      </c>
    </row>
    <row r="298" spans="19:32" x14ac:dyDescent="0.35">
      <c r="S298" s="782">
        <v>294</v>
      </c>
      <c r="T298" s="782" t="s">
        <v>4284</v>
      </c>
      <c r="U298" s="782" t="s">
        <v>5554</v>
      </c>
      <c r="V298" s="797">
        <f>$S$1*P!V298</f>
        <v>1.0316532258064517E-2</v>
      </c>
      <c r="W298" s="863"/>
      <c r="X298" s="782">
        <v>294</v>
      </c>
      <c r="Y298" s="782" t="s">
        <v>2248</v>
      </c>
      <c r="Z298" s="782" t="s">
        <v>5781</v>
      </c>
      <c r="AA298" s="781">
        <f>$S$1*P!AA298</f>
        <v>4.5584677419354845E-3</v>
      </c>
      <c r="AB298" s="780"/>
      <c r="AC298" s="782">
        <v>294</v>
      </c>
      <c r="AD298" s="782" t="s">
        <v>4573</v>
      </c>
      <c r="AE298" s="782" t="s">
        <v>5514</v>
      </c>
      <c r="AF298" s="781">
        <f>$S$1*P!AF298</f>
        <v>0.16040322580645164</v>
      </c>
    </row>
    <row r="299" spans="19:32" x14ac:dyDescent="0.35">
      <c r="S299" s="782">
        <v>295</v>
      </c>
      <c r="T299" s="782" t="s">
        <v>4284</v>
      </c>
      <c r="U299" s="782" t="s">
        <v>5552</v>
      </c>
      <c r="V299" s="797">
        <f>$S$1*P!V299</f>
        <v>5.4153225806451619E-6</v>
      </c>
      <c r="W299" s="863"/>
      <c r="X299" s="782">
        <v>295</v>
      </c>
      <c r="Y299" s="782" t="s">
        <v>2248</v>
      </c>
      <c r="Z299" s="782" t="s">
        <v>5554</v>
      </c>
      <c r="AA299" s="781">
        <f>$S$1*P!AA299</f>
        <v>1.2030241935483871E-2</v>
      </c>
      <c r="AB299" s="780"/>
      <c r="AC299" s="782">
        <v>295</v>
      </c>
      <c r="AD299" s="782" t="s">
        <v>4573</v>
      </c>
      <c r="AE299" s="782" t="s">
        <v>5513</v>
      </c>
      <c r="AF299" s="781">
        <f>$S$1*P!AF299</f>
        <v>1.4943548387096774</v>
      </c>
    </row>
    <row r="300" spans="19:32" x14ac:dyDescent="0.35">
      <c r="S300" s="782">
        <v>296</v>
      </c>
      <c r="T300" s="782" t="s">
        <v>4284</v>
      </c>
      <c r="U300" s="782" t="s">
        <v>5549</v>
      </c>
      <c r="V300" s="797">
        <f>$S$1*P!V300</f>
        <v>1.0625E-7</v>
      </c>
      <c r="W300" s="863"/>
      <c r="X300" s="782">
        <v>296</v>
      </c>
      <c r="Y300" s="782" t="s">
        <v>2248</v>
      </c>
      <c r="Z300" s="782" t="s">
        <v>5552</v>
      </c>
      <c r="AA300" s="781">
        <f>$S$1*P!AA300</f>
        <v>1.62116935483871E-4</v>
      </c>
      <c r="AB300" s="780"/>
      <c r="AC300" s="782">
        <v>296</v>
      </c>
      <c r="AD300" s="782" t="s">
        <v>4573</v>
      </c>
      <c r="AE300" s="782" t="s">
        <v>5512</v>
      </c>
      <c r="AF300" s="781">
        <f>$S$1*P!AF300</f>
        <v>1.3812500000000001</v>
      </c>
    </row>
    <row r="301" spans="19:32" x14ac:dyDescent="0.35">
      <c r="S301" s="782">
        <v>297</v>
      </c>
      <c r="T301" s="782" t="s">
        <v>4284</v>
      </c>
      <c r="U301" s="782" t="s">
        <v>5546</v>
      </c>
      <c r="V301" s="797">
        <f>$S$1*P!V301</f>
        <v>3.3828629032258067E-5</v>
      </c>
      <c r="W301" s="863"/>
      <c r="X301" s="782">
        <v>297</v>
      </c>
      <c r="Y301" s="782" t="s">
        <v>2248</v>
      </c>
      <c r="Z301" s="782" t="s">
        <v>5780</v>
      </c>
      <c r="AA301" s="781">
        <f>$S$1*P!AA301</f>
        <v>2.8653225806451617</v>
      </c>
      <c r="AB301" s="780"/>
      <c r="AC301" s="782">
        <v>297</v>
      </c>
      <c r="AD301" s="782" t="s">
        <v>4573</v>
      </c>
      <c r="AE301" s="782" t="s">
        <v>5511</v>
      </c>
      <c r="AF301" s="781">
        <f>$S$1*P!AF301</f>
        <v>3.9072580645161295E-2</v>
      </c>
    </row>
    <row r="302" spans="19:32" x14ac:dyDescent="0.35">
      <c r="S302" s="782">
        <v>298</v>
      </c>
      <c r="T302" s="782" t="s">
        <v>4284</v>
      </c>
      <c r="U302" s="782" t="s">
        <v>5544</v>
      </c>
      <c r="V302" s="797">
        <f>$S$1*P!V302</f>
        <v>2.4745967741935487E-6</v>
      </c>
      <c r="W302" s="863"/>
      <c r="X302" s="782">
        <v>298</v>
      </c>
      <c r="Y302" s="782" t="s">
        <v>2248</v>
      </c>
      <c r="Z302" s="782" t="s">
        <v>5549</v>
      </c>
      <c r="AA302" s="781">
        <f>$S$1*P!AA302</f>
        <v>4.8669354838709676E-5</v>
      </c>
      <c r="AB302" s="780"/>
      <c r="AC302" s="782">
        <v>298</v>
      </c>
      <c r="AD302" s="782" t="s">
        <v>4573</v>
      </c>
      <c r="AE302" s="782" t="s">
        <v>5510</v>
      </c>
      <c r="AF302" s="781">
        <f>$S$1*P!AF302</f>
        <v>1.3195564516129033E-3</v>
      </c>
    </row>
    <row r="303" spans="19:32" x14ac:dyDescent="0.35">
      <c r="S303" s="782">
        <v>299</v>
      </c>
      <c r="T303" s="782" t="s">
        <v>4284</v>
      </c>
      <c r="U303" s="782" t="s">
        <v>5541</v>
      </c>
      <c r="V303" s="797">
        <f>$S$1*P!V303</f>
        <v>3.0572580645161292E-4</v>
      </c>
      <c r="W303" s="863"/>
      <c r="X303" s="782">
        <v>299</v>
      </c>
      <c r="Y303" s="782" t="s">
        <v>2248</v>
      </c>
      <c r="Z303" s="782" t="s">
        <v>5546</v>
      </c>
      <c r="AA303" s="781">
        <f>$S$1*P!AA303</f>
        <v>1.1207661290322582E-3</v>
      </c>
      <c r="AB303" s="780"/>
      <c r="AC303" s="782">
        <v>299</v>
      </c>
      <c r="AD303" s="782" t="s">
        <v>4573</v>
      </c>
      <c r="AE303" s="782" t="s">
        <v>3754</v>
      </c>
      <c r="AF303" s="781">
        <f>$S$1*P!AF303</f>
        <v>2.5391999999999997</v>
      </c>
    </row>
    <row r="304" spans="19:32" x14ac:dyDescent="0.35">
      <c r="S304" s="782">
        <v>300</v>
      </c>
      <c r="T304" s="782" t="s">
        <v>4284</v>
      </c>
      <c r="U304" s="782" t="s">
        <v>5538</v>
      </c>
      <c r="V304" s="797">
        <f>$S$1*P!V304</f>
        <v>4.0786290322580646E-2</v>
      </c>
      <c r="W304" s="863"/>
      <c r="X304" s="782">
        <v>300</v>
      </c>
      <c r="Y304" s="782" t="s">
        <v>2248</v>
      </c>
      <c r="Z304" s="782" t="s">
        <v>5779</v>
      </c>
      <c r="AA304" s="781">
        <f>$S$1*P!AA304</f>
        <v>2998.9919354838712</v>
      </c>
      <c r="AB304" s="780"/>
      <c r="AC304" s="782">
        <v>300</v>
      </c>
      <c r="AD304" s="782" t="s">
        <v>4573</v>
      </c>
      <c r="AE304" s="782" t="s">
        <v>3752</v>
      </c>
      <c r="AF304" s="781">
        <f>$S$1*P!AF304</f>
        <v>2.9510080645161293E-2</v>
      </c>
    </row>
    <row r="305" spans="19:32" x14ac:dyDescent="0.35">
      <c r="S305" s="782">
        <v>301</v>
      </c>
      <c r="T305" s="782" t="s">
        <v>4284</v>
      </c>
      <c r="U305" s="782" t="s">
        <v>5536</v>
      </c>
      <c r="V305" s="797">
        <f>$S$1*P!V305</f>
        <v>3.7016129032258068E-4</v>
      </c>
      <c r="W305" s="863"/>
      <c r="X305" s="782">
        <v>301</v>
      </c>
      <c r="Y305" s="782" t="s">
        <v>2248</v>
      </c>
      <c r="Z305" s="782" t="s">
        <v>5544</v>
      </c>
      <c r="AA305" s="781">
        <f>$S$1*P!AA305</f>
        <v>4.8326612903225809E-5</v>
      </c>
      <c r="AB305" s="780"/>
      <c r="AC305" s="782">
        <v>301</v>
      </c>
      <c r="AD305" s="782" t="s">
        <v>4573</v>
      </c>
      <c r="AE305" s="782" t="s">
        <v>3752</v>
      </c>
      <c r="AF305" s="781">
        <f>$S$1*P!AF305</f>
        <v>0</v>
      </c>
    </row>
    <row r="306" spans="19:32" x14ac:dyDescent="0.35">
      <c r="S306" s="782">
        <v>302</v>
      </c>
      <c r="T306" s="782" t="s">
        <v>4284</v>
      </c>
      <c r="U306" s="782" t="s">
        <v>5533</v>
      </c>
      <c r="V306" s="797">
        <f>$S$1*P!V306</f>
        <v>3.259475806451613E-2</v>
      </c>
      <c r="W306" s="863"/>
      <c r="X306" s="782">
        <v>302</v>
      </c>
      <c r="Y306" s="782" t="s">
        <v>2248</v>
      </c>
      <c r="Z306" s="782" t="s">
        <v>5541</v>
      </c>
      <c r="AA306" s="781">
        <f>$S$1*P!AA306</f>
        <v>1.2784274193548388E-3</v>
      </c>
      <c r="AB306" s="780"/>
      <c r="AC306" s="782">
        <v>302</v>
      </c>
      <c r="AD306" s="782" t="s">
        <v>4573</v>
      </c>
      <c r="AE306" s="782" t="s">
        <v>5772</v>
      </c>
      <c r="AF306" s="781">
        <f>$S$1*P!AF306</f>
        <v>0.21284274193548389</v>
      </c>
    </row>
    <row r="307" spans="19:32" x14ac:dyDescent="0.35">
      <c r="S307" s="782">
        <v>303</v>
      </c>
      <c r="T307" s="782" t="s">
        <v>4284</v>
      </c>
      <c r="U307" s="782" t="s">
        <v>3763</v>
      </c>
      <c r="V307" s="797">
        <f>$S$1*P!V307</f>
        <v>1.3743951612903227E-2</v>
      </c>
      <c r="W307" s="863"/>
      <c r="X307" s="782">
        <v>303</v>
      </c>
      <c r="Y307" s="782" t="s">
        <v>2248</v>
      </c>
      <c r="Z307" s="782" t="s">
        <v>5538</v>
      </c>
      <c r="AA307" s="781">
        <f>$S$1*P!AA307</f>
        <v>8.9455645161290329E-2</v>
      </c>
      <c r="AB307" s="780"/>
      <c r="AC307" s="782">
        <v>303</v>
      </c>
      <c r="AD307" s="782" t="s">
        <v>4573</v>
      </c>
      <c r="AE307" s="782" t="s">
        <v>5508</v>
      </c>
      <c r="AF307" s="781">
        <f>$S$1*P!AF307</f>
        <v>0.5209677419354839</v>
      </c>
    </row>
    <row r="308" spans="19:32" x14ac:dyDescent="0.35">
      <c r="S308" s="782">
        <v>304</v>
      </c>
      <c r="T308" s="782" t="s">
        <v>4284</v>
      </c>
      <c r="U308" s="782" t="s">
        <v>3763</v>
      </c>
      <c r="V308" s="797">
        <f>$S$1*P!V308</f>
        <v>0</v>
      </c>
      <c r="W308" s="863"/>
      <c r="X308" s="782">
        <v>304</v>
      </c>
      <c r="Y308" s="782" t="s">
        <v>2248</v>
      </c>
      <c r="Z308" s="782" t="s">
        <v>5778</v>
      </c>
      <c r="AA308" s="781">
        <f>$S$1*P!AA308</f>
        <v>7.4717741935483879E-3</v>
      </c>
      <c r="AB308" s="780"/>
      <c r="AC308" s="782">
        <v>304</v>
      </c>
      <c r="AD308" s="782" t="s">
        <v>4573</v>
      </c>
      <c r="AE308" s="782" t="s">
        <v>3750</v>
      </c>
      <c r="AF308" s="781">
        <f>$S$1*P!AF308</f>
        <v>0.5278225806451613</v>
      </c>
    </row>
    <row r="309" spans="19:32" x14ac:dyDescent="0.35">
      <c r="S309" s="782">
        <v>305</v>
      </c>
      <c r="T309" s="782" t="s">
        <v>4284</v>
      </c>
      <c r="U309" s="782" t="s">
        <v>5528</v>
      </c>
      <c r="V309" s="797">
        <f>$S$1*P!V309</f>
        <v>9.6995967741935491E-3</v>
      </c>
      <c r="W309" s="863"/>
      <c r="X309" s="782">
        <v>305</v>
      </c>
      <c r="Y309" s="782" t="s">
        <v>2248</v>
      </c>
      <c r="Z309" s="782" t="s">
        <v>5536</v>
      </c>
      <c r="AA309" s="781">
        <f>$S$1*P!AA309</f>
        <v>2.0667338709677418E-3</v>
      </c>
      <c r="AB309" s="780"/>
      <c r="AC309" s="782">
        <v>305</v>
      </c>
      <c r="AD309" s="782" t="s">
        <v>4573</v>
      </c>
      <c r="AE309" s="782" t="s">
        <v>3750</v>
      </c>
      <c r="AF309" s="781">
        <f>$S$1*P!AF309</f>
        <v>0</v>
      </c>
    </row>
    <row r="310" spans="19:32" x14ac:dyDescent="0.35">
      <c r="S310" s="782">
        <v>306</v>
      </c>
      <c r="T310" s="782" t="s">
        <v>4284</v>
      </c>
      <c r="U310" s="782" t="s">
        <v>5526</v>
      </c>
      <c r="V310" s="797">
        <f>$S$1*P!V310</f>
        <v>1.2235887096774194E-5</v>
      </c>
      <c r="W310" s="863"/>
      <c r="X310" s="782">
        <v>306</v>
      </c>
      <c r="Y310" s="782" t="s">
        <v>2248</v>
      </c>
      <c r="Z310" s="782" t="s">
        <v>5533</v>
      </c>
      <c r="AA310" s="781">
        <f>$S$1*P!AA310</f>
        <v>1.7137096774193551E-2</v>
      </c>
      <c r="AB310" s="780"/>
      <c r="AC310" s="782">
        <v>306</v>
      </c>
      <c r="AD310" s="782" t="s">
        <v>4573</v>
      </c>
      <c r="AE310" s="782" t="s">
        <v>5507</v>
      </c>
      <c r="AF310" s="781">
        <f>$S$1*P!AF310</f>
        <v>0.5175403225806452</v>
      </c>
    </row>
    <row r="311" spans="19:32" x14ac:dyDescent="0.35">
      <c r="S311" s="782">
        <v>307</v>
      </c>
      <c r="T311" s="782" t="s">
        <v>4284</v>
      </c>
      <c r="U311" s="782" t="s">
        <v>5523</v>
      </c>
      <c r="V311" s="797">
        <f>$S$1*P!V311</f>
        <v>1.8405241935483872E-3</v>
      </c>
      <c r="W311" s="863"/>
      <c r="X311" s="782">
        <v>307</v>
      </c>
      <c r="Y311" s="782" t="s">
        <v>2248</v>
      </c>
      <c r="Z311" s="782" t="s">
        <v>5777</v>
      </c>
      <c r="AA311" s="781">
        <f>$S$1*P!AA311</f>
        <v>1.1790322580645162E-4</v>
      </c>
      <c r="AB311" s="780"/>
      <c r="AC311" s="782">
        <v>307</v>
      </c>
      <c r="AD311" s="782" t="s">
        <v>4573</v>
      </c>
      <c r="AE311" s="782" t="s">
        <v>3749</v>
      </c>
      <c r="AF311" s="781">
        <f>$S$1*P!AF311</f>
        <v>9.1512096774193558E-2</v>
      </c>
    </row>
    <row r="312" spans="19:32" x14ac:dyDescent="0.35">
      <c r="S312" s="782">
        <v>308</v>
      </c>
      <c r="T312" s="782" t="s">
        <v>4284</v>
      </c>
      <c r="U312" s="782" t="s">
        <v>5521</v>
      </c>
      <c r="V312" s="797">
        <f>$S$1*P!V312</f>
        <v>8.2600806451612913E-4</v>
      </c>
      <c r="W312" s="863"/>
      <c r="X312" s="782">
        <v>308</v>
      </c>
      <c r="Y312" s="782" t="s">
        <v>2248</v>
      </c>
      <c r="Z312" s="782" t="s">
        <v>3763</v>
      </c>
      <c r="AA312" s="781">
        <f>$S$1*P!AA312</f>
        <v>0</v>
      </c>
      <c r="AB312" s="780"/>
      <c r="AC312" s="782">
        <v>308</v>
      </c>
      <c r="AD312" s="782" t="s">
        <v>4573</v>
      </c>
      <c r="AE312" s="782" t="s">
        <v>3749</v>
      </c>
      <c r="AF312" s="781">
        <f>$S$1*P!AF312</f>
        <v>0</v>
      </c>
    </row>
    <row r="313" spans="19:32" x14ac:dyDescent="0.35">
      <c r="S313" s="782">
        <v>309</v>
      </c>
      <c r="T313" s="782" t="s">
        <v>4284</v>
      </c>
      <c r="U313" s="782" t="s">
        <v>5518</v>
      </c>
      <c r="V313" s="797">
        <f>$S$1*P!V313</f>
        <v>1.1276209677419356E-2</v>
      </c>
      <c r="W313" s="863"/>
      <c r="X313" s="782">
        <v>309</v>
      </c>
      <c r="Y313" s="782" t="s">
        <v>2248</v>
      </c>
      <c r="Z313" s="782" t="s">
        <v>3763</v>
      </c>
      <c r="AA313" s="781">
        <f>$S$1*P!AA313</f>
        <v>2.6082661290322582E-2</v>
      </c>
      <c r="AB313" s="780"/>
      <c r="AC313" s="782">
        <v>309</v>
      </c>
      <c r="AD313" s="782" t="s">
        <v>4573</v>
      </c>
      <c r="AE313" s="782" t="s">
        <v>3746</v>
      </c>
      <c r="AF313" s="781">
        <f>$S$1*P!AF313</f>
        <v>2.1010080645161291</v>
      </c>
    </row>
    <row r="314" spans="19:32" x14ac:dyDescent="0.35">
      <c r="S314" s="782">
        <v>310</v>
      </c>
      <c r="T314" s="782" t="s">
        <v>4284</v>
      </c>
      <c r="U314" s="782" t="s">
        <v>5516</v>
      </c>
      <c r="V314" s="797">
        <f>$S$1*P!V314</f>
        <v>3.6673387096774197E-3</v>
      </c>
      <c r="W314" s="863"/>
      <c r="X314" s="782">
        <v>310</v>
      </c>
      <c r="Y314" s="782" t="s">
        <v>2248</v>
      </c>
      <c r="Z314" s="782" t="s">
        <v>5776</v>
      </c>
      <c r="AA314" s="781">
        <f>$S$1*P!AA314</f>
        <v>8.0201612903225809E-12</v>
      </c>
      <c r="AB314" s="780"/>
      <c r="AC314" s="782">
        <v>310</v>
      </c>
      <c r="AD314" s="782" t="s">
        <v>4573</v>
      </c>
      <c r="AE314" s="782" t="s">
        <v>3746</v>
      </c>
      <c r="AF314" s="781">
        <f>$S$1*P!AF314</f>
        <v>0</v>
      </c>
    </row>
    <row r="315" spans="19:32" x14ac:dyDescent="0.35">
      <c r="S315" s="782">
        <v>311</v>
      </c>
      <c r="T315" s="782" t="s">
        <v>4284</v>
      </c>
      <c r="U315" s="782" t="s">
        <v>3760</v>
      </c>
      <c r="V315" s="797">
        <f>$S$1*P!V315</f>
        <v>0</v>
      </c>
      <c r="W315" s="863"/>
      <c r="X315" s="782">
        <v>311</v>
      </c>
      <c r="Y315" s="782" t="s">
        <v>2248</v>
      </c>
      <c r="Z315" s="782" t="s">
        <v>5528</v>
      </c>
      <c r="AA315" s="781">
        <f>$S$1*P!AA315</f>
        <v>4.1129032258064519E-3</v>
      </c>
      <c r="AB315" s="780"/>
      <c r="AC315" s="782">
        <v>311</v>
      </c>
      <c r="AD315" s="782" t="s">
        <v>4573</v>
      </c>
      <c r="AE315" s="782" t="s">
        <v>5506</v>
      </c>
      <c r="AF315" s="781">
        <f>$S$1*P!AF315</f>
        <v>0.82943548387096777</v>
      </c>
    </row>
    <row r="316" spans="19:32" x14ac:dyDescent="0.35">
      <c r="S316" s="782">
        <v>312</v>
      </c>
      <c r="T316" s="782" t="s">
        <v>4284</v>
      </c>
      <c r="U316" s="782" t="s">
        <v>3757</v>
      </c>
      <c r="V316" s="797">
        <f>$S$1*P!V316</f>
        <v>9.6995967741935488E-2</v>
      </c>
      <c r="W316" s="863"/>
      <c r="X316" s="782">
        <v>312</v>
      </c>
      <c r="Y316" s="782" t="s">
        <v>2248</v>
      </c>
      <c r="Z316" s="782" t="s">
        <v>5526</v>
      </c>
      <c r="AA316" s="781">
        <f>$S$1*P!AA316</f>
        <v>4.7641129032258068E-7</v>
      </c>
      <c r="AB316" s="780"/>
      <c r="AC316" s="782">
        <v>312</v>
      </c>
      <c r="AD316" s="782" t="s">
        <v>4573</v>
      </c>
      <c r="AE316" s="782" t="s">
        <v>5505</v>
      </c>
      <c r="AF316" s="781">
        <f>$S$1*P!AF316</f>
        <v>1.1858870967741936E-2</v>
      </c>
    </row>
    <row r="317" spans="19:32" x14ac:dyDescent="0.35">
      <c r="S317" s="782">
        <v>313</v>
      </c>
      <c r="T317" s="782" t="s">
        <v>4284</v>
      </c>
      <c r="U317" s="782" t="s">
        <v>3757</v>
      </c>
      <c r="V317" s="797">
        <f>$S$1*P!V317</f>
        <v>0</v>
      </c>
      <c r="W317" s="863"/>
      <c r="X317" s="782">
        <v>313</v>
      </c>
      <c r="Y317" s="782" t="s">
        <v>2248</v>
      </c>
      <c r="Z317" s="782" t="s">
        <v>5523</v>
      </c>
      <c r="AA317" s="781">
        <f>$S$1*P!AA317</f>
        <v>1.453225806451613E-3</v>
      </c>
      <c r="AB317" s="780"/>
      <c r="AC317" s="782">
        <v>313</v>
      </c>
      <c r="AD317" s="782" t="s">
        <v>4573</v>
      </c>
      <c r="AE317" s="782" t="s">
        <v>5768</v>
      </c>
      <c r="AF317" s="781">
        <f>$S$1*P!AF317</f>
        <v>0.22895161290322583</v>
      </c>
    </row>
    <row r="318" spans="19:32" x14ac:dyDescent="0.35">
      <c r="S318" s="782">
        <v>314</v>
      </c>
      <c r="T318" s="782" t="s">
        <v>4284</v>
      </c>
      <c r="U318" s="782" t="s">
        <v>5515</v>
      </c>
      <c r="V318" s="797">
        <f>$S$1*P!V318</f>
        <v>6.9919354838709688E-2</v>
      </c>
      <c r="W318" s="863"/>
      <c r="X318" s="782">
        <v>314</v>
      </c>
      <c r="Y318" s="782" t="s">
        <v>2248</v>
      </c>
      <c r="Z318" s="782" t="s">
        <v>5775</v>
      </c>
      <c r="AA318" s="781">
        <f>$S$1*P!AA318</f>
        <v>1.0659274193548387E-4</v>
      </c>
      <c r="AB318" s="780"/>
      <c r="AC318" s="782">
        <v>314</v>
      </c>
      <c r="AD318" s="782" t="s">
        <v>4573</v>
      </c>
      <c r="AE318" s="782" t="s">
        <v>5503</v>
      </c>
      <c r="AF318" s="781">
        <f>$S$1*P!AF318</f>
        <v>2.8036290322580648E-2</v>
      </c>
    </row>
    <row r="319" spans="19:32" x14ac:dyDescent="0.35">
      <c r="S319" s="782">
        <v>315</v>
      </c>
      <c r="T319" s="782" t="s">
        <v>4284</v>
      </c>
      <c r="U319" s="782" t="s">
        <v>5514</v>
      </c>
      <c r="V319" s="797">
        <f>$S$1*P!V319</f>
        <v>5.3125000000000004E-3</v>
      </c>
      <c r="W319" s="863"/>
      <c r="X319" s="782">
        <v>315</v>
      </c>
      <c r="Y319" s="782" t="s">
        <v>2248</v>
      </c>
      <c r="Z319" s="782" t="s">
        <v>5521</v>
      </c>
      <c r="AA319" s="781">
        <f>$S$1*P!AA319</f>
        <v>1.5868951612903228E-4</v>
      </c>
      <c r="AB319" s="780"/>
      <c r="AC319" s="782">
        <v>315</v>
      </c>
      <c r="AD319" s="782" t="s">
        <v>4573</v>
      </c>
      <c r="AE319" s="782" t="s">
        <v>5502</v>
      </c>
      <c r="AF319" s="781">
        <f>$S$1*P!AF319</f>
        <v>4.3870967741935489E-2</v>
      </c>
    </row>
    <row r="320" spans="19:32" x14ac:dyDescent="0.35">
      <c r="S320" s="782">
        <v>316</v>
      </c>
      <c r="T320" s="782" t="s">
        <v>4284</v>
      </c>
      <c r="U320" s="782" t="s">
        <v>5513</v>
      </c>
      <c r="V320" s="797">
        <f>$S$1*P!V320</f>
        <v>7.0262096774193553E-3</v>
      </c>
      <c r="W320" s="863"/>
      <c r="X320" s="782">
        <v>316</v>
      </c>
      <c r="Y320" s="782" t="s">
        <v>2248</v>
      </c>
      <c r="Z320" s="782" t="s">
        <v>5518</v>
      </c>
      <c r="AA320" s="781">
        <f>$S$1*P!AA320</f>
        <v>4.3870967741935489E-2</v>
      </c>
      <c r="AB320" s="780"/>
      <c r="AC320" s="782">
        <v>316</v>
      </c>
      <c r="AD320" s="782" t="s">
        <v>4573</v>
      </c>
      <c r="AE320" s="782" t="s">
        <v>5501</v>
      </c>
      <c r="AF320" s="781">
        <f>$S$1*P!AF320</f>
        <v>2.875604838709678E-3</v>
      </c>
    </row>
    <row r="321" spans="19:32" x14ac:dyDescent="0.35">
      <c r="S321" s="782">
        <v>317</v>
      </c>
      <c r="T321" s="782" t="s">
        <v>4284</v>
      </c>
      <c r="U321" s="782" t="s">
        <v>5512</v>
      </c>
      <c r="V321" s="797">
        <f>$S$1*P!V321</f>
        <v>5.1411290322580648E-2</v>
      </c>
      <c r="W321" s="863"/>
      <c r="X321" s="782">
        <v>317</v>
      </c>
      <c r="Y321" s="782" t="s">
        <v>2248</v>
      </c>
      <c r="Z321" s="782" t="s">
        <v>5774</v>
      </c>
      <c r="AA321" s="781">
        <f>$S$1*P!AA321</f>
        <v>2.8447580645161297E-4</v>
      </c>
      <c r="AB321" s="780"/>
      <c r="AC321" s="782">
        <v>317</v>
      </c>
      <c r="AD321" s="782" t="s">
        <v>4573</v>
      </c>
      <c r="AE321" s="782" t="s">
        <v>3742</v>
      </c>
      <c r="AF321" s="781">
        <f>$S$1*P!AF321</f>
        <v>0.47104000000000001</v>
      </c>
    </row>
    <row r="322" spans="19:32" x14ac:dyDescent="0.35">
      <c r="S322" s="782">
        <v>318</v>
      </c>
      <c r="T322" s="782" t="s">
        <v>4284</v>
      </c>
      <c r="U322" s="782" t="s">
        <v>5511</v>
      </c>
      <c r="V322" s="797">
        <f>$S$1*P!V322</f>
        <v>3.2903225806451614E-4</v>
      </c>
      <c r="W322" s="863"/>
      <c r="X322" s="782">
        <v>318</v>
      </c>
      <c r="Y322" s="782" t="s">
        <v>2248</v>
      </c>
      <c r="Z322" s="782" t="s">
        <v>5516</v>
      </c>
      <c r="AA322" s="781">
        <f>$S$1*P!AA322</f>
        <v>7.4032258064516132E-3</v>
      </c>
      <c r="AB322" s="780"/>
      <c r="AC322" s="782">
        <v>318</v>
      </c>
      <c r="AD322" s="782" t="s">
        <v>4573</v>
      </c>
      <c r="AE322" s="782" t="s">
        <v>5500</v>
      </c>
      <c r="AF322" s="781">
        <f>$S$1*P!AF322</f>
        <v>4.7298387096774199</v>
      </c>
    </row>
    <row r="323" spans="19:32" x14ac:dyDescent="0.35">
      <c r="S323" s="782">
        <v>319</v>
      </c>
      <c r="T323" s="782" t="s">
        <v>4284</v>
      </c>
      <c r="U323" s="782" t="s">
        <v>5510</v>
      </c>
      <c r="V323" s="797">
        <f>$S$1*P!V323</f>
        <v>2.3477822580645163E-4</v>
      </c>
      <c r="W323" s="863"/>
      <c r="X323" s="782">
        <v>319</v>
      </c>
      <c r="Y323" s="782" t="s">
        <v>2248</v>
      </c>
      <c r="Z323" s="782" t="s">
        <v>3760</v>
      </c>
      <c r="AA323" s="781">
        <f>$S$1*P!AA323</f>
        <v>0</v>
      </c>
      <c r="AB323" s="780"/>
      <c r="AC323" s="782">
        <v>319</v>
      </c>
      <c r="AD323" s="782" t="s">
        <v>4573</v>
      </c>
      <c r="AE323" s="782" t="s">
        <v>5499</v>
      </c>
      <c r="AF323" s="781">
        <f>$S$1*P!AF323</f>
        <v>3.5987903225806455</v>
      </c>
    </row>
    <row r="324" spans="19:32" x14ac:dyDescent="0.35">
      <c r="S324" s="782">
        <v>320</v>
      </c>
      <c r="T324" s="782" t="s">
        <v>4284</v>
      </c>
      <c r="U324" s="782" t="s">
        <v>3754</v>
      </c>
      <c r="V324" s="797">
        <f>$S$1*P!V324</f>
        <v>5.1059999999999999</v>
      </c>
      <c r="W324" s="863"/>
      <c r="X324" s="782">
        <v>320</v>
      </c>
      <c r="Y324" s="782" t="s">
        <v>2248</v>
      </c>
      <c r="Z324" s="782" t="s">
        <v>5773</v>
      </c>
      <c r="AA324" s="781">
        <f>$S$1*P!AA324</f>
        <v>7.7116935483870975E-6</v>
      </c>
      <c r="AB324" s="780"/>
      <c r="AC324" s="782">
        <v>320</v>
      </c>
      <c r="AD324" s="782" t="s">
        <v>4573</v>
      </c>
      <c r="AE324" s="782" t="s">
        <v>5498</v>
      </c>
      <c r="AF324" s="781">
        <f>$S$1*P!AF324</f>
        <v>9.973790322580646E-2</v>
      </c>
    </row>
    <row r="325" spans="19:32" x14ac:dyDescent="0.35">
      <c r="S325" s="782">
        <v>321</v>
      </c>
      <c r="T325" s="782" t="s">
        <v>4284</v>
      </c>
      <c r="U325" s="782" t="s">
        <v>3752</v>
      </c>
      <c r="V325" s="797">
        <f>$S$1*P!V325</f>
        <v>1.1790322580645162E-3</v>
      </c>
      <c r="W325" s="863"/>
      <c r="X325" s="782">
        <v>321</v>
      </c>
      <c r="Y325" s="782" t="s">
        <v>2248</v>
      </c>
      <c r="Z325" s="782" t="s">
        <v>3757</v>
      </c>
      <c r="AA325" s="781">
        <f>$S$1*P!AA325</f>
        <v>0</v>
      </c>
      <c r="AB325" s="780"/>
      <c r="AC325" s="782">
        <v>321</v>
      </c>
      <c r="AD325" s="782" t="s">
        <v>4573</v>
      </c>
      <c r="AE325" s="782" t="s">
        <v>5497</v>
      </c>
      <c r="AF325" s="781">
        <f>$S$1*P!AF325</f>
        <v>0.15149193548387099</v>
      </c>
    </row>
    <row r="326" spans="19:32" x14ac:dyDescent="0.35">
      <c r="S326" s="782">
        <v>322</v>
      </c>
      <c r="T326" s="782" t="s">
        <v>4284</v>
      </c>
      <c r="U326" s="782" t="s">
        <v>3752</v>
      </c>
      <c r="V326" s="797">
        <f>$S$1*P!V326</f>
        <v>0</v>
      </c>
      <c r="W326" s="863"/>
      <c r="X326" s="782">
        <v>322</v>
      </c>
      <c r="Y326" s="782" t="s">
        <v>2248</v>
      </c>
      <c r="Z326" s="782" t="s">
        <v>3757</v>
      </c>
      <c r="AA326" s="781">
        <f>$S$1*P!AA326</f>
        <v>1.723991935483871E-2</v>
      </c>
      <c r="AB326" s="780"/>
      <c r="AC326" s="782">
        <v>322</v>
      </c>
      <c r="AD326" s="782" t="s">
        <v>4573</v>
      </c>
      <c r="AE326" s="782" t="s">
        <v>5496</v>
      </c>
      <c r="AF326" s="781">
        <f>$S$1*P!AF326</f>
        <v>0.16554435483870969</v>
      </c>
    </row>
    <row r="327" spans="19:32" x14ac:dyDescent="0.35">
      <c r="S327" s="782">
        <v>323</v>
      </c>
      <c r="T327" s="782" t="s">
        <v>4284</v>
      </c>
      <c r="U327" s="782" t="s">
        <v>5772</v>
      </c>
      <c r="V327" s="797">
        <f>$S$1*P!V327</f>
        <v>1.254435483870968E-3</v>
      </c>
      <c r="W327" s="863"/>
      <c r="X327" s="782">
        <v>323</v>
      </c>
      <c r="Y327" s="782" t="s">
        <v>2248</v>
      </c>
      <c r="Z327" s="782" t="s">
        <v>5515</v>
      </c>
      <c r="AA327" s="781">
        <f>$S$1*P!AA327</f>
        <v>3.4959677419354844E-2</v>
      </c>
      <c r="AB327" s="780"/>
      <c r="AC327" s="782">
        <v>323</v>
      </c>
      <c r="AD327" s="782" t="s">
        <v>4573</v>
      </c>
      <c r="AE327" s="782" t="s">
        <v>5495</v>
      </c>
      <c r="AF327" s="781">
        <f>$S$1*P!AF327</f>
        <v>1.7308467741935485</v>
      </c>
    </row>
    <row r="328" spans="19:32" x14ac:dyDescent="0.35">
      <c r="S328" s="782">
        <v>324</v>
      </c>
      <c r="T328" s="782" t="s">
        <v>4284</v>
      </c>
      <c r="U328" s="782" t="s">
        <v>5508</v>
      </c>
      <c r="V328" s="797">
        <f>$S$1*P!V328</f>
        <v>7.7459677419354847E-3</v>
      </c>
      <c r="W328" s="863"/>
      <c r="X328" s="782">
        <v>324</v>
      </c>
      <c r="Y328" s="782" t="s">
        <v>2248</v>
      </c>
      <c r="Z328" s="782" t="s">
        <v>5771</v>
      </c>
      <c r="AA328" s="781">
        <f>$S$1*P!AA328</f>
        <v>1.9227822580645165E-9</v>
      </c>
      <c r="AB328" s="780"/>
      <c r="AC328" s="782">
        <v>324</v>
      </c>
      <c r="AD328" s="782" t="s">
        <v>4573</v>
      </c>
      <c r="AE328" s="782" t="s">
        <v>5494</v>
      </c>
      <c r="AF328" s="781">
        <f>$S$1*P!AF328</f>
        <v>0.41471774193548389</v>
      </c>
    </row>
    <row r="329" spans="19:32" x14ac:dyDescent="0.35">
      <c r="S329" s="782">
        <v>325</v>
      </c>
      <c r="T329" s="782" t="s">
        <v>4284</v>
      </c>
      <c r="U329" s="782" t="s">
        <v>3750</v>
      </c>
      <c r="V329" s="797">
        <f>$S$1*P!V329</f>
        <v>1.0453629032258065E-2</v>
      </c>
      <c r="W329" s="863"/>
      <c r="X329" s="782">
        <v>325</v>
      </c>
      <c r="Y329" s="782" t="s">
        <v>2248</v>
      </c>
      <c r="Z329" s="782" t="s">
        <v>5514</v>
      </c>
      <c r="AA329" s="781">
        <f>$S$1*P!AA329</f>
        <v>3.3588709677419355E-3</v>
      </c>
      <c r="AB329" s="780"/>
      <c r="AC329" s="782">
        <v>325</v>
      </c>
      <c r="AD329" s="782" t="s">
        <v>4573</v>
      </c>
      <c r="AE329" s="782" t="s">
        <v>5493</v>
      </c>
      <c r="AF329" s="781">
        <f>$S$1*P!AF329</f>
        <v>4.6270161290322583E-2</v>
      </c>
    </row>
    <row r="330" spans="19:32" x14ac:dyDescent="0.35">
      <c r="S330" s="782">
        <v>326</v>
      </c>
      <c r="T330" s="782" t="s">
        <v>4284</v>
      </c>
      <c r="U330" s="782" t="s">
        <v>3750</v>
      </c>
      <c r="V330" s="797">
        <f>$S$1*P!V330</f>
        <v>0</v>
      </c>
      <c r="W330" s="863"/>
      <c r="X330" s="782">
        <v>326</v>
      </c>
      <c r="Y330" s="782" t="s">
        <v>2248</v>
      </c>
      <c r="Z330" s="782" t="s">
        <v>5513</v>
      </c>
      <c r="AA330" s="781">
        <f>$S$1*P!AA330</f>
        <v>1.4463709677419357E-2</v>
      </c>
      <c r="AB330" s="780"/>
      <c r="AC330" s="782">
        <v>326</v>
      </c>
      <c r="AD330" s="782" t="s">
        <v>4573</v>
      </c>
      <c r="AE330" s="782" t="s">
        <v>5492</v>
      </c>
      <c r="AF330" s="781">
        <f>$S$1*P!AF330</f>
        <v>0.20872983870967743</v>
      </c>
    </row>
    <row r="331" spans="19:32" x14ac:dyDescent="0.35">
      <c r="S331" s="782">
        <v>327</v>
      </c>
      <c r="T331" s="782" t="s">
        <v>4284</v>
      </c>
      <c r="U331" s="782" t="s">
        <v>5507</v>
      </c>
      <c r="V331" s="797">
        <f>$S$1*P!V331</f>
        <v>9.6653225806451627E-3</v>
      </c>
      <c r="W331" s="863"/>
      <c r="X331" s="782">
        <v>327</v>
      </c>
      <c r="Y331" s="782" t="s">
        <v>2248</v>
      </c>
      <c r="Z331" s="782" t="s">
        <v>5770</v>
      </c>
      <c r="AA331" s="781">
        <f>$S$1*P!AA331</f>
        <v>2.5157258064516135E-6</v>
      </c>
      <c r="AB331" s="780"/>
      <c r="AC331" s="782">
        <v>327</v>
      </c>
      <c r="AD331" s="782" t="s">
        <v>4573</v>
      </c>
      <c r="AE331" s="782" t="s">
        <v>5491</v>
      </c>
      <c r="AF331" s="781">
        <f>$S$1*P!AF331</f>
        <v>4.6955645161290326E-2</v>
      </c>
    </row>
    <row r="332" spans="19:32" x14ac:dyDescent="0.35">
      <c r="S332" s="782">
        <v>328</v>
      </c>
      <c r="T332" s="782" t="s">
        <v>4284</v>
      </c>
      <c r="U332" s="782" t="s">
        <v>3749</v>
      </c>
      <c r="V332" s="797">
        <f>$S$1*P!V332</f>
        <v>5.2782258064516135E-4</v>
      </c>
      <c r="W332" s="863"/>
      <c r="X332" s="782">
        <v>328</v>
      </c>
      <c r="Y332" s="782" t="s">
        <v>2248</v>
      </c>
      <c r="Z332" s="782" t="s">
        <v>5512</v>
      </c>
      <c r="AA332" s="781">
        <f>$S$1*P!AA332</f>
        <v>1.655443548387097E-2</v>
      </c>
      <c r="AB332" s="780"/>
      <c r="AC332" s="782">
        <v>328</v>
      </c>
      <c r="AD332" s="782" t="s">
        <v>4573</v>
      </c>
      <c r="AE332" s="782" t="s">
        <v>5490</v>
      </c>
      <c r="AF332" s="781">
        <f>$S$1*P!AF332</f>
        <v>1.3504032258064517E-3</v>
      </c>
    </row>
    <row r="333" spans="19:32" x14ac:dyDescent="0.35">
      <c r="S333" s="782">
        <v>329</v>
      </c>
      <c r="T333" s="782" t="s">
        <v>4284</v>
      </c>
      <c r="U333" s="782" t="s">
        <v>3749</v>
      </c>
      <c r="V333" s="797">
        <f>$S$1*P!V333</f>
        <v>0</v>
      </c>
      <c r="W333" s="863"/>
      <c r="X333" s="782">
        <v>329</v>
      </c>
      <c r="Y333" s="782" t="s">
        <v>2248</v>
      </c>
      <c r="Z333" s="782" t="s">
        <v>5511</v>
      </c>
      <c r="AA333" s="781">
        <f>$S$1*P!AA333</f>
        <v>1.6520161290322583E-3</v>
      </c>
      <c r="AB333" s="780"/>
      <c r="AC333" s="782">
        <v>329</v>
      </c>
      <c r="AD333" s="782" t="s">
        <v>4573</v>
      </c>
      <c r="AE333" s="782" t="s">
        <v>5489</v>
      </c>
      <c r="AF333" s="781">
        <f>$S$1*P!AF333</f>
        <v>1.4018145161290324E-2</v>
      </c>
    </row>
    <row r="334" spans="19:32" x14ac:dyDescent="0.35">
      <c r="S334" s="782">
        <v>330</v>
      </c>
      <c r="T334" s="782" t="s">
        <v>4284</v>
      </c>
      <c r="U334" s="782" t="s">
        <v>3746</v>
      </c>
      <c r="V334" s="797">
        <f>$S$1*P!V334</f>
        <v>3.4616935483870973E-2</v>
      </c>
      <c r="W334" s="863"/>
      <c r="X334" s="782">
        <v>330</v>
      </c>
      <c r="Y334" s="782" t="s">
        <v>2248</v>
      </c>
      <c r="Z334" s="782" t="s">
        <v>5510</v>
      </c>
      <c r="AA334" s="781">
        <f>$S$1*P!AA334</f>
        <v>2.8379032258064516E-4</v>
      </c>
      <c r="AB334" s="780"/>
      <c r="AC334" s="782">
        <v>330</v>
      </c>
      <c r="AD334" s="782" t="s">
        <v>4573</v>
      </c>
      <c r="AE334" s="782" t="s">
        <v>5488</v>
      </c>
      <c r="AF334" s="781">
        <f>$S$1*P!AF334</f>
        <v>0.40100806451612908</v>
      </c>
    </row>
    <row r="335" spans="19:32" x14ac:dyDescent="0.35">
      <c r="S335" s="782">
        <v>331</v>
      </c>
      <c r="T335" s="782" t="s">
        <v>4284</v>
      </c>
      <c r="U335" s="782" t="s">
        <v>3746</v>
      </c>
      <c r="V335" s="797">
        <f>$S$1*P!V335</f>
        <v>0</v>
      </c>
      <c r="W335" s="863"/>
      <c r="X335" s="782">
        <v>331</v>
      </c>
      <c r="Y335" s="782" t="s">
        <v>2248</v>
      </c>
      <c r="Z335" s="782" t="s">
        <v>5769</v>
      </c>
      <c r="AA335" s="781">
        <f>$S$1*P!AA335</f>
        <v>6.375E-9</v>
      </c>
      <c r="AB335" s="780"/>
      <c r="AC335" s="782">
        <v>331</v>
      </c>
      <c r="AD335" s="782" t="s">
        <v>4573</v>
      </c>
      <c r="AE335" s="782" t="s">
        <v>5487</v>
      </c>
      <c r="AF335" s="781">
        <f>$S$1*P!AF335</f>
        <v>0.41814516129032259</v>
      </c>
    </row>
    <row r="336" spans="19:32" x14ac:dyDescent="0.35">
      <c r="S336" s="782">
        <v>332</v>
      </c>
      <c r="T336" s="782" t="s">
        <v>4284</v>
      </c>
      <c r="U336" s="782" t="s">
        <v>5506</v>
      </c>
      <c r="V336" s="797">
        <f>$S$1*P!V336</f>
        <v>7.9516129032258069E-3</v>
      </c>
      <c r="W336" s="863"/>
      <c r="X336" s="782">
        <v>332</v>
      </c>
      <c r="Y336" s="782" t="s">
        <v>2248</v>
      </c>
      <c r="Z336" s="782" t="s">
        <v>3754</v>
      </c>
      <c r="AA336" s="781">
        <f>$S$1*P!AA336</f>
        <v>3.9283999999999999E-2</v>
      </c>
      <c r="AB336" s="780"/>
      <c r="AC336" s="782">
        <v>332</v>
      </c>
      <c r="AD336" s="782" t="s">
        <v>4573</v>
      </c>
      <c r="AE336" s="782" t="s">
        <v>3740</v>
      </c>
      <c r="AF336" s="781">
        <f>$S$1*P!AF336</f>
        <v>1.902217741935484</v>
      </c>
    </row>
    <row r="337" spans="19:32" x14ac:dyDescent="0.35">
      <c r="S337" s="782">
        <v>333</v>
      </c>
      <c r="T337" s="782" t="s">
        <v>4284</v>
      </c>
      <c r="U337" s="782" t="s">
        <v>5505</v>
      </c>
      <c r="V337" s="797">
        <f>$S$1*P!V337</f>
        <v>3.8044354838709681E-3</v>
      </c>
      <c r="W337" s="863"/>
      <c r="X337" s="782">
        <v>333</v>
      </c>
      <c r="Y337" s="782" t="s">
        <v>2248</v>
      </c>
      <c r="Z337" s="782" t="s">
        <v>3752</v>
      </c>
      <c r="AA337" s="781">
        <f>$S$1*P!AA337</f>
        <v>0</v>
      </c>
      <c r="AB337" s="780"/>
      <c r="AC337" s="782">
        <v>333</v>
      </c>
      <c r="AD337" s="782" t="s">
        <v>4573</v>
      </c>
      <c r="AE337" s="782" t="s">
        <v>3740</v>
      </c>
      <c r="AF337" s="781">
        <f>$S$1*P!AF337</f>
        <v>0</v>
      </c>
    </row>
    <row r="338" spans="19:32" x14ac:dyDescent="0.35">
      <c r="S338" s="782">
        <v>334</v>
      </c>
      <c r="T338" s="782" t="s">
        <v>4284</v>
      </c>
      <c r="U338" s="782" t="s">
        <v>5768</v>
      </c>
      <c r="V338" s="797">
        <f>$S$1*P!V338</f>
        <v>1.9536290322580648E-3</v>
      </c>
      <c r="W338" s="863"/>
      <c r="X338" s="782">
        <v>334</v>
      </c>
      <c r="Y338" s="782" t="s">
        <v>2248</v>
      </c>
      <c r="Z338" s="782" t="s">
        <v>3752</v>
      </c>
      <c r="AA338" s="781">
        <f>$S$1*P!AA338</f>
        <v>9.425403225806452E-4</v>
      </c>
      <c r="AB338" s="780"/>
      <c r="AC338" s="782">
        <v>334</v>
      </c>
      <c r="AD338" s="782" t="s">
        <v>4573</v>
      </c>
      <c r="AE338" s="782" t="s">
        <v>5486</v>
      </c>
      <c r="AF338" s="781">
        <f>$S$1*P!AF338</f>
        <v>6.2721774193548394E-2</v>
      </c>
    </row>
    <row r="339" spans="19:32" x14ac:dyDescent="0.35">
      <c r="S339" s="782">
        <v>335</v>
      </c>
      <c r="T339" s="782" t="s">
        <v>4284</v>
      </c>
      <c r="U339" s="782" t="s">
        <v>5503</v>
      </c>
      <c r="V339" s="797">
        <f>$S$1*P!V339</f>
        <v>3.225201612903226E-3</v>
      </c>
      <c r="W339" s="863"/>
      <c r="X339" s="782">
        <v>335</v>
      </c>
      <c r="Y339" s="782" t="s">
        <v>2248</v>
      </c>
      <c r="Z339" s="782" t="s">
        <v>3839</v>
      </c>
      <c r="AA339" s="781">
        <f>$S$1*P!AA339</f>
        <v>7.8830645161290329E-8</v>
      </c>
      <c r="AB339" s="780"/>
      <c r="AC339" s="782">
        <v>335</v>
      </c>
      <c r="AD339" s="782" t="s">
        <v>4573</v>
      </c>
      <c r="AE339" s="782" t="s">
        <v>3738</v>
      </c>
      <c r="AF339" s="781">
        <f>$S$1*P!AF339</f>
        <v>0.30912000000000001</v>
      </c>
    </row>
    <row r="340" spans="19:32" x14ac:dyDescent="0.35">
      <c r="S340" s="782">
        <v>336</v>
      </c>
      <c r="T340" s="782" t="s">
        <v>4284</v>
      </c>
      <c r="U340" s="782" t="s">
        <v>5502</v>
      </c>
      <c r="V340" s="797">
        <f>$S$1*P!V340</f>
        <v>1.3812500000000002E-2</v>
      </c>
      <c r="W340" s="863"/>
      <c r="X340" s="782">
        <v>336</v>
      </c>
      <c r="Y340" s="782" t="s">
        <v>2248</v>
      </c>
      <c r="Z340" s="782" t="s">
        <v>5509</v>
      </c>
      <c r="AA340" s="781">
        <f>$S$1*P!AA340</f>
        <v>6.2721774193548392E-5</v>
      </c>
      <c r="AB340" s="780"/>
      <c r="AC340" s="782">
        <v>336</v>
      </c>
      <c r="AD340" s="782" t="s">
        <v>4573</v>
      </c>
      <c r="AE340" s="782" t="s">
        <v>5485</v>
      </c>
      <c r="AF340" s="781">
        <f>$S$1*P!AF340</f>
        <v>5.8266129032258068E-3</v>
      </c>
    </row>
    <row r="341" spans="19:32" x14ac:dyDescent="0.35">
      <c r="S341" s="782">
        <v>337</v>
      </c>
      <c r="T341" s="782" t="s">
        <v>4284</v>
      </c>
      <c r="U341" s="782" t="s">
        <v>5501</v>
      </c>
      <c r="V341" s="797">
        <f>$S$1*P!V341</f>
        <v>2.8618951612903226E-4</v>
      </c>
      <c r="W341" s="863"/>
      <c r="X341" s="782">
        <v>337</v>
      </c>
      <c r="Y341" s="782" t="s">
        <v>2248</v>
      </c>
      <c r="Z341" s="782" t="s">
        <v>5767</v>
      </c>
      <c r="AA341" s="781">
        <f>$S$1*P!AA341</f>
        <v>7.848790322580645E-8</v>
      </c>
      <c r="AB341" s="780"/>
      <c r="AC341" s="782">
        <v>337</v>
      </c>
      <c r="AD341" s="782" t="s">
        <v>4573</v>
      </c>
      <c r="AE341" s="782" t="s">
        <v>5484</v>
      </c>
      <c r="AF341" s="781">
        <f>$S$1*P!AF341</f>
        <v>8.1229838709677424E-5</v>
      </c>
    </row>
    <row r="342" spans="19:32" x14ac:dyDescent="0.35">
      <c r="S342" s="782">
        <v>338</v>
      </c>
      <c r="T342" s="782" t="s">
        <v>4284</v>
      </c>
      <c r="U342" s="782" t="s">
        <v>3742</v>
      </c>
      <c r="V342" s="797">
        <f>$S$1*P!V342</f>
        <v>1.0211999999999999</v>
      </c>
      <c r="W342" s="863"/>
      <c r="X342" s="782">
        <v>338</v>
      </c>
      <c r="Y342" s="782" t="s">
        <v>2248</v>
      </c>
      <c r="Z342" s="782" t="s">
        <v>5508</v>
      </c>
      <c r="AA342" s="781">
        <f>$S$1*P!AA342</f>
        <v>3.9072580645161297E-3</v>
      </c>
      <c r="AB342" s="780"/>
      <c r="AC342" s="782">
        <v>338</v>
      </c>
      <c r="AD342" s="782" t="s">
        <v>4573</v>
      </c>
      <c r="AE342" s="782" t="s">
        <v>3736</v>
      </c>
      <c r="AF342" s="781">
        <f>$S$1*P!AF342</f>
        <v>0</v>
      </c>
    </row>
    <row r="343" spans="19:32" x14ac:dyDescent="0.35">
      <c r="S343" s="782">
        <v>339</v>
      </c>
      <c r="T343" s="782" t="s">
        <v>4284</v>
      </c>
      <c r="U343" s="782" t="s">
        <v>5500</v>
      </c>
      <c r="V343" s="797">
        <f>$S$1*P!V343</f>
        <v>0.38387096774193552</v>
      </c>
      <c r="W343" s="863"/>
      <c r="X343" s="782">
        <v>339</v>
      </c>
      <c r="Y343" s="782" t="s">
        <v>2248</v>
      </c>
      <c r="Z343" s="782" t="s">
        <v>3750</v>
      </c>
      <c r="AA343" s="781">
        <f>$S$1*P!AA343</f>
        <v>0</v>
      </c>
      <c r="AB343" s="780"/>
      <c r="AC343" s="782">
        <v>339</v>
      </c>
      <c r="AD343" s="782" t="s">
        <v>4573</v>
      </c>
      <c r="AE343" s="782" t="s">
        <v>5483</v>
      </c>
      <c r="AF343" s="781">
        <f>$S$1*P!AF343</f>
        <v>3.0881048387096776E-3</v>
      </c>
    </row>
    <row r="344" spans="19:32" x14ac:dyDescent="0.35">
      <c r="S344" s="782">
        <v>340</v>
      </c>
      <c r="T344" s="782" t="s">
        <v>4284</v>
      </c>
      <c r="U344" s="782" t="s">
        <v>5499</v>
      </c>
      <c r="V344" s="797">
        <f>$S$1*P!V344</f>
        <v>0.40100806451612908</v>
      </c>
      <c r="W344" s="863"/>
      <c r="X344" s="782">
        <v>340</v>
      </c>
      <c r="Y344" s="782" t="s">
        <v>2248</v>
      </c>
      <c r="Z344" s="782" t="s">
        <v>3750</v>
      </c>
      <c r="AA344" s="781">
        <f>$S$1*P!AA344</f>
        <v>2.4266129032258065E-3</v>
      </c>
      <c r="AB344" s="780"/>
      <c r="AC344" s="782">
        <v>340</v>
      </c>
      <c r="AD344" s="782" t="s">
        <v>4573</v>
      </c>
      <c r="AE344" s="782" t="s">
        <v>5482</v>
      </c>
      <c r="AF344" s="781">
        <f>$S$1*P!AF344</f>
        <v>2.7590725806451613E-3</v>
      </c>
    </row>
    <row r="345" spans="19:32" x14ac:dyDescent="0.35">
      <c r="S345" s="782">
        <v>341</v>
      </c>
      <c r="T345" s="782" t="s">
        <v>4284</v>
      </c>
      <c r="U345" s="782" t="s">
        <v>5498</v>
      </c>
      <c r="V345" s="797">
        <f>$S$1*P!V345</f>
        <v>4.9012096774193551E-3</v>
      </c>
      <c r="W345" s="863"/>
      <c r="X345" s="782">
        <v>341</v>
      </c>
      <c r="Y345" s="782" t="s">
        <v>2248</v>
      </c>
      <c r="Z345" s="782" t="s">
        <v>5766</v>
      </c>
      <c r="AA345" s="781">
        <f>$S$1*P!AA345</f>
        <v>8.1229838709677425E-10</v>
      </c>
      <c r="AB345" s="780"/>
      <c r="AC345" s="782">
        <v>341</v>
      </c>
      <c r="AD345" s="782" t="s">
        <v>4573</v>
      </c>
      <c r="AE345" s="782" t="s">
        <v>3735</v>
      </c>
      <c r="AF345" s="781">
        <f>$S$1*P!AF345</f>
        <v>7.5255999999999998</v>
      </c>
    </row>
    <row r="346" spans="19:32" x14ac:dyDescent="0.35">
      <c r="S346" s="782">
        <v>342</v>
      </c>
      <c r="T346" s="782" t="s">
        <v>4284</v>
      </c>
      <c r="U346" s="782" t="s">
        <v>5497</v>
      </c>
      <c r="V346" s="797">
        <f>$S$1*P!V346</f>
        <v>2.080443548387097E-3</v>
      </c>
      <c r="W346" s="863"/>
      <c r="X346" s="782">
        <v>342</v>
      </c>
      <c r="Y346" s="782" t="s">
        <v>2248</v>
      </c>
      <c r="Z346" s="782" t="s">
        <v>5507</v>
      </c>
      <c r="AA346" s="781">
        <f>$S$1*P!AA346</f>
        <v>1.3435483870967742E-2</v>
      </c>
      <c r="AB346" s="780"/>
      <c r="AC346" s="782">
        <v>342</v>
      </c>
      <c r="AD346" s="782" t="s">
        <v>4573</v>
      </c>
      <c r="AE346" s="782" t="s">
        <v>5481</v>
      </c>
      <c r="AF346" s="781">
        <f>$S$1*P!AF346</f>
        <v>0.31258064516129036</v>
      </c>
    </row>
    <row r="347" spans="19:32" x14ac:dyDescent="0.35">
      <c r="S347" s="782">
        <v>343</v>
      </c>
      <c r="T347" s="782" t="s">
        <v>4284</v>
      </c>
      <c r="U347" s="782" t="s">
        <v>5496</v>
      </c>
      <c r="V347" s="797">
        <f>$S$1*P!V347</f>
        <v>8.362903225806452E-4</v>
      </c>
      <c r="W347" s="863"/>
      <c r="X347" s="782">
        <v>343</v>
      </c>
      <c r="Y347" s="782" t="s">
        <v>2248</v>
      </c>
      <c r="Z347" s="782" t="s">
        <v>3749</v>
      </c>
      <c r="AA347" s="781">
        <f>$S$1*P!AA347</f>
        <v>0</v>
      </c>
      <c r="AB347" s="780"/>
      <c r="AC347" s="782">
        <v>343</v>
      </c>
      <c r="AD347" s="782" t="s">
        <v>4573</v>
      </c>
      <c r="AE347" s="782" t="s">
        <v>5480</v>
      </c>
      <c r="AF347" s="781">
        <f>$S$1*P!AF347</f>
        <v>9.6653225806451623E-2</v>
      </c>
    </row>
    <row r="348" spans="19:32" x14ac:dyDescent="0.35">
      <c r="S348" s="782">
        <v>344</v>
      </c>
      <c r="T348" s="782" t="s">
        <v>4284</v>
      </c>
      <c r="U348" s="782" t="s">
        <v>5495</v>
      </c>
      <c r="V348" s="797">
        <f>$S$1*P!V348</f>
        <v>1.3778225806451614E-2</v>
      </c>
      <c r="W348" s="863"/>
      <c r="X348" s="782">
        <v>344</v>
      </c>
      <c r="Y348" s="782" t="s">
        <v>2248</v>
      </c>
      <c r="Z348" s="782" t="s">
        <v>3749</v>
      </c>
      <c r="AA348" s="781">
        <f>$S$1*P!AA348</f>
        <v>2.834475806451613E-5</v>
      </c>
      <c r="AB348" s="780"/>
      <c r="AC348" s="782">
        <v>344</v>
      </c>
      <c r="AD348" s="782" t="s">
        <v>4573</v>
      </c>
      <c r="AE348" s="782" t="s">
        <v>5479</v>
      </c>
      <c r="AF348" s="781">
        <f>$S$1*P!AF348</f>
        <v>0.12133064516129033</v>
      </c>
    </row>
    <row r="349" spans="19:32" x14ac:dyDescent="0.35">
      <c r="S349" s="782">
        <v>345</v>
      </c>
      <c r="T349" s="782" t="s">
        <v>4284</v>
      </c>
      <c r="U349" s="782" t="s">
        <v>5494</v>
      </c>
      <c r="V349" s="797">
        <f>$S$1*P!V349</f>
        <v>4.9012096774193551E-3</v>
      </c>
      <c r="W349" s="863"/>
      <c r="X349" s="782">
        <v>345</v>
      </c>
      <c r="Y349" s="782" t="s">
        <v>2248</v>
      </c>
      <c r="Z349" s="782" t="s">
        <v>5765</v>
      </c>
      <c r="AA349" s="781">
        <f>$S$1*P!AA349</f>
        <v>4.25E-6</v>
      </c>
      <c r="AB349" s="780"/>
      <c r="AC349" s="782">
        <v>345</v>
      </c>
      <c r="AD349" s="782" t="s">
        <v>4573</v>
      </c>
      <c r="AE349" s="782" t="s">
        <v>5478</v>
      </c>
      <c r="AF349" s="781">
        <f>$S$1*P!AF349</f>
        <v>0.10933467741935485</v>
      </c>
    </row>
    <row r="350" spans="19:32" x14ac:dyDescent="0.35">
      <c r="S350" s="782">
        <v>346</v>
      </c>
      <c r="T350" s="782" t="s">
        <v>4284</v>
      </c>
      <c r="U350" s="782" t="s">
        <v>5493</v>
      </c>
      <c r="V350" s="797">
        <f>$S$1*P!V350</f>
        <v>1.2784274193548388E-3</v>
      </c>
      <c r="W350" s="863"/>
      <c r="X350" s="782">
        <v>346</v>
      </c>
      <c r="Y350" s="782" t="s">
        <v>2248</v>
      </c>
      <c r="Z350" s="782" t="s">
        <v>3746</v>
      </c>
      <c r="AA350" s="781">
        <f>$S$1*P!AA350</f>
        <v>0</v>
      </c>
      <c r="AB350" s="780"/>
      <c r="AC350" s="782">
        <v>346</v>
      </c>
      <c r="AD350" s="782" t="s">
        <v>4573</v>
      </c>
      <c r="AE350" s="782" t="s">
        <v>5476</v>
      </c>
      <c r="AF350" s="781">
        <f>$S$1*P!AF350</f>
        <v>0.25671370967741935</v>
      </c>
    </row>
    <row r="351" spans="19:32" x14ac:dyDescent="0.35">
      <c r="S351" s="782">
        <v>347</v>
      </c>
      <c r="T351" s="782" t="s">
        <v>4284</v>
      </c>
      <c r="U351" s="782" t="s">
        <v>5492</v>
      </c>
      <c r="V351" s="797">
        <f>$S$1*P!V351</f>
        <v>2.3614919354838712E-3</v>
      </c>
      <c r="W351" s="863"/>
      <c r="X351" s="782">
        <v>347</v>
      </c>
      <c r="Y351" s="782" t="s">
        <v>2248</v>
      </c>
      <c r="Z351" s="782" t="s">
        <v>3746</v>
      </c>
      <c r="AA351" s="781">
        <f>$S$1*P!AA351</f>
        <v>2.6802419354838711E-2</v>
      </c>
      <c r="AB351" s="780"/>
      <c r="AC351" s="782">
        <v>347</v>
      </c>
      <c r="AD351" s="782" t="s">
        <v>4573</v>
      </c>
      <c r="AE351" s="782" t="s">
        <v>3733</v>
      </c>
      <c r="AF351" s="781">
        <f>$S$1*P!AF351</f>
        <v>0</v>
      </c>
    </row>
    <row r="352" spans="19:32" x14ac:dyDescent="0.35">
      <c r="S352" s="782">
        <v>348</v>
      </c>
      <c r="T352" s="782" t="s">
        <v>4284</v>
      </c>
      <c r="U352" s="782" t="s">
        <v>5491</v>
      </c>
      <c r="V352" s="797">
        <f>$S$1*P!V352</f>
        <v>7.985887096774194E-4</v>
      </c>
      <c r="W352" s="863"/>
      <c r="X352" s="782">
        <v>348</v>
      </c>
      <c r="Y352" s="782" t="s">
        <v>2248</v>
      </c>
      <c r="Z352" s="782" t="s">
        <v>5764</v>
      </c>
      <c r="AA352" s="781">
        <f>$S$1*P!AA352</f>
        <v>2.5294354838709683E-9</v>
      </c>
      <c r="AB352" s="780"/>
      <c r="AC352" s="782">
        <v>348</v>
      </c>
      <c r="AD352" s="782" t="s">
        <v>4573</v>
      </c>
      <c r="AE352" s="782" t="s">
        <v>5475</v>
      </c>
      <c r="AF352" s="781">
        <f>$S$1*P!AF352</f>
        <v>3.6673387096774195E-2</v>
      </c>
    </row>
    <row r="353" spans="19:32" x14ac:dyDescent="0.35">
      <c r="S353" s="782">
        <v>349</v>
      </c>
      <c r="T353" s="782" t="s">
        <v>4284</v>
      </c>
      <c r="U353" s="782" t="s">
        <v>5490</v>
      </c>
      <c r="V353" s="797">
        <f>$S$1*P!V353</f>
        <v>5.9637096774193546E-6</v>
      </c>
      <c r="W353" s="863"/>
      <c r="X353" s="782">
        <v>349</v>
      </c>
      <c r="Y353" s="782" t="s">
        <v>2248</v>
      </c>
      <c r="Z353" s="782" t="s">
        <v>5506</v>
      </c>
      <c r="AA353" s="781">
        <f>$S$1*P!AA353</f>
        <v>6.4435483870967751E-3</v>
      </c>
      <c r="AB353" s="780"/>
      <c r="AC353" s="782">
        <v>349</v>
      </c>
      <c r="AD353" s="782" t="s">
        <v>4573</v>
      </c>
      <c r="AE353" s="782" t="s">
        <v>5474</v>
      </c>
      <c r="AF353" s="781">
        <f>$S$1*P!AF353</f>
        <v>0.39758064516129038</v>
      </c>
    </row>
    <row r="354" spans="19:32" x14ac:dyDescent="0.35">
      <c r="S354" s="782">
        <v>350</v>
      </c>
      <c r="T354" s="782" t="s">
        <v>4284</v>
      </c>
      <c r="U354" s="782" t="s">
        <v>5489</v>
      </c>
      <c r="V354" s="797">
        <f>$S$1*P!V354</f>
        <v>2.553427419354839E-5</v>
      </c>
      <c r="W354" s="863"/>
      <c r="X354" s="782">
        <v>350</v>
      </c>
      <c r="Y354" s="782" t="s">
        <v>2248</v>
      </c>
      <c r="Z354" s="782" t="s">
        <v>5505</v>
      </c>
      <c r="AA354" s="781">
        <f>$S$1*P!AA354</f>
        <v>4.9697580645161298E-3</v>
      </c>
      <c r="AB354" s="780"/>
      <c r="AC354" s="782">
        <v>350</v>
      </c>
      <c r="AD354" s="782" t="s">
        <v>4573</v>
      </c>
      <c r="AE354" s="782" t="s">
        <v>5473</v>
      </c>
      <c r="AF354" s="781">
        <f>$S$1*P!AF354</f>
        <v>0.5278225806451613</v>
      </c>
    </row>
    <row r="355" spans="19:32" x14ac:dyDescent="0.35">
      <c r="S355" s="782">
        <v>351</v>
      </c>
      <c r="T355" s="782" t="s">
        <v>4284</v>
      </c>
      <c r="U355" s="782" t="s">
        <v>5488</v>
      </c>
      <c r="V355" s="797">
        <f>$S$1*P!V355</f>
        <v>5.3467741935483877E-2</v>
      </c>
      <c r="W355" s="863"/>
      <c r="X355" s="782">
        <v>351</v>
      </c>
      <c r="Y355" s="782" t="s">
        <v>2248</v>
      </c>
      <c r="Z355" s="782" t="s">
        <v>3836</v>
      </c>
      <c r="AA355" s="781">
        <f>$S$1*P!AA355</f>
        <v>1.9570564516129033E-3</v>
      </c>
      <c r="AB355" s="780"/>
      <c r="AC355" s="782">
        <v>351</v>
      </c>
      <c r="AD355" s="782" t="s">
        <v>4573</v>
      </c>
      <c r="AE355" s="782" t="s">
        <v>5472</v>
      </c>
      <c r="AF355" s="781">
        <f>$S$1*P!AF355</f>
        <v>76.774193548387103</v>
      </c>
    </row>
    <row r="356" spans="19:32" x14ac:dyDescent="0.35">
      <c r="S356" s="782">
        <v>352</v>
      </c>
      <c r="T356" s="782" t="s">
        <v>4284</v>
      </c>
      <c r="U356" s="782" t="s">
        <v>5487</v>
      </c>
      <c r="V356" s="797">
        <f>$S$1*P!V356</f>
        <v>7.129032258064516E-2</v>
      </c>
      <c r="W356" s="863"/>
      <c r="X356" s="782">
        <v>352</v>
      </c>
      <c r="Y356" s="782" t="s">
        <v>2248</v>
      </c>
      <c r="Z356" s="782" t="s">
        <v>5504</v>
      </c>
      <c r="AA356" s="781">
        <f>$S$1*P!AA356</f>
        <v>7.1290322580645174E-4</v>
      </c>
      <c r="AB356" s="780"/>
      <c r="AC356" s="782">
        <v>352</v>
      </c>
      <c r="AD356" s="782" t="s">
        <v>4573</v>
      </c>
      <c r="AE356" s="782" t="s">
        <v>3730</v>
      </c>
      <c r="AF356" s="781">
        <f>$S$1*P!AF356</f>
        <v>0.38179999999999997</v>
      </c>
    </row>
    <row r="357" spans="19:32" x14ac:dyDescent="0.35">
      <c r="S357" s="782">
        <v>353</v>
      </c>
      <c r="T357" s="782" t="s">
        <v>4284</v>
      </c>
      <c r="U357" s="782" t="s">
        <v>3740</v>
      </c>
      <c r="V357" s="797">
        <f>$S$1*P!V357</f>
        <v>0.12852822580645162</v>
      </c>
      <c r="W357" s="863"/>
      <c r="X357" s="782">
        <v>353</v>
      </c>
      <c r="Y357" s="782" t="s">
        <v>2248</v>
      </c>
      <c r="Z357" s="782" t="s">
        <v>5503</v>
      </c>
      <c r="AA357" s="781">
        <f>$S$1*P!AA357</f>
        <v>5.9294354838709679E-3</v>
      </c>
      <c r="AB357" s="780"/>
      <c r="AC357" s="782">
        <v>353</v>
      </c>
      <c r="AD357" s="782" t="s">
        <v>4573</v>
      </c>
      <c r="AE357" s="782" t="s">
        <v>3729</v>
      </c>
      <c r="AF357" s="781">
        <f>$S$1*P!AF357</f>
        <v>0.56552419354838712</v>
      </c>
    </row>
    <row r="358" spans="19:32" x14ac:dyDescent="0.35">
      <c r="S358" s="782">
        <v>354</v>
      </c>
      <c r="T358" s="782" t="s">
        <v>4284</v>
      </c>
      <c r="U358" s="782" t="s">
        <v>3740</v>
      </c>
      <c r="V358" s="797">
        <f>$S$1*P!V358</f>
        <v>0</v>
      </c>
      <c r="W358" s="863"/>
      <c r="X358" s="782">
        <v>354</v>
      </c>
      <c r="Y358" s="782" t="s">
        <v>2248</v>
      </c>
      <c r="Z358" s="782" t="s">
        <v>5763</v>
      </c>
      <c r="AA358" s="781">
        <f>$S$1*P!AA358</f>
        <v>4.1471774193548389E-2</v>
      </c>
      <c r="AB358" s="780"/>
      <c r="AC358" s="782">
        <v>354</v>
      </c>
      <c r="AD358" s="782" t="s">
        <v>4573</v>
      </c>
      <c r="AE358" s="782" t="s">
        <v>3729</v>
      </c>
      <c r="AF358" s="781">
        <f>$S$1*P!AF358</f>
        <v>0</v>
      </c>
    </row>
    <row r="359" spans="19:32" x14ac:dyDescent="0.35">
      <c r="S359" s="782">
        <v>355</v>
      </c>
      <c r="T359" s="782" t="s">
        <v>4284</v>
      </c>
      <c r="U359" s="782" t="s">
        <v>5486</v>
      </c>
      <c r="V359" s="797">
        <f>$S$1*P!V359</f>
        <v>2.7453629032258068E-4</v>
      </c>
      <c r="W359" s="863"/>
      <c r="X359" s="782">
        <v>355</v>
      </c>
      <c r="Y359" s="782" t="s">
        <v>2248</v>
      </c>
      <c r="Z359" s="782" t="s">
        <v>5502</v>
      </c>
      <c r="AA359" s="781">
        <f>$S$1*P!AA359</f>
        <v>1.8542338709677419E-2</v>
      </c>
      <c r="AB359" s="780"/>
      <c r="AC359" s="782">
        <v>355</v>
      </c>
      <c r="AD359" s="782" t="s">
        <v>4573</v>
      </c>
      <c r="AE359" s="782" t="s">
        <v>5471</v>
      </c>
      <c r="AF359" s="781">
        <f>$S$1*P!AF359</f>
        <v>0.21010080645161291</v>
      </c>
    </row>
    <row r="360" spans="19:32" x14ac:dyDescent="0.35">
      <c r="S360" s="782">
        <v>356</v>
      </c>
      <c r="T360" s="782" t="s">
        <v>4284</v>
      </c>
      <c r="U360" s="782" t="s">
        <v>3738</v>
      </c>
      <c r="V360" s="797">
        <f>$S$1*P!V360</f>
        <v>0.17388000000000001</v>
      </c>
      <c r="W360" s="863"/>
      <c r="X360" s="782">
        <v>356</v>
      </c>
      <c r="Y360" s="782" t="s">
        <v>2248</v>
      </c>
      <c r="Z360" s="782" t="s">
        <v>5501</v>
      </c>
      <c r="AA360" s="781">
        <f>$S$1*P!AA360</f>
        <v>4.8669354838709681E-4</v>
      </c>
      <c r="AB360" s="780"/>
      <c r="AC360" s="782">
        <v>356</v>
      </c>
      <c r="AD360" s="782" t="s">
        <v>4573</v>
      </c>
      <c r="AE360" s="782" t="s">
        <v>5470</v>
      </c>
      <c r="AF360" s="781">
        <f>$S$1*P!AF360</f>
        <v>4.8326612903225813E-3</v>
      </c>
    </row>
    <row r="361" spans="19:32" x14ac:dyDescent="0.35">
      <c r="S361" s="782">
        <v>357</v>
      </c>
      <c r="T361" s="782" t="s">
        <v>4284</v>
      </c>
      <c r="U361" s="782" t="s">
        <v>5485</v>
      </c>
      <c r="V361" s="797">
        <f>$S$1*P!V361</f>
        <v>2.4368951612903229E-8</v>
      </c>
      <c r="W361" s="863"/>
      <c r="X361" s="782">
        <v>357</v>
      </c>
      <c r="Y361" s="782" t="s">
        <v>2248</v>
      </c>
      <c r="Z361" s="782" t="s">
        <v>3742</v>
      </c>
      <c r="AA361" s="781">
        <f>$S$1*P!AA361</f>
        <v>0.1978</v>
      </c>
      <c r="AB361" s="780"/>
      <c r="AC361" s="782">
        <v>357</v>
      </c>
      <c r="AD361" s="782" t="s">
        <v>4573</v>
      </c>
      <c r="AE361" s="782" t="s">
        <v>5469</v>
      </c>
      <c r="AF361" s="781">
        <f>$S$1*P!AF361</f>
        <v>1.0247983870967743E-2</v>
      </c>
    </row>
    <row r="362" spans="19:32" x14ac:dyDescent="0.35">
      <c r="S362" s="782">
        <v>358</v>
      </c>
      <c r="T362" s="782" t="s">
        <v>4284</v>
      </c>
      <c r="U362" s="782" t="s">
        <v>5484</v>
      </c>
      <c r="V362" s="797">
        <f>$S$1*P!V362</f>
        <v>1.8542338709677421E-5</v>
      </c>
      <c r="W362" s="863"/>
      <c r="X362" s="782">
        <v>358</v>
      </c>
      <c r="Y362" s="782" t="s">
        <v>2248</v>
      </c>
      <c r="Z362" s="782" t="s">
        <v>5762</v>
      </c>
      <c r="AA362" s="781">
        <f>$S$1*P!AA362</f>
        <v>1.1721774193548387E-4</v>
      </c>
      <c r="AB362" s="780"/>
      <c r="AC362" s="782">
        <v>358</v>
      </c>
      <c r="AD362" s="782" t="s">
        <v>4573</v>
      </c>
      <c r="AE362" s="782" t="s">
        <v>5468</v>
      </c>
      <c r="AF362" s="781">
        <f>$S$1*P!AF362</f>
        <v>0.11516129032258066</v>
      </c>
    </row>
    <row r="363" spans="19:32" x14ac:dyDescent="0.35">
      <c r="S363" s="782">
        <v>359</v>
      </c>
      <c r="T363" s="782" t="s">
        <v>4284</v>
      </c>
      <c r="U363" s="782" t="s">
        <v>3736</v>
      </c>
      <c r="V363" s="797">
        <f>$S$1*P!V363</f>
        <v>0</v>
      </c>
      <c r="W363" s="863"/>
      <c r="X363" s="782">
        <v>359</v>
      </c>
      <c r="Y363" s="782" t="s">
        <v>2248</v>
      </c>
      <c r="Z363" s="782" t="s">
        <v>5500</v>
      </c>
      <c r="AA363" s="781">
        <f>$S$1*P!AA363</f>
        <v>0.40100806451612908</v>
      </c>
      <c r="AB363" s="780"/>
      <c r="AC363" s="782">
        <v>359</v>
      </c>
      <c r="AD363" s="782" t="s">
        <v>4573</v>
      </c>
      <c r="AE363" s="782" t="s">
        <v>3727</v>
      </c>
      <c r="AF363" s="781">
        <f>$S$1*P!AF363</f>
        <v>16.559999999999999</v>
      </c>
    </row>
    <row r="364" spans="19:32" x14ac:dyDescent="0.35">
      <c r="S364" s="782">
        <v>360</v>
      </c>
      <c r="T364" s="782" t="s">
        <v>4284</v>
      </c>
      <c r="U364" s="782" t="s">
        <v>5483</v>
      </c>
      <c r="V364" s="797">
        <f>$S$1*P!V364</f>
        <v>1.6588709677419357E-5</v>
      </c>
      <c r="W364" s="863"/>
      <c r="X364" s="782">
        <v>360</v>
      </c>
      <c r="Y364" s="782" t="s">
        <v>2248</v>
      </c>
      <c r="Z364" s="782" t="s">
        <v>5499</v>
      </c>
      <c r="AA364" s="781">
        <f>$S$1*P!AA364</f>
        <v>0.43185483870967745</v>
      </c>
      <c r="AB364" s="780"/>
      <c r="AC364" s="782">
        <v>360</v>
      </c>
      <c r="AD364" s="782" t="s">
        <v>4573</v>
      </c>
      <c r="AE364" s="782" t="s">
        <v>5467</v>
      </c>
      <c r="AF364" s="781">
        <f>$S$1*P!AF364</f>
        <v>0.56209677419354842</v>
      </c>
    </row>
    <row r="365" spans="19:32" x14ac:dyDescent="0.35">
      <c r="S365" s="782">
        <v>361</v>
      </c>
      <c r="T365" s="782" t="s">
        <v>4284</v>
      </c>
      <c r="U365" s="782" t="s">
        <v>5482</v>
      </c>
      <c r="V365" s="797">
        <f>$S$1*P!V365</f>
        <v>1.5560483870967744E-4</v>
      </c>
      <c r="W365" s="863"/>
      <c r="X365" s="782">
        <v>361</v>
      </c>
      <c r="Y365" s="782" t="s">
        <v>2248</v>
      </c>
      <c r="Z365" s="782" t="s">
        <v>5761</v>
      </c>
      <c r="AA365" s="781">
        <f>$S$1*P!AA365</f>
        <v>3.941532258064517E-6</v>
      </c>
      <c r="AB365" s="780"/>
      <c r="AC365" s="782">
        <v>361</v>
      </c>
      <c r="AD365" s="782" t="s">
        <v>4573</v>
      </c>
      <c r="AE365" s="782" t="s">
        <v>3724</v>
      </c>
      <c r="AF365" s="781">
        <f>$S$1*P!AF365</f>
        <v>18.675999999999998</v>
      </c>
    </row>
    <row r="366" spans="19:32" x14ac:dyDescent="0.35">
      <c r="S366" s="782">
        <v>362</v>
      </c>
      <c r="T366" s="782" t="s">
        <v>4284</v>
      </c>
      <c r="U366" s="782" t="s">
        <v>3735</v>
      </c>
      <c r="V366" s="797">
        <f>$S$1*P!V366</f>
        <v>1.2144000000000001</v>
      </c>
      <c r="W366" s="863"/>
      <c r="X366" s="782">
        <v>362</v>
      </c>
      <c r="Y366" s="782" t="s">
        <v>2248</v>
      </c>
      <c r="Z366" s="782" t="s">
        <v>5498</v>
      </c>
      <c r="AA366" s="781">
        <f>$S$1*P!AA366</f>
        <v>9.2883064516129047E-3</v>
      </c>
      <c r="AB366" s="780"/>
      <c r="AC366" s="782">
        <v>362</v>
      </c>
      <c r="AD366" s="782" t="s">
        <v>4573</v>
      </c>
      <c r="AE366" s="782" t="s">
        <v>5466</v>
      </c>
      <c r="AF366" s="781">
        <f>$S$1*P!AF366</f>
        <v>0.11995967741935484</v>
      </c>
    </row>
    <row r="367" spans="19:32" x14ac:dyDescent="0.35">
      <c r="S367" s="782">
        <v>363</v>
      </c>
      <c r="T367" s="782" t="s">
        <v>4284</v>
      </c>
      <c r="U367" s="782" t="s">
        <v>5481</v>
      </c>
      <c r="V367" s="797">
        <f>$S$1*P!V367</f>
        <v>5.175403225806452E-3</v>
      </c>
      <c r="W367" s="863"/>
      <c r="X367" s="782">
        <v>363</v>
      </c>
      <c r="Y367" s="782" t="s">
        <v>2248</v>
      </c>
      <c r="Z367" s="782" t="s">
        <v>5497</v>
      </c>
      <c r="AA367" s="781">
        <f>$S$1*P!AA367</f>
        <v>6.0665322580645163E-3</v>
      </c>
      <c r="AB367" s="780"/>
      <c r="AC367" s="782">
        <v>363</v>
      </c>
      <c r="AD367" s="782" t="s">
        <v>4573</v>
      </c>
      <c r="AE367" s="782" t="s">
        <v>5465</v>
      </c>
      <c r="AF367" s="781">
        <f>$S$1*P!AF367</f>
        <v>0.10659274193548388</v>
      </c>
    </row>
    <row r="368" spans="19:32" x14ac:dyDescent="0.35">
      <c r="S368" s="782">
        <v>364</v>
      </c>
      <c r="T368" s="782" t="s">
        <v>4284</v>
      </c>
      <c r="U368" s="782" t="s">
        <v>5480</v>
      </c>
      <c r="V368" s="797">
        <f>$S$1*P!V368</f>
        <v>1.4086693548387098E-3</v>
      </c>
      <c r="W368" s="863"/>
      <c r="X368" s="782">
        <v>364</v>
      </c>
      <c r="Y368" s="782" t="s">
        <v>2248</v>
      </c>
      <c r="Z368" s="782" t="s">
        <v>5496</v>
      </c>
      <c r="AA368" s="781">
        <f>$S$1*P!AA368</f>
        <v>6.9919354838709679E-3</v>
      </c>
      <c r="AB368" s="780"/>
      <c r="AC368" s="782">
        <v>364</v>
      </c>
      <c r="AD368" s="782" t="s">
        <v>4573</v>
      </c>
      <c r="AE368" s="782" t="s">
        <v>5464</v>
      </c>
      <c r="AF368" s="781">
        <f>$S$1*P!AF368</f>
        <v>3.376008064516129E-2</v>
      </c>
    </row>
    <row r="369" spans="19:32" x14ac:dyDescent="0.35">
      <c r="S369" s="782">
        <v>365</v>
      </c>
      <c r="T369" s="782" t="s">
        <v>4284</v>
      </c>
      <c r="U369" s="782" t="s">
        <v>5479</v>
      </c>
      <c r="V369" s="797">
        <f>$S$1*P!V369</f>
        <v>7.1975806451612912E-4</v>
      </c>
      <c r="W369" s="863"/>
      <c r="X369" s="782">
        <v>365</v>
      </c>
      <c r="Y369" s="782" t="s">
        <v>2248</v>
      </c>
      <c r="Z369" s="782" t="s">
        <v>5760</v>
      </c>
      <c r="AA369" s="781">
        <f>$S$1*P!AA369</f>
        <v>1.5389112903225808E-2</v>
      </c>
      <c r="AB369" s="780"/>
      <c r="AC369" s="782">
        <v>365</v>
      </c>
      <c r="AD369" s="782" t="s">
        <v>4573</v>
      </c>
      <c r="AE369" s="782" t="s">
        <v>5463</v>
      </c>
      <c r="AF369" s="781">
        <f>$S$1*P!AF369</f>
        <v>5.620967741935484</v>
      </c>
    </row>
    <row r="370" spans="19:32" x14ac:dyDescent="0.35">
      <c r="S370" s="782">
        <v>366</v>
      </c>
      <c r="T370" s="782" t="s">
        <v>4284</v>
      </c>
      <c r="U370" s="782" t="s">
        <v>5478</v>
      </c>
      <c r="V370" s="797">
        <f>$S$1*P!V370</f>
        <v>4.5584677419354845E-3</v>
      </c>
      <c r="W370" s="863"/>
      <c r="X370" s="782">
        <v>366</v>
      </c>
      <c r="Y370" s="782" t="s">
        <v>2248</v>
      </c>
      <c r="Z370" s="782" t="s">
        <v>5495</v>
      </c>
      <c r="AA370" s="781">
        <f>$S$1*P!AA370</f>
        <v>2.8207661290322581E-3</v>
      </c>
      <c r="AB370" s="780"/>
      <c r="AC370" s="782">
        <v>366</v>
      </c>
      <c r="AD370" s="782" t="s">
        <v>4573</v>
      </c>
      <c r="AE370" s="782" t="s">
        <v>5462</v>
      </c>
      <c r="AF370" s="781">
        <f>$S$1*P!AF370</f>
        <v>1.785685483870968E-2</v>
      </c>
    </row>
    <row r="371" spans="19:32" x14ac:dyDescent="0.35">
      <c r="S371" s="782">
        <v>367</v>
      </c>
      <c r="T371" s="782" t="s">
        <v>4284</v>
      </c>
      <c r="U371" s="782" t="s">
        <v>5476</v>
      </c>
      <c r="V371" s="797">
        <f>$S$1*P!V371</f>
        <v>4.0443548387096781E-3</v>
      </c>
      <c r="W371" s="863"/>
      <c r="X371" s="782">
        <v>367</v>
      </c>
      <c r="Y371" s="782" t="s">
        <v>2248</v>
      </c>
      <c r="Z371" s="782" t="s">
        <v>5494</v>
      </c>
      <c r="AA371" s="781">
        <f>$S$1*P!AA371</f>
        <v>1.4703629032258064E-3</v>
      </c>
      <c r="AB371" s="780"/>
      <c r="AC371" s="782">
        <v>367</v>
      </c>
      <c r="AD371" s="782" t="s">
        <v>4573</v>
      </c>
      <c r="AE371" s="782" t="s">
        <v>3723</v>
      </c>
      <c r="AF371" s="781">
        <f>$S$1*P!AF371</f>
        <v>1.0419354838709679E-2</v>
      </c>
    </row>
    <row r="372" spans="19:32" x14ac:dyDescent="0.35">
      <c r="S372" s="782">
        <v>368</v>
      </c>
      <c r="T372" s="782" t="s">
        <v>4284</v>
      </c>
      <c r="U372" s="782" t="s">
        <v>3733</v>
      </c>
      <c r="V372" s="797">
        <f>$S$1*P!V372</f>
        <v>0</v>
      </c>
      <c r="W372" s="863"/>
      <c r="X372" s="782">
        <v>368</v>
      </c>
      <c r="Y372" s="782" t="s">
        <v>2248</v>
      </c>
      <c r="Z372" s="782" t="s">
        <v>5759</v>
      </c>
      <c r="AA372" s="781">
        <f>$S$1*P!AA372</f>
        <v>2.4780241935483876E-4</v>
      </c>
      <c r="AB372" s="780"/>
      <c r="AC372" s="782">
        <v>368</v>
      </c>
      <c r="AD372" s="782" t="s">
        <v>4573</v>
      </c>
      <c r="AE372" s="782" t="s">
        <v>3723</v>
      </c>
      <c r="AF372" s="781">
        <f>$S$1*P!AF372</f>
        <v>0</v>
      </c>
    </row>
    <row r="373" spans="19:32" x14ac:dyDescent="0.35">
      <c r="S373" s="782">
        <v>369</v>
      </c>
      <c r="T373" s="782" t="s">
        <v>4284</v>
      </c>
      <c r="U373" s="782" t="s">
        <v>5475</v>
      </c>
      <c r="V373" s="797">
        <f>$S$1*P!V373</f>
        <v>1.9947580645161292E-7</v>
      </c>
      <c r="W373" s="863"/>
      <c r="X373" s="782">
        <v>369</v>
      </c>
      <c r="Y373" s="782" t="s">
        <v>2248</v>
      </c>
      <c r="Z373" s="782" t="s">
        <v>5493</v>
      </c>
      <c r="AA373" s="781">
        <f>$S$1*P!AA373</f>
        <v>2.6699596774193554E-3</v>
      </c>
      <c r="AB373" s="780"/>
      <c r="AC373" s="782">
        <v>369</v>
      </c>
      <c r="AD373" s="782" t="s">
        <v>4573</v>
      </c>
      <c r="AE373" s="782" t="s">
        <v>3721</v>
      </c>
      <c r="AF373" s="781">
        <f>$S$1*P!AF373</f>
        <v>0</v>
      </c>
    </row>
    <row r="374" spans="19:32" x14ac:dyDescent="0.35">
      <c r="S374" s="782">
        <v>370</v>
      </c>
      <c r="T374" s="782" t="s">
        <v>4284</v>
      </c>
      <c r="U374" s="782" t="s">
        <v>5474</v>
      </c>
      <c r="V374" s="797">
        <f>$S$1*P!V374</f>
        <v>5.6209677419354842E-2</v>
      </c>
      <c r="W374" s="863"/>
      <c r="X374" s="782">
        <v>370</v>
      </c>
      <c r="Y374" s="782" t="s">
        <v>2248</v>
      </c>
      <c r="Z374" s="782" t="s">
        <v>5492</v>
      </c>
      <c r="AA374" s="781">
        <f>$S$1*P!AA374</f>
        <v>7.7802419354838712E-3</v>
      </c>
      <c r="AB374" s="780"/>
      <c r="AC374" s="782">
        <v>370</v>
      </c>
      <c r="AD374" s="782" t="s">
        <v>4573</v>
      </c>
      <c r="AE374" s="782" t="s">
        <v>5461</v>
      </c>
      <c r="AF374" s="781">
        <f>$S$1*P!AF374</f>
        <v>3.6330645161290323E-2</v>
      </c>
    </row>
    <row r="375" spans="19:32" x14ac:dyDescent="0.35">
      <c r="S375" s="782">
        <v>371</v>
      </c>
      <c r="T375" s="782" t="s">
        <v>4284</v>
      </c>
      <c r="U375" s="782" t="s">
        <v>5473</v>
      </c>
      <c r="V375" s="797">
        <f>$S$1*P!V375</f>
        <v>3.4959677419354844E-2</v>
      </c>
      <c r="W375" s="863"/>
      <c r="X375" s="782">
        <v>371</v>
      </c>
      <c r="Y375" s="782" t="s">
        <v>2248</v>
      </c>
      <c r="Z375" s="782" t="s">
        <v>5758</v>
      </c>
      <c r="AA375" s="781">
        <f>$S$1*P!AA375</f>
        <v>2.6836693548387097E-3</v>
      </c>
      <c r="AB375" s="780"/>
      <c r="AC375" s="868">
        <v>371</v>
      </c>
      <c r="AD375" s="868" t="s">
        <v>4573</v>
      </c>
      <c r="AE375" s="868" t="s">
        <v>3719</v>
      </c>
      <c r="AF375" s="869">
        <f>$S$1*P!AF375</f>
        <v>5.2782258064516134E-2</v>
      </c>
    </row>
    <row r="376" spans="19:32" x14ac:dyDescent="0.35">
      <c r="S376" s="782">
        <v>372</v>
      </c>
      <c r="T376" s="782" t="s">
        <v>4284</v>
      </c>
      <c r="U376" s="782" t="s">
        <v>5472</v>
      </c>
      <c r="V376" s="797">
        <f>$S$1*P!V376</f>
        <v>0.5278225806451613</v>
      </c>
      <c r="W376" s="863"/>
      <c r="X376" s="782">
        <v>372</v>
      </c>
      <c r="Y376" s="782" t="s">
        <v>2248</v>
      </c>
      <c r="Z376" s="782" t="s">
        <v>5491</v>
      </c>
      <c r="AA376" s="781">
        <f>$S$1*P!AA376</f>
        <v>9.6653225806451627E-3</v>
      </c>
      <c r="AB376" s="780"/>
      <c r="AC376" s="782">
        <v>372</v>
      </c>
      <c r="AD376" s="782" t="s">
        <v>4573</v>
      </c>
      <c r="AE376" s="782" t="s">
        <v>3719</v>
      </c>
      <c r="AF376" s="781">
        <f>$S$1*P!AF376</f>
        <v>79.028000000000006</v>
      </c>
    </row>
    <row r="377" spans="19:32" x14ac:dyDescent="0.35">
      <c r="S377" s="782">
        <v>373</v>
      </c>
      <c r="T377" s="782" t="s">
        <v>4284</v>
      </c>
      <c r="U377" s="782" t="s">
        <v>3730</v>
      </c>
      <c r="V377" s="797">
        <f>$S$1*P!V377</f>
        <v>5.1336E-2</v>
      </c>
      <c r="W377" s="863"/>
      <c r="X377" s="782">
        <v>373</v>
      </c>
      <c r="Y377" s="782" t="s">
        <v>2248</v>
      </c>
      <c r="Z377" s="782" t="s">
        <v>5490</v>
      </c>
      <c r="AA377" s="781">
        <f>$S$1*P!AA377</f>
        <v>8.7741935483870976E-5</v>
      </c>
      <c r="AB377" s="780"/>
      <c r="AC377" s="782">
        <v>373</v>
      </c>
      <c r="AD377" s="782" t="s">
        <v>4573</v>
      </c>
      <c r="AE377" s="782" t="s">
        <v>5459</v>
      </c>
      <c r="AF377" s="781">
        <f>$S$1*P!AF377</f>
        <v>2.5054435483870972</v>
      </c>
    </row>
    <row r="378" spans="19:32" x14ac:dyDescent="0.35">
      <c r="S378" s="782">
        <v>374</v>
      </c>
      <c r="T378" s="782" t="s">
        <v>4284</v>
      </c>
      <c r="U378" s="782" t="s">
        <v>3729</v>
      </c>
      <c r="V378" s="797">
        <f>$S$1*P!V378</f>
        <v>2.2243951612903226E-2</v>
      </c>
      <c r="W378" s="863"/>
      <c r="X378" s="782">
        <v>374</v>
      </c>
      <c r="Y378" s="782" t="s">
        <v>2248</v>
      </c>
      <c r="Z378" s="782" t="s">
        <v>5489</v>
      </c>
      <c r="AA378" s="781">
        <f>$S$1*P!AA378</f>
        <v>5.0040322580645162E-4</v>
      </c>
      <c r="AB378" s="780"/>
      <c r="AC378" s="782">
        <v>374</v>
      </c>
      <c r="AD378" s="782" t="s">
        <v>4573</v>
      </c>
      <c r="AE378" s="782" t="s">
        <v>5458</v>
      </c>
      <c r="AF378" s="781">
        <f>$S$1*P!AF378</f>
        <v>2.0941532258064517E-3</v>
      </c>
    </row>
    <row r="379" spans="19:32" x14ac:dyDescent="0.35">
      <c r="S379" s="782">
        <v>375</v>
      </c>
      <c r="T379" s="782" t="s">
        <v>4284</v>
      </c>
      <c r="U379" s="782" t="s">
        <v>3729</v>
      </c>
      <c r="V379" s="797">
        <f>$S$1*P!V379</f>
        <v>0</v>
      </c>
      <c r="W379" s="863"/>
      <c r="X379" s="782">
        <v>375</v>
      </c>
      <c r="Y379" s="782" t="s">
        <v>2248</v>
      </c>
      <c r="Z379" s="782" t="s">
        <v>5757</v>
      </c>
      <c r="AA379" s="781">
        <f>$S$1*P!AA379</f>
        <v>9.1512096774193558E-4</v>
      </c>
      <c r="AB379" s="780"/>
      <c r="AC379" s="782">
        <v>375</v>
      </c>
      <c r="AD379" s="782" t="s">
        <v>4573</v>
      </c>
      <c r="AE379" s="782" t="s">
        <v>3716</v>
      </c>
      <c r="AF379" s="781">
        <f>$S$1*P!AF379</f>
        <v>0</v>
      </c>
    </row>
    <row r="380" spans="19:32" x14ac:dyDescent="0.35">
      <c r="S380" s="782">
        <v>376</v>
      </c>
      <c r="T380" s="782" t="s">
        <v>4284</v>
      </c>
      <c r="U380" s="782" t="s">
        <v>5471</v>
      </c>
      <c r="V380" s="797">
        <f>$S$1*P!V380</f>
        <v>2.1661290322580649E-3</v>
      </c>
      <c r="W380" s="863"/>
      <c r="X380" s="782">
        <v>376</v>
      </c>
      <c r="Y380" s="782" t="s">
        <v>2248</v>
      </c>
      <c r="Z380" s="782" t="s">
        <v>5488</v>
      </c>
      <c r="AA380" s="781">
        <f>$S$1*P!AA380</f>
        <v>6.7177419354838716E-2</v>
      </c>
      <c r="AB380" s="780"/>
      <c r="AC380" s="782">
        <v>376</v>
      </c>
      <c r="AD380" s="782" t="s">
        <v>4573</v>
      </c>
      <c r="AE380" s="782" t="s">
        <v>5457</v>
      </c>
      <c r="AF380" s="781">
        <f>$S$1*P!AF380</f>
        <v>2.6631048387096776E-3</v>
      </c>
    </row>
    <row r="381" spans="19:32" x14ac:dyDescent="0.35">
      <c r="S381" s="782">
        <v>377</v>
      </c>
      <c r="T381" s="782" t="s">
        <v>4284</v>
      </c>
      <c r="U381" s="782" t="s">
        <v>5470</v>
      </c>
      <c r="V381" s="797">
        <f>$S$1*P!V381</f>
        <v>1.2715725806451614E-3</v>
      </c>
      <c r="W381" s="863"/>
      <c r="X381" s="782">
        <v>377</v>
      </c>
      <c r="Y381" s="782" t="s">
        <v>2248</v>
      </c>
      <c r="Z381" s="782" t="s">
        <v>5487</v>
      </c>
      <c r="AA381" s="781">
        <f>$S$1*P!AA381</f>
        <v>9.6653225806451623E-2</v>
      </c>
      <c r="AB381" s="780"/>
      <c r="AC381" s="782">
        <v>377</v>
      </c>
      <c r="AD381" s="782" t="s">
        <v>4573</v>
      </c>
      <c r="AE381" s="782" t="s">
        <v>5456</v>
      </c>
      <c r="AF381" s="781">
        <f>$S$1*P!AF381</f>
        <v>1.4155241935483871</v>
      </c>
    </row>
    <row r="382" spans="19:32" x14ac:dyDescent="0.35">
      <c r="S382" s="782">
        <v>378</v>
      </c>
      <c r="T382" s="782" t="s">
        <v>4284</v>
      </c>
      <c r="U382" s="782" t="s">
        <v>5469</v>
      </c>
      <c r="V382" s="797">
        <f>$S$1*P!V382</f>
        <v>3.0572580645161292E-3</v>
      </c>
      <c r="W382" s="863"/>
      <c r="X382" s="782">
        <v>378</v>
      </c>
      <c r="Y382" s="782" t="s">
        <v>2248</v>
      </c>
      <c r="Z382" s="782" t="s">
        <v>5756</v>
      </c>
      <c r="AA382" s="781">
        <f>$S$1*P!AA382</f>
        <v>1.5149193548387097E-4</v>
      </c>
      <c r="AB382" s="780"/>
      <c r="AC382" s="782">
        <v>378</v>
      </c>
      <c r="AD382" s="782" t="s">
        <v>4573</v>
      </c>
      <c r="AE382" s="782" t="s">
        <v>5455</v>
      </c>
      <c r="AF382" s="781">
        <f>$S$1*P!AF382</f>
        <v>2.6733870967741939E-2</v>
      </c>
    </row>
    <row r="383" spans="19:32" x14ac:dyDescent="0.35">
      <c r="S383" s="782">
        <v>379</v>
      </c>
      <c r="T383" s="782" t="s">
        <v>4284</v>
      </c>
      <c r="U383" s="782" t="s">
        <v>5468</v>
      </c>
      <c r="V383" s="797">
        <f>$S$1*P!V383</f>
        <v>3.3965725806451613E-3</v>
      </c>
      <c r="W383" s="863"/>
      <c r="X383" s="782">
        <v>379</v>
      </c>
      <c r="Y383" s="782" t="s">
        <v>2248</v>
      </c>
      <c r="Z383" s="782" t="s">
        <v>3740</v>
      </c>
      <c r="AA383" s="781">
        <f>$S$1*P!AA383</f>
        <v>0</v>
      </c>
      <c r="AB383" s="780"/>
      <c r="AC383" s="782">
        <v>379</v>
      </c>
      <c r="AD383" s="782" t="s">
        <v>4573</v>
      </c>
      <c r="AE383" s="782" t="s">
        <v>5454</v>
      </c>
      <c r="AF383" s="781">
        <f>$S$1*P!AF383</f>
        <v>0.45241935483870971</v>
      </c>
    </row>
    <row r="384" spans="19:32" x14ac:dyDescent="0.35">
      <c r="S384" s="782">
        <v>380</v>
      </c>
      <c r="T384" s="782" t="s">
        <v>4284</v>
      </c>
      <c r="U384" s="782" t="s">
        <v>3727</v>
      </c>
      <c r="V384" s="797">
        <f>$S$1*P!V384</f>
        <v>6.4767999999999999</v>
      </c>
      <c r="W384" s="863"/>
      <c r="X384" s="782">
        <v>380</v>
      </c>
      <c r="Y384" s="782" t="s">
        <v>2248</v>
      </c>
      <c r="Z384" s="782" t="s">
        <v>3740</v>
      </c>
      <c r="AA384" s="781">
        <f>$S$1*P!AA384</f>
        <v>0.35645161290322586</v>
      </c>
      <c r="AB384" s="780"/>
      <c r="AC384" s="782">
        <v>380</v>
      </c>
      <c r="AD384" s="782" t="s">
        <v>4573</v>
      </c>
      <c r="AE384" s="782" t="s">
        <v>3714</v>
      </c>
      <c r="AF384" s="781">
        <f>$S$1*P!AF384</f>
        <v>2.9098790322580649E-2</v>
      </c>
    </row>
    <row r="385" spans="19:32" x14ac:dyDescent="0.35">
      <c r="S385" s="782">
        <v>381</v>
      </c>
      <c r="T385" s="782" t="s">
        <v>4284</v>
      </c>
      <c r="U385" s="782" t="s">
        <v>5467</v>
      </c>
      <c r="V385" s="797">
        <f>$S$1*P!V385</f>
        <v>1.4292338709677419E-4</v>
      </c>
      <c r="W385" s="863"/>
      <c r="X385" s="782">
        <v>381</v>
      </c>
      <c r="Y385" s="782" t="s">
        <v>2248</v>
      </c>
      <c r="Z385" s="782" t="s">
        <v>5755</v>
      </c>
      <c r="AA385" s="781">
        <f>$S$1*P!AA385</f>
        <v>2.0804435483870971E-2</v>
      </c>
      <c r="AB385" s="780"/>
      <c r="AC385" s="782">
        <v>381</v>
      </c>
      <c r="AD385" s="782" t="s">
        <v>4573</v>
      </c>
      <c r="AE385" s="782" t="s">
        <v>3714</v>
      </c>
      <c r="AF385" s="781">
        <f>$S$1*P!AF385</f>
        <v>0</v>
      </c>
    </row>
    <row r="386" spans="19:32" x14ac:dyDescent="0.35">
      <c r="S386" s="782">
        <v>382</v>
      </c>
      <c r="T386" s="782" t="s">
        <v>4284</v>
      </c>
      <c r="U386" s="782" t="s">
        <v>3724</v>
      </c>
      <c r="V386" s="797">
        <f>$S$1*P!V386</f>
        <v>6.1916000000000002</v>
      </c>
      <c r="W386" s="863"/>
      <c r="X386" s="782">
        <v>382</v>
      </c>
      <c r="Y386" s="782" t="s">
        <v>2248</v>
      </c>
      <c r="Z386" s="782" t="s">
        <v>5486</v>
      </c>
      <c r="AA386" s="781">
        <f>$S$1*P!AA386</f>
        <v>1.8782258064516131E-5</v>
      </c>
      <c r="AB386" s="780"/>
      <c r="AC386" s="782">
        <v>382</v>
      </c>
      <c r="AD386" s="782" t="s">
        <v>4573</v>
      </c>
      <c r="AE386" s="782" t="s">
        <v>3710</v>
      </c>
      <c r="AF386" s="781">
        <f>$S$1*P!AF386</f>
        <v>0</v>
      </c>
    </row>
    <row r="387" spans="19:32" x14ac:dyDescent="0.35">
      <c r="S387" s="782">
        <v>383</v>
      </c>
      <c r="T387" s="782" t="s">
        <v>4284</v>
      </c>
      <c r="U387" s="782" t="s">
        <v>5466</v>
      </c>
      <c r="V387" s="797">
        <f>$S$1*P!V387</f>
        <v>1.761693548387097E-3</v>
      </c>
      <c r="W387" s="863"/>
      <c r="X387" s="782">
        <v>383</v>
      </c>
      <c r="Y387" s="782" t="s">
        <v>2248</v>
      </c>
      <c r="Z387" s="782" t="s">
        <v>3738</v>
      </c>
      <c r="AA387" s="781">
        <f>$S$1*P!AA387</f>
        <v>3.4868000000000003E-2</v>
      </c>
      <c r="AB387" s="780"/>
      <c r="AC387" s="782">
        <v>383</v>
      </c>
      <c r="AD387" s="782" t="s">
        <v>4573</v>
      </c>
      <c r="AE387" s="782" t="s">
        <v>5453</v>
      </c>
      <c r="AF387" s="781">
        <f>$S$1*P!AF387</f>
        <v>3.331451612903226E-3</v>
      </c>
    </row>
    <row r="388" spans="19:32" x14ac:dyDescent="0.35">
      <c r="S388" s="782">
        <v>384</v>
      </c>
      <c r="T388" s="782" t="s">
        <v>4284</v>
      </c>
      <c r="U388" s="782" t="s">
        <v>5465</v>
      </c>
      <c r="V388" s="797">
        <f>$S$1*P!V388</f>
        <v>1.8713709677419355E-2</v>
      </c>
      <c r="W388" s="863"/>
      <c r="X388" s="782">
        <v>384</v>
      </c>
      <c r="Y388" s="782" t="s">
        <v>2248</v>
      </c>
      <c r="Z388" s="782" t="s">
        <v>5485</v>
      </c>
      <c r="AA388" s="781">
        <f>$S$1*P!AA388</f>
        <v>9.288306451612904E-6</v>
      </c>
      <c r="AB388" s="780"/>
      <c r="AC388" s="782">
        <v>384</v>
      </c>
      <c r="AD388" s="782" t="s">
        <v>4573</v>
      </c>
      <c r="AE388" s="782" t="s">
        <v>3708</v>
      </c>
      <c r="AF388" s="781">
        <f>$S$1*P!AF388</f>
        <v>1.0488000000000002</v>
      </c>
    </row>
    <row r="389" spans="19:32" x14ac:dyDescent="0.35">
      <c r="S389" s="782">
        <v>385</v>
      </c>
      <c r="T389" s="782" t="s">
        <v>4284</v>
      </c>
      <c r="U389" s="782" t="s">
        <v>5464</v>
      </c>
      <c r="V389" s="797">
        <f>$S$1*P!V389</f>
        <v>5.6209677419354846E-3</v>
      </c>
      <c r="W389" s="863"/>
      <c r="X389" s="782">
        <v>385</v>
      </c>
      <c r="Y389" s="782" t="s">
        <v>2248</v>
      </c>
      <c r="Z389" s="782" t="s">
        <v>5754</v>
      </c>
      <c r="AA389" s="781">
        <f>$S$1*P!AA389</f>
        <v>1.2133064516129033E-3</v>
      </c>
      <c r="AB389" s="780"/>
      <c r="AC389" s="782">
        <v>385</v>
      </c>
      <c r="AD389" s="782" t="s">
        <v>4573</v>
      </c>
      <c r="AE389" s="782" t="s">
        <v>5452</v>
      </c>
      <c r="AF389" s="781">
        <f>$S$1*P!AF389</f>
        <v>5.0383064516129035E-3</v>
      </c>
    </row>
    <row r="390" spans="19:32" x14ac:dyDescent="0.35">
      <c r="S390" s="782">
        <v>386</v>
      </c>
      <c r="T390" s="782" t="s">
        <v>4284</v>
      </c>
      <c r="U390" s="782" t="s">
        <v>5463</v>
      </c>
      <c r="V390" s="797">
        <f>$S$1*P!V390</f>
        <v>0.12852822580645162</v>
      </c>
      <c r="W390" s="863"/>
      <c r="X390" s="782">
        <v>386</v>
      </c>
      <c r="Y390" s="782" t="s">
        <v>2248</v>
      </c>
      <c r="Z390" s="782" t="s">
        <v>5484</v>
      </c>
      <c r="AA390" s="781">
        <f>$S$1*P!AA390</f>
        <v>2.9681451612903228E-5</v>
      </c>
      <c r="AB390" s="780"/>
      <c r="AC390" s="782">
        <v>386</v>
      </c>
      <c r="AD390" s="782" t="s">
        <v>4573</v>
      </c>
      <c r="AE390" s="782" t="s">
        <v>3706</v>
      </c>
      <c r="AF390" s="781">
        <f>$S$1*P!AF390</f>
        <v>40.847999999999999</v>
      </c>
    </row>
    <row r="391" spans="19:32" x14ac:dyDescent="0.35">
      <c r="S391" s="782">
        <v>387</v>
      </c>
      <c r="T391" s="782" t="s">
        <v>4284</v>
      </c>
      <c r="U391" s="782" t="s">
        <v>5462</v>
      </c>
      <c r="V391" s="797">
        <f>$S$1*P!V391</f>
        <v>2.3477822580645163E-4</v>
      </c>
      <c r="W391" s="863"/>
      <c r="X391" s="782">
        <v>387</v>
      </c>
      <c r="Y391" s="782" t="s">
        <v>2248</v>
      </c>
      <c r="Z391" s="782" t="s">
        <v>3736</v>
      </c>
      <c r="AA391" s="781">
        <f>$S$1*P!AA391</f>
        <v>0</v>
      </c>
      <c r="AB391" s="780"/>
      <c r="AC391" s="782">
        <v>387</v>
      </c>
      <c r="AD391" s="782" t="s">
        <v>4573</v>
      </c>
      <c r="AE391" s="782" t="s">
        <v>5451</v>
      </c>
      <c r="AF391" s="781">
        <f>$S$1*P!AF391</f>
        <v>2.3100806451612905E-2</v>
      </c>
    </row>
    <row r="392" spans="19:32" x14ac:dyDescent="0.35">
      <c r="S392" s="782">
        <v>388</v>
      </c>
      <c r="T392" s="782" t="s">
        <v>4284</v>
      </c>
      <c r="U392" s="782" t="s">
        <v>3723</v>
      </c>
      <c r="V392" s="797">
        <f>$S$1*P!V392</f>
        <v>2.292943548387097E-5</v>
      </c>
      <c r="W392" s="863"/>
      <c r="X392" s="782">
        <v>388</v>
      </c>
      <c r="Y392" s="782" t="s">
        <v>2248</v>
      </c>
      <c r="Z392" s="782" t="s">
        <v>5753</v>
      </c>
      <c r="AA392" s="781">
        <f>$S$1*P!AA392</f>
        <v>2.7247983870967744E-3</v>
      </c>
      <c r="AB392" s="780"/>
      <c r="AC392" s="782">
        <v>388</v>
      </c>
      <c r="AD392" s="782" t="s">
        <v>4573</v>
      </c>
      <c r="AE392" s="782" t="s">
        <v>3702</v>
      </c>
      <c r="AF392" s="781">
        <f>$S$1*P!AF392</f>
        <v>1.3892</v>
      </c>
    </row>
    <row r="393" spans="19:32" x14ac:dyDescent="0.35">
      <c r="S393" s="782">
        <v>389</v>
      </c>
      <c r="T393" s="782" t="s">
        <v>4284</v>
      </c>
      <c r="U393" s="782" t="s">
        <v>3723</v>
      </c>
      <c r="V393" s="797">
        <f>$S$1*P!V393</f>
        <v>0</v>
      </c>
      <c r="W393" s="863"/>
      <c r="X393" s="782">
        <v>389</v>
      </c>
      <c r="Y393" s="782" t="s">
        <v>2248</v>
      </c>
      <c r="Z393" s="782" t="s">
        <v>5483</v>
      </c>
      <c r="AA393" s="781">
        <f>$S$1*P!AA393</f>
        <v>4.7641129032258069E-4</v>
      </c>
      <c r="AB393" s="780"/>
      <c r="AC393" s="782">
        <v>389</v>
      </c>
      <c r="AD393" s="782" t="s">
        <v>4573</v>
      </c>
      <c r="AE393" s="782" t="s">
        <v>3701</v>
      </c>
      <c r="AF393" s="781">
        <f>$S$1*P!AF393</f>
        <v>0.26082661290322584</v>
      </c>
    </row>
    <row r="394" spans="19:32" x14ac:dyDescent="0.35">
      <c r="S394" s="782">
        <v>390</v>
      </c>
      <c r="T394" s="782" t="s">
        <v>4284</v>
      </c>
      <c r="U394" s="782" t="s">
        <v>3721</v>
      </c>
      <c r="V394" s="797">
        <f>$S$1*P!V394</f>
        <v>0</v>
      </c>
      <c r="W394" s="863"/>
      <c r="X394" s="782">
        <v>390</v>
      </c>
      <c r="Y394" s="782" t="s">
        <v>2248</v>
      </c>
      <c r="Z394" s="782" t="s">
        <v>5482</v>
      </c>
      <c r="AA394" s="781">
        <f>$S$1*P!AA394</f>
        <v>4.2500000000000003E-4</v>
      </c>
      <c r="AB394" s="780"/>
      <c r="AC394" s="782">
        <v>390</v>
      </c>
      <c r="AD394" s="782" t="s">
        <v>4573</v>
      </c>
      <c r="AE394" s="782" t="s">
        <v>3701</v>
      </c>
      <c r="AF394" s="781">
        <f>$S$1*P!AF394</f>
        <v>0.12512000000000001</v>
      </c>
    </row>
    <row r="395" spans="19:32" x14ac:dyDescent="0.35">
      <c r="S395" s="782">
        <v>391</v>
      </c>
      <c r="T395" s="782" t="s">
        <v>4284</v>
      </c>
      <c r="U395" s="782" t="s">
        <v>5461</v>
      </c>
      <c r="V395" s="797">
        <f>$S$1*P!V395</f>
        <v>4.7641129032258069E-4</v>
      </c>
      <c r="W395" s="863"/>
      <c r="X395" s="782">
        <v>391</v>
      </c>
      <c r="Y395" s="782" t="s">
        <v>2248</v>
      </c>
      <c r="Z395" s="782" t="s">
        <v>5752</v>
      </c>
      <c r="AA395" s="781">
        <f>$S$1*P!AA395</f>
        <v>3.0058467741935488E-5</v>
      </c>
      <c r="AB395" s="780"/>
      <c r="AC395" s="782">
        <v>391</v>
      </c>
      <c r="AD395" s="782" t="s">
        <v>4573</v>
      </c>
      <c r="AE395" s="782" t="s">
        <v>5450</v>
      </c>
      <c r="AF395" s="781">
        <f>$S$1*P!AF395</f>
        <v>1.8987903225806454E-2</v>
      </c>
    </row>
    <row r="396" spans="19:32" x14ac:dyDescent="0.35">
      <c r="S396" s="782">
        <v>392</v>
      </c>
      <c r="T396" s="782" t="s">
        <v>4284</v>
      </c>
      <c r="U396" s="782" t="s">
        <v>3719</v>
      </c>
      <c r="V396" s="797">
        <f>$S$1*P!V396</f>
        <v>4.4556451612903227E-4</v>
      </c>
      <c r="W396" s="863"/>
      <c r="X396" s="782">
        <v>392</v>
      </c>
      <c r="Y396" s="782" t="s">
        <v>2248</v>
      </c>
      <c r="Z396" s="782" t="s">
        <v>3735</v>
      </c>
      <c r="AA396" s="781">
        <f>$S$1*P!AA396</f>
        <v>1.4536</v>
      </c>
      <c r="AB396" s="780"/>
      <c r="AC396" s="782">
        <v>392</v>
      </c>
      <c r="AD396" s="782" t="s">
        <v>4573</v>
      </c>
      <c r="AE396" s="782" t="s">
        <v>3699</v>
      </c>
      <c r="AF396" s="781">
        <f>$S$1*P!AF396</f>
        <v>0.14536000000000002</v>
      </c>
    </row>
    <row r="397" spans="19:32" x14ac:dyDescent="0.35">
      <c r="S397" s="782">
        <v>393</v>
      </c>
      <c r="T397" s="782" t="s">
        <v>4284</v>
      </c>
      <c r="U397" s="782" t="s">
        <v>3719</v>
      </c>
      <c r="V397" s="797">
        <f>$S$1*P!V397</f>
        <v>27.14</v>
      </c>
      <c r="W397" s="863"/>
      <c r="X397" s="782">
        <v>393</v>
      </c>
      <c r="Y397" s="782" t="s">
        <v>2248</v>
      </c>
      <c r="Z397" s="782" t="s">
        <v>5481</v>
      </c>
      <c r="AA397" s="781">
        <f>$S$1*P!AA397</f>
        <v>3.6330645161290323E-2</v>
      </c>
      <c r="AB397" s="780"/>
      <c r="AC397" s="782">
        <v>393</v>
      </c>
      <c r="AD397" s="782" t="s">
        <v>4573</v>
      </c>
      <c r="AE397" s="782" t="s">
        <v>5449</v>
      </c>
      <c r="AF397" s="781">
        <f>$S$1*P!AF397</f>
        <v>2.4506048387096778E-4</v>
      </c>
    </row>
    <row r="398" spans="19:32" x14ac:dyDescent="0.35">
      <c r="S398" s="782">
        <v>394</v>
      </c>
      <c r="T398" s="782" t="s">
        <v>4284</v>
      </c>
      <c r="U398" s="782" t="s">
        <v>5459</v>
      </c>
      <c r="V398" s="797">
        <f>$S$1*P!V398</f>
        <v>1.1858870967741936E-2</v>
      </c>
      <c r="W398" s="863"/>
      <c r="X398" s="782">
        <v>394</v>
      </c>
      <c r="Y398" s="782" t="s">
        <v>2248</v>
      </c>
      <c r="Z398" s="782" t="s">
        <v>5480</v>
      </c>
      <c r="AA398" s="781">
        <f>$S$1*P!AA398</f>
        <v>2.4643145161290327E-3</v>
      </c>
      <c r="AB398" s="780"/>
      <c r="AC398" s="782">
        <v>394</v>
      </c>
      <c r="AD398" s="782" t="s">
        <v>4573</v>
      </c>
      <c r="AE398" s="782" t="s">
        <v>3696</v>
      </c>
      <c r="AF398" s="781">
        <f>$S$1*P!AF398</f>
        <v>1.4292338709677422E-3</v>
      </c>
    </row>
    <row r="399" spans="19:32" x14ac:dyDescent="0.35">
      <c r="S399" s="782">
        <v>395</v>
      </c>
      <c r="T399" s="782" t="s">
        <v>4284</v>
      </c>
      <c r="U399" s="782" t="s">
        <v>5458</v>
      </c>
      <c r="V399" s="797">
        <f>$S$1*P!V399</f>
        <v>7.7802419354838721E-5</v>
      </c>
      <c r="W399" s="863"/>
      <c r="X399" s="782">
        <v>395</v>
      </c>
      <c r="Y399" s="782" t="s">
        <v>2248</v>
      </c>
      <c r="Z399" s="782" t="s">
        <v>5751</v>
      </c>
      <c r="AA399" s="781">
        <f>$S$1*P!AA399</f>
        <v>1.3778225806451615E-5</v>
      </c>
      <c r="AB399" s="780"/>
      <c r="AC399" s="782">
        <v>395</v>
      </c>
      <c r="AD399" s="782" t="s">
        <v>4573</v>
      </c>
      <c r="AE399" s="782" t="s">
        <v>3696</v>
      </c>
      <c r="AF399" s="781">
        <f>$S$1*P!AF399</f>
        <v>0.53635999999999995</v>
      </c>
    </row>
    <row r="400" spans="19:32" x14ac:dyDescent="0.35">
      <c r="S400" s="782">
        <v>396</v>
      </c>
      <c r="T400" s="782" t="s">
        <v>4284</v>
      </c>
      <c r="U400" s="782" t="s">
        <v>3716</v>
      </c>
      <c r="V400" s="797">
        <f>$S$1*P!V400</f>
        <v>0</v>
      </c>
      <c r="W400" s="863"/>
      <c r="X400" s="782">
        <v>396</v>
      </c>
      <c r="Y400" s="782" t="s">
        <v>2248</v>
      </c>
      <c r="Z400" s="782" t="s">
        <v>5479</v>
      </c>
      <c r="AA400" s="781">
        <f>$S$1*P!AA400</f>
        <v>3.8044354838709681E-3</v>
      </c>
      <c r="AB400" s="780"/>
      <c r="AC400" s="782">
        <v>396</v>
      </c>
      <c r="AD400" s="782" t="s">
        <v>4573</v>
      </c>
      <c r="AE400" s="782" t="s">
        <v>5448</v>
      </c>
      <c r="AF400" s="781">
        <f>$S$1*P!AF400</f>
        <v>1.6931451612903228E-4</v>
      </c>
    </row>
    <row r="401" spans="19:32" x14ac:dyDescent="0.35">
      <c r="S401" s="782">
        <v>397</v>
      </c>
      <c r="T401" s="782" t="s">
        <v>4284</v>
      </c>
      <c r="U401" s="782" t="s">
        <v>5457</v>
      </c>
      <c r="V401" s="797">
        <f>$S$1*P!V401</f>
        <v>4.5584677419354846E-5</v>
      </c>
      <c r="W401" s="863"/>
      <c r="X401" s="782">
        <v>397</v>
      </c>
      <c r="Y401" s="782" t="s">
        <v>2248</v>
      </c>
      <c r="Z401" s="782" t="s">
        <v>5478</v>
      </c>
      <c r="AA401" s="781">
        <f>$S$1*P!AA401</f>
        <v>6.8891129032258068E-3</v>
      </c>
      <c r="AB401" s="780"/>
      <c r="AC401" s="782">
        <v>397</v>
      </c>
      <c r="AD401" s="782" t="s">
        <v>4573</v>
      </c>
      <c r="AE401" s="782" t="s">
        <v>5447</v>
      </c>
      <c r="AF401" s="781">
        <f>$S$1*P!AF401</f>
        <v>2.6973790322580649E-3</v>
      </c>
    </row>
    <row r="402" spans="19:32" x14ac:dyDescent="0.35">
      <c r="S402" s="782">
        <v>398</v>
      </c>
      <c r="T402" s="782" t="s">
        <v>4284</v>
      </c>
      <c r="U402" s="782" t="s">
        <v>5456</v>
      </c>
      <c r="V402" s="797">
        <f>$S$1*P!V402</f>
        <v>3.3451612903225812E-2</v>
      </c>
      <c r="W402" s="863"/>
      <c r="X402" s="782">
        <v>398</v>
      </c>
      <c r="Y402" s="782" t="s">
        <v>2248</v>
      </c>
      <c r="Z402" s="782" t="s">
        <v>5750</v>
      </c>
      <c r="AA402" s="781">
        <f>$S$1*P!AA402</f>
        <v>1.3469758064516131E-5</v>
      </c>
      <c r="AB402" s="780"/>
      <c r="AC402" s="782">
        <v>398</v>
      </c>
      <c r="AD402" s="782" t="s">
        <v>4573</v>
      </c>
      <c r="AE402" s="782" t="s">
        <v>5446</v>
      </c>
      <c r="AF402" s="781">
        <f>$S$1*P!AF402</f>
        <v>9.6310483870967745E-2</v>
      </c>
    </row>
    <row r="403" spans="19:32" x14ac:dyDescent="0.35">
      <c r="S403" s="782">
        <v>399</v>
      </c>
      <c r="T403" s="782" t="s">
        <v>4284</v>
      </c>
      <c r="U403" s="782" t="s">
        <v>5455</v>
      </c>
      <c r="V403" s="797">
        <f>$S$1*P!V403</f>
        <v>4.6955645161290329E-3</v>
      </c>
      <c r="W403" s="863"/>
      <c r="X403" s="782">
        <v>399</v>
      </c>
      <c r="Y403" s="782" t="s">
        <v>2248</v>
      </c>
      <c r="Z403" s="782" t="s">
        <v>5476</v>
      </c>
      <c r="AA403" s="781">
        <f>$S$1*P!AA403</f>
        <v>7.7802419354838712E-3</v>
      </c>
      <c r="AB403" s="780"/>
      <c r="AC403" s="782">
        <v>399</v>
      </c>
      <c r="AD403" s="782" t="s">
        <v>4573</v>
      </c>
      <c r="AE403" s="782" t="s">
        <v>5445</v>
      </c>
      <c r="AF403" s="781">
        <f>$S$1*P!AF403</f>
        <v>1.1687500000000002E-2</v>
      </c>
    </row>
    <row r="404" spans="19:32" x14ac:dyDescent="0.35">
      <c r="S404" s="782">
        <v>400</v>
      </c>
      <c r="T404" s="782" t="s">
        <v>4284</v>
      </c>
      <c r="U404" s="782" t="s">
        <v>5454</v>
      </c>
      <c r="V404" s="797">
        <f>$S$1*P!V404</f>
        <v>2.1078629032258066E-2</v>
      </c>
      <c r="W404" s="863"/>
      <c r="X404" s="782">
        <v>400</v>
      </c>
      <c r="Y404" s="782" t="s">
        <v>2248</v>
      </c>
      <c r="Z404" s="782" t="s">
        <v>3733</v>
      </c>
      <c r="AA404" s="781">
        <f>$S$1*P!AA404</f>
        <v>0</v>
      </c>
      <c r="AB404" s="780"/>
      <c r="AC404" s="782">
        <v>400</v>
      </c>
      <c r="AD404" s="782" t="s">
        <v>4573</v>
      </c>
      <c r="AE404" s="782" t="s">
        <v>3694</v>
      </c>
      <c r="AF404" s="781">
        <f>$S$1*P!AF404</f>
        <v>50.231999999999999</v>
      </c>
    </row>
    <row r="405" spans="19:32" x14ac:dyDescent="0.35">
      <c r="S405" s="782">
        <v>401</v>
      </c>
      <c r="T405" s="782" t="s">
        <v>4284</v>
      </c>
      <c r="U405" s="782" t="s">
        <v>3714</v>
      </c>
      <c r="V405" s="797">
        <f>$S$1*P!V405</f>
        <v>1.3641129032258064E-3</v>
      </c>
      <c r="W405" s="863"/>
      <c r="X405" s="782">
        <v>401</v>
      </c>
      <c r="Y405" s="782" t="s">
        <v>2248</v>
      </c>
      <c r="Z405" s="782" t="s">
        <v>5749</v>
      </c>
      <c r="AA405" s="781">
        <f>$S$1*P!AA405</f>
        <v>4.8326612903225807E-4</v>
      </c>
      <c r="AB405" s="780"/>
      <c r="AC405" s="782">
        <v>401</v>
      </c>
      <c r="AD405" s="782" t="s">
        <v>4573</v>
      </c>
      <c r="AE405" s="782" t="s">
        <v>5444</v>
      </c>
      <c r="AF405" s="781">
        <f>$S$1*P!AF405</f>
        <v>0.54838709677419362</v>
      </c>
    </row>
    <row r="406" spans="19:32" x14ac:dyDescent="0.35">
      <c r="S406" s="782">
        <v>402</v>
      </c>
      <c r="T406" s="782" t="s">
        <v>4284</v>
      </c>
      <c r="U406" s="782" t="s">
        <v>3714</v>
      </c>
      <c r="V406" s="797">
        <f>$S$1*P!V406</f>
        <v>0</v>
      </c>
      <c r="W406" s="863"/>
      <c r="X406" s="782">
        <v>402</v>
      </c>
      <c r="Y406" s="782" t="s">
        <v>2248</v>
      </c>
      <c r="Z406" s="782" t="s">
        <v>5475</v>
      </c>
      <c r="AA406" s="781">
        <f>$S$1*P!AA406</f>
        <v>7.0262096774193543E-5</v>
      </c>
      <c r="AB406" s="780"/>
      <c r="AC406" s="782">
        <v>402</v>
      </c>
      <c r="AD406" s="782" t="s">
        <v>4573</v>
      </c>
      <c r="AE406" s="782" t="s">
        <v>5443</v>
      </c>
      <c r="AF406" s="781">
        <f>$S$1*P!AF406</f>
        <v>0.11344758064516131</v>
      </c>
    </row>
    <row r="407" spans="19:32" x14ac:dyDescent="0.35">
      <c r="S407" s="782">
        <v>403</v>
      </c>
      <c r="T407" s="782" t="s">
        <v>4284</v>
      </c>
      <c r="U407" s="782" t="s">
        <v>3710</v>
      </c>
      <c r="V407" s="797">
        <f>$S$1*P!V407</f>
        <v>0</v>
      </c>
      <c r="W407" s="863"/>
      <c r="X407" s="782">
        <v>403</v>
      </c>
      <c r="Y407" s="782" t="s">
        <v>2248</v>
      </c>
      <c r="Z407" s="782" t="s">
        <v>5474</v>
      </c>
      <c r="AA407" s="781">
        <f>$S$1*P!AA407</f>
        <v>6.5463709677419366E-2</v>
      </c>
      <c r="AB407" s="780"/>
      <c r="AC407" s="782">
        <v>403</v>
      </c>
      <c r="AD407" s="782" t="s">
        <v>4573</v>
      </c>
      <c r="AE407" s="782" t="s">
        <v>5442</v>
      </c>
      <c r="AF407" s="781">
        <f>$S$1*P!AF407</f>
        <v>2.1901209677419355E-3</v>
      </c>
    </row>
    <row r="408" spans="19:32" x14ac:dyDescent="0.35">
      <c r="S408" s="782">
        <v>404</v>
      </c>
      <c r="T408" s="782" t="s">
        <v>4284</v>
      </c>
      <c r="U408" s="782" t="s">
        <v>5453</v>
      </c>
      <c r="V408" s="797">
        <f>$S$1*P!V408</f>
        <v>1.8165322580645163E-4</v>
      </c>
      <c r="W408" s="863"/>
      <c r="X408" s="782">
        <v>404</v>
      </c>
      <c r="Y408" s="782" t="s">
        <v>2248</v>
      </c>
      <c r="Z408" s="782" t="s">
        <v>5473</v>
      </c>
      <c r="AA408" s="781">
        <f>$S$1*P!AA408</f>
        <v>7.7459677419354847E-2</v>
      </c>
      <c r="AB408" s="780"/>
      <c r="AC408" s="782">
        <v>404</v>
      </c>
      <c r="AD408" s="782" t="s">
        <v>4573</v>
      </c>
      <c r="AE408" s="782" t="s">
        <v>5441</v>
      </c>
      <c r="AF408" s="781">
        <f>$S$1*P!AF408</f>
        <v>6.1693548387096779E-2</v>
      </c>
    </row>
    <row r="409" spans="19:32" x14ac:dyDescent="0.35">
      <c r="S409" s="782">
        <v>405</v>
      </c>
      <c r="T409" s="782" t="s">
        <v>4284</v>
      </c>
      <c r="U409" s="782" t="s">
        <v>3708</v>
      </c>
      <c r="V409" s="797">
        <f>$S$1*P!V409</f>
        <v>0.62008000000000008</v>
      </c>
      <c r="W409" s="863"/>
      <c r="X409" s="782">
        <v>405</v>
      </c>
      <c r="Y409" s="782" t="s">
        <v>2248</v>
      </c>
      <c r="Z409" s="782" t="s">
        <v>5748</v>
      </c>
      <c r="AA409" s="781">
        <f>$S$1*P!AA409</f>
        <v>5.79233870967742E-2</v>
      </c>
      <c r="AB409" s="780"/>
      <c r="AC409" s="782">
        <v>405</v>
      </c>
      <c r="AD409" s="782" t="s">
        <v>4573</v>
      </c>
      <c r="AE409" s="782" t="s">
        <v>5440</v>
      </c>
      <c r="AF409" s="781">
        <f>$S$1*P!AF409</f>
        <v>3.2594758064516129E-3</v>
      </c>
    </row>
    <row r="410" spans="19:32" x14ac:dyDescent="0.35">
      <c r="S410" s="782">
        <v>406</v>
      </c>
      <c r="T410" s="782" t="s">
        <v>4284</v>
      </c>
      <c r="U410" s="782" t="s">
        <v>5452</v>
      </c>
      <c r="V410" s="797">
        <f>$S$1*P!V410</f>
        <v>5.106854838709678E-5</v>
      </c>
      <c r="W410" s="863"/>
      <c r="X410" s="782">
        <v>406</v>
      </c>
      <c r="Y410" s="782" t="s">
        <v>2248</v>
      </c>
      <c r="Z410" s="782" t="s">
        <v>5472</v>
      </c>
      <c r="AA410" s="781">
        <f>$S$1*P!AA410</f>
        <v>4.4899193548387104E-2</v>
      </c>
      <c r="AB410" s="780"/>
      <c r="AC410" s="782">
        <v>406</v>
      </c>
      <c r="AD410" s="782" t="s">
        <v>4573</v>
      </c>
      <c r="AE410" s="782" t="s">
        <v>5439</v>
      </c>
      <c r="AF410" s="781">
        <f>$S$1*P!AF410</f>
        <v>0.10830645161290324</v>
      </c>
    </row>
    <row r="411" spans="19:32" x14ac:dyDescent="0.35">
      <c r="S411" s="782">
        <v>407</v>
      </c>
      <c r="T411" s="782" t="s">
        <v>4284</v>
      </c>
      <c r="U411" s="782" t="s">
        <v>3706</v>
      </c>
      <c r="V411" s="797">
        <f>$S$1*P!V411</f>
        <v>5.3727999999999998</v>
      </c>
      <c r="W411" s="863"/>
      <c r="X411" s="782">
        <v>407</v>
      </c>
      <c r="Y411" s="782" t="s">
        <v>2248</v>
      </c>
      <c r="Z411" s="782" t="s">
        <v>3730</v>
      </c>
      <c r="AA411" s="781">
        <f>$S$1*P!AA411</f>
        <v>6.7711999999999994E-2</v>
      </c>
      <c r="AB411" s="780"/>
      <c r="AC411" s="782">
        <v>407</v>
      </c>
      <c r="AD411" s="782" t="s">
        <v>4573</v>
      </c>
      <c r="AE411" s="782" t="s">
        <v>5438</v>
      </c>
      <c r="AF411" s="781">
        <f>$S$1*P!AF411</f>
        <v>0.17239919354838712</v>
      </c>
    </row>
    <row r="412" spans="19:32" x14ac:dyDescent="0.35">
      <c r="S412" s="782">
        <v>408</v>
      </c>
      <c r="T412" s="782" t="s">
        <v>4284</v>
      </c>
      <c r="U412" s="782" t="s">
        <v>5451</v>
      </c>
      <c r="V412" s="797">
        <f>$S$1*P!V412</f>
        <v>5.3810483870967742E-4</v>
      </c>
      <c r="W412" s="863"/>
      <c r="X412" s="782">
        <v>408</v>
      </c>
      <c r="Y412" s="782" t="s">
        <v>2248</v>
      </c>
      <c r="Z412" s="782" t="s">
        <v>3832</v>
      </c>
      <c r="AA412" s="781">
        <f>$S$1*P!AA412</f>
        <v>6.5463709677419366E-2</v>
      </c>
      <c r="AB412" s="780"/>
      <c r="AC412" s="782">
        <v>408</v>
      </c>
      <c r="AD412" s="782" t="s">
        <v>4573</v>
      </c>
      <c r="AE412" s="782" t="s">
        <v>5437</v>
      </c>
      <c r="AF412" s="781">
        <f>$S$1*P!AF412</f>
        <v>7.2318548387096782E-2</v>
      </c>
    </row>
    <row r="413" spans="19:32" x14ac:dyDescent="0.35">
      <c r="S413" s="782">
        <v>409</v>
      </c>
      <c r="T413" s="782" t="s">
        <v>4284</v>
      </c>
      <c r="U413" s="782" t="s">
        <v>3702</v>
      </c>
      <c r="V413" s="797">
        <f>$S$1*P!V413</f>
        <v>4.7931999999999997</v>
      </c>
      <c r="W413" s="863"/>
      <c r="X413" s="782">
        <v>409</v>
      </c>
      <c r="Y413" s="782" t="s">
        <v>2248</v>
      </c>
      <c r="Z413" s="782" t="s">
        <v>3729</v>
      </c>
      <c r="AA413" s="781">
        <f>$S$1*P!AA413</f>
        <v>0</v>
      </c>
      <c r="AB413" s="780"/>
      <c r="AC413" s="782">
        <v>409</v>
      </c>
      <c r="AD413" s="782" t="s">
        <v>4573</v>
      </c>
      <c r="AE413" s="782" t="s">
        <v>3692</v>
      </c>
      <c r="AF413" s="781">
        <f>$S$1*P!AF413</f>
        <v>46.368000000000002</v>
      </c>
    </row>
    <row r="414" spans="19:32" x14ac:dyDescent="0.35">
      <c r="S414" s="782">
        <v>410</v>
      </c>
      <c r="T414" s="782" t="s">
        <v>4284</v>
      </c>
      <c r="U414" s="782" t="s">
        <v>3701</v>
      </c>
      <c r="V414" s="797">
        <f>$S$1*P!V414</f>
        <v>3.9072580645161297E-3</v>
      </c>
      <c r="W414" s="863"/>
      <c r="X414" s="782">
        <v>410</v>
      </c>
      <c r="Y414" s="782" t="s">
        <v>2248</v>
      </c>
      <c r="Z414" s="782" t="s">
        <v>3729</v>
      </c>
      <c r="AA414" s="781">
        <f>$S$1*P!AA414</f>
        <v>2.7899193548387101E-3</v>
      </c>
      <c r="AB414" s="780"/>
      <c r="AC414" s="782">
        <v>410</v>
      </c>
      <c r="AD414" s="782" t="s">
        <v>4573</v>
      </c>
      <c r="AE414" s="782" t="s">
        <v>3689</v>
      </c>
      <c r="AF414" s="781">
        <f>$S$1*P!AF414</f>
        <v>1.0899193548387098</v>
      </c>
    </row>
    <row r="415" spans="19:32" x14ac:dyDescent="0.35">
      <c r="S415" s="782">
        <v>411</v>
      </c>
      <c r="T415" s="782" t="s">
        <v>4284</v>
      </c>
      <c r="U415" s="782" t="s">
        <v>3701</v>
      </c>
      <c r="V415" s="797">
        <f>$S$1*P!V415</f>
        <v>0.11408</v>
      </c>
      <c r="W415" s="863"/>
      <c r="X415" s="782">
        <v>411</v>
      </c>
      <c r="Y415" s="782" t="s">
        <v>2248</v>
      </c>
      <c r="Z415" s="782" t="s">
        <v>5747</v>
      </c>
      <c r="AA415" s="781">
        <f>$S$1*P!AA415</f>
        <v>7.4032258064516137E-6</v>
      </c>
      <c r="AB415" s="780"/>
      <c r="AC415" s="782">
        <v>411</v>
      </c>
      <c r="AD415" s="782" t="s">
        <v>4573</v>
      </c>
      <c r="AE415" s="782" t="s">
        <v>3689</v>
      </c>
      <c r="AF415" s="781">
        <f>$S$1*P!AF415</f>
        <v>0</v>
      </c>
    </row>
    <row r="416" spans="19:32" x14ac:dyDescent="0.35">
      <c r="S416" s="782">
        <v>412</v>
      </c>
      <c r="T416" s="782" t="s">
        <v>4284</v>
      </c>
      <c r="U416" s="782" t="s">
        <v>5450</v>
      </c>
      <c r="V416" s="797">
        <f>$S$1*P!V416</f>
        <v>5.792338709677419E-4</v>
      </c>
      <c r="W416" s="863"/>
      <c r="X416" s="782">
        <v>412</v>
      </c>
      <c r="Y416" s="782" t="s">
        <v>2248</v>
      </c>
      <c r="Z416" s="782" t="s">
        <v>5471</v>
      </c>
      <c r="AA416" s="781">
        <f>$S$1*P!AA416</f>
        <v>2.2895161290322581E-3</v>
      </c>
      <c r="AB416" s="780"/>
      <c r="AC416" s="782">
        <v>412</v>
      </c>
      <c r="AD416" s="782" t="s">
        <v>4573</v>
      </c>
      <c r="AE416" s="782" t="s">
        <v>5436</v>
      </c>
      <c r="AF416" s="781">
        <f>$S$1*P!AF416</f>
        <v>7.0947580645161296E-2</v>
      </c>
    </row>
    <row r="417" spans="19:32" x14ac:dyDescent="0.35">
      <c r="S417" s="782">
        <v>413</v>
      </c>
      <c r="T417" s="782" t="s">
        <v>4284</v>
      </c>
      <c r="U417" s="782" t="s">
        <v>3699</v>
      </c>
      <c r="V417" s="797">
        <f>$S$1*P!V417</f>
        <v>2.5759999999999998E-2</v>
      </c>
      <c r="W417" s="863"/>
      <c r="X417" s="782">
        <v>413</v>
      </c>
      <c r="Y417" s="782" t="s">
        <v>2248</v>
      </c>
      <c r="Z417" s="782" t="s">
        <v>5470</v>
      </c>
      <c r="AA417" s="781">
        <f>$S$1*P!AA417</f>
        <v>2.0495967741935486E-3</v>
      </c>
      <c r="AB417" s="780"/>
      <c r="AC417" s="782">
        <v>413</v>
      </c>
      <c r="AD417" s="782" t="s">
        <v>4573</v>
      </c>
      <c r="AE417" s="782" t="s">
        <v>5435</v>
      </c>
      <c r="AF417" s="781">
        <f>$S$1*P!AF417</f>
        <v>6.1693548387096779E-2</v>
      </c>
    </row>
    <row r="418" spans="19:32" x14ac:dyDescent="0.35">
      <c r="S418" s="861">
        <v>414</v>
      </c>
      <c r="T418" s="861" t="s">
        <v>4284</v>
      </c>
      <c r="U418" s="861" t="s">
        <v>5449</v>
      </c>
      <c r="V418" s="862">
        <f>$S$1*P!V418</f>
        <v>3.6166</v>
      </c>
      <c r="W418" s="863"/>
      <c r="X418" s="782">
        <v>414</v>
      </c>
      <c r="Y418" s="782" t="s">
        <v>2248</v>
      </c>
      <c r="Z418" s="782" t="s">
        <v>5469</v>
      </c>
      <c r="AA418" s="781">
        <f>$S$1*P!AA418</f>
        <v>4.2842741935483876E-3</v>
      </c>
      <c r="AB418" s="780"/>
      <c r="AC418" s="782">
        <v>414</v>
      </c>
      <c r="AD418" s="782" t="s">
        <v>4573</v>
      </c>
      <c r="AE418" s="782" t="s">
        <v>5434</v>
      </c>
      <c r="AF418" s="781">
        <f>$S$1*P!AF418</f>
        <v>2.0187500000000001E-2</v>
      </c>
    </row>
    <row r="419" spans="19:32" x14ac:dyDescent="0.35">
      <c r="S419" s="782">
        <v>415</v>
      </c>
      <c r="T419" s="782" t="s">
        <v>4284</v>
      </c>
      <c r="U419" s="782" t="s">
        <v>5449</v>
      </c>
      <c r="V419" s="797">
        <f>$S$1*P!V419</f>
        <v>4.0443548387096777E-6</v>
      </c>
      <c r="W419" s="863"/>
      <c r="X419" s="782">
        <v>415</v>
      </c>
      <c r="Y419" s="782" t="s">
        <v>2248</v>
      </c>
      <c r="Z419" s="782" t="s">
        <v>5746</v>
      </c>
      <c r="AA419" s="781">
        <f>$S$1*P!AA419</f>
        <v>1.7993951612903228E-4</v>
      </c>
      <c r="AB419" s="780"/>
      <c r="AC419" s="782">
        <v>415</v>
      </c>
      <c r="AD419" s="782" t="s">
        <v>4573</v>
      </c>
      <c r="AE419" s="782" t="s">
        <v>5433</v>
      </c>
      <c r="AF419" s="781">
        <f>$S$1*P!AF419</f>
        <v>3.4959677419354839E-4</v>
      </c>
    </row>
    <row r="420" spans="19:32" x14ac:dyDescent="0.35">
      <c r="S420" s="782">
        <v>416</v>
      </c>
      <c r="T420" s="782" t="s">
        <v>4284</v>
      </c>
      <c r="U420" s="782" t="s">
        <v>3696</v>
      </c>
      <c r="V420" s="797">
        <f>$S$1*P!V420</f>
        <v>9.2197580645161291E-5</v>
      </c>
      <c r="W420" s="863"/>
      <c r="X420" s="782">
        <v>416</v>
      </c>
      <c r="Y420" s="782" t="s">
        <v>2248</v>
      </c>
      <c r="Z420" s="782" t="s">
        <v>5468</v>
      </c>
      <c r="AA420" s="781">
        <f>$S$1*P!AA420</f>
        <v>5.2439516129032266E-3</v>
      </c>
      <c r="AB420" s="780"/>
      <c r="AC420" s="782">
        <v>416</v>
      </c>
      <c r="AD420" s="782" t="s">
        <v>4573</v>
      </c>
      <c r="AE420" s="782" t="s">
        <v>5432</v>
      </c>
      <c r="AF420" s="781">
        <f>$S$1*P!AF420</f>
        <v>0.41471774193548389</v>
      </c>
    </row>
    <row r="421" spans="19:32" x14ac:dyDescent="0.35">
      <c r="S421" s="782">
        <v>417</v>
      </c>
      <c r="T421" s="782" t="s">
        <v>4284</v>
      </c>
      <c r="U421" s="782" t="s">
        <v>3696</v>
      </c>
      <c r="V421" s="797">
        <f>$S$1*P!V421</f>
        <v>0.32200000000000001</v>
      </c>
      <c r="W421" s="863"/>
      <c r="X421" s="782">
        <v>417</v>
      </c>
      <c r="Y421" s="782" t="s">
        <v>2248</v>
      </c>
      <c r="Z421" s="782" t="s">
        <v>3727</v>
      </c>
      <c r="AA421" s="781">
        <f>$S$1*P!AA421</f>
        <v>7.2496000000000009</v>
      </c>
      <c r="AB421" s="780"/>
      <c r="AC421" s="782">
        <v>417</v>
      </c>
      <c r="AD421" s="782" t="s">
        <v>4573</v>
      </c>
      <c r="AE421" s="782" t="s">
        <v>5431</v>
      </c>
      <c r="AF421" s="781">
        <f>$S$1*P!AF421</f>
        <v>7.7802419354838716E-4</v>
      </c>
    </row>
    <row r="422" spans="19:32" x14ac:dyDescent="0.35">
      <c r="S422" s="861">
        <v>418</v>
      </c>
      <c r="T422" s="861" t="s">
        <v>4284</v>
      </c>
      <c r="U422" s="861" t="s">
        <v>5448</v>
      </c>
      <c r="V422" s="862">
        <f>$S$1*P!V422</f>
        <v>3.2902499999999999</v>
      </c>
      <c r="W422" s="863"/>
      <c r="X422" s="782">
        <v>418</v>
      </c>
      <c r="Y422" s="782" t="s">
        <v>2248</v>
      </c>
      <c r="Z422" s="782" t="s">
        <v>5745</v>
      </c>
      <c r="AA422" s="781">
        <f>$S$1*P!AA422</f>
        <v>4.8326612903225813E-3</v>
      </c>
      <c r="AB422" s="780"/>
      <c r="AC422" s="782">
        <v>418</v>
      </c>
      <c r="AD422" s="782" t="s">
        <v>4573</v>
      </c>
      <c r="AE422" s="782" t="s">
        <v>5430</v>
      </c>
      <c r="AF422" s="781">
        <f>$S$1*P!AF422</f>
        <v>1.8610887096774194E-3</v>
      </c>
    </row>
    <row r="423" spans="19:32" x14ac:dyDescent="0.35">
      <c r="S423" s="782">
        <v>419</v>
      </c>
      <c r="T423" s="782" t="s">
        <v>4284</v>
      </c>
      <c r="U423" s="782" t="s">
        <v>5448</v>
      </c>
      <c r="V423" s="797">
        <f>$S$1*P!V423</f>
        <v>2.2415322580645163E-6</v>
      </c>
      <c r="W423" s="863"/>
      <c r="X423" s="782">
        <v>419</v>
      </c>
      <c r="Y423" s="782" t="s">
        <v>2248</v>
      </c>
      <c r="Z423" s="782" t="s">
        <v>5467</v>
      </c>
      <c r="AA423" s="781">
        <f>$S$1*P!AA423</f>
        <v>2.2449596774193549E-3</v>
      </c>
      <c r="AB423" s="780"/>
      <c r="AC423" s="782">
        <v>419</v>
      </c>
      <c r="AD423" s="782" t="s">
        <v>4573</v>
      </c>
      <c r="AE423" s="782" t="s">
        <v>5429</v>
      </c>
      <c r="AF423" s="781">
        <f>$S$1*P!AF423</f>
        <v>2.5739919354838708E-3</v>
      </c>
    </row>
    <row r="424" spans="19:32" x14ac:dyDescent="0.35">
      <c r="S424" s="782">
        <v>420</v>
      </c>
      <c r="T424" s="782" t="s">
        <v>4284</v>
      </c>
      <c r="U424" s="782" t="s">
        <v>5447</v>
      </c>
      <c r="V424" s="797">
        <f>$S$1*P!V424</f>
        <v>6.7177419354838721E-6</v>
      </c>
      <c r="W424" s="863"/>
      <c r="X424" s="782">
        <v>420</v>
      </c>
      <c r="Y424" s="782" t="s">
        <v>2248</v>
      </c>
      <c r="Z424" s="782" t="s">
        <v>3724</v>
      </c>
      <c r="AA424" s="781">
        <f>$S$1*P!AA424</f>
        <v>7.3048000000000002</v>
      </c>
      <c r="AB424" s="780"/>
      <c r="AC424" s="782">
        <v>420</v>
      </c>
      <c r="AD424" s="782" t="s">
        <v>4573</v>
      </c>
      <c r="AE424" s="782" t="s">
        <v>3687</v>
      </c>
      <c r="AF424" s="781">
        <f>$S$1*P!AF424</f>
        <v>0</v>
      </c>
    </row>
    <row r="425" spans="19:32" x14ac:dyDescent="0.35">
      <c r="S425" s="782">
        <v>421</v>
      </c>
      <c r="T425" s="782" t="s">
        <v>4284</v>
      </c>
      <c r="U425" s="782" t="s">
        <v>5446</v>
      </c>
      <c r="V425" s="797">
        <f>$S$1*P!V425</f>
        <v>4.1129032258064517E-4</v>
      </c>
      <c r="W425" s="863"/>
      <c r="X425" s="782">
        <v>421</v>
      </c>
      <c r="Y425" s="782" t="s">
        <v>2248</v>
      </c>
      <c r="Z425" s="782" t="s">
        <v>5466</v>
      </c>
      <c r="AA425" s="781">
        <f>$S$1*P!AA425</f>
        <v>1.3298387096774193E-3</v>
      </c>
      <c r="AB425" s="780"/>
      <c r="AC425" s="782">
        <v>421</v>
      </c>
      <c r="AD425" s="782" t="s">
        <v>4573</v>
      </c>
      <c r="AE425" s="782" t="s">
        <v>5428</v>
      </c>
      <c r="AF425" s="781">
        <f>$S$1*P!AF425</f>
        <v>3.564516129032258E-2</v>
      </c>
    </row>
    <row r="426" spans="19:32" x14ac:dyDescent="0.35">
      <c r="S426" s="782">
        <v>422</v>
      </c>
      <c r="T426" s="782" t="s">
        <v>4284</v>
      </c>
      <c r="U426" s="782" t="s">
        <v>5445</v>
      </c>
      <c r="V426" s="797">
        <f>$S$1*P!V426</f>
        <v>2.0530241935483872E-5</v>
      </c>
      <c r="W426" s="863"/>
      <c r="X426" s="782">
        <v>422</v>
      </c>
      <c r="Y426" s="782" t="s">
        <v>2248</v>
      </c>
      <c r="Z426" s="782" t="s">
        <v>5744</v>
      </c>
      <c r="AA426" s="781">
        <f>$S$1*P!AA426</f>
        <v>6.3407258064516137E-2</v>
      </c>
      <c r="AB426" s="780"/>
      <c r="AC426" s="782">
        <v>422</v>
      </c>
      <c r="AD426" s="782" t="s">
        <v>4573</v>
      </c>
      <c r="AE426" s="782" t="s">
        <v>5427</v>
      </c>
      <c r="AF426" s="781">
        <f>$S$1*P!AF426</f>
        <v>2.8721774193548387E-3</v>
      </c>
    </row>
    <row r="427" spans="19:32" x14ac:dyDescent="0.35">
      <c r="S427" s="861">
        <v>423</v>
      </c>
      <c r="T427" s="861" t="s">
        <v>4284</v>
      </c>
      <c r="U427" s="861" t="s">
        <v>5743</v>
      </c>
      <c r="V427" s="862">
        <f>$S$1*P!V427</f>
        <v>10.379</v>
      </c>
      <c r="W427" s="863"/>
      <c r="X427" s="782">
        <v>423</v>
      </c>
      <c r="Y427" s="782" t="s">
        <v>2248</v>
      </c>
      <c r="Z427" s="782" t="s">
        <v>5465</v>
      </c>
      <c r="AA427" s="781">
        <f>$S$1*P!AA427</f>
        <v>2.5568548387096775E-2</v>
      </c>
      <c r="AB427" s="780"/>
      <c r="AC427" s="782">
        <v>423</v>
      </c>
      <c r="AD427" s="782" t="s">
        <v>4573</v>
      </c>
      <c r="AE427" s="782" t="s">
        <v>3686</v>
      </c>
      <c r="AF427" s="781">
        <f>$S$1*P!AF427</f>
        <v>9.4939516129032269E-3</v>
      </c>
    </row>
    <row r="428" spans="19:32" x14ac:dyDescent="0.35">
      <c r="S428" s="861">
        <v>424</v>
      </c>
      <c r="T428" s="861" t="s">
        <v>4284</v>
      </c>
      <c r="U428" s="861" t="s">
        <v>5742</v>
      </c>
      <c r="V428" s="862">
        <f>$S$1*P!V428</f>
        <v>10.218499999999999</v>
      </c>
      <c r="W428" s="863"/>
      <c r="X428" s="782">
        <v>424</v>
      </c>
      <c r="Y428" s="782" t="s">
        <v>2248</v>
      </c>
      <c r="Z428" s="782" t="s">
        <v>5464</v>
      </c>
      <c r="AA428" s="781">
        <f>$S$1*P!AA428</f>
        <v>6.9576612903225815E-3</v>
      </c>
      <c r="AB428" s="780"/>
      <c r="AC428" s="782">
        <v>424</v>
      </c>
      <c r="AD428" s="782" t="s">
        <v>4573</v>
      </c>
      <c r="AE428" s="782" t="s">
        <v>3686</v>
      </c>
      <c r="AF428" s="781">
        <f>$S$1*P!AF428</f>
        <v>0</v>
      </c>
    </row>
    <row r="429" spans="19:32" x14ac:dyDescent="0.35">
      <c r="S429" s="782">
        <v>425</v>
      </c>
      <c r="T429" s="782" t="s">
        <v>4284</v>
      </c>
      <c r="U429" s="782" t="s">
        <v>3694</v>
      </c>
      <c r="V429" s="797">
        <f>$S$1*P!V429</f>
        <v>40.572000000000003</v>
      </c>
      <c r="W429" s="863"/>
      <c r="X429" s="782">
        <v>425</v>
      </c>
      <c r="Y429" s="782" t="s">
        <v>2248</v>
      </c>
      <c r="Z429" s="782" t="s">
        <v>5741</v>
      </c>
      <c r="AA429" s="781">
        <f>$S$1*P!AA429</f>
        <v>2.8858870967741939E-3</v>
      </c>
      <c r="AB429" s="780"/>
      <c r="AC429" s="782">
        <v>425</v>
      </c>
      <c r="AD429" s="782" t="s">
        <v>4573</v>
      </c>
      <c r="AE429" s="782" t="s">
        <v>5426</v>
      </c>
      <c r="AF429" s="781">
        <f>$S$1*P!AF429</f>
        <v>1.0008064516129032E-2</v>
      </c>
    </row>
    <row r="430" spans="19:32" x14ac:dyDescent="0.35">
      <c r="S430" s="861">
        <v>426</v>
      </c>
      <c r="T430" s="861" t="s">
        <v>4284</v>
      </c>
      <c r="U430" s="861" t="s">
        <v>5740</v>
      </c>
      <c r="V430" s="862">
        <f>$S$1*P!V430</f>
        <v>7.5969999999999995</v>
      </c>
      <c r="W430" s="863"/>
      <c r="X430" s="782">
        <v>426</v>
      </c>
      <c r="Y430" s="782" t="s">
        <v>2248</v>
      </c>
      <c r="Z430" s="782" t="s">
        <v>5463</v>
      </c>
      <c r="AA430" s="781">
        <f>$S$1*P!AA430</f>
        <v>4.8326612903225812E-2</v>
      </c>
      <c r="AB430" s="780"/>
      <c r="AC430" s="782">
        <v>426</v>
      </c>
      <c r="AD430" s="782" t="s">
        <v>4573</v>
      </c>
      <c r="AE430" s="782" t="s">
        <v>5425</v>
      </c>
      <c r="AF430" s="781">
        <f>$S$1*P!AF430</f>
        <v>3.8729838709677424E-3</v>
      </c>
    </row>
    <row r="431" spans="19:32" x14ac:dyDescent="0.35">
      <c r="S431" s="782">
        <v>427</v>
      </c>
      <c r="T431" s="782" t="s">
        <v>4284</v>
      </c>
      <c r="U431" s="782" t="s">
        <v>5444</v>
      </c>
      <c r="V431" s="797">
        <f>$S$1*P!V431</f>
        <v>8.431451612903226E-3</v>
      </c>
      <c r="W431" s="863"/>
      <c r="X431" s="782">
        <v>427</v>
      </c>
      <c r="Y431" s="782" t="s">
        <v>2248</v>
      </c>
      <c r="Z431" s="782" t="s">
        <v>5462</v>
      </c>
      <c r="AA431" s="781">
        <f>$S$1*P!AA431</f>
        <v>8.8770161290322586E-4</v>
      </c>
      <c r="AB431" s="780"/>
      <c r="AC431" s="782">
        <v>427</v>
      </c>
      <c r="AD431" s="782" t="s">
        <v>4573</v>
      </c>
      <c r="AE431" s="782" t="s">
        <v>5424</v>
      </c>
      <c r="AF431" s="781">
        <f>$S$1*P!AF431</f>
        <v>9.596774193548388E-3</v>
      </c>
    </row>
    <row r="432" spans="19:32" x14ac:dyDescent="0.35">
      <c r="S432" s="782">
        <v>428</v>
      </c>
      <c r="T432" s="782" t="s">
        <v>4284</v>
      </c>
      <c r="U432" s="782" t="s">
        <v>5443</v>
      </c>
      <c r="V432" s="797">
        <f>$S$1*P!V432</f>
        <v>2.0770161290322581E-3</v>
      </c>
      <c r="W432" s="863"/>
      <c r="X432" s="782">
        <v>428</v>
      </c>
      <c r="Y432" s="782" t="s">
        <v>2248</v>
      </c>
      <c r="Z432" s="782" t="s">
        <v>5739</v>
      </c>
      <c r="AA432" s="781">
        <f>$S$1*P!AA432</f>
        <v>4.1129032258064517E-4</v>
      </c>
      <c r="AB432" s="780"/>
      <c r="AC432" s="782">
        <v>428</v>
      </c>
      <c r="AD432" s="782" t="s">
        <v>4573</v>
      </c>
      <c r="AE432" s="782" t="s">
        <v>5423</v>
      </c>
      <c r="AF432" s="781">
        <f>$S$1*P!AF432</f>
        <v>1.0008064516129032E-3</v>
      </c>
    </row>
    <row r="433" spans="19:32" x14ac:dyDescent="0.35">
      <c r="S433" s="782">
        <v>429</v>
      </c>
      <c r="T433" s="782" t="s">
        <v>4284</v>
      </c>
      <c r="U433" s="782" t="s">
        <v>5442</v>
      </c>
      <c r="V433" s="797">
        <f>$S$1*P!V433</f>
        <v>1.689717741935484E-5</v>
      </c>
      <c r="W433" s="863"/>
      <c r="X433" s="782">
        <v>429</v>
      </c>
      <c r="Y433" s="782" t="s">
        <v>2248</v>
      </c>
      <c r="Z433" s="782" t="s">
        <v>3723</v>
      </c>
      <c r="AA433" s="781">
        <f>$S$1*P!AA433</f>
        <v>0</v>
      </c>
      <c r="AB433" s="780"/>
      <c r="AC433" s="782">
        <v>429</v>
      </c>
      <c r="AD433" s="782" t="s">
        <v>4573</v>
      </c>
      <c r="AE433" s="782" t="s">
        <v>5422</v>
      </c>
      <c r="AF433" s="781">
        <f>$S$1*P!AF433</f>
        <v>1.0590725806451614E-2</v>
      </c>
    </row>
    <row r="434" spans="19:32" x14ac:dyDescent="0.35">
      <c r="S434" s="782">
        <v>430</v>
      </c>
      <c r="T434" s="782" t="s">
        <v>4284</v>
      </c>
      <c r="U434" s="782" t="s">
        <v>5441</v>
      </c>
      <c r="V434" s="797">
        <f>$S$1*P!V434</f>
        <v>1.9193548387096775E-3</v>
      </c>
      <c r="W434" s="863"/>
      <c r="X434" s="782">
        <v>430</v>
      </c>
      <c r="Y434" s="782" t="s">
        <v>2248</v>
      </c>
      <c r="Z434" s="782" t="s">
        <v>3723</v>
      </c>
      <c r="AA434" s="781">
        <f>$S$1*P!AA434</f>
        <v>6.1008064516129043E-4</v>
      </c>
      <c r="AB434" s="780"/>
      <c r="AC434" s="782">
        <v>430</v>
      </c>
      <c r="AD434" s="782" t="s">
        <v>4573</v>
      </c>
      <c r="AE434" s="782" t="s">
        <v>5421</v>
      </c>
      <c r="AF434" s="781">
        <f>$S$1*P!AF434</f>
        <v>1.0145161290322581E-4</v>
      </c>
    </row>
    <row r="435" spans="19:32" x14ac:dyDescent="0.35">
      <c r="S435" s="782">
        <v>431</v>
      </c>
      <c r="T435" s="782" t="s">
        <v>4284</v>
      </c>
      <c r="U435" s="782" t="s">
        <v>5440</v>
      </c>
      <c r="V435" s="797">
        <f>$S$1*P!V435</f>
        <v>1.984475806451613E-4</v>
      </c>
      <c r="W435" s="863"/>
      <c r="X435" s="782">
        <v>431</v>
      </c>
      <c r="Y435" s="782" t="s">
        <v>2248</v>
      </c>
      <c r="Z435" s="782" t="s">
        <v>3721</v>
      </c>
      <c r="AA435" s="781">
        <f>$S$1*P!AA435</f>
        <v>0</v>
      </c>
      <c r="AB435" s="780"/>
      <c r="AC435" s="782">
        <v>431</v>
      </c>
      <c r="AD435" s="782" t="s">
        <v>4573</v>
      </c>
      <c r="AE435" s="782" t="s">
        <v>5420</v>
      </c>
      <c r="AF435" s="781">
        <f>$S$1*P!AF435</f>
        <v>1.0419354838709679E-2</v>
      </c>
    </row>
    <row r="436" spans="19:32" x14ac:dyDescent="0.35">
      <c r="S436" s="782">
        <v>432</v>
      </c>
      <c r="T436" s="782" t="s">
        <v>4284</v>
      </c>
      <c r="U436" s="782" t="s">
        <v>5439</v>
      </c>
      <c r="V436" s="797">
        <f>$S$1*P!V436</f>
        <v>1.9981854838709678E-2</v>
      </c>
      <c r="W436" s="863"/>
      <c r="X436" s="782">
        <v>432</v>
      </c>
      <c r="Y436" s="782" t="s">
        <v>2248</v>
      </c>
      <c r="Z436" s="782" t="s">
        <v>5738</v>
      </c>
      <c r="AA436" s="781">
        <f>$S$1*P!AA436</f>
        <v>1.0008064516129032E-4</v>
      </c>
      <c r="AB436" s="780"/>
      <c r="AC436" s="782">
        <v>432</v>
      </c>
      <c r="AD436" s="782" t="s">
        <v>4573</v>
      </c>
      <c r="AE436" s="782" t="s">
        <v>5419</v>
      </c>
      <c r="AF436" s="781">
        <f>$S$1*P!AF436</f>
        <v>2.9098790322580649E-3</v>
      </c>
    </row>
    <row r="437" spans="19:32" x14ac:dyDescent="0.35">
      <c r="S437" s="782">
        <v>433</v>
      </c>
      <c r="T437" s="782" t="s">
        <v>4284</v>
      </c>
      <c r="U437" s="782" t="s">
        <v>5438</v>
      </c>
      <c r="V437" s="797">
        <f>$S$1*P!V437</f>
        <v>2.0187500000000001E-2</v>
      </c>
      <c r="W437" s="863"/>
      <c r="X437" s="782">
        <v>433</v>
      </c>
      <c r="Y437" s="782" t="s">
        <v>2248</v>
      </c>
      <c r="Z437" s="782" t="s">
        <v>5461</v>
      </c>
      <c r="AA437" s="781">
        <f>$S$1*P!AA437</f>
        <v>1.8028225806451614E-3</v>
      </c>
      <c r="AB437" s="780"/>
      <c r="AC437" s="782">
        <v>433</v>
      </c>
      <c r="AD437" s="782" t="s">
        <v>4573</v>
      </c>
      <c r="AE437" s="782" t="s">
        <v>5418</v>
      </c>
      <c r="AF437" s="781">
        <f>$S$1*P!AF437</f>
        <v>0.55181451612903232</v>
      </c>
    </row>
    <row r="438" spans="19:32" x14ac:dyDescent="0.35">
      <c r="S438" s="782">
        <v>434</v>
      </c>
      <c r="T438" s="782" t="s">
        <v>4284</v>
      </c>
      <c r="U438" s="782" t="s">
        <v>5437</v>
      </c>
      <c r="V438" s="797">
        <f>$S$1*P!V438</f>
        <v>2.5260080645161291E-3</v>
      </c>
      <c r="W438" s="863"/>
      <c r="X438" s="782">
        <v>434</v>
      </c>
      <c r="Y438" s="782" t="s">
        <v>2248</v>
      </c>
      <c r="Z438" s="782" t="s">
        <v>3719</v>
      </c>
      <c r="AA438" s="781">
        <f>$S$1*P!AA438</f>
        <v>3.4775999999999998</v>
      </c>
      <c r="AB438" s="780"/>
      <c r="AC438" s="782">
        <v>434</v>
      </c>
      <c r="AD438" s="782" t="s">
        <v>4573</v>
      </c>
      <c r="AE438" s="782" t="s">
        <v>5417</v>
      </c>
      <c r="AF438" s="781">
        <f>$S$1*P!AF438</f>
        <v>5.175403225806452E-2</v>
      </c>
    </row>
    <row r="439" spans="19:32" x14ac:dyDescent="0.35">
      <c r="S439" s="782">
        <v>435</v>
      </c>
      <c r="T439" s="782" t="s">
        <v>4284</v>
      </c>
      <c r="U439" s="782" t="s">
        <v>3692</v>
      </c>
      <c r="V439" s="797">
        <f>$S$1*P!V439</f>
        <v>19.872</v>
      </c>
      <c r="W439" s="863"/>
      <c r="X439" s="782">
        <v>435</v>
      </c>
      <c r="Y439" s="782" t="s">
        <v>2248</v>
      </c>
      <c r="Z439" s="782" t="s">
        <v>3719</v>
      </c>
      <c r="AA439" s="781">
        <f>$S$1*P!AA439</f>
        <v>1.4875000000000001E-3</v>
      </c>
      <c r="AB439" s="780"/>
      <c r="AC439" s="782">
        <v>435</v>
      </c>
      <c r="AD439" s="782" t="s">
        <v>4573</v>
      </c>
      <c r="AE439" s="782" t="s">
        <v>5416</v>
      </c>
      <c r="AF439" s="781">
        <f>$S$1*P!AF439</f>
        <v>1.227016129032258E-3</v>
      </c>
    </row>
    <row r="440" spans="19:32" x14ac:dyDescent="0.35">
      <c r="S440" s="782">
        <v>436</v>
      </c>
      <c r="T440" s="782" t="s">
        <v>4284</v>
      </c>
      <c r="U440" s="782" t="s">
        <v>3689</v>
      </c>
      <c r="V440" s="797">
        <f>$S$1*P!V440</f>
        <v>7.814516129032259E-2</v>
      </c>
      <c r="W440" s="863"/>
      <c r="X440" s="782">
        <v>436</v>
      </c>
      <c r="Y440" s="782" t="s">
        <v>2248</v>
      </c>
      <c r="Z440" s="782" t="s">
        <v>5737</v>
      </c>
      <c r="AA440" s="781">
        <f>$S$1*P!AA440</f>
        <v>5.8951612903225814E-3</v>
      </c>
      <c r="AB440" s="780"/>
      <c r="AC440" s="782">
        <v>436</v>
      </c>
      <c r="AD440" s="782" t="s">
        <v>4573</v>
      </c>
      <c r="AE440" s="782" t="s">
        <v>5415</v>
      </c>
      <c r="AF440" s="781">
        <f>$S$1*P!AF440</f>
        <v>1.4018145161290324E-2</v>
      </c>
    </row>
    <row r="441" spans="19:32" x14ac:dyDescent="0.35">
      <c r="S441" s="782">
        <v>437</v>
      </c>
      <c r="T441" s="782" t="s">
        <v>4284</v>
      </c>
      <c r="U441" s="782" t="s">
        <v>3689</v>
      </c>
      <c r="V441" s="797">
        <f>$S$1*P!V441</f>
        <v>0</v>
      </c>
      <c r="W441" s="863"/>
      <c r="X441" s="782">
        <v>437</v>
      </c>
      <c r="Y441" s="782" t="s">
        <v>2248</v>
      </c>
      <c r="Z441" s="782" t="s">
        <v>5459</v>
      </c>
      <c r="AA441" s="781">
        <f>$S$1*P!AA441</f>
        <v>4.2157258064516132E-2</v>
      </c>
      <c r="AB441" s="780"/>
      <c r="AC441" s="782">
        <v>437</v>
      </c>
      <c r="AD441" s="782" t="s">
        <v>4573</v>
      </c>
      <c r="AE441" s="782" t="s">
        <v>5414</v>
      </c>
      <c r="AF441" s="781">
        <f>$S$1*P!AF441</f>
        <v>1.453225806451613E-2</v>
      </c>
    </row>
    <row r="442" spans="19:32" x14ac:dyDescent="0.35">
      <c r="S442" s="782">
        <v>438</v>
      </c>
      <c r="T442" s="782" t="s">
        <v>4284</v>
      </c>
      <c r="U442" s="782" t="s">
        <v>5436</v>
      </c>
      <c r="V442" s="797">
        <f>$S$1*P!V442</f>
        <v>4.0443548387096779E-4</v>
      </c>
      <c r="W442" s="780"/>
      <c r="X442" s="782">
        <v>438</v>
      </c>
      <c r="Y442" s="782" t="s">
        <v>2248</v>
      </c>
      <c r="Z442" s="782" t="s">
        <v>5458</v>
      </c>
      <c r="AA442" s="781">
        <f>$S$1*P!AA442</f>
        <v>3.067540322580645E-4</v>
      </c>
      <c r="AB442" s="780"/>
      <c r="AC442" s="782">
        <v>438</v>
      </c>
      <c r="AD442" s="782" t="s">
        <v>4573</v>
      </c>
      <c r="AE442" s="782" t="s">
        <v>5413</v>
      </c>
      <c r="AF442" s="781">
        <f>$S$1*P!AF442</f>
        <v>0.3461693548387097</v>
      </c>
    </row>
    <row r="443" spans="19:32" x14ac:dyDescent="0.35">
      <c r="S443" s="782">
        <v>439</v>
      </c>
      <c r="T443" s="782" t="s">
        <v>4284</v>
      </c>
      <c r="U443" s="782" t="s">
        <v>5435</v>
      </c>
      <c r="V443" s="797">
        <f>$S$1*P!V443</f>
        <v>2.7864919354838712E-4</v>
      </c>
      <c r="W443" s="780"/>
      <c r="X443" s="782">
        <v>439</v>
      </c>
      <c r="Y443" s="782" t="s">
        <v>2248</v>
      </c>
      <c r="Z443" s="782" t="s">
        <v>5736</v>
      </c>
      <c r="AA443" s="781">
        <f>$S$1*P!AA443</f>
        <v>5.3125000000000004E-4</v>
      </c>
      <c r="AB443" s="780"/>
      <c r="AC443" s="782">
        <v>439</v>
      </c>
      <c r="AD443" s="782" t="s">
        <v>4573</v>
      </c>
      <c r="AE443" s="782" t="s">
        <v>5409</v>
      </c>
      <c r="AF443" s="781">
        <f>$S$1*P!AF443</f>
        <v>1.3298387096774193E-3</v>
      </c>
    </row>
    <row r="444" spans="19:32" x14ac:dyDescent="0.35">
      <c r="S444" s="782">
        <v>440</v>
      </c>
      <c r="T444" s="782" t="s">
        <v>4284</v>
      </c>
      <c r="U444" s="782" t="s">
        <v>5434</v>
      </c>
      <c r="V444" s="797">
        <f>$S$1*P!V444</f>
        <v>2.2209677419354839E-3</v>
      </c>
      <c r="W444" s="780"/>
      <c r="X444" s="782">
        <v>440</v>
      </c>
      <c r="Y444" s="782" t="s">
        <v>2248</v>
      </c>
      <c r="Z444" s="782" t="s">
        <v>3716</v>
      </c>
      <c r="AA444" s="781">
        <f>$S$1*P!AA444</f>
        <v>0</v>
      </c>
      <c r="AB444" s="780"/>
      <c r="AC444" s="782">
        <v>440</v>
      </c>
      <c r="AD444" s="782" t="s">
        <v>4573</v>
      </c>
      <c r="AE444" s="782" t="s">
        <v>5408</v>
      </c>
      <c r="AF444" s="781">
        <f>$S$1*P!AF444</f>
        <v>2.0907258064516133E-3</v>
      </c>
    </row>
    <row r="445" spans="19:32" x14ac:dyDescent="0.35">
      <c r="S445" s="782">
        <v>441</v>
      </c>
      <c r="T445" s="782" t="s">
        <v>4284</v>
      </c>
      <c r="U445" s="782" t="s">
        <v>5433</v>
      </c>
      <c r="V445" s="797">
        <f>$S$1*P!V445</f>
        <v>1.0590725806451612E-8</v>
      </c>
      <c r="W445" s="780"/>
      <c r="X445" s="782">
        <v>441</v>
      </c>
      <c r="Y445" s="782" t="s">
        <v>2248</v>
      </c>
      <c r="Z445" s="782" t="s">
        <v>5457</v>
      </c>
      <c r="AA445" s="781">
        <f>$S$1*P!AA445</f>
        <v>8.705645161290323E-6</v>
      </c>
      <c r="AB445" s="780"/>
      <c r="AC445" s="782">
        <v>441</v>
      </c>
      <c r="AD445" s="782" t="s">
        <v>4573</v>
      </c>
      <c r="AE445" s="782" t="s">
        <v>5407</v>
      </c>
      <c r="AF445" s="781">
        <f>$S$1*P!AF445</f>
        <v>4.7641129032258069E-4</v>
      </c>
    </row>
    <row r="446" spans="19:32" x14ac:dyDescent="0.35">
      <c r="S446" s="782">
        <v>442</v>
      </c>
      <c r="T446" s="782" t="s">
        <v>4284</v>
      </c>
      <c r="U446" s="782" t="s">
        <v>5432</v>
      </c>
      <c r="V446" s="797">
        <f>$S$1*P!V446</f>
        <v>5.4153225806451615E-3</v>
      </c>
      <c r="W446" s="780"/>
      <c r="X446" s="782">
        <v>442</v>
      </c>
      <c r="Y446" s="782" t="s">
        <v>2248</v>
      </c>
      <c r="Z446" s="782" t="s">
        <v>5735</v>
      </c>
      <c r="AA446" s="781">
        <f>$S$1*P!AA446</f>
        <v>4.6612903225806451E-4</v>
      </c>
      <c r="AB446" s="780"/>
      <c r="AC446" s="782">
        <v>442</v>
      </c>
      <c r="AD446" s="782" t="s">
        <v>4573</v>
      </c>
      <c r="AE446" s="782" t="s">
        <v>5403</v>
      </c>
      <c r="AF446" s="781">
        <f>$S$1*P!AF446</f>
        <v>3.804435483870968E-4</v>
      </c>
    </row>
    <row r="447" spans="19:32" x14ac:dyDescent="0.35">
      <c r="S447" s="782">
        <v>443</v>
      </c>
      <c r="T447" s="782" t="s">
        <v>4284</v>
      </c>
      <c r="U447" s="782" t="s">
        <v>5431</v>
      </c>
      <c r="V447" s="797">
        <f>$S$1*P!V447</f>
        <v>3.2457661290322582E-5</v>
      </c>
      <c r="W447" s="780"/>
      <c r="X447" s="782">
        <v>443</v>
      </c>
      <c r="Y447" s="782" t="s">
        <v>2248</v>
      </c>
      <c r="Z447" s="782" t="s">
        <v>5456</v>
      </c>
      <c r="AA447" s="781">
        <f>$S$1*P!AA447</f>
        <v>4.1471774193548389E-2</v>
      </c>
      <c r="AB447" s="780"/>
      <c r="AC447" s="782">
        <v>443</v>
      </c>
      <c r="AD447" s="782" t="s">
        <v>4573</v>
      </c>
      <c r="AE447" s="782" t="s">
        <v>5401</v>
      </c>
      <c r="AF447" s="781">
        <f>$S$1*P!AF447</f>
        <v>1.0419354838709679E-2</v>
      </c>
    </row>
    <row r="448" spans="19:32" x14ac:dyDescent="0.35">
      <c r="S448" s="782">
        <v>444</v>
      </c>
      <c r="T448" s="782" t="s">
        <v>4284</v>
      </c>
      <c r="U448" s="782" t="s">
        <v>5430</v>
      </c>
      <c r="V448" s="797">
        <f>$S$1*P!V448</f>
        <v>3.4959677419354839E-4</v>
      </c>
      <c r="W448" s="780"/>
      <c r="X448" s="782">
        <v>444</v>
      </c>
      <c r="Y448" s="782" t="s">
        <v>2248</v>
      </c>
      <c r="Z448" s="782" t="s">
        <v>5455</v>
      </c>
      <c r="AA448" s="781">
        <f>$S$1*P!AA448</f>
        <v>5.9294354838709679E-3</v>
      </c>
      <c r="AB448" s="780"/>
      <c r="AC448" s="782">
        <v>444</v>
      </c>
      <c r="AD448" s="782" t="s">
        <v>4573</v>
      </c>
      <c r="AE448" s="782" t="s">
        <v>5400</v>
      </c>
      <c r="AF448" s="781">
        <f>$S$1*P!AF448</f>
        <v>22.723790322580648</v>
      </c>
    </row>
    <row r="449" spans="19:32" x14ac:dyDescent="0.35">
      <c r="S449" s="782">
        <v>445</v>
      </c>
      <c r="T449" s="782" t="s">
        <v>4284</v>
      </c>
      <c r="U449" s="782" t="s">
        <v>5429</v>
      </c>
      <c r="V449" s="797">
        <f>$S$1*P!V449</f>
        <v>1.3743951612903225E-6</v>
      </c>
      <c r="W449" s="780"/>
      <c r="X449" s="782">
        <v>445</v>
      </c>
      <c r="Y449" s="782" t="s">
        <v>2248</v>
      </c>
      <c r="Z449" s="782" t="s">
        <v>5734</v>
      </c>
      <c r="AA449" s="781">
        <f>$S$1*P!AA449</f>
        <v>6.8891129032258077E-6</v>
      </c>
      <c r="AB449" s="780"/>
      <c r="AC449" s="782">
        <v>445</v>
      </c>
      <c r="AD449" s="782" t="s">
        <v>4573</v>
      </c>
      <c r="AE449" s="782" t="s">
        <v>5399</v>
      </c>
      <c r="AF449" s="781">
        <f>$S$1*P!AF449</f>
        <v>7.7116935483870974E-3</v>
      </c>
    </row>
    <row r="450" spans="19:32" x14ac:dyDescent="0.35">
      <c r="S450" s="782">
        <v>446</v>
      </c>
      <c r="T450" s="782" t="s">
        <v>4284</v>
      </c>
      <c r="U450" s="782" t="s">
        <v>3687</v>
      </c>
      <c r="V450" s="797">
        <f>$S$1*P!V450</f>
        <v>0</v>
      </c>
      <c r="W450" s="780"/>
      <c r="X450" s="782">
        <v>446</v>
      </c>
      <c r="Y450" s="782" t="s">
        <v>2248</v>
      </c>
      <c r="Z450" s="782" t="s">
        <v>5454</v>
      </c>
      <c r="AA450" s="781">
        <f>$S$1*P!AA450</f>
        <v>0.18645161290322582</v>
      </c>
      <c r="AB450" s="780"/>
      <c r="AC450" s="782">
        <v>446</v>
      </c>
      <c r="AD450" s="782" t="s">
        <v>4573</v>
      </c>
      <c r="AE450" s="782" t="s">
        <v>3683</v>
      </c>
      <c r="AF450" s="781">
        <f>$S$1*P!AF450</f>
        <v>1.0350806451612903E-3</v>
      </c>
    </row>
    <row r="451" spans="19:32" x14ac:dyDescent="0.35">
      <c r="S451" s="782">
        <v>447</v>
      </c>
      <c r="T451" s="782" t="s">
        <v>4284</v>
      </c>
      <c r="U451" s="782" t="s">
        <v>5428</v>
      </c>
      <c r="V451" s="797">
        <f>$S$1*P!V451</f>
        <v>2.8858870967741936E-5</v>
      </c>
      <c r="W451" s="780"/>
      <c r="X451" s="782">
        <v>447</v>
      </c>
      <c r="Y451" s="782" t="s">
        <v>2248</v>
      </c>
      <c r="Z451" s="782" t="s">
        <v>3714</v>
      </c>
      <c r="AA451" s="781">
        <f>$S$1*P!AA451</f>
        <v>0</v>
      </c>
      <c r="AB451" s="780"/>
      <c r="AC451" s="782">
        <v>447</v>
      </c>
      <c r="AD451" s="782" t="s">
        <v>4573</v>
      </c>
      <c r="AE451" s="782" t="s">
        <v>3683</v>
      </c>
      <c r="AF451" s="781">
        <f>$S$1*P!AF451</f>
        <v>4.2780000000000005</v>
      </c>
    </row>
    <row r="452" spans="19:32" x14ac:dyDescent="0.35">
      <c r="S452" s="782">
        <v>448</v>
      </c>
      <c r="T452" s="782" t="s">
        <v>4284</v>
      </c>
      <c r="U452" s="782" t="s">
        <v>5427</v>
      </c>
      <c r="V452" s="797">
        <f>$S$1*P!V452</f>
        <v>3.105241935483871E-5</v>
      </c>
      <c r="W452" s="780"/>
      <c r="X452" s="782">
        <v>448</v>
      </c>
      <c r="Y452" s="782" t="s">
        <v>2248</v>
      </c>
      <c r="Z452" s="782" t="s">
        <v>3714</v>
      </c>
      <c r="AA452" s="781">
        <f>$S$1*P!AA452</f>
        <v>3.7701612903225808E-3</v>
      </c>
      <c r="AB452" s="780"/>
      <c r="AC452" s="782">
        <v>448</v>
      </c>
      <c r="AD452" s="782" t="s">
        <v>4573</v>
      </c>
      <c r="AE452" s="782" t="s">
        <v>5393</v>
      </c>
      <c r="AF452" s="781">
        <f>$S$1*P!AF452</f>
        <v>0.64778225806451617</v>
      </c>
    </row>
    <row r="453" spans="19:32" x14ac:dyDescent="0.35">
      <c r="S453" s="782">
        <v>449</v>
      </c>
      <c r="T453" s="782" t="s">
        <v>4284</v>
      </c>
      <c r="U453" s="782" t="s">
        <v>3686</v>
      </c>
      <c r="V453" s="797">
        <f>$S$1*P!V453</f>
        <v>1.1344758064516131E-4</v>
      </c>
      <c r="W453" s="780"/>
      <c r="X453" s="782">
        <v>449</v>
      </c>
      <c r="Y453" s="782" t="s">
        <v>2248</v>
      </c>
      <c r="Z453" s="782" t="s">
        <v>5733</v>
      </c>
      <c r="AA453" s="781">
        <f>$S$1*P!AA453</f>
        <v>1.4052419354838709E-4</v>
      </c>
      <c r="AB453" s="780"/>
      <c r="AC453" s="782">
        <v>449</v>
      </c>
      <c r="AD453" s="782" t="s">
        <v>4573</v>
      </c>
      <c r="AE453" s="782" t="s">
        <v>5392</v>
      </c>
      <c r="AF453" s="781">
        <f>$S$1*P!AF453</f>
        <v>5.8951612903225808E-4</v>
      </c>
    </row>
    <row r="454" spans="19:32" x14ac:dyDescent="0.35">
      <c r="S454" s="782">
        <v>450</v>
      </c>
      <c r="T454" s="782" t="s">
        <v>4284</v>
      </c>
      <c r="U454" s="782" t="s">
        <v>3686</v>
      </c>
      <c r="V454" s="797">
        <f>$S$1*P!V454</f>
        <v>0</v>
      </c>
      <c r="W454" s="780"/>
      <c r="X454" s="782">
        <v>450</v>
      </c>
      <c r="Y454" s="782" t="s">
        <v>2248</v>
      </c>
      <c r="Z454" s="782" t="s">
        <v>3710</v>
      </c>
      <c r="AA454" s="781">
        <f>$S$1*P!AA454</f>
        <v>0</v>
      </c>
      <c r="AB454" s="780"/>
      <c r="AC454" s="782">
        <v>450</v>
      </c>
      <c r="AD454" s="782" t="s">
        <v>4573</v>
      </c>
      <c r="AE454" s="782" t="s">
        <v>5391</v>
      </c>
      <c r="AF454" s="781">
        <f>$S$1*P!AF454</f>
        <v>0.19193548387096776</v>
      </c>
    </row>
    <row r="455" spans="19:32" x14ac:dyDescent="0.35">
      <c r="S455" s="782">
        <v>451</v>
      </c>
      <c r="T455" s="782" t="s">
        <v>4284</v>
      </c>
      <c r="U455" s="782" t="s">
        <v>5426</v>
      </c>
      <c r="V455" s="797">
        <f>$S$1*P!V455</f>
        <v>1.2407258064516129E-4</v>
      </c>
      <c r="W455" s="780"/>
      <c r="X455" s="782">
        <v>451</v>
      </c>
      <c r="Y455" s="782" t="s">
        <v>2248</v>
      </c>
      <c r="Z455" s="782" t="s">
        <v>5453</v>
      </c>
      <c r="AA455" s="781">
        <f>$S$1*P!AA455</f>
        <v>4.6270161290322583E-4</v>
      </c>
      <c r="AB455" s="780"/>
      <c r="AC455" s="782">
        <v>451</v>
      </c>
      <c r="AD455" s="782" t="s">
        <v>4573</v>
      </c>
      <c r="AE455" s="782" t="s">
        <v>5390</v>
      </c>
      <c r="AF455" s="781">
        <f>$S$1*P!AF455</f>
        <v>1.6588709677419356E-4</v>
      </c>
    </row>
    <row r="456" spans="19:32" x14ac:dyDescent="0.35">
      <c r="S456" s="782">
        <v>452</v>
      </c>
      <c r="T456" s="782" t="s">
        <v>4284</v>
      </c>
      <c r="U456" s="782" t="s">
        <v>5425</v>
      </c>
      <c r="V456" s="797">
        <f>$S$1*P!V456</f>
        <v>6.6491935483870975E-5</v>
      </c>
      <c r="W456" s="780"/>
      <c r="X456" s="782">
        <v>452</v>
      </c>
      <c r="Y456" s="782" t="s">
        <v>2248</v>
      </c>
      <c r="Z456" s="782" t="s">
        <v>5732</v>
      </c>
      <c r="AA456" s="781">
        <f>$S$1*P!AA456</f>
        <v>3.4239919354838713E-4</v>
      </c>
      <c r="AB456" s="780"/>
      <c r="AC456" s="782">
        <v>452</v>
      </c>
      <c r="AD456" s="782" t="s">
        <v>4573</v>
      </c>
      <c r="AE456" s="782" t="s">
        <v>3681</v>
      </c>
      <c r="AF456" s="781">
        <f>$S$1*P!AF456</f>
        <v>3.7358870967741937E-4</v>
      </c>
    </row>
    <row r="457" spans="19:32" x14ac:dyDescent="0.35">
      <c r="S457" s="782">
        <v>453</v>
      </c>
      <c r="T457" s="782" t="s">
        <v>4284</v>
      </c>
      <c r="U457" s="782" t="s">
        <v>5424</v>
      </c>
      <c r="V457" s="797">
        <f>$S$1*P!V457</f>
        <v>2.9304435483870969E-5</v>
      </c>
      <c r="W457" s="780"/>
      <c r="X457" s="782">
        <v>453</v>
      </c>
      <c r="Y457" s="782" t="s">
        <v>2248</v>
      </c>
      <c r="Z457" s="782" t="s">
        <v>3708</v>
      </c>
      <c r="AA457" s="781">
        <f>$S$1*P!AA457</f>
        <v>2.3643999999999998E-2</v>
      </c>
      <c r="AB457" s="780"/>
      <c r="AC457" s="782">
        <v>453</v>
      </c>
      <c r="AD457" s="782" t="s">
        <v>4573</v>
      </c>
      <c r="AE457" s="782" t="s">
        <v>3681</v>
      </c>
      <c r="AF457" s="781">
        <f>$S$1*P!AF457</f>
        <v>0</v>
      </c>
    </row>
    <row r="458" spans="19:32" x14ac:dyDescent="0.35">
      <c r="S458" s="782">
        <v>454</v>
      </c>
      <c r="T458" s="782" t="s">
        <v>4284</v>
      </c>
      <c r="U458" s="782" t="s">
        <v>5423</v>
      </c>
      <c r="V458" s="797">
        <f>$S$1*P!V458</f>
        <v>5.3125000000000004E-5</v>
      </c>
      <c r="W458" s="780"/>
      <c r="X458" s="782">
        <v>454</v>
      </c>
      <c r="Y458" s="782" t="s">
        <v>2248</v>
      </c>
      <c r="Z458" s="782" t="s">
        <v>5452</v>
      </c>
      <c r="AA458" s="781">
        <f>$S$1*P!AA458</f>
        <v>7.0604838709677425E-6</v>
      </c>
      <c r="AB458" s="780"/>
      <c r="AC458" s="782">
        <v>454</v>
      </c>
      <c r="AD458" s="782" t="s">
        <v>4573</v>
      </c>
      <c r="AE458" s="782" t="s">
        <v>5389</v>
      </c>
      <c r="AF458" s="781">
        <f>$S$1*P!AF458</f>
        <v>1.1379032258064519E-3</v>
      </c>
    </row>
    <row r="459" spans="19:32" x14ac:dyDescent="0.35">
      <c r="S459" s="782">
        <v>455</v>
      </c>
      <c r="T459" s="782" t="s">
        <v>4284</v>
      </c>
      <c r="U459" s="782" t="s">
        <v>5422</v>
      </c>
      <c r="V459" s="797">
        <f>$S$1*P!V459</f>
        <v>4.7641129032258069E-6</v>
      </c>
      <c r="W459" s="780"/>
      <c r="X459" s="782">
        <v>455</v>
      </c>
      <c r="Y459" s="782" t="s">
        <v>2248</v>
      </c>
      <c r="Z459" s="782" t="s">
        <v>3706</v>
      </c>
      <c r="AA459" s="781">
        <f>$S$1*P!AA459</f>
        <v>1.1867999999999999</v>
      </c>
      <c r="AB459" s="780"/>
      <c r="AC459" s="782">
        <v>455</v>
      </c>
      <c r="AD459" s="782" t="s">
        <v>4573</v>
      </c>
      <c r="AE459" s="782" t="s">
        <v>5388</v>
      </c>
      <c r="AF459" s="781">
        <f>$S$1*P!AF459</f>
        <v>1.4086693548387099E-2</v>
      </c>
    </row>
    <row r="460" spans="19:32" x14ac:dyDescent="0.35">
      <c r="S460" s="782">
        <v>456</v>
      </c>
      <c r="T460" s="782" t="s">
        <v>4284</v>
      </c>
      <c r="U460" s="782" t="s">
        <v>5421</v>
      </c>
      <c r="V460" s="797">
        <f>$S$1*P!V460</f>
        <v>5.0725806451612907E-6</v>
      </c>
      <c r="W460" s="780"/>
      <c r="X460" s="782">
        <v>456</v>
      </c>
      <c r="Y460" s="782" t="s">
        <v>2248</v>
      </c>
      <c r="Z460" s="782" t="s">
        <v>5731</v>
      </c>
      <c r="AA460" s="781">
        <f>$S$1*P!AA460</f>
        <v>1.5320564516129034E-4</v>
      </c>
      <c r="AB460" s="780"/>
      <c r="AC460" s="782">
        <v>456</v>
      </c>
      <c r="AD460" s="782" t="s">
        <v>4573</v>
      </c>
      <c r="AE460" s="782" t="s">
        <v>3679</v>
      </c>
      <c r="AF460" s="781">
        <f>$S$1*P!AF460</f>
        <v>3.3763999999999998</v>
      </c>
    </row>
    <row r="461" spans="19:32" x14ac:dyDescent="0.35">
      <c r="S461" s="782">
        <v>457</v>
      </c>
      <c r="T461" s="782" t="s">
        <v>4284</v>
      </c>
      <c r="U461" s="782" t="s">
        <v>5420</v>
      </c>
      <c r="V461" s="797">
        <f>$S$1*P!V461</f>
        <v>3.5302419354838712E-6</v>
      </c>
      <c r="W461" s="780"/>
      <c r="X461" s="782">
        <v>457</v>
      </c>
      <c r="Y461" s="782" t="s">
        <v>2248</v>
      </c>
      <c r="Z461" s="782" t="s">
        <v>5451</v>
      </c>
      <c r="AA461" s="781">
        <f>$S$1*P!AA461</f>
        <v>2.3512096774193551E-4</v>
      </c>
      <c r="AB461" s="780"/>
      <c r="AC461" s="782">
        <v>457</v>
      </c>
      <c r="AD461" s="782" t="s">
        <v>4573</v>
      </c>
      <c r="AE461" s="782" t="s">
        <v>5387</v>
      </c>
      <c r="AF461" s="781">
        <f>$S$1*P!AF461</f>
        <v>3.3245967741935487E-3</v>
      </c>
    </row>
    <row r="462" spans="19:32" x14ac:dyDescent="0.35">
      <c r="S462" s="782">
        <v>458</v>
      </c>
      <c r="T462" s="782" t="s">
        <v>4284</v>
      </c>
      <c r="U462" s="782" t="s">
        <v>5419</v>
      </c>
      <c r="V462" s="797">
        <f>$S$1*P!V462</f>
        <v>2.5842741935483872E-6</v>
      </c>
      <c r="W462" s="780"/>
      <c r="X462" s="782">
        <v>458</v>
      </c>
      <c r="Y462" s="782" t="s">
        <v>2248</v>
      </c>
      <c r="Z462" s="782" t="s">
        <v>3702</v>
      </c>
      <c r="AA462" s="781">
        <f>$S$1*P!AA462</f>
        <v>0.46643999999999997</v>
      </c>
      <c r="AB462" s="780"/>
      <c r="AC462" s="782">
        <v>458</v>
      </c>
      <c r="AD462" s="782" t="s">
        <v>4573</v>
      </c>
      <c r="AE462" s="782" t="s">
        <v>5386</v>
      </c>
      <c r="AF462" s="781">
        <f>$S$1*P!AF462</f>
        <v>2.0324596774193551</v>
      </c>
    </row>
    <row r="463" spans="19:32" x14ac:dyDescent="0.35">
      <c r="S463" s="782">
        <v>459</v>
      </c>
      <c r="T463" s="782" t="s">
        <v>4284</v>
      </c>
      <c r="U463" s="782" t="s">
        <v>5418</v>
      </c>
      <c r="V463" s="797">
        <f>$S$1*P!V463</f>
        <v>1.878225806451613E-3</v>
      </c>
      <c r="W463" s="780"/>
      <c r="X463" s="782">
        <v>459</v>
      </c>
      <c r="Y463" s="782" t="s">
        <v>2248</v>
      </c>
      <c r="Z463" s="782" t="s">
        <v>5730</v>
      </c>
      <c r="AA463" s="781">
        <f>$S$1*P!AA463</f>
        <v>5.4153225806451619E-6</v>
      </c>
      <c r="AB463" s="780"/>
      <c r="AC463" s="782">
        <v>459</v>
      </c>
      <c r="AD463" s="782" t="s">
        <v>4573</v>
      </c>
      <c r="AE463" s="782" t="s">
        <v>5385</v>
      </c>
      <c r="AF463" s="781">
        <f>$S$1*P!AF463</f>
        <v>2.9407258064516133E-4</v>
      </c>
    </row>
    <row r="464" spans="19:32" x14ac:dyDescent="0.35">
      <c r="S464" s="782">
        <v>460</v>
      </c>
      <c r="T464" s="782" t="s">
        <v>4284</v>
      </c>
      <c r="U464" s="782" t="s">
        <v>5417</v>
      </c>
      <c r="V464" s="797">
        <f>$S$1*P!V464</f>
        <v>7.2318548387096781E-4</v>
      </c>
      <c r="W464" s="780"/>
      <c r="X464" s="782">
        <v>460</v>
      </c>
      <c r="Y464" s="782" t="s">
        <v>2248</v>
      </c>
      <c r="Z464" s="782" t="s">
        <v>3701</v>
      </c>
      <c r="AA464" s="781">
        <f>$S$1*P!AA464</f>
        <v>2.0699999999999998E-3</v>
      </c>
      <c r="AB464" s="780"/>
      <c r="AC464" s="782">
        <v>460</v>
      </c>
      <c r="AD464" s="782" t="s">
        <v>4573</v>
      </c>
      <c r="AE464" s="782" t="s">
        <v>5384</v>
      </c>
      <c r="AF464" s="781">
        <f>$S$1*P!AF464</f>
        <v>7.643145161290323E-5</v>
      </c>
    </row>
    <row r="465" spans="19:32" x14ac:dyDescent="0.35">
      <c r="S465" s="782">
        <v>461</v>
      </c>
      <c r="T465" s="782" t="s">
        <v>4284</v>
      </c>
      <c r="U465" s="782" t="s">
        <v>5416</v>
      </c>
      <c r="V465" s="797">
        <f>$S$1*P!V465</f>
        <v>3.5645161290322585E-5</v>
      </c>
      <c r="W465" s="780"/>
      <c r="X465" s="782">
        <v>461</v>
      </c>
      <c r="Y465" s="782" t="s">
        <v>2248</v>
      </c>
      <c r="Z465" s="782" t="s">
        <v>3701</v>
      </c>
      <c r="AA465" s="781">
        <f>$S$1*P!AA465</f>
        <v>3.8729838709677424E-3</v>
      </c>
      <c r="AB465" s="780"/>
      <c r="AC465" s="782">
        <v>461</v>
      </c>
      <c r="AD465" s="782" t="s">
        <v>4573</v>
      </c>
      <c r="AE465" s="782" t="s">
        <v>5383</v>
      </c>
      <c r="AF465" s="781">
        <f>$S$1*P!AF465</f>
        <v>8.6028225806451618E-5</v>
      </c>
    </row>
    <row r="466" spans="19:32" x14ac:dyDescent="0.35">
      <c r="S466" s="782">
        <v>462</v>
      </c>
      <c r="T466" s="782" t="s">
        <v>4284</v>
      </c>
      <c r="U466" s="782" t="s">
        <v>5415</v>
      </c>
      <c r="V466" s="797">
        <f>$S$1*P!V466</f>
        <v>7.4032258064516136E-4</v>
      </c>
      <c r="W466" s="780"/>
      <c r="X466" s="782">
        <v>462</v>
      </c>
      <c r="Y466" s="782" t="s">
        <v>2248</v>
      </c>
      <c r="Z466" s="782" t="s">
        <v>5729</v>
      </c>
      <c r="AA466" s="781">
        <f>$S$1*P!AA466</f>
        <v>2.2792338709677423E-5</v>
      </c>
      <c r="AB466" s="780"/>
      <c r="AC466" s="782">
        <v>462</v>
      </c>
      <c r="AD466" s="782" t="s">
        <v>4573</v>
      </c>
      <c r="AE466" s="782" t="s">
        <v>5382</v>
      </c>
      <c r="AF466" s="781">
        <f>$S$1*P!AF466</f>
        <v>2.7762096774193548E-4</v>
      </c>
    </row>
    <row r="467" spans="19:32" x14ac:dyDescent="0.35">
      <c r="S467" s="782">
        <v>463</v>
      </c>
      <c r="T467" s="782" t="s">
        <v>4284</v>
      </c>
      <c r="U467" s="782" t="s">
        <v>5414</v>
      </c>
      <c r="V467" s="797">
        <f>$S$1*P!V467</f>
        <v>1.6040322580645162E-4</v>
      </c>
      <c r="W467" s="780"/>
      <c r="X467" s="782">
        <v>463</v>
      </c>
      <c r="Y467" s="782" t="s">
        <v>2248</v>
      </c>
      <c r="Z467" s="782" t="s">
        <v>5450</v>
      </c>
      <c r="AA467" s="781">
        <f>$S$1*P!AA467</f>
        <v>4.4213709677419358E-4</v>
      </c>
      <c r="AB467" s="780"/>
      <c r="AC467" s="782">
        <v>463</v>
      </c>
      <c r="AD467" s="782" t="s">
        <v>4573</v>
      </c>
      <c r="AE467" s="782" t="s">
        <v>5381</v>
      </c>
      <c r="AF467" s="781">
        <f>$S$1*P!AF467</f>
        <v>0.24985887096774195</v>
      </c>
    </row>
    <row r="468" spans="19:32" x14ac:dyDescent="0.35">
      <c r="S468" s="782">
        <v>464</v>
      </c>
      <c r="T468" s="782" t="s">
        <v>4284</v>
      </c>
      <c r="U468" s="782" t="s">
        <v>5413</v>
      </c>
      <c r="V468" s="797">
        <f>$S$1*P!V468</f>
        <v>4.0443548387096781E-3</v>
      </c>
      <c r="W468" s="780"/>
      <c r="X468" s="782">
        <v>464</v>
      </c>
      <c r="Y468" s="782" t="s">
        <v>2248</v>
      </c>
      <c r="Z468" s="782" t="s">
        <v>3699</v>
      </c>
      <c r="AA468" s="781">
        <f>$S$1*P!AA468</f>
        <v>9.8440000000000003E-3</v>
      </c>
      <c r="AB468" s="780"/>
      <c r="AC468" s="782">
        <v>464</v>
      </c>
      <c r="AD468" s="782" t="s">
        <v>4573</v>
      </c>
      <c r="AE468" s="782" t="s">
        <v>3677</v>
      </c>
      <c r="AF468" s="781">
        <f>$S$1*P!AF468</f>
        <v>6.4435483870967744E-2</v>
      </c>
    </row>
    <row r="469" spans="19:32" x14ac:dyDescent="0.35">
      <c r="S469" s="782">
        <v>465</v>
      </c>
      <c r="T469" s="782" t="s">
        <v>4284</v>
      </c>
      <c r="U469" s="782" t="s">
        <v>5409</v>
      </c>
      <c r="V469" s="797">
        <f>$S$1*P!V469</f>
        <v>4.1814516129032259E-6</v>
      </c>
      <c r="W469" s="780"/>
      <c r="X469" s="782">
        <v>465</v>
      </c>
      <c r="Y469" s="782" t="s">
        <v>2248</v>
      </c>
      <c r="Z469" s="782" t="s">
        <v>5728</v>
      </c>
      <c r="AA469" s="781">
        <f>$S$1*P!AA469</f>
        <v>5.6552419354838713E-5</v>
      </c>
      <c r="AB469" s="780"/>
      <c r="AC469" s="782">
        <v>465</v>
      </c>
      <c r="AD469" s="782" t="s">
        <v>4573</v>
      </c>
      <c r="AE469" s="782" t="s">
        <v>3677</v>
      </c>
      <c r="AF469" s="781">
        <f>$S$1*P!AF469</f>
        <v>0</v>
      </c>
    </row>
    <row r="470" spans="19:32" x14ac:dyDescent="0.35">
      <c r="S470" s="782">
        <v>466</v>
      </c>
      <c r="T470" s="782" t="s">
        <v>4284</v>
      </c>
      <c r="U470" s="782" t="s">
        <v>5408</v>
      </c>
      <c r="V470" s="797">
        <f>$S$1*P!V470</f>
        <v>4.7983870967741943E-6</v>
      </c>
      <c r="W470" s="780"/>
      <c r="X470" s="782">
        <v>466</v>
      </c>
      <c r="Y470" s="782" t="s">
        <v>2248</v>
      </c>
      <c r="Z470" s="782" t="s">
        <v>5449</v>
      </c>
      <c r="AA470" s="781">
        <f>$S$1*P!AA470</f>
        <v>5.0725806451612907E-5</v>
      </c>
      <c r="AB470" s="780"/>
      <c r="AC470" s="782">
        <v>466</v>
      </c>
      <c r="AD470" s="782" t="s">
        <v>4573</v>
      </c>
      <c r="AE470" s="782" t="s">
        <v>5380</v>
      </c>
      <c r="AF470" s="781">
        <f>$S$1*P!AF470</f>
        <v>1.8096774193548388E-3</v>
      </c>
    </row>
    <row r="471" spans="19:32" x14ac:dyDescent="0.35">
      <c r="S471" s="782">
        <v>467</v>
      </c>
      <c r="T471" s="782" t="s">
        <v>4284</v>
      </c>
      <c r="U471" s="782" t="s">
        <v>5407</v>
      </c>
      <c r="V471" s="797">
        <f>$S$1*P!V471</f>
        <v>4.1814516129032259E-6</v>
      </c>
      <c r="W471" s="780"/>
      <c r="X471" s="782">
        <v>467</v>
      </c>
      <c r="Y471" s="782" t="s">
        <v>2248</v>
      </c>
      <c r="Z471" s="782" t="s">
        <v>3696</v>
      </c>
      <c r="AA471" s="781">
        <f>$S$1*P!AA471</f>
        <v>0.10396000000000001</v>
      </c>
      <c r="AB471" s="780"/>
      <c r="AC471" s="782">
        <v>467</v>
      </c>
      <c r="AD471" s="782" t="s">
        <v>4573</v>
      </c>
      <c r="AE471" s="782" t="s">
        <v>5379</v>
      </c>
      <c r="AF471" s="781">
        <f>$S$1*P!AF471</f>
        <v>5.3125000000000006E-2</v>
      </c>
    </row>
    <row r="472" spans="19:32" x14ac:dyDescent="0.35">
      <c r="S472" s="861">
        <v>468</v>
      </c>
      <c r="T472" s="861" t="s">
        <v>4284</v>
      </c>
      <c r="U472" s="861" t="s">
        <v>5403</v>
      </c>
      <c r="V472" s="862">
        <f>$S$1*P!V472</f>
        <v>5.1680999999999999</v>
      </c>
      <c r="W472" s="780"/>
      <c r="X472" s="782">
        <v>468</v>
      </c>
      <c r="Y472" s="782" t="s">
        <v>2248</v>
      </c>
      <c r="Z472" s="782" t="s">
        <v>3696</v>
      </c>
      <c r="AA472" s="781">
        <f>$S$1*P!AA472</f>
        <v>2.2038306451612903E-4</v>
      </c>
      <c r="AB472" s="780"/>
      <c r="AC472" s="782">
        <v>468</v>
      </c>
      <c r="AD472" s="782" t="s">
        <v>4573</v>
      </c>
      <c r="AE472" s="782" t="s">
        <v>5378</v>
      </c>
      <c r="AF472" s="781">
        <f>$S$1*P!AF472</f>
        <v>1.9159274193548388</v>
      </c>
    </row>
    <row r="473" spans="19:32" x14ac:dyDescent="0.35">
      <c r="S473" s="782">
        <v>469</v>
      </c>
      <c r="T473" s="782" t="s">
        <v>4284</v>
      </c>
      <c r="U473" s="782" t="s">
        <v>5403</v>
      </c>
      <c r="V473" s="797">
        <f>$S$1*P!V473</f>
        <v>2.2655241935483875E-6</v>
      </c>
      <c r="W473" s="780"/>
      <c r="X473" s="782">
        <v>469</v>
      </c>
      <c r="Y473" s="782" t="s">
        <v>2248</v>
      </c>
      <c r="Z473" s="782" t="s">
        <v>5727</v>
      </c>
      <c r="AA473" s="781">
        <f>$S$1*P!AA473</f>
        <v>5.895161290322581E-5</v>
      </c>
      <c r="AB473" s="780"/>
      <c r="AC473" s="782">
        <v>469</v>
      </c>
      <c r="AD473" s="782" t="s">
        <v>4573</v>
      </c>
      <c r="AE473" s="782" t="s">
        <v>5377</v>
      </c>
      <c r="AF473" s="781">
        <f>$S$1*P!AF473</f>
        <v>1.8268145161290324E-2</v>
      </c>
    </row>
    <row r="474" spans="19:32" x14ac:dyDescent="0.35">
      <c r="S474" s="861">
        <v>470</v>
      </c>
      <c r="T474" s="861" t="s">
        <v>4284</v>
      </c>
      <c r="U474" s="861" t="s">
        <v>5726</v>
      </c>
      <c r="V474" s="862">
        <f>$S$1*P!V474</f>
        <v>9.6835000000000004</v>
      </c>
      <c r="W474" s="780"/>
      <c r="X474" s="782">
        <v>470</v>
      </c>
      <c r="Y474" s="782" t="s">
        <v>2248</v>
      </c>
      <c r="Z474" s="782" t="s">
        <v>5448</v>
      </c>
      <c r="AA474" s="781">
        <f>$S$1*P!AA474</f>
        <v>2.5705645161290323E-5</v>
      </c>
      <c r="AB474" s="780"/>
      <c r="AC474" s="782">
        <v>470</v>
      </c>
      <c r="AD474" s="782" t="s">
        <v>4573</v>
      </c>
      <c r="AE474" s="782" t="s">
        <v>5376</v>
      </c>
      <c r="AF474" s="781">
        <f>$S$1*P!AF474</f>
        <v>4.9697580645161293E-4</v>
      </c>
    </row>
    <row r="475" spans="19:32" x14ac:dyDescent="0.35">
      <c r="S475" s="861">
        <v>471</v>
      </c>
      <c r="T475" s="861" t="s">
        <v>4284</v>
      </c>
      <c r="U475" s="861" t="s">
        <v>5725</v>
      </c>
      <c r="V475" s="862">
        <f>$S$1*P!V475</f>
        <v>9.6835000000000004</v>
      </c>
      <c r="W475" s="780"/>
      <c r="X475" s="782">
        <v>471</v>
      </c>
      <c r="Y475" s="782" t="s">
        <v>2248</v>
      </c>
      <c r="Z475" s="782" t="s">
        <v>5724</v>
      </c>
      <c r="AA475" s="781">
        <f>$S$1*P!AA475</f>
        <v>1.3504032258064517E-5</v>
      </c>
      <c r="AB475" s="780"/>
      <c r="AC475" s="782">
        <v>471</v>
      </c>
      <c r="AD475" s="782" t="s">
        <v>4573</v>
      </c>
      <c r="AE475" s="782" t="s">
        <v>5375</v>
      </c>
      <c r="AF475" s="781">
        <f>$S$1*P!AF475</f>
        <v>2.2483870967741936E-4</v>
      </c>
    </row>
    <row r="476" spans="19:32" x14ac:dyDescent="0.35">
      <c r="S476" s="782">
        <v>472</v>
      </c>
      <c r="T476" s="782" t="s">
        <v>4284</v>
      </c>
      <c r="U476" s="782" t="s">
        <v>5401</v>
      </c>
      <c r="V476" s="797">
        <f>$S$1*P!V476</f>
        <v>1.0796370967741937E-4</v>
      </c>
      <c r="W476" s="780"/>
      <c r="X476" s="782">
        <v>472</v>
      </c>
      <c r="Y476" s="782" t="s">
        <v>2248</v>
      </c>
      <c r="Z476" s="782" t="s">
        <v>5447</v>
      </c>
      <c r="AA476" s="781">
        <f>$S$1*P!AA476</f>
        <v>4.5927419354838714E-4</v>
      </c>
      <c r="AB476" s="780"/>
      <c r="AC476" s="782">
        <v>472</v>
      </c>
      <c r="AD476" s="782" t="s">
        <v>4573</v>
      </c>
      <c r="AE476" s="782" t="s">
        <v>5374</v>
      </c>
      <c r="AF476" s="781">
        <f>$S$1*P!AF476</f>
        <v>1.9604838709677421</v>
      </c>
    </row>
    <row r="477" spans="19:32" x14ac:dyDescent="0.35">
      <c r="S477" s="782">
        <v>473</v>
      </c>
      <c r="T477" s="782" t="s">
        <v>4284</v>
      </c>
      <c r="U477" s="782" t="s">
        <v>5400</v>
      </c>
      <c r="V477" s="797">
        <f>$S$1*P!V477</f>
        <v>0.82600806451612907</v>
      </c>
      <c r="W477" s="780"/>
      <c r="X477" s="782">
        <v>473</v>
      </c>
      <c r="Y477" s="782" t="s">
        <v>2248</v>
      </c>
      <c r="Z477" s="782" t="s">
        <v>5446</v>
      </c>
      <c r="AA477" s="781">
        <f>$S$1*P!AA477</f>
        <v>1.8576612903225809E-2</v>
      </c>
      <c r="AB477" s="780"/>
      <c r="AC477" s="782">
        <v>473</v>
      </c>
      <c r="AD477" s="782" t="s">
        <v>4573</v>
      </c>
      <c r="AE477" s="782" t="s">
        <v>5373</v>
      </c>
      <c r="AF477" s="781">
        <f>$S$1*P!AF477</f>
        <v>7.8145161290322594E-3</v>
      </c>
    </row>
    <row r="478" spans="19:32" x14ac:dyDescent="0.35">
      <c r="S478" s="782">
        <v>474</v>
      </c>
      <c r="T478" s="782" t="s">
        <v>4284</v>
      </c>
      <c r="U478" s="782" t="s">
        <v>5399</v>
      </c>
      <c r="V478" s="797">
        <f>$S$1*P!V478</f>
        <v>3.7701612903225811E-4</v>
      </c>
      <c r="W478" s="780"/>
      <c r="X478" s="782">
        <v>474</v>
      </c>
      <c r="Y478" s="782" t="s">
        <v>2248</v>
      </c>
      <c r="Z478" s="782" t="s">
        <v>5445</v>
      </c>
      <c r="AA478" s="781">
        <f>$S$1*P!AA478</f>
        <v>1.5868951612903225E-3</v>
      </c>
      <c r="AB478" s="780"/>
      <c r="AC478" s="782">
        <v>474</v>
      </c>
      <c r="AD478" s="782" t="s">
        <v>4573</v>
      </c>
      <c r="AE478" s="782" t="s">
        <v>5372</v>
      </c>
      <c r="AF478" s="781">
        <f>$S$1*P!AF478</f>
        <v>3.2971774193548388E-2</v>
      </c>
    </row>
    <row r="479" spans="19:32" x14ac:dyDescent="0.35">
      <c r="S479" s="782">
        <v>475</v>
      </c>
      <c r="T479" s="782" t="s">
        <v>4284</v>
      </c>
      <c r="U479" s="782" t="s">
        <v>3683</v>
      </c>
      <c r="V479" s="797">
        <f>$S$1*P!V479</f>
        <v>2.6493951612903229E-5</v>
      </c>
      <c r="W479" s="780"/>
      <c r="X479" s="782">
        <v>475</v>
      </c>
      <c r="Y479" s="782" t="s">
        <v>2248</v>
      </c>
      <c r="Z479" s="782" t="s">
        <v>5723</v>
      </c>
      <c r="AA479" s="781">
        <f>$S$1*P!AA479</f>
        <v>2.4883064516129035E-4</v>
      </c>
      <c r="AB479" s="780"/>
      <c r="AC479" s="782">
        <v>475</v>
      </c>
      <c r="AD479" s="782" t="s">
        <v>4573</v>
      </c>
      <c r="AE479" s="782" t="s">
        <v>5371</v>
      </c>
      <c r="AF479" s="781">
        <f>$S$1*P!AF479</f>
        <v>2.3203629032258068</v>
      </c>
    </row>
    <row r="480" spans="19:32" x14ac:dyDescent="0.35">
      <c r="S480" s="782">
        <v>476</v>
      </c>
      <c r="T480" s="782" t="s">
        <v>4284</v>
      </c>
      <c r="U480" s="782" t="s">
        <v>3683</v>
      </c>
      <c r="V480" s="797">
        <f>$S$1*P!V480</f>
        <v>1.288</v>
      </c>
      <c r="W480" s="780"/>
      <c r="X480" s="782">
        <v>476</v>
      </c>
      <c r="Y480" s="782" t="s">
        <v>2248</v>
      </c>
      <c r="Z480" s="782" t="s">
        <v>3694</v>
      </c>
      <c r="AA480" s="781">
        <f>$S$1*P!AA480</f>
        <v>3.2292000000000001</v>
      </c>
      <c r="AB480" s="780"/>
      <c r="AC480" s="782">
        <v>476</v>
      </c>
      <c r="AD480" s="782" t="s">
        <v>4573</v>
      </c>
      <c r="AE480" s="782" t="s">
        <v>5370</v>
      </c>
      <c r="AF480" s="781">
        <f>$S$1*P!AF480</f>
        <v>4.7641129032258067E-3</v>
      </c>
    </row>
    <row r="481" spans="19:32" x14ac:dyDescent="0.35">
      <c r="S481" s="782">
        <v>477</v>
      </c>
      <c r="T481" s="782" t="s">
        <v>4284</v>
      </c>
      <c r="U481" s="782" t="s">
        <v>5393</v>
      </c>
      <c r="V481" s="797">
        <f>$S$1*P!V481</f>
        <v>0.13058467741935484</v>
      </c>
      <c r="W481" s="780"/>
      <c r="X481" s="782">
        <v>477</v>
      </c>
      <c r="Y481" s="782" t="s">
        <v>2248</v>
      </c>
      <c r="Z481" s="782" t="s">
        <v>5722</v>
      </c>
      <c r="AA481" s="781">
        <f>$S$1*P!AA481</f>
        <v>2.3135080645161291E-2</v>
      </c>
      <c r="AB481" s="780"/>
      <c r="AC481" s="782">
        <v>477</v>
      </c>
      <c r="AD481" s="782" t="s">
        <v>4573</v>
      </c>
      <c r="AE481" s="782" t="s">
        <v>5369</v>
      </c>
      <c r="AF481" s="781">
        <f>$S$1*P!AF481</f>
        <v>0.16451612903225807</v>
      </c>
    </row>
    <row r="482" spans="19:32" x14ac:dyDescent="0.35">
      <c r="S482" s="782">
        <v>478</v>
      </c>
      <c r="T482" s="782" t="s">
        <v>4284</v>
      </c>
      <c r="U482" s="782" t="s">
        <v>5392</v>
      </c>
      <c r="V482" s="797">
        <f>$S$1*P!V482</f>
        <v>4.9012096774193549E-5</v>
      </c>
      <c r="W482" s="780"/>
      <c r="X482" s="782">
        <v>478</v>
      </c>
      <c r="Y482" s="782" t="s">
        <v>2248</v>
      </c>
      <c r="Z482" s="782" t="s">
        <v>5444</v>
      </c>
      <c r="AA482" s="781">
        <f>$S$1*P!AA482</f>
        <v>8.7399193548387099E-4</v>
      </c>
      <c r="AB482" s="780"/>
      <c r="AC482" s="782">
        <v>478</v>
      </c>
      <c r="AD482" s="782" t="s">
        <v>4573</v>
      </c>
      <c r="AE482" s="782" t="s">
        <v>3674</v>
      </c>
      <c r="AF482" s="781">
        <f>$S$1*P!AF482</f>
        <v>5.5200000000000005</v>
      </c>
    </row>
    <row r="483" spans="19:32" x14ac:dyDescent="0.35">
      <c r="S483" s="782">
        <v>479</v>
      </c>
      <c r="T483" s="782" t="s">
        <v>4284</v>
      </c>
      <c r="U483" s="782" t="s">
        <v>5391</v>
      </c>
      <c r="V483" s="797">
        <f>$S$1*P!V483</f>
        <v>1.6725806451612906E-2</v>
      </c>
      <c r="W483" s="780"/>
      <c r="X483" s="782">
        <v>479</v>
      </c>
      <c r="Y483" s="782" t="s">
        <v>2248</v>
      </c>
      <c r="Z483" s="782" t="s">
        <v>5443</v>
      </c>
      <c r="AA483" s="781">
        <f>$S$1*P!AA483</f>
        <v>8.2600806451612902E-3</v>
      </c>
      <c r="AB483" s="780"/>
      <c r="AC483" s="782">
        <v>479</v>
      </c>
      <c r="AD483" s="782" t="s">
        <v>4573</v>
      </c>
      <c r="AE483" s="782" t="s">
        <v>5367</v>
      </c>
      <c r="AF483" s="781">
        <f>$S$1*P!AF483</f>
        <v>3.1840725806451614E-2</v>
      </c>
    </row>
    <row r="484" spans="19:32" x14ac:dyDescent="0.35">
      <c r="S484" s="782">
        <v>480</v>
      </c>
      <c r="T484" s="782" t="s">
        <v>4284</v>
      </c>
      <c r="U484" s="782" t="s">
        <v>5390</v>
      </c>
      <c r="V484" s="797">
        <f>$S$1*P!V484</f>
        <v>1.4018145161290323E-5</v>
      </c>
      <c r="W484" s="780"/>
      <c r="X484" s="782">
        <v>480</v>
      </c>
      <c r="Y484" s="782" t="s">
        <v>2248</v>
      </c>
      <c r="Z484" s="782" t="s">
        <v>5442</v>
      </c>
      <c r="AA484" s="781">
        <f>$S$1*P!AA484</f>
        <v>2.090725806451613E-4</v>
      </c>
      <c r="AB484" s="780"/>
      <c r="AC484" s="782">
        <v>480</v>
      </c>
      <c r="AD484" s="782" t="s">
        <v>4573</v>
      </c>
      <c r="AE484" s="782" t="s">
        <v>5366</v>
      </c>
      <c r="AF484" s="781">
        <f>$S$1*P!AF484</f>
        <v>7.4717741935483879</v>
      </c>
    </row>
    <row r="485" spans="19:32" x14ac:dyDescent="0.35">
      <c r="S485" s="782">
        <v>481</v>
      </c>
      <c r="T485" s="782" t="s">
        <v>4284</v>
      </c>
      <c r="U485" s="782" t="s">
        <v>3681</v>
      </c>
      <c r="V485" s="797">
        <f>$S$1*P!V485</f>
        <v>2.3991935483870968E-5</v>
      </c>
      <c r="W485" s="780"/>
      <c r="X485" s="782">
        <v>481</v>
      </c>
      <c r="Y485" s="782" t="s">
        <v>2248</v>
      </c>
      <c r="Z485" s="782" t="s">
        <v>5721</v>
      </c>
      <c r="AA485" s="781">
        <f>$S$1*P!AA485</f>
        <v>1.4909274193548388E-3</v>
      </c>
      <c r="AB485" s="780"/>
      <c r="AC485" s="782">
        <v>481</v>
      </c>
      <c r="AD485" s="782" t="s">
        <v>4573</v>
      </c>
      <c r="AE485" s="782" t="s">
        <v>5365</v>
      </c>
      <c r="AF485" s="781">
        <f>$S$1*P!AF485</f>
        <v>1.0727822580645162E-2</v>
      </c>
    </row>
    <row r="486" spans="19:32" x14ac:dyDescent="0.35">
      <c r="S486" s="782">
        <v>482</v>
      </c>
      <c r="T486" s="782" t="s">
        <v>4284</v>
      </c>
      <c r="U486" s="782" t="s">
        <v>3681</v>
      </c>
      <c r="V486" s="797">
        <f>$S$1*P!V486</f>
        <v>0</v>
      </c>
      <c r="W486" s="780"/>
      <c r="X486" s="782">
        <v>482</v>
      </c>
      <c r="Y486" s="782" t="s">
        <v>2248</v>
      </c>
      <c r="Z486" s="782" t="s">
        <v>5441</v>
      </c>
      <c r="AA486" s="781">
        <f>$S$1*P!AA486</f>
        <v>1.6383064516129035E-2</v>
      </c>
      <c r="AB486" s="780"/>
      <c r="AC486" s="782">
        <v>482</v>
      </c>
      <c r="AD486" s="782" t="s">
        <v>4573</v>
      </c>
      <c r="AE486" s="782" t="s">
        <v>5364</v>
      </c>
      <c r="AF486" s="781">
        <f>$S$1*P!AF486</f>
        <v>1.0008064516129032E-2</v>
      </c>
    </row>
    <row r="487" spans="19:32" x14ac:dyDescent="0.35">
      <c r="S487" s="782">
        <v>483</v>
      </c>
      <c r="T487" s="782" t="s">
        <v>4284</v>
      </c>
      <c r="U487" s="782" t="s">
        <v>5389</v>
      </c>
      <c r="V487" s="797">
        <f>$S$1*P!V487</f>
        <v>4.5241935483870973E-5</v>
      </c>
      <c r="W487" s="780"/>
      <c r="X487" s="782">
        <v>483</v>
      </c>
      <c r="Y487" s="782" t="s">
        <v>2248</v>
      </c>
      <c r="Z487" s="782" t="s">
        <v>5440</v>
      </c>
      <c r="AA487" s="781">
        <f>$S$1*P!AA487</f>
        <v>8.7741935483870979E-4</v>
      </c>
      <c r="AB487" s="780"/>
      <c r="AC487" s="782">
        <v>483</v>
      </c>
      <c r="AD487" s="782" t="s">
        <v>4573</v>
      </c>
      <c r="AE487" s="782" t="s">
        <v>5363</v>
      </c>
      <c r="AF487" s="781">
        <f>$S$1*P!AF487</f>
        <v>2.1387096774193549E-3</v>
      </c>
    </row>
    <row r="488" spans="19:32" x14ac:dyDescent="0.35">
      <c r="S488" s="782">
        <v>484</v>
      </c>
      <c r="T488" s="782" t="s">
        <v>4284</v>
      </c>
      <c r="U488" s="782" t="s">
        <v>5388</v>
      </c>
      <c r="V488" s="797">
        <f>$S$1*P!V488</f>
        <v>1.8782258064516131E-6</v>
      </c>
      <c r="W488" s="780"/>
      <c r="X488" s="782">
        <v>484</v>
      </c>
      <c r="Y488" s="782" t="s">
        <v>2248</v>
      </c>
      <c r="Z488" s="782" t="s">
        <v>5720</v>
      </c>
      <c r="AA488" s="781">
        <f>$S$1*P!AA488</f>
        <v>1.4600806451612904E-3</v>
      </c>
      <c r="AB488" s="780"/>
      <c r="AC488" s="782">
        <v>484</v>
      </c>
      <c r="AD488" s="782" t="s">
        <v>4573</v>
      </c>
      <c r="AE488" s="782" t="s">
        <v>5362</v>
      </c>
      <c r="AF488" s="781">
        <f>$S$1*P!AF488</f>
        <v>3.9415322580645161E-3</v>
      </c>
    </row>
    <row r="489" spans="19:32" x14ac:dyDescent="0.35">
      <c r="S489" s="782">
        <v>485</v>
      </c>
      <c r="T489" s="782" t="s">
        <v>4284</v>
      </c>
      <c r="U489" s="782" t="s">
        <v>3679</v>
      </c>
      <c r="V489" s="797">
        <f>$S$1*P!V489</f>
        <v>0.59523999999999999</v>
      </c>
      <c r="W489" s="780"/>
      <c r="X489" s="782">
        <v>485</v>
      </c>
      <c r="Y489" s="782" t="s">
        <v>2248</v>
      </c>
      <c r="Z489" s="782" t="s">
        <v>5439</v>
      </c>
      <c r="AA489" s="781">
        <f>$S$1*P!AA489</f>
        <v>2.4917338709677422E-2</v>
      </c>
      <c r="AB489" s="780"/>
      <c r="AC489" s="782">
        <v>485</v>
      </c>
      <c r="AD489" s="782" t="s">
        <v>4573</v>
      </c>
      <c r="AE489" s="782" t="s">
        <v>5360</v>
      </c>
      <c r="AF489" s="781">
        <f>$S$1*P!AF489</f>
        <v>1.4120967741935485E-3</v>
      </c>
    </row>
    <row r="490" spans="19:32" x14ac:dyDescent="0.35">
      <c r="S490" s="782">
        <v>486</v>
      </c>
      <c r="T490" s="782" t="s">
        <v>4284</v>
      </c>
      <c r="U490" s="782" t="s">
        <v>5387</v>
      </c>
      <c r="V490" s="797">
        <f>$S$1*P!V490</f>
        <v>2.6768145161290324E-4</v>
      </c>
      <c r="W490" s="780"/>
      <c r="X490" s="782">
        <v>486</v>
      </c>
      <c r="Y490" s="782" t="s">
        <v>2248</v>
      </c>
      <c r="Z490" s="782" t="s">
        <v>5438</v>
      </c>
      <c r="AA490" s="781">
        <f>$S$1*P!AA490</f>
        <v>2.9647177419354839E-2</v>
      </c>
      <c r="AB490" s="780"/>
      <c r="AC490" s="782">
        <v>486</v>
      </c>
      <c r="AD490" s="782" t="s">
        <v>4573</v>
      </c>
      <c r="AE490" s="782" t="s">
        <v>5356</v>
      </c>
      <c r="AF490" s="781">
        <f>$S$1*P!AF490</f>
        <v>3.3177419354838714E-2</v>
      </c>
    </row>
    <row r="491" spans="19:32" x14ac:dyDescent="0.35">
      <c r="S491" s="782">
        <v>487</v>
      </c>
      <c r="T491" s="782" t="s">
        <v>4284</v>
      </c>
      <c r="U491" s="782" t="s">
        <v>5386</v>
      </c>
      <c r="V491" s="797">
        <f>$S$1*P!V491</f>
        <v>7.7802419354838712E-2</v>
      </c>
      <c r="W491" s="780"/>
      <c r="X491" s="782">
        <v>487</v>
      </c>
      <c r="Y491" s="782" t="s">
        <v>2248</v>
      </c>
      <c r="Z491" s="782" t="s">
        <v>5719</v>
      </c>
      <c r="AA491" s="781">
        <f>$S$1*P!AA491</f>
        <v>1.6965725806451615E-2</v>
      </c>
      <c r="AB491" s="780"/>
      <c r="AC491" s="782">
        <v>487</v>
      </c>
      <c r="AD491" s="782" t="s">
        <v>4573</v>
      </c>
      <c r="AE491" s="782" t="s">
        <v>5354</v>
      </c>
      <c r="AF491" s="781">
        <f>$S$1*P!AF491</f>
        <v>1.5697580645161291E-4</v>
      </c>
    </row>
    <row r="492" spans="19:32" x14ac:dyDescent="0.35">
      <c r="S492" s="861">
        <v>488</v>
      </c>
      <c r="T492" s="861" t="s">
        <v>4284</v>
      </c>
      <c r="U492" s="861" t="s">
        <v>5385</v>
      </c>
      <c r="V492" s="862">
        <f>$S$1*P!V492</f>
        <v>3.2527999999999997</v>
      </c>
      <c r="W492" s="780"/>
      <c r="X492" s="782">
        <v>488</v>
      </c>
      <c r="Y492" s="782" t="s">
        <v>2248</v>
      </c>
      <c r="Z492" s="782" t="s">
        <v>5437</v>
      </c>
      <c r="AA492" s="781">
        <f>$S$1*P!AA492</f>
        <v>3.5302419354838713E-3</v>
      </c>
      <c r="AB492" s="780"/>
      <c r="AC492" s="782">
        <v>488</v>
      </c>
      <c r="AD492" s="782" t="s">
        <v>4573</v>
      </c>
      <c r="AE492" s="782" t="s">
        <v>5353</v>
      </c>
      <c r="AF492" s="781">
        <f>$S$1*P!AF492</f>
        <v>1.9022177419354841E-3</v>
      </c>
    </row>
    <row r="493" spans="19:32" x14ac:dyDescent="0.35">
      <c r="S493" s="782">
        <v>489</v>
      </c>
      <c r="T493" s="782" t="s">
        <v>4284</v>
      </c>
      <c r="U493" s="782" t="s">
        <v>5385</v>
      </c>
      <c r="V493" s="797">
        <f>$S$1*P!V493</f>
        <v>5.929435483870968E-6</v>
      </c>
      <c r="W493" s="780"/>
      <c r="X493" s="782">
        <v>489</v>
      </c>
      <c r="Y493" s="782" t="s">
        <v>2248</v>
      </c>
      <c r="Z493" s="782" t="s">
        <v>3692</v>
      </c>
      <c r="AA493" s="781">
        <f>$S$1*P!AA493</f>
        <v>7.0840000000000005</v>
      </c>
      <c r="AB493" s="780"/>
      <c r="AC493" s="782">
        <v>489</v>
      </c>
      <c r="AD493" s="782" t="s">
        <v>4573</v>
      </c>
      <c r="AE493" s="782" t="s">
        <v>5352</v>
      </c>
      <c r="AF493" s="781">
        <f>$S$1*P!AF493</f>
        <v>1.8713709677419357E-3</v>
      </c>
    </row>
    <row r="494" spans="19:32" x14ac:dyDescent="0.35">
      <c r="S494" s="782">
        <v>490</v>
      </c>
      <c r="T494" s="782" t="s">
        <v>4284</v>
      </c>
      <c r="U494" s="782" t="s">
        <v>5718</v>
      </c>
      <c r="V494" s="797">
        <f>$S$1*P!V494</f>
        <v>8.191532258064517E-6</v>
      </c>
      <c r="W494" s="780"/>
      <c r="X494" s="782">
        <v>490</v>
      </c>
      <c r="Y494" s="782" t="s">
        <v>2248</v>
      </c>
      <c r="Z494" s="782" t="s">
        <v>5717</v>
      </c>
      <c r="AA494" s="781">
        <f>$S$1*P!AA494</f>
        <v>4.524193548387097E-4</v>
      </c>
      <c r="AB494" s="780"/>
      <c r="AC494" s="782">
        <v>490</v>
      </c>
      <c r="AD494" s="782" t="s">
        <v>4573</v>
      </c>
      <c r="AE494" s="782" t="s">
        <v>3671</v>
      </c>
      <c r="AF494" s="781">
        <f>$S$1*P!AF494</f>
        <v>0.31189516129032263</v>
      </c>
    </row>
    <row r="495" spans="19:32" x14ac:dyDescent="0.35">
      <c r="S495" s="861">
        <v>491</v>
      </c>
      <c r="T495" s="861" t="s">
        <v>4284</v>
      </c>
      <c r="U495" s="861" t="s">
        <v>5383</v>
      </c>
      <c r="V495" s="862">
        <f>$S$1*P!V495</f>
        <v>2.0597499999999997</v>
      </c>
      <c r="W495" s="780"/>
      <c r="X495" s="782">
        <v>491</v>
      </c>
      <c r="Y495" s="782" t="s">
        <v>2248</v>
      </c>
      <c r="Z495" s="782" t="s">
        <v>3689</v>
      </c>
      <c r="AA495" s="781">
        <f>$S$1*P!AA495</f>
        <v>0</v>
      </c>
      <c r="AB495" s="780"/>
      <c r="AC495" s="782">
        <v>491</v>
      </c>
      <c r="AD495" s="782" t="s">
        <v>4573</v>
      </c>
      <c r="AE495" s="782" t="s">
        <v>3671</v>
      </c>
      <c r="AF495" s="781">
        <f>$S$1*P!AF495</f>
        <v>0.28336</v>
      </c>
    </row>
    <row r="496" spans="19:32" x14ac:dyDescent="0.35">
      <c r="S496" s="782">
        <v>492</v>
      </c>
      <c r="T496" s="782" t="s">
        <v>4284</v>
      </c>
      <c r="U496" s="782" t="s">
        <v>5383</v>
      </c>
      <c r="V496" s="797">
        <f>$S$1*P!V496</f>
        <v>1.8610887096774195E-6</v>
      </c>
      <c r="W496" s="780"/>
      <c r="X496" s="782">
        <v>492</v>
      </c>
      <c r="Y496" s="782" t="s">
        <v>2248</v>
      </c>
      <c r="Z496" s="782" t="s">
        <v>3689</v>
      </c>
      <c r="AA496" s="781">
        <f>$S$1*P!AA496</f>
        <v>0.20427419354838711</v>
      </c>
      <c r="AB496" s="780"/>
      <c r="AC496" s="782">
        <v>492</v>
      </c>
      <c r="AD496" s="782" t="s">
        <v>4573</v>
      </c>
      <c r="AE496" s="782" t="s">
        <v>5351</v>
      </c>
      <c r="AF496" s="781">
        <f>$S$1*P!AF496</f>
        <v>1.3949596774193549E-2</v>
      </c>
    </row>
    <row r="497" spans="19:32" x14ac:dyDescent="0.35">
      <c r="S497" s="782">
        <v>493</v>
      </c>
      <c r="T497" s="782" t="s">
        <v>4284</v>
      </c>
      <c r="U497" s="782" t="s">
        <v>5382</v>
      </c>
      <c r="V497" s="797">
        <f>$S$1*P!V497</f>
        <v>6.6834677419354846E-6</v>
      </c>
      <c r="W497" s="780"/>
      <c r="X497" s="782">
        <v>493</v>
      </c>
      <c r="Y497" s="782" t="s">
        <v>2248</v>
      </c>
      <c r="Z497" s="782" t="s">
        <v>5436</v>
      </c>
      <c r="AA497" s="781">
        <f>$S$1*P!AA497</f>
        <v>4.0786290322580646E-3</v>
      </c>
      <c r="AB497" s="780"/>
      <c r="AC497" s="782">
        <v>493</v>
      </c>
      <c r="AD497" s="782" t="s">
        <v>4573</v>
      </c>
      <c r="AE497" s="782" t="s">
        <v>3668</v>
      </c>
      <c r="AF497" s="781">
        <f>$S$1*P!AF497</f>
        <v>8.465725806451614E-5</v>
      </c>
    </row>
    <row r="498" spans="19:32" x14ac:dyDescent="0.35">
      <c r="S498" s="782">
        <v>494</v>
      </c>
      <c r="T498" s="782" t="s">
        <v>4284</v>
      </c>
      <c r="U498" s="782" t="s">
        <v>5381</v>
      </c>
      <c r="V498" s="797">
        <f>$S$1*P!V498</f>
        <v>4.3870967741935487E-3</v>
      </c>
      <c r="W498" s="780"/>
      <c r="X498" s="782">
        <v>494</v>
      </c>
      <c r="Y498" s="782" t="s">
        <v>2248</v>
      </c>
      <c r="Z498" s="782" t="s">
        <v>3826</v>
      </c>
      <c r="AA498" s="781">
        <f>$S$1*P!AA498</f>
        <v>7.0262096774193553E-2</v>
      </c>
      <c r="AB498" s="780"/>
      <c r="AC498" s="782">
        <v>494</v>
      </c>
      <c r="AD498" s="782" t="s">
        <v>4573</v>
      </c>
      <c r="AE498" s="782" t="s">
        <v>3668</v>
      </c>
      <c r="AF498" s="781">
        <f>$S$1*P!AF498</f>
        <v>0</v>
      </c>
    </row>
    <row r="499" spans="19:32" x14ac:dyDescent="0.35">
      <c r="S499" s="782">
        <v>495</v>
      </c>
      <c r="T499" s="782" t="s">
        <v>4284</v>
      </c>
      <c r="U499" s="782" t="s">
        <v>3677</v>
      </c>
      <c r="V499" s="797">
        <f>$S$1*P!V499</f>
        <v>2.7487903225806454E-3</v>
      </c>
      <c r="W499" s="780"/>
      <c r="X499" s="782">
        <v>495</v>
      </c>
      <c r="Y499" s="782" t="s">
        <v>2248</v>
      </c>
      <c r="Z499" s="782" t="s">
        <v>5435</v>
      </c>
      <c r="AA499" s="781">
        <f>$S$1*P!AA499</f>
        <v>5.8266129032258068E-3</v>
      </c>
      <c r="AB499" s="780"/>
      <c r="AC499" s="782">
        <v>495</v>
      </c>
      <c r="AD499" s="782" t="s">
        <v>4573</v>
      </c>
      <c r="AE499" s="782" t="s">
        <v>5350</v>
      </c>
      <c r="AF499" s="781">
        <f>$S$1*P!AF499</f>
        <v>4.5584677419354846E-5</v>
      </c>
    </row>
    <row r="500" spans="19:32" x14ac:dyDescent="0.35">
      <c r="S500" s="782">
        <v>496</v>
      </c>
      <c r="T500" s="782" t="s">
        <v>4284</v>
      </c>
      <c r="U500" s="782" t="s">
        <v>3677</v>
      </c>
      <c r="V500" s="797">
        <f>$S$1*P!V500</f>
        <v>0</v>
      </c>
      <c r="W500" s="780"/>
      <c r="X500" s="782">
        <v>496</v>
      </c>
      <c r="Y500" s="782" t="s">
        <v>2248</v>
      </c>
      <c r="Z500" s="782" t="s">
        <v>5434</v>
      </c>
      <c r="AA500" s="781">
        <f>$S$1*P!AA500</f>
        <v>5.5181451612903226E-3</v>
      </c>
      <c r="AB500" s="780"/>
      <c r="AC500" s="782">
        <v>496</v>
      </c>
      <c r="AD500" s="782" t="s">
        <v>4573</v>
      </c>
      <c r="AE500" s="782" t="s">
        <v>5349</v>
      </c>
      <c r="AF500" s="781">
        <f>$S$1*P!AF500</f>
        <v>2.8516129032258065E-2</v>
      </c>
    </row>
    <row r="501" spans="19:32" x14ac:dyDescent="0.35">
      <c r="S501" s="782">
        <v>497</v>
      </c>
      <c r="T501" s="782" t="s">
        <v>4284</v>
      </c>
      <c r="U501" s="782" t="s">
        <v>5380</v>
      </c>
      <c r="V501" s="797">
        <f>$S$1*P!V501</f>
        <v>2.6905241935483875E-5</v>
      </c>
      <c r="W501" s="780"/>
      <c r="X501" s="782">
        <v>497</v>
      </c>
      <c r="Y501" s="782" t="s">
        <v>2248</v>
      </c>
      <c r="Z501" s="782" t="s">
        <v>5433</v>
      </c>
      <c r="AA501" s="781">
        <f>$S$1*P!AA501</f>
        <v>1.0659274193548387E-5</v>
      </c>
      <c r="AB501" s="780"/>
      <c r="AC501" s="782">
        <v>497</v>
      </c>
      <c r="AD501" s="782" t="s">
        <v>4573</v>
      </c>
      <c r="AE501" s="782" t="s">
        <v>3665</v>
      </c>
      <c r="AF501" s="781">
        <f>$S$1*P!AF501</f>
        <v>1.0727822580645161E-3</v>
      </c>
    </row>
    <row r="502" spans="19:32" x14ac:dyDescent="0.35">
      <c r="S502" s="782">
        <v>498</v>
      </c>
      <c r="T502" s="782" t="s">
        <v>4284</v>
      </c>
      <c r="U502" s="782" t="s">
        <v>5379</v>
      </c>
      <c r="V502" s="797">
        <f>$S$1*P!V502</f>
        <v>1.583467741935484E-3</v>
      </c>
      <c r="W502" s="780"/>
      <c r="X502" s="782">
        <v>498</v>
      </c>
      <c r="Y502" s="782" t="s">
        <v>2248</v>
      </c>
      <c r="Z502" s="782" t="s">
        <v>5716</v>
      </c>
      <c r="AA502" s="781">
        <f>$S$1*P!AA502</f>
        <v>1.5252016129032259E-2</v>
      </c>
      <c r="AB502" s="780"/>
      <c r="AC502" s="782">
        <v>498</v>
      </c>
      <c r="AD502" s="782" t="s">
        <v>4573</v>
      </c>
      <c r="AE502" s="782" t="s">
        <v>3665</v>
      </c>
      <c r="AF502" s="781">
        <f>$S$1*P!AF502</f>
        <v>3.2476000000000003</v>
      </c>
    </row>
    <row r="503" spans="19:32" x14ac:dyDescent="0.35">
      <c r="S503" s="782">
        <v>499</v>
      </c>
      <c r="T503" s="782" t="s">
        <v>4284</v>
      </c>
      <c r="U503" s="782" t="s">
        <v>5378</v>
      </c>
      <c r="V503" s="797">
        <f>$S$1*P!V503</f>
        <v>4.3870967741935489E-4</v>
      </c>
      <c r="W503" s="780"/>
      <c r="X503" s="782">
        <v>499</v>
      </c>
      <c r="Y503" s="782" t="s">
        <v>2248</v>
      </c>
      <c r="Z503" s="782" t="s">
        <v>5432</v>
      </c>
      <c r="AA503" s="781">
        <f>$S$1*P!AA503</f>
        <v>2.2415322580645162E-2</v>
      </c>
      <c r="AB503" s="780"/>
      <c r="AC503" s="782">
        <v>499</v>
      </c>
      <c r="AD503" s="782" t="s">
        <v>4573</v>
      </c>
      <c r="AE503" s="782" t="s">
        <v>5348</v>
      </c>
      <c r="AF503" s="781">
        <f>$S$1*P!AF503</f>
        <v>5.826612903225807E-4</v>
      </c>
    </row>
    <row r="504" spans="19:32" x14ac:dyDescent="0.35">
      <c r="S504" s="782">
        <v>500</v>
      </c>
      <c r="T504" s="782" t="s">
        <v>4284</v>
      </c>
      <c r="U504" s="782" t="s">
        <v>5377</v>
      </c>
      <c r="V504" s="797">
        <f>$S$1*P!V504</f>
        <v>4.1471774193548391E-5</v>
      </c>
      <c r="W504" s="780"/>
      <c r="X504" s="782">
        <v>500</v>
      </c>
      <c r="Y504" s="782" t="s">
        <v>2248</v>
      </c>
      <c r="Z504" s="782" t="s">
        <v>5431</v>
      </c>
      <c r="AA504" s="781">
        <f>$S$1*P!AA504</f>
        <v>7.0604838709677423E-5</v>
      </c>
      <c r="AB504" s="780"/>
      <c r="AC504" s="782">
        <v>500</v>
      </c>
      <c r="AD504" s="782" t="s">
        <v>4573</v>
      </c>
      <c r="AE504" s="782" t="s">
        <v>3663</v>
      </c>
      <c r="AF504" s="781">
        <f>$S$1*P!AF504</f>
        <v>0</v>
      </c>
    </row>
    <row r="505" spans="19:32" x14ac:dyDescent="0.35">
      <c r="S505" s="782">
        <v>501</v>
      </c>
      <c r="T505" s="782" t="s">
        <v>4284</v>
      </c>
      <c r="U505" s="782" t="s">
        <v>5376</v>
      </c>
      <c r="V505" s="797">
        <f>$S$1*P!V505</f>
        <v>2.5739919354838713E-6</v>
      </c>
      <c r="W505" s="780"/>
      <c r="X505" s="782">
        <v>501</v>
      </c>
      <c r="Y505" s="782" t="s">
        <v>2248</v>
      </c>
      <c r="Z505" s="782" t="s">
        <v>5715</v>
      </c>
      <c r="AA505" s="781">
        <f>$S$1*P!AA505</f>
        <v>9.425403225806452E-4</v>
      </c>
      <c r="AB505" s="780"/>
      <c r="AC505" s="782">
        <v>501</v>
      </c>
      <c r="AD505" s="782" t="s">
        <v>4573</v>
      </c>
      <c r="AE505" s="782" t="s">
        <v>5347</v>
      </c>
      <c r="AF505" s="781">
        <f>$S$1*P!AF505</f>
        <v>1.6211693548387096E-3</v>
      </c>
    </row>
    <row r="506" spans="19:32" x14ac:dyDescent="0.35">
      <c r="S506" s="782">
        <v>502</v>
      </c>
      <c r="T506" s="782" t="s">
        <v>4284</v>
      </c>
      <c r="U506" s="782" t="s">
        <v>5375</v>
      </c>
      <c r="V506" s="797">
        <f>$S$1*P!V506</f>
        <v>7.2661290322580654E-9</v>
      </c>
      <c r="W506" s="780"/>
      <c r="X506" s="782">
        <v>502</v>
      </c>
      <c r="Y506" s="782" t="s">
        <v>2248</v>
      </c>
      <c r="Z506" s="782" t="s">
        <v>5430</v>
      </c>
      <c r="AA506" s="781">
        <f>$S$1*P!AA506</f>
        <v>6.5120967741935491E-4</v>
      </c>
      <c r="AB506" s="780"/>
      <c r="AC506" s="782">
        <v>502</v>
      </c>
      <c r="AD506" s="782" t="s">
        <v>4573</v>
      </c>
      <c r="AE506" s="782" t="s">
        <v>5346</v>
      </c>
      <c r="AF506" s="781">
        <f>$S$1*P!AF506</f>
        <v>8.4657258064516142E-2</v>
      </c>
    </row>
    <row r="507" spans="19:32" x14ac:dyDescent="0.35">
      <c r="S507" s="782">
        <v>503</v>
      </c>
      <c r="T507" s="782" t="s">
        <v>4284</v>
      </c>
      <c r="U507" s="782" t="s">
        <v>5374</v>
      </c>
      <c r="V507" s="797">
        <f>$S$1*P!V507</f>
        <v>0.54153225806451621</v>
      </c>
      <c r="W507" s="780"/>
      <c r="X507" s="782">
        <v>503</v>
      </c>
      <c r="Y507" s="782" t="s">
        <v>2248</v>
      </c>
      <c r="Z507" s="782" t="s">
        <v>5429</v>
      </c>
      <c r="AA507" s="781">
        <f>$S$1*P!AA507</f>
        <v>8.0887096774193544E-5</v>
      </c>
      <c r="AB507" s="780"/>
      <c r="AC507" s="782">
        <v>503</v>
      </c>
      <c r="AD507" s="782" t="s">
        <v>4573</v>
      </c>
      <c r="AE507" s="782" t="s">
        <v>5345</v>
      </c>
      <c r="AF507" s="781">
        <f>$S$1*P!AF507</f>
        <v>0.12098790322580646</v>
      </c>
    </row>
    <row r="508" spans="19:32" x14ac:dyDescent="0.35">
      <c r="S508" s="782">
        <v>504</v>
      </c>
      <c r="T508" s="782" t="s">
        <v>4284</v>
      </c>
      <c r="U508" s="782" t="s">
        <v>5373</v>
      </c>
      <c r="V508" s="797">
        <f>$S$1*P!V508</f>
        <v>4.1471774193548393E-6</v>
      </c>
      <c r="W508" s="780"/>
      <c r="X508" s="782">
        <v>504</v>
      </c>
      <c r="Y508" s="782" t="s">
        <v>2248</v>
      </c>
      <c r="Z508" s="782" t="s">
        <v>5714</v>
      </c>
      <c r="AA508" s="781">
        <f>$S$1*P!AA508</f>
        <v>6.7177419354838707E-5</v>
      </c>
      <c r="AB508" s="780"/>
      <c r="AC508" s="782">
        <v>504</v>
      </c>
      <c r="AD508" s="782" t="s">
        <v>4573</v>
      </c>
      <c r="AE508" s="782" t="s">
        <v>5344</v>
      </c>
      <c r="AF508" s="781">
        <f>$S$1*P!AF508</f>
        <v>1.004233870967742E-4</v>
      </c>
    </row>
    <row r="509" spans="19:32" x14ac:dyDescent="0.35">
      <c r="S509" s="782">
        <v>505</v>
      </c>
      <c r="T509" s="782" t="s">
        <v>4284</v>
      </c>
      <c r="U509" s="782" t="s">
        <v>5372</v>
      </c>
      <c r="V509" s="797">
        <f>$S$1*P!V509</f>
        <v>2.848185483870968E-4</v>
      </c>
      <c r="W509" s="780"/>
      <c r="X509" s="782">
        <v>505</v>
      </c>
      <c r="Y509" s="782" t="s">
        <v>2248</v>
      </c>
      <c r="Z509" s="782" t="s">
        <v>3687</v>
      </c>
      <c r="AA509" s="781">
        <f>$S$1*P!AA509</f>
        <v>0</v>
      </c>
      <c r="AB509" s="780"/>
      <c r="AC509" s="782">
        <v>505</v>
      </c>
      <c r="AD509" s="782" t="s">
        <v>4573</v>
      </c>
      <c r="AE509" s="782" t="s">
        <v>3661</v>
      </c>
      <c r="AF509" s="781">
        <f>$S$1*P!AF509</f>
        <v>0</v>
      </c>
    </row>
    <row r="510" spans="19:32" x14ac:dyDescent="0.35">
      <c r="S510" s="782">
        <v>506</v>
      </c>
      <c r="T510" s="782" t="s">
        <v>4284</v>
      </c>
      <c r="U510" s="782" t="s">
        <v>5371</v>
      </c>
      <c r="V510" s="797">
        <f>$S$1*P!V510</f>
        <v>1.785685483870968E-2</v>
      </c>
      <c r="W510" s="780"/>
      <c r="X510" s="782">
        <v>506</v>
      </c>
      <c r="Y510" s="782" t="s">
        <v>2248</v>
      </c>
      <c r="Z510" s="782" t="s">
        <v>5428</v>
      </c>
      <c r="AA510" s="781">
        <f>$S$1*P!AA510</f>
        <v>1.6451612903225807E-4</v>
      </c>
      <c r="AB510" s="780"/>
      <c r="AC510" s="782">
        <v>506</v>
      </c>
      <c r="AD510" s="782" t="s">
        <v>4573</v>
      </c>
      <c r="AE510" s="782" t="s">
        <v>5343</v>
      </c>
      <c r="AF510" s="781">
        <f>$S$1*P!AF510</f>
        <v>1.6108870967741936E-2</v>
      </c>
    </row>
    <row r="511" spans="19:32" x14ac:dyDescent="0.35">
      <c r="S511" s="782">
        <v>507</v>
      </c>
      <c r="T511" s="782" t="s">
        <v>4284</v>
      </c>
      <c r="U511" s="782" t="s">
        <v>5370</v>
      </c>
      <c r="V511" s="797">
        <f>$S$1*P!V511</f>
        <v>1.1653225806451614E-3</v>
      </c>
      <c r="W511" s="780"/>
      <c r="X511" s="782">
        <v>507</v>
      </c>
      <c r="Y511" s="782" t="s">
        <v>2248</v>
      </c>
      <c r="Z511" s="782" t="s">
        <v>5427</v>
      </c>
      <c r="AA511" s="781">
        <f>$S$1*P!AA511</f>
        <v>6.5463709677419356E-7</v>
      </c>
      <c r="AB511" s="780"/>
      <c r="AC511" s="782">
        <v>507</v>
      </c>
      <c r="AD511" s="782" t="s">
        <v>4573</v>
      </c>
      <c r="AE511" s="782" t="s">
        <v>5342</v>
      </c>
      <c r="AF511" s="781">
        <f>$S$1*P!AF511</f>
        <v>4.1471774193548392E-3</v>
      </c>
    </row>
    <row r="512" spans="19:32" x14ac:dyDescent="0.35">
      <c r="S512" s="782">
        <v>508</v>
      </c>
      <c r="T512" s="782" t="s">
        <v>4284</v>
      </c>
      <c r="U512" s="782" t="s">
        <v>5369</v>
      </c>
      <c r="V512" s="797">
        <f>$S$1*P!V512</f>
        <v>1.7205645161290325E-3</v>
      </c>
      <c r="W512" s="780"/>
      <c r="X512" s="782">
        <v>508</v>
      </c>
      <c r="Y512" s="782" t="s">
        <v>2248</v>
      </c>
      <c r="Z512" s="782" t="s">
        <v>5713</v>
      </c>
      <c r="AA512" s="781">
        <f>$S$1*P!AA512</f>
        <v>5.0040322580645166E-6</v>
      </c>
      <c r="AB512" s="780"/>
      <c r="AC512" s="782">
        <v>508</v>
      </c>
      <c r="AD512" s="782" t="s">
        <v>4573</v>
      </c>
      <c r="AE512" s="782" t="s">
        <v>5341</v>
      </c>
      <c r="AF512" s="781">
        <f>$S$1*P!AF512</f>
        <v>4.6612903225806454E-2</v>
      </c>
    </row>
    <row r="513" spans="19:32" x14ac:dyDescent="0.35">
      <c r="S513" s="782">
        <v>509</v>
      </c>
      <c r="T513" s="782" t="s">
        <v>4284</v>
      </c>
      <c r="U513" s="782" t="s">
        <v>3674</v>
      </c>
      <c r="V513" s="797">
        <f>$S$1*P!V513</f>
        <v>6.9551999999999996</v>
      </c>
      <c r="W513" s="780"/>
      <c r="X513" s="782">
        <v>509</v>
      </c>
      <c r="Y513" s="782" t="s">
        <v>2248</v>
      </c>
      <c r="Z513" s="782" t="s">
        <v>3686</v>
      </c>
      <c r="AA513" s="781">
        <f>$S$1*P!AA513</f>
        <v>0</v>
      </c>
      <c r="AB513" s="780"/>
      <c r="AC513" s="782">
        <v>509</v>
      </c>
      <c r="AD513" s="782" t="s">
        <v>4573</v>
      </c>
      <c r="AE513" s="782" t="s">
        <v>5340</v>
      </c>
      <c r="AF513" s="781">
        <f>$S$1*P!AF513</f>
        <v>2.0701612903225808E-4</v>
      </c>
    </row>
    <row r="514" spans="19:32" x14ac:dyDescent="0.35">
      <c r="S514" s="782">
        <v>510</v>
      </c>
      <c r="T514" s="782" t="s">
        <v>4284</v>
      </c>
      <c r="U514" s="782" t="s">
        <v>5368</v>
      </c>
      <c r="V514" s="797">
        <f>$S$1*P!V514</f>
        <v>7.2318548387096781E-4</v>
      </c>
      <c r="W514" s="780"/>
      <c r="X514" s="782">
        <v>510</v>
      </c>
      <c r="Y514" s="782" t="s">
        <v>2248</v>
      </c>
      <c r="Z514" s="782" t="s">
        <v>3686</v>
      </c>
      <c r="AA514" s="781">
        <f>$S$1*P!AA514</f>
        <v>5.5524193548387108E-5</v>
      </c>
      <c r="AB514" s="780"/>
      <c r="AC514" s="782">
        <v>510</v>
      </c>
      <c r="AD514" s="782" t="s">
        <v>4573</v>
      </c>
      <c r="AE514" s="782" t="s">
        <v>5339</v>
      </c>
      <c r="AF514" s="781">
        <f>$S$1*P!AF514</f>
        <v>0.35645161290322586</v>
      </c>
    </row>
    <row r="515" spans="19:32" x14ac:dyDescent="0.35">
      <c r="S515" s="782">
        <v>511</v>
      </c>
      <c r="T515" s="782" t="s">
        <v>4284</v>
      </c>
      <c r="U515" s="782" t="s">
        <v>5367</v>
      </c>
      <c r="V515" s="797">
        <f>$S$1*P!V515</f>
        <v>7.9173387096774202E-4</v>
      </c>
      <c r="W515" s="780"/>
      <c r="X515" s="782">
        <v>511</v>
      </c>
      <c r="Y515" s="782" t="s">
        <v>2248</v>
      </c>
      <c r="Z515" s="782" t="s">
        <v>5712</v>
      </c>
      <c r="AA515" s="781">
        <f>$S$1*P!AA515</f>
        <v>1.2715725806451613E-4</v>
      </c>
      <c r="AB515" s="780"/>
      <c r="AC515" s="782">
        <v>511</v>
      </c>
      <c r="AD515" s="782" t="s">
        <v>4573</v>
      </c>
      <c r="AE515" s="782" t="s">
        <v>5338</v>
      </c>
      <c r="AF515" s="781">
        <f>$S$1*P!AF515</f>
        <v>0.45241935483870971</v>
      </c>
    </row>
    <row r="516" spans="19:32" x14ac:dyDescent="0.35">
      <c r="S516" s="782">
        <v>512</v>
      </c>
      <c r="T516" s="782" t="s">
        <v>4284</v>
      </c>
      <c r="U516" s="782" t="s">
        <v>5366</v>
      </c>
      <c r="V516" s="797">
        <f>$S$1*P!V516</f>
        <v>0.17616935483870969</v>
      </c>
      <c r="W516" s="780"/>
      <c r="X516" s="782">
        <v>512</v>
      </c>
      <c r="Y516" s="782" t="s">
        <v>2248</v>
      </c>
      <c r="Z516" s="782" t="s">
        <v>5426</v>
      </c>
      <c r="AA516" s="781">
        <f>$S$1*P!AA516</f>
        <v>7.2318548387096781E-5</v>
      </c>
      <c r="AB516" s="780"/>
      <c r="AC516" s="782">
        <v>512</v>
      </c>
      <c r="AD516" s="782" t="s">
        <v>4573</v>
      </c>
      <c r="AE516" s="782" t="s">
        <v>5337</v>
      </c>
      <c r="AF516" s="781">
        <f>$S$1*P!AF516</f>
        <v>6.340725806451613</v>
      </c>
    </row>
    <row r="517" spans="19:32" x14ac:dyDescent="0.35">
      <c r="S517" s="782">
        <v>513</v>
      </c>
      <c r="T517" s="782" t="s">
        <v>4284</v>
      </c>
      <c r="U517" s="782" t="s">
        <v>5365</v>
      </c>
      <c r="V517" s="797">
        <f>$S$1*P!V517</f>
        <v>1.6622983870967744E-5</v>
      </c>
      <c r="W517" s="780"/>
      <c r="X517" s="782">
        <v>513</v>
      </c>
      <c r="Y517" s="782" t="s">
        <v>2248</v>
      </c>
      <c r="Z517" s="782" t="s">
        <v>5425</v>
      </c>
      <c r="AA517" s="781">
        <f>$S$1*P!AA517</f>
        <v>8.5685483870967744E-4</v>
      </c>
      <c r="AB517" s="780"/>
      <c r="AC517" s="782">
        <v>513</v>
      </c>
      <c r="AD517" s="782" t="s">
        <v>4573</v>
      </c>
      <c r="AE517" s="782" t="s">
        <v>5336</v>
      </c>
      <c r="AF517" s="781">
        <f>$S$1*P!AF517</f>
        <v>1.3572580645161292</v>
      </c>
    </row>
    <row r="518" spans="19:32" x14ac:dyDescent="0.35">
      <c r="S518" s="782">
        <v>514</v>
      </c>
      <c r="T518" s="782" t="s">
        <v>4284</v>
      </c>
      <c r="U518" s="782" t="s">
        <v>5364</v>
      </c>
      <c r="V518" s="797">
        <f>$S$1*P!V518</f>
        <v>2.5911290322580647E-4</v>
      </c>
      <c r="W518" s="780"/>
      <c r="X518" s="782">
        <v>514</v>
      </c>
      <c r="Y518" s="782" t="s">
        <v>2248</v>
      </c>
      <c r="Z518" s="782" t="s">
        <v>5424</v>
      </c>
      <c r="AA518" s="781">
        <f>$S$1*P!AA518</f>
        <v>1.1756048387096775E-3</v>
      </c>
      <c r="AB518" s="780"/>
      <c r="AC518" s="782">
        <v>514</v>
      </c>
      <c r="AD518" s="782" t="s">
        <v>4573</v>
      </c>
      <c r="AE518" s="782" t="s">
        <v>5335</v>
      </c>
      <c r="AF518" s="781">
        <f>$S$1*P!AF518</f>
        <v>1.559475806451613E-3</v>
      </c>
    </row>
    <row r="519" spans="19:32" x14ac:dyDescent="0.35">
      <c r="S519" s="782">
        <v>515</v>
      </c>
      <c r="T519" s="782" t="s">
        <v>4284</v>
      </c>
      <c r="U519" s="782" t="s">
        <v>5363</v>
      </c>
      <c r="V519" s="797">
        <f>$S$1*P!V519</f>
        <v>6.3407258064516133E-6</v>
      </c>
      <c r="W519" s="780"/>
      <c r="X519" s="782">
        <v>515</v>
      </c>
      <c r="Y519" s="782" t="s">
        <v>2248</v>
      </c>
      <c r="Z519" s="782" t="s">
        <v>5711</v>
      </c>
      <c r="AA519" s="781">
        <f>$S$1*P!AA519</f>
        <v>2.3512096774193549E-3</v>
      </c>
      <c r="AB519" s="780"/>
      <c r="AC519" s="782">
        <v>515</v>
      </c>
      <c r="AD519" s="782" t="s">
        <v>4573</v>
      </c>
      <c r="AE519" s="782" t="s">
        <v>3660</v>
      </c>
      <c r="AF519" s="781">
        <f>$S$1*P!AF519</f>
        <v>8.8770161290322586E-2</v>
      </c>
    </row>
    <row r="520" spans="19:32" x14ac:dyDescent="0.35">
      <c r="S520" s="782">
        <v>516</v>
      </c>
      <c r="T520" s="782" t="s">
        <v>4284</v>
      </c>
      <c r="U520" s="782" t="s">
        <v>5362</v>
      </c>
      <c r="V520" s="797">
        <f>$S$1*P!V520</f>
        <v>1.1618951612903228E-5</v>
      </c>
      <c r="W520" s="780"/>
      <c r="X520" s="782">
        <v>516</v>
      </c>
      <c r="Y520" s="782" t="s">
        <v>2248</v>
      </c>
      <c r="Z520" s="782" t="s">
        <v>5423</v>
      </c>
      <c r="AA520" s="781">
        <f>$S$1*P!AA520</f>
        <v>1.6383064516129034E-4</v>
      </c>
      <c r="AB520" s="780"/>
      <c r="AC520" s="782">
        <v>516</v>
      </c>
      <c r="AD520" s="782" t="s">
        <v>4573</v>
      </c>
      <c r="AE520" s="782" t="s">
        <v>3660</v>
      </c>
      <c r="AF520" s="781">
        <f>$S$1*P!AF520</f>
        <v>0</v>
      </c>
    </row>
    <row r="521" spans="19:32" x14ac:dyDescent="0.35">
      <c r="S521" s="782">
        <v>517</v>
      </c>
      <c r="T521" s="782" t="s">
        <v>4284</v>
      </c>
      <c r="U521" s="782" t="s">
        <v>5360</v>
      </c>
      <c r="V521" s="797">
        <f>$S$1*P!V521</f>
        <v>1.9879032258064516E-7</v>
      </c>
      <c r="W521" s="780"/>
      <c r="X521" s="782">
        <v>517</v>
      </c>
      <c r="Y521" s="782" t="s">
        <v>2248</v>
      </c>
      <c r="Z521" s="782" t="s">
        <v>5422</v>
      </c>
      <c r="AA521" s="781">
        <f>$S$1*P!AA521</f>
        <v>2.6528225806451614E-4</v>
      </c>
      <c r="AB521" s="780"/>
      <c r="AC521" s="782">
        <v>517</v>
      </c>
      <c r="AD521" s="782" t="s">
        <v>4573</v>
      </c>
      <c r="AE521" s="782" t="s">
        <v>5334</v>
      </c>
      <c r="AF521" s="781">
        <f>$S$1*P!AF521</f>
        <v>1.264717741935484</v>
      </c>
    </row>
    <row r="522" spans="19:32" x14ac:dyDescent="0.35">
      <c r="S522" s="782">
        <v>518</v>
      </c>
      <c r="T522" s="782" t="s">
        <v>4284</v>
      </c>
      <c r="U522" s="782" t="s">
        <v>5356</v>
      </c>
      <c r="V522" s="797">
        <f>$S$1*P!V522</f>
        <v>5.792338709677419E-4</v>
      </c>
      <c r="W522" s="780"/>
      <c r="X522" s="782">
        <v>518</v>
      </c>
      <c r="Y522" s="782" t="s">
        <v>2248</v>
      </c>
      <c r="Z522" s="782" t="s">
        <v>5710</v>
      </c>
      <c r="AA522" s="781">
        <f>$S$1*P!AA522</f>
        <v>1.1721774193548389E-5</v>
      </c>
      <c r="AB522" s="780"/>
      <c r="AC522" s="782">
        <v>518</v>
      </c>
      <c r="AD522" s="782" t="s">
        <v>4573</v>
      </c>
      <c r="AE522" s="782" t="s">
        <v>3657</v>
      </c>
      <c r="AF522" s="781">
        <f>$S$1*P!AF522</f>
        <v>0.58328000000000002</v>
      </c>
    </row>
    <row r="523" spans="19:32" x14ac:dyDescent="0.35">
      <c r="S523" s="861">
        <v>519</v>
      </c>
      <c r="T523" s="861" t="s">
        <v>4284</v>
      </c>
      <c r="U523" s="861" t="s">
        <v>5354</v>
      </c>
      <c r="V523" s="862">
        <f>$S$1*P!V523</f>
        <v>4.9540999999999995</v>
      </c>
      <c r="W523" s="780"/>
      <c r="X523" s="782">
        <v>519</v>
      </c>
      <c r="Y523" s="782" t="s">
        <v>2248</v>
      </c>
      <c r="Z523" s="782" t="s">
        <v>5421</v>
      </c>
      <c r="AA523" s="781">
        <f>$S$1*P!AA523</f>
        <v>6.1350806451612902E-6</v>
      </c>
      <c r="AB523" s="780"/>
      <c r="AC523" s="782">
        <v>519</v>
      </c>
      <c r="AD523" s="782" t="s">
        <v>4573</v>
      </c>
      <c r="AE523" s="782" t="s">
        <v>5333</v>
      </c>
      <c r="AF523" s="781">
        <f>$S$1*P!AF523</f>
        <v>6.6491935483870967E-4</v>
      </c>
    </row>
    <row r="524" spans="19:32" x14ac:dyDescent="0.35">
      <c r="S524" s="782">
        <v>520</v>
      </c>
      <c r="T524" s="782" t="s">
        <v>4284</v>
      </c>
      <c r="U524" s="782" t="s">
        <v>5354</v>
      </c>
      <c r="V524" s="797">
        <f>$S$1*P!V524</f>
        <v>1.6965725806451615E-6</v>
      </c>
      <c r="W524" s="780"/>
      <c r="X524" s="782">
        <v>520</v>
      </c>
      <c r="Y524" s="782" t="s">
        <v>2248</v>
      </c>
      <c r="Z524" s="782" t="s">
        <v>5420</v>
      </c>
      <c r="AA524" s="781">
        <f>$S$1*P!AA524</f>
        <v>1.984475806451613E-4</v>
      </c>
      <c r="AB524" s="780"/>
      <c r="AC524" s="782">
        <v>520</v>
      </c>
      <c r="AD524" s="782" t="s">
        <v>4573</v>
      </c>
      <c r="AE524" s="782" t="s">
        <v>5332</v>
      </c>
      <c r="AF524" s="781">
        <f>$S$1*P!AF524</f>
        <v>2.1764112903225807E-3</v>
      </c>
    </row>
    <row r="525" spans="19:32" x14ac:dyDescent="0.35">
      <c r="S525" s="861">
        <v>521</v>
      </c>
      <c r="T525" s="861" t="s">
        <v>4284</v>
      </c>
      <c r="U525" s="861" t="s">
        <v>5709</v>
      </c>
      <c r="V525" s="862">
        <f>$S$1*P!V525</f>
        <v>10.111499999999999</v>
      </c>
      <c r="W525" s="780"/>
      <c r="X525" s="782">
        <v>521</v>
      </c>
      <c r="Y525" s="782" t="s">
        <v>2248</v>
      </c>
      <c r="Z525" s="782" t="s">
        <v>3823</v>
      </c>
      <c r="AA525" s="781">
        <f>$S$1*P!AA525</f>
        <v>2.5431451612903227E-5</v>
      </c>
      <c r="AB525" s="780"/>
      <c r="AC525" s="782">
        <v>521</v>
      </c>
      <c r="AD525" s="782" t="s">
        <v>4573</v>
      </c>
      <c r="AE525" s="782" t="s">
        <v>5331</v>
      </c>
      <c r="AF525" s="781">
        <f>$S$1*P!AF525</f>
        <v>2.3752016129032261</v>
      </c>
    </row>
    <row r="526" spans="19:32" x14ac:dyDescent="0.35">
      <c r="S526" s="861">
        <v>522</v>
      </c>
      <c r="T526" s="861" t="s">
        <v>4284</v>
      </c>
      <c r="U526" s="861" t="s">
        <v>5708</v>
      </c>
      <c r="V526" s="862">
        <f>$S$1*P!V526</f>
        <v>10.111499999999999</v>
      </c>
      <c r="W526" s="780"/>
      <c r="X526" s="782">
        <v>522</v>
      </c>
      <c r="Y526" s="782" t="s">
        <v>2248</v>
      </c>
      <c r="Z526" s="782" t="s">
        <v>5419</v>
      </c>
      <c r="AA526" s="781">
        <f>$S$1*P!AA526</f>
        <v>7.9173387096774206E-6</v>
      </c>
      <c r="AB526" s="780"/>
      <c r="AC526" s="782">
        <v>522</v>
      </c>
      <c r="AD526" s="782" t="s">
        <v>4573</v>
      </c>
      <c r="AE526" s="782" t="s">
        <v>5330</v>
      </c>
      <c r="AF526" s="781">
        <f>$S$1*P!AF526</f>
        <v>0.5278225806451613</v>
      </c>
    </row>
    <row r="527" spans="19:32" x14ac:dyDescent="0.35">
      <c r="S527" s="782">
        <v>523</v>
      </c>
      <c r="T527" s="782" t="s">
        <v>4284</v>
      </c>
      <c r="U527" s="782" t="s">
        <v>5353</v>
      </c>
      <c r="V527" s="797">
        <f>$S$1*P!V527</f>
        <v>9.3225806451612916E-5</v>
      </c>
      <c r="W527" s="780"/>
      <c r="X527" s="782">
        <v>523</v>
      </c>
      <c r="Y527" s="782" t="s">
        <v>2248</v>
      </c>
      <c r="Z527" s="782" t="s">
        <v>5418</v>
      </c>
      <c r="AA527" s="781">
        <f>$S$1*P!AA527</f>
        <v>1.1344758064516131E-4</v>
      </c>
      <c r="AB527" s="780"/>
      <c r="AC527" s="782">
        <v>523</v>
      </c>
      <c r="AD527" s="782" t="s">
        <v>4573</v>
      </c>
      <c r="AE527" s="782" t="s">
        <v>5329</v>
      </c>
      <c r="AF527" s="781">
        <f>$S$1*P!AF527</f>
        <v>2.9338709677419357</v>
      </c>
    </row>
    <row r="528" spans="19:32" x14ac:dyDescent="0.35">
      <c r="S528" s="782">
        <v>524</v>
      </c>
      <c r="T528" s="782" t="s">
        <v>4284</v>
      </c>
      <c r="U528" s="782" t="s">
        <v>5352</v>
      </c>
      <c r="V528" s="797">
        <f>$S$1*P!V528</f>
        <v>9.8709677419354843E-5</v>
      </c>
      <c r="W528" s="780"/>
      <c r="X528" s="782">
        <v>524</v>
      </c>
      <c r="Y528" s="782" t="s">
        <v>2248</v>
      </c>
      <c r="Z528" s="782" t="s">
        <v>5417</v>
      </c>
      <c r="AA528" s="781">
        <f>$S$1*P!AA528</f>
        <v>1.264717741935484E-5</v>
      </c>
      <c r="AB528" s="780"/>
      <c r="AC528" s="782">
        <v>524</v>
      </c>
      <c r="AD528" s="782" t="s">
        <v>4573</v>
      </c>
      <c r="AE528" s="782" t="s">
        <v>5328</v>
      </c>
      <c r="AF528" s="781">
        <f>$S$1*P!AF528</f>
        <v>0.49354838709677423</v>
      </c>
    </row>
    <row r="529" spans="19:32" x14ac:dyDescent="0.35">
      <c r="S529" s="782">
        <v>525</v>
      </c>
      <c r="T529" s="782" t="s">
        <v>4284</v>
      </c>
      <c r="U529" s="782" t="s">
        <v>3671</v>
      </c>
      <c r="V529" s="797">
        <f>$S$1*P!V529</f>
        <v>2.9338709677419355E-3</v>
      </c>
      <c r="W529" s="780"/>
      <c r="X529" s="782">
        <v>525</v>
      </c>
      <c r="Y529" s="782" t="s">
        <v>2248</v>
      </c>
      <c r="Z529" s="782" t="s">
        <v>5707</v>
      </c>
      <c r="AA529" s="781">
        <f>$S$1*P!AA529</f>
        <v>1.9262096774193551E-3</v>
      </c>
      <c r="AB529" s="780"/>
      <c r="AC529" s="782">
        <v>525</v>
      </c>
      <c r="AD529" s="782" t="s">
        <v>4573</v>
      </c>
      <c r="AE529" s="782" t="s">
        <v>3655</v>
      </c>
      <c r="AF529" s="781">
        <f>$S$1*P!AF529</f>
        <v>0</v>
      </c>
    </row>
    <row r="530" spans="19:32" x14ac:dyDescent="0.35">
      <c r="S530" s="782">
        <v>526</v>
      </c>
      <c r="T530" s="782" t="s">
        <v>4284</v>
      </c>
      <c r="U530" s="782" t="s">
        <v>3671</v>
      </c>
      <c r="V530" s="797">
        <f>$S$1*P!V530</f>
        <v>0.15456</v>
      </c>
      <c r="W530" s="780"/>
      <c r="X530" s="782">
        <v>526</v>
      </c>
      <c r="Y530" s="782" t="s">
        <v>2248</v>
      </c>
      <c r="Z530" s="782" t="s">
        <v>5416</v>
      </c>
      <c r="AA530" s="781">
        <f>$S$1*P!AA530</f>
        <v>2.4163306451612905E-5</v>
      </c>
      <c r="AB530" s="780"/>
      <c r="AC530" s="782">
        <v>526</v>
      </c>
      <c r="AD530" s="782" t="s">
        <v>4573</v>
      </c>
      <c r="AE530" s="782" t="s">
        <v>5326</v>
      </c>
      <c r="AF530" s="781">
        <f>$S$1*P!AF530</f>
        <v>1.9844758064516129E-2</v>
      </c>
    </row>
    <row r="531" spans="19:32" x14ac:dyDescent="0.35">
      <c r="S531" s="782">
        <v>527</v>
      </c>
      <c r="T531" s="782" t="s">
        <v>4284</v>
      </c>
      <c r="U531" s="782" t="s">
        <v>5351</v>
      </c>
      <c r="V531" s="797">
        <f>$S$1*P!V531</f>
        <v>3.7358870967741937E-4</v>
      </c>
      <c r="W531" s="780"/>
      <c r="X531" s="782">
        <v>527</v>
      </c>
      <c r="Y531" s="782" t="s">
        <v>2248</v>
      </c>
      <c r="Z531" s="782" t="s">
        <v>5415</v>
      </c>
      <c r="AA531" s="781">
        <f>$S$1*P!AA531</f>
        <v>4.5241935483870972E-3</v>
      </c>
      <c r="AB531" s="780"/>
      <c r="AC531" s="782">
        <v>527</v>
      </c>
      <c r="AD531" s="782" t="s">
        <v>4573</v>
      </c>
      <c r="AE531" s="782" t="s">
        <v>5325</v>
      </c>
      <c r="AF531" s="781">
        <f>$S$1*P!AF531</f>
        <v>0.23477822580645163</v>
      </c>
    </row>
    <row r="532" spans="19:32" x14ac:dyDescent="0.35">
      <c r="S532" s="861">
        <v>528</v>
      </c>
      <c r="T532" s="861" t="s">
        <v>4284</v>
      </c>
      <c r="U532" s="861" t="s">
        <v>3668</v>
      </c>
      <c r="V532" s="862">
        <f>$S$1*P!V532</f>
        <v>1.7012999999999998</v>
      </c>
      <c r="W532" s="780"/>
      <c r="X532" s="782">
        <v>528</v>
      </c>
      <c r="Y532" s="782" t="s">
        <v>2248</v>
      </c>
      <c r="Z532" s="782" t="s">
        <v>5706</v>
      </c>
      <c r="AA532" s="781">
        <f>$S$1*P!AA532</f>
        <v>6.1693548387096783E-3</v>
      </c>
      <c r="AB532" s="780"/>
      <c r="AC532" s="782">
        <v>528</v>
      </c>
      <c r="AD532" s="782" t="s">
        <v>4573</v>
      </c>
      <c r="AE532" s="782" t="s">
        <v>5324</v>
      </c>
      <c r="AF532" s="781">
        <f>$S$1*P!AF532</f>
        <v>0.33862903225806457</v>
      </c>
    </row>
    <row r="533" spans="19:32" x14ac:dyDescent="0.35">
      <c r="S533" s="782">
        <v>529</v>
      </c>
      <c r="T533" s="782" t="s">
        <v>4284</v>
      </c>
      <c r="U533" s="782" t="s">
        <v>3668</v>
      </c>
      <c r="V533" s="797">
        <f>$S$1*P!V533</f>
        <v>2.3169354838709678E-6</v>
      </c>
      <c r="W533" s="780"/>
      <c r="X533" s="782">
        <v>529</v>
      </c>
      <c r="Y533" s="782" t="s">
        <v>2248</v>
      </c>
      <c r="Z533" s="782" t="s">
        <v>5414</v>
      </c>
      <c r="AA533" s="781">
        <f>$S$1*P!AA533</f>
        <v>3.3006048387096778E-4</v>
      </c>
      <c r="AB533" s="780"/>
      <c r="AC533" s="782">
        <v>529</v>
      </c>
      <c r="AD533" s="782" t="s">
        <v>4573</v>
      </c>
      <c r="AE533" s="782" t="s">
        <v>5323</v>
      </c>
      <c r="AF533" s="781">
        <f>$S$1*P!AF533</f>
        <v>0.61693548387096775</v>
      </c>
    </row>
    <row r="534" spans="19:32" x14ac:dyDescent="0.35">
      <c r="S534" s="782">
        <v>530</v>
      </c>
      <c r="T534" s="782" t="s">
        <v>4284</v>
      </c>
      <c r="U534" s="782" t="s">
        <v>3668</v>
      </c>
      <c r="V534" s="797">
        <f>$S$1*P!V534</f>
        <v>0</v>
      </c>
      <c r="W534" s="780"/>
      <c r="X534" s="782">
        <v>530</v>
      </c>
      <c r="Y534" s="782" t="s">
        <v>2248</v>
      </c>
      <c r="Z534" s="782" t="s">
        <v>5413</v>
      </c>
      <c r="AA534" s="781">
        <f>$S$1*P!AA534</f>
        <v>3.633064516129033E-5</v>
      </c>
      <c r="AB534" s="780"/>
      <c r="AC534" s="782">
        <v>530</v>
      </c>
      <c r="AD534" s="782" t="s">
        <v>4573</v>
      </c>
      <c r="AE534" s="782" t="s">
        <v>5322</v>
      </c>
      <c r="AF534" s="781">
        <f>$S$1*P!AF534</f>
        <v>5.0040322580645162E-2</v>
      </c>
    </row>
    <row r="535" spans="19:32" x14ac:dyDescent="0.35">
      <c r="S535" s="782">
        <v>531</v>
      </c>
      <c r="T535" s="782" t="s">
        <v>4284</v>
      </c>
      <c r="U535" s="782" t="s">
        <v>5350</v>
      </c>
      <c r="V535" s="797">
        <f>$S$1*P!V535</f>
        <v>2.6151209677419357E-10</v>
      </c>
      <c r="W535" s="780"/>
      <c r="X535" s="782">
        <v>531</v>
      </c>
      <c r="Y535" s="782" t="s">
        <v>2248</v>
      </c>
      <c r="Z535" s="782" t="s">
        <v>5705</v>
      </c>
      <c r="AA535" s="781">
        <f>$S$1*P!AA535</f>
        <v>1.2372983870967743E-3</v>
      </c>
      <c r="AB535" s="780"/>
      <c r="AC535" s="782">
        <v>531</v>
      </c>
      <c r="AD535" s="782" t="s">
        <v>4573</v>
      </c>
      <c r="AE535" s="782" t="s">
        <v>3651</v>
      </c>
      <c r="AF535" s="781">
        <f>$S$1*P!AF535</f>
        <v>0.10027999999999999</v>
      </c>
    </row>
    <row r="536" spans="19:32" x14ac:dyDescent="0.35">
      <c r="S536" s="782">
        <v>532</v>
      </c>
      <c r="T536" s="782" t="s">
        <v>4284</v>
      </c>
      <c r="U536" s="782" t="s">
        <v>5349</v>
      </c>
      <c r="V536" s="797">
        <f>$S$1*P!V536</f>
        <v>8.7741935483870979E-4</v>
      </c>
      <c r="W536" s="780"/>
      <c r="X536" s="782">
        <v>532</v>
      </c>
      <c r="Y536" s="782" t="s">
        <v>2248</v>
      </c>
      <c r="Z536" s="782" t="s">
        <v>5409</v>
      </c>
      <c r="AA536" s="781">
        <f>$S$1*P!AA536</f>
        <v>8.3629032258064514E-5</v>
      </c>
      <c r="AB536" s="780"/>
      <c r="AC536" s="782">
        <v>532</v>
      </c>
      <c r="AD536" s="782" t="s">
        <v>4573</v>
      </c>
      <c r="AE536" s="782" t="s">
        <v>3649</v>
      </c>
      <c r="AF536" s="781">
        <f>$S$1*P!AF536</f>
        <v>0</v>
      </c>
    </row>
    <row r="537" spans="19:32" x14ac:dyDescent="0.35">
      <c r="S537" s="782">
        <v>533</v>
      </c>
      <c r="T537" s="782" t="s">
        <v>4284</v>
      </c>
      <c r="U537" s="782" t="s">
        <v>3665</v>
      </c>
      <c r="V537" s="797">
        <f>$S$1*P!V537</f>
        <v>1.0008064516129032E-4</v>
      </c>
      <c r="W537" s="780"/>
      <c r="X537" s="782">
        <v>533</v>
      </c>
      <c r="Y537" s="782" t="s">
        <v>2248</v>
      </c>
      <c r="Z537" s="782" t="s">
        <v>5408</v>
      </c>
      <c r="AA537" s="781">
        <f>$S$1*P!AA537</f>
        <v>9.8366935483870977E-5</v>
      </c>
      <c r="AB537" s="780"/>
      <c r="AC537" s="782">
        <v>533</v>
      </c>
      <c r="AD537" s="782" t="s">
        <v>4573</v>
      </c>
      <c r="AE537" s="782" t="s">
        <v>5321</v>
      </c>
      <c r="AF537" s="781">
        <f>$S$1*P!AF537</f>
        <v>0.27487903225806454</v>
      </c>
    </row>
    <row r="538" spans="19:32" x14ac:dyDescent="0.35">
      <c r="S538" s="782">
        <v>534</v>
      </c>
      <c r="T538" s="782" t="s">
        <v>4284</v>
      </c>
      <c r="U538" s="782" t="s">
        <v>3665</v>
      </c>
      <c r="V538" s="797">
        <f>$S$1*P!V538</f>
        <v>2.2724000000000002</v>
      </c>
      <c r="W538" s="780"/>
      <c r="X538" s="782">
        <v>534</v>
      </c>
      <c r="Y538" s="782" t="s">
        <v>2248</v>
      </c>
      <c r="Z538" s="782" t="s">
        <v>5407</v>
      </c>
      <c r="AA538" s="781">
        <f>$S$1*P!AA538</f>
        <v>3.3931451612903226E-5</v>
      </c>
      <c r="AB538" s="780"/>
      <c r="AC538" s="782">
        <v>534</v>
      </c>
      <c r="AD538" s="782" t="s">
        <v>4573</v>
      </c>
      <c r="AE538" s="782" t="s">
        <v>5320</v>
      </c>
      <c r="AF538" s="781">
        <f>$S$1*P!AF538</f>
        <v>0.40443548387096778</v>
      </c>
    </row>
    <row r="539" spans="19:32" x14ac:dyDescent="0.35">
      <c r="S539" s="782">
        <v>535</v>
      </c>
      <c r="T539" s="782" t="s">
        <v>4284</v>
      </c>
      <c r="U539" s="782" t="s">
        <v>5348</v>
      </c>
      <c r="V539" s="797">
        <f>$S$1*P!V539</f>
        <v>4.8326612903225809E-5</v>
      </c>
      <c r="W539" s="780"/>
      <c r="X539" s="782">
        <v>535</v>
      </c>
      <c r="Y539" s="782" t="s">
        <v>2248</v>
      </c>
      <c r="Z539" s="782" t="s">
        <v>5704</v>
      </c>
      <c r="AA539" s="781">
        <f>$S$1*P!AA539</f>
        <v>0.49354838709677423</v>
      </c>
      <c r="AB539" s="780"/>
      <c r="AC539" s="782">
        <v>535</v>
      </c>
      <c r="AD539" s="782" t="s">
        <v>4573</v>
      </c>
      <c r="AE539" s="782" t="s">
        <v>5319</v>
      </c>
      <c r="AF539" s="781">
        <f>$S$1*P!AF539</f>
        <v>3.5987903225806452E-2</v>
      </c>
    </row>
    <row r="540" spans="19:32" x14ac:dyDescent="0.35">
      <c r="S540" s="782">
        <v>536</v>
      </c>
      <c r="T540" s="782" t="s">
        <v>4284</v>
      </c>
      <c r="U540" s="782" t="s">
        <v>3663</v>
      </c>
      <c r="V540" s="797">
        <f>$S$1*P!V540</f>
        <v>0</v>
      </c>
      <c r="W540" s="780"/>
      <c r="X540" s="782">
        <v>536</v>
      </c>
      <c r="Y540" s="782" t="s">
        <v>2248</v>
      </c>
      <c r="Z540" s="782" t="s">
        <v>5403</v>
      </c>
      <c r="AA540" s="781">
        <f>$S$1*P!AA540</f>
        <v>3.2560483870967741E-5</v>
      </c>
      <c r="AB540" s="780"/>
      <c r="AC540" s="782">
        <v>536</v>
      </c>
      <c r="AD540" s="782" t="s">
        <v>4573</v>
      </c>
      <c r="AE540" s="782" t="s">
        <v>5318</v>
      </c>
      <c r="AF540" s="781">
        <f>$S$1*P!AF540</f>
        <v>0.5278225806451613</v>
      </c>
    </row>
    <row r="541" spans="19:32" x14ac:dyDescent="0.35">
      <c r="S541" s="782">
        <v>537</v>
      </c>
      <c r="T541" s="782" t="s">
        <v>4284</v>
      </c>
      <c r="U541" s="782" t="s">
        <v>5347</v>
      </c>
      <c r="V541" s="797">
        <f>$S$1*P!V541</f>
        <v>8.9455645161290338E-7</v>
      </c>
      <c r="W541" s="780"/>
      <c r="X541" s="782">
        <v>537</v>
      </c>
      <c r="Y541" s="782" t="s">
        <v>2248</v>
      </c>
      <c r="Z541" s="782" t="s">
        <v>5703</v>
      </c>
      <c r="AA541" s="781">
        <f>$S$1*P!AA541</f>
        <v>1.2064516129032259E-4</v>
      </c>
      <c r="AB541" s="780"/>
      <c r="AC541" s="782">
        <v>537</v>
      </c>
      <c r="AD541" s="782" t="s">
        <v>4573</v>
      </c>
      <c r="AE541" s="782" t="s">
        <v>5317</v>
      </c>
      <c r="AF541" s="781">
        <f>$S$1*P!AF541</f>
        <v>2.6288306451612904</v>
      </c>
    </row>
    <row r="542" spans="19:32" x14ac:dyDescent="0.35">
      <c r="S542" s="782">
        <v>538</v>
      </c>
      <c r="T542" s="782" t="s">
        <v>4284</v>
      </c>
      <c r="U542" s="782" t="s">
        <v>5346</v>
      </c>
      <c r="V542" s="797">
        <f>$S$1*P!V542</f>
        <v>9.5282258064516138E-4</v>
      </c>
      <c r="W542" s="780"/>
      <c r="X542" s="782">
        <v>538</v>
      </c>
      <c r="Y542" s="782" t="s">
        <v>2248</v>
      </c>
      <c r="Z542" s="782" t="s">
        <v>5401</v>
      </c>
      <c r="AA542" s="781">
        <f>$S$1*P!AA542</f>
        <v>4.72983870967742E-4</v>
      </c>
      <c r="AB542" s="780"/>
      <c r="AC542" s="782">
        <v>538</v>
      </c>
      <c r="AD542" s="782" t="s">
        <v>4573</v>
      </c>
      <c r="AE542" s="782" t="s">
        <v>5316</v>
      </c>
      <c r="AF542" s="781">
        <f>$S$1*P!AF542</f>
        <v>1.4909274193548387</v>
      </c>
    </row>
    <row r="543" spans="19:32" x14ac:dyDescent="0.35">
      <c r="S543" s="782">
        <v>539</v>
      </c>
      <c r="T543" s="782" t="s">
        <v>4284</v>
      </c>
      <c r="U543" s="782" t="s">
        <v>5345</v>
      </c>
      <c r="V543" s="797">
        <f>$S$1*P!V543</f>
        <v>6.3750000000000005E-5</v>
      </c>
      <c r="W543" s="780"/>
      <c r="X543" s="782">
        <v>539</v>
      </c>
      <c r="Y543" s="782" t="s">
        <v>2248</v>
      </c>
      <c r="Z543" s="782" t="s">
        <v>5400</v>
      </c>
      <c r="AA543" s="781">
        <f>$S$1*P!AA543</f>
        <v>0.91854838709677422</v>
      </c>
      <c r="AB543" s="780"/>
      <c r="AC543" s="782">
        <v>539</v>
      </c>
      <c r="AD543" s="782" t="s">
        <v>4573</v>
      </c>
      <c r="AE543" s="782" t="s">
        <v>5315</v>
      </c>
      <c r="AF543" s="781">
        <f>$S$1*P!AF543</f>
        <v>0.41471774193548389</v>
      </c>
    </row>
    <row r="544" spans="19:32" x14ac:dyDescent="0.35">
      <c r="S544" s="782">
        <v>540</v>
      </c>
      <c r="T544" s="782" t="s">
        <v>4284</v>
      </c>
      <c r="U544" s="782" t="s">
        <v>5344</v>
      </c>
      <c r="V544" s="797">
        <f>$S$1*P!V544</f>
        <v>8.3629032258064518E-6</v>
      </c>
      <c r="W544" s="780"/>
      <c r="X544" s="782">
        <v>540</v>
      </c>
      <c r="Y544" s="782" t="s">
        <v>2248</v>
      </c>
      <c r="Z544" s="782" t="s">
        <v>5702</v>
      </c>
      <c r="AA544" s="781">
        <f>$S$1*P!AA544</f>
        <v>1.5046370967741937E-5</v>
      </c>
      <c r="AB544" s="780"/>
      <c r="AC544" s="782">
        <v>540</v>
      </c>
      <c r="AD544" s="782" t="s">
        <v>4573</v>
      </c>
      <c r="AE544" s="782" t="s">
        <v>5314</v>
      </c>
      <c r="AF544" s="781">
        <f>$S$1*P!AF544</f>
        <v>3.3040322580645161E-2</v>
      </c>
    </row>
    <row r="545" spans="19:32" x14ac:dyDescent="0.35">
      <c r="S545" s="782">
        <v>541</v>
      </c>
      <c r="T545" s="782" t="s">
        <v>4284</v>
      </c>
      <c r="U545" s="782" t="s">
        <v>3661</v>
      </c>
      <c r="V545" s="797">
        <f>$S$1*P!V545</f>
        <v>0</v>
      </c>
      <c r="W545" s="780"/>
      <c r="X545" s="782">
        <v>541</v>
      </c>
      <c r="Y545" s="782" t="s">
        <v>2248</v>
      </c>
      <c r="Z545" s="782" t="s">
        <v>5399</v>
      </c>
      <c r="AA545" s="781">
        <f>$S$1*P!AA545</f>
        <v>2.053024193548387E-3</v>
      </c>
      <c r="AB545" s="780"/>
      <c r="AC545" s="782">
        <v>541</v>
      </c>
      <c r="AD545" s="782" t="s">
        <v>4573</v>
      </c>
      <c r="AE545" s="782" t="s">
        <v>5313</v>
      </c>
      <c r="AF545" s="781">
        <f>$S$1*P!AF545</f>
        <v>0.5209677419354839</v>
      </c>
    </row>
    <row r="546" spans="19:32" x14ac:dyDescent="0.35">
      <c r="S546" s="782">
        <v>542</v>
      </c>
      <c r="T546" s="782" t="s">
        <v>4284</v>
      </c>
      <c r="U546" s="782" t="s">
        <v>5343</v>
      </c>
      <c r="V546" s="797">
        <f>$S$1*P!V546</f>
        <v>1.8508064516129033E-3</v>
      </c>
      <c r="W546" s="780"/>
      <c r="X546" s="782">
        <v>542</v>
      </c>
      <c r="Y546" s="782" t="s">
        <v>2248</v>
      </c>
      <c r="Z546" s="782" t="s">
        <v>3683</v>
      </c>
      <c r="AA546" s="781">
        <f>$S$1*P!AA546</f>
        <v>1.2604</v>
      </c>
      <c r="AB546" s="780"/>
      <c r="AC546" s="782">
        <v>542</v>
      </c>
      <c r="AD546" s="782" t="s">
        <v>4573</v>
      </c>
      <c r="AE546" s="782" t="s">
        <v>5312</v>
      </c>
      <c r="AF546" s="781">
        <f>$S$1*P!AF546</f>
        <v>9.4939516129032269E-3</v>
      </c>
    </row>
    <row r="547" spans="19:32" x14ac:dyDescent="0.35">
      <c r="S547" s="782">
        <v>543</v>
      </c>
      <c r="T547" s="782" t="s">
        <v>4284</v>
      </c>
      <c r="U547" s="782" t="s">
        <v>5342</v>
      </c>
      <c r="V547" s="797">
        <f>$S$1*P!V547</f>
        <v>4.8669354838709676E-5</v>
      </c>
      <c r="W547" s="780"/>
      <c r="X547" s="782">
        <v>543</v>
      </c>
      <c r="Y547" s="782" t="s">
        <v>2248</v>
      </c>
      <c r="Z547" s="782" t="s">
        <v>3683</v>
      </c>
      <c r="AA547" s="781">
        <f>$S$1*P!AA547</f>
        <v>3.0024193548387101E-4</v>
      </c>
      <c r="AB547" s="780"/>
      <c r="AC547" s="782">
        <v>543</v>
      </c>
      <c r="AD547" s="782" t="s">
        <v>4573</v>
      </c>
      <c r="AE547" s="782" t="s">
        <v>5311</v>
      </c>
      <c r="AF547" s="781">
        <f>$S$1*P!AF547</f>
        <v>2.0153225806451614E-2</v>
      </c>
    </row>
    <row r="548" spans="19:32" x14ac:dyDescent="0.35">
      <c r="S548" s="782">
        <v>544</v>
      </c>
      <c r="T548" s="782" t="s">
        <v>4284</v>
      </c>
      <c r="U548" s="782" t="s">
        <v>5341</v>
      </c>
      <c r="V548" s="797">
        <f>$S$1*P!V548</f>
        <v>2.6459677419354843E-3</v>
      </c>
      <c r="W548" s="780"/>
      <c r="X548" s="782">
        <v>544</v>
      </c>
      <c r="Y548" s="782" t="s">
        <v>2248</v>
      </c>
      <c r="Z548" s="782" t="s">
        <v>5701</v>
      </c>
      <c r="AA548" s="781">
        <f>$S$1*P!AA548</f>
        <v>3.2834677419354841E-6</v>
      </c>
      <c r="AB548" s="780"/>
      <c r="AC548" s="782">
        <v>544</v>
      </c>
      <c r="AD548" s="782" t="s">
        <v>4573</v>
      </c>
      <c r="AE548" s="782" t="s">
        <v>5310</v>
      </c>
      <c r="AF548" s="781">
        <f>$S$1*P!AF548</f>
        <v>1.8850806451612905E-2</v>
      </c>
    </row>
    <row r="549" spans="19:32" x14ac:dyDescent="0.35">
      <c r="S549" s="782">
        <v>545</v>
      </c>
      <c r="T549" s="782" t="s">
        <v>4284</v>
      </c>
      <c r="U549" s="782" t="s">
        <v>5340</v>
      </c>
      <c r="V549" s="797">
        <f>$S$1*P!V549</f>
        <v>1.240725806451613E-5</v>
      </c>
      <c r="W549" s="780"/>
      <c r="X549" s="782">
        <v>545</v>
      </c>
      <c r="Y549" s="782" t="s">
        <v>2248</v>
      </c>
      <c r="Z549" s="782" t="s">
        <v>5393</v>
      </c>
      <c r="AA549" s="781">
        <f>$S$1*P!AA549</f>
        <v>0.18508064516129033</v>
      </c>
      <c r="AB549" s="780"/>
      <c r="AC549" s="782">
        <v>545</v>
      </c>
      <c r="AD549" s="782" t="s">
        <v>4573</v>
      </c>
      <c r="AE549" s="782" t="s">
        <v>5309</v>
      </c>
      <c r="AF549" s="781">
        <f>$S$1*P!AF549</f>
        <v>1.9639112903225807E-2</v>
      </c>
    </row>
    <row r="550" spans="19:32" x14ac:dyDescent="0.35">
      <c r="S550" s="782">
        <v>546</v>
      </c>
      <c r="T550" s="782" t="s">
        <v>4284</v>
      </c>
      <c r="U550" s="782" t="s">
        <v>5339</v>
      </c>
      <c r="V550" s="797">
        <f>$S$1*P!V550</f>
        <v>8.0887096774193562E-3</v>
      </c>
      <c r="W550" s="780"/>
      <c r="X550" s="782">
        <v>546</v>
      </c>
      <c r="Y550" s="782" t="s">
        <v>2248</v>
      </c>
      <c r="Z550" s="782" t="s">
        <v>5392</v>
      </c>
      <c r="AA550" s="781">
        <f>$S$1*P!AA550</f>
        <v>1.5868951612903228E-4</v>
      </c>
      <c r="AB550" s="780"/>
      <c r="AC550" s="782">
        <v>546</v>
      </c>
      <c r="AD550" s="782" t="s">
        <v>4573</v>
      </c>
      <c r="AE550" s="782" t="s">
        <v>5308</v>
      </c>
      <c r="AF550" s="781">
        <f>$S$1*P!AF550</f>
        <v>0.14806451612903226</v>
      </c>
    </row>
    <row r="551" spans="19:32" x14ac:dyDescent="0.35">
      <c r="S551" s="782">
        <v>547</v>
      </c>
      <c r="T551" s="782" t="s">
        <v>4284</v>
      </c>
      <c r="U551" s="782" t="s">
        <v>5338</v>
      </c>
      <c r="V551" s="797">
        <f>$S$1*P!V551</f>
        <v>3.804435483870968E-4</v>
      </c>
      <c r="W551" s="780"/>
      <c r="X551" s="782">
        <v>547</v>
      </c>
      <c r="Y551" s="782" t="s">
        <v>2248</v>
      </c>
      <c r="Z551" s="782" t="s">
        <v>5700</v>
      </c>
      <c r="AA551" s="781">
        <f>$S$1*P!AA551</f>
        <v>1.3504032258064517E-4</v>
      </c>
      <c r="AB551" s="780"/>
      <c r="AC551" s="782">
        <v>547</v>
      </c>
      <c r="AD551" s="782" t="s">
        <v>4573</v>
      </c>
      <c r="AE551" s="782" t="s">
        <v>5307</v>
      </c>
      <c r="AF551" s="781">
        <f>$S$1*P!AF551</f>
        <v>4.0786290322580646E-2</v>
      </c>
    </row>
    <row r="552" spans="19:32" x14ac:dyDescent="0.35">
      <c r="S552" s="782">
        <v>548</v>
      </c>
      <c r="T552" s="782" t="s">
        <v>4284</v>
      </c>
      <c r="U552" s="782" t="s">
        <v>5337</v>
      </c>
      <c r="V552" s="797">
        <f>$S$1*P!V552</f>
        <v>0.51068548387096779</v>
      </c>
      <c r="W552" s="780"/>
      <c r="X552" s="782">
        <v>548</v>
      </c>
      <c r="Y552" s="782" t="s">
        <v>2248</v>
      </c>
      <c r="Z552" s="782" t="s">
        <v>5391</v>
      </c>
      <c r="AA552" s="781">
        <f>$S$1*P!AA552</f>
        <v>5.7580645161290328E-2</v>
      </c>
      <c r="AB552" s="780"/>
      <c r="AC552" s="782">
        <v>548</v>
      </c>
      <c r="AD552" s="782" t="s">
        <v>4573</v>
      </c>
      <c r="AE552" s="782" t="s">
        <v>5306</v>
      </c>
      <c r="AF552" s="781">
        <f>$S$1*P!AF552</f>
        <v>0.10967741935483871</v>
      </c>
    </row>
    <row r="553" spans="19:32" x14ac:dyDescent="0.35">
      <c r="S553" s="782">
        <v>549</v>
      </c>
      <c r="T553" s="782" t="s">
        <v>4284</v>
      </c>
      <c r="U553" s="782" t="s">
        <v>5336</v>
      </c>
      <c r="V553" s="797">
        <f>$S$1*P!V553</f>
        <v>5.6895161290322585E-2</v>
      </c>
      <c r="W553" s="780"/>
      <c r="X553" s="782">
        <v>549</v>
      </c>
      <c r="Y553" s="782" t="s">
        <v>2248</v>
      </c>
      <c r="Z553" s="782" t="s">
        <v>5390</v>
      </c>
      <c r="AA553" s="781">
        <f>$S$1*P!AA553</f>
        <v>2.1558467741935484E-5</v>
      </c>
      <c r="AB553" s="780"/>
      <c r="AC553" s="782">
        <v>549</v>
      </c>
      <c r="AD553" s="782" t="s">
        <v>4573</v>
      </c>
      <c r="AE553" s="782" t="s">
        <v>5305</v>
      </c>
      <c r="AF553" s="781">
        <f>$S$1*P!AF553</f>
        <v>1.4292338709677421E-2</v>
      </c>
    </row>
    <row r="554" spans="19:32" x14ac:dyDescent="0.35">
      <c r="S554" s="782">
        <v>550</v>
      </c>
      <c r="T554" s="782" t="s">
        <v>4284</v>
      </c>
      <c r="U554" s="782" t="s">
        <v>5335</v>
      </c>
      <c r="V554" s="797">
        <f>$S$1*P!V554</f>
        <v>4.6612903225806451E-4</v>
      </c>
      <c r="W554" s="780"/>
      <c r="X554" s="782">
        <v>550</v>
      </c>
      <c r="Y554" s="782" t="s">
        <v>2248</v>
      </c>
      <c r="Z554" s="782" t="s">
        <v>5699</v>
      </c>
      <c r="AA554" s="781">
        <f>$S$1*P!AA554</f>
        <v>1.4292338709677419E-4</v>
      </c>
      <c r="AB554" s="780"/>
      <c r="AC554" s="782">
        <v>550</v>
      </c>
      <c r="AD554" s="782" t="s">
        <v>4573</v>
      </c>
      <c r="AE554" s="782" t="s">
        <v>3648</v>
      </c>
      <c r="AF554" s="781">
        <f>$S$1*P!AF554</f>
        <v>7.4244000000000004E-2</v>
      </c>
    </row>
    <row r="555" spans="19:32" x14ac:dyDescent="0.35">
      <c r="S555" s="782">
        <v>551</v>
      </c>
      <c r="T555" s="782" t="s">
        <v>4284</v>
      </c>
      <c r="U555" s="782" t="s">
        <v>3660</v>
      </c>
      <c r="V555" s="797">
        <f>$S$1*P!V555</f>
        <v>2.5602822580645165E-3</v>
      </c>
      <c r="W555" s="780"/>
      <c r="X555" s="782">
        <v>551</v>
      </c>
      <c r="Y555" s="782" t="s">
        <v>2248</v>
      </c>
      <c r="Z555" s="782" t="s">
        <v>3681</v>
      </c>
      <c r="AA555" s="781">
        <f>$S$1*P!AA555</f>
        <v>0</v>
      </c>
      <c r="AB555" s="780"/>
      <c r="AC555" s="782">
        <v>551</v>
      </c>
      <c r="AD555" s="782" t="s">
        <v>4573</v>
      </c>
      <c r="AE555" s="782" t="s">
        <v>3645</v>
      </c>
      <c r="AF555" s="781">
        <f>$S$1*P!AF555</f>
        <v>4.4527999999999999</v>
      </c>
    </row>
    <row r="556" spans="19:32" x14ac:dyDescent="0.35">
      <c r="S556" s="782">
        <v>552</v>
      </c>
      <c r="T556" s="782" t="s">
        <v>4284</v>
      </c>
      <c r="U556" s="782" t="s">
        <v>3660</v>
      </c>
      <c r="V556" s="797">
        <f>$S$1*P!V556</f>
        <v>0</v>
      </c>
      <c r="W556" s="780"/>
      <c r="X556" s="782">
        <v>552</v>
      </c>
      <c r="Y556" s="782" t="s">
        <v>2248</v>
      </c>
      <c r="Z556" s="782" t="s">
        <v>3681</v>
      </c>
      <c r="AA556" s="781">
        <f>$S$1*P!AA556</f>
        <v>3.7701612903225815E-5</v>
      </c>
      <c r="AB556" s="780"/>
      <c r="AC556" s="782">
        <v>552</v>
      </c>
      <c r="AD556" s="782" t="s">
        <v>4573</v>
      </c>
      <c r="AE556" s="782" t="s">
        <v>5304</v>
      </c>
      <c r="AF556" s="781">
        <f>$S$1*P!AF556</f>
        <v>0.17034274193548388</v>
      </c>
    </row>
    <row r="557" spans="19:32" x14ac:dyDescent="0.35">
      <c r="S557" s="782">
        <v>553</v>
      </c>
      <c r="T557" s="782" t="s">
        <v>4284</v>
      </c>
      <c r="U557" s="782" t="s">
        <v>5334</v>
      </c>
      <c r="V557" s="797">
        <f>$S$1*P!V557</f>
        <v>1.8508064516129033E-2</v>
      </c>
      <c r="W557" s="780"/>
      <c r="X557" s="782">
        <v>553</v>
      </c>
      <c r="Y557" s="782" t="s">
        <v>2248</v>
      </c>
      <c r="Z557" s="782" t="s">
        <v>5389</v>
      </c>
      <c r="AA557" s="781">
        <f>$S$1*P!AA557</f>
        <v>3.0983870967741937E-4</v>
      </c>
      <c r="AB557" s="780"/>
      <c r="AC557" s="782">
        <v>553</v>
      </c>
      <c r="AD557" s="782" t="s">
        <v>4573</v>
      </c>
      <c r="AE557" s="782" t="s">
        <v>5303</v>
      </c>
      <c r="AF557" s="781">
        <f>$S$1*P!AF557</f>
        <v>4.7298387096774194E-3</v>
      </c>
    </row>
    <row r="558" spans="19:32" x14ac:dyDescent="0.35">
      <c r="S558" s="782">
        <v>554</v>
      </c>
      <c r="T558" s="782" t="s">
        <v>4284</v>
      </c>
      <c r="U558" s="782" t="s">
        <v>3657</v>
      </c>
      <c r="V558" s="797">
        <f>$S$1*P!V558</f>
        <v>2.4011999999999999E-2</v>
      </c>
      <c r="W558" s="780"/>
      <c r="X558" s="782">
        <v>554</v>
      </c>
      <c r="Y558" s="782" t="s">
        <v>2248</v>
      </c>
      <c r="Z558" s="782" t="s">
        <v>5698</v>
      </c>
      <c r="AA558" s="781">
        <f>$S$1*P!AA558</f>
        <v>1.0830645161290324E-3</v>
      </c>
      <c r="AB558" s="780"/>
      <c r="AC558" s="782">
        <v>554</v>
      </c>
      <c r="AD558" s="782" t="s">
        <v>4573</v>
      </c>
      <c r="AE558" s="782" t="s">
        <v>5302</v>
      </c>
      <c r="AF558" s="781">
        <f>$S$1*P!AF558</f>
        <v>7.8830645161290323E-3</v>
      </c>
    </row>
    <row r="559" spans="19:32" x14ac:dyDescent="0.35">
      <c r="S559" s="782">
        <v>555</v>
      </c>
      <c r="T559" s="782" t="s">
        <v>4284</v>
      </c>
      <c r="U559" s="782" t="s">
        <v>5333</v>
      </c>
      <c r="V559" s="797">
        <f>$S$1*P!V559</f>
        <v>6.2721774193548392E-6</v>
      </c>
      <c r="W559" s="780"/>
      <c r="X559" s="782">
        <v>555</v>
      </c>
      <c r="Y559" s="782" t="s">
        <v>2248</v>
      </c>
      <c r="Z559" s="782" t="s">
        <v>5388</v>
      </c>
      <c r="AA559" s="781">
        <f>$S$1*P!AA559</f>
        <v>7.3689516129032259E-5</v>
      </c>
      <c r="AB559" s="780"/>
      <c r="AC559" s="782">
        <v>555</v>
      </c>
      <c r="AD559" s="782" t="s">
        <v>4573</v>
      </c>
      <c r="AE559" s="782" t="s">
        <v>5301</v>
      </c>
      <c r="AF559" s="781">
        <f>$S$1*P!AF559</f>
        <v>3.8044354838709681E-2</v>
      </c>
    </row>
    <row r="560" spans="19:32" x14ac:dyDescent="0.35">
      <c r="S560" s="870">
        <v>556</v>
      </c>
      <c r="T560" s="870" t="s">
        <v>4284</v>
      </c>
      <c r="U560" s="870" t="s">
        <v>5332</v>
      </c>
      <c r="V560" s="871">
        <f>$S$1*P!V560</f>
        <v>2.9211</v>
      </c>
      <c r="W560" s="780"/>
      <c r="X560" s="782">
        <v>556</v>
      </c>
      <c r="Y560" s="782" t="s">
        <v>2248</v>
      </c>
      <c r="Z560" s="782" t="s">
        <v>3679</v>
      </c>
      <c r="AA560" s="781">
        <f>$S$1*P!AA560</f>
        <v>8.9332000000000009E-2</v>
      </c>
      <c r="AB560" s="780"/>
      <c r="AC560" s="782">
        <v>556</v>
      </c>
      <c r="AD560" s="782" t="s">
        <v>4573</v>
      </c>
      <c r="AE560" s="782" t="s">
        <v>5300</v>
      </c>
      <c r="AF560" s="781">
        <f>$S$1*P!AF560</f>
        <v>0.21661290322580648</v>
      </c>
    </row>
    <row r="561" spans="19:32" x14ac:dyDescent="0.35">
      <c r="S561" s="782">
        <v>557</v>
      </c>
      <c r="T561" s="782" t="s">
        <v>4284</v>
      </c>
      <c r="U561" s="782" t="s">
        <v>5332</v>
      </c>
      <c r="V561" s="797">
        <f>$S$1*P!V561</f>
        <v>2.6185483870967746E-5</v>
      </c>
      <c r="W561" s="780"/>
      <c r="X561" s="782">
        <v>557</v>
      </c>
      <c r="Y561" s="782" t="s">
        <v>2248</v>
      </c>
      <c r="Z561" s="782" t="s">
        <v>5697</v>
      </c>
      <c r="AA561" s="781">
        <f>$S$1*P!AA561</f>
        <v>8.6370967741935498E-5</v>
      </c>
      <c r="AB561" s="780"/>
      <c r="AC561" s="782">
        <v>557</v>
      </c>
      <c r="AD561" s="782" t="s">
        <v>4573</v>
      </c>
      <c r="AE561" s="782" t="s">
        <v>5299</v>
      </c>
      <c r="AF561" s="781">
        <f>$S$1*P!AF561</f>
        <v>6.3407258064516131E-3</v>
      </c>
    </row>
    <row r="562" spans="19:32" x14ac:dyDescent="0.35">
      <c r="S562" s="782">
        <v>558</v>
      </c>
      <c r="T562" s="782" t="s">
        <v>4284</v>
      </c>
      <c r="U562" s="782" t="s">
        <v>5331</v>
      </c>
      <c r="V562" s="797">
        <f>$S$1*P!V562</f>
        <v>6.8548387096774202E-2</v>
      </c>
      <c r="W562" s="780"/>
      <c r="X562" s="782">
        <v>558</v>
      </c>
      <c r="Y562" s="782" t="s">
        <v>2248</v>
      </c>
      <c r="Z562" s="782" t="s">
        <v>5387</v>
      </c>
      <c r="AA562" s="781">
        <f>$S$1*P!AA562</f>
        <v>9.2883064516129045E-4</v>
      </c>
      <c r="AB562" s="780"/>
      <c r="AC562" s="782">
        <v>558</v>
      </c>
      <c r="AD562" s="782" t="s">
        <v>4573</v>
      </c>
      <c r="AE562" s="782" t="s">
        <v>5298</v>
      </c>
      <c r="AF562" s="781">
        <f>$S$1*P!AF562</f>
        <v>2.776209677419355E-2</v>
      </c>
    </row>
    <row r="563" spans="19:32" x14ac:dyDescent="0.35">
      <c r="S563" s="782">
        <v>559</v>
      </c>
      <c r="T563" s="782" t="s">
        <v>4284</v>
      </c>
      <c r="U563" s="782" t="s">
        <v>5330</v>
      </c>
      <c r="V563" s="797">
        <f>$S$1*P!V563</f>
        <v>2.3169354838709678E-2</v>
      </c>
      <c r="W563" s="780"/>
      <c r="X563" s="782">
        <v>559</v>
      </c>
      <c r="Y563" s="782" t="s">
        <v>2248</v>
      </c>
      <c r="Z563" s="782" t="s">
        <v>5386</v>
      </c>
      <c r="AA563" s="781">
        <f>$S$1*P!AA563</f>
        <v>0.1583467741935484</v>
      </c>
      <c r="AB563" s="780"/>
      <c r="AC563" s="782">
        <v>559</v>
      </c>
      <c r="AD563" s="782" t="s">
        <v>4573</v>
      </c>
      <c r="AE563" s="782" t="s">
        <v>5297</v>
      </c>
      <c r="AF563" s="781">
        <f>$S$1*P!AF563</f>
        <v>3.6330645161290325E-4</v>
      </c>
    </row>
    <row r="564" spans="19:32" x14ac:dyDescent="0.35">
      <c r="S564" s="782">
        <v>560</v>
      </c>
      <c r="T564" s="782" t="s">
        <v>4284</v>
      </c>
      <c r="U564" s="782" t="s">
        <v>5329</v>
      </c>
      <c r="V564" s="797">
        <f>$S$1*P!V564</f>
        <v>6.1008064516129036E-2</v>
      </c>
      <c r="W564" s="780"/>
      <c r="X564" s="782">
        <v>560</v>
      </c>
      <c r="Y564" s="782" t="s">
        <v>2248</v>
      </c>
      <c r="Z564" s="782" t="s">
        <v>5696</v>
      </c>
      <c r="AA564" s="781">
        <f>$S$1*P!AA564</f>
        <v>1.6931451612903226E-6</v>
      </c>
      <c r="AB564" s="780"/>
      <c r="AC564" s="782">
        <v>560</v>
      </c>
      <c r="AD564" s="782" t="s">
        <v>4573</v>
      </c>
      <c r="AE564" s="782" t="s">
        <v>5296</v>
      </c>
      <c r="AF564" s="781">
        <f>$S$1*P!AF564</f>
        <v>4.7641129032258069E-2</v>
      </c>
    </row>
    <row r="565" spans="19:32" x14ac:dyDescent="0.35">
      <c r="S565" s="782">
        <v>561</v>
      </c>
      <c r="T565" s="782" t="s">
        <v>4284</v>
      </c>
      <c r="U565" s="782" t="s">
        <v>5328</v>
      </c>
      <c r="V565" s="797">
        <f>$S$1*P!V565</f>
        <v>9.5625000000000016E-3</v>
      </c>
      <c r="W565" s="780"/>
      <c r="X565" s="782">
        <v>561</v>
      </c>
      <c r="Y565" s="782" t="s">
        <v>2248</v>
      </c>
      <c r="Z565" s="782" t="s">
        <v>5385</v>
      </c>
      <c r="AA565" s="781">
        <f>$S$1*P!AA565</f>
        <v>5.8608870967741937E-5</v>
      </c>
      <c r="AB565" s="780"/>
      <c r="AC565" s="782">
        <v>561</v>
      </c>
      <c r="AD565" s="782" t="s">
        <v>4573</v>
      </c>
      <c r="AE565" s="782" t="s">
        <v>5295</v>
      </c>
      <c r="AF565" s="781">
        <f>$S$1*P!AF565</f>
        <v>1.2030241935483872E-3</v>
      </c>
    </row>
    <row r="566" spans="19:32" x14ac:dyDescent="0.35">
      <c r="S566" s="782">
        <v>562</v>
      </c>
      <c r="T566" s="782" t="s">
        <v>4284</v>
      </c>
      <c r="U566" s="782" t="s">
        <v>3655</v>
      </c>
      <c r="V566" s="797">
        <f>$S$1*P!V566</f>
        <v>0</v>
      </c>
      <c r="W566" s="780"/>
      <c r="X566" s="782">
        <v>562</v>
      </c>
      <c r="Y566" s="782" t="s">
        <v>2248</v>
      </c>
      <c r="Z566" s="782" t="s">
        <v>5384</v>
      </c>
      <c r="AA566" s="781">
        <f>$S$1*P!AA566</f>
        <v>2.220967741935484E-5</v>
      </c>
      <c r="AB566" s="780"/>
      <c r="AC566" s="782">
        <v>562</v>
      </c>
      <c r="AD566" s="782" t="s">
        <v>4573</v>
      </c>
      <c r="AE566" s="782" t="s">
        <v>5294</v>
      </c>
      <c r="AF566" s="781">
        <f>$S$1*P!AF566</f>
        <v>1.6588709677419357E-2</v>
      </c>
    </row>
    <row r="567" spans="19:32" x14ac:dyDescent="0.35">
      <c r="S567" s="782">
        <v>563</v>
      </c>
      <c r="T567" s="782" t="s">
        <v>4284</v>
      </c>
      <c r="U567" s="782" t="s">
        <v>5326</v>
      </c>
      <c r="V567" s="797">
        <f>$S$1*P!V567</f>
        <v>1.0590725806451613E-6</v>
      </c>
      <c r="W567" s="780"/>
      <c r="X567" s="782">
        <v>563</v>
      </c>
      <c r="Y567" s="782" t="s">
        <v>2248</v>
      </c>
      <c r="Z567" s="782" t="s">
        <v>5695</v>
      </c>
      <c r="AA567" s="781">
        <f>$S$1*P!AA567</f>
        <v>7.8145161290322574E-5</v>
      </c>
      <c r="AB567" s="780"/>
      <c r="AC567" s="782">
        <v>563</v>
      </c>
      <c r="AD567" s="782" t="s">
        <v>4573</v>
      </c>
      <c r="AE567" s="782" t="s">
        <v>5293</v>
      </c>
      <c r="AF567" s="781">
        <f>$S$1*P!AF567</f>
        <v>4.558467741935484E-2</v>
      </c>
    </row>
    <row r="568" spans="19:32" x14ac:dyDescent="0.35">
      <c r="S568" s="782">
        <v>564</v>
      </c>
      <c r="T568" s="782" t="s">
        <v>4284</v>
      </c>
      <c r="U568" s="782" t="s">
        <v>5325</v>
      </c>
      <c r="V568" s="797">
        <f>$S$1*P!V568</f>
        <v>5.175403225806452E-3</v>
      </c>
      <c r="W568" s="780"/>
      <c r="X568" s="782">
        <v>564</v>
      </c>
      <c r="Y568" s="782" t="s">
        <v>2248</v>
      </c>
      <c r="Z568" s="782" t="s">
        <v>5383</v>
      </c>
      <c r="AA568" s="781">
        <f>$S$1*P!AA568</f>
        <v>1.6280241935483871E-5</v>
      </c>
      <c r="AB568" s="780"/>
      <c r="AC568" s="782">
        <v>564</v>
      </c>
      <c r="AD568" s="782" t="s">
        <v>4573</v>
      </c>
      <c r="AE568" s="782" t="s">
        <v>5292</v>
      </c>
      <c r="AF568" s="781">
        <f>$S$1*P!AF568</f>
        <v>1.2475806451612904E-2</v>
      </c>
    </row>
    <row r="569" spans="19:32" x14ac:dyDescent="0.35">
      <c r="S569" s="782">
        <v>565</v>
      </c>
      <c r="T569" s="782" t="s">
        <v>4284</v>
      </c>
      <c r="U569" s="782" t="s">
        <v>5324</v>
      </c>
      <c r="V569" s="797">
        <f>$S$1*P!V569</f>
        <v>1.4977822580645162E-2</v>
      </c>
      <c r="W569" s="780"/>
      <c r="X569" s="782">
        <v>565</v>
      </c>
      <c r="Y569" s="782" t="s">
        <v>2248</v>
      </c>
      <c r="Z569" s="782" t="s">
        <v>5382</v>
      </c>
      <c r="AA569" s="781">
        <f>$S$1*P!AA569</f>
        <v>6.4092741935483884E-5</v>
      </c>
      <c r="AB569" s="780"/>
      <c r="AC569" s="782">
        <v>565</v>
      </c>
      <c r="AD569" s="782" t="s">
        <v>4573</v>
      </c>
      <c r="AE569" s="782" t="s">
        <v>3643</v>
      </c>
      <c r="AF569" s="781">
        <f>$S$1*P!AF569</f>
        <v>2.6562500000000002E-4</v>
      </c>
    </row>
    <row r="570" spans="19:32" x14ac:dyDescent="0.35">
      <c r="S570" s="782">
        <v>566</v>
      </c>
      <c r="T570" s="782" t="s">
        <v>4284</v>
      </c>
      <c r="U570" s="782" t="s">
        <v>5323</v>
      </c>
      <c r="V570" s="797">
        <f>$S$1*P!V570</f>
        <v>1.9639112903225807E-2</v>
      </c>
      <c r="W570" s="780"/>
      <c r="X570" s="782">
        <v>566</v>
      </c>
      <c r="Y570" s="782" t="s">
        <v>2248</v>
      </c>
      <c r="Z570" s="782" t="s">
        <v>5381</v>
      </c>
      <c r="AA570" s="781">
        <f>$S$1*P!AA570</f>
        <v>1.038508064516129E-2</v>
      </c>
      <c r="AB570" s="780"/>
      <c r="AC570" s="782">
        <v>566</v>
      </c>
      <c r="AD570" s="782" t="s">
        <v>4573</v>
      </c>
      <c r="AE570" s="782" t="s">
        <v>3643</v>
      </c>
      <c r="AF570" s="781">
        <f>$S$1*P!AF570</f>
        <v>0</v>
      </c>
    </row>
    <row r="571" spans="19:32" x14ac:dyDescent="0.35">
      <c r="S571" s="782">
        <v>567</v>
      </c>
      <c r="T571" s="782" t="s">
        <v>4284</v>
      </c>
      <c r="U571" s="782" t="s">
        <v>5322</v>
      </c>
      <c r="V571" s="797">
        <f>$S$1*P!V571</f>
        <v>7.0947580645161289E-5</v>
      </c>
      <c r="W571" s="780"/>
      <c r="X571" s="782">
        <v>567</v>
      </c>
      <c r="Y571" s="782" t="s">
        <v>2248</v>
      </c>
      <c r="Z571" s="782" t="s">
        <v>5694</v>
      </c>
      <c r="AA571" s="781">
        <f>$S$1*P!AA571</f>
        <v>6.9576612903225811E-5</v>
      </c>
      <c r="AB571" s="780"/>
      <c r="AC571" s="782">
        <v>567</v>
      </c>
      <c r="AD571" s="782" t="s">
        <v>4573</v>
      </c>
      <c r="AE571" s="782" t="s">
        <v>5291</v>
      </c>
      <c r="AF571" s="781">
        <f>$S$1*P!AF571</f>
        <v>1.6383064516129033E-3</v>
      </c>
    </row>
    <row r="572" spans="19:32" x14ac:dyDescent="0.35">
      <c r="S572" s="782">
        <v>568</v>
      </c>
      <c r="T572" s="782" t="s">
        <v>4284</v>
      </c>
      <c r="U572" s="782" t="s">
        <v>3651</v>
      </c>
      <c r="V572" s="797">
        <f>$S$1*P!V572</f>
        <v>6.8264000000000005E-2</v>
      </c>
      <c r="W572" s="780"/>
      <c r="X572" s="782">
        <v>568</v>
      </c>
      <c r="Y572" s="782" t="s">
        <v>2248</v>
      </c>
      <c r="Z572" s="782" t="s">
        <v>3677</v>
      </c>
      <c r="AA572" s="781">
        <f>$S$1*P!AA572</f>
        <v>0</v>
      </c>
      <c r="AB572" s="780"/>
      <c r="AC572" s="782">
        <v>568</v>
      </c>
      <c r="AD572" s="782" t="s">
        <v>4573</v>
      </c>
      <c r="AE572" s="782" t="s">
        <v>5290</v>
      </c>
      <c r="AF572" s="781">
        <f>$S$1*P!AF572</f>
        <v>2.6391129032258067E-2</v>
      </c>
    </row>
    <row r="573" spans="19:32" x14ac:dyDescent="0.35">
      <c r="S573" s="782">
        <v>569</v>
      </c>
      <c r="T573" s="782" t="s">
        <v>4284</v>
      </c>
      <c r="U573" s="782" t="s">
        <v>3649</v>
      </c>
      <c r="V573" s="797">
        <f>$S$1*P!V573</f>
        <v>0</v>
      </c>
      <c r="W573" s="780"/>
      <c r="X573" s="782">
        <v>569</v>
      </c>
      <c r="Y573" s="782" t="s">
        <v>2248</v>
      </c>
      <c r="Z573" s="782" t="s">
        <v>3677</v>
      </c>
      <c r="AA573" s="781">
        <f>$S$1*P!AA573</f>
        <v>4.318548387096775E-3</v>
      </c>
      <c r="AB573" s="780"/>
      <c r="AC573" s="782">
        <v>569</v>
      </c>
      <c r="AD573" s="782" t="s">
        <v>4573</v>
      </c>
      <c r="AE573" s="782" t="s">
        <v>5287</v>
      </c>
      <c r="AF573" s="781">
        <f>$S$1*P!AF573</f>
        <v>1.6348790322580646</v>
      </c>
    </row>
    <row r="574" spans="19:32" x14ac:dyDescent="0.35">
      <c r="S574" s="782">
        <v>570</v>
      </c>
      <c r="T574" s="782" t="s">
        <v>4284</v>
      </c>
      <c r="U574" s="782" t="s">
        <v>5321</v>
      </c>
      <c r="V574" s="797">
        <f>$S$1*P!V574</f>
        <v>1.3572580645161291E-2</v>
      </c>
      <c r="W574" s="780"/>
      <c r="X574" s="782">
        <v>570</v>
      </c>
      <c r="Y574" s="782" t="s">
        <v>2248</v>
      </c>
      <c r="Z574" s="782" t="s">
        <v>3820</v>
      </c>
      <c r="AA574" s="781">
        <f>$S$1*P!AA574</f>
        <v>1.2578629032258066E-4</v>
      </c>
      <c r="AB574" s="780"/>
      <c r="AC574" s="782">
        <v>570</v>
      </c>
      <c r="AD574" s="782" t="s">
        <v>4573</v>
      </c>
      <c r="AE574" s="782" t="s">
        <v>5283</v>
      </c>
      <c r="AF574" s="781">
        <f>$S$1*P!AF574</f>
        <v>9.2197580645161301E-2</v>
      </c>
    </row>
    <row r="575" spans="19:32" x14ac:dyDescent="0.35">
      <c r="S575" s="782">
        <v>571</v>
      </c>
      <c r="T575" s="782" t="s">
        <v>4284</v>
      </c>
      <c r="U575" s="782" t="s">
        <v>5320</v>
      </c>
      <c r="V575" s="797">
        <f>$S$1*P!V575</f>
        <v>2.1010080645161293E-2</v>
      </c>
      <c r="W575" s="780"/>
      <c r="X575" s="782">
        <v>571</v>
      </c>
      <c r="Y575" s="782" t="s">
        <v>2248</v>
      </c>
      <c r="Z575" s="782" t="s">
        <v>5380</v>
      </c>
      <c r="AA575" s="781">
        <f>$S$1*P!AA575</f>
        <v>7.2661290322580661E-5</v>
      </c>
      <c r="AB575" s="780"/>
      <c r="AC575" s="782">
        <v>571</v>
      </c>
      <c r="AD575" s="782" t="s">
        <v>4573</v>
      </c>
      <c r="AE575" s="782" t="s">
        <v>5282</v>
      </c>
      <c r="AF575" s="781">
        <f>$S$1*P!AF575</f>
        <v>6.2379032258064522E-2</v>
      </c>
    </row>
    <row r="576" spans="19:32" x14ac:dyDescent="0.35">
      <c r="S576" s="782">
        <v>572</v>
      </c>
      <c r="T576" s="782" t="s">
        <v>4284</v>
      </c>
      <c r="U576" s="782" t="s">
        <v>5319</v>
      </c>
      <c r="V576" s="797">
        <f>$S$1*P!V576</f>
        <v>1.1721774193548387E-4</v>
      </c>
      <c r="W576" s="780"/>
      <c r="X576" s="782">
        <v>572</v>
      </c>
      <c r="Y576" s="782" t="s">
        <v>2248</v>
      </c>
      <c r="Z576" s="782" t="s">
        <v>5379</v>
      </c>
      <c r="AA576" s="781">
        <f>$S$1*P!AA576</f>
        <v>5.0383064516129035E-3</v>
      </c>
      <c r="AB576" s="780"/>
      <c r="AC576" s="782">
        <v>572</v>
      </c>
      <c r="AD576" s="782" t="s">
        <v>4573</v>
      </c>
      <c r="AE576" s="782" t="s">
        <v>5281</v>
      </c>
      <c r="AF576" s="781">
        <f>$S$1*P!AF576</f>
        <v>1.6588709677419356E-3</v>
      </c>
    </row>
    <row r="577" spans="19:32" x14ac:dyDescent="0.35">
      <c r="S577" s="782">
        <v>573</v>
      </c>
      <c r="T577" s="782" t="s">
        <v>4284</v>
      </c>
      <c r="U577" s="782" t="s">
        <v>5318</v>
      </c>
      <c r="V577" s="797">
        <f>$S$1*P!V577</f>
        <v>4.1129032258064517E-2</v>
      </c>
      <c r="W577" s="780"/>
      <c r="X577" s="782">
        <v>573</v>
      </c>
      <c r="Y577" s="782" t="s">
        <v>2248</v>
      </c>
      <c r="Z577" s="782" t="s">
        <v>5378</v>
      </c>
      <c r="AA577" s="781">
        <f>$S$1*P!AA577</f>
        <v>2.4711693548387097E-3</v>
      </c>
      <c r="AB577" s="780"/>
      <c r="AC577" s="782">
        <v>573</v>
      </c>
      <c r="AD577" s="782" t="s">
        <v>4573</v>
      </c>
      <c r="AE577" s="782" t="s">
        <v>3640</v>
      </c>
      <c r="AF577" s="781">
        <f>$S$1*P!AF577</f>
        <v>0.11002016129032259</v>
      </c>
    </row>
    <row r="578" spans="19:32" x14ac:dyDescent="0.35">
      <c r="S578" s="782">
        <v>574</v>
      </c>
      <c r="T578" s="782" t="s">
        <v>4284</v>
      </c>
      <c r="U578" s="782" t="s">
        <v>5317</v>
      </c>
      <c r="V578" s="797">
        <f>$S$1*P!V578</f>
        <v>5.4838709677419356E-2</v>
      </c>
      <c r="W578" s="780"/>
      <c r="X578" s="782">
        <v>574</v>
      </c>
      <c r="Y578" s="782" t="s">
        <v>2248</v>
      </c>
      <c r="Z578" s="782" t="s">
        <v>5693</v>
      </c>
      <c r="AA578" s="781">
        <f>$S$1*P!AA578</f>
        <v>4.215725806451613E-3</v>
      </c>
      <c r="AB578" s="780"/>
      <c r="AC578" s="782">
        <v>574</v>
      </c>
      <c r="AD578" s="782" t="s">
        <v>4573</v>
      </c>
      <c r="AE578" s="782" t="s">
        <v>3640</v>
      </c>
      <c r="AF578" s="781">
        <f>$S$1*P!AF578</f>
        <v>0</v>
      </c>
    </row>
    <row r="579" spans="19:32" x14ac:dyDescent="0.35">
      <c r="S579" s="782">
        <v>575</v>
      </c>
      <c r="T579" s="782" t="s">
        <v>4284</v>
      </c>
      <c r="U579" s="782" t="s">
        <v>5316</v>
      </c>
      <c r="V579" s="797">
        <f>$S$1*P!V579</f>
        <v>2.4745967741935486E-2</v>
      </c>
      <c r="W579" s="780"/>
      <c r="X579" s="782">
        <v>575</v>
      </c>
      <c r="Y579" s="782" t="s">
        <v>2248</v>
      </c>
      <c r="Z579" s="782" t="s">
        <v>5377</v>
      </c>
      <c r="AA579" s="781">
        <f>$S$1*P!AA579</f>
        <v>2.2175403225806454E-3</v>
      </c>
      <c r="AB579" s="780"/>
      <c r="AC579" s="782">
        <v>575</v>
      </c>
      <c r="AD579" s="782" t="s">
        <v>4573</v>
      </c>
      <c r="AE579" s="782" t="s">
        <v>5280</v>
      </c>
      <c r="AF579" s="781">
        <f>$S$1*P!AF579</f>
        <v>4.0100806451612905E-4</v>
      </c>
    </row>
    <row r="580" spans="19:32" x14ac:dyDescent="0.35">
      <c r="S580" s="782">
        <v>576</v>
      </c>
      <c r="T580" s="782" t="s">
        <v>4284</v>
      </c>
      <c r="U580" s="782" t="s">
        <v>5315</v>
      </c>
      <c r="V580" s="797">
        <f>$S$1*P!V580</f>
        <v>1.9776209677419359E-3</v>
      </c>
      <c r="W580" s="780"/>
      <c r="X580" s="782">
        <v>576</v>
      </c>
      <c r="Y580" s="782" t="s">
        <v>2248</v>
      </c>
      <c r="Z580" s="782" t="s">
        <v>5376</v>
      </c>
      <c r="AA580" s="781">
        <f>$S$1*P!AA580</f>
        <v>5.4838709677419362E-5</v>
      </c>
      <c r="AB580" s="780"/>
      <c r="AC580" s="782">
        <v>576</v>
      </c>
      <c r="AD580" s="782" t="s">
        <v>4573</v>
      </c>
      <c r="AE580" s="782" t="s">
        <v>5279</v>
      </c>
      <c r="AF580" s="781">
        <f>$S$1*P!AF580</f>
        <v>2.4745967741935486E-2</v>
      </c>
    </row>
    <row r="581" spans="19:32" x14ac:dyDescent="0.35">
      <c r="S581" s="782">
        <v>577</v>
      </c>
      <c r="T581" s="782" t="s">
        <v>4284</v>
      </c>
      <c r="U581" s="782" t="s">
        <v>5314</v>
      </c>
      <c r="V581" s="797">
        <f>$S$1*P!V581</f>
        <v>2.5842741935483873E-5</v>
      </c>
      <c r="W581" s="780"/>
      <c r="X581" s="782">
        <v>577</v>
      </c>
      <c r="Y581" s="782" t="s">
        <v>2248</v>
      </c>
      <c r="Z581" s="782" t="s">
        <v>5692</v>
      </c>
      <c r="AA581" s="781">
        <f>$S$1*P!AA581</f>
        <v>8.8770161290322588E-5</v>
      </c>
      <c r="AB581" s="780"/>
      <c r="AC581" s="782">
        <v>577</v>
      </c>
      <c r="AD581" s="782" t="s">
        <v>4573</v>
      </c>
      <c r="AE581" s="782" t="s">
        <v>5278</v>
      </c>
      <c r="AF581" s="781">
        <f>$S$1*P!AF581</f>
        <v>2.2346774193548391E-3</v>
      </c>
    </row>
    <row r="582" spans="19:32" x14ac:dyDescent="0.35">
      <c r="S582" s="782">
        <v>578</v>
      </c>
      <c r="T582" s="782" t="s">
        <v>4284</v>
      </c>
      <c r="U582" s="782" t="s">
        <v>5313</v>
      </c>
      <c r="V582" s="797">
        <f>$S$1*P!V582</f>
        <v>1.1070564516129033E-2</v>
      </c>
      <c r="W582" s="780"/>
      <c r="X582" s="782">
        <v>578</v>
      </c>
      <c r="Y582" s="782" t="s">
        <v>2248</v>
      </c>
      <c r="Z582" s="782" t="s">
        <v>5375</v>
      </c>
      <c r="AA582" s="781">
        <f>$S$1*P!AA582</f>
        <v>4.9697580645161291E-6</v>
      </c>
      <c r="AB582" s="780"/>
      <c r="AC582" s="782">
        <v>578</v>
      </c>
      <c r="AD582" s="782" t="s">
        <v>4573</v>
      </c>
      <c r="AE582" s="782" t="s">
        <v>3638</v>
      </c>
      <c r="AF582" s="781">
        <f>$S$1*P!AF582</f>
        <v>39.192</v>
      </c>
    </row>
    <row r="583" spans="19:32" x14ac:dyDescent="0.35">
      <c r="S583" s="782">
        <v>579</v>
      </c>
      <c r="T583" s="782" t="s">
        <v>4284</v>
      </c>
      <c r="U583" s="782" t="s">
        <v>5312</v>
      </c>
      <c r="V583" s="797">
        <f>$S$1*P!V583</f>
        <v>2.3203629032258065E-4</v>
      </c>
      <c r="W583" s="780"/>
      <c r="X583" s="782">
        <v>579</v>
      </c>
      <c r="Y583" s="782" t="s">
        <v>2248</v>
      </c>
      <c r="Z583" s="782" t="s">
        <v>5374</v>
      </c>
      <c r="AA583" s="781">
        <f>$S$1*P!AA583</f>
        <v>0.78830645161290325</v>
      </c>
      <c r="AB583" s="780"/>
      <c r="AC583" s="782">
        <v>579</v>
      </c>
      <c r="AD583" s="782" t="s">
        <v>4573</v>
      </c>
      <c r="AE583" s="782" t="s">
        <v>5277</v>
      </c>
      <c r="AF583" s="781">
        <f>$S$1*P!AF583</f>
        <v>4.6955645161290329E-3</v>
      </c>
    </row>
    <row r="584" spans="19:32" x14ac:dyDescent="0.35">
      <c r="S584" s="782">
        <v>580</v>
      </c>
      <c r="T584" s="782" t="s">
        <v>4284</v>
      </c>
      <c r="U584" s="782" t="s">
        <v>5311</v>
      </c>
      <c r="V584" s="797">
        <f>$S$1*P!V584</f>
        <v>1.5389112903225807E-4</v>
      </c>
      <c r="W584" s="780"/>
      <c r="X584" s="782">
        <v>580</v>
      </c>
      <c r="Y584" s="782" t="s">
        <v>2248</v>
      </c>
      <c r="Z584" s="782" t="s">
        <v>5691</v>
      </c>
      <c r="AA584" s="781">
        <f>$S$1*P!AA584</f>
        <v>1.0762096774193549E-5</v>
      </c>
      <c r="AB584" s="780"/>
      <c r="AC584" s="782">
        <v>580</v>
      </c>
      <c r="AD584" s="782" t="s">
        <v>4573</v>
      </c>
      <c r="AE584" s="782" t="s">
        <v>5276</v>
      </c>
      <c r="AF584" s="781">
        <f>$S$1*P!AF584</f>
        <v>1.3538306451612905E-2</v>
      </c>
    </row>
    <row r="585" spans="19:32" x14ac:dyDescent="0.35">
      <c r="S585" s="782">
        <v>581</v>
      </c>
      <c r="T585" s="782" t="s">
        <v>4284</v>
      </c>
      <c r="U585" s="782" t="s">
        <v>5310</v>
      </c>
      <c r="V585" s="797">
        <f>$S$1*P!V585</f>
        <v>1.723991935483871E-5</v>
      </c>
      <c r="W585" s="780"/>
      <c r="X585" s="782">
        <v>581</v>
      </c>
      <c r="Y585" s="782" t="s">
        <v>2248</v>
      </c>
      <c r="Z585" s="782" t="s">
        <v>5373</v>
      </c>
      <c r="AA585" s="781">
        <f>$S$1*P!AA585</f>
        <v>4.4899193548387102E-4</v>
      </c>
      <c r="AB585" s="780"/>
      <c r="AC585" s="782">
        <v>581</v>
      </c>
      <c r="AD585" s="782" t="s">
        <v>4573</v>
      </c>
      <c r="AE585" s="782" t="s">
        <v>5275</v>
      </c>
      <c r="AF585" s="781">
        <f>$S$1*P!AF585</f>
        <v>3.9415322580645167E-4</v>
      </c>
    </row>
    <row r="586" spans="19:32" x14ac:dyDescent="0.35">
      <c r="S586" s="782">
        <v>582</v>
      </c>
      <c r="T586" s="782" t="s">
        <v>4284</v>
      </c>
      <c r="U586" s="782" t="s">
        <v>5309</v>
      </c>
      <c r="V586" s="797">
        <f>$S$1*P!V586</f>
        <v>1.076209677419355E-4</v>
      </c>
      <c r="W586" s="780"/>
      <c r="X586" s="782">
        <v>582</v>
      </c>
      <c r="Y586" s="782" t="s">
        <v>2248</v>
      </c>
      <c r="Z586" s="782" t="s">
        <v>5372</v>
      </c>
      <c r="AA586" s="781">
        <f>$S$1*P!AA586</f>
        <v>2.340927419354839E-4</v>
      </c>
      <c r="AB586" s="780"/>
      <c r="AC586" s="782">
        <v>582</v>
      </c>
      <c r="AD586" s="782" t="s">
        <v>4573</v>
      </c>
      <c r="AE586" s="782" t="s">
        <v>5274</v>
      </c>
      <c r="AF586" s="781">
        <f>$S$1*P!AF586</f>
        <v>8.0887096774193558E-4</v>
      </c>
    </row>
    <row r="587" spans="19:32" x14ac:dyDescent="0.35">
      <c r="S587" s="782">
        <v>583</v>
      </c>
      <c r="T587" s="782" t="s">
        <v>4284</v>
      </c>
      <c r="U587" s="782" t="s">
        <v>5308</v>
      </c>
      <c r="V587" s="797">
        <f>$S$1*P!V587</f>
        <v>9.8366935483870984E-3</v>
      </c>
      <c r="W587" s="780"/>
      <c r="X587" s="782">
        <v>583</v>
      </c>
      <c r="Y587" s="782" t="s">
        <v>2248</v>
      </c>
      <c r="Z587" s="782" t="s">
        <v>5371</v>
      </c>
      <c r="AA587" s="781">
        <f>$S$1*P!AA587</f>
        <v>2.4711693548387099E-2</v>
      </c>
      <c r="AB587" s="780"/>
      <c r="AC587" s="782">
        <v>583</v>
      </c>
      <c r="AD587" s="782" t="s">
        <v>4573</v>
      </c>
      <c r="AE587" s="782" t="s">
        <v>5273</v>
      </c>
      <c r="AF587" s="781">
        <f>$S$1*P!AF587</f>
        <v>6.2379032258064522E-2</v>
      </c>
    </row>
    <row r="588" spans="19:32" x14ac:dyDescent="0.35">
      <c r="S588" s="782">
        <v>584</v>
      </c>
      <c r="T588" s="782" t="s">
        <v>4284</v>
      </c>
      <c r="U588" s="782" t="s">
        <v>5307</v>
      </c>
      <c r="V588" s="797">
        <f>$S$1*P!V588</f>
        <v>4.8326612903225813E-3</v>
      </c>
      <c r="W588" s="780"/>
      <c r="X588" s="782">
        <v>584</v>
      </c>
      <c r="Y588" s="782" t="s">
        <v>2248</v>
      </c>
      <c r="Z588" s="782" t="s">
        <v>5690</v>
      </c>
      <c r="AA588" s="781">
        <f>$S$1*P!AA588</f>
        <v>1.7993951612903226E-2</v>
      </c>
      <c r="AB588" s="780"/>
      <c r="AC588" s="782">
        <v>584</v>
      </c>
      <c r="AD588" s="782" t="s">
        <v>4573</v>
      </c>
      <c r="AE588" s="782" t="s">
        <v>5272</v>
      </c>
      <c r="AF588" s="781">
        <f>$S$1*P!AF588</f>
        <v>8.6370967741935493E-4</v>
      </c>
    </row>
    <row r="589" spans="19:32" x14ac:dyDescent="0.35">
      <c r="S589" s="782">
        <v>585</v>
      </c>
      <c r="T589" s="782" t="s">
        <v>4284</v>
      </c>
      <c r="U589" s="782" t="s">
        <v>5306</v>
      </c>
      <c r="V589" s="797">
        <f>$S$1*P!V589</f>
        <v>3.8044354838709681E-3</v>
      </c>
      <c r="W589" s="780"/>
      <c r="X589" s="782">
        <v>585</v>
      </c>
      <c r="Y589" s="782" t="s">
        <v>2248</v>
      </c>
      <c r="Z589" s="782" t="s">
        <v>5370</v>
      </c>
      <c r="AA589" s="781">
        <f>$S$1*P!AA589</f>
        <v>1.6040322580645162E-3</v>
      </c>
      <c r="AB589" s="780"/>
      <c r="AC589" s="782">
        <v>585</v>
      </c>
      <c r="AD589" s="782" t="s">
        <v>4573</v>
      </c>
      <c r="AE589" s="782" t="s">
        <v>3636</v>
      </c>
      <c r="AF589" s="781">
        <f>$S$1*P!AF589</f>
        <v>1.3340000000000001E-2</v>
      </c>
    </row>
    <row r="590" spans="19:32" x14ac:dyDescent="0.35">
      <c r="S590" s="782">
        <v>586</v>
      </c>
      <c r="T590" s="782" t="s">
        <v>4284</v>
      </c>
      <c r="U590" s="782" t="s">
        <v>5305</v>
      </c>
      <c r="V590" s="797">
        <f>$S$1*P!V590</f>
        <v>1.1858870967741937E-4</v>
      </c>
      <c r="W590" s="780"/>
      <c r="X590" s="782">
        <v>586</v>
      </c>
      <c r="Y590" s="782" t="s">
        <v>2248</v>
      </c>
      <c r="Z590" s="782" t="s">
        <v>5369</v>
      </c>
      <c r="AA590" s="781">
        <f>$S$1*P!AA590</f>
        <v>3.3417338709677423E-3</v>
      </c>
      <c r="AB590" s="780"/>
      <c r="AC590" s="782">
        <v>586</v>
      </c>
      <c r="AD590" s="782" t="s">
        <v>4573</v>
      </c>
      <c r="AE590" s="782" t="s">
        <v>5271</v>
      </c>
      <c r="AF590" s="781">
        <f>$S$1*P!AF590</f>
        <v>1.4703629032258064E-3</v>
      </c>
    </row>
    <row r="591" spans="19:32" x14ac:dyDescent="0.35">
      <c r="S591" s="782">
        <v>587</v>
      </c>
      <c r="T591" s="782" t="s">
        <v>4284</v>
      </c>
      <c r="U591" s="782" t="s">
        <v>3648</v>
      </c>
      <c r="V591" s="797">
        <f>$S$1*P!V591</f>
        <v>1.6468E-2</v>
      </c>
      <c r="W591" s="780"/>
      <c r="X591" s="782">
        <v>587</v>
      </c>
      <c r="Y591" s="782" t="s">
        <v>2248</v>
      </c>
      <c r="Z591" s="782" t="s">
        <v>5689</v>
      </c>
      <c r="AA591" s="781">
        <f>$S$1*P!AA591</f>
        <v>3.4959677419354845E-5</v>
      </c>
      <c r="AB591" s="780"/>
      <c r="AC591" s="782">
        <v>587</v>
      </c>
      <c r="AD591" s="782" t="s">
        <v>4573</v>
      </c>
      <c r="AE591" s="782" t="s">
        <v>5270</v>
      </c>
      <c r="AF591" s="781">
        <f>$S$1*P!AF591</f>
        <v>6.2036290322580647E-3</v>
      </c>
    </row>
    <row r="592" spans="19:32" x14ac:dyDescent="0.35">
      <c r="S592" s="782">
        <v>588</v>
      </c>
      <c r="T592" s="782" t="s">
        <v>4284</v>
      </c>
      <c r="U592" s="782" t="s">
        <v>3645</v>
      </c>
      <c r="V592" s="797">
        <f>$S$1*P!V592</f>
        <v>0.60904000000000003</v>
      </c>
      <c r="W592" s="780"/>
      <c r="X592" s="782">
        <v>588</v>
      </c>
      <c r="Y592" s="782" t="s">
        <v>2248</v>
      </c>
      <c r="Z592" s="782" t="s">
        <v>3674</v>
      </c>
      <c r="AA592" s="781">
        <f>$S$1*P!AA592</f>
        <v>1.4536</v>
      </c>
      <c r="AB592" s="780"/>
      <c r="AC592" s="782">
        <v>588</v>
      </c>
      <c r="AD592" s="782" t="s">
        <v>4573</v>
      </c>
      <c r="AE592" s="782" t="s">
        <v>5269</v>
      </c>
      <c r="AF592" s="781">
        <f>$S$1*P!AF592</f>
        <v>4.7298387096774197E-2</v>
      </c>
    </row>
    <row r="593" spans="19:32" x14ac:dyDescent="0.35">
      <c r="S593" s="782">
        <v>589</v>
      </c>
      <c r="T593" s="782" t="s">
        <v>4284</v>
      </c>
      <c r="U593" s="782" t="s">
        <v>5304</v>
      </c>
      <c r="V593" s="797">
        <f>$S$1*P!V593</f>
        <v>1.038508064516129E-2</v>
      </c>
      <c r="W593" s="780"/>
      <c r="X593" s="782">
        <v>589</v>
      </c>
      <c r="Y593" s="782" t="s">
        <v>2248</v>
      </c>
      <c r="Z593" s="782" t="s">
        <v>5368</v>
      </c>
      <c r="AA593" s="781">
        <f>$S$1*P!AA593</f>
        <v>1.1104838709677419E-3</v>
      </c>
      <c r="AB593" s="780"/>
      <c r="AC593" s="782">
        <v>589</v>
      </c>
      <c r="AD593" s="782" t="s">
        <v>4573</v>
      </c>
      <c r="AE593" s="782" t="s">
        <v>3633</v>
      </c>
      <c r="AF593" s="781">
        <f>$S$1*P!AF593</f>
        <v>1.9707661290322582</v>
      </c>
    </row>
    <row r="594" spans="19:32" x14ac:dyDescent="0.35">
      <c r="S594" s="782">
        <v>590</v>
      </c>
      <c r="T594" s="782" t="s">
        <v>4284</v>
      </c>
      <c r="U594" s="782" t="s">
        <v>5303</v>
      </c>
      <c r="V594" s="797">
        <f>$S$1*P!V594</f>
        <v>1.9296370967741936E-4</v>
      </c>
      <c r="W594" s="780"/>
      <c r="X594" s="782">
        <v>590</v>
      </c>
      <c r="Y594" s="782" t="s">
        <v>2248</v>
      </c>
      <c r="Z594" s="782" t="s">
        <v>5688</v>
      </c>
      <c r="AA594" s="781">
        <f>$S$1*P!AA594</f>
        <v>1.6554435483870967E-5</v>
      </c>
      <c r="AB594" s="780"/>
      <c r="AC594" s="782">
        <v>590</v>
      </c>
      <c r="AD594" s="782" t="s">
        <v>4573</v>
      </c>
      <c r="AE594" s="782" t="s">
        <v>3633</v>
      </c>
      <c r="AF594" s="781">
        <f>$S$1*P!AF594</f>
        <v>0.12143999999999999</v>
      </c>
    </row>
    <row r="595" spans="19:32" x14ac:dyDescent="0.35">
      <c r="S595" s="782">
        <v>591</v>
      </c>
      <c r="T595" s="782" t="s">
        <v>4284</v>
      </c>
      <c r="U595" s="782" t="s">
        <v>5302</v>
      </c>
      <c r="V595" s="797">
        <f>$S$1*P!V595</f>
        <v>1.1104838709677422E-4</v>
      </c>
      <c r="W595" s="780"/>
      <c r="X595" s="782">
        <v>591</v>
      </c>
      <c r="Y595" s="782" t="s">
        <v>2248</v>
      </c>
      <c r="Z595" s="782" t="s">
        <v>5367</v>
      </c>
      <c r="AA595" s="781">
        <f>$S$1*P!AA595</f>
        <v>1.2715725806451614E-3</v>
      </c>
      <c r="AB595" s="780"/>
      <c r="AC595" s="782">
        <v>591</v>
      </c>
      <c r="AD595" s="782" t="s">
        <v>4573</v>
      </c>
      <c r="AE595" s="782" t="s">
        <v>5268</v>
      </c>
      <c r="AF595" s="781">
        <f>$S$1*P!AF595</f>
        <v>0.11447580645161291</v>
      </c>
    </row>
    <row r="596" spans="19:32" x14ac:dyDescent="0.35">
      <c r="S596" s="782">
        <v>592</v>
      </c>
      <c r="T596" s="782" t="s">
        <v>4284</v>
      </c>
      <c r="U596" s="782" t="s">
        <v>5301</v>
      </c>
      <c r="V596" s="797">
        <f>$S$1*P!V596</f>
        <v>1.2852822580645162E-3</v>
      </c>
      <c r="W596" s="780"/>
      <c r="X596" s="782">
        <v>592</v>
      </c>
      <c r="Y596" s="782" t="s">
        <v>2248</v>
      </c>
      <c r="Z596" s="782" t="s">
        <v>5366</v>
      </c>
      <c r="AA596" s="781">
        <f>$S$1*P!AA596</f>
        <v>0.5278225806451613</v>
      </c>
      <c r="AB596" s="780"/>
      <c r="AC596" s="782">
        <v>592</v>
      </c>
      <c r="AD596" s="782" t="s">
        <v>4573</v>
      </c>
      <c r="AE596" s="782" t="s">
        <v>5267</v>
      </c>
      <c r="AF596" s="781">
        <f>$S$1*P!AF596</f>
        <v>7.4032258064516136E-4</v>
      </c>
    </row>
    <row r="597" spans="19:32" x14ac:dyDescent="0.35">
      <c r="S597" s="782">
        <v>593</v>
      </c>
      <c r="T597" s="782" t="s">
        <v>4284</v>
      </c>
      <c r="U597" s="782" t="s">
        <v>5300</v>
      </c>
      <c r="V597" s="797">
        <f>$S$1*P!V597</f>
        <v>1.6451612903225807E-5</v>
      </c>
      <c r="W597" s="780"/>
      <c r="X597" s="782">
        <v>593</v>
      </c>
      <c r="Y597" s="782" t="s">
        <v>2248</v>
      </c>
      <c r="Z597" s="782" t="s">
        <v>5365</v>
      </c>
      <c r="AA597" s="781">
        <f>$S$1*P!AA597</f>
        <v>1.3366935483870968E-4</v>
      </c>
      <c r="AB597" s="780"/>
      <c r="AC597" s="782">
        <v>593</v>
      </c>
      <c r="AD597" s="782" t="s">
        <v>4573</v>
      </c>
      <c r="AE597" s="782" t="s">
        <v>5266</v>
      </c>
      <c r="AF597" s="781">
        <f>$S$1*P!AF597</f>
        <v>1.6760080645161291E-3</v>
      </c>
    </row>
    <row r="598" spans="19:32" x14ac:dyDescent="0.35">
      <c r="S598" s="782">
        <v>594</v>
      </c>
      <c r="T598" s="782" t="s">
        <v>4284</v>
      </c>
      <c r="U598" s="782" t="s">
        <v>5299</v>
      </c>
      <c r="V598" s="797">
        <f>$S$1*P!V598</f>
        <v>5.2782258064516138E-5</v>
      </c>
      <c r="W598" s="780"/>
      <c r="X598" s="782">
        <v>594</v>
      </c>
      <c r="Y598" s="782" t="s">
        <v>2248</v>
      </c>
      <c r="Z598" s="782" t="s">
        <v>5687</v>
      </c>
      <c r="AA598" s="781">
        <f>$S$1*P!AA598</f>
        <v>7.91733870967742E-5</v>
      </c>
      <c r="AB598" s="780"/>
      <c r="AC598" s="782">
        <v>594</v>
      </c>
      <c r="AD598" s="782" t="s">
        <v>4573</v>
      </c>
      <c r="AE598" s="782" t="s">
        <v>5265</v>
      </c>
      <c r="AF598" s="781">
        <f>$S$1*P!AF598</f>
        <v>3.3794354838709677E-2</v>
      </c>
    </row>
    <row r="599" spans="19:32" x14ac:dyDescent="0.35">
      <c r="S599" s="782">
        <v>595</v>
      </c>
      <c r="T599" s="782" t="s">
        <v>4284</v>
      </c>
      <c r="U599" s="782" t="s">
        <v>5298</v>
      </c>
      <c r="V599" s="797">
        <f>$S$1*P!V599</f>
        <v>3.4959677419354838E-6</v>
      </c>
      <c r="W599" s="780"/>
      <c r="X599" s="782">
        <v>595</v>
      </c>
      <c r="Y599" s="782" t="s">
        <v>2248</v>
      </c>
      <c r="Z599" s="782" t="s">
        <v>5364</v>
      </c>
      <c r="AA599" s="781">
        <f>$S$1*P!AA599</f>
        <v>4.0100806451612905E-4</v>
      </c>
      <c r="AB599" s="780"/>
      <c r="AC599" s="782">
        <v>595</v>
      </c>
      <c r="AD599" s="782" t="s">
        <v>4573</v>
      </c>
      <c r="AE599" s="782" t="s">
        <v>5264</v>
      </c>
      <c r="AF599" s="781">
        <f>$S$1*P!AF599</f>
        <v>1.0453629032258066E-3</v>
      </c>
    </row>
    <row r="600" spans="19:32" x14ac:dyDescent="0.35">
      <c r="S600" s="782">
        <v>596</v>
      </c>
      <c r="T600" s="782" t="s">
        <v>4284</v>
      </c>
      <c r="U600" s="782" t="s">
        <v>5297</v>
      </c>
      <c r="V600" s="797">
        <f>$S$1*P!V600</f>
        <v>8.0887096774193556E-7</v>
      </c>
      <c r="W600" s="780"/>
      <c r="X600" s="782">
        <v>596</v>
      </c>
      <c r="Y600" s="782" t="s">
        <v>2248</v>
      </c>
      <c r="Z600" s="782" t="s">
        <v>5363</v>
      </c>
      <c r="AA600" s="781">
        <f>$S$1*P!AA600</f>
        <v>2.7727822580645164E-5</v>
      </c>
      <c r="AB600" s="780"/>
      <c r="AC600" s="782">
        <v>596</v>
      </c>
      <c r="AD600" s="782" t="s">
        <v>4573</v>
      </c>
      <c r="AE600" s="782" t="s">
        <v>5263</v>
      </c>
      <c r="AF600" s="781">
        <f>$S$1*P!AF600</f>
        <v>5.106854838709678E-4</v>
      </c>
    </row>
    <row r="601" spans="19:32" x14ac:dyDescent="0.35">
      <c r="S601" s="782">
        <v>597</v>
      </c>
      <c r="T601" s="782" t="s">
        <v>4284</v>
      </c>
      <c r="U601" s="782" t="s">
        <v>5296</v>
      </c>
      <c r="V601" s="797">
        <f>$S$1*P!V601</f>
        <v>1.4635080645161291E-5</v>
      </c>
      <c r="W601" s="780"/>
      <c r="X601" s="782">
        <v>597</v>
      </c>
      <c r="Y601" s="782" t="s">
        <v>2248</v>
      </c>
      <c r="Z601" s="782" t="s">
        <v>5686</v>
      </c>
      <c r="AA601" s="781">
        <f>$S$1*P!AA601</f>
        <v>7.2661290322580661E-5</v>
      </c>
      <c r="AB601" s="780"/>
      <c r="AC601" s="782">
        <v>597</v>
      </c>
      <c r="AD601" s="782" t="s">
        <v>4573</v>
      </c>
      <c r="AE601" s="782" t="s">
        <v>5262</v>
      </c>
      <c r="AF601" s="781">
        <f>$S$1*P!AF601</f>
        <v>0.12235887096774195</v>
      </c>
    </row>
    <row r="602" spans="19:32" x14ac:dyDescent="0.35">
      <c r="S602" s="782">
        <v>598</v>
      </c>
      <c r="T602" s="782" t="s">
        <v>4284</v>
      </c>
      <c r="U602" s="782" t="s">
        <v>5295</v>
      </c>
      <c r="V602" s="797">
        <f>$S$1*P!V602</f>
        <v>8.5342741935483882E-6</v>
      </c>
      <c r="W602" s="780"/>
      <c r="X602" s="782">
        <v>598</v>
      </c>
      <c r="Y602" s="782" t="s">
        <v>2248</v>
      </c>
      <c r="Z602" s="782" t="s">
        <v>5362</v>
      </c>
      <c r="AA602" s="781">
        <f>$S$1*P!AA602</f>
        <v>1.5766129032258064E-4</v>
      </c>
      <c r="AB602" s="780"/>
      <c r="AC602" s="782">
        <v>598</v>
      </c>
      <c r="AD602" s="782" t="s">
        <v>4573</v>
      </c>
      <c r="AE602" s="782" t="s">
        <v>5261</v>
      </c>
      <c r="AF602" s="781">
        <f>$S$1*P!AF602</f>
        <v>22.483870967741936</v>
      </c>
    </row>
    <row r="603" spans="19:32" x14ac:dyDescent="0.35">
      <c r="S603" s="782">
        <v>599</v>
      </c>
      <c r="T603" s="782" t="s">
        <v>4284</v>
      </c>
      <c r="U603" s="782" t="s">
        <v>5294</v>
      </c>
      <c r="V603" s="797">
        <f>$S$1*P!V603</f>
        <v>5.9294354838709687E-4</v>
      </c>
      <c r="W603" s="780"/>
      <c r="X603" s="782">
        <v>599</v>
      </c>
      <c r="Y603" s="782" t="s">
        <v>2248</v>
      </c>
      <c r="Z603" s="782" t="s">
        <v>5360</v>
      </c>
      <c r="AA603" s="781">
        <f>$S$1*P!AA603</f>
        <v>1.569758064516129E-7</v>
      </c>
      <c r="AB603" s="780"/>
      <c r="AC603" s="782">
        <v>599</v>
      </c>
      <c r="AD603" s="782" t="s">
        <v>4573</v>
      </c>
      <c r="AE603" s="782" t="s">
        <v>3630</v>
      </c>
      <c r="AF603" s="781">
        <f>$S$1*P!AF603</f>
        <v>760.88709677419365</v>
      </c>
    </row>
    <row r="604" spans="19:32" x14ac:dyDescent="0.35">
      <c r="S604" s="782">
        <v>600</v>
      </c>
      <c r="T604" s="782" t="s">
        <v>4284</v>
      </c>
      <c r="U604" s="782" t="s">
        <v>5293</v>
      </c>
      <c r="V604" s="797">
        <f>$S$1*P!V604</f>
        <v>8.6028225806451624E-4</v>
      </c>
      <c r="W604" s="780"/>
      <c r="X604" s="782">
        <v>600</v>
      </c>
      <c r="Y604" s="782" t="s">
        <v>2248</v>
      </c>
      <c r="Z604" s="782" t="s">
        <v>5356</v>
      </c>
      <c r="AA604" s="781">
        <f>$S$1*P!AA604</f>
        <v>2.0941532258064519E-5</v>
      </c>
      <c r="AB604" s="780"/>
      <c r="AC604" s="782">
        <v>600</v>
      </c>
      <c r="AD604" s="782" t="s">
        <v>4573</v>
      </c>
      <c r="AE604" s="782" t="s">
        <v>3630</v>
      </c>
      <c r="AF604" s="781">
        <f>$S$1*P!AF604</f>
        <v>37.536000000000001</v>
      </c>
    </row>
    <row r="605" spans="19:32" x14ac:dyDescent="0.35">
      <c r="S605" s="782">
        <v>601</v>
      </c>
      <c r="T605" s="782" t="s">
        <v>4284</v>
      </c>
      <c r="U605" s="782" t="s">
        <v>5292</v>
      </c>
      <c r="V605" s="797">
        <f>$S$1*P!V605</f>
        <v>2.2072580645161294E-4</v>
      </c>
      <c r="W605" s="780"/>
      <c r="X605" s="782">
        <v>601</v>
      </c>
      <c r="Y605" s="782" t="s">
        <v>2248</v>
      </c>
      <c r="Z605" s="782" t="s">
        <v>5685</v>
      </c>
      <c r="AA605" s="781">
        <f>$S$1*P!AA605</f>
        <v>9.8366935483870977E-5</v>
      </c>
      <c r="AB605" s="780"/>
      <c r="AC605" s="782">
        <v>601</v>
      </c>
      <c r="AD605" s="782" t="s">
        <v>4573</v>
      </c>
      <c r="AE605" s="782" t="s">
        <v>5260</v>
      </c>
      <c r="AF605" s="781">
        <f>$S$1*P!AF605</f>
        <v>5.8266129032258069</v>
      </c>
    </row>
    <row r="606" spans="19:32" x14ac:dyDescent="0.35">
      <c r="S606" s="782">
        <v>602</v>
      </c>
      <c r="T606" s="782" t="s">
        <v>4284</v>
      </c>
      <c r="U606" s="782" t="s">
        <v>3643</v>
      </c>
      <c r="V606" s="797">
        <f>$S$1*P!V606</f>
        <v>3.4034274193548386E-5</v>
      </c>
      <c r="W606" s="780"/>
      <c r="X606" s="782">
        <v>602</v>
      </c>
      <c r="Y606" s="782" t="s">
        <v>2248</v>
      </c>
      <c r="Z606" s="782" t="s">
        <v>5354</v>
      </c>
      <c r="AA606" s="781">
        <f>$S$1*P!AA606</f>
        <v>2.3683467741935485E-5</v>
      </c>
      <c r="AB606" s="780"/>
      <c r="AC606" s="782">
        <v>602</v>
      </c>
      <c r="AD606" s="782" t="s">
        <v>4573</v>
      </c>
      <c r="AE606" s="782" t="s">
        <v>5259</v>
      </c>
      <c r="AF606" s="781">
        <f>$S$1*P!AF606</f>
        <v>6.5120967741935487E-2</v>
      </c>
    </row>
    <row r="607" spans="19:32" x14ac:dyDescent="0.35">
      <c r="S607" s="782">
        <v>603</v>
      </c>
      <c r="T607" s="782" t="s">
        <v>4284</v>
      </c>
      <c r="U607" s="782" t="s">
        <v>3643</v>
      </c>
      <c r="V607" s="797">
        <f>$S$1*P!V607</f>
        <v>0</v>
      </c>
      <c r="W607" s="780"/>
      <c r="X607" s="782">
        <v>603</v>
      </c>
      <c r="Y607" s="782" t="s">
        <v>2248</v>
      </c>
      <c r="Z607" s="782" t="s">
        <v>5684</v>
      </c>
      <c r="AA607" s="781">
        <f>$S$1*P!AA607</f>
        <v>6.5806451612903229E-5</v>
      </c>
      <c r="AB607" s="780"/>
      <c r="AC607" s="782">
        <v>603</v>
      </c>
      <c r="AD607" s="782" t="s">
        <v>4573</v>
      </c>
      <c r="AE607" s="782" t="s">
        <v>5258</v>
      </c>
      <c r="AF607" s="781">
        <f>$S$1*P!AF607</f>
        <v>1.9879032258064517E-3</v>
      </c>
    </row>
    <row r="608" spans="19:32" x14ac:dyDescent="0.35">
      <c r="S608" s="782">
        <v>604</v>
      </c>
      <c r="T608" s="782" t="s">
        <v>4284</v>
      </c>
      <c r="U608" s="782" t="s">
        <v>5291</v>
      </c>
      <c r="V608" s="797">
        <f>$S$1*P!V608</f>
        <v>1.8336693548387097E-4</v>
      </c>
      <c r="W608" s="780"/>
      <c r="X608" s="782">
        <v>604</v>
      </c>
      <c r="Y608" s="782" t="s">
        <v>2248</v>
      </c>
      <c r="Z608" s="782" t="s">
        <v>5353</v>
      </c>
      <c r="AA608" s="781">
        <f>$S$1*P!AA608</f>
        <v>4.2500000000000003E-4</v>
      </c>
      <c r="AB608" s="780"/>
      <c r="AC608" s="782">
        <v>604</v>
      </c>
      <c r="AD608" s="782" t="s">
        <v>4573</v>
      </c>
      <c r="AE608" s="782" t="s">
        <v>3627</v>
      </c>
      <c r="AF608" s="781">
        <f>$S$1*P!AF608</f>
        <v>63.756</v>
      </c>
    </row>
    <row r="609" spans="19:32" x14ac:dyDescent="0.35">
      <c r="S609" s="782">
        <v>605</v>
      </c>
      <c r="T609" s="782" t="s">
        <v>4284</v>
      </c>
      <c r="U609" s="782" t="s">
        <v>5290</v>
      </c>
      <c r="V609" s="797">
        <f>$S$1*P!V609</f>
        <v>1.0145161290322582E-3</v>
      </c>
      <c r="W609" s="872"/>
      <c r="X609" s="782">
        <v>605</v>
      </c>
      <c r="Y609" s="782" t="s">
        <v>2248</v>
      </c>
      <c r="Z609" s="782" t="s">
        <v>5352</v>
      </c>
      <c r="AA609" s="781">
        <f>$S$1*P!AA609</f>
        <v>2.5568548387096778E-4</v>
      </c>
      <c r="AB609" s="780"/>
      <c r="AC609" s="782">
        <v>605</v>
      </c>
      <c r="AD609" s="782" t="s">
        <v>4573</v>
      </c>
      <c r="AE609" s="782" t="s">
        <v>5257</v>
      </c>
      <c r="AF609" s="781">
        <f>$S$1*P!AF609</f>
        <v>6.6834677419354838E-2</v>
      </c>
    </row>
    <row r="610" spans="19:32" x14ac:dyDescent="0.35">
      <c r="S610" s="782">
        <v>606</v>
      </c>
      <c r="T610" s="782" t="s">
        <v>4284</v>
      </c>
      <c r="U610" s="782" t="s">
        <v>5287</v>
      </c>
      <c r="V610" s="797">
        <f>$S$1*P!V610</f>
        <v>2.2346774193548389E-2</v>
      </c>
      <c r="W610" s="780"/>
      <c r="X610" s="782">
        <v>606</v>
      </c>
      <c r="Y610" s="782" t="s">
        <v>2248</v>
      </c>
      <c r="Z610" s="782" t="s">
        <v>5683</v>
      </c>
      <c r="AA610" s="781">
        <f>$S$1*P!AA610</f>
        <v>3.7701612903225815E-5</v>
      </c>
      <c r="AB610" s="780"/>
      <c r="AC610" s="782">
        <v>606</v>
      </c>
      <c r="AD610" s="782" t="s">
        <v>4573</v>
      </c>
      <c r="AE610" s="782" t="s">
        <v>5256</v>
      </c>
      <c r="AF610" s="781">
        <f>$S$1*P!AF610</f>
        <v>2.57741935483871E-2</v>
      </c>
    </row>
    <row r="611" spans="19:32" x14ac:dyDescent="0.35">
      <c r="S611" s="782">
        <v>607</v>
      </c>
      <c r="T611" s="782" t="s">
        <v>4284</v>
      </c>
      <c r="U611" s="782" t="s">
        <v>5283</v>
      </c>
      <c r="V611" s="797">
        <f>$S$1*P!V611</f>
        <v>3.9415322580645161E-3</v>
      </c>
      <c r="W611" s="780"/>
      <c r="X611" s="782">
        <v>607</v>
      </c>
      <c r="Y611" s="782" t="s">
        <v>2248</v>
      </c>
      <c r="Z611" s="782" t="s">
        <v>3671</v>
      </c>
      <c r="AA611" s="781">
        <f>$S$1*P!AA611</f>
        <v>1.1132E-3</v>
      </c>
      <c r="AB611" s="780"/>
      <c r="AC611" s="782">
        <v>607</v>
      </c>
      <c r="AD611" s="782" t="s">
        <v>4573</v>
      </c>
      <c r="AE611" s="782" t="s">
        <v>5255</v>
      </c>
      <c r="AF611" s="781">
        <f>$S$1*P!AF611</f>
        <v>1.1550403225806453E-3</v>
      </c>
    </row>
    <row r="612" spans="19:32" x14ac:dyDescent="0.35">
      <c r="S612" s="782">
        <v>608</v>
      </c>
      <c r="T612" s="782" t="s">
        <v>4284</v>
      </c>
      <c r="U612" s="782" t="s">
        <v>5282</v>
      </c>
      <c r="V612" s="797">
        <f>$S$1*P!V612</f>
        <v>9.6995967741935493E-4</v>
      </c>
      <c r="W612" s="780"/>
      <c r="X612" s="782">
        <v>608</v>
      </c>
      <c r="Y612" s="782" t="s">
        <v>2248</v>
      </c>
      <c r="Z612" s="782" t="s">
        <v>3671</v>
      </c>
      <c r="AA612" s="781">
        <f>$S$1*P!AA612</f>
        <v>5.5181451612903239E-4</v>
      </c>
      <c r="AB612" s="780"/>
      <c r="AC612" s="782">
        <v>608</v>
      </c>
      <c r="AD612" s="782" t="s">
        <v>4573</v>
      </c>
      <c r="AE612" s="782" t="s">
        <v>5254</v>
      </c>
      <c r="AF612" s="781">
        <f>$S$1*P!AF612</f>
        <v>5.175403225806452E-2</v>
      </c>
    </row>
    <row r="613" spans="19:32" x14ac:dyDescent="0.35">
      <c r="S613" s="782">
        <v>609</v>
      </c>
      <c r="T613" s="782" t="s">
        <v>4284</v>
      </c>
      <c r="U613" s="782" t="s">
        <v>5281</v>
      </c>
      <c r="V613" s="797">
        <f>$S$1*P!V613</f>
        <v>1.8610887096774195E-4</v>
      </c>
      <c r="W613" s="780"/>
      <c r="X613" s="782">
        <v>609</v>
      </c>
      <c r="Y613" s="782" t="s">
        <v>2248</v>
      </c>
      <c r="Z613" s="782" t="s">
        <v>5351</v>
      </c>
      <c r="AA613" s="781">
        <f>$S$1*P!AA613</f>
        <v>4.9697580645161293E-4</v>
      </c>
      <c r="AB613" s="780"/>
      <c r="AC613" s="782">
        <v>609</v>
      </c>
      <c r="AD613" s="782" t="s">
        <v>4573</v>
      </c>
      <c r="AE613" s="782" t="s">
        <v>5253</v>
      </c>
      <c r="AF613" s="781">
        <f>$S$1*P!AF613</f>
        <v>0.12955645161290325</v>
      </c>
    </row>
    <row r="614" spans="19:32" x14ac:dyDescent="0.35">
      <c r="S614" s="782">
        <v>610</v>
      </c>
      <c r="T614" s="782" t="s">
        <v>4284</v>
      </c>
      <c r="U614" s="782" t="s">
        <v>3640</v>
      </c>
      <c r="V614" s="797">
        <f>$S$1*P!V614</f>
        <v>1.4052419354838711E-3</v>
      </c>
      <c r="W614" s="780"/>
      <c r="X614" s="782">
        <v>610</v>
      </c>
      <c r="Y614" s="782" t="s">
        <v>2248</v>
      </c>
      <c r="Z614" s="782" t="s">
        <v>5682</v>
      </c>
      <c r="AA614" s="781">
        <f>$S$1*P!AA614</f>
        <v>3.2354838709677422E-5</v>
      </c>
      <c r="AB614" s="780"/>
      <c r="AC614" s="782">
        <v>610</v>
      </c>
      <c r="AD614" s="782" t="s">
        <v>4573</v>
      </c>
      <c r="AE614" s="782" t="s">
        <v>5252</v>
      </c>
      <c r="AF614" s="781">
        <f>$S$1*P!AF614</f>
        <v>9.5282258064516138E-4</v>
      </c>
    </row>
    <row r="615" spans="19:32" x14ac:dyDescent="0.35">
      <c r="S615" s="782">
        <v>611</v>
      </c>
      <c r="T615" s="782" t="s">
        <v>4284</v>
      </c>
      <c r="U615" s="782" t="s">
        <v>3640</v>
      </c>
      <c r="V615" s="797">
        <f>$S$1*P!V615</f>
        <v>0</v>
      </c>
      <c r="W615" s="780"/>
      <c r="X615" s="782">
        <v>611</v>
      </c>
      <c r="Y615" s="782" t="s">
        <v>2248</v>
      </c>
      <c r="Z615" s="782" t="s">
        <v>3668</v>
      </c>
      <c r="AA615" s="781">
        <f>$S$1*P!AA615</f>
        <v>0</v>
      </c>
      <c r="AB615" s="780"/>
      <c r="AC615" s="782">
        <v>611</v>
      </c>
      <c r="AD615" s="782" t="s">
        <v>4573</v>
      </c>
      <c r="AE615" s="782" t="s">
        <v>5251</v>
      </c>
      <c r="AF615" s="781">
        <f>$S$1*P!AF615</f>
        <v>3.5302419354838713E-4</v>
      </c>
    </row>
    <row r="616" spans="19:32" x14ac:dyDescent="0.35">
      <c r="S616" s="782">
        <v>612</v>
      </c>
      <c r="T616" s="782" t="s">
        <v>4284</v>
      </c>
      <c r="U616" s="782" t="s">
        <v>5280</v>
      </c>
      <c r="V616" s="797">
        <f>$S$1*P!V616</f>
        <v>1.086491935483871E-5</v>
      </c>
      <c r="W616" s="780"/>
      <c r="X616" s="782">
        <v>612</v>
      </c>
      <c r="Y616" s="782" t="s">
        <v>2248</v>
      </c>
      <c r="Z616" s="782" t="s">
        <v>3668</v>
      </c>
      <c r="AA616" s="781">
        <f>$S$1*P!AA616</f>
        <v>1.936491935483871E-5</v>
      </c>
      <c r="AB616" s="780"/>
      <c r="AC616" s="782">
        <v>612</v>
      </c>
      <c r="AD616" s="782" t="s">
        <v>4573</v>
      </c>
      <c r="AE616" s="782" t="s">
        <v>5249</v>
      </c>
      <c r="AF616" s="781">
        <f>$S$1*P!AF616</f>
        <v>2.1489919354838709E-4</v>
      </c>
    </row>
    <row r="617" spans="19:32" x14ac:dyDescent="0.35">
      <c r="S617" s="782">
        <v>613</v>
      </c>
      <c r="T617" s="782" t="s">
        <v>4284</v>
      </c>
      <c r="U617" s="782" t="s">
        <v>5279</v>
      </c>
      <c r="V617" s="797">
        <f>$S$1*P!V617</f>
        <v>6.2036290322580647E-3</v>
      </c>
      <c r="W617" s="780"/>
      <c r="X617" s="782">
        <v>613</v>
      </c>
      <c r="Y617" s="782" t="s">
        <v>2248</v>
      </c>
      <c r="Z617" s="782" t="s">
        <v>5681</v>
      </c>
      <c r="AA617" s="781">
        <f>$S$1*P!AA617</f>
        <v>0.12544354838709679</v>
      </c>
      <c r="AB617" s="780"/>
      <c r="AC617" s="782">
        <v>613</v>
      </c>
      <c r="AD617" s="782" t="s">
        <v>4573</v>
      </c>
      <c r="AE617" s="782" t="s">
        <v>5248</v>
      </c>
      <c r="AF617" s="781">
        <f>$S$1*P!AF617</f>
        <v>0.10933467741935485</v>
      </c>
    </row>
    <row r="618" spans="19:32" x14ac:dyDescent="0.35">
      <c r="S618" s="782">
        <v>614</v>
      </c>
      <c r="T618" s="782" t="s">
        <v>4284</v>
      </c>
      <c r="U618" s="782" t="s">
        <v>5278</v>
      </c>
      <c r="V618" s="797">
        <f>$S$1*P!V618</f>
        <v>3.5645161290322587E-4</v>
      </c>
      <c r="W618" s="780"/>
      <c r="X618" s="782">
        <v>614</v>
      </c>
      <c r="Y618" s="782" t="s">
        <v>2248</v>
      </c>
      <c r="Z618" s="782" t="s">
        <v>5350</v>
      </c>
      <c r="AA618" s="781">
        <f>$S$1*P!AA618</f>
        <v>6.9576612903225811E-7</v>
      </c>
      <c r="AB618" s="780"/>
      <c r="AC618" s="782">
        <v>614</v>
      </c>
      <c r="AD618" s="782" t="s">
        <v>4573</v>
      </c>
      <c r="AE618" s="782" t="s">
        <v>5247</v>
      </c>
      <c r="AF618" s="781">
        <f>$S$1*P!AF618</f>
        <v>1.2304435483870969E-3</v>
      </c>
    </row>
    <row r="619" spans="19:32" x14ac:dyDescent="0.35">
      <c r="S619" s="782">
        <v>615</v>
      </c>
      <c r="T619" s="782" t="s">
        <v>4284</v>
      </c>
      <c r="U619" s="782" t="s">
        <v>3638</v>
      </c>
      <c r="V619" s="797">
        <f>$S$1*P!V619</f>
        <v>5.0324</v>
      </c>
      <c r="W619" s="780"/>
      <c r="X619" s="782">
        <v>615</v>
      </c>
      <c r="Y619" s="782" t="s">
        <v>2248</v>
      </c>
      <c r="Z619" s="782" t="s">
        <v>5349</v>
      </c>
      <c r="AA619" s="781">
        <f>$S$1*P!AA619</f>
        <v>3.9415322580645161E-3</v>
      </c>
      <c r="AB619" s="780"/>
      <c r="AC619" s="782">
        <v>615</v>
      </c>
      <c r="AD619" s="782" t="s">
        <v>4573</v>
      </c>
      <c r="AE619" s="782" t="s">
        <v>5245</v>
      </c>
      <c r="AF619" s="781">
        <f>$S$1*P!AF619</f>
        <v>2.6939516129032261E-2</v>
      </c>
    </row>
    <row r="620" spans="19:32" x14ac:dyDescent="0.35">
      <c r="S620" s="782">
        <v>616</v>
      </c>
      <c r="T620" s="782" t="s">
        <v>4284</v>
      </c>
      <c r="U620" s="782" t="s">
        <v>5277</v>
      </c>
      <c r="V620" s="797">
        <f>$S$1*P!V620</f>
        <v>1.8233870967741938E-5</v>
      </c>
      <c r="W620" s="780"/>
      <c r="X620" s="782">
        <v>616</v>
      </c>
      <c r="Y620" s="782" t="s">
        <v>2248</v>
      </c>
      <c r="Z620" s="782" t="s">
        <v>3808</v>
      </c>
      <c r="AA620" s="781">
        <f>$S$1*P!AA620</f>
        <v>3.4205645161290325E-4</v>
      </c>
      <c r="AB620" s="780"/>
      <c r="AC620" s="782">
        <v>616</v>
      </c>
      <c r="AD620" s="782" t="s">
        <v>4573</v>
      </c>
      <c r="AE620" s="782" t="s">
        <v>5243</v>
      </c>
      <c r="AF620" s="781">
        <f>$S$1*P!AF620</f>
        <v>25.7741935483871</v>
      </c>
    </row>
    <row r="621" spans="19:32" x14ac:dyDescent="0.35">
      <c r="S621" s="782">
        <v>617</v>
      </c>
      <c r="T621" s="782" t="s">
        <v>4284</v>
      </c>
      <c r="U621" s="782" t="s">
        <v>5276</v>
      </c>
      <c r="V621" s="797">
        <f>$S$1*P!V621</f>
        <v>4.7983870967741938E-4</v>
      </c>
      <c r="W621" s="873"/>
      <c r="X621" s="782">
        <v>617</v>
      </c>
      <c r="Y621" s="782" t="s">
        <v>2248</v>
      </c>
      <c r="Z621" s="782" t="s">
        <v>3665</v>
      </c>
      <c r="AA621" s="781">
        <f>$S$1*P!AA621</f>
        <v>0.82340000000000002</v>
      </c>
      <c r="AB621" s="780"/>
      <c r="AC621" s="782">
        <v>617</v>
      </c>
      <c r="AD621" s="782" t="s">
        <v>4573</v>
      </c>
      <c r="AE621" s="782" t="s">
        <v>5242</v>
      </c>
      <c r="AF621" s="781">
        <f>$S$1*P!AF621</f>
        <v>2.0290322580645163E-4</v>
      </c>
    </row>
    <row r="622" spans="19:32" x14ac:dyDescent="0.35">
      <c r="S622" s="782">
        <v>618</v>
      </c>
      <c r="T622" s="782" t="s">
        <v>4284</v>
      </c>
      <c r="U622" s="782" t="s">
        <v>5275</v>
      </c>
      <c r="V622" s="797">
        <f>$S$1*P!V622</f>
        <v>2.4985887096774198E-6</v>
      </c>
      <c r="W622" s="780"/>
      <c r="X622" s="782">
        <v>618</v>
      </c>
      <c r="Y622" s="782" t="s">
        <v>2248</v>
      </c>
      <c r="Z622" s="782" t="s">
        <v>3665</v>
      </c>
      <c r="AA622" s="781">
        <f>$S$1*P!AA622</f>
        <v>2.114717741935484E-4</v>
      </c>
      <c r="AB622" s="780"/>
      <c r="AC622" s="782">
        <v>618</v>
      </c>
      <c r="AD622" s="782" t="s">
        <v>4573</v>
      </c>
      <c r="AE622" s="782" t="s">
        <v>5241</v>
      </c>
      <c r="AF622" s="781">
        <f>$S$1*P!AF622</f>
        <v>2.6973790322580649E-3</v>
      </c>
    </row>
    <row r="623" spans="19:32" x14ac:dyDescent="0.35">
      <c r="S623" s="861">
        <v>619</v>
      </c>
      <c r="T623" s="861" t="s">
        <v>4284</v>
      </c>
      <c r="U623" s="861" t="s">
        <v>5680</v>
      </c>
      <c r="V623" s="862">
        <f>$S$1*P!V623</f>
        <v>5.4034999999999993</v>
      </c>
      <c r="W623" s="780"/>
      <c r="X623" s="782">
        <v>619</v>
      </c>
      <c r="Y623" s="782" t="s">
        <v>2248</v>
      </c>
      <c r="Z623" s="782" t="s">
        <v>5679</v>
      </c>
      <c r="AA623" s="781">
        <f>$S$1*P!AA623</f>
        <v>2.3546370967741939E-4</v>
      </c>
      <c r="AB623" s="780"/>
      <c r="AC623" s="782">
        <v>619</v>
      </c>
      <c r="AD623" s="782" t="s">
        <v>4573</v>
      </c>
      <c r="AE623" s="782" t="s">
        <v>5240</v>
      </c>
      <c r="AF623" s="781">
        <f>$S$1*P!AF623</f>
        <v>2.7590725806451614E-2</v>
      </c>
    </row>
    <row r="624" spans="19:32" x14ac:dyDescent="0.35">
      <c r="S624" s="782">
        <v>620</v>
      </c>
      <c r="T624" s="782" t="s">
        <v>4284</v>
      </c>
      <c r="U624" s="782" t="s">
        <v>5274</v>
      </c>
      <c r="V624" s="797">
        <f>$S$1*P!V624</f>
        <v>1.4669354838709677E-6</v>
      </c>
      <c r="W624" s="780"/>
      <c r="X624" s="782">
        <v>620</v>
      </c>
      <c r="Y624" s="782" t="s">
        <v>2248</v>
      </c>
      <c r="Z624" s="782" t="s">
        <v>5348</v>
      </c>
      <c r="AA624" s="781">
        <f>$S$1*P!AA624</f>
        <v>1.9673387096774195E-4</v>
      </c>
      <c r="AB624" s="780"/>
      <c r="AC624" s="782">
        <v>620</v>
      </c>
      <c r="AD624" s="782" t="s">
        <v>4573</v>
      </c>
      <c r="AE624" s="782" t="s">
        <v>5239</v>
      </c>
      <c r="AF624" s="781">
        <f>$S$1*P!AF624</f>
        <v>4.181451612903226E-4</v>
      </c>
    </row>
    <row r="625" spans="19:32" x14ac:dyDescent="0.35">
      <c r="S625" s="782">
        <v>621</v>
      </c>
      <c r="T625" s="782" t="s">
        <v>4284</v>
      </c>
      <c r="U625" s="782" t="s">
        <v>5273</v>
      </c>
      <c r="V625" s="797">
        <f>$S$1*P!V625</f>
        <v>1.0762096774193548E-3</v>
      </c>
      <c r="W625" s="823"/>
      <c r="X625" s="782">
        <v>621</v>
      </c>
      <c r="Y625" s="782" t="s">
        <v>2248</v>
      </c>
      <c r="Z625" s="782" t="s">
        <v>3663</v>
      </c>
      <c r="AA625" s="781">
        <f>$S$1*P!AA625</f>
        <v>0</v>
      </c>
      <c r="AB625" s="780"/>
      <c r="AC625" s="782">
        <v>621</v>
      </c>
      <c r="AD625" s="782" t="s">
        <v>4573</v>
      </c>
      <c r="AE625" s="782" t="s">
        <v>5238</v>
      </c>
      <c r="AF625" s="781">
        <f>$S$1*P!AF625</f>
        <v>0.70947580645161301</v>
      </c>
    </row>
    <row r="626" spans="19:32" x14ac:dyDescent="0.35">
      <c r="S626" s="782">
        <v>622</v>
      </c>
      <c r="T626" s="782" t="s">
        <v>4284</v>
      </c>
      <c r="U626" s="782" t="s">
        <v>5272</v>
      </c>
      <c r="V626" s="797">
        <f>$S$1*P!V626</f>
        <v>1.3024193548387098E-5</v>
      </c>
      <c r="W626" s="793"/>
      <c r="X626" s="782">
        <v>622</v>
      </c>
      <c r="Y626" s="782" t="s">
        <v>2248</v>
      </c>
      <c r="Z626" s="782" t="s">
        <v>5347</v>
      </c>
      <c r="AA626" s="781">
        <f>$S$1*P!AA626</f>
        <v>5.2439516129032265E-5</v>
      </c>
      <c r="AB626" s="780"/>
      <c r="AC626" s="782">
        <v>622</v>
      </c>
      <c r="AD626" s="782" t="s">
        <v>4573</v>
      </c>
      <c r="AE626" s="782" t="s">
        <v>3626</v>
      </c>
      <c r="AF626" s="781">
        <f>$S$1*P!AF626</f>
        <v>1186.8</v>
      </c>
    </row>
    <row r="627" spans="19:32" x14ac:dyDescent="0.35">
      <c r="S627" s="782">
        <v>623</v>
      </c>
      <c r="T627" s="782" t="s">
        <v>4284</v>
      </c>
      <c r="U627" s="782" t="s">
        <v>3636</v>
      </c>
      <c r="V627" s="797">
        <f>$S$1*P!V627</f>
        <v>1.8031999999999999E-2</v>
      </c>
      <c r="W627" s="780"/>
      <c r="X627" s="782">
        <v>623</v>
      </c>
      <c r="Y627" s="782" t="s">
        <v>2248</v>
      </c>
      <c r="Z627" s="782" t="s">
        <v>5678</v>
      </c>
      <c r="AA627" s="781">
        <f>$S$1*P!AA627</f>
        <v>4.3185483870967746E-4</v>
      </c>
      <c r="AB627" s="780"/>
      <c r="AC627" s="782">
        <v>623</v>
      </c>
      <c r="AD627" s="782" t="s">
        <v>4573</v>
      </c>
      <c r="AE627" s="782" t="s">
        <v>5237</v>
      </c>
      <c r="AF627" s="781">
        <f>$S$1*P!AF627</f>
        <v>2.2792338709677422E-3</v>
      </c>
    </row>
    <row r="628" spans="19:32" x14ac:dyDescent="0.35">
      <c r="S628" s="782">
        <v>624</v>
      </c>
      <c r="T628" s="782" t="s">
        <v>4284</v>
      </c>
      <c r="U628" s="782" t="s">
        <v>5271</v>
      </c>
      <c r="V628" s="797">
        <f>$S$1*P!V628</f>
        <v>1.2715725806451613E-4</v>
      </c>
      <c r="W628" s="780"/>
      <c r="X628" s="782">
        <v>624</v>
      </c>
      <c r="Y628" s="782" t="s">
        <v>2248</v>
      </c>
      <c r="Z628" s="782" t="s">
        <v>5346</v>
      </c>
      <c r="AA628" s="781">
        <f>$S$1*P!AA628</f>
        <v>1.0590725806451613E-4</v>
      </c>
      <c r="AB628" s="780"/>
      <c r="AC628" s="782">
        <v>624</v>
      </c>
      <c r="AD628" s="782" t="s">
        <v>4573</v>
      </c>
      <c r="AE628" s="782" t="s">
        <v>5235</v>
      </c>
      <c r="AF628" s="781">
        <f>$S$1*P!AF628</f>
        <v>5.8951612903225814E-2</v>
      </c>
    </row>
    <row r="629" spans="19:32" x14ac:dyDescent="0.35">
      <c r="S629" s="782">
        <v>625</v>
      </c>
      <c r="T629" s="782" t="s">
        <v>4284</v>
      </c>
      <c r="U629" s="782" t="s">
        <v>5270</v>
      </c>
      <c r="V629" s="797">
        <f>$S$1*P!V629</f>
        <v>8.9112903225806468E-5</v>
      </c>
      <c r="W629" s="780"/>
      <c r="X629" s="782">
        <v>625</v>
      </c>
      <c r="Y629" s="782" t="s">
        <v>2248</v>
      </c>
      <c r="Z629" s="782" t="s">
        <v>5345</v>
      </c>
      <c r="AA629" s="781">
        <f>$S$1*P!AA629</f>
        <v>7.8145161290322585E-4</v>
      </c>
      <c r="AB629" s="780"/>
      <c r="AC629" s="782">
        <v>625</v>
      </c>
      <c r="AD629" s="782" t="s">
        <v>4573</v>
      </c>
      <c r="AE629" s="782" t="s">
        <v>3623</v>
      </c>
      <c r="AF629" s="781">
        <f>$S$1*P!AF629</f>
        <v>0</v>
      </c>
    </row>
    <row r="630" spans="19:32" x14ac:dyDescent="0.35">
      <c r="S630" s="782">
        <v>626</v>
      </c>
      <c r="T630" s="782" t="s">
        <v>4284</v>
      </c>
      <c r="U630" s="782" t="s">
        <v>5269</v>
      </c>
      <c r="V630" s="797">
        <f>$S$1*P!V630</f>
        <v>1.0453629032258066E-3</v>
      </c>
      <c r="W630" s="780"/>
      <c r="X630" s="782">
        <v>626</v>
      </c>
      <c r="Y630" s="782" t="s">
        <v>2248</v>
      </c>
      <c r="Z630" s="782" t="s">
        <v>5677</v>
      </c>
      <c r="AA630" s="781">
        <f>$S$1*P!AA630</f>
        <v>1.0350806451612903E-3</v>
      </c>
      <c r="AB630" s="780"/>
      <c r="AC630" s="782">
        <v>626</v>
      </c>
      <c r="AD630" s="782" t="s">
        <v>4573</v>
      </c>
      <c r="AE630" s="782" t="s">
        <v>5234</v>
      </c>
      <c r="AF630" s="781">
        <f>$S$1*P!AF630</f>
        <v>9.7338709677419356E-3</v>
      </c>
    </row>
    <row r="631" spans="19:32" x14ac:dyDescent="0.35">
      <c r="S631" s="782">
        <v>627</v>
      </c>
      <c r="T631" s="782" t="s">
        <v>4284</v>
      </c>
      <c r="U631" s="782" t="s">
        <v>3633</v>
      </c>
      <c r="V631" s="797">
        <f>$S$1*P!V631</f>
        <v>2.2997983870967744E-3</v>
      </c>
      <c r="W631" s="780"/>
      <c r="X631" s="782">
        <v>627</v>
      </c>
      <c r="Y631" s="782" t="s">
        <v>2248</v>
      </c>
      <c r="Z631" s="782" t="s">
        <v>5344</v>
      </c>
      <c r="AA631" s="781">
        <f>$S$1*P!AA631</f>
        <v>9.3911290322580656E-6</v>
      </c>
      <c r="AB631" s="780"/>
      <c r="AC631" s="782">
        <v>627</v>
      </c>
      <c r="AD631" s="782" t="s">
        <v>4573</v>
      </c>
      <c r="AE631" s="782" t="s">
        <v>3621</v>
      </c>
      <c r="AF631" s="781">
        <f>$S$1*P!AF631</f>
        <v>20.700000000000003</v>
      </c>
    </row>
    <row r="632" spans="19:32" x14ac:dyDescent="0.35">
      <c r="S632" s="782">
        <v>628</v>
      </c>
      <c r="T632" s="782" t="s">
        <v>4284</v>
      </c>
      <c r="U632" s="782" t="s">
        <v>3633</v>
      </c>
      <c r="V632" s="797">
        <f>$S$1*P!V632</f>
        <v>0.1288</v>
      </c>
      <c r="W632" s="780"/>
      <c r="X632" s="782">
        <v>628</v>
      </c>
      <c r="Y632" s="782" t="s">
        <v>2248</v>
      </c>
      <c r="Z632" s="782" t="s">
        <v>3661</v>
      </c>
      <c r="AA632" s="781">
        <f>$S$1*P!AA632</f>
        <v>0</v>
      </c>
      <c r="AB632" s="780"/>
      <c r="AC632" s="782">
        <v>628</v>
      </c>
      <c r="AD632" s="782" t="s">
        <v>4573</v>
      </c>
      <c r="AE632" s="782" t="s">
        <v>3618</v>
      </c>
      <c r="AF632" s="781">
        <f>$S$1*P!AF632</f>
        <v>7.2680000000000007</v>
      </c>
    </row>
    <row r="633" spans="19:32" x14ac:dyDescent="0.35">
      <c r="S633" s="782">
        <v>629</v>
      </c>
      <c r="T633" s="782" t="s">
        <v>4284</v>
      </c>
      <c r="U633" s="782" t="s">
        <v>5268</v>
      </c>
      <c r="V633" s="797">
        <f>$S$1*P!V633</f>
        <v>1.8165322580645162E-3</v>
      </c>
      <c r="W633" s="780"/>
      <c r="X633" s="782">
        <v>629</v>
      </c>
      <c r="Y633" s="782" t="s">
        <v>2248</v>
      </c>
      <c r="Z633" s="782" t="s">
        <v>5343</v>
      </c>
      <c r="AA633" s="781">
        <f>$S$1*P!AA633</f>
        <v>2.3854838709677418E-3</v>
      </c>
      <c r="AB633" s="780"/>
      <c r="AC633" s="782">
        <v>629</v>
      </c>
      <c r="AD633" s="782" t="s">
        <v>4573</v>
      </c>
      <c r="AE633" s="782" t="s">
        <v>3616</v>
      </c>
      <c r="AF633" s="781">
        <f>$S$1*P!AF633</f>
        <v>46.92</v>
      </c>
    </row>
    <row r="634" spans="19:32" x14ac:dyDescent="0.35">
      <c r="S634" s="861">
        <v>630</v>
      </c>
      <c r="T634" s="861" t="s">
        <v>4284</v>
      </c>
      <c r="U634" s="861" t="s">
        <v>5267</v>
      </c>
      <c r="V634" s="862">
        <f>$S$1*P!V634</f>
        <v>3.9108499999999995</v>
      </c>
      <c r="W634" s="780"/>
      <c r="X634" s="782">
        <v>630</v>
      </c>
      <c r="Y634" s="782" t="s">
        <v>2248</v>
      </c>
      <c r="Z634" s="782" t="s">
        <v>5676</v>
      </c>
      <c r="AA634" s="781">
        <f>$S$1*P!AA634</f>
        <v>5.3125000000000004E-4</v>
      </c>
      <c r="AB634" s="780"/>
      <c r="AC634" s="782">
        <v>630</v>
      </c>
      <c r="AD634" s="782" t="s">
        <v>4573</v>
      </c>
      <c r="AE634" s="782" t="s">
        <v>3615</v>
      </c>
      <c r="AF634" s="781">
        <f>$S$1*P!AF634</f>
        <v>24.471999999999998</v>
      </c>
    </row>
    <row r="635" spans="19:32" x14ac:dyDescent="0.35">
      <c r="S635" s="782">
        <v>631</v>
      </c>
      <c r="T635" s="782" t="s">
        <v>4284</v>
      </c>
      <c r="U635" s="782" t="s">
        <v>5267</v>
      </c>
      <c r="V635" s="797">
        <f>$S$1*P!V635</f>
        <v>7.883064516129034E-6</v>
      </c>
      <c r="W635" s="780"/>
      <c r="X635" s="782">
        <v>631</v>
      </c>
      <c r="Y635" s="782" t="s">
        <v>2248</v>
      </c>
      <c r="Z635" s="782" t="s">
        <v>5342</v>
      </c>
      <c r="AA635" s="781">
        <f>$S$1*P!AA635</f>
        <v>2.8653225806451614E-4</v>
      </c>
      <c r="AB635" s="780"/>
      <c r="AC635" s="782">
        <v>631</v>
      </c>
      <c r="AD635" s="782" t="s">
        <v>4573</v>
      </c>
      <c r="AE635" s="782" t="s">
        <v>5233</v>
      </c>
      <c r="AF635" s="781">
        <f>$S$1*P!AF635</f>
        <v>5.4495967741935492E-2</v>
      </c>
    </row>
    <row r="636" spans="19:32" x14ac:dyDescent="0.35">
      <c r="S636" s="782">
        <v>632</v>
      </c>
      <c r="T636" s="782" t="s">
        <v>4284</v>
      </c>
      <c r="U636" s="782" t="s">
        <v>5266</v>
      </c>
      <c r="V636" s="797">
        <f>$S$1*P!V636</f>
        <v>2.3066532258064519E-5</v>
      </c>
      <c r="W636" s="780"/>
      <c r="X636" s="782">
        <v>632</v>
      </c>
      <c r="Y636" s="782" t="s">
        <v>2248</v>
      </c>
      <c r="Z636" s="782" t="s">
        <v>5341</v>
      </c>
      <c r="AA636" s="781">
        <f>$S$1*P!AA636</f>
        <v>7.5403225806451623E-4</v>
      </c>
      <c r="AB636" s="780"/>
      <c r="AC636" s="782">
        <v>632</v>
      </c>
      <c r="AD636" s="782" t="s">
        <v>4573</v>
      </c>
      <c r="AE636" s="782" t="s">
        <v>3613</v>
      </c>
      <c r="AF636" s="781">
        <f>$S$1*P!AF636</f>
        <v>5.2716000000000003</v>
      </c>
    </row>
    <row r="637" spans="19:32" x14ac:dyDescent="0.35">
      <c r="S637" s="782">
        <v>633</v>
      </c>
      <c r="T637" s="782" t="s">
        <v>4284</v>
      </c>
      <c r="U637" s="782" t="s">
        <v>5265</v>
      </c>
      <c r="V637" s="797">
        <f>$S$1*P!V637</f>
        <v>4.9012096774193555E-4</v>
      </c>
      <c r="W637" s="780"/>
      <c r="X637" s="782">
        <v>633</v>
      </c>
      <c r="Y637" s="782" t="s">
        <v>2248</v>
      </c>
      <c r="Z637" s="782" t="s">
        <v>5675</v>
      </c>
      <c r="AA637" s="781">
        <f>$S$1*P!AA637</f>
        <v>6.4435483870967753E-4</v>
      </c>
      <c r="AB637" s="780"/>
      <c r="AC637" s="782">
        <v>633</v>
      </c>
      <c r="AD637" s="782" t="s">
        <v>4573</v>
      </c>
      <c r="AE637" s="782" t="s">
        <v>3612</v>
      </c>
      <c r="AF637" s="781">
        <f>$S$1*P!AF637</f>
        <v>9.1539999999999999</v>
      </c>
    </row>
    <row r="638" spans="19:32" x14ac:dyDescent="0.35">
      <c r="S638" s="782">
        <v>634</v>
      </c>
      <c r="T638" s="782" t="s">
        <v>4284</v>
      </c>
      <c r="U638" s="782" t="s">
        <v>5264</v>
      </c>
      <c r="V638" s="797">
        <f>$S$1*P!V638</f>
        <v>3.2697580645161293E-6</v>
      </c>
      <c r="W638" s="780"/>
      <c r="X638" s="782">
        <v>634</v>
      </c>
      <c r="Y638" s="782" t="s">
        <v>2248</v>
      </c>
      <c r="Z638" s="782" t="s">
        <v>5340</v>
      </c>
      <c r="AA638" s="781">
        <f>$S$1*P!AA638</f>
        <v>4.8326612903225809E-6</v>
      </c>
      <c r="AB638" s="780"/>
      <c r="AC638" s="782">
        <v>634</v>
      </c>
      <c r="AD638" s="782" t="s">
        <v>4573</v>
      </c>
      <c r="AE638" s="782" t="s">
        <v>3611</v>
      </c>
      <c r="AF638" s="781">
        <f>$S$1*P!AF638</f>
        <v>1.5548</v>
      </c>
    </row>
    <row r="639" spans="19:32" x14ac:dyDescent="0.35">
      <c r="S639" s="782">
        <v>635</v>
      </c>
      <c r="T639" s="782" t="s">
        <v>4284</v>
      </c>
      <c r="U639" s="782" t="s">
        <v>5263</v>
      </c>
      <c r="V639" s="797">
        <f>$S$1*P!V639</f>
        <v>6.8548387096774202E-6</v>
      </c>
      <c r="W639" s="780"/>
      <c r="X639" s="782">
        <v>635</v>
      </c>
      <c r="Y639" s="782" t="s">
        <v>2248</v>
      </c>
      <c r="Z639" s="782" t="s">
        <v>5339</v>
      </c>
      <c r="AA639" s="781">
        <f>$S$1*P!AA639</f>
        <v>3.3417338709677419E-2</v>
      </c>
      <c r="AB639" s="780"/>
      <c r="AC639" s="782">
        <v>635</v>
      </c>
      <c r="AD639" s="782" t="s">
        <v>4573</v>
      </c>
      <c r="AE639" s="782" t="s">
        <v>3609</v>
      </c>
      <c r="AF639" s="781">
        <f>$S$1*P!AF639</f>
        <v>25.3</v>
      </c>
    </row>
    <row r="640" spans="19:32" x14ac:dyDescent="0.35">
      <c r="S640" s="782">
        <v>636</v>
      </c>
      <c r="T640" s="782" t="s">
        <v>4284</v>
      </c>
      <c r="U640" s="782" t="s">
        <v>5262</v>
      </c>
      <c r="V640" s="797">
        <f>$S$1*P!V640</f>
        <v>2.9030241935483875E-3</v>
      </c>
      <c r="W640" s="780"/>
      <c r="X640" s="782">
        <v>636</v>
      </c>
      <c r="Y640" s="782" t="s">
        <v>2248</v>
      </c>
      <c r="Z640" s="782" t="s">
        <v>5674</v>
      </c>
      <c r="AA640" s="781">
        <f>$S$1*P!AA640</f>
        <v>3.149798387096774E-4</v>
      </c>
      <c r="AB640" s="780"/>
      <c r="AC640" s="782">
        <v>636</v>
      </c>
      <c r="AD640" s="782" t="s">
        <v>4573</v>
      </c>
      <c r="AE640" s="782" t="s">
        <v>5232</v>
      </c>
      <c r="AF640" s="781">
        <f>$S$1*P!AF640</f>
        <v>0.56552419354838712</v>
      </c>
    </row>
    <row r="641" spans="19:32" x14ac:dyDescent="0.35">
      <c r="S641" s="782">
        <v>637</v>
      </c>
      <c r="T641" s="782" t="s">
        <v>4284</v>
      </c>
      <c r="U641" s="782" t="s">
        <v>5261</v>
      </c>
      <c r="V641" s="797">
        <f>$S$1*P!V641</f>
        <v>1.5868951612903227E-2</v>
      </c>
      <c r="W641" s="780"/>
      <c r="X641" s="782">
        <v>637</v>
      </c>
      <c r="Y641" s="782" t="s">
        <v>2248</v>
      </c>
      <c r="Z641" s="782" t="s">
        <v>5338</v>
      </c>
      <c r="AA641" s="781">
        <f>$S$1*P!AA641</f>
        <v>4.5927419354838714E-4</v>
      </c>
      <c r="AB641" s="780"/>
      <c r="AC641" s="782">
        <v>637</v>
      </c>
      <c r="AD641" s="782" t="s">
        <v>4573</v>
      </c>
      <c r="AE641" s="782" t="s">
        <v>5231</v>
      </c>
      <c r="AF641" s="781">
        <f>$S$1*P!AF641</f>
        <v>0.42157258064516134</v>
      </c>
    </row>
    <row r="642" spans="19:32" x14ac:dyDescent="0.35">
      <c r="S642" s="782">
        <v>638</v>
      </c>
      <c r="T642" s="782" t="s">
        <v>4284</v>
      </c>
      <c r="U642" s="782" t="s">
        <v>3630</v>
      </c>
      <c r="V642" s="797">
        <f>$S$1*P!V642</f>
        <v>2.0735887096774195</v>
      </c>
      <c r="W642" s="780"/>
      <c r="X642" s="782">
        <v>638</v>
      </c>
      <c r="Y642" s="782" t="s">
        <v>2248</v>
      </c>
      <c r="Z642" s="782" t="s">
        <v>5337</v>
      </c>
      <c r="AA642" s="781">
        <f>$S$1*P!AA642</f>
        <v>2.0941532258064517</v>
      </c>
      <c r="AB642" s="780"/>
      <c r="AC642" s="782">
        <v>638</v>
      </c>
      <c r="AD642" s="782" t="s">
        <v>4573</v>
      </c>
      <c r="AE642" s="782" t="s">
        <v>5230</v>
      </c>
      <c r="AF642" s="781">
        <f>$S$1*P!AF642</f>
        <v>42.5</v>
      </c>
    </row>
    <row r="643" spans="19:32" x14ac:dyDescent="0.35">
      <c r="S643" s="782">
        <v>639</v>
      </c>
      <c r="T643" s="782" t="s">
        <v>4284</v>
      </c>
      <c r="U643" s="782" t="s">
        <v>3630</v>
      </c>
      <c r="V643" s="797">
        <f>$S$1*P!V643</f>
        <v>41.584000000000003</v>
      </c>
      <c r="W643" s="780"/>
      <c r="X643" s="782">
        <v>639</v>
      </c>
      <c r="Y643" s="782" t="s">
        <v>2248</v>
      </c>
      <c r="Z643" s="782" t="s">
        <v>5336</v>
      </c>
      <c r="AA643" s="781">
        <f>$S$1*P!AA643</f>
        <v>0.22723790322580648</v>
      </c>
      <c r="AB643" s="780"/>
      <c r="AC643" s="782">
        <v>639</v>
      </c>
      <c r="AD643" s="782" t="s">
        <v>4573</v>
      </c>
      <c r="AE643" s="782" t="s">
        <v>5229</v>
      </c>
      <c r="AF643" s="781">
        <f>$S$1*P!AF643</f>
        <v>5.7237903225806457E-2</v>
      </c>
    </row>
    <row r="644" spans="19:32" x14ac:dyDescent="0.35">
      <c r="S644" s="782">
        <v>640</v>
      </c>
      <c r="T644" s="782" t="s">
        <v>4284</v>
      </c>
      <c r="U644" s="782" t="s">
        <v>5260</v>
      </c>
      <c r="V644" s="797">
        <f>$S$1*P!V644</f>
        <v>0.77802419354838714</v>
      </c>
      <c r="W644" s="780"/>
      <c r="X644" s="782">
        <v>640</v>
      </c>
      <c r="Y644" s="782" t="s">
        <v>2248</v>
      </c>
      <c r="Z644" s="782" t="s">
        <v>3806</v>
      </c>
      <c r="AA644" s="781">
        <f>$S$1*P!AA644</f>
        <v>1.1241935483870967E-3</v>
      </c>
      <c r="AB644" s="780"/>
      <c r="AC644" s="782">
        <v>640</v>
      </c>
      <c r="AD644" s="782" t="s">
        <v>4573</v>
      </c>
      <c r="AE644" s="782" t="s">
        <v>5228</v>
      </c>
      <c r="AF644" s="781">
        <f>$S$1*P!AF644</f>
        <v>0.79173387096774195</v>
      </c>
    </row>
    <row r="645" spans="19:32" x14ac:dyDescent="0.35">
      <c r="S645" s="782">
        <v>641</v>
      </c>
      <c r="T645" s="782" t="s">
        <v>4284</v>
      </c>
      <c r="U645" s="782" t="s">
        <v>5259</v>
      </c>
      <c r="V645" s="797">
        <f>$S$1*P!V645</f>
        <v>1.3504032258064517E-4</v>
      </c>
      <c r="W645" s="780"/>
      <c r="X645" s="782">
        <v>641</v>
      </c>
      <c r="Y645" s="782" t="s">
        <v>2248</v>
      </c>
      <c r="Z645" s="782" t="s">
        <v>5335</v>
      </c>
      <c r="AA645" s="781">
        <f>$S$1*P!AA645</f>
        <v>6.5120967741935491E-4</v>
      </c>
      <c r="AB645" s="780"/>
      <c r="AC645" s="782">
        <v>641</v>
      </c>
      <c r="AD645" s="782" t="s">
        <v>4573</v>
      </c>
      <c r="AE645" s="782" t="s">
        <v>3607</v>
      </c>
      <c r="AF645" s="781">
        <f>$S$1*P!AF645</f>
        <v>104.88000000000001</v>
      </c>
    </row>
    <row r="646" spans="19:32" x14ac:dyDescent="0.35">
      <c r="S646" s="782">
        <v>642</v>
      </c>
      <c r="T646" s="782" t="s">
        <v>4284</v>
      </c>
      <c r="U646" s="782" t="s">
        <v>5258</v>
      </c>
      <c r="V646" s="797">
        <f>$S$1*P!V646</f>
        <v>8.0201612903225812E-5</v>
      </c>
      <c r="W646" s="780"/>
      <c r="X646" s="782">
        <v>642</v>
      </c>
      <c r="Y646" s="782" t="s">
        <v>2248</v>
      </c>
      <c r="Z646" s="782" t="s">
        <v>3660</v>
      </c>
      <c r="AA646" s="781">
        <f>$S$1*P!AA646</f>
        <v>0</v>
      </c>
      <c r="AB646" s="780"/>
      <c r="AC646" s="782">
        <v>642</v>
      </c>
      <c r="AD646" s="782" t="s">
        <v>4573</v>
      </c>
      <c r="AE646" s="782" t="s">
        <v>5227</v>
      </c>
      <c r="AF646" s="781">
        <f>$S$1*P!AF646</f>
        <v>3.5645161290322582E-3</v>
      </c>
    </row>
    <row r="647" spans="19:32" x14ac:dyDescent="0.35">
      <c r="S647" s="782">
        <v>643</v>
      </c>
      <c r="T647" s="782" t="s">
        <v>4284</v>
      </c>
      <c r="U647" s="782" t="s">
        <v>3627</v>
      </c>
      <c r="V647" s="797">
        <f>$S$1*P!V647</f>
        <v>66.424000000000007</v>
      </c>
      <c r="W647" s="780"/>
      <c r="X647" s="782">
        <v>643</v>
      </c>
      <c r="Y647" s="782" t="s">
        <v>2248</v>
      </c>
      <c r="Z647" s="782" t="s">
        <v>3660</v>
      </c>
      <c r="AA647" s="781">
        <f>$S$1*P!AA647</f>
        <v>4.4556451612903225E-3</v>
      </c>
      <c r="AB647" s="780"/>
      <c r="AC647" s="782">
        <v>643</v>
      </c>
      <c r="AD647" s="782" t="s">
        <v>4573</v>
      </c>
      <c r="AE647" s="782" t="s">
        <v>5226</v>
      </c>
      <c r="AF647" s="781">
        <f>$S$1*P!AF647</f>
        <v>0.26699596774193551</v>
      </c>
    </row>
    <row r="648" spans="19:32" x14ac:dyDescent="0.35">
      <c r="S648" s="782">
        <v>644</v>
      </c>
      <c r="T648" s="782" t="s">
        <v>4284</v>
      </c>
      <c r="U648" s="782" t="s">
        <v>5257</v>
      </c>
      <c r="V648" s="797">
        <f>$S$1*P!V648</f>
        <v>1.9810483870967743E-3</v>
      </c>
      <c r="W648" s="873"/>
      <c r="X648" s="782">
        <v>644</v>
      </c>
      <c r="Y648" s="782" t="s">
        <v>2248</v>
      </c>
      <c r="Z648" s="782" t="s">
        <v>5673</v>
      </c>
      <c r="AA648" s="781">
        <f>$S$1*P!AA648</f>
        <v>2.1832661290322584E-4</v>
      </c>
      <c r="AB648" s="780"/>
      <c r="AC648" s="782">
        <v>644</v>
      </c>
      <c r="AD648" s="782" t="s">
        <v>4573</v>
      </c>
      <c r="AE648" s="782" t="s">
        <v>5225</v>
      </c>
      <c r="AF648" s="781">
        <f>$S$1*P!AF648</f>
        <v>1.2030241935483872</v>
      </c>
    </row>
    <row r="649" spans="19:32" x14ac:dyDescent="0.35">
      <c r="S649" s="782">
        <v>645</v>
      </c>
      <c r="T649" s="782" t="s">
        <v>4284</v>
      </c>
      <c r="U649" s="782" t="s">
        <v>5256</v>
      </c>
      <c r="V649" s="797">
        <f>$S$1*P!V649</f>
        <v>2.4848790322580649E-3</v>
      </c>
      <c r="W649" s="780"/>
      <c r="X649" s="782">
        <v>645</v>
      </c>
      <c r="Y649" s="782" t="s">
        <v>2248</v>
      </c>
      <c r="Z649" s="782" t="s">
        <v>5334</v>
      </c>
      <c r="AA649" s="781">
        <f>$S$1*P!AA649</f>
        <v>2.6768145161290323E-3</v>
      </c>
      <c r="AB649" s="780"/>
      <c r="AC649" s="782">
        <v>645</v>
      </c>
      <c r="AD649" s="782" t="s">
        <v>4573</v>
      </c>
      <c r="AE649" s="782" t="s">
        <v>5224</v>
      </c>
      <c r="AF649" s="781">
        <f>$S$1*P!AF649</f>
        <v>0.73346774193548392</v>
      </c>
    </row>
    <row r="650" spans="19:32" x14ac:dyDescent="0.35">
      <c r="S650" s="782">
        <v>646</v>
      </c>
      <c r="T650" s="782" t="s">
        <v>4284</v>
      </c>
      <c r="U650" s="782" t="s">
        <v>5255</v>
      </c>
      <c r="V650" s="797">
        <f>$S$1*P!V650</f>
        <v>3.461693548387097E-4</v>
      </c>
      <c r="W650" s="873"/>
      <c r="X650" s="782">
        <v>646</v>
      </c>
      <c r="Y650" s="782" t="s">
        <v>2248</v>
      </c>
      <c r="Z650" s="782" t="s">
        <v>3657</v>
      </c>
      <c r="AA650" s="781">
        <f>$S$1*P!AA650</f>
        <v>8.1972000000000002E-4</v>
      </c>
      <c r="AB650" s="780"/>
      <c r="AC650" s="782">
        <v>646</v>
      </c>
      <c r="AD650" s="782" t="s">
        <v>4573</v>
      </c>
      <c r="AE650" s="782" t="s">
        <v>5223</v>
      </c>
      <c r="AF650" s="781">
        <f>$S$1*P!AF650</f>
        <v>7.8487903225806455E-2</v>
      </c>
    </row>
    <row r="651" spans="19:32" x14ac:dyDescent="0.35">
      <c r="S651" s="782">
        <v>647</v>
      </c>
      <c r="T651" s="782" t="s">
        <v>4284</v>
      </c>
      <c r="U651" s="782" t="s">
        <v>5254</v>
      </c>
      <c r="V651" s="797">
        <f>$S$1*P!V651</f>
        <v>2.1250000000000002E-3</v>
      </c>
      <c r="W651" s="780"/>
      <c r="X651" s="782">
        <v>647</v>
      </c>
      <c r="Y651" s="782" t="s">
        <v>2248</v>
      </c>
      <c r="Z651" s="782" t="s">
        <v>5672</v>
      </c>
      <c r="AA651" s="781">
        <f>$S$1*P!AA651</f>
        <v>4.5927419354838714E-4</v>
      </c>
      <c r="AB651" s="780"/>
      <c r="AC651" s="782">
        <v>647</v>
      </c>
      <c r="AD651" s="782" t="s">
        <v>4573</v>
      </c>
      <c r="AE651" s="782" t="s">
        <v>5222</v>
      </c>
      <c r="AF651" s="781">
        <f>$S$1*P!AF651</f>
        <v>0.53810483870967751</v>
      </c>
    </row>
    <row r="652" spans="19:32" x14ac:dyDescent="0.35">
      <c r="S652" s="782">
        <v>648</v>
      </c>
      <c r="T652" s="782" t="s">
        <v>4284</v>
      </c>
      <c r="U652" s="782" t="s">
        <v>5253</v>
      </c>
      <c r="V652" s="797">
        <f>$S$1*P!V652</f>
        <v>7.2661290322580648E-3</v>
      </c>
      <c r="W652" s="873"/>
      <c r="X652" s="782">
        <v>648</v>
      </c>
      <c r="Y652" s="782" t="s">
        <v>2248</v>
      </c>
      <c r="Z652" s="782" t="s">
        <v>5333</v>
      </c>
      <c r="AA652" s="781">
        <f>$S$1*P!AA652</f>
        <v>8.2600806451612916E-5</v>
      </c>
      <c r="AB652" s="780"/>
      <c r="AC652" s="782">
        <v>648</v>
      </c>
      <c r="AD652" s="782" t="s">
        <v>4573</v>
      </c>
      <c r="AE652" s="782" t="s">
        <v>5221</v>
      </c>
      <c r="AF652" s="781">
        <f>$S$1*P!AF652</f>
        <v>8.6713709677419364E-3</v>
      </c>
    </row>
    <row r="653" spans="19:32" x14ac:dyDescent="0.35">
      <c r="S653" s="782">
        <v>649</v>
      </c>
      <c r="T653" s="782" t="s">
        <v>4284</v>
      </c>
      <c r="U653" s="782" t="s">
        <v>5252</v>
      </c>
      <c r="V653" s="797">
        <f>$S$1*P!V653</f>
        <v>4.1814516129032259E-6</v>
      </c>
      <c r="W653" s="873"/>
      <c r="X653" s="782">
        <v>649</v>
      </c>
      <c r="Y653" s="782" t="s">
        <v>2248</v>
      </c>
      <c r="Z653" s="782" t="s">
        <v>5671</v>
      </c>
      <c r="AA653" s="781">
        <f>$S$1*P!AA653</f>
        <v>1.3675403225806455E-4</v>
      </c>
      <c r="AB653" s="780"/>
      <c r="AC653" s="782">
        <v>649</v>
      </c>
      <c r="AD653" s="782" t="s">
        <v>4573</v>
      </c>
      <c r="AE653" s="782" t="s">
        <v>5220</v>
      </c>
      <c r="AF653" s="781">
        <f>$S$1*P!AF653</f>
        <v>3.6673387096774195E-2</v>
      </c>
    </row>
    <row r="654" spans="19:32" x14ac:dyDescent="0.35">
      <c r="S654" s="861">
        <v>650</v>
      </c>
      <c r="T654" s="861" t="s">
        <v>4284</v>
      </c>
      <c r="U654" s="861" t="s">
        <v>5251</v>
      </c>
      <c r="V654" s="862">
        <f>$S$1*P!V654</f>
        <v>5.4034999999999993</v>
      </c>
      <c r="W654" s="780"/>
      <c r="X654" s="782">
        <v>650</v>
      </c>
      <c r="Y654" s="782" t="s">
        <v>2248</v>
      </c>
      <c r="Z654" s="782" t="s">
        <v>5332</v>
      </c>
      <c r="AA654" s="781">
        <f>$S$1*P!AA654</f>
        <v>3.5987903225806456E-4</v>
      </c>
      <c r="AB654" s="780"/>
      <c r="AC654" s="782">
        <v>650</v>
      </c>
      <c r="AD654" s="782" t="s">
        <v>4573</v>
      </c>
      <c r="AE654" s="782" t="s">
        <v>5219</v>
      </c>
      <c r="AF654" s="781">
        <f>$S$1*P!AF654</f>
        <v>1.0796370967741937E-2</v>
      </c>
    </row>
    <row r="655" spans="19:32" x14ac:dyDescent="0.35">
      <c r="S655" s="782">
        <v>651</v>
      </c>
      <c r="T655" s="782" t="s">
        <v>4284</v>
      </c>
      <c r="U655" s="782" t="s">
        <v>5251</v>
      </c>
      <c r="V655" s="797">
        <f>$S$1*P!V655</f>
        <v>3.5645161290322583E-6</v>
      </c>
      <c r="W655" s="780"/>
      <c r="X655" s="782">
        <v>651</v>
      </c>
      <c r="Y655" s="782" t="s">
        <v>2248</v>
      </c>
      <c r="Z655" s="782" t="s">
        <v>5331</v>
      </c>
      <c r="AA655" s="781">
        <f>$S$1*P!AA655</f>
        <v>0.10556451612903227</v>
      </c>
      <c r="AB655" s="780"/>
      <c r="AC655" s="782">
        <v>651</v>
      </c>
      <c r="AD655" s="782" t="s">
        <v>4573</v>
      </c>
      <c r="AE655" s="782" t="s">
        <v>5217</v>
      </c>
      <c r="AF655" s="781">
        <f>$S$1*P!AF655</f>
        <v>8.054435483870968E-3</v>
      </c>
    </row>
    <row r="656" spans="19:32" x14ac:dyDescent="0.35">
      <c r="S656" s="870">
        <v>652</v>
      </c>
      <c r="T656" s="870" t="s">
        <v>4284</v>
      </c>
      <c r="U656" s="870" t="s">
        <v>5249</v>
      </c>
      <c r="V656" s="871">
        <f>$S$1*P!V656</f>
        <v>3.7396499999999997</v>
      </c>
      <c r="W656" s="780"/>
      <c r="X656" s="782">
        <v>652</v>
      </c>
      <c r="Y656" s="782" t="s">
        <v>2248</v>
      </c>
      <c r="Z656" s="782" t="s">
        <v>5330</v>
      </c>
      <c r="AA656" s="781">
        <f>$S$1*P!AA656</f>
        <v>1.4635080645161291E-2</v>
      </c>
      <c r="AB656" s="780"/>
      <c r="AC656" s="782">
        <v>652</v>
      </c>
      <c r="AD656" s="782" t="s">
        <v>4573</v>
      </c>
      <c r="AE656" s="782" t="s">
        <v>5216</v>
      </c>
      <c r="AF656" s="781">
        <f>$S$1*P!AF656</f>
        <v>7.7802419354838712E-2</v>
      </c>
    </row>
    <row r="657" spans="19:32" x14ac:dyDescent="0.35">
      <c r="S657" s="782">
        <v>653</v>
      </c>
      <c r="T657" s="782" t="s">
        <v>4284</v>
      </c>
      <c r="U657" s="782" t="s">
        <v>5249</v>
      </c>
      <c r="V657" s="797">
        <f>$S$1*P!V657</f>
        <v>4.6955645161290328E-6</v>
      </c>
      <c r="W657" s="780"/>
      <c r="X657" s="782">
        <v>653</v>
      </c>
      <c r="Y657" s="782" t="s">
        <v>2248</v>
      </c>
      <c r="Z657" s="782" t="s">
        <v>5670</v>
      </c>
      <c r="AA657" s="781">
        <f>$S$1*P!AA657</f>
        <v>1.3195564516129035E-7</v>
      </c>
      <c r="AB657" s="780"/>
      <c r="AC657" s="782">
        <v>653</v>
      </c>
      <c r="AD657" s="782" t="s">
        <v>4573</v>
      </c>
      <c r="AE657" s="782" t="s">
        <v>5215</v>
      </c>
      <c r="AF657" s="781">
        <f>$S$1*P!AF657</f>
        <v>0.40443548387096778</v>
      </c>
    </row>
    <row r="658" spans="19:32" x14ac:dyDescent="0.35">
      <c r="S658" s="782">
        <v>654</v>
      </c>
      <c r="T658" s="782" t="s">
        <v>4284</v>
      </c>
      <c r="U658" s="782" t="s">
        <v>5248</v>
      </c>
      <c r="V658" s="797">
        <f>$S$1*P!V658</f>
        <v>1.2955645161290322E-3</v>
      </c>
      <c r="W658" s="863"/>
      <c r="X658" s="782">
        <v>654</v>
      </c>
      <c r="Y658" s="782" t="s">
        <v>2248</v>
      </c>
      <c r="Z658" s="782" t="s">
        <v>5329</v>
      </c>
      <c r="AA658" s="781">
        <f>$S$1*P!AA658</f>
        <v>2.7110887096774196E-2</v>
      </c>
      <c r="AB658" s="780"/>
      <c r="AC658" s="782">
        <v>654</v>
      </c>
      <c r="AD658" s="782" t="s">
        <v>4573</v>
      </c>
      <c r="AE658" s="782" t="s">
        <v>5214</v>
      </c>
      <c r="AF658" s="781">
        <f>$S$1*P!AF658</f>
        <v>1.2304435483870968E-2</v>
      </c>
    </row>
    <row r="659" spans="19:32" x14ac:dyDescent="0.35">
      <c r="S659" s="782">
        <v>655</v>
      </c>
      <c r="T659" s="782" t="s">
        <v>4284</v>
      </c>
      <c r="U659" s="782" t="s">
        <v>5247</v>
      </c>
      <c r="V659" s="797">
        <f>$S$1*P!V659</f>
        <v>7.0604838709677423E-5</v>
      </c>
      <c r="W659" s="780"/>
      <c r="X659" s="782">
        <v>655</v>
      </c>
      <c r="Y659" s="782" t="s">
        <v>2248</v>
      </c>
      <c r="Z659" s="782" t="s">
        <v>5328</v>
      </c>
      <c r="AA659" s="781">
        <f>$S$1*P!AA659</f>
        <v>1.1516129032258066E-2</v>
      </c>
      <c r="AB659" s="780"/>
      <c r="AC659" s="782">
        <v>655</v>
      </c>
      <c r="AD659" s="782" t="s">
        <v>4573</v>
      </c>
      <c r="AE659" s="782" t="s">
        <v>5213</v>
      </c>
      <c r="AF659" s="781">
        <f>$S$1*P!AF659</f>
        <v>0.38387096774193552</v>
      </c>
    </row>
    <row r="660" spans="19:32" x14ac:dyDescent="0.35">
      <c r="S660" s="782">
        <v>656</v>
      </c>
      <c r="T660" s="782" t="s">
        <v>4284</v>
      </c>
      <c r="U660" s="782" t="s">
        <v>5245</v>
      </c>
      <c r="V660" s="797">
        <f>$S$1*P!V660</f>
        <v>1.2578629032258066E-3</v>
      </c>
      <c r="W660" s="873"/>
      <c r="X660" s="782">
        <v>656</v>
      </c>
      <c r="Y660" s="782" t="s">
        <v>2248</v>
      </c>
      <c r="Z660" s="782" t="s">
        <v>5669</v>
      </c>
      <c r="AA660" s="781">
        <f>$S$1*P!AA660</f>
        <v>4.9697580645161295E-5</v>
      </c>
      <c r="AB660" s="780"/>
      <c r="AC660" s="782">
        <v>656</v>
      </c>
      <c r="AD660" s="782" t="s">
        <v>4573</v>
      </c>
      <c r="AE660" s="782" t="s">
        <v>5212</v>
      </c>
      <c r="AF660" s="781">
        <f>$S$1*P!AF660</f>
        <v>0.68548387096774199</v>
      </c>
    </row>
    <row r="661" spans="19:32" x14ac:dyDescent="0.35">
      <c r="S661" s="782">
        <v>657</v>
      </c>
      <c r="T661" s="782" t="s">
        <v>4284</v>
      </c>
      <c r="U661" s="782" t="s">
        <v>5243</v>
      </c>
      <c r="V661" s="797">
        <f>$S$1*P!V661</f>
        <v>1.1516129032258065</v>
      </c>
      <c r="W661" s="874"/>
      <c r="X661" s="782">
        <v>657</v>
      </c>
      <c r="Y661" s="782" t="s">
        <v>2248</v>
      </c>
      <c r="Z661" s="782" t="s">
        <v>3655</v>
      </c>
      <c r="AA661" s="781">
        <f>$S$1*P!AA661</f>
        <v>0</v>
      </c>
      <c r="AB661" s="780"/>
      <c r="AC661" s="782">
        <v>657</v>
      </c>
      <c r="AD661" s="782" t="s">
        <v>4573</v>
      </c>
      <c r="AE661" s="782" t="s">
        <v>3606</v>
      </c>
      <c r="AF661" s="781">
        <f>$S$1*P!AF661</f>
        <v>8.7216000000000005</v>
      </c>
    </row>
    <row r="662" spans="19:32" x14ac:dyDescent="0.35">
      <c r="S662" s="782">
        <v>658</v>
      </c>
      <c r="T662" s="782" t="s">
        <v>4284</v>
      </c>
      <c r="U662" s="782" t="s">
        <v>5242</v>
      </c>
      <c r="V662" s="797">
        <f>$S$1*P!V662</f>
        <v>1.3058467741935485E-5</v>
      </c>
      <c r="W662" s="780"/>
      <c r="X662" s="782">
        <v>658</v>
      </c>
      <c r="Y662" s="782" t="s">
        <v>2248</v>
      </c>
      <c r="Z662" s="782" t="s">
        <v>5326</v>
      </c>
      <c r="AA662" s="781">
        <f>$S$1*P!AA662</f>
        <v>3.3520161290322582E-4</v>
      </c>
      <c r="AB662" s="780"/>
      <c r="AC662" s="782">
        <v>658</v>
      </c>
      <c r="AD662" s="782" t="s">
        <v>4573</v>
      </c>
      <c r="AE662" s="782" t="s">
        <v>5211</v>
      </c>
      <c r="AF662" s="781">
        <f>$S$1*P!AF662</f>
        <v>3.7358870967741938E-2</v>
      </c>
    </row>
    <row r="663" spans="19:32" x14ac:dyDescent="0.35">
      <c r="S663" s="782">
        <v>659</v>
      </c>
      <c r="T663" s="782" t="s">
        <v>4284</v>
      </c>
      <c r="U663" s="782" t="s">
        <v>5241</v>
      </c>
      <c r="V663" s="797">
        <f>$S$1*P!V663</f>
        <v>1.1413306451612904E-4</v>
      </c>
      <c r="W663" s="780"/>
      <c r="X663" s="782">
        <v>659</v>
      </c>
      <c r="Y663" s="782" t="s">
        <v>2248</v>
      </c>
      <c r="Z663" s="782" t="s">
        <v>5325</v>
      </c>
      <c r="AA663" s="781">
        <f>$S$1*P!AA663</f>
        <v>1.2338709677419357E-2</v>
      </c>
      <c r="AB663" s="780"/>
      <c r="AC663" s="782">
        <v>659</v>
      </c>
      <c r="AD663" s="782" t="s">
        <v>4573</v>
      </c>
      <c r="AE663" s="782" t="s">
        <v>5210</v>
      </c>
      <c r="AF663" s="781">
        <f>$S$1*P!AF663</f>
        <v>5.0725806451612905E-2</v>
      </c>
    </row>
    <row r="664" spans="19:32" x14ac:dyDescent="0.35">
      <c r="S664" s="782">
        <v>660</v>
      </c>
      <c r="T664" s="782" t="s">
        <v>4284</v>
      </c>
      <c r="U664" s="782" t="s">
        <v>5240</v>
      </c>
      <c r="V664" s="797">
        <f>$S$1*P!V664</f>
        <v>1.6383064516129034E-4</v>
      </c>
      <c r="W664" s="780"/>
      <c r="X664" s="782">
        <v>660</v>
      </c>
      <c r="Y664" s="782" t="s">
        <v>2248</v>
      </c>
      <c r="Z664" s="782" t="s">
        <v>5668</v>
      </c>
      <c r="AA664" s="781">
        <f>$S$1*P!AA664</f>
        <v>6.5120967741935489E-3</v>
      </c>
      <c r="AB664" s="780"/>
      <c r="AC664" s="782">
        <v>660</v>
      </c>
      <c r="AD664" s="782" t="s">
        <v>4573</v>
      </c>
      <c r="AE664" s="782" t="s">
        <v>3603</v>
      </c>
      <c r="AF664" s="781">
        <f>$S$1*P!AF664</f>
        <v>0.37259999999999999</v>
      </c>
    </row>
    <row r="665" spans="19:32" x14ac:dyDescent="0.35">
      <c r="S665" s="782">
        <v>661</v>
      </c>
      <c r="T665" s="782" t="s">
        <v>4284</v>
      </c>
      <c r="U665" s="782" t="s">
        <v>5239</v>
      </c>
      <c r="V665" s="797">
        <f>$S$1*P!V665</f>
        <v>6.7520161290322587E-6</v>
      </c>
      <c r="W665" s="780"/>
      <c r="X665" s="782">
        <v>661</v>
      </c>
      <c r="Y665" s="782" t="s">
        <v>2248</v>
      </c>
      <c r="Z665" s="782" t="s">
        <v>5324</v>
      </c>
      <c r="AA665" s="781">
        <f>$S$1*P!AA665</f>
        <v>2.4403225806451614E-2</v>
      </c>
      <c r="AB665" s="780"/>
      <c r="AC665" s="782">
        <v>661</v>
      </c>
      <c r="AD665" s="782" t="s">
        <v>4573</v>
      </c>
      <c r="AE665" s="782" t="s">
        <v>5209</v>
      </c>
      <c r="AF665" s="781">
        <f>$S$1*P!AF665</f>
        <v>0.19125</v>
      </c>
    </row>
    <row r="666" spans="19:32" x14ac:dyDescent="0.35">
      <c r="S666" s="782">
        <v>662</v>
      </c>
      <c r="T666" s="782" t="s">
        <v>4284</v>
      </c>
      <c r="U666" s="782" t="s">
        <v>5238</v>
      </c>
      <c r="V666" s="797">
        <f>$S$1*P!V666</f>
        <v>3.4616935483870971E-3</v>
      </c>
      <c r="W666" s="780"/>
      <c r="X666" s="782">
        <v>662</v>
      </c>
      <c r="Y666" s="782" t="s">
        <v>2248</v>
      </c>
      <c r="Z666" s="782" t="s">
        <v>5323</v>
      </c>
      <c r="AA666" s="781">
        <f>$S$1*P!AA666</f>
        <v>9.6995967741935491E-3</v>
      </c>
      <c r="AB666" s="780"/>
      <c r="AC666" s="782">
        <v>662</v>
      </c>
      <c r="AD666" s="782" t="s">
        <v>4573</v>
      </c>
      <c r="AE666" s="782" t="s">
        <v>5208</v>
      </c>
      <c r="AF666" s="781">
        <f>$S$1*P!AF666</f>
        <v>0.22278225806451615</v>
      </c>
    </row>
    <row r="667" spans="19:32" x14ac:dyDescent="0.35">
      <c r="S667" s="782">
        <v>663</v>
      </c>
      <c r="T667" s="782" t="s">
        <v>4284</v>
      </c>
      <c r="U667" s="782" t="s">
        <v>3626</v>
      </c>
      <c r="V667" s="797">
        <f>$S$1*P!V667</f>
        <v>975.19999999999993</v>
      </c>
      <c r="W667" s="780"/>
      <c r="X667" s="782">
        <v>663</v>
      </c>
      <c r="Y667" s="782" t="s">
        <v>2248</v>
      </c>
      <c r="Z667" s="782" t="s">
        <v>5667</v>
      </c>
      <c r="AA667" s="781">
        <f>$S$1*P!AA667</f>
        <v>2.0324596774193549E-5</v>
      </c>
      <c r="AB667" s="780"/>
      <c r="AC667" s="782">
        <v>663</v>
      </c>
      <c r="AD667" s="782" t="s">
        <v>4573</v>
      </c>
      <c r="AE667" s="782" t="s">
        <v>5207</v>
      </c>
      <c r="AF667" s="781">
        <f>$S$1*P!AF667</f>
        <v>1.7205645161290323E-2</v>
      </c>
    </row>
    <row r="668" spans="19:32" x14ac:dyDescent="0.35">
      <c r="S668" s="782">
        <v>664</v>
      </c>
      <c r="T668" s="782" t="s">
        <v>4284</v>
      </c>
      <c r="U668" s="782" t="s">
        <v>5237</v>
      </c>
      <c r="V668" s="797">
        <f>$S$1*P!V668</f>
        <v>2.8653225806451613E-5</v>
      </c>
      <c r="W668" s="780"/>
      <c r="X668" s="782">
        <v>664</v>
      </c>
      <c r="Y668" s="782" t="s">
        <v>2248</v>
      </c>
      <c r="Z668" s="782" t="s">
        <v>5322</v>
      </c>
      <c r="AA668" s="781">
        <f>$S$1*P!AA668</f>
        <v>3.0024193548387101E-4</v>
      </c>
      <c r="AB668" s="780"/>
      <c r="AC668" s="782">
        <v>664</v>
      </c>
      <c r="AD668" s="782" t="s">
        <v>4573</v>
      </c>
      <c r="AE668" s="782" t="s">
        <v>5206</v>
      </c>
      <c r="AF668" s="781">
        <f>$S$1*P!AF668</f>
        <v>1.7514112903225809E-3</v>
      </c>
    </row>
    <row r="669" spans="19:32" x14ac:dyDescent="0.35">
      <c r="S669" s="782">
        <v>665</v>
      </c>
      <c r="T669" s="782" t="s">
        <v>4284</v>
      </c>
      <c r="U669" s="782" t="s">
        <v>5235</v>
      </c>
      <c r="V669" s="797">
        <f>$S$1*P!V669</f>
        <v>1.2989919354838709E-3</v>
      </c>
      <c r="W669" s="780"/>
      <c r="X669" s="782">
        <v>665</v>
      </c>
      <c r="Y669" s="782" t="s">
        <v>2248</v>
      </c>
      <c r="Z669" s="782" t="s">
        <v>3651</v>
      </c>
      <c r="AA669" s="781">
        <f>$S$1*P!AA669</f>
        <v>2.7691999999999998E-2</v>
      </c>
      <c r="AB669" s="780"/>
      <c r="AC669" s="782">
        <v>665</v>
      </c>
      <c r="AD669" s="782" t="s">
        <v>4573</v>
      </c>
      <c r="AE669" s="782" t="s">
        <v>5204</v>
      </c>
      <c r="AF669" s="781">
        <f>$S$1*P!AF669</f>
        <v>6.4435483870967749</v>
      </c>
    </row>
    <row r="670" spans="19:32" x14ac:dyDescent="0.35">
      <c r="S670" s="782">
        <v>666</v>
      </c>
      <c r="T670" s="782" t="s">
        <v>4284</v>
      </c>
      <c r="U670" s="782" t="s">
        <v>3623</v>
      </c>
      <c r="V670" s="797">
        <f>$S$1*P!V670</f>
        <v>0</v>
      </c>
      <c r="W670" s="780"/>
      <c r="X670" s="782">
        <v>666</v>
      </c>
      <c r="Y670" s="782" t="s">
        <v>2248</v>
      </c>
      <c r="Z670" s="782" t="s">
        <v>5666</v>
      </c>
      <c r="AA670" s="781">
        <f>$S$1*P!AA670</f>
        <v>1.6417338709677422E-4</v>
      </c>
      <c r="AB670" s="780"/>
      <c r="AC670" s="782">
        <v>666</v>
      </c>
      <c r="AD670" s="782" t="s">
        <v>4573</v>
      </c>
      <c r="AE670" s="782" t="s">
        <v>3601</v>
      </c>
      <c r="AF670" s="781">
        <f>$S$1*P!AF670</f>
        <v>122.36000000000001</v>
      </c>
    </row>
    <row r="671" spans="19:32" x14ac:dyDescent="0.35">
      <c r="S671" s="782">
        <v>667</v>
      </c>
      <c r="T671" s="782" t="s">
        <v>4284</v>
      </c>
      <c r="U671" s="782" t="s">
        <v>5234</v>
      </c>
      <c r="V671" s="797">
        <f>$S$1*P!V671</f>
        <v>1.0933467741935484E-4</v>
      </c>
      <c r="W671" s="780"/>
      <c r="X671" s="782">
        <v>667</v>
      </c>
      <c r="Y671" s="782" t="s">
        <v>2248</v>
      </c>
      <c r="Z671" s="782" t="s">
        <v>3649</v>
      </c>
      <c r="AA671" s="781">
        <f>$S$1*P!AA671</f>
        <v>0</v>
      </c>
      <c r="AB671" s="780"/>
      <c r="AC671" s="782">
        <v>667</v>
      </c>
      <c r="AD671" s="782" t="s">
        <v>4573</v>
      </c>
      <c r="AE671" s="782" t="s">
        <v>5203</v>
      </c>
      <c r="AF671" s="781">
        <f>$S$1*P!AF671</f>
        <v>1.9502016129032259E-3</v>
      </c>
    </row>
    <row r="672" spans="19:32" x14ac:dyDescent="0.35">
      <c r="S672" s="782">
        <v>668</v>
      </c>
      <c r="T672" s="782" t="s">
        <v>4284</v>
      </c>
      <c r="U672" s="782" t="s">
        <v>3621</v>
      </c>
      <c r="V672" s="797">
        <f>$S$1*P!V672</f>
        <v>2.5852000000000004</v>
      </c>
      <c r="W672" s="780"/>
      <c r="X672" s="782">
        <v>668</v>
      </c>
      <c r="Y672" s="782" t="s">
        <v>2248</v>
      </c>
      <c r="Z672" s="782" t="s">
        <v>5321</v>
      </c>
      <c r="AA672" s="781">
        <f>$S$1*P!AA672</f>
        <v>2.4471774193548387E-2</v>
      </c>
      <c r="AB672" s="780"/>
      <c r="AC672" s="782">
        <v>668</v>
      </c>
      <c r="AD672" s="782" t="s">
        <v>4573</v>
      </c>
      <c r="AE672" s="782" t="s">
        <v>5202</v>
      </c>
      <c r="AF672" s="781">
        <f>$S$1*P!AF672</f>
        <v>5.5524193548387099E-3</v>
      </c>
    </row>
    <row r="673" spans="19:32" x14ac:dyDescent="0.35">
      <c r="S673" s="782">
        <v>669</v>
      </c>
      <c r="T673" s="782" t="s">
        <v>4284</v>
      </c>
      <c r="U673" s="782" t="s">
        <v>3618</v>
      </c>
      <c r="V673" s="797">
        <f>$S$1*P!V673</f>
        <v>1.0488000000000002</v>
      </c>
      <c r="W673" s="780"/>
      <c r="X673" s="782">
        <v>669</v>
      </c>
      <c r="Y673" s="782" t="s">
        <v>2248</v>
      </c>
      <c r="Z673" s="782" t="s">
        <v>5320</v>
      </c>
      <c r="AA673" s="781">
        <f>$S$1*P!AA673</f>
        <v>6.2721774193548394E-2</v>
      </c>
      <c r="AB673" s="780"/>
      <c r="AC673" s="782">
        <v>669</v>
      </c>
      <c r="AD673" s="782" t="s">
        <v>4573</v>
      </c>
      <c r="AE673" s="782" t="s">
        <v>5201</v>
      </c>
      <c r="AF673" s="781">
        <f>$S$1*P!AF673</f>
        <v>5.2096774193548393E-3</v>
      </c>
    </row>
    <row r="674" spans="19:32" x14ac:dyDescent="0.35">
      <c r="S674" s="782">
        <v>670</v>
      </c>
      <c r="T674" s="782" t="s">
        <v>4284</v>
      </c>
      <c r="U674" s="782" t="s">
        <v>3616</v>
      </c>
      <c r="V674" s="797">
        <f>$S$1*P!V674</f>
        <v>6.7804000000000002</v>
      </c>
      <c r="W674" s="780"/>
      <c r="X674" s="782">
        <v>670</v>
      </c>
      <c r="Y674" s="782" t="s">
        <v>2248</v>
      </c>
      <c r="Z674" s="782" t="s">
        <v>5665</v>
      </c>
      <c r="AA674" s="781">
        <f>$S$1*P!AA674</f>
        <v>2.15241935483871E-4</v>
      </c>
      <c r="AB674" s="780"/>
      <c r="AC674" s="782">
        <v>670</v>
      </c>
      <c r="AD674" s="782" t="s">
        <v>4573</v>
      </c>
      <c r="AE674" s="782" t="s">
        <v>5198</v>
      </c>
      <c r="AF674" s="781">
        <f>$S$1*P!AF674</f>
        <v>3.2491935483870971E-3</v>
      </c>
    </row>
    <row r="675" spans="19:32" x14ac:dyDescent="0.35">
      <c r="S675" s="782">
        <v>671</v>
      </c>
      <c r="T675" s="782" t="s">
        <v>4284</v>
      </c>
      <c r="U675" s="782" t="s">
        <v>3615</v>
      </c>
      <c r="V675" s="797">
        <f>$S$1*P!V675</f>
        <v>1.2972000000000001</v>
      </c>
      <c r="W675" s="780"/>
      <c r="X675" s="782">
        <v>671</v>
      </c>
      <c r="Y675" s="782" t="s">
        <v>2248</v>
      </c>
      <c r="Z675" s="782" t="s">
        <v>5319</v>
      </c>
      <c r="AA675" s="781">
        <f>$S$1*P!AA675</f>
        <v>9.4939516129032258E-4</v>
      </c>
      <c r="AB675" s="780"/>
      <c r="AC675" s="782">
        <v>671</v>
      </c>
      <c r="AD675" s="782" t="s">
        <v>4573</v>
      </c>
      <c r="AE675" s="782" t="s">
        <v>3600</v>
      </c>
      <c r="AF675" s="781">
        <f>$S$1*P!AF675</f>
        <v>7.3507999999999996</v>
      </c>
    </row>
    <row r="676" spans="19:32" x14ac:dyDescent="0.35">
      <c r="S676" s="782">
        <v>672</v>
      </c>
      <c r="T676" s="782" t="s">
        <v>4284</v>
      </c>
      <c r="U676" s="782" t="s">
        <v>5233</v>
      </c>
      <c r="V676" s="797">
        <f>$S$1*P!V676</f>
        <v>7.3004032258064519E-4</v>
      </c>
      <c r="W676" s="780"/>
      <c r="X676" s="782">
        <v>672</v>
      </c>
      <c r="Y676" s="782" t="s">
        <v>2248</v>
      </c>
      <c r="Z676" s="782" t="s">
        <v>5318</v>
      </c>
      <c r="AA676" s="781">
        <f>$S$1*P!AA676</f>
        <v>4.2157258064516132E-2</v>
      </c>
      <c r="AB676" s="780"/>
      <c r="AC676" s="782">
        <v>672</v>
      </c>
      <c r="AD676" s="782" t="s">
        <v>4573</v>
      </c>
      <c r="AE676" s="782" t="s">
        <v>3597</v>
      </c>
      <c r="AF676" s="781">
        <f>$S$1*P!AF676</f>
        <v>328.44</v>
      </c>
    </row>
    <row r="677" spans="19:32" x14ac:dyDescent="0.35">
      <c r="S677" s="782">
        <v>673</v>
      </c>
      <c r="T677" s="782" t="s">
        <v>4284</v>
      </c>
      <c r="U677" s="782" t="s">
        <v>3613</v>
      </c>
      <c r="V677" s="797">
        <f>$S$1*P!V677</f>
        <v>1.1316000000000002</v>
      </c>
      <c r="W677" s="780"/>
      <c r="X677" s="782">
        <v>673</v>
      </c>
      <c r="Y677" s="782" t="s">
        <v>2248</v>
      </c>
      <c r="Z677" s="782" t="s">
        <v>5664</v>
      </c>
      <c r="AA677" s="781">
        <f>$S$1*P!AA677</f>
        <v>1.3435483870967743E-3</v>
      </c>
      <c r="AB677" s="780"/>
      <c r="AC677" s="782">
        <v>673</v>
      </c>
      <c r="AD677" s="782" t="s">
        <v>4573</v>
      </c>
      <c r="AE677" s="782" t="s">
        <v>5197</v>
      </c>
      <c r="AF677" s="781">
        <f>$S$1*P!AF677</f>
        <v>3.1463709677419356E-2</v>
      </c>
    </row>
    <row r="678" spans="19:32" x14ac:dyDescent="0.35">
      <c r="S678" s="782">
        <v>674</v>
      </c>
      <c r="T678" s="782" t="s">
        <v>4284</v>
      </c>
      <c r="U678" s="782" t="s">
        <v>3612</v>
      </c>
      <c r="V678" s="797">
        <f>$S$1*P!V678</f>
        <v>1.8676000000000001</v>
      </c>
      <c r="W678" s="780"/>
      <c r="X678" s="782">
        <v>674</v>
      </c>
      <c r="Y678" s="782" t="s">
        <v>2248</v>
      </c>
      <c r="Z678" s="782" t="s">
        <v>5317</v>
      </c>
      <c r="AA678" s="781">
        <f>$S$1*P!AA678</f>
        <v>1.3401209677419356E-2</v>
      </c>
      <c r="AB678" s="780"/>
      <c r="AC678" s="782">
        <v>674</v>
      </c>
      <c r="AD678" s="782" t="s">
        <v>4573</v>
      </c>
      <c r="AE678" s="782" t="s">
        <v>5195</v>
      </c>
      <c r="AF678" s="781">
        <f>$S$1*P!AF678</f>
        <v>4.3528225806451614E-3</v>
      </c>
    </row>
    <row r="679" spans="19:32" x14ac:dyDescent="0.35">
      <c r="S679" s="782">
        <v>675</v>
      </c>
      <c r="T679" s="782" t="s">
        <v>4284</v>
      </c>
      <c r="U679" s="782" t="s">
        <v>3611</v>
      </c>
      <c r="V679" s="797">
        <f>$S$1*P!V679</f>
        <v>3.7811999999999997</v>
      </c>
      <c r="W679" s="780"/>
      <c r="X679" s="782">
        <v>675</v>
      </c>
      <c r="Y679" s="782" t="s">
        <v>2248</v>
      </c>
      <c r="Z679" s="782" t="s">
        <v>5316</v>
      </c>
      <c r="AA679" s="781">
        <f>$S$1*P!AA679</f>
        <v>2.6288306451612904E-2</v>
      </c>
      <c r="AB679" s="780"/>
      <c r="AC679" s="782">
        <v>675</v>
      </c>
      <c r="AD679" s="782" t="s">
        <v>4573</v>
      </c>
      <c r="AE679" s="782" t="s">
        <v>5193</v>
      </c>
      <c r="AF679" s="781">
        <f>$S$1*P!AF679</f>
        <v>4.0443548387096781E-3</v>
      </c>
    </row>
    <row r="680" spans="19:32" x14ac:dyDescent="0.35">
      <c r="S680" s="782">
        <v>676</v>
      </c>
      <c r="T680" s="782" t="s">
        <v>4284</v>
      </c>
      <c r="U680" s="782" t="s">
        <v>3609</v>
      </c>
      <c r="V680" s="797">
        <f>$S$1*P!V680</f>
        <v>6.1916000000000002</v>
      </c>
      <c r="W680" s="873"/>
      <c r="X680" s="782">
        <v>676</v>
      </c>
      <c r="Y680" s="782" t="s">
        <v>2248</v>
      </c>
      <c r="Z680" s="782" t="s">
        <v>5315</v>
      </c>
      <c r="AA680" s="781">
        <f>$S$1*P!AA680</f>
        <v>2.0872983870967744E-2</v>
      </c>
      <c r="AB680" s="780"/>
      <c r="AC680" s="782">
        <v>676</v>
      </c>
      <c r="AD680" s="782" t="s">
        <v>4573</v>
      </c>
      <c r="AE680" s="782" t="s">
        <v>3596</v>
      </c>
      <c r="AF680" s="781">
        <f>$S$1*P!AF680</f>
        <v>0</v>
      </c>
    </row>
    <row r="681" spans="19:32" x14ac:dyDescent="0.35">
      <c r="S681" s="782">
        <v>677</v>
      </c>
      <c r="T681" s="782" t="s">
        <v>4284</v>
      </c>
      <c r="U681" s="782" t="s">
        <v>5232</v>
      </c>
      <c r="V681" s="797">
        <f>$S$1*P!V681</f>
        <v>9.6653225806451627E-3</v>
      </c>
      <c r="W681" s="873"/>
      <c r="X681" s="782">
        <v>677</v>
      </c>
      <c r="Y681" s="782" t="s">
        <v>2248</v>
      </c>
      <c r="Z681" s="782" t="s">
        <v>5663</v>
      </c>
      <c r="AA681" s="781">
        <f>$S$1*P!AA681</f>
        <v>5.6209677419354844E-7</v>
      </c>
      <c r="AB681" s="780"/>
      <c r="AC681" s="782">
        <v>677</v>
      </c>
      <c r="AD681" s="782" t="s">
        <v>4573</v>
      </c>
      <c r="AE681" s="782" t="s">
        <v>3594</v>
      </c>
      <c r="AF681" s="781">
        <f>$S$1*P!AF681</f>
        <v>0.11132000000000002</v>
      </c>
    </row>
    <row r="682" spans="19:32" x14ac:dyDescent="0.35">
      <c r="S682" s="782">
        <v>678</v>
      </c>
      <c r="T682" s="782" t="s">
        <v>4284</v>
      </c>
      <c r="U682" s="782" t="s">
        <v>5231</v>
      </c>
      <c r="V682" s="797">
        <f>$S$1*P!V682</f>
        <v>5.3467741935483877E-3</v>
      </c>
      <c r="W682" s="780"/>
      <c r="X682" s="782">
        <v>678</v>
      </c>
      <c r="Y682" s="782" t="s">
        <v>2248</v>
      </c>
      <c r="Z682" s="782" t="s">
        <v>5314</v>
      </c>
      <c r="AA682" s="781">
        <f>$S$1*P!AA682</f>
        <v>2.8756048387096778E-4</v>
      </c>
      <c r="AB682" s="780"/>
      <c r="AC682" s="782">
        <v>678</v>
      </c>
      <c r="AD682" s="782" t="s">
        <v>4573</v>
      </c>
      <c r="AE682" s="782" t="s">
        <v>5191</v>
      </c>
      <c r="AF682" s="781">
        <f>$S$1*P!AF682</f>
        <v>1.3195564516129034E-2</v>
      </c>
    </row>
    <row r="683" spans="19:32" x14ac:dyDescent="0.35">
      <c r="S683" s="782">
        <v>679</v>
      </c>
      <c r="T683" s="782" t="s">
        <v>4284</v>
      </c>
      <c r="U683" s="782" t="s">
        <v>5230</v>
      </c>
      <c r="V683" s="797">
        <f>$S$1*P!V683</f>
        <v>0.72318548387096782</v>
      </c>
      <c r="W683" s="780"/>
      <c r="X683" s="782">
        <v>679</v>
      </c>
      <c r="Y683" s="782" t="s">
        <v>2248</v>
      </c>
      <c r="Z683" s="782" t="s">
        <v>5313</v>
      </c>
      <c r="AA683" s="781">
        <f>$S$1*P!AA683</f>
        <v>1.4326612903225807E-2</v>
      </c>
      <c r="AB683" s="780"/>
      <c r="AC683" s="782">
        <v>679</v>
      </c>
      <c r="AD683" s="782" t="s">
        <v>4573</v>
      </c>
      <c r="AE683" s="782" t="s">
        <v>5187</v>
      </c>
      <c r="AF683" s="781">
        <f>$S$1*P!AF683</f>
        <v>6.4778225806451611E-4</v>
      </c>
    </row>
    <row r="684" spans="19:32" x14ac:dyDescent="0.35">
      <c r="S684" s="782">
        <v>680</v>
      </c>
      <c r="T684" s="782" t="s">
        <v>4284</v>
      </c>
      <c r="U684" s="782" t="s">
        <v>5229</v>
      </c>
      <c r="V684" s="797">
        <f>$S$1*P!V684</f>
        <v>1.9673387096774196E-6</v>
      </c>
      <c r="W684" s="780"/>
      <c r="X684" s="782">
        <v>680</v>
      </c>
      <c r="Y684" s="782" t="s">
        <v>2248</v>
      </c>
      <c r="Z684" s="782" t="s">
        <v>5662</v>
      </c>
      <c r="AA684" s="781">
        <f>$S$1*P!AA684</f>
        <v>1.0145161290322581E-4</v>
      </c>
      <c r="AB684" s="780"/>
      <c r="AC684" s="782">
        <v>680</v>
      </c>
      <c r="AD684" s="782" t="s">
        <v>4573</v>
      </c>
      <c r="AE684" s="782" t="s">
        <v>5185</v>
      </c>
      <c r="AF684" s="781">
        <f>$S$1*P!AF684</f>
        <v>1.751411290322581E-4</v>
      </c>
    </row>
    <row r="685" spans="19:32" x14ac:dyDescent="0.35">
      <c r="S685" s="782">
        <v>681</v>
      </c>
      <c r="T685" s="782" t="s">
        <v>4284</v>
      </c>
      <c r="U685" s="782" t="s">
        <v>5228</v>
      </c>
      <c r="V685" s="797">
        <f>$S$1*P!V685</f>
        <v>2.8550403225806455E-2</v>
      </c>
      <c r="W685" s="780"/>
      <c r="X685" s="782">
        <v>681</v>
      </c>
      <c r="Y685" s="782" t="s">
        <v>2248</v>
      </c>
      <c r="Z685" s="782" t="s">
        <v>5312</v>
      </c>
      <c r="AA685" s="781">
        <f>$S$1*P!AA685</f>
        <v>4.72983870967742E-4</v>
      </c>
      <c r="AB685" s="780"/>
      <c r="AC685" s="782">
        <v>681</v>
      </c>
      <c r="AD685" s="782" t="s">
        <v>4573</v>
      </c>
      <c r="AE685" s="782" t="s">
        <v>5182</v>
      </c>
      <c r="AF685" s="781">
        <f>$S$1*P!AF685</f>
        <v>3.7358870967741938E-2</v>
      </c>
    </row>
    <row r="686" spans="19:32" x14ac:dyDescent="0.35">
      <c r="S686" s="782">
        <v>682</v>
      </c>
      <c r="T686" s="782" t="s">
        <v>4284</v>
      </c>
      <c r="U686" s="782" t="s">
        <v>3607</v>
      </c>
      <c r="V686" s="797">
        <f>$S$1*P!V686</f>
        <v>95.679999999999993</v>
      </c>
      <c r="W686" s="780"/>
      <c r="X686" s="782">
        <v>682</v>
      </c>
      <c r="Y686" s="782" t="s">
        <v>2248</v>
      </c>
      <c r="Z686" s="782" t="s">
        <v>5311</v>
      </c>
      <c r="AA686" s="781">
        <f>$S$1*P!AA686</f>
        <v>1.2715725806451614E-3</v>
      </c>
      <c r="AB686" s="780"/>
      <c r="AC686" s="782">
        <v>682</v>
      </c>
      <c r="AD686" s="782" t="s">
        <v>4573</v>
      </c>
      <c r="AE686" s="782" t="s">
        <v>5180</v>
      </c>
      <c r="AF686" s="781">
        <f>$S$1*P!AF686</f>
        <v>1.8645161290322583</v>
      </c>
    </row>
    <row r="687" spans="19:32" x14ac:dyDescent="0.35">
      <c r="S687" s="782">
        <v>683</v>
      </c>
      <c r="T687" s="782" t="s">
        <v>4284</v>
      </c>
      <c r="U687" s="782" t="s">
        <v>5227</v>
      </c>
      <c r="V687" s="797">
        <f>$S$1*P!V687</f>
        <v>4.3185483870967746E-4</v>
      </c>
      <c r="W687" s="780"/>
      <c r="X687" s="782">
        <v>683</v>
      </c>
      <c r="Y687" s="782" t="s">
        <v>2248</v>
      </c>
      <c r="Z687" s="782" t="s">
        <v>3805</v>
      </c>
      <c r="AA687" s="781">
        <f>$S$1*P!AA687</f>
        <v>5.0725806451612907E-6</v>
      </c>
      <c r="AB687" s="780"/>
      <c r="AC687" s="782">
        <v>683</v>
      </c>
      <c r="AD687" s="782" t="s">
        <v>4573</v>
      </c>
      <c r="AE687" s="782" t="s">
        <v>3591</v>
      </c>
      <c r="AF687" s="781">
        <f>$S$1*P!AF687</f>
        <v>16.099999999999998</v>
      </c>
    </row>
    <row r="688" spans="19:32" x14ac:dyDescent="0.35">
      <c r="S688" s="782">
        <v>684</v>
      </c>
      <c r="T688" s="782" t="s">
        <v>4284</v>
      </c>
      <c r="U688" s="782" t="s">
        <v>5226</v>
      </c>
      <c r="V688" s="797">
        <f>$S$1*P!V688</f>
        <v>5.4838709677419361E-3</v>
      </c>
      <c r="W688" s="780"/>
      <c r="X688" s="782">
        <v>684</v>
      </c>
      <c r="Y688" s="782" t="s">
        <v>2248</v>
      </c>
      <c r="Z688" s="782" t="s">
        <v>5310</v>
      </c>
      <c r="AA688" s="781">
        <f>$S$1*P!AA688</f>
        <v>5.3810483870967742E-4</v>
      </c>
      <c r="AB688" s="780"/>
      <c r="AC688" s="782">
        <v>684</v>
      </c>
      <c r="AD688" s="782" t="s">
        <v>4573</v>
      </c>
      <c r="AE688" s="782" t="s">
        <v>5177</v>
      </c>
      <c r="AF688" s="781">
        <f>$S$1*P!AF688</f>
        <v>1.8370967741935484E-2</v>
      </c>
    </row>
    <row r="689" spans="19:32" x14ac:dyDescent="0.35">
      <c r="S689" s="782">
        <v>685</v>
      </c>
      <c r="T689" s="782" t="s">
        <v>4284</v>
      </c>
      <c r="U689" s="782" t="s">
        <v>5225</v>
      </c>
      <c r="V689" s="797">
        <f>$S$1*P!V689</f>
        <v>1.9296370967741935E-2</v>
      </c>
      <c r="W689" s="780"/>
      <c r="X689" s="782">
        <v>685</v>
      </c>
      <c r="Y689" s="782" t="s">
        <v>2248</v>
      </c>
      <c r="Z689" s="782" t="s">
        <v>5309</v>
      </c>
      <c r="AA689" s="781">
        <f>$S$1*P!AA689</f>
        <v>2.2141129032258067E-4</v>
      </c>
      <c r="AB689" s="780"/>
      <c r="AC689" s="782">
        <v>685</v>
      </c>
      <c r="AD689" s="782" t="s">
        <v>4573</v>
      </c>
      <c r="AE689" s="782" t="s">
        <v>5175</v>
      </c>
      <c r="AF689" s="781">
        <f>$S$1*P!AF689</f>
        <v>3.9758064516129035E-3</v>
      </c>
    </row>
    <row r="690" spans="19:32" x14ac:dyDescent="0.35">
      <c r="S690" s="782">
        <v>686</v>
      </c>
      <c r="T690" s="782" t="s">
        <v>4284</v>
      </c>
      <c r="U690" s="782" t="s">
        <v>5224</v>
      </c>
      <c r="V690" s="797">
        <f>$S$1*P!V690</f>
        <v>1.038508064516129E-2</v>
      </c>
      <c r="W690" s="780"/>
      <c r="X690" s="782">
        <v>686</v>
      </c>
      <c r="Y690" s="782" t="s">
        <v>2248</v>
      </c>
      <c r="Z690" s="782" t="s">
        <v>5308</v>
      </c>
      <c r="AA690" s="781">
        <f>$S$1*P!AA690</f>
        <v>7.3346774193548394E-3</v>
      </c>
      <c r="AB690" s="780"/>
      <c r="AC690" s="782">
        <v>686</v>
      </c>
      <c r="AD690" s="782" t="s">
        <v>4573</v>
      </c>
      <c r="AE690" s="782" t="s">
        <v>5172</v>
      </c>
      <c r="AF690" s="781">
        <f>$S$1*P!AF690</f>
        <v>1.6897177419354838E-2</v>
      </c>
    </row>
    <row r="691" spans="19:32" x14ac:dyDescent="0.35">
      <c r="S691" s="782">
        <v>687</v>
      </c>
      <c r="T691" s="782" t="s">
        <v>4284</v>
      </c>
      <c r="U691" s="782" t="s">
        <v>5223</v>
      </c>
      <c r="V691" s="797">
        <f>$S$1*P!V691</f>
        <v>1.8439516129032259E-3</v>
      </c>
      <c r="W691" s="780"/>
      <c r="X691" s="782">
        <v>687</v>
      </c>
      <c r="Y691" s="782" t="s">
        <v>2248</v>
      </c>
      <c r="Z691" s="782" t="s">
        <v>5661</v>
      </c>
      <c r="AA691" s="781">
        <f>$S$1*P!AA691</f>
        <v>2.6562500000000002E-4</v>
      </c>
      <c r="AB691" s="780"/>
      <c r="AC691" s="782">
        <v>687</v>
      </c>
      <c r="AD691" s="782" t="s">
        <v>4573</v>
      </c>
      <c r="AE691" s="782" t="s">
        <v>5169</v>
      </c>
      <c r="AF691" s="781">
        <f>$S$1*P!AF691</f>
        <v>5.0383064516129031E-4</v>
      </c>
    </row>
    <row r="692" spans="19:32" x14ac:dyDescent="0.35">
      <c r="S692" s="782">
        <v>688</v>
      </c>
      <c r="T692" s="782" t="s">
        <v>4284</v>
      </c>
      <c r="U692" s="782" t="s">
        <v>5222</v>
      </c>
      <c r="V692" s="797">
        <f>$S$1*P!V692</f>
        <v>1.8508064516129033E-2</v>
      </c>
      <c r="W692" s="780"/>
      <c r="X692" s="782">
        <v>688</v>
      </c>
      <c r="Y692" s="782" t="s">
        <v>2248</v>
      </c>
      <c r="Z692" s="782" t="s">
        <v>5307</v>
      </c>
      <c r="AA692" s="781">
        <f>$S$1*P!AA692</f>
        <v>6.5463709677419362E-3</v>
      </c>
      <c r="AB692" s="780"/>
      <c r="AC692" s="782">
        <v>688</v>
      </c>
      <c r="AD692" s="782" t="s">
        <v>4573</v>
      </c>
      <c r="AE692" s="782" t="s">
        <v>5167</v>
      </c>
      <c r="AF692" s="781">
        <f>$S$1*P!AF692</f>
        <v>2.0735887096774195E-4</v>
      </c>
    </row>
    <row r="693" spans="19:32" x14ac:dyDescent="0.35">
      <c r="S693" s="782">
        <v>689</v>
      </c>
      <c r="T693" s="782" t="s">
        <v>4284</v>
      </c>
      <c r="U693" s="782" t="s">
        <v>5221</v>
      </c>
      <c r="V693" s="797">
        <f>$S$1*P!V693</f>
        <v>5.7580645161290332E-4</v>
      </c>
      <c r="W693" s="780"/>
      <c r="X693" s="782">
        <v>689</v>
      </c>
      <c r="Y693" s="782" t="s">
        <v>2248</v>
      </c>
      <c r="Z693" s="782" t="s">
        <v>5306</v>
      </c>
      <c r="AA693" s="781">
        <f>$S$1*P!AA693</f>
        <v>4.5927419354838711E-2</v>
      </c>
      <c r="AB693" s="780"/>
      <c r="AC693" s="782">
        <v>689</v>
      </c>
      <c r="AD693" s="782" t="s">
        <v>4573</v>
      </c>
      <c r="AE693" s="782" t="s">
        <v>5166</v>
      </c>
      <c r="AF693" s="781">
        <f>$S$1*P!AF693</f>
        <v>6.8548387096774202E-4</v>
      </c>
    </row>
    <row r="694" spans="19:32" x14ac:dyDescent="0.35">
      <c r="S694" s="782">
        <v>690</v>
      </c>
      <c r="T694" s="782" t="s">
        <v>4284</v>
      </c>
      <c r="U694" s="782" t="s">
        <v>5220</v>
      </c>
      <c r="V694" s="797">
        <f>$S$1*P!V694</f>
        <v>1.4463709677419356E-3</v>
      </c>
      <c r="W694" s="780"/>
      <c r="X694" s="782">
        <v>690</v>
      </c>
      <c r="Y694" s="782" t="s">
        <v>2248</v>
      </c>
      <c r="Z694" s="782" t="s">
        <v>5660</v>
      </c>
      <c r="AA694" s="781">
        <f>$S$1*P!AA694</f>
        <v>6.7177419354838711E-3</v>
      </c>
      <c r="AB694" s="780"/>
      <c r="AC694" s="782">
        <v>690</v>
      </c>
      <c r="AD694" s="782" t="s">
        <v>4573</v>
      </c>
      <c r="AE694" s="782" t="s">
        <v>5164</v>
      </c>
      <c r="AF694" s="781">
        <f>$S$1*P!AF694</f>
        <v>1.6074596774193549E-3</v>
      </c>
    </row>
    <row r="695" spans="19:32" x14ac:dyDescent="0.35">
      <c r="S695" s="782">
        <v>691</v>
      </c>
      <c r="T695" s="782" t="s">
        <v>4284</v>
      </c>
      <c r="U695" s="782" t="s">
        <v>5219</v>
      </c>
      <c r="V695" s="797">
        <f>$S$1*P!V695</f>
        <v>4.9012096774193555E-4</v>
      </c>
      <c r="W695" s="823"/>
      <c r="X695" s="782">
        <v>691</v>
      </c>
      <c r="Y695" s="782" t="s">
        <v>2248</v>
      </c>
      <c r="Z695" s="782" t="s">
        <v>5305</v>
      </c>
      <c r="AA695" s="781">
        <f>$S$1*P!AA695</f>
        <v>6.9576612903225819E-4</v>
      </c>
      <c r="AB695" s="780"/>
      <c r="AC695" s="782">
        <v>691</v>
      </c>
      <c r="AD695" s="782" t="s">
        <v>4573</v>
      </c>
      <c r="AE695" s="782" t="s">
        <v>5162</v>
      </c>
      <c r="AF695" s="781">
        <f>$S$1*P!AF695</f>
        <v>1.1139112903225807E-4</v>
      </c>
    </row>
    <row r="696" spans="19:32" x14ac:dyDescent="0.35">
      <c r="S696" s="782">
        <v>692</v>
      </c>
      <c r="T696" s="782" t="s">
        <v>4284</v>
      </c>
      <c r="U696" s="782" t="s">
        <v>5217</v>
      </c>
      <c r="V696" s="797">
        <f>$S$1*P!V696</f>
        <v>3.6673387096774194E-4</v>
      </c>
      <c r="W696" s="823"/>
      <c r="X696" s="782">
        <v>692</v>
      </c>
      <c r="Y696" s="782" t="s">
        <v>2248</v>
      </c>
      <c r="Z696" s="782" t="s">
        <v>3648</v>
      </c>
      <c r="AA696" s="781">
        <f>$S$1*P!AA696</f>
        <v>1.8952E-2</v>
      </c>
      <c r="AB696" s="780"/>
      <c r="AC696" s="782">
        <v>692</v>
      </c>
      <c r="AD696" s="782" t="s">
        <v>4573</v>
      </c>
      <c r="AE696" s="782" t="s">
        <v>5159</v>
      </c>
      <c r="AF696" s="781">
        <f>$S$1*P!AF696</f>
        <v>5.0040322580645162E-4</v>
      </c>
    </row>
    <row r="697" spans="19:32" x14ac:dyDescent="0.35">
      <c r="S697" s="782">
        <v>693</v>
      </c>
      <c r="T697" s="782" t="s">
        <v>4284</v>
      </c>
      <c r="U697" s="782" t="s">
        <v>5216</v>
      </c>
      <c r="V697" s="797">
        <f>$S$1*P!V697</f>
        <v>2.2860887096774196E-4</v>
      </c>
      <c r="W697" s="823"/>
      <c r="X697" s="782">
        <v>693</v>
      </c>
      <c r="Y697" s="782" t="s">
        <v>2248</v>
      </c>
      <c r="Z697" s="782" t="s">
        <v>3645</v>
      </c>
      <c r="AA697" s="781">
        <f>$S$1*P!AA697</f>
        <v>0.1242</v>
      </c>
      <c r="AB697" s="780"/>
      <c r="AC697" s="782">
        <v>693</v>
      </c>
      <c r="AD697" s="782" t="s">
        <v>4573</v>
      </c>
      <c r="AE697" s="782" t="s">
        <v>5157</v>
      </c>
      <c r="AF697" s="781">
        <f>$S$1*P!AF697</f>
        <v>1.4360887096774193E-3</v>
      </c>
    </row>
    <row r="698" spans="19:32" x14ac:dyDescent="0.35">
      <c r="S698" s="782">
        <v>694</v>
      </c>
      <c r="T698" s="782" t="s">
        <v>4284</v>
      </c>
      <c r="U698" s="782" t="s">
        <v>5215</v>
      </c>
      <c r="V698" s="797">
        <f>$S$1*P!V698</f>
        <v>1.477217741935484E-2</v>
      </c>
      <c r="W698" s="823"/>
      <c r="X698" s="782">
        <v>694</v>
      </c>
      <c r="Y698" s="782" t="s">
        <v>2248</v>
      </c>
      <c r="Z698" s="782" t="s">
        <v>5659</v>
      </c>
      <c r="AA698" s="781">
        <f>$S$1*P!AA698</f>
        <v>2.7350806451612909E-4</v>
      </c>
      <c r="AB698" s="780"/>
      <c r="AC698" s="782">
        <v>694</v>
      </c>
      <c r="AD698" s="782" t="s">
        <v>4573</v>
      </c>
      <c r="AE698" s="782" t="s">
        <v>5156</v>
      </c>
      <c r="AF698" s="781">
        <f>$S$1*P!AF698</f>
        <v>2.3683467741935485E-4</v>
      </c>
    </row>
    <row r="699" spans="19:32" x14ac:dyDescent="0.35">
      <c r="S699" s="782">
        <v>695</v>
      </c>
      <c r="T699" s="782" t="s">
        <v>4284</v>
      </c>
      <c r="U699" s="782" t="s">
        <v>5214</v>
      </c>
      <c r="V699" s="797">
        <f>$S$1*P!V699</f>
        <v>2.8995967741935488E-4</v>
      </c>
      <c r="W699" s="823"/>
      <c r="X699" s="782">
        <v>695</v>
      </c>
      <c r="Y699" s="782" t="s">
        <v>2248</v>
      </c>
      <c r="Z699" s="782" t="s">
        <v>5304</v>
      </c>
      <c r="AA699" s="781">
        <f>$S$1*P!AA699</f>
        <v>5.9979838709677422E-2</v>
      </c>
      <c r="AB699" s="780"/>
      <c r="AC699" s="782">
        <v>695</v>
      </c>
      <c r="AD699" s="782" t="s">
        <v>4573</v>
      </c>
      <c r="AE699" s="782" t="s">
        <v>5155</v>
      </c>
      <c r="AF699" s="781">
        <f>$S$1*P!AF699</f>
        <v>0.23135080645161293</v>
      </c>
    </row>
    <row r="700" spans="19:32" x14ac:dyDescent="0.35">
      <c r="S700" s="782">
        <v>696</v>
      </c>
      <c r="T700" s="782" t="s">
        <v>4284</v>
      </c>
      <c r="U700" s="782" t="s">
        <v>5213</v>
      </c>
      <c r="V700" s="797">
        <f>$S$1*P!V700</f>
        <v>2.5054435483870971E-2</v>
      </c>
      <c r="W700" s="823"/>
      <c r="X700" s="782">
        <v>696</v>
      </c>
      <c r="Y700" s="782" t="s">
        <v>2248</v>
      </c>
      <c r="Z700" s="782" t="s">
        <v>5303</v>
      </c>
      <c r="AA700" s="781">
        <f>$S$1*P!AA700</f>
        <v>1.5286290322580646E-4</v>
      </c>
      <c r="AB700" s="780"/>
      <c r="AC700" s="782">
        <v>696</v>
      </c>
      <c r="AD700" s="782" t="s">
        <v>4573</v>
      </c>
      <c r="AE700" s="782" t="s">
        <v>5154</v>
      </c>
      <c r="AF700" s="781">
        <f>$S$1*P!AF700</f>
        <v>1.5320564516129034E-2</v>
      </c>
    </row>
    <row r="701" spans="19:32" x14ac:dyDescent="0.35">
      <c r="S701" s="782">
        <v>697</v>
      </c>
      <c r="T701" s="782" t="s">
        <v>4284</v>
      </c>
      <c r="U701" s="782" t="s">
        <v>5212</v>
      </c>
      <c r="V701" s="797">
        <f>$S$1*P!V701</f>
        <v>3.4239919354838713E-3</v>
      </c>
      <c r="W701" s="823"/>
      <c r="X701" s="782">
        <v>697</v>
      </c>
      <c r="Y701" s="782" t="s">
        <v>2248</v>
      </c>
      <c r="Z701" s="782" t="s">
        <v>5658</v>
      </c>
      <c r="AA701" s="781">
        <f>$S$1*P!AA701</f>
        <v>2.7967741935483871E-3</v>
      </c>
      <c r="AB701" s="780"/>
      <c r="AC701" s="782">
        <v>697</v>
      </c>
      <c r="AD701" s="782" t="s">
        <v>4573</v>
      </c>
      <c r="AE701" s="782" t="s">
        <v>5153</v>
      </c>
      <c r="AF701" s="781">
        <f>$S$1*P!AF701</f>
        <v>0.13092741935483873</v>
      </c>
    </row>
    <row r="702" spans="19:32" x14ac:dyDescent="0.35">
      <c r="S702" s="782">
        <v>698</v>
      </c>
      <c r="T702" s="782" t="s">
        <v>4284</v>
      </c>
      <c r="U702" s="782" t="s">
        <v>3606</v>
      </c>
      <c r="V702" s="797">
        <f>$S$1*P!V702</f>
        <v>0.89332000000000011</v>
      </c>
      <c r="W702" s="823"/>
      <c r="X702" s="782">
        <v>698</v>
      </c>
      <c r="Y702" s="782" t="s">
        <v>2248</v>
      </c>
      <c r="Z702" s="782" t="s">
        <v>5302</v>
      </c>
      <c r="AA702" s="781">
        <f>$S$1*P!AA702</f>
        <v>4.3528225806451615E-4</v>
      </c>
      <c r="AB702" s="780"/>
      <c r="AC702" s="782">
        <v>698</v>
      </c>
      <c r="AD702" s="782" t="s">
        <v>4573</v>
      </c>
      <c r="AE702" s="782" t="s">
        <v>5151</v>
      </c>
      <c r="AF702" s="781">
        <f>$S$1*P!AF702</f>
        <v>1.0076612903225807E-2</v>
      </c>
    </row>
    <row r="703" spans="19:32" x14ac:dyDescent="0.35">
      <c r="S703" s="782">
        <v>699</v>
      </c>
      <c r="T703" s="782" t="s">
        <v>4284</v>
      </c>
      <c r="U703" s="782" t="s">
        <v>5211</v>
      </c>
      <c r="V703" s="797">
        <f>$S$1*P!V703</f>
        <v>9.8024193548387097E-5</v>
      </c>
      <c r="W703" s="823"/>
      <c r="X703" s="782">
        <v>699</v>
      </c>
      <c r="Y703" s="782" t="s">
        <v>2248</v>
      </c>
      <c r="Z703" s="782" t="s">
        <v>5301</v>
      </c>
      <c r="AA703" s="781">
        <f>$S$1*P!AA703</f>
        <v>1.1276209677419356E-3</v>
      </c>
      <c r="AB703" s="780"/>
      <c r="AC703" s="782">
        <v>699</v>
      </c>
      <c r="AD703" s="782" t="s">
        <v>4573</v>
      </c>
      <c r="AE703" s="782" t="s">
        <v>3588</v>
      </c>
      <c r="AF703" s="781">
        <f>$S$1*P!AF703</f>
        <v>0.31556000000000001</v>
      </c>
    </row>
    <row r="704" spans="19:32" x14ac:dyDescent="0.35">
      <c r="S704" s="782">
        <v>700</v>
      </c>
      <c r="T704" s="782" t="s">
        <v>4284</v>
      </c>
      <c r="U704" s="782" t="s">
        <v>5210</v>
      </c>
      <c r="V704" s="797">
        <f>$S$1*P!V704</f>
        <v>3.7016129032258068E-4</v>
      </c>
      <c r="W704" s="823"/>
      <c r="X704" s="782">
        <v>700</v>
      </c>
      <c r="Y704" s="782" t="s">
        <v>2248</v>
      </c>
      <c r="Z704" s="782" t="s">
        <v>5657</v>
      </c>
      <c r="AA704" s="781">
        <f>$S$1*P!AA704</f>
        <v>4.3870967741935487E-3</v>
      </c>
      <c r="AB704" s="780"/>
      <c r="AC704" s="782">
        <v>700</v>
      </c>
      <c r="AD704" s="782" t="s">
        <v>4573</v>
      </c>
      <c r="AE704" s="782" t="s">
        <v>5150</v>
      </c>
      <c r="AF704" s="781">
        <f>$S$1*P!AF704</f>
        <v>0.32697580645161295</v>
      </c>
    </row>
    <row r="705" spans="19:32" x14ac:dyDescent="0.35">
      <c r="S705" s="782">
        <v>701</v>
      </c>
      <c r="T705" s="782" t="s">
        <v>4284</v>
      </c>
      <c r="U705" s="782" t="s">
        <v>3603</v>
      </c>
      <c r="V705" s="797">
        <f>$S$1*P!V705</f>
        <v>4.6643999999999998E-2</v>
      </c>
      <c r="W705" s="780"/>
      <c r="X705" s="782">
        <v>701</v>
      </c>
      <c r="Y705" s="782" t="s">
        <v>2248</v>
      </c>
      <c r="Z705" s="782" t="s">
        <v>5300</v>
      </c>
      <c r="AA705" s="781">
        <f>$S$1*P!AA705</f>
        <v>5.3467741935483877E-3</v>
      </c>
      <c r="AB705" s="780"/>
      <c r="AC705" s="782">
        <v>701</v>
      </c>
      <c r="AD705" s="782" t="s">
        <v>4573</v>
      </c>
      <c r="AE705" s="782" t="s">
        <v>5148</v>
      </c>
      <c r="AF705" s="781">
        <f>$S$1*P!AF705</f>
        <v>2.5328629032258066E-2</v>
      </c>
    </row>
    <row r="706" spans="19:32" x14ac:dyDescent="0.35">
      <c r="S706" s="782">
        <v>702</v>
      </c>
      <c r="T706" s="782" t="s">
        <v>4284</v>
      </c>
      <c r="U706" s="782" t="s">
        <v>5209</v>
      </c>
      <c r="V706" s="797">
        <f>$S$1*P!V706</f>
        <v>6.4435483870967751E-3</v>
      </c>
      <c r="W706" s="780"/>
      <c r="X706" s="782">
        <v>702</v>
      </c>
      <c r="Y706" s="782" t="s">
        <v>2248</v>
      </c>
      <c r="Z706" s="782" t="s">
        <v>5299</v>
      </c>
      <c r="AA706" s="781">
        <f>$S$1*P!AA706</f>
        <v>1.7205645161290324E-4</v>
      </c>
      <c r="AB706" s="780"/>
      <c r="AC706" s="782">
        <v>702</v>
      </c>
      <c r="AD706" s="782" t="s">
        <v>4573</v>
      </c>
      <c r="AE706" s="782" t="s">
        <v>3586</v>
      </c>
      <c r="AF706" s="781">
        <f>$S$1*P!AF706</f>
        <v>3.3691532258064517E-2</v>
      </c>
    </row>
    <row r="707" spans="19:32" x14ac:dyDescent="0.35">
      <c r="S707" s="782">
        <v>703</v>
      </c>
      <c r="T707" s="782" t="s">
        <v>4284</v>
      </c>
      <c r="U707" s="782" t="s">
        <v>5208</v>
      </c>
      <c r="V707" s="797">
        <f>$S$1*P!V707</f>
        <v>9.45967741935484E-4</v>
      </c>
      <c r="W707" s="780"/>
      <c r="X707" s="782">
        <v>703</v>
      </c>
      <c r="Y707" s="782" t="s">
        <v>2248</v>
      </c>
      <c r="Z707" s="782" t="s">
        <v>5298</v>
      </c>
      <c r="AA707" s="781">
        <f>$S$1*P!AA707</f>
        <v>4.6955645161290326E-4</v>
      </c>
      <c r="AB707" s="780"/>
      <c r="AC707" s="782">
        <v>703</v>
      </c>
      <c r="AD707" s="782" t="s">
        <v>4573</v>
      </c>
      <c r="AE707" s="782" t="s">
        <v>3586</v>
      </c>
      <c r="AF707" s="781">
        <f>$S$1*P!AF707</f>
        <v>0.24196000000000001</v>
      </c>
    </row>
    <row r="708" spans="19:32" x14ac:dyDescent="0.35">
      <c r="S708" s="782">
        <v>704</v>
      </c>
      <c r="T708" s="782" t="s">
        <v>4284</v>
      </c>
      <c r="U708" s="782" t="s">
        <v>5207</v>
      </c>
      <c r="V708" s="797">
        <f>$S$1*P!V708</f>
        <v>2.2792338709677422E-4</v>
      </c>
      <c r="W708" s="780"/>
      <c r="X708" s="782">
        <v>704</v>
      </c>
      <c r="Y708" s="782" t="s">
        <v>2248</v>
      </c>
      <c r="Z708" s="782" t="s">
        <v>5656</v>
      </c>
      <c r="AA708" s="781">
        <f>$S$1*P!AA708</f>
        <v>1.2441532258064518E-2</v>
      </c>
      <c r="AB708" s="780"/>
      <c r="AC708" s="782">
        <v>704</v>
      </c>
      <c r="AD708" s="782" t="s">
        <v>4573</v>
      </c>
      <c r="AE708" s="782" t="s">
        <v>5145</v>
      </c>
      <c r="AF708" s="781">
        <f>$S$1*P!AF708</f>
        <v>3.1600806451612904</v>
      </c>
    </row>
    <row r="709" spans="19:32" x14ac:dyDescent="0.35">
      <c r="S709" s="782">
        <v>705</v>
      </c>
      <c r="T709" s="782" t="s">
        <v>4284</v>
      </c>
      <c r="U709" s="782" t="s">
        <v>5206</v>
      </c>
      <c r="V709" s="797">
        <f>$S$1*P!V709</f>
        <v>1.5629032258064515E-4</v>
      </c>
      <c r="W709" s="780"/>
      <c r="X709" s="782">
        <v>705</v>
      </c>
      <c r="Y709" s="782" t="s">
        <v>2248</v>
      </c>
      <c r="Z709" s="782" t="s">
        <v>5297</v>
      </c>
      <c r="AA709" s="781">
        <f>$S$1*P!AA709</f>
        <v>5.9294354838709683E-5</v>
      </c>
      <c r="AB709" s="780"/>
      <c r="AC709" s="782">
        <v>705</v>
      </c>
      <c r="AD709" s="782" t="s">
        <v>4573</v>
      </c>
      <c r="AE709" s="782" t="s">
        <v>5144</v>
      </c>
      <c r="AF709" s="781">
        <f>$S$1*P!AF709</f>
        <v>3.6673387096774194E-4</v>
      </c>
    </row>
    <row r="710" spans="19:32" x14ac:dyDescent="0.35">
      <c r="S710" s="782">
        <v>706</v>
      </c>
      <c r="T710" s="782" t="s">
        <v>4284</v>
      </c>
      <c r="U710" s="782" t="s">
        <v>5204</v>
      </c>
      <c r="V710" s="797">
        <f>$S$1*P!V710</f>
        <v>2.930443548387097E-3</v>
      </c>
      <c r="W710" s="823"/>
      <c r="X710" s="782">
        <v>706</v>
      </c>
      <c r="Y710" s="782" t="s">
        <v>2248</v>
      </c>
      <c r="Z710" s="782" t="s">
        <v>5296</v>
      </c>
      <c r="AA710" s="781">
        <f>$S$1*P!AA710</f>
        <v>4.8326612903225807E-4</v>
      </c>
      <c r="AB710" s="780"/>
      <c r="AC710" s="782">
        <v>706</v>
      </c>
      <c r="AD710" s="782" t="s">
        <v>4573</v>
      </c>
      <c r="AE710" s="782" t="s">
        <v>5143</v>
      </c>
      <c r="AF710" s="781">
        <f>$S$1*P!AF710</f>
        <v>0.11516129032258066</v>
      </c>
    </row>
    <row r="711" spans="19:32" x14ac:dyDescent="0.35">
      <c r="S711" s="782">
        <v>707</v>
      </c>
      <c r="T711" s="782" t="s">
        <v>4284</v>
      </c>
      <c r="U711" s="782" t="s">
        <v>3601</v>
      </c>
      <c r="V711" s="797">
        <f>$S$1*P!V711</f>
        <v>8.3076000000000008</v>
      </c>
      <c r="W711" s="780"/>
      <c r="X711" s="782">
        <v>707</v>
      </c>
      <c r="Y711" s="782" t="s">
        <v>2248</v>
      </c>
      <c r="Z711" s="782" t="s">
        <v>5655</v>
      </c>
      <c r="AA711" s="781">
        <f>$S$1*P!AA711</f>
        <v>4.0786290322580654E-7</v>
      </c>
      <c r="AB711" s="780"/>
      <c r="AC711" s="782">
        <v>707</v>
      </c>
      <c r="AD711" s="782" t="s">
        <v>4573</v>
      </c>
      <c r="AE711" s="782" t="s">
        <v>5141</v>
      </c>
      <c r="AF711" s="781">
        <f>$S$1*P!AF711</f>
        <v>1.5046370967741936E-4</v>
      </c>
    </row>
    <row r="712" spans="19:32" x14ac:dyDescent="0.35">
      <c r="S712" s="782">
        <v>708</v>
      </c>
      <c r="T712" s="782" t="s">
        <v>4284</v>
      </c>
      <c r="U712" s="782" t="s">
        <v>5203</v>
      </c>
      <c r="V712" s="797">
        <f>$S$1*P!V712</f>
        <v>2.3272177419354843E-5</v>
      </c>
      <c r="W712" s="780"/>
      <c r="X712" s="782">
        <v>708</v>
      </c>
      <c r="Y712" s="782" t="s">
        <v>2248</v>
      </c>
      <c r="Z712" s="782" t="s">
        <v>5295</v>
      </c>
      <c r="AA712" s="781">
        <f>$S$1*P!AA712</f>
        <v>2.1901209677419357E-4</v>
      </c>
      <c r="AB712" s="780"/>
      <c r="AC712" s="782">
        <v>708</v>
      </c>
      <c r="AD712" s="782" t="s">
        <v>4573</v>
      </c>
      <c r="AE712" s="782" t="s">
        <v>5140</v>
      </c>
      <c r="AF712" s="781">
        <f>$S$1*P!AF712</f>
        <v>4.1129032258064519E-3</v>
      </c>
    </row>
    <row r="713" spans="19:32" x14ac:dyDescent="0.35">
      <c r="S713" s="782">
        <v>709</v>
      </c>
      <c r="T713" s="782" t="s">
        <v>4284</v>
      </c>
      <c r="U713" s="782" t="s">
        <v>5202</v>
      </c>
      <c r="V713" s="797">
        <f>$S$1*P!V713</f>
        <v>1.9879032258064518E-4</v>
      </c>
      <c r="W713" s="823"/>
      <c r="X713" s="782">
        <v>709</v>
      </c>
      <c r="Y713" s="782" t="s">
        <v>2248</v>
      </c>
      <c r="Z713" s="782" t="s">
        <v>5294</v>
      </c>
      <c r="AA713" s="781">
        <f>$S$1*P!AA713</f>
        <v>4.1814516129032265E-3</v>
      </c>
      <c r="AB713" s="780"/>
      <c r="AC713" s="782">
        <v>709</v>
      </c>
      <c r="AD713" s="782" t="s">
        <v>4573</v>
      </c>
      <c r="AE713" s="782" t="s">
        <v>5139</v>
      </c>
      <c r="AF713" s="781">
        <f>$S$1*P!AF713</f>
        <v>5.2439516129032263E-2</v>
      </c>
    </row>
    <row r="714" spans="19:32" x14ac:dyDescent="0.35">
      <c r="S714" s="782">
        <v>710</v>
      </c>
      <c r="T714" s="782" t="s">
        <v>4284</v>
      </c>
      <c r="U714" s="782" t="s">
        <v>5201</v>
      </c>
      <c r="V714" s="797">
        <f>$S$1*P!V714</f>
        <v>8.0887096774193544E-5</v>
      </c>
      <c r="W714" s="875"/>
      <c r="X714" s="782">
        <v>710</v>
      </c>
      <c r="Y714" s="782" t="s">
        <v>2248</v>
      </c>
      <c r="Z714" s="782" t="s">
        <v>5654</v>
      </c>
      <c r="AA714" s="781">
        <f>$S$1*P!AA714</f>
        <v>4.798387096774194E-3</v>
      </c>
      <c r="AB714" s="780"/>
      <c r="AC714" s="782">
        <v>710</v>
      </c>
      <c r="AD714" s="782" t="s">
        <v>4573</v>
      </c>
      <c r="AE714" s="782" t="s">
        <v>5137</v>
      </c>
      <c r="AF714" s="781">
        <f>$S$1*P!AF714</f>
        <v>1.9399193548387099E-3</v>
      </c>
    </row>
    <row r="715" spans="19:32" x14ac:dyDescent="0.35">
      <c r="S715" s="782">
        <v>711</v>
      </c>
      <c r="T715" s="782" t="s">
        <v>4284</v>
      </c>
      <c r="U715" s="782" t="s">
        <v>5198</v>
      </c>
      <c r="V715" s="797">
        <f>$S$1*P!V715</f>
        <v>1.0659274193548387E-4</v>
      </c>
      <c r="W715" s="875"/>
      <c r="X715" s="782">
        <v>711</v>
      </c>
      <c r="Y715" s="782" t="s">
        <v>2248</v>
      </c>
      <c r="Z715" s="782" t="s">
        <v>5293</v>
      </c>
      <c r="AA715" s="781">
        <f>$S$1*P!AA715</f>
        <v>1.0830645161290323E-2</v>
      </c>
      <c r="AB715" s="780"/>
      <c r="AC715" s="782">
        <v>711</v>
      </c>
      <c r="AD715" s="782" t="s">
        <v>4573</v>
      </c>
      <c r="AE715" s="782" t="s">
        <v>5132</v>
      </c>
      <c r="AF715" s="781">
        <f>$S$1*P!AF715</f>
        <v>1.264717741935484E-2</v>
      </c>
    </row>
    <row r="716" spans="19:32" x14ac:dyDescent="0.35">
      <c r="S716" s="782">
        <v>712</v>
      </c>
      <c r="T716" s="782" t="s">
        <v>4284</v>
      </c>
      <c r="U716" s="782" t="s">
        <v>3600</v>
      </c>
      <c r="V716" s="797">
        <f>$S$1*P!V716</f>
        <v>11.132</v>
      </c>
      <c r="W716" s="780"/>
      <c r="X716" s="782">
        <v>712</v>
      </c>
      <c r="Y716" s="782" t="s">
        <v>2248</v>
      </c>
      <c r="Z716" s="782" t="s">
        <v>5292</v>
      </c>
      <c r="AA716" s="781">
        <f>$S$1*P!AA716</f>
        <v>2.7556451612903228E-3</v>
      </c>
      <c r="AB716" s="780"/>
      <c r="AC716" s="782">
        <v>712</v>
      </c>
      <c r="AD716" s="782" t="s">
        <v>4573</v>
      </c>
      <c r="AE716" s="782" t="s">
        <v>5127</v>
      </c>
      <c r="AF716" s="781">
        <f>$S$1*P!AF716</f>
        <v>5.415322580645162E-2</v>
      </c>
    </row>
    <row r="717" spans="19:32" x14ac:dyDescent="0.35">
      <c r="S717" s="782">
        <v>713</v>
      </c>
      <c r="T717" s="782" t="s">
        <v>4284</v>
      </c>
      <c r="U717" s="782" t="s">
        <v>3597</v>
      </c>
      <c r="V717" s="797">
        <f>$S$1*P!V717</f>
        <v>50.508000000000003</v>
      </c>
      <c r="W717" s="780"/>
      <c r="X717" s="782">
        <v>713</v>
      </c>
      <c r="Y717" s="782" t="s">
        <v>2248</v>
      </c>
      <c r="Z717" s="782" t="s">
        <v>5653</v>
      </c>
      <c r="AA717" s="781">
        <f>$S$1*P!AA717</f>
        <v>2.6082661290322582</v>
      </c>
      <c r="AB717" s="780"/>
      <c r="AC717" s="782">
        <v>713</v>
      </c>
      <c r="AD717" s="782" t="s">
        <v>4573</v>
      </c>
      <c r="AE717" s="782" t="s">
        <v>5124</v>
      </c>
      <c r="AF717" s="781">
        <f>$S$1*P!AF717</f>
        <v>2.8858870967741939E-3</v>
      </c>
    </row>
    <row r="718" spans="19:32" x14ac:dyDescent="0.35">
      <c r="S718" s="782">
        <v>714</v>
      </c>
      <c r="T718" s="782" t="s">
        <v>4284</v>
      </c>
      <c r="U718" s="782" t="s">
        <v>5197</v>
      </c>
      <c r="V718" s="797">
        <f>$S$1*P!V718</f>
        <v>1.3538306451612905E-4</v>
      </c>
      <c r="W718" s="780"/>
      <c r="X718" s="782">
        <v>714</v>
      </c>
      <c r="Y718" s="782" t="s">
        <v>2248</v>
      </c>
      <c r="Z718" s="782" t="s">
        <v>3643</v>
      </c>
      <c r="AA718" s="781">
        <f>$S$1*P!AA718</f>
        <v>0</v>
      </c>
      <c r="AB718" s="780"/>
      <c r="AC718" s="782">
        <v>714</v>
      </c>
      <c r="AD718" s="782" t="s">
        <v>4573</v>
      </c>
      <c r="AE718" s="782" t="s">
        <v>5121</v>
      </c>
      <c r="AF718" s="781">
        <f>$S$1*P!AF718</f>
        <v>2.7590725806451619E-4</v>
      </c>
    </row>
    <row r="719" spans="19:32" x14ac:dyDescent="0.35">
      <c r="S719" s="782">
        <v>715</v>
      </c>
      <c r="T719" s="782" t="s">
        <v>4284</v>
      </c>
      <c r="U719" s="782" t="s">
        <v>5195</v>
      </c>
      <c r="V719" s="797">
        <f>$S$1*P!V719</f>
        <v>1.3401209677419356E-4</v>
      </c>
      <c r="W719" s="780"/>
      <c r="X719" s="782">
        <v>715</v>
      </c>
      <c r="Y719" s="782" t="s">
        <v>2248</v>
      </c>
      <c r="Z719" s="782" t="s">
        <v>3643</v>
      </c>
      <c r="AA719" s="781">
        <f>$S$1*P!AA719</f>
        <v>6.8891129032258065E-5</v>
      </c>
      <c r="AB719" s="780"/>
      <c r="AC719" s="782">
        <v>715</v>
      </c>
      <c r="AD719" s="782" t="s">
        <v>4573</v>
      </c>
      <c r="AE719" s="782" t="s">
        <v>5117</v>
      </c>
      <c r="AF719" s="781">
        <f>$S$1*P!AF719</f>
        <v>4.1471774193548389E-2</v>
      </c>
    </row>
    <row r="720" spans="19:32" x14ac:dyDescent="0.35">
      <c r="S720" s="782">
        <v>716</v>
      </c>
      <c r="T720" s="782" t="s">
        <v>4284</v>
      </c>
      <c r="U720" s="782" t="s">
        <v>5193</v>
      </c>
      <c r="V720" s="797">
        <f>$S$1*P!V720</f>
        <v>1.264717741935484E-4</v>
      </c>
      <c r="W720" s="780"/>
      <c r="X720" s="782">
        <v>716</v>
      </c>
      <c r="Y720" s="782" t="s">
        <v>2248</v>
      </c>
      <c r="Z720" s="782" t="s">
        <v>5291</v>
      </c>
      <c r="AA720" s="781">
        <f>$S$1*P!AA720</f>
        <v>4.4213709677419358E-4</v>
      </c>
      <c r="AB720" s="780"/>
      <c r="AC720" s="782">
        <v>716</v>
      </c>
      <c r="AD720" s="782" t="s">
        <v>4573</v>
      </c>
      <c r="AE720" s="782" t="s">
        <v>5112</v>
      </c>
      <c r="AF720" s="781">
        <f>$S$1*P!AF720</f>
        <v>1.0693548387096775E-2</v>
      </c>
    </row>
    <row r="721" spans="19:32" x14ac:dyDescent="0.35">
      <c r="S721" s="782">
        <v>717</v>
      </c>
      <c r="T721" s="782" t="s">
        <v>4284</v>
      </c>
      <c r="U721" s="782" t="s">
        <v>3596</v>
      </c>
      <c r="V721" s="797">
        <f>$S$1*P!V721</f>
        <v>0</v>
      </c>
      <c r="W721" s="780"/>
      <c r="X721" s="782">
        <v>717</v>
      </c>
      <c r="Y721" s="782" t="s">
        <v>2248</v>
      </c>
      <c r="Z721" s="782" t="s">
        <v>5652</v>
      </c>
      <c r="AA721" s="781">
        <f>$S$1*P!AA721</f>
        <v>1.2030241935483871E-6</v>
      </c>
      <c r="AB721" s="780"/>
      <c r="AC721" s="782">
        <v>717</v>
      </c>
      <c r="AD721" s="782" t="s">
        <v>4573</v>
      </c>
      <c r="AE721" s="782" t="s">
        <v>5108</v>
      </c>
      <c r="AF721" s="781">
        <f>$S$1*P!AF721</f>
        <v>4.9012096774193555E-2</v>
      </c>
    </row>
    <row r="722" spans="19:32" x14ac:dyDescent="0.35">
      <c r="S722" s="782">
        <v>718</v>
      </c>
      <c r="T722" s="782" t="s">
        <v>4284</v>
      </c>
      <c r="U722" s="782" t="s">
        <v>3594</v>
      </c>
      <c r="V722" s="797">
        <f>$S$1*P!V722</f>
        <v>0.10947999999999999</v>
      </c>
      <c r="W722" s="780"/>
      <c r="X722" s="782">
        <v>718</v>
      </c>
      <c r="Y722" s="782" t="s">
        <v>2248</v>
      </c>
      <c r="Z722" s="782" t="s">
        <v>5290</v>
      </c>
      <c r="AA722" s="781">
        <f>$S$1*P!AA722</f>
        <v>1.2750000000000001E-3</v>
      </c>
      <c r="AB722" s="780"/>
      <c r="AC722" s="782">
        <v>718</v>
      </c>
      <c r="AD722" s="782" t="s">
        <v>4573</v>
      </c>
      <c r="AE722" s="782" t="s">
        <v>5107</v>
      </c>
      <c r="AF722" s="781">
        <f>$S$1*P!AF722</f>
        <v>1.1653225806451613E-4</v>
      </c>
    </row>
    <row r="723" spans="19:32" x14ac:dyDescent="0.35">
      <c r="S723" s="782">
        <v>719</v>
      </c>
      <c r="T723" s="782" t="s">
        <v>4284</v>
      </c>
      <c r="U723" s="782" t="s">
        <v>5191</v>
      </c>
      <c r="V723" s="797">
        <f>$S$1*P!V723</f>
        <v>7.5060483870967743E-4</v>
      </c>
      <c r="W723" s="780"/>
      <c r="X723" s="782">
        <v>719</v>
      </c>
      <c r="Y723" s="782" t="s">
        <v>2248</v>
      </c>
      <c r="Z723" s="782" t="s">
        <v>5287</v>
      </c>
      <c r="AA723" s="781">
        <f>$S$1*P!AA723</f>
        <v>3.9072580645161295E-2</v>
      </c>
      <c r="AB723" s="780"/>
      <c r="AC723" s="782">
        <v>719</v>
      </c>
      <c r="AD723" s="782" t="s">
        <v>4573</v>
      </c>
      <c r="AE723" s="782" t="s">
        <v>5106</v>
      </c>
      <c r="AF723" s="781">
        <f>$S$1*P!AF723</f>
        <v>4.1814516129032265E-3</v>
      </c>
    </row>
    <row r="724" spans="19:32" x14ac:dyDescent="0.35">
      <c r="S724" s="870">
        <v>720</v>
      </c>
      <c r="T724" s="870" t="s">
        <v>4284</v>
      </c>
      <c r="U724" s="870" t="s">
        <v>5187</v>
      </c>
      <c r="V724" s="871">
        <f>$S$1*P!V724</f>
        <v>2.7766500000000001</v>
      </c>
      <c r="W724" s="780"/>
      <c r="X724" s="782">
        <v>720</v>
      </c>
      <c r="Y724" s="782" t="s">
        <v>2248</v>
      </c>
      <c r="Z724" s="782" t="s">
        <v>3798</v>
      </c>
      <c r="AA724" s="781">
        <f>$S$1*P!AA724</f>
        <v>6.8548387096774199E-5</v>
      </c>
      <c r="AB724" s="780"/>
      <c r="AC724" s="782">
        <v>720</v>
      </c>
      <c r="AD724" s="782" t="s">
        <v>4573</v>
      </c>
      <c r="AE724" s="782" t="s">
        <v>5105</v>
      </c>
      <c r="AF724" s="781">
        <f>$S$1*P!AF724</f>
        <v>5.655241935483871E-3</v>
      </c>
    </row>
    <row r="725" spans="19:32" x14ac:dyDescent="0.35">
      <c r="S725" s="782">
        <v>721</v>
      </c>
      <c r="T725" s="782" t="s">
        <v>4284</v>
      </c>
      <c r="U725" s="782" t="s">
        <v>5187</v>
      </c>
      <c r="V725" s="797">
        <f>$S$1*P!V725</f>
        <v>1.038508064516129E-4</v>
      </c>
      <c r="W725" s="780"/>
      <c r="X725" s="782">
        <v>721</v>
      </c>
      <c r="Y725" s="782" t="s">
        <v>2248</v>
      </c>
      <c r="Z725" s="782" t="s">
        <v>5283</v>
      </c>
      <c r="AA725" s="781">
        <f>$S$1*P!AA725</f>
        <v>9.2197580645161301E-3</v>
      </c>
      <c r="AB725" s="780"/>
      <c r="AC725" s="782">
        <v>721</v>
      </c>
      <c r="AD725" s="782" t="s">
        <v>4573</v>
      </c>
      <c r="AE725" s="782" t="s">
        <v>5104</v>
      </c>
      <c r="AF725" s="781">
        <f>$S$1*P!AF725</f>
        <v>4.524193548387097</v>
      </c>
    </row>
    <row r="726" spans="19:32" x14ac:dyDescent="0.35">
      <c r="S726" s="782">
        <v>722</v>
      </c>
      <c r="T726" s="782" t="s">
        <v>4284</v>
      </c>
      <c r="U726" s="782" t="s">
        <v>5185</v>
      </c>
      <c r="V726" s="797">
        <f>$S$1*P!V726</f>
        <v>7.3004032258064522E-6</v>
      </c>
      <c r="W726" s="780"/>
      <c r="X726" s="782">
        <v>722</v>
      </c>
      <c r="Y726" s="782" t="s">
        <v>2248</v>
      </c>
      <c r="Z726" s="782" t="s">
        <v>5282</v>
      </c>
      <c r="AA726" s="781">
        <f>$S$1*P!AA726</f>
        <v>1.333266129032258E-3</v>
      </c>
      <c r="AB726" s="780"/>
      <c r="AC726" s="782">
        <v>722</v>
      </c>
      <c r="AD726" s="782" t="s">
        <v>4573</v>
      </c>
      <c r="AE726" s="782" t="s">
        <v>5103</v>
      </c>
      <c r="AF726" s="781">
        <f>$S$1*P!AF726</f>
        <v>5.0383064516129034E-2</v>
      </c>
    </row>
    <row r="727" spans="19:32" x14ac:dyDescent="0.35">
      <c r="S727" s="782">
        <v>723</v>
      </c>
      <c r="T727" s="782" t="s">
        <v>4284</v>
      </c>
      <c r="U727" s="782" t="s">
        <v>5182</v>
      </c>
      <c r="V727" s="797">
        <f>$S$1*P!V727</f>
        <v>5.7580645161290332E-4</v>
      </c>
      <c r="W727" s="780"/>
      <c r="X727" s="782">
        <v>723</v>
      </c>
      <c r="Y727" s="782" t="s">
        <v>2248</v>
      </c>
      <c r="Z727" s="782" t="s">
        <v>5281</v>
      </c>
      <c r="AA727" s="781">
        <f>$S$1*P!AA727</f>
        <v>2.1387096774193551E-4</v>
      </c>
      <c r="AB727" s="780"/>
      <c r="AC727" s="782">
        <v>723</v>
      </c>
      <c r="AD727" s="782" t="s">
        <v>4573</v>
      </c>
      <c r="AE727" s="782" t="s">
        <v>5102</v>
      </c>
      <c r="AF727" s="781">
        <f>$S$1*P!AF727</f>
        <v>6.2721774193548394E-3</v>
      </c>
    </row>
    <row r="728" spans="19:32" x14ac:dyDescent="0.35">
      <c r="S728" s="782">
        <v>724</v>
      </c>
      <c r="T728" s="782" t="s">
        <v>4284</v>
      </c>
      <c r="U728" s="782" t="s">
        <v>5180</v>
      </c>
      <c r="V728" s="797">
        <f>$S$1*P!V728</f>
        <v>0.20324596774193551</v>
      </c>
      <c r="W728" s="780"/>
      <c r="X728" s="782">
        <v>724</v>
      </c>
      <c r="Y728" s="782" t="s">
        <v>2248</v>
      </c>
      <c r="Z728" s="782" t="s">
        <v>3796</v>
      </c>
      <c r="AA728" s="781">
        <f>$S$1*P!AA728</f>
        <v>1.076209677419355E-4</v>
      </c>
      <c r="AB728" s="780"/>
      <c r="AC728" s="782">
        <v>724</v>
      </c>
      <c r="AD728" s="782" t="s">
        <v>4573</v>
      </c>
      <c r="AE728" s="782" t="s">
        <v>3582</v>
      </c>
      <c r="AF728" s="781">
        <f>$S$1*P!AF728</f>
        <v>0.88770161290322591</v>
      </c>
    </row>
    <row r="729" spans="19:32" x14ac:dyDescent="0.35">
      <c r="S729" s="782">
        <v>725</v>
      </c>
      <c r="T729" s="782" t="s">
        <v>4284</v>
      </c>
      <c r="U729" s="782" t="s">
        <v>3591</v>
      </c>
      <c r="V729" s="797">
        <f>$S$1*P!V729</f>
        <v>14.904</v>
      </c>
      <c r="W729" s="780"/>
      <c r="X729" s="782">
        <v>725</v>
      </c>
      <c r="Y729" s="782" t="s">
        <v>2248</v>
      </c>
      <c r="Z729" s="782" t="s">
        <v>3640</v>
      </c>
      <c r="AA729" s="781">
        <f>$S$1*P!AA729</f>
        <v>0</v>
      </c>
      <c r="AB729" s="780"/>
      <c r="AC729" s="782">
        <v>725</v>
      </c>
      <c r="AD729" s="782" t="s">
        <v>4573</v>
      </c>
      <c r="AE729" s="782" t="s">
        <v>3582</v>
      </c>
      <c r="AF729" s="781">
        <f>$S$1*P!AF729</f>
        <v>0</v>
      </c>
    </row>
    <row r="730" spans="19:32" x14ac:dyDescent="0.35">
      <c r="S730" s="782">
        <v>726</v>
      </c>
      <c r="T730" s="782" t="s">
        <v>4284</v>
      </c>
      <c r="U730" s="782" t="s">
        <v>5177</v>
      </c>
      <c r="V730" s="797">
        <f>$S$1*P!V730</f>
        <v>6.6491935483870967E-4</v>
      </c>
      <c r="W730" s="876"/>
      <c r="X730" s="782">
        <v>726</v>
      </c>
      <c r="Y730" s="782" t="s">
        <v>2248</v>
      </c>
      <c r="Z730" s="782" t="s">
        <v>3640</v>
      </c>
      <c r="AA730" s="781">
        <f>$S$1*P!AA730</f>
        <v>5.5866935483870972E-3</v>
      </c>
      <c r="AB730" s="780"/>
      <c r="AC730" s="782">
        <v>726</v>
      </c>
      <c r="AD730" s="782" t="s">
        <v>4573</v>
      </c>
      <c r="AE730" s="782" t="s">
        <v>5101</v>
      </c>
      <c r="AF730" s="781">
        <f>$S$1*P!AF730</f>
        <v>1.6897177419354838E-3</v>
      </c>
    </row>
    <row r="731" spans="19:32" x14ac:dyDescent="0.35">
      <c r="S731" s="782">
        <v>727</v>
      </c>
      <c r="T731" s="782" t="s">
        <v>4284</v>
      </c>
      <c r="U731" s="782" t="s">
        <v>5175</v>
      </c>
      <c r="V731" s="797">
        <f>$S$1*P!V731</f>
        <v>2.9681451612903228E-5</v>
      </c>
      <c r="W731" s="780"/>
      <c r="X731" s="782">
        <v>727</v>
      </c>
      <c r="Y731" s="782" t="s">
        <v>2248</v>
      </c>
      <c r="Z731" s="782" t="s">
        <v>5651</v>
      </c>
      <c r="AA731" s="781">
        <f>$S$1*P!AA731</f>
        <v>1.5731854838709678E-5</v>
      </c>
      <c r="AB731" s="780"/>
      <c r="AC731" s="782">
        <v>727</v>
      </c>
      <c r="AD731" s="782" t="s">
        <v>4573</v>
      </c>
      <c r="AE731" s="782" t="s">
        <v>5100</v>
      </c>
      <c r="AF731" s="781">
        <f>$S$1*P!AF731</f>
        <v>3.153225806451613</v>
      </c>
    </row>
    <row r="732" spans="19:32" x14ac:dyDescent="0.35">
      <c r="S732" s="782">
        <v>728</v>
      </c>
      <c r="T732" s="782" t="s">
        <v>4284</v>
      </c>
      <c r="U732" s="782" t="s">
        <v>5172</v>
      </c>
      <c r="V732" s="797">
        <f>$S$1*P!V732</f>
        <v>2.7247983870967745E-4</v>
      </c>
      <c r="W732" s="780"/>
      <c r="X732" s="782">
        <v>728</v>
      </c>
      <c r="Y732" s="782" t="s">
        <v>2248</v>
      </c>
      <c r="Z732" s="782" t="s">
        <v>5280</v>
      </c>
      <c r="AA732" s="781">
        <f>$S$1*P!AA732</f>
        <v>2.9441532258064519E-5</v>
      </c>
      <c r="AB732" s="780"/>
      <c r="AC732" s="782">
        <v>728</v>
      </c>
      <c r="AD732" s="782" t="s">
        <v>4573</v>
      </c>
      <c r="AE732" s="782" t="s">
        <v>5099</v>
      </c>
      <c r="AF732" s="781">
        <f>$S$1*P!AF732</f>
        <v>4.181451612903226E-4</v>
      </c>
    </row>
    <row r="733" spans="19:32" x14ac:dyDescent="0.35">
      <c r="S733" s="782">
        <v>729</v>
      </c>
      <c r="T733" s="782" t="s">
        <v>4284</v>
      </c>
      <c r="U733" s="782" t="s">
        <v>5169</v>
      </c>
      <c r="V733" s="797">
        <f>$S$1*P!V733</f>
        <v>3.3794354838709678E-6</v>
      </c>
      <c r="W733" s="780"/>
      <c r="X733" s="782">
        <v>729</v>
      </c>
      <c r="Y733" s="782" t="s">
        <v>2248</v>
      </c>
      <c r="Z733" s="782" t="s">
        <v>5279</v>
      </c>
      <c r="AA733" s="781">
        <f>$S$1*P!AA733</f>
        <v>8.2258064516129038E-3</v>
      </c>
      <c r="AB733" s="780"/>
      <c r="AC733" s="782">
        <v>729</v>
      </c>
      <c r="AD733" s="782" t="s">
        <v>4573</v>
      </c>
      <c r="AE733" s="782" t="s">
        <v>5098</v>
      </c>
      <c r="AF733" s="781">
        <f>$S$1*P!AF733</f>
        <v>3.3520161290322585E-2</v>
      </c>
    </row>
    <row r="734" spans="19:32" x14ac:dyDescent="0.35">
      <c r="S734" s="870">
        <v>730</v>
      </c>
      <c r="T734" s="870" t="s">
        <v>4284</v>
      </c>
      <c r="U734" s="877" t="s">
        <v>5167</v>
      </c>
      <c r="V734" s="878">
        <f>$S$1*P!V734</f>
        <v>4.4297999999999993</v>
      </c>
      <c r="W734" s="780"/>
      <c r="X734" s="782">
        <v>730</v>
      </c>
      <c r="Y734" s="782" t="s">
        <v>2248</v>
      </c>
      <c r="Z734" s="782" t="s">
        <v>5650</v>
      </c>
      <c r="AA734" s="781">
        <f>$S$1*P!AA734</f>
        <v>3.1806451612903228E-2</v>
      </c>
      <c r="AB734" s="780"/>
      <c r="AC734" s="782">
        <v>730</v>
      </c>
      <c r="AD734" s="782" t="s">
        <v>4573</v>
      </c>
      <c r="AE734" s="782" t="s">
        <v>3579</v>
      </c>
      <c r="AF734" s="781">
        <f>$S$1*P!AF734</f>
        <v>0</v>
      </c>
    </row>
    <row r="735" spans="19:32" x14ac:dyDescent="0.35">
      <c r="S735" s="782">
        <v>731</v>
      </c>
      <c r="T735" s="782" t="s">
        <v>4284</v>
      </c>
      <c r="U735" s="782" t="s">
        <v>5167</v>
      </c>
      <c r="V735" s="797">
        <f>$S$1*P!V735</f>
        <v>6.6834677419354848E-7</v>
      </c>
      <c r="W735" s="780"/>
      <c r="X735" s="782">
        <v>731</v>
      </c>
      <c r="Y735" s="782" t="s">
        <v>2248</v>
      </c>
      <c r="Z735" s="782" t="s">
        <v>5278</v>
      </c>
      <c r="AA735" s="781">
        <f>$S$1*P!AA735</f>
        <v>5.106854838709678E-4</v>
      </c>
      <c r="AB735" s="780"/>
      <c r="AC735" s="782">
        <v>731</v>
      </c>
      <c r="AD735" s="782" t="s">
        <v>4573</v>
      </c>
      <c r="AE735" s="782" t="s">
        <v>5097</v>
      </c>
      <c r="AF735" s="781">
        <f>$S$1*P!AF735</f>
        <v>4.558467741935484E-2</v>
      </c>
    </row>
    <row r="736" spans="19:32" x14ac:dyDescent="0.35">
      <c r="S736" s="782">
        <v>732</v>
      </c>
      <c r="T736" s="782" t="s">
        <v>4284</v>
      </c>
      <c r="U736" s="782" t="s">
        <v>5166</v>
      </c>
      <c r="V736" s="797">
        <f>$S$1*P!V736</f>
        <v>9.7338709677419368E-7</v>
      </c>
      <c r="W736" s="780"/>
      <c r="X736" s="782">
        <v>732</v>
      </c>
      <c r="Y736" s="782" t="s">
        <v>2248</v>
      </c>
      <c r="Z736" s="782" t="s">
        <v>3638</v>
      </c>
      <c r="AA736" s="781">
        <f>$S$1*P!AA736</f>
        <v>1.1224000000000001</v>
      </c>
      <c r="AB736" s="780"/>
      <c r="AC736" s="782">
        <v>732</v>
      </c>
      <c r="AD736" s="782" t="s">
        <v>4573</v>
      </c>
      <c r="AE736" s="782" t="s">
        <v>5096</v>
      </c>
      <c r="AF736" s="781">
        <f>$S$1*P!AF736</f>
        <v>1.8679435483870969E-2</v>
      </c>
    </row>
    <row r="737" spans="19:32" x14ac:dyDescent="0.35">
      <c r="S737" s="782">
        <v>733</v>
      </c>
      <c r="T737" s="782" t="s">
        <v>4284</v>
      </c>
      <c r="U737" s="782" t="s">
        <v>5164</v>
      </c>
      <c r="V737" s="797">
        <f>$S$1*P!V737</f>
        <v>3.941532258064516E-5</v>
      </c>
      <c r="W737" s="780"/>
      <c r="X737" s="782">
        <v>733</v>
      </c>
      <c r="Y737" s="782" t="s">
        <v>2248</v>
      </c>
      <c r="Z737" s="782" t="s">
        <v>5277</v>
      </c>
      <c r="AA737" s="781">
        <f>$S$1*P!AA737</f>
        <v>5.8266129032258064E-5</v>
      </c>
      <c r="AB737" s="780"/>
      <c r="AC737" s="782">
        <v>733</v>
      </c>
      <c r="AD737" s="782" t="s">
        <v>4573</v>
      </c>
      <c r="AE737" s="782" t="s">
        <v>5095</v>
      </c>
      <c r="AF737" s="781">
        <f>$S$1*P!AF737</f>
        <v>4.6612903225806456E-3</v>
      </c>
    </row>
    <row r="738" spans="19:32" x14ac:dyDescent="0.35">
      <c r="S738" s="782">
        <v>734</v>
      </c>
      <c r="T738" s="782" t="s">
        <v>4284</v>
      </c>
      <c r="U738" s="782" t="s">
        <v>5162</v>
      </c>
      <c r="V738" s="797">
        <f>$S$1*P!V738</f>
        <v>1.5560483870967741E-7</v>
      </c>
      <c r="W738" s="780"/>
      <c r="X738" s="782">
        <v>734</v>
      </c>
      <c r="Y738" s="782" t="s">
        <v>2248</v>
      </c>
      <c r="Z738" s="782" t="s">
        <v>3792</v>
      </c>
      <c r="AA738" s="781">
        <f>$S$1*P!AA738</f>
        <v>5.0040322580645162E-4</v>
      </c>
      <c r="AB738" s="780"/>
      <c r="AC738" s="782">
        <v>734</v>
      </c>
      <c r="AD738" s="782" t="s">
        <v>4573</v>
      </c>
      <c r="AE738" s="782" t="s">
        <v>5094</v>
      </c>
      <c r="AF738" s="781">
        <f>$S$1*P!AF738</f>
        <v>5.5181451612903226E-3</v>
      </c>
    </row>
    <row r="739" spans="19:32" x14ac:dyDescent="0.35">
      <c r="S739" s="782">
        <v>735</v>
      </c>
      <c r="T739" s="782" t="s">
        <v>4284</v>
      </c>
      <c r="U739" s="782" t="s">
        <v>5159</v>
      </c>
      <c r="V739" s="797">
        <f>$S$1*P!V739</f>
        <v>1.4429435483870968E-5</v>
      </c>
      <c r="W739" s="780"/>
      <c r="X739" s="782">
        <v>735</v>
      </c>
      <c r="Y739" s="782" t="s">
        <v>2248</v>
      </c>
      <c r="Z739" s="782" t="s">
        <v>5276</v>
      </c>
      <c r="AA739" s="781">
        <f>$S$1*P!AA739</f>
        <v>1.1310483870967743E-3</v>
      </c>
      <c r="AB739" s="780"/>
      <c r="AC739" s="782">
        <v>735</v>
      </c>
      <c r="AD739" s="782" t="s">
        <v>4573</v>
      </c>
      <c r="AE739" s="782" t="s">
        <v>5092</v>
      </c>
      <c r="AF739" s="781">
        <f>$S$1*P!AF739</f>
        <v>0.62036290322580645</v>
      </c>
    </row>
    <row r="740" spans="19:32" x14ac:dyDescent="0.35">
      <c r="S740" s="782">
        <v>736</v>
      </c>
      <c r="T740" s="782" t="s">
        <v>4284</v>
      </c>
      <c r="U740" s="782" t="s">
        <v>5157</v>
      </c>
      <c r="V740" s="797">
        <f>$S$1*P!V740</f>
        <v>6.0322580645161295E-5</v>
      </c>
      <c r="W740" s="780"/>
      <c r="X740" s="782">
        <v>736</v>
      </c>
      <c r="Y740" s="782" t="s">
        <v>2248</v>
      </c>
      <c r="Z740" s="782" t="s">
        <v>5275</v>
      </c>
      <c r="AA740" s="781">
        <f>$S$1*P!AA740</f>
        <v>4.1814516129032257E-5</v>
      </c>
      <c r="AB740" s="780"/>
      <c r="AC740" s="782">
        <v>736</v>
      </c>
      <c r="AD740" s="782" t="s">
        <v>4573</v>
      </c>
      <c r="AE740" s="782" t="s">
        <v>5091</v>
      </c>
      <c r="AF740" s="781">
        <f>$S$1*P!AF740</f>
        <v>5.9294354838709679E-2</v>
      </c>
    </row>
    <row r="741" spans="19:32" x14ac:dyDescent="0.35">
      <c r="S741" s="782">
        <v>737</v>
      </c>
      <c r="T741" s="782" t="s">
        <v>4284</v>
      </c>
      <c r="U741" s="782" t="s">
        <v>5156</v>
      </c>
      <c r="V741" s="797">
        <f>$S$1*P!V741</f>
        <v>3.3108870967741942E-6</v>
      </c>
      <c r="W741" s="780"/>
      <c r="X741" s="782">
        <v>737</v>
      </c>
      <c r="Y741" s="782" t="s">
        <v>2248</v>
      </c>
      <c r="Z741" s="782" t="s">
        <v>5649</v>
      </c>
      <c r="AA741" s="781">
        <f>$S$1*P!AA741</f>
        <v>2.8104838709677423E-3</v>
      </c>
      <c r="AB741" s="780"/>
      <c r="AC741" s="782">
        <v>737</v>
      </c>
      <c r="AD741" s="782" t="s">
        <v>4573</v>
      </c>
      <c r="AE741" s="782" t="s">
        <v>5090</v>
      </c>
      <c r="AF741" s="781">
        <f>$S$1*P!AF741</f>
        <v>0.28310483870967745</v>
      </c>
    </row>
    <row r="742" spans="19:32" x14ac:dyDescent="0.35">
      <c r="S742" s="782">
        <v>738</v>
      </c>
      <c r="T742" s="782" t="s">
        <v>4284</v>
      </c>
      <c r="U742" s="782" t="s">
        <v>5155</v>
      </c>
      <c r="V742" s="797">
        <f>$S$1*P!V742</f>
        <v>3.8044354838709681E-3</v>
      </c>
      <c r="W742" s="780"/>
      <c r="X742" s="782">
        <v>738</v>
      </c>
      <c r="Y742" s="782" t="s">
        <v>2248</v>
      </c>
      <c r="Z742" s="782" t="s">
        <v>5274</v>
      </c>
      <c r="AA742" s="781">
        <f>$S$1*P!AA742</f>
        <v>7.1290322580645169E-5</v>
      </c>
      <c r="AB742" s="780"/>
      <c r="AC742" s="782">
        <v>738</v>
      </c>
      <c r="AD742" s="782" t="s">
        <v>4573</v>
      </c>
      <c r="AE742" s="782" t="s">
        <v>3577</v>
      </c>
      <c r="AF742" s="781">
        <f>$S$1*P!AF742</f>
        <v>0</v>
      </c>
    </row>
    <row r="743" spans="19:32" x14ac:dyDescent="0.35">
      <c r="S743" s="782">
        <v>739</v>
      </c>
      <c r="T743" s="782" t="s">
        <v>4284</v>
      </c>
      <c r="U743" s="782" t="s">
        <v>5154</v>
      </c>
      <c r="V743" s="797">
        <f>$S$1*P!V743</f>
        <v>5.2782258064516135E-4</v>
      </c>
      <c r="W743" s="780"/>
      <c r="X743" s="782">
        <v>739</v>
      </c>
      <c r="Y743" s="782" t="s">
        <v>2248</v>
      </c>
      <c r="Z743" s="782" t="s">
        <v>5273</v>
      </c>
      <c r="AA743" s="781">
        <f>$S$1*P!AA743</f>
        <v>1.3881048387096775E-3</v>
      </c>
      <c r="AB743" s="780"/>
      <c r="AC743" s="782">
        <v>739</v>
      </c>
      <c r="AD743" s="782" t="s">
        <v>4573</v>
      </c>
      <c r="AE743" s="782" t="s">
        <v>5089</v>
      </c>
      <c r="AF743" s="781">
        <f>$S$1*P!AF743</f>
        <v>1.0933467741935485</v>
      </c>
    </row>
    <row r="744" spans="19:32" x14ac:dyDescent="0.35">
      <c r="S744" s="782">
        <v>740</v>
      </c>
      <c r="T744" s="782" t="s">
        <v>4284</v>
      </c>
      <c r="U744" s="782" t="s">
        <v>5153</v>
      </c>
      <c r="V744" s="797">
        <f>$S$1*P!V744</f>
        <v>9.6995967741935491E-3</v>
      </c>
      <c r="W744" s="780"/>
      <c r="X744" s="782">
        <v>740</v>
      </c>
      <c r="Y744" s="782" t="s">
        <v>2248</v>
      </c>
      <c r="Z744" s="782" t="s">
        <v>5648</v>
      </c>
      <c r="AA744" s="781">
        <f>$S$1*P!AA744</f>
        <v>5.6895161290322594E-4</v>
      </c>
      <c r="AB744" s="780"/>
      <c r="AC744" s="782">
        <v>740</v>
      </c>
      <c r="AD744" s="782" t="s">
        <v>4573</v>
      </c>
      <c r="AE744" s="782" t="s">
        <v>5088</v>
      </c>
      <c r="AF744" s="781">
        <f>$S$1*P!AF744</f>
        <v>1.1481854838709677E-3</v>
      </c>
    </row>
    <row r="745" spans="19:32" x14ac:dyDescent="0.35">
      <c r="S745" s="782">
        <v>741</v>
      </c>
      <c r="T745" s="782" t="s">
        <v>4284</v>
      </c>
      <c r="U745" s="782" t="s">
        <v>5151</v>
      </c>
      <c r="V745" s="797">
        <f>$S$1*P!V745</f>
        <v>1.1995967741935485E-3</v>
      </c>
      <c r="W745" s="780"/>
      <c r="X745" s="782">
        <v>741</v>
      </c>
      <c r="Y745" s="782" t="s">
        <v>2248</v>
      </c>
      <c r="Z745" s="782" t="s">
        <v>5272</v>
      </c>
      <c r="AA745" s="781">
        <f>$S$1*P!AA745</f>
        <v>2.2963709677419357E-4</v>
      </c>
      <c r="AB745" s="780"/>
      <c r="AC745" s="782">
        <v>741</v>
      </c>
      <c r="AD745" s="782" t="s">
        <v>4573</v>
      </c>
      <c r="AE745" s="782" t="s">
        <v>5087</v>
      </c>
      <c r="AF745" s="781">
        <f>$S$1*P!AF745</f>
        <v>0.14532258064516129</v>
      </c>
    </row>
    <row r="746" spans="19:32" x14ac:dyDescent="0.35">
      <c r="S746" s="782">
        <v>742</v>
      </c>
      <c r="T746" s="782" t="s">
        <v>4284</v>
      </c>
      <c r="U746" s="782" t="s">
        <v>3588</v>
      </c>
      <c r="V746" s="797">
        <f>$S$1*P!V746</f>
        <v>0.67712000000000006</v>
      </c>
      <c r="W746" s="780"/>
      <c r="X746" s="782">
        <v>742</v>
      </c>
      <c r="Y746" s="782" t="s">
        <v>2248</v>
      </c>
      <c r="Z746" s="782" t="s">
        <v>3636</v>
      </c>
      <c r="AA746" s="781">
        <f>$S$1*P!AA746</f>
        <v>1.4076000000000002E-3</v>
      </c>
      <c r="AB746" s="780"/>
      <c r="AC746" s="782">
        <v>742</v>
      </c>
      <c r="AD746" s="782" t="s">
        <v>4573</v>
      </c>
      <c r="AE746" s="782" t="s">
        <v>3574</v>
      </c>
      <c r="AF746" s="781">
        <f>$S$1*P!AF746</f>
        <v>0</v>
      </c>
    </row>
    <row r="747" spans="19:32" x14ac:dyDescent="0.35">
      <c r="S747" s="782">
        <v>743</v>
      </c>
      <c r="T747" s="782" t="s">
        <v>4284</v>
      </c>
      <c r="U747" s="782" t="s">
        <v>5150</v>
      </c>
      <c r="V747" s="797">
        <f>$S$1*P!V747</f>
        <v>2.5157258064516133E-3</v>
      </c>
      <c r="W747" s="780"/>
      <c r="X747" s="782">
        <v>743</v>
      </c>
      <c r="Y747" s="782" t="s">
        <v>2248</v>
      </c>
      <c r="Z747" s="782" t="s">
        <v>5271</v>
      </c>
      <c r="AA747" s="781">
        <f>$S$1*P!AA747</f>
        <v>2.3203629032258065E-4</v>
      </c>
      <c r="AB747" s="780"/>
      <c r="AC747" s="782">
        <v>743</v>
      </c>
      <c r="AD747" s="782" t="s">
        <v>4573</v>
      </c>
      <c r="AE747" s="782" t="s">
        <v>3573</v>
      </c>
      <c r="AF747" s="781">
        <f>$S$1*P!AF747</f>
        <v>2.2518145161290325E-2</v>
      </c>
    </row>
    <row r="748" spans="19:32" x14ac:dyDescent="0.35">
      <c r="S748" s="782">
        <v>744</v>
      </c>
      <c r="T748" s="782" t="s">
        <v>4284</v>
      </c>
      <c r="U748" s="782" t="s">
        <v>5148</v>
      </c>
      <c r="V748" s="797">
        <f>$S$1*P!V748</f>
        <v>2.3340725806451613E-3</v>
      </c>
      <c r="W748" s="780"/>
      <c r="X748" s="782">
        <v>744</v>
      </c>
      <c r="Y748" s="782" t="s">
        <v>2248</v>
      </c>
      <c r="Z748" s="782" t="s">
        <v>5647</v>
      </c>
      <c r="AA748" s="781">
        <f>$S$1*P!AA748</f>
        <v>1.4669354838709678E-5</v>
      </c>
      <c r="AB748" s="780"/>
      <c r="AC748" s="782">
        <v>744</v>
      </c>
      <c r="AD748" s="782" t="s">
        <v>4573</v>
      </c>
      <c r="AE748" s="782" t="s">
        <v>3573</v>
      </c>
      <c r="AF748" s="781">
        <f>$S$1*P!AF748</f>
        <v>0</v>
      </c>
    </row>
    <row r="749" spans="19:32" x14ac:dyDescent="0.35">
      <c r="S749" s="782">
        <v>745</v>
      </c>
      <c r="T749" s="782" t="s">
        <v>4284</v>
      </c>
      <c r="U749" s="782" t="s">
        <v>3586</v>
      </c>
      <c r="V749" s="797">
        <f>$S$1*P!V749</f>
        <v>1.477217741935484E-3</v>
      </c>
      <c r="W749" s="780"/>
      <c r="X749" s="782">
        <v>745</v>
      </c>
      <c r="Y749" s="782" t="s">
        <v>2248</v>
      </c>
      <c r="Z749" s="782" t="s">
        <v>5270</v>
      </c>
      <c r="AA749" s="781">
        <f>$S$1*P!AA749</f>
        <v>4.4556451612903227E-4</v>
      </c>
      <c r="AB749" s="780"/>
      <c r="AC749" s="782">
        <v>745</v>
      </c>
      <c r="AD749" s="782" t="s">
        <v>4573</v>
      </c>
      <c r="AE749" s="782" t="s">
        <v>5086</v>
      </c>
      <c r="AF749" s="781">
        <f>$S$1*P!AF749</f>
        <v>4.3870967741935487E-3</v>
      </c>
    </row>
    <row r="750" spans="19:32" x14ac:dyDescent="0.35">
      <c r="S750" s="782">
        <v>746</v>
      </c>
      <c r="T750" s="782" t="s">
        <v>4284</v>
      </c>
      <c r="U750" s="782" t="s">
        <v>3586</v>
      </c>
      <c r="V750" s="797">
        <f>$S$1*P!V750</f>
        <v>0.11776</v>
      </c>
      <c r="W750" s="780"/>
      <c r="X750" s="782">
        <v>746</v>
      </c>
      <c r="Y750" s="782" t="s">
        <v>2248</v>
      </c>
      <c r="Z750" s="782" t="s">
        <v>5269</v>
      </c>
      <c r="AA750" s="781">
        <f>$S$1*P!AA750</f>
        <v>1.0796370967741937E-3</v>
      </c>
      <c r="AB750" s="780"/>
      <c r="AC750" s="782">
        <v>746</v>
      </c>
      <c r="AD750" s="782" t="s">
        <v>4573</v>
      </c>
      <c r="AE750" s="782" t="s">
        <v>5085</v>
      </c>
      <c r="AF750" s="781">
        <f>$S$1*P!AF750</f>
        <v>1.1824596774193549E-2</v>
      </c>
    </row>
    <row r="751" spans="19:32" x14ac:dyDescent="0.35">
      <c r="S751" s="782">
        <v>747</v>
      </c>
      <c r="T751" s="782" t="s">
        <v>4284</v>
      </c>
      <c r="U751" s="782" t="s">
        <v>5145</v>
      </c>
      <c r="V751" s="797">
        <f>$S$1*P!V751</f>
        <v>1.6520161290322583E-3</v>
      </c>
      <c r="W751" s="780"/>
      <c r="X751" s="782">
        <v>747</v>
      </c>
      <c r="Y751" s="782" t="s">
        <v>2248</v>
      </c>
      <c r="Z751" s="782" t="s">
        <v>5646</v>
      </c>
      <c r="AA751" s="781">
        <f>$S$1*P!AA751</f>
        <v>1.2852822580645162E-2</v>
      </c>
      <c r="AB751" s="780"/>
      <c r="AC751" s="782">
        <v>747</v>
      </c>
      <c r="AD751" s="782" t="s">
        <v>4573</v>
      </c>
      <c r="AE751" s="782" t="s">
        <v>3570</v>
      </c>
      <c r="AF751" s="781">
        <f>$S$1*P!AF751</f>
        <v>1.1790322580645163E-2</v>
      </c>
    </row>
    <row r="752" spans="19:32" x14ac:dyDescent="0.35">
      <c r="S752" s="782">
        <v>748</v>
      </c>
      <c r="T752" s="782" t="s">
        <v>4284</v>
      </c>
      <c r="U752" s="782" t="s">
        <v>5144</v>
      </c>
      <c r="V752" s="797">
        <f>$S$1*P!V752</f>
        <v>5.8951612903225805E-6</v>
      </c>
      <c r="W752" s="780"/>
      <c r="X752" s="782">
        <v>748</v>
      </c>
      <c r="Y752" s="782" t="s">
        <v>2248</v>
      </c>
      <c r="Z752" s="782" t="s">
        <v>3633</v>
      </c>
      <c r="AA752" s="781">
        <f>$S$1*P!AA752</f>
        <v>9.1631999999999998E-3</v>
      </c>
      <c r="AB752" s="780"/>
      <c r="AC752" s="782">
        <v>748</v>
      </c>
      <c r="AD752" s="782" t="s">
        <v>4573</v>
      </c>
      <c r="AE752" s="782" t="s">
        <v>3570</v>
      </c>
      <c r="AF752" s="781">
        <f>$S$1*P!AF752</f>
        <v>0</v>
      </c>
    </row>
    <row r="753" spans="19:32" x14ac:dyDescent="0.35">
      <c r="S753" s="782">
        <v>749</v>
      </c>
      <c r="T753" s="782" t="s">
        <v>4284</v>
      </c>
      <c r="U753" s="782" t="s">
        <v>5143</v>
      </c>
      <c r="V753" s="797">
        <f>$S$1*P!V753</f>
        <v>2.954435483870968E-4</v>
      </c>
      <c r="W753" s="780"/>
      <c r="X753" s="782">
        <v>749</v>
      </c>
      <c r="Y753" s="782" t="s">
        <v>2248</v>
      </c>
      <c r="Z753" s="782" t="s">
        <v>3633</v>
      </c>
      <c r="AA753" s="781">
        <f>$S$1*P!AA753</f>
        <v>9.3225806451612908E-2</v>
      </c>
      <c r="AB753" s="780"/>
      <c r="AC753" s="782">
        <v>749</v>
      </c>
      <c r="AD753" s="782" t="s">
        <v>4573</v>
      </c>
      <c r="AE753" s="782" t="s">
        <v>3569</v>
      </c>
      <c r="AF753" s="781">
        <f>$S$1*P!AF753</f>
        <v>2714</v>
      </c>
    </row>
    <row r="754" spans="19:32" x14ac:dyDescent="0.35">
      <c r="S754" s="782">
        <v>750</v>
      </c>
      <c r="T754" s="782" t="s">
        <v>4284</v>
      </c>
      <c r="U754" s="782" t="s">
        <v>5141</v>
      </c>
      <c r="V754" s="797">
        <f>$S$1*P!V754</f>
        <v>7.883064516129034E-6</v>
      </c>
      <c r="W754" s="780"/>
      <c r="X754" s="782">
        <v>750</v>
      </c>
      <c r="Y754" s="782" t="s">
        <v>2248</v>
      </c>
      <c r="Z754" s="782" t="s">
        <v>3786</v>
      </c>
      <c r="AA754" s="781">
        <f>$S$1*P!AA754</f>
        <v>4.2842741935483876E-3</v>
      </c>
      <c r="AB754" s="780"/>
      <c r="AC754" s="782">
        <v>750</v>
      </c>
      <c r="AD754" s="782" t="s">
        <v>4573</v>
      </c>
      <c r="AE754" s="782" t="s">
        <v>5084</v>
      </c>
      <c r="AF754" s="781">
        <f>$S$1*P!AF754</f>
        <v>9.6653225806451623E-2</v>
      </c>
    </row>
    <row r="755" spans="19:32" x14ac:dyDescent="0.35">
      <c r="S755" s="782">
        <v>751</v>
      </c>
      <c r="T755" s="782" t="s">
        <v>4284</v>
      </c>
      <c r="U755" s="782" t="s">
        <v>5140</v>
      </c>
      <c r="V755" s="797">
        <f>$S$1*P!V755</f>
        <v>2.1558467741935485E-4</v>
      </c>
      <c r="W755" s="780"/>
      <c r="X755" s="782">
        <v>751</v>
      </c>
      <c r="Y755" s="782" t="s">
        <v>2248</v>
      </c>
      <c r="Z755" s="782" t="s">
        <v>5268</v>
      </c>
      <c r="AA755" s="781">
        <f>$S$1*P!AA755</f>
        <v>5.106854838709678E-4</v>
      </c>
      <c r="AB755" s="780"/>
      <c r="AC755" s="782">
        <v>751</v>
      </c>
      <c r="AD755" s="782" t="s">
        <v>4573</v>
      </c>
      <c r="AE755" s="782" t="s">
        <v>3567</v>
      </c>
      <c r="AF755" s="781">
        <f>$S$1*P!AF755</f>
        <v>0</v>
      </c>
    </row>
    <row r="756" spans="19:32" x14ac:dyDescent="0.35">
      <c r="S756" s="782">
        <v>752</v>
      </c>
      <c r="T756" s="782" t="s">
        <v>4284</v>
      </c>
      <c r="U756" s="782" t="s">
        <v>5139</v>
      </c>
      <c r="V756" s="797">
        <f>$S$1*P!V756</f>
        <v>1.8165322580645162E-3</v>
      </c>
      <c r="W756" s="780"/>
      <c r="X756" s="782">
        <v>752</v>
      </c>
      <c r="Y756" s="782" t="s">
        <v>2248</v>
      </c>
      <c r="Z756" s="782" t="s">
        <v>5267</v>
      </c>
      <c r="AA756" s="781">
        <f>$S$1*P!AA756</f>
        <v>1.2201612903225808E-4</v>
      </c>
      <c r="AB756" s="780"/>
      <c r="AC756" s="782">
        <v>752</v>
      </c>
      <c r="AD756" s="782" t="s">
        <v>4573</v>
      </c>
      <c r="AE756" s="782" t="s">
        <v>3566</v>
      </c>
      <c r="AF756" s="781">
        <f>$S$1*P!AF756</f>
        <v>1.3248</v>
      </c>
    </row>
    <row r="757" spans="19:32" x14ac:dyDescent="0.35">
      <c r="S757" s="782">
        <v>753</v>
      </c>
      <c r="T757" s="782" t="s">
        <v>4284</v>
      </c>
      <c r="U757" s="782" t="s">
        <v>5137</v>
      </c>
      <c r="V757" s="797">
        <f>$S$1*P!V757</f>
        <v>2.2518145161290327E-5</v>
      </c>
      <c r="W757" s="780"/>
      <c r="X757" s="782">
        <v>753</v>
      </c>
      <c r="Y757" s="782" t="s">
        <v>2248</v>
      </c>
      <c r="Z757" s="782" t="s">
        <v>5266</v>
      </c>
      <c r="AA757" s="781">
        <f>$S$1*P!AA757</f>
        <v>4.5927419354838715E-7</v>
      </c>
      <c r="AB757" s="780"/>
      <c r="AC757" s="782">
        <v>753</v>
      </c>
      <c r="AD757" s="782" t="s">
        <v>4573</v>
      </c>
      <c r="AE757" s="782" t="s">
        <v>3563</v>
      </c>
      <c r="AF757" s="781">
        <f>$S$1*P!AF757</f>
        <v>0</v>
      </c>
    </row>
    <row r="758" spans="19:32" x14ac:dyDescent="0.35">
      <c r="S758" s="782">
        <v>754</v>
      </c>
      <c r="T758" s="782" t="s">
        <v>4284</v>
      </c>
      <c r="U758" s="782" t="s">
        <v>5132</v>
      </c>
      <c r="V758" s="797">
        <f>$S$1*P!V758</f>
        <v>1.545766129032258E-4</v>
      </c>
      <c r="W758" s="780"/>
      <c r="X758" s="782">
        <v>754</v>
      </c>
      <c r="Y758" s="782" t="s">
        <v>2248</v>
      </c>
      <c r="Z758" s="782" t="s">
        <v>3785</v>
      </c>
      <c r="AA758" s="781">
        <f>$S$1*P!AA758</f>
        <v>9.5625000000000007E-5</v>
      </c>
      <c r="AB758" s="780"/>
      <c r="AC758" s="782">
        <v>754</v>
      </c>
      <c r="AD758" s="782" t="s">
        <v>4573</v>
      </c>
      <c r="AE758" s="782" t="s">
        <v>3561</v>
      </c>
      <c r="AF758" s="781">
        <f>$S$1*P!AF758</f>
        <v>4.3185483870967746E-2</v>
      </c>
    </row>
    <row r="759" spans="19:32" x14ac:dyDescent="0.35">
      <c r="S759" s="782">
        <v>755</v>
      </c>
      <c r="T759" s="782" t="s">
        <v>4284</v>
      </c>
      <c r="U759" s="782" t="s">
        <v>5127</v>
      </c>
      <c r="V759" s="797">
        <f>$S$1*P!V759</f>
        <v>3.9415322580645167E-4</v>
      </c>
      <c r="W759" s="780"/>
      <c r="X759" s="782">
        <v>755</v>
      </c>
      <c r="Y759" s="782" t="s">
        <v>2248</v>
      </c>
      <c r="Z759" s="782" t="s">
        <v>5265</v>
      </c>
      <c r="AA759" s="781">
        <f>$S$1*P!AA759</f>
        <v>2.2449596774193549E-3</v>
      </c>
      <c r="AB759" s="780"/>
      <c r="AC759" s="782">
        <v>755</v>
      </c>
      <c r="AD759" s="782" t="s">
        <v>4573</v>
      </c>
      <c r="AE759" s="782" t="s">
        <v>3561</v>
      </c>
      <c r="AF759" s="781">
        <f>$S$1*P!AF759</f>
        <v>0</v>
      </c>
    </row>
    <row r="760" spans="19:32" x14ac:dyDescent="0.35">
      <c r="S760" s="782">
        <v>756</v>
      </c>
      <c r="T760" s="782" t="s">
        <v>4284</v>
      </c>
      <c r="U760" s="782" t="s">
        <v>5124</v>
      </c>
      <c r="V760" s="797">
        <f>$S$1*P!V760</f>
        <v>1.0076612903225807E-4</v>
      </c>
      <c r="W760" s="780"/>
      <c r="X760" s="782">
        <v>756</v>
      </c>
      <c r="Y760" s="782" t="s">
        <v>2248</v>
      </c>
      <c r="Z760" s="782" t="s">
        <v>5264</v>
      </c>
      <c r="AA760" s="781">
        <f>$S$1*P!AA760</f>
        <v>1.6451612903225807E-4</v>
      </c>
      <c r="AB760" s="780"/>
      <c r="AC760" s="782">
        <v>756</v>
      </c>
      <c r="AD760" s="782" t="s">
        <v>4573</v>
      </c>
      <c r="AE760" s="782" t="s">
        <v>5083</v>
      </c>
      <c r="AF760" s="781">
        <f>$S$1*P!AF760</f>
        <v>5.0040322580645162E-3</v>
      </c>
    </row>
    <row r="761" spans="19:32" x14ac:dyDescent="0.35">
      <c r="S761" s="782">
        <v>757</v>
      </c>
      <c r="T761" s="782" t="s">
        <v>4284</v>
      </c>
      <c r="U761" s="782" t="s">
        <v>5121</v>
      </c>
      <c r="V761" s="797">
        <f>$S$1*P!V761</f>
        <v>1.652016129032258E-5</v>
      </c>
      <c r="W761" s="780"/>
      <c r="X761" s="782">
        <v>757</v>
      </c>
      <c r="Y761" s="782" t="s">
        <v>2248</v>
      </c>
      <c r="Z761" s="782" t="s">
        <v>5645</v>
      </c>
      <c r="AA761" s="781">
        <f>$S$1*P!AA761</f>
        <v>0.11139112903225808</v>
      </c>
      <c r="AB761" s="780"/>
      <c r="AC761" s="782">
        <v>757</v>
      </c>
      <c r="AD761" s="782" t="s">
        <v>4573</v>
      </c>
      <c r="AE761" s="782" t="s">
        <v>5082</v>
      </c>
      <c r="AF761" s="781">
        <f>$S$1*P!AF761</f>
        <v>0.57580645161290323</v>
      </c>
    </row>
    <row r="762" spans="19:32" x14ac:dyDescent="0.35">
      <c r="S762" s="782">
        <v>758</v>
      </c>
      <c r="T762" s="782" t="s">
        <v>4284</v>
      </c>
      <c r="U762" s="782" t="s">
        <v>5117</v>
      </c>
      <c r="V762" s="797">
        <f>$S$1*P!V762</f>
        <v>1.8645161290322581E-3</v>
      </c>
      <c r="W762" s="780"/>
      <c r="X762" s="782">
        <v>758</v>
      </c>
      <c r="Y762" s="782" t="s">
        <v>2248</v>
      </c>
      <c r="Z762" s="782" t="s">
        <v>5263</v>
      </c>
      <c r="AA762" s="781">
        <f>$S$1*P!AA762</f>
        <v>5.6895161290322579E-5</v>
      </c>
      <c r="AB762" s="780"/>
      <c r="AC762" s="782">
        <v>758</v>
      </c>
      <c r="AD762" s="782" t="s">
        <v>4573</v>
      </c>
      <c r="AE762" s="782" t="s">
        <v>5081</v>
      </c>
      <c r="AF762" s="781">
        <f>$S$1*P!AF762</f>
        <v>0.94254032258064524</v>
      </c>
    </row>
    <row r="763" spans="19:32" x14ac:dyDescent="0.35">
      <c r="S763" s="782">
        <v>759</v>
      </c>
      <c r="T763" s="782" t="s">
        <v>4284</v>
      </c>
      <c r="U763" s="782" t="s">
        <v>5112</v>
      </c>
      <c r="V763" s="797">
        <f>$S$1*P!V763</f>
        <v>2.4814516129032259E-4</v>
      </c>
      <c r="W763" s="780"/>
      <c r="X763" s="782">
        <v>759</v>
      </c>
      <c r="Y763" s="782" t="s">
        <v>2248</v>
      </c>
      <c r="Z763" s="782" t="s">
        <v>5262</v>
      </c>
      <c r="AA763" s="781">
        <f>$S$1*P!AA763</f>
        <v>3.804435483870968E-4</v>
      </c>
      <c r="AB763" s="780"/>
      <c r="AC763" s="782">
        <v>759</v>
      </c>
      <c r="AD763" s="782" t="s">
        <v>4573</v>
      </c>
      <c r="AE763" s="782" t="s">
        <v>5079</v>
      </c>
      <c r="AF763" s="781">
        <f>$S$1*P!AF763</f>
        <v>2.5397177419354842</v>
      </c>
    </row>
    <row r="764" spans="19:32" x14ac:dyDescent="0.35">
      <c r="S764" s="782">
        <v>760</v>
      </c>
      <c r="T764" s="782" t="s">
        <v>4284</v>
      </c>
      <c r="U764" s="782" t="s">
        <v>5108</v>
      </c>
      <c r="V764" s="797">
        <f>$S$1*P!V764</f>
        <v>3.3760080645161292E-4</v>
      </c>
      <c r="W764" s="780"/>
      <c r="X764" s="782">
        <v>760</v>
      </c>
      <c r="Y764" s="782" t="s">
        <v>2248</v>
      </c>
      <c r="Z764" s="782" t="s">
        <v>5644</v>
      </c>
      <c r="AA764" s="781">
        <f>$S$1*P!AA764</f>
        <v>1.0419354838709677E-3</v>
      </c>
      <c r="AB764" s="780"/>
      <c r="AC764" s="782">
        <v>760</v>
      </c>
      <c r="AD764" s="782" t="s">
        <v>4573</v>
      </c>
      <c r="AE764" s="782" t="s">
        <v>5078</v>
      </c>
      <c r="AF764" s="781">
        <f>$S$1*P!AF764</f>
        <v>9.7338709677419366E-2</v>
      </c>
    </row>
    <row r="765" spans="19:32" x14ac:dyDescent="0.35">
      <c r="S765" s="782">
        <v>761</v>
      </c>
      <c r="T765" s="782" t="s">
        <v>4284</v>
      </c>
      <c r="U765" s="782" t="s">
        <v>5107</v>
      </c>
      <c r="V765" s="797">
        <f>$S$1*P!V765</f>
        <v>1.6965725806451613E-5</v>
      </c>
      <c r="W765" s="780"/>
      <c r="X765" s="782">
        <v>761</v>
      </c>
      <c r="Y765" s="782" t="s">
        <v>2248</v>
      </c>
      <c r="Z765" s="782" t="s">
        <v>5261</v>
      </c>
      <c r="AA765" s="781">
        <f>$S$1*P!AA765</f>
        <v>0.21592741935483872</v>
      </c>
      <c r="AB765" s="780"/>
      <c r="AC765" s="782">
        <v>761</v>
      </c>
      <c r="AD765" s="782" t="s">
        <v>4573</v>
      </c>
      <c r="AE765" s="782" t="s">
        <v>5077</v>
      </c>
      <c r="AF765" s="781">
        <f>$S$1*P!AF765</f>
        <v>0.17411290322580647</v>
      </c>
    </row>
    <row r="766" spans="19:32" x14ac:dyDescent="0.35">
      <c r="S766" s="782">
        <v>762</v>
      </c>
      <c r="T766" s="782" t="s">
        <v>4284</v>
      </c>
      <c r="U766" s="782" t="s">
        <v>5106</v>
      </c>
      <c r="V766" s="797">
        <f>$S$1*P!V766</f>
        <v>5.1411290322580646E-5</v>
      </c>
      <c r="W766" s="780"/>
      <c r="X766" s="782">
        <v>762</v>
      </c>
      <c r="Y766" s="782" t="s">
        <v>2248</v>
      </c>
      <c r="Z766" s="782" t="s">
        <v>3630</v>
      </c>
      <c r="AA766" s="781">
        <f>$S$1*P!AA766</f>
        <v>6.9643999999999998E-2</v>
      </c>
      <c r="AB766" s="780"/>
      <c r="AC766" s="782">
        <v>762</v>
      </c>
      <c r="AD766" s="782" t="s">
        <v>4573</v>
      </c>
      <c r="AE766" s="782" t="s">
        <v>5076</v>
      </c>
      <c r="AF766" s="781">
        <f>$S$1*P!AF766</f>
        <v>1.3538306451612905</v>
      </c>
    </row>
    <row r="767" spans="19:32" x14ac:dyDescent="0.35">
      <c r="S767" s="782">
        <v>763</v>
      </c>
      <c r="T767" s="782" t="s">
        <v>4284</v>
      </c>
      <c r="U767" s="782" t="s">
        <v>5105</v>
      </c>
      <c r="V767" s="797">
        <f>$S$1*P!V767</f>
        <v>7.7116935483870975E-5</v>
      </c>
      <c r="W767" s="780"/>
      <c r="X767" s="782">
        <v>763</v>
      </c>
      <c r="Y767" s="782" t="s">
        <v>2248</v>
      </c>
      <c r="Z767" s="782" t="s">
        <v>3630</v>
      </c>
      <c r="AA767" s="781">
        <f>$S$1*P!AA767</f>
        <v>0.38387096774193552</v>
      </c>
      <c r="AB767" s="780"/>
      <c r="AC767" s="782">
        <v>763</v>
      </c>
      <c r="AD767" s="782" t="s">
        <v>4573</v>
      </c>
      <c r="AE767" s="782" t="s">
        <v>3560</v>
      </c>
      <c r="AF767" s="781">
        <f>$S$1*P!AF767</f>
        <v>0</v>
      </c>
    </row>
    <row r="768" spans="19:32" x14ac:dyDescent="0.35">
      <c r="S768" s="782">
        <v>764</v>
      </c>
      <c r="T768" s="782" t="s">
        <v>4284</v>
      </c>
      <c r="U768" s="782" t="s">
        <v>5104</v>
      </c>
      <c r="V768" s="797">
        <f>$S$1*P!V768</f>
        <v>8.191532258064517E-2</v>
      </c>
      <c r="W768" s="780"/>
      <c r="X768" s="782">
        <v>764</v>
      </c>
      <c r="Y768" s="782" t="s">
        <v>2248</v>
      </c>
      <c r="Z768" s="782" t="s">
        <v>5643</v>
      </c>
      <c r="AA768" s="781">
        <f>$S$1*P!AA768</f>
        <v>4.0786290322580645E-10</v>
      </c>
      <c r="AB768" s="780"/>
      <c r="AC768" s="782">
        <v>764</v>
      </c>
      <c r="AD768" s="782" t="s">
        <v>4573</v>
      </c>
      <c r="AE768" s="782" t="s">
        <v>5075</v>
      </c>
      <c r="AF768" s="781">
        <f>$S$1*P!AF768</f>
        <v>5.929435483870968</v>
      </c>
    </row>
    <row r="769" spans="19:32" x14ac:dyDescent="0.35">
      <c r="S769" s="782">
        <v>765</v>
      </c>
      <c r="T769" s="782" t="s">
        <v>4284</v>
      </c>
      <c r="U769" s="782" t="s">
        <v>5103</v>
      </c>
      <c r="V769" s="797">
        <f>$S$1*P!V769</f>
        <v>9.5282258064516134E-3</v>
      </c>
      <c r="W769" s="780"/>
      <c r="X769" s="782">
        <v>765</v>
      </c>
      <c r="Y769" s="782" t="s">
        <v>2248</v>
      </c>
      <c r="Z769" s="782" t="s">
        <v>5260</v>
      </c>
      <c r="AA769" s="781">
        <f>$S$1*P!AA769</f>
        <v>1.4943548387096774</v>
      </c>
      <c r="AB769" s="780"/>
      <c r="AC769" s="782">
        <v>765</v>
      </c>
      <c r="AD769" s="782" t="s">
        <v>4573</v>
      </c>
      <c r="AE769" s="782" t="s">
        <v>5074</v>
      </c>
      <c r="AF769" s="781">
        <f>$S$1*P!AF769</f>
        <v>6.991935483870968</v>
      </c>
    </row>
    <row r="770" spans="19:32" x14ac:dyDescent="0.35">
      <c r="S770" s="782">
        <v>766</v>
      </c>
      <c r="T770" s="782" t="s">
        <v>4284</v>
      </c>
      <c r="U770" s="782" t="s">
        <v>5102</v>
      </c>
      <c r="V770" s="797">
        <f>$S$1*P!V770</f>
        <v>1.7102822580645162E-4</v>
      </c>
      <c r="W770" s="780"/>
      <c r="X770" s="782">
        <v>766</v>
      </c>
      <c r="Y770" s="782" t="s">
        <v>2248</v>
      </c>
      <c r="Z770" s="782" t="s">
        <v>5259</v>
      </c>
      <c r="AA770" s="781">
        <f>$S$1*P!AA770</f>
        <v>2.5808467741935486E-3</v>
      </c>
      <c r="AB770" s="780"/>
      <c r="AC770" s="782">
        <v>766</v>
      </c>
      <c r="AD770" s="782" t="s">
        <v>4573</v>
      </c>
      <c r="AE770" s="782" t="s">
        <v>5072</v>
      </c>
      <c r="AF770" s="781">
        <f>$S$1*P!AF770</f>
        <v>1.6383064516129035E-2</v>
      </c>
    </row>
    <row r="771" spans="19:32" x14ac:dyDescent="0.35">
      <c r="S771" s="782">
        <v>767</v>
      </c>
      <c r="T771" s="782" t="s">
        <v>4284</v>
      </c>
      <c r="U771" s="782" t="s">
        <v>3582</v>
      </c>
      <c r="V771" s="797">
        <f>$S$1*P!V771</f>
        <v>0.13915322580645162</v>
      </c>
      <c r="W771" s="780"/>
      <c r="X771" s="782">
        <v>767</v>
      </c>
      <c r="Y771" s="782" t="s">
        <v>2248</v>
      </c>
      <c r="Z771" s="782" t="s">
        <v>5642</v>
      </c>
      <c r="AA771" s="781">
        <f>$S$1*P!AA771</f>
        <v>1.2064516129032259E-5</v>
      </c>
      <c r="AB771" s="780"/>
      <c r="AC771" s="782">
        <v>767</v>
      </c>
      <c r="AD771" s="782" t="s">
        <v>4573</v>
      </c>
      <c r="AE771" s="782" t="s">
        <v>5070</v>
      </c>
      <c r="AF771" s="781">
        <f>$S$1*P!AF771</f>
        <v>7.026209677419355</v>
      </c>
    </row>
    <row r="772" spans="19:32" x14ac:dyDescent="0.35">
      <c r="S772" s="782">
        <v>768</v>
      </c>
      <c r="T772" s="782" t="s">
        <v>4284</v>
      </c>
      <c r="U772" s="782" t="s">
        <v>3582</v>
      </c>
      <c r="V772" s="797">
        <f>$S$1*P!V772</f>
        <v>0</v>
      </c>
      <c r="W772" s="780"/>
      <c r="X772" s="782">
        <v>768</v>
      </c>
      <c r="Y772" s="782" t="s">
        <v>2248</v>
      </c>
      <c r="Z772" s="782" t="s">
        <v>5258</v>
      </c>
      <c r="AA772" s="781">
        <f>$S$1*P!AA772</f>
        <v>5.4495967741935489E-5</v>
      </c>
      <c r="AB772" s="780"/>
      <c r="AC772" s="782">
        <v>768</v>
      </c>
      <c r="AD772" s="782" t="s">
        <v>4573</v>
      </c>
      <c r="AE772" s="782" t="s">
        <v>5068</v>
      </c>
      <c r="AF772" s="781">
        <f>$S$1*P!AF772</f>
        <v>0.30812500000000004</v>
      </c>
    </row>
    <row r="773" spans="19:32" x14ac:dyDescent="0.35">
      <c r="S773" s="782">
        <v>769</v>
      </c>
      <c r="T773" s="782" t="s">
        <v>4284</v>
      </c>
      <c r="U773" s="782" t="s">
        <v>5101</v>
      </c>
      <c r="V773" s="797">
        <f>$S$1*P!V773</f>
        <v>4.1814516129032265E-7</v>
      </c>
      <c r="W773" s="780"/>
      <c r="X773" s="782">
        <v>769</v>
      </c>
      <c r="Y773" s="782" t="s">
        <v>2248</v>
      </c>
      <c r="Z773" s="782" t="s">
        <v>3627</v>
      </c>
      <c r="AA773" s="781">
        <f>$S$1*P!AA773</f>
        <v>4.8116000000000003</v>
      </c>
      <c r="AB773" s="780"/>
      <c r="AC773" s="782">
        <v>769</v>
      </c>
      <c r="AD773" s="782" t="s">
        <v>4573</v>
      </c>
      <c r="AE773" s="782" t="s">
        <v>5067</v>
      </c>
      <c r="AF773" s="781">
        <f>$S$1*P!AF773</f>
        <v>3.0641129032258066E-8</v>
      </c>
    </row>
    <row r="774" spans="19:32" x14ac:dyDescent="0.35">
      <c r="S774" s="782">
        <v>770</v>
      </c>
      <c r="T774" s="782" t="s">
        <v>4284</v>
      </c>
      <c r="U774" s="782" t="s">
        <v>5100</v>
      </c>
      <c r="V774" s="797">
        <f>$S$1*P!V774</f>
        <v>0.1076209677419355</v>
      </c>
      <c r="W774" s="780"/>
      <c r="X774" s="782">
        <v>770</v>
      </c>
      <c r="Y774" s="782" t="s">
        <v>2248</v>
      </c>
      <c r="Z774" s="782" t="s">
        <v>5641</v>
      </c>
      <c r="AA774" s="781">
        <f>$S$1*P!AA774</f>
        <v>1.0659274193548388E-3</v>
      </c>
      <c r="AB774" s="780"/>
      <c r="AC774" s="782">
        <v>770</v>
      </c>
      <c r="AD774" s="782" t="s">
        <v>4573</v>
      </c>
      <c r="AE774" s="782" t="s">
        <v>5066</v>
      </c>
      <c r="AF774" s="781">
        <f>$S$1*P!AF774</f>
        <v>4.1471774193548392E-3</v>
      </c>
    </row>
    <row r="775" spans="19:32" x14ac:dyDescent="0.35">
      <c r="S775" s="782">
        <v>771</v>
      </c>
      <c r="T775" s="782" t="s">
        <v>4284</v>
      </c>
      <c r="U775" s="782" t="s">
        <v>5099</v>
      </c>
      <c r="V775" s="797">
        <f>$S$1*P!V775</f>
        <v>1.5183467741935485E-6</v>
      </c>
      <c r="W775" s="780"/>
      <c r="X775" s="782">
        <v>771</v>
      </c>
      <c r="Y775" s="782" t="s">
        <v>2248</v>
      </c>
      <c r="Z775" s="782" t="s">
        <v>5257</v>
      </c>
      <c r="AA775" s="781">
        <f>$S$1*P!AA775</f>
        <v>3.9758064516129035E-3</v>
      </c>
      <c r="AB775" s="780"/>
      <c r="AC775" s="782">
        <v>771</v>
      </c>
      <c r="AD775" s="782" t="s">
        <v>4573</v>
      </c>
      <c r="AE775" s="782" t="s">
        <v>5065</v>
      </c>
      <c r="AF775" s="781">
        <f>$S$1*P!AF775</f>
        <v>5.175403225806452E-3</v>
      </c>
    </row>
    <row r="776" spans="19:32" x14ac:dyDescent="0.35">
      <c r="S776" s="782">
        <v>772</v>
      </c>
      <c r="T776" s="782" t="s">
        <v>4284</v>
      </c>
      <c r="U776" s="782" t="s">
        <v>5098</v>
      </c>
      <c r="V776" s="797">
        <f>$S$1*P!V776</f>
        <v>3.3965725806451614E-4</v>
      </c>
      <c r="W776" s="780"/>
      <c r="X776" s="782">
        <v>772</v>
      </c>
      <c r="Y776" s="782" t="s">
        <v>2248</v>
      </c>
      <c r="Z776" s="782" t="s">
        <v>5256</v>
      </c>
      <c r="AA776" s="781">
        <f>$S$1*P!AA776</f>
        <v>5.0725806451612909E-3</v>
      </c>
      <c r="AB776" s="780"/>
      <c r="AC776" s="782">
        <v>772</v>
      </c>
      <c r="AD776" s="782" t="s">
        <v>4573</v>
      </c>
      <c r="AE776" s="782" t="s">
        <v>3558</v>
      </c>
      <c r="AF776" s="781">
        <f>$S$1*P!AF776</f>
        <v>3.4683999999999999</v>
      </c>
    </row>
    <row r="777" spans="19:32" x14ac:dyDescent="0.35">
      <c r="S777" s="782">
        <v>773</v>
      </c>
      <c r="T777" s="782" t="s">
        <v>4284</v>
      </c>
      <c r="U777" s="782" t="s">
        <v>3579</v>
      </c>
      <c r="V777" s="797">
        <f>$S$1*P!V777</f>
        <v>0</v>
      </c>
      <c r="W777" s="780"/>
      <c r="X777" s="782">
        <v>773</v>
      </c>
      <c r="Y777" s="782" t="s">
        <v>2248</v>
      </c>
      <c r="Z777" s="782" t="s">
        <v>5255</v>
      </c>
      <c r="AA777" s="781">
        <f>$S$1*P!AA777</f>
        <v>4.6955645161290326E-4</v>
      </c>
      <c r="AB777" s="780"/>
      <c r="AC777" s="782">
        <v>773</v>
      </c>
      <c r="AD777" s="782" t="s">
        <v>4573</v>
      </c>
      <c r="AE777" s="782" t="s">
        <v>5064</v>
      </c>
      <c r="AF777" s="781">
        <f>$S$1*P!AF777</f>
        <v>0.66834677419354849</v>
      </c>
    </row>
    <row r="778" spans="19:32" x14ac:dyDescent="0.35">
      <c r="S778" s="782">
        <v>774</v>
      </c>
      <c r="T778" s="782" t="s">
        <v>4284</v>
      </c>
      <c r="U778" s="782" t="s">
        <v>5097</v>
      </c>
      <c r="V778" s="797">
        <f>$S$1*P!V778</f>
        <v>5.0040322580645162E-3</v>
      </c>
      <c r="W778" s="780"/>
      <c r="X778" s="782">
        <v>774</v>
      </c>
      <c r="Y778" s="782" t="s">
        <v>2248</v>
      </c>
      <c r="Z778" s="782" t="s">
        <v>5640</v>
      </c>
      <c r="AA778" s="781">
        <f>$S$1*P!AA778</f>
        <v>5.106854838709678E-4</v>
      </c>
      <c r="AB778" s="780"/>
      <c r="AC778" s="782">
        <v>774</v>
      </c>
      <c r="AD778" s="782" t="s">
        <v>4573</v>
      </c>
      <c r="AE778" s="782" t="s">
        <v>5063</v>
      </c>
      <c r="AF778" s="781">
        <f>$S$1*P!AF778</f>
        <v>11.10483870967742</v>
      </c>
    </row>
    <row r="779" spans="19:32" x14ac:dyDescent="0.35">
      <c r="S779" s="782">
        <v>775</v>
      </c>
      <c r="T779" s="782" t="s">
        <v>4284</v>
      </c>
      <c r="U779" s="782" t="s">
        <v>5096</v>
      </c>
      <c r="V779" s="797">
        <f>$S$1*P!V779</f>
        <v>1.3949596774193551E-3</v>
      </c>
      <c r="W779" s="780"/>
      <c r="X779" s="782">
        <v>775</v>
      </c>
      <c r="Y779" s="782" t="s">
        <v>2248</v>
      </c>
      <c r="Z779" s="782" t="s">
        <v>5254</v>
      </c>
      <c r="AA779" s="781">
        <f>$S$1*P!AA779</f>
        <v>3.1395161290322582E-3</v>
      </c>
      <c r="AB779" s="780"/>
      <c r="AC779" s="782">
        <v>775</v>
      </c>
      <c r="AD779" s="782" t="s">
        <v>4573</v>
      </c>
      <c r="AE779" s="782" t="s">
        <v>3557</v>
      </c>
      <c r="AF779" s="781">
        <f>$S$1*P!AF779</f>
        <v>0.14875000000000002</v>
      </c>
    </row>
    <row r="780" spans="19:32" x14ac:dyDescent="0.35">
      <c r="S780" s="782">
        <v>776</v>
      </c>
      <c r="T780" s="782" t="s">
        <v>4284</v>
      </c>
      <c r="U780" s="782" t="s">
        <v>5095</v>
      </c>
      <c r="V780" s="797">
        <f>$S$1*P!V780</f>
        <v>8.2600806451612902E-6</v>
      </c>
      <c r="W780" s="780"/>
      <c r="X780" s="782">
        <v>776</v>
      </c>
      <c r="Y780" s="782" t="s">
        <v>2248</v>
      </c>
      <c r="Z780" s="782" t="s">
        <v>5253</v>
      </c>
      <c r="AA780" s="781">
        <f>$S$1*P!AA780</f>
        <v>5.7923387096774194E-3</v>
      </c>
      <c r="AB780" s="780"/>
      <c r="AC780" s="782">
        <v>776</v>
      </c>
      <c r="AD780" s="782" t="s">
        <v>4573</v>
      </c>
      <c r="AE780" s="782" t="s">
        <v>3557</v>
      </c>
      <c r="AF780" s="781">
        <f>$S$1*P!AF780</f>
        <v>6.4676</v>
      </c>
    </row>
    <row r="781" spans="19:32" x14ac:dyDescent="0.35">
      <c r="S781" s="782">
        <v>777</v>
      </c>
      <c r="T781" s="782" t="s">
        <v>4284</v>
      </c>
      <c r="U781" s="782" t="s">
        <v>5094</v>
      </c>
      <c r="V781" s="797">
        <f>$S$1*P!V781</f>
        <v>2.3923387096774196E-4</v>
      </c>
      <c r="W781" s="780"/>
      <c r="X781" s="782">
        <v>777</v>
      </c>
      <c r="Y781" s="782" t="s">
        <v>2248</v>
      </c>
      <c r="Z781" s="782" t="s">
        <v>5639</v>
      </c>
      <c r="AA781" s="781">
        <f>$S$1*P!AA781</f>
        <v>1.1893145161290325E-4</v>
      </c>
      <c r="AB781" s="780"/>
      <c r="AC781" s="782">
        <v>777</v>
      </c>
      <c r="AD781" s="782" t="s">
        <v>4573</v>
      </c>
      <c r="AE781" s="782" t="s">
        <v>3554</v>
      </c>
      <c r="AF781" s="781">
        <f>$S$1*P!AF781</f>
        <v>8.6387999999999998</v>
      </c>
    </row>
    <row r="782" spans="19:32" x14ac:dyDescent="0.35">
      <c r="S782" s="782">
        <v>778</v>
      </c>
      <c r="T782" s="782" t="s">
        <v>4284</v>
      </c>
      <c r="U782" s="782" t="s">
        <v>5092</v>
      </c>
      <c r="V782" s="797">
        <f>$S$1*P!V782</f>
        <v>3.1703629032258068E-2</v>
      </c>
      <c r="W782" s="780"/>
      <c r="X782" s="782">
        <v>778</v>
      </c>
      <c r="Y782" s="782" t="s">
        <v>2248</v>
      </c>
      <c r="Z782" s="782" t="s">
        <v>5252</v>
      </c>
      <c r="AA782" s="781">
        <f>$S$1*P!AA782</f>
        <v>4.8669354838709676E-5</v>
      </c>
      <c r="AB782" s="780"/>
      <c r="AC782" s="782">
        <v>778</v>
      </c>
      <c r="AD782" s="782" t="s">
        <v>4573</v>
      </c>
      <c r="AE782" s="782" t="s">
        <v>3552</v>
      </c>
      <c r="AF782" s="781">
        <f>$S$1*P!AF782</f>
        <v>5.7591999999999999</v>
      </c>
    </row>
    <row r="783" spans="19:32" x14ac:dyDescent="0.35">
      <c r="S783" s="782">
        <v>779</v>
      </c>
      <c r="T783" s="782" t="s">
        <v>4284</v>
      </c>
      <c r="U783" s="782" t="s">
        <v>5091</v>
      </c>
      <c r="V783" s="797">
        <f>$S$1*P!V783</f>
        <v>2.9612903225806455E-3</v>
      </c>
      <c r="W783" s="780"/>
      <c r="X783" s="782">
        <v>779</v>
      </c>
      <c r="Y783" s="782" t="s">
        <v>2248</v>
      </c>
      <c r="Z783" s="782" t="s">
        <v>5251</v>
      </c>
      <c r="AA783" s="781">
        <f>$S$1*P!AA783</f>
        <v>5.5181451612903235E-5</v>
      </c>
      <c r="AB783" s="780"/>
      <c r="AC783" s="782">
        <v>779</v>
      </c>
      <c r="AD783" s="782" t="s">
        <v>4573</v>
      </c>
      <c r="AE783" s="782" t="s">
        <v>3549</v>
      </c>
      <c r="AF783" s="781">
        <f>$S$1*P!AF783</f>
        <v>2.1455645161290324E-2</v>
      </c>
    </row>
    <row r="784" spans="19:32" x14ac:dyDescent="0.35">
      <c r="S784" s="782">
        <v>780</v>
      </c>
      <c r="T784" s="782" t="s">
        <v>4284</v>
      </c>
      <c r="U784" s="782" t="s">
        <v>5090</v>
      </c>
      <c r="V784" s="797">
        <f>$S$1*P!V784</f>
        <v>1.360685483870968E-3</v>
      </c>
      <c r="W784" s="780"/>
      <c r="X784" s="782">
        <v>780</v>
      </c>
      <c r="Y784" s="782" t="s">
        <v>2248</v>
      </c>
      <c r="Z784" s="782" t="s">
        <v>5638</v>
      </c>
      <c r="AA784" s="781">
        <f>$S$1*P!AA784</f>
        <v>1.7685483870967742E-5</v>
      </c>
      <c r="AB784" s="780"/>
      <c r="AC784" s="782">
        <v>780</v>
      </c>
      <c r="AD784" s="782" t="s">
        <v>4573</v>
      </c>
      <c r="AE784" s="782" t="s">
        <v>3549</v>
      </c>
      <c r="AF784" s="781">
        <f>$S$1*P!AF784</f>
        <v>0.22816</v>
      </c>
    </row>
    <row r="785" spans="19:32" x14ac:dyDescent="0.35">
      <c r="S785" s="782">
        <v>781</v>
      </c>
      <c r="T785" s="782" t="s">
        <v>4284</v>
      </c>
      <c r="U785" s="782" t="s">
        <v>3577</v>
      </c>
      <c r="V785" s="797">
        <f>$S$1*P!V785</f>
        <v>0</v>
      </c>
      <c r="W785" s="780"/>
      <c r="X785" s="782">
        <v>781</v>
      </c>
      <c r="Y785" s="782" t="s">
        <v>2248</v>
      </c>
      <c r="Z785" s="782" t="s">
        <v>5249</v>
      </c>
      <c r="AA785" s="781">
        <f>$S$1*P!AA785</f>
        <v>3.4616935483870972E-5</v>
      </c>
      <c r="AB785" s="780"/>
      <c r="AC785" s="782">
        <v>781</v>
      </c>
      <c r="AD785" s="782" t="s">
        <v>4573</v>
      </c>
      <c r="AE785" s="782" t="s">
        <v>3546</v>
      </c>
      <c r="AF785" s="781">
        <f>$S$1*P!AF785</f>
        <v>1.6280241935483872E-3</v>
      </c>
    </row>
    <row r="786" spans="19:32" x14ac:dyDescent="0.35">
      <c r="S786" s="782">
        <v>782</v>
      </c>
      <c r="T786" s="782" t="s">
        <v>4284</v>
      </c>
      <c r="U786" s="782" t="s">
        <v>5089</v>
      </c>
      <c r="V786" s="797">
        <f>$S$1*P!V786</f>
        <v>9.2197580645161301E-2</v>
      </c>
      <c r="W786" s="780"/>
      <c r="X786" s="782">
        <v>782</v>
      </c>
      <c r="Y786" s="782" t="s">
        <v>2248</v>
      </c>
      <c r="Z786" s="782" t="s">
        <v>5248</v>
      </c>
      <c r="AA786" s="781">
        <f>$S$1*P!AA786</f>
        <v>2.8790322580645165E-3</v>
      </c>
      <c r="AB786" s="780"/>
      <c r="AC786" s="782">
        <v>782</v>
      </c>
      <c r="AD786" s="782" t="s">
        <v>4573</v>
      </c>
      <c r="AE786" s="782" t="s">
        <v>3546</v>
      </c>
      <c r="AF786" s="781">
        <f>$S$1*P!AF786</f>
        <v>8.1236000000000003E-2</v>
      </c>
    </row>
    <row r="787" spans="19:32" x14ac:dyDescent="0.35">
      <c r="S787" s="782">
        <v>783</v>
      </c>
      <c r="T787" s="782" t="s">
        <v>4284</v>
      </c>
      <c r="U787" s="782" t="s">
        <v>5088</v>
      </c>
      <c r="V787" s="797">
        <f>$S$1*P!V787</f>
        <v>2.5911290322580646E-5</v>
      </c>
      <c r="W787" s="780"/>
      <c r="X787" s="782">
        <v>783</v>
      </c>
      <c r="Y787" s="782" t="s">
        <v>2248</v>
      </c>
      <c r="Z787" s="782" t="s">
        <v>5637</v>
      </c>
      <c r="AA787" s="781">
        <f>$S$1*P!AA787</f>
        <v>8.2600806451612916E-5</v>
      </c>
      <c r="AB787" s="780"/>
      <c r="AC787" s="782">
        <v>783</v>
      </c>
      <c r="AD787" s="782" t="s">
        <v>4573</v>
      </c>
      <c r="AE787" s="782" t="s">
        <v>5054</v>
      </c>
      <c r="AF787" s="781">
        <f>$S$1*P!AF787</f>
        <v>3.1223790322580645E-3</v>
      </c>
    </row>
    <row r="788" spans="19:32" x14ac:dyDescent="0.35">
      <c r="S788" s="782">
        <v>784</v>
      </c>
      <c r="T788" s="782" t="s">
        <v>4284</v>
      </c>
      <c r="U788" s="782" t="s">
        <v>5087</v>
      </c>
      <c r="V788" s="797">
        <f>$S$1*P!V788</f>
        <v>2.4163306451612906E-2</v>
      </c>
      <c r="W788" s="780"/>
      <c r="X788" s="782">
        <v>784</v>
      </c>
      <c r="Y788" s="782" t="s">
        <v>2248</v>
      </c>
      <c r="Z788" s="782" t="s">
        <v>5247</v>
      </c>
      <c r="AA788" s="781">
        <f>$S$1*P!AA788</f>
        <v>1.0590725806451613E-4</v>
      </c>
      <c r="AB788" s="780"/>
      <c r="AC788" s="782">
        <v>784</v>
      </c>
      <c r="AD788" s="782" t="s">
        <v>4573</v>
      </c>
      <c r="AE788" s="782" t="s">
        <v>3545</v>
      </c>
      <c r="AF788" s="781">
        <f>$S$1*P!AF788</f>
        <v>7.197580645161291E-3</v>
      </c>
    </row>
    <row r="789" spans="19:32" x14ac:dyDescent="0.35">
      <c r="S789" s="782">
        <v>785</v>
      </c>
      <c r="T789" s="782" t="s">
        <v>4284</v>
      </c>
      <c r="U789" s="782" t="s">
        <v>3574</v>
      </c>
      <c r="V789" s="797">
        <f>$S$1*P!V789</f>
        <v>0</v>
      </c>
      <c r="W789" s="780"/>
      <c r="X789" s="782">
        <v>785</v>
      </c>
      <c r="Y789" s="782" t="s">
        <v>2248</v>
      </c>
      <c r="Z789" s="782" t="s">
        <v>5245</v>
      </c>
      <c r="AA789" s="781">
        <f>$S$1*P!AA789</f>
        <v>9.45967741935484E-4</v>
      </c>
      <c r="AB789" s="780"/>
      <c r="AC789" s="782">
        <v>785</v>
      </c>
      <c r="AD789" s="782" t="s">
        <v>4573</v>
      </c>
      <c r="AE789" s="782" t="s">
        <v>3545</v>
      </c>
      <c r="AF789" s="781">
        <f>$S$1*P!AF789</f>
        <v>0</v>
      </c>
    </row>
    <row r="790" spans="19:32" x14ac:dyDescent="0.35">
      <c r="S790" s="782">
        <v>786</v>
      </c>
      <c r="T790" s="782" t="s">
        <v>4284</v>
      </c>
      <c r="U790" s="782" t="s">
        <v>3573</v>
      </c>
      <c r="V790" s="797">
        <f>$S$1*P!V790</f>
        <v>1.7000000000000001E-3</v>
      </c>
      <c r="W790" s="780"/>
      <c r="X790" s="782">
        <v>786</v>
      </c>
      <c r="Y790" s="782" t="s">
        <v>2248</v>
      </c>
      <c r="Z790" s="782" t="s">
        <v>5636</v>
      </c>
      <c r="AA790" s="781">
        <f>$S$1*P!AA790</f>
        <v>3.3280241935483877E-4</v>
      </c>
      <c r="AB790" s="780"/>
      <c r="AC790" s="782">
        <v>786</v>
      </c>
      <c r="AD790" s="782" t="s">
        <v>4573</v>
      </c>
      <c r="AE790" s="782" t="s">
        <v>3543</v>
      </c>
      <c r="AF790" s="781">
        <f>$S$1*P!AF790</f>
        <v>6.957661290322581E-2</v>
      </c>
    </row>
    <row r="791" spans="19:32" x14ac:dyDescent="0.35">
      <c r="S791" s="782">
        <v>787</v>
      </c>
      <c r="T791" s="782" t="s">
        <v>4284</v>
      </c>
      <c r="U791" s="782" t="s">
        <v>3573</v>
      </c>
      <c r="V791" s="797">
        <f>$S$1*P!V791</f>
        <v>0</v>
      </c>
      <c r="W791" s="780"/>
      <c r="X791" s="782">
        <v>787</v>
      </c>
      <c r="Y791" s="782" t="s">
        <v>2248</v>
      </c>
      <c r="Z791" s="782" t="s">
        <v>5243</v>
      </c>
      <c r="AA791" s="781">
        <f>$S$1*P!AA791</f>
        <v>5.1068548387096779</v>
      </c>
      <c r="AB791" s="780"/>
      <c r="AC791" s="782">
        <v>787</v>
      </c>
      <c r="AD791" s="782" t="s">
        <v>4573</v>
      </c>
      <c r="AE791" s="782" t="s">
        <v>3543</v>
      </c>
      <c r="AF791" s="781">
        <f>$S$1*P!AF791</f>
        <v>0.78108</v>
      </c>
    </row>
    <row r="792" spans="19:32" x14ac:dyDescent="0.35">
      <c r="S792" s="782">
        <v>788</v>
      </c>
      <c r="T792" s="782" t="s">
        <v>4284</v>
      </c>
      <c r="U792" s="782" t="s">
        <v>5086</v>
      </c>
      <c r="V792" s="797">
        <f>$S$1*P!V792</f>
        <v>1.0693548387096775E-7</v>
      </c>
      <c r="W792" s="780"/>
      <c r="X792" s="782">
        <v>788</v>
      </c>
      <c r="Y792" s="782" t="s">
        <v>2248</v>
      </c>
      <c r="Z792" s="782" t="s">
        <v>5242</v>
      </c>
      <c r="AA792" s="781">
        <f>$S$1*P!AA792</f>
        <v>6.6149193548387105E-6</v>
      </c>
      <c r="AB792" s="780"/>
      <c r="AC792" s="782">
        <v>788</v>
      </c>
      <c r="AD792" s="782" t="s">
        <v>4573</v>
      </c>
      <c r="AE792" s="782" t="s">
        <v>5053</v>
      </c>
      <c r="AF792" s="781">
        <f>$S$1*P!AF792</f>
        <v>8.3286290322580649E-3</v>
      </c>
    </row>
    <row r="793" spans="19:32" x14ac:dyDescent="0.35">
      <c r="S793" s="782">
        <v>789</v>
      </c>
      <c r="T793" s="782" t="s">
        <v>4284</v>
      </c>
      <c r="U793" s="782" t="s">
        <v>5085</v>
      </c>
      <c r="V793" s="797">
        <f>$S$1*P!V793</f>
        <v>4.3185483870967746E-4</v>
      </c>
      <c r="W793" s="780"/>
      <c r="X793" s="782">
        <v>789</v>
      </c>
      <c r="Y793" s="782" t="s">
        <v>2248</v>
      </c>
      <c r="Z793" s="782" t="s">
        <v>5241</v>
      </c>
      <c r="AA793" s="781">
        <f>$S$1*P!AA793</f>
        <v>3.7358870967741943E-5</v>
      </c>
      <c r="AB793" s="780"/>
      <c r="AC793" s="782">
        <v>789</v>
      </c>
      <c r="AD793" s="782" t="s">
        <v>4573</v>
      </c>
      <c r="AE793" s="782" t="s">
        <v>3542</v>
      </c>
      <c r="AF793" s="781">
        <f>$S$1*P!AF793</f>
        <v>9.0483870967741946E-5</v>
      </c>
    </row>
    <row r="794" spans="19:32" x14ac:dyDescent="0.35">
      <c r="S794" s="782">
        <v>790</v>
      </c>
      <c r="T794" s="782" t="s">
        <v>4284</v>
      </c>
      <c r="U794" s="782" t="s">
        <v>3570</v>
      </c>
      <c r="V794" s="797">
        <f>$S$1*P!V794</f>
        <v>2.7933467741935488E-4</v>
      </c>
      <c r="W794" s="780"/>
      <c r="X794" s="782">
        <v>790</v>
      </c>
      <c r="Y794" s="782" t="s">
        <v>2248</v>
      </c>
      <c r="Z794" s="782" t="s">
        <v>5635</v>
      </c>
      <c r="AA794" s="781">
        <f>$S$1*P!AA794</f>
        <v>1.086491935483871E-4</v>
      </c>
      <c r="AB794" s="780"/>
      <c r="AC794" s="782">
        <v>790</v>
      </c>
      <c r="AD794" s="782" t="s">
        <v>4573</v>
      </c>
      <c r="AE794" s="782" t="s">
        <v>3542</v>
      </c>
      <c r="AF794" s="781">
        <f>$S$1*P!AF794</f>
        <v>0.22908000000000001</v>
      </c>
    </row>
    <row r="795" spans="19:32" x14ac:dyDescent="0.35">
      <c r="S795" s="782">
        <v>791</v>
      </c>
      <c r="T795" s="782" t="s">
        <v>4284</v>
      </c>
      <c r="U795" s="782" t="s">
        <v>3570</v>
      </c>
      <c r="V795" s="797">
        <f>$S$1*P!V795</f>
        <v>0</v>
      </c>
      <c r="W795" s="780"/>
      <c r="X795" s="782">
        <v>791</v>
      </c>
      <c r="Y795" s="782" t="s">
        <v>2248</v>
      </c>
      <c r="Z795" s="782" t="s">
        <v>5240</v>
      </c>
      <c r="AA795" s="781">
        <f>$S$1*P!AA795</f>
        <v>2.2038306451612902E-3</v>
      </c>
      <c r="AB795" s="780"/>
      <c r="AC795" s="782">
        <v>791</v>
      </c>
      <c r="AD795" s="782" t="s">
        <v>4573</v>
      </c>
      <c r="AE795" s="782" t="s">
        <v>5052</v>
      </c>
      <c r="AF795" s="781">
        <f>$S$1*P!AF795</f>
        <v>5.5524193548387099E-3</v>
      </c>
    </row>
    <row r="796" spans="19:32" x14ac:dyDescent="0.35">
      <c r="S796" s="782">
        <v>792</v>
      </c>
      <c r="T796" s="782" t="s">
        <v>4284</v>
      </c>
      <c r="U796" s="782" t="s">
        <v>3569</v>
      </c>
      <c r="V796" s="797">
        <f>$S$1*P!V796</f>
        <v>468.28000000000003</v>
      </c>
      <c r="W796" s="780"/>
      <c r="X796" s="782">
        <v>792</v>
      </c>
      <c r="Y796" s="782" t="s">
        <v>2248</v>
      </c>
      <c r="Z796" s="782" t="s">
        <v>5239</v>
      </c>
      <c r="AA796" s="781">
        <f>$S$1*P!AA796</f>
        <v>8.362903225806452E-8</v>
      </c>
      <c r="AB796" s="780"/>
      <c r="AC796" s="782">
        <v>792</v>
      </c>
      <c r="AD796" s="782" t="s">
        <v>4573</v>
      </c>
      <c r="AE796" s="782" t="s">
        <v>3540</v>
      </c>
      <c r="AF796" s="781">
        <f>$S$1*P!AF796</f>
        <v>157.32000000000002</v>
      </c>
    </row>
    <row r="797" spans="19:32" x14ac:dyDescent="0.35">
      <c r="S797" s="782">
        <v>793</v>
      </c>
      <c r="T797" s="782" t="s">
        <v>4284</v>
      </c>
      <c r="U797" s="782" t="s">
        <v>5084</v>
      </c>
      <c r="V797" s="797">
        <f>$S$1*P!V797</f>
        <v>3.8729838709677424E-4</v>
      </c>
      <c r="W797" s="780"/>
      <c r="X797" s="782">
        <v>793</v>
      </c>
      <c r="Y797" s="782" t="s">
        <v>2248</v>
      </c>
      <c r="Z797" s="782" t="s">
        <v>5634</v>
      </c>
      <c r="AA797" s="781">
        <f>$S$1*P!AA797</f>
        <v>1.8370967741935486E-6</v>
      </c>
      <c r="AB797" s="780"/>
      <c r="AC797" s="782">
        <v>793</v>
      </c>
      <c r="AD797" s="782" t="s">
        <v>4573</v>
      </c>
      <c r="AE797" s="782" t="s">
        <v>3539</v>
      </c>
      <c r="AF797" s="781">
        <f>$S$1*P!AF797</f>
        <v>15.64</v>
      </c>
    </row>
    <row r="798" spans="19:32" x14ac:dyDescent="0.35">
      <c r="S798" s="782">
        <v>794</v>
      </c>
      <c r="T798" s="782" t="s">
        <v>4284</v>
      </c>
      <c r="U798" s="782" t="s">
        <v>3567</v>
      </c>
      <c r="V798" s="797">
        <f>$S$1*P!V798</f>
        <v>0</v>
      </c>
      <c r="W798" s="780"/>
      <c r="X798" s="782">
        <v>794</v>
      </c>
      <c r="Y798" s="782" t="s">
        <v>2248</v>
      </c>
      <c r="Z798" s="782" t="s">
        <v>5238</v>
      </c>
      <c r="AA798" s="781">
        <f>$S$1*P!AA798</f>
        <v>1.7993951612903226E-2</v>
      </c>
      <c r="AB798" s="780"/>
      <c r="AC798" s="782">
        <v>794</v>
      </c>
      <c r="AD798" s="782" t="s">
        <v>4573</v>
      </c>
      <c r="AE798" s="782" t="s">
        <v>3537</v>
      </c>
      <c r="AF798" s="781">
        <f>$S$1*P!AF798</f>
        <v>3.804435483870968E-4</v>
      </c>
    </row>
    <row r="799" spans="19:32" x14ac:dyDescent="0.35">
      <c r="S799" s="782">
        <v>795</v>
      </c>
      <c r="T799" s="782" t="s">
        <v>4284</v>
      </c>
      <c r="U799" s="782" t="s">
        <v>3566</v>
      </c>
      <c r="V799" s="797">
        <f>$S$1*P!V799</f>
        <v>0.77371999999999996</v>
      </c>
      <c r="W799" s="780"/>
      <c r="X799" s="782">
        <v>795</v>
      </c>
      <c r="Y799" s="782" t="s">
        <v>2248</v>
      </c>
      <c r="Z799" s="782" t="s">
        <v>3626</v>
      </c>
      <c r="AA799" s="781">
        <f>$S$1*P!AA799</f>
        <v>297.15999999999997</v>
      </c>
      <c r="AB799" s="780"/>
      <c r="AC799" s="782">
        <v>795</v>
      </c>
      <c r="AD799" s="782" t="s">
        <v>4573</v>
      </c>
      <c r="AE799" s="782" t="s">
        <v>3537</v>
      </c>
      <c r="AF799" s="781">
        <f>$S$1*P!AF799</f>
        <v>4.1492000000000004</v>
      </c>
    </row>
    <row r="800" spans="19:32" x14ac:dyDescent="0.35">
      <c r="S800" s="782">
        <v>796</v>
      </c>
      <c r="T800" s="782" t="s">
        <v>4284</v>
      </c>
      <c r="U800" s="782" t="s">
        <v>3563</v>
      </c>
      <c r="V800" s="797">
        <f>$S$1*P!V800</f>
        <v>0</v>
      </c>
      <c r="W800" s="780"/>
      <c r="X800" s="782">
        <v>796</v>
      </c>
      <c r="Y800" s="782" t="s">
        <v>2248</v>
      </c>
      <c r="Z800" s="782" t="s">
        <v>5237</v>
      </c>
      <c r="AA800" s="781">
        <f>$S$1*P!AA800</f>
        <v>4.0100806451612906E-5</v>
      </c>
      <c r="AB800" s="780"/>
      <c r="AC800" s="782">
        <v>796</v>
      </c>
      <c r="AD800" s="782" t="s">
        <v>4573</v>
      </c>
      <c r="AE800" s="782" t="s">
        <v>3536</v>
      </c>
      <c r="AF800" s="781">
        <f>$S$1*P!AF800</f>
        <v>216.2</v>
      </c>
    </row>
    <row r="801" spans="19:32" x14ac:dyDescent="0.35">
      <c r="S801" s="782">
        <v>797</v>
      </c>
      <c r="T801" s="782" t="s">
        <v>4284</v>
      </c>
      <c r="U801" s="782" t="s">
        <v>3561</v>
      </c>
      <c r="V801" s="797">
        <f>$S$1*P!V801</f>
        <v>1.9776209677419354E-4</v>
      </c>
      <c r="W801" s="780"/>
      <c r="X801" s="782">
        <v>797</v>
      </c>
      <c r="Y801" s="782" t="s">
        <v>2248</v>
      </c>
      <c r="Z801" s="782" t="s">
        <v>5633</v>
      </c>
      <c r="AA801" s="781">
        <f>$S$1*P!AA801</f>
        <v>2.3032258064516133E-5</v>
      </c>
      <c r="AB801" s="780"/>
      <c r="AC801" s="782">
        <v>797</v>
      </c>
      <c r="AD801" s="782" t="s">
        <v>4573</v>
      </c>
      <c r="AE801" s="782" t="s">
        <v>3535</v>
      </c>
      <c r="AF801" s="781">
        <f>$S$1*P!AF801</f>
        <v>2.9681451612903224E-3</v>
      </c>
    </row>
    <row r="802" spans="19:32" x14ac:dyDescent="0.35">
      <c r="S802" s="782">
        <v>798</v>
      </c>
      <c r="T802" s="782" t="s">
        <v>4284</v>
      </c>
      <c r="U802" s="782" t="s">
        <v>3561</v>
      </c>
      <c r="V802" s="797">
        <f>$S$1*P!V802</f>
        <v>0</v>
      </c>
      <c r="W802" s="780"/>
      <c r="X802" s="782">
        <v>798</v>
      </c>
      <c r="Y802" s="782" t="s">
        <v>2248</v>
      </c>
      <c r="Z802" s="782" t="s">
        <v>5235</v>
      </c>
      <c r="AA802" s="781">
        <f>$S$1*P!AA802</f>
        <v>1.0693548387096775E-3</v>
      </c>
      <c r="AB802" s="780"/>
      <c r="AC802" s="782">
        <v>798</v>
      </c>
      <c r="AD802" s="782" t="s">
        <v>4573</v>
      </c>
      <c r="AE802" s="782" t="s">
        <v>3535</v>
      </c>
      <c r="AF802" s="781">
        <f>$S$1*P!AF802</f>
        <v>8.3352000000000009E-2</v>
      </c>
    </row>
    <row r="803" spans="19:32" x14ac:dyDescent="0.35">
      <c r="S803" s="782">
        <v>799</v>
      </c>
      <c r="T803" s="782" t="s">
        <v>4284</v>
      </c>
      <c r="U803" s="782" t="s">
        <v>5083</v>
      </c>
      <c r="V803" s="797">
        <f>$S$1*P!V803</f>
        <v>1.9296370967741936E-4</v>
      </c>
      <c r="W803" s="780"/>
      <c r="X803" s="782">
        <v>799</v>
      </c>
      <c r="Y803" s="782" t="s">
        <v>2248</v>
      </c>
      <c r="Z803" s="782" t="s">
        <v>3623</v>
      </c>
      <c r="AA803" s="781">
        <f>$S$1*P!AA803</f>
        <v>0</v>
      </c>
      <c r="AB803" s="780"/>
      <c r="AC803" s="782">
        <v>799</v>
      </c>
      <c r="AD803" s="782" t="s">
        <v>4573</v>
      </c>
      <c r="AE803" s="782" t="s">
        <v>5051</v>
      </c>
      <c r="AF803" s="781">
        <f>$S$1*P!AF803</f>
        <v>5.9979838709677425E-3</v>
      </c>
    </row>
    <row r="804" spans="19:32" x14ac:dyDescent="0.35">
      <c r="S804" s="782">
        <v>800</v>
      </c>
      <c r="T804" s="782" t="s">
        <v>4284</v>
      </c>
      <c r="U804" s="782" t="s">
        <v>5082</v>
      </c>
      <c r="V804" s="797">
        <f>$S$1*P!V804</f>
        <v>2.9852822580645161E-3</v>
      </c>
      <c r="W804" s="780"/>
      <c r="X804" s="782">
        <v>800</v>
      </c>
      <c r="Y804" s="782" t="s">
        <v>2248</v>
      </c>
      <c r="Z804" s="782" t="s">
        <v>5632</v>
      </c>
      <c r="AA804" s="781">
        <f>$S$1*P!AA804</f>
        <v>2.0050403225806455</v>
      </c>
      <c r="AB804" s="780"/>
      <c r="AC804" s="782">
        <v>800</v>
      </c>
      <c r="AD804" s="782" t="s">
        <v>4573</v>
      </c>
      <c r="AE804" s="782" t="s">
        <v>3534</v>
      </c>
      <c r="AF804" s="781">
        <f>$S$1*P!AF804</f>
        <v>153.63999999999999</v>
      </c>
    </row>
    <row r="805" spans="19:32" x14ac:dyDescent="0.35">
      <c r="S805" s="782">
        <v>801</v>
      </c>
      <c r="T805" s="782" t="s">
        <v>4284</v>
      </c>
      <c r="U805" s="782" t="s">
        <v>5081</v>
      </c>
      <c r="V805" s="797">
        <f>$S$1*P!V805</f>
        <v>7.5060483870967752E-3</v>
      </c>
      <c r="W805" s="780"/>
      <c r="X805" s="782">
        <v>801</v>
      </c>
      <c r="Y805" s="782" t="s">
        <v>2248</v>
      </c>
      <c r="Z805" s="782" t="s">
        <v>5234</v>
      </c>
      <c r="AA805" s="781">
        <f>$S$1*P!AA805</f>
        <v>2.9612903225806455E-5</v>
      </c>
      <c r="AB805" s="780"/>
      <c r="AC805" s="782">
        <v>801</v>
      </c>
      <c r="AD805" s="782" t="s">
        <v>4573</v>
      </c>
      <c r="AE805" s="782" t="s">
        <v>3533</v>
      </c>
      <c r="AF805" s="781">
        <f>$S$1*P!AF805</f>
        <v>14.26</v>
      </c>
    </row>
    <row r="806" spans="19:32" x14ac:dyDescent="0.35">
      <c r="S806" s="782">
        <v>802</v>
      </c>
      <c r="T806" s="782" t="s">
        <v>4284</v>
      </c>
      <c r="U806" s="782" t="s">
        <v>5079</v>
      </c>
      <c r="V806" s="797">
        <f>$S$1*P!V806</f>
        <v>0.18542338709677419</v>
      </c>
      <c r="W806" s="780"/>
      <c r="X806" s="782">
        <v>802</v>
      </c>
      <c r="Y806" s="782" t="s">
        <v>2248</v>
      </c>
      <c r="Z806" s="782" t="s">
        <v>3621</v>
      </c>
      <c r="AA806" s="781">
        <f>$S$1*P!AA806</f>
        <v>0.74336000000000002</v>
      </c>
      <c r="AB806" s="780"/>
      <c r="AC806" s="782">
        <v>802</v>
      </c>
      <c r="AD806" s="782" t="s">
        <v>4573</v>
      </c>
      <c r="AE806" s="782" t="s">
        <v>5050</v>
      </c>
      <c r="AF806" s="781">
        <f>$S$1*P!AF806</f>
        <v>1.7102822580645162E-3</v>
      </c>
    </row>
    <row r="807" spans="19:32" x14ac:dyDescent="0.35">
      <c r="S807" s="782">
        <v>803</v>
      </c>
      <c r="T807" s="782" t="s">
        <v>4284</v>
      </c>
      <c r="U807" s="782" t="s">
        <v>5078</v>
      </c>
      <c r="V807" s="797">
        <f>$S$1*P!V807</f>
        <v>9.9052419354838717E-4</v>
      </c>
      <c r="W807" s="780"/>
      <c r="X807" s="782">
        <v>803</v>
      </c>
      <c r="Y807" s="782" t="s">
        <v>2248</v>
      </c>
      <c r="Z807" s="782" t="s">
        <v>5631</v>
      </c>
      <c r="AA807" s="781">
        <f>$S$1*P!AA807</f>
        <v>9.7338709677419362E-4</v>
      </c>
      <c r="AB807" s="780"/>
      <c r="AC807" s="782">
        <v>803</v>
      </c>
      <c r="AD807" s="782" t="s">
        <v>4573</v>
      </c>
      <c r="AE807" s="782" t="s">
        <v>5049</v>
      </c>
      <c r="AF807" s="781">
        <f>$S$1*P!AF807</f>
        <v>2.9681451612903227</v>
      </c>
    </row>
    <row r="808" spans="19:32" x14ac:dyDescent="0.35">
      <c r="S808" s="782">
        <v>804</v>
      </c>
      <c r="T808" s="782" t="s">
        <v>4284</v>
      </c>
      <c r="U808" s="782" t="s">
        <v>5077</v>
      </c>
      <c r="V808" s="797">
        <f>$S$1*P!V808</f>
        <v>5.758064516129033E-3</v>
      </c>
      <c r="W808" s="780"/>
      <c r="X808" s="782">
        <v>804</v>
      </c>
      <c r="Y808" s="782" t="s">
        <v>2248</v>
      </c>
      <c r="Z808" s="782" t="s">
        <v>3618</v>
      </c>
      <c r="AA808" s="781">
        <f>$S$1*P!AA808</f>
        <v>0.1656</v>
      </c>
      <c r="AB808" s="780"/>
      <c r="AC808" s="782">
        <v>804</v>
      </c>
      <c r="AD808" s="782" t="s">
        <v>4573</v>
      </c>
      <c r="AE808" s="782" t="s">
        <v>5048</v>
      </c>
      <c r="AF808" s="781">
        <f>$S$1*P!AF808</f>
        <v>3.7358870967741939E-3</v>
      </c>
    </row>
    <row r="809" spans="19:32" x14ac:dyDescent="0.35">
      <c r="S809" s="782">
        <v>805</v>
      </c>
      <c r="T809" s="782" t="s">
        <v>4284</v>
      </c>
      <c r="U809" s="782" t="s">
        <v>5076</v>
      </c>
      <c r="V809" s="797">
        <f>$S$1*P!V809</f>
        <v>0.138125</v>
      </c>
      <c r="W809" s="780"/>
      <c r="X809" s="782">
        <v>805</v>
      </c>
      <c r="Y809" s="782" t="s">
        <v>2248</v>
      </c>
      <c r="Z809" s="782" t="s">
        <v>3616</v>
      </c>
      <c r="AA809" s="781">
        <f>$S$1*P!AA809</f>
        <v>1.0671999999999999</v>
      </c>
      <c r="AB809" s="780"/>
      <c r="AC809" s="782">
        <v>805</v>
      </c>
      <c r="AD809" s="782" t="s">
        <v>4573</v>
      </c>
      <c r="AE809" s="782" t="s">
        <v>5047</v>
      </c>
      <c r="AF809" s="781">
        <f>$S$1*P!AF809</f>
        <v>1.1481854838709678E-2</v>
      </c>
    </row>
    <row r="810" spans="19:32" x14ac:dyDescent="0.35">
      <c r="S810" s="782">
        <v>806</v>
      </c>
      <c r="T810" s="782" t="s">
        <v>4284</v>
      </c>
      <c r="U810" s="782" t="s">
        <v>3560</v>
      </c>
      <c r="V810" s="797">
        <f>$S$1*P!V810</f>
        <v>0</v>
      </c>
      <c r="W810" s="780"/>
      <c r="X810" s="782">
        <v>806</v>
      </c>
      <c r="Y810" s="782" t="s">
        <v>2248</v>
      </c>
      <c r="Z810" s="782" t="s">
        <v>3615</v>
      </c>
      <c r="AA810" s="781">
        <f>$S$1*P!AA810</f>
        <v>0.47564000000000001</v>
      </c>
      <c r="AB810" s="780"/>
      <c r="AC810" s="782">
        <v>806</v>
      </c>
      <c r="AD810" s="782" t="s">
        <v>4573</v>
      </c>
      <c r="AE810" s="782" t="s">
        <v>3532</v>
      </c>
      <c r="AF810" s="781">
        <f>$S$1*P!AF810</f>
        <v>0</v>
      </c>
    </row>
    <row r="811" spans="19:32" x14ac:dyDescent="0.35">
      <c r="S811" s="782">
        <v>807</v>
      </c>
      <c r="T811" s="782" t="s">
        <v>4284</v>
      </c>
      <c r="U811" s="782" t="s">
        <v>5075</v>
      </c>
      <c r="V811" s="797">
        <f>$S$1*P!V811</f>
        <v>0.10213709677419355</v>
      </c>
      <c r="W811" s="780"/>
      <c r="X811" s="782">
        <v>807</v>
      </c>
      <c r="Y811" s="782" t="s">
        <v>2248</v>
      </c>
      <c r="Z811" s="782" t="s">
        <v>5630</v>
      </c>
      <c r="AA811" s="781">
        <f>$S$1*P!AA811</f>
        <v>3.0743951612903227E-2</v>
      </c>
      <c r="AB811" s="780"/>
      <c r="AC811" s="782">
        <v>807</v>
      </c>
      <c r="AD811" s="782" t="s">
        <v>4573</v>
      </c>
      <c r="AE811" s="782" t="s">
        <v>5046</v>
      </c>
      <c r="AF811" s="781">
        <f>$S$1*P!AF811</f>
        <v>6.5120967741935489E-3</v>
      </c>
    </row>
    <row r="812" spans="19:32" x14ac:dyDescent="0.35">
      <c r="S812" s="782">
        <v>808</v>
      </c>
      <c r="T812" s="782" t="s">
        <v>4284</v>
      </c>
      <c r="U812" s="782" t="s">
        <v>5074</v>
      </c>
      <c r="V812" s="797">
        <f>$S$1*P!V812</f>
        <v>0.20427419354838711</v>
      </c>
      <c r="W812" s="780"/>
      <c r="X812" s="782">
        <v>808</v>
      </c>
      <c r="Y812" s="782" t="s">
        <v>2248</v>
      </c>
      <c r="Z812" s="782" t="s">
        <v>5233</v>
      </c>
      <c r="AA812" s="781">
        <f>$S$1*P!AA812</f>
        <v>1.6828629032258067E-3</v>
      </c>
      <c r="AB812" s="780"/>
      <c r="AC812" s="782">
        <v>808</v>
      </c>
      <c r="AD812" s="782" t="s">
        <v>4573</v>
      </c>
      <c r="AE812" s="782" t="s">
        <v>3531</v>
      </c>
      <c r="AF812" s="781">
        <f>$S$1*P!AF812</f>
        <v>1.7959677419354841E-3</v>
      </c>
    </row>
    <row r="813" spans="19:32" x14ac:dyDescent="0.35">
      <c r="S813" s="782">
        <v>809</v>
      </c>
      <c r="T813" s="782" t="s">
        <v>4284</v>
      </c>
      <c r="U813" s="782" t="s">
        <v>5072</v>
      </c>
      <c r="V813" s="797">
        <f>$S$1*P!V813</f>
        <v>9.1512096774193558E-5</v>
      </c>
      <c r="W813" s="780"/>
      <c r="X813" s="782">
        <v>809</v>
      </c>
      <c r="Y813" s="782" t="s">
        <v>2248</v>
      </c>
      <c r="Z813" s="782" t="s">
        <v>3613</v>
      </c>
      <c r="AA813" s="781">
        <f>$S$1*P!AA813</f>
        <v>1.4628000000000001</v>
      </c>
      <c r="AB813" s="780"/>
      <c r="AC813" s="782">
        <v>809</v>
      </c>
      <c r="AD813" s="782" t="s">
        <v>4573</v>
      </c>
      <c r="AE813" s="782" t="s">
        <v>3531</v>
      </c>
      <c r="AF813" s="781">
        <f>$S$1*P!AF813</f>
        <v>0.62008000000000008</v>
      </c>
    </row>
    <row r="814" spans="19:32" x14ac:dyDescent="0.35">
      <c r="S814" s="782">
        <v>810</v>
      </c>
      <c r="T814" s="782" t="s">
        <v>4284</v>
      </c>
      <c r="U814" s="782" t="s">
        <v>5070</v>
      </c>
      <c r="V814" s="797">
        <f>$S$1*P!V814</f>
        <v>1.7205645161290323E-2</v>
      </c>
      <c r="W814" s="780"/>
      <c r="X814" s="782">
        <v>810</v>
      </c>
      <c r="Y814" s="782" t="s">
        <v>2248</v>
      </c>
      <c r="Z814" s="782" t="s">
        <v>5629</v>
      </c>
      <c r="AA814" s="781">
        <f>$S$1*P!AA814</f>
        <v>2.220967741935484E-5</v>
      </c>
      <c r="AB814" s="780"/>
      <c r="AC814" s="782">
        <v>810</v>
      </c>
      <c r="AD814" s="782" t="s">
        <v>4573</v>
      </c>
      <c r="AE814" s="782" t="s">
        <v>5045</v>
      </c>
      <c r="AF814" s="781">
        <f>$S$1*P!AF814</f>
        <v>6.1350806451612914E-5</v>
      </c>
    </row>
    <row r="815" spans="19:32" x14ac:dyDescent="0.35">
      <c r="S815" s="782">
        <v>811</v>
      </c>
      <c r="T815" s="782" t="s">
        <v>4284</v>
      </c>
      <c r="U815" s="782" t="s">
        <v>5068</v>
      </c>
      <c r="V815" s="797">
        <f>$S$1*P!V815</f>
        <v>3.9758064516129035E-3</v>
      </c>
      <c r="W815" s="780"/>
      <c r="X815" s="782">
        <v>811</v>
      </c>
      <c r="Y815" s="782" t="s">
        <v>2248</v>
      </c>
      <c r="Z815" s="782" t="s">
        <v>3612</v>
      </c>
      <c r="AA815" s="781">
        <f>$S$1*P!AA815</f>
        <v>0.77003999999999995</v>
      </c>
      <c r="AB815" s="780"/>
      <c r="AC815" s="782">
        <v>811</v>
      </c>
      <c r="AD815" s="782" t="s">
        <v>4573</v>
      </c>
      <c r="AE815" s="782" t="s">
        <v>5044</v>
      </c>
      <c r="AF815" s="781">
        <f>$S$1*P!AF815</f>
        <v>4.8669354838709681E-4</v>
      </c>
    </row>
    <row r="816" spans="19:32" x14ac:dyDescent="0.35">
      <c r="S816" s="782">
        <v>812</v>
      </c>
      <c r="T816" s="782" t="s">
        <v>4284</v>
      </c>
      <c r="U816" s="782" t="s">
        <v>5067</v>
      </c>
      <c r="V816" s="797">
        <f>$S$1*P!V816</f>
        <v>1.2407258064516131E-10</v>
      </c>
      <c r="W816" s="780"/>
      <c r="X816" s="782">
        <v>812</v>
      </c>
      <c r="Y816" s="782" t="s">
        <v>2248</v>
      </c>
      <c r="Z816" s="782" t="s">
        <v>3611</v>
      </c>
      <c r="AA816" s="781">
        <f>$S$1*P!AA816</f>
        <v>0.37168000000000001</v>
      </c>
      <c r="AB816" s="780"/>
      <c r="AC816" s="782">
        <v>812</v>
      </c>
      <c r="AD816" s="782" t="s">
        <v>4573</v>
      </c>
      <c r="AE816" s="782" t="s">
        <v>5043</v>
      </c>
      <c r="AF816" s="781">
        <f>$S$1*P!AF816</f>
        <v>1.2989919354838709E-3</v>
      </c>
    </row>
    <row r="817" spans="19:32" x14ac:dyDescent="0.35">
      <c r="S817" s="782">
        <v>813</v>
      </c>
      <c r="T817" s="782" t="s">
        <v>4284</v>
      </c>
      <c r="U817" s="782" t="s">
        <v>5066</v>
      </c>
      <c r="V817" s="797">
        <f>$S$1*P!V817</f>
        <v>6.5120967741935483E-5</v>
      </c>
      <c r="W817" s="780"/>
      <c r="X817" s="782">
        <v>813</v>
      </c>
      <c r="Y817" s="782" t="s">
        <v>2248</v>
      </c>
      <c r="Z817" s="782" t="s">
        <v>3609</v>
      </c>
      <c r="AA817" s="781">
        <f>$S$1*P!AA817</f>
        <v>1.3892</v>
      </c>
      <c r="AB817" s="780"/>
      <c r="AC817" s="782">
        <v>813</v>
      </c>
      <c r="AD817" s="782" t="s">
        <v>4573</v>
      </c>
      <c r="AE817" s="782" t="s">
        <v>5042</v>
      </c>
      <c r="AF817" s="781">
        <f>$S$1*P!AF817</f>
        <v>3.461693548387097</v>
      </c>
    </row>
    <row r="818" spans="19:32" x14ac:dyDescent="0.35">
      <c r="S818" s="782">
        <v>814</v>
      </c>
      <c r="T818" s="782" t="s">
        <v>4284</v>
      </c>
      <c r="U818" s="782" t="s">
        <v>5065</v>
      </c>
      <c r="V818" s="797">
        <f>$S$1*P!V818</f>
        <v>1.0590725806451613E-4</v>
      </c>
      <c r="W818" s="780"/>
      <c r="X818" s="782">
        <v>814</v>
      </c>
      <c r="Y818" s="782" t="s">
        <v>2248</v>
      </c>
      <c r="Z818" s="782" t="s">
        <v>5628</v>
      </c>
      <c r="AA818" s="781">
        <f>$S$1*P!AA818</f>
        <v>8.6028225806451624E-4</v>
      </c>
      <c r="AB818" s="780"/>
      <c r="AC818" s="782">
        <v>814</v>
      </c>
      <c r="AD818" s="782" t="s">
        <v>4573</v>
      </c>
      <c r="AE818" s="782" t="s">
        <v>5040</v>
      </c>
      <c r="AF818" s="781">
        <f>$S$1*P!AF818</f>
        <v>3.495967741935484E-3</v>
      </c>
    </row>
    <row r="819" spans="19:32" x14ac:dyDescent="0.35">
      <c r="S819" s="782">
        <v>815</v>
      </c>
      <c r="T819" s="782" t="s">
        <v>4284</v>
      </c>
      <c r="U819" s="782" t="s">
        <v>3558</v>
      </c>
      <c r="V819" s="797">
        <f>$S$1*P!V819</f>
        <v>0.62835999999999992</v>
      </c>
      <c r="W819" s="780"/>
      <c r="X819" s="782">
        <v>815</v>
      </c>
      <c r="Y819" s="782" t="s">
        <v>2248</v>
      </c>
      <c r="Z819" s="782" t="s">
        <v>5232</v>
      </c>
      <c r="AA819" s="781">
        <f>$S$1*P!AA819</f>
        <v>2.3649193548387099E-2</v>
      </c>
      <c r="AB819" s="780"/>
      <c r="AC819" s="782">
        <v>815</v>
      </c>
      <c r="AD819" s="782" t="s">
        <v>4573</v>
      </c>
      <c r="AE819" s="782" t="s">
        <v>5039</v>
      </c>
      <c r="AF819" s="781">
        <f>$S$1*P!AF819</f>
        <v>1.2715725806451614E-3</v>
      </c>
    </row>
    <row r="820" spans="19:32" x14ac:dyDescent="0.35">
      <c r="S820" s="782">
        <v>816</v>
      </c>
      <c r="T820" s="782" t="s">
        <v>4284</v>
      </c>
      <c r="U820" s="782" t="s">
        <v>5064</v>
      </c>
      <c r="V820" s="797">
        <f>$S$1*P!V820</f>
        <v>6.6491935483870973E-3</v>
      </c>
      <c r="W820" s="780"/>
      <c r="X820" s="782">
        <v>816</v>
      </c>
      <c r="Y820" s="782" t="s">
        <v>2248</v>
      </c>
      <c r="Z820" s="782" t="s">
        <v>5231</v>
      </c>
      <c r="AA820" s="781">
        <f>$S$1*P!AA820</f>
        <v>1.0042338709677421E-2</v>
      </c>
      <c r="AB820" s="780"/>
      <c r="AC820" s="782">
        <v>816</v>
      </c>
      <c r="AD820" s="782" t="s">
        <v>4573</v>
      </c>
      <c r="AE820" s="782" t="s">
        <v>5038</v>
      </c>
      <c r="AF820" s="781">
        <f>$S$1*P!AF820</f>
        <v>2.3169354838709677</v>
      </c>
    </row>
    <row r="821" spans="19:32" x14ac:dyDescent="0.35">
      <c r="S821" s="782">
        <v>817</v>
      </c>
      <c r="T821" s="782" t="s">
        <v>4284</v>
      </c>
      <c r="U821" s="782" t="s">
        <v>5063</v>
      </c>
      <c r="V821" s="797">
        <f>$S$1*P!V821</f>
        <v>0.42500000000000004</v>
      </c>
      <c r="W821" s="780"/>
      <c r="X821" s="782">
        <v>817</v>
      </c>
      <c r="Y821" s="782" t="s">
        <v>2248</v>
      </c>
      <c r="Z821" s="782" t="s">
        <v>5627</v>
      </c>
      <c r="AA821" s="781">
        <f>$S$1*P!AA821</f>
        <v>5.4838709677419361E-3</v>
      </c>
      <c r="AB821" s="780"/>
      <c r="AC821" s="782">
        <v>817</v>
      </c>
      <c r="AD821" s="782" t="s">
        <v>4573</v>
      </c>
      <c r="AE821" s="782" t="s">
        <v>5037</v>
      </c>
      <c r="AF821" s="781">
        <f>$S$1*P!AF821</f>
        <v>4.1129032258064518E-5</v>
      </c>
    </row>
    <row r="822" spans="19:32" x14ac:dyDescent="0.35">
      <c r="S822" s="782">
        <v>818</v>
      </c>
      <c r="T822" s="782" t="s">
        <v>4284</v>
      </c>
      <c r="U822" s="782" t="s">
        <v>3557</v>
      </c>
      <c r="V822" s="797">
        <f>$S$1*P!V822</f>
        <v>1.3195564516129034E-4</v>
      </c>
      <c r="W822" s="780"/>
      <c r="X822" s="782">
        <v>818</v>
      </c>
      <c r="Y822" s="782" t="s">
        <v>2248</v>
      </c>
      <c r="Z822" s="782" t="s">
        <v>5230</v>
      </c>
      <c r="AA822" s="781">
        <f>$S$1*P!AA822</f>
        <v>0.79516129032258076</v>
      </c>
      <c r="AB822" s="780"/>
      <c r="AC822" s="782">
        <v>818</v>
      </c>
      <c r="AD822" s="782" t="s">
        <v>4573</v>
      </c>
      <c r="AE822" s="782" t="s">
        <v>3529</v>
      </c>
      <c r="AF822" s="781">
        <f>$S$1*P!AF822</f>
        <v>18.951999999999998</v>
      </c>
    </row>
    <row r="823" spans="19:32" x14ac:dyDescent="0.35">
      <c r="S823" s="782">
        <v>819</v>
      </c>
      <c r="T823" s="782" t="s">
        <v>4284</v>
      </c>
      <c r="U823" s="782" t="s">
        <v>3557</v>
      </c>
      <c r="V823" s="797">
        <f>$S$1*P!V823</f>
        <v>0.76544000000000001</v>
      </c>
      <c r="W823" s="780"/>
      <c r="X823" s="782">
        <v>819</v>
      </c>
      <c r="Y823" s="782" t="s">
        <v>2248</v>
      </c>
      <c r="Z823" s="782" t="s">
        <v>5229</v>
      </c>
      <c r="AA823" s="781">
        <f>$S$1*P!AA823</f>
        <v>1.7479838709677419E-4</v>
      </c>
      <c r="AB823" s="780"/>
      <c r="AC823" s="782">
        <v>819</v>
      </c>
      <c r="AD823" s="782" t="s">
        <v>4573</v>
      </c>
      <c r="AE823" s="782" t="s">
        <v>3528</v>
      </c>
      <c r="AF823" s="781">
        <f>$S$1*P!AF823</f>
        <v>3.3417338709677423E-4</v>
      </c>
    </row>
    <row r="824" spans="19:32" x14ac:dyDescent="0.35">
      <c r="S824" s="782">
        <v>820</v>
      </c>
      <c r="T824" s="782" t="s">
        <v>4284</v>
      </c>
      <c r="U824" s="782" t="s">
        <v>3554</v>
      </c>
      <c r="V824" s="797">
        <f>$S$1*P!V824</f>
        <v>6.3019999999999996</v>
      </c>
      <c r="W824" s="780"/>
      <c r="X824" s="782">
        <v>820</v>
      </c>
      <c r="Y824" s="782" t="s">
        <v>2248</v>
      </c>
      <c r="Z824" s="782" t="s">
        <v>5626</v>
      </c>
      <c r="AA824" s="781">
        <f>$S$1*P!AA824</f>
        <v>1.1653225806451614E-2</v>
      </c>
      <c r="AB824" s="780"/>
      <c r="AC824" s="782">
        <v>820</v>
      </c>
      <c r="AD824" s="782" t="s">
        <v>4573</v>
      </c>
      <c r="AE824" s="782" t="s">
        <v>3528</v>
      </c>
      <c r="AF824" s="781">
        <f>$S$1*P!AF824</f>
        <v>0</v>
      </c>
    </row>
    <row r="825" spans="19:32" x14ac:dyDescent="0.35">
      <c r="S825" s="782">
        <v>821</v>
      </c>
      <c r="T825" s="782" t="s">
        <v>4284</v>
      </c>
      <c r="U825" s="782" t="s">
        <v>3552</v>
      </c>
      <c r="V825" s="797">
        <f>$S$1*P!V825</f>
        <v>0.38272</v>
      </c>
      <c r="W825" s="780"/>
      <c r="X825" s="782">
        <v>821</v>
      </c>
      <c r="Y825" s="782" t="s">
        <v>2248</v>
      </c>
      <c r="Z825" s="782" t="s">
        <v>5228</v>
      </c>
      <c r="AA825" s="781">
        <f>$S$1*P!AA825</f>
        <v>1.8405241935483874E-2</v>
      </c>
      <c r="AB825" s="780"/>
      <c r="AC825" s="782">
        <v>821</v>
      </c>
      <c r="AD825" s="782" t="s">
        <v>4573</v>
      </c>
      <c r="AE825" s="782" t="s">
        <v>3526</v>
      </c>
      <c r="AF825" s="781">
        <f>$S$1*P!AF825</f>
        <v>7.1576000000000001E-2</v>
      </c>
    </row>
    <row r="826" spans="19:32" x14ac:dyDescent="0.35">
      <c r="S826" s="782">
        <v>822</v>
      </c>
      <c r="T826" s="782" t="s">
        <v>4284</v>
      </c>
      <c r="U826" s="782" t="s">
        <v>3549</v>
      </c>
      <c r="V826" s="797">
        <f>$S$1*P!V826</f>
        <v>9.9395161290322586E-4</v>
      </c>
      <c r="W826" s="780"/>
      <c r="X826" s="782">
        <v>822</v>
      </c>
      <c r="Y826" s="782" t="s">
        <v>2248</v>
      </c>
      <c r="Z826" s="782" t="s">
        <v>3607</v>
      </c>
      <c r="AA826" s="781">
        <f>$S$1*P!AA826</f>
        <v>4.1952000000000007</v>
      </c>
      <c r="AB826" s="780"/>
      <c r="AC826" s="782">
        <v>822</v>
      </c>
      <c r="AD826" s="782" t="s">
        <v>4573</v>
      </c>
      <c r="AE826" s="782" t="s">
        <v>5036</v>
      </c>
      <c r="AF826" s="781">
        <f>$S$1*P!AF826</f>
        <v>2.4848790322580649E-3</v>
      </c>
    </row>
    <row r="827" spans="19:32" x14ac:dyDescent="0.35">
      <c r="S827" s="782">
        <v>823</v>
      </c>
      <c r="T827" s="782" t="s">
        <v>4284</v>
      </c>
      <c r="U827" s="782" t="s">
        <v>3549</v>
      </c>
      <c r="V827" s="797">
        <f>$S$1*P!V827</f>
        <v>0.13156000000000001</v>
      </c>
      <c r="W827" s="780"/>
      <c r="X827" s="782">
        <v>823</v>
      </c>
      <c r="Y827" s="782" t="s">
        <v>2248</v>
      </c>
      <c r="Z827" s="782" t="s">
        <v>5227</v>
      </c>
      <c r="AA827" s="781">
        <f>$S$1*P!AA827</f>
        <v>3.8387096774193549E-4</v>
      </c>
      <c r="AB827" s="780"/>
      <c r="AC827" s="782">
        <v>823</v>
      </c>
      <c r="AD827" s="782" t="s">
        <v>4573</v>
      </c>
      <c r="AE827" s="782" t="s">
        <v>5035</v>
      </c>
      <c r="AF827" s="781">
        <f>$S$1*P!AF827</f>
        <v>5.0383064516129035E-3</v>
      </c>
    </row>
    <row r="828" spans="19:32" x14ac:dyDescent="0.35">
      <c r="S828" s="870">
        <v>824</v>
      </c>
      <c r="T828" s="870" t="s">
        <v>4284</v>
      </c>
      <c r="U828" s="870" t="s">
        <v>3546</v>
      </c>
      <c r="V828" s="871">
        <f>$S$1*P!V828</f>
        <v>5.7779999999999996</v>
      </c>
      <c r="W828" s="780"/>
      <c r="X828" s="782">
        <v>824</v>
      </c>
      <c r="Y828" s="782" t="s">
        <v>2248</v>
      </c>
      <c r="Z828" s="782" t="s">
        <v>5625</v>
      </c>
      <c r="AA828" s="781">
        <f>$S$1*P!AA828</f>
        <v>2.776209677419355E-3</v>
      </c>
      <c r="AB828" s="780"/>
      <c r="AC828" s="782">
        <v>824</v>
      </c>
      <c r="AD828" s="782" t="s">
        <v>4573</v>
      </c>
      <c r="AE828" s="782" t="s">
        <v>5031</v>
      </c>
      <c r="AF828" s="781">
        <f>$S$1*P!AF828</f>
        <v>4.5241935483870972E-3</v>
      </c>
    </row>
    <row r="829" spans="19:32" x14ac:dyDescent="0.35">
      <c r="S829" s="782">
        <v>825</v>
      </c>
      <c r="T829" s="782" t="s">
        <v>4284</v>
      </c>
      <c r="U829" s="782" t="s">
        <v>3546</v>
      </c>
      <c r="V829" s="797">
        <f>$S$1*P!V829</f>
        <v>9.4596774193548405E-6</v>
      </c>
      <c r="W829" s="863"/>
      <c r="X829" s="782">
        <v>825</v>
      </c>
      <c r="Y829" s="782" t="s">
        <v>2248</v>
      </c>
      <c r="Z829" s="782" t="s">
        <v>5226</v>
      </c>
      <c r="AA829" s="781">
        <f>$S$1*P!AA829</f>
        <v>3.5302419354838716E-2</v>
      </c>
      <c r="AB829" s="780"/>
      <c r="AC829" s="782">
        <v>825</v>
      </c>
      <c r="AD829" s="782" t="s">
        <v>4573</v>
      </c>
      <c r="AE829" s="782" t="s">
        <v>3524</v>
      </c>
      <c r="AF829" s="781">
        <f>$S$1*P!AF829</f>
        <v>47.655999999999999</v>
      </c>
    </row>
    <row r="830" spans="19:32" x14ac:dyDescent="0.35">
      <c r="S830" s="782">
        <v>826</v>
      </c>
      <c r="T830" s="782" t="s">
        <v>4284</v>
      </c>
      <c r="U830" s="782" t="s">
        <v>3546</v>
      </c>
      <c r="V830" s="797">
        <f>$S$1*P!V830</f>
        <v>8.6940000000000003E-2</v>
      </c>
      <c r="W830" s="863"/>
      <c r="X830" s="782">
        <v>826</v>
      </c>
      <c r="Y830" s="782" t="s">
        <v>2248</v>
      </c>
      <c r="Z830" s="782" t="s">
        <v>5225</v>
      </c>
      <c r="AA830" s="781">
        <f>$S$1*P!AA830</f>
        <v>2.5191532258064517E-2</v>
      </c>
      <c r="AB830" s="780"/>
      <c r="AC830" s="782">
        <v>826</v>
      </c>
      <c r="AD830" s="782" t="s">
        <v>4573</v>
      </c>
      <c r="AE830" s="782" t="s">
        <v>3523</v>
      </c>
      <c r="AF830" s="781">
        <f>$S$1*P!AF830</f>
        <v>0</v>
      </c>
    </row>
    <row r="831" spans="19:32" x14ac:dyDescent="0.35">
      <c r="S831" s="782">
        <v>827</v>
      </c>
      <c r="T831" s="782" t="s">
        <v>4284</v>
      </c>
      <c r="U831" s="782" t="s">
        <v>5054</v>
      </c>
      <c r="V831" s="797">
        <f>$S$1*P!V831</f>
        <v>6.6149193548387095E-5</v>
      </c>
      <c r="W831" s="780"/>
      <c r="X831" s="782">
        <v>827</v>
      </c>
      <c r="Y831" s="782" t="s">
        <v>2248</v>
      </c>
      <c r="Z831" s="782" t="s">
        <v>5624</v>
      </c>
      <c r="AA831" s="781">
        <f>$S$1*P!AA831</f>
        <v>1.2784274193548389E-4</v>
      </c>
      <c r="AB831" s="780"/>
      <c r="AC831" s="782">
        <v>827</v>
      </c>
      <c r="AD831" s="782" t="s">
        <v>4573</v>
      </c>
      <c r="AE831" s="782" t="s">
        <v>5030</v>
      </c>
      <c r="AF831" s="781">
        <f>$S$1*P!AF831</f>
        <v>0.61693548387096775</v>
      </c>
    </row>
    <row r="832" spans="19:32" x14ac:dyDescent="0.35">
      <c r="S832" s="782">
        <v>828</v>
      </c>
      <c r="T832" s="782" t="s">
        <v>4284</v>
      </c>
      <c r="U832" s="782" t="s">
        <v>3545</v>
      </c>
      <c r="V832" s="797">
        <f>$S$1*P!V832</f>
        <v>3.9415322580645167E-4</v>
      </c>
      <c r="W832" s="863"/>
      <c r="X832" s="782">
        <v>828</v>
      </c>
      <c r="Y832" s="782" t="s">
        <v>2248</v>
      </c>
      <c r="Z832" s="782" t="s">
        <v>5224</v>
      </c>
      <c r="AA832" s="781">
        <f>$S$1*P!AA832</f>
        <v>5.0040322580645162E-2</v>
      </c>
      <c r="AB832" s="780"/>
      <c r="AC832" s="782">
        <v>828</v>
      </c>
      <c r="AD832" s="782" t="s">
        <v>4573</v>
      </c>
      <c r="AE832" s="782" t="s">
        <v>3521</v>
      </c>
      <c r="AF832" s="781">
        <f>$S$1*P!AF832</f>
        <v>9.5679999999999996</v>
      </c>
    </row>
    <row r="833" spans="19:32" x14ac:dyDescent="0.35">
      <c r="S833" s="782">
        <v>829</v>
      </c>
      <c r="T833" s="782" t="s">
        <v>4284</v>
      </c>
      <c r="U833" s="782" t="s">
        <v>3545</v>
      </c>
      <c r="V833" s="797">
        <f>$S$1*P!V833</f>
        <v>0</v>
      </c>
      <c r="W833" s="863"/>
      <c r="X833" s="782">
        <v>829</v>
      </c>
      <c r="Y833" s="782" t="s">
        <v>2248</v>
      </c>
      <c r="Z833" s="782" t="s">
        <v>5223</v>
      </c>
      <c r="AA833" s="781">
        <f>$S$1*P!AA833</f>
        <v>1.5457661290322583E-3</v>
      </c>
      <c r="AB833" s="780"/>
      <c r="AC833" s="782">
        <v>829</v>
      </c>
      <c r="AD833" s="782" t="s">
        <v>4573</v>
      </c>
      <c r="AE833" s="782" t="s">
        <v>5029</v>
      </c>
      <c r="AF833" s="781">
        <f>$S$1*P!AF833</f>
        <v>4.4556451612903232E-2</v>
      </c>
    </row>
    <row r="834" spans="19:32" x14ac:dyDescent="0.35">
      <c r="S834" s="782">
        <v>830</v>
      </c>
      <c r="T834" s="782" t="s">
        <v>4284</v>
      </c>
      <c r="U834" s="782" t="s">
        <v>3543</v>
      </c>
      <c r="V834" s="797">
        <f>$S$1*P!V834</f>
        <v>1.172177419354839E-3</v>
      </c>
      <c r="W834" s="863"/>
      <c r="X834" s="782">
        <v>830</v>
      </c>
      <c r="Y834" s="782" t="s">
        <v>2248</v>
      </c>
      <c r="Z834" s="782" t="s">
        <v>5623</v>
      </c>
      <c r="AA834" s="781">
        <f>$S$1*P!AA834</f>
        <v>1.9707661290322583E-4</v>
      </c>
      <c r="AB834" s="780"/>
      <c r="AC834" s="782">
        <v>830</v>
      </c>
      <c r="AD834" s="782" t="s">
        <v>4573</v>
      </c>
      <c r="AE834" s="782" t="s">
        <v>5028</v>
      </c>
      <c r="AF834" s="781">
        <f>$S$1*P!AF834</f>
        <v>22.655241935483872</v>
      </c>
    </row>
    <row r="835" spans="19:32" x14ac:dyDescent="0.35">
      <c r="S835" s="782">
        <v>831</v>
      </c>
      <c r="T835" s="782" t="s">
        <v>4284</v>
      </c>
      <c r="U835" s="782" t="s">
        <v>3543</v>
      </c>
      <c r="V835" s="797">
        <f>$S$1*P!V835</f>
        <v>0.79947999999999997</v>
      </c>
      <c r="W835" s="780"/>
      <c r="X835" s="782">
        <v>831</v>
      </c>
      <c r="Y835" s="782" t="s">
        <v>2248</v>
      </c>
      <c r="Z835" s="782" t="s">
        <v>5222</v>
      </c>
      <c r="AA835" s="781">
        <f>$S$1*P!AA835</f>
        <v>0.21901209677419356</v>
      </c>
      <c r="AB835" s="780"/>
      <c r="AC835" s="782">
        <v>831</v>
      </c>
      <c r="AD835" s="782" t="s">
        <v>4573</v>
      </c>
      <c r="AE835" s="782" t="s">
        <v>5024</v>
      </c>
      <c r="AF835" s="781">
        <f>$S$1*P!AF835</f>
        <v>0.60665322580645165</v>
      </c>
    </row>
    <row r="836" spans="19:32" x14ac:dyDescent="0.35">
      <c r="S836" s="782">
        <v>832</v>
      </c>
      <c r="T836" s="782" t="s">
        <v>4284</v>
      </c>
      <c r="U836" s="782" t="s">
        <v>5053</v>
      </c>
      <c r="V836" s="797">
        <f>$S$1*P!V836</f>
        <v>2.268951612903226E-3</v>
      </c>
      <c r="W836" s="780"/>
      <c r="X836" s="782">
        <v>832</v>
      </c>
      <c r="Y836" s="782" t="s">
        <v>2248</v>
      </c>
      <c r="Z836" s="782" t="s">
        <v>5221</v>
      </c>
      <c r="AA836" s="781">
        <f>$S$1*P!AA836</f>
        <v>5.0383064516129031E-4</v>
      </c>
      <c r="AB836" s="780"/>
      <c r="AC836" s="782">
        <v>832</v>
      </c>
      <c r="AD836" s="782" t="s">
        <v>4573</v>
      </c>
      <c r="AE836" s="782" t="s">
        <v>5019</v>
      </c>
      <c r="AF836" s="781">
        <f>$S$1*P!AF836</f>
        <v>5.8608870967741943E-2</v>
      </c>
    </row>
    <row r="837" spans="19:32" x14ac:dyDescent="0.35">
      <c r="S837" s="782">
        <v>833</v>
      </c>
      <c r="T837" s="782" t="s">
        <v>4284</v>
      </c>
      <c r="U837" s="782" t="s">
        <v>3542</v>
      </c>
      <c r="V837" s="797">
        <f>$S$1*P!V837</f>
        <v>2.0256048387096776E-5</v>
      </c>
      <c r="W837" s="780"/>
      <c r="X837" s="782">
        <v>833</v>
      </c>
      <c r="Y837" s="782" t="s">
        <v>2248</v>
      </c>
      <c r="Z837" s="782" t="s">
        <v>5220</v>
      </c>
      <c r="AA837" s="781">
        <f>$S$1*P!AA837</f>
        <v>1.0659274193548388E-3</v>
      </c>
      <c r="AB837" s="780"/>
      <c r="AC837" s="782">
        <v>833</v>
      </c>
      <c r="AD837" s="782" t="s">
        <v>4573</v>
      </c>
      <c r="AE837" s="782" t="s">
        <v>3520</v>
      </c>
      <c r="AF837" s="781">
        <f>$S$1*P!AF837</f>
        <v>1.1550403225806452</v>
      </c>
    </row>
    <row r="838" spans="19:32" x14ac:dyDescent="0.35">
      <c r="S838" s="782">
        <v>834</v>
      </c>
      <c r="T838" s="782" t="s">
        <v>4284</v>
      </c>
      <c r="U838" s="782" t="s">
        <v>3542</v>
      </c>
      <c r="V838" s="797">
        <f>$S$1*P!V838</f>
        <v>0.55936000000000008</v>
      </c>
      <c r="W838" s="780"/>
      <c r="X838" s="782">
        <v>834</v>
      </c>
      <c r="Y838" s="782" t="s">
        <v>2248</v>
      </c>
      <c r="Z838" s="782" t="s">
        <v>5622</v>
      </c>
      <c r="AA838" s="781">
        <f>$S$1*P!AA838</f>
        <v>1.052217741935484E-4</v>
      </c>
      <c r="AB838" s="780"/>
      <c r="AC838" s="782">
        <v>834</v>
      </c>
      <c r="AD838" s="782" t="s">
        <v>4573</v>
      </c>
      <c r="AE838" s="782" t="s">
        <v>3520</v>
      </c>
      <c r="AF838" s="781">
        <f>$S$1*P!AF838</f>
        <v>0</v>
      </c>
    </row>
    <row r="839" spans="19:32" x14ac:dyDescent="0.35">
      <c r="S839" s="782">
        <v>835</v>
      </c>
      <c r="T839" s="782" t="s">
        <v>4284</v>
      </c>
      <c r="U839" s="782" t="s">
        <v>5052</v>
      </c>
      <c r="V839" s="797">
        <f>$S$1*P!V839</f>
        <v>1.1481854838709677E-3</v>
      </c>
      <c r="W839" s="780"/>
      <c r="X839" s="782">
        <v>835</v>
      </c>
      <c r="Y839" s="782" t="s">
        <v>2248</v>
      </c>
      <c r="Z839" s="782" t="s">
        <v>5219</v>
      </c>
      <c r="AA839" s="781">
        <f>$S$1*P!AA839</f>
        <v>6.6491935483870967E-4</v>
      </c>
      <c r="AB839" s="780"/>
      <c r="AC839" s="782">
        <v>835</v>
      </c>
      <c r="AD839" s="782" t="s">
        <v>4573</v>
      </c>
      <c r="AE839" s="782" t="s">
        <v>3518</v>
      </c>
      <c r="AF839" s="781">
        <f>$S$1*P!AF839</f>
        <v>4.0786290322580646E-3</v>
      </c>
    </row>
    <row r="840" spans="19:32" x14ac:dyDescent="0.35">
      <c r="S840" s="782">
        <v>836</v>
      </c>
      <c r="T840" s="782" t="s">
        <v>4284</v>
      </c>
      <c r="U840" s="782" t="s">
        <v>3540</v>
      </c>
      <c r="V840" s="797">
        <f>$S$1*P!V840</f>
        <v>51.06</v>
      </c>
      <c r="W840" s="780"/>
      <c r="X840" s="782">
        <v>836</v>
      </c>
      <c r="Y840" s="782" t="s">
        <v>2248</v>
      </c>
      <c r="Z840" s="782" t="s">
        <v>5217</v>
      </c>
      <c r="AA840" s="781">
        <f>$S$1*P!AA840</f>
        <v>8.5685483870967744E-4</v>
      </c>
      <c r="AB840" s="780"/>
      <c r="AC840" s="782">
        <v>836</v>
      </c>
      <c r="AD840" s="782" t="s">
        <v>4573</v>
      </c>
      <c r="AE840" s="782" t="s">
        <v>3518</v>
      </c>
      <c r="AF840" s="781">
        <f>$S$1*P!AF840</f>
        <v>10.948</v>
      </c>
    </row>
    <row r="841" spans="19:32" x14ac:dyDescent="0.35">
      <c r="S841" s="782">
        <v>837</v>
      </c>
      <c r="T841" s="782" t="s">
        <v>4284</v>
      </c>
      <c r="U841" s="782" t="s">
        <v>3539</v>
      </c>
      <c r="V841" s="797">
        <f>$S$1*P!V841</f>
        <v>22.172000000000001</v>
      </c>
      <c r="W841" s="780"/>
      <c r="X841" s="782">
        <v>837</v>
      </c>
      <c r="Y841" s="782" t="s">
        <v>2248</v>
      </c>
      <c r="Z841" s="782" t="s">
        <v>5621</v>
      </c>
      <c r="AA841" s="781">
        <f>$S$1*P!AA841</f>
        <v>0.14018145161290324</v>
      </c>
      <c r="AB841" s="780"/>
      <c r="AC841" s="782">
        <v>837</v>
      </c>
      <c r="AD841" s="782" t="s">
        <v>4573</v>
      </c>
      <c r="AE841" s="782" t="s">
        <v>3517</v>
      </c>
      <c r="AF841" s="781">
        <f>$S$1*P!AF841</f>
        <v>6.8548387096774195E-3</v>
      </c>
    </row>
    <row r="842" spans="19:32" x14ac:dyDescent="0.35">
      <c r="S842" s="782">
        <v>838</v>
      </c>
      <c r="T842" s="782" t="s">
        <v>4284</v>
      </c>
      <c r="U842" s="782" t="s">
        <v>3537</v>
      </c>
      <c r="V842" s="797">
        <f>$S$1*P!V842</f>
        <v>3.9072580645161295E-6</v>
      </c>
      <c r="W842" s="780"/>
      <c r="X842" s="782">
        <v>838</v>
      </c>
      <c r="Y842" s="782" t="s">
        <v>2248</v>
      </c>
      <c r="Z842" s="782" t="s">
        <v>5216</v>
      </c>
      <c r="AA842" s="781">
        <f>$S$1*P!AA842</f>
        <v>1.394959677419355E-4</v>
      </c>
      <c r="AB842" s="780"/>
      <c r="AC842" s="782">
        <v>838</v>
      </c>
      <c r="AD842" s="782" t="s">
        <v>4573</v>
      </c>
      <c r="AE842" s="782" t="s">
        <v>3517</v>
      </c>
      <c r="AF842" s="781">
        <f>$S$1*P!AF842</f>
        <v>0</v>
      </c>
    </row>
    <row r="843" spans="19:32" x14ac:dyDescent="0.35">
      <c r="S843" s="782">
        <v>839</v>
      </c>
      <c r="T843" s="782" t="s">
        <v>4284</v>
      </c>
      <c r="U843" s="782" t="s">
        <v>3537</v>
      </c>
      <c r="V843" s="797">
        <f>$S$1*P!V843</f>
        <v>1.5364</v>
      </c>
      <c r="W843" s="780"/>
      <c r="X843" s="782">
        <v>839</v>
      </c>
      <c r="Y843" s="782" t="s">
        <v>2248</v>
      </c>
      <c r="Z843" s="782" t="s">
        <v>5215</v>
      </c>
      <c r="AA843" s="781">
        <f>$S$1*P!AA843</f>
        <v>2.5362903225806453E-2</v>
      </c>
      <c r="AB843" s="780"/>
      <c r="AC843" s="782">
        <v>839</v>
      </c>
      <c r="AD843" s="782" t="s">
        <v>4573</v>
      </c>
      <c r="AE843" s="782" t="s">
        <v>3515</v>
      </c>
      <c r="AF843" s="781">
        <f>$S$1*P!AF843</f>
        <v>1.2201612903225807E-2</v>
      </c>
    </row>
    <row r="844" spans="19:32" x14ac:dyDescent="0.35">
      <c r="S844" s="782">
        <v>840</v>
      </c>
      <c r="T844" s="782" t="s">
        <v>4284</v>
      </c>
      <c r="U844" s="782" t="s">
        <v>3536</v>
      </c>
      <c r="V844" s="797">
        <f>$S$1*P!V844</f>
        <v>130.64000000000001</v>
      </c>
      <c r="W844" s="780"/>
      <c r="X844" s="782">
        <v>840</v>
      </c>
      <c r="Y844" s="782" t="s">
        <v>2248</v>
      </c>
      <c r="Z844" s="782" t="s">
        <v>5620</v>
      </c>
      <c r="AA844" s="781">
        <f>$S$1*P!AA844</f>
        <v>9.6310483870967753E-5</v>
      </c>
      <c r="AB844" s="780"/>
      <c r="AC844" s="782">
        <v>840</v>
      </c>
      <c r="AD844" s="782" t="s">
        <v>4573</v>
      </c>
      <c r="AE844" s="782" t="s">
        <v>3515</v>
      </c>
      <c r="AF844" s="781">
        <f>$S$1*P!AF844</f>
        <v>3.0728</v>
      </c>
    </row>
    <row r="845" spans="19:32" x14ac:dyDescent="0.35">
      <c r="S845" s="782">
        <v>841</v>
      </c>
      <c r="T845" s="782" t="s">
        <v>4284</v>
      </c>
      <c r="U845" s="782" t="s">
        <v>3535</v>
      </c>
      <c r="V845" s="797">
        <f>$S$1*P!V845</f>
        <v>1.8953629032258067E-4</v>
      </c>
      <c r="W845" s="780"/>
      <c r="X845" s="782">
        <v>841</v>
      </c>
      <c r="Y845" s="782" t="s">
        <v>2248</v>
      </c>
      <c r="Z845" s="782" t="s">
        <v>5214</v>
      </c>
      <c r="AA845" s="781">
        <f>$S$1*P!AA845</f>
        <v>5.4838709677419359E-4</v>
      </c>
      <c r="AB845" s="780"/>
      <c r="AC845" s="782">
        <v>841</v>
      </c>
      <c r="AD845" s="782" t="s">
        <v>4573</v>
      </c>
      <c r="AE845" s="782" t="s">
        <v>3514</v>
      </c>
      <c r="AF845" s="781">
        <f>$S$1*P!AF845</f>
        <v>0</v>
      </c>
    </row>
    <row r="846" spans="19:32" x14ac:dyDescent="0.35">
      <c r="S846" s="782">
        <v>842</v>
      </c>
      <c r="T846" s="782" t="s">
        <v>4284</v>
      </c>
      <c r="U846" s="782" t="s">
        <v>3535</v>
      </c>
      <c r="V846" s="797">
        <f>$S$1*P!V846</f>
        <v>0.18676000000000001</v>
      </c>
      <c r="W846" s="780"/>
      <c r="X846" s="782">
        <v>842</v>
      </c>
      <c r="Y846" s="782" t="s">
        <v>2248</v>
      </c>
      <c r="Z846" s="782" t="s">
        <v>5213</v>
      </c>
      <c r="AA846" s="781">
        <f>$S$1*P!AA846</f>
        <v>3.0504032258064518E-2</v>
      </c>
      <c r="AB846" s="780"/>
      <c r="AC846" s="782">
        <v>842</v>
      </c>
      <c r="AD846" s="782" t="s">
        <v>4573</v>
      </c>
      <c r="AE846" s="782" t="s">
        <v>3512</v>
      </c>
      <c r="AF846" s="781">
        <f>$S$1*P!AF846</f>
        <v>4.6270161290322583E-3</v>
      </c>
    </row>
    <row r="847" spans="19:32" x14ac:dyDescent="0.35">
      <c r="S847" s="782">
        <v>843</v>
      </c>
      <c r="T847" s="782" t="s">
        <v>4284</v>
      </c>
      <c r="U847" s="782" t="s">
        <v>5051</v>
      </c>
      <c r="V847" s="797">
        <f>$S$1*P!V847</f>
        <v>4.3185483870967746E-4</v>
      </c>
      <c r="W847" s="780"/>
      <c r="X847" s="782">
        <v>843</v>
      </c>
      <c r="Y847" s="782" t="s">
        <v>2248</v>
      </c>
      <c r="Z847" s="782" t="s">
        <v>5212</v>
      </c>
      <c r="AA847" s="781">
        <f>$S$1*P!AA847</f>
        <v>1.6245967741935485E-2</v>
      </c>
      <c r="AB847" s="780"/>
      <c r="AC847" s="782">
        <v>843</v>
      </c>
      <c r="AD847" s="782" t="s">
        <v>4573</v>
      </c>
      <c r="AE847" s="782" t="s">
        <v>3512</v>
      </c>
      <c r="AF847" s="781">
        <f>$S$1*P!AF847</f>
        <v>4.9680000000000002E-3</v>
      </c>
    </row>
    <row r="848" spans="19:32" x14ac:dyDescent="0.35">
      <c r="S848" s="789">
        <v>844</v>
      </c>
      <c r="T848" s="789" t="s">
        <v>4284</v>
      </c>
      <c r="U848" s="789" t="s">
        <v>5619</v>
      </c>
      <c r="V848" s="790">
        <f>$S$1*P!V848</f>
        <v>3.5960000000000001</v>
      </c>
      <c r="W848" s="780"/>
      <c r="X848" s="782">
        <v>844</v>
      </c>
      <c r="Y848" s="782" t="s">
        <v>2248</v>
      </c>
      <c r="Z848" s="782" t="s">
        <v>5618</v>
      </c>
      <c r="AA848" s="781">
        <f>$S$1*P!AA848</f>
        <v>1.7479838709677422E-2</v>
      </c>
      <c r="AB848" s="780"/>
      <c r="AC848" s="782">
        <v>844</v>
      </c>
      <c r="AD848" s="782" t="s">
        <v>4573</v>
      </c>
      <c r="AE848" s="782" t="s">
        <v>5016</v>
      </c>
      <c r="AF848" s="781">
        <f>$S$1*P!AF848</f>
        <v>7.2318548387096781E-4</v>
      </c>
    </row>
    <row r="849" spans="19:32" x14ac:dyDescent="0.35">
      <c r="S849" s="789">
        <v>845</v>
      </c>
      <c r="T849" s="789" t="s">
        <v>4284</v>
      </c>
      <c r="U849" s="789" t="s">
        <v>5617</v>
      </c>
      <c r="V849" s="790">
        <f>$S$1*P!V849</f>
        <v>0.81200000000000006</v>
      </c>
      <c r="W849" s="863"/>
      <c r="X849" s="782">
        <v>845</v>
      </c>
      <c r="Y849" s="782" t="s">
        <v>2248</v>
      </c>
      <c r="Z849" s="782" t="s">
        <v>3606</v>
      </c>
      <c r="AA849" s="781">
        <f>$S$1*P!AA849</f>
        <v>0.14904000000000001</v>
      </c>
      <c r="AB849" s="780"/>
      <c r="AC849" s="782">
        <v>845</v>
      </c>
      <c r="AD849" s="782" t="s">
        <v>4573</v>
      </c>
      <c r="AE849" s="782" t="s">
        <v>5015</v>
      </c>
      <c r="AF849" s="781">
        <f>$S$1*P!AF849</f>
        <v>8.8084677419354848E-4</v>
      </c>
    </row>
    <row r="850" spans="19:32" x14ac:dyDescent="0.35">
      <c r="S850" s="789">
        <v>846</v>
      </c>
      <c r="T850" s="789" t="s">
        <v>4284</v>
      </c>
      <c r="U850" s="789" t="s">
        <v>5616</v>
      </c>
      <c r="V850" s="790">
        <f>$S$1*P!V850</f>
        <v>3.1320000000000001</v>
      </c>
      <c r="W850" s="863"/>
      <c r="X850" s="782">
        <v>846</v>
      </c>
      <c r="Y850" s="782" t="s">
        <v>2248</v>
      </c>
      <c r="Z850" s="782" t="s">
        <v>5211</v>
      </c>
      <c r="AA850" s="781">
        <f>$S$1*P!AA850</f>
        <v>1.5389112903225807E-3</v>
      </c>
      <c r="AB850" s="780"/>
      <c r="AC850" s="782">
        <v>846</v>
      </c>
      <c r="AD850" s="782" t="s">
        <v>4573</v>
      </c>
      <c r="AE850" s="782" t="s">
        <v>5014</v>
      </c>
      <c r="AF850" s="781">
        <f>$S$1*P!AF850</f>
        <v>39.072580645161295</v>
      </c>
    </row>
    <row r="851" spans="19:32" x14ac:dyDescent="0.35">
      <c r="S851" s="789">
        <v>847</v>
      </c>
      <c r="T851" s="789" t="s">
        <v>4284</v>
      </c>
      <c r="U851" s="789" t="s">
        <v>5615</v>
      </c>
      <c r="V851" s="790">
        <f>$S$1*P!V851</f>
        <v>6.032</v>
      </c>
      <c r="W851" s="863"/>
      <c r="X851" s="782">
        <v>847</v>
      </c>
      <c r="Y851" s="782" t="s">
        <v>2248</v>
      </c>
      <c r="Z851" s="782" t="s">
        <v>5614</v>
      </c>
      <c r="AA851" s="781">
        <f>$S$1*P!AA851</f>
        <v>0.12098790322580646</v>
      </c>
      <c r="AB851" s="780"/>
      <c r="AC851" s="782">
        <v>847</v>
      </c>
      <c r="AD851" s="782" t="s">
        <v>4573</v>
      </c>
      <c r="AE851" s="782" t="s">
        <v>3510</v>
      </c>
      <c r="AF851" s="781">
        <f>$S$1*P!AF851</f>
        <v>2.9348000000000001</v>
      </c>
    </row>
    <row r="852" spans="19:32" x14ac:dyDescent="0.35">
      <c r="S852" s="789">
        <v>848</v>
      </c>
      <c r="T852" s="789" t="s">
        <v>4284</v>
      </c>
      <c r="U852" s="789" t="s">
        <v>5613</v>
      </c>
      <c r="V852" s="790">
        <f>$S$1*P!V852</f>
        <v>0.34800000000000003</v>
      </c>
      <c r="W852" s="863"/>
      <c r="X852" s="782">
        <v>848</v>
      </c>
      <c r="Y852" s="782" t="s">
        <v>2248</v>
      </c>
      <c r="Z852" s="782" t="s">
        <v>5210</v>
      </c>
      <c r="AA852" s="781">
        <f>$S$1*P!AA852</f>
        <v>6.8205645161290331E-3</v>
      </c>
      <c r="AB852" s="780"/>
      <c r="AC852" s="782">
        <v>848</v>
      </c>
      <c r="AD852" s="782" t="s">
        <v>4573</v>
      </c>
      <c r="AE852" s="782" t="s">
        <v>3509</v>
      </c>
      <c r="AF852" s="781">
        <f>$S$1*P!AF852</f>
        <v>28887.999999999996</v>
      </c>
    </row>
    <row r="853" spans="19:32" x14ac:dyDescent="0.35">
      <c r="S853" s="789">
        <v>849</v>
      </c>
      <c r="T853" s="789" t="s">
        <v>4284</v>
      </c>
      <c r="U853" s="789" t="s">
        <v>5612</v>
      </c>
      <c r="V853" s="790">
        <f>$S$1*P!V853</f>
        <v>0.23200000000000001</v>
      </c>
      <c r="W853" s="780"/>
      <c r="X853" s="782">
        <v>849</v>
      </c>
      <c r="Y853" s="782" t="s">
        <v>2248</v>
      </c>
      <c r="Z853" s="782" t="s">
        <v>3603</v>
      </c>
      <c r="AA853" s="781">
        <f>$S$1*P!AA853</f>
        <v>3.3304E-2</v>
      </c>
      <c r="AB853" s="780"/>
      <c r="AC853" s="782">
        <v>849</v>
      </c>
      <c r="AD853" s="782" t="s">
        <v>4573</v>
      </c>
      <c r="AE853" s="782" t="s">
        <v>3507</v>
      </c>
      <c r="AF853" s="781">
        <f>$S$1*P!AF853</f>
        <v>1.4086693548387097</v>
      </c>
    </row>
    <row r="854" spans="19:32" x14ac:dyDescent="0.35">
      <c r="S854" s="789">
        <v>850</v>
      </c>
      <c r="T854" s="789" t="s">
        <v>4284</v>
      </c>
      <c r="U854" s="789" t="s">
        <v>5611</v>
      </c>
      <c r="V854" s="790">
        <f>$S$1*P!V854</f>
        <v>0.23200000000000001</v>
      </c>
      <c r="W854" s="780"/>
      <c r="X854" s="782">
        <v>850</v>
      </c>
      <c r="Y854" s="782" t="s">
        <v>2248</v>
      </c>
      <c r="Z854" s="782" t="s">
        <v>5610</v>
      </c>
      <c r="AA854" s="781">
        <f>$S$1*P!AA854</f>
        <v>7.1975806451612912E-4</v>
      </c>
      <c r="AB854" s="780"/>
      <c r="AC854" s="782">
        <v>850</v>
      </c>
      <c r="AD854" s="782" t="s">
        <v>4573</v>
      </c>
      <c r="AE854" s="782" t="s">
        <v>3507</v>
      </c>
      <c r="AF854" s="781">
        <f>$S$1*P!AF854</f>
        <v>27048</v>
      </c>
    </row>
    <row r="855" spans="19:32" x14ac:dyDescent="0.35">
      <c r="S855" s="789">
        <v>851</v>
      </c>
      <c r="T855" s="789" t="s">
        <v>4284</v>
      </c>
      <c r="U855" s="789" t="s">
        <v>5609</v>
      </c>
      <c r="V855" s="790">
        <f>$S$1*P!V855</f>
        <v>0.23200000000000001</v>
      </c>
      <c r="W855" s="780"/>
      <c r="X855" s="782">
        <v>851</v>
      </c>
      <c r="Y855" s="782" t="s">
        <v>2248</v>
      </c>
      <c r="Z855" s="782" t="s">
        <v>5209</v>
      </c>
      <c r="AA855" s="781">
        <f>$S$1*P!AA855</f>
        <v>3.7358870967741939E-3</v>
      </c>
      <c r="AB855" s="780"/>
      <c r="AC855" s="782">
        <v>851</v>
      </c>
      <c r="AD855" s="782" t="s">
        <v>4573</v>
      </c>
      <c r="AE855" s="782" t="s">
        <v>3506</v>
      </c>
      <c r="AF855" s="781">
        <f>$S$1*P!AF855</f>
        <v>0</v>
      </c>
    </row>
    <row r="856" spans="19:32" x14ac:dyDescent="0.35">
      <c r="S856" s="789">
        <v>852</v>
      </c>
      <c r="T856" s="789" t="s">
        <v>4284</v>
      </c>
      <c r="U856" s="789" t="s">
        <v>5608</v>
      </c>
      <c r="V856" s="790">
        <f>$S$1*P!V856</f>
        <v>0.23200000000000001</v>
      </c>
      <c r="W856" s="780"/>
      <c r="X856" s="782">
        <v>852</v>
      </c>
      <c r="Y856" s="782" t="s">
        <v>2248</v>
      </c>
      <c r="Z856" s="782" t="s">
        <v>5208</v>
      </c>
      <c r="AA856" s="781">
        <f>$S$1*P!AA856</f>
        <v>6.1008064516129043E-4</v>
      </c>
      <c r="AB856" s="780"/>
      <c r="AC856" s="782">
        <v>852</v>
      </c>
      <c r="AD856" s="782" t="s">
        <v>4573</v>
      </c>
      <c r="AE856" s="782" t="s">
        <v>5013</v>
      </c>
      <c r="AF856" s="781">
        <f>$S$1*P!AF856</f>
        <v>2.6082661290322582</v>
      </c>
    </row>
    <row r="857" spans="19:32" x14ac:dyDescent="0.35">
      <c r="S857" s="782">
        <v>853</v>
      </c>
      <c r="T857" s="782" t="s">
        <v>4284</v>
      </c>
      <c r="U857" s="782" t="s">
        <v>3534</v>
      </c>
      <c r="V857" s="797">
        <f>$S$1*P!V857</f>
        <v>34.5</v>
      </c>
      <c r="W857" s="780"/>
      <c r="X857" s="782">
        <v>853</v>
      </c>
      <c r="Y857" s="782" t="s">
        <v>2248</v>
      </c>
      <c r="Z857" s="782" t="s">
        <v>5207</v>
      </c>
      <c r="AA857" s="781">
        <f>$S$1*P!AA857</f>
        <v>9.4939516129032258E-4</v>
      </c>
      <c r="AB857" s="780"/>
      <c r="AC857" s="782">
        <v>853</v>
      </c>
      <c r="AD857" s="782" t="s">
        <v>4573</v>
      </c>
      <c r="AE857" s="782" t="s">
        <v>3504</v>
      </c>
      <c r="AF857" s="781">
        <f>$S$1*P!AF857</f>
        <v>0</v>
      </c>
    </row>
    <row r="858" spans="19:32" x14ac:dyDescent="0.35">
      <c r="S858" s="782">
        <v>854</v>
      </c>
      <c r="T858" s="782" t="s">
        <v>4284</v>
      </c>
      <c r="U858" s="782" t="s">
        <v>3533</v>
      </c>
      <c r="V858" s="797">
        <f>$S$1*P!V858</f>
        <v>2.8887999999999998</v>
      </c>
      <c r="W858" s="780"/>
      <c r="X858" s="782">
        <v>854</v>
      </c>
      <c r="Y858" s="782" t="s">
        <v>2248</v>
      </c>
      <c r="Z858" s="782" t="s">
        <v>5607</v>
      </c>
      <c r="AA858" s="781">
        <f>$S$1*P!AA858</f>
        <v>1.240725806451613E-6</v>
      </c>
      <c r="AB858" s="780"/>
      <c r="AC858" s="782">
        <v>854</v>
      </c>
      <c r="AD858" s="782" t="s">
        <v>4573</v>
      </c>
      <c r="AE858" s="782" t="s">
        <v>5012</v>
      </c>
      <c r="AF858" s="781">
        <f>$S$1*P!AF858</f>
        <v>1.4223790322580646E-2</v>
      </c>
    </row>
    <row r="859" spans="19:32" x14ac:dyDescent="0.35">
      <c r="S859" s="870">
        <v>855</v>
      </c>
      <c r="T859" s="870" t="s">
        <v>4284</v>
      </c>
      <c r="U859" s="870" t="s">
        <v>5050</v>
      </c>
      <c r="V859" s="871">
        <f>$S$1*P!V859</f>
        <v>0.87739999999999996</v>
      </c>
      <c r="W859" s="780"/>
      <c r="X859" s="782">
        <v>855</v>
      </c>
      <c r="Y859" s="782" t="s">
        <v>2248</v>
      </c>
      <c r="Z859" s="782" t="s">
        <v>5206</v>
      </c>
      <c r="AA859" s="781">
        <f>$S$1*P!AA859</f>
        <v>2.659677419354839E-4</v>
      </c>
      <c r="AB859" s="780"/>
      <c r="AC859" s="782">
        <v>855</v>
      </c>
      <c r="AD859" s="782" t="s">
        <v>4573</v>
      </c>
      <c r="AE859" s="782" t="s">
        <v>5011</v>
      </c>
      <c r="AF859" s="781">
        <f>$S$1*P!AF859</f>
        <v>2.0701612903225808E-2</v>
      </c>
    </row>
    <row r="860" spans="19:32" x14ac:dyDescent="0.35">
      <c r="S860" s="782">
        <v>856</v>
      </c>
      <c r="T860" s="782" t="s">
        <v>4284</v>
      </c>
      <c r="U860" s="782" t="s">
        <v>5050</v>
      </c>
      <c r="V860" s="797">
        <f>$S$1*P!V860</f>
        <v>7.5403225806451631E-5</v>
      </c>
      <c r="W860" s="780"/>
      <c r="X860" s="782">
        <v>856</v>
      </c>
      <c r="Y860" s="782" t="s">
        <v>2248</v>
      </c>
      <c r="Z860" s="782" t="s">
        <v>5204</v>
      </c>
      <c r="AA860" s="781">
        <f>$S$1*P!AA860</f>
        <v>1.1447580645161291E-2</v>
      </c>
      <c r="AB860" s="780"/>
      <c r="AC860" s="782">
        <v>856</v>
      </c>
      <c r="AD860" s="782" t="s">
        <v>4573</v>
      </c>
      <c r="AE860" s="782" t="s">
        <v>5010</v>
      </c>
      <c r="AF860" s="781">
        <f>$S$1*P!AF860</f>
        <v>5.7580645161290328E-2</v>
      </c>
    </row>
    <row r="861" spans="19:32" x14ac:dyDescent="0.35">
      <c r="S861" s="782">
        <v>857</v>
      </c>
      <c r="T861" s="782" t="s">
        <v>4284</v>
      </c>
      <c r="U861" s="782" t="s">
        <v>5049</v>
      </c>
      <c r="V861" s="797">
        <f>$S$1*P!V861</f>
        <v>0.10008064516129032</v>
      </c>
      <c r="W861" s="780"/>
      <c r="X861" s="782">
        <v>857</v>
      </c>
      <c r="Y861" s="782" t="s">
        <v>2248</v>
      </c>
      <c r="Z861" s="782" t="s">
        <v>5606</v>
      </c>
      <c r="AA861" s="781">
        <f>$S$1*P!AA861</f>
        <v>2.0358870967741936E-2</v>
      </c>
      <c r="AB861" s="780"/>
      <c r="AC861" s="782">
        <v>857</v>
      </c>
      <c r="AD861" s="782" t="s">
        <v>4573</v>
      </c>
      <c r="AE861" s="782" t="s">
        <v>3503</v>
      </c>
      <c r="AF861" s="781">
        <f>$S$1*P!AF861</f>
        <v>1.6108870967741937</v>
      </c>
    </row>
    <row r="862" spans="19:32" x14ac:dyDescent="0.35">
      <c r="S862" s="782">
        <v>858</v>
      </c>
      <c r="T862" s="782" t="s">
        <v>4284</v>
      </c>
      <c r="U862" s="782" t="s">
        <v>5048</v>
      </c>
      <c r="V862" s="797">
        <f>$S$1*P!V862</f>
        <v>2.5979838709677423E-4</v>
      </c>
      <c r="W862" s="780"/>
      <c r="X862" s="782">
        <v>858</v>
      </c>
      <c r="Y862" s="782" t="s">
        <v>2248</v>
      </c>
      <c r="Z862" s="782" t="s">
        <v>3601</v>
      </c>
      <c r="AA862" s="781">
        <f>$S$1*P!AA862</f>
        <v>1.6008</v>
      </c>
      <c r="AB862" s="780"/>
      <c r="AC862" s="782">
        <v>858</v>
      </c>
      <c r="AD862" s="782" t="s">
        <v>4573</v>
      </c>
      <c r="AE862" s="782" t="s">
        <v>3503</v>
      </c>
      <c r="AF862" s="781">
        <f>$S$1*P!AF862</f>
        <v>0</v>
      </c>
    </row>
    <row r="863" spans="19:32" x14ac:dyDescent="0.35">
      <c r="S863" s="782">
        <v>859</v>
      </c>
      <c r="T863" s="782" t="s">
        <v>4284</v>
      </c>
      <c r="U863" s="782" t="s">
        <v>5047</v>
      </c>
      <c r="V863" s="797">
        <f>$S$1*P!V863</f>
        <v>2.988709677419355E-3</v>
      </c>
      <c r="W863" s="780"/>
      <c r="X863" s="782">
        <v>859</v>
      </c>
      <c r="Y863" s="782" t="s">
        <v>2248</v>
      </c>
      <c r="Z863" s="782" t="s">
        <v>5203</v>
      </c>
      <c r="AA863" s="781">
        <f>$S$1*P!AA863</f>
        <v>2.3854838709677419E-6</v>
      </c>
      <c r="AB863" s="780"/>
      <c r="AC863" s="782">
        <v>859</v>
      </c>
      <c r="AD863" s="782" t="s">
        <v>4573</v>
      </c>
      <c r="AE863" s="782" t="s">
        <v>5009</v>
      </c>
      <c r="AF863" s="781">
        <f>$S$1*P!AF863</f>
        <v>1.0556451612903226</v>
      </c>
    </row>
    <row r="864" spans="19:32" x14ac:dyDescent="0.35">
      <c r="S864" s="782">
        <v>860</v>
      </c>
      <c r="T864" s="782" t="s">
        <v>4284</v>
      </c>
      <c r="U864" s="782" t="s">
        <v>3532</v>
      </c>
      <c r="V864" s="797">
        <f>$S$1*P!V864</f>
        <v>0</v>
      </c>
      <c r="W864" s="780"/>
      <c r="X864" s="782">
        <v>860</v>
      </c>
      <c r="Y864" s="782" t="s">
        <v>2248</v>
      </c>
      <c r="Z864" s="782" t="s">
        <v>5605</v>
      </c>
      <c r="AA864" s="781">
        <f>$S$1*P!AA864</f>
        <v>1.9056451612903227E-5</v>
      </c>
      <c r="AB864" s="780"/>
      <c r="AC864" s="782">
        <v>860</v>
      </c>
      <c r="AD864" s="782" t="s">
        <v>4573</v>
      </c>
      <c r="AE864" s="782" t="s">
        <v>5008</v>
      </c>
      <c r="AF864" s="781">
        <f>$S$1*P!AF864</f>
        <v>0.32217741935483873</v>
      </c>
    </row>
    <row r="865" spans="19:32" x14ac:dyDescent="0.35">
      <c r="S865" s="782">
        <v>861</v>
      </c>
      <c r="T865" s="782" t="s">
        <v>4284</v>
      </c>
      <c r="U865" s="782" t="s">
        <v>5046</v>
      </c>
      <c r="V865" s="797">
        <f>$S$1*P!V865</f>
        <v>7.4032258064516136E-4</v>
      </c>
      <c r="W865" s="780"/>
      <c r="X865" s="782">
        <v>861</v>
      </c>
      <c r="Y865" s="782" t="s">
        <v>2248</v>
      </c>
      <c r="Z865" s="782" t="s">
        <v>5202</v>
      </c>
      <c r="AA865" s="781">
        <f>$S$1*P!AA865</f>
        <v>3.9072580645161292E-4</v>
      </c>
      <c r="AB865" s="780"/>
      <c r="AC865" s="782">
        <v>861</v>
      </c>
      <c r="AD865" s="782" t="s">
        <v>4573</v>
      </c>
      <c r="AE865" s="782" t="s">
        <v>3501</v>
      </c>
      <c r="AF865" s="781">
        <f>$S$1*P!AF865</f>
        <v>9.185483870967742</v>
      </c>
    </row>
    <row r="866" spans="19:32" x14ac:dyDescent="0.35">
      <c r="S866" s="782">
        <v>862</v>
      </c>
      <c r="T866" s="782" t="s">
        <v>4284</v>
      </c>
      <c r="U866" s="782" t="s">
        <v>3531</v>
      </c>
      <c r="V866" s="797">
        <f>$S$1*P!V866</f>
        <v>1.9913306451612903E-4</v>
      </c>
      <c r="W866" s="780"/>
      <c r="X866" s="782">
        <v>862</v>
      </c>
      <c r="Y866" s="782" t="s">
        <v>2248</v>
      </c>
      <c r="Z866" s="782" t="s">
        <v>5201</v>
      </c>
      <c r="AA866" s="781">
        <f>$S$1*P!AA866</f>
        <v>2.0804435483870971E-4</v>
      </c>
      <c r="AB866" s="780"/>
      <c r="AC866" s="782">
        <v>862</v>
      </c>
      <c r="AD866" s="782" t="s">
        <v>4573</v>
      </c>
      <c r="AE866" s="782" t="s">
        <v>3501</v>
      </c>
      <c r="AF866" s="781">
        <f>$S$1*P!AF866</f>
        <v>1508.8</v>
      </c>
    </row>
    <row r="867" spans="19:32" x14ac:dyDescent="0.35">
      <c r="S867" s="782">
        <v>863</v>
      </c>
      <c r="T867" s="782" t="s">
        <v>4284</v>
      </c>
      <c r="U867" s="782" t="s">
        <v>3531</v>
      </c>
      <c r="V867" s="797">
        <f>$S$1*P!V867</f>
        <v>0.55843999999999994</v>
      </c>
      <c r="W867" s="780"/>
      <c r="X867" s="782">
        <v>863</v>
      </c>
      <c r="Y867" s="782" t="s">
        <v>2248</v>
      </c>
      <c r="Z867" s="782" t="s">
        <v>5198</v>
      </c>
      <c r="AA867" s="781">
        <f>$S$1*P!AA867</f>
        <v>6.6834677419354841E-5</v>
      </c>
      <c r="AB867" s="780"/>
      <c r="AC867" s="782">
        <v>863</v>
      </c>
      <c r="AD867" s="782" t="s">
        <v>4573</v>
      </c>
      <c r="AE867" s="782" t="s">
        <v>5007</v>
      </c>
      <c r="AF867" s="781">
        <f>$S$1*P!AF867</f>
        <v>0.63750000000000007</v>
      </c>
    </row>
    <row r="868" spans="19:32" x14ac:dyDescent="0.35">
      <c r="S868" s="782">
        <v>864</v>
      </c>
      <c r="T868" s="782" t="s">
        <v>4284</v>
      </c>
      <c r="U868" s="782" t="s">
        <v>5045</v>
      </c>
      <c r="V868" s="797">
        <f>$S$1*P!V868</f>
        <v>1.2715725806451613E-5</v>
      </c>
      <c r="W868" s="780"/>
      <c r="X868" s="782">
        <v>864</v>
      </c>
      <c r="Y868" s="782" t="s">
        <v>2248</v>
      </c>
      <c r="Z868" s="782" t="s">
        <v>5604</v>
      </c>
      <c r="AA868" s="781">
        <f>$S$1*P!AA868</f>
        <v>4.9697580645161295E-5</v>
      </c>
      <c r="AB868" s="780"/>
      <c r="AC868" s="782">
        <v>864</v>
      </c>
      <c r="AD868" s="782" t="s">
        <v>4573</v>
      </c>
      <c r="AE868" s="782" t="s">
        <v>5006</v>
      </c>
      <c r="AF868" s="781">
        <f>$S$1*P!AF868</f>
        <v>4.0443548387096774E-2</v>
      </c>
    </row>
    <row r="869" spans="19:32" x14ac:dyDescent="0.35">
      <c r="S869" s="782">
        <v>865</v>
      </c>
      <c r="T869" s="782" t="s">
        <v>4284</v>
      </c>
      <c r="U869" s="782" t="s">
        <v>5044</v>
      </c>
      <c r="V869" s="797">
        <f>$S$1*P!V869</f>
        <v>4.7298387096774191E-5</v>
      </c>
      <c r="W869" s="863"/>
      <c r="X869" s="782">
        <v>865</v>
      </c>
      <c r="Y869" s="782" t="s">
        <v>2248</v>
      </c>
      <c r="Z869" s="782" t="s">
        <v>3600</v>
      </c>
      <c r="AA869" s="781">
        <f>$S$1*P!AA869</f>
        <v>1.3615999999999999</v>
      </c>
      <c r="AB869" s="780"/>
      <c r="AC869" s="782">
        <v>865</v>
      </c>
      <c r="AD869" s="782" t="s">
        <v>4573</v>
      </c>
      <c r="AE869" s="782" t="s">
        <v>5005</v>
      </c>
      <c r="AF869" s="781">
        <f>$S$1*P!AF869</f>
        <v>9.5967741935483873E-5</v>
      </c>
    </row>
    <row r="870" spans="19:32" x14ac:dyDescent="0.35">
      <c r="S870" s="782">
        <v>866</v>
      </c>
      <c r="T870" s="782" t="s">
        <v>4284</v>
      </c>
      <c r="U870" s="782" t="s">
        <v>5043</v>
      </c>
      <c r="V870" s="797">
        <f>$S$1*P!V870</f>
        <v>8.2258064516129036E-5</v>
      </c>
      <c r="W870" s="863"/>
      <c r="X870" s="782">
        <v>866</v>
      </c>
      <c r="Y870" s="782" t="s">
        <v>2248</v>
      </c>
      <c r="Z870" s="782" t="s">
        <v>3597</v>
      </c>
      <c r="AA870" s="781">
        <f>$S$1*P!AA870</f>
        <v>15.731999999999999</v>
      </c>
      <c r="AB870" s="780"/>
      <c r="AC870" s="782">
        <v>866</v>
      </c>
      <c r="AD870" s="782" t="s">
        <v>4573</v>
      </c>
      <c r="AE870" s="782" t="s">
        <v>5004</v>
      </c>
      <c r="AF870" s="781">
        <f>$S$1*P!AF870</f>
        <v>5.895161290322581E-5</v>
      </c>
    </row>
    <row r="871" spans="19:32" x14ac:dyDescent="0.35">
      <c r="S871" s="782">
        <v>867</v>
      </c>
      <c r="T871" s="782" t="s">
        <v>4284</v>
      </c>
      <c r="U871" s="782" t="s">
        <v>5042</v>
      </c>
      <c r="V871" s="797">
        <f>$S$1*P!V871</f>
        <v>3.4205645161290328E-2</v>
      </c>
      <c r="W871" s="863"/>
      <c r="X871" s="782">
        <v>867</v>
      </c>
      <c r="Y871" s="782" t="s">
        <v>2248</v>
      </c>
      <c r="Z871" s="782" t="s">
        <v>5603</v>
      </c>
      <c r="AA871" s="781">
        <f>$S$1*P!AA871</f>
        <v>5.3467741935483873E-4</v>
      </c>
      <c r="AB871" s="780"/>
      <c r="AC871" s="782">
        <v>867</v>
      </c>
      <c r="AD871" s="782" t="s">
        <v>4573</v>
      </c>
      <c r="AE871" s="782" t="s">
        <v>5003</v>
      </c>
      <c r="AF871" s="781">
        <f>$S$1*P!AF871</f>
        <v>7.1633064516129039E-2</v>
      </c>
    </row>
    <row r="872" spans="19:32" x14ac:dyDescent="0.35">
      <c r="S872" s="782">
        <v>868</v>
      </c>
      <c r="T872" s="782" t="s">
        <v>4284</v>
      </c>
      <c r="U872" s="782" t="s">
        <v>5040</v>
      </c>
      <c r="V872" s="797">
        <f>$S$1*P!V872</f>
        <v>2.0016129032258064E-4</v>
      </c>
      <c r="W872" s="780"/>
      <c r="X872" s="782">
        <v>868</v>
      </c>
      <c r="Y872" s="782" t="s">
        <v>2248</v>
      </c>
      <c r="Z872" s="782" t="s">
        <v>5197</v>
      </c>
      <c r="AA872" s="781">
        <f>$S$1*P!AA872</f>
        <v>2.5842741935483875E-3</v>
      </c>
      <c r="AB872" s="780"/>
      <c r="AC872" s="782">
        <v>868</v>
      </c>
      <c r="AD872" s="782" t="s">
        <v>4573</v>
      </c>
      <c r="AE872" s="782" t="s">
        <v>3499</v>
      </c>
      <c r="AF872" s="781">
        <f>$S$1*P!AF872</f>
        <v>0</v>
      </c>
    </row>
    <row r="873" spans="19:32" x14ac:dyDescent="0.35">
      <c r="S873" s="782">
        <v>869</v>
      </c>
      <c r="T873" s="782" t="s">
        <v>4284</v>
      </c>
      <c r="U873" s="782" t="s">
        <v>5039</v>
      </c>
      <c r="V873" s="797">
        <f>$S$1*P!V873</f>
        <v>8.0544354838709692E-5</v>
      </c>
      <c r="W873" s="780"/>
      <c r="X873" s="782">
        <v>869</v>
      </c>
      <c r="Y873" s="782" t="s">
        <v>2248</v>
      </c>
      <c r="Z873" s="782" t="s">
        <v>5195</v>
      </c>
      <c r="AA873" s="781">
        <f>$S$1*P!AA873</f>
        <v>6.9919354838709677E-4</v>
      </c>
      <c r="AB873" s="780"/>
      <c r="AC873" s="782">
        <v>869</v>
      </c>
      <c r="AD873" s="782" t="s">
        <v>4573</v>
      </c>
      <c r="AE873" s="782" t="s">
        <v>5002</v>
      </c>
      <c r="AF873" s="781">
        <f>$S$1*P!AF873</f>
        <v>36.330645161290327</v>
      </c>
    </row>
    <row r="874" spans="19:32" x14ac:dyDescent="0.35">
      <c r="S874" s="782">
        <v>870</v>
      </c>
      <c r="T874" s="782" t="s">
        <v>4284</v>
      </c>
      <c r="U874" s="782" t="s">
        <v>5038</v>
      </c>
      <c r="V874" s="797">
        <f>$S$1*P!V874</f>
        <v>3.1120967741935485E-2</v>
      </c>
      <c r="W874" s="780"/>
      <c r="X874" s="782">
        <v>870</v>
      </c>
      <c r="Y874" s="782" t="s">
        <v>2248</v>
      </c>
      <c r="Z874" s="782" t="s">
        <v>5193</v>
      </c>
      <c r="AA874" s="781">
        <f>$S$1*P!AA874</f>
        <v>2.3443548387096775E-4</v>
      </c>
      <c r="AB874" s="780"/>
      <c r="AC874" s="782">
        <v>870</v>
      </c>
      <c r="AD874" s="782" t="s">
        <v>4573</v>
      </c>
      <c r="AE874" s="782" t="s">
        <v>3498</v>
      </c>
      <c r="AF874" s="781">
        <f>$S$1*P!AF874</f>
        <v>0.23923387096774196</v>
      </c>
    </row>
    <row r="875" spans="19:32" x14ac:dyDescent="0.35">
      <c r="S875" s="870">
        <v>871</v>
      </c>
      <c r="T875" s="870" t="s">
        <v>4284</v>
      </c>
      <c r="U875" s="870" t="s">
        <v>5037</v>
      </c>
      <c r="V875" s="871">
        <f>$S$1*P!V875</f>
        <v>0.85064999999999991</v>
      </c>
      <c r="W875" s="780"/>
      <c r="X875" s="782">
        <v>871</v>
      </c>
      <c r="Y875" s="782" t="s">
        <v>2248</v>
      </c>
      <c r="Z875" s="782" t="s">
        <v>5602</v>
      </c>
      <c r="AA875" s="781">
        <f>$S$1*P!AA875</f>
        <v>1.9090725806451616E-4</v>
      </c>
      <c r="AB875" s="780"/>
      <c r="AC875" s="782">
        <v>871</v>
      </c>
      <c r="AD875" s="782" t="s">
        <v>4573</v>
      </c>
      <c r="AE875" s="782" t="s">
        <v>3498</v>
      </c>
      <c r="AF875" s="781">
        <f>$S$1*P!AF875</f>
        <v>0</v>
      </c>
    </row>
    <row r="876" spans="19:32" x14ac:dyDescent="0.35">
      <c r="S876" s="782">
        <v>872</v>
      </c>
      <c r="T876" s="782" t="s">
        <v>4284</v>
      </c>
      <c r="U876" s="782" t="s">
        <v>5037</v>
      </c>
      <c r="V876" s="797">
        <f>$S$1*P!V876</f>
        <v>1.7274193548387099E-6</v>
      </c>
      <c r="W876" s="780"/>
      <c r="X876" s="782">
        <v>872</v>
      </c>
      <c r="Y876" s="782" t="s">
        <v>2248</v>
      </c>
      <c r="Z876" s="782" t="s">
        <v>3596</v>
      </c>
      <c r="AA876" s="781">
        <f>$S$1*P!AA876</f>
        <v>0</v>
      </c>
      <c r="AB876" s="780"/>
      <c r="AC876" s="782">
        <v>872</v>
      </c>
      <c r="AD876" s="782" t="s">
        <v>4573</v>
      </c>
      <c r="AE876" s="782" t="s">
        <v>3496</v>
      </c>
      <c r="AF876" s="781">
        <f>$S$1*P!AF876</f>
        <v>5.1411290322580646E-3</v>
      </c>
    </row>
    <row r="877" spans="19:32" x14ac:dyDescent="0.35">
      <c r="S877" s="782">
        <v>873</v>
      </c>
      <c r="T877" s="782" t="s">
        <v>4284</v>
      </c>
      <c r="U877" s="782" t="s">
        <v>3529</v>
      </c>
      <c r="V877" s="797">
        <f>$S$1*P!V877</f>
        <v>18.86</v>
      </c>
      <c r="W877" s="780"/>
      <c r="X877" s="782">
        <v>873</v>
      </c>
      <c r="Y877" s="782" t="s">
        <v>2248</v>
      </c>
      <c r="Z877" s="782" t="s">
        <v>3594</v>
      </c>
      <c r="AA877" s="781">
        <f>$S$1*P!AA877</f>
        <v>3.0267999999999996E-2</v>
      </c>
      <c r="AB877" s="780"/>
      <c r="AC877" s="782">
        <v>873</v>
      </c>
      <c r="AD877" s="782" t="s">
        <v>4573</v>
      </c>
      <c r="AE877" s="782" t="s">
        <v>3496</v>
      </c>
      <c r="AF877" s="781">
        <f>$S$1*P!AF877</f>
        <v>0</v>
      </c>
    </row>
    <row r="878" spans="19:32" x14ac:dyDescent="0.35">
      <c r="S878" s="782">
        <v>874</v>
      </c>
      <c r="T878" s="782" t="s">
        <v>4284</v>
      </c>
      <c r="U878" s="782" t="s">
        <v>3528</v>
      </c>
      <c r="V878" s="797">
        <f>$S$1*P!V878</f>
        <v>1.5731854838709678E-5</v>
      </c>
      <c r="W878" s="780"/>
      <c r="X878" s="782">
        <v>874</v>
      </c>
      <c r="Y878" s="782" t="s">
        <v>2248</v>
      </c>
      <c r="Z878" s="782" t="s">
        <v>5601</v>
      </c>
      <c r="AA878" s="781">
        <f>$S$1*P!AA878</f>
        <v>4.3185483870967749E-5</v>
      </c>
      <c r="AB878" s="780"/>
      <c r="AC878" s="782">
        <v>874</v>
      </c>
      <c r="AD878" s="782" t="s">
        <v>4573</v>
      </c>
      <c r="AE878" s="782" t="s">
        <v>5000</v>
      </c>
      <c r="AF878" s="781">
        <f>$S$1*P!AF878</f>
        <v>0.15389112903225807</v>
      </c>
    </row>
    <row r="879" spans="19:32" x14ac:dyDescent="0.35">
      <c r="S879" s="782">
        <v>875</v>
      </c>
      <c r="T879" s="782" t="s">
        <v>4284</v>
      </c>
      <c r="U879" s="782" t="s">
        <v>3528</v>
      </c>
      <c r="V879" s="797">
        <f>$S$1*P!V879</f>
        <v>0</v>
      </c>
      <c r="W879" s="780"/>
      <c r="X879" s="782">
        <v>875</v>
      </c>
      <c r="Y879" s="782" t="s">
        <v>2248</v>
      </c>
      <c r="Z879" s="782" t="s">
        <v>5191</v>
      </c>
      <c r="AA879" s="781">
        <f>$S$1*P!AA879</f>
        <v>1.4223790322580646E-3</v>
      </c>
      <c r="AB879" s="780"/>
      <c r="AC879" s="782">
        <v>875</v>
      </c>
      <c r="AD879" s="782" t="s">
        <v>4573</v>
      </c>
      <c r="AE879" s="782" t="s">
        <v>4999</v>
      </c>
      <c r="AF879" s="781">
        <f>$S$1*P!AF879</f>
        <v>1.8747983870967742E-2</v>
      </c>
    </row>
    <row r="880" spans="19:32" x14ac:dyDescent="0.35">
      <c r="S880" s="782">
        <v>876</v>
      </c>
      <c r="T880" s="782" t="s">
        <v>4284</v>
      </c>
      <c r="U880" s="782" t="s">
        <v>3526</v>
      </c>
      <c r="V880" s="797">
        <f>$S$1*P!V880</f>
        <v>0.10488</v>
      </c>
      <c r="W880" s="780"/>
      <c r="X880" s="782">
        <v>876</v>
      </c>
      <c r="Y880" s="782" t="s">
        <v>2248</v>
      </c>
      <c r="Z880" s="782" t="s">
        <v>5187</v>
      </c>
      <c r="AA880" s="781">
        <f>$S$1*P!AA880</f>
        <v>2.3923387096774196E-4</v>
      </c>
      <c r="AB880" s="780"/>
      <c r="AC880" s="782">
        <v>876</v>
      </c>
      <c r="AD880" s="782" t="s">
        <v>4573</v>
      </c>
      <c r="AE880" s="782" t="s">
        <v>4998</v>
      </c>
      <c r="AF880" s="781">
        <f>$S$1*P!AF880</f>
        <v>5.8608870967741949E-4</v>
      </c>
    </row>
    <row r="881" spans="19:32" x14ac:dyDescent="0.35">
      <c r="S881" s="782">
        <v>877</v>
      </c>
      <c r="T881" s="782" t="s">
        <v>4284</v>
      </c>
      <c r="U881" s="782" t="s">
        <v>5036</v>
      </c>
      <c r="V881" s="797">
        <f>$S$1*P!V881</f>
        <v>6.6149193548387095E-5</v>
      </c>
      <c r="W881" s="780"/>
      <c r="X881" s="782">
        <v>877</v>
      </c>
      <c r="Y881" s="782" t="s">
        <v>2248</v>
      </c>
      <c r="Z881" s="782" t="s">
        <v>5600</v>
      </c>
      <c r="AA881" s="781">
        <f>$S$1*P!AA881</f>
        <v>3.094959677419355E-3</v>
      </c>
      <c r="AB881" s="780"/>
      <c r="AC881" s="782">
        <v>877</v>
      </c>
      <c r="AD881" s="782" t="s">
        <v>4573</v>
      </c>
      <c r="AE881" s="782" t="s">
        <v>4997</v>
      </c>
      <c r="AF881" s="781">
        <f>$S$1*P!AF881</f>
        <v>1.1104838709677419E-3</v>
      </c>
    </row>
    <row r="882" spans="19:32" x14ac:dyDescent="0.35">
      <c r="S882" s="782">
        <v>878</v>
      </c>
      <c r="T882" s="782" t="s">
        <v>4284</v>
      </c>
      <c r="U882" s="782" t="s">
        <v>5035</v>
      </c>
      <c r="V882" s="797">
        <f>$S$1*P!V882</f>
        <v>1.4737903225806452E-4</v>
      </c>
      <c r="W882" s="780"/>
      <c r="X882" s="782">
        <v>878</v>
      </c>
      <c r="Y882" s="782" t="s">
        <v>2248</v>
      </c>
      <c r="Z882" s="782" t="s">
        <v>5185</v>
      </c>
      <c r="AA882" s="781">
        <f>$S$1*P!AA882</f>
        <v>5.3125000000000004E-5</v>
      </c>
      <c r="AB882" s="780"/>
      <c r="AC882" s="782">
        <v>878</v>
      </c>
      <c r="AD882" s="782" t="s">
        <v>4573</v>
      </c>
      <c r="AE882" s="782" t="s">
        <v>4996</v>
      </c>
      <c r="AF882" s="781">
        <f>$S$1*P!AF882</f>
        <v>4.112903225806452</v>
      </c>
    </row>
    <row r="883" spans="19:32" x14ac:dyDescent="0.35">
      <c r="S883" s="782">
        <v>879</v>
      </c>
      <c r="T883" s="782" t="s">
        <v>4284</v>
      </c>
      <c r="U883" s="782" t="s">
        <v>5031</v>
      </c>
      <c r="V883" s="797">
        <f>$S$1*P!V883</f>
        <v>1.4429435483870968E-4</v>
      </c>
      <c r="W883" s="780"/>
      <c r="X883" s="782">
        <v>879</v>
      </c>
      <c r="Y883" s="782" t="s">
        <v>2248</v>
      </c>
      <c r="Z883" s="782" t="s">
        <v>5182</v>
      </c>
      <c r="AA883" s="781">
        <f>$S$1*P!AA883</f>
        <v>1.3435483870967743E-3</v>
      </c>
      <c r="AB883" s="780"/>
      <c r="AC883" s="782">
        <v>879</v>
      </c>
      <c r="AD883" s="782" t="s">
        <v>4573</v>
      </c>
      <c r="AE883" s="782" t="s">
        <v>4994</v>
      </c>
      <c r="AF883" s="781">
        <f>$S$1*P!AF883</f>
        <v>1199.5967741935485</v>
      </c>
    </row>
    <row r="884" spans="19:32" x14ac:dyDescent="0.35">
      <c r="S884" s="782">
        <v>880</v>
      </c>
      <c r="T884" s="782" t="s">
        <v>4284</v>
      </c>
      <c r="U884" s="782" t="s">
        <v>3524</v>
      </c>
      <c r="V884" s="797">
        <f>$S$1*P!V884</f>
        <v>58.42</v>
      </c>
      <c r="W884" s="780"/>
      <c r="X884" s="782">
        <v>880</v>
      </c>
      <c r="Y884" s="782" t="s">
        <v>2248</v>
      </c>
      <c r="Z884" s="782" t="s">
        <v>5599</v>
      </c>
      <c r="AA884" s="781">
        <f>$S$1*P!AA884</f>
        <v>0.21387096774193551</v>
      </c>
      <c r="AB884" s="780"/>
      <c r="AC884" s="782">
        <v>880</v>
      </c>
      <c r="AD884" s="782" t="s">
        <v>4573</v>
      </c>
      <c r="AE884" s="782" t="s">
        <v>4993</v>
      </c>
      <c r="AF884" s="781">
        <f>$S$1*P!AF884</f>
        <v>7.7802419354838712E-2</v>
      </c>
    </row>
    <row r="885" spans="19:32" x14ac:dyDescent="0.35">
      <c r="S885" s="782">
        <v>881</v>
      </c>
      <c r="T885" s="782" t="s">
        <v>4284</v>
      </c>
      <c r="U885" s="782" t="s">
        <v>3523</v>
      </c>
      <c r="V885" s="797">
        <f>$S$1*P!V885</f>
        <v>0</v>
      </c>
      <c r="W885" s="780"/>
      <c r="X885" s="782">
        <v>881</v>
      </c>
      <c r="Y885" s="782" t="s">
        <v>2248</v>
      </c>
      <c r="Z885" s="782" t="s">
        <v>5180</v>
      </c>
      <c r="AA885" s="781">
        <f>$S$1*P!AA885</f>
        <v>0.76431451612903234</v>
      </c>
      <c r="AB885" s="780"/>
      <c r="AC885" s="782">
        <v>881</v>
      </c>
      <c r="AD885" s="782" t="s">
        <v>4573</v>
      </c>
      <c r="AE885" s="782" t="s">
        <v>3495</v>
      </c>
      <c r="AF885" s="781">
        <f>$S$1*P!AF885</f>
        <v>4.181451612903226E-2</v>
      </c>
    </row>
    <row r="886" spans="19:32" x14ac:dyDescent="0.35">
      <c r="S886" s="782">
        <v>882</v>
      </c>
      <c r="T886" s="782" t="s">
        <v>4284</v>
      </c>
      <c r="U886" s="782" t="s">
        <v>5030</v>
      </c>
      <c r="V886" s="797">
        <f>$S$1*P!V886</f>
        <v>1.5629032258064519E-2</v>
      </c>
      <c r="W886" s="780"/>
      <c r="X886" s="782">
        <v>882</v>
      </c>
      <c r="Y886" s="782" t="s">
        <v>2248</v>
      </c>
      <c r="Z886" s="782" t="s">
        <v>3591</v>
      </c>
      <c r="AA886" s="781">
        <f>$S$1*P!AA886</f>
        <v>4.1859999999999999</v>
      </c>
      <c r="AB886" s="780"/>
      <c r="AC886" s="782">
        <v>882</v>
      </c>
      <c r="AD886" s="782" t="s">
        <v>4573</v>
      </c>
      <c r="AE886" s="782" t="s">
        <v>3495</v>
      </c>
      <c r="AF886" s="781">
        <f>$S$1*P!AF886</f>
        <v>2.5299999999999998</v>
      </c>
    </row>
    <row r="887" spans="19:32" x14ac:dyDescent="0.35">
      <c r="S887" s="782">
        <v>883</v>
      </c>
      <c r="T887" s="782" t="s">
        <v>4284</v>
      </c>
      <c r="U887" s="782" t="s">
        <v>3521</v>
      </c>
      <c r="V887" s="797">
        <f>$S$1*P!V887</f>
        <v>4.1399999999999997</v>
      </c>
      <c r="W887" s="780"/>
      <c r="X887" s="782">
        <v>883</v>
      </c>
      <c r="Y887" s="782" t="s">
        <v>2248</v>
      </c>
      <c r="Z887" s="782" t="s">
        <v>5177</v>
      </c>
      <c r="AA887" s="781">
        <f>$S$1*P!AA887</f>
        <v>4.3528225806451615E-4</v>
      </c>
      <c r="AB887" s="780"/>
      <c r="AC887" s="782">
        <v>883</v>
      </c>
      <c r="AD887" s="782" t="s">
        <v>4573</v>
      </c>
      <c r="AE887" s="782" t="s">
        <v>4992</v>
      </c>
      <c r="AF887" s="781">
        <f>$S$1*P!AF887</f>
        <v>1.2407258064516132E-3</v>
      </c>
    </row>
    <row r="888" spans="19:32" x14ac:dyDescent="0.35">
      <c r="S888" s="782">
        <v>884</v>
      </c>
      <c r="T888" s="782" t="s">
        <v>4284</v>
      </c>
      <c r="U888" s="782" t="s">
        <v>5029</v>
      </c>
      <c r="V888" s="797">
        <f>$S$1*P!V888</f>
        <v>1.2955645161290323E-2</v>
      </c>
      <c r="W888" s="780"/>
      <c r="X888" s="782">
        <v>884</v>
      </c>
      <c r="Y888" s="782" t="s">
        <v>2248</v>
      </c>
      <c r="Z888" s="782" t="s">
        <v>5598</v>
      </c>
      <c r="AA888" s="781">
        <f>$S$1*P!AA888</f>
        <v>2.4471774193548388E-5</v>
      </c>
      <c r="AB888" s="780"/>
      <c r="AC888" s="782">
        <v>884</v>
      </c>
      <c r="AD888" s="782" t="s">
        <v>4573</v>
      </c>
      <c r="AE888" s="782" t="s">
        <v>4991</v>
      </c>
      <c r="AF888" s="781">
        <f>$S$1*P!AF888</f>
        <v>4.215725806451613E-3</v>
      </c>
    </row>
    <row r="889" spans="19:32" x14ac:dyDescent="0.35">
      <c r="S889" s="782">
        <v>885</v>
      </c>
      <c r="T889" s="782" t="s">
        <v>4284</v>
      </c>
      <c r="U889" s="782" t="s">
        <v>5028</v>
      </c>
      <c r="V889" s="797">
        <f>$S$1*P!V889</f>
        <v>0.5346774193548387</v>
      </c>
      <c r="W889" s="780"/>
      <c r="X889" s="782">
        <v>885</v>
      </c>
      <c r="Y889" s="782" t="s">
        <v>2248</v>
      </c>
      <c r="Z889" s="782" t="s">
        <v>5175</v>
      </c>
      <c r="AA889" s="781">
        <f>$S$1*P!AA889</f>
        <v>1.8679435483870969E-4</v>
      </c>
      <c r="AB889" s="780"/>
      <c r="AC889" s="782">
        <v>885</v>
      </c>
      <c r="AD889" s="782" t="s">
        <v>4573</v>
      </c>
      <c r="AE889" s="782" t="s">
        <v>4990</v>
      </c>
      <c r="AF889" s="781">
        <f>$S$1*P!AF889</f>
        <v>0.43185483870967745</v>
      </c>
    </row>
    <row r="890" spans="19:32" x14ac:dyDescent="0.35">
      <c r="S890" s="782">
        <v>886</v>
      </c>
      <c r="T890" s="782" t="s">
        <v>4284</v>
      </c>
      <c r="U890" s="782" t="s">
        <v>5024</v>
      </c>
      <c r="V890" s="797">
        <f>$S$1*P!V890</f>
        <v>6.4092741935483878E-3</v>
      </c>
      <c r="W890" s="780"/>
      <c r="X890" s="782">
        <v>886</v>
      </c>
      <c r="Y890" s="782" t="s">
        <v>2248</v>
      </c>
      <c r="Z890" s="782" t="s">
        <v>5172</v>
      </c>
      <c r="AA890" s="781">
        <f>$S$1*P!AA890</f>
        <v>9.9737903225806455E-4</v>
      </c>
      <c r="AB890" s="780"/>
      <c r="AC890" s="782">
        <v>886</v>
      </c>
      <c r="AD890" s="782" t="s">
        <v>4573</v>
      </c>
      <c r="AE890" s="782" t="s">
        <v>4989</v>
      </c>
      <c r="AF890" s="781">
        <f>$S$1*P!AF890</f>
        <v>140.18145161290323</v>
      </c>
    </row>
    <row r="891" spans="19:32" x14ac:dyDescent="0.35">
      <c r="S891" s="782">
        <v>887</v>
      </c>
      <c r="T891" s="782" t="s">
        <v>4284</v>
      </c>
      <c r="U891" s="782" t="s">
        <v>5019</v>
      </c>
      <c r="V891" s="797">
        <f>$S$1*P!V891</f>
        <v>2.0256048387096775E-3</v>
      </c>
      <c r="W891" s="780"/>
      <c r="X891" s="782">
        <v>887</v>
      </c>
      <c r="Y891" s="782" t="s">
        <v>2248</v>
      </c>
      <c r="Z891" s="782" t="s">
        <v>5597</v>
      </c>
      <c r="AA891" s="781">
        <f>$S$1*P!AA891</f>
        <v>1.1276209677419356E-4</v>
      </c>
      <c r="AB891" s="780"/>
      <c r="AC891" s="782">
        <v>887</v>
      </c>
      <c r="AD891" s="782" t="s">
        <v>4573</v>
      </c>
      <c r="AE891" s="782" t="s">
        <v>4988</v>
      </c>
      <c r="AF891" s="781">
        <f>$S$1*P!AF891</f>
        <v>2.6391129032258067E-2</v>
      </c>
    </row>
    <row r="892" spans="19:32" x14ac:dyDescent="0.35">
      <c r="S892" s="782">
        <v>888</v>
      </c>
      <c r="T892" s="782" t="s">
        <v>4284</v>
      </c>
      <c r="U892" s="782" t="s">
        <v>3520</v>
      </c>
      <c r="V892" s="797">
        <f>$S$1*P!V892</f>
        <v>3.495967741935484E-3</v>
      </c>
      <c r="W892" s="780"/>
      <c r="X892" s="782">
        <v>888</v>
      </c>
      <c r="Y892" s="782" t="s">
        <v>2248</v>
      </c>
      <c r="Z892" s="782" t="s">
        <v>5169</v>
      </c>
      <c r="AA892" s="781">
        <f>$S$1*P!AA892</f>
        <v>5.1754032258064519E-5</v>
      </c>
      <c r="AB892" s="780"/>
      <c r="AC892" s="782">
        <v>888</v>
      </c>
      <c r="AD892" s="782" t="s">
        <v>4573</v>
      </c>
      <c r="AE892" s="782" t="s">
        <v>4987</v>
      </c>
      <c r="AF892" s="781">
        <f>$S$1*P!AF892</f>
        <v>2.6014112903225808</v>
      </c>
    </row>
    <row r="893" spans="19:32" x14ac:dyDescent="0.35">
      <c r="S893" s="782">
        <v>889</v>
      </c>
      <c r="T893" s="782" t="s">
        <v>4284</v>
      </c>
      <c r="U893" s="782" t="s">
        <v>3520</v>
      </c>
      <c r="V893" s="797">
        <f>$S$1*P!V893</f>
        <v>0</v>
      </c>
      <c r="W893" s="780"/>
      <c r="X893" s="782">
        <v>889</v>
      </c>
      <c r="Y893" s="782" t="s">
        <v>2248</v>
      </c>
      <c r="Z893" s="782" t="s">
        <v>5167</v>
      </c>
      <c r="AA893" s="781">
        <f>$S$1*P!AA893</f>
        <v>2.3203629032258069E-5</v>
      </c>
      <c r="AB893" s="780"/>
      <c r="AC893" s="782">
        <v>889</v>
      </c>
      <c r="AD893" s="782" t="s">
        <v>4573</v>
      </c>
      <c r="AE893" s="782" t="s">
        <v>3494</v>
      </c>
      <c r="AF893" s="781">
        <f>$S$1*P!AF893</f>
        <v>1.1687500000000002E-2</v>
      </c>
    </row>
    <row r="894" spans="19:32" x14ac:dyDescent="0.35">
      <c r="S894" s="782">
        <v>890</v>
      </c>
      <c r="T894" s="782" t="s">
        <v>4284</v>
      </c>
      <c r="U894" s="782" t="s">
        <v>3518</v>
      </c>
      <c r="V894" s="797">
        <f>$S$1*P!V894</f>
        <v>3.0949596774193549E-4</v>
      </c>
      <c r="W894" s="780"/>
      <c r="X894" s="782">
        <v>890</v>
      </c>
      <c r="Y894" s="782" t="s">
        <v>2248</v>
      </c>
      <c r="Z894" s="782" t="s">
        <v>5596</v>
      </c>
      <c r="AA894" s="781">
        <f>$S$1*P!AA894</f>
        <v>2.6185483870967746E-7</v>
      </c>
      <c r="AB894" s="780"/>
      <c r="AC894" s="782">
        <v>890</v>
      </c>
      <c r="AD894" s="782" t="s">
        <v>4573</v>
      </c>
      <c r="AE894" s="782" t="s">
        <v>3494</v>
      </c>
      <c r="AF894" s="781">
        <f>$S$1*P!AF894</f>
        <v>3.0728000000000002E-2</v>
      </c>
    </row>
    <row r="895" spans="19:32" x14ac:dyDescent="0.35">
      <c r="S895" s="782">
        <v>891</v>
      </c>
      <c r="T895" s="782" t="s">
        <v>4284</v>
      </c>
      <c r="U895" s="782" t="s">
        <v>3518</v>
      </c>
      <c r="V895" s="797">
        <f>$S$1*P!V895</f>
        <v>25.944000000000003</v>
      </c>
      <c r="W895" s="780"/>
      <c r="X895" s="782">
        <v>891</v>
      </c>
      <c r="Y895" s="782" t="s">
        <v>2248</v>
      </c>
      <c r="Z895" s="782" t="s">
        <v>5166</v>
      </c>
      <c r="AA895" s="781">
        <f>$S$1*P!AA895</f>
        <v>1.4875000000000001E-5</v>
      </c>
      <c r="AB895" s="780"/>
      <c r="AC895" s="782">
        <v>891</v>
      </c>
      <c r="AD895" s="782" t="s">
        <v>4573</v>
      </c>
      <c r="AE895" s="782" t="s">
        <v>4986</v>
      </c>
      <c r="AF895" s="781">
        <f>$S$1*P!AF895</f>
        <v>1.1858870967741937</v>
      </c>
    </row>
    <row r="896" spans="19:32" x14ac:dyDescent="0.35">
      <c r="S896" s="782">
        <v>892</v>
      </c>
      <c r="T896" s="782" t="s">
        <v>4284</v>
      </c>
      <c r="U896" s="782" t="s">
        <v>3517</v>
      </c>
      <c r="V896" s="797">
        <f>$S$1*P!V896</f>
        <v>3.8387096774193549E-4</v>
      </c>
      <c r="W896" s="780"/>
      <c r="X896" s="782">
        <v>892</v>
      </c>
      <c r="Y896" s="782" t="s">
        <v>2248</v>
      </c>
      <c r="Z896" s="782" t="s">
        <v>5164</v>
      </c>
      <c r="AA896" s="781">
        <f>$S$1*P!AA896</f>
        <v>1.1687500000000001E-4</v>
      </c>
      <c r="AB896" s="780"/>
      <c r="AC896" s="782">
        <v>892</v>
      </c>
      <c r="AD896" s="782" t="s">
        <v>4573</v>
      </c>
      <c r="AE896" s="782" t="s">
        <v>3493</v>
      </c>
      <c r="AF896" s="781">
        <f>$S$1*P!AF896</f>
        <v>0</v>
      </c>
    </row>
    <row r="897" spans="19:32" x14ac:dyDescent="0.35">
      <c r="S897" s="782">
        <v>893</v>
      </c>
      <c r="T897" s="782" t="s">
        <v>4284</v>
      </c>
      <c r="U897" s="782" t="s">
        <v>3517</v>
      </c>
      <c r="V897" s="797">
        <f>$S$1*P!V897</f>
        <v>0</v>
      </c>
      <c r="W897" s="780"/>
      <c r="X897" s="782">
        <v>893</v>
      </c>
      <c r="Y897" s="782" t="s">
        <v>2248</v>
      </c>
      <c r="Z897" s="782" t="s">
        <v>5162</v>
      </c>
      <c r="AA897" s="781">
        <f>$S$1*P!AA897</f>
        <v>4.2842741935483874E-6</v>
      </c>
      <c r="AB897" s="780"/>
      <c r="AC897" s="782">
        <v>893</v>
      </c>
      <c r="AD897" s="782" t="s">
        <v>4573</v>
      </c>
      <c r="AE897" s="782" t="s">
        <v>4982</v>
      </c>
      <c r="AF897" s="781">
        <f>$S$1*P!AF897</f>
        <v>0.19536290322580646</v>
      </c>
    </row>
    <row r="898" spans="19:32" x14ac:dyDescent="0.35">
      <c r="S898" s="782">
        <v>894</v>
      </c>
      <c r="T898" s="782" t="s">
        <v>4284</v>
      </c>
      <c r="U898" s="782" t="s">
        <v>3515</v>
      </c>
      <c r="V898" s="797">
        <f>$S$1*P!V898</f>
        <v>1.182459677419355E-4</v>
      </c>
      <c r="W898" s="780"/>
      <c r="X898" s="782">
        <v>894</v>
      </c>
      <c r="Y898" s="782" t="s">
        <v>2248</v>
      </c>
      <c r="Z898" s="782" t="s">
        <v>5595</v>
      </c>
      <c r="AA898" s="781">
        <f>$S$1*P!AA898</f>
        <v>1.4943548387096777E-4</v>
      </c>
      <c r="AB898" s="780"/>
      <c r="AC898" s="782">
        <v>894</v>
      </c>
      <c r="AD898" s="782" t="s">
        <v>4573</v>
      </c>
      <c r="AE898" s="782" t="s">
        <v>3492</v>
      </c>
      <c r="AF898" s="781">
        <f>$S$1*P!AF898</f>
        <v>3.3588709677419358E-2</v>
      </c>
    </row>
    <row r="899" spans="19:32" x14ac:dyDescent="0.35">
      <c r="S899" s="782">
        <v>895</v>
      </c>
      <c r="T899" s="782" t="s">
        <v>4284</v>
      </c>
      <c r="U899" s="782" t="s">
        <v>3515</v>
      </c>
      <c r="V899" s="797">
        <f>$S$1*P!V899</f>
        <v>1.7663999999999997</v>
      </c>
      <c r="W899" s="780"/>
      <c r="X899" s="782">
        <v>895</v>
      </c>
      <c r="Y899" s="782" t="s">
        <v>2248</v>
      </c>
      <c r="Z899" s="782" t="s">
        <v>5159</v>
      </c>
      <c r="AA899" s="781">
        <f>$S$1*P!AA899</f>
        <v>2.5602822580645163E-5</v>
      </c>
      <c r="AB899" s="780"/>
      <c r="AC899" s="782">
        <v>895</v>
      </c>
      <c r="AD899" s="782" t="s">
        <v>4573</v>
      </c>
      <c r="AE899" s="782" t="s">
        <v>3492</v>
      </c>
      <c r="AF899" s="781">
        <f>$S$1*P!AF899</f>
        <v>4.2228000000000003</v>
      </c>
    </row>
    <row r="900" spans="19:32" x14ac:dyDescent="0.35">
      <c r="S900" s="782">
        <v>896</v>
      </c>
      <c r="T900" s="782" t="s">
        <v>4284</v>
      </c>
      <c r="U900" s="782" t="s">
        <v>3514</v>
      </c>
      <c r="V900" s="797">
        <f>$S$1*P!V900</f>
        <v>0</v>
      </c>
      <c r="W900" s="780"/>
      <c r="X900" s="782">
        <v>896</v>
      </c>
      <c r="Y900" s="782" t="s">
        <v>2248</v>
      </c>
      <c r="Z900" s="782" t="s">
        <v>5157</v>
      </c>
      <c r="AA900" s="781">
        <f>$S$1*P!AA900</f>
        <v>3.0504032258064521E-5</v>
      </c>
      <c r="AB900" s="780"/>
      <c r="AC900" s="782">
        <v>896</v>
      </c>
      <c r="AD900" s="782" t="s">
        <v>4573</v>
      </c>
      <c r="AE900" s="782" t="s">
        <v>3491</v>
      </c>
      <c r="AF900" s="781">
        <f>$S$1*P!AF900</f>
        <v>0</v>
      </c>
    </row>
    <row r="901" spans="19:32" x14ac:dyDescent="0.35">
      <c r="S901" s="782">
        <v>897</v>
      </c>
      <c r="T901" s="782" t="s">
        <v>4284</v>
      </c>
      <c r="U901" s="782" t="s">
        <v>3512</v>
      </c>
      <c r="V901" s="797">
        <f>$S$1*P!V901</f>
        <v>8.6370967741935498E-5</v>
      </c>
      <c r="W901" s="780"/>
      <c r="X901" s="782">
        <v>897</v>
      </c>
      <c r="Y901" s="782" t="s">
        <v>2248</v>
      </c>
      <c r="Z901" s="782" t="s">
        <v>5594</v>
      </c>
      <c r="AA901" s="781">
        <f>$S$1*P!AA901</f>
        <v>3.4959677419354844E-2</v>
      </c>
      <c r="AB901" s="780"/>
      <c r="AC901" s="782">
        <v>897</v>
      </c>
      <c r="AD901" s="782" t="s">
        <v>4573</v>
      </c>
      <c r="AE901" s="782" t="s">
        <v>4981</v>
      </c>
      <c r="AF901" s="781">
        <f>$S$1*P!AF901</f>
        <v>4.6612903225806454E-2</v>
      </c>
    </row>
    <row r="902" spans="19:32" x14ac:dyDescent="0.35">
      <c r="S902" s="782">
        <v>898</v>
      </c>
      <c r="T902" s="782" t="s">
        <v>4284</v>
      </c>
      <c r="U902" s="782" t="s">
        <v>3512</v>
      </c>
      <c r="V902" s="797">
        <f>$S$1*P!V902</f>
        <v>9.1999999999999998E-2</v>
      </c>
      <c r="W902" s="780"/>
      <c r="X902" s="782">
        <v>898</v>
      </c>
      <c r="Y902" s="782" t="s">
        <v>2248</v>
      </c>
      <c r="Z902" s="782" t="s">
        <v>5156</v>
      </c>
      <c r="AA902" s="781">
        <f>$S$1*P!AA902</f>
        <v>8.9455645161290327E-6</v>
      </c>
      <c r="AB902" s="780"/>
      <c r="AC902" s="782">
        <v>898</v>
      </c>
      <c r="AD902" s="782" t="s">
        <v>4573</v>
      </c>
      <c r="AE902" s="782" t="s">
        <v>3489</v>
      </c>
      <c r="AF902" s="781">
        <f>$S$1*P!AF902</f>
        <v>1.5663306451612905E-2</v>
      </c>
    </row>
    <row r="903" spans="19:32" x14ac:dyDescent="0.35">
      <c r="S903" s="782">
        <v>899</v>
      </c>
      <c r="T903" s="782" t="s">
        <v>4284</v>
      </c>
      <c r="U903" s="782" t="s">
        <v>5016</v>
      </c>
      <c r="V903" s="797">
        <f>$S$1*P!V903</f>
        <v>1.7891129032258064E-4</v>
      </c>
      <c r="W903" s="780"/>
      <c r="X903" s="782">
        <v>899</v>
      </c>
      <c r="Y903" s="782" t="s">
        <v>2248</v>
      </c>
      <c r="Z903" s="782" t="s">
        <v>5155</v>
      </c>
      <c r="AA903" s="781">
        <f>$S$1*P!AA903</f>
        <v>2.5225806451612902E-3</v>
      </c>
      <c r="AB903" s="780"/>
      <c r="AC903" s="782">
        <v>899</v>
      </c>
      <c r="AD903" s="782" t="s">
        <v>4573</v>
      </c>
      <c r="AE903" s="782" t="s">
        <v>3489</v>
      </c>
      <c r="AF903" s="781">
        <f>$S$1*P!AF903</f>
        <v>0</v>
      </c>
    </row>
    <row r="904" spans="19:32" x14ac:dyDescent="0.35">
      <c r="S904" s="782">
        <v>900</v>
      </c>
      <c r="T904" s="782" t="s">
        <v>4284</v>
      </c>
      <c r="U904" s="782" t="s">
        <v>5015</v>
      </c>
      <c r="V904" s="797">
        <f>$S$1*P!V904</f>
        <v>2.1387096774193551E-4</v>
      </c>
      <c r="W904" s="780"/>
      <c r="X904" s="782">
        <v>900</v>
      </c>
      <c r="Y904" s="782" t="s">
        <v>2248</v>
      </c>
      <c r="Z904" s="782" t="s">
        <v>5593</v>
      </c>
      <c r="AA904" s="781">
        <f>$S$1*P!AA904</f>
        <v>5.1411290322580649E-4</v>
      </c>
      <c r="AB904" s="780"/>
      <c r="AC904" s="782">
        <v>900</v>
      </c>
      <c r="AD904" s="782" t="s">
        <v>4573</v>
      </c>
      <c r="AE904" s="782" t="s">
        <v>4980</v>
      </c>
      <c r="AF904" s="781">
        <f>$S$1*P!AF904</f>
        <v>363.30645161290323</v>
      </c>
    </row>
    <row r="905" spans="19:32" x14ac:dyDescent="0.35">
      <c r="S905" s="782">
        <v>901</v>
      </c>
      <c r="T905" s="782" t="s">
        <v>4284</v>
      </c>
      <c r="U905" s="782" t="s">
        <v>5014</v>
      </c>
      <c r="V905" s="797">
        <f>$S$1*P!V905</f>
        <v>0.22655241935483872</v>
      </c>
      <c r="W905" s="780"/>
      <c r="X905" s="782">
        <v>901</v>
      </c>
      <c r="Y905" s="782" t="s">
        <v>2248</v>
      </c>
      <c r="Z905" s="782" t="s">
        <v>5154</v>
      </c>
      <c r="AA905" s="781">
        <f>$S$1*P!AA905</f>
        <v>9.2883064516129045E-4</v>
      </c>
      <c r="AB905" s="780"/>
      <c r="AC905" s="782">
        <v>901</v>
      </c>
      <c r="AD905" s="782" t="s">
        <v>4573</v>
      </c>
      <c r="AE905" s="782" t="s">
        <v>4979</v>
      </c>
      <c r="AF905" s="781">
        <f>$S$1*P!AF905</f>
        <v>1.0487903225806453E-2</v>
      </c>
    </row>
    <row r="906" spans="19:32" x14ac:dyDescent="0.35">
      <c r="S906" s="782">
        <v>902</v>
      </c>
      <c r="T906" s="782" t="s">
        <v>4284</v>
      </c>
      <c r="U906" s="782" t="s">
        <v>3510</v>
      </c>
      <c r="V906" s="797">
        <f>$S$1*P!V906</f>
        <v>1.3523999999999998</v>
      </c>
      <c r="W906" s="780"/>
      <c r="X906" s="782">
        <v>902</v>
      </c>
      <c r="Y906" s="782" t="s">
        <v>2248</v>
      </c>
      <c r="Z906" s="782" t="s">
        <v>5153</v>
      </c>
      <c r="AA906" s="781">
        <f>$S$1*P!AA906</f>
        <v>3.4616935483870973E-2</v>
      </c>
      <c r="AB906" s="780"/>
      <c r="AC906" s="782">
        <v>902</v>
      </c>
      <c r="AD906" s="782" t="s">
        <v>4573</v>
      </c>
      <c r="AE906" s="782" t="s">
        <v>3488</v>
      </c>
      <c r="AF906" s="781">
        <f>$S$1*P!AF906</f>
        <v>0</v>
      </c>
    </row>
    <row r="907" spans="19:32" x14ac:dyDescent="0.35">
      <c r="S907" s="782">
        <v>903</v>
      </c>
      <c r="T907" s="782" t="s">
        <v>4284</v>
      </c>
      <c r="U907" s="782" t="s">
        <v>3509</v>
      </c>
      <c r="V907" s="797">
        <f>$S$1*P!V907</f>
        <v>14904</v>
      </c>
      <c r="W907" s="780"/>
      <c r="X907" s="782">
        <v>903</v>
      </c>
      <c r="Y907" s="782" t="s">
        <v>2248</v>
      </c>
      <c r="Z907" s="782" t="s">
        <v>5151</v>
      </c>
      <c r="AA907" s="781">
        <f>$S$1*P!AA907</f>
        <v>1.5149193548387098E-3</v>
      </c>
      <c r="AB907" s="780"/>
      <c r="AC907" s="782">
        <v>903</v>
      </c>
      <c r="AD907" s="782" t="s">
        <v>4573</v>
      </c>
      <c r="AE907" s="782" t="s">
        <v>4978</v>
      </c>
      <c r="AF907" s="781">
        <f>$S$1*P!AF907</f>
        <v>3.2080645161290324E-3</v>
      </c>
    </row>
    <row r="908" spans="19:32" x14ac:dyDescent="0.35">
      <c r="S908" s="782">
        <v>904</v>
      </c>
      <c r="T908" s="782" t="s">
        <v>4284</v>
      </c>
      <c r="U908" s="782" t="s">
        <v>3507</v>
      </c>
      <c r="V908" s="797">
        <f>$S$1*P!V908</f>
        <v>3.8729838709677424E-2</v>
      </c>
      <c r="W908" s="780"/>
      <c r="X908" s="782">
        <v>904</v>
      </c>
      <c r="Y908" s="782" t="s">
        <v>2248</v>
      </c>
      <c r="Z908" s="782" t="s">
        <v>5592</v>
      </c>
      <c r="AA908" s="781">
        <f>$S$1*P!AA908</f>
        <v>1.7925403225806453E-2</v>
      </c>
      <c r="AB908" s="780"/>
      <c r="AC908" s="782">
        <v>904</v>
      </c>
      <c r="AD908" s="782" t="s">
        <v>4573</v>
      </c>
      <c r="AE908" s="782" t="s">
        <v>4977</v>
      </c>
      <c r="AF908" s="781">
        <f>$S$1*P!AF908</f>
        <v>2.4368951612903224E-3</v>
      </c>
    </row>
    <row r="909" spans="19:32" x14ac:dyDescent="0.35">
      <c r="S909" s="782">
        <v>905</v>
      </c>
      <c r="T909" s="782" t="s">
        <v>4284</v>
      </c>
      <c r="U909" s="782" t="s">
        <v>3507</v>
      </c>
      <c r="V909" s="797">
        <f>$S$1*P!V909</f>
        <v>5363.6</v>
      </c>
      <c r="W909" s="780"/>
      <c r="X909" s="782">
        <v>905</v>
      </c>
      <c r="Y909" s="782" t="s">
        <v>2248</v>
      </c>
      <c r="Z909" s="782" t="s">
        <v>3588</v>
      </c>
      <c r="AA909" s="781">
        <f>$S$1*P!AA909</f>
        <v>6.0719999999999996E-2</v>
      </c>
      <c r="AB909" s="780"/>
      <c r="AC909" s="782">
        <v>905</v>
      </c>
      <c r="AD909" s="782" t="s">
        <v>4573</v>
      </c>
      <c r="AE909" s="782" t="s">
        <v>4976</v>
      </c>
      <c r="AF909" s="781">
        <f>$S$1*P!AF909</f>
        <v>8.8084677419354843E-2</v>
      </c>
    </row>
    <row r="910" spans="19:32" x14ac:dyDescent="0.35">
      <c r="S910" s="782">
        <v>906</v>
      </c>
      <c r="T910" s="782" t="s">
        <v>4284</v>
      </c>
      <c r="U910" s="782" t="s">
        <v>3506</v>
      </c>
      <c r="V910" s="797">
        <f>$S$1*P!V910</f>
        <v>0</v>
      </c>
      <c r="W910" s="780"/>
      <c r="X910" s="782">
        <v>906</v>
      </c>
      <c r="Y910" s="782" t="s">
        <v>2248</v>
      </c>
      <c r="Z910" s="782" t="s">
        <v>5150</v>
      </c>
      <c r="AA910" s="781">
        <f>$S$1*P!AA910</f>
        <v>4.6612903225806456E-3</v>
      </c>
      <c r="AB910" s="780"/>
      <c r="AC910" s="782">
        <v>906</v>
      </c>
      <c r="AD910" s="782" t="s">
        <v>4573</v>
      </c>
      <c r="AE910" s="782" t="s">
        <v>4975</v>
      </c>
      <c r="AF910" s="781">
        <f>$S$1*P!AF910</f>
        <v>0.17445564516129033</v>
      </c>
    </row>
    <row r="911" spans="19:32" x14ac:dyDescent="0.35">
      <c r="S911" s="782">
        <v>907</v>
      </c>
      <c r="T911" s="782" t="s">
        <v>4284</v>
      </c>
      <c r="U911" s="782" t="s">
        <v>5013</v>
      </c>
      <c r="V911" s="797">
        <f>$S$1*P!V911</f>
        <v>3.9758064516129038E-2</v>
      </c>
      <c r="W911" s="780"/>
      <c r="X911" s="782">
        <v>907</v>
      </c>
      <c r="Y911" s="782" t="s">
        <v>2248</v>
      </c>
      <c r="Z911" s="782" t="s">
        <v>5591</v>
      </c>
      <c r="AA911" s="781">
        <f>$S$1*P!AA911</f>
        <v>8.0201612903225809E-4</v>
      </c>
      <c r="AB911" s="780"/>
      <c r="AC911" s="782">
        <v>907</v>
      </c>
      <c r="AD911" s="782" t="s">
        <v>4573</v>
      </c>
      <c r="AE911" s="782" t="s">
        <v>3487</v>
      </c>
      <c r="AF911" s="781">
        <f>$S$1*P!AF911</f>
        <v>0</v>
      </c>
    </row>
    <row r="912" spans="19:32" x14ac:dyDescent="0.35">
      <c r="S912" s="782">
        <v>908</v>
      </c>
      <c r="T912" s="782" t="s">
        <v>4284</v>
      </c>
      <c r="U912" s="782" t="s">
        <v>3504</v>
      </c>
      <c r="V912" s="797">
        <f>$S$1*P!V912</f>
        <v>0</v>
      </c>
      <c r="W912" s="780"/>
      <c r="X912" s="782">
        <v>908</v>
      </c>
      <c r="Y912" s="782" t="s">
        <v>2248</v>
      </c>
      <c r="Z912" s="782" t="s">
        <v>5148</v>
      </c>
      <c r="AA912" s="781">
        <f>$S$1*P!AA912</f>
        <v>4.0786290322580646E-3</v>
      </c>
      <c r="AB912" s="780"/>
      <c r="AC912" s="782">
        <v>908</v>
      </c>
      <c r="AD912" s="782" t="s">
        <v>4573</v>
      </c>
      <c r="AE912" s="782" t="s">
        <v>3485</v>
      </c>
      <c r="AF912" s="781">
        <f>$S$1*P!AF912</f>
        <v>13.70967741935484</v>
      </c>
    </row>
    <row r="913" spans="19:32" x14ac:dyDescent="0.35">
      <c r="S913" s="782">
        <v>909</v>
      </c>
      <c r="T913" s="782" t="s">
        <v>4284</v>
      </c>
      <c r="U913" s="782" t="s">
        <v>5012</v>
      </c>
      <c r="V913" s="797">
        <f>$S$1*P!V913</f>
        <v>9.1854838709677438E-5</v>
      </c>
      <c r="W913" s="780"/>
      <c r="X913" s="782">
        <v>909</v>
      </c>
      <c r="Y913" s="782" t="s">
        <v>2248</v>
      </c>
      <c r="Z913" s="782" t="s">
        <v>3586</v>
      </c>
      <c r="AA913" s="781">
        <f>$S$1*P!AA913</f>
        <v>3.9008000000000001E-2</v>
      </c>
      <c r="AB913" s="780"/>
      <c r="AC913" s="782">
        <v>909</v>
      </c>
      <c r="AD913" s="782" t="s">
        <v>4573</v>
      </c>
      <c r="AE913" s="782" t="s">
        <v>3485</v>
      </c>
      <c r="AF913" s="781">
        <f>$S$1*P!AF913</f>
        <v>0</v>
      </c>
    </row>
    <row r="914" spans="19:32" x14ac:dyDescent="0.35">
      <c r="S914" s="782">
        <v>910</v>
      </c>
      <c r="T914" s="782" t="s">
        <v>4284</v>
      </c>
      <c r="U914" s="782" t="s">
        <v>5011</v>
      </c>
      <c r="V914" s="797">
        <f>$S$1*P!V914</f>
        <v>1.9707661290322585E-6</v>
      </c>
      <c r="W914" s="780"/>
      <c r="X914" s="782">
        <v>910</v>
      </c>
      <c r="Y914" s="782" t="s">
        <v>2248</v>
      </c>
      <c r="Z914" s="782" t="s">
        <v>3586</v>
      </c>
      <c r="AA914" s="781">
        <f>$S$1*P!AA914</f>
        <v>3.838709677419355E-3</v>
      </c>
      <c r="AB914" s="780"/>
      <c r="AC914" s="782">
        <v>910</v>
      </c>
      <c r="AD914" s="782" t="s">
        <v>4573</v>
      </c>
      <c r="AE914" s="782" t="s">
        <v>3484</v>
      </c>
      <c r="AF914" s="781">
        <f>$S$1*P!AF914</f>
        <v>2.1661290322580646E-2</v>
      </c>
    </row>
    <row r="915" spans="19:32" x14ac:dyDescent="0.35">
      <c r="S915" s="782">
        <v>911</v>
      </c>
      <c r="T915" s="782" t="s">
        <v>4284</v>
      </c>
      <c r="U915" s="782" t="s">
        <v>5010</v>
      </c>
      <c r="V915" s="797">
        <f>$S$1*P!V915</f>
        <v>5.6552419354838714E-4</v>
      </c>
      <c r="W915" s="780"/>
      <c r="X915" s="782">
        <v>911</v>
      </c>
      <c r="Y915" s="782" t="s">
        <v>2248</v>
      </c>
      <c r="Z915" s="782" t="s">
        <v>5590</v>
      </c>
      <c r="AA915" s="781">
        <f>$S$1*P!AA915</f>
        <v>8.8427419354838721E-2</v>
      </c>
      <c r="AB915" s="780"/>
      <c r="AC915" s="782">
        <v>911</v>
      </c>
      <c r="AD915" s="782" t="s">
        <v>4573</v>
      </c>
      <c r="AE915" s="782" t="s">
        <v>3484</v>
      </c>
      <c r="AF915" s="781">
        <f>$S$1*P!AF915</f>
        <v>6.3572000000000004E-2</v>
      </c>
    </row>
    <row r="916" spans="19:32" x14ac:dyDescent="0.35">
      <c r="S916" s="782">
        <v>912</v>
      </c>
      <c r="T916" s="782" t="s">
        <v>4284</v>
      </c>
      <c r="U916" s="782" t="s">
        <v>3503</v>
      </c>
      <c r="V916" s="797">
        <f>$S$1*P!V916</f>
        <v>4.6612903225806454E-2</v>
      </c>
      <c r="W916" s="780"/>
      <c r="X916" s="782">
        <v>912</v>
      </c>
      <c r="Y916" s="782" t="s">
        <v>2248</v>
      </c>
      <c r="Z916" s="782" t="s">
        <v>5145</v>
      </c>
      <c r="AA916" s="781">
        <f>$S$1*P!AA916</f>
        <v>1.1036290322580645E-2</v>
      </c>
      <c r="AB916" s="780"/>
      <c r="AC916" s="782">
        <v>912</v>
      </c>
      <c r="AD916" s="782" t="s">
        <v>4573</v>
      </c>
      <c r="AE916" s="782" t="s">
        <v>3482</v>
      </c>
      <c r="AF916" s="781">
        <f>$S$1*P!AF916</f>
        <v>0.15364</v>
      </c>
    </row>
    <row r="917" spans="19:32" x14ac:dyDescent="0.35">
      <c r="S917" s="782">
        <v>913</v>
      </c>
      <c r="T917" s="782" t="s">
        <v>4284</v>
      </c>
      <c r="U917" s="782" t="s">
        <v>3503</v>
      </c>
      <c r="V917" s="797">
        <f>$S$1*P!V917</f>
        <v>0</v>
      </c>
      <c r="W917" s="780"/>
      <c r="X917" s="782">
        <v>913</v>
      </c>
      <c r="Y917" s="782" t="s">
        <v>2248</v>
      </c>
      <c r="Z917" s="782" t="s">
        <v>5144</v>
      </c>
      <c r="AA917" s="781">
        <f>$S$1*P!AA917</f>
        <v>2.3100806451612906E-5</v>
      </c>
      <c r="AB917" s="780"/>
      <c r="AC917" s="782">
        <v>913</v>
      </c>
      <c r="AD917" s="782" t="s">
        <v>4573</v>
      </c>
      <c r="AE917" s="782" t="s">
        <v>3481</v>
      </c>
      <c r="AF917" s="781">
        <f>$S$1*P!AF917</f>
        <v>0.12715725806451614</v>
      </c>
    </row>
    <row r="918" spans="19:32" x14ac:dyDescent="0.35">
      <c r="S918" s="782">
        <v>914</v>
      </c>
      <c r="T918" s="782" t="s">
        <v>4284</v>
      </c>
      <c r="U918" s="782" t="s">
        <v>5009</v>
      </c>
      <c r="V918" s="797">
        <f>$S$1*P!V918</f>
        <v>4.1129032258064517E-2</v>
      </c>
      <c r="W918" s="780"/>
      <c r="X918" s="782">
        <v>914</v>
      </c>
      <c r="Y918" s="782" t="s">
        <v>2248</v>
      </c>
      <c r="Z918" s="782" t="s">
        <v>5589</v>
      </c>
      <c r="AA918" s="781">
        <f>$S$1*P!AA918</f>
        <v>6.3750000000000005E-3</v>
      </c>
      <c r="AB918" s="780"/>
      <c r="AC918" s="782">
        <v>914</v>
      </c>
      <c r="AD918" s="782" t="s">
        <v>4573</v>
      </c>
      <c r="AE918" s="782" t="s">
        <v>3481</v>
      </c>
      <c r="AF918" s="781">
        <f>$S$1*P!AF918</f>
        <v>0.52807999999999999</v>
      </c>
    </row>
    <row r="919" spans="19:32" x14ac:dyDescent="0.35">
      <c r="S919" s="782">
        <v>915</v>
      </c>
      <c r="T919" s="782" t="s">
        <v>4284</v>
      </c>
      <c r="U919" s="782" t="s">
        <v>5008</v>
      </c>
      <c r="V919" s="797">
        <f>$S$1*P!V919</f>
        <v>4.181451612903226E-2</v>
      </c>
      <c r="W919" s="780"/>
      <c r="X919" s="782">
        <v>915</v>
      </c>
      <c r="Y919" s="782" t="s">
        <v>2248</v>
      </c>
      <c r="Z919" s="782" t="s">
        <v>5143</v>
      </c>
      <c r="AA919" s="781">
        <f>$S$1*P!AA919</f>
        <v>4.4213709677419358E-4</v>
      </c>
      <c r="AB919" s="780"/>
      <c r="AC919" s="782">
        <v>915</v>
      </c>
      <c r="AD919" s="782" t="s">
        <v>4573</v>
      </c>
      <c r="AE919" s="782" t="s">
        <v>4974</v>
      </c>
      <c r="AF919" s="781">
        <f>$S$1*P!AF919</f>
        <v>0.35987903225806456</v>
      </c>
    </row>
    <row r="920" spans="19:32" x14ac:dyDescent="0.35">
      <c r="S920" s="782">
        <v>916</v>
      </c>
      <c r="T920" s="782" t="s">
        <v>4284</v>
      </c>
      <c r="U920" s="782" t="s">
        <v>3501</v>
      </c>
      <c r="V920" s="797">
        <f>$S$1*P!V920</f>
        <v>1.9330645161290325E-2</v>
      </c>
      <c r="W920" s="780"/>
      <c r="X920" s="782">
        <v>916</v>
      </c>
      <c r="Y920" s="782" t="s">
        <v>2248</v>
      </c>
      <c r="Z920" s="782" t="s">
        <v>5141</v>
      </c>
      <c r="AA920" s="781">
        <f>$S$1*P!AA920</f>
        <v>1.1790322580645161E-5</v>
      </c>
      <c r="AB920" s="780"/>
      <c r="AC920" s="782">
        <v>916</v>
      </c>
      <c r="AD920" s="782" t="s">
        <v>4573</v>
      </c>
      <c r="AE920" s="782" t="s">
        <v>4973</v>
      </c>
      <c r="AF920" s="781">
        <f>$S$1*P!AF920</f>
        <v>0.12030241935483872</v>
      </c>
    </row>
    <row r="921" spans="19:32" x14ac:dyDescent="0.35">
      <c r="S921" s="782">
        <v>917</v>
      </c>
      <c r="T921" s="782" t="s">
        <v>4284</v>
      </c>
      <c r="U921" s="782" t="s">
        <v>3501</v>
      </c>
      <c r="V921" s="797">
        <f>$S$1*P!V921</f>
        <v>28.427999999999997</v>
      </c>
      <c r="W921" s="780"/>
      <c r="X921" s="782">
        <v>917</v>
      </c>
      <c r="Y921" s="782" t="s">
        <v>2248</v>
      </c>
      <c r="Z921" s="782" t="s">
        <v>5588</v>
      </c>
      <c r="AA921" s="781">
        <f>$S$1*P!AA921</f>
        <v>5.0040322580645162E-2</v>
      </c>
      <c r="AB921" s="780"/>
      <c r="AC921" s="782">
        <v>917</v>
      </c>
      <c r="AD921" s="782" t="s">
        <v>4573</v>
      </c>
      <c r="AE921" s="782" t="s">
        <v>3479</v>
      </c>
      <c r="AF921" s="781">
        <f>$S$1*P!AF921</f>
        <v>117.75999999999999</v>
      </c>
    </row>
    <row r="922" spans="19:32" x14ac:dyDescent="0.35">
      <c r="S922" s="782">
        <v>918</v>
      </c>
      <c r="T922" s="782" t="s">
        <v>4284</v>
      </c>
      <c r="U922" s="782" t="s">
        <v>5007</v>
      </c>
      <c r="V922" s="797">
        <f>$S$1*P!V922</f>
        <v>3.0572580645161294E-2</v>
      </c>
      <c r="W922" s="780"/>
      <c r="X922" s="782">
        <v>918</v>
      </c>
      <c r="Y922" s="782" t="s">
        <v>2248</v>
      </c>
      <c r="Z922" s="782" t="s">
        <v>5140</v>
      </c>
      <c r="AA922" s="781">
        <f>$S$1*P!AA922</f>
        <v>3.084677419354839E-4</v>
      </c>
      <c r="AB922" s="780"/>
      <c r="AC922" s="782">
        <v>918</v>
      </c>
      <c r="AD922" s="782" t="s">
        <v>4573</v>
      </c>
      <c r="AE922" s="782" t="s">
        <v>3477</v>
      </c>
      <c r="AF922" s="781">
        <f>$S$1*P!AF922</f>
        <v>1.0487903225806453E-2</v>
      </c>
    </row>
    <row r="923" spans="19:32" x14ac:dyDescent="0.35">
      <c r="S923" s="782">
        <v>919</v>
      </c>
      <c r="T923" s="782" t="s">
        <v>4284</v>
      </c>
      <c r="U923" s="782" t="s">
        <v>5006</v>
      </c>
      <c r="V923" s="797">
        <f>$S$1*P!V923</f>
        <v>6.9233870967741942E-3</v>
      </c>
      <c r="W923" s="780"/>
      <c r="X923" s="782">
        <v>919</v>
      </c>
      <c r="Y923" s="782" t="s">
        <v>2248</v>
      </c>
      <c r="Z923" s="782" t="s">
        <v>5139</v>
      </c>
      <c r="AA923" s="781">
        <f>$S$1*P!AA923</f>
        <v>1.5252016129032259E-3</v>
      </c>
      <c r="AB923" s="780"/>
      <c r="AC923" s="782">
        <v>919</v>
      </c>
      <c r="AD923" s="782" t="s">
        <v>4573</v>
      </c>
      <c r="AE923" s="782" t="s">
        <v>3477</v>
      </c>
      <c r="AF923" s="781">
        <f>$S$1*P!AF923</f>
        <v>0.15732000000000002</v>
      </c>
    </row>
    <row r="924" spans="19:32" x14ac:dyDescent="0.35">
      <c r="S924" s="782">
        <v>920</v>
      </c>
      <c r="T924" s="782" t="s">
        <v>4284</v>
      </c>
      <c r="U924" s="782" t="s">
        <v>5005</v>
      </c>
      <c r="V924" s="797">
        <f>$S$1*P!V924</f>
        <v>5.55241935483871E-9</v>
      </c>
      <c r="W924" s="780"/>
      <c r="X924" s="782">
        <v>920</v>
      </c>
      <c r="Y924" s="782" t="s">
        <v>2248</v>
      </c>
      <c r="Z924" s="782" t="s">
        <v>5587</v>
      </c>
      <c r="AA924" s="781">
        <f>$S$1*P!AA924</f>
        <v>7.0947580645161299E-3</v>
      </c>
      <c r="AB924" s="780"/>
      <c r="AC924" s="782">
        <v>920</v>
      </c>
      <c r="AD924" s="782" t="s">
        <v>4573</v>
      </c>
      <c r="AE924" s="782" t="s">
        <v>3476</v>
      </c>
      <c r="AF924" s="781">
        <f>$S$1*P!AF924</f>
        <v>0.2186693548387097</v>
      </c>
    </row>
    <row r="925" spans="19:32" x14ac:dyDescent="0.35">
      <c r="S925" s="782">
        <v>921</v>
      </c>
      <c r="T925" s="782" t="s">
        <v>4284</v>
      </c>
      <c r="U925" s="782" t="s">
        <v>5004</v>
      </c>
      <c r="V925" s="797">
        <f>$S$1*P!V925</f>
        <v>1.867943548387097E-7</v>
      </c>
      <c r="W925" s="780"/>
      <c r="X925" s="782">
        <v>921</v>
      </c>
      <c r="Y925" s="782" t="s">
        <v>2248</v>
      </c>
      <c r="Z925" s="782" t="s">
        <v>5137</v>
      </c>
      <c r="AA925" s="781">
        <f>$S$1*P!AA925</f>
        <v>1.5800403225806454E-6</v>
      </c>
      <c r="AB925" s="780"/>
      <c r="AC925" s="782">
        <v>921</v>
      </c>
      <c r="AD925" s="782" t="s">
        <v>4573</v>
      </c>
      <c r="AE925" s="782" t="s">
        <v>3476</v>
      </c>
      <c r="AF925" s="781">
        <f>$S$1*P!AF925</f>
        <v>0</v>
      </c>
    </row>
    <row r="926" spans="19:32" x14ac:dyDescent="0.35">
      <c r="S926" s="782">
        <v>922</v>
      </c>
      <c r="T926" s="782" t="s">
        <v>4284</v>
      </c>
      <c r="U926" s="782" t="s">
        <v>5003</v>
      </c>
      <c r="V926" s="797">
        <f>$S$1*P!V926</f>
        <v>6.61491935483871E-3</v>
      </c>
      <c r="W926" s="780"/>
      <c r="X926" s="782">
        <v>922</v>
      </c>
      <c r="Y926" s="782" t="s">
        <v>2248</v>
      </c>
      <c r="Z926" s="782" t="s">
        <v>5132</v>
      </c>
      <c r="AA926" s="781">
        <f>$S$1*P!AA926</f>
        <v>2.6391129032258069E-5</v>
      </c>
      <c r="AB926" s="780"/>
      <c r="AC926" s="782">
        <v>922</v>
      </c>
      <c r="AD926" s="782" t="s">
        <v>4573</v>
      </c>
      <c r="AE926" s="782" t="s">
        <v>3474</v>
      </c>
      <c r="AF926" s="781">
        <f>$S$1*P!AF926</f>
        <v>11.316000000000001</v>
      </c>
    </row>
    <row r="927" spans="19:32" x14ac:dyDescent="0.35">
      <c r="S927" s="782">
        <v>923</v>
      </c>
      <c r="T927" s="782" t="s">
        <v>4284</v>
      </c>
      <c r="U927" s="782" t="s">
        <v>3499</v>
      </c>
      <c r="V927" s="797">
        <f>$S$1*P!V927</f>
        <v>0</v>
      </c>
      <c r="W927" s="863"/>
      <c r="X927" s="782">
        <v>923</v>
      </c>
      <c r="Y927" s="782" t="s">
        <v>2248</v>
      </c>
      <c r="Z927" s="782" t="s">
        <v>5127</v>
      </c>
      <c r="AA927" s="781">
        <f>$S$1*P!AA927</f>
        <v>5.9637096774193545E-4</v>
      </c>
      <c r="AB927" s="780"/>
      <c r="AC927" s="782">
        <v>923</v>
      </c>
      <c r="AD927" s="782" t="s">
        <v>4573</v>
      </c>
      <c r="AE927" s="782" t="s">
        <v>3473</v>
      </c>
      <c r="AF927" s="781">
        <f>$S$1*P!AF927</f>
        <v>1.713709677419355</v>
      </c>
    </row>
    <row r="928" spans="19:32" x14ac:dyDescent="0.35">
      <c r="S928" s="782">
        <v>924</v>
      </c>
      <c r="T928" s="782" t="s">
        <v>4284</v>
      </c>
      <c r="U928" s="782" t="s">
        <v>5002</v>
      </c>
      <c r="V928" s="797">
        <f>$S$1*P!V928</f>
        <v>0.26254032258064519</v>
      </c>
      <c r="W928" s="863"/>
      <c r="X928" s="782">
        <v>924</v>
      </c>
      <c r="Y928" s="782" t="s">
        <v>2248</v>
      </c>
      <c r="Z928" s="782" t="s">
        <v>5586</v>
      </c>
      <c r="AA928" s="781">
        <f>$S$1*P!AA928</f>
        <v>1.1379032258064517E-2</v>
      </c>
      <c r="AB928" s="780"/>
      <c r="AC928" s="782">
        <v>924</v>
      </c>
      <c r="AD928" s="782" t="s">
        <v>4573</v>
      </c>
      <c r="AE928" s="782" t="s">
        <v>3473</v>
      </c>
      <c r="AF928" s="781">
        <f>$S$1*P!AF928</f>
        <v>77.188000000000002</v>
      </c>
    </row>
    <row r="929" spans="19:32" x14ac:dyDescent="0.35">
      <c r="S929" s="782">
        <v>925</v>
      </c>
      <c r="T929" s="782" t="s">
        <v>4284</v>
      </c>
      <c r="U929" s="782" t="s">
        <v>3498</v>
      </c>
      <c r="V929" s="797">
        <f>$S$1*P!V929</f>
        <v>2.3203629032258069E-3</v>
      </c>
      <c r="W929" s="863"/>
      <c r="X929" s="782">
        <v>925</v>
      </c>
      <c r="Y929" s="782" t="s">
        <v>2248</v>
      </c>
      <c r="Z929" s="782" t="s">
        <v>5124</v>
      </c>
      <c r="AA929" s="781">
        <f>$S$1*P!AA929</f>
        <v>1.1413306451612905E-5</v>
      </c>
      <c r="AB929" s="780"/>
      <c r="AC929" s="782">
        <v>925</v>
      </c>
      <c r="AD929" s="782" t="s">
        <v>4573</v>
      </c>
      <c r="AE929" s="782" t="s">
        <v>3471</v>
      </c>
      <c r="AF929" s="781">
        <f>$S$1*P!AF929</f>
        <v>10.350806451612904</v>
      </c>
    </row>
    <row r="930" spans="19:32" x14ac:dyDescent="0.35">
      <c r="S930" s="782">
        <v>926</v>
      </c>
      <c r="T930" s="782" t="s">
        <v>4284</v>
      </c>
      <c r="U930" s="782" t="s">
        <v>3498</v>
      </c>
      <c r="V930" s="797">
        <f>$S$1*P!V930</f>
        <v>0</v>
      </c>
      <c r="W930" s="863"/>
      <c r="X930" s="782">
        <v>926</v>
      </c>
      <c r="Y930" s="782" t="s">
        <v>2248</v>
      </c>
      <c r="Z930" s="782" t="s">
        <v>5121</v>
      </c>
      <c r="AA930" s="781">
        <f>$S$1*P!AA930</f>
        <v>6.4092741935483874E-6</v>
      </c>
      <c r="AB930" s="780"/>
      <c r="AC930" s="782">
        <v>926</v>
      </c>
      <c r="AD930" s="782" t="s">
        <v>4573</v>
      </c>
      <c r="AE930" s="782" t="s">
        <v>3471</v>
      </c>
      <c r="AF930" s="781">
        <f>$S$1*P!AF930</f>
        <v>234.60000000000002</v>
      </c>
    </row>
    <row r="931" spans="19:32" x14ac:dyDescent="0.35">
      <c r="S931" s="782">
        <v>927</v>
      </c>
      <c r="T931" s="782" t="s">
        <v>4284</v>
      </c>
      <c r="U931" s="782" t="s">
        <v>3496</v>
      </c>
      <c r="V931" s="797">
        <f>$S$1*P!V931</f>
        <v>2.8276209677419357E-7</v>
      </c>
      <c r="W931" s="780"/>
      <c r="X931" s="782">
        <v>927</v>
      </c>
      <c r="Y931" s="782" t="s">
        <v>2248</v>
      </c>
      <c r="Z931" s="782" t="s">
        <v>5585</v>
      </c>
      <c r="AA931" s="781">
        <f>$S$1*P!AA931</f>
        <v>1.6108870967741938E-3</v>
      </c>
      <c r="AB931" s="780"/>
      <c r="AC931" s="782">
        <v>927</v>
      </c>
      <c r="AD931" s="782" t="s">
        <v>4573</v>
      </c>
      <c r="AE931" s="782" t="s">
        <v>3470</v>
      </c>
      <c r="AF931" s="781">
        <f>$S$1*P!AF931</f>
        <v>0</v>
      </c>
    </row>
    <row r="932" spans="19:32" x14ac:dyDescent="0.35">
      <c r="S932" s="782">
        <v>928</v>
      </c>
      <c r="T932" s="782" t="s">
        <v>4284</v>
      </c>
      <c r="U932" s="782" t="s">
        <v>3496</v>
      </c>
      <c r="V932" s="797">
        <f>$S$1*P!V932</f>
        <v>0</v>
      </c>
      <c r="W932" s="780"/>
      <c r="X932" s="782">
        <v>928</v>
      </c>
      <c r="Y932" s="782" t="s">
        <v>2248</v>
      </c>
      <c r="Z932" s="782" t="s">
        <v>5117</v>
      </c>
      <c r="AA932" s="781">
        <f>$S$1*P!AA932</f>
        <v>1.7548387096774196E-3</v>
      </c>
      <c r="AB932" s="780"/>
      <c r="AC932" s="782">
        <v>928</v>
      </c>
      <c r="AD932" s="782" t="s">
        <v>4573</v>
      </c>
      <c r="AE932" s="782" t="s">
        <v>3469</v>
      </c>
      <c r="AF932" s="781">
        <f>$S$1*P!AF932</f>
        <v>0.25911290322580649</v>
      </c>
    </row>
    <row r="933" spans="19:32" x14ac:dyDescent="0.35">
      <c r="S933" s="782">
        <v>929</v>
      </c>
      <c r="T933" s="782" t="s">
        <v>4284</v>
      </c>
      <c r="U933" s="782" t="s">
        <v>5000</v>
      </c>
      <c r="V933" s="797">
        <f>$S$1*P!V933</f>
        <v>4.3870967741935488E-5</v>
      </c>
      <c r="W933" s="780"/>
      <c r="X933" s="782">
        <v>929</v>
      </c>
      <c r="Y933" s="782" t="s">
        <v>2248</v>
      </c>
      <c r="Z933" s="782" t="s">
        <v>5112</v>
      </c>
      <c r="AA933" s="781">
        <f>$S$1*P!AA933</f>
        <v>2.3820564516129034E-4</v>
      </c>
      <c r="AB933" s="780"/>
      <c r="AC933" s="782">
        <v>929</v>
      </c>
      <c r="AD933" s="782" t="s">
        <v>4573</v>
      </c>
      <c r="AE933" s="782" t="s">
        <v>3469</v>
      </c>
      <c r="AF933" s="781">
        <f>$S$1*P!AF933</f>
        <v>0</v>
      </c>
    </row>
    <row r="934" spans="19:32" x14ac:dyDescent="0.35">
      <c r="S934" s="782">
        <v>930</v>
      </c>
      <c r="T934" s="782" t="s">
        <v>4284</v>
      </c>
      <c r="U934" s="782" t="s">
        <v>4999</v>
      </c>
      <c r="V934" s="797">
        <f>$S$1*P!V934</f>
        <v>2.5054435483870969E-4</v>
      </c>
      <c r="W934" s="780"/>
      <c r="X934" s="782">
        <v>930</v>
      </c>
      <c r="Y934" s="782" t="s">
        <v>2248</v>
      </c>
      <c r="Z934" s="782" t="s">
        <v>5108</v>
      </c>
      <c r="AA934" s="781">
        <f>$S$1*P!AA934</f>
        <v>6.546370967741936E-4</v>
      </c>
      <c r="AB934" s="780"/>
      <c r="AC934" s="782">
        <v>930</v>
      </c>
      <c r="AD934" s="782" t="s">
        <v>4573</v>
      </c>
      <c r="AE934" s="782" t="s">
        <v>4972</v>
      </c>
      <c r="AF934" s="781">
        <f>$S$1*P!AF934</f>
        <v>6.7177419354838716E-2</v>
      </c>
    </row>
    <row r="935" spans="19:32" x14ac:dyDescent="0.35">
      <c r="S935" s="782">
        <v>931</v>
      </c>
      <c r="T935" s="782" t="s">
        <v>4284</v>
      </c>
      <c r="U935" s="782" t="s">
        <v>4998</v>
      </c>
      <c r="V935" s="797">
        <f>$S$1*P!V935</f>
        <v>5.6895161290322591E-6</v>
      </c>
      <c r="W935" s="780"/>
      <c r="X935" s="782">
        <v>931</v>
      </c>
      <c r="Y935" s="782" t="s">
        <v>2248</v>
      </c>
      <c r="Z935" s="782" t="s">
        <v>5584</v>
      </c>
      <c r="AA935" s="781">
        <f>$S$1*P!AA935</f>
        <v>6.3750000000000001E-2</v>
      </c>
      <c r="AB935" s="780"/>
      <c r="AC935" s="782">
        <v>931</v>
      </c>
      <c r="AD935" s="782" t="s">
        <v>4573</v>
      </c>
      <c r="AE935" s="782" t="s">
        <v>3467</v>
      </c>
      <c r="AF935" s="781">
        <f>$S$1*P!AF935</f>
        <v>3.273185483870968</v>
      </c>
    </row>
    <row r="936" spans="19:32" x14ac:dyDescent="0.35">
      <c r="S936" s="782">
        <v>932</v>
      </c>
      <c r="T936" s="782" t="s">
        <v>4284</v>
      </c>
      <c r="U936" s="782" t="s">
        <v>4997</v>
      </c>
      <c r="V936" s="797">
        <f>$S$1*P!V936</f>
        <v>4.2500000000000003E-5</v>
      </c>
      <c r="W936" s="780"/>
      <c r="X936" s="782">
        <v>932</v>
      </c>
      <c r="Y936" s="782" t="s">
        <v>2248</v>
      </c>
      <c r="Z936" s="782" t="s">
        <v>5107</v>
      </c>
      <c r="AA936" s="781">
        <f>$S$1*P!AA936</f>
        <v>2.3889112903225805E-5</v>
      </c>
      <c r="AB936" s="780"/>
      <c r="AC936" s="782">
        <v>932</v>
      </c>
      <c r="AD936" s="782" t="s">
        <v>4573</v>
      </c>
      <c r="AE936" s="782" t="s">
        <v>3467</v>
      </c>
      <c r="AF936" s="781">
        <f>$S$1*P!AF936</f>
        <v>0</v>
      </c>
    </row>
    <row r="937" spans="19:32" x14ac:dyDescent="0.35">
      <c r="S937" s="782">
        <v>933</v>
      </c>
      <c r="T937" s="782" t="s">
        <v>4284</v>
      </c>
      <c r="U937" s="782" t="s">
        <v>4996</v>
      </c>
      <c r="V937" s="797">
        <f>$S$1*P!V937</f>
        <v>4.2842741935483876E-3</v>
      </c>
      <c r="W937" s="780"/>
      <c r="X937" s="782">
        <v>933</v>
      </c>
      <c r="Y937" s="782" t="s">
        <v>2248</v>
      </c>
      <c r="Z937" s="782" t="s">
        <v>5106</v>
      </c>
      <c r="AA937" s="781">
        <f>$S$1*P!AA937</f>
        <v>4.6612903225806458E-5</v>
      </c>
      <c r="AB937" s="780"/>
      <c r="AC937" s="782">
        <v>933</v>
      </c>
      <c r="AD937" s="782" t="s">
        <v>4573</v>
      </c>
      <c r="AE937" s="782" t="s">
        <v>3466</v>
      </c>
      <c r="AF937" s="781">
        <f>$S$1*P!AF937</f>
        <v>4.181451612903226E-2</v>
      </c>
    </row>
    <row r="938" spans="19:32" x14ac:dyDescent="0.35">
      <c r="S938" s="782">
        <v>934</v>
      </c>
      <c r="T938" s="782" t="s">
        <v>4284</v>
      </c>
      <c r="U938" s="782" t="s">
        <v>4994</v>
      </c>
      <c r="V938" s="797">
        <f>$S$1*P!V938</f>
        <v>14.703629032258066</v>
      </c>
      <c r="W938" s="780"/>
      <c r="X938" s="782">
        <v>934</v>
      </c>
      <c r="Y938" s="782" t="s">
        <v>2248</v>
      </c>
      <c r="Z938" s="782" t="s">
        <v>5583</v>
      </c>
      <c r="AA938" s="781">
        <f>$S$1*P!AA938</f>
        <v>5.1411290322580649E-4</v>
      </c>
      <c r="AB938" s="780"/>
      <c r="AC938" s="782">
        <v>934</v>
      </c>
      <c r="AD938" s="782" t="s">
        <v>4573</v>
      </c>
      <c r="AE938" s="782" t="s">
        <v>3466</v>
      </c>
      <c r="AF938" s="781">
        <f>$S$1*P!AF938</f>
        <v>0</v>
      </c>
    </row>
    <row r="939" spans="19:32" x14ac:dyDescent="0.35">
      <c r="S939" s="782">
        <v>935</v>
      </c>
      <c r="T939" s="782" t="s">
        <v>4284</v>
      </c>
      <c r="U939" s="782" t="s">
        <v>4993</v>
      </c>
      <c r="V939" s="797">
        <f>$S$1*P!V939</f>
        <v>1.3092741935483872E-3</v>
      </c>
      <c r="W939" s="780"/>
      <c r="X939" s="782">
        <v>935</v>
      </c>
      <c r="Y939" s="782" t="s">
        <v>2248</v>
      </c>
      <c r="Z939" s="782" t="s">
        <v>5105</v>
      </c>
      <c r="AA939" s="781">
        <f>$S$1*P!AA939</f>
        <v>1.2750000000000001E-4</v>
      </c>
      <c r="AB939" s="780"/>
      <c r="AC939" s="782">
        <v>935</v>
      </c>
      <c r="AD939" s="782" t="s">
        <v>4573</v>
      </c>
      <c r="AE939" s="782" t="s">
        <v>3464</v>
      </c>
      <c r="AF939" s="781">
        <f>$S$1*P!AF939</f>
        <v>6.5120967741935489</v>
      </c>
    </row>
    <row r="940" spans="19:32" x14ac:dyDescent="0.35">
      <c r="S940" s="782">
        <v>936</v>
      </c>
      <c r="T940" s="782" t="s">
        <v>4284</v>
      </c>
      <c r="U940" s="782" t="s">
        <v>5582</v>
      </c>
      <c r="V940" s="797">
        <f>$S$1*P!V940</f>
        <v>3.2320564516129035E-4</v>
      </c>
      <c r="W940" s="780"/>
      <c r="X940" s="782">
        <v>936</v>
      </c>
      <c r="Y940" s="782" t="s">
        <v>2248</v>
      </c>
      <c r="Z940" s="782" t="s">
        <v>5104</v>
      </c>
      <c r="AA940" s="781">
        <f>$S$1*P!AA940</f>
        <v>3.0538306451612904E-2</v>
      </c>
      <c r="AB940" s="780"/>
      <c r="AC940" s="782">
        <v>936</v>
      </c>
      <c r="AD940" s="782" t="s">
        <v>4573</v>
      </c>
      <c r="AE940" s="782" t="s">
        <v>3464</v>
      </c>
      <c r="AF940" s="781">
        <f>$S$1*P!AF940</f>
        <v>0</v>
      </c>
    </row>
    <row r="941" spans="19:32" x14ac:dyDescent="0.35">
      <c r="S941" s="782">
        <v>937</v>
      </c>
      <c r="T941" s="782" t="s">
        <v>4284</v>
      </c>
      <c r="U941" s="782" t="s">
        <v>5582</v>
      </c>
      <c r="V941" s="797">
        <f>$S$1*P!V941</f>
        <v>0.32108000000000003</v>
      </c>
      <c r="W941" s="780"/>
      <c r="X941" s="782">
        <v>937</v>
      </c>
      <c r="Y941" s="782" t="s">
        <v>2248</v>
      </c>
      <c r="Z941" s="782" t="s">
        <v>5581</v>
      </c>
      <c r="AA941" s="781">
        <f>$S$1*P!AA941</f>
        <v>5.6552419354838714E-2</v>
      </c>
      <c r="AB941" s="780"/>
      <c r="AC941" s="782">
        <v>937</v>
      </c>
      <c r="AD941" s="782" t="s">
        <v>4573</v>
      </c>
      <c r="AE941" s="782" t="s">
        <v>4970</v>
      </c>
      <c r="AF941" s="781">
        <f>$S$1*P!AF941</f>
        <v>2899.5967741935488</v>
      </c>
    </row>
    <row r="942" spans="19:32" x14ac:dyDescent="0.35">
      <c r="S942" s="782">
        <v>938</v>
      </c>
      <c r="T942" s="782" t="s">
        <v>4284</v>
      </c>
      <c r="U942" s="782" t="s">
        <v>4992</v>
      </c>
      <c r="V942" s="797">
        <f>$S$1*P!V942</f>
        <v>8.2943548387096782E-5</v>
      </c>
      <c r="W942" s="780"/>
      <c r="X942" s="782">
        <v>938</v>
      </c>
      <c r="Y942" s="782" t="s">
        <v>2248</v>
      </c>
      <c r="Z942" s="782" t="s">
        <v>5103</v>
      </c>
      <c r="AA942" s="781">
        <f>$S$1*P!AA942</f>
        <v>1.7959677419354839E-2</v>
      </c>
      <c r="AB942" s="780"/>
      <c r="AC942" s="782">
        <v>938</v>
      </c>
      <c r="AD942" s="782" t="s">
        <v>4573</v>
      </c>
      <c r="AE942" s="782" t="s">
        <v>3463</v>
      </c>
      <c r="AF942" s="781">
        <f>$S$1*P!AF942</f>
        <v>1.7548387096774196E-3</v>
      </c>
    </row>
    <row r="943" spans="19:32" x14ac:dyDescent="0.35">
      <c r="S943" s="782">
        <v>939</v>
      </c>
      <c r="T943" s="782" t="s">
        <v>4284</v>
      </c>
      <c r="U943" s="782" t="s">
        <v>5580</v>
      </c>
      <c r="V943" s="797">
        <f>$S$1*P!V943</f>
        <v>2.5157258064516128E-8</v>
      </c>
      <c r="W943" s="780"/>
      <c r="X943" s="782">
        <v>939</v>
      </c>
      <c r="Y943" s="782" t="s">
        <v>2248</v>
      </c>
      <c r="Z943" s="782" t="s">
        <v>5102</v>
      </c>
      <c r="AA943" s="781">
        <f>$S$1*P!AA943</f>
        <v>7.1633064516129035E-5</v>
      </c>
      <c r="AB943" s="780"/>
      <c r="AC943" s="782">
        <v>939</v>
      </c>
      <c r="AD943" s="782" t="s">
        <v>4573</v>
      </c>
      <c r="AE943" s="782" t="s">
        <v>3463</v>
      </c>
      <c r="AF943" s="781">
        <f>$S$1*P!AF943</f>
        <v>3.3488000000000004E-2</v>
      </c>
    </row>
    <row r="944" spans="19:32" x14ac:dyDescent="0.35">
      <c r="S944" s="782">
        <v>940</v>
      </c>
      <c r="T944" s="782" t="s">
        <v>4284</v>
      </c>
      <c r="U944" s="782" t="s">
        <v>4990</v>
      </c>
      <c r="V944" s="797">
        <f>$S$1*P!V944</f>
        <v>8.6713709677419357E-2</v>
      </c>
      <c r="W944" s="780"/>
      <c r="X944" s="782">
        <v>940</v>
      </c>
      <c r="Y944" s="782" t="s">
        <v>2248</v>
      </c>
      <c r="Z944" s="782" t="s">
        <v>5579</v>
      </c>
      <c r="AA944" s="781">
        <f>$S$1*P!AA944</f>
        <v>1.4155241935483872E-2</v>
      </c>
      <c r="AB944" s="780"/>
      <c r="AC944" s="782">
        <v>940</v>
      </c>
      <c r="AD944" s="782" t="s">
        <v>4573</v>
      </c>
      <c r="AE944" s="782" t="s">
        <v>4969</v>
      </c>
      <c r="AF944" s="781">
        <f>$S$1*P!AF944</f>
        <v>84.657258064516142</v>
      </c>
    </row>
    <row r="945" spans="19:32" x14ac:dyDescent="0.35">
      <c r="S945" s="782">
        <v>941</v>
      </c>
      <c r="T945" s="782" t="s">
        <v>4284</v>
      </c>
      <c r="U945" s="782" t="s">
        <v>4989</v>
      </c>
      <c r="V945" s="797">
        <f>$S$1*P!V945</f>
        <v>64.435483870967744</v>
      </c>
      <c r="W945" s="780"/>
      <c r="X945" s="782">
        <v>941</v>
      </c>
      <c r="Y945" s="782" t="s">
        <v>2248</v>
      </c>
      <c r="Z945" s="782" t="s">
        <v>3582</v>
      </c>
      <c r="AA945" s="781">
        <f>$S$1*P!AA945</f>
        <v>0</v>
      </c>
      <c r="AB945" s="780"/>
      <c r="AC945" s="782">
        <v>941</v>
      </c>
      <c r="AD945" s="782" t="s">
        <v>4573</v>
      </c>
      <c r="AE945" s="782" t="s">
        <v>3461</v>
      </c>
      <c r="AF945" s="781">
        <f>$S$1*P!AF945</f>
        <v>6.1693548387096779</v>
      </c>
    </row>
    <row r="946" spans="19:32" x14ac:dyDescent="0.35">
      <c r="S946" s="782">
        <v>942</v>
      </c>
      <c r="T946" s="782" t="s">
        <v>4284</v>
      </c>
      <c r="U946" s="782" t="s">
        <v>4988</v>
      </c>
      <c r="V946" s="797">
        <f>$S$1*P!V946</f>
        <v>3.7016129032258068E-4</v>
      </c>
      <c r="W946" s="780"/>
      <c r="X946" s="782">
        <v>942</v>
      </c>
      <c r="Y946" s="782" t="s">
        <v>2248</v>
      </c>
      <c r="Z946" s="782" t="s">
        <v>3582</v>
      </c>
      <c r="AA946" s="781">
        <f>$S$1*P!AA946</f>
        <v>0.25294354838709682</v>
      </c>
      <c r="AB946" s="780"/>
      <c r="AC946" s="782">
        <v>942</v>
      </c>
      <c r="AD946" s="782" t="s">
        <v>4573</v>
      </c>
      <c r="AE946" s="782" t="s">
        <v>3461</v>
      </c>
      <c r="AF946" s="781">
        <f>$S$1*P!AF946</f>
        <v>9.66</v>
      </c>
    </row>
    <row r="947" spans="19:32" x14ac:dyDescent="0.35">
      <c r="S947" s="782">
        <v>943</v>
      </c>
      <c r="T947" s="782" t="s">
        <v>4284</v>
      </c>
      <c r="U947" s="782" t="s">
        <v>4987</v>
      </c>
      <c r="V947" s="797">
        <f>$S$1*P!V947</f>
        <v>5.1411290322580648E-2</v>
      </c>
      <c r="W947" s="780"/>
      <c r="X947" s="782">
        <v>943</v>
      </c>
      <c r="Y947" s="782" t="s">
        <v>2248</v>
      </c>
      <c r="Z947" s="782" t="s">
        <v>5101</v>
      </c>
      <c r="AA947" s="781">
        <f>$S$1*P!AA947</f>
        <v>9.5282258064516127E-5</v>
      </c>
      <c r="AB947" s="780"/>
      <c r="AC947" s="782">
        <v>943</v>
      </c>
      <c r="AD947" s="782" t="s">
        <v>4573</v>
      </c>
      <c r="AE947" s="782" t="s">
        <v>3460</v>
      </c>
      <c r="AF947" s="781">
        <f>$S$1*P!AF947</f>
        <v>3.8824000000000001</v>
      </c>
    </row>
    <row r="948" spans="19:32" x14ac:dyDescent="0.35">
      <c r="S948" s="782">
        <v>944</v>
      </c>
      <c r="T948" s="782" t="s">
        <v>4284</v>
      </c>
      <c r="U948" s="782" t="s">
        <v>3494</v>
      </c>
      <c r="V948" s="797">
        <f>$S$1*P!V948</f>
        <v>5.7580645161290332E-4</v>
      </c>
      <c r="W948" s="780"/>
      <c r="X948" s="782">
        <v>944</v>
      </c>
      <c r="Y948" s="782" t="s">
        <v>2248</v>
      </c>
      <c r="Z948" s="782" t="s">
        <v>5578</v>
      </c>
      <c r="AA948" s="781">
        <f>$S$1*P!AA948</f>
        <v>1.4566532258064517E-3</v>
      </c>
      <c r="AB948" s="780"/>
      <c r="AC948" s="782">
        <v>944</v>
      </c>
      <c r="AD948" s="782" t="s">
        <v>4573</v>
      </c>
      <c r="AE948" s="782" t="s">
        <v>4968</v>
      </c>
      <c r="AF948" s="781">
        <f>$S$1*P!AF948</f>
        <v>0.66491935483870968</v>
      </c>
    </row>
    <row r="949" spans="19:32" x14ac:dyDescent="0.35">
      <c r="S949" s="782">
        <v>945</v>
      </c>
      <c r="T949" s="782" t="s">
        <v>4284</v>
      </c>
      <c r="U949" s="782" t="s">
        <v>3494</v>
      </c>
      <c r="V949" s="797">
        <f>$S$1*P!V949</f>
        <v>4.6275999999999998E-2</v>
      </c>
      <c r="W949" s="780"/>
      <c r="X949" s="782">
        <v>945</v>
      </c>
      <c r="Y949" s="782" t="s">
        <v>2248</v>
      </c>
      <c r="Z949" s="782" t="s">
        <v>5100</v>
      </c>
      <c r="AA949" s="781">
        <f>$S$1*P!AA949</f>
        <v>0.15354838709677421</v>
      </c>
      <c r="AB949" s="780"/>
      <c r="AC949" s="782">
        <v>945</v>
      </c>
      <c r="AD949" s="782" t="s">
        <v>4573</v>
      </c>
      <c r="AE949" s="782" t="s">
        <v>4967</v>
      </c>
      <c r="AF949" s="781">
        <f>$S$1*P!AF949</f>
        <v>0.18199596774193549</v>
      </c>
    </row>
    <row r="950" spans="19:32" x14ac:dyDescent="0.35">
      <c r="S950" s="782">
        <v>946</v>
      </c>
      <c r="T950" s="782" t="s">
        <v>4284</v>
      </c>
      <c r="U950" s="782" t="s">
        <v>4986</v>
      </c>
      <c r="V950" s="797">
        <f>$S$1*P!V950</f>
        <v>9.1512096774193554E-3</v>
      </c>
      <c r="W950" s="780"/>
      <c r="X950" s="782">
        <v>946</v>
      </c>
      <c r="Y950" s="782" t="s">
        <v>2248</v>
      </c>
      <c r="Z950" s="782" t="s">
        <v>5099</v>
      </c>
      <c r="AA950" s="781">
        <f>$S$1*P!AA950</f>
        <v>2.9475806451612905E-5</v>
      </c>
      <c r="AB950" s="780"/>
      <c r="AC950" s="782">
        <v>946</v>
      </c>
      <c r="AD950" s="782" t="s">
        <v>4573</v>
      </c>
      <c r="AE950" s="782" t="s">
        <v>4966</v>
      </c>
      <c r="AF950" s="781">
        <f>$S$1*P!AF950</f>
        <v>0.21969758064516132</v>
      </c>
    </row>
    <row r="951" spans="19:32" x14ac:dyDescent="0.35">
      <c r="S951" s="782">
        <v>947</v>
      </c>
      <c r="T951" s="782" t="s">
        <v>4284</v>
      </c>
      <c r="U951" s="782" t="s">
        <v>3493</v>
      </c>
      <c r="V951" s="797">
        <f>$S$1*P!V951</f>
        <v>0</v>
      </c>
      <c r="W951" s="780"/>
      <c r="X951" s="782">
        <v>947</v>
      </c>
      <c r="Y951" s="782" t="s">
        <v>2248</v>
      </c>
      <c r="Z951" s="782" t="s">
        <v>5098</v>
      </c>
      <c r="AA951" s="781">
        <f>$S$1*P!AA951</f>
        <v>2.0735887096774196E-3</v>
      </c>
      <c r="AB951" s="780"/>
      <c r="AC951" s="782">
        <v>947</v>
      </c>
      <c r="AD951" s="782" t="s">
        <v>4573</v>
      </c>
      <c r="AE951" s="782" t="s">
        <v>4965</v>
      </c>
      <c r="AF951" s="781">
        <f>$S$1*P!AF951</f>
        <v>5.655241935483871</v>
      </c>
    </row>
    <row r="952" spans="19:32" x14ac:dyDescent="0.35">
      <c r="S952" s="782">
        <v>948</v>
      </c>
      <c r="T952" s="782" t="s">
        <v>4284</v>
      </c>
      <c r="U952" s="782" t="s">
        <v>4982</v>
      </c>
      <c r="V952" s="797">
        <f>$S$1*P!V952</f>
        <v>1.9707661290322581E-3</v>
      </c>
      <c r="W952" s="780"/>
      <c r="X952" s="782">
        <v>948</v>
      </c>
      <c r="Y952" s="782" t="s">
        <v>2248</v>
      </c>
      <c r="Z952" s="782" t="s">
        <v>5577</v>
      </c>
      <c r="AA952" s="781">
        <f>$S$1*P!AA952</f>
        <v>3.2560483870967745E-4</v>
      </c>
      <c r="AB952" s="780"/>
      <c r="AC952" s="782">
        <v>948</v>
      </c>
      <c r="AD952" s="782" t="s">
        <v>4573</v>
      </c>
      <c r="AE952" s="782" t="s">
        <v>4964</v>
      </c>
      <c r="AF952" s="781">
        <f>$S$1*P!AF952</f>
        <v>4.558467741935484</v>
      </c>
    </row>
    <row r="953" spans="19:32" x14ac:dyDescent="0.35">
      <c r="S953" s="782">
        <v>949</v>
      </c>
      <c r="T953" s="782" t="s">
        <v>4284</v>
      </c>
      <c r="U953" s="782" t="s">
        <v>3492</v>
      </c>
      <c r="V953" s="797">
        <f>$S$1*P!V953</f>
        <v>2.8413306451612907E-3</v>
      </c>
      <c r="W953" s="780"/>
      <c r="X953" s="782">
        <v>949</v>
      </c>
      <c r="Y953" s="782" t="s">
        <v>2248</v>
      </c>
      <c r="Z953" s="782" t="s">
        <v>3579</v>
      </c>
      <c r="AA953" s="781">
        <f>$S$1*P!AA953</f>
        <v>0</v>
      </c>
      <c r="AB953" s="780"/>
      <c r="AC953" s="782">
        <v>949</v>
      </c>
      <c r="AD953" s="782" t="s">
        <v>4573</v>
      </c>
      <c r="AE953" s="782" t="s">
        <v>3458</v>
      </c>
      <c r="AF953" s="781">
        <f>$S$1*P!AF953</f>
        <v>0.94939516129032264</v>
      </c>
    </row>
    <row r="954" spans="19:32" x14ac:dyDescent="0.35">
      <c r="S954" s="782">
        <v>950</v>
      </c>
      <c r="T954" s="782" t="s">
        <v>4284</v>
      </c>
      <c r="U954" s="782" t="s">
        <v>3492</v>
      </c>
      <c r="V954" s="797">
        <f>$S$1*P!V954</f>
        <v>15.731999999999999</v>
      </c>
      <c r="W954" s="780"/>
      <c r="X954" s="782">
        <v>950</v>
      </c>
      <c r="Y954" s="782" t="s">
        <v>2248</v>
      </c>
      <c r="Z954" s="782" t="s">
        <v>5097</v>
      </c>
      <c r="AA954" s="781">
        <f>$S$1*P!AA954</f>
        <v>5.0040322580645162E-3</v>
      </c>
      <c r="AB954" s="780"/>
      <c r="AC954" s="782">
        <v>950</v>
      </c>
      <c r="AD954" s="782" t="s">
        <v>4573</v>
      </c>
      <c r="AE954" s="782" t="s">
        <v>3458</v>
      </c>
      <c r="AF954" s="781">
        <f>$S$1*P!AF954</f>
        <v>313.71999999999997</v>
      </c>
    </row>
    <row r="955" spans="19:32" x14ac:dyDescent="0.35">
      <c r="S955" s="879">
        <v>951</v>
      </c>
      <c r="T955" s="879" t="s">
        <v>4284</v>
      </c>
      <c r="U955" s="879" t="s">
        <v>5575</v>
      </c>
      <c r="V955" s="880">
        <f>$S$1*P!V955</f>
        <v>0</v>
      </c>
      <c r="W955" s="780"/>
      <c r="X955" s="782">
        <v>951</v>
      </c>
      <c r="Y955" s="782" t="s">
        <v>2248</v>
      </c>
      <c r="Z955" s="782" t="s">
        <v>5576</v>
      </c>
      <c r="AA955" s="781">
        <f>$S$1*P!AA955</f>
        <v>3.6673387096774197E-5</v>
      </c>
      <c r="AB955" s="780"/>
      <c r="AC955" s="782">
        <v>951</v>
      </c>
      <c r="AD955" s="782" t="s">
        <v>4573</v>
      </c>
      <c r="AE955" s="782" t="s">
        <v>3457</v>
      </c>
      <c r="AF955" s="781">
        <f>$S$1*P!AF955</f>
        <v>0.5209677419354839</v>
      </c>
    </row>
    <row r="956" spans="19:32" x14ac:dyDescent="0.35">
      <c r="S956" s="870">
        <v>952</v>
      </c>
      <c r="T956" s="870" t="s">
        <v>4284</v>
      </c>
      <c r="U956" s="877" t="s">
        <v>5575</v>
      </c>
      <c r="V956" s="878">
        <f>$S$1*P!V956</f>
        <v>17.1785</v>
      </c>
      <c r="W956" s="780"/>
      <c r="X956" s="782">
        <v>952</v>
      </c>
      <c r="Y956" s="782" t="s">
        <v>2248</v>
      </c>
      <c r="Z956" s="782" t="s">
        <v>5096</v>
      </c>
      <c r="AA956" s="781">
        <f>$S$1*P!AA956</f>
        <v>1.2784274193548388E-3</v>
      </c>
      <c r="AB956" s="780"/>
      <c r="AC956" s="782">
        <v>952</v>
      </c>
      <c r="AD956" s="782" t="s">
        <v>4573</v>
      </c>
      <c r="AE956" s="782" t="s">
        <v>3457</v>
      </c>
      <c r="AF956" s="781">
        <f>$S$1*P!AF956</f>
        <v>313.71999999999997</v>
      </c>
    </row>
    <row r="957" spans="19:32" x14ac:dyDescent="0.35">
      <c r="S957" s="879">
        <v>953</v>
      </c>
      <c r="T957" s="879" t="s">
        <v>4284</v>
      </c>
      <c r="U957" s="879" t="s">
        <v>5574</v>
      </c>
      <c r="V957" s="880">
        <f>$S$1*P!V957</f>
        <v>0</v>
      </c>
      <c r="W957" s="780"/>
      <c r="X957" s="782">
        <v>953</v>
      </c>
      <c r="Y957" s="782" t="s">
        <v>2248</v>
      </c>
      <c r="Z957" s="782" t="s">
        <v>5095</v>
      </c>
      <c r="AA957" s="781">
        <f>$S$1*P!AA957</f>
        <v>5.6552419354838713E-5</v>
      </c>
      <c r="AB957" s="780"/>
      <c r="AC957" s="782">
        <v>953</v>
      </c>
      <c r="AD957" s="782" t="s">
        <v>4573</v>
      </c>
      <c r="AE957" s="782" t="s">
        <v>3455</v>
      </c>
      <c r="AF957" s="781">
        <f>$S$1*P!AF957</f>
        <v>1.3812500000000001</v>
      </c>
    </row>
    <row r="958" spans="19:32" x14ac:dyDescent="0.35">
      <c r="S958" s="870">
        <v>954</v>
      </c>
      <c r="T958" s="870" t="s">
        <v>4284</v>
      </c>
      <c r="U958" s="870" t="s">
        <v>5574</v>
      </c>
      <c r="V958" s="871">
        <f>$S$1*P!V958</f>
        <v>9.1509</v>
      </c>
      <c r="W958" s="780"/>
      <c r="X958" s="782">
        <v>954</v>
      </c>
      <c r="Y958" s="782" t="s">
        <v>2248</v>
      </c>
      <c r="Z958" s="782" t="s">
        <v>5573</v>
      </c>
      <c r="AA958" s="781">
        <f>$S$1*P!AA958</f>
        <v>6.7177419354838711E-3</v>
      </c>
      <c r="AB958" s="780"/>
      <c r="AC958" s="782">
        <v>954</v>
      </c>
      <c r="AD958" s="782" t="s">
        <v>4573</v>
      </c>
      <c r="AE958" s="782" t="s">
        <v>3455</v>
      </c>
      <c r="AF958" s="781">
        <f>$S$1*P!AF958</f>
        <v>313.71999999999997</v>
      </c>
    </row>
    <row r="959" spans="19:32" x14ac:dyDescent="0.35">
      <c r="S959" s="879">
        <v>955</v>
      </c>
      <c r="T959" s="879" t="s">
        <v>4284</v>
      </c>
      <c r="U959" s="879" t="s">
        <v>5572</v>
      </c>
      <c r="V959" s="880">
        <f>$S$1*P!V959</f>
        <v>0</v>
      </c>
      <c r="W959" s="780"/>
      <c r="X959" s="782">
        <v>955</v>
      </c>
      <c r="Y959" s="782" t="s">
        <v>2248</v>
      </c>
      <c r="Z959" s="782" t="s">
        <v>5094</v>
      </c>
      <c r="AA959" s="781">
        <f>$S$1*P!AA959</f>
        <v>3.190927419354839E-4</v>
      </c>
      <c r="AB959" s="780"/>
      <c r="AC959" s="782">
        <v>955</v>
      </c>
      <c r="AD959" s="782" t="s">
        <v>4573</v>
      </c>
      <c r="AE959" s="782" t="s">
        <v>3453</v>
      </c>
      <c r="AF959" s="781">
        <f>$S$1*P!AF959</f>
        <v>0</v>
      </c>
    </row>
    <row r="960" spans="19:32" x14ac:dyDescent="0.35">
      <c r="S960" s="870">
        <v>956</v>
      </c>
      <c r="T960" s="870" t="s">
        <v>4284</v>
      </c>
      <c r="U960" s="870" t="s">
        <v>5572</v>
      </c>
      <c r="V960" s="871">
        <f>$S$1*P!V960</f>
        <v>19.020900000000001</v>
      </c>
      <c r="W960" s="780"/>
      <c r="X960" s="782">
        <v>956</v>
      </c>
      <c r="Y960" s="782" t="s">
        <v>2248</v>
      </c>
      <c r="Z960" s="782" t="s">
        <v>5092</v>
      </c>
      <c r="AA960" s="781">
        <f>$S$1*P!AA960</f>
        <v>2.9510080645161293E-2</v>
      </c>
      <c r="AB960" s="780"/>
      <c r="AC960" s="782">
        <v>956</v>
      </c>
      <c r="AD960" s="782" t="s">
        <v>4573</v>
      </c>
      <c r="AE960" s="782" t="s">
        <v>3452</v>
      </c>
      <c r="AF960" s="781">
        <f>$S$1*P!AF960</f>
        <v>0</v>
      </c>
    </row>
    <row r="961" spans="19:32" x14ac:dyDescent="0.35">
      <c r="S961" s="879">
        <v>957</v>
      </c>
      <c r="T961" s="879" t="s">
        <v>4284</v>
      </c>
      <c r="U961" s="879" t="s">
        <v>5571</v>
      </c>
      <c r="V961" s="880">
        <f>$S$1*P!V961</f>
        <v>0</v>
      </c>
      <c r="W961" s="780"/>
      <c r="X961" s="782">
        <v>957</v>
      </c>
      <c r="Y961" s="782" t="s">
        <v>2248</v>
      </c>
      <c r="Z961" s="782" t="s">
        <v>5091</v>
      </c>
      <c r="AA961" s="781">
        <f>$S$1*P!AA961</f>
        <v>4.8326612903225813E-3</v>
      </c>
      <c r="AB961" s="780"/>
      <c r="AC961" s="782">
        <v>957</v>
      </c>
      <c r="AD961" s="782" t="s">
        <v>4573</v>
      </c>
      <c r="AE961" s="782" t="s">
        <v>3451</v>
      </c>
      <c r="AF961" s="781">
        <f>$S$1*P!AF961</f>
        <v>0</v>
      </c>
    </row>
    <row r="962" spans="19:32" x14ac:dyDescent="0.35">
      <c r="S962" s="870">
        <v>958</v>
      </c>
      <c r="T962" s="870" t="s">
        <v>4284</v>
      </c>
      <c r="U962" s="870" t="s">
        <v>5571</v>
      </c>
      <c r="V962" s="871">
        <f>$S$1*P!V962</f>
        <v>4.9068000000000005</v>
      </c>
      <c r="W962" s="780"/>
      <c r="X962" s="782">
        <v>958</v>
      </c>
      <c r="Y962" s="782" t="s">
        <v>2248</v>
      </c>
      <c r="Z962" s="782" t="s">
        <v>5570</v>
      </c>
      <c r="AA962" s="781">
        <f>$S$1*P!AA962</f>
        <v>3.118951612903226E-3</v>
      </c>
      <c r="AB962" s="780"/>
      <c r="AC962" s="782">
        <v>958</v>
      </c>
      <c r="AD962" s="782" t="s">
        <v>4573</v>
      </c>
      <c r="AE962" s="782" t="s">
        <v>4960</v>
      </c>
      <c r="AF962" s="781">
        <f>$S$1*P!AF962</f>
        <v>7.4032258064516132E-3</v>
      </c>
    </row>
    <row r="963" spans="19:32" x14ac:dyDescent="0.35">
      <c r="S963" s="879">
        <v>959</v>
      </c>
      <c r="T963" s="879" t="s">
        <v>4284</v>
      </c>
      <c r="U963" s="879" t="s">
        <v>5569</v>
      </c>
      <c r="V963" s="880">
        <f>$S$1*P!V963</f>
        <v>0</v>
      </c>
      <c r="W963" s="780"/>
      <c r="X963" s="782">
        <v>959</v>
      </c>
      <c r="Y963" s="782" t="s">
        <v>2248</v>
      </c>
      <c r="Z963" s="782" t="s">
        <v>5090</v>
      </c>
      <c r="AA963" s="781">
        <f>$S$1*P!AA963</f>
        <v>6.4092741935483878E-3</v>
      </c>
      <c r="AB963" s="780"/>
      <c r="AC963" s="782">
        <v>959</v>
      </c>
      <c r="AD963" s="782" t="s">
        <v>4573</v>
      </c>
      <c r="AE963" s="782" t="s">
        <v>3450</v>
      </c>
      <c r="AF963" s="781">
        <f>$S$1*P!AF963</f>
        <v>2.9955645161290323</v>
      </c>
    </row>
    <row r="964" spans="19:32" x14ac:dyDescent="0.35">
      <c r="S964" s="870">
        <v>960</v>
      </c>
      <c r="T964" s="870" t="s">
        <v>4284</v>
      </c>
      <c r="U964" s="870" t="s">
        <v>5569</v>
      </c>
      <c r="V964" s="871">
        <f>$S$1*P!V964</f>
        <v>11.110799999999999</v>
      </c>
      <c r="W964" s="780"/>
      <c r="X964" s="782">
        <v>960</v>
      </c>
      <c r="Y964" s="782" t="s">
        <v>2248</v>
      </c>
      <c r="Z964" s="782" t="s">
        <v>3577</v>
      </c>
      <c r="AA964" s="781">
        <f>$S$1*P!AA964</f>
        <v>0</v>
      </c>
      <c r="AB964" s="780"/>
      <c r="AC964" s="782">
        <v>960</v>
      </c>
      <c r="AD964" s="782" t="s">
        <v>4573</v>
      </c>
      <c r="AE964" s="782" t="s">
        <v>3450</v>
      </c>
      <c r="AF964" s="781">
        <f>$S$1*P!AF964</f>
        <v>3.3948</v>
      </c>
    </row>
    <row r="965" spans="19:32" x14ac:dyDescent="0.35">
      <c r="S965" s="879">
        <v>961</v>
      </c>
      <c r="T965" s="879" t="s">
        <v>4284</v>
      </c>
      <c r="U965" s="879" t="s">
        <v>5567</v>
      </c>
      <c r="V965" s="880">
        <f>$S$1*P!V965</f>
        <v>0</v>
      </c>
      <c r="W965" s="780"/>
      <c r="X965" s="782">
        <v>961</v>
      </c>
      <c r="Y965" s="782" t="s">
        <v>2248</v>
      </c>
      <c r="Z965" s="782" t="s">
        <v>5568</v>
      </c>
      <c r="AA965" s="781">
        <f>$S$1*P!AA965</f>
        <v>7.8145161290322594E-3</v>
      </c>
      <c r="AB965" s="780"/>
      <c r="AC965" s="782">
        <v>961</v>
      </c>
      <c r="AD965" s="782" t="s">
        <v>4573</v>
      </c>
      <c r="AE965" s="782" t="s">
        <v>3448</v>
      </c>
      <c r="AF965" s="781">
        <f>$S$1*P!AF965</f>
        <v>0.48669354838709683</v>
      </c>
    </row>
    <row r="966" spans="19:32" x14ac:dyDescent="0.35">
      <c r="S966" s="870">
        <v>962</v>
      </c>
      <c r="T966" s="870" t="s">
        <v>4284</v>
      </c>
      <c r="U966" s="870" t="s">
        <v>5567</v>
      </c>
      <c r="V966" s="871">
        <f>$S$1*P!V966</f>
        <v>1.6261999999999999</v>
      </c>
      <c r="W966" s="780"/>
      <c r="X966" s="782">
        <v>962</v>
      </c>
      <c r="Y966" s="782" t="s">
        <v>2248</v>
      </c>
      <c r="Z966" s="782" t="s">
        <v>5089</v>
      </c>
      <c r="AA966" s="781">
        <f>$S$1*P!AA966</f>
        <v>9.425403225806453E-2</v>
      </c>
      <c r="AB966" s="780"/>
      <c r="AC966" s="782">
        <v>962</v>
      </c>
      <c r="AD966" s="782" t="s">
        <v>4573</v>
      </c>
      <c r="AE966" s="782" t="s">
        <v>3448</v>
      </c>
      <c r="AF966" s="781">
        <f>$S$1*P!AF966</f>
        <v>14.904</v>
      </c>
    </row>
    <row r="967" spans="19:32" x14ac:dyDescent="0.35">
      <c r="S967" s="879">
        <v>963</v>
      </c>
      <c r="T967" s="879" t="s">
        <v>4284</v>
      </c>
      <c r="U967" s="879" t="s">
        <v>5566</v>
      </c>
      <c r="V967" s="880">
        <f>$S$1*P!V967</f>
        <v>0</v>
      </c>
      <c r="W967" s="780"/>
      <c r="X967" s="782">
        <v>963</v>
      </c>
      <c r="Y967" s="782" t="s">
        <v>2248</v>
      </c>
      <c r="Z967" s="782" t="s">
        <v>5088</v>
      </c>
      <c r="AA967" s="781">
        <f>$S$1*P!AA967</f>
        <v>5.7923387096774198E-5</v>
      </c>
      <c r="AB967" s="780"/>
      <c r="AC967" s="782">
        <v>963</v>
      </c>
      <c r="AD967" s="782" t="s">
        <v>4573</v>
      </c>
      <c r="AE967" s="782" t="s">
        <v>4956</v>
      </c>
      <c r="AF967" s="781">
        <f>$S$1*P!AF967</f>
        <v>2.9715725806451616E-2</v>
      </c>
    </row>
    <row r="968" spans="19:32" x14ac:dyDescent="0.35">
      <c r="S968" s="870">
        <v>964</v>
      </c>
      <c r="T968" s="870" t="s">
        <v>4284</v>
      </c>
      <c r="U968" s="870" t="s">
        <v>5566</v>
      </c>
      <c r="V968" s="871">
        <f>$S$1*P!V968</f>
        <v>9.5033999999999992</v>
      </c>
      <c r="W968" s="780"/>
      <c r="X968" s="782">
        <v>964</v>
      </c>
      <c r="Y968" s="782" t="s">
        <v>2248</v>
      </c>
      <c r="Z968" s="782" t="s">
        <v>5087</v>
      </c>
      <c r="AA968" s="781">
        <f>$S$1*P!AA968</f>
        <v>2.9612903225806453E-2</v>
      </c>
      <c r="AB968" s="780"/>
      <c r="AC968" s="782">
        <v>964</v>
      </c>
      <c r="AD968" s="782" t="s">
        <v>4573</v>
      </c>
      <c r="AE968" s="782" t="s">
        <v>4955</v>
      </c>
      <c r="AF968" s="781">
        <f>$S$1*P!AF968</f>
        <v>58.608870967741943</v>
      </c>
    </row>
    <row r="969" spans="19:32" x14ac:dyDescent="0.35">
      <c r="S969" s="879">
        <v>965</v>
      </c>
      <c r="T969" s="879" t="s">
        <v>4284</v>
      </c>
      <c r="U969" s="879" t="s">
        <v>5564</v>
      </c>
      <c r="V969" s="880">
        <f>$S$1*P!V969</f>
        <v>0</v>
      </c>
      <c r="W969" s="780"/>
      <c r="X969" s="782">
        <v>965</v>
      </c>
      <c r="Y969" s="782" t="s">
        <v>2248</v>
      </c>
      <c r="Z969" s="782" t="s">
        <v>5565</v>
      </c>
      <c r="AA969" s="781">
        <f>$S$1*P!AA969</f>
        <v>1.7479838709677422E-2</v>
      </c>
      <c r="AB969" s="780"/>
      <c r="AC969" s="782">
        <v>965</v>
      </c>
      <c r="AD969" s="782" t="s">
        <v>4573</v>
      </c>
      <c r="AE969" s="782" t="s">
        <v>4952</v>
      </c>
      <c r="AF969" s="781">
        <f>$S$1*P!AF969</f>
        <v>5.6895161290322585E-2</v>
      </c>
    </row>
    <row r="970" spans="19:32" x14ac:dyDescent="0.35">
      <c r="S970" s="870">
        <v>966</v>
      </c>
      <c r="T970" s="870" t="s">
        <v>4284</v>
      </c>
      <c r="U970" s="870" t="s">
        <v>5564</v>
      </c>
      <c r="V970" s="871">
        <f>$S$1*P!V970</f>
        <v>26.978000000000002</v>
      </c>
      <c r="W970" s="780"/>
      <c r="X970" s="782">
        <v>966</v>
      </c>
      <c r="Y970" s="782" t="s">
        <v>2248</v>
      </c>
      <c r="Z970" s="782" t="s">
        <v>3574</v>
      </c>
      <c r="AA970" s="781">
        <f>$S$1*P!AA970</f>
        <v>0</v>
      </c>
      <c r="AB970" s="780"/>
      <c r="AC970" s="782">
        <v>966</v>
      </c>
      <c r="AD970" s="782" t="s">
        <v>4573</v>
      </c>
      <c r="AE970" s="782" t="s">
        <v>4950</v>
      </c>
      <c r="AF970" s="781">
        <f>$S$1*P!AF970</f>
        <v>5.3125000000000006E-2</v>
      </c>
    </row>
    <row r="971" spans="19:32" x14ac:dyDescent="0.35">
      <c r="S971" s="879">
        <v>967</v>
      </c>
      <c r="T971" s="879" t="s">
        <v>4284</v>
      </c>
      <c r="U971" s="879" t="s">
        <v>5563</v>
      </c>
      <c r="V971" s="880">
        <f>$S$1*P!V971</f>
        <v>0</v>
      </c>
      <c r="W971" s="780"/>
      <c r="X971" s="782">
        <v>967</v>
      </c>
      <c r="Y971" s="782" t="s">
        <v>2248</v>
      </c>
      <c r="Z971" s="782" t="s">
        <v>3573</v>
      </c>
      <c r="AA971" s="781">
        <f>$S$1*P!AA971</f>
        <v>0</v>
      </c>
      <c r="AB971" s="780"/>
      <c r="AC971" s="782">
        <v>967</v>
      </c>
      <c r="AD971" s="782" t="s">
        <v>4573</v>
      </c>
      <c r="AE971" s="782" t="s">
        <v>4949</v>
      </c>
      <c r="AF971" s="781">
        <f>$S$1*P!AF971</f>
        <v>0.3461693548387097</v>
      </c>
    </row>
    <row r="972" spans="19:32" x14ac:dyDescent="0.35">
      <c r="S972" s="870">
        <v>968</v>
      </c>
      <c r="T972" s="870" t="s">
        <v>4284</v>
      </c>
      <c r="U972" s="870" t="s">
        <v>5563</v>
      </c>
      <c r="V972" s="871">
        <f>$S$1*P!V972</f>
        <v>8.4459</v>
      </c>
      <c r="W972" s="780"/>
      <c r="X972" s="782">
        <v>968</v>
      </c>
      <c r="Y972" s="782" t="s">
        <v>2248</v>
      </c>
      <c r="Z972" s="782" t="s">
        <v>5562</v>
      </c>
      <c r="AA972" s="781">
        <f>$S$1*P!AA972</f>
        <v>3.1635080645161292E-3</v>
      </c>
      <c r="AB972" s="780"/>
      <c r="AC972" s="782">
        <v>968</v>
      </c>
      <c r="AD972" s="782" t="s">
        <v>4573</v>
      </c>
      <c r="AE972" s="782" t="s">
        <v>4946</v>
      </c>
      <c r="AF972" s="781">
        <f>$S$1*P!AF972</f>
        <v>2.6185483870967743</v>
      </c>
    </row>
    <row r="973" spans="19:32" x14ac:dyDescent="0.35">
      <c r="S973" s="879">
        <v>969</v>
      </c>
      <c r="T973" s="879" t="s">
        <v>4284</v>
      </c>
      <c r="U973" s="879" t="s">
        <v>5561</v>
      </c>
      <c r="V973" s="880">
        <f>$S$1*P!V973</f>
        <v>0</v>
      </c>
      <c r="W973" s="780"/>
      <c r="X973" s="782">
        <v>969</v>
      </c>
      <c r="Y973" s="782" t="s">
        <v>2248</v>
      </c>
      <c r="Z973" s="782" t="s">
        <v>3573</v>
      </c>
      <c r="AA973" s="781">
        <f>$S$1*P!AA973</f>
        <v>1.5663306451612906E-3</v>
      </c>
      <c r="AB973" s="780"/>
      <c r="AC973" s="782">
        <v>969</v>
      </c>
      <c r="AD973" s="782" t="s">
        <v>4573</v>
      </c>
      <c r="AE973" s="782" t="s">
        <v>3447</v>
      </c>
      <c r="AF973" s="781">
        <f>$S$1*P!AF973</f>
        <v>17.204000000000001</v>
      </c>
    </row>
    <row r="974" spans="19:32" x14ac:dyDescent="0.35">
      <c r="S974" s="870">
        <v>970</v>
      </c>
      <c r="T974" s="870" t="s">
        <v>4284</v>
      </c>
      <c r="U974" s="870" t="s">
        <v>5561</v>
      </c>
      <c r="V974" s="871">
        <f>$S$1*P!V974</f>
        <v>13.1412</v>
      </c>
      <c r="W974" s="780"/>
      <c r="X974" s="782">
        <v>970</v>
      </c>
      <c r="Y974" s="782" t="s">
        <v>2248</v>
      </c>
      <c r="Z974" s="782" t="s">
        <v>5086</v>
      </c>
      <c r="AA974" s="781">
        <f>$S$1*P!AA974</f>
        <v>8.6370967741935498E-5</v>
      </c>
      <c r="AB974" s="780"/>
      <c r="AC974" s="782">
        <v>970</v>
      </c>
      <c r="AD974" s="782" t="s">
        <v>4573</v>
      </c>
      <c r="AE974" s="782" t="s">
        <v>4943</v>
      </c>
      <c r="AF974" s="781">
        <f>$S$1*P!AF974</f>
        <v>62.37903225806452</v>
      </c>
    </row>
    <row r="975" spans="19:32" x14ac:dyDescent="0.35">
      <c r="S975" s="879">
        <v>971</v>
      </c>
      <c r="T975" s="879" t="s">
        <v>4284</v>
      </c>
      <c r="U975" s="879" t="s">
        <v>5559</v>
      </c>
      <c r="V975" s="880">
        <f>$S$1*P!V975</f>
        <v>0</v>
      </c>
      <c r="W975" s="780"/>
      <c r="X975" s="782">
        <v>971</v>
      </c>
      <c r="Y975" s="782" t="s">
        <v>2248</v>
      </c>
      <c r="Z975" s="782" t="s">
        <v>5560</v>
      </c>
      <c r="AA975" s="781">
        <f>$S$1*P!AA975</f>
        <v>2.9407258064516133E-4</v>
      </c>
      <c r="AB975" s="780"/>
      <c r="AC975" s="782">
        <v>971</v>
      </c>
      <c r="AD975" s="782" t="s">
        <v>4573</v>
      </c>
      <c r="AE975" s="782" t="s">
        <v>3446</v>
      </c>
      <c r="AF975" s="781">
        <f>$S$1*P!AF975</f>
        <v>18.43951612903226</v>
      </c>
    </row>
    <row r="976" spans="19:32" x14ac:dyDescent="0.35">
      <c r="S976" s="870">
        <v>972</v>
      </c>
      <c r="T976" s="870" t="s">
        <v>4284</v>
      </c>
      <c r="U976" s="870" t="s">
        <v>5559</v>
      </c>
      <c r="V976" s="871">
        <f>$S$1*P!V976</f>
        <v>16.1492</v>
      </c>
      <c r="W976" s="780"/>
      <c r="X976" s="782">
        <v>972</v>
      </c>
      <c r="Y976" s="782" t="s">
        <v>2248</v>
      </c>
      <c r="Z976" s="782" t="s">
        <v>5085</v>
      </c>
      <c r="AA976" s="781">
        <f>$S$1*P!AA976</f>
        <v>5.3810483870967742E-4</v>
      </c>
      <c r="AB976" s="780"/>
      <c r="AC976" s="782">
        <v>972</v>
      </c>
      <c r="AD976" s="782" t="s">
        <v>4573</v>
      </c>
      <c r="AE976" s="782" t="s">
        <v>3446</v>
      </c>
      <c r="AF976" s="781">
        <f>$S$1*P!AF976</f>
        <v>0</v>
      </c>
    </row>
    <row r="977" spans="19:32" x14ac:dyDescent="0.35">
      <c r="S977" s="879">
        <v>973</v>
      </c>
      <c r="T977" s="879" t="s">
        <v>4284</v>
      </c>
      <c r="U977" s="879" t="s">
        <v>5558</v>
      </c>
      <c r="V977" s="880">
        <f>$S$1*P!V977</f>
        <v>0</v>
      </c>
      <c r="W977" s="780"/>
      <c r="X977" s="782">
        <v>973</v>
      </c>
      <c r="Y977" s="782" t="s">
        <v>2248</v>
      </c>
      <c r="Z977" s="782" t="s">
        <v>3570</v>
      </c>
      <c r="AA977" s="781">
        <f>$S$1*P!AA977</f>
        <v>0</v>
      </c>
      <c r="AB977" s="780"/>
      <c r="AC977" s="782">
        <v>973</v>
      </c>
      <c r="AD977" s="782" t="s">
        <v>4573</v>
      </c>
      <c r="AE977" s="782" t="s">
        <v>4937</v>
      </c>
      <c r="AF977" s="781">
        <f>$S$1*P!AF977</f>
        <v>3.9072580645161295E-2</v>
      </c>
    </row>
    <row r="978" spans="19:32" x14ac:dyDescent="0.35">
      <c r="S978" s="870">
        <v>974</v>
      </c>
      <c r="T978" s="870" t="s">
        <v>4284</v>
      </c>
      <c r="U978" s="870" t="s">
        <v>5558</v>
      </c>
      <c r="V978" s="871">
        <f>$S$1*P!V978</f>
        <v>5.1935000000000002</v>
      </c>
      <c r="W978" s="780"/>
      <c r="X978" s="782">
        <v>974</v>
      </c>
      <c r="Y978" s="782" t="s">
        <v>2248</v>
      </c>
      <c r="Z978" s="782" t="s">
        <v>3570</v>
      </c>
      <c r="AA978" s="781">
        <f>$S$1*P!AA978</f>
        <v>1.9570564516129033E-3</v>
      </c>
      <c r="AB978" s="780"/>
      <c r="AC978" s="782">
        <v>974</v>
      </c>
      <c r="AD978" s="782" t="s">
        <v>4573</v>
      </c>
      <c r="AE978" s="782" t="s">
        <v>3444</v>
      </c>
      <c r="AF978" s="781">
        <f>$S$1*P!AF978</f>
        <v>0.57237903225806452</v>
      </c>
    </row>
    <row r="979" spans="19:32" x14ac:dyDescent="0.35">
      <c r="S979" s="879">
        <v>975</v>
      </c>
      <c r="T979" s="879" t="s">
        <v>4284</v>
      </c>
      <c r="U979" s="879" t="s">
        <v>5556</v>
      </c>
      <c r="V979" s="880">
        <f>$S$1*P!V979</f>
        <v>0</v>
      </c>
      <c r="W979" s="780"/>
      <c r="X979" s="782">
        <v>975</v>
      </c>
      <c r="Y979" s="782" t="s">
        <v>2248</v>
      </c>
      <c r="Z979" s="782" t="s">
        <v>5557</v>
      </c>
      <c r="AA979" s="781">
        <f>$S$1*P!AA979</f>
        <v>6.4435483870967751E-3</v>
      </c>
      <c r="AB979" s="780"/>
      <c r="AC979" s="782">
        <v>975</v>
      </c>
      <c r="AD979" s="782" t="s">
        <v>4573</v>
      </c>
      <c r="AE979" s="782" t="s">
        <v>3444</v>
      </c>
      <c r="AF979" s="781">
        <f>$S$1*P!AF979</f>
        <v>5.75</v>
      </c>
    </row>
    <row r="980" spans="19:32" x14ac:dyDescent="0.35">
      <c r="S980" s="870">
        <v>976</v>
      </c>
      <c r="T980" s="870" t="s">
        <v>4284</v>
      </c>
      <c r="U980" s="870" t="s">
        <v>5556</v>
      </c>
      <c r="V980" s="871">
        <f>$S$1*P!V980</f>
        <v>5.6212</v>
      </c>
      <c r="W980" s="780"/>
      <c r="X980" s="782">
        <v>976</v>
      </c>
      <c r="Y980" s="782" t="s">
        <v>2248</v>
      </c>
      <c r="Z980" s="782" t="s">
        <v>3569</v>
      </c>
      <c r="AA980" s="781">
        <f>$S$1*P!AA980</f>
        <v>4.2872000000000003</v>
      </c>
      <c r="AB980" s="780"/>
      <c r="AC980" s="782">
        <v>976</v>
      </c>
      <c r="AD980" s="782" t="s">
        <v>4573</v>
      </c>
      <c r="AE980" s="782" t="s">
        <v>3443</v>
      </c>
      <c r="AF980" s="781">
        <f>$S$1*P!AF980</f>
        <v>0</v>
      </c>
    </row>
    <row r="981" spans="19:32" x14ac:dyDescent="0.35">
      <c r="S981" s="879">
        <v>977</v>
      </c>
      <c r="T981" s="879" t="s">
        <v>4284</v>
      </c>
      <c r="U981" s="879" t="s">
        <v>5555</v>
      </c>
      <c r="V981" s="880">
        <f>$S$1*P!V981</f>
        <v>0</v>
      </c>
      <c r="W981" s="780"/>
      <c r="X981" s="782">
        <v>977</v>
      </c>
      <c r="Y981" s="782" t="s">
        <v>2248</v>
      </c>
      <c r="Z981" s="782" t="s">
        <v>5084</v>
      </c>
      <c r="AA981" s="781">
        <f>$S$1*P!AA981</f>
        <v>7.6088709677419363E-5</v>
      </c>
      <c r="AB981" s="780"/>
      <c r="AC981" s="782">
        <v>977</v>
      </c>
      <c r="AD981" s="782" t="s">
        <v>4573</v>
      </c>
      <c r="AE981" s="782" t="s">
        <v>4936</v>
      </c>
      <c r="AF981" s="781">
        <f>$S$1*P!AF981</f>
        <v>34.95967741935484</v>
      </c>
    </row>
    <row r="982" spans="19:32" x14ac:dyDescent="0.35">
      <c r="S982" s="870">
        <v>978</v>
      </c>
      <c r="T982" s="870" t="s">
        <v>4284</v>
      </c>
      <c r="U982" s="870" t="s">
        <v>5555</v>
      </c>
      <c r="V982" s="871">
        <f>$S$1*P!V982</f>
        <v>4.3663000000000007</v>
      </c>
      <c r="W982" s="780"/>
      <c r="X982" s="782">
        <v>978</v>
      </c>
      <c r="Y982" s="782" t="s">
        <v>2248</v>
      </c>
      <c r="Z982" s="782" t="s">
        <v>5554</v>
      </c>
      <c r="AA982" s="781">
        <f>$S$1*P!AA982</f>
        <v>1.2030241935483871E-2</v>
      </c>
      <c r="AB982" s="780"/>
      <c r="AC982" s="782">
        <v>978</v>
      </c>
      <c r="AD982" s="782" t="s">
        <v>4573</v>
      </c>
      <c r="AE982" s="782" t="s">
        <v>3442</v>
      </c>
      <c r="AF982" s="781">
        <f>$S$1*P!AF982</f>
        <v>889.64</v>
      </c>
    </row>
    <row r="983" spans="19:32" x14ac:dyDescent="0.35">
      <c r="S983" s="879">
        <v>979</v>
      </c>
      <c r="T983" s="879" t="s">
        <v>4284</v>
      </c>
      <c r="U983" s="879" t="s">
        <v>5553</v>
      </c>
      <c r="V983" s="880">
        <f>$S$1*P!V983</f>
        <v>0</v>
      </c>
      <c r="W983" s="780"/>
      <c r="X983" s="782">
        <v>979</v>
      </c>
      <c r="Y983" s="782" t="s">
        <v>2248</v>
      </c>
      <c r="Z983" s="782" t="s">
        <v>3567</v>
      </c>
      <c r="AA983" s="781">
        <f>$S$1*P!AA983</f>
        <v>0</v>
      </c>
      <c r="AB983" s="780"/>
      <c r="AC983" s="782">
        <v>979</v>
      </c>
      <c r="AD983" s="782" t="s">
        <v>4573</v>
      </c>
      <c r="AE983" s="782" t="s">
        <v>4934</v>
      </c>
      <c r="AF983" s="781">
        <f>$S$1*P!AF983</f>
        <v>2.6391129032258065</v>
      </c>
    </row>
    <row r="984" spans="19:32" x14ac:dyDescent="0.35">
      <c r="S984" s="870">
        <v>980</v>
      </c>
      <c r="T984" s="870" t="s">
        <v>4284</v>
      </c>
      <c r="U984" s="870" t="s">
        <v>5553</v>
      </c>
      <c r="V984" s="871">
        <f>$S$1*P!V984</f>
        <v>13.000200000000001</v>
      </c>
      <c r="W984" s="780"/>
      <c r="X984" s="782">
        <v>980</v>
      </c>
      <c r="Y984" s="782" t="s">
        <v>2248</v>
      </c>
      <c r="Z984" s="782" t="s">
        <v>3566</v>
      </c>
      <c r="AA984" s="781">
        <f>$S$1*P!AA984</f>
        <v>0.14076</v>
      </c>
      <c r="AB984" s="780"/>
      <c r="AC984" s="782">
        <v>980</v>
      </c>
      <c r="AD984" s="782" t="s">
        <v>4573</v>
      </c>
      <c r="AE984" s="782" t="s">
        <v>4931</v>
      </c>
      <c r="AF984" s="781">
        <f>$S$1*P!AF984</f>
        <v>2.6596774193548389E-2</v>
      </c>
    </row>
    <row r="985" spans="19:32" x14ac:dyDescent="0.35">
      <c r="S985" s="879">
        <v>981</v>
      </c>
      <c r="T985" s="879" t="s">
        <v>4284</v>
      </c>
      <c r="U985" s="879" t="s">
        <v>5551</v>
      </c>
      <c r="V985" s="880">
        <f>$S$1*P!V985</f>
        <v>0</v>
      </c>
      <c r="W985" s="780"/>
      <c r="X985" s="782">
        <v>981</v>
      </c>
      <c r="Y985" s="782" t="s">
        <v>2248</v>
      </c>
      <c r="Z985" s="782" t="s">
        <v>5552</v>
      </c>
      <c r="AA985" s="781">
        <f>$S$1*P!AA985</f>
        <v>1.62116935483871E-4</v>
      </c>
      <c r="AB985" s="780"/>
      <c r="AC985" s="782">
        <v>981</v>
      </c>
      <c r="AD985" s="782" t="s">
        <v>4573</v>
      </c>
      <c r="AE985" s="782" t="s">
        <v>4930</v>
      </c>
      <c r="AF985" s="781">
        <f>$S$1*P!AF985</f>
        <v>9.8024193548387102E-3</v>
      </c>
    </row>
    <row r="986" spans="19:32" x14ac:dyDescent="0.35">
      <c r="S986" s="870">
        <v>982</v>
      </c>
      <c r="T986" s="870" t="s">
        <v>4284</v>
      </c>
      <c r="U986" s="870" t="s">
        <v>5551</v>
      </c>
      <c r="V986" s="871">
        <f>$S$1*P!V986</f>
        <v>13.686400000000001</v>
      </c>
      <c r="W986" s="780"/>
      <c r="X986" s="782">
        <v>982</v>
      </c>
      <c r="Y986" s="782" t="s">
        <v>2248</v>
      </c>
      <c r="Z986" s="782" t="s">
        <v>3563</v>
      </c>
      <c r="AA986" s="781">
        <f>$S$1*P!AA986</f>
        <v>0</v>
      </c>
      <c r="AB986" s="780"/>
      <c r="AC986" s="782">
        <v>982</v>
      </c>
      <c r="AD986" s="782" t="s">
        <v>4573</v>
      </c>
      <c r="AE986" s="782" t="s">
        <v>4929</v>
      </c>
      <c r="AF986" s="781">
        <f>$S$1*P!AF986</f>
        <v>1.2201612903225807</v>
      </c>
    </row>
    <row r="987" spans="19:32" x14ac:dyDescent="0.35">
      <c r="S987" s="879">
        <v>983</v>
      </c>
      <c r="T987" s="879" t="s">
        <v>4284</v>
      </c>
      <c r="U987" s="879" t="s">
        <v>5550</v>
      </c>
      <c r="V987" s="880">
        <f>$S$1*P!V987</f>
        <v>0</v>
      </c>
      <c r="W987" s="780"/>
      <c r="X987" s="782">
        <v>983</v>
      </c>
      <c r="Y987" s="782" t="s">
        <v>2248</v>
      </c>
      <c r="Z987" s="782" t="s">
        <v>3561</v>
      </c>
      <c r="AA987" s="781">
        <f>$S$1*P!AA987</f>
        <v>0</v>
      </c>
      <c r="AB987" s="780"/>
      <c r="AC987" s="782">
        <v>983</v>
      </c>
      <c r="AD987" s="782" t="s">
        <v>4573</v>
      </c>
      <c r="AE987" s="782" t="s">
        <v>3441</v>
      </c>
      <c r="AF987" s="781">
        <f>$S$1*P!AF987</f>
        <v>1.8859999999999999</v>
      </c>
    </row>
    <row r="988" spans="19:32" x14ac:dyDescent="0.35">
      <c r="S988" s="870">
        <v>984</v>
      </c>
      <c r="T988" s="870" t="s">
        <v>4284</v>
      </c>
      <c r="U988" s="870" t="s">
        <v>5550</v>
      </c>
      <c r="V988" s="871">
        <f>$S$1*P!V988</f>
        <v>2.9516</v>
      </c>
      <c r="W988" s="780"/>
      <c r="X988" s="782">
        <v>984</v>
      </c>
      <c r="Y988" s="782" t="s">
        <v>2248</v>
      </c>
      <c r="Z988" s="782" t="s">
        <v>3561</v>
      </c>
      <c r="AA988" s="781">
        <f>$S$1*P!AA988</f>
        <v>1.5629032258064518E-5</v>
      </c>
      <c r="AB988" s="780"/>
      <c r="AC988" s="782">
        <v>984</v>
      </c>
      <c r="AD988" s="782" t="s">
        <v>4573</v>
      </c>
      <c r="AE988" s="782" t="s">
        <v>3439</v>
      </c>
      <c r="AF988" s="781">
        <f>$S$1*P!AF988</f>
        <v>0</v>
      </c>
    </row>
    <row r="989" spans="19:32" x14ac:dyDescent="0.35">
      <c r="S989" s="879">
        <v>985</v>
      </c>
      <c r="T989" s="879" t="s">
        <v>4284</v>
      </c>
      <c r="U989" s="879" t="s">
        <v>5548</v>
      </c>
      <c r="V989" s="880">
        <f>$S$1*P!V989</f>
        <v>0</v>
      </c>
      <c r="W989" s="780"/>
      <c r="X989" s="782">
        <v>985</v>
      </c>
      <c r="Y989" s="782" t="s">
        <v>2248</v>
      </c>
      <c r="Z989" s="782" t="s">
        <v>5549</v>
      </c>
      <c r="AA989" s="781">
        <f>$S$1*P!AA989</f>
        <v>4.8669354838709676E-5</v>
      </c>
      <c r="AB989" s="780"/>
      <c r="AC989" s="782">
        <v>985</v>
      </c>
      <c r="AD989" s="782" t="s">
        <v>4573</v>
      </c>
      <c r="AE989" s="782" t="s">
        <v>3438</v>
      </c>
      <c r="AF989" s="781">
        <f>$S$1*P!AF989</f>
        <v>1.076209677419355</v>
      </c>
    </row>
    <row r="990" spans="19:32" x14ac:dyDescent="0.35">
      <c r="S990" s="870">
        <v>986</v>
      </c>
      <c r="T990" s="870" t="s">
        <v>4284</v>
      </c>
      <c r="U990" s="870" t="s">
        <v>5548</v>
      </c>
      <c r="V990" s="871">
        <f>$S$1*P!V990</f>
        <v>1.8424</v>
      </c>
      <c r="W990" s="780"/>
      <c r="X990" s="782">
        <v>986</v>
      </c>
      <c r="Y990" s="782" t="s">
        <v>2248</v>
      </c>
      <c r="Z990" s="782" t="s">
        <v>5083</v>
      </c>
      <c r="AA990" s="781">
        <f>$S$1*P!AA990</f>
        <v>4.6270161290322585E-5</v>
      </c>
      <c r="AB990" s="780"/>
      <c r="AC990" s="782">
        <v>986</v>
      </c>
      <c r="AD990" s="782" t="s">
        <v>4573</v>
      </c>
      <c r="AE990" s="782" t="s">
        <v>3438</v>
      </c>
      <c r="AF990" s="781">
        <f>$S$1*P!AF990</f>
        <v>0</v>
      </c>
    </row>
    <row r="991" spans="19:32" x14ac:dyDescent="0.35">
      <c r="S991" s="879">
        <v>987</v>
      </c>
      <c r="T991" s="879" t="s">
        <v>4284</v>
      </c>
      <c r="U991" s="879" t="s">
        <v>5547</v>
      </c>
      <c r="V991" s="880">
        <f>$S$1*P!V991</f>
        <v>0</v>
      </c>
      <c r="W991" s="780"/>
      <c r="X991" s="782">
        <v>987</v>
      </c>
      <c r="Y991" s="782" t="s">
        <v>2248</v>
      </c>
      <c r="Z991" s="782" t="s">
        <v>5082</v>
      </c>
      <c r="AA991" s="781">
        <f>$S$1*P!AA991</f>
        <v>3.2423387096774193E-3</v>
      </c>
      <c r="AB991" s="780"/>
      <c r="AC991" s="782">
        <v>987</v>
      </c>
      <c r="AD991" s="782" t="s">
        <v>4573</v>
      </c>
      <c r="AE991" s="782" t="s">
        <v>4928</v>
      </c>
      <c r="AF991" s="781">
        <f>$S$1*P!AF991</f>
        <v>5.1411290322580646E-3</v>
      </c>
    </row>
    <row r="992" spans="19:32" x14ac:dyDescent="0.35">
      <c r="S992" s="870">
        <v>988</v>
      </c>
      <c r="T992" s="870" t="s">
        <v>4284</v>
      </c>
      <c r="U992" s="870" t="s">
        <v>5547</v>
      </c>
      <c r="V992" s="871">
        <f>$S$1*P!V992</f>
        <v>3.2382999999999997</v>
      </c>
      <c r="W992" s="780"/>
      <c r="X992" s="782">
        <v>988</v>
      </c>
      <c r="Y992" s="782" t="s">
        <v>2248</v>
      </c>
      <c r="Z992" s="782" t="s">
        <v>5546</v>
      </c>
      <c r="AA992" s="781">
        <f>$S$1*P!AA992</f>
        <v>1.370967741935484E-3</v>
      </c>
      <c r="AB992" s="780"/>
      <c r="AC992" s="782">
        <v>988</v>
      </c>
      <c r="AD992" s="782" t="s">
        <v>4573</v>
      </c>
      <c r="AE992" s="782" t="s">
        <v>4927</v>
      </c>
      <c r="AF992" s="781">
        <f>$S$1*P!AF992</f>
        <v>9.5967741935483879</v>
      </c>
    </row>
    <row r="993" spans="19:32" x14ac:dyDescent="0.35">
      <c r="S993" s="879">
        <v>989</v>
      </c>
      <c r="T993" s="879" t="s">
        <v>4284</v>
      </c>
      <c r="U993" s="879" t="s">
        <v>5545</v>
      </c>
      <c r="V993" s="880">
        <f>$S$1*P!V993</f>
        <v>0</v>
      </c>
      <c r="W993" s="863"/>
      <c r="X993" s="782">
        <v>989</v>
      </c>
      <c r="Y993" s="782" t="s">
        <v>2248</v>
      </c>
      <c r="Z993" s="782" t="s">
        <v>5081</v>
      </c>
      <c r="AA993" s="781">
        <f>$S$1*P!AA993</f>
        <v>3.5987903225806455E-3</v>
      </c>
      <c r="AB993" s="780"/>
      <c r="AC993" s="782">
        <v>989</v>
      </c>
      <c r="AD993" s="782" t="s">
        <v>4573</v>
      </c>
      <c r="AE993" s="782" t="s">
        <v>4926</v>
      </c>
      <c r="AF993" s="781">
        <f>$S$1*P!AF993</f>
        <v>0.61693548387096775</v>
      </c>
    </row>
    <row r="994" spans="19:32" x14ac:dyDescent="0.35">
      <c r="S994" s="870">
        <v>990</v>
      </c>
      <c r="T994" s="870" t="s">
        <v>4284</v>
      </c>
      <c r="U994" s="870" t="s">
        <v>5545</v>
      </c>
      <c r="V994" s="871">
        <f>$S$1*P!V994</f>
        <v>5.3627000000000002</v>
      </c>
      <c r="W994" s="780"/>
      <c r="X994" s="782">
        <v>990</v>
      </c>
      <c r="Y994" s="782" t="s">
        <v>2248</v>
      </c>
      <c r="Z994" s="782" t="s">
        <v>5079</v>
      </c>
      <c r="AA994" s="781">
        <f>$S$1*P!AA994</f>
        <v>0.27110887096774194</v>
      </c>
      <c r="AB994" s="780"/>
      <c r="AC994" s="782">
        <v>990</v>
      </c>
      <c r="AD994" s="782" t="s">
        <v>4573</v>
      </c>
      <c r="AE994" s="782" t="s">
        <v>4925</v>
      </c>
      <c r="AF994" s="781">
        <f>$S$1*P!AF994</f>
        <v>7.1975806451612909</v>
      </c>
    </row>
    <row r="995" spans="19:32" x14ac:dyDescent="0.35">
      <c r="S995" s="879">
        <v>991</v>
      </c>
      <c r="T995" s="879" t="s">
        <v>4284</v>
      </c>
      <c r="U995" s="879" t="s">
        <v>5543</v>
      </c>
      <c r="V995" s="880">
        <f>$S$1*P!V995</f>
        <v>0</v>
      </c>
      <c r="W995" s="780"/>
      <c r="X995" s="782">
        <v>991</v>
      </c>
      <c r="Y995" s="782" t="s">
        <v>2248</v>
      </c>
      <c r="Z995" s="782" t="s">
        <v>5544</v>
      </c>
      <c r="AA995" s="781">
        <f>$S$1*P!AA995</f>
        <v>4.8326612903225809E-5</v>
      </c>
      <c r="AB995" s="780"/>
      <c r="AC995" s="782">
        <v>991</v>
      </c>
      <c r="AD995" s="782" t="s">
        <v>4573</v>
      </c>
      <c r="AE995" s="782" t="s">
        <v>4924</v>
      </c>
      <c r="AF995" s="781">
        <f>$S$1*P!AF995</f>
        <v>0.82258064516129037</v>
      </c>
    </row>
    <row r="996" spans="19:32" x14ac:dyDescent="0.35">
      <c r="S996" s="870">
        <v>992</v>
      </c>
      <c r="T996" s="870" t="s">
        <v>4284</v>
      </c>
      <c r="U996" s="870" t="s">
        <v>5543</v>
      </c>
      <c r="V996" s="871">
        <f>$S$1*P!V996</f>
        <v>1.3817999999999999</v>
      </c>
      <c r="W996" s="780"/>
      <c r="X996" s="782">
        <v>992</v>
      </c>
      <c r="Y996" s="782" t="s">
        <v>2248</v>
      </c>
      <c r="Z996" s="782" t="s">
        <v>5078</v>
      </c>
      <c r="AA996" s="781">
        <f>$S$1*P!AA996</f>
        <v>1.1276209677419356E-4</v>
      </c>
      <c r="AB996" s="780"/>
      <c r="AC996" s="782">
        <v>992</v>
      </c>
      <c r="AD996" s="782" t="s">
        <v>4573</v>
      </c>
      <c r="AE996" s="782" t="s">
        <v>4923</v>
      </c>
      <c r="AF996" s="781">
        <f>$S$1*P!AF996</f>
        <v>1.5491935483870969E-2</v>
      </c>
    </row>
    <row r="997" spans="19:32" x14ac:dyDescent="0.35">
      <c r="S997" s="879">
        <v>993</v>
      </c>
      <c r="T997" s="879" t="s">
        <v>4284</v>
      </c>
      <c r="U997" s="879" t="s">
        <v>5542</v>
      </c>
      <c r="V997" s="880">
        <f>$S$1*P!V997</f>
        <v>0</v>
      </c>
      <c r="W997" s="780"/>
      <c r="X997" s="782">
        <v>993</v>
      </c>
      <c r="Y997" s="782" t="s">
        <v>2248</v>
      </c>
      <c r="Z997" s="782" t="s">
        <v>5077</v>
      </c>
      <c r="AA997" s="781">
        <f>$S$1*P!AA997</f>
        <v>6.3064516129032267E-3</v>
      </c>
      <c r="AB997" s="780"/>
      <c r="AC997" s="782">
        <v>993</v>
      </c>
      <c r="AD997" s="782" t="s">
        <v>4573</v>
      </c>
      <c r="AE997" s="782" t="s">
        <v>4922</v>
      </c>
      <c r="AF997" s="781">
        <f>$S$1*P!AF997</f>
        <v>1.4326612903225808</v>
      </c>
    </row>
    <row r="998" spans="19:32" x14ac:dyDescent="0.35">
      <c r="S998" s="870">
        <v>994</v>
      </c>
      <c r="T998" s="870" t="s">
        <v>4284</v>
      </c>
      <c r="U998" s="870" t="s">
        <v>5542</v>
      </c>
      <c r="V998" s="871">
        <f>$S$1*P!V998</f>
        <v>10.640799999999999</v>
      </c>
      <c r="W998" s="780"/>
      <c r="X998" s="782">
        <v>994</v>
      </c>
      <c r="Y998" s="782" t="s">
        <v>2248</v>
      </c>
      <c r="Z998" s="782" t="s">
        <v>5076</v>
      </c>
      <c r="AA998" s="781">
        <f>$S$1*P!AA998</f>
        <v>0.22243951612903229</v>
      </c>
      <c r="AB998" s="780"/>
      <c r="AC998" s="782">
        <v>994</v>
      </c>
      <c r="AD998" s="782" t="s">
        <v>4573</v>
      </c>
      <c r="AE998" s="782" t="s">
        <v>4921</v>
      </c>
      <c r="AF998" s="781">
        <f>$S$1*P!AF998</f>
        <v>7.6774193548387104E-2</v>
      </c>
    </row>
    <row r="999" spans="19:32" x14ac:dyDescent="0.35">
      <c r="S999" s="879">
        <v>995</v>
      </c>
      <c r="T999" s="879" t="s">
        <v>4284</v>
      </c>
      <c r="U999" s="879" t="s">
        <v>5540</v>
      </c>
      <c r="V999" s="880">
        <f>$S$1*P!V999</f>
        <v>0</v>
      </c>
      <c r="W999" s="780"/>
      <c r="X999" s="782">
        <v>995</v>
      </c>
      <c r="Y999" s="782" t="s">
        <v>2248</v>
      </c>
      <c r="Z999" s="782" t="s">
        <v>5541</v>
      </c>
      <c r="AA999" s="781">
        <f>$S$1*P!AA999</f>
        <v>1.2784274193548388E-3</v>
      </c>
      <c r="AB999" s="780"/>
      <c r="AC999" s="782">
        <v>995</v>
      </c>
      <c r="AD999" s="782" t="s">
        <v>4573</v>
      </c>
      <c r="AE999" s="782" t="s">
        <v>4920</v>
      </c>
      <c r="AF999" s="781">
        <f>$S$1*P!AF999</f>
        <v>6.8548387096774195E-3</v>
      </c>
    </row>
    <row r="1000" spans="19:32" x14ac:dyDescent="0.35">
      <c r="S1000" s="870">
        <v>996</v>
      </c>
      <c r="T1000" s="870" t="s">
        <v>4284</v>
      </c>
      <c r="U1000" s="870" t="s">
        <v>5540</v>
      </c>
      <c r="V1000" s="871">
        <f>$S$1*P!V1000</f>
        <v>9.2919</v>
      </c>
      <c r="W1000" s="780"/>
      <c r="X1000" s="782">
        <v>996</v>
      </c>
      <c r="Y1000" s="782" t="s">
        <v>2248</v>
      </c>
      <c r="Z1000" s="782" t="s">
        <v>3560</v>
      </c>
      <c r="AA1000" s="781">
        <f>$S$1*P!AA1000</f>
        <v>0</v>
      </c>
      <c r="AB1000" s="780"/>
      <c r="AC1000" s="782">
        <v>996</v>
      </c>
      <c r="AD1000" s="782" t="s">
        <v>4573</v>
      </c>
      <c r="AE1000" s="782" t="s">
        <v>4919</v>
      </c>
      <c r="AF1000" s="781">
        <f>$S$1*P!AF1000</f>
        <v>7.0604838709677423E-5</v>
      </c>
    </row>
    <row r="1001" spans="19:32" x14ac:dyDescent="0.35">
      <c r="S1001" s="879">
        <v>997</v>
      </c>
      <c r="T1001" s="879" t="s">
        <v>4284</v>
      </c>
      <c r="U1001" s="879" t="s">
        <v>5539</v>
      </c>
      <c r="V1001" s="880">
        <f>$S$1*P!V1001</f>
        <v>0</v>
      </c>
      <c r="W1001" s="780"/>
      <c r="X1001" s="782">
        <v>997</v>
      </c>
      <c r="Y1001" s="782" t="s">
        <v>2248</v>
      </c>
      <c r="Z1001" s="782" t="s">
        <v>5075</v>
      </c>
      <c r="AA1001" s="781">
        <f>$S$1*P!AA1001</f>
        <v>5.4495967741935492E-2</v>
      </c>
      <c r="AB1001" s="780"/>
      <c r="AC1001" s="782">
        <v>997</v>
      </c>
      <c r="AD1001" s="782" t="s">
        <v>4573</v>
      </c>
      <c r="AE1001" s="782" t="s">
        <v>4918</v>
      </c>
      <c r="AF1001" s="781">
        <f>$S$1*P!AF1001</f>
        <v>19.741935483870968</v>
      </c>
    </row>
    <row r="1002" spans="19:32" x14ac:dyDescent="0.35">
      <c r="S1002" s="870">
        <v>998</v>
      </c>
      <c r="T1002" s="870" t="s">
        <v>4284</v>
      </c>
      <c r="U1002" s="870" t="s">
        <v>5539</v>
      </c>
      <c r="V1002" s="871">
        <f>$S$1*P!V1002</f>
        <v>18.438100000000002</v>
      </c>
      <c r="W1002" s="780"/>
      <c r="X1002" s="782">
        <v>998</v>
      </c>
      <c r="Y1002" s="782" t="s">
        <v>2248</v>
      </c>
      <c r="Z1002" s="782" t="s">
        <v>5538</v>
      </c>
      <c r="AA1002" s="781">
        <f>$S$1*P!AA1002</f>
        <v>8.9455645161290329E-2</v>
      </c>
      <c r="AB1002" s="780"/>
      <c r="AC1002" s="782">
        <v>998</v>
      </c>
      <c r="AD1002" s="782" t="s">
        <v>4573</v>
      </c>
      <c r="AE1002" s="782" t="s">
        <v>4916</v>
      </c>
      <c r="AF1002" s="781">
        <f>$S$1*P!AF1002</f>
        <v>237.17741935483872</v>
      </c>
    </row>
    <row r="1003" spans="19:32" x14ac:dyDescent="0.35">
      <c r="S1003" s="879">
        <v>999</v>
      </c>
      <c r="T1003" s="879" t="s">
        <v>4284</v>
      </c>
      <c r="U1003" s="879" t="s">
        <v>5537</v>
      </c>
      <c r="V1003" s="880">
        <f>$S$1*P!V1003</f>
        <v>0</v>
      </c>
      <c r="W1003" s="780"/>
      <c r="X1003" s="782">
        <v>999</v>
      </c>
      <c r="Y1003" s="782" t="s">
        <v>2248</v>
      </c>
      <c r="Z1003" s="782" t="s">
        <v>5074</v>
      </c>
      <c r="AA1003" s="781">
        <f>$S$1*P!AA1003</f>
        <v>0.18610887096774195</v>
      </c>
      <c r="AB1003" s="780"/>
      <c r="AC1003" s="782">
        <v>999</v>
      </c>
      <c r="AD1003" s="782" t="s">
        <v>4573</v>
      </c>
      <c r="AE1003" s="782" t="s">
        <v>4915</v>
      </c>
      <c r="AF1003" s="781">
        <f>$S$1*P!AF1003</f>
        <v>7.129032258064516E-2</v>
      </c>
    </row>
    <row r="1004" spans="19:32" x14ac:dyDescent="0.35">
      <c r="S1004" s="870">
        <v>1000</v>
      </c>
      <c r="T1004" s="870" t="s">
        <v>4284</v>
      </c>
      <c r="U1004" s="870" t="s">
        <v>5537</v>
      </c>
      <c r="V1004" s="871">
        <f>$S$1*P!V1004</f>
        <v>6.6269999999999998</v>
      </c>
      <c r="W1004" s="780"/>
      <c r="X1004" s="782">
        <v>1000</v>
      </c>
      <c r="Y1004" s="782" t="s">
        <v>2248</v>
      </c>
      <c r="Z1004" s="782" t="s">
        <v>5072</v>
      </c>
      <c r="AA1004" s="781">
        <f>$S$1*P!AA1004</f>
        <v>9.5967741935483873E-5</v>
      </c>
      <c r="AB1004" s="780"/>
      <c r="AC1004" s="782">
        <v>1000</v>
      </c>
      <c r="AD1004" s="782" t="s">
        <v>4573</v>
      </c>
      <c r="AE1004" s="782" t="s">
        <v>3436</v>
      </c>
      <c r="AF1004" s="781">
        <f>$S$1*P!AF1004</f>
        <v>1.2030241935483871E-2</v>
      </c>
    </row>
    <row r="1005" spans="19:32" x14ac:dyDescent="0.35">
      <c r="S1005" s="879">
        <v>1001</v>
      </c>
      <c r="T1005" s="879" t="s">
        <v>4284</v>
      </c>
      <c r="U1005" s="879" t="s">
        <v>5535</v>
      </c>
      <c r="V1005" s="880">
        <f>$S$1*P!V1005</f>
        <v>0</v>
      </c>
      <c r="W1005" s="780"/>
      <c r="X1005" s="782">
        <v>1001</v>
      </c>
      <c r="Y1005" s="782" t="s">
        <v>2248</v>
      </c>
      <c r="Z1005" s="782" t="s">
        <v>5536</v>
      </c>
      <c r="AA1005" s="781">
        <f>$S$1*P!AA1005</f>
        <v>2.080443548387097E-3</v>
      </c>
      <c r="AB1005" s="780"/>
      <c r="AC1005" s="782">
        <v>1001</v>
      </c>
      <c r="AD1005" s="782" t="s">
        <v>4573</v>
      </c>
      <c r="AE1005" s="782" t="s">
        <v>3436</v>
      </c>
      <c r="AF1005" s="781">
        <f>$S$1*P!AF1005</f>
        <v>2.4104E-2</v>
      </c>
    </row>
    <row r="1006" spans="19:32" x14ac:dyDescent="0.35">
      <c r="S1006" s="870">
        <v>1002</v>
      </c>
      <c r="T1006" s="870" t="s">
        <v>4284</v>
      </c>
      <c r="U1006" s="870" t="s">
        <v>5535</v>
      </c>
      <c r="V1006" s="871">
        <f>$S$1*P!V1006</f>
        <v>2.2418999999999998</v>
      </c>
      <c r="W1006" s="780"/>
      <c r="X1006" s="782">
        <v>1002</v>
      </c>
      <c r="Y1006" s="782" t="s">
        <v>2248</v>
      </c>
      <c r="Z1006" s="782" t="s">
        <v>5070</v>
      </c>
      <c r="AA1006" s="781">
        <f>$S$1*P!AA1006</f>
        <v>2.8893145161290323E-3</v>
      </c>
      <c r="AB1006" s="780"/>
      <c r="AC1006" s="782">
        <v>1002</v>
      </c>
      <c r="AD1006" s="782" t="s">
        <v>4573</v>
      </c>
      <c r="AE1006" s="782" t="s">
        <v>4914</v>
      </c>
      <c r="AF1006" s="781">
        <f>$S$1*P!AF1006</f>
        <v>4.5927419354838711E-2</v>
      </c>
    </row>
    <row r="1007" spans="19:32" x14ac:dyDescent="0.35">
      <c r="S1007" s="879">
        <v>1003</v>
      </c>
      <c r="T1007" s="879" t="s">
        <v>4284</v>
      </c>
      <c r="U1007" s="879" t="s">
        <v>5534</v>
      </c>
      <c r="V1007" s="880">
        <f>$S$1*P!V1007</f>
        <v>0</v>
      </c>
      <c r="W1007" s="780"/>
      <c r="X1007" s="782">
        <v>1003</v>
      </c>
      <c r="Y1007" s="782" t="s">
        <v>2248</v>
      </c>
      <c r="Z1007" s="782" t="s">
        <v>5068</v>
      </c>
      <c r="AA1007" s="781">
        <f>$S$1*P!AA1007</f>
        <v>7.5745967741935484E-5</v>
      </c>
      <c r="AB1007" s="780"/>
      <c r="AC1007" s="782">
        <v>1003</v>
      </c>
      <c r="AD1007" s="782" t="s">
        <v>4573</v>
      </c>
      <c r="AE1007" s="782" t="s">
        <v>4913</v>
      </c>
      <c r="AF1007" s="781">
        <f>$S$1*P!AF1007</f>
        <v>0.19879032258064519</v>
      </c>
    </row>
    <row r="1008" spans="19:32" x14ac:dyDescent="0.35">
      <c r="S1008" s="870">
        <v>1004</v>
      </c>
      <c r="T1008" s="870" t="s">
        <v>4284</v>
      </c>
      <c r="U1008" s="870" t="s">
        <v>5534</v>
      </c>
      <c r="V1008" s="871">
        <f>$S$1*P!V1008</f>
        <v>8.4083000000000006</v>
      </c>
      <c r="W1008" s="780"/>
      <c r="X1008" s="782">
        <v>1004</v>
      </c>
      <c r="Y1008" s="782" t="s">
        <v>2248</v>
      </c>
      <c r="Z1008" s="782" t="s">
        <v>5067</v>
      </c>
      <c r="AA1008" s="781">
        <f>$S$1*P!AA1008</f>
        <v>1.0933467741935485E-12</v>
      </c>
      <c r="AB1008" s="780"/>
      <c r="AC1008" s="782">
        <v>1004</v>
      </c>
      <c r="AD1008" s="782" t="s">
        <v>4573</v>
      </c>
      <c r="AE1008" s="782" t="s">
        <v>4912</v>
      </c>
      <c r="AF1008" s="781">
        <f>$S$1*P!AF1008</f>
        <v>7.1290322580645164E-3</v>
      </c>
    </row>
    <row r="1009" spans="19:32" x14ac:dyDescent="0.35">
      <c r="S1009" s="879">
        <v>1005</v>
      </c>
      <c r="T1009" s="879" t="s">
        <v>4284</v>
      </c>
      <c r="U1009" s="879" t="s">
        <v>5532</v>
      </c>
      <c r="V1009" s="880">
        <f>$S$1*P!V1009</f>
        <v>0</v>
      </c>
      <c r="W1009" s="780"/>
      <c r="X1009" s="782">
        <v>1005</v>
      </c>
      <c r="Y1009" s="782" t="s">
        <v>2248</v>
      </c>
      <c r="Z1009" s="782" t="s">
        <v>5533</v>
      </c>
      <c r="AA1009" s="781">
        <f>$S$1*P!AA1009</f>
        <v>1.7137096774193551E-2</v>
      </c>
      <c r="AB1009" s="780"/>
      <c r="AC1009" s="782">
        <v>1005</v>
      </c>
      <c r="AD1009" s="782" t="s">
        <v>4573</v>
      </c>
      <c r="AE1009" s="782" t="s">
        <v>4911</v>
      </c>
      <c r="AF1009" s="781">
        <f>$S$1*P!AF1009</f>
        <v>6.7862903225806457E-3</v>
      </c>
    </row>
    <row r="1010" spans="19:32" x14ac:dyDescent="0.35">
      <c r="S1010" s="870">
        <v>1006</v>
      </c>
      <c r="T1010" s="870" t="s">
        <v>4284</v>
      </c>
      <c r="U1010" s="870" t="s">
        <v>5532</v>
      </c>
      <c r="V1010" s="871">
        <f>$S$1*P!V1010</f>
        <v>9.0005000000000006</v>
      </c>
      <c r="W1010" s="780"/>
      <c r="X1010" s="782">
        <v>1006</v>
      </c>
      <c r="Y1010" s="782" t="s">
        <v>2248</v>
      </c>
      <c r="Z1010" s="782" t="s">
        <v>5066</v>
      </c>
      <c r="AA1010" s="781">
        <f>$S$1*P!AA1010</f>
        <v>3.0743951612903232E-4</v>
      </c>
      <c r="AB1010" s="780"/>
      <c r="AC1010" s="782">
        <v>1006</v>
      </c>
      <c r="AD1010" s="782" t="s">
        <v>4573</v>
      </c>
      <c r="AE1010" s="782" t="s">
        <v>4910</v>
      </c>
      <c r="AF1010" s="781">
        <f>$S$1*P!AF1010</f>
        <v>3.2971774193548388E-2</v>
      </c>
    </row>
    <row r="1011" spans="19:32" x14ac:dyDescent="0.35">
      <c r="S1011" s="879">
        <v>1007</v>
      </c>
      <c r="T1011" s="879" t="s">
        <v>4284</v>
      </c>
      <c r="U1011" s="879" t="s">
        <v>5531</v>
      </c>
      <c r="V1011" s="880">
        <f>$S$1*P!V1011</f>
        <v>0</v>
      </c>
      <c r="W1011" s="780"/>
      <c r="X1011" s="782">
        <v>1007</v>
      </c>
      <c r="Y1011" s="782" t="s">
        <v>2248</v>
      </c>
      <c r="Z1011" s="782" t="s">
        <v>5065</v>
      </c>
      <c r="AA1011" s="781">
        <f>$S$1*P!AA1011</f>
        <v>4.5927419354838714E-4</v>
      </c>
      <c r="AB1011" s="780"/>
      <c r="AC1011" s="782">
        <v>1007</v>
      </c>
      <c r="AD1011" s="782" t="s">
        <v>4573</v>
      </c>
      <c r="AE1011" s="782" t="s">
        <v>4909</v>
      </c>
      <c r="AF1011" s="781">
        <f>$S$1*P!AF1011</f>
        <v>0.24677419354838712</v>
      </c>
    </row>
    <row r="1012" spans="19:32" x14ac:dyDescent="0.35">
      <c r="S1012" s="870">
        <v>1008</v>
      </c>
      <c r="T1012" s="870" t="s">
        <v>4284</v>
      </c>
      <c r="U1012" s="870" t="s">
        <v>5531</v>
      </c>
      <c r="V1012" s="871">
        <f>$S$1*P!V1012</f>
        <v>1.5134000000000001</v>
      </c>
      <c r="W1012" s="780"/>
      <c r="X1012" s="782">
        <v>1008</v>
      </c>
      <c r="Y1012" s="782" t="s">
        <v>2248</v>
      </c>
      <c r="Z1012" s="782" t="s">
        <v>3763</v>
      </c>
      <c r="AA1012" s="781">
        <f>$S$1*P!AA1012</f>
        <v>2.6082661290322582E-2</v>
      </c>
      <c r="AB1012" s="780"/>
      <c r="AC1012" s="782">
        <v>1008</v>
      </c>
      <c r="AD1012" s="782" t="s">
        <v>4573</v>
      </c>
      <c r="AE1012" s="782" t="s">
        <v>4908</v>
      </c>
      <c r="AF1012" s="781">
        <f>$S$1*P!AF1012</f>
        <v>1.0419354838709679E-2</v>
      </c>
    </row>
    <row r="1013" spans="19:32" x14ac:dyDescent="0.35">
      <c r="S1013" s="879">
        <v>1009</v>
      </c>
      <c r="T1013" s="879" t="s">
        <v>4284</v>
      </c>
      <c r="U1013" s="879" t="s">
        <v>5530</v>
      </c>
      <c r="V1013" s="880">
        <f>$S$1*P!V1013</f>
        <v>0</v>
      </c>
      <c r="W1013" s="780"/>
      <c r="X1013" s="782">
        <v>1009</v>
      </c>
      <c r="Y1013" s="782" t="s">
        <v>2248</v>
      </c>
      <c r="Z1013" s="782" t="s">
        <v>3558</v>
      </c>
      <c r="AA1013" s="781">
        <f>$S$1*P!AA1013</f>
        <v>4.3700000000000003E-2</v>
      </c>
      <c r="AB1013" s="780"/>
      <c r="AC1013" s="782">
        <v>1009</v>
      </c>
      <c r="AD1013" s="782" t="s">
        <v>4573</v>
      </c>
      <c r="AE1013" s="782" t="s">
        <v>4907</v>
      </c>
      <c r="AF1013" s="781">
        <f>$S$1*P!AF1013</f>
        <v>1.5868951612903227E-2</v>
      </c>
    </row>
    <row r="1014" spans="19:32" x14ac:dyDescent="0.35">
      <c r="S1014" s="870">
        <v>1010</v>
      </c>
      <c r="T1014" s="870" t="s">
        <v>4284</v>
      </c>
      <c r="U1014" s="870" t="s">
        <v>5530</v>
      </c>
      <c r="V1014" s="871">
        <f>$S$1*P!V1014</f>
        <v>12.558400000000001</v>
      </c>
      <c r="W1014" s="780"/>
      <c r="X1014" s="782">
        <v>1010</v>
      </c>
      <c r="Y1014" s="782" t="s">
        <v>2248</v>
      </c>
      <c r="Z1014" s="782" t="s">
        <v>5064</v>
      </c>
      <c r="AA1014" s="781">
        <f>$S$1*P!AA1014</f>
        <v>2.6493951612903228E-3</v>
      </c>
      <c r="AB1014" s="780"/>
      <c r="AC1014" s="782">
        <v>1010</v>
      </c>
      <c r="AD1014" s="782" t="s">
        <v>4573</v>
      </c>
      <c r="AE1014" s="782" t="s">
        <v>4905</v>
      </c>
      <c r="AF1014" s="781">
        <f>$S$1*P!AF1014</f>
        <v>2.5911290322580645E-3</v>
      </c>
    </row>
    <row r="1015" spans="19:32" x14ac:dyDescent="0.35">
      <c r="S1015" s="879">
        <v>1011</v>
      </c>
      <c r="T1015" s="879" t="s">
        <v>4284</v>
      </c>
      <c r="U1015" s="879" t="s">
        <v>5529</v>
      </c>
      <c r="V1015" s="880">
        <f>$S$1*P!V1015</f>
        <v>0</v>
      </c>
      <c r="W1015" s="780"/>
      <c r="X1015" s="782">
        <v>1011</v>
      </c>
      <c r="Y1015" s="782" t="s">
        <v>2248</v>
      </c>
      <c r="Z1015" s="782" t="s">
        <v>5063</v>
      </c>
      <c r="AA1015" s="781">
        <f>$S$1*P!AA1015</f>
        <v>1.7102822580645163</v>
      </c>
      <c r="AB1015" s="780"/>
      <c r="AC1015" s="782">
        <v>1011</v>
      </c>
      <c r="AD1015" s="782" t="s">
        <v>4573</v>
      </c>
      <c r="AE1015" s="782" t="s">
        <v>4904</v>
      </c>
      <c r="AF1015" s="781">
        <f>$S$1*P!AF1015</f>
        <v>0.7060483870967742</v>
      </c>
    </row>
    <row r="1016" spans="19:32" x14ac:dyDescent="0.35">
      <c r="S1016" s="870">
        <v>1012</v>
      </c>
      <c r="T1016" s="870" t="s">
        <v>4284</v>
      </c>
      <c r="U1016" s="870" t="s">
        <v>5529</v>
      </c>
      <c r="V1016" s="871">
        <f>$S$1*P!V1016</f>
        <v>2.4252000000000002</v>
      </c>
      <c r="W1016" s="780"/>
      <c r="X1016" s="782">
        <v>1012</v>
      </c>
      <c r="Y1016" s="782" t="s">
        <v>2248</v>
      </c>
      <c r="Z1016" s="782" t="s">
        <v>5528</v>
      </c>
      <c r="AA1016" s="781">
        <f>$S$1*P!AA1016</f>
        <v>4.1129032258064519E-3</v>
      </c>
      <c r="AB1016" s="780"/>
      <c r="AC1016" s="782">
        <v>1012</v>
      </c>
      <c r="AD1016" s="782" t="s">
        <v>4573</v>
      </c>
      <c r="AE1016" s="782" t="s">
        <v>4903</v>
      </c>
      <c r="AF1016" s="781">
        <f>$S$1*P!AF1016</f>
        <v>1.7068548387096776</v>
      </c>
    </row>
    <row r="1017" spans="19:32" x14ac:dyDescent="0.35">
      <c r="S1017" s="879">
        <v>1013</v>
      </c>
      <c r="T1017" s="879" t="s">
        <v>4284</v>
      </c>
      <c r="U1017" s="879" t="s">
        <v>5527</v>
      </c>
      <c r="V1017" s="880">
        <f>$S$1*P!V1017</f>
        <v>0</v>
      </c>
      <c r="W1017" s="780"/>
      <c r="X1017" s="782">
        <v>1013</v>
      </c>
      <c r="Y1017" s="782" t="s">
        <v>2248</v>
      </c>
      <c r="Z1017" s="782" t="s">
        <v>3557</v>
      </c>
      <c r="AA1017" s="781">
        <f>$S$1*P!AA1017</f>
        <v>4.0388E-2</v>
      </c>
      <c r="AB1017" s="780"/>
      <c r="AC1017" s="782">
        <v>1013</v>
      </c>
      <c r="AD1017" s="782" t="s">
        <v>4573</v>
      </c>
      <c r="AE1017" s="782" t="s">
        <v>4902</v>
      </c>
      <c r="AF1017" s="781">
        <f>$S$1*P!AF1017</f>
        <v>9.7338709677419362E-4</v>
      </c>
    </row>
    <row r="1018" spans="19:32" x14ac:dyDescent="0.35">
      <c r="S1018" s="870">
        <v>1014</v>
      </c>
      <c r="T1018" s="870" t="s">
        <v>4284</v>
      </c>
      <c r="U1018" s="870" t="s">
        <v>5527</v>
      </c>
      <c r="V1018" s="871">
        <f>$S$1*P!V1018</f>
        <v>5.0478000000000005</v>
      </c>
      <c r="W1018" s="780"/>
      <c r="X1018" s="782">
        <v>1014</v>
      </c>
      <c r="Y1018" s="782" t="s">
        <v>2248</v>
      </c>
      <c r="Z1018" s="782" t="s">
        <v>3557</v>
      </c>
      <c r="AA1018" s="781">
        <f>$S$1*P!AA1018</f>
        <v>6.4092741935483873E-4</v>
      </c>
      <c r="AB1018" s="780"/>
      <c r="AC1018" s="782">
        <v>1014</v>
      </c>
      <c r="AD1018" s="782" t="s">
        <v>4573</v>
      </c>
      <c r="AE1018" s="782" t="s">
        <v>4901</v>
      </c>
      <c r="AF1018" s="781">
        <f>$S$1*P!AF1018</f>
        <v>3.382862903225807E-3</v>
      </c>
    </row>
    <row r="1019" spans="19:32" x14ac:dyDescent="0.35">
      <c r="S1019" s="879">
        <v>1015</v>
      </c>
      <c r="T1019" s="879" t="s">
        <v>4284</v>
      </c>
      <c r="U1019" s="879" t="s">
        <v>5525</v>
      </c>
      <c r="V1019" s="880">
        <f>$S$1*P!V1019</f>
        <v>0</v>
      </c>
      <c r="W1019" s="780"/>
      <c r="X1019" s="782">
        <v>1015</v>
      </c>
      <c r="Y1019" s="782" t="s">
        <v>2248</v>
      </c>
      <c r="Z1019" s="782" t="s">
        <v>5526</v>
      </c>
      <c r="AA1019" s="781">
        <f>$S$1*P!AA1019</f>
        <v>4.7641129032258068E-7</v>
      </c>
      <c r="AB1019" s="780"/>
      <c r="AC1019" s="782">
        <v>1015</v>
      </c>
      <c r="AD1019" s="782" t="s">
        <v>4573</v>
      </c>
      <c r="AE1019" s="782" t="s">
        <v>4900</v>
      </c>
      <c r="AF1019" s="781">
        <f>$S$1*P!AF1019</f>
        <v>0.16828629032258066</v>
      </c>
    </row>
    <row r="1020" spans="19:32" x14ac:dyDescent="0.35">
      <c r="S1020" s="870">
        <v>1016</v>
      </c>
      <c r="T1020" s="870" t="s">
        <v>4284</v>
      </c>
      <c r="U1020" s="870" t="s">
        <v>5525</v>
      </c>
      <c r="V1020" s="871">
        <f>$S$1*P!V1020</f>
        <v>3.3557999999999999</v>
      </c>
      <c r="W1020" s="780"/>
      <c r="X1020" s="782">
        <v>1016</v>
      </c>
      <c r="Y1020" s="782" t="s">
        <v>2248</v>
      </c>
      <c r="Z1020" s="782" t="s">
        <v>3554</v>
      </c>
      <c r="AA1020" s="781">
        <f>$S$1*P!AA1020</f>
        <v>0.55015999999999998</v>
      </c>
      <c r="AB1020" s="780"/>
      <c r="AC1020" s="782">
        <v>1016</v>
      </c>
      <c r="AD1020" s="782" t="s">
        <v>4573</v>
      </c>
      <c r="AE1020" s="782" t="s">
        <v>4899</v>
      </c>
      <c r="AF1020" s="781">
        <f>$S$1*P!AF1020</f>
        <v>1.3298387096774195E-2</v>
      </c>
    </row>
    <row r="1021" spans="19:32" x14ac:dyDescent="0.35">
      <c r="S1021" s="879">
        <v>1017</v>
      </c>
      <c r="T1021" s="879" t="s">
        <v>4284</v>
      </c>
      <c r="U1021" s="879" t="s">
        <v>5524</v>
      </c>
      <c r="V1021" s="880">
        <f>$S$1*P!V1021</f>
        <v>0</v>
      </c>
      <c r="W1021" s="780"/>
      <c r="X1021" s="782">
        <v>1017</v>
      </c>
      <c r="Y1021" s="782" t="s">
        <v>2248</v>
      </c>
      <c r="Z1021" s="782" t="s">
        <v>3552</v>
      </c>
      <c r="AA1021" s="781">
        <f>$S$1*P!AA1021</f>
        <v>7.7004000000000003E-2</v>
      </c>
      <c r="AB1021" s="780"/>
      <c r="AC1021" s="782">
        <v>1017</v>
      </c>
      <c r="AD1021" s="782" t="s">
        <v>4573</v>
      </c>
      <c r="AE1021" s="782" t="s">
        <v>3435</v>
      </c>
      <c r="AF1021" s="781">
        <f>$S$1*P!AF1021</f>
        <v>0</v>
      </c>
    </row>
    <row r="1022" spans="19:32" x14ac:dyDescent="0.35">
      <c r="S1022" s="870">
        <v>1018</v>
      </c>
      <c r="T1022" s="870" t="s">
        <v>4284</v>
      </c>
      <c r="U1022" s="870" t="s">
        <v>5524</v>
      </c>
      <c r="V1022" s="871">
        <f>$S$1*P!V1022</f>
        <v>8.9253</v>
      </c>
      <c r="W1022" s="780"/>
      <c r="X1022" s="782">
        <v>1018</v>
      </c>
      <c r="Y1022" s="782" t="s">
        <v>2248</v>
      </c>
      <c r="Z1022" s="782" t="s">
        <v>5523</v>
      </c>
      <c r="AA1022" s="781">
        <f>$S$1*P!AA1022</f>
        <v>1.453225806451613E-3</v>
      </c>
      <c r="AB1022" s="780"/>
      <c r="AC1022" s="782">
        <v>1018</v>
      </c>
      <c r="AD1022" s="782" t="s">
        <v>4573</v>
      </c>
      <c r="AE1022" s="782" t="s">
        <v>4898</v>
      </c>
      <c r="AF1022" s="781">
        <f>$S$1*P!AF1022</f>
        <v>2.0838709677419357E-2</v>
      </c>
    </row>
    <row r="1023" spans="19:32" x14ac:dyDescent="0.35">
      <c r="S1023" s="879">
        <v>1019</v>
      </c>
      <c r="T1023" s="879" t="s">
        <v>4284</v>
      </c>
      <c r="U1023" s="879" t="s">
        <v>5522</v>
      </c>
      <c r="V1023" s="880">
        <f>$S$1*P!V1023</f>
        <v>0</v>
      </c>
      <c r="W1023" s="780"/>
      <c r="X1023" s="782">
        <v>1019</v>
      </c>
      <c r="Y1023" s="782" t="s">
        <v>2248</v>
      </c>
      <c r="Z1023" s="782" t="s">
        <v>3549</v>
      </c>
      <c r="AA1023" s="781">
        <f>$S$1*P!AA1023</f>
        <v>1.5916E-2</v>
      </c>
      <c r="AB1023" s="780"/>
      <c r="AC1023" s="782">
        <v>1019</v>
      </c>
      <c r="AD1023" s="782" t="s">
        <v>4573</v>
      </c>
      <c r="AE1023" s="782" t="s">
        <v>4897</v>
      </c>
      <c r="AF1023" s="781">
        <f>$S$1*P!AF1023</f>
        <v>1.1584677419354839E-2</v>
      </c>
    </row>
    <row r="1024" spans="19:32" x14ac:dyDescent="0.35">
      <c r="S1024" s="870">
        <v>1020</v>
      </c>
      <c r="T1024" s="870" t="s">
        <v>4284</v>
      </c>
      <c r="U1024" s="870" t="s">
        <v>5522</v>
      </c>
      <c r="V1024" s="871">
        <f>$S$1*P!V1024</f>
        <v>14.038900000000002</v>
      </c>
      <c r="W1024" s="780"/>
      <c r="X1024" s="782">
        <v>1020</v>
      </c>
      <c r="Y1024" s="782" t="s">
        <v>2248</v>
      </c>
      <c r="Z1024" s="782" t="s">
        <v>3549</v>
      </c>
      <c r="AA1024" s="781">
        <f>$S$1*P!AA1024</f>
        <v>1.5012096774193549E-3</v>
      </c>
      <c r="AB1024" s="780"/>
      <c r="AC1024" s="782">
        <v>1020</v>
      </c>
      <c r="AD1024" s="782" t="s">
        <v>4573</v>
      </c>
      <c r="AE1024" s="782" t="s">
        <v>4896</v>
      </c>
      <c r="AF1024" s="781">
        <f>$S$1*P!AF1024</f>
        <v>2.3135080645161291E-2</v>
      </c>
    </row>
    <row r="1025" spans="19:32" x14ac:dyDescent="0.35">
      <c r="S1025" s="879">
        <v>1021</v>
      </c>
      <c r="T1025" s="879" t="s">
        <v>4284</v>
      </c>
      <c r="U1025" s="879" t="s">
        <v>5520</v>
      </c>
      <c r="V1025" s="880">
        <f>$S$1*P!V1025</f>
        <v>0</v>
      </c>
      <c r="W1025" s="780"/>
      <c r="X1025" s="782">
        <v>1021</v>
      </c>
      <c r="Y1025" s="782" t="s">
        <v>2248</v>
      </c>
      <c r="Z1025" s="782" t="s">
        <v>5521</v>
      </c>
      <c r="AA1025" s="781">
        <f>$S$1*P!AA1025</f>
        <v>1.5868951612903228E-4</v>
      </c>
      <c r="AB1025" s="780"/>
      <c r="AC1025" s="782">
        <v>1021</v>
      </c>
      <c r="AD1025" s="782" t="s">
        <v>4573</v>
      </c>
      <c r="AE1025" s="782" t="s">
        <v>3433</v>
      </c>
      <c r="AF1025" s="781">
        <f>$S$1*P!AF1025</f>
        <v>1.5640000000000001</v>
      </c>
    </row>
    <row r="1026" spans="19:32" x14ac:dyDescent="0.35">
      <c r="S1026" s="870">
        <v>1022</v>
      </c>
      <c r="T1026" s="870" t="s">
        <v>4284</v>
      </c>
      <c r="U1026" s="870" t="s">
        <v>5520</v>
      </c>
      <c r="V1026" s="871">
        <f>$S$1*P!V1026</f>
        <v>11.561999999999999</v>
      </c>
      <c r="W1026" s="780"/>
      <c r="X1026" s="782">
        <v>1022</v>
      </c>
      <c r="Y1026" s="782" t="s">
        <v>2248</v>
      </c>
      <c r="Z1026" s="782" t="s">
        <v>3546</v>
      </c>
      <c r="AA1026" s="781">
        <f>$S$1*P!AA1026</f>
        <v>1.8124000000000001E-2</v>
      </c>
      <c r="AB1026" s="780"/>
      <c r="AC1026" s="782">
        <v>1022</v>
      </c>
      <c r="AD1026" s="782" t="s">
        <v>4573</v>
      </c>
      <c r="AE1026" s="782" t="s">
        <v>3432</v>
      </c>
      <c r="AF1026" s="781">
        <f>$S$1*P!AF1026</f>
        <v>5.8951612903225814E-2</v>
      </c>
    </row>
    <row r="1027" spans="19:32" x14ac:dyDescent="0.35">
      <c r="S1027" s="879">
        <v>1023</v>
      </c>
      <c r="T1027" s="879" t="s">
        <v>4284</v>
      </c>
      <c r="U1027" s="879" t="s">
        <v>5519</v>
      </c>
      <c r="V1027" s="880">
        <f>$S$1*P!V1027</f>
        <v>0</v>
      </c>
      <c r="W1027" s="780"/>
      <c r="X1027" s="782">
        <v>1023</v>
      </c>
      <c r="Y1027" s="782" t="s">
        <v>2248</v>
      </c>
      <c r="Z1027" s="782" t="s">
        <v>3546</v>
      </c>
      <c r="AA1027" s="781">
        <f>$S$1*P!AA1027</f>
        <v>2.9475806451612904E-4</v>
      </c>
      <c r="AB1027" s="780"/>
      <c r="AC1027" s="782">
        <v>1023</v>
      </c>
      <c r="AD1027" s="782" t="s">
        <v>4573</v>
      </c>
      <c r="AE1027" s="782" t="s">
        <v>3432</v>
      </c>
      <c r="AF1027" s="781">
        <f>$S$1*P!AF1027</f>
        <v>0.56855999999999995</v>
      </c>
    </row>
    <row r="1028" spans="19:32" x14ac:dyDescent="0.35">
      <c r="S1028" s="870">
        <v>1024</v>
      </c>
      <c r="T1028" s="870" t="s">
        <v>4284</v>
      </c>
      <c r="U1028" s="870" t="s">
        <v>5519</v>
      </c>
      <c r="V1028" s="871">
        <f>$S$1*P!V1028</f>
        <v>4.3992000000000004</v>
      </c>
      <c r="W1028" s="780"/>
      <c r="X1028" s="782">
        <v>1024</v>
      </c>
      <c r="Y1028" s="782" t="s">
        <v>2248</v>
      </c>
      <c r="Z1028" s="782" t="s">
        <v>5054</v>
      </c>
      <c r="AA1028" s="781">
        <f>$S$1*P!AA1028</f>
        <v>9.1512096774193558E-4</v>
      </c>
      <c r="AB1028" s="780"/>
      <c r="AC1028" s="782">
        <v>1024</v>
      </c>
      <c r="AD1028" s="782" t="s">
        <v>4573</v>
      </c>
      <c r="AE1028" s="782" t="s">
        <v>4895</v>
      </c>
      <c r="AF1028" s="781">
        <f>$S$1*P!AF1028</f>
        <v>3.0401209677419359E-2</v>
      </c>
    </row>
    <row r="1029" spans="19:32" x14ac:dyDescent="0.35">
      <c r="S1029" s="782">
        <v>1025</v>
      </c>
      <c r="T1029" s="782" t="s">
        <v>4284</v>
      </c>
      <c r="U1029" s="782" t="s">
        <v>3491</v>
      </c>
      <c r="V1029" s="797">
        <f>$S$1*P!V1029</f>
        <v>0</v>
      </c>
      <c r="W1029" s="780"/>
      <c r="X1029" s="782">
        <v>1025</v>
      </c>
      <c r="Y1029" s="782" t="s">
        <v>2248</v>
      </c>
      <c r="Z1029" s="782" t="s">
        <v>5518</v>
      </c>
      <c r="AA1029" s="781">
        <f>$S$1*P!AA1029</f>
        <v>4.3870967741935489E-2</v>
      </c>
      <c r="AB1029" s="780"/>
      <c r="AC1029" s="782">
        <v>1025</v>
      </c>
      <c r="AD1029" s="782" t="s">
        <v>4573</v>
      </c>
      <c r="AE1029" s="782" t="s">
        <v>4894</v>
      </c>
      <c r="AF1029" s="781">
        <f>$S$1*P!AF1029</f>
        <v>4.1471774193548389E-2</v>
      </c>
    </row>
    <row r="1030" spans="19:32" x14ac:dyDescent="0.35">
      <c r="S1030" s="782">
        <v>1026</v>
      </c>
      <c r="T1030" s="782" t="s">
        <v>4284</v>
      </c>
      <c r="U1030" s="782" t="s">
        <v>4981</v>
      </c>
      <c r="V1030" s="797">
        <f>$S$1*P!V1030</f>
        <v>1.1584677419354839E-2</v>
      </c>
      <c r="W1030" s="780"/>
      <c r="X1030" s="782">
        <v>1026</v>
      </c>
      <c r="Y1030" s="782" t="s">
        <v>2248</v>
      </c>
      <c r="Z1030" s="782" t="s">
        <v>3545</v>
      </c>
      <c r="AA1030" s="781">
        <f>$S$1*P!AA1030</f>
        <v>0</v>
      </c>
      <c r="AB1030" s="780"/>
      <c r="AC1030" s="782">
        <v>1026</v>
      </c>
      <c r="AD1030" s="782" t="s">
        <v>4573</v>
      </c>
      <c r="AE1030" s="782" t="s">
        <v>4893</v>
      </c>
      <c r="AF1030" s="781">
        <f>$S$1*P!AF1030</f>
        <v>1.2475806451612904E-2</v>
      </c>
    </row>
    <row r="1031" spans="19:32" x14ac:dyDescent="0.35">
      <c r="S1031" s="870">
        <v>1027</v>
      </c>
      <c r="T1031" s="870" t="s">
        <v>4284</v>
      </c>
      <c r="U1031" s="870" t="s">
        <v>5517</v>
      </c>
      <c r="V1031" s="871">
        <f>$S$1*P!V1031</f>
        <v>16.167999999999999</v>
      </c>
      <c r="W1031" s="780"/>
      <c r="X1031" s="782">
        <v>1027</v>
      </c>
      <c r="Y1031" s="782" t="s">
        <v>2248</v>
      </c>
      <c r="Z1031" s="782" t="s">
        <v>3545</v>
      </c>
      <c r="AA1031" s="781">
        <f>$S$1*P!AA1031</f>
        <v>1.4292338709677422E-3</v>
      </c>
      <c r="AB1031" s="780"/>
      <c r="AC1031" s="782">
        <v>1027</v>
      </c>
      <c r="AD1031" s="782" t="s">
        <v>4573</v>
      </c>
      <c r="AE1031" s="782" t="s">
        <v>4892</v>
      </c>
      <c r="AF1031" s="781">
        <f>$S$1*P!AF1031</f>
        <v>7.5060483870967752E-3</v>
      </c>
    </row>
    <row r="1032" spans="19:32" x14ac:dyDescent="0.35">
      <c r="S1032" s="782">
        <v>1028</v>
      </c>
      <c r="T1032" s="782" t="s">
        <v>4284</v>
      </c>
      <c r="U1032" s="782" t="s">
        <v>3489</v>
      </c>
      <c r="V1032" s="797">
        <f>$S$1*P!V1032</f>
        <v>1.3812500000000001E-3</v>
      </c>
      <c r="W1032" s="780"/>
      <c r="X1032" s="782">
        <v>1028</v>
      </c>
      <c r="Y1032" s="782" t="s">
        <v>2248</v>
      </c>
      <c r="Z1032" s="782" t="s">
        <v>5516</v>
      </c>
      <c r="AA1032" s="781">
        <f>$S$1*P!AA1032</f>
        <v>7.4032258064516132E-3</v>
      </c>
      <c r="AB1032" s="780"/>
      <c r="AC1032" s="782">
        <v>1028</v>
      </c>
      <c r="AD1032" s="782" t="s">
        <v>4573</v>
      </c>
      <c r="AE1032" s="782" t="s">
        <v>4891</v>
      </c>
      <c r="AF1032" s="781">
        <f>$S$1*P!AF1032</f>
        <v>6.3750000000000005E-3</v>
      </c>
    </row>
    <row r="1033" spans="19:32" x14ac:dyDescent="0.35">
      <c r="S1033" s="782">
        <v>1029</v>
      </c>
      <c r="T1033" s="782" t="s">
        <v>4284</v>
      </c>
      <c r="U1033" s="782" t="s">
        <v>3489</v>
      </c>
      <c r="V1033" s="797">
        <f>$S$1*P!V1033</f>
        <v>0</v>
      </c>
      <c r="W1033" s="780"/>
      <c r="X1033" s="782">
        <v>1029</v>
      </c>
      <c r="Y1033" s="782" t="s">
        <v>2248</v>
      </c>
      <c r="Z1033" s="782" t="s">
        <v>3543</v>
      </c>
      <c r="AA1033" s="781">
        <f>$S$1*P!AA1033</f>
        <v>0.21803999999999998</v>
      </c>
      <c r="AB1033" s="780"/>
      <c r="AC1033" s="782">
        <v>1029</v>
      </c>
      <c r="AD1033" s="782" t="s">
        <v>4573</v>
      </c>
      <c r="AE1033" s="782" t="s">
        <v>3431</v>
      </c>
      <c r="AF1033" s="781">
        <f>$S$1*P!AF1033</f>
        <v>2.2620967741935486E-3</v>
      </c>
    </row>
    <row r="1034" spans="19:32" x14ac:dyDescent="0.35">
      <c r="S1034" s="782">
        <v>1030</v>
      </c>
      <c r="T1034" s="782" t="s">
        <v>4284</v>
      </c>
      <c r="U1034" s="782" t="s">
        <v>4980</v>
      </c>
      <c r="V1034" s="797">
        <f>$S$1*P!V1034</f>
        <v>9.7681451612903238</v>
      </c>
      <c r="W1034" s="780"/>
      <c r="X1034" s="782">
        <v>1030</v>
      </c>
      <c r="Y1034" s="782" t="s">
        <v>2248</v>
      </c>
      <c r="Z1034" s="782" t="s">
        <v>3543</v>
      </c>
      <c r="AA1034" s="781">
        <f>$S$1*P!AA1034</f>
        <v>1.3298387096774195E-2</v>
      </c>
      <c r="AB1034" s="780"/>
      <c r="AC1034" s="782">
        <v>1030</v>
      </c>
      <c r="AD1034" s="782" t="s">
        <v>4573</v>
      </c>
      <c r="AE1034" s="782" t="s">
        <v>3431</v>
      </c>
      <c r="AF1034" s="781">
        <f>$S$1*P!AF1034</f>
        <v>0.19228000000000001</v>
      </c>
    </row>
    <row r="1035" spans="19:32" x14ac:dyDescent="0.35">
      <c r="S1035" s="782">
        <v>1031</v>
      </c>
      <c r="T1035" s="782" t="s">
        <v>4284</v>
      </c>
      <c r="U1035" s="782" t="s">
        <v>4979</v>
      </c>
      <c r="V1035" s="797">
        <f>$S$1*P!V1035</f>
        <v>1.641733870967742E-3</v>
      </c>
      <c r="W1035" s="780"/>
      <c r="X1035" s="782">
        <v>1031</v>
      </c>
      <c r="Y1035" s="782" t="s">
        <v>2248</v>
      </c>
      <c r="Z1035" s="782" t="s">
        <v>3757</v>
      </c>
      <c r="AA1035" s="781">
        <f>$S$1*P!AA1035</f>
        <v>1.723991935483871E-2</v>
      </c>
      <c r="AB1035" s="780"/>
      <c r="AC1035" s="782">
        <v>1031</v>
      </c>
      <c r="AD1035" s="782" t="s">
        <v>4573</v>
      </c>
      <c r="AE1035" s="782" t="s">
        <v>4889</v>
      </c>
      <c r="AF1035" s="781">
        <f>$S$1*P!AF1035</f>
        <v>0.59979838709677424</v>
      </c>
    </row>
    <row r="1036" spans="19:32" x14ac:dyDescent="0.35">
      <c r="S1036" s="782">
        <v>1032</v>
      </c>
      <c r="T1036" s="782" t="s">
        <v>4284</v>
      </c>
      <c r="U1036" s="782" t="s">
        <v>3488</v>
      </c>
      <c r="V1036" s="797">
        <f>$S$1*P!V1036</f>
        <v>0</v>
      </c>
      <c r="W1036" s="780"/>
      <c r="X1036" s="782">
        <v>1032</v>
      </c>
      <c r="Y1036" s="782" t="s">
        <v>2248</v>
      </c>
      <c r="Z1036" s="782" t="s">
        <v>5053</v>
      </c>
      <c r="AA1036" s="781">
        <f>$S$1*P!AA1036</f>
        <v>3.3451612903225808E-3</v>
      </c>
      <c r="AB1036" s="780"/>
      <c r="AC1036" s="782">
        <v>1032</v>
      </c>
      <c r="AD1036" s="782" t="s">
        <v>4573</v>
      </c>
      <c r="AE1036" s="782" t="s">
        <v>3430</v>
      </c>
      <c r="AF1036" s="781">
        <f>$S$1*P!AF1036</f>
        <v>2.2449596774193552E-2</v>
      </c>
    </row>
    <row r="1037" spans="19:32" x14ac:dyDescent="0.35">
      <c r="S1037" s="782">
        <v>1033</v>
      </c>
      <c r="T1037" s="782" t="s">
        <v>4284</v>
      </c>
      <c r="U1037" s="782" t="s">
        <v>4978</v>
      </c>
      <c r="V1037" s="797">
        <f>$S$1*P!V1037</f>
        <v>4.4213709677419358E-4</v>
      </c>
      <c r="W1037" s="780"/>
      <c r="X1037" s="782">
        <v>1033</v>
      </c>
      <c r="Y1037" s="782" t="s">
        <v>2248</v>
      </c>
      <c r="Z1037" s="782" t="s">
        <v>3542</v>
      </c>
      <c r="AA1037" s="781">
        <f>$S$1*P!AA1037</f>
        <v>7.773999999999999E-2</v>
      </c>
      <c r="AB1037" s="780"/>
      <c r="AC1037" s="782">
        <v>1033</v>
      </c>
      <c r="AD1037" s="782" t="s">
        <v>4573</v>
      </c>
      <c r="AE1037" s="782" t="s">
        <v>3430</v>
      </c>
      <c r="AF1037" s="781">
        <f>$S$1*P!AF1037</f>
        <v>0.45355999999999996</v>
      </c>
    </row>
    <row r="1038" spans="19:32" x14ac:dyDescent="0.35">
      <c r="S1038" s="782">
        <v>1034</v>
      </c>
      <c r="T1038" s="782" t="s">
        <v>4284</v>
      </c>
      <c r="U1038" s="782" t="s">
        <v>4977</v>
      </c>
      <c r="V1038" s="797">
        <f>$S$1*P!V1038</f>
        <v>1.3332661290322583E-4</v>
      </c>
      <c r="W1038" s="780"/>
      <c r="X1038" s="782">
        <v>1034</v>
      </c>
      <c r="Y1038" s="782" t="s">
        <v>2248</v>
      </c>
      <c r="Z1038" s="782" t="s">
        <v>3542</v>
      </c>
      <c r="AA1038" s="781">
        <f>$S$1*P!AA1038</f>
        <v>3.0298387096774198E-5</v>
      </c>
      <c r="AB1038" s="780"/>
      <c r="AC1038" s="782">
        <v>1034</v>
      </c>
      <c r="AD1038" s="782" t="s">
        <v>4573</v>
      </c>
      <c r="AE1038" s="782" t="s">
        <v>4888</v>
      </c>
      <c r="AF1038" s="781">
        <f>$S$1*P!AF1038</f>
        <v>2.1935483870967745</v>
      </c>
    </row>
    <row r="1039" spans="19:32" x14ac:dyDescent="0.35">
      <c r="S1039" s="782">
        <v>1035</v>
      </c>
      <c r="T1039" s="782" t="s">
        <v>4284</v>
      </c>
      <c r="U1039" s="782" t="s">
        <v>4976</v>
      </c>
      <c r="V1039" s="797">
        <f>$S$1*P!V1039</f>
        <v>1.8987903225806452E-3</v>
      </c>
      <c r="W1039" s="780"/>
      <c r="X1039" s="782">
        <v>1035</v>
      </c>
      <c r="Y1039" s="782" t="s">
        <v>2248</v>
      </c>
      <c r="Z1039" s="782" t="s">
        <v>5515</v>
      </c>
      <c r="AA1039" s="781">
        <f>$S$1*P!AA1039</f>
        <v>3.4959677419354844E-2</v>
      </c>
      <c r="AB1039" s="780"/>
      <c r="AC1039" s="782">
        <v>1035</v>
      </c>
      <c r="AD1039" s="782" t="s">
        <v>4573</v>
      </c>
      <c r="AE1039" s="782" t="s">
        <v>3429</v>
      </c>
      <c r="AF1039" s="781">
        <f>$S$1*P!AF1039</f>
        <v>81.971999999999994</v>
      </c>
    </row>
    <row r="1040" spans="19:32" x14ac:dyDescent="0.35">
      <c r="S1040" s="782">
        <v>1036</v>
      </c>
      <c r="T1040" s="782" t="s">
        <v>4284</v>
      </c>
      <c r="U1040" s="782" t="s">
        <v>4975</v>
      </c>
      <c r="V1040" s="797">
        <f>$S$1*P!V1040</f>
        <v>3.2663306451612903E-3</v>
      </c>
      <c r="W1040" s="780"/>
      <c r="X1040" s="782">
        <v>1036</v>
      </c>
      <c r="Y1040" s="782" t="s">
        <v>2248</v>
      </c>
      <c r="Z1040" s="782" t="s">
        <v>5052</v>
      </c>
      <c r="AA1040" s="781">
        <f>$S$1*P!AA1040</f>
        <v>1.7171370967741938E-3</v>
      </c>
      <c r="AB1040" s="780"/>
      <c r="AC1040" s="782">
        <v>1036</v>
      </c>
      <c r="AD1040" s="782" t="s">
        <v>4573</v>
      </c>
      <c r="AE1040" s="782" t="s">
        <v>4887</v>
      </c>
      <c r="AF1040" s="781">
        <f>$S$1*P!AF1040</f>
        <v>5.4838709677419361E-3</v>
      </c>
    </row>
    <row r="1041" spans="19:32" x14ac:dyDescent="0.35">
      <c r="S1041" s="782">
        <v>1037</v>
      </c>
      <c r="T1041" s="782" t="s">
        <v>4284</v>
      </c>
      <c r="U1041" s="782" t="s">
        <v>3487</v>
      </c>
      <c r="V1041" s="797">
        <f>$S$1*P!V1041</f>
        <v>0</v>
      </c>
      <c r="W1041" s="780"/>
      <c r="X1041" s="782">
        <v>1037</v>
      </c>
      <c r="Y1041" s="782" t="s">
        <v>2248</v>
      </c>
      <c r="Z1041" s="782" t="s">
        <v>3540</v>
      </c>
      <c r="AA1041" s="781">
        <f>$S$1*P!AA1041</f>
        <v>2.4931999999999999</v>
      </c>
      <c r="AB1041" s="780"/>
      <c r="AC1041" s="782">
        <v>1037</v>
      </c>
      <c r="AD1041" s="782" t="s">
        <v>4573</v>
      </c>
      <c r="AE1041" s="782" t="s">
        <v>4886</v>
      </c>
      <c r="AF1041" s="781">
        <f>$S$1*P!AF1041</f>
        <v>1.6725806451612906E-2</v>
      </c>
    </row>
    <row r="1042" spans="19:32" x14ac:dyDescent="0.35">
      <c r="S1042" s="782">
        <v>1038</v>
      </c>
      <c r="T1042" s="782" t="s">
        <v>4284</v>
      </c>
      <c r="U1042" s="782" t="s">
        <v>3485</v>
      </c>
      <c r="V1042" s="797">
        <f>$S$1*P!V1042</f>
        <v>0.18850806451612906</v>
      </c>
      <c r="W1042" s="780"/>
      <c r="X1042" s="782">
        <v>1038</v>
      </c>
      <c r="Y1042" s="782" t="s">
        <v>2248</v>
      </c>
      <c r="Z1042" s="782" t="s">
        <v>5514</v>
      </c>
      <c r="AA1042" s="781">
        <f>$S$1*P!AA1042</f>
        <v>3.3588709677419355E-3</v>
      </c>
      <c r="AB1042" s="780"/>
      <c r="AC1042" s="782">
        <v>1038</v>
      </c>
      <c r="AD1042" s="782" t="s">
        <v>4573</v>
      </c>
      <c r="AE1042" s="782" t="s">
        <v>4885</v>
      </c>
      <c r="AF1042" s="781">
        <f>$S$1*P!AF1042</f>
        <v>2.6116935483870968E-2</v>
      </c>
    </row>
    <row r="1043" spans="19:32" x14ac:dyDescent="0.35">
      <c r="S1043" s="782">
        <v>1039</v>
      </c>
      <c r="T1043" s="782" t="s">
        <v>4284</v>
      </c>
      <c r="U1043" s="782" t="s">
        <v>3485</v>
      </c>
      <c r="V1043" s="797">
        <f>$S$1*P!V1043</f>
        <v>0</v>
      </c>
      <c r="W1043" s="780"/>
      <c r="X1043" s="782">
        <v>1039</v>
      </c>
      <c r="Y1043" s="782" t="s">
        <v>2248</v>
      </c>
      <c r="Z1043" s="782" t="s">
        <v>3539</v>
      </c>
      <c r="AA1043" s="781">
        <f>$S$1*P!AA1043</f>
        <v>0.78476000000000001</v>
      </c>
      <c r="AB1043" s="780"/>
      <c r="AC1043" s="782">
        <v>1039</v>
      </c>
      <c r="AD1043" s="782" t="s">
        <v>4573</v>
      </c>
      <c r="AE1043" s="782" t="s">
        <v>3428</v>
      </c>
      <c r="AF1043" s="781">
        <f>$S$1*P!AF1043</f>
        <v>0</v>
      </c>
    </row>
    <row r="1044" spans="19:32" x14ac:dyDescent="0.35">
      <c r="S1044" s="782">
        <v>1040</v>
      </c>
      <c r="T1044" s="782" t="s">
        <v>4284</v>
      </c>
      <c r="U1044" s="782" t="s">
        <v>3484</v>
      </c>
      <c r="V1044" s="797">
        <f>$S$1*P!V1044</f>
        <v>8.6370967741935498E-5</v>
      </c>
      <c r="W1044" s="780"/>
      <c r="X1044" s="782">
        <v>1040</v>
      </c>
      <c r="Y1044" s="782" t="s">
        <v>2248</v>
      </c>
      <c r="Z1044" s="782" t="s">
        <v>3537</v>
      </c>
      <c r="AA1044" s="781">
        <f>$S$1*P!AA1044</f>
        <v>0.33856000000000003</v>
      </c>
      <c r="AB1044" s="780"/>
      <c r="AC1044" s="782">
        <v>1040</v>
      </c>
      <c r="AD1044" s="782" t="s">
        <v>4573</v>
      </c>
      <c r="AE1044" s="782" t="s">
        <v>4884</v>
      </c>
      <c r="AF1044" s="781">
        <f>$S$1*P!AF1044</f>
        <v>0.43528225806451615</v>
      </c>
    </row>
    <row r="1045" spans="19:32" x14ac:dyDescent="0.35">
      <c r="S1045" s="782">
        <v>1041</v>
      </c>
      <c r="T1045" s="782" t="s">
        <v>4284</v>
      </c>
      <c r="U1045" s="782" t="s">
        <v>3484</v>
      </c>
      <c r="V1045" s="797">
        <f>$S$1*P!V1045</f>
        <v>1.6652E-2</v>
      </c>
      <c r="W1045" s="780"/>
      <c r="X1045" s="782">
        <v>1041</v>
      </c>
      <c r="Y1045" s="782" t="s">
        <v>2248</v>
      </c>
      <c r="Z1045" s="782" t="s">
        <v>3537</v>
      </c>
      <c r="AA1045" s="781">
        <f>$S$1*P!AA1045</f>
        <v>2.8858870967741936E-5</v>
      </c>
      <c r="AB1045" s="780"/>
      <c r="AC1045" s="782">
        <v>1041</v>
      </c>
      <c r="AD1045" s="782" t="s">
        <v>4573</v>
      </c>
      <c r="AE1045" s="782" t="s">
        <v>4883</v>
      </c>
      <c r="AF1045" s="781">
        <f>$S$1*P!AF1045</f>
        <v>6.8548387096774202E-2</v>
      </c>
    </row>
    <row r="1046" spans="19:32" x14ac:dyDescent="0.35">
      <c r="S1046" s="782">
        <v>1042</v>
      </c>
      <c r="T1046" s="782" t="s">
        <v>4284</v>
      </c>
      <c r="U1046" s="782" t="s">
        <v>3482</v>
      </c>
      <c r="V1046" s="797">
        <f>$S$1*P!V1046</f>
        <v>0.65595999999999999</v>
      </c>
      <c r="W1046" s="780"/>
      <c r="X1046" s="782">
        <v>1042</v>
      </c>
      <c r="Y1046" s="782" t="s">
        <v>2248</v>
      </c>
      <c r="Z1046" s="782" t="s">
        <v>5513</v>
      </c>
      <c r="AA1046" s="781">
        <f>$S$1*P!AA1046</f>
        <v>1.4463709677419357E-2</v>
      </c>
      <c r="AB1046" s="780"/>
      <c r="AC1046" s="782">
        <v>1042</v>
      </c>
      <c r="AD1046" s="782" t="s">
        <v>4573</v>
      </c>
      <c r="AE1046" s="782" t="s">
        <v>4882</v>
      </c>
      <c r="AF1046" s="781">
        <f>$S$1*P!AF1046</f>
        <v>0.2553427419354839</v>
      </c>
    </row>
    <row r="1047" spans="19:32" x14ac:dyDescent="0.35">
      <c r="S1047" s="782">
        <v>1043</v>
      </c>
      <c r="T1047" s="782" t="s">
        <v>4284</v>
      </c>
      <c r="U1047" s="782" t="s">
        <v>3481</v>
      </c>
      <c r="V1047" s="797">
        <f>$S$1*P!V1047</f>
        <v>3.252620967741936E-3</v>
      </c>
      <c r="W1047" s="780"/>
      <c r="X1047" s="782">
        <v>1043</v>
      </c>
      <c r="Y1047" s="782" t="s">
        <v>2248</v>
      </c>
      <c r="Z1047" s="782" t="s">
        <v>3536</v>
      </c>
      <c r="AA1047" s="781">
        <f>$S$1*P!AA1047</f>
        <v>10.672000000000001</v>
      </c>
      <c r="AB1047" s="780"/>
      <c r="AC1047" s="782">
        <v>1043</v>
      </c>
      <c r="AD1047" s="782" t="s">
        <v>4573</v>
      </c>
      <c r="AE1047" s="782" t="s">
        <v>4881</v>
      </c>
      <c r="AF1047" s="781">
        <f>$S$1*P!AF1047</f>
        <v>4.3870967741935489E-2</v>
      </c>
    </row>
    <row r="1048" spans="19:32" x14ac:dyDescent="0.35">
      <c r="S1048" s="782">
        <v>1044</v>
      </c>
      <c r="T1048" s="782" t="s">
        <v>4284</v>
      </c>
      <c r="U1048" s="782" t="s">
        <v>3481</v>
      </c>
      <c r="V1048" s="797">
        <f>$S$1*P!V1048</f>
        <v>0.29991999999999996</v>
      </c>
      <c r="W1048" s="780"/>
      <c r="X1048" s="782">
        <v>1044</v>
      </c>
      <c r="Y1048" s="782" t="s">
        <v>2248</v>
      </c>
      <c r="Z1048" s="782" t="s">
        <v>3535</v>
      </c>
      <c r="AA1048" s="781">
        <f>$S$1*P!AA1048</f>
        <v>1.4352E-2</v>
      </c>
      <c r="AB1048" s="780"/>
      <c r="AC1048" s="782">
        <v>1044</v>
      </c>
      <c r="AD1048" s="782" t="s">
        <v>4573</v>
      </c>
      <c r="AE1048" s="782" t="s">
        <v>4880</v>
      </c>
      <c r="AF1048" s="781">
        <f>$S$1*P!AF1048</f>
        <v>7.5403225806451618E-2</v>
      </c>
    </row>
    <row r="1049" spans="19:32" x14ac:dyDescent="0.35">
      <c r="S1049" s="782">
        <v>1045</v>
      </c>
      <c r="T1049" s="782" t="s">
        <v>4284</v>
      </c>
      <c r="U1049" s="782" t="s">
        <v>4974</v>
      </c>
      <c r="V1049" s="797">
        <f>$S$1*P!V1049</f>
        <v>1.9433467741935486E-3</v>
      </c>
      <c r="W1049" s="780"/>
      <c r="X1049" s="782">
        <v>1045</v>
      </c>
      <c r="Y1049" s="782" t="s">
        <v>2248</v>
      </c>
      <c r="Z1049" s="782" t="s">
        <v>3535</v>
      </c>
      <c r="AA1049" s="781">
        <f>$S$1*P!AA1049</f>
        <v>5.106854838709678E-4</v>
      </c>
      <c r="AB1049" s="780"/>
      <c r="AC1049" s="782">
        <v>1045</v>
      </c>
      <c r="AD1049" s="782" t="s">
        <v>4573</v>
      </c>
      <c r="AE1049" s="782" t="s">
        <v>3427</v>
      </c>
      <c r="AF1049" s="781">
        <f>$S$1*P!AF1049</f>
        <v>2.4506048387096777E-2</v>
      </c>
    </row>
    <row r="1050" spans="19:32" x14ac:dyDescent="0.35">
      <c r="S1050" s="782">
        <v>1046</v>
      </c>
      <c r="T1050" s="782" t="s">
        <v>4284</v>
      </c>
      <c r="U1050" s="782" t="s">
        <v>4973</v>
      </c>
      <c r="V1050" s="797">
        <f>$S$1*P!V1050</f>
        <v>7.0262096774193557E-4</v>
      </c>
      <c r="W1050" s="780"/>
      <c r="X1050" s="782">
        <v>1046</v>
      </c>
      <c r="Y1050" s="782" t="s">
        <v>2248</v>
      </c>
      <c r="Z1050" s="782" t="s">
        <v>5512</v>
      </c>
      <c r="AA1050" s="781">
        <f>$S$1*P!AA1050</f>
        <v>1.655443548387097E-2</v>
      </c>
      <c r="AB1050" s="780"/>
      <c r="AC1050" s="782">
        <v>1046</v>
      </c>
      <c r="AD1050" s="782" t="s">
        <v>4573</v>
      </c>
      <c r="AE1050" s="782" t="s">
        <v>3427</v>
      </c>
      <c r="AF1050" s="781">
        <f>$S$1*P!AF1050</f>
        <v>4.7656E-3</v>
      </c>
    </row>
    <row r="1051" spans="19:32" x14ac:dyDescent="0.35">
      <c r="S1051" s="782">
        <v>1047</v>
      </c>
      <c r="T1051" s="782" t="s">
        <v>4284</v>
      </c>
      <c r="U1051" s="782" t="s">
        <v>3479</v>
      </c>
      <c r="V1051" s="797">
        <f>$S$1*P!V1051</f>
        <v>24.748000000000001</v>
      </c>
      <c r="W1051" s="780"/>
      <c r="X1051" s="782">
        <v>1047</v>
      </c>
      <c r="Y1051" s="782" t="s">
        <v>2248</v>
      </c>
      <c r="Z1051" s="782" t="s">
        <v>5051</v>
      </c>
      <c r="AA1051" s="781">
        <f>$S$1*P!AA1051</f>
        <v>9.425403225806452E-4</v>
      </c>
      <c r="AB1051" s="780"/>
      <c r="AC1051" s="782">
        <v>1047</v>
      </c>
      <c r="AD1051" s="782" t="s">
        <v>4573</v>
      </c>
      <c r="AE1051" s="782" t="s">
        <v>3425</v>
      </c>
      <c r="AF1051" s="781">
        <f>$S$1*P!AF1051</f>
        <v>2.0118951612903228E-2</v>
      </c>
    </row>
    <row r="1052" spans="19:32" x14ac:dyDescent="0.35">
      <c r="S1052" s="782">
        <v>1048</v>
      </c>
      <c r="T1052" s="782" t="s">
        <v>4284</v>
      </c>
      <c r="U1052" s="782" t="s">
        <v>3477</v>
      </c>
      <c r="V1052" s="797">
        <f>$S$1*P!V1052</f>
        <v>8.774193548387098E-6</v>
      </c>
      <c r="W1052" s="780"/>
      <c r="X1052" s="782">
        <v>1048</v>
      </c>
      <c r="Y1052" s="782" t="s">
        <v>2248</v>
      </c>
      <c r="Z1052" s="782" t="s">
        <v>5511</v>
      </c>
      <c r="AA1052" s="781">
        <f>$S$1*P!AA1052</f>
        <v>1.6520161290322583E-3</v>
      </c>
      <c r="AB1052" s="780"/>
      <c r="AC1052" s="782">
        <v>1048</v>
      </c>
      <c r="AD1052" s="782" t="s">
        <v>4573</v>
      </c>
      <c r="AE1052" s="782" t="s">
        <v>3425</v>
      </c>
      <c r="AF1052" s="781">
        <f>$S$1*P!AF1052</f>
        <v>0</v>
      </c>
    </row>
    <row r="1053" spans="19:32" x14ac:dyDescent="0.35">
      <c r="S1053" s="782">
        <v>1049</v>
      </c>
      <c r="T1053" s="782" t="s">
        <v>4284</v>
      </c>
      <c r="U1053" s="782" t="s">
        <v>3477</v>
      </c>
      <c r="V1053" s="797">
        <f>$S$1*P!V1053</f>
        <v>6.8724000000000007E-2</v>
      </c>
      <c r="W1053" s="780"/>
      <c r="X1053" s="782">
        <v>1049</v>
      </c>
      <c r="Y1053" s="782" t="s">
        <v>2248</v>
      </c>
      <c r="Z1053" s="782" t="s">
        <v>5510</v>
      </c>
      <c r="AA1053" s="781">
        <f>$S$1*P!AA1053</f>
        <v>2.8379032258064516E-4</v>
      </c>
      <c r="AB1053" s="780"/>
      <c r="AC1053" s="782">
        <v>1049</v>
      </c>
      <c r="AD1053" s="782" t="s">
        <v>4573</v>
      </c>
      <c r="AE1053" s="782" t="s">
        <v>4879</v>
      </c>
      <c r="AF1053" s="781">
        <f>$S$1*P!AF1053</f>
        <v>0.13675403225806454</v>
      </c>
    </row>
    <row r="1054" spans="19:32" x14ac:dyDescent="0.35">
      <c r="S1054" s="782">
        <v>1050</v>
      </c>
      <c r="T1054" s="782" t="s">
        <v>4284</v>
      </c>
      <c r="U1054" s="782" t="s">
        <v>3476</v>
      </c>
      <c r="V1054" s="797">
        <f>$S$1*P!V1054</f>
        <v>2.0221774193548391E-3</v>
      </c>
      <c r="W1054" s="780"/>
      <c r="X1054" s="782">
        <v>1050</v>
      </c>
      <c r="Y1054" s="782" t="s">
        <v>2248</v>
      </c>
      <c r="Z1054" s="782" t="s">
        <v>3534</v>
      </c>
      <c r="AA1054" s="781">
        <f>$S$1*P!AA1054</f>
        <v>31.463999999999999</v>
      </c>
      <c r="AB1054" s="780"/>
      <c r="AC1054" s="782">
        <v>1050</v>
      </c>
      <c r="AD1054" s="782" t="s">
        <v>4573</v>
      </c>
      <c r="AE1054" s="782" t="s">
        <v>4878</v>
      </c>
      <c r="AF1054" s="781">
        <f>$S$1*P!AF1054</f>
        <v>3.5302419354838713E-4</v>
      </c>
    </row>
    <row r="1055" spans="19:32" x14ac:dyDescent="0.35">
      <c r="S1055" s="782">
        <v>1051</v>
      </c>
      <c r="T1055" s="782" t="s">
        <v>4284</v>
      </c>
      <c r="U1055" s="782" t="s">
        <v>3476</v>
      </c>
      <c r="V1055" s="797">
        <f>$S$1*P!V1055</f>
        <v>0</v>
      </c>
      <c r="W1055" s="780"/>
      <c r="X1055" s="782">
        <v>1051</v>
      </c>
      <c r="Y1055" s="782" t="s">
        <v>2248</v>
      </c>
      <c r="Z1055" s="782" t="s">
        <v>3533</v>
      </c>
      <c r="AA1055" s="781">
        <f>$S$1*P!AA1055</f>
        <v>2.0148000000000001</v>
      </c>
      <c r="AB1055" s="780"/>
      <c r="AC1055" s="782">
        <v>1051</v>
      </c>
      <c r="AD1055" s="782" t="s">
        <v>4573</v>
      </c>
      <c r="AE1055" s="782" t="s">
        <v>4875</v>
      </c>
      <c r="AF1055" s="781">
        <f>$S$1*P!AF1055</f>
        <v>0.56209677419354842</v>
      </c>
    </row>
    <row r="1056" spans="19:32" x14ac:dyDescent="0.35">
      <c r="S1056" s="782">
        <v>1052</v>
      </c>
      <c r="T1056" s="782" t="s">
        <v>4284</v>
      </c>
      <c r="U1056" s="782" t="s">
        <v>3474</v>
      </c>
      <c r="V1056" s="797">
        <f>$S$1*P!V1056</f>
        <v>25.667999999999999</v>
      </c>
      <c r="W1056" s="780"/>
      <c r="X1056" s="782">
        <v>1052</v>
      </c>
      <c r="Y1056" s="782" t="s">
        <v>2248</v>
      </c>
      <c r="Z1056" s="782" t="s">
        <v>3752</v>
      </c>
      <c r="AA1056" s="781">
        <f>$S$1*P!AA1056</f>
        <v>9.425403225806452E-4</v>
      </c>
      <c r="AB1056" s="780"/>
      <c r="AC1056" s="782">
        <v>1052</v>
      </c>
      <c r="AD1056" s="782" t="s">
        <v>4573</v>
      </c>
      <c r="AE1056" s="782" t="s">
        <v>4873</v>
      </c>
      <c r="AF1056" s="781">
        <f>$S$1*P!AF1056</f>
        <v>5.963709677419355E-2</v>
      </c>
    </row>
    <row r="1057" spans="19:32" x14ac:dyDescent="0.35">
      <c r="S1057" s="782">
        <v>1053</v>
      </c>
      <c r="T1057" s="782" t="s">
        <v>4284</v>
      </c>
      <c r="U1057" s="782" t="s">
        <v>3473</v>
      </c>
      <c r="V1057" s="797">
        <f>$S$1*P!V1057</f>
        <v>1.2304435483870968E-2</v>
      </c>
      <c r="W1057" s="780"/>
      <c r="X1057" s="782">
        <v>1053</v>
      </c>
      <c r="Y1057" s="782" t="s">
        <v>2248</v>
      </c>
      <c r="Z1057" s="782" t="s">
        <v>5050</v>
      </c>
      <c r="AA1057" s="781">
        <f>$S$1*P!AA1057</f>
        <v>1.4600806451612904E-5</v>
      </c>
      <c r="AB1057" s="780"/>
      <c r="AC1057" s="782">
        <v>1053</v>
      </c>
      <c r="AD1057" s="782" t="s">
        <v>4573</v>
      </c>
      <c r="AE1057" s="782" t="s">
        <v>4872</v>
      </c>
      <c r="AF1057" s="781">
        <f>$S$1*P!AF1057</f>
        <v>1.0247983870967743E-2</v>
      </c>
    </row>
    <row r="1058" spans="19:32" x14ac:dyDescent="0.35">
      <c r="S1058" s="782">
        <v>1054</v>
      </c>
      <c r="T1058" s="782" t="s">
        <v>4284</v>
      </c>
      <c r="U1058" s="782" t="s">
        <v>3473</v>
      </c>
      <c r="V1058" s="797">
        <f>$S$1*P!V1058</f>
        <v>8.4640000000000004</v>
      </c>
      <c r="W1058" s="780"/>
      <c r="X1058" s="782">
        <v>1054</v>
      </c>
      <c r="Y1058" s="782" t="s">
        <v>2248</v>
      </c>
      <c r="Z1058" s="782" t="s">
        <v>5049</v>
      </c>
      <c r="AA1058" s="781">
        <f>$S$1*P!AA1058</f>
        <v>2.4985887096774195E-2</v>
      </c>
      <c r="AB1058" s="780"/>
      <c r="AC1058" s="782">
        <v>1054</v>
      </c>
      <c r="AD1058" s="782" t="s">
        <v>4573</v>
      </c>
      <c r="AE1058" s="782" t="s">
        <v>4871</v>
      </c>
      <c r="AF1058" s="781">
        <f>$S$1*P!AF1058</f>
        <v>1.7068548387096774E-2</v>
      </c>
    </row>
    <row r="1059" spans="19:32" x14ac:dyDescent="0.35">
      <c r="S1059" s="782">
        <v>1055</v>
      </c>
      <c r="T1059" s="782" t="s">
        <v>4284</v>
      </c>
      <c r="U1059" s="782" t="s">
        <v>3471</v>
      </c>
      <c r="V1059" s="797">
        <f>$S$1*P!V1059</f>
        <v>2.5808467741935487E-2</v>
      </c>
      <c r="W1059" s="780"/>
      <c r="X1059" s="782">
        <v>1055</v>
      </c>
      <c r="Y1059" s="782" t="s">
        <v>2248</v>
      </c>
      <c r="Z1059" s="782" t="s">
        <v>5509</v>
      </c>
      <c r="AA1059" s="781">
        <f>$S$1*P!AA1059</f>
        <v>6.2721774193548392E-5</v>
      </c>
      <c r="AB1059" s="780"/>
      <c r="AC1059" s="782">
        <v>1055</v>
      </c>
      <c r="AD1059" s="782" t="s">
        <v>4573</v>
      </c>
      <c r="AE1059" s="782" t="s">
        <v>4870</v>
      </c>
      <c r="AF1059" s="781">
        <f>$S$1*P!AF1059</f>
        <v>9.7338709677419366E-2</v>
      </c>
    </row>
    <row r="1060" spans="19:32" x14ac:dyDescent="0.35">
      <c r="S1060" s="782">
        <v>1056</v>
      </c>
      <c r="T1060" s="782" t="s">
        <v>4284</v>
      </c>
      <c r="U1060" s="782" t="s">
        <v>3471</v>
      </c>
      <c r="V1060" s="797">
        <f>$S$1*P!V1060</f>
        <v>16.375999999999998</v>
      </c>
      <c r="W1060" s="780"/>
      <c r="X1060" s="782">
        <v>1056</v>
      </c>
      <c r="Y1060" s="782" t="s">
        <v>2248</v>
      </c>
      <c r="Z1060" s="782" t="s">
        <v>5048</v>
      </c>
      <c r="AA1060" s="781">
        <f>$S$1*P!AA1060</f>
        <v>4.5927419354838714E-4</v>
      </c>
      <c r="AB1060" s="780"/>
      <c r="AC1060" s="782">
        <v>1056</v>
      </c>
      <c r="AD1060" s="782" t="s">
        <v>4573</v>
      </c>
      <c r="AE1060" s="782" t="s">
        <v>4867</v>
      </c>
      <c r="AF1060" s="781">
        <f>$S$1*P!AF1060</f>
        <v>0.19125</v>
      </c>
    </row>
    <row r="1061" spans="19:32" x14ac:dyDescent="0.35">
      <c r="S1061" s="782">
        <v>1057</v>
      </c>
      <c r="T1061" s="782" t="s">
        <v>4284</v>
      </c>
      <c r="U1061" s="782" t="s">
        <v>3470</v>
      </c>
      <c r="V1061" s="797">
        <f>$S$1*P!V1061</f>
        <v>0</v>
      </c>
      <c r="W1061" s="780"/>
      <c r="X1061" s="782">
        <v>1057</v>
      </c>
      <c r="Y1061" s="782" t="s">
        <v>2248</v>
      </c>
      <c r="Z1061" s="782" t="s">
        <v>5047</v>
      </c>
      <c r="AA1061" s="781">
        <f>$S$1*P!AA1061</f>
        <v>3.8729838709677424E-3</v>
      </c>
      <c r="AB1061" s="780"/>
      <c r="AC1061" s="782">
        <v>1057</v>
      </c>
      <c r="AD1061" s="782" t="s">
        <v>4573</v>
      </c>
      <c r="AE1061" s="782" t="s">
        <v>4865</v>
      </c>
      <c r="AF1061" s="781">
        <f>$S$1*P!AF1061</f>
        <v>0.42500000000000004</v>
      </c>
    </row>
    <row r="1062" spans="19:32" x14ac:dyDescent="0.35">
      <c r="S1062" s="782">
        <v>1058</v>
      </c>
      <c r="T1062" s="782" t="s">
        <v>4284</v>
      </c>
      <c r="U1062" s="782" t="s">
        <v>3469</v>
      </c>
      <c r="V1062" s="797">
        <f>$S$1*P!V1062</f>
        <v>8.739919354838711E-3</v>
      </c>
      <c r="W1062" s="780"/>
      <c r="X1062" s="782">
        <v>1058</v>
      </c>
      <c r="Y1062" s="782" t="s">
        <v>2248</v>
      </c>
      <c r="Z1062" s="782" t="s">
        <v>5508</v>
      </c>
      <c r="AA1062" s="781">
        <f>$S$1*P!AA1062</f>
        <v>3.9072580645161297E-3</v>
      </c>
      <c r="AB1062" s="780"/>
      <c r="AC1062" s="782">
        <v>1058</v>
      </c>
      <c r="AD1062" s="782" t="s">
        <v>4573</v>
      </c>
      <c r="AE1062" s="782" t="s">
        <v>4862</v>
      </c>
      <c r="AF1062" s="781">
        <f>$S$1*P!AF1062</f>
        <v>7.0947580645161299</v>
      </c>
    </row>
    <row r="1063" spans="19:32" x14ac:dyDescent="0.35">
      <c r="S1063" s="782">
        <v>1059</v>
      </c>
      <c r="T1063" s="782" t="s">
        <v>4284</v>
      </c>
      <c r="U1063" s="782" t="s">
        <v>3469</v>
      </c>
      <c r="V1063" s="797">
        <f>$S$1*P!V1063</f>
        <v>0</v>
      </c>
      <c r="W1063" s="780"/>
      <c r="X1063" s="782">
        <v>1059</v>
      </c>
      <c r="Y1063" s="782" t="s">
        <v>2248</v>
      </c>
      <c r="Z1063" s="782" t="s">
        <v>3532</v>
      </c>
      <c r="AA1063" s="781">
        <f>$S$1*P!AA1063</f>
        <v>0</v>
      </c>
      <c r="AB1063" s="780"/>
      <c r="AC1063" s="782">
        <v>1059</v>
      </c>
      <c r="AD1063" s="782" t="s">
        <v>4573</v>
      </c>
      <c r="AE1063" s="782" t="s">
        <v>3423</v>
      </c>
      <c r="AF1063" s="781">
        <f>$S$1*P!AF1063</f>
        <v>3.3691532258064517E-2</v>
      </c>
    </row>
    <row r="1064" spans="19:32" x14ac:dyDescent="0.35">
      <c r="S1064" s="782">
        <v>1060</v>
      </c>
      <c r="T1064" s="782" t="s">
        <v>4284</v>
      </c>
      <c r="U1064" s="782" t="s">
        <v>4972</v>
      </c>
      <c r="V1064" s="797">
        <f>$S$1*P!V1064</f>
        <v>7.7459677419354847E-4</v>
      </c>
      <c r="W1064" s="780"/>
      <c r="X1064" s="782">
        <v>1060</v>
      </c>
      <c r="Y1064" s="782" t="s">
        <v>2248</v>
      </c>
      <c r="Z1064" s="782" t="s">
        <v>5046</v>
      </c>
      <c r="AA1064" s="781">
        <f>$S$1*P!AA1064</f>
        <v>7.985887096774194E-4</v>
      </c>
      <c r="AB1064" s="780"/>
      <c r="AC1064" s="782">
        <v>1060</v>
      </c>
      <c r="AD1064" s="782" t="s">
        <v>4573</v>
      </c>
      <c r="AE1064" s="782" t="s">
        <v>3423</v>
      </c>
      <c r="AF1064" s="781">
        <f>$S$1*P!AF1064</f>
        <v>0.28612000000000004</v>
      </c>
    </row>
    <row r="1065" spans="19:32" x14ac:dyDescent="0.35">
      <c r="S1065" s="782">
        <v>1061</v>
      </c>
      <c r="T1065" s="782" t="s">
        <v>4284</v>
      </c>
      <c r="U1065" s="782" t="s">
        <v>3467</v>
      </c>
      <c r="V1065" s="797">
        <f>$S$1*P!V1065</f>
        <v>1.1481854838709677</v>
      </c>
      <c r="W1065" s="780"/>
      <c r="X1065" s="782">
        <v>1061</v>
      </c>
      <c r="Y1065" s="782" t="s">
        <v>2248</v>
      </c>
      <c r="Z1065" s="782" t="s">
        <v>3531</v>
      </c>
      <c r="AA1065" s="781">
        <f>$S$1*P!AA1065</f>
        <v>7.3415999999999995E-2</v>
      </c>
      <c r="AB1065" s="780"/>
      <c r="AC1065" s="782">
        <v>1061</v>
      </c>
      <c r="AD1065" s="782" t="s">
        <v>4573</v>
      </c>
      <c r="AE1065" s="782" t="s">
        <v>4858</v>
      </c>
      <c r="AF1065" s="781">
        <f>$S$1*P!AF1065</f>
        <v>6.61491935483871</v>
      </c>
    </row>
    <row r="1066" spans="19:32" x14ac:dyDescent="0.35">
      <c r="S1066" s="782">
        <v>1062</v>
      </c>
      <c r="T1066" s="782" t="s">
        <v>4284</v>
      </c>
      <c r="U1066" s="782" t="s">
        <v>3467</v>
      </c>
      <c r="V1066" s="797">
        <f>$S$1*P!V1066</f>
        <v>0</v>
      </c>
      <c r="W1066" s="780"/>
      <c r="X1066" s="782">
        <v>1062</v>
      </c>
      <c r="Y1066" s="782" t="s">
        <v>2248</v>
      </c>
      <c r="Z1066" s="782" t="s">
        <v>3750</v>
      </c>
      <c r="AA1066" s="781">
        <f>$S$1*P!AA1066</f>
        <v>2.4266129032258065E-3</v>
      </c>
      <c r="AB1066" s="780"/>
      <c r="AC1066" s="782">
        <v>1062</v>
      </c>
      <c r="AD1066" s="782" t="s">
        <v>4573</v>
      </c>
      <c r="AE1066" s="782" t="s">
        <v>4855</v>
      </c>
      <c r="AF1066" s="781">
        <f>$S$1*P!AF1066</f>
        <v>0.63750000000000007</v>
      </c>
    </row>
    <row r="1067" spans="19:32" x14ac:dyDescent="0.35">
      <c r="S1067" s="782">
        <v>1063</v>
      </c>
      <c r="T1067" s="782" t="s">
        <v>4284</v>
      </c>
      <c r="U1067" s="782" t="s">
        <v>3466</v>
      </c>
      <c r="V1067" s="797">
        <f>$S$1*P!V1067</f>
        <v>1.477217741935484E-2</v>
      </c>
      <c r="W1067" s="780"/>
      <c r="X1067" s="782">
        <v>1063</v>
      </c>
      <c r="Y1067" s="782" t="s">
        <v>2248</v>
      </c>
      <c r="Z1067" s="782" t="s">
        <v>3531</v>
      </c>
      <c r="AA1067" s="781">
        <f>$S$1*P!AA1067</f>
        <v>2.1250000000000002E-4</v>
      </c>
      <c r="AB1067" s="780"/>
      <c r="AC1067" s="782">
        <v>1063</v>
      </c>
      <c r="AD1067" s="782" t="s">
        <v>4573</v>
      </c>
      <c r="AE1067" s="782" t="s">
        <v>4852</v>
      </c>
      <c r="AF1067" s="781">
        <f>$S$1*P!AF1067</f>
        <v>23.923387096774196</v>
      </c>
    </row>
    <row r="1068" spans="19:32" x14ac:dyDescent="0.35">
      <c r="S1068" s="782">
        <v>1064</v>
      </c>
      <c r="T1068" s="782" t="s">
        <v>4284</v>
      </c>
      <c r="U1068" s="782" t="s">
        <v>3466</v>
      </c>
      <c r="V1068" s="797">
        <f>$S$1*P!V1068</f>
        <v>0</v>
      </c>
      <c r="W1068" s="780"/>
      <c r="X1068" s="782">
        <v>1064</v>
      </c>
      <c r="Y1068" s="782" t="s">
        <v>2248</v>
      </c>
      <c r="Z1068" s="782" t="s">
        <v>5045</v>
      </c>
      <c r="AA1068" s="781">
        <f>$S$1*P!AA1068</f>
        <v>1.5766129032258068E-5</v>
      </c>
      <c r="AB1068" s="780"/>
      <c r="AC1068" s="782">
        <v>1064</v>
      </c>
      <c r="AD1068" s="782" t="s">
        <v>4573</v>
      </c>
      <c r="AE1068" s="782" t="s">
        <v>4850</v>
      </c>
      <c r="AF1068" s="781">
        <f>$S$1*P!AF1068</f>
        <v>2.3854838709677421E-2</v>
      </c>
    </row>
    <row r="1069" spans="19:32" x14ac:dyDescent="0.35">
      <c r="S1069" s="782">
        <v>1065</v>
      </c>
      <c r="T1069" s="782" t="s">
        <v>4284</v>
      </c>
      <c r="U1069" s="782" t="s">
        <v>3464</v>
      </c>
      <c r="V1069" s="797">
        <f>$S$1*P!V1069</f>
        <v>2.279233870967742</v>
      </c>
      <c r="W1069" s="780"/>
      <c r="X1069" s="782">
        <v>1065</v>
      </c>
      <c r="Y1069" s="782" t="s">
        <v>2248</v>
      </c>
      <c r="Z1069" s="782" t="s">
        <v>5507</v>
      </c>
      <c r="AA1069" s="781">
        <f>$S$1*P!AA1069</f>
        <v>1.3435483870967742E-2</v>
      </c>
      <c r="AB1069" s="780"/>
      <c r="AC1069" s="782">
        <v>1065</v>
      </c>
      <c r="AD1069" s="782" t="s">
        <v>4573</v>
      </c>
      <c r="AE1069" s="782" t="s">
        <v>3422</v>
      </c>
      <c r="AF1069" s="781">
        <f>$S$1*P!AF1069</f>
        <v>3.3691532258064517E-2</v>
      </c>
    </row>
    <row r="1070" spans="19:32" x14ac:dyDescent="0.35">
      <c r="S1070" s="782">
        <v>1066</v>
      </c>
      <c r="T1070" s="782" t="s">
        <v>4284</v>
      </c>
      <c r="U1070" s="782" t="s">
        <v>3464</v>
      </c>
      <c r="V1070" s="797">
        <f>$S$1*P!V1070</f>
        <v>0</v>
      </c>
      <c r="W1070" s="780"/>
      <c r="X1070" s="782">
        <v>1066</v>
      </c>
      <c r="Y1070" s="782" t="s">
        <v>2248</v>
      </c>
      <c r="Z1070" s="782" t="s">
        <v>5044</v>
      </c>
      <c r="AA1070" s="781">
        <f>$S$1*P!AA1070</f>
        <v>5.0383064516129034E-5</v>
      </c>
      <c r="AB1070" s="780"/>
      <c r="AC1070" s="782">
        <v>1066</v>
      </c>
      <c r="AD1070" s="782" t="s">
        <v>4573</v>
      </c>
      <c r="AE1070" s="782" t="s">
        <v>3422</v>
      </c>
      <c r="AF1070" s="781">
        <f>$S$1*P!AF1070</f>
        <v>0.63019999999999998</v>
      </c>
    </row>
    <row r="1071" spans="19:32" x14ac:dyDescent="0.35">
      <c r="S1071" s="782">
        <v>1067</v>
      </c>
      <c r="T1071" s="782" t="s">
        <v>4284</v>
      </c>
      <c r="U1071" s="782" t="s">
        <v>4970</v>
      </c>
      <c r="V1071" s="797">
        <f>$S$1*P!V1071</f>
        <v>92.540322580645167</v>
      </c>
      <c r="W1071" s="780"/>
      <c r="X1071" s="782">
        <v>1067</v>
      </c>
      <c r="Y1071" s="782" t="s">
        <v>2248</v>
      </c>
      <c r="Z1071" s="782" t="s">
        <v>5043</v>
      </c>
      <c r="AA1071" s="781">
        <f>$S$1*P!AA1071</f>
        <v>3.2971774193548385E-4</v>
      </c>
      <c r="AB1071" s="780"/>
      <c r="AC1071" s="782">
        <v>1067</v>
      </c>
      <c r="AD1071" s="782" t="s">
        <v>4573</v>
      </c>
      <c r="AE1071" s="782" t="s">
        <v>4845</v>
      </c>
      <c r="AF1071" s="781">
        <f>$S$1*P!AF1071</f>
        <v>2.645967741935484E-2</v>
      </c>
    </row>
    <row r="1072" spans="19:32" x14ac:dyDescent="0.35">
      <c r="S1072" s="782">
        <v>1068</v>
      </c>
      <c r="T1072" s="782" t="s">
        <v>4284</v>
      </c>
      <c r="U1072" s="782" t="s">
        <v>3463</v>
      </c>
      <c r="V1072" s="797">
        <f>$S$1*P!V1072</f>
        <v>5.2439516129032265E-5</v>
      </c>
      <c r="W1072" s="780"/>
      <c r="X1072" s="782">
        <v>1068</v>
      </c>
      <c r="Y1072" s="782" t="s">
        <v>2248</v>
      </c>
      <c r="Z1072" s="782" t="s">
        <v>5042</v>
      </c>
      <c r="AA1072" s="781">
        <f>$S$1*P!AA1072</f>
        <v>1.4497983870967743E-3</v>
      </c>
      <c r="AB1072" s="780"/>
      <c r="AC1072" s="782">
        <v>1068</v>
      </c>
      <c r="AD1072" s="782" t="s">
        <v>4573</v>
      </c>
      <c r="AE1072" s="782" t="s">
        <v>3420</v>
      </c>
      <c r="AF1072" s="781">
        <f>$S$1*P!AF1072</f>
        <v>9.9052419354838717E-2</v>
      </c>
    </row>
    <row r="1073" spans="19:32" x14ac:dyDescent="0.35">
      <c r="S1073" s="782">
        <v>1069</v>
      </c>
      <c r="T1073" s="782" t="s">
        <v>4284</v>
      </c>
      <c r="U1073" s="782" t="s">
        <v>3463</v>
      </c>
      <c r="V1073" s="797">
        <f>$S$1*P!V1073</f>
        <v>4.8115999999999999E-2</v>
      </c>
      <c r="W1073" s="780"/>
      <c r="X1073" s="782">
        <v>1069</v>
      </c>
      <c r="Y1073" s="782" t="s">
        <v>2248</v>
      </c>
      <c r="Z1073" s="782" t="s">
        <v>3749</v>
      </c>
      <c r="AA1073" s="781">
        <f>$S$1*P!AA1073</f>
        <v>2.834475806451613E-5</v>
      </c>
      <c r="AB1073" s="780"/>
      <c r="AC1073" s="782">
        <v>1069</v>
      </c>
      <c r="AD1073" s="782" t="s">
        <v>4573</v>
      </c>
      <c r="AE1073" s="782" t="s">
        <v>3420</v>
      </c>
      <c r="AF1073" s="781">
        <f>$S$1*P!AF1073</f>
        <v>0.27232000000000001</v>
      </c>
    </row>
    <row r="1074" spans="19:32" x14ac:dyDescent="0.35">
      <c r="S1074" s="782">
        <v>1070</v>
      </c>
      <c r="T1074" s="782" t="s">
        <v>4284</v>
      </c>
      <c r="U1074" s="782" t="s">
        <v>4969</v>
      </c>
      <c r="V1074" s="797">
        <f>$S$1*P!V1074</f>
        <v>1.4086693548387097</v>
      </c>
      <c r="W1074" s="780"/>
      <c r="X1074" s="782">
        <v>1070</v>
      </c>
      <c r="Y1074" s="782" t="s">
        <v>2248</v>
      </c>
      <c r="Z1074" s="782" t="s">
        <v>5040</v>
      </c>
      <c r="AA1074" s="781">
        <f>$S$1*P!AA1074</f>
        <v>4.0443548387096779E-4</v>
      </c>
      <c r="AB1074" s="780"/>
      <c r="AC1074" s="782">
        <v>1070</v>
      </c>
      <c r="AD1074" s="782" t="s">
        <v>4573</v>
      </c>
      <c r="AE1074" s="782" t="s">
        <v>3419</v>
      </c>
      <c r="AF1074" s="781">
        <f>$S$1*P!AF1074</f>
        <v>1.2144000000000001</v>
      </c>
    </row>
    <row r="1075" spans="19:32" x14ac:dyDescent="0.35">
      <c r="S1075" s="782">
        <v>1071</v>
      </c>
      <c r="T1075" s="782" t="s">
        <v>4284</v>
      </c>
      <c r="U1075" s="782" t="s">
        <v>3461</v>
      </c>
      <c r="V1075" s="797">
        <f>$S$1*P!V1075</f>
        <v>3.7358870967741938E-2</v>
      </c>
      <c r="W1075" s="780"/>
      <c r="X1075" s="782">
        <v>1071</v>
      </c>
      <c r="Y1075" s="782" t="s">
        <v>2248</v>
      </c>
      <c r="Z1075" s="782" t="s">
        <v>5039</v>
      </c>
      <c r="AA1075" s="781">
        <f>$S$1*P!AA1075</f>
        <v>2.1661290322580649E-4</v>
      </c>
      <c r="AB1075" s="780"/>
      <c r="AC1075" s="782">
        <v>1071</v>
      </c>
      <c r="AD1075" s="782" t="s">
        <v>4573</v>
      </c>
      <c r="AE1075" s="782" t="s">
        <v>3417</v>
      </c>
      <c r="AF1075" s="781">
        <f>$S$1*P!AF1075</f>
        <v>1.7891129032258066E-2</v>
      </c>
    </row>
    <row r="1076" spans="19:32" x14ac:dyDescent="0.35">
      <c r="S1076" s="782">
        <v>1072</v>
      </c>
      <c r="T1076" s="782" t="s">
        <v>4284</v>
      </c>
      <c r="U1076" s="782" t="s">
        <v>3461</v>
      </c>
      <c r="V1076" s="797">
        <f>$S$1*P!V1076</f>
        <v>0.32291999999999998</v>
      </c>
      <c r="W1076" s="780"/>
      <c r="X1076" s="782">
        <v>1072</v>
      </c>
      <c r="Y1076" s="782" t="s">
        <v>2248</v>
      </c>
      <c r="Z1076" s="782" t="s">
        <v>3746</v>
      </c>
      <c r="AA1076" s="781">
        <f>$S$1*P!AA1076</f>
        <v>2.6802419354838711E-2</v>
      </c>
      <c r="AB1076" s="780"/>
      <c r="AC1076" s="782">
        <v>1072</v>
      </c>
      <c r="AD1076" s="782" t="s">
        <v>4573</v>
      </c>
      <c r="AE1076" s="782" t="s">
        <v>3417</v>
      </c>
      <c r="AF1076" s="781">
        <f>$S$1*P!AF1076</f>
        <v>10.488</v>
      </c>
    </row>
    <row r="1077" spans="19:32" x14ac:dyDescent="0.35">
      <c r="S1077" s="782">
        <v>1073</v>
      </c>
      <c r="T1077" s="782" t="s">
        <v>4284</v>
      </c>
      <c r="U1077" s="782" t="s">
        <v>3460</v>
      </c>
      <c r="V1077" s="797">
        <f>$S$1*P!V1077</f>
        <v>0.73692000000000002</v>
      </c>
      <c r="W1077" s="780"/>
      <c r="X1077" s="782">
        <v>1073</v>
      </c>
      <c r="Y1077" s="782" t="s">
        <v>2248</v>
      </c>
      <c r="Z1077" s="782" t="s">
        <v>5038</v>
      </c>
      <c r="AA1077" s="781">
        <f>$S$1*P!AA1077</f>
        <v>3.3417338709677419E-2</v>
      </c>
      <c r="AB1077" s="780"/>
      <c r="AC1077" s="782">
        <v>1073</v>
      </c>
      <c r="AD1077" s="782" t="s">
        <v>4573</v>
      </c>
      <c r="AE1077" s="782" t="s">
        <v>4839</v>
      </c>
      <c r="AF1077" s="781">
        <f>$S$1*P!AF1077</f>
        <v>3.7016129032258066E-2</v>
      </c>
    </row>
    <row r="1078" spans="19:32" x14ac:dyDescent="0.35">
      <c r="S1078" s="782">
        <v>1074</v>
      </c>
      <c r="T1078" s="782" t="s">
        <v>4284</v>
      </c>
      <c r="U1078" s="782" t="s">
        <v>4968</v>
      </c>
      <c r="V1078" s="797">
        <f>$S$1*P!V1078</f>
        <v>1.3024193548387098E-3</v>
      </c>
      <c r="W1078" s="780"/>
      <c r="X1078" s="782">
        <v>1074</v>
      </c>
      <c r="Y1078" s="782" t="s">
        <v>2248</v>
      </c>
      <c r="Z1078" s="782" t="s">
        <v>5037</v>
      </c>
      <c r="AA1078" s="781">
        <f>$S$1*P!AA1078</f>
        <v>8.8770161290322595E-6</v>
      </c>
      <c r="AB1078" s="780"/>
      <c r="AC1078" s="782">
        <v>1074</v>
      </c>
      <c r="AD1078" s="782" t="s">
        <v>4573</v>
      </c>
      <c r="AE1078" s="782" t="s">
        <v>4837</v>
      </c>
      <c r="AF1078" s="781">
        <f>$S$1*P!AF1078</f>
        <v>1.0796370967741937E-2</v>
      </c>
    </row>
    <row r="1079" spans="19:32" x14ac:dyDescent="0.35">
      <c r="S1079" s="782">
        <v>1075</v>
      </c>
      <c r="T1079" s="782" t="s">
        <v>4284</v>
      </c>
      <c r="U1079" s="782" t="s">
        <v>4967</v>
      </c>
      <c r="V1079" s="797">
        <f>$S$1*P!V1079</f>
        <v>4.3185483870967746E-4</v>
      </c>
      <c r="W1079" s="780"/>
      <c r="X1079" s="782">
        <v>1075</v>
      </c>
      <c r="Y1079" s="782" t="s">
        <v>2248</v>
      </c>
      <c r="Z1079" s="782" t="s">
        <v>5506</v>
      </c>
      <c r="AA1079" s="781">
        <f>$S$1*P!AA1079</f>
        <v>6.4435483870967751E-3</v>
      </c>
      <c r="AB1079" s="780"/>
      <c r="AC1079" s="782">
        <v>1075</v>
      </c>
      <c r="AD1079" s="782" t="s">
        <v>4573</v>
      </c>
      <c r="AE1079" s="782" t="s">
        <v>3416</v>
      </c>
      <c r="AF1079" s="781">
        <f>$S$1*P!AF1079</f>
        <v>0.71975806451612911</v>
      </c>
    </row>
    <row r="1080" spans="19:32" x14ac:dyDescent="0.35">
      <c r="S1080" s="782">
        <v>1076</v>
      </c>
      <c r="T1080" s="782" t="s">
        <v>4284</v>
      </c>
      <c r="U1080" s="782" t="s">
        <v>4966</v>
      </c>
      <c r="V1080" s="797">
        <f>$S$1*P!V1080</f>
        <v>5.2439516129032266E-4</v>
      </c>
      <c r="W1080" s="780"/>
      <c r="X1080" s="782">
        <v>1076</v>
      </c>
      <c r="Y1080" s="782" t="s">
        <v>2248</v>
      </c>
      <c r="Z1080" s="782" t="s">
        <v>3529</v>
      </c>
      <c r="AA1080" s="781">
        <f>$S$1*P!AA1080</f>
        <v>0.83628000000000002</v>
      </c>
      <c r="AB1080" s="780"/>
      <c r="AC1080" s="782">
        <v>1076</v>
      </c>
      <c r="AD1080" s="782" t="s">
        <v>4573</v>
      </c>
      <c r="AE1080" s="782" t="s">
        <v>3416</v>
      </c>
      <c r="AF1080" s="781">
        <f>$S$1*P!AF1080</f>
        <v>19.32</v>
      </c>
    </row>
    <row r="1081" spans="19:32" x14ac:dyDescent="0.35">
      <c r="S1081" s="782">
        <v>1077</v>
      </c>
      <c r="T1081" s="782" t="s">
        <v>4284</v>
      </c>
      <c r="U1081" s="782" t="s">
        <v>4965</v>
      </c>
      <c r="V1081" s="797">
        <f>$S$1*P!V1081</f>
        <v>6.6834677419354838E-2</v>
      </c>
      <c r="W1081" s="780"/>
      <c r="X1081" s="782">
        <v>1077</v>
      </c>
      <c r="Y1081" s="782" t="s">
        <v>2248</v>
      </c>
      <c r="Z1081" s="782" t="s">
        <v>3528</v>
      </c>
      <c r="AA1081" s="781">
        <f>$S$1*P!AA1081</f>
        <v>0</v>
      </c>
      <c r="AB1081" s="780"/>
      <c r="AC1081" s="782">
        <v>1077</v>
      </c>
      <c r="AD1081" s="782" t="s">
        <v>4573</v>
      </c>
      <c r="AE1081" s="782" t="s">
        <v>3414</v>
      </c>
      <c r="AF1081" s="781">
        <f>$S$1*P!AF1081</f>
        <v>5.3819999999999997</v>
      </c>
    </row>
    <row r="1082" spans="19:32" x14ac:dyDescent="0.35">
      <c r="S1082" s="782">
        <v>1078</v>
      </c>
      <c r="T1082" s="782" t="s">
        <v>4284</v>
      </c>
      <c r="U1082" s="782" t="s">
        <v>4964</v>
      </c>
      <c r="V1082" s="797">
        <f>$S$1*P!V1082</f>
        <v>2.7590725806451614E-2</v>
      </c>
      <c r="W1082" s="780"/>
      <c r="X1082" s="782">
        <v>1078</v>
      </c>
      <c r="Y1082" s="782" t="s">
        <v>2248</v>
      </c>
      <c r="Z1082" s="782" t="s">
        <v>3528</v>
      </c>
      <c r="AA1082" s="781">
        <f>$S$1*P!AA1082</f>
        <v>7.1633064516129035E-5</v>
      </c>
      <c r="AB1082" s="780"/>
      <c r="AC1082" s="782">
        <v>1078</v>
      </c>
      <c r="AD1082" s="782" t="s">
        <v>4573</v>
      </c>
      <c r="AE1082" s="782" t="s">
        <v>3413</v>
      </c>
      <c r="AF1082" s="781">
        <f>$S$1*P!AF1082</f>
        <v>140.76000000000002</v>
      </c>
    </row>
    <row r="1083" spans="19:32" x14ac:dyDescent="0.35">
      <c r="S1083" s="782">
        <v>1079</v>
      </c>
      <c r="T1083" s="782" t="s">
        <v>4284</v>
      </c>
      <c r="U1083" s="782" t="s">
        <v>3458</v>
      </c>
      <c r="V1083" s="797">
        <f>$S$1*P!V1083</f>
        <v>0.3495967741935484</v>
      </c>
      <c r="W1083" s="780"/>
      <c r="X1083" s="782">
        <v>1079</v>
      </c>
      <c r="Y1083" s="782" t="s">
        <v>2248</v>
      </c>
      <c r="Z1083" s="782" t="s">
        <v>5505</v>
      </c>
      <c r="AA1083" s="781">
        <f>$S$1*P!AA1083</f>
        <v>4.9697580645161298E-3</v>
      </c>
      <c r="AB1083" s="780"/>
      <c r="AC1083" s="782">
        <v>1079</v>
      </c>
      <c r="AD1083" s="782" t="s">
        <v>4573</v>
      </c>
      <c r="AE1083" s="782" t="s">
        <v>4832</v>
      </c>
      <c r="AF1083" s="781">
        <f>$S$1*P!AF1083</f>
        <v>4.1129032258064517E-2</v>
      </c>
    </row>
    <row r="1084" spans="19:32" x14ac:dyDescent="0.35">
      <c r="S1084" s="782">
        <v>1080</v>
      </c>
      <c r="T1084" s="782" t="s">
        <v>4284</v>
      </c>
      <c r="U1084" s="782" t="s">
        <v>3458</v>
      </c>
      <c r="V1084" s="797">
        <f>$S$1*P!V1084</f>
        <v>314.64000000000004</v>
      </c>
      <c r="W1084" s="780"/>
      <c r="X1084" s="782">
        <v>1080</v>
      </c>
      <c r="Y1084" s="782" t="s">
        <v>2248</v>
      </c>
      <c r="Z1084" s="782" t="s">
        <v>3526</v>
      </c>
      <c r="AA1084" s="781">
        <f>$S$1*P!AA1084</f>
        <v>5.7683999999999999E-3</v>
      </c>
      <c r="AB1084" s="780"/>
      <c r="AC1084" s="782">
        <v>1080</v>
      </c>
      <c r="AD1084" s="782" t="s">
        <v>4573</v>
      </c>
      <c r="AE1084" s="782" t="s">
        <v>4830</v>
      </c>
      <c r="AF1084" s="781">
        <f>$S$1*P!AF1084</f>
        <v>0.29304435483870972</v>
      </c>
    </row>
    <row r="1085" spans="19:32" x14ac:dyDescent="0.35">
      <c r="S1085" s="782">
        <v>1081</v>
      </c>
      <c r="T1085" s="782" t="s">
        <v>4284</v>
      </c>
      <c r="U1085" s="782" t="s">
        <v>3457</v>
      </c>
      <c r="V1085" s="797">
        <f>$S$1*P!V1085</f>
        <v>0.19090725806451614</v>
      </c>
      <c r="W1085" s="780"/>
      <c r="X1085" s="782">
        <v>1081</v>
      </c>
      <c r="Y1085" s="782" t="s">
        <v>2248</v>
      </c>
      <c r="Z1085" s="782" t="s">
        <v>5036</v>
      </c>
      <c r="AA1085" s="781">
        <f>$S$1*P!AA1085</f>
        <v>1.9776209677419354E-4</v>
      </c>
      <c r="AB1085" s="780"/>
      <c r="AC1085" s="782">
        <v>1081</v>
      </c>
      <c r="AD1085" s="782" t="s">
        <v>4573</v>
      </c>
      <c r="AE1085" s="782" t="s">
        <v>3411</v>
      </c>
      <c r="AF1085" s="781">
        <f>$S$1*P!AF1085</f>
        <v>1.346975806451613E-2</v>
      </c>
    </row>
    <row r="1086" spans="19:32" x14ac:dyDescent="0.35">
      <c r="S1086" s="782">
        <v>1082</v>
      </c>
      <c r="T1086" s="782" t="s">
        <v>4284</v>
      </c>
      <c r="U1086" s="782" t="s">
        <v>3457</v>
      </c>
      <c r="V1086" s="797">
        <f>$S$1*P!V1086</f>
        <v>314.64000000000004</v>
      </c>
      <c r="W1086" s="780"/>
      <c r="X1086" s="782">
        <v>1082</v>
      </c>
      <c r="Y1086" s="782" t="s">
        <v>2248</v>
      </c>
      <c r="Z1086" s="782" t="s">
        <v>5504</v>
      </c>
      <c r="AA1086" s="781">
        <f>$S$1*P!AA1086</f>
        <v>7.1290322580645174E-4</v>
      </c>
      <c r="AB1086" s="780"/>
      <c r="AC1086" s="782">
        <v>1082</v>
      </c>
      <c r="AD1086" s="782" t="s">
        <v>4573</v>
      </c>
      <c r="AE1086" s="782" t="s">
        <v>3411</v>
      </c>
      <c r="AF1086" s="781">
        <f>$S$1*P!AF1086</f>
        <v>6.605599999999999E-2</v>
      </c>
    </row>
    <row r="1087" spans="19:32" x14ac:dyDescent="0.35">
      <c r="S1087" s="782">
        <v>1083</v>
      </c>
      <c r="T1087" s="782" t="s">
        <v>4284</v>
      </c>
      <c r="U1087" s="782" t="s">
        <v>3455</v>
      </c>
      <c r="V1087" s="797">
        <f>$S$1*P!V1087</f>
        <v>0.50725806451612909</v>
      </c>
      <c r="W1087" s="780"/>
      <c r="X1087" s="782">
        <v>1083</v>
      </c>
      <c r="Y1087" s="782" t="s">
        <v>2248</v>
      </c>
      <c r="Z1087" s="782" t="s">
        <v>5035</v>
      </c>
      <c r="AA1087" s="781">
        <f>$S$1*P!AA1087</f>
        <v>9.9052419354838717E-4</v>
      </c>
      <c r="AB1087" s="780"/>
      <c r="AC1087" s="782">
        <v>1083</v>
      </c>
      <c r="AD1087" s="782" t="s">
        <v>4573</v>
      </c>
      <c r="AE1087" s="782" t="s">
        <v>4825</v>
      </c>
      <c r="AF1087" s="781">
        <f>$S$1*P!AF1087</f>
        <v>1.7205645161290323E-2</v>
      </c>
    </row>
    <row r="1088" spans="19:32" x14ac:dyDescent="0.35">
      <c r="S1088" s="782">
        <v>1084</v>
      </c>
      <c r="T1088" s="782" t="s">
        <v>4284</v>
      </c>
      <c r="U1088" s="782" t="s">
        <v>3455</v>
      </c>
      <c r="V1088" s="797">
        <f>$S$1*P!V1088</f>
        <v>314.64000000000004</v>
      </c>
      <c r="W1088" s="780"/>
      <c r="X1088" s="782">
        <v>1084</v>
      </c>
      <c r="Y1088" s="782" t="s">
        <v>2248</v>
      </c>
      <c r="Z1088" s="782" t="s">
        <v>5031</v>
      </c>
      <c r="AA1088" s="781">
        <f>$S$1*P!AA1088</f>
        <v>8.8084677419354848E-4</v>
      </c>
      <c r="AB1088" s="780"/>
      <c r="AC1088" s="782">
        <v>1084</v>
      </c>
      <c r="AD1088" s="782" t="s">
        <v>4573</v>
      </c>
      <c r="AE1088" s="782" t="s">
        <v>3409</v>
      </c>
      <c r="AF1088" s="781">
        <f>$S$1*P!AF1088</f>
        <v>0</v>
      </c>
    </row>
    <row r="1089" spans="19:32" x14ac:dyDescent="0.35">
      <c r="S1089" s="782">
        <v>1085</v>
      </c>
      <c r="T1089" s="782" t="s">
        <v>4284</v>
      </c>
      <c r="U1089" s="782" t="s">
        <v>3453</v>
      </c>
      <c r="V1089" s="797">
        <f>$S$1*P!V1089</f>
        <v>0</v>
      </c>
      <c r="W1089" s="780"/>
      <c r="X1089" s="782">
        <v>1085</v>
      </c>
      <c r="Y1089" s="782" t="s">
        <v>2248</v>
      </c>
      <c r="Z1089" s="782" t="s">
        <v>5503</v>
      </c>
      <c r="AA1089" s="781">
        <f>$S$1*P!AA1089</f>
        <v>5.9294354838709679E-3</v>
      </c>
      <c r="AB1089" s="780"/>
      <c r="AC1089" s="782">
        <v>1085</v>
      </c>
      <c r="AD1089" s="782" t="s">
        <v>4573</v>
      </c>
      <c r="AE1089" s="782" t="s">
        <v>3408</v>
      </c>
      <c r="AF1089" s="781">
        <f>$S$1*P!AF1089</f>
        <v>5.9979838709677425E-3</v>
      </c>
    </row>
    <row r="1090" spans="19:32" x14ac:dyDescent="0.35">
      <c r="S1090" s="782">
        <v>1086</v>
      </c>
      <c r="T1090" s="782" t="s">
        <v>4284</v>
      </c>
      <c r="U1090" s="782" t="s">
        <v>3452</v>
      </c>
      <c r="V1090" s="797">
        <f>$S$1*P!V1090</f>
        <v>0</v>
      </c>
      <c r="W1090" s="780"/>
      <c r="X1090" s="782">
        <v>1086</v>
      </c>
      <c r="Y1090" s="782" t="s">
        <v>2248</v>
      </c>
      <c r="Z1090" s="782" t="s">
        <v>3524</v>
      </c>
      <c r="AA1090" s="781">
        <f>$S$1*P!AA1090</f>
        <v>18.492000000000001</v>
      </c>
      <c r="AB1090" s="780"/>
      <c r="AC1090" s="782">
        <v>1086</v>
      </c>
      <c r="AD1090" s="782" t="s">
        <v>4573</v>
      </c>
      <c r="AE1090" s="782" t="s">
        <v>3408</v>
      </c>
      <c r="AF1090" s="781">
        <f>$S$1*P!AF1090</f>
        <v>3.6984000000000003E-2</v>
      </c>
    </row>
    <row r="1091" spans="19:32" x14ac:dyDescent="0.35">
      <c r="S1091" s="782">
        <v>1087</v>
      </c>
      <c r="T1091" s="782" t="s">
        <v>4284</v>
      </c>
      <c r="U1091" s="782" t="s">
        <v>3451</v>
      </c>
      <c r="V1091" s="797">
        <f>$S$1*P!V1091</f>
        <v>0</v>
      </c>
      <c r="W1091" s="780"/>
      <c r="X1091" s="782">
        <v>1087</v>
      </c>
      <c r="Y1091" s="782" t="s">
        <v>2248</v>
      </c>
      <c r="Z1091" s="782" t="s">
        <v>3523</v>
      </c>
      <c r="AA1091" s="781">
        <f>$S$1*P!AA1091</f>
        <v>0</v>
      </c>
      <c r="AB1091" s="780"/>
      <c r="AC1091" s="782">
        <v>1087</v>
      </c>
      <c r="AD1091" s="782" t="s">
        <v>4573</v>
      </c>
      <c r="AE1091" s="782" t="s">
        <v>4822</v>
      </c>
      <c r="AF1091" s="781">
        <f>$S$1*P!AF1091</f>
        <v>1.5320564516129034E-2</v>
      </c>
    </row>
    <row r="1092" spans="19:32" x14ac:dyDescent="0.35">
      <c r="S1092" s="782">
        <v>1088</v>
      </c>
      <c r="T1092" s="782" t="s">
        <v>4284</v>
      </c>
      <c r="U1092" s="782" t="s">
        <v>4960</v>
      </c>
      <c r="V1092" s="797">
        <f>$S$1*P!V1092</f>
        <v>1.9604838709677419E-4</v>
      </c>
      <c r="W1092" s="780"/>
      <c r="X1092" s="782">
        <v>1088</v>
      </c>
      <c r="Y1092" s="782" t="s">
        <v>2248</v>
      </c>
      <c r="Z1092" s="782" t="s">
        <v>5502</v>
      </c>
      <c r="AA1092" s="781">
        <f>$S$1*P!AA1092</f>
        <v>1.8542338709677419E-2</v>
      </c>
      <c r="AB1092" s="780"/>
      <c r="AC1092" s="782">
        <v>1088</v>
      </c>
      <c r="AD1092" s="782" t="s">
        <v>4573</v>
      </c>
      <c r="AE1092" s="782" t="s">
        <v>3406</v>
      </c>
      <c r="AF1092" s="781">
        <f>$S$1*P!AF1092</f>
        <v>3.5302419354838714</v>
      </c>
    </row>
    <row r="1093" spans="19:32" x14ac:dyDescent="0.35">
      <c r="S1093" s="782">
        <v>1089</v>
      </c>
      <c r="T1093" s="782" t="s">
        <v>4284</v>
      </c>
      <c r="U1093" s="782" t="s">
        <v>3450</v>
      </c>
      <c r="V1093" s="797">
        <f>$S$1*P!V1093</f>
        <v>6.957661290322581E-2</v>
      </c>
      <c r="W1093" s="780"/>
      <c r="X1093" s="782">
        <v>1089</v>
      </c>
      <c r="Y1093" s="782" t="s">
        <v>2248</v>
      </c>
      <c r="Z1093" s="782" t="s">
        <v>5030</v>
      </c>
      <c r="AA1093" s="781">
        <f>$S$1*P!AA1093</f>
        <v>2.7625000000000002E-3</v>
      </c>
      <c r="AB1093" s="780"/>
      <c r="AC1093" s="782">
        <v>1089</v>
      </c>
      <c r="AD1093" s="782" t="s">
        <v>4573</v>
      </c>
      <c r="AE1093" s="782" t="s">
        <v>3406</v>
      </c>
      <c r="AF1093" s="781">
        <f>$S$1*P!AF1093</f>
        <v>677.12</v>
      </c>
    </row>
    <row r="1094" spans="19:32" x14ac:dyDescent="0.35">
      <c r="S1094" s="782">
        <v>1090</v>
      </c>
      <c r="T1094" s="782" t="s">
        <v>4284</v>
      </c>
      <c r="U1094" s="782" t="s">
        <v>3450</v>
      </c>
      <c r="V1094" s="797">
        <f>$S$1*P!V1094</f>
        <v>1.9872000000000001</v>
      </c>
      <c r="W1094" s="780"/>
      <c r="X1094" s="782">
        <v>1090</v>
      </c>
      <c r="Y1094" s="782" t="s">
        <v>2248</v>
      </c>
      <c r="Z1094" s="782" t="s">
        <v>3521</v>
      </c>
      <c r="AA1094" s="781">
        <f>$S$1*P!AA1094</f>
        <v>1.0948</v>
      </c>
      <c r="AB1094" s="780"/>
      <c r="AC1094" s="782">
        <v>1090</v>
      </c>
      <c r="AD1094" s="782" t="s">
        <v>4573</v>
      </c>
      <c r="AE1094" s="782" t="s">
        <v>4817</v>
      </c>
      <c r="AF1094" s="781">
        <f>$S$1*P!AF1094</f>
        <v>0.57237903225806452</v>
      </c>
    </row>
    <row r="1095" spans="19:32" x14ac:dyDescent="0.35">
      <c r="S1095" s="782">
        <v>1091</v>
      </c>
      <c r="T1095" s="782" t="s">
        <v>4284</v>
      </c>
      <c r="U1095" s="782" t="s">
        <v>3448</v>
      </c>
      <c r="V1095" s="797">
        <f>$S$1*P!V1095</f>
        <v>7.197580645161291E-3</v>
      </c>
      <c r="W1095" s="780"/>
      <c r="X1095" s="782">
        <v>1091</v>
      </c>
      <c r="Y1095" s="782" t="s">
        <v>2248</v>
      </c>
      <c r="Z1095" s="782" t="s">
        <v>5029</v>
      </c>
      <c r="AA1095" s="781">
        <f>$S$1*P!AA1095</f>
        <v>1.6760080645161293E-2</v>
      </c>
      <c r="AB1095" s="780"/>
      <c r="AC1095" s="782">
        <v>1091</v>
      </c>
      <c r="AD1095" s="782" t="s">
        <v>4573</v>
      </c>
      <c r="AE1095" s="782" t="s">
        <v>3405</v>
      </c>
      <c r="AF1095" s="781">
        <f>$S$1*P!AF1095</f>
        <v>1.8953629032258066</v>
      </c>
    </row>
    <row r="1096" spans="19:32" x14ac:dyDescent="0.35">
      <c r="S1096" s="782">
        <v>1092</v>
      </c>
      <c r="T1096" s="782" t="s">
        <v>4284</v>
      </c>
      <c r="U1096" s="782" t="s">
        <v>3448</v>
      </c>
      <c r="V1096" s="797">
        <f>$S$1*P!V1096</f>
        <v>1.8124000000000002</v>
      </c>
      <c r="W1096" s="780"/>
      <c r="X1096" s="782">
        <v>1092</v>
      </c>
      <c r="Y1096" s="782" t="s">
        <v>2248</v>
      </c>
      <c r="Z1096" s="782" t="s">
        <v>5501</v>
      </c>
      <c r="AA1096" s="781">
        <f>$S$1*P!AA1096</f>
        <v>4.8669354838709681E-4</v>
      </c>
      <c r="AB1096" s="780"/>
      <c r="AC1096" s="782">
        <v>1092</v>
      </c>
      <c r="AD1096" s="782" t="s">
        <v>4573</v>
      </c>
      <c r="AE1096" s="782" t="s">
        <v>3405</v>
      </c>
      <c r="AF1096" s="781">
        <f>$S$1*P!AF1096</f>
        <v>8.5928000000000004</v>
      </c>
    </row>
    <row r="1097" spans="19:32" x14ac:dyDescent="0.35">
      <c r="S1097" s="782">
        <v>1093</v>
      </c>
      <c r="T1097" s="782" t="s">
        <v>4284</v>
      </c>
      <c r="U1097" s="782" t="s">
        <v>4956</v>
      </c>
      <c r="V1097" s="797">
        <f>$S$1*P!V1097</f>
        <v>6.1008064516129036E-3</v>
      </c>
      <c r="W1097" s="780"/>
      <c r="X1097" s="782">
        <v>1093</v>
      </c>
      <c r="Y1097" s="782" t="s">
        <v>2248</v>
      </c>
      <c r="Z1097" s="782" t="s">
        <v>5028</v>
      </c>
      <c r="AA1097" s="781">
        <f>$S$1*P!AA1097</f>
        <v>0.20358870967741938</v>
      </c>
      <c r="AB1097" s="780"/>
      <c r="AC1097" s="782">
        <v>1093</v>
      </c>
      <c r="AD1097" s="782" t="s">
        <v>4573</v>
      </c>
      <c r="AE1097" s="782" t="s">
        <v>3403</v>
      </c>
      <c r="AF1097" s="781">
        <f>$S$1*P!AF1097</f>
        <v>1.2612903225806453</v>
      </c>
    </row>
    <row r="1098" spans="19:32" x14ac:dyDescent="0.35">
      <c r="S1098" s="782">
        <v>1094</v>
      </c>
      <c r="T1098" s="782" t="s">
        <v>4284</v>
      </c>
      <c r="U1098" s="782" t="s">
        <v>4955</v>
      </c>
      <c r="V1098" s="797">
        <f>$S$1*P!V1098</f>
        <v>1.559475806451613</v>
      </c>
      <c r="W1098" s="780"/>
      <c r="X1098" s="782">
        <v>1094</v>
      </c>
      <c r="Y1098" s="782" t="s">
        <v>2248</v>
      </c>
      <c r="Z1098" s="782" t="s">
        <v>5024</v>
      </c>
      <c r="AA1098" s="781">
        <f>$S$1*P!AA1098</f>
        <v>5.9637096774193545E-4</v>
      </c>
      <c r="AB1098" s="780"/>
      <c r="AC1098" s="782">
        <v>1094</v>
      </c>
      <c r="AD1098" s="782" t="s">
        <v>4573</v>
      </c>
      <c r="AE1098" s="782" t="s">
        <v>3403</v>
      </c>
      <c r="AF1098" s="781">
        <f>$S$1*P!AF1098</f>
        <v>0</v>
      </c>
    </row>
    <row r="1099" spans="19:32" x14ac:dyDescent="0.35">
      <c r="S1099" s="782">
        <v>1095</v>
      </c>
      <c r="T1099" s="782" t="s">
        <v>4284</v>
      </c>
      <c r="U1099" s="782" t="s">
        <v>4952</v>
      </c>
      <c r="V1099" s="797">
        <f>$S$1*P!V1099</f>
        <v>2.4677419354838712E-3</v>
      </c>
      <c r="W1099" s="780"/>
      <c r="X1099" s="782">
        <v>1095</v>
      </c>
      <c r="Y1099" s="782" t="s">
        <v>2248</v>
      </c>
      <c r="Z1099" s="782" t="s">
        <v>5500</v>
      </c>
      <c r="AA1099" s="781">
        <f>$S$1*P!AA1099</f>
        <v>0.39758064516129038</v>
      </c>
      <c r="AB1099" s="780"/>
      <c r="AC1099" s="782">
        <v>1095</v>
      </c>
      <c r="AD1099" s="782" t="s">
        <v>4573</v>
      </c>
      <c r="AE1099" s="782" t="s">
        <v>4813</v>
      </c>
      <c r="AF1099" s="781">
        <f>$S$1*P!AF1099</f>
        <v>7.3004032258064519E-4</v>
      </c>
    </row>
    <row r="1100" spans="19:32" x14ac:dyDescent="0.35">
      <c r="S1100" s="782">
        <v>1096</v>
      </c>
      <c r="T1100" s="782" t="s">
        <v>4284</v>
      </c>
      <c r="U1100" s="782" t="s">
        <v>4950</v>
      </c>
      <c r="V1100" s="797">
        <f>$S$1*P!V1100</f>
        <v>1.2338709677419356E-3</v>
      </c>
      <c r="W1100" s="780"/>
      <c r="X1100" s="782">
        <v>1096</v>
      </c>
      <c r="Y1100" s="782" t="s">
        <v>2248</v>
      </c>
      <c r="Z1100" s="782" t="s">
        <v>5019</v>
      </c>
      <c r="AA1100" s="781">
        <f>$S$1*P!AA1100</f>
        <v>2.4540322580645164E-2</v>
      </c>
      <c r="AB1100" s="780"/>
      <c r="AC1100" s="782">
        <v>1096</v>
      </c>
      <c r="AD1100" s="782" t="s">
        <v>4573</v>
      </c>
      <c r="AE1100" s="782" t="s">
        <v>3402</v>
      </c>
      <c r="AF1100" s="781">
        <f>$S$1*P!AF1100</f>
        <v>0.26220000000000004</v>
      </c>
    </row>
    <row r="1101" spans="19:32" x14ac:dyDescent="0.35">
      <c r="S1101" s="782">
        <v>1097</v>
      </c>
      <c r="T1101" s="782" t="s">
        <v>4284</v>
      </c>
      <c r="U1101" s="782" t="s">
        <v>4949</v>
      </c>
      <c r="V1101" s="797">
        <f>$S$1*P!V1101</f>
        <v>4.0786290322580646E-3</v>
      </c>
      <c r="W1101" s="780"/>
      <c r="X1101" s="782">
        <v>1097</v>
      </c>
      <c r="Y1101" s="782" t="s">
        <v>2248</v>
      </c>
      <c r="Z1101" s="782" t="s">
        <v>3520</v>
      </c>
      <c r="AA1101" s="781">
        <f>$S$1*P!AA1101</f>
        <v>0</v>
      </c>
      <c r="AB1101" s="780"/>
      <c r="AC1101" s="782">
        <v>1097</v>
      </c>
      <c r="AD1101" s="782" t="s">
        <v>4573</v>
      </c>
      <c r="AE1101" s="782" t="s">
        <v>3400</v>
      </c>
      <c r="AF1101" s="781">
        <f>$S$1*P!AF1101</f>
        <v>0.24931999999999999</v>
      </c>
    </row>
    <row r="1102" spans="19:32" x14ac:dyDescent="0.35">
      <c r="S1102" s="782">
        <v>1098</v>
      </c>
      <c r="T1102" s="782" t="s">
        <v>4284</v>
      </c>
      <c r="U1102" s="782" t="s">
        <v>4946</v>
      </c>
      <c r="V1102" s="797">
        <f>$S$1*P!V1102</f>
        <v>2.7556451612903227E-2</v>
      </c>
      <c r="W1102" s="780"/>
      <c r="X1102" s="782">
        <v>1098</v>
      </c>
      <c r="Y1102" s="782" t="s">
        <v>2248</v>
      </c>
      <c r="Z1102" s="782" t="s">
        <v>3520</v>
      </c>
      <c r="AA1102" s="781">
        <f>$S$1*P!AA1102</f>
        <v>0.14703629032258064</v>
      </c>
      <c r="AB1102" s="780"/>
      <c r="AC1102" s="782">
        <v>1098</v>
      </c>
      <c r="AD1102" s="782" t="s">
        <v>4573</v>
      </c>
      <c r="AE1102" s="782" t="s">
        <v>3398</v>
      </c>
      <c r="AF1102" s="781">
        <f>$S$1*P!AF1102</f>
        <v>0.27232000000000001</v>
      </c>
    </row>
    <row r="1103" spans="19:32" x14ac:dyDescent="0.35">
      <c r="S1103" s="782">
        <v>1099</v>
      </c>
      <c r="T1103" s="782" t="s">
        <v>4284</v>
      </c>
      <c r="U1103" s="782" t="s">
        <v>3447</v>
      </c>
      <c r="V1103" s="797">
        <f>$S$1*P!V1103</f>
        <v>11.224</v>
      </c>
      <c r="W1103" s="780"/>
      <c r="X1103" s="782">
        <v>1099</v>
      </c>
      <c r="Y1103" s="782" t="s">
        <v>2248</v>
      </c>
      <c r="Z1103" s="782" t="s">
        <v>5499</v>
      </c>
      <c r="AA1103" s="781">
        <f>$S$1*P!AA1103</f>
        <v>0.43185483870967745</v>
      </c>
      <c r="AB1103" s="780"/>
      <c r="AC1103" s="782">
        <v>1099</v>
      </c>
      <c r="AD1103" s="782" t="s">
        <v>4573</v>
      </c>
      <c r="AE1103" s="782" t="s">
        <v>4810</v>
      </c>
      <c r="AF1103" s="781">
        <f>$S$1*P!AF1103</f>
        <v>1.3264112903225808E-2</v>
      </c>
    </row>
    <row r="1104" spans="19:32" x14ac:dyDescent="0.35">
      <c r="S1104" s="782">
        <v>1100</v>
      </c>
      <c r="T1104" s="782" t="s">
        <v>4284</v>
      </c>
      <c r="U1104" s="782" t="s">
        <v>4943</v>
      </c>
      <c r="V1104" s="797">
        <f>$S$1*P!V1104</f>
        <v>0.49697580645161293</v>
      </c>
      <c r="W1104" s="780"/>
      <c r="X1104" s="782">
        <v>1100</v>
      </c>
      <c r="Y1104" s="782" t="s">
        <v>2248</v>
      </c>
      <c r="Z1104" s="782" t="s">
        <v>3518</v>
      </c>
      <c r="AA1104" s="781">
        <f>$S$1*P!AA1104</f>
        <v>1.7112000000000001</v>
      </c>
      <c r="AB1104" s="780"/>
      <c r="AC1104" s="782">
        <v>1100</v>
      </c>
      <c r="AD1104" s="782" t="s">
        <v>4573</v>
      </c>
      <c r="AE1104" s="782" t="s">
        <v>4808</v>
      </c>
      <c r="AF1104" s="781">
        <f>$S$1*P!AF1104</f>
        <v>8.8084677419354839E-3</v>
      </c>
    </row>
    <row r="1105" spans="19:32" x14ac:dyDescent="0.35">
      <c r="S1105" s="782">
        <v>1101</v>
      </c>
      <c r="T1105" s="782" t="s">
        <v>4284</v>
      </c>
      <c r="U1105" s="782" t="s">
        <v>3446</v>
      </c>
      <c r="V1105" s="797">
        <f>$S$1*P!V1105</f>
        <v>0.18850806451612906</v>
      </c>
      <c r="W1105" s="780"/>
      <c r="X1105" s="782">
        <v>1101</v>
      </c>
      <c r="Y1105" s="782" t="s">
        <v>2248</v>
      </c>
      <c r="Z1105" s="782" t="s">
        <v>3518</v>
      </c>
      <c r="AA1105" s="781">
        <f>$S$1*P!AA1105</f>
        <v>6.2721774193548398E-4</v>
      </c>
      <c r="AB1105" s="780"/>
      <c r="AC1105" s="782">
        <v>1101</v>
      </c>
      <c r="AD1105" s="782" t="s">
        <v>4573</v>
      </c>
      <c r="AE1105" s="782" t="s">
        <v>4805</v>
      </c>
      <c r="AF1105" s="781">
        <f>$S$1*P!AF1105</f>
        <v>1.1516129032258066E-2</v>
      </c>
    </row>
    <row r="1106" spans="19:32" x14ac:dyDescent="0.35">
      <c r="S1106" s="782">
        <v>1102</v>
      </c>
      <c r="T1106" s="782" t="s">
        <v>4284</v>
      </c>
      <c r="U1106" s="782" t="s">
        <v>3446</v>
      </c>
      <c r="V1106" s="797">
        <f>$S$1*P!V1106</f>
        <v>0</v>
      </c>
      <c r="W1106" s="780"/>
      <c r="X1106" s="782">
        <v>1102</v>
      </c>
      <c r="Y1106" s="782" t="s">
        <v>2248</v>
      </c>
      <c r="Z1106" s="782" t="s">
        <v>5498</v>
      </c>
      <c r="AA1106" s="781">
        <f>$S$1*P!AA1106</f>
        <v>9.2883064516129047E-3</v>
      </c>
      <c r="AB1106" s="780"/>
      <c r="AC1106" s="782">
        <v>1102</v>
      </c>
      <c r="AD1106" s="782" t="s">
        <v>4573</v>
      </c>
      <c r="AE1106" s="782" t="s">
        <v>4802</v>
      </c>
      <c r="AF1106" s="781">
        <f>$S$1*P!AF1106</f>
        <v>1.878225806451613E-3</v>
      </c>
    </row>
    <row r="1107" spans="19:32" x14ac:dyDescent="0.35">
      <c r="S1107" s="782">
        <v>1103</v>
      </c>
      <c r="T1107" s="782" t="s">
        <v>4284</v>
      </c>
      <c r="U1107" s="782" t="s">
        <v>4937</v>
      </c>
      <c r="V1107" s="797">
        <f>$S$1*P!V1107</f>
        <v>1.1756048387096775E-3</v>
      </c>
      <c r="W1107" s="780"/>
      <c r="X1107" s="782">
        <v>1103</v>
      </c>
      <c r="Y1107" s="782" t="s">
        <v>2248</v>
      </c>
      <c r="Z1107" s="782" t="s">
        <v>3517</v>
      </c>
      <c r="AA1107" s="781">
        <f>$S$1*P!AA1107</f>
        <v>0</v>
      </c>
      <c r="AB1107" s="780"/>
      <c r="AC1107" s="782">
        <v>1103</v>
      </c>
      <c r="AD1107" s="782" t="s">
        <v>4573</v>
      </c>
      <c r="AE1107" s="782" t="s">
        <v>4800</v>
      </c>
      <c r="AF1107" s="781">
        <f>$S$1*P!AF1107</f>
        <v>5.7580645161290328E-2</v>
      </c>
    </row>
    <row r="1108" spans="19:32" x14ac:dyDescent="0.35">
      <c r="S1108" s="782">
        <v>1104</v>
      </c>
      <c r="T1108" s="782" t="s">
        <v>4284</v>
      </c>
      <c r="U1108" s="782" t="s">
        <v>3444</v>
      </c>
      <c r="V1108" s="797">
        <f>$S$1*P!V1108</f>
        <v>1.5149193548387098E-2</v>
      </c>
      <c r="W1108" s="780"/>
      <c r="X1108" s="782">
        <v>1104</v>
      </c>
      <c r="Y1108" s="782" t="s">
        <v>2248</v>
      </c>
      <c r="Z1108" s="782" t="s">
        <v>3517</v>
      </c>
      <c r="AA1108" s="781">
        <f>$S$1*P!AA1108</f>
        <v>5.826612903225807E-4</v>
      </c>
      <c r="AB1108" s="780"/>
      <c r="AC1108" s="782">
        <v>1104</v>
      </c>
      <c r="AD1108" s="782" t="s">
        <v>4573</v>
      </c>
      <c r="AE1108" s="782" t="s">
        <v>4797</v>
      </c>
      <c r="AF1108" s="781">
        <f>$S$1*P!AF1108</f>
        <v>6.2036290322580647E-3</v>
      </c>
    </row>
    <row r="1109" spans="19:32" x14ac:dyDescent="0.35">
      <c r="S1109" s="782">
        <v>1105</v>
      </c>
      <c r="T1109" s="782" t="s">
        <v>4284</v>
      </c>
      <c r="U1109" s="782" t="s">
        <v>3444</v>
      </c>
      <c r="V1109" s="797">
        <f>$S$1*P!V1109</f>
        <v>3.9744000000000002</v>
      </c>
      <c r="W1109" s="780"/>
      <c r="X1109" s="782">
        <v>1105</v>
      </c>
      <c r="Y1109" s="782" t="s">
        <v>2248</v>
      </c>
      <c r="Z1109" s="782" t="s">
        <v>5497</v>
      </c>
      <c r="AA1109" s="781">
        <f>$S$1*P!AA1109</f>
        <v>6.0665322580645163E-3</v>
      </c>
      <c r="AB1109" s="780"/>
      <c r="AC1109" s="782">
        <v>1105</v>
      </c>
      <c r="AD1109" s="782" t="s">
        <v>4573</v>
      </c>
      <c r="AE1109" s="782" t="s">
        <v>4795</v>
      </c>
      <c r="AF1109" s="781">
        <f>$S$1*P!AF1109</f>
        <v>1.1379032258064517E-2</v>
      </c>
    </row>
    <row r="1110" spans="19:32" x14ac:dyDescent="0.35">
      <c r="S1110" s="782">
        <v>1106</v>
      </c>
      <c r="T1110" s="782" t="s">
        <v>4284</v>
      </c>
      <c r="U1110" s="782" t="s">
        <v>3443</v>
      </c>
      <c r="V1110" s="797">
        <f>$S$1*P!V1110</f>
        <v>0</v>
      </c>
      <c r="W1110" s="780"/>
      <c r="X1110" s="782">
        <v>1106</v>
      </c>
      <c r="Y1110" s="782" t="s">
        <v>2248</v>
      </c>
      <c r="Z1110" s="782" t="s">
        <v>3515</v>
      </c>
      <c r="AA1110" s="781">
        <f>$S$1*P!AA1110</f>
        <v>0.64767999999999992</v>
      </c>
      <c r="AB1110" s="780"/>
      <c r="AC1110" s="782">
        <v>1106</v>
      </c>
      <c r="AD1110" s="782" t="s">
        <v>4573</v>
      </c>
      <c r="AE1110" s="782" t="s">
        <v>4792</v>
      </c>
      <c r="AF1110" s="781">
        <f>$S$1*P!AF1110</f>
        <v>2.8721774193548387E-3</v>
      </c>
    </row>
    <row r="1111" spans="19:32" x14ac:dyDescent="0.35">
      <c r="S1111" s="782">
        <v>1107</v>
      </c>
      <c r="T1111" s="782" t="s">
        <v>4284</v>
      </c>
      <c r="U1111" s="782" t="s">
        <v>4936</v>
      </c>
      <c r="V1111" s="797">
        <f>$S$1*P!V1111</f>
        <v>0.94254032258064524</v>
      </c>
      <c r="W1111" s="780"/>
      <c r="X1111" s="782">
        <v>1107</v>
      </c>
      <c r="Y1111" s="782" t="s">
        <v>2248</v>
      </c>
      <c r="Z1111" s="782" t="s">
        <v>3515</v>
      </c>
      <c r="AA1111" s="781">
        <f>$S$1*P!AA1111</f>
        <v>1.891935483870968E-3</v>
      </c>
      <c r="AB1111" s="780"/>
      <c r="AC1111" s="782">
        <v>1107</v>
      </c>
      <c r="AD1111" s="782" t="s">
        <v>4573</v>
      </c>
      <c r="AE1111" s="782" t="s">
        <v>4789</v>
      </c>
      <c r="AF1111" s="781">
        <f>$S$1*P!AF1111</f>
        <v>1.7514112903225808E-2</v>
      </c>
    </row>
    <row r="1112" spans="19:32" x14ac:dyDescent="0.35">
      <c r="S1112" s="782">
        <v>1108</v>
      </c>
      <c r="T1112" s="782" t="s">
        <v>4284</v>
      </c>
      <c r="U1112" s="782" t="s">
        <v>3442</v>
      </c>
      <c r="V1112" s="797">
        <f>$S$1*P!V1112</f>
        <v>3440.7999999999997</v>
      </c>
      <c r="W1112" s="780"/>
      <c r="X1112" s="782">
        <v>1108</v>
      </c>
      <c r="Y1112" s="782" t="s">
        <v>2248</v>
      </c>
      <c r="Z1112" s="782" t="s">
        <v>3514</v>
      </c>
      <c r="AA1112" s="781">
        <f>$S$1*P!AA1112</f>
        <v>0</v>
      </c>
      <c r="AB1112" s="780"/>
      <c r="AC1112" s="782">
        <v>1108</v>
      </c>
      <c r="AD1112" s="782" t="s">
        <v>4573</v>
      </c>
      <c r="AE1112" s="782" t="s">
        <v>4786</v>
      </c>
      <c r="AF1112" s="781">
        <f>$S$1*P!AF1112</f>
        <v>4.1814516129032257E-5</v>
      </c>
    </row>
    <row r="1113" spans="19:32" x14ac:dyDescent="0.35">
      <c r="S1113" s="782">
        <v>1109</v>
      </c>
      <c r="T1113" s="782" t="s">
        <v>4284</v>
      </c>
      <c r="U1113" s="782" t="s">
        <v>4934</v>
      </c>
      <c r="V1113" s="797">
        <f>$S$1*P!V1113</f>
        <v>0.41814516129032259</v>
      </c>
      <c r="W1113" s="780"/>
      <c r="X1113" s="782">
        <v>1109</v>
      </c>
      <c r="Y1113" s="782" t="s">
        <v>2248</v>
      </c>
      <c r="Z1113" s="782" t="s">
        <v>5496</v>
      </c>
      <c r="AA1113" s="781">
        <f>$S$1*P!AA1113</f>
        <v>6.9919354838709679E-3</v>
      </c>
      <c r="AB1113" s="780"/>
      <c r="AC1113" s="782">
        <v>1109</v>
      </c>
      <c r="AD1113" s="782" t="s">
        <v>4573</v>
      </c>
      <c r="AE1113" s="782" t="s">
        <v>3397</v>
      </c>
      <c r="AF1113" s="781">
        <f>$S$1*P!AF1113</f>
        <v>0</v>
      </c>
    </row>
    <row r="1114" spans="19:32" x14ac:dyDescent="0.35">
      <c r="S1114" s="782">
        <v>1110</v>
      </c>
      <c r="T1114" s="782" t="s">
        <v>4284</v>
      </c>
      <c r="U1114" s="782" t="s">
        <v>4931</v>
      </c>
      <c r="V1114" s="797">
        <f>$S$1*P!V1114</f>
        <v>3.3622983870967745E-6</v>
      </c>
      <c r="W1114" s="780"/>
      <c r="X1114" s="782">
        <v>1110</v>
      </c>
      <c r="Y1114" s="782" t="s">
        <v>2248</v>
      </c>
      <c r="Z1114" s="782" t="s">
        <v>3512</v>
      </c>
      <c r="AA1114" s="781">
        <f>$S$1*P!AA1114</f>
        <v>4.5447999999999996E-5</v>
      </c>
      <c r="AB1114" s="780"/>
      <c r="AC1114" s="782">
        <v>1110</v>
      </c>
      <c r="AD1114" s="782" t="s">
        <v>4573</v>
      </c>
      <c r="AE1114" s="782" t="s">
        <v>4784</v>
      </c>
      <c r="AF1114" s="781">
        <f>$S$1*P!AF1114</f>
        <v>4.4899193548387102E-4</v>
      </c>
    </row>
    <row r="1115" spans="19:32" x14ac:dyDescent="0.35">
      <c r="S1115" s="782">
        <v>1111</v>
      </c>
      <c r="T1115" s="782" t="s">
        <v>4284</v>
      </c>
      <c r="U1115" s="782" t="s">
        <v>4930</v>
      </c>
      <c r="V1115" s="797">
        <f>$S$1*P!V1115</f>
        <v>4.5927419354838714E-4</v>
      </c>
      <c r="W1115" s="780"/>
      <c r="X1115" s="782">
        <v>1111</v>
      </c>
      <c r="Y1115" s="782" t="s">
        <v>2248</v>
      </c>
      <c r="Z1115" s="782" t="s">
        <v>3512</v>
      </c>
      <c r="AA1115" s="781">
        <f>$S$1*P!AA1115</f>
        <v>1.4977822580645163E-6</v>
      </c>
      <c r="AB1115" s="780"/>
      <c r="AC1115" s="782">
        <v>1111</v>
      </c>
      <c r="AD1115" s="782" t="s">
        <v>4573</v>
      </c>
      <c r="AE1115" s="782" t="s">
        <v>4781</v>
      </c>
      <c r="AF1115" s="781">
        <f>$S$1*P!AF1115</f>
        <v>5.0383064516129035E-3</v>
      </c>
    </row>
    <row r="1116" spans="19:32" x14ac:dyDescent="0.35">
      <c r="S1116" s="782">
        <v>1112</v>
      </c>
      <c r="T1116" s="782" t="s">
        <v>4284</v>
      </c>
      <c r="U1116" s="782" t="s">
        <v>4929</v>
      </c>
      <c r="V1116" s="797">
        <f>$S$1*P!V1116</f>
        <v>1.4977822580645162E-2</v>
      </c>
      <c r="W1116" s="780"/>
      <c r="X1116" s="782">
        <v>1112</v>
      </c>
      <c r="Y1116" s="782" t="s">
        <v>2248</v>
      </c>
      <c r="Z1116" s="782" t="s">
        <v>5495</v>
      </c>
      <c r="AA1116" s="781">
        <f>$S$1*P!AA1116</f>
        <v>2.8207661290322581E-3</v>
      </c>
      <c r="AB1116" s="780"/>
      <c r="AC1116" s="782">
        <v>1112</v>
      </c>
      <c r="AD1116" s="782" t="s">
        <v>4573</v>
      </c>
      <c r="AE1116" s="782" t="s">
        <v>4778</v>
      </c>
      <c r="AF1116" s="781">
        <f>$S$1*P!AF1116</f>
        <v>8.6028225806451618E-5</v>
      </c>
    </row>
    <row r="1117" spans="19:32" x14ac:dyDescent="0.35">
      <c r="S1117" s="782">
        <v>1113</v>
      </c>
      <c r="T1117" s="782" t="s">
        <v>4284</v>
      </c>
      <c r="U1117" s="782" t="s">
        <v>3441</v>
      </c>
      <c r="V1117" s="797">
        <f>$S$1*P!V1117</f>
        <v>4.6643999999999997</v>
      </c>
      <c r="W1117" s="780"/>
      <c r="X1117" s="782">
        <v>1113</v>
      </c>
      <c r="Y1117" s="782" t="s">
        <v>2248</v>
      </c>
      <c r="Z1117" s="782" t="s">
        <v>5016</v>
      </c>
      <c r="AA1117" s="781">
        <f>$S$1*P!AA1117</f>
        <v>2.4403225806451616E-4</v>
      </c>
      <c r="AB1117" s="780"/>
      <c r="AC1117" s="782">
        <v>1113</v>
      </c>
      <c r="AD1117" s="782" t="s">
        <v>4573</v>
      </c>
      <c r="AE1117" s="782" t="s">
        <v>4776</v>
      </c>
      <c r="AF1117" s="781">
        <f>$S$1*P!AF1117</f>
        <v>0.88084677419354851</v>
      </c>
    </row>
    <row r="1118" spans="19:32" x14ac:dyDescent="0.35">
      <c r="S1118" s="782">
        <v>1114</v>
      </c>
      <c r="T1118" s="782" t="s">
        <v>4284</v>
      </c>
      <c r="U1118" s="782" t="s">
        <v>3439</v>
      </c>
      <c r="V1118" s="797">
        <f>$S$1*P!V1118</f>
        <v>0</v>
      </c>
      <c r="W1118" s="780"/>
      <c r="X1118" s="782">
        <v>1114</v>
      </c>
      <c r="Y1118" s="782" t="s">
        <v>2248</v>
      </c>
      <c r="Z1118" s="782" t="s">
        <v>5015</v>
      </c>
      <c r="AA1118" s="781">
        <f>$S$1*P!AA1118</f>
        <v>2.8858870967741937E-4</v>
      </c>
      <c r="AB1118" s="780"/>
      <c r="AC1118" s="782">
        <v>1114</v>
      </c>
      <c r="AD1118" s="782" t="s">
        <v>4573</v>
      </c>
      <c r="AE1118" s="782" t="s">
        <v>4773</v>
      </c>
      <c r="AF1118" s="781">
        <f>$S$1*P!AF1118</f>
        <v>7.6774193548387104E-2</v>
      </c>
    </row>
    <row r="1119" spans="19:32" x14ac:dyDescent="0.35">
      <c r="S1119" s="782">
        <v>1115</v>
      </c>
      <c r="T1119" s="782" t="s">
        <v>4284</v>
      </c>
      <c r="U1119" s="782" t="s">
        <v>3438</v>
      </c>
      <c r="V1119" s="797">
        <f>$S$1*P!V1119</f>
        <v>0.37358870967741936</v>
      </c>
      <c r="W1119" s="780"/>
      <c r="X1119" s="782">
        <v>1115</v>
      </c>
      <c r="Y1119" s="782" t="s">
        <v>2248</v>
      </c>
      <c r="Z1119" s="782" t="s">
        <v>5014</v>
      </c>
      <c r="AA1119" s="781">
        <f>$S$1*P!AA1119</f>
        <v>8.7056451612903235E-2</v>
      </c>
      <c r="AB1119" s="780"/>
      <c r="AC1119" s="782">
        <v>1115</v>
      </c>
      <c r="AD1119" s="782" t="s">
        <v>4573</v>
      </c>
      <c r="AE1119" s="782" t="s">
        <v>4770</v>
      </c>
      <c r="AF1119" s="781">
        <f>$S$1*P!AF1119</f>
        <v>0.48669354838709683</v>
      </c>
    </row>
    <row r="1120" spans="19:32" x14ac:dyDescent="0.35">
      <c r="S1120" s="782">
        <v>1116</v>
      </c>
      <c r="T1120" s="782" t="s">
        <v>4284</v>
      </c>
      <c r="U1120" s="782" t="s">
        <v>3438</v>
      </c>
      <c r="V1120" s="797">
        <f>$S$1*P!V1120</f>
        <v>0</v>
      </c>
      <c r="W1120" s="780"/>
      <c r="X1120" s="782">
        <v>1116</v>
      </c>
      <c r="Y1120" s="782" t="s">
        <v>2248</v>
      </c>
      <c r="Z1120" s="782" t="s">
        <v>5494</v>
      </c>
      <c r="AA1120" s="781">
        <f>$S$1*P!AA1120</f>
        <v>1.4703629032258064E-3</v>
      </c>
      <c r="AB1120" s="780"/>
      <c r="AC1120" s="782">
        <v>1116</v>
      </c>
      <c r="AD1120" s="782" t="s">
        <v>4573</v>
      </c>
      <c r="AE1120" s="782" t="s">
        <v>3395</v>
      </c>
      <c r="AF1120" s="781">
        <f>$S$1*P!AF1120</f>
        <v>0.35987903225806456</v>
      </c>
    </row>
    <row r="1121" spans="19:32" x14ac:dyDescent="0.35">
      <c r="S1121" s="782">
        <v>1117</v>
      </c>
      <c r="T1121" s="782" t="s">
        <v>4284</v>
      </c>
      <c r="U1121" s="782" t="s">
        <v>4928</v>
      </c>
      <c r="V1121" s="797">
        <f>$S$1*P!V1121</f>
        <v>3.4274193548387101E-4</v>
      </c>
      <c r="W1121" s="780"/>
      <c r="X1121" s="782">
        <v>1117</v>
      </c>
      <c r="Y1121" s="782" t="s">
        <v>2248</v>
      </c>
      <c r="Z1121" s="782" t="s">
        <v>3510</v>
      </c>
      <c r="AA1121" s="781">
        <f>$S$1*P!AA1121</f>
        <v>1.1867999999999999</v>
      </c>
      <c r="AB1121" s="780"/>
      <c r="AC1121" s="782">
        <v>1117</v>
      </c>
      <c r="AD1121" s="782" t="s">
        <v>4573</v>
      </c>
      <c r="AE1121" s="782" t="s">
        <v>3395</v>
      </c>
      <c r="AF1121" s="781">
        <f>$S$1*P!AF1121</f>
        <v>9117.2000000000007</v>
      </c>
    </row>
    <row r="1122" spans="19:32" x14ac:dyDescent="0.35">
      <c r="S1122" s="782">
        <v>1118</v>
      </c>
      <c r="T1122" s="782" t="s">
        <v>4284</v>
      </c>
      <c r="U1122" s="782" t="s">
        <v>4927</v>
      </c>
      <c r="V1122" s="797">
        <f>$S$1*P!V1122</f>
        <v>0.1617741935483871</v>
      </c>
      <c r="W1122" s="780"/>
      <c r="X1122" s="782">
        <v>1118</v>
      </c>
      <c r="Y1122" s="782" t="s">
        <v>2248</v>
      </c>
      <c r="Z1122" s="782" t="s">
        <v>3509</v>
      </c>
      <c r="AA1122" s="781">
        <f>$S$1*P!AA1122</f>
        <v>11316</v>
      </c>
      <c r="AB1122" s="780"/>
      <c r="AC1122" s="782">
        <v>1118</v>
      </c>
      <c r="AD1122" s="782" t="s">
        <v>4573</v>
      </c>
      <c r="AE1122" s="782" t="s">
        <v>3394</v>
      </c>
      <c r="AF1122" s="781">
        <f>$S$1*P!AF1122</f>
        <v>7.4888000000000003</v>
      </c>
    </row>
    <row r="1123" spans="19:32" x14ac:dyDescent="0.35">
      <c r="S1123" s="782">
        <v>1119</v>
      </c>
      <c r="T1123" s="782" t="s">
        <v>4284</v>
      </c>
      <c r="U1123" s="782" t="s">
        <v>4926</v>
      </c>
      <c r="V1123" s="797">
        <f>$S$1*P!V1123</f>
        <v>6.6491935483870967E-4</v>
      </c>
      <c r="W1123" s="780"/>
      <c r="X1123" s="782">
        <v>1119</v>
      </c>
      <c r="Y1123" s="782" t="s">
        <v>2248</v>
      </c>
      <c r="Z1123" s="782" t="s">
        <v>5493</v>
      </c>
      <c r="AA1123" s="781">
        <f>$S$1*P!AA1123</f>
        <v>2.6699596774193554E-3</v>
      </c>
      <c r="AB1123" s="780"/>
      <c r="AC1123" s="782">
        <v>1119</v>
      </c>
      <c r="AD1123" s="782" t="s">
        <v>4573</v>
      </c>
      <c r="AE1123" s="782" t="s">
        <v>3392</v>
      </c>
      <c r="AF1123" s="781">
        <f>$S$1*P!AF1123</f>
        <v>0.73231999999999997</v>
      </c>
    </row>
    <row r="1124" spans="19:32" x14ac:dyDescent="0.35">
      <c r="S1124" s="782">
        <v>1120</v>
      </c>
      <c r="T1124" s="782" t="s">
        <v>4284</v>
      </c>
      <c r="U1124" s="782" t="s">
        <v>4925</v>
      </c>
      <c r="V1124" s="797">
        <f>$S$1*P!V1124</f>
        <v>8.4314516129032263E-2</v>
      </c>
      <c r="W1124" s="780"/>
      <c r="X1124" s="782">
        <v>1120</v>
      </c>
      <c r="Y1124" s="782" t="s">
        <v>2248</v>
      </c>
      <c r="Z1124" s="782" t="s">
        <v>3507</v>
      </c>
      <c r="AA1124" s="781">
        <f>$S$1*P!AA1124</f>
        <v>8979.1999999999989</v>
      </c>
      <c r="AB1124" s="780"/>
      <c r="AC1124" s="782">
        <v>1120</v>
      </c>
      <c r="AD1124" s="782" t="s">
        <v>4573</v>
      </c>
      <c r="AE1124" s="782" t="s">
        <v>3391</v>
      </c>
      <c r="AF1124" s="781">
        <f>$S$1*P!AF1124</f>
        <v>0.55524193548387102</v>
      </c>
    </row>
    <row r="1125" spans="19:32" x14ac:dyDescent="0.35">
      <c r="S1125" s="782">
        <v>1121</v>
      </c>
      <c r="T1125" s="782" t="s">
        <v>4284</v>
      </c>
      <c r="U1125" s="782" t="s">
        <v>4924</v>
      </c>
      <c r="V1125" s="797">
        <f>$S$1*P!V1125</f>
        <v>9.9052419354838713E-3</v>
      </c>
      <c r="W1125" s="780"/>
      <c r="X1125" s="782">
        <v>1121</v>
      </c>
      <c r="Y1125" s="782" t="s">
        <v>2248</v>
      </c>
      <c r="Z1125" s="782" t="s">
        <v>3507</v>
      </c>
      <c r="AA1125" s="781">
        <f>$S$1*P!AA1125</f>
        <v>0.46955645161290327</v>
      </c>
      <c r="AB1125" s="780"/>
      <c r="AC1125" s="782">
        <v>1121</v>
      </c>
      <c r="AD1125" s="782" t="s">
        <v>4573</v>
      </c>
      <c r="AE1125" s="782" t="s">
        <v>3391</v>
      </c>
      <c r="AF1125" s="781">
        <f>$S$1*P!AF1125</f>
        <v>34.96</v>
      </c>
    </row>
    <row r="1126" spans="19:32" x14ac:dyDescent="0.35">
      <c r="S1126" s="782">
        <v>1122</v>
      </c>
      <c r="T1126" s="782" t="s">
        <v>4284</v>
      </c>
      <c r="U1126" s="782" t="s">
        <v>4923</v>
      </c>
      <c r="V1126" s="797">
        <f>$S$1*P!V1126</f>
        <v>4.3185483870967746E-4</v>
      </c>
      <c r="W1126" s="780"/>
      <c r="X1126" s="782">
        <v>1122</v>
      </c>
      <c r="Y1126" s="782" t="s">
        <v>2248</v>
      </c>
      <c r="Z1126" s="782" t="s">
        <v>5492</v>
      </c>
      <c r="AA1126" s="781">
        <f>$S$1*P!AA1126</f>
        <v>7.7802419354838712E-3</v>
      </c>
      <c r="AB1126" s="780"/>
      <c r="AC1126" s="782">
        <v>1122</v>
      </c>
      <c r="AD1126" s="782" t="s">
        <v>4573</v>
      </c>
      <c r="AE1126" s="782" t="s">
        <v>3389</v>
      </c>
      <c r="AF1126" s="781">
        <f>$S$1*P!AF1126</f>
        <v>0.59294354838709684</v>
      </c>
    </row>
    <row r="1127" spans="19:32" x14ac:dyDescent="0.35">
      <c r="S1127" s="782">
        <v>1123</v>
      </c>
      <c r="T1127" s="782" t="s">
        <v>4284</v>
      </c>
      <c r="U1127" s="782" t="s">
        <v>4922</v>
      </c>
      <c r="V1127" s="797">
        <f>$S$1*P!V1127</f>
        <v>1.6622983870967743E-2</v>
      </c>
      <c r="W1127" s="780"/>
      <c r="X1127" s="782">
        <v>1123</v>
      </c>
      <c r="Y1127" s="782" t="s">
        <v>2248</v>
      </c>
      <c r="Z1127" s="782" t="s">
        <v>3506</v>
      </c>
      <c r="AA1127" s="781">
        <f>$S$1*P!AA1127</f>
        <v>0</v>
      </c>
      <c r="AB1127" s="780"/>
      <c r="AC1127" s="782">
        <v>1123</v>
      </c>
      <c r="AD1127" s="782" t="s">
        <v>4573</v>
      </c>
      <c r="AE1127" s="782" t="s">
        <v>3389</v>
      </c>
      <c r="AF1127" s="781">
        <f>$S$1*P!AF1127</f>
        <v>17.204000000000001</v>
      </c>
    </row>
    <row r="1128" spans="19:32" x14ac:dyDescent="0.35">
      <c r="S1128" s="782">
        <v>1124</v>
      </c>
      <c r="T1128" s="782" t="s">
        <v>4284</v>
      </c>
      <c r="U1128" s="782" t="s">
        <v>4921</v>
      </c>
      <c r="V1128" s="797">
        <f>$S$1*P!V1128</f>
        <v>4.6612903225806451E-4</v>
      </c>
      <c r="W1128" s="780"/>
      <c r="X1128" s="782">
        <v>1124</v>
      </c>
      <c r="Y1128" s="782" t="s">
        <v>2248</v>
      </c>
      <c r="Z1128" s="782" t="s">
        <v>5013</v>
      </c>
      <c r="AA1128" s="781">
        <f>$S$1*P!AA1128</f>
        <v>4.7298387096774197E-2</v>
      </c>
      <c r="AB1128" s="780"/>
      <c r="AC1128" s="782">
        <v>1124</v>
      </c>
      <c r="AD1128" s="782" t="s">
        <v>4573</v>
      </c>
      <c r="AE1128" s="782" t="s">
        <v>3388</v>
      </c>
      <c r="AF1128" s="781">
        <f>$S$1*P!AF1128</f>
        <v>83.168000000000006</v>
      </c>
    </row>
    <row r="1129" spans="19:32" x14ac:dyDescent="0.35">
      <c r="S1129" s="782">
        <v>1125</v>
      </c>
      <c r="T1129" s="782" t="s">
        <v>4284</v>
      </c>
      <c r="U1129" s="782" t="s">
        <v>4920</v>
      </c>
      <c r="V1129" s="797">
        <f>$S$1*P!V1129</f>
        <v>1.4120967741935485E-4</v>
      </c>
      <c r="W1129" s="780"/>
      <c r="X1129" s="782">
        <v>1125</v>
      </c>
      <c r="Y1129" s="782" t="s">
        <v>2248</v>
      </c>
      <c r="Z1129" s="782" t="s">
        <v>3504</v>
      </c>
      <c r="AA1129" s="781">
        <f>$S$1*P!AA1129</f>
        <v>0</v>
      </c>
      <c r="AB1129" s="780"/>
      <c r="AC1129" s="782">
        <v>1125</v>
      </c>
      <c r="AD1129" s="782" t="s">
        <v>4573</v>
      </c>
      <c r="AE1129" s="782" t="s">
        <v>4763</v>
      </c>
      <c r="AF1129" s="781">
        <f>$S$1*P!AF1129</f>
        <v>0.41471774193548389</v>
      </c>
    </row>
    <row r="1130" spans="19:32" x14ac:dyDescent="0.35">
      <c r="S1130" s="782">
        <v>1126</v>
      </c>
      <c r="T1130" s="782" t="s">
        <v>4284</v>
      </c>
      <c r="U1130" s="782" t="s">
        <v>4919</v>
      </c>
      <c r="V1130" s="797">
        <f>$S$1*P!V1130</f>
        <v>1.1927419354838709E-5</v>
      </c>
      <c r="W1130" s="780"/>
      <c r="X1130" s="782">
        <v>1126</v>
      </c>
      <c r="Y1130" s="782" t="s">
        <v>2248</v>
      </c>
      <c r="Z1130" s="782" t="s">
        <v>5491</v>
      </c>
      <c r="AA1130" s="781">
        <f>$S$1*P!AA1130</f>
        <v>9.6653225806451627E-3</v>
      </c>
      <c r="AB1130" s="780"/>
      <c r="AC1130" s="782">
        <v>1126</v>
      </c>
      <c r="AD1130" s="782" t="s">
        <v>4573</v>
      </c>
      <c r="AE1130" s="782" t="s">
        <v>3387</v>
      </c>
      <c r="AF1130" s="781">
        <f>$S$1*P!AF1130</f>
        <v>187.68</v>
      </c>
    </row>
    <row r="1131" spans="19:32" x14ac:dyDescent="0.35">
      <c r="S1131" s="782">
        <v>1127</v>
      </c>
      <c r="T1131" s="782" t="s">
        <v>4284</v>
      </c>
      <c r="U1131" s="782" t="s">
        <v>4918</v>
      </c>
      <c r="V1131" s="797">
        <f>$S$1*P!V1131</f>
        <v>0.24540322580645163</v>
      </c>
      <c r="W1131" s="780"/>
      <c r="X1131" s="782">
        <v>1127</v>
      </c>
      <c r="Y1131" s="782" t="s">
        <v>2248</v>
      </c>
      <c r="Z1131" s="782" t="s">
        <v>5012</v>
      </c>
      <c r="AA1131" s="781">
        <f>$S$1*P!AA1131</f>
        <v>7.4375000000000004E-6</v>
      </c>
      <c r="AB1131" s="780"/>
      <c r="AC1131" s="782">
        <v>1127</v>
      </c>
      <c r="AD1131" s="782" t="s">
        <v>4573</v>
      </c>
      <c r="AE1131" s="782" t="s">
        <v>3386</v>
      </c>
      <c r="AF1131" s="781">
        <f>$S$1*P!AF1131</f>
        <v>46.270161290322584</v>
      </c>
    </row>
    <row r="1132" spans="19:32" x14ac:dyDescent="0.35">
      <c r="S1132" s="782">
        <v>1128</v>
      </c>
      <c r="T1132" s="782" t="s">
        <v>4284</v>
      </c>
      <c r="U1132" s="782" t="s">
        <v>4916</v>
      </c>
      <c r="V1132" s="797">
        <f>$S$1*P!V1132</f>
        <v>2.89616935483871</v>
      </c>
      <c r="W1132" s="780"/>
      <c r="X1132" s="782">
        <v>1128</v>
      </c>
      <c r="Y1132" s="782" t="s">
        <v>2248</v>
      </c>
      <c r="Z1132" s="782" t="s">
        <v>5011</v>
      </c>
      <c r="AA1132" s="781">
        <f>$S$1*P!AA1132</f>
        <v>2.2209677419354841E-6</v>
      </c>
      <c r="AB1132" s="780"/>
      <c r="AC1132" s="782">
        <v>1128</v>
      </c>
      <c r="AD1132" s="782" t="s">
        <v>4573</v>
      </c>
      <c r="AE1132" s="782" t="s">
        <v>3386</v>
      </c>
      <c r="AF1132" s="781">
        <f>$S$1*P!AF1132</f>
        <v>687.24</v>
      </c>
    </row>
    <row r="1133" spans="19:32" x14ac:dyDescent="0.35">
      <c r="S1133" s="782">
        <v>1129</v>
      </c>
      <c r="T1133" s="782" t="s">
        <v>4284</v>
      </c>
      <c r="U1133" s="782" t="s">
        <v>4915</v>
      </c>
      <c r="V1133" s="797">
        <f>$S$1*P!V1133</f>
        <v>1.1653225806451614E-3</v>
      </c>
      <c r="W1133" s="780"/>
      <c r="X1133" s="782">
        <v>1129</v>
      </c>
      <c r="Y1133" s="782" t="s">
        <v>2248</v>
      </c>
      <c r="Z1133" s="782" t="s">
        <v>5490</v>
      </c>
      <c r="AA1133" s="781">
        <f>$S$1*P!AA1133</f>
        <v>8.7741935483870976E-5</v>
      </c>
      <c r="AB1133" s="780"/>
      <c r="AC1133" s="782">
        <v>1129</v>
      </c>
      <c r="AD1133" s="782" t="s">
        <v>4573</v>
      </c>
      <c r="AE1133" s="782" t="s">
        <v>3385</v>
      </c>
      <c r="AF1133" s="781">
        <f>$S$1*P!AF1133</f>
        <v>0.57923387096774193</v>
      </c>
    </row>
    <row r="1134" spans="19:32" x14ac:dyDescent="0.35">
      <c r="S1134" s="870">
        <v>1130</v>
      </c>
      <c r="T1134" s="870" t="s">
        <v>4284</v>
      </c>
      <c r="U1134" s="870" t="s">
        <v>3436</v>
      </c>
      <c r="V1134" s="871">
        <f>$S$1*P!V1134</f>
        <v>-0.82924999999999993</v>
      </c>
      <c r="W1134" s="780"/>
      <c r="X1134" s="782">
        <v>1130</v>
      </c>
      <c r="Y1134" s="782" t="s">
        <v>2248</v>
      </c>
      <c r="Z1134" s="782" t="s">
        <v>5010</v>
      </c>
      <c r="AA1134" s="781">
        <f>$S$1*P!AA1134</f>
        <v>7.2318548387096783E-3</v>
      </c>
      <c r="AB1134" s="780"/>
      <c r="AC1134" s="782">
        <v>1130</v>
      </c>
      <c r="AD1134" s="782" t="s">
        <v>4573</v>
      </c>
      <c r="AE1134" s="782" t="s">
        <v>3385</v>
      </c>
      <c r="AF1134" s="781">
        <f>$S$1*P!AF1134</f>
        <v>2548.4</v>
      </c>
    </row>
    <row r="1135" spans="19:32" x14ac:dyDescent="0.35">
      <c r="S1135" s="782">
        <v>1131</v>
      </c>
      <c r="T1135" s="782" t="s">
        <v>4284</v>
      </c>
      <c r="U1135" s="782" t="s">
        <v>3436</v>
      </c>
      <c r="V1135" s="797">
        <f>$S$1*P!V1135</f>
        <v>9.8709677419354843E-5</v>
      </c>
      <c r="W1135" s="780"/>
      <c r="X1135" s="782">
        <v>1131</v>
      </c>
      <c r="Y1135" s="782" t="s">
        <v>2248</v>
      </c>
      <c r="Z1135" s="782" t="s">
        <v>3503</v>
      </c>
      <c r="AA1135" s="781">
        <f>$S$1*P!AA1135</f>
        <v>0</v>
      </c>
      <c r="AB1135" s="780"/>
      <c r="AC1135" s="782">
        <v>1131</v>
      </c>
      <c r="AD1135" s="782" t="s">
        <v>4573</v>
      </c>
      <c r="AE1135" s="782" t="s">
        <v>3383</v>
      </c>
      <c r="AF1135" s="781">
        <f>$S$1*P!AF1135</f>
        <v>6495.2000000000007</v>
      </c>
    </row>
    <row r="1136" spans="19:32" x14ac:dyDescent="0.35">
      <c r="S1136" s="782">
        <v>1132</v>
      </c>
      <c r="T1136" s="782" t="s">
        <v>4284</v>
      </c>
      <c r="U1136" s="782" t="s">
        <v>3436</v>
      </c>
      <c r="V1136" s="797">
        <f>$S$1*P!V1136</f>
        <v>1.6559999999999998E-2</v>
      </c>
      <c r="W1136" s="780"/>
      <c r="X1136" s="782">
        <v>1132</v>
      </c>
      <c r="Y1136" s="782" t="s">
        <v>2248</v>
      </c>
      <c r="Z1136" s="782" t="s">
        <v>3503</v>
      </c>
      <c r="AA1136" s="781">
        <f>$S$1*P!AA1136</f>
        <v>2.1215725806451615E-2</v>
      </c>
      <c r="AB1136" s="780"/>
      <c r="AC1136" s="782">
        <v>1132</v>
      </c>
      <c r="AD1136" s="782" t="s">
        <v>4573</v>
      </c>
      <c r="AE1136" s="782" t="s">
        <v>4759</v>
      </c>
      <c r="AF1136" s="781">
        <f>$S$1*P!AF1136</f>
        <v>5.4495967741935489</v>
      </c>
    </row>
    <row r="1137" spans="19:32" x14ac:dyDescent="0.35">
      <c r="S1137" s="782">
        <v>1133</v>
      </c>
      <c r="T1137" s="782" t="s">
        <v>4284</v>
      </c>
      <c r="U1137" s="782" t="s">
        <v>4914</v>
      </c>
      <c r="V1137" s="797">
        <f>$S$1*P!V1137</f>
        <v>6.6149193548387109E-4</v>
      </c>
      <c r="W1137" s="780"/>
      <c r="X1137" s="782">
        <v>1133</v>
      </c>
      <c r="Y1137" s="782" t="s">
        <v>2248</v>
      </c>
      <c r="Z1137" s="782" t="s">
        <v>5489</v>
      </c>
      <c r="AA1137" s="781">
        <f>$S$1*P!AA1137</f>
        <v>9.3911290322580652E-4</v>
      </c>
      <c r="AB1137" s="780"/>
      <c r="AC1137" s="782">
        <v>1133</v>
      </c>
      <c r="AD1137" s="782" t="s">
        <v>4573</v>
      </c>
      <c r="AE1137" s="782" t="s">
        <v>4758</v>
      </c>
      <c r="AF1137" s="781">
        <f>$S$1*P!AF1137</f>
        <v>9.3225806451612912E-3</v>
      </c>
    </row>
    <row r="1138" spans="19:32" x14ac:dyDescent="0.35">
      <c r="S1138" s="782">
        <v>1134</v>
      </c>
      <c r="T1138" s="782" t="s">
        <v>4284</v>
      </c>
      <c r="U1138" s="782" t="s">
        <v>4913</v>
      </c>
      <c r="V1138" s="797">
        <f>$S$1*P!V1138</f>
        <v>5.2439516129032266E-3</v>
      </c>
      <c r="W1138" s="780"/>
      <c r="X1138" s="782">
        <v>1134</v>
      </c>
      <c r="Y1138" s="782" t="s">
        <v>2248</v>
      </c>
      <c r="Z1138" s="782" t="s">
        <v>5009</v>
      </c>
      <c r="AA1138" s="781">
        <f>$S$1*P!AA1138</f>
        <v>0.26802419354838714</v>
      </c>
      <c r="AB1138" s="780"/>
      <c r="AC1138" s="782">
        <v>1134</v>
      </c>
      <c r="AD1138" s="782" t="s">
        <v>4573</v>
      </c>
      <c r="AE1138" s="782" t="s">
        <v>4757</v>
      </c>
      <c r="AF1138" s="781">
        <f>$S$1*P!AF1138</f>
        <v>4.5927419354838711E-2</v>
      </c>
    </row>
    <row r="1139" spans="19:32" x14ac:dyDescent="0.35">
      <c r="S1139" s="782">
        <v>1135</v>
      </c>
      <c r="T1139" s="782" t="s">
        <v>4284</v>
      </c>
      <c r="U1139" s="782" t="s">
        <v>4912</v>
      </c>
      <c r="V1139" s="797">
        <f>$S$1*P!V1139</f>
        <v>1.9125000000000001E-4</v>
      </c>
      <c r="W1139" s="780"/>
      <c r="X1139" s="782">
        <v>1135</v>
      </c>
      <c r="Y1139" s="782" t="s">
        <v>2248</v>
      </c>
      <c r="Z1139" s="782" t="s">
        <v>5008</v>
      </c>
      <c r="AA1139" s="781">
        <f>$S$1*P!AA1139</f>
        <v>8.1572580645161291E-2</v>
      </c>
      <c r="AB1139" s="780"/>
      <c r="AC1139" s="782">
        <v>1135</v>
      </c>
      <c r="AD1139" s="782" t="s">
        <v>4573</v>
      </c>
      <c r="AE1139" s="782" t="s">
        <v>4756</v>
      </c>
      <c r="AF1139" s="781">
        <f>$S$1*P!AF1139</f>
        <v>0.28721774193548388</v>
      </c>
    </row>
    <row r="1140" spans="19:32" x14ac:dyDescent="0.35">
      <c r="S1140" s="782">
        <v>1136</v>
      </c>
      <c r="T1140" s="782" t="s">
        <v>4284</v>
      </c>
      <c r="U1140" s="782" t="s">
        <v>4911</v>
      </c>
      <c r="V1140" s="797">
        <f>$S$1*P!V1140</f>
        <v>2.0838709677419355E-5</v>
      </c>
      <c r="W1140" s="780"/>
      <c r="X1140" s="782">
        <v>1136</v>
      </c>
      <c r="Y1140" s="782" t="s">
        <v>2248</v>
      </c>
      <c r="Z1140" s="782" t="s">
        <v>5488</v>
      </c>
      <c r="AA1140" s="781">
        <f>$S$1*P!AA1140</f>
        <v>6.7177419354838716E-2</v>
      </c>
      <c r="AB1140" s="780"/>
      <c r="AC1140" s="782">
        <v>1136</v>
      </c>
      <c r="AD1140" s="782" t="s">
        <v>4573</v>
      </c>
      <c r="AE1140" s="782" t="s">
        <v>3382</v>
      </c>
      <c r="AF1140" s="781">
        <f>$S$1*P!AF1140</f>
        <v>58.512</v>
      </c>
    </row>
    <row r="1141" spans="19:32" x14ac:dyDescent="0.35">
      <c r="S1141" s="782">
        <v>1137</v>
      </c>
      <c r="T1141" s="782" t="s">
        <v>4284</v>
      </c>
      <c r="U1141" s="782" t="s">
        <v>4910</v>
      </c>
      <c r="V1141" s="797">
        <f>$S$1*P!V1141</f>
        <v>7.3346774193548393E-5</v>
      </c>
      <c r="W1141" s="780"/>
      <c r="X1141" s="782">
        <v>1137</v>
      </c>
      <c r="Y1141" s="782" t="s">
        <v>2248</v>
      </c>
      <c r="Z1141" s="782" t="s">
        <v>3501</v>
      </c>
      <c r="AA1141" s="781">
        <f>$S$1*P!AA1141</f>
        <v>4.7839999999999998</v>
      </c>
      <c r="AB1141" s="780"/>
      <c r="AC1141" s="782">
        <v>1137</v>
      </c>
      <c r="AD1141" s="782" t="s">
        <v>4573</v>
      </c>
      <c r="AE1141" s="782" t="s">
        <v>4755</v>
      </c>
      <c r="AF1141" s="781">
        <f>$S$1*P!AF1141</f>
        <v>0.31258064516129036</v>
      </c>
    </row>
    <row r="1142" spans="19:32" x14ac:dyDescent="0.35">
      <c r="S1142" s="782">
        <v>1138</v>
      </c>
      <c r="T1142" s="782" t="s">
        <v>4284</v>
      </c>
      <c r="U1142" s="782" t="s">
        <v>4909</v>
      </c>
      <c r="V1142" s="797">
        <f>$S$1*P!V1142</f>
        <v>2.3614919354838712E-3</v>
      </c>
      <c r="W1142" s="780"/>
      <c r="X1142" s="782">
        <v>1138</v>
      </c>
      <c r="Y1142" s="782" t="s">
        <v>2248</v>
      </c>
      <c r="Z1142" s="782" t="s">
        <v>3501</v>
      </c>
      <c r="AA1142" s="781">
        <f>$S$1*P!AA1142</f>
        <v>2.0598790322580648E-2</v>
      </c>
      <c r="AB1142" s="780"/>
      <c r="AC1142" s="881">
        <v>1138</v>
      </c>
      <c r="AD1142" s="881" t="s">
        <v>4573</v>
      </c>
      <c r="AE1142" s="881" t="s">
        <v>3380</v>
      </c>
      <c r="AF1142" s="882">
        <f>$S$1*P!AF1142</f>
        <v>2778.4</v>
      </c>
    </row>
    <row r="1143" spans="19:32" x14ac:dyDescent="0.35">
      <c r="S1143" s="782">
        <v>1139</v>
      </c>
      <c r="T1143" s="782" t="s">
        <v>4284</v>
      </c>
      <c r="U1143" s="782" t="s">
        <v>4908</v>
      </c>
      <c r="V1143" s="797">
        <f>$S$1*P!V1143</f>
        <v>6.2379032258064526E-5</v>
      </c>
      <c r="W1143" s="780"/>
      <c r="X1143" s="782">
        <v>1139</v>
      </c>
      <c r="Y1143" s="782" t="s">
        <v>2248</v>
      </c>
      <c r="Z1143" s="782" t="s">
        <v>5487</v>
      </c>
      <c r="AA1143" s="781">
        <f>$S$1*P!AA1143</f>
        <v>9.6653225806451623E-2</v>
      </c>
      <c r="AB1143" s="780"/>
      <c r="AC1143" s="782">
        <v>1139</v>
      </c>
      <c r="AD1143" s="782" t="s">
        <v>4573</v>
      </c>
      <c r="AE1143" s="782" t="s">
        <v>4754</v>
      </c>
      <c r="AF1143" s="781">
        <f>$S$1*P!AF1143</f>
        <v>1.8199596774193551E-2</v>
      </c>
    </row>
    <row r="1144" spans="19:32" x14ac:dyDescent="0.35">
      <c r="S1144" s="782">
        <v>1140</v>
      </c>
      <c r="T1144" s="782" t="s">
        <v>4284</v>
      </c>
      <c r="U1144" s="782" t="s">
        <v>4907</v>
      </c>
      <c r="V1144" s="797">
        <f>$S$1*P!V1144</f>
        <v>8.431451612903226E-5</v>
      </c>
      <c r="W1144" s="780"/>
      <c r="X1144" s="782">
        <v>1140</v>
      </c>
      <c r="Y1144" s="782" t="s">
        <v>2248</v>
      </c>
      <c r="Z1144" s="782" t="s">
        <v>5007</v>
      </c>
      <c r="AA1144" s="781">
        <f>$S$1*P!AA1144</f>
        <v>1.8953629032258067E-2</v>
      </c>
      <c r="AB1144" s="780"/>
      <c r="AC1144" s="782">
        <v>1140</v>
      </c>
      <c r="AD1144" s="782" t="s">
        <v>4573</v>
      </c>
      <c r="AE1144" s="782" t="s">
        <v>3379</v>
      </c>
      <c r="AF1144" s="781">
        <f>$S$1*P!AF1144</f>
        <v>1.322983870967742E-2</v>
      </c>
    </row>
    <row r="1145" spans="19:32" x14ac:dyDescent="0.35">
      <c r="S1145" s="782">
        <v>1141</v>
      </c>
      <c r="T1145" s="782" t="s">
        <v>4284</v>
      </c>
      <c r="U1145" s="782" t="s">
        <v>4905</v>
      </c>
      <c r="V1145" s="797">
        <f>$S$1*P!V1145</f>
        <v>1.5046370967741937E-5</v>
      </c>
      <c r="W1145" s="780"/>
      <c r="X1145" s="782">
        <v>1141</v>
      </c>
      <c r="Y1145" s="782" t="s">
        <v>2248</v>
      </c>
      <c r="Z1145" s="782" t="s">
        <v>5006</v>
      </c>
      <c r="AA1145" s="781">
        <f>$S$1*P!AA1145</f>
        <v>1.1002016129032259E-2</v>
      </c>
      <c r="AB1145" s="780"/>
      <c r="AC1145" s="881">
        <v>1141</v>
      </c>
      <c r="AD1145" s="881" t="s">
        <v>4573</v>
      </c>
      <c r="AE1145" s="881" t="s">
        <v>3379</v>
      </c>
      <c r="AF1145" s="882">
        <f>$S$1*P!AF1145</f>
        <v>1.1316000000000002</v>
      </c>
    </row>
    <row r="1146" spans="19:32" x14ac:dyDescent="0.35">
      <c r="S1146" s="782">
        <v>1142</v>
      </c>
      <c r="T1146" s="782" t="s">
        <v>4284</v>
      </c>
      <c r="U1146" s="782" t="s">
        <v>4904</v>
      </c>
      <c r="V1146" s="797">
        <f>$S$1*P!V1146</f>
        <v>7.7116935483870974E-3</v>
      </c>
      <c r="W1146" s="780"/>
      <c r="X1146" s="782">
        <v>1142</v>
      </c>
      <c r="Y1146" s="782" t="s">
        <v>2248</v>
      </c>
      <c r="Z1146" s="782" t="s">
        <v>5005</v>
      </c>
      <c r="AA1146" s="781">
        <f>$S$1*P!AA1146</f>
        <v>1.9193548387096777E-9</v>
      </c>
      <c r="AB1146" s="780"/>
      <c r="AC1146" s="881">
        <v>1142</v>
      </c>
      <c r="AD1146" s="881" t="s">
        <v>4573</v>
      </c>
      <c r="AE1146" s="881" t="s">
        <v>3377</v>
      </c>
      <c r="AF1146" s="882">
        <f>$S$1*P!AF1146</f>
        <v>0</v>
      </c>
    </row>
    <row r="1147" spans="19:32" x14ac:dyDescent="0.35">
      <c r="S1147" s="782">
        <v>1143</v>
      </c>
      <c r="T1147" s="782" t="s">
        <v>4284</v>
      </c>
      <c r="U1147" s="782" t="s">
        <v>4903</v>
      </c>
      <c r="V1147" s="797">
        <f>$S$1*P!V1147</f>
        <v>4.5241935483870968E-2</v>
      </c>
      <c r="W1147" s="780"/>
      <c r="X1147" s="782">
        <v>1143</v>
      </c>
      <c r="Y1147" s="782" t="s">
        <v>2248</v>
      </c>
      <c r="Z1147" s="782" t="s">
        <v>3740</v>
      </c>
      <c r="AA1147" s="781">
        <f>$S$1*P!AA1147</f>
        <v>0.35645161290322586</v>
      </c>
      <c r="AB1147" s="780"/>
      <c r="AC1147" s="782">
        <v>1143</v>
      </c>
      <c r="AD1147" s="782" t="s">
        <v>4573</v>
      </c>
      <c r="AE1147" s="782" t="s">
        <v>3375</v>
      </c>
      <c r="AF1147" s="781">
        <f>$S$1*P!AF1147</f>
        <v>9.9052419354838713E-3</v>
      </c>
    </row>
    <row r="1148" spans="19:32" x14ac:dyDescent="0.35">
      <c r="S1148" s="782">
        <v>1144</v>
      </c>
      <c r="T1148" s="782" t="s">
        <v>4284</v>
      </c>
      <c r="U1148" s="782" t="s">
        <v>4902</v>
      </c>
      <c r="V1148" s="797">
        <f>$S$1*P!V1148</f>
        <v>1.0590725806451613E-4</v>
      </c>
      <c r="W1148" s="863"/>
      <c r="X1148" s="782">
        <v>1144</v>
      </c>
      <c r="Y1148" s="782" t="s">
        <v>2248</v>
      </c>
      <c r="Z1148" s="782" t="s">
        <v>5004</v>
      </c>
      <c r="AA1148" s="781">
        <f>$S$1*P!AA1148</f>
        <v>2.1764112903225807E-9</v>
      </c>
      <c r="AB1148" s="780"/>
      <c r="AC1148" s="881">
        <v>1144</v>
      </c>
      <c r="AD1148" s="881" t="s">
        <v>4573</v>
      </c>
      <c r="AE1148" s="881" t="s">
        <v>3375</v>
      </c>
      <c r="AF1148" s="882">
        <f>$S$1*P!AF1148</f>
        <v>0</v>
      </c>
    </row>
    <row r="1149" spans="19:32" x14ac:dyDescent="0.35">
      <c r="S1149" s="782">
        <v>1145</v>
      </c>
      <c r="T1149" s="782" t="s">
        <v>4284</v>
      </c>
      <c r="U1149" s="782" t="s">
        <v>4901</v>
      </c>
      <c r="V1149" s="797">
        <f>$S$1*P!V1149</f>
        <v>7.8487903225806454E-5</v>
      </c>
      <c r="W1149" s="863"/>
      <c r="X1149" s="782">
        <v>1145</v>
      </c>
      <c r="Y1149" s="782" t="s">
        <v>2248</v>
      </c>
      <c r="Z1149" s="782" t="s">
        <v>5003</v>
      </c>
      <c r="AA1149" s="781">
        <f>$S$1*P!AA1149</f>
        <v>7.3004032258064521E-3</v>
      </c>
      <c r="AB1149" s="780"/>
      <c r="AC1149" s="782">
        <v>1145</v>
      </c>
      <c r="AD1149" s="782" t="s">
        <v>4573</v>
      </c>
      <c r="AE1149" s="782" t="s">
        <v>4753</v>
      </c>
      <c r="AF1149" s="781">
        <f>$S$1*P!AF1149</f>
        <v>9.3225806451612912E-3</v>
      </c>
    </row>
    <row r="1150" spans="19:32" x14ac:dyDescent="0.35">
      <c r="S1150" s="782">
        <v>1146</v>
      </c>
      <c r="T1150" s="782" t="s">
        <v>4284</v>
      </c>
      <c r="U1150" s="782" t="s">
        <v>4900</v>
      </c>
      <c r="V1150" s="797">
        <f>$S$1*P!V1150</f>
        <v>3.9072580645161297E-3</v>
      </c>
      <c r="W1150" s="780"/>
      <c r="X1150" s="782">
        <v>1146</v>
      </c>
      <c r="Y1150" s="782" t="s">
        <v>2248</v>
      </c>
      <c r="Z1150" s="782" t="s">
        <v>5486</v>
      </c>
      <c r="AA1150" s="781">
        <f>$S$1*P!AA1150</f>
        <v>1.8782258064516131E-5</v>
      </c>
      <c r="AB1150" s="780"/>
      <c r="AC1150" s="782">
        <v>1146</v>
      </c>
      <c r="AD1150" s="782" t="s">
        <v>4573</v>
      </c>
      <c r="AE1150" s="782" t="s">
        <v>4752</v>
      </c>
      <c r="AF1150" s="781">
        <f>$S$1*P!AF1150</f>
        <v>3.6330645161290323E-2</v>
      </c>
    </row>
    <row r="1151" spans="19:32" x14ac:dyDescent="0.35">
      <c r="S1151" s="782">
        <v>1147</v>
      </c>
      <c r="T1151" s="782" t="s">
        <v>4284</v>
      </c>
      <c r="U1151" s="782" t="s">
        <v>4899</v>
      </c>
      <c r="V1151" s="797">
        <f>$S$1*P!V1151</f>
        <v>3.2217741935483876E-3</v>
      </c>
      <c r="W1151" s="780"/>
      <c r="X1151" s="782">
        <v>1147</v>
      </c>
      <c r="Y1151" s="782" t="s">
        <v>2248</v>
      </c>
      <c r="Z1151" s="782" t="s">
        <v>3499</v>
      </c>
      <c r="AA1151" s="781">
        <f>$S$1*P!AA1151</f>
        <v>0</v>
      </c>
      <c r="AB1151" s="780"/>
      <c r="AC1151" s="782">
        <v>1147</v>
      </c>
      <c r="AD1151" s="782" t="s">
        <v>4573</v>
      </c>
      <c r="AE1151" s="782" t="s">
        <v>4750</v>
      </c>
      <c r="AF1151" s="781">
        <f>$S$1*P!AF1151</f>
        <v>0.14086693548387097</v>
      </c>
    </row>
    <row r="1152" spans="19:32" x14ac:dyDescent="0.35">
      <c r="S1152" s="782">
        <v>1148</v>
      </c>
      <c r="T1152" s="782" t="s">
        <v>4284</v>
      </c>
      <c r="U1152" s="782" t="s">
        <v>3435</v>
      </c>
      <c r="V1152" s="797">
        <f>$S$1*P!V1152</f>
        <v>0</v>
      </c>
      <c r="W1152" s="780"/>
      <c r="X1152" s="782">
        <v>1148</v>
      </c>
      <c r="Y1152" s="782" t="s">
        <v>2248</v>
      </c>
      <c r="Z1152" s="782" t="s">
        <v>5002</v>
      </c>
      <c r="AA1152" s="781">
        <f>$S$1*P!AA1152</f>
        <v>6.409274193548388E-2</v>
      </c>
      <c r="AB1152" s="780"/>
      <c r="AC1152" s="782">
        <v>1148</v>
      </c>
      <c r="AD1152" s="782" t="s">
        <v>4573</v>
      </c>
      <c r="AE1152" s="782" t="s">
        <v>4749</v>
      </c>
      <c r="AF1152" s="781">
        <f>$S$1*P!AF1152</f>
        <v>0.11618951612903226</v>
      </c>
    </row>
    <row r="1153" spans="19:32" x14ac:dyDescent="0.35">
      <c r="S1153" s="782">
        <v>1149</v>
      </c>
      <c r="T1153" s="782" t="s">
        <v>4284</v>
      </c>
      <c r="U1153" s="782" t="s">
        <v>4898</v>
      </c>
      <c r="V1153" s="797">
        <f>$S$1*P!V1153</f>
        <v>1.2750000000000002E-5</v>
      </c>
      <c r="W1153" s="780"/>
      <c r="X1153" s="782">
        <v>1149</v>
      </c>
      <c r="Y1153" s="782" t="s">
        <v>2248</v>
      </c>
      <c r="Z1153" s="782" t="s">
        <v>5485</v>
      </c>
      <c r="AA1153" s="781">
        <f>$S$1*P!AA1153</f>
        <v>9.288306451612904E-6</v>
      </c>
      <c r="AB1153" s="780"/>
      <c r="AC1153" s="881">
        <v>1149</v>
      </c>
      <c r="AD1153" s="881" t="s">
        <v>4573</v>
      </c>
      <c r="AE1153" s="881" t="s">
        <v>3374</v>
      </c>
      <c r="AF1153" s="882">
        <f>$S$1*P!AF1153</f>
        <v>0</v>
      </c>
    </row>
    <row r="1154" spans="19:32" x14ac:dyDescent="0.35">
      <c r="S1154" s="782">
        <v>1150</v>
      </c>
      <c r="T1154" s="782" t="s">
        <v>4284</v>
      </c>
      <c r="U1154" s="782" t="s">
        <v>4897</v>
      </c>
      <c r="V1154" s="797">
        <f>$S$1*P!V1154</f>
        <v>3.3383064516129034E-5</v>
      </c>
      <c r="W1154" s="780"/>
      <c r="X1154" s="782">
        <v>1150</v>
      </c>
      <c r="Y1154" s="782" t="s">
        <v>2248</v>
      </c>
      <c r="Z1154" s="782" t="s">
        <v>3498</v>
      </c>
      <c r="AA1154" s="781">
        <f>$S$1*P!AA1154</f>
        <v>0</v>
      </c>
      <c r="AB1154" s="780"/>
      <c r="AC1154" s="782">
        <v>1150</v>
      </c>
      <c r="AD1154" s="782" t="s">
        <v>4573</v>
      </c>
      <c r="AE1154" s="782" t="s">
        <v>4748</v>
      </c>
      <c r="AF1154" s="781">
        <f>$S$1*P!AF1154</f>
        <v>2.0427419354838712E-3</v>
      </c>
    </row>
    <row r="1155" spans="19:32" x14ac:dyDescent="0.35">
      <c r="S1155" s="782">
        <v>1151</v>
      </c>
      <c r="T1155" s="782" t="s">
        <v>4284</v>
      </c>
      <c r="U1155" s="782" t="s">
        <v>4896</v>
      </c>
      <c r="V1155" s="797">
        <f>$S$1*P!V1155</f>
        <v>1.72741935483871E-5</v>
      </c>
      <c r="W1155" s="780"/>
      <c r="X1155" s="782">
        <v>1151</v>
      </c>
      <c r="Y1155" s="782" t="s">
        <v>2248</v>
      </c>
      <c r="Z1155" s="782" t="s">
        <v>3498</v>
      </c>
      <c r="AA1155" s="781">
        <f>$S$1*P!AA1155</f>
        <v>5.415322580645162E-2</v>
      </c>
      <c r="AB1155" s="780"/>
      <c r="AC1155" s="782">
        <v>1151</v>
      </c>
      <c r="AD1155" s="782" t="s">
        <v>4573</v>
      </c>
      <c r="AE1155" s="782" t="s">
        <v>4747</v>
      </c>
      <c r="AF1155" s="781">
        <f>$S$1*P!AF1155</f>
        <v>4.5927419354838711E-2</v>
      </c>
    </row>
    <row r="1156" spans="19:32" x14ac:dyDescent="0.35">
      <c r="S1156" s="782">
        <v>1152</v>
      </c>
      <c r="T1156" s="782" t="s">
        <v>4284</v>
      </c>
      <c r="U1156" s="782" t="s">
        <v>3433</v>
      </c>
      <c r="V1156" s="797">
        <f>$S$1*P!V1156</f>
        <v>0.52807999999999999</v>
      </c>
      <c r="W1156" s="780"/>
      <c r="X1156" s="782">
        <v>1152</v>
      </c>
      <c r="Y1156" s="782" t="s">
        <v>2248</v>
      </c>
      <c r="Z1156" s="782" t="s">
        <v>5484</v>
      </c>
      <c r="AA1156" s="781">
        <f>$S$1*P!AA1156</f>
        <v>2.9681451612903228E-5</v>
      </c>
      <c r="AB1156" s="780"/>
      <c r="AC1156" s="782">
        <v>1152</v>
      </c>
      <c r="AD1156" s="782" t="s">
        <v>4573</v>
      </c>
      <c r="AE1156" s="782" t="s">
        <v>4746</v>
      </c>
      <c r="AF1156" s="781">
        <f>$S$1*P!AF1156</f>
        <v>6.6491935483870973E-3</v>
      </c>
    </row>
    <row r="1157" spans="19:32" x14ac:dyDescent="0.35">
      <c r="S1157" s="782">
        <v>1153</v>
      </c>
      <c r="T1157" s="782" t="s">
        <v>4284</v>
      </c>
      <c r="U1157" s="782" t="s">
        <v>3432</v>
      </c>
      <c r="V1157" s="797">
        <f>$S$1*P!V1157</f>
        <v>2.5157258064516133E-3</v>
      </c>
      <c r="W1157" s="780"/>
      <c r="X1157" s="782">
        <v>1153</v>
      </c>
      <c r="Y1157" s="782" t="s">
        <v>2248</v>
      </c>
      <c r="Z1157" s="782" t="s">
        <v>3496</v>
      </c>
      <c r="AA1157" s="781">
        <f>$S$1*P!AA1157</f>
        <v>0</v>
      </c>
      <c r="AB1157" s="780"/>
      <c r="AC1157" s="782">
        <v>1153</v>
      </c>
      <c r="AD1157" s="782" t="s">
        <v>4573</v>
      </c>
      <c r="AE1157" s="782" t="s">
        <v>4745</v>
      </c>
      <c r="AF1157" s="781">
        <f>$S$1*P!AF1157</f>
        <v>1.5114919354838711E-3</v>
      </c>
    </row>
    <row r="1158" spans="19:32" x14ac:dyDescent="0.35">
      <c r="S1158" s="782">
        <v>1154</v>
      </c>
      <c r="T1158" s="782" t="s">
        <v>4284</v>
      </c>
      <c r="U1158" s="782" t="s">
        <v>3432</v>
      </c>
      <c r="V1158" s="797">
        <f>$S$1*P!V1158</f>
        <v>0.39651999999999998</v>
      </c>
      <c r="W1158" s="780"/>
      <c r="X1158" s="782">
        <v>1154</v>
      </c>
      <c r="Y1158" s="782" t="s">
        <v>2248</v>
      </c>
      <c r="Z1158" s="782" t="s">
        <v>3496</v>
      </c>
      <c r="AA1158" s="781">
        <f>$S$1*P!AA1158</f>
        <v>7.883064516129032E-5</v>
      </c>
      <c r="AB1158" s="780"/>
      <c r="AC1158" s="782">
        <v>1154</v>
      </c>
      <c r="AD1158" s="782" t="s">
        <v>4573</v>
      </c>
      <c r="AE1158" s="782" t="s">
        <v>4744</v>
      </c>
      <c r="AF1158" s="781">
        <f>$S$1*P!AF1158</f>
        <v>0.17788306451612904</v>
      </c>
    </row>
    <row r="1159" spans="19:32" x14ac:dyDescent="0.35">
      <c r="S1159" s="782">
        <v>1155</v>
      </c>
      <c r="T1159" s="782" t="s">
        <v>4284</v>
      </c>
      <c r="U1159" s="782" t="s">
        <v>4895</v>
      </c>
      <c r="V1159" s="797">
        <f>$S$1*P!V1159</f>
        <v>2.5465725806451613E-3</v>
      </c>
      <c r="W1159" s="780"/>
      <c r="X1159" s="782">
        <v>1155</v>
      </c>
      <c r="Y1159" s="782" t="s">
        <v>2248</v>
      </c>
      <c r="Z1159" s="782" t="s">
        <v>5000</v>
      </c>
      <c r="AA1159" s="781">
        <f>$S$1*P!AA1159</f>
        <v>6.0322580645161298E-3</v>
      </c>
      <c r="AB1159" s="780"/>
      <c r="AC1159" s="782">
        <v>1155</v>
      </c>
      <c r="AD1159" s="782" t="s">
        <v>4573</v>
      </c>
      <c r="AE1159" s="782" t="s">
        <v>4743</v>
      </c>
      <c r="AF1159" s="781">
        <f>$S$1*P!AF1159</f>
        <v>8.5342741935483871E-3</v>
      </c>
    </row>
    <row r="1160" spans="19:32" x14ac:dyDescent="0.35">
      <c r="S1160" s="782">
        <v>1156</v>
      </c>
      <c r="T1160" s="782" t="s">
        <v>4284</v>
      </c>
      <c r="U1160" s="782" t="s">
        <v>4894</v>
      </c>
      <c r="V1160" s="797">
        <f>$S$1*P!V1160</f>
        <v>7.7802419354838721E-5</v>
      </c>
      <c r="W1160" s="780"/>
      <c r="X1160" s="782">
        <v>1156</v>
      </c>
      <c r="Y1160" s="782" t="s">
        <v>2248</v>
      </c>
      <c r="Z1160" s="782" t="s">
        <v>5483</v>
      </c>
      <c r="AA1160" s="781">
        <f>$S$1*P!AA1160</f>
        <v>4.7641129032258069E-4</v>
      </c>
      <c r="AB1160" s="780"/>
      <c r="AC1160" s="782">
        <v>1156</v>
      </c>
      <c r="AD1160" s="782" t="s">
        <v>4573</v>
      </c>
      <c r="AE1160" s="782" t="s">
        <v>3372</v>
      </c>
      <c r="AF1160" s="781">
        <f>$S$1*P!AF1160</f>
        <v>3.7701612903225808E-3</v>
      </c>
    </row>
    <row r="1161" spans="19:32" x14ac:dyDescent="0.35">
      <c r="S1161" s="782">
        <v>1157</v>
      </c>
      <c r="T1161" s="782" t="s">
        <v>4284</v>
      </c>
      <c r="U1161" s="782" t="s">
        <v>4893</v>
      </c>
      <c r="V1161" s="797">
        <f>$S$1*P!V1161</f>
        <v>4.7641129032258064E-5</v>
      </c>
      <c r="W1161" s="780"/>
      <c r="X1161" s="782">
        <v>1157</v>
      </c>
      <c r="Y1161" s="782" t="s">
        <v>2248</v>
      </c>
      <c r="Z1161" s="782" t="s">
        <v>4999</v>
      </c>
      <c r="AA1161" s="781">
        <f>$S$1*P!AA1161</f>
        <v>1.5937500000000001E-5</v>
      </c>
      <c r="AB1161" s="780"/>
      <c r="AC1161" s="881">
        <v>1157</v>
      </c>
      <c r="AD1161" s="881" t="s">
        <v>4573</v>
      </c>
      <c r="AE1161" s="881" t="s">
        <v>3372</v>
      </c>
      <c r="AF1161" s="882">
        <f>$S$1*P!AF1161</f>
        <v>279.68</v>
      </c>
    </row>
    <row r="1162" spans="19:32" x14ac:dyDescent="0.35">
      <c r="S1162" s="782">
        <v>1158</v>
      </c>
      <c r="T1162" s="782" t="s">
        <v>4284</v>
      </c>
      <c r="U1162" s="782" t="s">
        <v>4892</v>
      </c>
      <c r="V1162" s="797">
        <f>$S$1*P!V1162</f>
        <v>1.0830645161290324E-5</v>
      </c>
      <c r="W1162" s="780"/>
      <c r="X1162" s="782">
        <v>1158</v>
      </c>
      <c r="Y1162" s="782" t="s">
        <v>2248</v>
      </c>
      <c r="Z1162" s="782" t="s">
        <v>4998</v>
      </c>
      <c r="AA1162" s="781">
        <f>$S$1*P!AA1162</f>
        <v>5.9979838709677422E-5</v>
      </c>
      <c r="AB1162" s="780"/>
      <c r="AC1162" s="782">
        <v>1158</v>
      </c>
      <c r="AD1162" s="782" t="s">
        <v>4573</v>
      </c>
      <c r="AE1162" s="782" t="s">
        <v>4741</v>
      </c>
      <c r="AF1162" s="781">
        <f>$S$1*P!AF1162</f>
        <v>4.798387096774194E-2</v>
      </c>
    </row>
    <row r="1163" spans="19:32" x14ac:dyDescent="0.35">
      <c r="S1163" s="782">
        <v>1159</v>
      </c>
      <c r="T1163" s="782" t="s">
        <v>4284</v>
      </c>
      <c r="U1163" s="782" t="s">
        <v>4891</v>
      </c>
      <c r="V1163" s="797">
        <f>$S$1*P!V1163</f>
        <v>6.6149193548387105E-6</v>
      </c>
      <c r="W1163" s="780"/>
      <c r="X1163" s="782">
        <v>1159</v>
      </c>
      <c r="Y1163" s="782" t="s">
        <v>2248</v>
      </c>
      <c r="Z1163" s="782" t="s">
        <v>5482</v>
      </c>
      <c r="AA1163" s="781">
        <f>$S$1*P!AA1163</f>
        <v>4.2500000000000003E-4</v>
      </c>
      <c r="AB1163" s="780"/>
      <c r="AC1163" s="782">
        <v>1159</v>
      </c>
      <c r="AD1163" s="782" t="s">
        <v>4573</v>
      </c>
      <c r="AE1163" s="782" t="s">
        <v>4739</v>
      </c>
      <c r="AF1163" s="781">
        <f>$S$1*P!AF1163</f>
        <v>0.15423387096774194</v>
      </c>
    </row>
    <row r="1164" spans="19:32" x14ac:dyDescent="0.35">
      <c r="S1164" s="870">
        <v>1160</v>
      </c>
      <c r="T1164" s="870" t="s">
        <v>4284</v>
      </c>
      <c r="U1164" s="870" t="s">
        <v>3431</v>
      </c>
      <c r="V1164" s="871">
        <f>$S$1*P!V1164</f>
        <v>1.9687999999999999</v>
      </c>
      <c r="W1164" s="780"/>
      <c r="X1164" s="782">
        <v>1160</v>
      </c>
      <c r="Y1164" s="782" t="s">
        <v>2248</v>
      </c>
      <c r="Z1164" s="782" t="s">
        <v>4997</v>
      </c>
      <c r="AA1164" s="781">
        <f>$S$1*P!AA1164</f>
        <v>2.2963709677419357E-4</v>
      </c>
      <c r="AB1164" s="780"/>
      <c r="AC1164" s="782">
        <v>1160</v>
      </c>
      <c r="AD1164" s="782" t="s">
        <v>4573</v>
      </c>
      <c r="AE1164" s="782" t="s">
        <v>4738</v>
      </c>
      <c r="AF1164" s="781">
        <f>$S$1*P!AF1164</f>
        <v>3.8729838709677424E-3</v>
      </c>
    </row>
    <row r="1165" spans="19:32" x14ac:dyDescent="0.35">
      <c r="S1165" s="782">
        <v>1161</v>
      </c>
      <c r="T1165" s="782" t="s">
        <v>4284</v>
      </c>
      <c r="U1165" s="782" t="s">
        <v>3431</v>
      </c>
      <c r="V1165" s="797">
        <f>$S$1*P!V1165</f>
        <v>1.7719758064516132E-6</v>
      </c>
      <c r="W1165" s="780"/>
      <c r="X1165" s="782">
        <v>1161</v>
      </c>
      <c r="Y1165" s="782" t="s">
        <v>2248</v>
      </c>
      <c r="Z1165" s="782" t="s">
        <v>4996</v>
      </c>
      <c r="AA1165" s="781">
        <f>$S$1*P!AA1165</f>
        <v>1.8028225806451614E-3</v>
      </c>
      <c r="AB1165" s="780"/>
      <c r="AC1165" s="881">
        <v>1161</v>
      </c>
      <c r="AD1165" s="881" t="s">
        <v>4573</v>
      </c>
      <c r="AE1165" s="881" t="s">
        <v>3371</v>
      </c>
      <c r="AF1165" s="882">
        <f>$S$1*P!AF1165</f>
        <v>7.6635999999999997</v>
      </c>
    </row>
    <row r="1166" spans="19:32" x14ac:dyDescent="0.35">
      <c r="S1166" s="782">
        <v>1162</v>
      </c>
      <c r="T1166" s="782" t="s">
        <v>4284</v>
      </c>
      <c r="U1166" s="782" t="s">
        <v>3431</v>
      </c>
      <c r="V1166" s="797">
        <f>$S$1*P!V1166</f>
        <v>0.24012000000000003</v>
      </c>
      <c r="W1166" s="780"/>
      <c r="X1166" s="782">
        <v>1162</v>
      </c>
      <c r="Y1166" s="782" t="s">
        <v>2248</v>
      </c>
      <c r="Z1166" s="782" t="s">
        <v>4994</v>
      </c>
      <c r="AA1166" s="781">
        <f>$S$1*P!AA1166</f>
        <v>0.16280241935483872</v>
      </c>
      <c r="AB1166" s="780"/>
      <c r="AC1166" s="782">
        <v>1162</v>
      </c>
      <c r="AD1166" s="782" t="s">
        <v>4573</v>
      </c>
      <c r="AE1166" s="782" t="s">
        <v>4737</v>
      </c>
      <c r="AF1166" s="781">
        <f>$S$1*P!AF1166</f>
        <v>0.33588709677419359</v>
      </c>
    </row>
    <row r="1167" spans="19:32" x14ac:dyDescent="0.35">
      <c r="S1167" s="782">
        <v>1163</v>
      </c>
      <c r="T1167" s="782" t="s">
        <v>4284</v>
      </c>
      <c r="U1167" s="782" t="s">
        <v>4889</v>
      </c>
      <c r="V1167" s="797">
        <f>$S$1*P!V1167</f>
        <v>3.6673387096774194E-4</v>
      </c>
      <c r="W1167" s="780"/>
      <c r="X1167" s="782">
        <v>1163</v>
      </c>
      <c r="Y1167" s="782" t="s">
        <v>2248</v>
      </c>
      <c r="Z1167" s="782" t="s">
        <v>5481</v>
      </c>
      <c r="AA1167" s="781">
        <f>$S$1*P!AA1167</f>
        <v>3.6330645161290323E-2</v>
      </c>
      <c r="AB1167" s="780"/>
      <c r="AC1167" s="881">
        <v>1163</v>
      </c>
      <c r="AD1167" s="881" t="s">
        <v>4573</v>
      </c>
      <c r="AE1167" s="881" t="s">
        <v>3370</v>
      </c>
      <c r="AF1167" s="882">
        <f>$S$1*P!AF1167</f>
        <v>0</v>
      </c>
    </row>
    <row r="1168" spans="19:32" x14ac:dyDescent="0.35">
      <c r="S1168" s="782">
        <v>1164</v>
      </c>
      <c r="T1168" s="782" t="s">
        <v>4284</v>
      </c>
      <c r="U1168" s="782" t="s">
        <v>3430</v>
      </c>
      <c r="V1168" s="797">
        <f>$S$1*P!V1168</f>
        <v>4.0786290322580648E-4</v>
      </c>
      <c r="W1168" s="780"/>
      <c r="X1168" s="782">
        <v>1164</v>
      </c>
      <c r="Y1168" s="782" t="s">
        <v>2248</v>
      </c>
      <c r="Z1168" s="782" t="s">
        <v>4993</v>
      </c>
      <c r="AA1168" s="781">
        <f>$S$1*P!AA1168</f>
        <v>2.186693548387097E-3</v>
      </c>
      <c r="AB1168" s="780"/>
      <c r="AC1168" s="782">
        <v>1164</v>
      </c>
      <c r="AD1168" s="782" t="s">
        <v>4573</v>
      </c>
      <c r="AE1168" s="782" t="s">
        <v>4736</v>
      </c>
      <c r="AF1168" s="781">
        <f>$S$1*P!AF1168</f>
        <v>1.4120967741935484</v>
      </c>
    </row>
    <row r="1169" spans="19:32" x14ac:dyDescent="0.35">
      <c r="S1169" s="782">
        <v>1165</v>
      </c>
      <c r="T1169" s="782" t="s">
        <v>4284</v>
      </c>
      <c r="U1169" s="782" t="s">
        <v>3430</v>
      </c>
      <c r="V1169" s="797">
        <f>$S$1*P!V1169</f>
        <v>0.28887999999999997</v>
      </c>
      <c r="W1169" s="780"/>
      <c r="X1169" s="782">
        <v>1165</v>
      </c>
      <c r="Y1169" s="782" t="s">
        <v>2248</v>
      </c>
      <c r="Z1169" s="782" t="s">
        <v>3495</v>
      </c>
      <c r="AA1169" s="781">
        <f>$S$1*P!AA1169</f>
        <v>1.9595999999999999E-2</v>
      </c>
      <c r="AB1169" s="780"/>
      <c r="AC1169" s="782">
        <v>1165</v>
      </c>
      <c r="AD1169" s="782" t="s">
        <v>4573</v>
      </c>
      <c r="AE1169" s="782" t="s">
        <v>4735</v>
      </c>
      <c r="AF1169" s="781">
        <f>$S$1*P!AF1169</f>
        <v>1.7068548387096775E-3</v>
      </c>
    </row>
    <row r="1170" spans="19:32" x14ac:dyDescent="0.35">
      <c r="S1170" s="782">
        <v>1166</v>
      </c>
      <c r="T1170" s="782" t="s">
        <v>4284</v>
      </c>
      <c r="U1170" s="782" t="s">
        <v>4888</v>
      </c>
      <c r="V1170" s="797">
        <f>$S$1*P!V1170</f>
        <v>6.4435483870967744E-2</v>
      </c>
      <c r="W1170" s="780"/>
      <c r="X1170" s="782">
        <v>1166</v>
      </c>
      <c r="Y1170" s="782" t="s">
        <v>2248</v>
      </c>
      <c r="Z1170" s="782" t="s">
        <v>5480</v>
      </c>
      <c r="AA1170" s="781">
        <f>$S$1*P!AA1170</f>
        <v>1.2441532258064518E-2</v>
      </c>
      <c r="AB1170" s="780"/>
      <c r="AC1170" s="782">
        <v>1166</v>
      </c>
      <c r="AD1170" s="782" t="s">
        <v>4573</v>
      </c>
      <c r="AE1170" s="782" t="s">
        <v>3369</v>
      </c>
      <c r="AF1170" s="781">
        <f>$S$1*P!AF1170</f>
        <v>0.10419354838709678</v>
      </c>
    </row>
    <row r="1171" spans="19:32" x14ac:dyDescent="0.35">
      <c r="S1171" s="782">
        <v>1167</v>
      </c>
      <c r="T1171" s="782" t="s">
        <v>4284</v>
      </c>
      <c r="U1171" s="782" t="s">
        <v>3429</v>
      </c>
      <c r="V1171" s="797">
        <f>$S$1*P!V1171</f>
        <v>7.6452</v>
      </c>
      <c r="W1171" s="780"/>
      <c r="X1171" s="782">
        <v>1167</v>
      </c>
      <c r="Y1171" s="782" t="s">
        <v>2248</v>
      </c>
      <c r="Z1171" s="782" t="s">
        <v>3495</v>
      </c>
      <c r="AA1171" s="781">
        <f>$S$1*P!AA1171</f>
        <v>3.190927419354839E-4</v>
      </c>
      <c r="AB1171" s="780"/>
      <c r="AC1171" s="881">
        <v>1167</v>
      </c>
      <c r="AD1171" s="881" t="s">
        <v>4573</v>
      </c>
      <c r="AE1171" s="881" t="s">
        <v>3369</v>
      </c>
      <c r="AF1171" s="882">
        <f>$S$1*P!AF1171</f>
        <v>3.5052E-2</v>
      </c>
    </row>
    <row r="1172" spans="19:32" x14ac:dyDescent="0.35">
      <c r="S1172" s="782">
        <v>1168</v>
      </c>
      <c r="T1172" s="782" t="s">
        <v>4284</v>
      </c>
      <c r="U1172" s="782" t="s">
        <v>4887</v>
      </c>
      <c r="V1172" s="797">
        <f>$S$1*P!V1172</f>
        <v>3.3862903225806453E-5</v>
      </c>
      <c r="W1172" s="780"/>
      <c r="X1172" s="782">
        <v>1168</v>
      </c>
      <c r="Y1172" s="782" t="s">
        <v>2248</v>
      </c>
      <c r="Z1172" s="782" t="s">
        <v>4992</v>
      </c>
      <c r="AA1172" s="781">
        <f>$S$1*P!AA1172</f>
        <v>1.182459677419355E-4</v>
      </c>
      <c r="AB1172" s="780"/>
      <c r="AC1172" s="782">
        <v>1168</v>
      </c>
      <c r="AD1172" s="782" t="s">
        <v>4573</v>
      </c>
      <c r="AE1172" s="782" t="s">
        <v>3368</v>
      </c>
      <c r="AF1172" s="781">
        <f>$S$1*P!AF1172</f>
        <v>6.8548387096774195E-3</v>
      </c>
    </row>
    <row r="1173" spans="19:32" x14ac:dyDescent="0.35">
      <c r="S1173" s="782">
        <v>1169</v>
      </c>
      <c r="T1173" s="782" t="s">
        <v>4284</v>
      </c>
      <c r="U1173" s="782" t="s">
        <v>4886</v>
      </c>
      <c r="V1173" s="797">
        <f>$S$1*P!V1173</f>
        <v>5.0040322580645162E-4</v>
      </c>
      <c r="W1173" s="780"/>
      <c r="X1173" s="782">
        <v>1169</v>
      </c>
      <c r="Y1173" s="782" t="s">
        <v>2248</v>
      </c>
      <c r="Z1173" s="782" t="s">
        <v>5479</v>
      </c>
      <c r="AA1173" s="781">
        <f>$S$1*P!AA1173</f>
        <v>3.8044354838709681E-3</v>
      </c>
      <c r="AB1173" s="780"/>
      <c r="AC1173" s="881">
        <v>1169</v>
      </c>
      <c r="AD1173" s="881" t="s">
        <v>4573</v>
      </c>
      <c r="AE1173" s="881" t="s">
        <v>3368</v>
      </c>
      <c r="AF1173" s="882">
        <f>$S$1*P!AF1173</f>
        <v>0</v>
      </c>
    </row>
    <row r="1174" spans="19:32" x14ac:dyDescent="0.35">
      <c r="S1174" s="782">
        <v>1170</v>
      </c>
      <c r="T1174" s="782" t="s">
        <v>4284</v>
      </c>
      <c r="U1174" s="782" t="s">
        <v>4885</v>
      </c>
      <c r="V1174" s="797">
        <f>$S$1*P!V1174</f>
        <v>9.9737903225806469E-5</v>
      </c>
      <c r="W1174" s="780"/>
      <c r="X1174" s="782">
        <v>1170</v>
      </c>
      <c r="Y1174" s="782" t="s">
        <v>2248</v>
      </c>
      <c r="Z1174" s="782" t="s">
        <v>4991</v>
      </c>
      <c r="AA1174" s="781">
        <f>$S$1*P!AA1174</f>
        <v>1.6417338709677421E-6</v>
      </c>
      <c r="AB1174" s="780"/>
      <c r="AC1174" s="782">
        <v>1170</v>
      </c>
      <c r="AD1174" s="782" t="s">
        <v>4573</v>
      </c>
      <c r="AE1174" s="782" t="s">
        <v>4734</v>
      </c>
      <c r="AF1174" s="781">
        <f>$S$1*P!AF1174</f>
        <v>7.6431451612903226E-2</v>
      </c>
    </row>
    <row r="1175" spans="19:32" x14ac:dyDescent="0.35">
      <c r="S1175" s="782">
        <v>1171</v>
      </c>
      <c r="T1175" s="782" t="s">
        <v>4284</v>
      </c>
      <c r="U1175" s="782" t="s">
        <v>3428</v>
      </c>
      <c r="V1175" s="797">
        <f>$S$1*P!V1175</f>
        <v>0</v>
      </c>
      <c r="W1175" s="780"/>
      <c r="X1175" s="782">
        <v>1171</v>
      </c>
      <c r="Y1175" s="782" t="s">
        <v>2248</v>
      </c>
      <c r="Z1175" s="782" t="s">
        <v>4990</v>
      </c>
      <c r="AA1175" s="781">
        <f>$S$1*P!AA1175</f>
        <v>0.11687500000000001</v>
      </c>
      <c r="AB1175" s="780"/>
      <c r="AC1175" s="782">
        <v>1171</v>
      </c>
      <c r="AD1175" s="782" t="s">
        <v>4573</v>
      </c>
      <c r="AE1175" s="782" t="s">
        <v>3367</v>
      </c>
      <c r="AF1175" s="781">
        <f>$S$1*P!AF1175</f>
        <v>2.8104838709677421E-2</v>
      </c>
    </row>
    <row r="1176" spans="19:32" x14ac:dyDescent="0.35">
      <c r="S1176" s="782">
        <v>1172</v>
      </c>
      <c r="T1176" s="782" t="s">
        <v>4284</v>
      </c>
      <c r="U1176" s="782" t="s">
        <v>4884</v>
      </c>
      <c r="V1176" s="797">
        <f>$S$1*P!V1176</f>
        <v>5.655241935483871E-3</v>
      </c>
      <c r="W1176" s="780"/>
      <c r="X1176" s="782">
        <v>1172</v>
      </c>
      <c r="Y1176" s="782" t="s">
        <v>2248</v>
      </c>
      <c r="Z1176" s="782" t="s">
        <v>4989</v>
      </c>
      <c r="AA1176" s="781">
        <f>$S$1*P!AA1176</f>
        <v>94.596774193548399</v>
      </c>
      <c r="AB1176" s="780"/>
      <c r="AC1176" s="881">
        <v>1172</v>
      </c>
      <c r="AD1176" s="881" t="s">
        <v>4573</v>
      </c>
      <c r="AE1176" s="881" t="s">
        <v>3367</v>
      </c>
      <c r="AF1176" s="882">
        <f>$S$1*P!AF1176</f>
        <v>0.40848000000000001</v>
      </c>
    </row>
    <row r="1177" spans="19:32" x14ac:dyDescent="0.35">
      <c r="S1177" s="782">
        <v>1173</v>
      </c>
      <c r="T1177" s="782" t="s">
        <v>4284</v>
      </c>
      <c r="U1177" s="782" t="s">
        <v>4883</v>
      </c>
      <c r="V1177" s="797">
        <f>$S$1*P!V1177</f>
        <v>4.4556451612903227E-4</v>
      </c>
      <c r="W1177" s="780"/>
      <c r="X1177" s="782">
        <v>1173</v>
      </c>
      <c r="Y1177" s="782" t="s">
        <v>2248</v>
      </c>
      <c r="Z1177" s="782" t="s">
        <v>5478</v>
      </c>
      <c r="AA1177" s="781">
        <f>$S$1*P!AA1177</f>
        <v>6.8891129032258068E-3</v>
      </c>
      <c r="AB1177" s="780"/>
      <c r="AC1177" s="782">
        <v>1173</v>
      </c>
      <c r="AD1177" s="782" t="s">
        <v>4573</v>
      </c>
      <c r="AE1177" s="782" t="s">
        <v>4732</v>
      </c>
      <c r="AF1177" s="781">
        <f>$S$1*P!AF1177</f>
        <v>7.5745967741935497E-2</v>
      </c>
    </row>
    <row r="1178" spans="19:32" x14ac:dyDescent="0.35">
      <c r="S1178" s="782">
        <v>1174</v>
      </c>
      <c r="T1178" s="782" t="s">
        <v>4284</v>
      </c>
      <c r="U1178" s="782" t="s">
        <v>4882</v>
      </c>
      <c r="V1178" s="797">
        <f>$S$1*P!V1178</f>
        <v>1.6554435483870967E-3</v>
      </c>
      <c r="W1178" s="780"/>
      <c r="X1178" s="782">
        <v>1174</v>
      </c>
      <c r="Y1178" s="782" t="s">
        <v>2248</v>
      </c>
      <c r="Z1178" s="782" t="s">
        <v>4988</v>
      </c>
      <c r="AA1178" s="781">
        <f>$S$1*P!AA1178</f>
        <v>1.6245967741935484E-5</v>
      </c>
      <c r="AB1178" s="780"/>
      <c r="AC1178" s="782">
        <v>1174</v>
      </c>
      <c r="AD1178" s="782" t="s">
        <v>4573</v>
      </c>
      <c r="AE1178" s="782" t="s">
        <v>4731</v>
      </c>
      <c r="AF1178" s="781">
        <f>$S$1*P!AF1178</f>
        <v>5.9294354838709679E-2</v>
      </c>
    </row>
    <row r="1179" spans="19:32" x14ac:dyDescent="0.35">
      <c r="S1179" s="870">
        <v>1175</v>
      </c>
      <c r="T1179" s="870" t="s">
        <v>4284</v>
      </c>
      <c r="U1179" s="870" t="s">
        <v>5477</v>
      </c>
      <c r="V1179" s="871">
        <f>$S$1*P!V1179</f>
        <v>11.449</v>
      </c>
      <c r="W1179" s="780"/>
      <c r="X1179" s="782">
        <v>1175</v>
      </c>
      <c r="Y1179" s="782" t="s">
        <v>2248</v>
      </c>
      <c r="Z1179" s="782" t="s">
        <v>4987</v>
      </c>
      <c r="AA1179" s="781">
        <f>$S$1*P!AA1179</f>
        <v>6.2036290322580651E-2</v>
      </c>
      <c r="AB1179" s="780"/>
      <c r="AC1179" s="782">
        <v>1175</v>
      </c>
      <c r="AD1179" s="782" t="s">
        <v>4573</v>
      </c>
      <c r="AE1179" s="782" t="s">
        <v>4730</v>
      </c>
      <c r="AF1179" s="781">
        <f>$S$1*P!AF1179</f>
        <v>5.2782258064516131E-3</v>
      </c>
    </row>
    <row r="1180" spans="19:32" x14ac:dyDescent="0.35">
      <c r="S1180" s="782">
        <v>1176</v>
      </c>
      <c r="T1180" s="782" t="s">
        <v>4284</v>
      </c>
      <c r="U1180" s="782" t="s">
        <v>4881</v>
      </c>
      <c r="V1180" s="797">
        <f>$S$1*P!V1180</f>
        <v>5.106854838709678E-4</v>
      </c>
      <c r="W1180" s="780"/>
      <c r="X1180" s="782">
        <v>1176</v>
      </c>
      <c r="Y1180" s="782" t="s">
        <v>2248</v>
      </c>
      <c r="Z1180" s="782" t="s">
        <v>5476</v>
      </c>
      <c r="AA1180" s="781">
        <f>$S$1*P!AA1180</f>
        <v>7.7802419354838712E-3</v>
      </c>
      <c r="AB1180" s="780"/>
      <c r="AC1180" s="782">
        <v>1176</v>
      </c>
      <c r="AD1180" s="782" t="s">
        <v>4573</v>
      </c>
      <c r="AE1180" s="782" t="s">
        <v>3366</v>
      </c>
      <c r="AF1180" s="781">
        <f>$S$1*P!AF1180</f>
        <v>7.1633064516129039</v>
      </c>
    </row>
    <row r="1181" spans="19:32" x14ac:dyDescent="0.35">
      <c r="S1181" s="782">
        <v>1177</v>
      </c>
      <c r="T1181" s="782" t="s">
        <v>4284</v>
      </c>
      <c r="U1181" s="782" t="s">
        <v>4880</v>
      </c>
      <c r="V1181" s="797">
        <f>$S$1*P!V1181</f>
        <v>2.9715725806451614E-4</v>
      </c>
      <c r="W1181" s="780"/>
      <c r="X1181" s="782">
        <v>1177</v>
      </c>
      <c r="Y1181" s="782" t="s">
        <v>2248</v>
      </c>
      <c r="Z1181" s="782" t="s">
        <v>3494</v>
      </c>
      <c r="AA1181" s="781">
        <f>$S$1*P!AA1181</f>
        <v>1.6099999999999999E-3</v>
      </c>
      <c r="AB1181" s="780"/>
      <c r="AC1181" s="881">
        <v>1177</v>
      </c>
      <c r="AD1181" s="881" t="s">
        <v>4573</v>
      </c>
      <c r="AE1181" s="881" t="s">
        <v>3366</v>
      </c>
      <c r="AF1181" s="882">
        <f>$S$1*P!AF1181</f>
        <v>0</v>
      </c>
    </row>
    <row r="1182" spans="19:32" x14ac:dyDescent="0.35">
      <c r="S1182" s="870">
        <v>1178</v>
      </c>
      <c r="T1182" s="870" t="s">
        <v>4284</v>
      </c>
      <c r="U1182" s="870" t="s">
        <v>3427</v>
      </c>
      <c r="V1182" s="871">
        <f>$S$1*P!V1182</f>
        <v>11.555999999999999</v>
      </c>
      <c r="W1182" s="780"/>
      <c r="X1182" s="782">
        <v>1178</v>
      </c>
      <c r="Y1182" s="782" t="s">
        <v>2248</v>
      </c>
      <c r="Z1182" s="782" t="s">
        <v>3494</v>
      </c>
      <c r="AA1182" s="781">
        <f>$S$1*P!AA1182</f>
        <v>6.1350806451612901E-4</v>
      </c>
      <c r="AB1182" s="780"/>
      <c r="AC1182" s="782">
        <v>1178</v>
      </c>
      <c r="AD1182" s="782" t="s">
        <v>4573</v>
      </c>
      <c r="AE1182" s="782" t="s">
        <v>4729</v>
      </c>
      <c r="AF1182" s="781">
        <f>$S$1*P!AF1182</f>
        <v>9.2540322580645165E-2</v>
      </c>
    </row>
    <row r="1183" spans="19:32" x14ac:dyDescent="0.35">
      <c r="S1183" s="782">
        <v>1179</v>
      </c>
      <c r="T1183" s="782" t="s">
        <v>4284</v>
      </c>
      <c r="U1183" s="782" t="s">
        <v>3427</v>
      </c>
      <c r="V1183" s="797">
        <f>$S$1*P!V1183</f>
        <v>1.4018145161290323E-6</v>
      </c>
      <c r="W1183" s="780"/>
      <c r="X1183" s="782">
        <v>1179</v>
      </c>
      <c r="Y1183" s="782" t="s">
        <v>2248</v>
      </c>
      <c r="Z1183" s="782" t="s">
        <v>5475</v>
      </c>
      <c r="AA1183" s="781">
        <f>$S$1*P!AA1183</f>
        <v>7.0262096774193543E-5</v>
      </c>
      <c r="AB1183" s="780"/>
      <c r="AC1183" s="881">
        <v>1179</v>
      </c>
      <c r="AD1183" s="881" t="s">
        <v>4573</v>
      </c>
      <c r="AE1183" s="881" t="s">
        <v>3364</v>
      </c>
      <c r="AF1183" s="882">
        <f>$S$1*P!AF1183</f>
        <v>0</v>
      </c>
    </row>
    <row r="1184" spans="19:32" x14ac:dyDescent="0.35">
      <c r="S1184" s="782">
        <v>1180</v>
      </c>
      <c r="T1184" s="782" t="s">
        <v>4284</v>
      </c>
      <c r="U1184" s="782" t="s">
        <v>3427</v>
      </c>
      <c r="V1184" s="797">
        <f>$S$1*P!V1184</f>
        <v>2.7783999999999999E-3</v>
      </c>
      <c r="W1184" s="780"/>
      <c r="X1184" s="782">
        <v>1180</v>
      </c>
      <c r="Y1184" s="782" t="s">
        <v>2248</v>
      </c>
      <c r="Z1184" s="782" t="s">
        <v>4986</v>
      </c>
      <c r="AA1184" s="781">
        <f>$S$1*P!AA1184</f>
        <v>2.9989919354838713E-3</v>
      </c>
      <c r="AB1184" s="780"/>
      <c r="AC1184" s="782">
        <v>1180</v>
      </c>
      <c r="AD1184" s="782" t="s">
        <v>4573</v>
      </c>
      <c r="AE1184" s="782" t="s">
        <v>3363</v>
      </c>
      <c r="AF1184" s="781">
        <f>$S$1*P!AF1184</f>
        <v>0.47298387096774197</v>
      </c>
    </row>
    <row r="1185" spans="19:32" x14ac:dyDescent="0.35">
      <c r="S1185" s="782">
        <v>1181</v>
      </c>
      <c r="T1185" s="782" t="s">
        <v>4284</v>
      </c>
      <c r="U1185" s="782" t="s">
        <v>3425</v>
      </c>
      <c r="V1185" s="797">
        <f>$S$1*P!V1185</f>
        <v>7.6774193548387109E-5</v>
      </c>
      <c r="W1185" s="780"/>
      <c r="X1185" s="782">
        <v>1181</v>
      </c>
      <c r="Y1185" s="782" t="s">
        <v>2248</v>
      </c>
      <c r="Z1185" s="782" t="s">
        <v>3493</v>
      </c>
      <c r="AA1185" s="781">
        <f>$S$1*P!AA1185</f>
        <v>0</v>
      </c>
      <c r="AB1185" s="780"/>
      <c r="AC1185" s="881">
        <v>1181</v>
      </c>
      <c r="AD1185" s="881" t="s">
        <v>4573</v>
      </c>
      <c r="AE1185" s="881" t="s">
        <v>3363</v>
      </c>
      <c r="AF1185" s="882">
        <f>$S$1*P!AF1185</f>
        <v>7.5347999999999999E-21</v>
      </c>
    </row>
    <row r="1186" spans="19:32" x14ac:dyDescent="0.35">
      <c r="S1186" s="782">
        <v>1182</v>
      </c>
      <c r="T1186" s="782" t="s">
        <v>4284</v>
      </c>
      <c r="U1186" s="782" t="s">
        <v>3425</v>
      </c>
      <c r="V1186" s="797">
        <f>$S$1*P!V1186</f>
        <v>0</v>
      </c>
      <c r="W1186" s="780"/>
      <c r="X1186" s="782">
        <v>1182</v>
      </c>
      <c r="Y1186" s="782" t="s">
        <v>2248</v>
      </c>
      <c r="Z1186" s="782" t="s">
        <v>4982</v>
      </c>
      <c r="AA1186" s="781">
        <f>$S$1*P!AA1186</f>
        <v>4.7983870967741943E-6</v>
      </c>
      <c r="AB1186" s="780"/>
      <c r="AC1186" s="782">
        <v>1182</v>
      </c>
      <c r="AD1186" s="782" t="s">
        <v>4573</v>
      </c>
      <c r="AE1186" s="782" t="s">
        <v>4728</v>
      </c>
      <c r="AF1186" s="781">
        <f>$S$1*P!AF1186</f>
        <v>22.929435483870968</v>
      </c>
    </row>
    <row r="1187" spans="19:32" x14ac:dyDescent="0.35">
      <c r="S1187" s="782">
        <v>1183</v>
      </c>
      <c r="T1187" s="782" t="s">
        <v>4284</v>
      </c>
      <c r="U1187" s="782" t="s">
        <v>4879</v>
      </c>
      <c r="V1187" s="797">
        <f>$S$1*P!V1187</f>
        <v>4.0100806451612905E-4</v>
      </c>
      <c r="W1187" s="780"/>
      <c r="X1187" s="782">
        <v>1183</v>
      </c>
      <c r="Y1187" s="782" t="s">
        <v>2248</v>
      </c>
      <c r="Z1187" s="782" t="s">
        <v>5474</v>
      </c>
      <c r="AA1187" s="781">
        <f>$S$1*P!AA1187</f>
        <v>6.5463709677419366E-2</v>
      </c>
      <c r="AB1187" s="780"/>
      <c r="AC1187" s="881">
        <v>1183</v>
      </c>
      <c r="AD1187" s="881" t="s">
        <v>4573</v>
      </c>
      <c r="AE1187" s="881" t="s">
        <v>3361</v>
      </c>
      <c r="AF1187" s="882">
        <f>$S$1*P!AF1187</f>
        <v>0</v>
      </c>
    </row>
    <row r="1188" spans="19:32" x14ac:dyDescent="0.35">
      <c r="S1188" s="782">
        <v>1184</v>
      </c>
      <c r="T1188" s="782" t="s">
        <v>4284</v>
      </c>
      <c r="U1188" s="782" t="s">
        <v>4878</v>
      </c>
      <c r="V1188" s="797">
        <f>$S$1*P!V1188</f>
        <v>7.8145161290322593E-7</v>
      </c>
      <c r="W1188" s="780"/>
      <c r="X1188" s="782">
        <v>1184</v>
      </c>
      <c r="Y1188" s="782" t="s">
        <v>2248</v>
      </c>
      <c r="Z1188" s="782" t="s">
        <v>3492</v>
      </c>
      <c r="AA1188" s="781">
        <f>$S$1*P!AA1188</f>
        <v>0.44068000000000002</v>
      </c>
      <c r="AB1188" s="780"/>
      <c r="AC1188" s="782">
        <v>1184</v>
      </c>
      <c r="AD1188" s="782" t="s">
        <v>4573</v>
      </c>
      <c r="AE1188" s="782" t="s">
        <v>4727</v>
      </c>
      <c r="AF1188" s="781">
        <f>$S$1*P!AF1188</f>
        <v>5689.5161290322585</v>
      </c>
    </row>
    <row r="1189" spans="19:32" x14ac:dyDescent="0.35">
      <c r="S1189" s="782">
        <v>1185</v>
      </c>
      <c r="T1189" s="782" t="s">
        <v>4284</v>
      </c>
      <c r="U1189" s="782" t="s">
        <v>4875</v>
      </c>
      <c r="V1189" s="797">
        <f>$S$1*P!V1189</f>
        <v>0.11550403225806452</v>
      </c>
      <c r="W1189" s="780"/>
      <c r="X1189" s="782">
        <v>1185</v>
      </c>
      <c r="Y1189" s="782" t="s">
        <v>2248</v>
      </c>
      <c r="Z1189" s="782" t="s">
        <v>3492</v>
      </c>
      <c r="AA1189" s="781">
        <f>$S$1*P!AA1189</f>
        <v>3.495967741935484E-3</v>
      </c>
      <c r="AB1189" s="780"/>
      <c r="AC1189" s="881">
        <v>1185</v>
      </c>
      <c r="AD1189" s="881" t="s">
        <v>4573</v>
      </c>
      <c r="AE1189" s="881" t="s">
        <v>3360</v>
      </c>
      <c r="AF1189" s="882">
        <f>$S$1*P!AF1189</f>
        <v>4.3608000000000002</v>
      </c>
    </row>
    <row r="1190" spans="19:32" x14ac:dyDescent="0.35">
      <c r="S1190" s="782">
        <v>1186</v>
      </c>
      <c r="T1190" s="782" t="s">
        <v>4284</v>
      </c>
      <c r="U1190" s="782" t="s">
        <v>4873</v>
      </c>
      <c r="V1190" s="797">
        <f>$S$1*P!V1190</f>
        <v>1.6006048387096774E-4</v>
      </c>
      <c r="W1190" s="780"/>
      <c r="X1190" s="782">
        <v>1186</v>
      </c>
      <c r="Y1190" s="782" t="s">
        <v>2248</v>
      </c>
      <c r="Z1190" s="782" t="s">
        <v>5473</v>
      </c>
      <c r="AA1190" s="781">
        <f>$S$1*P!AA1190</f>
        <v>7.7459677419354847E-2</v>
      </c>
      <c r="AB1190" s="780"/>
      <c r="AC1190" s="782">
        <v>1186</v>
      </c>
      <c r="AD1190" s="782" t="s">
        <v>4573</v>
      </c>
      <c r="AE1190" s="782" t="s">
        <v>4726</v>
      </c>
      <c r="AF1190" s="781">
        <f>$S$1*P!AF1190</f>
        <v>2.1421370967741938E-3</v>
      </c>
    </row>
    <row r="1191" spans="19:32" x14ac:dyDescent="0.35">
      <c r="S1191" s="870">
        <v>1187</v>
      </c>
      <c r="T1191" s="870" t="s">
        <v>4284</v>
      </c>
      <c r="U1191" s="870" t="s">
        <v>4872</v>
      </c>
      <c r="V1191" s="871">
        <f>$S$1*P!V1191</f>
        <v>12.465499999999999</v>
      </c>
      <c r="W1191" s="780"/>
      <c r="X1191" s="782">
        <v>1187</v>
      </c>
      <c r="Y1191" s="782" t="s">
        <v>2248</v>
      </c>
      <c r="Z1191" s="782" t="s">
        <v>5472</v>
      </c>
      <c r="AA1191" s="781">
        <f>$S$1*P!AA1191</f>
        <v>4.4899193548387104E-2</v>
      </c>
      <c r="AB1191" s="780"/>
      <c r="AC1191" s="782">
        <v>1187</v>
      </c>
      <c r="AD1191" s="782" t="s">
        <v>4573</v>
      </c>
      <c r="AE1191" s="782" t="s">
        <v>3359</v>
      </c>
      <c r="AF1191" s="781">
        <f>$S$1*P!AF1191</f>
        <v>4.4213709677419361E-2</v>
      </c>
    </row>
    <row r="1192" spans="19:32" x14ac:dyDescent="0.35">
      <c r="S1192" s="782">
        <v>1188</v>
      </c>
      <c r="T1192" s="782" t="s">
        <v>4284</v>
      </c>
      <c r="U1192" s="782" t="s">
        <v>4872</v>
      </c>
      <c r="V1192" s="797">
        <f>$S$1*P!V1192</f>
        <v>2.6219758064516129E-7</v>
      </c>
      <c r="W1192" s="780"/>
      <c r="X1192" s="782">
        <v>1188</v>
      </c>
      <c r="Y1192" s="782" t="s">
        <v>2248</v>
      </c>
      <c r="Z1192" s="782" t="s">
        <v>3729</v>
      </c>
      <c r="AA1192" s="781">
        <f>$S$1*P!AA1192</f>
        <v>2.7899193548387101E-3</v>
      </c>
      <c r="AB1192" s="780"/>
      <c r="AC1192" s="881">
        <v>1188</v>
      </c>
      <c r="AD1192" s="881" t="s">
        <v>4573</v>
      </c>
      <c r="AE1192" s="881" t="s">
        <v>3359</v>
      </c>
      <c r="AF1192" s="882">
        <f>$S$1*P!AF1192</f>
        <v>0</v>
      </c>
    </row>
    <row r="1193" spans="19:32" x14ac:dyDescent="0.35">
      <c r="S1193" s="782">
        <v>1189</v>
      </c>
      <c r="T1193" s="782" t="s">
        <v>4284</v>
      </c>
      <c r="U1193" s="782" t="s">
        <v>4871</v>
      </c>
      <c r="V1193" s="797">
        <f>$S$1*P!V1193</f>
        <v>3.4239919354838713E-5</v>
      </c>
      <c r="W1193" s="780"/>
      <c r="X1193" s="782">
        <v>1189</v>
      </c>
      <c r="Y1193" s="782" t="s">
        <v>2248</v>
      </c>
      <c r="Z1193" s="782" t="s">
        <v>5471</v>
      </c>
      <c r="AA1193" s="781">
        <f>$S$1*P!AA1193</f>
        <v>2.2895161290322581E-3</v>
      </c>
      <c r="AB1193" s="780"/>
      <c r="AC1193" s="782">
        <v>1189</v>
      </c>
      <c r="AD1193" s="782" t="s">
        <v>4573</v>
      </c>
      <c r="AE1193" s="782" t="s">
        <v>4725</v>
      </c>
      <c r="AF1193" s="781">
        <f>$S$1*P!AF1193</f>
        <v>1.7856854838709679</v>
      </c>
    </row>
    <row r="1194" spans="19:32" x14ac:dyDescent="0.35">
      <c r="S1194" s="782">
        <v>1190</v>
      </c>
      <c r="T1194" s="782" t="s">
        <v>4284</v>
      </c>
      <c r="U1194" s="782" t="s">
        <v>4870</v>
      </c>
      <c r="V1194" s="797">
        <f>$S$1*P!V1194</f>
        <v>5.5524193548387097E-4</v>
      </c>
      <c r="W1194" s="780"/>
      <c r="X1194" s="782">
        <v>1190</v>
      </c>
      <c r="Y1194" s="782" t="s">
        <v>2248</v>
      </c>
      <c r="Z1194" s="782" t="s">
        <v>5470</v>
      </c>
      <c r="AA1194" s="781">
        <f>$S$1*P!AA1194</f>
        <v>2.0495967741935486E-3</v>
      </c>
      <c r="AB1194" s="780"/>
      <c r="AC1194" s="782">
        <v>1190</v>
      </c>
      <c r="AD1194" s="782" t="s">
        <v>4573</v>
      </c>
      <c r="AE1194" s="782" t="s">
        <v>4724</v>
      </c>
      <c r="AF1194" s="781">
        <f>$S$1*P!AF1194</f>
        <v>2.9235887096774197E-3</v>
      </c>
    </row>
    <row r="1195" spans="19:32" x14ac:dyDescent="0.35">
      <c r="S1195" s="782">
        <v>1191</v>
      </c>
      <c r="T1195" s="782" t="s">
        <v>4284</v>
      </c>
      <c r="U1195" s="782" t="s">
        <v>4867</v>
      </c>
      <c r="V1195" s="797">
        <f>$S$1*P!V1195</f>
        <v>6.8548387096774195E-3</v>
      </c>
      <c r="W1195" s="780"/>
      <c r="X1195" s="782">
        <v>1191</v>
      </c>
      <c r="Y1195" s="782" t="s">
        <v>2248</v>
      </c>
      <c r="Z1195" s="782" t="s">
        <v>5469</v>
      </c>
      <c r="AA1195" s="781">
        <f>$S$1*P!AA1195</f>
        <v>4.2842741935483876E-3</v>
      </c>
      <c r="AB1195" s="780"/>
      <c r="AC1195" s="782">
        <v>1191</v>
      </c>
      <c r="AD1195" s="782" t="s">
        <v>4573</v>
      </c>
      <c r="AE1195" s="782" t="s">
        <v>4723</v>
      </c>
      <c r="AF1195" s="781">
        <f>$S$1*P!AF1195</f>
        <v>2.5979838709677423E-2</v>
      </c>
    </row>
    <row r="1196" spans="19:32" x14ac:dyDescent="0.35">
      <c r="S1196" s="782">
        <v>1192</v>
      </c>
      <c r="T1196" s="782" t="s">
        <v>4284</v>
      </c>
      <c r="U1196" s="782" t="s">
        <v>4865</v>
      </c>
      <c r="V1196" s="797">
        <f>$S$1*P!V1196</f>
        <v>9.7338709677419366E-2</v>
      </c>
      <c r="W1196" s="780"/>
      <c r="X1196" s="782">
        <v>1192</v>
      </c>
      <c r="Y1196" s="782" t="s">
        <v>2248</v>
      </c>
      <c r="Z1196" s="782" t="s">
        <v>5468</v>
      </c>
      <c r="AA1196" s="781">
        <f>$S$1*P!AA1196</f>
        <v>5.2439516129032266E-3</v>
      </c>
      <c r="AB1196" s="780"/>
      <c r="AC1196" s="782">
        <v>1192</v>
      </c>
      <c r="AD1196" s="782" t="s">
        <v>4573</v>
      </c>
      <c r="AE1196" s="782" t="s">
        <v>4722</v>
      </c>
      <c r="AF1196" s="781">
        <f>$S$1*P!AF1196</f>
        <v>1.346975806451613E-2</v>
      </c>
    </row>
    <row r="1197" spans="19:32" x14ac:dyDescent="0.35">
      <c r="S1197" s="782">
        <v>1193</v>
      </c>
      <c r="T1197" s="782" t="s">
        <v>4284</v>
      </c>
      <c r="U1197" s="782" t="s">
        <v>4862</v>
      </c>
      <c r="V1197" s="797">
        <f>$S$1*P!V1197</f>
        <v>0.16554435483870969</v>
      </c>
      <c r="W1197" s="780"/>
      <c r="X1197" s="782">
        <v>1193</v>
      </c>
      <c r="Y1197" s="782" t="s">
        <v>2248</v>
      </c>
      <c r="Z1197" s="782" t="s">
        <v>5467</v>
      </c>
      <c r="AA1197" s="781">
        <f>$S$1*P!AA1197</f>
        <v>2.2449596774193549E-3</v>
      </c>
      <c r="AB1197" s="780"/>
      <c r="AC1197" s="782">
        <v>1193</v>
      </c>
      <c r="AD1197" s="782" t="s">
        <v>4573</v>
      </c>
      <c r="AE1197" s="782" t="s">
        <v>4721</v>
      </c>
      <c r="AF1197" s="781">
        <f>$S$1*P!AF1197</f>
        <v>0.14326612903225808</v>
      </c>
    </row>
    <row r="1198" spans="19:32" x14ac:dyDescent="0.35">
      <c r="S1198" s="782">
        <v>1194</v>
      </c>
      <c r="T1198" s="782" t="s">
        <v>4284</v>
      </c>
      <c r="U1198" s="782" t="s">
        <v>3423</v>
      </c>
      <c r="V1198" s="797">
        <f>$S$1*P!V1198</f>
        <v>1.2784274193548389E-4</v>
      </c>
      <c r="W1198" s="780"/>
      <c r="X1198" s="782">
        <v>1194</v>
      </c>
      <c r="Y1198" s="782" t="s">
        <v>2248</v>
      </c>
      <c r="Z1198" s="782" t="s">
        <v>5466</v>
      </c>
      <c r="AA1198" s="781">
        <f>$S$1*P!AA1198</f>
        <v>2.4300403225806454E-3</v>
      </c>
      <c r="AB1198" s="780"/>
      <c r="AC1198" s="782">
        <v>1194</v>
      </c>
      <c r="AD1198" s="782" t="s">
        <v>4573</v>
      </c>
      <c r="AE1198" s="782" t="s">
        <v>4720</v>
      </c>
      <c r="AF1198" s="781">
        <f>$S$1*P!AF1198</f>
        <v>7.5745967741935489</v>
      </c>
    </row>
    <row r="1199" spans="19:32" x14ac:dyDescent="0.35">
      <c r="S1199" s="782">
        <v>1195</v>
      </c>
      <c r="T1199" s="782" t="s">
        <v>4284</v>
      </c>
      <c r="U1199" s="782" t="s">
        <v>3423</v>
      </c>
      <c r="V1199" s="797">
        <f>$S$1*P!V1199</f>
        <v>0.16652</v>
      </c>
      <c r="W1199" s="780"/>
      <c r="X1199" s="782">
        <v>1195</v>
      </c>
      <c r="Y1199" s="782" t="s">
        <v>2248</v>
      </c>
      <c r="Z1199" s="782" t="s">
        <v>5465</v>
      </c>
      <c r="AA1199" s="781">
        <f>$S$1*P!AA1199</f>
        <v>2.5568548387096775E-2</v>
      </c>
      <c r="AB1199" s="780"/>
      <c r="AC1199" s="782">
        <v>1195</v>
      </c>
      <c r="AD1199" s="782" t="s">
        <v>4573</v>
      </c>
      <c r="AE1199" s="782" t="s">
        <v>3358</v>
      </c>
      <c r="AF1199" s="781">
        <f>$S$1*P!AF1199</f>
        <v>225.5241935483871</v>
      </c>
    </row>
    <row r="1200" spans="19:32" x14ac:dyDescent="0.35">
      <c r="S1200" s="782">
        <v>1196</v>
      </c>
      <c r="T1200" s="782" t="s">
        <v>4284</v>
      </c>
      <c r="U1200" s="782" t="s">
        <v>4858</v>
      </c>
      <c r="V1200" s="797">
        <f>$S$1*P!V1200</f>
        <v>0.19056451612903227</v>
      </c>
      <c r="W1200" s="780"/>
      <c r="X1200" s="782">
        <v>1196</v>
      </c>
      <c r="Y1200" s="782" t="s">
        <v>2248</v>
      </c>
      <c r="Z1200" s="782" t="s">
        <v>5464</v>
      </c>
      <c r="AA1200" s="781">
        <f>$S$1*P!AA1200</f>
        <v>6.9576612903225815E-3</v>
      </c>
      <c r="AB1200" s="780"/>
      <c r="AC1200" s="881">
        <v>1196</v>
      </c>
      <c r="AD1200" s="881" t="s">
        <v>4573</v>
      </c>
      <c r="AE1200" s="881" t="s">
        <v>3358</v>
      </c>
      <c r="AF1200" s="882">
        <f>$S$1*P!AF1200</f>
        <v>0</v>
      </c>
    </row>
    <row r="1201" spans="19:32" x14ac:dyDescent="0.35">
      <c r="S1201" s="782">
        <v>1197</v>
      </c>
      <c r="T1201" s="782" t="s">
        <v>4284</v>
      </c>
      <c r="U1201" s="782" t="s">
        <v>4855</v>
      </c>
      <c r="V1201" s="797">
        <f>$S$1*P!V1201</f>
        <v>0.12852822580645162</v>
      </c>
      <c r="W1201" s="780"/>
      <c r="X1201" s="782">
        <v>1197</v>
      </c>
      <c r="Y1201" s="782" t="s">
        <v>2248</v>
      </c>
      <c r="Z1201" s="782" t="s">
        <v>3491</v>
      </c>
      <c r="AA1201" s="781">
        <f>$S$1*P!AA1201</f>
        <v>0</v>
      </c>
      <c r="AB1201" s="780"/>
      <c r="AC1201" s="782">
        <v>1197</v>
      </c>
      <c r="AD1201" s="782" t="s">
        <v>4573</v>
      </c>
      <c r="AE1201" s="782" t="s">
        <v>4719</v>
      </c>
      <c r="AF1201" s="781">
        <f>$S$1*P!AF1201</f>
        <v>8.7056451612903235E-2</v>
      </c>
    </row>
    <row r="1202" spans="19:32" x14ac:dyDescent="0.35">
      <c r="S1202" s="782">
        <v>1198</v>
      </c>
      <c r="T1202" s="782" t="s">
        <v>4284</v>
      </c>
      <c r="U1202" s="782" t="s">
        <v>4852</v>
      </c>
      <c r="V1202" s="797">
        <f>$S$1*P!V1202</f>
        <v>1.9467741935483873</v>
      </c>
      <c r="W1202" s="780"/>
      <c r="X1202" s="782">
        <v>1198</v>
      </c>
      <c r="Y1202" s="782" t="s">
        <v>2248</v>
      </c>
      <c r="Z1202" s="782" t="s">
        <v>4981</v>
      </c>
      <c r="AA1202" s="781">
        <f>$S$1*P!AA1202</f>
        <v>1.5663306451612905E-2</v>
      </c>
      <c r="AB1202" s="780"/>
      <c r="AC1202" s="782">
        <v>1198</v>
      </c>
      <c r="AD1202" s="782" t="s">
        <v>4573</v>
      </c>
      <c r="AE1202" s="782" t="s">
        <v>4718</v>
      </c>
      <c r="AF1202" s="781">
        <f>$S$1*P!AF1202</f>
        <v>3.6673387096774195</v>
      </c>
    </row>
    <row r="1203" spans="19:32" x14ac:dyDescent="0.35">
      <c r="S1203" s="782">
        <v>1199</v>
      </c>
      <c r="T1203" s="782" t="s">
        <v>4284</v>
      </c>
      <c r="U1203" s="782" t="s">
        <v>4850</v>
      </c>
      <c r="V1203" s="797">
        <f>$S$1*P!V1203</f>
        <v>4.6270161290322583E-4</v>
      </c>
      <c r="W1203" s="780"/>
      <c r="X1203" s="782">
        <v>1199</v>
      </c>
      <c r="Y1203" s="782" t="s">
        <v>2248</v>
      </c>
      <c r="Z1203" s="782" t="s">
        <v>5463</v>
      </c>
      <c r="AA1203" s="781">
        <f>$S$1*P!AA1203</f>
        <v>3.7358870967741938E-2</v>
      </c>
      <c r="AB1203" s="780"/>
      <c r="AC1203" s="782">
        <v>1199</v>
      </c>
      <c r="AD1203" s="782" t="s">
        <v>4573</v>
      </c>
      <c r="AE1203" s="782" t="s">
        <v>4717</v>
      </c>
      <c r="AF1203" s="781">
        <f>$S$1*P!AF1203</f>
        <v>50.383064516129039</v>
      </c>
    </row>
    <row r="1204" spans="19:32" x14ac:dyDescent="0.35">
      <c r="S1204" s="782">
        <v>1200</v>
      </c>
      <c r="T1204" s="782" t="s">
        <v>4284</v>
      </c>
      <c r="U1204" s="782" t="s">
        <v>3422</v>
      </c>
      <c r="V1204" s="797">
        <f>$S$1*P!V1204</f>
        <v>1.5526209677419354E-3</v>
      </c>
      <c r="W1204" s="780"/>
      <c r="X1204" s="782">
        <v>1200</v>
      </c>
      <c r="Y1204" s="782" t="s">
        <v>2248</v>
      </c>
      <c r="Z1204" s="782" t="s">
        <v>3489</v>
      </c>
      <c r="AA1204" s="781">
        <f>$S$1*P!AA1204</f>
        <v>0</v>
      </c>
      <c r="AB1204" s="780"/>
      <c r="AC1204" s="782">
        <v>1200</v>
      </c>
      <c r="AD1204" s="782" t="s">
        <v>4573</v>
      </c>
      <c r="AE1204" s="782" t="s">
        <v>3357</v>
      </c>
      <c r="AF1204" s="781">
        <f>$S$1*P!AF1204</f>
        <v>7.5403225806451618E-2</v>
      </c>
    </row>
    <row r="1205" spans="19:32" x14ac:dyDescent="0.35">
      <c r="S1205" s="782">
        <v>1201</v>
      </c>
      <c r="T1205" s="782" t="s">
        <v>4284</v>
      </c>
      <c r="U1205" s="782" t="s">
        <v>3422</v>
      </c>
      <c r="V1205" s="797">
        <f>$S$1*P!V1205</f>
        <v>0.30176000000000003</v>
      </c>
      <c r="W1205" s="780"/>
      <c r="X1205" s="782">
        <v>1201</v>
      </c>
      <c r="Y1205" s="782" t="s">
        <v>2248</v>
      </c>
      <c r="Z1205" s="782" t="s">
        <v>3489</v>
      </c>
      <c r="AA1205" s="781">
        <f>$S$1*P!AA1205</f>
        <v>1.4600806451612904E-3</v>
      </c>
      <c r="AB1205" s="780"/>
      <c r="AC1205" s="881">
        <v>1201</v>
      </c>
      <c r="AD1205" s="881" t="s">
        <v>4573</v>
      </c>
      <c r="AE1205" s="881" t="s">
        <v>3357</v>
      </c>
      <c r="AF1205" s="882">
        <f>$S$1*P!AF1205</f>
        <v>0</v>
      </c>
    </row>
    <row r="1206" spans="19:32" x14ac:dyDescent="0.35">
      <c r="S1206" s="782">
        <v>1202</v>
      </c>
      <c r="T1206" s="782" t="s">
        <v>4284</v>
      </c>
      <c r="U1206" s="782" t="s">
        <v>4845</v>
      </c>
      <c r="V1206" s="797">
        <f>$S$1*P!V1206</f>
        <v>7.5403225806451623E-4</v>
      </c>
      <c r="W1206" s="780"/>
      <c r="X1206" s="782">
        <v>1202</v>
      </c>
      <c r="Y1206" s="782" t="s">
        <v>2248</v>
      </c>
      <c r="Z1206" s="782" t="s">
        <v>5462</v>
      </c>
      <c r="AA1206" s="781">
        <f>$S$1*P!AA1206</f>
        <v>8.8770161290322586E-4</v>
      </c>
      <c r="AB1206" s="780"/>
      <c r="AC1206" s="881">
        <v>1202</v>
      </c>
      <c r="AD1206" s="881" t="s">
        <v>4573</v>
      </c>
      <c r="AE1206" s="881" t="s">
        <v>3355</v>
      </c>
      <c r="AF1206" s="882">
        <f>$S$1*P!AF1206</f>
        <v>97.52</v>
      </c>
    </row>
    <row r="1207" spans="19:32" x14ac:dyDescent="0.35">
      <c r="S1207" s="782">
        <v>1203</v>
      </c>
      <c r="T1207" s="782" t="s">
        <v>4284</v>
      </c>
      <c r="U1207" s="782" t="s">
        <v>3420</v>
      </c>
      <c r="V1207" s="797">
        <f>$S$1*P!V1207</f>
        <v>5.0383064516129035E-3</v>
      </c>
      <c r="W1207" s="780"/>
      <c r="X1207" s="782">
        <v>1203</v>
      </c>
      <c r="Y1207" s="782" t="s">
        <v>2248</v>
      </c>
      <c r="Z1207" s="782" t="s">
        <v>4980</v>
      </c>
      <c r="AA1207" s="781">
        <f>$S$1*P!AA1207</f>
        <v>1.052217741935484E-2</v>
      </c>
      <c r="AB1207" s="780"/>
      <c r="AC1207" s="782">
        <v>1203</v>
      </c>
      <c r="AD1207" s="782" t="s">
        <v>4573</v>
      </c>
      <c r="AE1207" s="782" t="s">
        <v>4716</v>
      </c>
      <c r="AF1207" s="781">
        <f>$S$1*P!AF1207</f>
        <v>9.6995967741935499E-5</v>
      </c>
    </row>
    <row r="1208" spans="19:32" x14ac:dyDescent="0.35">
      <c r="S1208" s="782">
        <v>1204</v>
      </c>
      <c r="T1208" s="782" t="s">
        <v>4284</v>
      </c>
      <c r="U1208" s="782" t="s">
        <v>3420</v>
      </c>
      <c r="V1208" s="797">
        <f>$S$1*P!V1208</f>
        <v>0.13339999999999999</v>
      </c>
      <c r="W1208" s="780"/>
      <c r="X1208" s="782">
        <v>1204</v>
      </c>
      <c r="Y1208" s="782" t="s">
        <v>2248</v>
      </c>
      <c r="Z1208" s="782" t="s">
        <v>4979</v>
      </c>
      <c r="AA1208" s="781">
        <f>$S$1*P!AA1208</f>
        <v>2.0907258064516133E-3</v>
      </c>
      <c r="AB1208" s="780"/>
      <c r="AC1208" s="881">
        <v>1204</v>
      </c>
      <c r="AD1208" s="881" t="s">
        <v>4573</v>
      </c>
      <c r="AE1208" s="881" t="s">
        <v>3354</v>
      </c>
      <c r="AF1208" s="882">
        <f>$S$1*P!AF1208</f>
        <v>0.21712000000000001</v>
      </c>
    </row>
    <row r="1209" spans="19:32" x14ac:dyDescent="0.35">
      <c r="S1209" s="782">
        <v>1205</v>
      </c>
      <c r="T1209" s="782" t="s">
        <v>4284</v>
      </c>
      <c r="U1209" s="782" t="s">
        <v>3419</v>
      </c>
      <c r="V1209" s="797">
        <f>$S$1*P!V1209</f>
        <v>0.39100000000000001</v>
      </c>
      <c r="W1209" s="780"/>
      <c r="X1209" s="782">
        <v>1205</v>
      </c>
      <c r="Y1209" s="782" t="s">
        <v>2248</v>
      </c>
      <c r="Z1209" s="782" t="s">
        <v>3723</v>
      </c>
      <c r="AA1209" s="781">
        <f>$S$1*P!AA1209</f>
        <v>6.3407258064516136E-4</v>
      </c>
      <c r="AB1209" s="780"/>
      <c r="AC1209" s="782">
        <v>1205</v>
      </c>
      <c r="AD1209" s="782" t="s">
        <v>4573</v>
      </c>
      <c r="AE1209" s="782" t="s">
        <v>3353</v>
      </c>
      <c r="AF1209" s="781">
        <f>$S$1*P!AF1209</f>
        <v>2.0735887096774196E-3</v>
      </c>
    </row>
    <row r="1210" spans="19:32" x14ac:dyDescent="0.35">
      <c r="S1210" s="782">
        <v>1206</v>
      </c>
      <c r="T1210" s="782" t="s">
        <v>4284</v>
      </c>
      <c r="U1210" s="782" t="s">
        <v>3417</v>
      </c>
      <c r="V1210" s="797">
        <f>$S$1*P!V1210</f>
        <v>6.8891129032258071E-4</v>
      </c>
      <c r="W1210" s="780"/>
      <c r="X1210" s="782">
        <v>1206</v>
      </c>
      <c r="Y1210" s="782" t="s">
        <v>2248</v>
      </c>
      <c r="Z1210" s="782" t="s">
        <v>3488</v>
      </c>
      <c r="AA1210" s="781">
        <f>$S$1*P!AA1210</f>
        <v>0</v>
      </c>
      <c r="AB1210" s="780"/>
      <c r="AC1210" s="881">
        <v>1206</v>
      </c>
      <c r="AD1210" s="881" t="s">
        <v>4573</v>
      </c>
      <c r="AE1210" s="881" t="s">
        <v>3353</v>
      </c>
      <c r="AF1210" s="882">
        <f>$S$1*P!AF1210</f>
        <v>5.7683999999999997</v>
      </c>
    </row>
    <row r="1211" spans="19:32" x14ac:dyDescent="0.35">
      <c r="S1211" s="782">
        <v>1207</v>
      </c>
      <c r="T1211" s="782" t="s">
        <v>4284</v>
      </c>
      <c r="U1211" s="782" t="s">
        <v>3417</v>
      </c>
      <c r="V1211" s="797">
        <f>$S$1*P!V1211</f>
        <v>5.0415999999999999</v>
      </c>
      <c r="W1211" s="780"/>
      <c r="X1211" s="782">
        <v>1207</v>
      </c>
      <c r="Y1211" s="782" t="s">
        <v>2248</v>
      </c>
      <c r="Z1211" s="782" t="s">
        <v>4978</v>
      </c>
      <c r="AA1211" s="781">
        <f>$S$1*P!AA1211</f>
        <v>1.3435483870967743E-3</v>
      </c>
      <c r="AB1211" s="780"/>
      <c r="AC1211" s="782">
        <v>1207</v>
      </c>
      <c r="AD1211" s="782" t="s">
        <v>4573</v>
      </c>
      <c r="AE1211" s="782" t="s">
        <v>4715</v>
      </c>
      <c r="AF1211" s="781">
        <f>$S$1*P!AF1211</f>
        <v>1.3743951612903227E-2</v>
      </c>
    </row>
    <row r="1212" spans="19:32" x14ac:dyDescent="0.35">
      <c r="S1212" s="782">
        <v>1208</v>
      </c>
      <c r="T1212" s="782" t="s">
        <v>4284</v>
      </c>
      <c r="U1212" s="782" t="s">
        <v>4839</v>
      </c>
      <c r="V1212" s="797">
        <f>$S$1*P!V1212</f>
        <v>1.4018145161290322E-3</v>
      </c>
      <c r="W1212" s="780"/>
      <c r="X1212" s="782">
        <v>1208</v>
      </c>
      <c r="Y1212" s="782" t="s">
        <v>2248</v>
      </c>
      <c r="Z1212" s="782" t="s">
        <v>4977</v>
      </c>
      <c r="AA1212" s="781">
        <f>$S$1*P!AA1212</f>
        <v>3.4239919354838713E-4</v>
      </c>
      <c r="AB1212" s="780"/>
      <c r="AC1212" s="782">
        <v>1208</v>
      </c>
      <c r="AD1212" s="782" t="s">
        <v>4573</v>
      </c>
      <c r="AE1212" s="782" t="s">
        <v>4714</v>
      </c>
      <c r="AF1212" s="781">
        <f>$S$1*P!AF1212</f>
        <v>1.3092741935483872E-2</v>
      </c>
    </row>
    <row r="1213" spans="19:32" x14ac:dyDescent="0.35">
      <c r="S1213" s="782">
        <v>1209</v>
      </c>
      <c r="T1213" s="782" t="s">
        <v>4284</v>
      </c>
      <c r="U1213" s="782" t="s">
        <v>4837</v>
      </c>
      <c r="V1213" s="797">
        <f>$S$1*P!V1213</f>
        <v>7.9858870967741945E-7</v>
      </c>
      <c r="W1213" s="780"/>
      <c r="X1213" s="782">
        <v>1209</v>
      </c>
      <c r="Y1213" s="782" t="s">
        <v>2248</v>
      </c>
      <c r="Z1213" s="782" t="s">
        <v>5461</v>
      </c>
      <c r="AA1213" s="781">
        <f>$S$1*P!AA1213</f>
        <v>1.8028225806451614E-3</v>
      </c>
      <c r="AB1213" s="780"/>
      <c r="AC1213" s="782">
        <v>1209</v>
      </c>
      <c r="AD1213" s="782" t="s">
        <v>4573</v>
      </c>
      <c r="AE1213" s="782" t="s">
        <v>4711</v>
      </c>
      <c r="AF1213" s="781">
        <f>$S$1*P!AF1213</f>
        <v>1.8473790322580647E-2</v>
      </c>
    </row>
    <row r="1214" spans="19:32" x14ac:dyDescent="0.35">
      <c r="S1214" s="782">
        <v>1210</v>
      </c>
      <c r="T1214" s="782" t="s">
        <v>4284</v>
      </c>
      <c r="U1214" s="782" t="s">
        <v>3416</v>
      </c>
      <c r="V1214" s="797">
        <f>$S$1*P!V1214</f>
        <v>1.9673387096774197E-2</v>
      </c>
      <c r="W1214" s="780"/>
      <c r="X1214" s="782">
        <v>1210</v>
      </c>
      <c r="Y1214" s="782" t="s">
        <v>2248</v>
      </c>
      <c r="Z1214" s="782" t="s">
        <v>4976</v>
      </c>
      <c r="AA1214" s="781">
        <f>$S$1*P!AA1214</f>
        <v>2.587701612903226E-3</v>
      </c>
      <c r="AB1214" s="780"/>
      <c r="AC1214" s="782">
        <v>1210</v>
      </c>
      <c r="AD1214" s="782" t="s">
        <v>4573</v>
      </c>
      <c r="AE1214" s="782" t="s">
        <v>3352</v>
      </c>
      <c r="AF1214" s="781">
        <f>$S$1*P!AF1214</f>
        <v>75.745967741935488</v>
      </c>
    </row>
    <row r="1215" spans="19:32" x14ac:dyDescent="0.35">
      <c r="S1215" s="782">
        <v>1211</v>
      </c>
      <c r="T1215" s="782" t="s">
        <v>4284</v>
      </c>
      <c r="U1215" s="782" t="s">
        <v>3416</v>
      </c>
      <c r="V1215" s="797">
        <f>$S$1*P!V1215</f>
        <v>5.9064000000000005</v>
      </c>
      <c r="W1215" s="780"/>
      <c r="X1215" s="782">
        <v>1211</v>
      </c>
      <c r="Y1215" s="782" t="s">
        <v>2248</v>
      </c>
      <c r="Z1215" s="782" t="s">
        <v>4975</v>
      </c>
      <c r="AA1215" s="781">
        <f>$S$1*P!AA1215</f>
        <v>1.9536290322580648E-2</v>
      </c>
      <c r="AB1215" s="780"/>
      <c r="AC1215" s="881">
        <v>1211</v>
      </c>
      <c r="AD1215" s="881" t="s">
        <v>4573</v>
      </c>
      <c r="AE1215" s="881" t="s">
        <v>3352</v>
      </c>
      <c r="AF1215" s="882">
        <f>$S$1*P!AF1215</f>
        <v>0</v>
      </c>
    </row>
    <row r="1216" spans="19:32" x14ac:dyDescent="0.35">
      <c r="S1216" s="861">
        <v>1212</v>
      </c>
      <c r="T1216" s="861" t="s">
        <v>4284</v>
      </c>
      <c r="U1216" s="861" t="s">
        <v>5460</v>
      </c>
      <c r="V1216" s="862">
        <f>$S$1*P!V1216</f>
        <v>11.930499999999999</v>
      </c>
      <c r="W1216" s="780"/>
      <c r="X1216" s="782">
        <v>1212</v>
      </c>
      <c r="Y1216" s="782" t="s">
        <v>2248</v>
      </c>
      <c r="Z1216" s="782" t="s">
        <v>3719</v>
      </c>
      <c r="AA1216" s="781">
        <f>$S$1*P!AA1216</f>
        <v>1.4875000000000001E-3</v>
      </c>
      <c r="AB1216" s="780"/>
      <c r="AC1216" s="881">
        <v>1212</v>
      </c>
      <c r="AD1216" s="881" t="s">
        <v>4573</v>
      </c>
      <c r="AE1216" s="881" t="s">
        <v>3350</v>
      </c>
      <c r="AF1216" s="882">
        <f>$S$1*P!AF1216</f>
        <v>4885.2</v>
      </c>
    </row>
    <row r="1217" spans="19:32" x14ac:dyDescent="0.35">
      <c r="S1217" s="782">
        <v>1213</v>
      </c>
      <c r="T1217" s="782" t="s">
        <v>4284</v>
      </c>
      <c r="U1217" s="782" t="s">
        <v>3414</v>
      </c>
      <c r="V1217" s="797">
        <f>$S$1*P!V1217</f>
        <v>1.7020000000000002</v>
      </c>
      <c r="W1217" s="780"/>
      <c r="X1217" s="782">
        <v>1213</v>
      </c>
      <c r="Y1217" s="782" t="s">
        <v>2248</v>
      </c>
      <c r="Z1217" s="782" t="s">
        <v>3487</v>
      </c>
      <c r="AA1217" s="781">
        <f>$S$1*P!AA1217</f>
        <v>0</v>
      </c>
      <c r="AB1217" s="780"/>
      <c r="AC1217" s="881">
        <v>1213</v>
      </c>
      <c r="AD1217" s="881" t="s">
        <v>4573</v>
      </c>
      <c r="AE1217" s="881" t="s">
        <v>3349</v>
      </c>
      <c r="AF1217" s="882">
        <f>$S$1*P!AF1217</f>
        <v>0</v>
      </c>
    </row>
    <row r="1218" spans="19:32" x14ac:dyDescent="0.35">
      <c r="S1218" s="782">
        <v>1214</v>
      </c>
      <c r="T1218" s="782" t="s">
        <v>4284</v>
      </c>
      <c r="U1218" s="782" t="s">
        <v>3413</v>
      </c>
      <c r="V1218" s="797">
        <f>$S$1*P!V1218</f>
        <v>6.0259999999999998</v>
      </c>
      <c r="W1218" s="780"/>
      <c r="X1218" s="782">
        <v>1214</v>
      </c>
      <c r="Y1218" s="782" t="s">
        <v>2248</v>
      </c>
      <c r="Z1218" s="782" t="s">
        <v>3485</v>
      </c>
      <c r="AA1218" s="781">
        <f>$S$1*P!AA1218</f>
        <v>0</v>
      </c>
      <c r="AB1218" s="780"/>
      <c r="AC1218" s="782">
        <v>1214</v>
      </c>
      <c r="AD1218" s="782" t="s">
        <v>4573</v>
      </c>
      <c r="AE1218" s="782" t="s">
        <v>3347</v>
      </c>
      <c r="AF1218" s="781">
        <f>$S$1*P!AF1218</f>
        <v>0.28618951612903226</v>
      </c>
    </row>
    <row r="1219" spans="19:32" x14ac:dyDescent="0.35">
      <c r="S1219" s="782">
        <v>1215</v>
      </c>
      <c r="T1219" s="782" t="s">
        <v>4284</v>
      </c>
      <c r="U1219" s="782" t="s">
        <v>4832</v>
      </c>
      <c r="V1219" s="797">
        <f>$S$1*P!V1219</f>
        <v>8.9455645161290334E-4</v>
      </c>
      <c r="W1219" s="780"/>
      <c r="X1219" s="782">
        <v>1215</v>
      </c>
      <c r="Y1219" s="782" t="s">
        <v>2248</v>
      </c>
      <c r="Z1219" s="782" t="s">
        <v>3485</v>
      </c>
      <c r="AA1219" s="781">
        <f>$S$1*P!AA1219</f>
        <v>1.8336693548387099E-3</v>
      </c>
      <c r="AB1219" s="780"/>
      <c r="AC1219" s="881">
        <v>1215</v>
      </c>
      <c r="AD1219" s="881" t="s">
        <v>4573</v>
      </c>
      <c r="AE1219" s="881" t="s">
        <v>3347</v>
      </c>
      <c r="AF1219" s="882">
        <f>$S$1*P!AF1219</f>
        <v>0</v>
      </c>
    </row>
    <row r="1220" spans="19:32" x14ac:dyDescent="0.35">
      <c r="S1220" s="782">
        <v>1216</v>
      </c>
      <c r="T1220" s="782" t="s">
        <v>4284</v>
      </c>
      <c r="U1220" s="782" t="s">
        <v>4830</v>
      </c>
      <c r="V1220" s="797">
        <f>$S$1*P!V1220</f>
        <v>2.2004032258064517E-5</v>
      </c>
      <c r="W1220" s="780"/>
      <c r="X1220" s="782">
        <v>1216</v>
      </c>
      <c r="Y1220" s="782" t="s">
        <v>2248</v>
      </c>
      <c r="Z1220" s="782" t="s">
        <v>5459</v>
      </c>
      <c r="AA1220" s="781">
        <f>$S$1*P!AA1220</f>
        <v>4.2157258064516132E-2</v>
      </c>
      <c r="AB1220" s="780"/>
      <c r="AC1220" s="782">
        <v>1216</v>
      </c>
      <c r="AD1220" s="782" t="s">
        <v>4573</v>
      </c>
      <c r="AE1220" s="782" t="s">
        <v>4704</v>
      </c>
      <c r="AF1220" s="781">
        <f>$S$1*P!AF1220</f>
        <v>0.21558467741935486</v>
      </c>
    </row>
    <row r="1221" spans="19:32" x14ac:dyDescent="0.35">
      <c r="S1221" s="782">
        <v>1217</v>
      </c>
      <c r="T1221" s="782" t="s">
        <v>4284</v>
      </c>
      <c r="U1221" s="782" t="s">
        <v>3411</v>
      </c>
      <c r="V1221" s="797">
        <f>$S$1*P!V1221</f>
        <v>2.3409274193548392E-5</v>
      </c>
      <c r="W1221" s="780"/>
      <c r="X1221" s="782">
        <v>1217</v>
      </c>
      <c r="Y1221" s="782" t="s">
        <v>2248</v>
      </c>
      <c r="Z1221" s="782" t="s">
        <v>3484</v>
      </c>
      <c r="AA1221" s="781">
        <f>$S$1*P!AA1221</f>
        <v>1.9044E-4</v>
      </c>
      <c r="AB1221" s="780"/>
      <c r="AC1221" s="782">
        <v>1217</v>
      </c>
      <c r="AD1221" s="782" t="s">
        <v>4573</v>
      </c>
      <c r="AE1221" s="782" t="s">
        <v>4703</v>
      </c>
      <c r="AF1221" s="781">
        <f>$S$1*P!AF1221</f>
        <v>0.55524193548387102</v>
      </c>
    </row>
    <row r="1222" spans="19:32" x14ac:dyDescent="0.35">
      <c r="S1222" s="782">
        <v>1218</v>
      </c>
      <c r="T1222" s="782" t="s">
        <v>4284</v>
      </c>
      <c r="U1222" s="782" t="s">
        <v>3411</v>
      </c>
      <c r="V1222" s="797">
        <f>$S$1*P!V1222</f>
        <v>8.2799999999999999E-2</v>
      </c>
      <c r="W1222" s="780"/>
      <c r="X1222" s="782">
        <v>1218</v>
      </c>
      <c r="Y1222" s="782" t="s">
        <v>2248</v>
      </c>
      <c r="Z1222" s="782" t="s">
        <v>3484</v>
      </c>
      <c r="AA1222" s="781">
        <f>$S$1*P!AA1222</f>
        <v>6.2721774193548392E-5</v>
      </c>
      <c r="AB1222" s="780"/>
      <c r="AC1222" s="782">
        <v>1218</v>
      </c>
      <c r="AD1222" s="782" t="s">
        <v>4573</v>
      </c>
      <c r="AE1222" s="782" t="s">
        <v>4702</v>
      </c>
      <c r="AF1222" s="781">
        <f>$S$1*P!AF1222</f>
        <v>4.318548387096775E-3</v>
      </c>
    </row>
    <row r="1223" spans="19:32" x14ac:dyDescent="0.35">
      <c r="S1223" s="782">
        <v>1219</v>
      </c>
      <c r="T1223" s="782" t="s">
        <v>4284</v>
      </c>
      <c r="U1223" s="782" t="s">
        <v>4825</v>
      </c>
      <c r="V1223" s="797">
        <f>$S$1*P!V1223</f>
        <v>6.5463709677419363E-5</v>
      </c>
      <c r="W1223" s="780"/>
      <c r="X1223" s="782">
        <v>1219</v>
      </c>
      <c r="Y1223" s="782" t="s">
        <v>2248</v>
      </c>
      <c r="Z1223" s="782" t="s">
        <v>5458</v>
      </c>
      <c r="AA1223" s="781">
        <f>$S$1*P!AA1223</f>
        <v>3.067540322580645E-4</v>
      </c>
      <c r="AB1223" s="780"/>
      <c r="AC1223" s="782">
        <v>1219</v>
      </c>
      <c r="AD1223" s="782" t="s">
        <v>4573</v>
      </c>
      <c r="AE1223" s="782" t="s">
        <v>4701</v>
      </c>
      <c r="AF1223" s="781">
        <f>$S$1*P!AF1223</f>
        <v>0.3495967741935484</v>
      </c>
    </row>
    <row r="1224" spans="19:32" x14ac:dyDescent="0.35">
      <c r="S1224" s="782">
        <v>1220</v>
      </c>
      <c r="T1224" s="782" t="s">
        <v>4284</v>
      </c>
      <c r="U1224" s="782" t="s">
        <v>3409</v>
      </c>
      <c r="V1224" s="797">
        <f>$S$1*P!V1224</f>
        <v>0</v>
      </c>
      <c r="W1224" s="780"/>
      <c r="X1224" s="782">
        <v>1220</v>
      </c>
      <c r="Y1224" s="782" t="s">
        <v>2248</v>
      </c>
      <c r="Z1224" s="782" t="s">
        <v>3482</v>
      </c>
      <c r="AA1224" s="781">
        <f>$S$1*P!AA1224</f>
        <v>5.1704E-2</v>
      </c>
      <c r="AB1224" s="780"/>
      <c r="AC1224" s="782">
        <v>1220</v>
      </c>
      <c r="AD1224" s="782" t="s">
        <v>4573</v>
      </c>
      <c r="AE1224" s="782" t="s">
        <v>4700</v>
      </c>
      <c r="AF1224" s="781">
        <f>$S$1*P!AF1224</f>
        <v>2.3957661290322583</v>
      </c>
    </row>
    <row r="1225" spans="19:32" x14ac:dyDescent="0.35">
      <c r="S1225" s="861">
        <v>1221</v>
      </c>
      <c r="T1225" s="861" t="s">
        <v>4284</v>
      </c>
      <c r="U1225" s="861" t="s">
        <v>3408</v>
      </c>
      <c r="V1225" s="862">
        <f>$S$1*P!V1225</f>
        <v>6.5804999999999998</v>
      </c>
      <c r="W1225" s="780"/>
      <c r="X1225" s="782">
        <v>1221</v>
      </c>
      <c r="Y1225" s="782" t="s">
        <v>2248</v>
      </c>
      <c r="Z1225" s="782" t="s">
        <v>3481</v>
      </c>
      <c r="AA1225" s="781">
        <f>$S$1*P!AA1225</f>
        <v>5.1060000000000001E-2</v>
      </c>
      <c r="AB1225" s="780"/>
      <c r="AC1225" s="782">
        <v>1221</v>
      </c>
      <c r="AD1225" s="782" t="s">
        <v>4573</v>
      </c>
      <c r="AE1225" s="782" t="s">
        <v>4699</v>
      </c>
      <c r="AF1225" s="781">
        <f>$S$1*P!AF1225</f>
        <v>9.0483870967741943E-3</v>
      </c>
    </row>
    <row r="1226" spans="19:32" x14ac:dyDescent="0.35">
      <c r="S1226" s="782">
        <v>1222</v>
      </c>
      <c r="T1226" s="782" t="s">
        <v>4284</v>
      </c>
      <c r="U1226" s="782" t="s">
        <v>3408</v>
      </c>
      <c r="V1226" s="797">
        <f>$S$1*P!V1226</f>
        <v>8.7741935483870975E-7</v>
      </c>
      <c r="W1226" s="780"/>
      <c r="X1226" s="782">
        <v>1222</v>
      </c>
      <c r="Y1226" s="782" t="s">
        <v>2248</v>
      </c>
      <c r="Z1226" s="782" t="s">
        <v>5457</v>
      </c>
      <c r="AA1226" s="781">
        <f>$S$1*P!AA1226</f>
        <v>8.705645161290323E-6</v>
      </c>
      <c r="AB1226" s="780"/>
      <c r="AC1226" s="782">
        <v>1222</v>
      </c>
      <c r="AD1226" s="782" t="s">
        <v>4573</v>
      </c>
      <c r="AE1226" s="782" t="s">
        <v>4698</v>
      </c>
      <c r="AF1226" s="781">
        <f>$S$1*P!AF1226</f>
        <v>8.4314516129032263E-2</v>
      </c>
    </row>
    <row r="1227" spans="19:32" x14ac:dyDescent="0.35">
      <c r="S1227" s="782">
        <v>1223</v>
      </c>
      <c r="T1227" s="782" t="s">
        <v>4284</v>
      </c>
      <c r="U1227" s="782" t="s">
        <v>3408</v>
      </c>
      <c r="V1227" s="797">
        <f>$S$1*P!V1227</f>
        <v>0.29899999999999999</v>
      </c>
      <c r="W1227" s="780"/>
      <c r="X1227" s="782">
        <v>1223</v>
      </c>
      <c r="Y1227" s="782" t="s">
        <v>2248</v>
      </c>
      <c r="Z1227" s="782" t="s">
        <v>3481</v>
      </c>
      <c r="AA1227" s="781">
        <f>$S$1*P!AA1227</f>
        <v>4.0443548387096781E-3</v>
      </c>
      <c r="AB1227" s="780"/>
      <c r="AC1227" s="782">
        <v>1223</v>
      </c>
      <c r="AD1227" s="782" t="s">
        <v>4573</v>
      </c>
      <c r="AE1227" s="782" t="s">
        <v>4696</v>
      </c>
      <c r="AF1227" s="781">
        <f>$S$1*P!AF1227</f>
        <v>0.13366935483870968</v>
      </c>
    </row>
    <row r="1228" spans="19:32" x14ac:dyDescent="0.35">
      <c r="S1228" s="782">
        <v>1224</v>
      </c>
      <c r="T1228" s="782" t="s">
        <v>4284</v>
      </c>
      <c r="U1228" s="782" t="s">
        <v>4822</v>
      </c>
      <c r="V1228" s="797">
        <f>$S$1*P!V1228</f>
        <v>3.5302419354838713E-4</v>
      </c>
      <c r="W1228" s="780"/>
      <c r="X1228" s="782">
        <v>1224</v>
      </c>
      <c r="Y1228" s="782" t="s">
        <v>2248</v>
      </c>
      <c r="Z1228" s="782" t="s">
        <v>4974</v>
      </c>
      <c r="AA1228" s="781">
        <f>$S$1*P!AA1228</f>
        <v>1.2750000000000001E-2</v>
      </c>
      <c r="AB1228" s="780"/>
      <c r="AC1228" s="782">
        <v>1224</v>
      </c>
      <c r="AD1228" s="782" t="s">
        <v>4573</v>
      </c>
      <c r="AE1228" s="782" t="s">
        <v>4695</v>
      </c>
      <c r="AF1228" s="781">
        <f>$S$1*P!AF1228</f>
        <v>6.6149193548387109E-2</v>
      </c>
    </row>
    <row r="1229" spans="19:32" x14ac:dyDescent="0.35">
      <c r="S1229" s="782">
        <v>1225</v>
      </c>
      <c r="T1229" s="782" t="s">
        <v>4284</v>
      </c>
      <c r="U1229" s="782" t="s">
        <v>3406</v>
      </c>
      <c r="V1229" s="797">
        <f>$S$1*P!V1229</f>
        <v>1.8131048387096775E-2</v>
      </c>
      <c r="W1229" s="780"/>
      <c r="X1229" s="782">
        <v>1225</v>
      </c>
      <c r="Y1229" s="782" t="s">
        <v>2248</v>
      </c>
      <c r="Z1229" s="782" t="s">
        <v>4973</v>
      </c>
      <c r="AA1229" s="781">
        <f>$S$1*P!AA1229</f>
        <v>7.4375000000000005E-3</v>
      </c>
      <c r="AB1229" s="780"/>
      <c r="AC1229" s="782">
        <v>1225</v>
      </c>
      <c r="AD1229" s="782" t="s">
        <v>4573</v>
      </c>
      <c r="AE1229" s="782" t="s">
        <v>4694</v>
      </c>
      <c r="AF1229" s="781">
        <f>$S$1*P!AF1229</f>
        <v>4.6270161290322583E-2</v>
      </c>
    </row>
    <row r="1230" spans="19:32" x14ac:dyDescent="0.35">
      <c r="S1230" s="782">
        <v>1226</v>
      </c>
      <c r="T1230" s="782" t="s">
        <v>4284</v>
      </c>
      <c r="U1230" s="782" t="s">
        <v>3406</v>
      </c>
      <c r="V1230" s="797">
        <f>$S$1*P!V1230</f>
        <v>65.963999999999999</v>
      </c>
      <c r="W1230" s="780"/>
      <c r="X1230" s="782">
        <v>1226</v>
      </c>
      <c r="Y1230" s="782" t="s">
        <v>2248</v>
      </c>
      <c r="Z1230" s="782" t="s">
        <v>5456</v>
      </c>
      <c r="AA1230" s="781">
        <f>$S$1*P!AA1230</f>
        <v>4.1471774193548389E-2</v>
      </c>
      <c r="AB1230" s="780"/>
      <c r="AC1230" s="782">
        <v>1226</v>
      </c>
      <c r="AD1230" s="782" t="s">
        <v>4573</v>
      </c>
      <c r="AE1230" s="782" t="s">
        <v>4689</v>
      </c>
      <c r="AF1230" s="781">
        <f>$S$1*P!AF1230</f>
        <v>2.2243951612903228E-3</v>
      </c>
    </row>
    <row r="1231" spans="19:32" x14ac:dyDescent="0.35">
      <c r="S1231" s="782">
        <v>1227</v>
      </c>
      <c r="T1231" s="782" t="s">
        <v>4284</v>
      </c>
      <c r="U1231" s="782" t="s">
        <v>4817</v>
      </c>
      <c r="V1231" s="797">
        <f>$S$1*P!V1231</f>
        <v>9.4939516129032269E-3</v>
      </c>
      <c r="W1231" s="780"/>
      <c r="X1231" s="782">
        <v>1227</v>
      </c>
      <c r="Y1231" s="782" t="s">
        <v>2248</v>
      </c>
      <c r="Z1231" s="782" t="s">
        <v>3479</v>
      </c>
      <c r="AA1231" s="781">
        <f>$S$1*P!AA1231</f>
        <v>10.119999999999999</v>
      </c>
      <c r="AB1231" s="780"/>
      <c r="AC1231" s="782">
        <v>1227</v>
      </c>
      <c r="AD1231" s="782" t="s">
        <v>4573</v>
      </c>
      <c r="AE1231" s="782" t="s">
        <v>4688</v>
      </c>
      <c r="AF1231" s="781">
        <f>$S$1*P!AF1231</f>
        <v>2.7453629032258068E-2</v>
      </c>
    </row>
    <row r="1232" spans="19:32" x14ac:dyDescent="0.35">
      <c r="S1232" s="782">
        <v>1228</v>
      </c>
      <c r="T1232" s="782" t="s">
        <v>4284</v>
      </c>
      <c r="U1232" s="782" t="s">
        <v>3405</v>
      </c>
      <c r="V1232" s="797">
        <f>$S$1*P!V1232</f>
        <v>5.9294354838709679E-2</v>
      </c>
      <c r="W1232" s="780"/>
      <c r="X1232" s="782">
        <v>1228</v>
      </c>
      <c r="Y1232" s="782" t="s">
        <v>2248</v>
      </c>
      <c r="Z1232" s="782" t="s">
        <v>3477</v>
      </c>
      <c r="AA1232" s="781">
        <f>$S$1*P!AA1232</f>
        <v>3.5787999999999996E-3</v>
      </c>
      <c r="AB1232" s="780"/>
      <c r="AC1232" s="881">
        <v>1228</v>
      </c>
      <c r="AD1232" s="881" t="s">
        <v>4573</v>
      </c>
      <c r="AE1232" s="881" t="s">
        <v>4687</v>
      </c>
      <c r="AF1232" s="882">
        <f>$S$1*P!AF1232</f>
        <v>5.4153225806451619</v>
      </c>
    </row>
    <row r="1233" spans="19:32" x14ac:dyDescent="0.35">
      <c r="S1233" s="782">
        <v>1229</v>
      </c>
      <c r="T1233" s="782" t="s">
        <v>4284</v>
      </c>
      <c r="U1233" s="782" t="s">
        <v>3405</v>
      </c>
      <c r="V1233" s="797">
        <f>$S$1*P!V1233</f>
        <v>5.8788</v>
      </c>
      <c r="W1233" s="780"/>
      <c r="X1233" s="782">
        <v>1229</v>
      </c>
      <c r="Y1233" s="782" t="s">
        <v>2248</v>
      </c>
      <c r="Z1233" s="782" t="s">
        <v>5455</v>
      </c>
      <c r="AA1233" s="781">
        <f>$S$1*P!AA1233</f>
        <v>5.8266129032258068E-3</v>
      </c>
      <c r="AB1233" s="780"/>
      <c r="AC1233" s="881">
        <v>1229</v>
      </c>
      <c r="AD1233" s="881" t="s">
        <v>4573</v>
      </c>
      <c r="AE1233" s="881" t="s">
        <v>3345</v>
      </c>
      <c r="AF1233" s="882">
        <f>$S$1*P!AF1233</f>
        <v>6.4778225806451616E-3</v>
      </c>
    </row>
    <row r="1234" spans="19:32" x14ac:dyDescent="0.35">
      <c r="S1234" s="782">
        <v>1230</v>
      </c>
      <c r="T1234" s="782" t="s">
        <v>4284</v>
      </c>
      <c r="U1234" s="782" t="s">
        <v>3403</v>
      </c>
      <c r="V1234" s="797">
        <f>$S$1*P!V1234</f>
        <v>0.37016129032258066</v>
      </c>
      <c r="W1234" s="780"/>
      <c r="X1234" s="782">
        <v>1230</v>
      </c>
      <c r="Y1234" s="782" t="s">
        <v>2248</v>
      </c>
      <c r="Z1234" s="782" t="s">
        <v>3477</v>
      </c>
      <c r="AA1234" s="781">
        <f>$S$1*P!AA1234</f>
        <v>2.2278225806451614E-4</v>
      </c>
      <c r="AB1234" s="780"/>
      <c r="AC1234" s="881">
        <v>1230</v>
      </c>
      <c r="AD1234" s="881" t="s">
        <v>4573</v>
      </c>
      <c r="AE1234" s="881" t="s">
        <v>3345</v>
      </c>
      <c r="AF1234" s="882">
        <f>$S$1*P!AF1234</f>
        <v>4.1124000000000001E-2</v>
      </c>
    </row>
    <row r="1235" spans="19:32" x14ac:dyDescent="0.35">
      <c r="S1235" s="782">
        <v>1231</v>
      </c>
      <c r="T1235" s="782" t="s">
        <v>4284</v>
      </c>
      <c r="U1235" s="782" t="s">
        <v>3403</v>
      </c>
      <c r="V1235" s="797">
        <f>$S$1*P!V1235</f>
        <v>0</v>
      </c>
      <c r="W1235" s="780"/>
      <c r="X1235" s="782">
        <v>1231</v>
      </c>
      <c r="Y1235" s="782" t="s">
        <v>2248</v>
      </c>
      <c r="Z1235" s="782" t="s">
        <v>3476</v>
      </c>
      <c r="AA1235" s="781">
        <f>$S$1*P!AA1235</f>
        <v>0</v>
      </c>
      <c r="AB1235" s="780"/>
      <c r="AC1235" s="881">
        <v>1231</v>
      </c>
      <c r="AD1235" s="881" t="s">
        <v>4573</v>
      </c>
      <c r="AE1235" s="881" t="s">
        <v>4683</v>
      </c>
      <c r="AF1235" s="882">
        <f>$S$1*P!AF1235</f>
        <v>15.457661290322582</v>
      </c>
    </row>
    <row r="1236" spans="19:32" x14ac:dyDescent="0.35">
      <c r="S1236" s="782">
        <v>1232</v>
      </c>
      <c r="T1236" s="782" t="s">
        <v>4284</v>
      </c>
      <c r="U1236" s="782" t="s">
        <v>4813</v>
      </c>
      <c r="V1236" s="797">
        <f>$S$1*P!V1236</f>
        <v>4.215725806451613E-5</v>
      </c>
      <c r="W1236" s="780"/>
      <c r="X1236" s="782">
        <v>1232</v>
      </c>
      <c r="Y1236" s="782" t="s">
        <v>2248</v>
      </c>
      <c r="Z1236" s="782" t="s">
        <v>5454</v>
      </c>
      <c r="AA1236" s="781">
        <f>$S$1*P!AA1236</f>
        <v>0.18816532258064517</v>
      </c>
      <c r="AB1236" s="780"/>
      <c r="AC1236" s="881">
        <v>1232</v>
      </c>
      <c r="AD1236" s="881" t="s">
        <v>4573</v>
      </c>
      <c r="AE1236" s="881" t="s">
        <v>4678</v>
      </c>
      <c r="AF1236" s="882">
        <f>$S$1*P!AF1236</f>
        <v>0.98366935483870976</v>
      </c>
    </row>
    <row r="1237" spans="19:32" x14ac:dyDescent="0.35">
      <c r="S1237" s="782">
        <v>1233</v>
      </c>
      <c r="T1237" s="782" t="s">
        <v>4284</v>
      </c>
      <c r="U1237" s="782" t="s">
        <v>3402</v>
      </c>
      <c r="V1237" s="797">
        <f>$S$1*P!V1237</f>
        <v>6.4032000000000006E-2</v>
      </c>
      <c r="W1237" s="780"/>
      <c r="X1237" s="782">
        <v>1233</v>
      </c>
      <c r="Y1237" s="782" t="s">
        <v>2248</v>
      </c>
      <c r="Z1237" s="782" t="s">
        <v>3476</v>
      </c>
      <c r="AA1237" s="781">
        <f>$S$1*P!AA1237</f>
        <v>2.5260080645161293E-2</v>
      </c>
      <c r="AB1237" s="780"/>
      <c r="AC1237" s="782">
        <v>1233</v>
      </c>
      <c r="AD1237" s="782" t="s">
        <v>4573</v>
      </c>
      <c r="AE1237" s="782" t="s">
        <v>4675</v>
      </c>
      <c r="AF1237" s="781">
        <f>$S$1*P!AF1237</f>
        <v>0.56552419354838712</v>
      </c>
    </row>
    <row r="1238" spans="19:32" x14ac:dyDescent="0.35">
      <c r="S1238" s="782">
        <v>1234</v>
      </c>
      <c r="T1238" s="782" t="s">
        <v>4284</v>
      </c>
      <c r="U1238" s="782" t="s">
        <v>3400</v>
      </c>
      <c r="V1238" s="797">
        <f>$S$1*P!V1238</f>
        <v>0.24196000000000001</v>
      </c>
      <c r="W1238" s="780"/>
      <c r="X1238" s="782">
        <v>1234</v>
      </c>
      <c r="Y1238" s="782" t="s">
        <v>2248</v>
      </c>
      <c r="Z1238" s="782" t="s">
        <v>3474</v>
      </c>
      <c r="AA1238" s="781">
        <f>$S$1*P!AA1238</f>
        <v>4.7379999999999995</v>
      </c>
      <c r="AB1238" s="780"/>
      <c r="AC1238" s="881">
        <v>1234</v>
      </c>
      <c r="AD1238" s="881" t="s">
        <v>4573</v>
      </c>
      <c r="AE1238" s="881" t="s">
        <v>4673</v>
      </c>
      <c r="AF1238" s="882">
        <f>$S$1*P!AF1238</f>
        <v>12.235887096774194</v>
      </c>
    </row>
    <row r="1239" spans="19:32" x14ac:dyDescent="0.35">
      <c r="S1239" s="782">
        <v>1235</v>
      </c>
      <c r="T1239" s="782" t="s">
        <v>4284</v>
      </c>
      <c r="U1239" s="782" t="s">
        <v>3398</v>
      </c>
      <c r="V1239" s="797">
        <f>$S$1*P!V1239</f>
        <v>4.1307999999999997E-2</v>
      </c>
      <c r="W1239" s="780"/>
      <c r="X1239" s="782">
        <v>1235</v>
      </c>
      <c r="Y1239" s="782" t="s">
        <v>2248</v>
      </c>
      <c r="Z1239" s="782" t="s">
        <v>3714</v>
      </c>
      <c r="AA1239" s="781">
        <f>$S$1*P!AA1239</f>
        <v>3.7701612903225808E-3</v>
      </c>
      <c r="AB1239" s="780"/>
      <c r="AC1239" s="782">
        <v>1235</v>
      </c>
      <c r="AD1239" s="782" t="s">
        <v>4573</v>
      </c>
      <c r="AE1239" s="782" t="s">
        <v>4671</v>
      </c>
      <c r="AF1239" s="781">
        <f>$S$1*P!AF1239</f>
        <v>6.340725806451613</v>
      </c>
    </row>
    <row r="1240" spans="19:32" x14ac:dyDescent="0.35">
      <c r="S1240" s="782">
        <v>1236</v>
      </c>
      <c r="T1240" s="782" t="s">
        <v>4284</v>
      </c>
      <c r="U1240" s="782" t="s">
        <v>4810</v>
      </c>
      <c r="V1240" s="797">
        <f>$S$1*P!V1240</f>
        <v>1.4737903225806452E-4</v>
      </c>
      <c r="W1240" s="780"/>
      <c r="X1240" s="782">
        <v>1236</v>
      </c>
      <c r="Y1240" s="782" t="s">
        <v>2248</v>
      </c>
      <c r="Z1240" s="782" t="s">
        <v>3473</v>
      </c>
      <c r="AA1240" s="781">
        <f>$S$1*P!AA1240</f>
        <v>1.8031999999999999</v>
      </c>
      <c r="AB1240" s="780"/>
      <c r="AC1240" s="881">
        <v>1236</v>
      </c>
      <c r="AD1240" s="881" t="s">
        <v>4573</v>
      </c>
      <c r="AE1240" s="881" t="s">
        <v>4669</v>
      </c>
      <c r="AF1240" s="882">
        <f>$S$1*P!AF1240</f>
        <v>3.5645161290322585</v>
      </c>
    </row>
    <row r="1241" spans="19:32" x14ac:dyDescent="0.35">
      <c r="S1241" s="782">
        <v>1237</v>
      </c>
      <c r="T1241" s="782" t="s">
        <v>4284</v>
      </c>
      <c r="U1241" s="782" t="s">
        <v>4808</v>
      </c>
      <c r="V1241" s="797">
        <f>$S$1*P!V1241</f>
        <v>1.0008064516129032E-4</v>
      </c>
      <c r="W1241" s="780"/>
      <c r="X1241" s="782">
        <v>1237</v>
      </c>
      <c r="Y1241" s="782" t="s">
        <v>2248</v>
      </c>
      <c r="Z1241" s="782" t="s">
        <v>3473</v>
      </c>
      <c r="AA1241" s="781">
        <f>$S$1*P!AA1241</f>
        <v>6.9576612903225815E-3</v>
      </c>
      <c r="AB1241" s="780"/>
      <c r="AC1241" s="782">
        <v>1237</v>
      </c>
      <c r="AD1241" s="782" t="s">
        <v>4573</v>
      </c>
      <c r="AE1241" s="782" t="s">
        <v>4668</v>
      </c>
      <c r="AF1241" s="781">
        <f>$S$1*P!AF1241</f>
        <v>8.9798387096774207E-2</v>
      </c>
    </row>
    <row r="1242" spans="19:32" x14ac:dyDescent="0.35">
      <c r="S1242" s="782">
        <v>1238</v>
      </c>
      <c r="T1242" s="782" t="s">
        <v>4284</v>
      </c>
      <c r="U1242" s="782" t="s">
        <v>4805</v>
      </c>
      <c r="V1242" s="797">
        <f>$S$1*P!V1242</f>
        <v>7.8145161290322585E-4</v>
      </c>
      <c r="W1242" s="780"/>
      <c r="X1242" s="782">
        <v>1238</v>
      </c>
      <c r="Y1242" s="782" t="s">
        <v>2248</v>
      </c>
      <c r="Z1242" s="782" t="s">
        <v>3471</v>
      </c>
      <c r="AA1242" s="781">
        <f>$S$1*P!AA1242</f>
        <v>2.254</v>
      </c>
      <c r="AB1242" s="780"/>
      <c r="AC1242" s="881">
        <v>1238</v>
      </c>
      <c r="AD1242" s="881" t="s">
        <v>4573</v>
      </c>
      <c r="AE1242" s="881" t="s">
        <v>3344</v>
      </c>
      <c r="AF1242" s="882">
        <f>$S$1*P!AF1242</f>
        <v>454.47999999999996</v>
      </c>
    </row>
    <row r="1243" spans="19:32" x14ac:dyDescent="0.35">
      <c r="S1243" s="782">
        <v>1239</v>
      </c>
      <c r="T1243" s="782" t="s">
        <v>4284</v>
      </c>
      <c r="U1243" s="782" t="s">
        <v>4802</v>
      </c>
      <c r="V1243" s="797">
        <f>$S$1*P!V1243</f>
        <v>1.6520161290322583E-4</v>
      </c>
      <c r="W1243" s="780"/>
      <c r="X1243" s="782">
        <v>1239</v>
      </c>
      <c r="Y1243" s="782" t="s">
        <v>2248</v>
      </c>
      <c r="Z1243" s="782" t="s">
        <v>5453</v>
      </c>
      <c r="AA1243" s="781">
        <f>$S$1*P!AA1243</f>
        <v>8.9455645161290334E-4</v>
      </c>
      <c r="AB1243" s="780"/>
      <c r="AC1243" s="881">
        <v>1239</v>
      </c>
      <c r="AD1243" s="881" t="s">
        <v>4573</v>
      </c>
      <c r="AE1243" s="881" t="s">
        <v>4667</v>
      </c>
      <c r="AF1243" s="882">
        <f>$S$1*P!AF1243</f>
        <v>57.923387096774199</v>
      </c>
    </row>
    <row r="1244" spans="19:32" x14ac:dyDescent="0.35">
      <c r="S1244" s="782">
        <v>1240</v>
      </c>
      <c r="T1244" s="782" t="s">
        <v>4284</v>
      </c>
      <c r="U1244" s="782" t="s">
        <v>4800</v>
      </c>
      <c r="V1244" s="797">
        <f>$S$1*P!V1244</f>
        <v>1.2578629032258066E-3</v>
      </c>
      <c r="W1244" s="780"/>
      <c r="X1244" s="782">
        <v>1240</v>
      </c>
      <c r="Y1244" s="782" t="s">
        <v>2248</v>
      </c>
      <c r="Z1244" s="782" t="s">
        <v>3471</v>
      </c>
      <c r="AA1244" s="781">
        <f>$S$1*P!AA1244</f>
        <v>4.0786290322580646E-2</v>
      </c>
      <c r="AB1244" s="780"/>
      <c r="AC1244" s="881">
        <v>1240</v>
      </c>
      <c r="AD1244" s="881" t="s">
        <v>4573</v>
      </c>
      <c r="AE1244" s="881" t="s">
        <v>4666</v>
      </c>
      <c r="AF1244" s="882">
        <f>$S$1*P!AF1244</f>
        <v>0.57580645161290323</v>
      </c>
    </row>
    <row r="1245" spans="19:32" x14ac:dyDescent="0.35">
      <c r="S1245" s="782">
        <v>1241</v>
      </c>
      <c r="T1245" s="782" t="s">
        <v>4284</v>
      </c>
      <c r="U1245" s="782" t="s">
        <v>4797</v>
      </c>
      <c r="V1245" s="797">
        <f>$S$1*P!V1245</f>
        <v>1.6554435483870968E-4</v>
      </c>
      <c r="W1245" s="780"/>
      <c r="X1245" s="782">
        <v>1241</v>
      </c>
      <c r="Y1245" s="782" t="s">
        <v>2248</v>
      </c>
      <c r="Z1245" s="782" t="s">
        <v>3470</v>
      </c>
      <c r="AA1245" s="781">
        <f>$S$1*P!AA1245</f>
        <v>0</v>
      </c>
      <c r="AB1245" s="780"/>
      <c r="AC1245" s="881">
        <v>1241</v>
      </c>
      <c r="AD1245" s="881" t="s">
        <v>4573</v>
      </c>
      <c r="AE1245" s="881" t="s">
        <v>4665</v>
      </c>
      <c r="AF1245" s="882">
        <f>$S$1*P!AF1245</f>
        <v>3.0641129032258067E-2</v>
      </c>
    </row>
    <row r="1246" spans="19:32" x14ac:dyDescent="0.35">
      <c r="S1246" s="782">
        <v>1242</v>
      </c>
      <c r="T1246" s="782" t="s">
        <v>4284</v>
      </c>
      <c r="U1246" s="782" t="s">
        <v>4795</v>
      </c>
      <c r="V1246" s="797">
        <f>$S$1*P!V1246</f>
        <v>7.7802419354838716E-4</v>
      </c>
      <c r="W1246" s="780"/>
      <c r="X1246" s="782">
        <v>1242</v>
      </c>
      <c r="Y1246" s="782" t="s">
        <v>2248</v>
      </c>
      <c r="Z1246" s="782" t="s">
        <v>5452</v>
      </c>
      <c r="AA1246" s="781">
        <f>$S$1*P!AA1246</f>
        <v>7.9516129032258073E-6</v>
      </c>
      <c r="AB1246" s="780"/>
      <c r="AC1246" s="881">
        <v>1242</v>
      </c>
      <c r="AD1246" s="881" t="s">
        <v>4573</v>
      </c>
      <c r="AE1246" s="881" t="s">
        <v>4664</v>
      </c>
      <c r="AF1246" s="882">
        <f>$S$1*P!AF1246</f>
        <v>1.9604838709677421</v>
      </c>
    </row>
    <row r="1247" spans="19:32" x14ac:dyDescent="0.35">
      <c r="S1247" s="782">
        <v>1243</v>
      </c>
      <c r="T1247" s="782" t="s">
        <v>4284</v>
      </c>
      <c r="U1247" s="782" t="s">
        <v>4792</v>
      </c>
      <c r="V1247" s="797">
        <f>$S$1*P!V1247</f>
        <v>2.8653225806451614E-4</v>
      </c>
      <c r="W1247" s="780"/>
      <c r="X1247" s="782">
        <v>1243</v>
      </c>
      <c r="Y1247" s="782" t="s">
        <v>2248</v>
      </c>
      <c r="Z1247" s="782" t="s">
        <v>3469</v>
      </c>
      <c r="AA1247" s="781">
        <f>$S$1*P!AA1247</f>
        <v>0</v>
      </c>
      <c r="AB1247" s="780"/>
      <c r="AC1247" s="881">
        <v>1243</v>
      </c>
      <c r="AD1247" s="881" t="s">
        <v>4573</v>
      </c>
      <c r="AE1247" s="881" t="s">
        <v>3342</v>
      </c>
      <c r="AF1247" s="882">
        <f>$S$1*P!AF1247</f>
        <v>0.42136000000000001</v>
      </c>
    </row>
    <row r="1248" spans="19:32" x14ac:dyDescent="0.35">
      <c r="S1248" s="782">
        <v>1244</v>
      </c>
      <c r="T1248" s="782" t="s">
        <v>4284</v>
      </c>
      <c r="U1248" s="782" t="s">
        <v>4789</v>
      </c>
      <c r="V1248" s="797">
        <f>$S$1*P!V1248</f>
        <v>3.1155241935483871E-4</v>
      </c>
      <c r="W1248" s="780"/>
      <c r="X1248" s="782">
        <v>1244</v>
      </c>
      <c r="Y1248" s="782" t="s">
        <v>2248</v>
      </c>
      <c r="Z1248" s="782" t="s">
        <v>3469</v>
      </c>
      <c r="AA1248" s="781">
        <f>$S$1*P!AA1248</f>
        <v>1.1241935483870968E-4</v>
      </c>
      <c r="AB1248" s="780"/>
      <c r="AC1248" s="782">
        <v>1244</v>
      </c>
      <c r="AD1248" s="782" t="s">
        <v>4573</v>
      </c>
      <c r="AE1248" s="782" t="s">
        <v>3341</v>
      </c>
      <c r="AF1248" s="781">
        <f>$S$1*P!AF1248</f>
        <v>0.26254032258064519</v>
      </c>
    </row>
    <row r="1249" spans="19:32" x14ac:dyDescent="0.35">
      <c r="S1249" s="782">
        <v>1245</v>
      </c>
      <c r="T1249" s="782" t="s">
        <v>4284</v>
      </c>
      <c r="U1249" s="782" t="s">
        <v>4786</v>
      </c>
      <c r="V1249" s="797">
        <f>$S$1*P!V1249</f>
        <v>5.8608870967741947E-6</v>
      </c>
      <c r="W1249" s="780"/>
      <c r="X1249" s="782">
        <v>1245</v>
      </c>
      <c r="Y1249" s="782" t="s">
        <v>2248</v>
      </c>
      <c r="Z1249" s="782" t="s">
        <v>4972</v>
      </c>
      <c r="AA1249" s="781">
        <f>$S$1*P!AA1249</f>
        <v>1.0899193548387098E-3</v>
      </c>
      <c r="AB1249" s="780"/>
      <c r="AC1249" s="881">
        <v>1245</v>
      </c>
      <c r="AD1249" s="881" t="s">
        <v>4573</v>
      </c>
      <c r="AE1249" s="881" t="s">
        <v>3341</v>
      </c>
      <c r="AF1249" s="882">
        <f>$S$1*P!AF1249</f>
        <v>12.328000000000001</v>
      </c>
    </row>
    <row r="1250" spans="19:32" x14ac:dyDescent="0.35">
      <c r="S1250" s="782">
        <v>1246</v>
      </c>
      <c r="T1250" s="782" t="s">
        <v>4284</v>
      </c>
      <c r="U1250" s="782" t="s">
        <v>3397</v>
      </c>
      <c r="V1250" s="797">
        <f>$S$1*P!V1250</f>
        <v>0</v>
      </c>
      <c r="W1250" s="780"/>
      <c r="X1250" s="782">
        <v>1246</v>
      </c>
      <c r="Y1250" s="782" t="s">
        <v>2248</v>
      </c>
      <c r="Z1250" s="782" t="s">
        <v>5451</v>
      </c>
      <c r="AA1250" s="781">
        <f>$S$1*P!AA1250</f>
        <v>6.4435483870967753E-4</v>
      </c>
      <c r="AB1250" s="780"/>
      <c r="AC1250" s="881">
        <v>1246</v>
      </c>
      <c r="AD1250" s="881" t="s">
        <v>4573</v>
      </c>
      <c r="AE1250" s="881" t="s">
        <v>4663</v>
      </c>
      <c r="AF1250" s="882">
        <f>$S$1*P!AF1250</f>
        <v>0.41814516129032259</v>
      </c>
    </row>
    <row r="1251" spans="19:32" x14ac:dyDescent="0.35">
      <c r="S1251" s="782">
        <v>1247</v>
      </c>
      <c r="T1251" s="782" t="s">
        <v>4284</v>
      </c>
      <c r="U1251" s="782" t="s">
        <v>4784</v>
      </c>
      <c r="V1251" s="797">
        <f>$S$1*P!V1251</f>
        <v>9.6995967741935499E-5</v>
      </c>
      <c r="W1251" s="780"/>
      <c r="X1251" s="782">
        <v>1247</v>
      </c>
      <c r="Y1251" s="782" t="s">
        <v>2248</v>
      </c>
      <c r="Z1251" s="782" t="s">
        <v>3467</v>
      </c>
      <c r="AA1251" s="781">
        <f>$S$1*P!AA1251</f>
        <v>0</v>
      </c>
      <c r="AB1251" s="780"/>
      <c r="AC1251" s="782">
        <v>1247</v>
      </c>
      <c r="AD1251" s="782" t="s">
        <v>4573</v>
      </c>
      <c r="AE1251" s="782" t="s">
        <v>4662</v>
      </c>
      <c r="AF1251" s="781">
        <f>$S$1*P!AF1251</f>
        <v>1.5903225806451614E-3</v>
      </c>
    </row>
    <row r="1252" spans="19:32" x14ac:dyDescent="0.35">
      <c r="S1252" s="782">
        <v>1248</v>
      </c>
      <c r="T1252" s="782" t="s">
        <v>4284</v>
      </c>
      <c r="U1252" s="782" t="s">
        <v>4781</v>
      </c>
      <c r="V1252" s="797">
        <f>$S$1*P!V1252</f>
        <v>2.8995967741935488E-4</v>
      </c>
      <c r="W1252" s="780"/>
      <c r="X1252" s="782">
        <v>1248</v>
      </c>
      <c r="Y1252" s="782" t="s">
        <v>2248</v>
      </c>
      <c r="Z1252" s="782" t="s">
        <v>3467</v>
      </c>
      <c r="AA1252" s="781">
        <f>$S$1*P!AA1252</f>
        <v>1.6485887096774194</v>
      </c>
      <c r="AB1252" s="780"/>
      <c r="AC1252" s="881">
        <v>1248</v>
      </c>
      <c r="AD1252" s="881" t="s">
        <v>4573</v>
      </c>
      <c r="AE1252" s="881" t="s">
        <v>4661</v>
      </c>
      <c r="AF1252" s="882">
        <f>$S$1*P!AF1252</f>
        <v>2.5945564516129034E-3</v>
      </c>
    </row>
    <row r="1253" spans="19:32" x14ac:dyDescent="0.35">
      <c r="S1253" s="782">
        <v>1249</v>
      </c>
      <c r="T1253" s="782" t="s">
        <v>4284</v>
      </c>
      <c r="U1253" s="782" t="s">
        <v>4778</v>
      </c>
      <c r="V1253" s="797">
        <f>$S$1*P!V1253</f>
        <v>2.1489919354838711E-5</v>
      </c>
      <c r="W1253" s="780"/>
      <c r="X1253" s="782">
        <v>1249</v>
      </c>
      <c r="Y1253" s="782" t="s">
        <v>2248</v>
      </c>
      <c r="Z1253" s="782" t="s">
        <v>3701</v>
      </c>
      <c r="AA1253" s="781">
        <f>$S$1*P!AA1253</f>
        <v>4.9697580645161298E-3</v>
      </c>
      <c r="AB1253" s="780"/>
      <c r="AC1253" s="782">
        <v>1249</v>
      </c>
      <c r="AD1253" s="782" t="s">
        <v>4573</v>
      </c>
      <c r="AE1253" s="782" t="s">
        <v>3340</v>
      </c>
      <c r="AF1253" s="781">
        <f>$S$1*P!AF1253</f>
        <v>8.6370967741935493E-4</v>
      </c>
    </row>
    <row r="1254" spans="19:32" x14ac:dyDescent="0.35">
      <c r="S1254" s="782">
        <v>1250</v>
      </c>
      <c r="T1254" s="782" t="s">
        <v>4284</v>
      </c>
      <c r="U1254" s="782" t="s">
        <v>4776</v>
      </c>
      <c r="V1254" s="797">
        <f>$S$1*P!V1254</f>
        <v>4.0786290322580646E-2</v>
      </c>
      <c r="W1254" s="780"/>
      <c r="X1254" s="782">
        <v>1250</v>
      </c>
      <c r="Y1254" s="782" t="s">
        <v>2248</v>
      </c>
      <c r="Z1254" s="782" t="s">
        <v>3466</v>
      </c>
      <c r="AA1254" s="781">
        <f>$S$1*P!AA1254</f>
        <v>0</v>
      </c>
      <c r="AB1254" s="780"/>
      <c r="AC1254" s="881">
        <v>1250</v>
      </c>
      <c r="AD1254" s="881" t="s">
        <v>4573</v>
      </c>
      <c r="AE1254" s="881" t="s">
        <v>3340</v>
      </c>
      <c r="AF1254" s="882">
        <f>$S$1*P!AF1254</f>
        <v>6.1180000000000005E-2</v>
      </c>
    </row>
    <row r="1255" spans="19:32" x14ac:dyDescent="0.35">
      <c r="S1255" s="782">
        <v>1251</v>
      </c>
      <c r="T1255" s="782" t="s">
        <v>4284</v>
      </c>
      <c r="U1255" s="782" t="s">
        <v>4773</v>
      </c>
      <c r="V1255" s="797">
        <f>$S$1*P!V1255</f>
        <v>1.8028225806451614E-3</v>
      </c>
      <c r="W1255" s="780"/>
      <c r="X1255" s="782">
        <v>1251</v>
      </c>
      <c r="Y1255" s="782" t="s">
        <v>2248</v>
      </c>
      <c r="Z1255" s="782" t="s">
        <v>3466</v>
      </c>
      <c r="AA1255" s="781">
        <f>$S$1*P!AA1255</f>
        <v>2.1215725806451615E-2</v>
      </c>
      <c r="AB1255" s="780"/>
      <c r="AC1255" s="881">
        <v>1251</v>
      </c>
      <c r="AD1255" s="881" t="s">
        <v>4573</v>
      </c>
      <c r="AE1255" s="881" t="s">
        <v>4660</v>
      </c>
      <c r="AF1255" s="882">
        <f>$S$1*P!AF1255</f>
        <v>2.3340725806451614E-4</v>
      </c>
    </row>
    <row r="1256" spans="19:32" x14ac:dyDescent="0.35">
      <c r="S1256" s="782">
        <v>1252</v>
      </c>
      <c r="T1256" s="782" t="s">
        <v>4284</v>
      </c>
      <c r="U1256" s="782" t="s">
        <v>4770</v>
      </c>
      <c r="V1256" s="797">
        <f>$S$1*P!V1256</f>
        <v>2.5602822580645165E-2</v>
      </c>
      <c r="W1256" s="780"/>
      <c r="X1256" s="782">
        <v>1252</v>
      </c>
      <c r="Y1256" s="782" t="s">
        <v>2248</v>
      </c>
      <c r="Z1256" s="782" t="s">
        <v>5450</v>
      </c>
      <c r="AA1256" s="781">
        <f>$S$1*P!AA1256</f>
        <v>5.1754032258064517E-4</v>
      </c>
      <c r="AB1256" s="780"/>
      <c r="AC1256" s="881">
        <v>1252</v>
      </c>
      <c r="AD1256" s="881" t="s">
        <v>4573</v>
      </c>
      <c r="AE1256" s="881" t="s">
        <v>3339</v>
      </c>
      <c r="AF1256" s="882">
        <f>$S$1*P!AF1256</f>
        <v>1.6931451612903228E-4</v>
      </c>
    </row>
    <row r="1257" spans="19:32" x14ac:dyDescent="0.35">
      <c r="S1257" s="782">
        <v>1253</v>
      </c>
      <c r="T1257" s="782" t="s">
        <v>4284</v>
      </c>
      <c r="U1257" s="782" t="s">
        <v>3395</v>
      </c>
      <c r="V1257" s="797">
        <f>$S$1*P!V1257</f>
        <v>3.9415322580645161E-3</v>
      </c>
      <c r="W1257" s="780"/>
      <c r="X1257" s="782">
        <v>1253</v>
      </c>
      <c r="Y1257" s="782" t="s">
        <v>2248</v>
      </c>
      <c r="Z1257" s="782" t="s">
        <v>3464</v>
      </c>
      <c r="AA1257" s="781">
        <f>$S$1*P!AA1257</f>
        <v>0</v>
      </c>
      <c r="AB1257" s="780"/>
      <c r="AC1257" s="881">
        <v>1253</v>
      </c>
      <c r="AD1257" s="881" t="s">
        <v>4573</v>
      </c>
      <c r="AE1257" s="881" t="s">
        <v>3339</v>
      </c>
      <c r="AF1257" s="882">
        <f>$S$1*P!AF1257</f>
        <v>0</v>
      </c>
    </row>
    <row r="1258" spans="19:32" x14ac:dyDescent="0.35">
      <c r="S1258" s="782">
        <v>1254</v>
      </c>
      <c r="T1258" s="782" t="s">
        <v>4284</v>
      </c>
      <c r="U1258" s="782" t="s">
        <v>3395</v>
      </c>
      <c r="V1258" s="797">
        <f>$S$1*P!V1258</f>
        <v>2198.8000000000002</v>
      </c>
      <c r="W1258" s="780"/>
      <c r="X1258" s="782">
        <v>1254</v>
      </c>
      <c r="Y1258" s="782" t="s">
        <v>2248</v>
      </c>
      <c r="Z1258" s="782" t="s">
        <v>3464</v>
      </c>
      <c r="AA1258" s="781">
        <f>$S$1*P!AA1258</f>
        <v>3.2766129032258067</v>
      </c>
      <c r="AB1258" s="780"/>
      <c r="AC1258" s="881">
        <v>1254</v>
      </c>
      <c r="AD1258" s="881" t="s">
        <v>4573</v>
      </c>
      <c r="AE1258" s="881" t="s">
        <v>4659</v>
      </c>
      <c r="AF1258" s="882">
        <f>$S$1*P!AF1258</f>
        <v>1.7377016129032259E-2</v>
      </c>
    </row>
    <row r="1259" spans="19:32" x14ac:dyDescent="0.35">
      <c r="S1259" s="782">
        <v>1255</v>
      </c>
      <c r="T1259" s="782" t="s">
        <v>4284</v>
      </c>
      <c r="U1259" s="782" t="s">
        <v>3394</v>
      </c>
      <c r="V1259" s="797">
        <f>$S$1*P!V1259</f>
        <v>1.8124000000000002</v>
      </c>
      <c r="W1259" s="780"/>
      <c r="X1259" s="782">
        <v>1255</v>
      </c>
      <c r="Y1259" s="782" t="s">
        <v>2248</v>
      </c>
      <c r="Z1259" s="782" t="s">
        <v>4970</v>
      </c>
      <c r="AA1259" s="781">
        <f>$S$1*P!AA1259</f>
        <v>23.889112903225808</v>
      </c>
      <c r="AB1259" s="780"/>
      <c r="AC1259" s="881">
        <v>1255</v>
      </c>
      <c r="AD1259" s="881" t="s">
        <v>4573</v>
      </c>
      <c r="AE1259" s="881" t="s">
        <v>4658</v>
      </c>
      <c r="AF1259" s="882">
        <f>$S$1*P!AF1259</f>
        <v>0.31360887096774198</v>
      </c>
    </row>
    <row r="1260" spans="19:32" x14ac:dyDescent="0.35">
      <c r="S1260" s="782">
        <v>1256</v>
      </c>
      <c r="T1260" s="782" t="s">
        <v>4284</v>
      </c>
      <c r="U1260" s="782" t="s">
        <v>3392</v>
      </c>
      <c r="V1260" s="797">
        <f>$S$1*P!V1260</f>
        <v>0.14627999999999999</v>
      </c>
      <c r="W1260" s="780"/>
      <c r="X1260" s="782">
        <v>1256</v>
      </c>
      <c r="Y1260" s="782" t="s">
        <v>2248</v>
      </c>
      <c r="Z1260" s="782" t="s">
        <v>5449</v>
      </c>
      <c r="AA1260" s="781">
        <f>$S$1*P!AA1260</f>
        <v>5.0725806451612907E-5</v>
      </c>
      <c r="AB1260" s="780"/>
      <c r="AC1260" s="782">
        <v>1256</v>
      </c>
      <c r="AD1260" s="782" t="s">
        <v>4573</v>
      </c>
      <c r="AE1260" s="782" t="s">
        <v>4657</v>
      </c>
      <c r="AF1260" s="781">
        <f>$S$1*P!AF1260</f>
        <v>1.052217741935484E-3</v>
      </c>
    </row>
    <row r="1261" spans="19:32" x14ac:dyDescent="0.35">
      <c r="S1261" s="782">
        <v>1257</v>
      </c>
      <c r="T1261" s="782" t="s">
        <v>4284</v>
      </c>
      <c r="U1261" s="782" t="s">
        <v>3391</v>
      </c>
      <c r="V1261" s="797">
        <f>$S$1*P!V1261</f>
        <v>5.2439516129032266E-3</v>
      </c>
      <c r="W1261" s="780"/>
      <c r="X1261" s="782">
        <v>1257</v>
      </c>
      <c r="Y1261" s="782" t="s">
        <v>2248</v>
      </c>
      <c r="Z1261" s="782" t="s">
        <v>3463</v>
      </c>
      <c r="AA1261" s="781">
        <f>$S$1*P!AA1261</f>
        <v>2.898E-3</v>
      </c>
      <c r="AB1261" s="780"/>
      <c r="AC1261" s="881">
        <v>1257</v>
      </c>
      <c r="AD1261" s="881" t="s">
        <v>4573</v>
      </c>
      <c r="AE1261" s="881" t="s">
        <v>4656</v>
      </c>
      <c r="AF1261" s="882">
        <f>$S$1*P!AF1261</f>
        <v>3.3108870967741937E-4</v>
      </c>
    </row>
    <row r="1262" spans="19:32" x14ac:dyDescent="0.35">
      <c r="S1262" s="782">
        <v>1258</v>
      </c>
      <c r="T1262" s="782" t="s">
        <v>4284</v>
      </c>
      <c r="U1262" s="782" t="s">
        <v>3391</v>
      </c>
      <c r="V1262" s="797">
        <f>$S$1*P!V1262</f>
        <v>10.119999999999999</v>
      </c>
      <c r="W1262" s="780"/>
      <c r="X1262" s="782">
        <v>1258</v>
      </c>
      <c r="Y1262" s="782" t="s">
        <v>2248</v>
      </c>
      <c r="Z1262" s="782" t="s">
        <v>3463</v>
      </c>
      <c r="AA1262" s="781">
        <f>$S$1*P!AA1262</f>
        <v>1.5080645161290326E-4</v>
      </c>
      <c r="AB1262" s="780"/>
      <c r="AC1262" s="782">
        <v>1258</v>
      </c>
      <c r="AD1262" s="782" t="s">
        <v>4573</v>
      </c>
      <c r="AE1262" s="782" t="s">
        <v>4655</v>
      </c>
      <c r="AF1262" s="781">
        <f>$S$1*P!AF1262</f>
        <v>6.9233870967741945E-2</v>
      </c>
    </row>
    <row r="1263" spans="19:32" x14ac:dyDescent="0.35">
      <c r="S1263" s="782">
        <v>1259</v>
      </c>
      <c r="T1263" s="782" t="s">
        <v>4284</v>
      </c>
      <c r="U1263" s="782" t="s">
        <v>3389</v>
      </c>
      <c r="V1263" s="797">
        <f>$S$1*P!V1263</f>
        <v>0.17891129032258066</v>
      </c>
      <c r="W1263" s="780"/>
      <c r="X1263" s="782">
        <v>1259</v>
      </c>
      <c r="Y1263" s="782" t="s">
        <v>2248</v>
      </c>
      <c r="Z1263" s="782" t="s">
        <v>3696</v>
      </c>
      <c r="AA1263" s="781">
        <f>$S$1*P!AA1263</f>
        <v>2.2072580645161294E-4</v>
      </c>
      <c r="AB1263" s="780"/>
      <c r="AC1263" s="881">
        <v>1259</v>
      </c>
      <c r="AD1263" s="881" t="s">
        <v>4573</v>
      </c>
      <c r="AE1263" s="881" t="s">
        <v>4654</v>
      </c>
      <c r="AF1263" s="882">
        <f>$S$1*P!AF1263</f>
        <v>2.8995967741935486E-3</v>
      </c>
    </row>
    <row r="1264" spans="19:32" x14ac:dyDescent="0.35">
      <c r="S1264" s="782">
        <v>1260</v>
      </c>
      <c r="T1264" s="782" t="s">
        <v>4284</v>
      </c>
      <c r="U1264" s="782" t="s">
        <v>3389</v>
      </c>
      <c r="V1264" s="797">
        <f>$S$1*P!V1264</f>
        <v>34.408000000000001</v>
      </c>
      <c r="W1264" s="780"/>
      <c r="X1264" s="782">
        <v>1260</v>
      </c>
      <c r="Y1264" s="782" t="s">
        <v>2248</v>
      </c>
      <c r="Z1264" s="782" t="s">
        <v>4969</v>
      </c>
      <c r="AA1264" s="781">
        <f>$S$1*P!AA1264</f>
        <v>15.800403225806454</v>
      </c>
      <c r="AB1264" s="780"/>
      <c r="AC1264" s="782">
        <v>1260</v>
      </c>
      <c r="AD1264" s="782" t="s">
        <v>4573</v>
      </c>
      <c r="AE1264" s="782" t="s">
        <v>4653</v>
      </c>
      <c r="AF1264" s="781">
        <f>$S$1*P!AF1264</f>
        <v>8.157258064516129E-5</v>
      </c>
    </row>
    <row r="1265" spans="19:32" x14ac:dyDescent="0.35">
      <c r="S1265" s="782">
        <v>1261</v>
      </c>
      <c r="T1265" s="782" t="s">
        <v>4284</v>
      </c>
      <c r="U1265" s="782" t="s">
        <v>3388</v>
      </c>
      <c r="V1265" s="797">
        <f>$S$1*P!V1265</f>
        <v>218.96</v>
      </c>
      <c r="W1265" s="780"/>
      <c r="X1265" s="782">
        <v>1261</v>
      </c>
      <c r="Y1265" s="782" t="s">
        <v>2248</v>
      </c>
      <c r="Z1265" s="782" t="s">
        <v>3461</v>
      </c>
      <c r="AA1265" s="781">
        <f>$S$1*P!AA1265</f>
        <v>3.5604000000000004E-2</v>
      </c>
      <c r="AB1265" s="780"/>
      <c r="AC1265" s="881">
        <v>1261</v>
      </c>
      <c r="AD1265" s="881" t="s">
        <v>4573</v>
      </c>
      <c r="AE1265" s="881" t="s">
        <v>4652</v>
      </c>
      <c r="AF1265" s="882">
        <f>$S$1*P!AF1265</f>
        <v>1.1516129032258065E-4</v>
      </c>
    </row>
    <row r="1266" spans="19:32" x14ac:dyDescent="0.35">
      <c r="S1266" s="782">
        <v>1262</v>
      </c>
      <c r="T1266" s="782" t="s">
        <v>4284</v>
      </c>
      <c r="U1266" s="782" t="s">
        <v>4763</v>
      </c>
      <c r="V1266" s="797">
        <f>$S$1*P!V1266</f>
        <v>5.1411290322580646E-3</v>
      </c>
      <c r="W1266" s="780"/>
      <c r="X1266" s="782">
        <v>1262</v>
      </c>
      <c r="Y1266" s="782" t="s">
        <v>2248</v>
      </c>
      <c r="Z1266" s="782" t="s">
        <v>3461</v>
      </c>
      <c r="AA1266" s="781">
        <f>$S$1*P!AA1266</f>
        <v>2.0187500000000001E-2</v>
      </c>
      <c r="AB1266" s="780"/>
      <c r="AC1266" s="881">
        <v>1262</v>
      </c>
      <c r="AD1266" s="881" t="s">
        <v>4573</v>
      </c>
      <c r="AE1266" s="881" t="s">
        <v>4651</v>
      </c>
      <c r="AF1266" s="882">
        <f>$S$1*P!AF1266</f>
        <v>2.2175403225806452E-4</v>
      </c>
    </row>
    <row r="1267" spans="19:32" x14ac:dyDescent="0.35">
      <c r="S1267" s="782">
        <v>1263</v>
      </c>
      <c r="T1267" s="782" t="s">
        <v>4284</v>
      </c>
      <c r="U1267" s="782" t="s">
        <v>3387</v>
      </c>
      <c r="V1267" s="797">
        <f>$S$1*P!V1267</f>
        <v>32.015999999999998</v>
      </c>
      <c r="W1267" s="780"/>
      <c r="X1267" s="782">
        <v>1263</v>
      </c>
      <c r="Y1267" s="782" t="s">
        <v>2248</v>
      </c>
      <c r="Z1267" s="782" t="s">
        <v>5448</v>
      </c>
      <c r="AA1267" s="781">
        <f>$S$1*P!AA1267</f>
        <v>2.5705645161290323E-5</v>
      </c>
      <c r="AB1267" s="780"/>
      <c r="AC1267" s="881">
        <v>1263</v>
      </c>
      <c r="AD1267" s="881" t="s">
        <v>4573</v>
      </c>
      <c r="AE1267" s="881" t="s">
        <v>3337</v>
      </c>
      <c r="AF1267" s="882">
        <f>$S$1*P!AF1267</f>
        <v>0.32016</v>
      </c>
    </row>
    <row r="1268" spans="19:32" x14ac:dyDescent="0.35">
      <c r="S1268" s="782">
        <v>1264</v>
      </c>
      <c r="T1268" s="782" t="s">
        <v>4284</v>
      </c>
      <c r="U1268" s="782" t="s">
        <v>3386</v>
      </c>
      <c r="V1268" s="797">
        <f>$S$1*P!V1268</f>
        <v>0.24197580645161293</v>
      </c>
      <c r="W1268" s="780"/>
      <c r="X1268" s="782">
        <v>1264</v>
      </c>
      <c r="Y1268" s="782" t="s">
        <v>2248</v>
      </c>
      <c r="Z1268" s="782" t="s">
        <v>3460</v>
      </c>
      <c r="AA1268" s="781">
        <f>$S$1*P!AA1268</f>
        <v>1.518</v>
      </c>
      <c r="AB1268" s="780"/>
      <c r="AC1268" s="881">
        <v>1264</v>
      </c>
      <c r="AD1268" s="881" t="s">
        <v>4573</v>
      </c>
      <c r="AE1268" s="881" t="s">
        <v>4650</v>
      </c>
      <c r="AF1268" s="882">
        <f>$S$1*P!AF1268</f>
        <v>1.2612903225806454E-4</v>
      </c>
    </row>
    <row r="1269" spans="19:32" x14ac:dyDescent="0.35">
      <c r="S1269" s="782">
        <v>1265</v>
      </c>
      <c r="T1269" s="782" t="s">
        <v>4284</v>
      </c>
      <c r="U1269" s="782" t="s">
        <v>3386</v>
      </c>
      <c r="V1269" s="797">
        <f>$S$1*P!V1269</f>
        <v>366.16</v>
      </c>
      <c r="W1269" s="780"/>
      <c r="X1269" s="782">
        <v>1265</v>
      </c>
      <c r="Y1269" s="782" t="s">
        <v>2248</v>
      </c>
      <c r="Z1269" s="782" t="s">
        <v>4968</v>
      </c>
      <c r="AA1269" s="781">
        <f>$S$1*P!AA1269</f>
        <v>0.19467741935483873</v>
      </c>
      <c r="AB1269" s="780"/>
      <c r="AC1269" s="881">
        <v>1265</v>
      </c>
      <c r="AD1269" s="881" t="s">
        <v>4573</v>
      </c>
      <c r="AE1269" s="881" t="s">
        <v>4649</v>
      </c>
      <c r="AF1269" s="882">
        <f>$S$1*P!AF1269</f>
        <v>3.0606854838709681E-2</v>
      </c>
    </row>
    <row r="1270" spans="19:32" x14ac:dyDescent="0.35">
      <c r="S1270" s="782">
        <v>1266</v>
      </c>
      <c r="T1270" s="782" t="s">
        <v>4284</v>
      </c>
      <c r="U1270" s="782" t="s">
        <v>3385</v>
      </c>
      <c r="V1270" s="797">
        <f>$S$1*P!V1270</f>
        <v>4.3870967741935487E-3</v>
      </c>
      <c r="W1270" s="780"/>
      <c r="X1270" s="782">
        <v>1266</v>
      </c>
      <c r="Y1270" s="782" t="s">
        <v>2248</v>
      </c>
      <c r="Z1270" s="782" t="s">
        <v>5447</v>
      </c>
      <c r="AA1270" s="781">
        <f>$S$1*P!AA1270</f>
        <v>4.5927419354838714E-4</v>
      </c>
      <c r="AB1270" s="780"/>
      <c r="AC1270" s="782">
        <v>1266</v>
      </c>
      <c r="AD1270" s="782" t="s">
        <v>4573</v>
      </c>
      <c r="AE1270" s="782" t="s">
        <v>4648</v>
      </c>
      <c r="AF1270" s="781">
        <f>$S$1*P!AF1270</f>
        <v>0.42842741935483875</v>
      </c>
    </row>
    <row r="1271" spans="19:32" x14ac:dyDescent="0.35">
      <c r="S1271" s="782">
        <v>1267</v>
      </c>
      <c r="T1271" s="782" t="s">
        <v>4284</v>
      </c>
      <c r="U1271" s="782" t="s">
        <v>3385</v>
      </c>
      <c r="V1271" s="797">
        <f>$S$1*P!V1271</f>
        <v>3753.6000000000004</v>
      </c>
      <c r="W1271" s="780"/>
      <c r="X1271" s="782">
        <v>1267</v>
      </c>
      <c r="Y1271" s="782" t="s">
        <v>2248</v>
      </c>
      <c r="Z1271" s="782" t="s">
        <v>4967</v>
      </c>
      <c r="AA1271" s="781">
        <f>$S$1*P!AA1271</f>
        <v>1.0110887096774195E-3</v>
      </c>
      <c r="AB1271" s="780"/>
      <c r="AC1271" s="881">
        <v>1267</v>
      </c>
      <c r="AD1271" s="881" t="s">
        <v>4573</v>
      </c>
      <c r="AE1271" s="881" t="s">
        <v>4647</v>
      </c>
      <c r="AF1271" s="882">
        <f>$S$1*P!AF1271</f>
        <v>2.5362903225806453E-2</v>
      </c>
    </row>
    <row r="1272" spans="19:32" x14ac:dyDescent="0.35">
      <c r="S1272" s="782">
        <v>1268</v>
      </c>
      <c r="T1272" s="782" t="s">
        <v>4284</v>
      </c>
      <c r="U1272" s="782" t="s">
        <v>3383</v>
      </c>
      <c r="V1272" s="797">
        <f>$S$1*P!V1272</f>
        <v>874</v>
      </c>
      <c r="W1272" s="780"/>
      <c r="X1272" s="782">
        <v>1268</v>
      </c>
      <c r="Y1272" s="782" t="s">
        <v>2248</v>
      </c>
      <c r="Z1272" s="782" t="s">
        <v>4966</v>
      </c>
      <c r="AA1272" s="781">
        <f>$S$1*P!AA1272</f>
        <v>1.2201612903225809E-3</v>
      </c>
      <c r="AB1272" s="780"/>
      <c r="AC1272" s="782">
        <v>1268</v>
      </c>
      <c r="AD1272" s="782" t="s">
        <v>4573</v>
      </c>
      <c r="AE1272" s="782" t="s">
        <v>4646</v>
      </c>
      <c r="AF1272" s="781">
        <f>$S$1*P!AF1272</f>
        <v>6.7520161290322589</v>
      </c>
    </row>
    <row r="1273" spans="19:32" x14ac:dyDescent="0.35">
      <c r="S1273" s="782">
        <v>1269</v>
      </c>
      <c r="T1273" s="782" t="s">
        <v>4284</v>
      </c>
      <c r="U1273" s="782" t="s">
        <v>4759</v>
      </c>
      <c r="V1273" s="797">
        <f>$S$1*P!V1273</f>
        <v>4.7641129032258069E-2</v>
      </c>
      <c r="W1273" s="780"/>
      <c r="X1273" s="782">
        <v>1269</v>
      </c>
      <c r="Y1273" s="782" t="s">
        <v>2248</v>
      </c>
      <c r="Z1273" s="782" t="s">
        <v>5446</v>
      </c>
      <c r="AA1273" s="781">
        <f>$S$1*P!AA1273</f>
        <v>1.8576612903225809E-2</v>
      </c>
      <c r="AB1273" s="780"/>
      <c r="AC1273" s="881">
        <v>1269</v>
      </c>
      <c r="AD1273" s="881" t="s">
        <v>4573</v>
      </c>
      <c r="AE1273" s="881" t="s">
        <v>4645</v>
      </c>
      <c r="AF1273" s="882">
        <f>$S$1*P!AF1273</f>
        <v>9.7338709677419362E-4</v>
      </c>
    </row>
    <row r="1274" spans="19:32" x14ac:dyDescent="0.35">
      <c r="S1274" s="782">
        <v>1270</v>
      </c>
      <c r="T1274" s="782" t="s">
        <v>4284</v>
      </c>
      <c r="U1274" s="782" t="s">
        <v>4758</v>
      </c>
      <c r="V1274" s="797">
        <f>$S$1*P!V1274</f>
        <v>8.2600806451612902E-6</v>
      </c>
      <c r="W1274" s="780"/>
      <c r="X1274" s="782">
        <v>1270</v>
      </c>
      <c r="Y1274" s="782" t="s">
        <v>2248</v>
      </c>
      <c r="Z1274" s="782" t="s">
        <v>4965</v>
      </c>
      <c r="AA1274" s="781">
        <f>$S$1*P!AA1274</f>
        <v>1.2989919354838711E-2</v>
      </c>
      <c r="AB1274" s="780"/>
      <c r="AC1274" s="782">
        <v>1270</v>
      </c>
      <c r="AD1274" s="782" t="s">
        <v>4573</v>
      </c>
      <c r="AE1274" s="782" t="s">
        <v>4644</v>
      </c>
      <c r="AF1274" s="781">
        <f>$S$1*P!AF1274</f>
        <v>1.3366935483870969E-2</v>
      </c>
    </row>
    <row r="1275" spans="19:32" x14ac:dyDescent="0.35">
      <c r="S1275" s="782">
        <v>1271</v>
      </c>
      <c r="T1275" s="782" t="s">
        <v>4284</v>
      </c>
      <c r="U1275" s="782" t="s">
        <v>4757</v>
      </c>
      <c r="V1275" s="797">
        <f>$S$1*P!V1275</f>
        <v>1.891935483870968E-3</v>
      </c>
      <c r="W1275" s="780"/>
      <c r="X1275" s="782">
        <v>1271</v>
      </c>
      <c r="Y1275" s="782" t="s">
        <v>2248</v>
      </c>
      <c r="Z1275" s="782" t="s">
        <v>4964</v>
      </c>
      <c r="AA1275" s="781">
        <f>$S$1*P!AA1275</f>
        <v>7.6431451612903236E-3</v>
      </c>
      <c r="AB1275" s="780"/>
      <c r="AC1275" s="881">
        <v>1271</v>
      </c>
      <c r="AD1275" s="881" t="s">
        <v>4573</v>
      </c>
      <c r="AE1275" s="881" t="s">
        <v>4643</v>
      </c>
      <c r="AF1275" s="882">
        <f>$S$1*P!AF1275</f>
        <v>1.7205645161290325E-3</v>
      </c>
    </row>
    <row r="1276" spans="19:32" x14ac:dyDescent="0.35">
      <c r="S1276" s="782">
        <v>1272</v>
      </c>
      <c r="T1276" s="782" t="s">
        <v>4284</v>
      </c>
      <c r="U1276" s="782" t="s">
        <v>4756</v>
      </c>
      <c r="V1276" s="797">
        <f>$S$1*P!V1276</f>
        <v>6.4778225806451616E-3</v>
      </c>
      <c r="W1276" s="780"/>
      <c r="X1276" s="782">
        <v>1272</v>
      </c>
      <c r="Y1276" s="782" t="s">
        <v>2248</v>
      </c>
      <c r="Z1276" s="782" t="s">
        <v>5445</v>
      </c>
      <c r="AA1276" s="781">
        <f>$S$1*P!AA1276</f>
        <v>1.5868951612903225E-3</v>
      </c>
      <c r="AB1276" s="780"/>
      <c r="AC1276" s="881">
        <v>1272</v>
      </c>
      <c r="AD1276" s="881" t="s">
        <v>4573</v>
      </c>
      <c r="AE1276" s="881" t="s">
        <v>4642</v>
      </c>
      <c r="AF1276" s="882">
        <f>$S$1*P!AF1276</f>
        <v>1.0693548387096775E-2</v>
      </c>
    </row>
    <row r="1277" spans="19:32" x14ac:dyDescent="0.35">
      <c r="S1277" s="782">
        <v>1273</v>
      </c>
      <c r="T1277" s="782" t="s">
        <v>4284</v>
      </c>
      <c r="U1277" s="782" t="s">
        <v>3382</v>
      </c>
      <c r="V1277" s="797">
        <f>$S$1*P!V1277</f>
        <v>29.808</v>
      </c>
      <c r="W1277" s="780"/>
      <c r="X1277" s="782">
        <v>1273</v>
      </c>
      <c r="Y1277" s="782" t="s">
        <v>2248</v>
      </c>
      <c r="Z1277" s="782" t="s">
        <v>3458</v>
      </c>
      <c r="AA1277" s="781">
        <f>$S$1*P!AA1277</f>
        <v>165.60000000000002</v>
      </c>
      <c r="AB1277" s="780"/>
      <c r="AC1277" s="881">
        <v>1273</v>
      </c>
      <c r="AD1277" s="881" t="s">
        <v>4573</v>
      </c>
      <c r="AE1277" s="881" t="s">
        <v>4641</v>
      </c>
      <c r="AF1277" s="882">
        <f>$S$1*P!AF1277</f>
        <v>4.8669354838709683E-2</v>
      </c>
    </row>
    <row r="1278" spans="19:32" x14ac:dyDescent="0.35">
      <c r="S1278" s="782">
        <v>1274</v>
      </c>
      <c r="T1278" s="782" t="s">
        <v>4284</v>
      </c>
      <c r="U1278" s="782" t="s">
        <v>4755</v>
      </c>
      <c r="V1278" s="797">
        <f>$S$1*P!V1278</f>
        <v>7.0604838709677426E-3</v>
      </c>
      <c r="W1278" s="780"/>
      <c r="X1278" s="782">
        <v>1274</v>
      </c>
      <c r="Y1278" s="782" t="s">
        <v>2248</v>
      </c>
      <c r="Z1278" s="782" t="s">
        <v>3458</v>
      </c>
      <c r="AA1278" s="781">
        <f>$S$1*P!AA1278</f>
        <v>0.50383064516129039</v>
      </c>
      <c r="AB1278" s="780"/>
      <c r="AC1278" s="881">
        <v>1274</v>
      </c>
      <c r="AD1278" s="881" t="s">
        <v>4573</v>
      </c>
      <c r="AE1278" s="881" t="s">
        <v>4640</v>
      </c>
      <c r="AF1278" s="882">
        <f>$S$1*P!AF1278</f>
        <v>6.957661290322581</v>
      </c>
    </row>
    <row r="1279" spans="19:32" x14ac:dyDescent="0.35">
      <c r="S1279" s="782">
        <v>1275</v>
      </c>
      <c r="T1279" s="782" t="s">
        <v>4284</v>
      </c>
      <c r="U1279" s="782" t="s">
        <v>3380</v>
      </c>
      <c r="V1279" s="797">
        <f>$S$1*P!V1279</f>
        <v>398.36</v>
      </c>
      <c r="W1279" s="780"/>
      <c r="X1279" s="782">
        <v>1275</v>
      </c>
      <c r="Y1279" s="782" t="s">
        <v>2248</v>
      </c>
      <c r="Z1279" s="782" t="s">
        <v>3457</v>
      </c>
      <c r="AA1279" s="781">
        <f>$S$1*P!AA1279</f>
        <v>165.60000000000002</v>
      </c>
      <c r="AB1279" s="780"/>
      <c r="AC1279" s="782">
        <v>1275</v>
      </c>
      <c r="AD1279" s="782" t="s">
        <v>4573</v>
      </c>
      <c r="AE1279" s="782" t="s">
        <v>4637</v>
      </c>
      <c r="AF1279" s="781">
        <f>$S$1*P!AF1279</f>
        <v>0.10693548387096775</v>
      </c>
    </row>
    <row r="1280" spans="19:32" x14ac:dyDescent="0.35">
      <c r="S1280" s="782">
        <v>1276</v>
      </c>
      <c r="T1280" s="782" t="s">
        <v>4284</v>
      </c>
      <c r="U1280" s="782" t="s">
        <v>4754</v>
      </c>
      <c r="V1280" s="797">
        <f>$S$1*P!V1280</f>
        <v>2.2483870967741937E-5</v>
      </c>
      <c r="W1280" s="780"/>
      <c r="X1280" s="782">
        <v>1276</v>
      </c>
      <c r="Y1280" s="782" t="s">
        <v>2248</v>
      </c>
      <c r="Z1280" s="782" t="s">
        <v>3457</v>
      </c>
      <c r="AA1280" s="781">
        <f>$S$1*P!AA1280</f>
        <v>0.27522177419354843</v>
      </c>
      <c r="AB1280" s="780"/>
      <c r="AC1280" s="881">
        <v>1276</v>
      </c>
      <c r="AD1280" s="881" t="s">
        <v>4573</v>
      </c>
      <c r="AE1280" s="881" t="s">
        <v>3336</v>
      </c>
      <c r="AF1280" s="882">
        <f>$S$1*P!AF1280</f>
        <v>0</v>
      </c>
    </row>
    <row r="1281" spans="19:32" x14ac:dyDescent="0.35">
      <c r="S1281" s="782">
        <v>1277</v>
      </c>
      <c r="T1281" s="782" t="s">
        <v>4284</v>
      </c>
      <c r="U1281" s="782" t="s">
        <v>3379</v>
      </c>
      <c r="V1281" s="797">
        <f>$S$1*P!V1281</f>
        <v>1.7788306451612906E-5</v>
      </c>
      <c r="W1281" s="780"/>
      <c r="X1281" s="782">
        <v>1277</v>
      </c>
      <c r="Y1281" s="782" t="s">
        <v>2248</v>
      </c>
      <c r="Z1281" s="782" t="s">
        <v>5444</v>
      </c>
      <c r="AA1281" s="781">
        <f>$S$1*P!AA1281</f>
        <v>8.7399193548387099E-4</v>
      </c>
      <c r="AB1281" s="780"/>
      <c r="AC1281" s="881">
        <v>1277</v>
      </c>
      <c r="AD1281" s="881" t="s">
        <v>4573</v>
      </c>
      <c r="AE1281" s="881" t="s">
        <v>4635</v>
      </c>
      <c r="AF1281" s="882">
        <f>$S$1*P!AF1281</f>
        <v>5.4838709677419356E-2</v>
      </c>
    </row>
    <row r="1282" spans="19:32" x14ac:dyDescent="0.35">
      <c r="S1282" s="881">
        <v>1278</v>
      </c>
      <c r="T1282" s="881" t="s">
        <v>4284</v>
      </c>
      <c r="U1282" s="881" t="s">
        <v>3379</v>
      </c>
      <c r="V1282" s="883">
        <f>$S$1*P!V1282</f>
        <v>0.84639999999999993</v>
      </c>
      <c r="W1282" s="780"/>
      <c r="X1282" s="782">
        <v>1278</v>
      </c>
      <c r="Y1282" s="782" t="s">
        <v>2248</v>
      </c>
      <c r="Z1282" s="782" t="s">
        <v>3455</v>
      </c>
      <c r="AA1282" s="781">
        <f>$S$1*P!AA1282</f>
        <v>165.60000000000002</v>
      </c>
      <c r="AB1282" s="780"/>
      <c r="AC1282" s="782">
        <v>1278</v>
      </c>
      <c r="AD1282" s="782" t="s">
        <v>4573</v>
      </c>
      <c r="AE1282" s="782" t="s">
        <v>3334</v>
      </c>
      <c r="AF1282" s="781">
        <f>$S$1*P!AF1282</f>
        <v>0.30298387096774199</v>
      </c>
    </row>
    <row r="1283" spans="19:32" x14ac:dyDescent="0.35">
      <c r="S1283" s="881">
        <v>1279</v>
      </c>
      <c r="T1283" s="881" t="s">
        <v>4284</v>
      </c>
      <c r="U1283" s="881" t="s">
        <v>3377</v>
      </c>
      <c r="V1283" s="883">
        <f>$S$1*P!V1283</f>
        <v>0</v>
      </c>
      <c r="W1283" s="780"/>
      <c r="X1283" s="782">
        <v>1279</v>
      </c>
      <c r="Y1283" s="782" t="s">
        <v>2248</v>
      </c>
      <c r="Z1283" s="782" t="s">
        <v>3455</v>
      </c>
      <c r="AA1283" s="781">
        <f>$S$1*P!AA1283</f>
        <v>0.73004032258064522</v>
      </c>
      <c r="AB1283" s="780"/>
      <c r="AC1283" s="881">
        <v>1279</v>
      </c>
      <c r="AD1283" s="881" t="s">
        <v>4573</v>
      </c>
      <c r="AE1283" s="881" t="s">
        <v>3334</v>
      </c>
      <c r="AF1283" s="882">
        <f>$S$1*P!AF1283</f>
        <v>0.31647999999999998</v>
      </c>
    </row>
    <row r="1284" spans="19:32" x14ac:dyDescent="0.35">
      <c r="S1284" s="782">
        <v>1280</v>
      </c>
      <c r="T1284" s="782" t="s">
        <v>4284</v>
      </c>
      <c r="U1284" s="782" t="s">
        <v>3375</v>
      </c>
      <c r="V1284" s="797">
        <f>$S$1*P!V1284</f>
        <v>4.72983870967742E-4</v>
      </c>
      <c r="W1284" s="780"/>
      <c r="X1284" s="782">
        <v>1280</v>
      </c>
      <c r="Y1284" s="782" t="s">
        <v>2248</v>
      </c>
      <c r="Z1284" s="782" t="s">
        <v>5443</v>
      </c>
      <c r="AA1284" s="781">
        <f>$S$1*P!AA1284</f>
        <v>8.2600806451612902E-3</v>
      </c>
      <c r="AB1284" s="780"/>
      <c r="AC1284" s="881">
        <v>1280</v>
      </c>
      <c r="AD1284" s="881" t="s">
        <v>4573</v>
      </c>
      <c r="AE1284" s="881" t="s">
        <v>4634</v>
      </c>
      <c r="AF1284" s="882">
        <f>$S$1*P!AF1284</f>
        <v>1.5868951612903227E-2</v>
      </c>
    </row>
    <row r="1285" spans="19:32" x14ac:dyDescent="0.35">
      <c r="S1285" s="881">
        <v>1281</v>
      </c>
      <c r="T1285" s="881" t="s">
        <v>4284</v>
      </c>
      <c r="U1285" s="881" t="s">
        <v>3375</v>
      </c>
      <c r="V1285" s="883">
        <f>$S$1*P!V1285</f>
        <v>0</v>
      </c>
      <c r="W1285" s="780"/>
      <c r="X1285" s="782">
        <v>1281</v>
      </c>
      <c r="Y1285" s="782" t="s">
        <v>2248</v>
      </c>
      <c r="Z1285" s="782" t="s">
        <v>3453</v>
      </c>
      <c r="AA1285" s="781">
        <f>$S$1*P!AA1285</f>
        <v>0</v>
      </c>
      <c r="AB1285" s="780"/>
      <c r="AC1285" s="881">
        <v>1281</v>
      </c>
      <c r="AD1285" s="881" t="s">
        <v>4573</v>
      </c>
      <c r="AE1285" s="881" t="s">
        <v>3332</v>
      </c>
      <c r="AF1285" s="882">
        <f>$S$1*P!AF1285</f>
        <v>0</v>
      </c>
    </row>
    <row r="1286" spans="19:32" x14ac:dyDescent="0.35">
      <c r="S1286" s="782">
        <v>1282</v>
      </c>
      <c r="T1286" s="782" t="s">
        <v>4284</v>
      </c>
      <c r="U1286" s="782" t="s">
        <v>4753</v>
      </c>
      <c r="V1286" s="797">
        <f>$S$1*P!V1286</f>
        <v>9.2883064516129045E-4</v>
      </c>
      <c r="W1286" s="863"/>
      <c r="X1286" s="782">
        <v>1282</v>
      </c>
      <c r="Y1286" s="782" t="s">
        <v>2248</v>
      </c>
      <c r="Z1286" s="782" t="s">
        <v>3452</v>
      </c>
      <c r="AA1286" s="781">
        <f>$S$1*P!AA1286</f>
        <v>0</v>
      </c>
      <c r="AB1286" s="780"/>
      <c r="AC1286" s="782">
        <v>1282</v>
      </c>
      <c r="AD1286" s="782" t="s">
        <v>4573</v>
      </c>
      <c r="AE1286" s="782" t="s">
        <v>4633</v>
      </c>
      <c r="AF1286" s="781">
        <f>$S$1*P!AF1286</f>
        <v>1.7719758064516132E-3</v>
      </c>
    </row>
    <row r="1287" spans="19:32" x14ac:dyDescent="0.35">
      <c r="S1287" s="782">
        <v>1283</v>
      </c>
      <c r="T1287" s="782" t="s">
        <v>4284</v>
      </c>
      <c r="U1287" s="782" t="s">
        <v>4752</v>
      </c>
      <c r="V1287" s="797">
        <f>$S$1*P!V1287</f>
        <v>1.7719758064516132E-3</v>
      </c>
      <c r="W1287" s="863"/>
      <c r="X1287" s="782">
        <v>1283</v>
      </c>
      <c r="Y1287" s="782" t="s">
        <v>2248</v>
      </c>
      <c r="Z1287" s="782" t="s">
        <v>5442</v>
      </c>
      <c r="AA1287" s="781">
        <f>$S$1*P!AA1287</f>
        <v>2.090725806451613E-4</v>
      </c>
      <c r="AB1287" s="780"/>
      <c r="AC1287" s="881">
        <v>1283</v>
      </c>
      <c r="AD1287" s="881" t="s">
        <v>4573</v>
      </c>
      <c r="AE1287" s="881" t="s">
        <v>4632</v>
      </c>
      <c r="AF1287" s="882">
        <f>$S$1*P!AF1287</f>
        <v>4.7298387096774197E-2</v>
      </c>
    </row>
    <row r="1288" spans="19:32" x14ac:dyDescent="0.35">
      <c r="S1288" s="782">
        <v>1284</v>
      </c>
      <c r="T1288" s="782" t="s">
        <v>4284</v>
      </c>
      <c r="U1288" s="782" t="s">
        <v>4750</v>
      </c>
      <c r="V1288" s="797">
        <f>$S$1*P!V1288</f>
        <v>9.7681451612903242E-4</v>
      </c>
      <c r="W1288" s="863"/>
      <c r="X1288" s="782">
        <v>1284</v>
      </c>
      <c r="Y1288" s="782" t="s">
        <v>2248</v>
      </c>
      <c r="Z1288" s="782" t="s">
        <v>3451</v>
      </c>
      <c r="AA1288" s="781">
        <f>$S$1*P!AA1288</f>
        <v>0</v>
      </c>
      <c r="AB1288" s="780"/>
      <c r="AC1288" s="881">
        <v>1284</v>
      </c>
      <c r="AD1288" s="881" t="s">
        <v>4573</v>
      </c>
      <c r="AE1288" s="881" t="s">
        <v>4631</v>
      </c>
      <c r="AF1288" s="882">
        <f>$S$1*P!AF1288</f>
        <v>1.1653225806451614E-2</v>
      </c>
    </row>
    <row r="1289" spans="19:32" x14ac:dyDescent="0.35">
      <c r="S1289" s="782">
        <v>1285</v>
      </c>
      <c r="T1289" s="782" t="s">
        <v>4284</v>
      </c>
      <c r="U1289" s="782" t="s">
        <v>4749</v>
      </c>
      <c r="V1289" s="797">
        <f>$S$1*P!V1289</f>
        <v>1.0247983870967743E-2</v>
      </c>
      <c r="W1289" s="780"/>
      <c r="X1289" s="782">
        <v>1285</v>
      </c>
      <c r="Y1289" s="782" t="s">
        <v>2248</v>
      </c>
      <c r="Z1289" s="782" t="s">
        <v>4960</v>
      </c>
      <c r="AA1289" s="781">
        <f>$S$1*P!AA1289</f>
        <v>3.9415322580645167E-4</v>
      </c>
      <c r="AB1289" s="780"/>
      <c r="AC1289" s="881">
        <v>1285</v>
      </c>
      <c r="AD1289" s="881" t="s">
        <v>4573</v>
      </c>
      <c r="AE1289" s="881" t="s">
        <v>4630</v>
      </c>
      <c r="AF1289" s="882">
        <f>$S$1*P!AF1289</f>
        <v>4.0786290322580648E-4</v>
      </c>
    </row>
    <row r="1290" spans="19:32" x14ac:dyDescent="0.35">
      <c r="S1290" s="881">
        <v>1286</v>
      </c>
      <c r="T1290" s="881" t="s">
        <v>4284</v>
      </c>
      <c r="U1290" s="881" t="s">
        <v>3374</v>
      </c>
      <c r="V1290" s="883">
        <f>$S$1*P!V1290</f>
        <v>0</v>
      </c>
      <c r="W1290" s="780"/>
      <c r="X1290" s="782">
        <v>1286</v>
      </c>
      <c r="Y1290" s="782" t="s">
        <v>2248</v>
      </c>
      <c r="Z1290" s="782" t="s">
        <v>5441</v>
      </c>
      <c r="AA1290" s="781">
        <f>$S$1*P!AA1290</f>
        <v>1.6383064516129035E-2</v>
      </c>
      <c r="AB1290" s="780"/>
      <c r="AC1290" s="881">
        <v>1286</v>
      </c>
      <c r="AD1290" s="881" t="s">
        <v>4573</v>
      </c>
      <c r="AE1290" s="881" t="s">
        <v>3331</v>
      </c>
      <c r="AF1290" s="882">
        <f>$S$1*P!AF1290</f>
        <v>5.3125000000000004E-3</v>
      </c>
    </row>
    <row r="1291" spans="19:32" x14ac:dyDescent="0.35">
      <c r="S1291" s="782">
        <v>1287</v>
      </c>
      <c r="T1291" s="782" t="s">
        <v>4284</v>
      </c>
      <c r="U1291" s="782" t="s">
        <v>4748</v>
      </c>
      <c r="V1291" s="797">
        <f>$S$1*P!V1291</f>
        <v>6.4778225806451617E-5</v>
      </c>
      <c r="W1291" s="780"/>
      <c r="X1291" s="782">
        <v>1287</v>
      </c>
      <c r="Y1291" s="782" t="s">
        <v>2248</v>
      </c>
      <c r="Z1291" s="782" t="s">
        <v>3450</v>
      </c>
      <c r="AA1291" s="781">
        <f>$S$1*P!AA1291</f>
        <v>0.13339999999999999</v>
      </c>
      <c r="AB1291" s="780"/>
      <c r="AC1291" s="881">
        <v>1287</v>
      </c>
      <c r="AD1291" s="881" t="s">
        <v>4573</v>
      </c>
      <c r="AE1291" s="881" t="s">
        <v>3331</v>
      </c>
      <c r="AF1291" s="882">
        <f>$S$1*P!AF1291</f>
        <v>0</v>
      </c>
    </row>
    <row r="1292" spans="19:32" x14ac:dyDescent="0.35">
      <c r="S1292" s="782">
        <v>1288</v>
      </c>
      <c r="T1292" s="782" t="s">
        <v>4284</v>
      </c>
      <c r="U1292" s="782" t="s">
        <v>4747</v>
      </c>
      <c r="V1292" s="797">
        <f>$S$1*P!V1292</f>
        <v>2.4848790322580649E-3</v>
      </c>
      <c r="W1292" s="863"/>
      <c r="X1292" s="782">
        <v>1288</v>
      </c>
      <c r="Y1292" s="782" t="s">
        <v>2248</v>
      </c>
      <c r="Z1292" s="782" t="s">
        <v>3450</v>
      </c>
      <c r="AA1292" s="781">
        <f>$S$1*P!AA1292</f>
        <v>0.11756048387096775</v>
      </c>
      <c r="AB1292" s="780"/>
      <c r="AC1292" s="881">
        <v>1288</v>
      </c>
      <c r="AD1292" s="881" t="s">
        <v>4573</v>
      </c>
      <c r="AE1292" s="881" t="s">
        <v>3329</v>
      </c>
      <c r="AF1292" s="882">
        <f>$S$1*P!AF1292</f>
        <v>1.9227999999999998</v>
      </c>
    </row>
    <row r="1293" spans="19:32" x14ac:dyDescent="0.35">
      <c r="S1293" s="782">
        <v>1289</v>
      </c>
      <c r="T1293" s="782" t="s">
        <v>4284</v>
      </c>
      <c r="U1293" s="782" t="s">
        <v>4746</v>
      </c>
      <c r="V1293" s="797">
        <f>$S$1*P!V1293</f>
        <v>2.9030241935483876E-4</v>
      </c>
      <c r="W1293" s="863"/>
      <c r="X1293" s="782">
        <v>1289</v>
      </c>
      <c r="Y1293" s="782" t="s">
        <v>2248</v>
      </c>
      <c r="Z1293" s="782" t="s">
        <v>5440</v>
      </c>
      <c r="AA1293" s="781">
        <f>$S$1*P!AA1293</f>
        <v>8.7741935483870979E-4</v>
      </c>
      <c r="AB1293" s="780"/>
      <c r="AC1293" s="782">
        <v>1289</v>
      </c>
      <c r="AD1293" s="782" t="s">
        <v>4573</v>
      </c>
      <c r="AE1293" s="782" t="s">
        <v>4629</v>
      </c>
      <c r="AF1293" s="781">
        <f>$S$1*P!AF1293</f>
        <v>0.27967741935483875</v>
      </c>
    </row>
    <row r="1294" spans="19:32" x14ac:dyDescent="0.35">
      <c r="S1294" s="782">
        <v>1290</v>
      </c>
      <c r="T1294" s="782" t="s">
        <v>4284</v>
      </c>
      <c r="U1294" s="782" t="s">
        <v>4745</v>
      </c>
      <c r="V1294" s="797">
        <f>$S$1*P!V1294</f>
        <v>4.9354838709677422E-5</v>
      </c>
      <c r="W1294" s="780"/>
      <c r="X1294" s="782">
        <v>1290</v>
      </c>
      <c r="Y1294" s="782" t="s">
        <v>2248</v>
      </c>
      <c r="Z1294" s="782" t="s">
        <v>3448</v>
      </c>
      <c r="AA1294" s="781">
        <f>$S$1*P!AA1294</f>
        <v>1.196</v>
      </c>
      <c r="AB1294" s="780"/>
      <c r="AC1294" s="881">
        <v>1290</v>
      </c>
      <c r="AD1294" s="881" t="s">
        <v>4573</v>
      </c>
      <c r="AE1294" s="881" t="s">
        <v>4628</v>
      </c>
      <c r="AF1294" s="882">
        <f>$S$1*P!AF1294</f>
        <v>0.71633064516129041</v>
      </c>
    </row>
    <row r="1295" spans="19:32" x14ac:dyDescent="0.35">
      <c r="S1295" s="782">
        <v>1291</v>
      </c>
      <c r="T1295" s="782" t="s">
        <v>4284</v>
      </c>
      <c r="U1295" s="782" t="s">
        <v>4744</v>
      </c>
      <c r="V1295" s="797">
        <f>$S$1*P!V1295</f>
        <v>4.1471774193548392E-3</v>
      </c>
      <c r="W1295" s="780"/>
      <c r="X1295" s="782">
        <v>1291</v>
      </c>
      <c r="Y1295" s="782" t="s">
        <v>2248</v>
      </c>
      <c r="Z1295" s="782" t="s">
        <v>3448</v>
      </c>
      <c r="AA1295" s="781">
        <f>$S$1*P!AA1295</f>
        <v>3.9072580645161295E-2</v>
      </c>
      <c r="AB1295" s="780"/>
      <c r="AC1295" s="782">
        <v>1291</v>
      </c>
      <c r="AD1295" s="782" t="s">
        <v>4573</v>
      </c>
      <c r="AE1295" s="782" t="s">
        <v>4627</v>
      </c>
      <c r="AF1295" s="781">
        <f>$S$1*P!AF1295</f>
        <v>0.15012096774193551</v>
      </c>
    </row>
    <row r="1296" spans="19:32" x14ac:dyDescent="0.35">
      <c r="S1296" s="782">
        <v>1292</v>
      </c>
      <c r="T1296" s="782" t="s">
        <v>4284</v>
      </c>
      <c r="U1296" s="782" t="s">
        <v>4743</v>
      </c>
      <c r="V1296" s="797">
        <f>$S$1*P!V1296</f>
        <v>1.5491935483870968E-4</v>
      </c>
      <c r="W1296" s="780"/>
      <c r="X1296" s="782">
        <v>1292</v>
      </c>
      <c r="Y1296" s="782" t="s">
        <v>2248</v>
      </c>
      <c r="Z1296" s="782" t="s">
        <v>4956</v>
      </c>
      <c r="AA1296" s="781">
        <f>$S$1*P!AA1296</f>
        <v>8.2600806451612902E-3</v>
      </c>
      <c r="AB1296" s="780"/>
      <c r="AC1296" s="881">
        <v>1292</v>
      </c>
      <c r="AD1296" s="881" t="s">
        <v>4573</v>
      </c>
      <c r="AE1296" s="881" t="s">
        <v>3328</v>
      </c>
      <c r="AF1296" s="882">
        <f>$S$1*P!AF1296</f>
        <v>0</v>
      </c>
    </row>
    <row r="1297" spans="19:32" x14ac:dyDescent="0.35">
      <c r="S1297" s="782">
        <v>1293</v>
      </c>
      <c r="T1297" s="782" t="s">
        <v>4284</v>
      </c>
      <c r="U1297" s="782" t="s">
        <v>3372</v>
      </c>
      <c r="V1297" s="797">
        <f>$S$1*P!V1297</f>
        <v>1.4566532258064516E-5</v>
      </c>
      <c r="W1297" s="884"/>
      <c r="X1297" s="782">
        <v>1293</v>
      </c>
      <c r="Y1297" s="782" t="s">
        <v>2248</v>
      </c>
      <c r="Z1297" s="782" t="s">
        <v>5439</v>
      </c>
      <c r="AA1297" s="781">
        <f>$S$1*P!AA1297</f>
        <v>2.4883064516129035E-2</v>
      </c>
      <c r="AB1297" s="780"/>
      <c r="AC1297" s="881">
        <v>1293</v>
      </c>
      <c r="AD1297" s="881" t="s">
        <v>4573</v>
      </c>
      <c r="AE1297" s="881" t="s">
        <v>4626</v>
      </c>
      <c r="AF1297" s="882">
        <f>$S$1*P!AF1297</f>
        <v>0.5243951612903226</v>
      </c>
    </row>
    <row r="1298" spans="19:32" x14ac:dyDescent="0.35">
      <c r="S1298" s="881">
        <v>1294</v>
      </c>
      <c r="T1298" s="881" t="s">
        <v>4284</v>
      </c>
      <c r="U1298" s="881" t="s">
        <v>3372</v>
      </c>
      <c r="V1298" s="883">
        <f>$S$1*P!V1298</f>
        <v>118.67999999999999</v>
      </c>
      <c r="W1298" s="780"/>
      <c r="X1298" s="782">
        <v>1294</v>
      </c>
      <c r="Y1298" s="782" t="s">
        <v>2248</v>
      </c>
      <c r="Z1298" s="782" t="s">
        <v>4955</v>
      </c>
      <c r="AA1298" s="781">
        <f>$S$1*P!AA1298</f>
        <v>4.6612903225806456E-3</v>
      </c>
      <c r="AB1298" s="780"/>
      <c r="AC1298" s="881">
        <v>1294</v>
      </c>
      <c r="AD1298" s="881" t="s">
        <v>4573</v>
      </c>
      <c r="AE1298" s="881" t="s">
        <v>3326</v>
      </c>
      <c r="AF1298" s="882">
        <f>$S$1*P!AF1298</f>
        <v>0</v>
      </c>
    </row>
    <row r="1299" spans="19:32" x14ac:dyDescent="0.35">
      <c r="S1299" s="782">
        <v>1295</v>
      </c>
      <c r="T1299" s="782" t="s">
        <v>4284</v>
      </c>
      <c r="U1299" s="782" t="s">
        <v>4741</v>
      </c>
      <c r="V1299" s="797">
        <f>$S$1*P!V1299</f>
        <v>2.3957661290322582E-5</v>
      </c>
      <c r="W1299" s="780"/>
      <c r="X1299" s="782">
        <v>1295</v>
      </c>
      <c r="Y1299" s="782" t="s">
        <v>2248</v>
      </c>
      <c r="Z1299" s="782" t="s">
        <v>4952</v>
      </c>
      <c r="AA1299" s="781">
        <f>$S$1*P!AA1299</f>
        <v>4.1814516129032265E-3</v>
      </c>
      <c r="AB1299" s="780"/>
      <c r="AC1299" s="782">
        <v>1295</v>
      </c>
      <c r="AD1299" s="782" t="s">
        <v>4573</v>
      </c>
      <c r="AE1299" s="782" t="s">
        <v>4625</v>
      </c>
      <c r="AF1299" s="781">
        <f>$S$1*P!AF1299</f>
        <v>1.3435483870967743E-3</v>
      </c>
    </row>
    <row r="1300" spans="19:32" x14ac:dyDescent="0.35">
      <c r="S1300" s="782">
        <v>1296</v>
      </c>
      <c r="T1300" s="782" t="s">
        <v>4284</v>
      </c>
      <c r="U1300" s="782" t="s">
        <v>4739</v>
      </c>
      <c r="V1300" s="797">
        <f>$S$1*P!V1300</f>
        <v>1.7719758064516132E-3</v>
      </c>
      <c r="W1300" s="780"/>
      <c r="X1300" s="782">
        <v>1296</v>
      </c>
      <c r="Y1300" s="782" t="s">
        <v>2248</v>
      </c>
      <c r="Z1300" s="782" t="s">
        <v>5438</v>
      </c>
      <c r="AA1300" s="781">
        <f>$S$1*P!AA1300</f>
        <v>2.9647177419354839E-2</v>
      </c>
      <c r="AB1300" s="780"/>
      <c r="AC1300" s="881">
        <v>1296</v>
      </c>
      <c r="AD1300" s="881" t="s">
        <v>4573</v>
      </c>
      <c r="AE1300" s="881" t="s">
        <v>4624</v>
      </c>
      <c r="AF1300" s="882">
        <f>$S$1*P!AF1300</f>
        <v>1.4155241935483872E-2</v>
      </c>
    </row>
    <row r="1301" spans="19:32" x14ac:dyDescent="0.35">
      <c r="S1301" s="782">
        <v>1297</v>
      </c>
      <c r="T1301" s="782" t="s">
        <v>4284</v>
      </c>
      <c r="U1301" s="782" t="s">
        <v>4738</v>
      </c>
      <c r="V1301" s="797">
        <f>$S$1*P!V1301</f>
        <v>9.8366935483870977E-5</v>
      </c>
      <c r="W1301" s="780"/>
      <c r="X1301" s="782">
        <v>1297</v>
      </c>
      <c r="Y1301" s="782" t="s">
        <v>2248</v>
      </c>
      <c r="Z1301" s="782" t="s">
        <v>4950</v>
      </c>
      <c r="AA1301" s="781">
        <f>$S$1*P!AA1301</f>
        <v>1.9913306451612906E-3</v>
      </c>
      <c r="AB1301" s="780"/>
      <c r="AC1301" s="881">
        <v>1297</v>
      </c>
      <c r="AD1301" s="881" t="s">
        <v>4573</v>
      </c>
      <c r="AE1301" s="881" t="s">
        <v>3325</v>
      </c>
      <c r="AF1301" s="882">
        <f>$S$1*P!AF1301</f>
        <v>6.9367999999999999E-2</v>
      </c>
    </row>
    <row r="1302" spans="19:32" x14ac:dyDescent="0.35">
      <c r="S1302" s="881">
        <v>1298</v>
      </c>
      <c r="T1302" s="881" t="s">
        <v>4284</v>
      </c>
      <c r="U1302" s="881" t="s">
        <v>3371</v>
      </c>
      <c r="V1302" s="883">
        <f>$S$1*P!V1302</f>
        <v>21.068000000000001</v>
      </c>
      <c r="W1302" s="780"/>
      <c r="X1302" s="782">
        <v>1298</v>
      </c>
      <c r="Y1302" s="782" t="s">
        <v>2248</v>
      </c>
      <c r="Z1302" s="782" t="s">
        <v>4949</v>
      </c>
      <c r="AA1302" s="781">
        <f>$S$1*P!AA1302</f>
        <v>7.6431451612903236E-3</v>
      </c>
      <c r="AB1302" s="780"/>
      <c r="AC1302" s="881">
        <v>1298</v>
      </c>
      <c r="AD1302" s="881" t="s">
        <v>4573</v>
      </c>
      <c r="AE1302" s="881" t="s">
        <v>3324</v>
      </c>
      <c r="AF1302" s="882">
        <f>$S$1*P!AF1302</f>
        <v>80.591999999999999</v>
      </c>
    </row>
    <row r="1303" spans="19:32" x14ac:dyDescent="0.35">
      <c r="S1303" s="782">
        <v>1299</v>
      </c>
      <c r="T1303" s="782" t="s">
        <v>4284</v>
      </c>
      <c r="U1303" s="782" t="s">
        <v>4737</v>
      </c>
      <c r="V1303" s="797">
        <f>$S$1*P!V1303</f>
        <v>3.8044354838709681E-2</v>
      </c>
      <c r="W1303" s="780"/>
      <c r="X1303" s="782">
        <v>1299</v>
      </c>
      <c r="Y1303" s="782" t="s">
        <v>2248</v>
      </c>
      <c r="Z1303" s="782" t="s">
        <v>4946</v>
      </c>
      <c r="AA1303" s="781">
        <f>$S$1*P!AA1303</f>
        <v>1.038508064516129E-2</v>
      </c>
      <c r="AB1303" s="780"/>
      <c r="AC1303" s="881">
        <v>1299</v>
      </c>
      <c r="AD1303" s="881" t="s">
        <v>4573</v>
      </c>
      <c r="AE1303" s="881" t="s">
        <v>3323</v>
      </c>
      <c r="AF1303" s="882">
        <f>$S$1*P!AF1303</f>
        <v>4.9128000000000002E-3</v>
      </c>
    </row>
    <row r="1304" spans="19:32" x14ac:dyDescent="0.35">
      <c r="S1304" s="881">
        <v>1300</v>
      </c>
      <c r="T1304" s="881" t="s">
        <v>4284</v>
      </c>
      <c r="U1304" s="881" t="s">
        <v>3370</v>
      </c>
      <c r="V1304" s="883">
        <f>$S$1*P!V1304</f>
        <v>0</v>
      </c>
      <c r="W1304" s="780"/>
      <c r="X1304" s="782">
        <v>1300</v>
      </c>
      <c r="Y1304" s="782" t="s">
        <v>2248</v>
      </c>
      <c r="Z1304" s="782" t="s">
        <v>5437</v>
      </c>
      <c r="AA1304" s="781">
        <f>$S$1*P!AA1304</f>
        <v>3.5302419354838713E-3</v>
      </c>
      <c r="AB1304" s="780"/>
      <c r="AC1304" s="881">
        <v>1300</v>
      </c>
      <c r="AD1304" s="881" t="s">
        <v>4573</v>
      </c>
      <c r="AE1304" s="881" t="s">
        <v>3322</v>
      </c>
      <c r="AF1304" s="882">
        <f>$S$1*P!AF1304</f>
        <v>0.31556000000000001</v>
      </c>
    </row>
    <row r="1305" spans="19:32" x14ac:dyDescent="0.35">
      <c r="S1305" s="782">
        <v>1301</v>
      </c>
      <c r="T1305" s="782" t="s">
        <v>4284</v>
      </c>
      <c r="U1305" s="782" t="s">
        <v>4736</v>
      </c>
      <c r="V1305" s="797">
        <f>$S$1*P!V1305</f>
        <v>4.2157258064516132E-2</v>
      </c>
      <c r="W1305" s="780"/>
      <c r="X1305" s="782">
        <v>1301</v>
      </c>
      <c r="Y1305" s="782" t="s">
        <v>2248</v>
      </c>
      <c r="Z1305" s="782" t="s">
        <v>3447</v>
      </c>
      <c r="AA1305" s="781">
        <f>$S$1*P!AA1305</f>
        <v>6.992</v>
      </c>
      <c r="AB1305" s="780"/>
      <c r="AC1305" s="881">
        <v>1301</v>
      </c>
      <c r="AD1305" s="881" t="s">
        <v>4573</v>
      </c>
      <c r="AE1305" s="881" t="s">
        <v>3321</v>
      </c>
      <c r="AF1305" s="882">
        <f>$S$1*P!AF1305</f>
        <v>3.7016129032258066E-3</v>
      </c>
    </row>
    <row r="1306" spans="19:32" x14ac:dyDescent="0.35">
      <c r="S1306" s="782">
        <v>1302</v>
      </c>
      <c r="T1306" s="782" t="s">
        <v>4284</v>
      </c>
      <c r="U1306" s="782" t="s">
        <v>4735</v>
      </c>
      <c r="V1306" s="797">
        <f>$S$1*P!V1306</f>
        <v>2.848185483870968E-5</v>
      </c>
      <c r="W1306" s="780"/>
      <c r="X1306" s="782">
        <v>1302</v>
      </c>
      <c r="Y1306" s="782" t="s">
        <v>2248</v>
      </c>
      <c r="Z1306" s="782" t="s">
        <v>4943</v>
      </c>
      <c r="AA1306" s="781">
        <f>$S$1*P!AA1306</f>
        <v>0.88427419354838721</v>
      </c>
      <c r="AB1306" s="780"/>
      <c r="AC1306" s="881">
        <v>1302</v>
      </c>
      <c r="AD1306" s="881" t="s">
        <v>4573</v>
      </c>
      <c r="AE1306" s="881" t="s">
        <v>3321</v>
      </c>
      <c r="AF1306" s="882">
        <f>$S$1*P!AF1306</f>
        <v>0.49495999999999996</v>
      </c>
    </row>
    <row r="1307" spans="19:32" x14ac:dyDescent="0.35">
      <c r="S1307" s="782">
        <v>1303</v>
      </c>
      <c r="T1307" s="782" t="s">
        <v>4284</v>
      </c>
      <c r="U1307" s="782" t="s">
        <v>3369</v>
      </c>
      <c r="V1307" s="797">
        <f>$S$1*P!V1307</f>
        <v>1.6485887096774196E-3</v>
      </c>
      <c r="W1307" s="780"/>
      <c r="X1307" s="782">
        <v>1303</v>
      </c>
      <c r="Y1307" s="782" t="s">
        <v>2248</v>
      </c>
      <c r="Z1307" s="782" t="s">
        <v>3689</v>
      </c>
      <c r="AA1307" s="781">
        <f>$S$1*P!AA1307</f>
        <v>0.20427419354838711</v>
      </c>
      <c r="AB1307" s="780"/>
      <c r="AC1307" s="881">
        <v>1303</v>
      </c>
      <c r="AD1307" s="881" t="s">
        <v>4573</v>
      </c>
      <c r="AE1307" s="881" t="s">
        <v>4623</v>
      </c>
      <c r="AF1307" s="882">
        <f>$S$1*P!AF1307</f>
        <v>2.3889112903225809</v>
      </c>
    </row>
    <row r="1308" spans="19:32" x14ac:dyDescent="0.35">
      <c r="S1308" s="881">
        <v>1304</v>
      </c>
      <c r="T1308" s="881" t="s">
        <v>4284</v>
      </c>
      <c r="U1308" s="881" t="s">
        <v>3369</v>
      </c>
      <c r="V1308" s="883">
        <f>$S$1*P!V1308</f>
        <v>2.0056000000000001E-2</v>
      </c>
      <c r="W1308" s="780"/>
      <c r="X1308" s="782">
        <v>1304</v>
      </c>
      <c r="Y1308" s="782" t="s">
        <v>2248</v>
      </c>
      <c r="Z1308" s="782" t="s">
        <v>3446</v>
      </c>
      <c r="AA1308" s="781">
        <f>$S$1*P!AA1308</f>
        <v>0</v>
      </c>
      <c r="AB1308" s="780"/>
      <c r="AC1308" s="881">
        <v>1304</v>
      </c>
      <c r="AD1308" s="881" t="s">
        <v>4573</v>
      </c>
      <c r="AE1308" s="881" t="s">
        <v>3320</v>
      </c>
      <c r="AF1308" s="882">
        <f>$S$1*P!AF1308</f>
        <v>0</v>
      </c>
    </row>
    <row r="1309" spans="19:32" x14ac:dyDescent="0.35">
      <c r="S1309" s="782">
        <v>1305</v>
      </c>
      <c r="T1309" s="782" t="s">
        <v>4284</v>
      </c>
      <c r="U1309" s="782" t="s">
        <v>3368</v>
      </c>
      <c r="V1309" s="797">
        <f>$S$1*P!V1309</f>
        <v>2.3786290322580649E-4</v>
      </c>
      <c r="W1309" s="780"/>
      <c r="X1309" s="782">
        <v>1305</v>
      </c>
      <c r="Y1309" s="782" t="s">
        <v>2248</v>
      </c>
      <c r="Z1309" s="782" t="s">
        <v>3446</v>
      </c>
      <c r="AA1309" s="781">
        <f>$S$1*P!AA1309</f>
        <v>0.24129032258064517</v>
      </c>
      <c r="AB1309" s="780"/>
      <c r="AC1309" s="881">
        <v>1305</v>
      </c>
      <c r="AD1309" s="881" t="s">
        <v>4573</v>
      </c>
      <c r="AE1309" s="881" t="s">
        <v>4622</v>
      </c>
      <c r="AF1309" s="882">
        <f>$S$1*P!AF1309</f>
        <v>2.3340725806451613E-2</v>
      </c>
    </row>
    <row r="1310" spans="19:32" x14ac:dyDescent="0.35">
      <c r="S1310" s="881">
        <v>1306</v>
      </c>
      <c r="T1310" s="881" t="s">
        <v>4284</v>
      </c>
      <c r="U1310" s="881" t="s">
        <v>3368</v>
      </c>
      <c r="V1310" s="883">
        <f>$S$1*P!V1310</f>
        <v>0</v>
      </c>
      <c r="W1310" s="780"/>
      <c r="X1310" s="782">
        <v>1306</v>
      </c>
      <c r="Y1310" s="782" t="s">
        <v>2248</v>
      </c>
      <c r="Z1310" s="782" t="s">
        <v>4937</v>
      </c>
      <c r="AA1310" s="781">
        <f>$S$1*P!AA1310</f>
        <v>1.4840725806451613E-4</v>
      </c>
      <c r="AB1310" s="780"/>
      <c r="AC1310" s="782">
        <v>1306</v>
      </c>
      <c r="AD1310" s="782" t="s">
        <v>4573</v>
      </c>
      <c r="AE1310" s="782" t="s">
        <v>3319</v>
      </c>
      <c r="AF1310" s="781">
        <f>$S$1*P!AF1310</f>
        <v>13.058467741935486</v>
      </c>
    </row>
    <row r="1311" spans="19:32" x14ac:dyDescent="0.35">
      <c r="S1311" s="782">
        <v>1307</v>
      </c>
      <c r="T1311" s="782" t="s">
        <v>4284</v>
      </c>
      <c r="U1311" s="782" t="s">
        <v>4734</v>
      </c>
      <c r="V1311" s="797">
        <f>$S$1*P!V1311</f>
        <v>1.1618951612903227E-3</v>
      </c>
      <c r="W1311" s="780"/>
      <c r="X1311" s="782">
        <v>1307</v>
      </c>
      <c r="Y1311" s="782" t="s">
        <v>2248</v>
      </c>
      <c r="Z1311" s="782" t="s">
        <v>5436</v>
      </c>
      <c r="AA1311" s="781">
        <f>$S$1*P!AA1311</f>
        <v>4.0786290322580646E-3</v>
      </c>
      <c r="AB1311" s="780"/>
      <c r="AC1311" s="881">
        <v>1307</v>
      </c>
      <c r="AD1311" s="881" t="s">
        <v>4573</v>
      </c>
      <c r="AE1311" s="881" t="s">
        <v>3319</v>
      </c>
      <c r="AF1311" s="882">
        <f>$S$1*P!AF1311</f>
        <v>2.3367999999999998</v>
      </c>
    </row>
    <row r="1312" spans="19:32" x14ac:dyDescent="0.35">
      <c r="S1312" s="782">
        <v>1308</v>
      </c>
      <c r="T1312" s="782" t="s">
        <v>4284</v>
      </c>
      <c r="U1312" s="782" t="s">
        <v>3367</v>
      </c>
      <c r="V1312" s="797">
        <f>$S$1*P!V1312</f>
        <v>1.1858870967741937E-4</v>
      </c>
      <c r="W1312" s="780"/>
      <c r="X1312" s="782">
        <v>1308</v>
      </c>
      <c r="Y1312" s="782" t="s">
        <v>2248</v>
      </c>
      <c r="Z1312" s="782" t="s">
        <v>3444</v>
      </c>
      <c r="AA1312" s="781">
        <f>$S$1*P!AA1312</f>
        <v>0.36615999999999999</v>
      </c>
      <c r="AB1312" s="780"/>
      <c r="AC1312" s="881">
        <v>1308</v>
      </c>
      <c r="AD1312" s="881" t="s">
        <v>4573</v>
      </c>
      <c r="AE1312" s="881" t="s">
        <v>4621</v>
      </c>
      <c r="AF1312" s="882">
        <f>$S$1*P!AF1312</f>
        <v>4.969758064516129</v>
      </c>
    </row>
    <row r="1313" spans="19:32" x14ac:dyDescent="0.35">
      <c r="S1313" s="881">
        <v>1309</v>
      </c>
      <c r="T1313" s="881" t="s">
        <v>4284</v>
      </c>
      <c r="U1313" s="881" t="s">
        <v>3367</v>
      </c>
      <c r="V1313" s="883">
        <f>$S$1*P!V1313</f>
        <v>0.47564000000000001</v>
      </c>
      <c r="W1313" s="780"/>
      <c r="X1313" s="782">
        <v>1309</v>
      </c>
      <c r="Y1313" s="782" t="s">
        <v>2248</v>
      </c>
      <c r="Z1313" s="782" t="s">
        <v>3444</v>
      </c>
      <c r="AA1313" s="781">
        <f>$S$1*P!AA1313</f>
        <v>6.4435483870967751E-3</v>
      </c>
      <c r="AB1313" s="780"/>
      <c r="AC1313" s="782">
        <v>1309</v>
      </c>
      <c r="AD1313" s="782" t="s">
        <v>4573</v>
      </c>
      <c r="AE1313" s="782" t="s">
        <v>3318</v>
      </c>
      <c r="AF1313" s="781">
        <f>$S$1*P!AF1313</f>
        <v>6.4092741935483878E-3</v>
      </c>
    </row>
    <row r="1314" spans="19:32" x14ac:dyDescent="0.35">
      <c r="S1314" s="782">
        <v>1310</v>
      </c>
      <c r="T1314" s="782" t="s">
        <v>4284</v>
      </c>
      <c r="U1314" s="782" t="s">
        <v>4732</v>
      </c>
      <c r="V1314" s="797">
        <f>$S$1*P!V1314</f>
        <v>3.3691532258064522E-4</v>
      </c>
      <c r="W1314" s="780"/>
      <c r="X1314" s="782">
        <v>1310</v>
      </c>
      <c r="Y1314" s="782" t="s">
        <v>2248</v>
      </c>
      <c r="Z1314" s="782" t="s">
        <v>5435</v>
      </c>
      <c r="AA1314" s="781">
        <f>$S$1*P!AA1314</f>
        <v>5.8266129032258068E-3</v>
      </c>
      <c r="AB1314" s="780"/>
      <c r="AC1314" s="881">
        <v>1310</v>
      </c>
      <c r="AD1314" s="881" t="s">
        <v>4573</v>
      </c>
      <c r="AE1314" s="881" t="s">
        <v>3318</v>
      </c>
      <c r="AF1314" s="882">
        <f>$S$1*P!AF1314</f>
        <v>0</v>
      </c>
    </row>
    <row r="1315" spans="19:32" x14ac:dyDescent="0.35">
      <c r="S1315" s="782">
        <v>1311</v>
      </c>
      <c r="T1315" s="782" t="s">
        <v>4284</v>
      </c>
      <c r="U1315" s="782" t="s">
        <v>4731</v>
      </c>
      <c r="V1315" s="797">
        <f>$S$1*P!V1315</f>
        <v>6.4435483870967751E-3</v>
      </c>
      <c r="W1315" s="780"/>
      <c r="X1315" s="782">
        <v>1311</v>
      </c>
      <c r="Y1315" s="782" t="s">
        <v>2248</v>
      </c>
      <c r="Z1315" s="782" t="s">
        <v>3443</v>
      </c>
      <c r="AA1315" s="781">
        <f>$S$1*P!AA1315</f>
        <v>0</v>
      </c>
      <c r="AB1315" s="780"/>
      <c r="AC1315" s="881">
        <v>1311</v>
      </c>
      <c r="AD1315" s="881" t="s">
        <v>4573</v>
      </c>
      <c r="AE1315" s="881" t="s">
        <v>4620</v>
      </c>
      <c r="AF1315" s="882">
        <f>$S$1*P!AF1315</f>
        <v>3.1360887096774197E-3</v>
      </c>
    </row>
    <row r="1316" spans="19:32" x14ac:dyDescent="0.35">
      <c r="S1316" s="782">
        <v>1312</v>
      </c>
      <c r="T1316" s="782" t="s">
        <v>4284</v>
      </c>
      <c r="U1316" s="782" t="s">
        <v>4730</v>
      </c>
      <c r="V1316" s="797">
        <f>$S$1*P!V1316</f>
        <v>7.9516129032258066E-5</v>
      </c>
      <c r="W1316" s="780"/>
      <c r="X1316" s="782">
        <v>1312</v>
      </c>
      <c r="Y1316" s="782" t="s">
        <v>2248</v>
      </c>
      <c r="Z1316" s="782" t="s">
        <v>4936</v>
      </c>
      <c r="AA1316" s="781">
        <f>$S$1*P!AA1316</f>
        <v>1.1310483870967742E-2</v>
      </c>
      <c r="AB1316" s="780"/>
      <c r="AC1316" s="881">
        <v>1312</v>
      </c>
      <c r="AD1316" s="881" t="s">
        <v>4573</v>
      </c>
      <c r="AE1316" s="881" t="s">
        <v>3317</v>
      </c>
      <c r="AF1316" s="882">
        <f>$S$1*P!AF1316</f>
        <v>185.84</v>
      </c>
    </row>
    <row r="1317" spans="19:32" x14ac:dyDescent="0.35">
      <c r="S1317" s="782">
        <v>1313</v>
      </c>
      <c r="T1317" s="782" t="s">
        <v>4284</v>
      </c>
      <c r="U1317" s="782" t="s">
        <v>3366</v>
      </c>
      <c r="V1317" s="797">
        <f>$S$1*P!V1317</f>
        <v>9.0826612903225815E-2</v>
      </c>
      <c r="W1317" s="780"/>
      <c r="X1317" s="782">
        <v>1313</v>
      </c>
      <c r="Y1317" s="782" t="s">
        <v>2248</v>
      </c>
      <c r="Z1317" s="782" t="s">
        <v>5434</v>
      </c>
      <c r="AA1317" s="781">
        <f>$S$1*P!AA1317</f>
        <v>5.5181451612903226E-3</v>
      </c>
      <c r="AB1317" s="780"/>
      <c r="AC1317" s="881">
        <v>1313</v>
      </c>
      <c r="AD1317" s="881" t="s">
        <v>4573</v>
      </c>
      <c r="AE1317" s="881" t="s">
        <v>3316</v>
      </c>
      <c r="AF1317" s="882">
        <f>$S$1*P!AF1317</f>
        <v>7.3783999999999992</v>
      </c>
    </row>
    <row r="1318" spans="19:32" x14ac:dyDescent="0.35">
      <c r="S1318" s="881">
        <v>1314</v>
      </c>
      <c r="T1318" s="881" t="s">
        <v>4284</v>
      </c>
      <c r="U1318" s="881" t="s">
        <v>3366</v>
      </c>
      <c r="V1318" s="883">
        <f>$S$1*P!V1318</f>
        <v>0</v>
      </c>
      <c r="W1318" s="780"/>
      <c r="X1318" s="782">
        <v>1314</v>
      </c>
      <c r="Y1318" s="782" t="s">
        <v>2248</v>
      </c>
      <c r="Z1318" s="782" t="s">
        <v>3442</v>
      </c>
      <c r="AA1318" s="781">
        <f>$S$1*P!AA1318</f>
        <v>264.95999999999998</v>
      </c>
      <c r="AB1318" s="780"/>
      <c r="AC1318" s="881">
        <v>1314</v>
      </c>
      <c r="AD1318" s="881" t="s">
        <v>4573</v>
      </c>
      <c r="AE1318" s="881" t="s">
        <v>3315</v>
      </c>
      <c r="AF1318" s="882">
        <f>$S$1*P!AF1318</f>
        <v>131.56</v>
      </c>
    </row>
    <row r="1319" spans="19:32" x14ac:dyDescent="0.35">
      <c r="S1319" s="782">
        <v>1315</v>
      </c>
      <c r="T1319" s="782" t="s">
        <v>4284</v>
      </c>
      <c r="U1319" s="782" t="s">
        <v>4729</v>
      </c>
      <c r="V1319" s="797">
        <f>$S$1*P!V1319</f>
        <v>1.0453629032258066E-3</v>
      </c>
      <c r="W1319" s="863"/>
      <c r="X1319" s="782">
        <v>1315</v>
      </c>
      <c r="Y1319" s="782" t="s">
        <v>2248</v>
      </c>
      <c r="Z1319" s="782" t="s">
        <v>4934</v>
      </c>
      <c r="AA1319" s="781">
        <f>$S$1*P!AA1319</f>
        <v>0.5346774193548387</v>
      </c>
      <c r="AB1319" s="780"/>
      <c r="AC1319" s="881">
        <v>1315</v>
      </c>
      <c r="AD1319" s="881" t="s">
        <v>4573</v>
      </c>
      <c r="AE1319" s="881" t="s">
        <v>3313</v>
      </c>
      <c r="AF1319" s="882">
        <f>$S$1*P!AF1319</f>
        <v>97.52</v>
      </c>
    </row>
    <row r="1320" spans="19:32" x14ac:dyDescent="0.35">
      <c r="S1320" s="881">
        <v>1316</v>
      </c>
      <c r="T1320" s="881" t="s">
        <v>4284</v>
      </c>
      <c r="U1320" s="881" t="s">
        <v>3364</v>
      </c>
      <c r="V1320" s="883">
        <f>$S$1*P!V1320</f>
        <v>0</v>
      </c>
      <c r="W1320" s="863"/>
      <c r="X1320" s="782">
        <v>1316</v>
      </c>
      <c r="Y1320" s="782" t="s">
        <v>2248</v>
      </c>
      <c r="Z1320" s="782" t="s">
        <v>4931</v>
      </c>
      <c r="AA1320" s="781">
        <f>$S$1*P!AA1320</f>
        <v>2.9989919354838713E-4</v>
      </c>
      <c r="AB1320" s="780"/>
      <c r="AC1320" s="881">
        <v>1316</v>
      </c>
      <c r="AD1320" s="881" t="s">
        <v>4573</v>
      </c>
      <c r="AE1320" s="881" t="s">
        <v>3312</v>
      </c>
      <c r="AF1320" s="882">
        <f>$S$1*P!AF1320</f>
        <v>0.74887999999999999</v>
      </c>
    </row>
    <row r="1321" spans="19:32" x14ac:dyDescent="0.35">
      <c r="S1321" s="782">
        <v>1317</v>
      </c>
      <c r="T1321" s="782" t="s">
        <v>4284</v>
      </c>
      <c r="U1321" s="782" t="s">
        <v>3363</v>
      </c>
      <c r="V1321" s="797">
        <f>$S$1*P!V1321</f>
        <v>0.18028225806451614</v>
      </c>
      <c r="W1321" s="863"/>
      <c r="X1321" s="782">
        <v>1317</v>
      </c>
      <c r="Y1321" s="782" t="s">
        <v>2248</v>
      </c>
      <c r="Z1321" s="782" t="s">
        <v>5433</v>
      </c>
      <c r="AA1321" s="781">
        <f>$S$1*P!AA1321</f>
        <v>1.0659274193548387E-5</v>
      </c>
      <c r="AB1321" s="780"/>
      <c r="AC1321" s="782">
        <v>1317</v>
      </c>
      <c r="AD1321" s="782" t="s">
        <v>4573</v>
      </c>
      <c r="AE1321" s="782" t="s">
        <v>4619</v>
      </c>
      <c r="AF1321" s="781">
        <f>$S$1*P!AF1321</f>
        <v>1.3195564516129032</v>
      </c>
    </row>
    <row r="1322" spans="19:32" x14ac:dyDescent="0.35">
      <c r="S1322" s="881">
        <v>1318</v>
      </c>
      <c r="T1322" s="881" t="s">
        <v>4284</v>
      </c>
      <c r="U1322" s="881" t="s">
        <v>3363</v>
      </c>
      <c r="V1322" s="883">
        <f>$S$1*P!V1322</f>
        <v>57.04</v>
      </c>
      <c r="W1322" s="780"/>
      <c r="X1322" s="782">
        <v>1318</v>
      </c>
      <c r="Y1322" s="782" t="s">
        <v>2248</v>
      </c>
      <c r="Z1322" s="782" t="s">
        <v>4930</v>
      </c>
      <c r="AA1322" s="781">
        <f>$S$1*P!AA1322</f>
        <v>1.1893145161290324E-3</v>
      </c>
      <c r="AB1322" s="780"/>
      <c r="AC1322" s="881">
        <v>1318</v>
      </c>
      <c r="AD1322" s="881" t="s">
        <v>4573</v>
      </c>
      <c r="AE1322" s="881" t="s">
        <v>4618</v>
      </c>
      <c r="AF1322" s="882">
        <f>$S$1*P!AF1322</f>
        <v>1.2407258064516132E-3</v>
      </c>
    </row>
    <row r="1323" spans="19:32" x14ac:dyDescent="0.35">
      <c r="S1323" s="782">
        <v>1319</v>
      </c>
      <c r="T1323" s="782" t="s">
        <v>4284</v>
      </c>
      <c r="U1323" s="782" t="s">
        <v>4728</v>
      </c>
      <c r="V1323" s="797">
        <f>$S$1*P!V1323</f>
        <v>0.63407258064516137</v>
      </c>
      <c r="W1323" s="780"/>
      <c r="X1323" s="782">
        <v>1319</v>
      </c>
      <c r="Y1323" s="782" t="s">
        <v>2248</v>
      </c>
      <c r="Z1323" s="782" t="s">
        <v>4929</v>
      </c>
      <c r="AA1323" s="781">
        <f>$S$1*P!AA1323</f>
        <v>2.6733870967741939E-3</v>
      </c>
      <c r="AB1323" s="780"/>
      <c r="AC1323" s="881">
        <v>1319</v>
      </c>
      <c r="AD1323" s="881" t="s">
        <v>4573</v>
      </c>
      <c r="AE1323" s="881" t="s">
        <v>3310</v>
      </c>
      <c r="AF1323" s="882">
        <f>$S$1*P!AF1323</f>
        <v>0.48208000000000001</v>
      </c>
    </row>
    <row r="1324" spans="19:32" x14ac:dyDescent="0.35">
      <c r="S1324" s="881">
        <v>1320</v>
      </c>
      <c r="T1324" s="881" t="s">
        <v>4284</v>
      </c>
      <c r="U1324" s="881" t="s">
        <v>3361</v>
      </c>
      <c r="V1324" s="883">
        <f>$S$1*P!V1324</f>
        <v>0</v>
      </c>
      <c r="W1324" s="780"/>
      <c r="X1324" s="782">
        <v>1320</v>
      </c>
      <c r="Y1324" s="782" t="s">
        <v>2248</v>
      </c>
      <c r="Z1324" s="782" t="s">
        <v>5432</v>
      </c>
      <c r="AA1324" s="781">
        <f>$S$1*P!AA1324</f>
        <v>2.2415322580645162E-2</v>
      </c>
      <c r="AB1324" s="780"/>
      <c r="AC1324" s="881">
        <v>1320</v>
      </c>
      <c r="AD1324" s="881" t="s">
        <v>4573</v>
      </c>
      <c r="AE1324" s="881" t="s">
        <v>4617</v>
      </c>
      <c r="AF1324" s="882">
        <f>$S$1*P!AF1324</f>
        <v>0.35987903225806456</v>
      </c>
    </row>
    <row r="1325" spans="19:32" x14ac:dyDescent="0.35">
      <c r="S1325" s="782">
        <v>1321</v>
      </c>
      <c r="T1325" s="782" t="s">
        <v>4284</v>
      </c>
      <c r="U1325" s="782" t="s">
        <v>4727</v>
      </c>
      <c r="V1325" s="797">
        <f>$S$1*P!V1325</f>
        <v>70.262096774193552</v>
      </c>
      <c r="W1325" s="780"/>
      <c r="X1325" s="782">
        <v>1321</v>
      </c>
      <c r="Y1325" s="782" t="s">
        <v>2248</v>
      </c>
      <c r="Z1325" s="782" t="s">
        <v>3441</v>
      </c>
      <c r="AA1325" s="781">
        <f>$S$1*P!AA1325</f>
        <v>0.79027999999999998</v>
      </c>
      <c r="AB1325" s="780"/>
      <c r="AC1325" s="881">
        <v>1321</v>
      </c>
      <c r="AD1325" s="881" t="s">
        <v>4573</v>
      </c>
      <c r="AE1325" s="881" t="s">
        <v>4616</v>
      </c>
      <c r="AF1325" s="882">
        <f>$S$1*P!AF1325</f>
        <v>3.7701612903225808E-3</v>
      </c>
    </row>
    <row r="1326" spans="19:32" x14ac:dyDescent="0.35">
      <c r="S1326" s="881">
        <v>1322</v>
      </c>
      <c r="T1326" s="881" t="s">
        <v>4284</v>
      </c>
      <c r="U1326" s="881" t="s">
        <v>3360</v>
      </c>
      <c r="V1326" s="883">
        <f>$S$1*P!V1326</f>
        <v>0.60996000000000006</v>
      </c>
      <c r="W1326" s="780"/>
      <c r="X1326" s="782">
        <v>1322</v>
      </c>
      <c r="Y1326" s="782" t="s">
        <v>2248</v>
      </c>
      <c r="Z1326" s="782" t="s">
        <v>3439</v>
      </c>
      <c r="AA1326" s="781">
        <f>$S$1*P!AA1326</f>
        <v>0</v>
      </c>
      <c r="AB1326" s="780"/>
      <c r="AC1326" s="881">
        <v>1322</v>
      </c>
      <c r="AD1326" s="881" t="s">
        <v>4573</v>
      </c>
      <c r="AE1326" s="881" t="s">
        <v>3309</v>
      </c>
      <c r="AF1326" s="882">
        <f>$S$1*P!AF1326</f>
        <v>0</v>
      </c>
    </row>
    <row r="1327" spans="19:32" x14ac:dyDescent="0.35">
      <c r="S1327" s="782">
        <v>1323</v>
      </c>
      <c r="T1327" s="782" t="s">
        <v>4284</v>
      </c>
      <c r="U1327" s="782" t="s">
        <v>4726</v>
      </c>
      <c r="V1327" s="797">
        <f>$S$1*P!V1327</f>
        <v>1.3812500000000001E-4</v>
      </c>
      <c r="W1327" s="780"/>
      <c r="X1327" s="782">
        <v>1323</v>
      </c>
      <c r="Y1327" s="782" t="s">
        <v>2248</v>
      </c>
      <c r="Z1327" s="782" t="s">
        <v>5431</v>
      </c>
      <c r="AA1327" s="781">
        <f>$S$1*P!AA1327</f>
        <v>7.0604838709677423E-5</v>
      </c>
      <c r="AB1327" s="780"/>
      <c r="AC1327" s="881">
        <v>1323</v>
      </c>
      <c r="AD1327" s="881" t="s">
        <v>4573</v>
      </c>
      <c r="AE1327" s="881" t="s">
        <v>4615</v>
      </c>
      <c r="AF1327" s="882">
        <f>$S$1*P!AF1327</f>
        <v>5.3125000000000006E-2</v>
      </c>
    </row>
    <row r="1328" spans="19:32" x14ac:dyDescent="0.35">
      <c r="S1328" s="782">
        <v>1324</v>
      </c>
      <c r="T1328" s="782" t="s">
        <v>4284</v>
      </c>
      <c r="U1328" s="782" t="s">
        <v>3359</v>
      </c>
      <c r="V1328" s="797">
        <f>$S$1*P!V1328</f>
        <v>2.1627016129032259E-3</v>
      </c>
      <c r="W1328" s="780"/>
      <c r="X1328" s="782">
        <v>1324</v>
      </c>
      <c r="Y1328" s="782" t="s">
        <v>2248</v>
      </c>
      <c r="Z1328" s="782" t="s">
        <v>3438</v>
      </c>
      <c r="AA1328" s="781">
        <f>$S$1*P!AA1328</f>
        <v>0</v>
      </c>
      <c r="AB1328" s="780"/>
      <c r="AC1328" s="782">
        <v>1324</v>
      </c>
      <c r="AD1328" s="782" t="s">
        <v>4573</v>
      </c>
      <c r="AE1328" s="782" t="s">
        <v>4614</v>
      </c>
      <c r="AF1328" s="781">
        <f>$S$1*P!AF1328</f>
        <v>3.9072580645161295E-2</v>
      </c>
    </row>
    <row r="1329" spans="19:32" x14ac:dyDescent="0.35">
      <c r="S1329" s="881">
        <v>1325</v>
      </c>
      <c r="T1329" s="881" t="s">
        <v>4284</v>
      </c>
      <c r="U1329" s="881" t="s">
        <v>3359</v>
      </c>
      <c r="V1329" s="883">
        <f>$S$1*P!V1329</f>
        <v>0</v>
      </c>
      <c r="W1329" s="780"/>
      <c r="X1329" s="782">
        <v>1325</v>
      </c>
      <c r="Y1329" s="782" t="s">
        <v>2248</v>
      </c>
      <c r="Z1329" s="782" t="s">
        <v>3438</v>
      </c>
      <c r="AA1329" s="781">
        <f>$S$1*P!AA1329</f>
        <v>0.53810483870967751</v>
      </c>
      <c r="AB1329" s="780"/>
      <c r="AC1329" s="881">
        <v>1325</v>
      </c>
      <c r="AD1329" s="881" t="s">
        <v>4573</v>
      </c>
      <c r="AE1329" s="881" t="s">
        <v>4613</v>
      </c>
      <c r="AF1329" s="882">
        <f>$S$1*P!AF1329</f>
        <v>2.7933467741935486E-3</v>
      </c>
    </row>
    <row r="1330" spans="19:32" x14ac:dyDescent="0.35">
      <c r="S1330" s="782">
        <v>1326</v>
      </c>
      <c r="T1330" s="782" t="s">
        <v>4284</v>
      </c>
      <c r="U1330" s="782" t="s">
        <v>4725</v>
      </c>
      <c r="V1330" s="797">
        <f>$S$1*P!V1330</f>
        <v>0.15629032258064518</v>
      </c>
      <c r="W1330" s="780"/>
      <c r="X1330" s="782">
        <v>1326</v>
      </c>
      <c r="Y1330" s="782" t="s">
        <v>2248</v>
      </c>
      <c r="Z1330" s="782" t="s">
        <v>4928</v>
      </c>
      <c r="AA1330" s="781">
        <f>$S$1*P!AA1330</f>
        <v>4.2500000000000003E-4</v>
      </c>
      <c r="AB1330" s="780"/>
      <c r="AC1330" s="782">
        <v>1326</v>
      </c>
      <c r="AD1330" s="782" t="s">
        <v>4573</v>
      </c>
      <c r="AE1330" s="782" t="s">
        <v>4612</v>
      </c>
      <c r="AF1330" s="781">
        <f>$S$1*P!AF1330</f>
        <v>1.3435483870967743E-3</v>
      </c>
    </row>
    <row r="1331" spans="19:32" x14ac:dyDescent="0.35">
      <c r="S1331" s="782">
        <v>1327</v>
      </c>
      <c r="T1331" s="782" t="s">
        <v>4284</v>
      </c>
      <c r="U1331" s="782" t="s">
        <v>4724</v>
      </c>
      <c r="V1331" s="797">
        <f>$S$1*P!V1331</f>
        <v>1.3538306451612904E-8</v>
      </c>
      <c r="W1331" s="780"/>
      <c r="X1331" s="782">
        <v>1327</v>
      </c>
      <c r="Y1331" s="782" t="s">
        <v>2248</v>
      </c>
      <c r="Z1331" s="782" t="s">
        <v>5430</v>
      </c>
      <c r="AA1331" s="781">
        <f>$S$1*P!AA1331</f>
        <v>6.5120967741935491E-4</v>
      </c>
      <c r="AB1331" s="780"/>
      <c r="AC1331" s="881">
        <v>1327</v>
      </c>
      <c r="AD1331" s="881" t="s">
        <v>4573</v>
      </c>
      <c r="AE1331" s="881" t="s">
        <v>4611</v>
      </c>
      <c r="AF1331" s="882">
        <f>$S$1*P!AF1331</f>
        <v>3.307459677419355E-3</v>
      </c>
    </row>
    <row r="1332" spans="19:32" x14ac:dyDescent="0.35">
      <c r="S1332" s="782">
        <v>1328</v>
      </c>
      <c r="T1332" s="782" t="s">
        <v>4284</v>
      </c>
      <c r="U1332" s="782" t="s">
        <v>4723</v>
      </c>
      <c r="V1332" s="797">
        <f>$S$1*P!V1332</f>
        <v>9.5625000000000016E-7</v>
      </c>
      <c r="W1332" s="780"/>
      <c r="X1332" s="782">
        <v>1328</v>
      </c>
      <c r="Y1332" s="782" t="s">
        <v>2248</v>
      </c>
      <c r="Z1332" s="782" t="s">
        <v>4927</v>
      </c>
      <c r="AA1332" s="781">
        <f>$S$1*P!AA1332</f>
        <v>4.2842741935483875E-2</v>
      </c>
      <c r="AB1332" s="780"/>
      <c r="AC1332" s="881">
        <v>1328</v>
      </c>
      <c r="AD1332" s="881" t="s">
        <v>4573</v>
      </c>
      <c r="AE1332" s="881" t="s">
        <v>3307</v>
      </c>
      <c r="AF1332" s="882">
        <f>$S$1*P!AF1332</f>
        <v>0</v>
      </c>
    </row>
    <row r="1333" spans="19:32" x14ac:dyDescent="0.35">
      <c r="S1333" s="782">
        <v>1329</v>
      </c>
      <c r="T1333" s="782" t="s">
        <v>4284</v>
      </c>
      <c r="U1333" s="782" t="s">
        <v>4722</v>
      </c>
      <c r="V1333" s="797">
        <f>$S$1*P!V1333</f>
        <v>8.8427419354838711E-8</v>
      </c>
      <c r="W1333" s="780"/>
      <c r="X1333" s="782">
        <v>1329</v>
      </c>
      <c r="Y1333" s="782" t="s">
        <v>2248</v>
      </c>
      <c r="Z1333" s="782" t="s">
        <v>4926</v>
      </c>
      <c r="AA1333" s="781">
        <f>$S$1*P!AA1333</f>
        <v>8.1572580645161295E-4</v>
      </c>
      <c r="AB1333" s="780"/>
      <c r="AC1333" s="881">
        <v>1329</v>
      </c>
      <c r="AD1333" s="881" t="s">
        <v>4573</v>
      </c>
      <c r="AE1333" s="881" t="s">
        <v>3306</v>
      </c>
      <c r="AF1333" s="882">
        <f>$S$1*P!AF1333</f>
        <v>0</v>
      </c>
    </row>
    <row r="1334" spans="19:32" x14ac:dyDescent="0.35">
      <c r="S1334" s="782">
        <v>1330</v>
      </c>
      <c r="T1334" s="782" t="s">
        <v>4284</v>
      </c>
      <c r="U1334" s="782" t="s">
        <v>4721</v>
      </c>
      <c r="V1334" s="797">
        <f>$S$1*P!V1334</f>
        <v>9.7681451612903239E-7</v>
      </c>
      <c r="W1334" s="780"/>
      <c r="X1334" s="782">
        <v>1330</v>
      </c>
      <c r="Y1334" s="782" t="s">
        <v>2248</v>
      </c>
      <c r="Z1334" s="782" t="s">
        <v>5429</v>
      </c>
      <c r="AA1334" s="781">
        <f>$S$1*P!AA1334</f>
        <v>8.0887096774193544E-5</v>
      </c>
      <c r="AB1334" s="780"/>
      <c r="AC1334" s="881">
        <v>1330</v>
      </c>
      <c r="AD1334" s="881" t="s">
        <v>4573</v>
      </c>
      <c r="AE1334" s="881" t="s">
        <v>3305</v>
      </c>
      <c r="AF1334" s="882">
        <f>$S$1*P!AF1334</f>
        <v>0</v>
      </c>
    </row>
    <row r="1335" spans="19:32" x14ac:dyDescent="0.35">
      <c r="S1335" s="782">
        <v>1331</v>
      </c>
      <c r="T1335" s="782" t="s">
        <v>4284</v>
      </c>
      <c r="U1335" s="782" t="s">
        <v>4720</v>
      </c>
      <c r="V1335" s="797">
        <f>$S$1*P!V1335</f>
        <v>0.24985887096774195</v>
      </c>
      <c r="W1335" s="780"/>
      <c r="X1335" s="782">
        <v>1331</v>
      </c>
      <c r="Y1335" s="782" t="s">
        <v>2248</v>
      </c>
      <c r="Z1335" s="782" t="s">
        <v>4925</v>
      </c>
      <c r="AA1335" s="781">
        <f>$S$1*P!AA1335</f>
        <v>4.8326612903225813E-3</v>
      </c>
      <c r="AB1335" s="780"/>
      <c r="AC1335" s="881">
        <v>1331</v>
      </c>
      <c r="AD1335" s="881" t="s">
        <v>4573</v>
      </c>
      <c r="AE1335" s="881" t="s">
        <v>3303</v>
      </c>
      <c r="AF1335" s="882">
        <f>$S$1*P!AF1335</f>
        <v>0</v>
      </c>
    </row>
    <row r="1336" spans="19:32" x14ac:dyDescent="0.35">
      <c r="S1336" s="782">
        <v>1332</v>
      </c>
      <c r="T1336" s="782" t="s">
        <v>4284</v>
      </c>
      <c r="U1336" s="782" t="s">
        <v>3358</v>
      </c>
      <c r="V1336" s="797">
        <f>$S$1*P!V1336</f>
        <v>3.1875000000000004</v>
      </c>
      <c r="W1336" s="780"/>
      <c r="X1336" s="782">
        <v>1332</v>
      </c>
      <c r="Y1336" s="782" t="s">
        <v>2248</v>
      </c>
      <c r="Z1336" s="782" t="s">
        <v>4924</v>
      </c>
      <c r="AA1336" s="781">
        <f>$S$1*P!AA1336</f>
        <v>2.6870967741935484E-2</v>
      </c>
      <c r="AB1336" s="780"/>
      <c r="AC1336" s="881">
        <v>1332</v>
      </c>
      <c r="AD1336" s="881" t="s">
        <v>4573</v>
      </c>
      <c r="AE1336" s="881" t="s">
        <v>3302</v>
      </c>
      <c r="AF1336" s="882">
        <f>$S$1*P!AF1336</f>
        <v>0</v>
      </c>
    </row>
    <row r="1337" spans="19:32" x14ac:dyDescent="0.35">
      <c r="S1337" s="881">
        <v>1333</v>
      </c>
      <c r="T1337" s="881" t="s">
        <v>4284</v>
      </c>
      <c r="U1337" s="881" t="s">
        <v>3358</v>
      </c>
      <c r="V1337" s="883">
        <f>$S$1*P!V1337</f>
        <v>0</v>
      </c>
      <c r="W1337" s="780"/>
      <c r="X1337" s="782">
        <v>1333</v>
      </c>
      <c r="Y1337" s="782" t="s">
        <v>2248</v>
      </c>
      <c r="Z1337" s="782" t="s">
        <v>5428</v>
      </c>
      <c r="AA1337" s="781">
        <f>$S$1*P!AA1337</f>
        <v>1.6451612903225807E-4</v>
      </c>
      <c r="AB1337" s="780"/>
      <c r="AC1337" s="782">
        <v>1333</v>
      </c>
      <c r="AD1337" s="782" t="s">
        <v>4573</v>
      </c>
      <c r="AE1337" s="782" t="s">
        <v>3300</v>
      </c>
      <c r="AF1337" s="781">
        <f>$S$1*P!AF1337</f>
        <v>4.8326612903225812E-2</v>
      </c>
    </row>
    <row r="1338" spans="19:32" x14ac:dyDescent="0.35">
      <c r="S1338" s="782">
        <v>1334</v>
      </c>
      <c r="T1338" s="782" t="s">
        <v>4284</v>
      </c>
      <c r="U1338" s="782" t="s">
        <v>4719</v>
      </c>
      <c r="V1338" s="797">
        <f>$S$1*P!V1338</f>
        <v>2.0256048387096777E-2</v>
      </c>
      <c r="W1338" s="780"/>
      <c r="X1338" s="782">
        <v>1334</v>
      </c>
      <c r="Y1338" s="782" t="s">
        <v>2248</v>
      </c>
      <c r="Z1338" s="782" t="s">
        <v>4923</v>
      </c>
      <c r="AA1338" s="781">
        <f>$S$1*P!AA1338</f>
        <v>4.4899193548387102E-4</v>
      </c>
      <c r="AB1338" s="780"/>
      <c r="AC1338" s="881">
        <v>1334</v>
      </c>
      <c r="AD1338" s="881" t="s">
        <v>4573</v>
      </c>
      <c r="AE1338" s="881" t="s">
        <v>3300</v>
      </c>
      <c r="AF1338" s="882">
        <f>$S$1*P!AF1338</f>
        <v>0</v>
      </c>
    </row>
    <row r="1339" spans="19:32" x14ac:dyDescent="0.35">
      <c r="S1339" s="782">
        <v>1335</v>
      </c>
      <c r="T1339" s="782" t="s">
        <v>4284</v>
      </c>
      <c r="U1339" s="782" t="s">
        <v>4718</v>
      </c>
      <c r="V1339" s="797">
        <f>$S$1*P!V1339</f>
        <v>4.7641129032258069E-2</v>
      </c>
      <c r="W1339" s="780"/>
      <c r="X1339" s="782">
        <v>1335</v>
      </c>
      <c r="Y1339" s="782" t="s">
        <v>2248</v>
      </c>
      <c r="Z1339" s="782" t="s">
        <v>4922</v>
      </c>
      <c r="AA1339" s="781">
        <f>$S$1*P!AA1339</f>
        <v>4.2842741935483875E-2</v>
      </c>
      <c r="AB1339" s="780"/>
      <c r="AC1339" s="881">
        <v>1335</v>
      </c>
      <c r="AD1339" s="881" t="s">
        <v>4573</v>
      </c>
      <c r="AE1339" s="881" t="s">
        <v>4609</v>
      </c>
      <c r="AF1339" s="882">
        <f>$S$1*P!AF1339</f>
        <v>1.3401209677419356E-3</v>
      </c>
    </row>
    <row r="1340" spans="19:32" x14ac:dyDescent="0.35">
      <c r="S1340" s="782">
        <v>1336</v>
      </c>
      <c r="T1340" s="782" t="s">
        <v>4284</v>
      </c>
      <c r="U1340" s="782" t="s">
        <v>4717</v>
      </c>
      <c r="V1340" s="797">
        <f>$S$1*P!V1340</f>
        <v>0.31669354838709679</v>
      </c>
      <c r="W1340" s="780"/>
      <c r="X1340" s="782">
        <v>1336</v>
      </c>
      <c r="Y1340" s="782" t="s">
        <v>2248</v>
      </c>
      <c r="Z1340" s="782" t="s">
        <v>4921</v>
      </c>
      <c r="AA1340" s="781">
        <f>$S$1*P!AA1340</f>
        <v>5.9979838709677422E-5</v>
      </c>
      <c r="AB1340" s="780"/>
      <c r="AC1340" s="881">
        <v>1336</v>
      </c>
      <c r="AD1340" s="881" t="s">
        <v>4573</v>
      </c>
      <c r="AE1340" s="881" t="s">
        <v>4606</v>
      </c>
      <c r="AF1340" s="882">
        <f>$S$1*P!AF1340</f>
        <v>2.340927419354839E-2</v>
      </c>
    </row>
    <row r="1341" spans="19:32" x14ac:dyDescent="0.35">
      <c r="S1341" s="782">
        <v>1337</v>
      </c>
      <c r="T1341" s="782" t="s">
        <v>4284</v>
      </c>
      <c r="U1341" s="782" t="s">
        <v>3357</v>
      </c>
      <c r="V1341" s="797">
        <f>$S$1*P!V1341</f>
        <v>2.2072580645161294E-4</v>
      </c>
      <c r="W1341" s="780"/>
      <c r="X1341" s="782">
        <v>1337</v>
      </c>
      <c r="Y1341" s="782" t="s">
        <v>2248</v>
      </c>
      <c r="Z1341" s="782" t="s">
        <v>5427</v>
      </c>
      <c r="AA1341" s="781">
        <f>$S$1*P!AA1341</f>
        <v>6.5463709677419356E-7</v>
      </c>
      <c r="AB1341" s="780"/>
      <c r="AC1341" s="881">
        <v>1337</v>
      </c>
      <c r="AD1341" s="881" t="s">
        <v>4573</v>
      </c>
      <c r="AE1341" s="881" t="s">
        <v>3299</v>
      </c>
      <c r="AF1341" s="882">
        <f>$S$1*P!AF1341</f>
        <v>14.811999999999998</v>
      </c>
    </row>
    <row r="1342" spans="19:32" x14ac:dyDescent="0.35">
      <c r="S1342" s="881">
        <v>1338</v>
      </c>
      <c r="T1342" s="881" t="s">
        <v>4284</v>
      </c>
      <c r="U1342" s="881" t="s">
        <v>3357</v>
      </c>
      <c r="V1342" s="883">
        <f>$S$1*P!V1342</f>
        <v>0</v>
      </c>
      <c r="W1342" s="780"/>
      <c r="X1342" s="782">
        <v>1338</v>
      </c>
      <c r="Y1342" s="782" t="s">
        <v>2248</v>
      </c>
      <c r="Z1342" s="782" t="s">
        <v>4920</v>
      </c>
      <c r="AA1342" s="781">
        <f>$S$1*P!AA1342</f>
        <v>5.2782258064516135E-4</v>
      </c>
      <c r="AB1342" s="780"/>
      <c r="AC1342" s="881">
        <v>1338</v>
      </c>
      <c r="AD1342" s="881" t="s">
        <v>4573</v>
      </c>
      <c r="AE1342" s="881" t="s">
        <v>3297</v>
      </c>
      <c r="AF1342" s="882">
        <f>$S$1*P!AF1342</f>
        <v>123.28</v>
      </c>
    </row>
    <row r="1343" spans="19:32" x14ac:dyDescent="0.35">
      <c r="S1343" s="881">
        <v>1339</v>
      </c>
      <c r="T1343" s="881" t="s">
        <v>4284</v>
      </c>
      <c r="U1343" s="881" t="s">
        <v>3355</v>
      </c>
      <c r="V1343" s="883">
        <f>$S$1*P!V1343</f>
        <v>14.536000000000001</v>
      </c>
      <c r="W1343" s="780"/>
      <c r="X1343" s="782">
        <v>1339</v>
      </c>
      <c r="Y1343" s="782" t="s">
        <v>2248</v>
      </c>
      <c r="Z1343" s="782" t="s">
        <v>4919</v>
      </c>
      <c r="AA1343" s="781">
        <f>$S$1*P!AA1343</f>
        <v>2.2997983870967746E-5</v>
      </c>
      <c r="AB1343" s="780"/>
      <c r="AC1343" s="881">
        <v>1339</v>
      </c>
      <c r="AD1343" s="881" t="s">
        <v>4573</v>
      </c>
      <c r="AE1343" s="881" t="s">
        <v>4603</v>
      </c>
      <c r="AF1343" s="882">
        <f>$S$1*P!AF1343</f>
        <v>5.2782258064516135E-4</v>
      </c>
    </row>
    <row r="1344" spans="19:32" x14ac:dyDescent="0.35">
      <c r="S1344" s="782">
        <v>1340</v>
      </c>
      <c r="T1344" s="782" t="s">
        <v>4284</v>
      </c>
      <c r="U1344" s="782" t="s">
        <v>4716</v>
      </c>
      <c r="V1344" s="797">
        <f>$S$1*P!V1344</f>
        <v>5.6209677419354842E-6</v>
      </c>
      <c r="W1344" s="780"/>
      <c r="X1344" s="782">
        <v>1340</v>
      </c>
      <c r="Y1344" s="782" t="s">
        <v>2248</v>
      </c>
      <c r="Z1344" s="782" t="s">
        <v>3686</v>
      </c>
      <c r="AA1344" s="781">
        <f>$S$1*P!AA1344</f>
        <v>5.5524193548387108E-5</v>
      </c>
      <c r="AB1344" s="780"/>
      <c r="AC1344" s="881">
        <v>1340</v>
      </c>
      <c r="AD1344" s="881" t="s">
        <v>4573</v>
      </c>
      <c r="AE1344" s="881" t="s">
        <v>3296</v>
      </c>
      <c r="AF1344" s="882">
        <f>$S$1*P!AF1344</f>
        <v>0</v>
      </c>
    </row>
    <row r="1345" spans="19:32" x14ac:dyDescent="0.35">
      <c r="S1345" s="881">
        <v>1341</v>
      </c>
      <c r="T1345" s="881" t="s">
        <v>4284</v>
      </c>
      <c r="U1345" s="881" t="s">
        <v>3354</v>
      </c>
      <c r="V1345" s="883">
        <f>$S$1*P!V1345</f>
        <v>0.16191999999999998</v>
      </c>
      <c r="W1345" s="780"/>
      <c r="X1345" s="782">
        <v>1341</v>
      </c>
      <c r="Y1345" s="782" t="s">
        <v>2248</v>
      </c>
      <c r="Z1345" s="782" t="s">
        <v>4918</v>
      </c>
      <c r="AA1345" s="781">
        <f>$S$1*P!AA1345</f>
        <v>0.34</v>
      </c>
      <c r="AB1345" s="780"/>
      <c r="AC1345" s="881">
        <v>1341</v>
      </c>
      <c r="AD1345" s="881" t="s">
        <v>4573</v>
      </c>
      <c r="AE1345" s="881" t="s">
        <v>4599</v>
      </c>
      <c r="AF1345" s="882">
        <f>$S$1*P!AF1345</f>
        <v>3.0675403225806455</v>
      </c>
    </row>
    <row r="1346" spans="19:32" x14ac:dyDescent="0.35">
      <c r="S1346" s="782">
        <v>1342</v>
      </c>
      <c r="T1346" s="782" t="s">
        <v>4284</v>
      </c>
      <c r="U1346" s="782" t="s">
        <v>3353</v>
      </c>
      <c r="V1346" s="797">
        <f>$S$1*P!V1346</f>
        <v>4.6270161290322585E-5</v>
      </c>
      <c r="W1346" s="780"/>
      <c r="X1346" s="782">
        <v>1342</v>
      </c>
      <c r="Y1346" s="782" t="s">
        <v>2248</v>
      </c>
      <c r="Z1346" s="782" t="s">
        <v>4916</v>
      </c>
      <c r="AA1346" s="781">
        <f>$S$1*P!AA1346</f>
        <v>3.7358870967741939</v>
      </c>
      <c r="AB1346" s="780"/>
      <c r="AC1346" s="782">
        <v>1342</v>
      </c>
      <c r="AD1346" s="782" t="s">
        <v>4573</v>
      </c>
      <c r="AE1346" s="782" t="s">
        <v>3294</v>
      </c>
      <c r="AF1346" s="781">
        <f>$S$1*P!AF1346</f>
        <v>1.0556451612903226E-2</v>
      </c>
    </row>
    <row r="1347" spans="19:32" x14ac:dyDescent="0.35">
      <c r="S1347" s="881">
        <v>1343</v>
      </c>
      <c r="T1347" s="881" t="s">
        <v>4284</v>
      </c>
      <c r="U1347" s="881" t="s">
        <v>3353</v>
      </c>
      <c r="V1347" s="883">
        <f>$S$1*P!V1347</f>
        <v>2.5944000000000003</v>
      </c>
      <c r="W1347" s="780"/>
      <c r="X1347" s="782">
        <v>1343</v>
      </c>
      <c r="Y1347" s="782" t="s">
        <v>2248</v>
      </c>
      <c r="Z1347" s="782" t="s">
        <v>5426</v>
      </c>
      <c r="AA1347" s="781">
        <f>$S$1*P!AA1347</f>
        <v>1.6931451612903228E-4</v>
      </c>
      <c r="AB1347" s="780"/>
      <c r="AC1347" s="881">
        <v>1343</v>
      </c>
      <c r="AD1347" s="881" t="s">
        <v>4573</v>
      </c>
      <c r="AE1347" s="881" t="s">
        <v>3294</v>
      </c>
      <c r="AF1347" s="882">
        <f>$S$1*P!AF1347</f>
        <v>3.6155999999999997</v>
      </c>
    </row>
    <row r="1348" spans="19:32" x14ac:dyDescent="0.35">
      <c r="S1348" s="782">
        <v>1344</v>
      </c>
      <c r="T1348" s="782" t="s">
        <v>4284</v>
      </c>
      <c r="U1348" s="782" t="s">
        <v>4715</v>
      </c>
      <c r="V1348" s="797">
        <f>$S$1*P!V1348</f>
        <v>3.8729838709677424E-4</v>
      </c>
      <c r="W1348" s="780"/>
      <c r="X1348" s="782">
        <v>1344</v>
      </c>
      <c r="Y1348" s="782" t="s">
        <v>2248</v>
      </c>
      <c r="Z1348" s="782" t="s">
        <v>4915</v>
      </c>
      <c r="AA1348" s="781">
        <f>$S$1*P!AA1348</f>
        <v>1.360685483870968E-3</v>
      </c>
      <c r="AB1348" s="780"/>
      <c r="AC1348" s="881">
        <v>1344</v>
      </c>
      <c r="AD1348" s="881" t="s">
        <v>4573</v>
      </c>
      <c r="AE1348" s="881" t="s">
        <v>3293</v>
      </c>
      <c r="AF1348" s="882">
        <f>$S$1*P!AF1348</f>
        <v>78.487903225806463</v>
      </c>
    </row>
    <row r="1349" spans="19:32" x14ac:dyDescent="0.35">
      <c r="S1349" s="782">
        <v>1345</v>
      </c>
      <c r="T1349" s="782" t="s">
        <v>4284</v>
      </c>
      <c r="U1349" s="782" t="s">
        <v>4714</v>
      </c>
      <c r="V1349" s="797">
        <f>$S$1*P!V1349</f>
        <v>2.8276209677419357E-4</v>
      </c>
      <c r="W1349" s="780"/>
      <c r="X1349" s="782">
        <v>1345</v>
      </c>
      <c r="Y1349" s="782" t="s">
        <v>2248</v>
      </c>
      <c r="Z1349" s="782" t="s">
        <v>3436</v>
      </c>
      <c r="AA1349" s="781">
        <f>$S$1*P!AA1349</f>
        <v>3.6432000000000005E-3</v>
      </c>
      <c r="AB1349" s="780"/>
      <c r="AC1349" s="881">
        <v>1345</v>
      </c>
      <c r="AD1349" s="881" t="s">
        <v>4573</v>
      </c>
      <c r="AE1349" s="881" t="s">
        <v>3293</v>
      </c>
      <c r="AF1349" s="882">
        <f>$S$1*P!AF1349</f>
        <v>16.099999999999998</v>
      </c>
    </row>
    <row r="1350" spans="19:32" x14ac:dyDescent="0.35">
      <c r="S1350" s="782">
        <v>1346</v>
      </c>
      <c r="T1350" s="782" t="s">
        <v>4284</v>
      </c>
      <c r="U1350" s="782" t="s">
        <v>4711</v>
      </c>
      <c r="V1350" s="797">
        <f>$S$1*P!V1350</f>
        <v>3.0401209677419357E-5</v>
      </c>
      <c r="W1350" s="780"/>
      <c r="X1350" s="782">
        <v>1346</v>
      </c>
      <c r="Y1350" s="782" t="s">
        <v>2248</v>
      </c>
      <c r="Z1350" s="782" t="s">
        <v>3436</v>
      </c>
      <c r="AA1350" s="781">
        <f>$S$1*P!AA1350</f>
        <v>1.5491935483870969E-3</v>
      </c>
      <c r="AB1350" s="780"/>
      <c r="AC1350" s="782">
        <v>1346</v>
      </c>
      <c r="AD1350" s="782" t="s">
        <v>4573</v>
      </c>
      <c r="AE1350" s="782" t="s">
        <v>4587</v>
      </c>
      <c r="AF1350" s="781">
        <f>$S$1*P!AF1350</f>
        <v>6.0665322580645169</v>
      </c>
    </row>
    <row r="1351" spans="19:32" x14ac:dyDescent="0.35">
      <c r="S1351" s="782">
        <v>1347</v>
      </c>
      <c r="T1351" s="782" t="s">
        <v>4284</v>
      </c>
      <c r="U1351" s="782" t="s">
        <v>3352</v>
      </c>
      <c r="V1351" s="797">
        <f>$S$1*P!V1351</f>
        <v>1.2681451612903227</v>
      </c>
      <c r="W1351" s="780"/>
      <c r="X1351" s="782">
        <v>1347</v>
      </c>
      <c r="Y1351" s="782" t="s">
        <v>2248</v>
      </c>
      <c r="Z1351" s="782" t="s">
        <v>5425</v>
      </c>
      <c r="AA1351" s="781">
        <f>$S$1*P!AA1351</f>
        <v>8.5685483870967744E-4</v>
      </c>
      <c r="AB1351" s="780"/>
      <c r="AC1351" s="881">
        <v>1347</v>
      </c>
      <c r="AD1351" s="881" t="s">
        <v>4573</v>
      </c>
      <c r="AE1351" s="881" t="s">
        <v>3291</v>
      </c>
      <c r="AF1351" s="882">
        <f>$S$1*P!AF1351</f>
        <v>8.5283999999999999E-2</v>
      </c>
    </row>
    <row r="1352" spans="19:32" x14ac:dyDescent="0.35">
      <c r="S1352" s="881">
        <v>1348</v>
      </c>
      <c r="T1352" s="881" t="s">
        <v>4284</v>
      </c>
      <c r="U1352" s="881" t="s">
        <v>3352</v>
      </c>
      <c r="V1352" s="883">
        <f>$S$1*P!V1352</f>
        <v>0</v>
      </c>
      <c r="W1352" s="780"/>
      <c r="X1352" s="782">
        <v>1348</v>
      </c>
      <c r="Y1352" s="782" t="s">
        <v>2248</v>
      </c>
      <c r="Z1352" s="782" t="s">
        <v>4914</v>
      </c>
      <c r="AA1352" s="781">
        <f>$S$1*P!AA1352</f>
        <v>3.3451612903225808E-3</v>
      </c>
      <c r="AB1352" s="780"/>
      <c r="AC1352" s="881">
        <v>1348</v>
      </c>
      <c r="AD1352" s="881" t="s">
        <v>4573</v>
      </c>
      <c r="AE1352" s="881" t="s">
        <v>3289</v>
      </c>
      <c r="AF1352" s="882">
        <f>$S$1*P!AF1352</f>
        <v>2.3889112903225809</v>
      </c>
    </row>
    <row r="1353" spans="19:32" x14ac:dyDescent="0.35">
      <c r="S1353" s="881">
        <v>1349</v>
      </c>
      <c r="T1353" s="881" t="s">
        <v>4284</v>
      </c>
      <c r="U1353" s="881" t="s">
        <v>3350</v>
      </c>
      <c r="V1353" s="883">
        <f>$S$1*P!V1353</f>
        <v>5832.8</v>
      </c>
      <c r="W1353" s="780"/>
      <c r="X1353" s="782">
        <v>1349</v>
      </c>
      <c r="Y1353" s="782" t="s">
        <v>2248</v>
      </c>
      <c r="Z1353" s="782" t="s">
        <v>4913</v>
      </c>
      <c r="AA1353" s="781">
        <f>$S$1*P!AA1353</f>
        <v>1.4497983870967743E-2</v>
      </c>
      <c r="AB1353" s="780"/>
      <c r="AC1353" s="881">
        <v>1349</v>
      </c>
      <c r="AD1353" s="881" t="s">
        <v>4573</v>
      </c>
      <c r="AE1353" s="881" t="s">
        <v>3289</v>
      </c>
      <c r="AF1353" s="882">
        <f>$S$1*P!AF1353</f>
        <v>0</v>
      </c>
    </row>
    <row r="1354" spans="19:32" x14ac:dyDescent="0.35">
      <c r="S1354" s="881">
        <v>1350</v>
      </c>
      <c r="T1354" s="881" t="s">
        <v>4284</v>
      </c>
      <c r="U1354" s="881" t="s">
        <v>3349</v>
      </c>
      <c r="V1354" s="883">
        <f>$S$1*P!V1354</f>
        <v>0</v>
      </c>
      <c r="W1354" s="780"/>
      <c r="X1354" s="782">
        <v>1350</v>
      </c>
      <c r="Y1354" s="782" t="s">
        <v>2248</v>
      </c>
      <c r="Z1354" s="782" t="s">
        <v>5424</v>
      </c>
      <c r="AA1354" s="781">
        <f>$S$1*P!AA1354</f>
        <v>1.1756048387096775E-3</v>
      </c>
      <c r="AB1354" s="780"/>
      <c r="AC1354" s="881">
        <v>1350</v>
      </c>
      <c r="AD1354" s="881" t="s">
        <v>4573</v>
      </c>
      <c r="AE1354" s="881" t="s">
        <v>3288</v>
      </c>
      <c r="AF1354" s="882">
        <f>$S$1*P!AF1354</f>
        <v>0</v>
      </c>
    </row>
    <row r="1355" spans="19:32" x14ac:dyDescent="0.35">
      <c r="S1355" s="782">
        <v>1351</v>
      </c>
      <c r="T1355" s="782" t="s">
        <v>4284</v>
      </c>
      <c r="U1355" s="782" t="s">
        <v>3347</v>
      </c>
      <c r="V1355" s="797">
        <f>$S$1*P!V1355</f>
        <v>3.9072580645161297E-3</v>
      </c>
      <c r="W1355" s="780"/>
      <c r="X1355" s="782">
        <v>1351</v>
      </c>
      <c r="Y1355" s="782" t="s">
        <v>2248</v>
      </c>
      <c r="Z1355" s="782" t="s">
        <v>4912</v>
      </c>
      <c r="AA1355" s="781">
        <f>$S$1*P!AA1355</f>
        <v>4.9354838709677424E-4</v>
      </c>
      <c r="AB1355" s="780"/>
      <c r="AC1355" s="782">
        <v>1351</v>
      </c>
      <c r="AD1355" s="782" t="s">
        <v>4573</v>
      </c>
      <c r="AE1355" s="782" t="s">
        <v>4585</v>
      </c>
      <c r="AF1355" s="781">
        <f>$S$1*P!AF1355</f>
        <v>8.6713709677419361E-4</v>
      </c>
    </row>
    <row r="1356" spans="19:32" x14ac:dyDescent="0.35">
      <c r="S1356" s="881">
        <v>1352</v>
      </c>
      <c r="T1356" s="881" t="s">
        <v>4284</v>
      </c>
      <c r="U1356" s="881" t="s">
        <v>3347</v>
      </c>
      <c r="V1356" s="883">
        <f>$S$1*P!V1356</f>
        <v>0</v>
      </c>
      <c r="W1356" s="780"/>
      <c r="X1356" s="782">
        <v>1352</v>
      </c>
      <c r="Y1356" s="782" t="s">
        <v>2248</v>
      </c>
      <c r="Z1356" s="782" t="s">
        <v>4911</v>
      </c>
      <c r="AA1356" s="781">
        <f>$S$1*P!AA1356</f>
        <v>9.5967741935483873E-5</v>
      </c>
      <c r="AB1356" s="780"/>
      <c r="AC1356" s="881">
        <v>1352</v>
      </c>
      <c r="AD1356" s="881" t="s">
        <v>4573</v>
      </c>
      <c r="AE1356" s="881" t="s">
        <v>4582</v>
      </c>
      <c r="AF1356" s="882">
        <f>$S$1*P!AF1356</f>
        <v>1.6314516129032258E-2</v>
      </c>
    </row>
    <row r="1357" spans="19:32" x14ac:dyDescent="0.35">
      <c r="S1357" s="782">
        <v>1353</v>
      </c>
      <c r="T1357" s="782" t="s">
        <v>4284</v>
      </c>
      <c r="U1357" s="782" t="s">
        <v>4704</v>
      </c>
      <c r="V1357" s="797">
        <f>$S$1*P!V1357</f>
        <v>2.6391129032258067E-2</v>
      </c>
      <c r="W1357" s="780"/>
      <c r="X1357" s="782">
        <v>1353</v>
      </c>
      <c r="Y1357" s="782" t="s">
        <v>2248</v>
      </c>
      <c r="Z1357" s="782" t="s">
        <v>5423</v>
      </c>
      <c r="AA1357" s="781">
        <f>$S$1*P!AA1357</f>
        <v>1.6383064516129034E-4</v>
      </c>
      <c r="AB1357" s="780"/>
      <c r="AC1357" s="881">
        <v>1353</v>
      </c>
      <c r="AD1357" s="881" t="s">
        <v>4573</v>
      </c>
      <c r="AE1357" s="881" t="s">
        <v>3286</v>
      </c>
      <c r="AF1357" s="882">
        <f>$S$1*P!AF1357</f>
        <v>6.6149193548387109E-4</v>
      </c>
    </row>
    <row r="1358" spans="19:32" x14ac:dyDescent="0.35">
      <c r="S1358" s="782">
        <v>1354</v>
      </c>
      <c r="T1358" s="782" t="s">
        <v>4284</v>
      </c>
      <c r="U1358" s="782" t="s">
        <v>4703</v>
      </c>
      <c r="V1358" s="797">
        <f>$S$1*P!V1358</f>
        <v>1.6211693548387099E-2</v>
      </c>
      <c r="W1358" s="780"/>
      <c r="X1358" s="782">
        <v>1354</v>
      </c>
      <c r="Y1358" s="782" t="s">
        <v>2248</v>
      </c>
      <c r="Z1358" s="782" t="s">
        <v>4910</v>
      </c>
      <c r="AA1358" s="781">
        <f>$S$1*P!AA1358</f>
        <v>9.425403225806452E-4</v>
      </c>
      <c r="AB1358" s="780"/>
      <c r="AC1358" s="881">
        <v>1354</v>
      </c>
      <c r="AD1358" s="881" t="s">
        <v>4573</v>
      </c>
      <c r="AE1358" s="881" t="s">
        <v>3286</v>
      </c>
      <c r="AF1358" s="882">
        <f>$S$1*P!AF1358</f>
        <v>0</v>
      </c>
    </row>
    <row r="1359" spans="19:32" x14ac:dyDescent="0.35">
      <c r="S1359" s="782">
        <v>1355</v>
      </c>
      <c r="T1359" s="782" t="s">
        <v>4284</v>
      </c>
      <c r="U1359" s="782" t="s">
        <v>4702</v>
      </c>
      <c r="V1359" s="797">
        <f>$S$1*P!V1359</f>
        <v>4.0100806451612906E-5</v>
      </c>
      <c r="W1359" s="780"/>
      <c r="X1359" s="782">
        <v>1355</v>
      </c>
      <c r="Y1359" s="782" t="s">
        <v>2248</v>
      </c>
      <c r="Z1359" s="782" t="s">
        <v>4909</v>
      </c>
      <c r="AA1359" s="781">
        <f>$S$1*P!AA1359</f>
        <v>1.3778225806451614E-2</v>
      </c>
      <c r="AB1359" s="780"/>
      <c r="AC1359" s="881">
        <v>1355</v>
      </c>
      <c r="AD1359" s="881" t="s">
        <v>4573</v>
      </c>
      <c r="AE1359" s="881" t="s">
        <v>3285</v>
      </c>
      <c r="AF1359" s="882">
        <f>$S$1*P!AF1359</f>
        <v>0.26322580645161292</v>
      </c>
    </row>
    <row r="1360" spans="19:32" x14ac:dyDescent="0.35">
      <c r="S1360" s="782">
        <v>1356</v>
      </c>
      <c r="T1360" s="782" t="s">
        <v>4284</v>
      </c>
      <c r="U1360" s="782" t="s">
        <v>4701</v>
      </c>
      <c r="V1360" s="797">
        <f>$S$1*P!V1360</f>
        <v>2.2655241935483874E-2</v>
      </c>
      <c r="W1360" s="780"/>
      <c r="X1360" s="782">
        <v>1356</v>
      </c>
      <c r="Y1360" s="782" t="s">
        <v>2248</v>
      </c>
      <c r="Z1360" s="782" t="s">
        <v>4908</v>
      </c>
      <c r="AA1360" s="781">
        <f>$S$1*P!AA1360</f>
        <v>7.9173387096774202E-4</v>
      </c>
      <c r="AB1360" s="780"/>
      <c r="AC1360" s="881">
        <v>1356</v>
      </c>
      <c r="AD1360" s="881" t="s">
        <v>4573</v>
      </c>
      <c r="AE1360" s="881" t="s">
        <v>3285</v>
      </c>
      <c r="AF1360" s="882">
        <f>$S$1*P!AF1360</f>
        <v>1.012</v>
      </c>
    </row>
    <row r="1361" spans="19:32" x14ac:dyDescent="0.35">
      <c r="S1361" s="782">
        <v>1357</v>
      </c>
      <c r="T1361" s="782" t="s">
        <v>4284</v>
      </c>
      <c r="U1361" s="782" t="s">
        <v>4700</v>
      </c>
      <c r="V1361" s="797">
        <f>$S$1*P!V1361</f>
        <v>0.13778225806451613</v>
      </c>
      <c r="W1361" s="780"/>
      <c r="X1361" s="782">
        <v>1357</v>
      </c>
      <c r="Y1361" s="782" t="s">
        <v>2248</v>
      </c>
      <c r="Z1361" s="782" t="s">
        <v>5422</v>
      </c>
      <c r="AA1361" s="781">
        <f>$S$1*P!AA1361</f>
        <v>2.6528225806451614E-4</v>
      </c>
      <c r="AB1361" s="780"/>
      <c r="AC1361" s="881">
        <v>1357</v>
      </c>
      <c r="AD1361" s="881" t="s">
        <v>4573</v>
      </c>
      <c r="AE1361" s="881" t="s">
        <v>4575</v>
      </c>
      <c r="AF1361" s="882">
        <f>$S$1*P!AF1361</f>
        <v>6.4092741935483879</v>
      </c>
    </row>
    <row r="1362" spans="19:32" x14ac:dyDescent="0.35">
      <c r="S1362" s="782">
        <v>1358</v>
      </c>
      <c r="T1362" s="782" t="s">
        <v>4284</v>
      </c>
      <c r="U1362" s="782" t="s">
        <v>4699</v>
      </c>
      <c r="V1362" s="797">
        <f>$S$1*P!V1362</f>
        <v>8.6713709677419351E-5</v>
      </c>
      <c r="W1362" s="780"/>
      <c r="X1362" s="782">
        <v>1358</v>
      </c>
      <c r="Y1362" s="782" t="s">
        <v>2248</v>
      </c>
      <c r="Z1362" s="782" t="s">
        <v>4907</v>
      </c>
      <c r="AA1362" s="781">
        <f>$S$1*P!AA1362</f>
        <v>9.7338709677419362E-4</v>
      </c>
      <c r="AB1362" s="780"/>
      <c r="AC1362" s="782">
        <v>1358</v>
      </c>
      <c r="AD1362" s="782" t="s">
        <v>4573</v>
      </c>
      <c r="AE1362" s="782" t="s">
        <v>3283</v>
      </c>
      <c r="AF1362" s="781">
        <f>$S$1*P!AF1362</f>
        <v>2.9064516129032261</v>
      </c>
    </row>
    <row r="1363" spans="19:32" x14ac:dyDescent="0.35">
      <c r="S1363" s="782">
        <v>1359</v>
      </c>
      <c r="T1363" s="782" t="s">
        <v>4284</v>
      </c>
      <c r="U1363" s="782" t="s">
        <v>4698</v>
      </c>
      <c r="V1363" s="797">
        <f>$S$1*P!V1363</f>
        <v>2.2483870967741934E-3</v>
      </c>
      <c r="W1363" s="780"/>
      <c r="X1363" s="782">
        <v>1359</v>
      </c>
      <c r="Y1363" s="782" t="s">
        <v>2248</v>
      </c>
      <c r="Z1363" s="782" t="s">
        <v>4905</v>
      </c>
      <c r="AA1363" s="781">
        <f>$S$1*P!AA1363</f>
        <v>4.8669354838709681E-4</v>
      </c>
      <c r="AB1363" s="780"/>
      <c r="AC1363" s="881">
        <v>1359</v>
      </c>
      <c r="AD1363" s="881" t="s">
        <v>4573</v>
      </c>
      <c r="AE1363" s="881" t="s">
        <v>3283</v>
      </c>
      <c r="AF1363" s="882">
        <f>$S$1*P!AF1363</f>
        <v>0.17572000000000002</v>
      </c>
    </row>
    <row r="1364" spans="19:32" x14ac:dyDescent="0.35">
      <c r="S1364" s="782">
        <v>1360</v>
      </c>
      <c r="T1364" s="782" t="s">
        <v>4284</v>
      </c>
      <c r="U1364" s="782" t="s">
        <v>4696</v>
      </c>
      <c r="V1364" s="797">
        <f>$S$1*P!V1364</f>
        <v>9.0483870967741943E-3</v>
      </c>
      <c r="W1364" s="780"/>
      <c r="X1364" s="782">
        <v>1360</v>
      </c>
      <c r="Y1364" s="782" t="s">
        <v>2248</v>
      </c>
      <c r="Z1364" s="782" t="s">
        <v>5421</v>
      </c>
      <c r="AA1364" s="781">
        <f>$S$1*P!AA1364</f>
        <v>6.1350806451612902E-6</v>
      </c>
      <c r="AB1364" s="780"/>
      <c r="AC1364" s="881">
        <v>1360</v>
      </c>
      <c r="AD1364" s="881" t="s">
        <v>4573</v>
      </c>
      <c r="AE1364" s="881" t="s">
        <v>3282</v>
      </c>
      <c r="AF1364" s="882">
        <f>$S$1*P!AF1364</f>
        <v>2.6733870967741939E-2</v>
      </c>
    </row>
    <row r="1365" spans="19:32" x14ac:dyDescent="0.35">
      <c r="S1365" s="782">
        <v>1361</v>
      </c>
      <c r="T1365" s="782" t="s">
        <v>4284</v>
      </c>
      <c r="U1365" s="782" t="s">
        <v>4695</v>
      </c>
      <c r="V1365" s="797">
        <f>$S$1*P!V1365</f>
        <v>5.8608870967741941E-3</v>
      </c>
      <c r="W1365" s="780"/>
      <c r="X1365" s="782">
        <v>1361</v>
      </c>
      <c r="Y1365" s="782" t="s">
        <v>2248</v>
      </c>
      <c r="Z1365" s="782" t="s">
        <v>4904</v>
      </c>
      <c r="AA1365" s="781">
        <f>$S$1*P!AA1365</f>
        <v>2.5671370967741938E-2</v>
      </c>
      <c r="AB1365" s="780"/>
      <c r="AC1365" s="881">
        <v>1361</v>
      </c>
      <c r="AD1365" s="881" t="s">
        <v>4573</v>
      </c>
      <c r="AE1365" s="881" t="s">
        <v>3282</v>
      </c>
      <c r="AF1365" s="882">
        <f>$S$1*P!AF1365</f>
        <v>0</v>
      </c>
    </row>
    <row r="1366" spans="19:32" x14ac:dyDescent="0.35">
      <c r="S1366" s="782">
        <v>1362</v>
      </c>
      <c r="T1366" s="782" t="s">
        <v>4284</v>
      </c>
      <c r="U1366" s="782" t="s">
        <v>4694</v>
      </c>
      <c r="V1366" s="797">
        <f>$S$1*P!V1366</f>
        <v>9.2540322580645171E-5</v>
      </c>
      <c r="W1366" s="780"/>
      <c r="X1366" s="782">
        <v>1362</v>
      </c>
      <c r="Y1366" s="782" t="s">
        <v>2248</v>
      </c>
      <c r="Z1366" s="782" t="s">
        <v>4903</v>
      </c>
      <c r="AA1366" s="781">
        <f>$S$1*P!AA1366</f>
        <v>8.6028225806451614E-2</v>
      </c>
      <c r="AB1366" s="780"/>
      <c r="AC1366" s="782">
        <v>1362</v>
      </c>
      <c r="AD1366" s="782" t="s">
        <v>4573</v>
      </c>
      <c r="AE1366" s="782" t="s">
        <v>4572</v>
      </c>
      <c r="AF1366" s="781">
        <f>$S$1*P!AF1366</f>
        <v>0.22141129032258067</v>
      </c>
    </row>
    <row r="1367" spans="19:32" x14ac:dyDescent="0.35">
      <c r="S1367" s="782">
        <v>1363</v>
      </c>
      <c r="T1367" s="782" t="s">
        <v>4284</v>
      </c>
      <c r="U1367" s="782" t="s">
        <v>4689</v>
      </c>
      <c r="V1367" s="797">
        <f>$S$1*P!V1367</f>
        <v>2.25866935483871E-5</v>
      </c>
      <c r="W1367" s="780"/>
      <c r="X1367" s="782">
        <v>1363</v>
      </c>
      <c r="Y1367" s="782" t="s">
        <v>2248</v>
      </c>
      <c r="Z1367" s="782" t="s">
        <v>5420</v>
      </c>
      <c r="AA1367" s="781">
        <f>$S$1*P!AA1367</f>
        <v>1.984475806451613E-4</v>
      </c>
      <c r="AB1367" s="780"/>
      <c r="AC1367" s="881">
        <v>1363</v>
      </c>
      <c r="AD1367" s="881" t="s">
        <v>4573</v>
      </c>
      <c r="AE1367" s="881" t="s">
        <v>4570</v>
      </c>
      <c r="AF1367" s="882">
        <f>$S$1*P!AF1367</f>
        <v>4.0443548387096779</v>
      </c>
    </row>
    <row r="1368" spans="19:32" x14ac:dyDescent="0.35">
      <c r="S1368" s="782">
        <v>1364</v>
      </c>
      <c r="T1368" s="782" t="s">
        <v>4284</v>
      </c>
      <c r="U1368" s="782" t="s">
        <v>4688</v>
      </c>
      <c r="V1368" s="797">
        <f>$S$1*P!V1368</f>
        <v>4.3185483870967749E-5</v>
      </c>
      <c r="W1368" s="780"/>
      <c r="X1368" s="782">
        <v>1364</v>
      </c>
      <c r="Y1368" s="782" t="s">
        <v>2248</v>
      </c>
      <c r="Z1368" s="782" t="s">
        <v>4902</v>
      </c>
      <c r="AA1368" s="781">
        <f>$S$1*P!AA1368</f>
        <v>1.477217741935484E-4</v>
      </c>
      <c r="AB1368" s="780"/>
      <c r="AC1368" s="782">
        <v>1364</v>
      </c>
      <c r="AD1368" s="782" t="s">
        <v>4573</v>
      </c>
      <c r="AE1368" s="782" t="s">
        <v>4567</v>
      </c>
      <c r="AF1368" s="781">
        <f>$S$1*P!AF1368</f>
        <v>3.1497983870967743</v>
      </c>
    </row>
    <row r="1369" spans="19:32" x14ac:dyDescent="0.35">
      <c r="S1369" s="782">
        <v>1365</v>
      </c>
      <c r="T1369" s="782" t="s">
        <v>4284</v>
      </c>
      <c r="U1369" s="782" t="s">
        <v>4687</v>
      </c>
      <c r="V1369" s="797">
        <f>$S$1*P!V1369</f>
        <v>0.22312500000000002</v>
      </c>
      <c r="W1369" s="780"/>
      <c r="X1369" s="782">
        <v>1365</v>
      </c>
      <c r="Y1369" s="782" t="s">
        <v>2248</v>
      </c>
      <c r="Z1369" s="782" t="s">
        <v>4901</v>
      </c>
      <c r="AA1369" s="781">
        <f>$S$1*P!AA1369</f>
        <v>5.792338709677419E-4</v>
      </c>
      <c r="AB1369" s="780"/>
      <c r="AC1369" s="881">
        <v>1365</v>
      </c>
      <c r="AD1369" s="881" t="s">
        <v>4573</v>
      </c>
      <c r="AE1369" s="881" t="s">
        <v>3280</v>
      </c>
      <c r="AF1369" s="882">
        <f>$S$1*P!AF1369</f>
        <v>2.7967741935483876E-4</v>
      </c>
    </row>
    <row r="1370" spans="19:32" x14ac:dyDescent="0.35">
      <c r="S1370" s="881">
        <v>1366</v>
      </c>
      <c r="T1370" s="881" t="s">
        <v>4284</v>
      </c>
      <c r="U1370" s="881" t="s">
        <v>3345</v>
      </c>
      <c r="V1370" s="883">
        <f>$S$1*P!V1370</f>
        <v>1.0316532258064516E-4</v>
      </c>
      <c r="W1370" s="780"/>
      <c r="X1370" s="782">
        <v>1366</v>
      </c>
      <c r="Y1370" s="782" t="s">
        <v>2248</v>
      </c>
      <c r="Z1370" s="782" t="s">
        <v>4900</v>
      </c>
      <c r="AA1370" s="781">
        <f>$S$1*P!AA1370</f>
        <v>1.6485887096774196E-3</v>
      </c>
      <c r="AB1370" s="780"/>
      <c r="AC1370" s="881">
        <v>1366</v>
      </c>
      <c r="AD1370" s="881" t="s">
        <v>4573</v>
      </c>
      <c r="AE1370" s="881" t="s">
        <v>3280</v>
      </c>
      <c r="AF1370" s="882">
        <f>$S$1*P!AF1370</f>
        <v>4.3331999999999997</v>
      </c>
    </row>
    <row r="1371" spans="19:32" x14ac:dyDescent="0.35">
      <c r="S1371" s="881">
        <v>1367</v>
      </c>
      <c r="T1371" s="881" t="s">
        <v>4284</v>
      </c>
      <c r="U1371" s="881" t="s">
        <v>3345</v>
      </c>
      <c r="V1371" s="883">
        <f>$S$1*P!V1371</f>
        <v>4.1676000000000005E-2</v>
      </c>
      <c r="W1371" s="780"/>
      <c r="X1371" s="782">
        <v>1367</v>
      </c>
      <c r="Y1371" s="782" t="s">
        <v>2248</v>
      </c>
      <c r="Z1371" s="782" t="s">
        <v>5419</v>
      </c>
      <c r="AA1371" s="781">
        <f>$S$1*P!AA1371</f>
        <v>7.9173387096774206E-6</v>
      </c>
      <c r="AB1371" s="780"/>
      <c r="AC1371" s="881">
        <v>1367</v>
      </c>
      <c r="AD1371" s="881" t="s">
        <v>4573</v>
      </c>
      <c r="AE1371" s="881" t="s">
        <v>3278</v>
      </c>
      <c r="AF1371" s="882">
        <f>$S$1*P!AF1371</f>
        <v>0</v>
      </c>
    </row>
    <row r="1372" spans="19:32" x14ac:dyDescent="0.35">
      <c r="S1372" s="782">
        <v>1368</v>
      </c>
      <c r="T1372" s="782" t="s">
        <v>4284</v>
      </c>
      <c r="U1372" s="782" t="s">
        <v>4683</v>
      </c>
      <c r="V1372" s="797">
        <f>$S$1*P!V1372</f>
        <v>1.6143145161290322E-2</v>
      </c>
      <c r="W1372" s="780"/>
      <c r="X1372" s="782">
        <v>1368</v>
      </c>
      <c r="Y1372" s="782" t="s">
        <v>2248</v>
      </c>
      <c r="Z1372" s="782" t="s">
        <v>4899</v>
      </c>
      <c r="AA1372" s="781">
        <f>$S$1*P!AA1372</f>
        <v>4.8326612903225813E-3</v>
      </c>
      <c r="AB1372" s="780"/>
      <c r="AC1372" s="881">
        <v>1368</v>
      </c>
      <c r="AD1372" s="881" t="s">
        <v>4573</v>
      </c>
      <c r="AE1372" s="881" t="s">
        <v>3277</v>
      </c>
      <c r="AF1372" s="882">
        <f>$S$1*P!AF1372</f>
        <v>1.5731854838709678</v>
      </c>
    </row>
    <row r="1373" spans="19:32" x14ac:dyDescent="0.35">
      <c r="S1373" s="881">
        <v>1369</v>
      </c>
      <c r="T1373" s="881" t="s">
        <v>4284</v>
      </c>
      <c r="U1373" s="881" t="s">
        <v>4678</v>
      </c>
      <c r="V1373" s="883">
        <f>$S$1*P!V1373</f>
        <v>3.7016129032258066E-3</v>
      </c>
      <c r="W1373" s="780"/>
      <c r="X1373" s="782">
        <v>1369</v>
      </c>
      <c r="Y1373" s="782" t="s">
        <v>2248</v>
      </c>
      <c r="Z1373" s="782" t="s">
        <v>3435</v>
      </c>
      <c r="AA1373" s="781">
        <f>$S$1*P!AA1373</f>
        <v>0</v>
      </c>
      <c r="AB1373" s="780"/>
      <c r="AC1373" s="881">
        <v>1369</v>
      </c>
      <c r="AD1373" s="881" t="s">
        <v>4573</v>
      </c>
      <c r="AE1373" s="881" t="s">
        <v>3277</v>
      </c>
      <c r="AF1373" s="882">
        <f>$S$1*P!AF1373</f>
        <v>6.4584000000000001</v>
      </c>
    </row>
    <row r="1374" spans="19:32" x14ac:dyDescent="0.35">
      <c r="S1374" s="881">
        <v>1370</v>
      </c>
      <c r="T1374" s="881" t="s">
        <v>4284</v>
      </c>
      <c r="U1374" s="881" t="s">
        <v>4675</v>
      </c>
      <c r="V1374" s="883">
        <f>$S$1*P!V1374</f>
        <v>2.4300403225806455E-2</v>
      </c>
      <c r="W1374" s="780"/>
      <c r="X1374" s="782">
        <v>1370</v>
      </c>
      <c r="Y1374" s="782" t="s">
        <v>2248</v>
      </c>
      <c r="Z1374" s="782" t="s">
        <v>5418</v>
      </c>
      <c r="AA1374" s="781">
        <f>$S$1*P!AA1374</f>
        <v>1.1344758064516131E-4</v>
      </c>
      <c r="AB1374" s="780"/>
      <c r="AC1374" s="881">
        <v>1370</v>
      </c>
      <c r="AD1374" s="881" t="s">
        <v>4573</v>
      </c>
      <c r="AE1374" s="881" t="s">
        <v>3276</v>
      </c>
      <c r="AF1374" s="882">
        <f>$S$1*P!AF1374</f>
        <v>0.10625000000000001</v>
      </c>
    </row>
    <row r="1375" spans="19:32" x14ac:dyDescent="0.35">
      <c r="S1375" s="881">
        <v>1371</v>
      </c>
      <c r="T1375" s="881" t="s">
        <v>4284</v>
      </c>
      <c r="U1375" s="881" t="s">
        <v>4673</v>
      </c>
      <c r="V1375" s="883">
        <f>$S$1*P!V1375</f>
        <v>0.18131048387096776</v>
      </c>
      <c r="W1375" s="780"/>
      <c r="X1375" s="782">
        <v>1371</v>
      </c>
      <c r="Y1375" s="782" t="s">
        <v>2248</v>
      </c>
      <c r="Z1375" s="782" t="s">
        <v>4898</v>
      </c>
      <c r="AA1375" s="781">
        <f>$S$1*P!AA1375</f>
        <v>4.4213709677419358E-4</v>
      </c>
      <c r="AB1375" s="780"/>
      <c r="AC1375" s="881">
        <v>1371</v>
      </c>
      <c r="AD1375" s="881" t="s">
        <v>4573</v>
      </c>
      <c r="AE1375" s="881" t="s">
        <v>3276</v>
      </c>
      <c r="AF1375" s="882">
        <f>$S$1*P!AF1375</f>
        <v>1.012</v>
      </c>
    </row>
    <row r="1376" spans="19:32" x14ac:dyDescent="0.35">
      <c r="S1376" s="881">
        <v>1372</v>
      </c>
      <c r="T1376" s="881" t="s">
        <v>4284</v>
      </c>
      <c r="U1376" s="881" t="s">
        <v>4671</v>
      </c>
      <c r="V1376" s="883">
        <f>$S$1*P!V1376</f>
        <v>5.6552419354838714E-2</v>
      </c>
      <c r="W1376" s="780"/>
      <c r="X1376" s="782">
        <v>1372</v>
      </c>
      <c r="Y1376" s="782" t="s">
        <v>2248</v>
      </c>
      <c r="Z1376" s="782" t="s">
        <v>4897</v>
      </c>
      <c r="AA1376" s="781">
        <f>$S$1*P!AA1376</f>
        <v>4.8326612903225807E-4</v>
      </c>
      <c r="AB1376" s="780"/>
      <c r="AC1376" s="881">
        <v>1372</v>
      </c>
      <c r="AD1376" s="881" t="s">
        <v>4573</v>
      </c>
      <c r="AE1376" s="881" t="s">
        <v>4566</v>
      </c>
      <c r="AF1376" s="882">
        <f>$S$1*P!AF1376</f>
        <v>25.362903225806452</v>
      </c>
    </row>
    <row r="1377" spans="19:32" x14ac:dyDescent="0.35">
      <c r="S1377" s="782">
        <v>1373</v>
      </c>
      <c r="T1377" s="782" t="s">
        <v>4284</v>
      </c>
      <c r="U1377" s="782" t="s">
        <v>4669</v>
      </c>
      <c r="V1377" s="797">
        <f>$S$1*P!V1377</f>
        <v>0.13846774193548389</v>
      </c>
      <c r="W1377" s="780"/>
      <c r="X1377" s="782">
        <v>1373</v>
      </c>
      <c r="Y1377" s="782" t="s">
        <v>2248</v>
      </c>
      <c r="Z1377" s="782" t="s">
        <v>5417</v>
      </c>
      <c r="AA1377" s="781">
        <f>$S$1*P!AA1377</f>
        <v>1.2681451612903227E-5</v>
      </c>
      <c r="AB1377" s="780"/>
      <c r="AC1377" s="782">
        <v>1373</v>
      </c>
      <c r="AD1377" s="782" t="s">
        <v>4573</v>
      </c>
      <c r="AE1377" s="782" t="s">
        <v>4565</v>
      </c>
      <c r="AF1377" s="781">
        <f>$S$1*P!AF1377</f>
        <v>7.4032258064516132E-2</v>
      </c>
    </row>
    <row r="1378" spans="19:32" x14ac:dyDescent="0.35">
      <c r="S1378" s="881">
        <v>1374</v>
      </c>
      <c r="T1378" s="881" t="s">
        <v>4284</v>
      </c>
      <c r="U1378" s="881" t="s">
        <v>4668</v>
      </c>
      <c r="V1378" s="883">
        <f>$S$1*P!V1378</f>
        <v>2.0975806451612906E-3</v>
      </c>
      <c r="W1378" s="780"/>
      <c r="X1378" s="782">
        <v>1374</v>
      </c>
      <c r="Y1378" s="782" t="s">
        <v>2248</v>
      </c>
      <c r="Z1378" s="782" t="s">
        <v>4896</v>
      </c>
      <c r="AA1378" s="781">
        <f>$S$1*P!AA1378</f>
        <v>7.4032258064516136E-4</v>
      </c>
      <c r="AB1378" s="780"/>
      <c r="AC1378" s="881">
        <v>1374</v>
      </c>
      <c r="AD1378" s="881" t="s">
        <v>4573</v>
      </c>
      <c r="AE1378" s="885" t="s">
        <v>3275</v>
      </c>
      <c r="AF1378" s="886">
        <f>$S$1*P!AF1378</f>
        <v>3.838709677419355</v>
      </c>
    </row>
    <row r="1379" spans="19:32" x14ac:dyDescent="0.35">
      <c r="S1379" s="881">
        <v>1375</v>
      </c>
      <c r="T1379" s="881" t="s">
        <v>4284</v>
      </c>
      <c r="U1379" s="881" t="s">
        <v>3344</v>
      </c>
      <c r="V1379" s="883">
        <f>$S$1*P!V1379</f>
        <v>780.16</v>
      </c>
      <c r="W1379" s="780"/>
      <c r="X1379" s="782">
        <v>1375</v>
      </c>
      <c r="Y1379" s="782" t="s">
        <v>2248</v>
      </c>
      <c r="Z1379" s="782" t="s">
        <v>3433</v>
      </c>
      <c r="AA1379" s="781">
        <f>$S$1*P!AA1379</f>
        <v>0.15180000000000002</v>
      </c>
      <c r="AB1379" s="780"/>
      <c r="AC1379" s="881">
        <v>1375</v>
      </c>
      <c r="AD1379" s="881" t="s">
        <v>4573</v>
      </c>
      <c r="AE1379" s="881" t="s">
        <v>3275</v>
      </c>
      <c r="AF1379" s="882">
        <f>$S$1*P!AF1379</f>
        <v>0</v>
      </c>
    </row>
    <row r="1380" spans="19:32" x14ac:dyDescent="0.35">
      <c r="S1380" s="782">
        <v>1376</v>
      </c>
      <c r="T1380" s="782" t="s">
        <v>4284</v>
      </c>
      <c r="U1380" s="782" t="s">
        <v>4667</v>
      </c>
      <c r="V1380" s="797">
        <f>$S$1*P!V1380</f>
        <v>0.47983870967741937</v>
      </c>
      <c r="W1380" s="780"/>
      <c r="X1380" s="782">
        <v>1376</v>
      </c>
      <c r="Y1380" s="782" t="s">
        <v>2248</v>
      </c>
      <c r="Z1380" s="782" t="s">
        <v>3432</v>
      </c>
      <c r="AA1380" s="781">
        <f>$S$1*P!AA1380</f>
        <v>4.2964000000000002E-2</v>
      </c>
      <c r="AB1380" s="780"/>
      <c r="AC1380" s="782">
        <v>1376</v>
      </c>
      <c r="AD1380" s="782" t="s">
        <v>4573</v>
      </c>
      <c r="AE1380" s="782" t="s">
        <v>4564</v>
      </c>
      <c r="AF1380" s="781">
        <f>$S$1*P!AF1380</f>
        <v>0.17616935483870969</v>
      </c>
    </row>
    <row r="1381" spans="19:32" x14ac:dyDescent="0.35">
      <c r="S1381" s="881">
        <v>1377</v>
      </c>
      <c r="T1381" s="881" t="s">
        <v>4284</v>
      </c>
      <c r="U1381" s="881" t="s">
        <v>4666</v>
      </c>
      <c r="V1381" s="883">
        <f>$S$1*P!V1381</f>
        <v>6.0665322580645163E-3</v>
      </c>
      <c r="W1381" s="780"/>
      <c r="X1381" s="782">
        <v>1377</v>
      </c>
      <c r="Y1381" s="782" t="s">
        <v>2248</v>
      </c>
      <c r="Z1381" s="782" t="s">
        <v>5416</v>
      </c>
      <c r="AA1381" s="781">
        <f>$S$1*P!AA1381</f>
        <v>7.5745967741935484E-5</v>
      </c>
      <c r="AB1381" s="780"/>
      <c r="AC1381" s="881">
        <v>1377</v>
      </c>
      <c r="AD1381" s="881" t="s">
        <v>4573</v>
      </c>
      <c r="AE1381" s="881" t="s">
        <v>4563</v>
      </c>
      <c r="AF1381" s="882">
        <f>$S$1*P!AF1381</f>
        <v>5.2096774193548393E-3</v>
      </c>
    </row>
    <row r="1382" spans="19:32" x14ac:dyDescent="0.35">
      <c r="S1382" s="782">
        <v>1378</v>
      </c>
      <c r="T1382" s="782" t="s">
        <v>4284</v>
      </c>
      <c r="U1382" s="782" t="s">
        <v>4665</v>
      </c>
      <c r="V1382" s="797">
        <f>$S$1*P!V1382</f>
        <v>2.6631048387096772E-4</v>
      </c>
      <c r="W1382" s="780"/>
      <c r="X1382" s="782">
        <v>1378</v>
      </c>
      <c r="Y1382" s="782" t="s">
        <v>2248</v>
      </c>
      <c r="Z1382" s="782" t="s">
        <v>3432</v>
      </c>
      <c r="AA1382" s="781">
        <f>$S$1*P!AA1382</f>
        <v>3.9758064516129035E-3</v>
      </c>
      <c r="AB1382" s="780"/>
      <c r="AC1382" s="782">
        <v>1378</v>
      </c>
      <c r="AD1382" s="782" t="s">
        <v>4573</v>
      </c>
      <c r="AE1382" s="782" t="s">
        <v>4562</v>
      </c>
      <c r="AF1382" s="781">
        <f>$S$1*P!AF1382</f>
        <v>6.4435483870967753E-4</v>
      </c>
    </row>
    <row r="1383" spans="19:32" x14ac:dyDescent="0.35">
      <c r="S1383" s="881">
        <v>1379</v>
      </c>
      <c r="T1383" s="881" t="s">
        <v>4284</v>
      </c>
      <c r="U1383" s="881" t="s">
        <v>4664</v>
      </c>
      <c r="V1383" s="883">
        <f>$S$1*P!V1383</f>
        <v>2.2758064516129033E-2</v>
      </c>
      <c r="W1383" s="780"/>
      <c r="X1383" s="782">
        <v>1379</v>
      </c>
      <c r="Y1383" s="782" t="s">
        <v>2248</v>
      </c>
      <c r="Z1383" s="782" t="s">
        <v>4895</v>
      </c>
      <c r="AA1383" s="781">
        <f>$S$1*P!AA1383</f>
        <v>6.7520161290322584E-3</v>
      </c>
      <c r="AB1383" s="780"/>
      <c r="AC1383" s="881">
        <v>1379</v>
      </c>
      <c r="AD1383" s="881" t="s">
        <v>4573</v>
      </c>
      <c r="AE1383" s="881" t="s">
        <v>3273</v>
      </c>
      <c r="AF1383" s="882">
        <f>$S$1*P!AF1383</f>
        <v>0</v>
      </c>
    </row>
    <row r="1384" spans="19:32" x14ac:dyDescent="0.35">
      <c r="S1384" s="861">
        <v>1380</v>
      </c>
      <c r="T1384" s="861" t="s">
        <v>4284</v>
      </c>
      <c r="U1384" s="861" t="s">
        <v>3342</v>
      </c>
      <c r="V1384" s="862">
        <f>$S$1*P!V1384</f>
        <v>7.7039999999999988</v>
      </c>
      <c r="W1384" s="780"/>
      <c r="X1384" s="782">
        <v>1380</v>
      </c>
      <c r="Y1384" s="782" t="s">
        <v>2248</v>
      </c>
      <c r="Z1384" s="782" t="s">
        <v>5415</v>
      </c>
      <c r="AA1384" s="781">
        <f>$S$1*P!AA1384</f>
        <v>4.5241935483870972E-3</v>
      </c>
      <c r="AB1384" s="780"/>
      <c r="AC1384" s="881">
        <v>1380</v>
      </c>
      <c r="AD1384" s="881" t="s">
        <v>4573</v>
      </c>
      <c r="AE1384" s="881" t="s">
        <v>4561</v>
      </c>
      <c r="AF1384" s="882">
        <f>$S$1*P!AF1384</f>
        <v>2.0804435483870971E-2</v>
      </c>
    </row>
    <row r="1385" spans="19:32" x14ac:dyDescent="0.35">
      <c r="S1385" s="881">
        <v>1381</v>
      </c>
      <c r="T1385" s="881" t="s">
        <v>4284</v>
      </c>
      <c r="U1385" s="881" t="s">
        <v>3342</v>
      </c>
      <c r="V1385" s="883">
        <f>$S$1*P!V1385</f>
        <v>0.52532000000000001</v>
      </c>
      <c r="W1385" s="780"/>
      <c r="X1385" s="782">
        <v>1381</v>
      </c>
      <c r="Y1385" s="782" t="s">
        <v>2248</v>
      </c>
      <c r="Z1385" s="782" t="s">
        <v>4894</v>
      </c>
      <c r="AA1385" s="781">
        <f>$S$1*P!AA1385</f>
        <v>4.1471774193548391E-4</v>
      </c>
      <c r="AB1385" s="780"/>
      <c r="AC1385" s="881">
        <v>1381</v>
      </c>
      <c r="AD1385" s="881" t="s">
        <v>4573</v>
      </c>
      <c r="AE1385" s="881" t="s">
        <v>4560</v>
      </c>
      <c r="AF1385" s="882">
        <f>$S$1*P!AF1385</f>
        <v>0.18987903225806452</v>
      </c>
    </row>
    <row r="1386" spans="19:32" x14ac:dyDescent="0.35">
      <c r="S1386" s="881">
        <v>1382</v>
      </c>
      <c r="T1386" s="881" t="s">
        <v>4284</v>
      </c>
      <c r="U1386" s="881" t="s">
        <v>3341</v>
      </c>
      <c r="V1386" s="883">
        <f>$S$1*P!V1386</f>
        <v>1.583467741935484E-3</v>
      </c>
      <c r="W1386" s="780"/>
      <c r="X1386" s="782">
        <v>1382</v>
      </c>
      <c r="Y1386" s="782" t="s">
        <v>2248</v>
      </c>
      <c r="Z1386" s="782" t="s">
        <v>4893</v>
      </c>
      <c r="AA1386" s="781">
        <f>$S$1*P!AA1386</f>
        <v>1.984475806451613E-4</v>
      </c>
      <c r="AB1386" s="780"/>
      <c r="AC1386" s="881">
        <v>1382</v>
      </c>
      <c r="AD1386" s="881" t="s">
        <v>4573</v>
      </c>
      <c r="AE1386" s="881" t="s">
        <v>4559</v>
      </c>
      <c r="AF1386" s="882">
        <f>$S$1*P!AF1386</f>
        <v>8.73991935483871E-2</v>
      </c>
    </row>
    <row r="1387" spans="19:32" x14ac:dyDescent="0.35">
      <c r="S1387" s="881">
        <v>1383</v>
      </c>
      <c r="T1387" s="881" t="s">
        <v>4284</v>
      </c>
      <c r="U1387" s="881" t="s">
        <v>3341</v>
      </c>
      <c r="V1387" s="883">
        <f>$S$1*P!V1387</f>
        <v>1.6927999999999999</v>
      </c>
      <c r="W1387" s="780"/>
      <c r="X1387" s="782">
        <v>1383</v>
      </c>
      <c r="Y1387" s="782" t="s">
        <v>2248</v>
      </c>
      <c r="Z1387" s="782" t="s">
        <v>5414</v>
      </c>
      <c r="AA1387" s="781">
        <f>$S$1*P!AA1387</f>
        <v>3.3006048387096778E-4</v>
      </c>
      <c r="AB1387" s="780"/>
      <c r="AC1387" s="881">
        <v>1383</v>
      </c>
      <c r="AD1387" s="881" t="s">
        <v>4573</v>
      </c>
      <c r="AE1387" s="881" t="s">
        <v>4558</v>
      </c>
      <c r="AF1387" s="882">
        <f>$S$1*P!AF1387</f>
        <v>4.25</v>
      </c>
    </row>
    <row r="1388" spans="19:32" x14ac:dyDescent="0.35">
      <c r="S1388" s="881">
        <v>1384</v>
      </c>
      <c r="T1388" s="881" t="s">
        <v>4284</v>
      </c>
      <c r="U1388" s="881" t="s">
        <v>4663</v>
      </c>
      <c r="V1388" s="883">
        <f>$S$1*P!V1388</f>
        <v>2.0598790322580646E-4</v>
      </c>
      <c r="W1388" s="780"/>
      <c r="X1388" s="782">
        <v>1384</v>
      </c>
      <c r="Y1388" s="782" t="s">
        <v>2248</v>
      </c>
      <c r="Z1388" s="782" t="s">
        <v>4892</v>
      </c>
      <c r="AA1388" s="781">
        <f>$S$1*P!AA1388</f>
        <v>1.7891129032258064E-4</v>
      </c>
      <c r="AB1388" s="780"/>
      <c r="AC1388" s="782">
        <v>1384</v>
      </c>
      <c r="AD1388" s="782" t="s">
        <v>4573</v>
      </c>
      <c r="AE1388" s="782" t="s">
        <v>4557</v>
      </c>
      <c r="AF1388" s="781">
        <f>$S$1*P!AF1388</f>
        <v>8.2943548387096779</v>
      </c>
    </row>
    <row r="1389" spans="19:32" x14ac:dyDescent="0.35">
      <c r="S1389" s="861">
        <v>1385</v>
      </c>
      <c r="T1389" s="861" t="s">
        <v>4284</v>
      </c>
      <c r="U1389" s="861" t="s">
        <v>4662</v>
      </c>
      <c r="V1389" s="862">
        <f>$S$1*P!V1389</f>
        <v>7.1689999999999996</v>
      </c>
      <c r="W1389" s="780"/>
      <c r="X1389" s="782">
        <v>1385</v>
      </c>
      <c r="Y1389" s="782" t="s">
        <v>2248</v>
      </c>
      <c r="Z1389" s="782" t="s">
        <v>4891</v>
      </c>
      <c r="AA1389" s="781">
        <f>$S$1*P!AA1389</f>
        <v>1.2921370967741935E-4</v>
      </c>
      <c r="AB1389" s="780"/>
      <c r="AC1389" s="881">
        <v>1385</v>
      </c>
      <c r="AD1389" s="881" t="s">
        <v>4573</v>
      </c>
      <c r="AE1389" s="881" t="s">
        <v>4556</v>
      </c>
      <c r="AF1389" s="882">
        <f>$S$1*P!AF1389</f>
        <v>0.84314516129032269</v>
      </c>
    </row>
    <row r="1390" spans="19:32" x14ac:dyDescent="0.35">
      <c r="S1390" s="881">
        <v>1386</v>
      </c>
      <c r="T1390" s="881" t="s">
        <v>4284</v>
      </c>
      <c r="U1390" s="881" t="s">
        <v>4662</v>
      </c>
      <c r="V1390" s="883">
        <f>$S$1*P!V1390</f>
        <v>4.0443548387096777E-6</v>
      </c>
      <c r="W1390" s="780"/>
      <c r="X1390" s="782">
        <v>1386</v>
      </c>
      <c r="Y1390" s="782" t="s">
        <v>2248</v>
      </c>
      <c r="Z1390" s="782" t="s">
        <v>5413</v>
      </c>
      <c r="AA1390" s="781">
        <f>$S$1*P!AA1390</f>
        <v>3.633064516129033E-5</v>
      </c>
      <c r="AB1390" s="780"/>
      <c r="AC1390" s="782">
        <v>1386</v>
      </c>
      <c r="AD1390" s="782" t="s">
        <v>4573</v>
      </c>
      <c r="AE1390" s="782" t="s">
        <v>4555</v>
      </c>
      <c r="AF1390" s="781">
        <f>$S$1*P!AF1390</f>
        <v>4.3528225806451614E-3</v>
      </c>
    </row>
    <row r="1391" spans="19:32" x14ac:dyDescent="0.35">
      <c r="S1391" s="782">
        <v>1387</v>
      </c>
      <c r="T1391" s="782" t="s">
        <v>4284</v>
      </c>
      <c r="U1391" s="782" t="s">
        <v>4661</v>
      </c>
      <c r="V1391" s="797">
        <f>$S$1*P!V1391</f>
        <v>2.0050403225806455E-6</v>
      </c>
      <c r="W1391" s="780"/>
      <c r="X1391" s="782">
        <v>1387</v>
      </c>
      <c r="Y1391" s="782" t="s">
        <v>2248</v>
      </c>
      <c r="Z1391" s="782" t="s">
        <v>3431</v>
      </c>
      <c r="AA1391" s="781">
        <f>$S$1*P!AA1391</f>
        <v>7.0471999999999993E-2</v>
      </c>
      <c r="AB1391" s="780"/>
      <c r="AC1391" s="881">
        <v>1387</v>
      </c>
      <c r="AD1391" s="881" t="s">
        <v>4573</v>
      </c>
      <c r="AE1391" s="881" t="s">
        <v>3272</v>
      </c>
      <c r="AF1391" s="882">
        <f>$S$1*P!AF1391</f>
        <v>0</v>
      </c>
    </row>
    <row r="1392" spans="19:32" x14ac:dyDescent="0.35">
      <c r="S1392" s="861">
        <v>1388</v>
      </c>
      <c r="T1392" s="861" t="s">
        <v>4284</v>
      </c>
      <c r="U1392" s="861" t="s">
        <v>5412</v>
      </c>
      <c r="V1392" s="862">
        <f>$S$1*P!V1392</f>
        <v>3.1832499999999997</v>
      </c>
      <c r="W1392" s="780"/>
      <c r="X1392" s="782">
        <v>1388</v>
      </c>
      <c r="Y1392" s="782" t="s">
        <v>2248</v>
      </c>
      <c r="Z1392" s="782" t="s">
        <v>3431</v>
      </c>
      <c r="AA1392" s="781">
        <f>$S$1*P!AA1392</f>
        <v>7.0604838709677423E-5</v>
      </c>
      <c r="AB1392" s="780"/>
      <c r="AC1392" s="881">
        <v>1388</v>
      </c>
      <c r="AD1392" s="881" t="s">
        <v>4573</v>
      </c>
      <c r="AE1392" s="881" t="s">
        <v>4553</v>
      </c>
      <c r="AF1392" s="882">
        <f>$S$1*P!AF1392</f>
        <v>7.9858870967741939</v>
      </c>
    </row>
    <row r="1393" spans="19:32" x14ac:dyDescent="0.35">
      <c r="S1393" s="789">
        <v>1389</v>
      </c>
      <c r="T1393" s="789" t="s">
        <v>4284</v>
      </c>
      <c r="U1393" s="789" t="s">
        <v>5411</v>
      </c>
      <c r="V1393" s="790">
        <f>$S$1*P!V1393</f>
        <v>273.76</v>
      </c>
      <c r="W1393" s="780"/>
      <c r="X1393" s="782">
        <v>1389</v>
      </c>
      <c r="Y1393" s="782" t="s">
        <v>2248</v>
      </c>
      <c r="Z1393" s="782" t="s">
        <v>4889</v>
      </c>
      <c r="AA1393" s="781">
        <f>$S$1*P!AA1393</f>
        <v>6.4778225806451616E-3</v>
      </c>
      <c r="AB1393" s="780"/>
      <c r="AC1393" s="782">
        <v>1389</v>
      </c>
      <c r="AD1393" s="782" t="s">
        <v>4573</v>
      </c>
      <c r="AE1393" s="782" t="s">
        <v>4552</v>
      </c>
      <c r="AF1393" s="781">
        <f>$S$1*P!AF1393</f>
        <v>3.0743951612903229</v>
      </c>
    </row>
    <row r="1394" spans="19:32" x14ac:dyDescent="0.35">
      <c r="S1394" s="789">
        <v>1390</v>
      </c>
      <c r="T1394" s="789" t="s">
        <v>4284</v>
      </c>
      <c r="U1394" s="789" t="s">
        <v>5410</v>
      </c>
      <c r="V1394" s="790">
        <f>$S$1*P!V1394</f>
        <v>93.26400000000001</v>
      </c>
      <c r="W1394" s="780"/>
      <c r="X1394" s="782">
        <v>1390</v>
      </c>
      <c r="Y1394" s="782" t="s">
        <v>2248</v>
      </c>
      <c r="Z1394" s="782" t="s">
        <v>5409</v>
      </c>
      <c r="AA1394" s="781">
        <f>$S$1*P!AA1394</f>
        <v>8.3629032258064514E-5</v>
      </c>
      <c r="AB1394" s="780"/>
      <c r="AC1394" s="881">
        <v>1390</v>
      </c>
      <c r="AD1394" s="881" t="s">
        <v>4573</v>
      </c>
      <c r="AE1394" s="881" t="s">
        <v>3271</v>
      </c>
      <c r="AF1394" s="882">
        <f>$S$1*P!AF1394</f>
        <v>4.3528225806451618E-2</v>
      </c>
    </row>
    <row r="1395" spans="19:32" x14ac:dyDescent="0.35">
      <c r="S1395" s="885">
        <v>1391</v>
      </c>
      <c r="T1395" s="885" t="s">
        <v>4284</v>
      </c>
      <c r="U1395" s="885" t="s">
        <v>3340</v>
      </c>
      <c r="V1395" s="887">
        <f>$S$1*P!V1395</f>
        <v>1.004233870967742E-5</v>
      </c>
      <c r="W1395" s="780"/>
      <c r="X1395" s="782">
        <v>1391</v>
      </c>
      <c r="Y1395" s="782" t="s">
        <v>2248</v>
      </c>
      <c r="Z1395" s="782" t="s">
        <v>3430</v>
      </c>
      <c r="AA1395" s="781">
        <f>$S$1*P!AA1395</f>
        <v>7.1024000000000004E-2</v>
      </c>
      <c r="AB1395" s="780"/>
      <c r="AC1395" s="881">
        <v>1391</v>
      </c>
      <c r="AD1395" s="881" t="s">
        <v>4573</v>
      </c>
      <c r="AE1395" s="881" t="s">
        <v>3271</v>
      </c>
      <c r="AF1395" s="882">
        <f>$S$1*P!AF1395</f>
        <v>0.57775999999999994</v>
      </c>
    </row>
    <row r="1396" spans="19:32" x14ac:dyDescent="0.35">
      <c r="S1396" s="881">
        <v>1392</v>
      </c>
      <c r="T1396" s="881" t="s">
        <v>4284</v>
      </c>
      <c r="U1396" s="881" t="s">
        <v>3340</v>
      </c>
      <c r="V1396" s="883">
        <f>$S$1*P!V1396</f>
        <v>7.7831999999999998E-2</v>
      </c>
      <c r="W1396" s="780"/>
      <c r="X1396" s="782">
        <v>1392</v>
      </c>
      <c r="Y1396" s="782" t="s">
        <v>2248</v>
      </c>
      <c r="Z1396" s="782" t="s">
        <v>3430</v>
      </c>
      <c r="AA1396" s="781">
        <f>$S$1*P!AA1396</f>
        <v>2.8036290322580645E-3</v>
      </c>
      <c r="AB1396" s="780"/>
      <c r="AC1396" s="881">
        <v>1392</v>
      </c>
      <c r="AD1396" s="881" t="s">
        <v>4573</v>
      </c>
      <c r="AE1396" s="881" t="s">
        <v>3270</v>
      </c>
      <c r="AF1396" s="882">
        <f>$S$1*P!AF1396</f>
        <v>0</v>
      </c>
    </row>
    <row r="1397" spans="19:32" x14ac:dyDescent="0.35">
      <c r="S1397" s="782">
        <v>1393</v>
      </c>
      <c r="T1397" s="782" t="s">
        <v>4284</v>
      </c>
      <c r="U1397" s="782" t="s">
        <v>4660</v>
      </c>
      <c r="V1397" s="797">
        <f>$S$1*P!V1397</f>
        <v>1.8268145161290323E-7</v>
      </c>
      <c r="W1397" s="780"/>
      <c r="X1397" s="782">
        <v>1393</v>
      </c>
      <c r="Y1397" s="782" t="s">
        <v>2248</v>
      </c>
      <c r="Z1397" s="782" t="s">
        <v>5408</v>
      </c>
      <c r="AA1397" s="781">
        <f>$S$1*P!AA1397</f>
        <v>9.8366935483870977E-5</v>
      </c>
      <c r="AB1397" s="780"/>
      <c r="AC1397" s="881">
        <v>1393</v>
      </c>
      <c r="AD1397" s="881" t="s">
        <v>4573</v>
      </c>
      <c r="AE1397" s="881" t="s">
        <v>3268</v>
      </c>
      <c r="AF1397" s="882">
        <f>$S$1*P!AF1397</f>
        <v>0</v>
      </c>
    </row>
    <row r="1398" spans="19:32" x14ac:dyDescent="0.35">
      <c r="S1398" s="881">
        <v>1394</v>
      </c>
      <c r="T1398" s="881" t="s">
        <v>4284</v>
      </c>
      <c r="U1398" s="881" t="s">
        <v>3339</v>
      </c>
      <c r="V1398" s="883">
        <f>$S$1*P!V1398</f>
        <v>3.8044354838709684E-8</v>
      </c>
      <c r="W1398" s="780"/>
      <c r="X1398" s="782">
        <v>1394</v>
      </c>
      <c r="Y1398" s="782" t="s">
        <v>2248</v>
      </c>
      <c r="Z1398" s="782" t="s">
        <v>4888</v>
      </c>
      <c r="AA1398" s="781">
        <f>$S$1*P!AA1398</f>
        <v>2.4848790322580649E-2</v>
      </c>
      <c r="AB1398" s="780"/>
      <c r="AC1398" s="881">
        <v>1394</v>
      </c>
      <c r="AD1398" s="881" t="s">
        <v>4573</v>
      </c>
      <c r="AE1398" s="881" t="s">
        <v>4551</v>
      </c>
      <c r="AF1398" s="882">
        <f>$S$1*P!AF1398</f>
        <v>6.7862903225806464E-4</v>
      </c>
    </row>
    <row r="1399" spans="19:32" x14ac:dyDescent="0.35">
      <c r="S1399" s="881">
        <v>1395</v>
      </c>
      <c r="T1399" s="881" t="s">
        <v>4284</v>
      </c>
      <c r="U1399" s="881" t="s">
        <v>3339</v>
      </c>
      <c r="V1399" s="883">
        <f>$S$1*P!V1399</f>
        <v>0</v>
      </c>
      <c r="W1399" s="780"/>
      <c r="X1399" s="782">
        <v>1395</v>
      </c>
      <c r="Y1399" s="782" t="s">
        <v>2248</v>
      </c>
      <c r="Z1399" s="782" t="s">
        <v>3429</v>
      </c>
      <c r="AA1399" s="781">
        <f>$S$1*P!AA1399</f>
        <v>1.6284000000000001</v>
      </c>
      <c r="AB1399" s="780"/>
      <c r="AC1399" s="881">
        <v>1395</v>
      </c>
      <c r="AD1399" s="881" t="s">
        <v>4573</v>
      </c>
      <c r="AE1399" s="881" t="s">
        <v>4550</v>
      </c>
      <c r="AF1399" s="882">
        <f>$S$1*P!AF1399</f>
        <v>1.3024193548387097</v>
      </c>
    </row>
    <row r="1400" spans="19:32" x14ac:dyDescent="0.35">
      <c r="S1400" s="782">
        <v>1396</v>
      </c>
      <c r="T1400" s="782" t="s">
        <v>4284</v>
      </c>
      <c r="U1400" s="782" t="s">
        <v>4659</v>
      </c>
      <c r="V1400" s="797">
        <f>$S$1*P!V1400</f>
        <v>9.5282258064516135E-7</v>
      </c>
      <c r="W1400" s="780"/>
      <c r="X1400" s="782">
        <v>1396</v>
      </c>
      <c r="Y1400" s="782" t="s">
        <v>2248</v>
      </c>
      <c r="Z1400" s="782" t="s">
        <v>4887</v>
      </c>
      <c r="AA1400" s="781">
        <f>$S$1*P!AA1400</f>
        <v>1.1824596774193548E-3</v>
      </c>
      <c r="AB1400" s="780"/>
      <c r="AC1400" s="881">
        <v>1396</v>
      </c>
      <c r="AD1400" s="881" t="s">
        <v>4573</v>
      </c>
      <c r="AE1400" s="881" t="s">
        <v>4549</v>
      </c>
      <c r="AF1400" s="882">
        <f>$S$1*P!AF1400</f>
        <v>2.6356854838709678</v>
      </c>
    </row>
    <row r="1401" spans="19:32" x14ac:dyDescent="0.35">
      <c r="S1401" s="881">
        <v>1397</v>
      </c>
      <c r="T1401" s="881" t="s">
        <v>4284</v>
      </c>
      <c r="U1401" s="881" t="s">
        <v>4658</v>
      </c>
      <c r="V1401" s="883">
        <f>$S$1*P!V1401</f>
        <v>6.3407258064516136E-4</v>
      </c>
      <c r="W1401" s="780"/>
      <c r="X1401" s="782">
        <v>1397</v>
      </c>
      <c r="Y1401" s="782" t="s">
        <v>2248</v>
      </c>
      <c r="Z1401" s="782" t="s">
        <v>5407</v>
      </c>
      <c r="AA1401" s="781">
        <f>$S$1*P!AA1401</f>
        <v>3.3931451612903226E-5</v>
      </c>
      <c r="AB1401" s="780"/>
      <c r="AC1401" s="782">
        <v>1397</v>
      </c>
      <c r="AD1401" s="782" t="s">
        <v>4573</v>
      </c>
      <c r="AE1401" s="782" t="s">
        <v>4548</v>
      </c>
      <c r="AF1401" s="781">
        <f>$S$1*P!AF1401</f>
        <v>1.5389112903225808</v>
      </c>
    </row>
    <row r="1402" spans="19:32" x14ac:dyDescent="0.35">
      <c r="S1402" s="861">
        <v>1398</v>
      </c>
      <c r="T1402" s="861" t="s">
        <v>4284</v>
      </c>
      <c r="U1402" s="861" t="s">
        <v>5406</v>
      </c>
      <c r="V1402" s="862">
        <f>$S$1*P!V1402</f>
        <v>2.1774499999999999</v>
      </c>
      <c r="W1402" s="780"/>
      <c r="X1402" s="782">
        <v>1398</v>
      </c>
      <c r="Y1402" s="782" t="s">
        <v>2248</v>
      </c>
      <c r="Z1402" s="782" t="s">
        <v>4886</v>
      </c>
      <c r="AA1402" s="781">
        <f>$S$1*P!AA1402</f>
        <v>3.3657258064516134E-3</v>
      </c>
      <c r="AB1402" s="780"/>
      <c r="AC1402" s="881">
        <v>1398</v>
      </c>
      <c r="AD1402" s="881" t="s">
        <v>4573</v>
      </c>
      <c r="AE1402" s="881" t="s">
        <v>3267</v>
      </c>
      <c r="AF1402" s="882">
        <f>$S$1*P!AF1402</f>
        <v>0</v>
      </c>
    </row>
    <row r="1403" spans="19:32" x14ac:dyDescent="0.35">
      <c r="S1403" s="861">
        <v>1399</v>
      </c>
      <c r="T1403" s="861" t="s">
        <v>4284</v>
      </c>
      <c r="U1403" s="861" t="s">
        <v>5405</v>
      </c>
      <c r="V1403" s="862">
        <f>$S$1*P!V1403</f>
        <v>4.8898999999999999</v>
      </c>
      <c r="W1403" s="780"/>
      <c r="X1403" s="782">
        <v>1399</v>
      </c>
      <c r="Y1403" s="782" t="s">
        <v>2248</v>
      </c>
      <c r="Z1403" s="782" t="s">
        <v>4885</v>
      </c>
      <c r="AA1403" s="781">
        <f>$S$1*P!AA1403</f>
        <v>7.5745967741935484E-5</v>
      </c>
      <c r="AB1403" s="780"/>
      <c r="AC1403" s="881">
        <v>1399</v>
      </c>
      <c r="AD1403" s="881" t="s">
        <v>4573</v>
      </c>
      <c r="AE1403" s="881" t="s">
        <v>3266</v>
      </c>
      <c r="AF1403" s="882">
        <f>$S$1*P!AF1403</f>
        <v>8.7056451612903228E-3</v>
      </c>
    </row>
    <row r="1404" spans="19:32" x14ac:dyDescent="0.35">
      <c r="S1404" s="789">
        <v>1400</v>
      </c>
      <c r="T1404" s="789" t="s">
        <v>4284</v>
      </c>
      <c r="U1404" s="789" t="s">
        <v>5404</v>
      </c>
      <c r="V1404" s="790">
        <f>$S$1*P!V1404</f>
        <v>1067.2</v>
      </c>
      <c r="W1404" s="863"/>
      <c r="X1404" s="782">
        <v>1400</v>
      </c>
      <c r="Y1404" s="782" t="s">
        <v>2248</v>
      </c>
      <c r="Z1404" s="782" t="s">
        <v>5403</v>
      </c>
      <c r="AA1404" s="781">
        <f>$S$1*P!AA1404</f>
        <v>3.2560483870967741E-5</v>
      </c>
      <c r="AB1404" s="780"/>
      <c r="AC1404" s="881">
        <v>1400</v>
      </c>
      <c r="AD1404" s="881" t="s">
        <v>4573</v>
      </c>
      <c r="AE1404" s="881" t="s">
        <v>3266</v>
      </c>
      <c r="AF1404" s="882">
        <f>$S$1*P!AF1404</f>
        <v>1.1039999999999999</v>
      </c>
    </row>
    <row r="1405" spans="19:32" x14ac:dyDescent="0.35">
      <c r="S1405" s="789">
        <v>1401</v>
      </c>
      <c r="T1405" s="789" t="s">
        <v>4284</v>
      </c>
      <c r="U1405" s="789" t="s">
        <v>5402</v>
      </c>
      <c r="V1405" s="790">
        <f>$S$1*P!V1405</f>
        <v>1106.6400000000001</v>
      </c>
      <c r="W1405" s="876"/>
      <c r="X1405" s="782">
        <v>1401</v>
      </c>
      <c r="Y1405" s="782" t="s">
        <v>2248</v>
      </c>
      <c r="Z1405" s="782" t="s">
        <v>3428</v>
      </c>
      <c r="AA1405" s="781">
        <f>$S$1*P!AA1405</f>
        <v>0</v>
      </c>
      <c r="AB1405" s="780"/>
      <c r="AC1405" s="881">
        <v>1401</v>
      </c>
      <c r="AD1405" s="881" t="s">
        <v>4573</v>
      </c>
      <c r="AE1405" s="881" t="s">
        <v>3264</v>
      </c>
      <c r="AF1405" s="882">
        <f>$S$1*P!AF1405</f>
        <v>0</v>
      </c>
    </row>
    <row r="1406" spans="19:32" x14ac:dyDescent="0.35">
      <c r="S1406" s="881">
        <v>1402</v>
      </c>
      <c r="T1406" s="881" t="s">
        <v>4284</v>
      </c>
      <c r="U1406" s="881" t="s">
        <v>4657</v>
      </c>
      <c r="V1406" s="883">
        <f>$S$1*P!V1406</f>
        <v>9.1854838709677438E-5</v>
      </c>
      <c r="W1406" s="780"/>
      <c r="X1406" s="782">
        <v>1402</v>
      </c>
      <c r="Y1406" s="782" t="s">
        <v>2248</v>
      </c>
      <c r="Z1406" s="782" t="s">
        <v>4884</v>
      </c>
      <c r="AA1406" s="781">
        <f>$S$1*P!AA1406</f>
        <v>2.906451612903226E-3</v>
      </c>
      <c r="AB1406" s="780"/>
      <c r="AC1406" s="782">
        <v>1402</v>
      </c>
      <c r="AD1406" s="782" t="s">
        <v>4573</v>
      </c>
      <c r="AE1406" s="782" t="s">
        <v>4547</v>
      </c>
      <c r="AF1406" s="781">
        <f>$S$1*P!AF1406</f>
        <v>8.0544354838709689E-4</v>
      </c>
    </row>
    <row r="1407" spans="19:32" x14ac:dyDescent="0.35">
      <c r="S1407" s="881">
        <v>1403</v>
      </c>
      <c r="T1407" s="881" t="s">
        <v>4284</v>
      </c>
      <c r="U1407" s="881" t="s">
        <v>4656</v>
      </c>
      <c r="V1407" s="883">
        <f>$S$1*P!V1407</f>
        <v>2.3649193548387095E-5</v>
      </c>
      <c r="W1407" s="780"/>
      <c r="X1407" s="782">
        <v>1403</v>
      </c>
      <c r="Y1407" s="782" t="s">
        <v>2248</v>
      </c>
      <c r="Z1407" s="782" t="s">
        <v>5401</v>
      </c>
      <c r="AA1407" s="781">
        <f>$S$1*P!AA1407</f>
        <v>4.72983870967742E-4</v>
      </c>
      <c r="AB1407" s="780"/>
      <c r="AC1407" s="881">
        <v>1403</v>
      </c>
      <c r="AD1407" s="881" t="s">
        <v>4573</v>
      </c>
      <c r="AE1407" s="881" t="s">
        <v>4546</v>
      </c>
      <c r="AF1407" s="882">
        <f>$S$1*P!AF1407</f>
        <v>0.65120967741935487</v>
      </c>
    </row>
    <row r="1408" spans="19:32" x14ac:dyDescent="0.35">
      <c r="S1408" s="881">
        <v>1404</v>
      </c>
      <c r="T1408" s="881" t="s">
        <v>4284</v>
      </c>
      <c r="U1408" s="881" t="s">
        <v>4655</v>
      </c>
      <c r="V1408" s="883">
        <f>$S$1*P!V1408</f>
        <v>7.0604838709677426E-4</v>
      </c>
      <c r="W1408" s="780"/>
      <c r="X1408" s="782">
        <v>1404</v>
      </c>
      <c r="Y1408" s="782" t="s">
        <v>2248</v>
      </c>
      <c r="Z1408" s="782" t="s">
        <v>4883</v>
      </c>
      <c r="AA1408" s="781">
        <f>$S$1*P!AA1408</f>
        <v>9.2197580645161296E-4</v>
      </c>
      <c r="AB1408" s="780"/>
      <c r="AC1408" s="881">
        <v>1404</v>
      </c>
      <c r="AD1408" s="881" t="s">
        <v>4573</v>
      </c>
      <c r="AE1408" s="881" t="s">
        <v>3263</v>
      </c>
      <c r="AF1408" s="882">
        <f>$S$1*P!AF1408</f>
        <v>702.88</v>
      </c>
    </row>
    <row r="1409" spans="19:32" x14ac:dyDescent="0.35">
      <c r="S1409" s="782">
        <v>1405</v>
      </c>
      <c r="T1409" s="782" t="s">
        <v>4284</v>
      </c>
      <c r="U1409" s="782" t="s">
        <v>4654</v>
      </c>
      <c r="V1409" s="797">
        <f>$S$1*P!V1409</f>
        <v>1.2030241935483871E-4</v>
      </c>
      <c r="W1409" s="780"/>
      <c r="X1409" s="782">
        <v>1405</v>
      </c>
      <c r="Y1409" s="782" t="s">
        <v>2248</v>
      </c>
      <c r="Z1409" s="782" t="s">
        <v>4882</v>
      </c>
      <c r="AA1409" s="781">
        <f>$S$1*P!AA1409</f>
        <v>2.8687500000000002E-3</v>
      </c>
      <c r="AB1409" s="780"/>
      <c r="AC1409" s="782">
        <v>1405</v>
      </c>
      <c r="AD1409" s="782" t="s">
        <v>4573</v>
      </c>
      <c r="AE1409" s="782" t="s">
        <v>4545</v>
      </c>
      <c r="AF1409" s="781">
        <f>$S$1*P!AF1409</f>
        <v>2.4643145161290323</v>
      </c>
    </row>
    <row r="1410" spans="19:32" x14ac:dyDescent="0.35">
      <c r="S1410" s="881">
        <v>1406</v>
      </c>
      <c r="T1410" s="881" t="s">
        <v>4284</v>
      </c>
      <c r="U1410" s="881" t="s">
        <v>4653</v>
      </c>
      <c r="V1410" s="883">
        <f>$S$1*P!V1410</f>
        <v>4.5241935483870972E-9</v>
      </c>
      <c r="W1410" s="780"/>
      <c r="X1410" s="782">
        <v>1406</v>
      </c>
      <c r="Y1410" s="782" t="s">
        <v>2248</v>
      </c>
      <c r="Z1410" s="782" t="s">
        <v>4881</v>
      </c>
      <c r="AA1410" s="781">
        <f>$S$1*P!AA1410</f>
        <v>2.5122983870967745E-4</v>
      </c>
      <c r="AB1410" s="780"/>
      <c r="AC1410" s="881">
        <v>1406</v>
      </c>
      <c r="AD1410" s="881" t="s">
        <v>4573</v>
      </c>
      <c r="AE1410" s="881" t="s">
        <v>4544</v>
      </c>
      <c r="AF1410" s="882">
        <f>$S$1*P!AF1410</f>
        <v>3.6330645161290324E-3</v>
      </c>
    </row>
    <row r="1411" spans="19:32" x14ac:dyDescent="0.35">
      <c r="S1411" s="782">
        <v>1407</v>
      </c>
      <c r="T1411" s="782" t="s">
        <v>4284</v>
      </c>
      <c r="U1411" s="782" t="s">
        <v>4652</v>
      </c>
      <c r="V1411" s="797">
        <f>$S$1*P!V1411</f>
        <v>7.026209677419355E-6</v>
      </c>
      <c r="W1411" s="780"/>
      <c r="X1411" s="782">
        <v>1407</v>
      </c>
      <c r="Y1411" s="782" t="s">
        <v>2248</v>
      </c>
      <c r="Z1411" s="782" t="s">
        <v>5400</v>
      </c>
      <c r="AA1411" s="781">
        <f>$S$1*P!AA1411</f>
        <v>0.91854838709677422</v>
      </c>
      <c r="AB1411" s="780"/>
      <c r="AC1411" s="881">
        <v>1407</v>
      </c>
      <c r="AD1411" s="881" t="s">
        <v>4573</v>
      </c>
      <c r="AE1411" s="881" t="s">
        <v>4543</v>
      </c>
      <c r="AF1411" s="882">
        <f>$S$1*P!AF1411</f>
        <v>0.10830645161290324</v>
      </c>
    </row>
    <row r="1412" spans="19:32" x14ac:dyDescent="0.35">
      <c r="S1412" s="881">
        <v>1408</v>
      </c>
      <c r="T1412" s="881" t="s">
        <v>4284</v>
      </c>
      <c r="U1412" s="881" t="s">
        <v>4651</v>
      </c>
      <c r="V1412" s="883">
        <f>$S$1*P!V1412</f>
        <v>9.6995967741935485E-6</v>
      </c>
      <c r="W1412" s="780"/>
      <c r="X1412" s="782">
        <v>1408</v>
      </c>
      <c r="Y1412" s="782" t="s">
        <v>2248</v>
      </c>
      <c r="Z1412" s="782" t="s">
        <v>4880</v>
      </c>
      <c r="AA1412" s="781">
        <f>$S$1*P!AA1412</f>
        <v>1.0796370967741937E-3</v>
      </c>
      <c r="AB1412" s="780"/>
      <c r="AC1412" s="881">
        <v>1408</v>
      </c>
      <c r="AD1412" s="881" t="s">
        <v>4573</v>
      </c>
      <c r="AE1412" s="881" t="s">
        <v>3261</v>
      </c>
      <c r="AF1412" s="882">
        <f>$S$1*P!AF1412</f>
        <v>1.3606854838709678E-2</v>
      </c>
    </row>
    <row r="1413" spans="19:32" x14ac:dyDescent="0.35">
      <c r="S1413" s="881">
        <v>1409</v>
      </c>
      <c r="T1413" s="881" t="s">
        <v>4284</v>
      </c>
      <c r="U1413" s="881" t="s">
        <v>3337</v>
      </c>
      <c r="V1413" s="883">
        <f>$S$1*P!V1413</f>
        <v>0.34500000000000003</v>
      </c>
      <c r="W1413" s="780"/>
      <c r="X1413" s="782">
        <v>1409</v>
      </c>
      <c r="Y1413" s="782" t="s">
        <v>2248</v>
      </c>
      <c r="Z1413" s="782" t="s">
        <v>5399</v>
      </c>
      <c r="AA1413" s="781">
        <f>$S$1*P!AA1413</f>
        <v>2.053024193548387E-3</v>
      </c>
      <c r="AB1413" s="780"/>
      <c r="AC1413" s="881">
        <v>1409</v>
      </c>
      <c r="AD1413" s="881" t="s">
        <v>4573</v>
      </c>
      <c r="AE1413" s="881" t="s">
        <v>3261</v>
      </c>
      <c r="AF1413" s="882">
        <f>$S$1*P!AF1413</f>
        <v>0</v>
      </c>
    </row>
    <row r="1414" spans="19:32" x14ac:dyDescent="0.35">
      <c r="S1414" s="782">
        <v>1410</v>
      </c>
      <c r="T1414" s="782" t="s">
        <v>4284</v>
      </c>
      <c r="U1414" s="782" t="s">
        <v>4650</v>
      </c>
      <c r="V1414" s="797">
        <f>$S$1*P!V1414</f>
        <v>2.4608870967741938E-5</v>
      </c>
      <c r="W1414" s="780"/>
      <c r="X1414" s="782">
        <v>1410</v>
      </c>
      <c r="Y1414" s="782" t="s">
        <v>2248</v>
      </c>
      <c r="Z1414" s="782" t="s">
        <v>3427</v>
      </c>
      <c r="AA1414" s="781">
        <f>$S$1*P!AA1414</f>
        <v>1.2052000000000002E-4</v>
      </c>
      <c r="AB1414" s="780"/>
      <c r="AC1414" s="881">
        <v>1410</v>
      </c>
      <c r="AD1414" s="881" t="s">
        <v>4573</v>
      </c>
      <c r="AE1414" s="881" t="s">
        <v>3260</v>
      </c>
      <c r="AF1414" s="882">
        <f>$S$1*P!AF1414</f>
        <v>1.1241935483870968</v>
      </c>
    </row>
    <row r="1415" spans="19:32" x14ac:dyDescent="0.35">
      <c r="S1415" s="789">
        <v>1411</v>
      </c>
      <c r="T1415" s="789" t="s">
        <v>4284</v>
      </c>
      <c r="U1415" s="789" t="s">
        <v>5398</v>
      </c>
      <c r="V1415" s="790">
        <f>$S$1*P!V1415</f>
        <v>3.9440000000000004</v>
      </c>
      <c r="W1415" s="780"/>
      <c r="X1415" s="782">
        <v>1411</v>
      </c>
      <c r="Y1415" s="782" t="s">
        <v>2248</v>
      </c>
      <c r="Z1415" s="782" t="s">
        <v>3427</v>
      </c>
      <c r="AA1415" s="781">
        <f>$S$1*P!AA1415</f>
        <v>1.5149193548387097E-4</v>
      </c>
      <c r="AB1415" s="780"/>
      <c r="AC1415" s="881">
        <v>1411</v>
      </c>
      <c r="AD1415" s="881" t="s">
        <v>4573</v>
      </c>
      <c r="AE1415" s="881" t="s">
        <v>3260</v>
      </c>
      <c r="AF1415" s="882">
        <f>$S$1*P!AF1415</f>
        <v>0</v>
      </c>
    </row>
    <row r="1416" spans="19:32" x14ac:dyDescent="0.35">
      <c r="S1416" s="789">
        <v>1412</v>
      </c>
      <c r="T1416" s="789" t="s">
        <v>4284</v>
      </c>
      <c r="U1416" s="791" t="s">
        <v>5397</v>
      </c>
      <c r="V1416" s="792">
        <f>$S$1*P!V1416</f>
        <v>1.8560000000000001</v>
      </c>
      <c r="W1416" s="780"/>
      <c r="X1416" s="782">
        <v>1412</v>
      </c>
      <c r="Y1416" s="782" t="s">
        <v>2248</v>
      </c>
      <c r="Z1416" s="782" t="s">
        <v>3683</v>
      </c>
      <c r="AA1416" s="781">
        <f>$S$1*P!AA1416</f>
        <v>3.0024193548387101E-4</v>
      </c>
      <c r="AB1416" s="780"/>
      <c r="AC1416" s="782">
        <v>1412</v>
      </c>
      <c r="AD1416" s="782" t="s">
        <v>4573</v>
      </c>
      <c r="AE1416" s="782" t="s">
        <v>4542</v>
      </c>
      <c r="AF1416" s="781">
        <f>$S$1*P!AF1416</f>
        <v>0.54838709677419362</v>
      </c>
    </row>
    <row r="1417" spans="19:32" x14ac:dyDescent="0.35">
      <c r="S1417" s="789">
        <v>1413</v>
      </c>
      <c r="T1417" s="789" t="s">
        <v>4284</v>
      </c>
      <c r="U1417" s="789" t="s">
        <v>5396</v>
      </c>
      <c r="V1417" s="790">
        <f>$S$1*P!V1417</f>
        <v>1.9720000000000002</v>
      </c>
      <c r="W1417" s="780"/>
      <c r="X1417" s="782">
        <v>1413</v>
      </c>
      <c r="Y1417" s="782" t="s">
        <v>2248</v>
      </c>
      <c r="Z1417" s="782" t="s">
        <v>3425</v>
      </c>
      <c r="AA1417" s="781">
        <f>$S$1*P!AA1417</f>
        <v>0</v>
      </c>
      <c r="AB1417" s="780"/>
      <c r="AC1417" s="881">
        <v>1413</v>
      </c>
      <c r="AD1417" s="881" t="s">
        <v>4573</v>
      </c>
      <c r="AE1417" s="881" t="s">
        <v>4541</v>
      </c>
      <c r="AF1417" s="882">
        <f>$S$1*P!AF1417</f>
        <v>7.9173387096774198E-2</v>
      </c>
    </row>
    <row r="1418" spans="19:32" x14ac:dyDescent="0.35">
      <c r="S1418" s="861">
        <v>1414</v>
      </c>
      <c r="T1418" s="861" t="s">
        <v>4284</v>
      </c>
      <c r="U1418" s="861" t="s">
        <v>5395</v>
      </c>
      <c r="V1418" s="862">
        <f>$S$1*P!V1418</f>
        <v>4.4190999999999994</v>
      </c>
      <c r="W1418" s="780"/>
      <c r="X1418" s="782">
        <v>1414</v>
      </c>
      <c r="Y1418" s="782" t="s">
        <v>2248</v>
      </c>
      <c r="Z1418" s="782" t="s">
        <v>3425</v>
      </c>
      <c r="AA1418" s="781">
        <f>$S$1*P!AA1418</f>
        <v>4.2157258064516134E-4</v>
      </c>
      <c r="AB1418" s="780"/>
      <c r="AC1418" s="782">
        <v>1414</v>
      </c>
      <c r="AD1418" s="782" t="s">
        <v>4573</v>
      </c>
      <c r="AE1418" s="782" t="s">
        <v>3259</v>
      </c>
      <c r="AF1418" s="781">
        <f>$S$1*P!AF1418</f>
        <v>6.272177419354839</v>
      </c>
    </row>
    <row r="1419" spans="19:32" x14ac:dyDescent="0.35">
      <c r="S1419" s="861">
        <v>1415</v>
      </c>
      <c r="T1419" s="861" t="s">
        <v>4284</v>
      </c>
      <c r="U1419" s="861" t="s">
        <v>5394</v>
      </c>
      <c r="V1419" s="862">
        <f>$S$1*P!V1419</f>
        <v>3.6701000000000001</v>
      </c>
      <c r="W1419" s="780"/>
      <c r="X1419" s="782">
        <v>1415</v>
      </c>
      <c r="Y1419" s="782" t="s">
        <v>2248</v>
      </c>
      <c r="Z1419" s="782" t="s">
        <v>4879</v>
      </c>
      <c r="AA1419" s="781">
        <f>$S$1*P!AA1419</f>
        <v>3.1497983870967744E-3</v>
      </c>
      <c r="AB1419" s="780"/>
      <c r="AC1419" s="881">
        <v>1415</v>
      </c>
      <c r="AD1419" s="881" t="s">
        <v>4573</v>
      </c>
      <c r="AE1419" s="881" t="s">
        <v>3259</v>
      </c>
      <c r="AF1419" s="882">
        <f>$S$1*P!AF1419</f>
        <v>6900</v>
      </c>
    </row>
    <row r="1420" spans="19:32" x14ac:dyDescent="0.35">
      <c r="S1420" s="881">
        <v>1416</v>
      </c>
      <c r="T1420" s="881" t="s">
        <v>4284</v>
      </c>
      <c r="U1420" s="881" t="s">
        <v>4649</v>
      </c>
      <c r="V1420" s="883">
        <f>$S$1*P!V1420</f>
        <v>5.9294354838709687E-4</v>
      </c>
      <c r="W1420" s="780"/>
      <c r="X1420" s="782">
        <v>1416</v>
      </c>
      <c r="Y1420" s="782" t="s">
        <v>2248</v>
      </c>
      <c r="Z1420" s="782" t="s">
        <v>5393</v>
      </c>
      <c r="AA1420" s="781">
        <f>$S$1*P!AA1420</f>
        <v>0.18508064516129033</v>
      </c>
      <c r="AB1420" s="780"/>
      <c r="AC1420" s="881">
        <v>1416</v>
      </c>
      <c r="AD1420" s="881" t="s">
        <v>4573</v>
      </c>
      <c r="AE1420" s="881" t="s">
        <v>4540</v>
      </c>
      <c r="AF1420" s="882">
        <f>$S$1*P!AF1420</f>
        <v>29.715725806451616</v>
      </c>
    </row>
    <row r="1421" spans="19:32" x14ac:dyDescent="0.35">
      <c r="S1421" s="881">
        <v>1417</v>
      </c>
      <c r="T1421" s="881" t="s">
        <v>4284</v>
      </c>
      <c r="U1421" s="881" t="s">
        <v>4648</v>
      </c>
      <c r="V1421" s="883">
        <f>$S$1*P!V1421</f>
        <v>5.0725806451612905E-2</v>
      </c>
      <c r="W1421" s="780"/>
      <c r="X1421" s="782">
        <v>1417</v>
      </c>
      <c r="Y1421" s="782" t="s">
        <v>2248</v>
      </c>
      <c r="Z1421" s="782" t="s">
        <v>4878</v>
      </c>
      <c r="AA1421" s="781">
        <f>$S$1*P!AA1421</f>
        <v>4.1129032258064518E-5</v>
      </c>
      <c r="AB1421" s="780"/>
      <c r="AC1421" s="782">
        <v>1417</v>
      </c>
      <c r="AD1421" s="782" t="s">
        <v>4573</v>
      </c>
      <c r="AE1421" s="782" t="s">
        <v>4539</v>
      </c>
      <c r="AF1421" s="781">
        <f>$S$1*P!AF1421</f>
        <v>3.9415322580645165</v>
      </c>
    </row>
    <row r="1422" spans="19:32" x14ac:dyDescent="0.35">
      <c r="S1422" s="881">
        <v>1418</v>
      </c>
      <c r="T1422" s="881" t="s">
        <v>4284</v>
      </c>
      <c r="U1422" s="881" t="s">
        <v>4647</v>
      </c>
      <c r="V1422" s="883">
        <f>$S$1*P!V1422</f>
        <v>2.1764112903225807E-3</v>
      </c>
      <c r="W1422" s="780"/>
      <c r="X1422" s="782">
        <v>1418</v>
      </c>
      <c r="Y1422" s="782" t="s">
        <v>2248</v>
      </c>
      <c r="Z1422" s="782" t="s">
        <v>4875</v>
      </c>
      <c r="AA1422" s="781">
        <f>$S$1*P!AA1422</f>
        <v>0.14395161290322581</v>
      </c>
      <c r="AB1422" s="780"/>
      <c r="AC1422" s="881">
        <v>1418</v>
      </c>
      <c r="AD1422" s="881" t="s">
        <v>4573</v>
      </c>
      <c r="AE1422" s="881" t="s">
        <v>4538</v>
      </c>
      <c r="AF1422" s="882">
        <f>$S$1*P!AF1422</f>
        <v>0.61008064516129035</v>
      </c>
    </row>
    <row r="1423" spans="19:32" x14ac:dyDescent="0.35">
      <c r="S1423" s="881">
        <v>1419</v>
      </c>
      <c r="T1423" s="881" t="s">
        <v>4284</v>
      </c>
      <c r="U1423" s="881" t="s">
        <v>4646</v>
      </c>
      <c r="V1423" s="883">
        <f>$S$1*P!V1423</f>
        <v>4.6270161290322583E-2</v>
      </c>
      <c r="W1423" s="780"/>
      <c r="X1423" s="782">
        <v>1419</v>
      </c>
      <c r="Y1423" s="782" t="s">
        <v>2248</v>
      </c>
      <c r="Z1423" s="782" t="s">
        <v>4873</v>
      </c>
      <c r="AA1423" s="781">
        <f>$S$1*P!AA1423</f>
        <v>1.1139112903225806E-3</v>
      </c>
      <c r="AB1423" s="780"/>
      <c r="AC1423" s="881">
        <v>1419</v>
      </c>
      <c r="AD1423" s="881" t="s">
        <v>4573</v>
      </c>
      <c r="AE1423" s="881" t="s">
        <v>4537</v>
      </c>
      <c r="AF1423" s="882">
        <f>$S$1*P!AF1423</f>
        <v>2.3203629032258068E-2</v>
      </c>
    </row>
    <row r="1424" spans="19:32" x14ac:dyDescent="0.35">
      <c r="S1424" s="861">
        <v>1420</v>
      </c>
      <c r="T1424" s="861" t="s">
        <v>4284</v>
      </c>
      <c r="U1424" s="861" t="s">
        <v>4645</v>
      </c>
      <c r="V1424" s="862">
        <f>$S$1*P!V1424</f>
        <v>2.4289000000000001</v>
      </c>
      <c r="W1424" s="780"/>
      <c r="X1424" s="782">
        <v>1420</v>
      </c>
      <c r="Y1424" s="782" t="s">
        <v>2248</v>
      </c>
      <c r="Z1424" s="782" t="s">
        <v>5392</v>
      </c>
      <c r="AA1424" s="781">
        <f>$S$1*P!AA1424</f>
        <v>1.5868951612903228E-4</v>
      </c>
      <c r="AB1424" s="780"/>
      <c r="AC1424" s="881">
        <v>1420</v>
      </c>
      <c r="AD1424" s="881" t="s">
        <v>4573</v>
      </c>
      <c r="AE1424" s="881" t="s">
        <v>3258</v>
      </c>
      <c r="AF1424" s="882">
        <f>$S$1*P!AF1424</f>
        <v>5.0507999999999997</v>
      </c>
    </row>
    <row r="1425" spans="19:32" x14ac:dyDescent="0.35">
      <c r="S1425" s="782">
        <v>1421</v>
      </c>
      <c r="T1425" s="782" t="s">
        <v>4284</v>
      </c>
      <c r="U1425" s="782" t="s">
        <v>4645</v>
      </c>
      <c r="V1425" s="797">
        <f>$S$1*P!V1425</f>
        <v>4.0100806451612911E-6</v>
      </c>
      <c r="W1425" s="780"/>
      <c r="X1425" s="782">
        <v>1421</v>
      </c>
      <c r="Y1425" s="782" t="s">
        <v>2248</v>
      </c>
      <c r="Z1425" s="782" t="s">
        <v>4872</v>
      </c>
      <c r="AA1425" s="781">
        <f>$S$1*P!AA1425</f>
        <v>7.6774193548387109E-5</v>
      </c>
      <c r="AB1425" s="780"/>
      <c r="AC1425" s="881">
        <v>1421</v>
      </c>
      <c r="AD1425" s="881" t="s">
        <v>4573</v>
      </c>
      <c r="AE1425" s="881" t="s">
        <v>4536</v>
      </c>
      <c r="AF1425" s="882">
        <f>$S$1*P!AF1425</f>
        <v>466.12903225806457</v>
      </c>
    </row>
    <row r="1426" spans="19:32" x14ac:dyDescent="0.35">
      <c r="S1426" s="881">
        <v>1422</v>
      </c>
      <c r="T1426" s="881" t="s">
        <v>4284</v>
      </c>
      <c r="U1426" s="881" t="s">
        <v>4644</v>
      </c>
      <c r="V1426" s="883">
        <f>$S$1*P!V1426</f>
        <v>1.1413306451612905E-5</v>
      </c>
      <c r="W1426" s="780"/>
      <c r="X1426" s="782">
        <v>1422</v>
      </c>
      <c r="Y1426" s="782" t="s">
        <v>2248</v>
      </c>
      <c r="Z1426" s="782" t="s">
        <v>4871</v>
      </c>
      <c r="AA1426" s="781">
        <f>$S$1*P!AA1426</f>
        <v>3.0332661290322581E-4</v>
      </c>
      <c r="AB1426" s="780"/>
      <c r="AC1426" s="881">
        <v>1422</v>
      </c>
      <c r="AD1426" s="881" t="s">
        <v>4573</v>
      </c>
      <c r="AE1426" s="881" t="s">
        <v>4535</v>
      </c>
      <c r="AF1426" s="882">
        <f>$S$1*P!AF1426</f>
        <v>51.411290322580648</v>
      </c>
    </row>
    <row r="1427" spans="19:32" x14ac:dyDescent="0.35">
      <c r="S1427" s="782">
        <v>1423</v>
      </c>
      <c r="T1427" s="782" t="s">
        <v>4284</v>
      </c>
      <c r="U1427" s="782" t="s">
        <v>4643</v>
      </c>
      <c r="V1427" s="797">
        <f>$S$1*P!V1427</f>
        <v>1.1756048387096775E-7</v>
      </c>
      <c r="W1427" s="780"/>
      <c r="X1427" s="782">
        <v>1423</v>
      </c>
      <c r="Y1427" s="782" t="s">
        <v>2248</v>
      </c>
      <c r="Z1427" s="782" t="s">
        <v>5391</v>
      </c>
      <c r="AA1427" s="781">
        <f>$S$1*P!AA1427</f>
        <v>5.7580645161290328E-2</v>
      </c>
      <c r="AB1427" s="780"/>
      <c r="AC1427" s="782">
        <v>1423</v>
      </c>
      <c r="AD1427" s="782" t="s">
        <v>4573</v>
      </c>
      <c r="AE1427" s="782" t="s">
        <v>3257</v>
      </c>
      <c r="AF1427" s="781">
        <f>$S$1*P!AF1427</f>
        <v>1.6383064516129033</v>
      </c>
    </row>
    <row r="1428" spans="19:32" x14ac:dyDescent="0.35">
      <c r="S1428" s="881">
        <v>1424</v>
      </c>
      <c r="T1428" s="881" t="s">
        <v>4284</v>
      </c>
      <c r="U1428" s="881" t="s">
        <v>4642</v>
      </c>
      <c r="V1428" s="883">
        <f>$S$1*P!V1428</f>
        <v>1.1139112903225809E-5</v>
      </c>
      <c r="W1428" s="780"/>
      <c r="X1428" s="782">
        <v>1424</v>
      </c>
      <c r="Y1428" s="782" t="s">
        <v>2248</v>
      </c>
      <c r="Z1428" s="782" t="s">
        <v>4870</v>
      </c>
      <c r="AA1428" s="781">
        <f>$S$1*P!AA1428</f>
        <v>2.7659274193548391E-3</v>
      </c>
      <c r="AB1428" s="780"/>
      <c r="AC1428" s="881">
        <v>1424</v>
      </c>
      <c r="AD1428" s="881" t="s">
        <v>4573</v>
      </c>
      <c r="AE1428" s="881" t="s">
        <v>3257</v>
      </c>
      <c r="AF1428" s="882">
        <f>$S$1*P!AF1428</f>
        <v>0</v>
      </c>
    </row>
    <row r="1429" spans="19:32" x14ac:dyDescent="0.35">
      <c r="S1429" s="782">
        <v>1425</v>
      </c>
      <c r="T1429" s="782" t="s">
        <v>4284</v>
      </c>
      <c r="U1429" s="782" t="s">
        <v>4641</v>
      </c>
      <c r="V1429" s="797">
        <f>$S$1*P!V1429</f>
        <v>1.5903225806451615E-5</v>
      </c>
      <c r="W1429" s="780"/>
      <c r="X1429" s="782">
        <v>1425</v>
      </c>
      <c r="Y1429" s="782" t="s">
        <v>2248</v>
      </c>
      <c r="Z1429" s="782" t="s">
        <v>4867</v>
      </c>
      <c r="AA1429" s="781">
        <f>$S$1*P!AA1429</f>
        <v>1.1618951612903227E-2</v>
      </c>
      <c r="AB1429" s="780"/>
      <c r="AC1429" s="881">
        <v>1425</v>
      </c>
      <c r="AD1429" s="881" t="s">
        <v>4573</v>
      </c>
      <c r="AE1429" s="881" t="s">
        <v>4534</v>
      </c>
      <c r="AF1429" s="882">
        <f>$S$1*P!AF1429</f>
        <v>6.8205645161290329</v>
      </c>
    </row>
    <row r="1430" spans="19:32" x14ac:dyDescent="0.35">
      <c r="S1430" s="881">
        <v>1426</v>
      </c>
      <c r="T1430" s="881" t="s">
        <v>4284</v>
      </c>
      <c r="U1430" s="881" t="s">
        <v>4640</v>
      </c>
      <c r="V1430" s="883">
        <f>$S$1*P!V1430</f>
        <v>2.7282258064516132E-2</v>
      </c>
      <c r="W1430" s="780"/>
      <c r="X1430" s="782">
        <v>1426</v>
      </c>
      <c r="Y1430" s="782" t="s">
        <v>2248</v>
      </c>
      <c r="Z1430" s="782" t="s">
        <v>5390</v>
      </c>
      <c r="AA1430" s="781">
        <f>$S$1*P!AA1430</f>
        <v>2.1558467741935484E-5</v>
      </c>
      <c r="AB1430" s="780"/>
      <c r="AC1430" s="782">
        <v>1426</v>
      </c>
      <c r="AD1430" s="782" t="s">
        <v>4573</v>
      </c>
      <c r="AE1430" s="782" t="s">
        <v>4533</v>
      </c>
      <c r="AF1430" s="781">
        <f>$S$1*P!AF1430</f>
        <v>0.31875000000000003</v>
      </c>
    </row>
    <row r="1431" spans="19:32" x14ac:dyDescent="0.35">
      <c r="S1431" s="881">
        <v>1427</v>
      </c>
      <c r="T1431" s="881" t="s">
        <v>4284</v>
      </c>
      <c r="U1431" s="881" t="s">
        <v>4637</v>
      </c>
      <c r="V1431" s="883">
        <f>$S$1*P!V1431</f>
        <v>2.3169354838709676E-3</v>
      </c>
      <c r="W1431" s="780"/>
      <c r="X1431" s="782">
        <v>1427</v>
      </c>
      <c r="Y1431" s="782" t="s">
        <v>2248</v>
      </c>
      <c r="Z1431" s="782" t="s">
        <v>4865</v>
      </c>
      <c r="AA1431" s="781">
        <f>$S$1*P!AA1431</f>
        <v>0.1240725806451613</v>
      </c>
      <c r="AB1431" s="780"/>
      <c r="AC1431" s="881">
        <v>1427</v>
      </c>
      <c r="AD1431" s="881" t="s">
        <v>4573</v>
      </c>
      <c r="AE1431" s="881" t="s">
        <v>3255</v>
      </c>
      <c r="AF1431" s="882">
        <f>$S$1*P!AF1431</f>
        <v>0</v>
      </c>
    </row>
    <row r="1432" spans="19:32" x14ac:dyDescent="0.35">
      <c r="S1432" s="881">
        <v>1428</v>
      </c>
      <c r="T1432" s="881" t="s">
        <v>4284</v>
      </c>
      <c r="U1432" s="881" t="s">
        <v>3336</v>
      </c>
      <c r="V1432" s="883">
        <f>$S$1*P!V1432</f>
        <v>0</v>
      </c>
      <c r="W1432" s="780"/>
      <c r="X1432" s="782">
        <v>1428</v>
      </c>
      <c r="Y1432" s="782" t="s">
        <v>2248</v>
      </c>
      <c r="Z1432" s="782" t="s">
        <v>4862</v>
      </c>
      <c r="AA1432" s="781">
        <f>$S$1*P!AA1432</f>
        <v>0.13504032258064516</v>
      </c>
      <c r="AB1432" s="780"/>
      <c r="AC1432" s="881">
        <v>1428</v>
      </c>
      <c r="AD1432" s="881" t="s">
        <v>4573</v>
      </c>
      <c r="AE1432" s="881" t="s">
        <v>4532</v>
      </c>
      <c r="AF1432" s="882">
        <f>$S$1*P!AF1432</f>
        <v>0.45241935483870971</v>
      </c>
    </row>
    <row r="1433" spans="19:32" x14ac:dyDescent="0.35">
      <c r="S1433" s="881">
        <v>1429</v>
      </c>
      <c r="T1433" s="881" t="s">
        <v>4284</v>
      </c>
      <c r="U1433" s="881" t="s">
        <v>4635</v>
      </c>
      <c r="V1433" s="883">
        <f>$S$1*P!V1433</f>
        <v>1.0008064516129032E-4</v>
      </c>
      <c r="W1433" s="780"/>
      <c r="X1433" s="782">
        <v>1429</v>
      </c>
      <c r="Y1433" s="782" t="s">
        <v>2248</v>
      </c>
      <c r="Z1433" s="782" t="s">
        <v>3681</v>
      </c>
      <c r="AA1433" s="781">
        <f>$S$1*P!AA1433</f>
        <v>3.7701612903225815E-5</v>
      </c>
      <c r="AB1433" s="780"/>
      <c r="AC1433" s="782">
        <v>1429</v>
      </c>
      <c r="AD1433" s="782" t="s">
        <v>4573</v>
      </c>
      <c r="AE1433" s="782" t="s">
        <v>3254</v>
      </c>
      <c r="AF1433" s="781">
        <f>$S$1*P!AF1433</f>
        <v>6.0665322580645163E-3</v>
      </c>
    </row>
    <row r="1434" spans="19:32" x14ac:dyDescent="0.35">
      <c r="S1434" s="881">
        <v>1430</v>
      </c>
      <c r="T1434" s="881" t="s">
        <v>4284</v>
      </c>
      <c r="U1434" s="881" t="s">
        <v>3334</v>
      </c>
      <c r="V1434" s="883">
        <f>$S$1*P!V1434</f>
        <v>1.8028225806451614E-3</v>
      </c>
      <c r="W1434" s="780"/>
      <c r="X1434" s="782">
        <v>1430</v>
      </c>
      <c r="Y1434" s="782" t="s">
        <v>2248</v>
      </c>
      <c r="Z1434" s="782" t="s">
        <v>3423</v>
      </c>
      <c r="AA1434" s="781">
        <f>$S$1*P!AA1434</f>
        <v>5.5660000000000008E-2</v>
      </c>
      <c r="AB1434" s="780"/>
      <c r="AC1434" s="881">
        <v>1430</v>
      </c>
      <c r="AD1434" s="881" t="s">
        <v>4573</v>
      </c>
      <c r="AE1434" s="881" t="s">
        <v>3254</v>
      </c>
      <c r="AF1434" s="882">
        <f>$S$1*P!AF1434</f>
        <v>0</v>
      </c>
    </row>
    <row r="1435" spans="19:32" x14ac:dyDescent="0.35">
      <c r="S1435" s="881">
        <v>1431</v>
      </c>
      <c r="T1435" s="881" t="s">
        <v>4284</v>
      </c>
      <c r="U1435" s="881" t="s">
        <v>3334</v>
      </c>
      <c r="V1435" s="883">
        <f>$S$1*P!V1435</f>
        <v>7.8660000000000008E-2</v>
      </c>
      <c r="W1435" s="780"/>
      <c r="X1435" s="782">
        <v>1431</v>
      </c>
      <c r="Y1435" s="782" t="s">
        <v>2248</v>
      </c>
      <c r="Z1435" s="782" t="s">
        <v>3423</v>
      </c>
      <c r="AA1435" s="781">
        <f>$S$1*P!AA1435</f>
        <v>5.9294354838709687E-4</v>
      </c>
      <c r="AB1435" s="780"/>
      <c r="AC1435" s="881">
        <v>1431</v>
      </c>
      <c r="AD1435" s="881" t="s">
        <v>4573</v>
      </c>
      <c r="AE1435" s="881" t="s">
        <v>4531</v>
      </c>
      <c r="AF1435" s="882">
        <f>$S$1*P!AF1435</f>
        <v>1.0830645161290324</v>
      </c>
    </row>
    <row r="1436" spans="19:32" x14ac:dyDescent="0.35">
      <c r="S1436" s="782">
        <v>1432</v>
      </c>
      <c r="T1436" s="782" t="s">
        <v>4284</v>
      </c>
      <c r="U1436" s="782" t="s">
        <v>4634</v>
      </c>
      <c r="V1436" s="797">
        <f>$S$1*P!V1436</f>
        <v>1.8987903225806452E-4</v>
      </c>
      <c r="W1436" s="780"/>
      <c r="X1436" s="782">
        <v>1432</v>
      </c>
      <c r="Y1436" s="782" t="s">
        <v>2248</v>
      </c>
      <c r="Z1436" s="782" t="s">
        <v>4858</v>
      </c>
      <c r="AA1436" s="781">
        <f>$S$1*P!AA1436</f>
        <v>8.8427419354838721E-3</v>
      </c>
      <c r="AB1436" s="780"/>
      <c r="AC1436" s="881">
        <v>1432</v>
      </c>
      <c r="AD1436" s="881" t="s">
        <v>4573</v>
      </c>
      <c r="AE1436" s="881" t="s">
        <v>3252</v>
      </c>
      <c r="AF1436" s="882">
        <f>$S$1*P!AF1436</f>
        <v>0.10008064516129032</v>
      </c>
    </row>
    <row r="1437" spans="19:32" x14ac:dyDescent="0.35">
      <c r="S1437" s="881">
        <v>1433</v>
      </c>
      <c r="T1437" s="881" t="s">
        <v>4284</v>
      </c>
      <c r="U1437" s="881" t="s">
        <v>3332</v>
      </c>
      <c r="V1437" s="883">
        <f>$S$1*P!V1437</f>
        <v>0</v>
      </c>
      <c r="W1437" s="780"/>
      <c r="X1437" s="782">
        <v>1433</v>
      </c>
      <c r="Y1437" s="782" t="s">
        <v>2248</v>
      </c>
      <c r="Z1437" s="782" t="s">
        <v>5389</v>
      </c>
      <c r="AA1437" s="781">
        <f>$S$1*P!AA1437</f>
        <v>3.0983870967741937E-4</v>
      </c>
      <c r="AB1437" s="780"/>
      <c r="AC1437" s="881">
        <v>1433</v>
      </c>
      <c r="AD1437" s="881" t="s">
        <v>4573</v>
      </c>
      <c r="AE1437" s="881" t="s">
        <v>3252</v>
      </c>
      <c r="AF1437" s="882">
        <f>$S$1*P!AF1437</f>
        <v>0</v>
      </c>
    </row>
    <row r="1438" spans="19:32" x14ac:dyDescent="0.35">
      <c r="S1438" s="881">
        <v>1434</v>
      </c>
      <c r="T1438" s="881" t="s">
        <v>4284</v>
      </c>
      <c r="U1438" s="881" t="s">
        <v>4633</v>
      </c>
      <c r="V1438" s="883">
        <f>$S$1*P!V1438</f>
        <v>1.3572580645161291E-4</v>
      </c>
      <c r="W1438" s="780"/>
      <c r="X1438" s="782">
        <v>1434</v>
      </c>
      <c r="Y1438" s="782" t="s">
        <v>2248</v>
      </c>
      <c r="Z1438" s="782" t="s">
        <v>4855</v>
      </c>
      <c r="AA1438" s="781">
        <f>$S$1*P!AA1438</f>
        <v>0.18268145161290325</v>
      </c>
      <c r="AB1438" s="780"/>
      <c r="AC1438" s="881">
        <v>1434</v>
      </c>
      <c r="AD1438" s="881" t="s">
        <v>4573</v>
      </c>
      <c r="AE1438" s="881" t="s">
        <v>4530</v>
      </c>
      <c r="AF1438" s="882">
        <f>$S$1*P!AF1438</f>
        <v>4.7983870967741938E-4</v>
      </c>
    </row>
    <row r="1439" spans="19:32" x14ac:dyDescent="0.35">
      <c r="S1439" s="782">
        <v>1435</v>
      </c>
      <c r="T1439" s="782" t="s">
        <v>4284</v>
      </c>
      <c r="U1439" s="782" t="s">
        <v>4632</v>
      </c>
      <c r="V1439" s="797">
        <f>$S$1*P!V1439</f>
        <v>1.264717741935484E-3</v>
      </c>
      <c r="W1439" s="780"/>
      <c r="X1439" s="782">
        <v>1435</v>
      </c>
      <c r="Y1439" s="782" t="s">
        <v>2248</v>
      </c>
      <c r="Z1439" s="782" t="s">
        <v>4852</v>
      </c>
      <c r="AA1439" s="781">
        <f>$S$1*P!AA1439</f>
        <v>2.0838709677419356</v>
      </c>
      <c r="AB1439" s="780"/>
      <c r="AC1439" s="881">
        <v>1435</v>
      </c>
      <c r="AD1439" s="881" t="s">
        <v>4573</v>
      </c>
      <c r="AE1439" s="881" t="s">
        <v>4529</v>
      </c>
      <c r="AF1439" s="882">
        <f>$S$1*P!AF1439</f>
        <v>0.26185483870967746</v>
      </c>
    </row>
    <row r="1440" spans="19:32" x14ac:dyDescent="0.35">
      <c r="S1440" s="881">
        <v>1436</v>
      </c>
      <c r="T1440" s="881" t="s">
        <v>4284</v>
      </c>
      <c r="U1440" s="881" t="s">
        <v>4631</v>
      </c>
      <c r="V1440" s="883">
        <f>$S$1*P!V1440</f>
        <v>1.1653225806451615E-5</v>
      </c>
      <c r="W1440" s="780"/>
      <c r="X1440" s="782">
        <v>1436</v>
      </c>
      <c r="Y1440" s="782" t="s">
        <v>2248</v>
      </c>
      <c r="Z1440" s="782" t="s">
        <v>5388</v>
      </c>
      <c r="AA1440" s="781">
        <f>$S$1*P!AA1440</f>
        <v>7.3689516129032259E-5</v>
      </c>
      <c r="AB1440" s="780"/>
      <c r="AC1440" s="782">
        <v>1436</v>
      </c>
      <c r="AD1440" s="782" t="s">
        <v>4573</v>
      </c>
      <c r="AE1440" s="782" t="s">
        <v>3251</v>
      </c>
      <c r="AF1440" s="781">
        <f>$S$1*P!AF1440</f>
        <v>0.68548387096774199</v>
      </c>
    </row>
    <row r="1441" spans="19:32" x14ac:dyDescent="0.35">
      <c r="S1441" s="782">
        <v>1437</v>
      </c>
      <c r="T1441" s="782" t="s">
        <v>4284</v>
      </c>
      <c r="U1441" s="782" t="s">
        <v>4630</v>
      </c>
      <c r="V1441" s="797">
        <f>$S$1*P!V1441</f>
        <v>1.2510080645161291E-6</v>
      </c>
      <c r="W1441" s="780"/>
      <c r="X1441" s="782">
        <v>1437</v>
      </c>
      <c r="Y1441" s="782" t="s">
        <v>2248</v>
      </c>
      <c r="Z1441" s="782" t="s">
        <v>4850</v>
      </c>
      <c r="AA1441" s="781">
        <f>$S$1*P!AA1441</f>
        <v>8.7741935483870979E-4</v>
      </c>
      <c r="AB1441" s="780"/>
      <c r="AC1441" s="881">
        <v>1437</v>
      </c>
      <c r="AD1441" s="881" t="s">
        <v>4573</v>
      </c>
      <c r="AE1441" s="881" t="s">
        <v>3251</v>
      </c>
      <c r="AF1441" s="882">
        <f>$S$1*P!AF1441</f>
        <v>10.212</v>
      </c>
    </row>
    <row r="1442" spans="19:32" x14ac:dyDescent="0.35">
      <c r="S1442" s="881">
        <v>1438</v>
      </c>
      <c r="T1442" s="881" t="s">
        <v>4284</v>
      </c>
      <c r="U1442" s="881" t="s">
        <v>3331</v>
      </c>
      <c r="V1442" s="883">
        <f>$S$1*P!V1442</f>
        <v>1.1173387096774195E-3</v>
      </c>
      <c r="W1442" s="863"/>
      <c r="X1442" s="782">
        <v>1438</v>
      </c>
      <c r="Y1442" s="782" t="s">
        <v>2248</v>
      </c>
      <c r="Z1442" s="782" t="s">
        <v>3422</v>
      </c>
      <c r="AA1442" s="781">
        <f>$S$1*P!AA1442</f>
        <v>0.11039999999999998</v>
      </c>
      <c r="AB1442" s="780"/>
      <c r="AC1442" s="881">
        <v>1438</v>
      </c>
      <c r="AD1442" s="881" t="s">
        <v>4573</v>
      </c>
      <c r="AE1442" s="881" t="s">
        <v>4528</v>
      </c>
      <c r="AF1442" s="882">
        <f>$S$1*P!AF1442</f>
        <v>3.564516129032258E-2</v>
      </c>
    </row>
    <row r="1443" spans="19:32" x14ac:dyDescent="0.35">
      <c r="S1443" s="881">
        <v>1439</v>
      </c>
      <c r="T1443" s="881" t="s">
        <v>4284</v>
      </c>
      <c r="U1443" s="881" t="s">
        <v>3331</v>
      </c>
      <c r="V1443" s="883">
        <f>$S$1*P!V1443</f>
        <v>0</v>
      </c>
      <c r="W1443" s="863"/>
      <c r="X1443" s="782">
        <v>1439</v>
      </c>
      <c r="Y1443" s="782" t="s">
        <v>2248</v>
      </c>
      <c r="Z1443" s="782" t="s">
        <v>3422</v>
      </c>
      <c r="AA1443" s="781">
        <f>$S$1*P!AA1443</f>
        <v>4.3528225806451614E-3</v>
      </c>
      <c r="AB1443" s="780"/>
      <c r="AC1443" s="782">
        <v>1439</v>
      </c>
      <c r="AD1443" s="782" t="s">
        <v>4573</v>
      </c>
      <c r="AE1443" s="782" t="s">
        <v>3249</v>
      </c>
      <c r="AF1443" s="781">
        <f>$S$1*P!AF1443</f>
        <v>1.4086693548387098E-3</v>
      </c>
    </row>
    <row r="1444" spans="19:32" x14ac:dyDescent="0.35">
      <c r="S1444" s="881">
        <v>1440</v>
      </c>
      <c r="T1444" s="881" t="s">
        <v>4284</v>
      </c>
      <c r="U1444" s="881" t="s">
        <v>3329</v>
      </c>
      <c r="V1444" s="883">
        <f>$S$1*P!V1444</f>
        <v>1.3431999999999999</v>
      </c>
      <c r="W1444" s="863"/>
      <c r="X1444" s="782">
        <v>1440</v>
      </c>
      <c r="Y1444" s="782" t="s">
        <v>2248</v>
      </c>
      <c r="Z1444" s="782" t="s">
        <v>5387</v>
      </c>
      <c r="AA1444" s="781">
        <f>$S$1*P!AA1444</f>
        <v>9.2883064516129045E-4</v>
      </c>
      <c r="AB1444" s="780"/>
      <c r="AC1444" s="881">
        <v>1440</v>
      </c>
      <c r="AD1444" s="881" t="s">
        <v>4573</v>
      </c>
      <c r="AE1444" s="881" t="s">
        <v>3249</v>
      </c>
      <c r="AF1444" s="882">
        <f>$S$1*P!AF1444</f>
        <v>0.32844000000000001</v>
      </c>
    </row>
    <row r="1445" spans="19:32" x14ac:dyDescent="0.35">
      <c r="S1445" s="881">
        <v>1441</v>
      </c>
      <c r="T1445" s="881" t="s">
        <v>4284</v>
      </c>
      <c r="U1445" s="881" t="s">
        <v>4629</v>
      </c>
      <c r="V1445" s="883">
        <f>$S$1*P!V1445</f>
        <v>6.1350806451612908E-2</v>
      </c>
      <c r="W1445" s="863"/>
      <c r="X1445" s="782">
        <v>1441</v>
      </c>
      <c r="Y1445" s="782" t="s">
        <v>2248</v>
      </c>
      <c r="Z1445" s="782" t="s">
        <v>4845</v>
      </c>
      <c r="AA1445" s="781">
        <f>$S$1*P!AA1445</f>
        <v>1.227016129032258E-3</v>
      </c>
      <c r="AB1445" s="780"/>
      <c r="AC1445" s="881">
        <v>1441</v>
      </c>
      <c r="AD1445" s="881" t="s">
        <v>4573</v>
      </c>
      <c r="AE1445" s="881" t="s">
        <v>4527</v>
      </c>
      <c r="AF1445" s="882">
        <f>$S$1*P!AF1445</f>
        <v>0.88427419354838721</v>
      </c>
    </row>
    <row r="1446" spans="19:32" x14ac:dyDescent="0.35">
      <c r="S1446" s="881">
        <v>1442</v>
      </c>
      <c r="T1446" s="881" t="s">
        <v>4284</v>
      </c>
      <c r="U1446" s="881" t="s">
        <v>4628</v>
      </c>
      <c r="V1446" s="883">
        <f>$S$1*P!V1446</f>
        <v>8.2600806451612913E-2</v>
      </c>
      <c r="W1446" s="780"/>
      <c r="X1446" s="782">
        <v>1442</v>
      </c>
      <c r="Y1446" s="782" t="s">
        <v>2248</v>
      </c>
      <c r="Z1446" s="782" t="s">
        <v>5386</v>
      </c>
      <c r="AA1446" s="781">
        <f>$S$1*P!AA1446</f>
        <v>0.1583467741935484</v>
      </c>
      <c r="AB1446" s="780"/>
      <c r="AC1446" s="881">
        <v>1442</v>
      </c>
      <c r="AD1446" s="881" t="s">
        <v>4573</v>
      </c>
      <c r="AE1446" s="881" t="s">
        <v>3248</v>
      </c>
      <c r="AF1446" s="882">
        <f>$S$1*P!AF1446</f>
        <v>3.1739999999999999</v>
      </c>
    </row>
    <row r="1447" spans="19:32" x14ac:dyDescent="0.35">
      <c r="S1447" s="881">
        <v>1443</v>
      </c>
      <c r="T1447" s="881" t="s">
        <v>4284</v>
      </c>
      <c r="U1447" s="881" t="s">
        <v>4627</v>
      </c>
      <c r="V1447" s="883">
        <f>$S$1*P!V1447</f>
        <v>2.4471774193548387E-2</v>
      </c>
      <c r="W1447" s="863"/>
      <c r="X1447" s="782">
        <v>1443</v>
      </c>
      <c r="Y1447" s="782" t="s">
        <v>2248</v>
      </c>
      <c r="Z1447" s="782" t="s">
        <v>3420</v>
      </c>
      <c r="AA1447" s="781">
        <f>$S$1*P!AA1447</f>
        <v>4.4344000000000001E-2</v>
      </c>
      <c r="AB1447" s="780"/>
      <c r="AC1447" s="782">
        <v>1443</v>
      </c>
      <c r="AD1447" s="782" t="s">
        <v>4573</v>
      </c>
      <c r="AE1447" s="782" t="s">
        <v>4526</v>
      </c>
      <c r="AF1447" s="781">
        <f>$S$1*P!AF1447</f>
        <v>0.13983870967741938</v>
      </c>
    </row>
    <row r="1448" spans="19:32" x14ac:dyDescent="0.35">
      <c r="S1448" s="881">
        <v>1444</v>
      </c>
      <c r="T1448" s="881" t="s">
        <v>4284</v>
      </c>
      <c r="U1448" s="881" t="s">
        <v>3328</v>
      </c>
      <c r="V1448" s="883">
        <f>$S$1*P!V1448</f>
        <v>0</v>
      </c>
      <c r="W1448" s="863"/>
      <c r="X1448" s="782">
        <v>1444</v>
      </c>
      <c r="Y1448" s="782" t="s">
        <v>2248</v>
      </c>
      <c r="Z1448" s="782" t="s">
        <v>3420</v>
      </c>
      <c r="AA1448" s="781">
        <f>$S$1*P!AA1448</f>
        <v>1.1207661290322581E-2</v>
      </c>
      <c r="AB1448" s="780"/>
      <c r="AC1448" s="881">
        <v>1444</v>
      </c>
      <c r="AD1448" s="881" t="s">
        <v>4573</v>
      </c>
      <c r="AE1448" s="881" t="s">
        <v>3246</v>
      </c>
      <c r="AF1448" s="882">
        <f>$S$1*P!AF1448</f>
        <v>2.0838709677419356</v>
      </c>
    </row>
    <row r="1449" spans="19:32" x14ac:dyDescent="0.35">
      <c r="S1449" s="782">
        <v>1445</v>
      </c>
      <c r="T1449" s="782" t="s">
        <v>4284</v>
      </c>
      <c r="U1449" s="782" t="s">
        <v>4626</v>
      </c>
      <c r="V1449" s="797">
        <f>$S$1*P!V1449</f>
        <v>0.14155241935483873</v>
      </c>
      <c r="W1449" s="780"/>
      <c r="X1449" s="782">
        <v>1445</v>
      </c>
      <c r="Y1449" s="782" t="s">
        <v>2248</v>
      </c>
      <c r="Z1449" s="782" t="s">
        <v>3419</v>
      </c>
      <c r="AA1449" s="781">
        <f>$S$1*P!AA1449</f>
        <v>2.6772000000000001E-2</v>
      </c>
      <c r="AB1449" s="780"/>
      <c r="AC1449" s="881">
        <v>1445</v>
      </c>
      <c r="AD1449" s="881" t="s">
        <v>4573</v>
      </c>
      <c r="AE1449" s="881" t="s">
        <v>3246</v>
      </c>
      <c r="AF1449" s="882">
        <f>$S$1*P!AF1449</f>
        <v>0</v>
      </c>
    </row>
    <row r="1450" spans="19:32" x14ac:dyDescent="0.35">
      <c r="S1450" s="881">
        <v>1446</v>
      </c>
      <c r="T1450" s="881" t="s">
        <v>4284</v>
      </c>
      <c r="U1450" s="881" t="s">
        <v>3326</v>
      </c>
      <c r="V1450" s="883">
        <f>$S$1*P!V1450</f>
        <v>0</v>
      </c>
      <c r="W1450" s="780"/>
      <c r="X1450" s="782">
        <v>1446</v>
      </c>
      <c r="Y1450" s="782" t="s">
        <v>2248</v>
      </c>
      <c r="Z1450" s="782" t="s">
        <v>5385</v>
      </c>
      <c r="AA1450" s="781">
        <f>$S$1*P!AA1450</f>
        <v>5.8608870967741937E-5</v>
      </c>
      <c r="AB1450" s="780"/>
      <c r="AC1450" s="881">
        <v>1446</v>
      </c>
      <c r="AD1450" s="881" t="s">
        <v>4573</v>
      </c>
      <c r="AE1450" s="881" t="s">
        <v>3244</v>
      </c>
      <c r="AF1450" s="882">
        <f>$S$1*P!AF1450</f>
        <v>3.9758064516129036E-4</v>
      </c>
    </row>
    <row r="1451" spans="19:32" x14ac:dyDescent="0.35">
      <c r="S1451" s="881">
        <v>1447</v>
      </c>
      <c r="T1451" s="881" t="s">
        <v>4284</v>
      </c>
      <c r="U1451" s="881" t="s">
        <v>4625</v>
      </c>
      <c r="V1451" s="883">
        <f>$S$1*P!V1451</f>
        <v>3.9072580645161292E-4</v>
      </c>
      <c r="W1451" s="780"/>
      <c r="X1451" s="782">
        <v>1447</v>
      </c>
      <c r="Y1451" s="782" t="s">
        <v>2248</v>
      </c>
      <c r="Z1451" s="782" t="s">
        <v>3417</v>
      </c>
      <c r="AA1451" s="781">
        <f>$S$1*P!AA1451</f>
        <v>1.6927999999999999</v>
      </c>
      <c r="AB1451" s="780"/>
      <c r="AC1451" s="881">
        <v>1447</v>
      </c>
      <c r="AD1451" s="881" t="s">
        <v>4573</v>
      </c>
      <c r="AE1451" s="881" t="s">
        <v>3244</v>
      </c>
      <c r="AF1451" s="882">
        <f>$S$1*P!AF1451</f>
        <v>2.4748000000000001</v>
      </c>
    </row>
    <row r="1452" spans="19:32" x14ac:dyDescent="0.35">
      <c r="S1452" s="782">
        <v>1448</v>
      </c>
      <c r="T1452" s="782" t="s">
        <v>4284</v>
      </c>
      <c r="U1452" s="782" t="s">
        <v>4624</v>
      </c>
      <c r="V1452" s="797">
        <f>$S$1*P!V1452</f>
        <v>2.4951612903225807E-3</v>
      </c>
      <c r="W1452" s="780"/>
      <c r="X1452" s="782">
        <v>1448</v>
      </c>
      <c r="Y1452" s="782" t="s">
        <v>2248</v>
      </c>
      <c r="Z1452" s="782" t="s">
        <v>3417</v>
      </c>
      <c r="AA1452" s="781">
        <f>$S$1*P!AA1452</f>
        <v>2.1147177419354843E-3</v>
      </c>
      <c r="AB1452" s="780"/>
      <c r="AC1452" s="881">
        <v>1448</v>
      </c>
      <c r="AD1452" s="881" t="s">
        <v>4573</v>
      </c>
      <c r="AE1452" s="881" t="s">
        <v>4525</v>
      </c>
      <c r="AF1452" s="882">
        <f>$S$1*P!AF1452</f>
        <v>2.0084677419354841E-2</v>
      </c>
    </row>
    <row r="1453" spans="19:32" x14ac:dyDescent="0.35">
      <c r="S1453" s="881">
        <v>1449</v>
      </c>
      <c r="T1453" s="881" t="s">
        <v>4284</v>
      </c>
      <c r="U1453" s="881" t="s">
        <v>3325</v>
      </c>
      <c r="V1453" s="883">
        <f>$S$1*P!V1453</f>
        <v>0.12603999999999999</v>
      </c>
      <c r="W1453" s="780"/>
      <c r="X1453" s="782">
        <v>1449</v>
      </c>
      <c r="Y1453" s="782" t="s">
        <v>2248</v>
      </c>
      <c r="Z1453" s="782" t="s">
        <v>4839</v>
      </c>
      <c r="AA1453" s="781">
        <f>$S$1*P!AA1453</f>
        <v>3.7358870967741939E-3</v>
      </c>
      <c r="AB1453" s="780"/>
      <c r="AC1453" s="881">
        <v>1449</v>
      </c>
      <c r="AD1453" s="881" t="s">
        <v>4573</v>
      </c>
      <c r="AE1453" s="881" t="s">
        <v>3243</v>
      </c>
      <c r="AF1453" s="882">
        <f>$S$1*P!AF1453</f>
        <v>39.072580645161295</v>
      </c>
    </row>
    <row r="1454" spans="19:32" x14ac:dyDescent="0.35">
      <c r="S1454" s="881">
        <v>1450</v>
      </c>
      <c r="T1454" s="881" t="s">
        <v>4284</v>
      </c>
      <c r="U1454" s="881" t="s">
        <v>3324</v>
      </c>
      <c r="V1454" s="883">
        <f>$S$1*P!V1454</f>
        <v>67.712000000000003</v>
      </c>
      <c r="W1454" s="780"/>
      <c r="X1454" s="782">
        <v>1450</v>
      </c>
      <c r="Y1454" s="782" t="s">
        <v>2248</v>
      </c>
      <c r="Z1454" s="782" t="s">
        <v>5384</v>
      </c>
      <c r="AA1454" s="781">
        <f>$S$1*P!AA1454</f>
        <v>2.220967741935484E-5</v>
      </c>
      <c r="AB1454" s="780"/>
      <c r="AC1454" s="881">
        <v>1450</v>
      </c>
      <c r="AD1454" s="881" t="s">
        <v>4573</v>
      </c>
      <c r="AE1454" s="881" t="s">
        <v>3243</v>
      </c>
      <c r="AF1454" s="882">
        <f>$S$1*P!AF1454</f>
        <v>0.1012</v>
      </c>
    </row>
    <row r="1455" spans="19:32" x14ac:dyDescent="0.35">
      <c r="S1455" s="881">
        <v>1451</v>
      </c>
      <c r="T1455" s="881" t="s">
        <v>4284</v>
      </c>
      <c r="U1455" s="881" t="s">
        <v>3323</v>
      </c>
      <c r="V1455" s="883">
        <f>$S$1*P!V1455</f>
        <v>9.1999999999999998E-3</v>
      </c>
      <c r="W1455" s="780"/>
      <c r="X1455" s="782">
        <v>1451</v>
      </c>
      <c r="Y1455" s="782" t="s">
        <v>2248</v>
      </c>
      <c r="Z1455" s="782" t="s">
        <v>4837</v>
      </c>
      <c r="AA1455" s="781">
        <f>$S$1*P!AA1455</f>
        <v>1.6588709677419357E-5</v>
      </c>
      <c r="AB1455" s="780"/>
      <c r="AC1455" s="782">
        <v>1451</v>
      </c>
      <c r="AD1455" s="782" t="s">
        <v>4573</v>
      </c>
      <c r="AE1455" s="782" t="s">
        <v>4524</v>
      </c>
      <c r="AF1455" s="781">
        <f>$S$1*P!AF1455</f>
        <v>1.5149193548387099</v>
      </c>
    </row>
    <row r="1456" spans="19:32" x14ac:dyDescent="0.35">
      <c r="S1456" s="881">
        <v>1452</v>
      </c>
      <c r="T1456" s="881" t="s">
        <v>4284</v>
      </c>
      <c r="U1456" s="881" t="s">
        <v>3322</v>
      </c>
      <c r="V1456" s="883">
        <f>$S$1*P!V1456</f>
        <v>0.55292000000000008</v>
      </c>
      <c r="W1456" s="780"/>
      <c r="X1456" s="782">
        <v>1452</v>
      </c>
      <c r="Y1456" s="782" t="s">
        <v>2248</v>
      </c>
      <c r="Z1456" s="782" t="s">
        <v>3416</v>
      </c>
      <c r="AA1456" s="781">
        <f>$S$1*P!AA1456</f>
        <v>2.1528000000000002E-2</v>
      </c>
      <c r="AB1456" s="780"/>
      <c r="AC1456" s="881">
        <v>1452</v>
      </c>
      <c r="AD1456" s="881" t="s">
        <v>4573</v>
      </c>
      <c r="AE1456" s="881" t="s">
        <v>3241</v>
      </c>
      <c r="AF1456" s="882">
        <f>$S$1*P!AF1456</f>
        <v>0</v>
      </c>
    </row>
    <row r="1457" spans="19:32" x14ac:dyDescent="0.35">
      <c r="S1457" s="881">
        <v>1453</v>
      </c>
      <c r="T1457" s="881" t="s">
        <v>4284</v>
      </c>
      <c r="U1457" s="881" t="s">
        <v>3321</v>
      </c>
      <c r="V1457" s="883">
        <f>$S$1*P!V1457</f>
        <v>1.2441532258064517E-3</v>
      </c>
      <c r="W1457" s="780"/>
      <c r="X1457" s="782">
        <v>1453</v>
      </c>
      <c r="Y1457" s="782" t="s">
        <v>2248</v>
      </c>
      <c r="Z1457" s="782" t="s">
        <v>5383</v>
      </c>
      <c r="AA1457" s="781">
        <f>$S$1*P!AA1457</f>
        <v>1.6280241935483871E-5</v>
      </c>
      <c r="AB1457" s="780"/>
      <c r="AC1457" s="881">
        <v>1453</v>
      </c>
      <c r="AD1457" s="881" t="s">
        <v>4573</v>
      </c>
      <c r="AE1457" s="881" t="s">
        <v>4523</v>
      </c>
      <c r="AF1457" s="882">
        <f>$S$1*P!AF1457</f>
        <v>524.39516129032268</v>
      </c>
    </row>
    <row r="1458" spans="19:32" x14ac:dyDescent="0.35">
      <c r="S1458" s="881">
        <v>1454</v>
      </c>
      <c r="T1458" s="881" t="s">
        <v>4284</v>
      </c>
      <c r="U1458" s="881" t="s">
        <v>3321</v>
      </c>
      <c r="V1458" s="883">
        <f>$S$1*P!V1458</f>
        <v>0.41676000000000002</v>
      </c>
      <c r="W1458" s="780"/>
      <c r="X1458" s="782">
        <v>1454</v>
      </c>
      <c r="Y1458" s="782" t="s">
        <v>2248</v>
      </c>
      <c r="Z1458" s="782" t="s">
        <v>3416</v>
      </c>
      <c r="AA1458" s="781">
        <f>$S$1*P!AA1458</f>
        <v>2.4745967741935483E-4</v>
      </c>
      <c r="AB1458" s="780"/>
      <c r="AC1458" s="782">
        <v>1454</v>
      </c>
      <c r="AD1458" s="782" t="s">
        <v>4573</v>
      </c>
      <c r="AE1458" s="782" t="s">
        <v>4522</v>
      </c>
      <c r="AF1458" s="781">
        <f>$S$1*P!AF1458</f>
        <v>1.5868951612903226</v>
      </c>
    </row>
    <row r="1459" spans="19:32" x14ac:dyDescent="0.35">
      <c r="S1459" s="782">
        <v>1455</v>
      </c>
      <c r="T1459" s="782" t="s">
        <v>4284</v>
      </c>
      <c r="U1459" s="782" t="s">
        <v>4623</v>
      </c>
      <c r="V1459" s="797">
        <f>$S$1*P!V1459</f>
        <v>0.70947580645161301</v>
      </c>
      <c r="W1459" s="884"/>
      <c r="X1459" s="782">
        <v>1455</v>
      </c>
      <c r="Y1459" s="782" t="s">
        <v>2248</v>
      </c>
      <c r="Z1459" s="782" t="s">
        <v>3414</v>
      </c>
      <c r="AA1459" s="781">
        <f>$S$1*P!AA1459</f>
        <v>0.21251999999999999</v>
      </c>
      <c r="AB1459" s="780"/>
      <c r="AC1459" s="881">
        <v>1455</v>
      </c>
      <c r="AD1459" s="881" t="s">
        <v>4573</v>
      </c>
      <c r="AE1459" s="881" t="s">
        <v>4521</v>
      </c>
      <c r="AF1459" s="882">
        <f>$S$1*P!AF1459</f>
        <v>188.85080645161293</v>
      </c>
    </row>
    <row r="1460" spans="19:32" x14ac:dyDescent="0.35">
      <c r="S1460" s="881">
        <v>1456</v>
      </c>
      <c r="T1460" s="881" t="s">
        <v>4284</v>
      </c>
      <c r="U1460" s="881" t="s">
        <v>3320</v>
      </c>
      <c r="V1460" s="883">
        <f>$S$1*P!V1460</f>
        <v>0</v>
      </c>
      <c r="W1460" s="780"/>
      <c r="X1460" s="782">
        <v>1456</v>
      </c>
      <c r="Y1460" s="782" t="s">
        <v>2248</v>
      </c>
      <c r="Z1460" s="782" t="s">
        <v>5382</v>
      </c>
      <c r="AA1460" s="781">
        <f>$S$1*P!AA1460</f>
        <v>6.4092741935483884E-5</v>
      </c>
      <c r="AB1460" s="780"/>
      <c r="AC1460" s="881">
        <v>1456</v>
      </c>
      <c r="AD1460" s="881" t="s">
        <v>4573</v>
      </c>
      <c r="AE1460" s="881" t="s">
        <v>3240</v>
      </c>
      <c r="AF1460" s="882">
        <f>$S$1*P!AF1460</f>
        <v>0</v>
      </c>
    </row>
    <row r="1461" spans="19:32" x14ac:dyDescent="0.35">
      <c r="S1461" s="881">
        <v>1457</v>
      </c>
      <c r="T1461" s="881" t="s">
        <v>4284</v>
      </c>
      <c r="U1461" s="881" t="s">
        <v>4622</v>
      </c>
      <c r="V1461" s="883">
        <f>$S$1*P!V1461</f>
        <v>6.9233870967741942E-3</v>
      </c>
      <c r="W1461" s="780"/>
      <c r="X1461" s="782">
        <v>1457</v>
      </c>
      <c r="Y1461" s="782" t="s">
        <v>2248</v>
      </c>
      <c r="Z1461" s="782" t="s">
        <v>3413</v>
      </c>
      <c r="AA1461" s="781">
        <f>$S$1*P!AA1461</f>
        <v>1.7112000000000001</v>
      </c>
      <c r="AB1461" s="780"/>
      <c r="AC1461" s="782">
        <v>1457</v>
      </c>
      <c r="AD1461" s="782" t="s">
        <v>4573</v>
      </c>
      <c r="AE1461" s="782" t="s">
        <v>3238</v>
      </c>
      <c r="AF1461" s="781">
        <f>$S$1*P!AF1461</f>
        <v>0.18816532258064517</v>
      </c>
    </row>
    <row r="1462" spans="19:32" x14ac:dyDescent="0.35">
      <c r="S1462" s="881">
        <v>1458</v>
      </c>
      <c r="T1462" s="881" t="s">
        <v>4284</v>
      </c>
      <c r="U1462" s="881" t="s">
        <v>3319</v>
      </c>
      <c r="V1462" s="883">
        <f>$S$1*P!V1462</f>
        <v>3.8729838709677424</v>
      </c>
      <c r="W1462" s="780"/>
      <c r="X1462" s="782">
        <v>1458</v>
      </c>
      <c r="Y1462" s="782" t="s">
        <v>2248</v>
      </c>
      <c r="Z1462" s="782" t="s">
        <v>4832</v>
      </c>
      <c r="AA1462" s="781">
        <f>$S$1*P!AA1462</f>
        <v>1.6485887096774196E-3</v>
      </c>
      <c r="AB1462" s="780"/>
      <c r="AC1462" s="881">
        <v>1458</v>
      </c>
      <c r="AD1462" s="881" t="s">
        <v>4573</v>
      </c>
      <c r="AE1462" s="881" t="s">
        <v>3238</v>
      </c>
      <c r="AF1462" s="882">
        <f>$S$1*P!AF1462</f>
        <v>0</v>
      </c>
    </row>
    <row r="1463" spans="19:32" x14ac:dyDescent="0.35">
      <c r="S1463" s="881">
        <v>1459</v>
      </c>
      <c r="T1463" s="881" t="s">
        <v>4284</v>
      </c>
      <c r="U1463" s="881" t="s">
        <v>3319</v>
      </c>
      <c r="V1463" s="883">
        <f>$S$1*P!V1463</f>
        <v>4.4619999999999997</v>
      </c>
      <c r="W1463" s="780"/>
      <c r="X1463" s="782">
        <v>1459</v>
      </c>
      <c r="Y1463" s="782" t="s">
        <v>2248</v>
      </c>
      <c r="Z1463" s="782" t="s">
        <v>5381</v>
      </c>
      <c r="AA1463" s="781">
        <f>$S$1*P!AA1463</f>
        <v>1.038508064516129E-2</v>
      </c>
      <c r="AB1463" s="780"/>
      <c r="AC1463" s="881">
        <v>1459</v>
      </c>
      <c r="AD1463" s="881" t="s">
        <v>4573</v>
      </c>
      <c r="AE1463" s="881" t="s">
        <v>3237</v>
      </c>
      <c r="AF1463" s="882">
        <f>$S$1*P!AF1463</f>
        <v>213.52822580645162</v>
      </c>
    </row>
    <row r="1464" spans="19:32" x14ac:dyDescent="0.35">
      <c r="S1464" s="881">
        <v>1460</v>
      </c>
      <c r="T1464" s="881" t="s">
        <v>4284</v>
      </c>
      <c r="U1464" s="881" t="s">
        <v>4621</v>
      </c>
      <c r="V1464" s="883">
        <f>$S$1*P!V1464</f>
        <v>1.4155241935483871</v>
      </c>
      <c r="W1464" s="780"/>
      <c r="X1464" s="782">
        <v>1460</v>
      </c>
      <c r="Y1464" s="782" t="s">
        <v>2248</v>
      </c>
      <c r="Z1464" s="782" t="s">
        <v>4830</v>
      </c>
      <c r="AA1464" s="781">
        <f>$S$1*P!AA1464</f>
        <v>4.3185483870967746E-4</v>
      </c>
      <c r="AB1464" s="780"/>
      <c r="AC1464" s="881">
        <v>1460</v>
      </c>
      <c r="AD1464" s="881" t="s">
        <v>4573</v>
      </c>
      <c r="AE1464" s="881" t="s">
        <v>3237</v>
      </c>
      <c r="AF1464" s="882">
        <f>$S$1*P!AF1464</f>
        <v>0</v>
      </c>
    </row>
    <row r="1465" spans="19:32" x14ac:dyDescent="0.35">
      <c r="S1465" s="881">
        <v>1461</v>
      </c>
      <c r="T1465" s="881" t="s">
        <v>4284</v>
      </c>
      <c r="U1465" s="881" t="s">
        <v>3318</v>
      </c>
      <c r="V1465" s="883">
        <f>$S$1*P!V1465</f>
        <v>2.1524193548387097E-3</v>
      </c>
      <c r="W1465" s="780"/>
      <c r="X1465" s="782">
        <v>1461</v>
      </c>
      <c r="Y1465" s="782" t="s">
        <v>2248</v>
      </c>
      <c r="Z1465" s="782" t="s">
        <v>3411</v>
      </c>
      <c r="AA1465" s="781">
        <f>$S$1*P!AA1465</f>
        <v>2.2264000000000003E-2</v>
      </c>
      <c r="AB1465" s="780"/>
      <c r="AC1465" s="881">
        <v>1461</v>
      </c>
      <c r="AD1465" s="881" t="s">
        <v>4573</v>
      </c>
      <c r="AE1465" s="881" t="s">
        <v>4520</v>
      </c>
      <c r="AF1465" s="882">
        <f>$S$1*P!AF1465</f>
        <v>24.985887096774196</v>
      </c>
    </row>
    <row r="1466" spans="19:32" x14ac:dyDescent="0.35">
      <c r="S1466" s="881">
        <v>1462</v>
      </c>
      <c r="T1466" s="881" t="s">
        <v>4284</v>
      </c>
      <c r="U1466" s="881" t="s">
        <v>3318</v>
      </c>
      <c r="V1466" s="883">
        <f>$S$1*P!V1466</f>
        <v>0</v>
      </c>
      <c r="W1466" s="780"/>
      <c r="X1466" s="782">
        <v>1462</v>
      </c>
      <c r="Y1466" s="782" t="s">
        <v>2248</v>
      </c>
      <c r="Z1466" s="782" t="s">
        <v>3411</v>
      </c>
      <c r="AA1466" s="781">
        <f>$S$1*P!AA1466</f>
        <v>2.2175403225806452E-4</v>
      </c>
      <c r="AB1466" s="780"/>
      <c r="AC1466" s="881">
        <v>1462</v>
      </c>
      <c r="AD1466" s="881" t="s">
        <v>4573</v>
      </c>
      <c r="AE1466" s="881" t="s">
        <v>4519</v>
      </c>
      <c r="AF1466" s="882">
        <f>$S$1*P!AF1466</f>
        <v>0.41814516129032259</v>
      </c>
    </row>
    <row r="1467" spans="19:32" x14ac:dyDescent="0.35">
      <c r="S1467" s="782">
        <v>1463</v>
      </c>
      <c r="T1467" s="782" t="s">
        <v>4284</v>
      </c>
      <c r="U1467" s="782" t="s">
        <v>4620</v>
      </c>
      <c r="V1467" s="797">
        <f>$S$1*P!V1467</f>
        <v>6.0665322580645163E-4</v>
      </c>
      <c r="W1467" s="780"/>
      <c r="X1467" s="782">
        <v>1463</v>
      </c>
      <c r="Y1467" s="782" t="s">
        <v>2248</v>
      </c>
      <c r="Z1467" s="782" t="s">
        <v>3677</v>
      </c>
      <c r="AA1467" s="781">
        <f>$S$1*P!AA1467</f>
        <v>4.318548387096775E-3</v>
      </c>
      <c r="AB1467" s="780"/>
      <c r="AC1467" s="881">
        <v>1463</v>
      </c>
      <c r="AD1467" s="881" t="s">
        <v>4573</v>
      </c>
      <c r="AE1467" s="881" t="s">
        <v>4518</v>
      </c>
      <c r="AF1467" s="882">
        <f>$S$1*P!AF1467</f>
        <v>3.4959677419354844E-2</v>
      </c>
    </row>
    <row r="1468" spans="19:32" x14ac:dyDescent="0.35">
      <c r="S1468" s="881">
        <v>1464</v>
      </c>
      <c r="T1468" s="881" t="s">
        <v>4284</v>
      </c>
      <c r="U1468" s="881" t="s">
        <v>3317</v>
      </c>
      <c r="V1468" s="883">
        <f>$S$1*P!V1468</f>
        <v>1435.2</v>
      </c>
      <c r="W1468" s="780"/>
      <c r="X1468" s="782">
        <v>1464</v>
      </c>
      <c r="Y1468" s="782" t="s">
        <v>2248</v>
      </c>
      <c r="Z1468" s="782" t="s">
        <v>4825</v>
      </c>
      <c r="AA1468" s="781">
        <f>$S$1*P!AA1468</f>
        <v>3.6330645161290325E-4</v>
      </c>
      <c r="AB1468" s="780"/>
      <c r="AC1468" s="782">
        <v>1464</v>
      </c>
      <c r="AD1468" s="782" t="s">
        <v>4573</v>
      </c>
      <c r="AE1468" s="782" t="s">
        <v>4517</v>
      </c>
      <c r="AF1468" s="781">
        <f>$S$1*P!AF1468</f>
        <v>61.693548387096776</v>
      </c>
    </row>
    <row r="1469" spans="19:32" x14ac:dyDescent="0.35">
      <c r="S1469" s="881">
        <v>1465</v>
      </c>
      <c r="T1469" s="881" t="s">
        <v>4284</v>
      </c>
      <c r="U1469" s="881" t="s">
        <v>3316</v>
      </c>
      <c r="V1469" s="883">
        <f>$S$1*P!V1469</f>
        <v>8.2984000000000009</v>
      </c>
      <c r="W1469" s="780"/>
      <c r="X1469" s="782">
        <v>1465</v>
      </c>
      <c r="Y1469" s="782" t="s">
        <v>2248</v>
      </c>
      <c r="Z1469" s="782" t="s">
        <v>3409</v>
      </c>
      <c r="AA1469" s="781">
        <f>$S$1*P!AA1469</f>
        <v>0</v>
      </c>
      <c r="AB1469" s="780"/>
      <c r="AC1469" s="881">
        <v>1465</v>
      </c>
      <c r="AD1469" s="881" t="s">
        <v>4573</v>
      </c>
      <c r="AE1469" s="881" t="s">
        <v>4516</v>
      </c>
      <c r="AF1469" s="882">
        <f>$S$1*P!AF1469</f>
        <v>9.1854838709677422E-2</v>
      </c>
    </row>
    <row r="1470" spans="19:32" x14ac:dyDescent="0.35">
      <c r="S1470" s="881">
        <v>1466</v>
      </c>
      <c r="T1470" s="881" t="s">
        <v>4284</v>
      </c>
      <c r="U1470" s="881" t="s">
        <v>3315</v>
      </c>
      <c r="V1470" s="883">
        <f>$S$1*P!V1470</f>
        <v>127.88</v>
      </c>
      <c r="W1470" s="780"/>
      <c r="X1470" s="782">
        <v>1466</v>
      </c>
      <c r="Y1470" s="782" t="s">
        <v>2248</v>
      </c>
      <c r="Z1470" s="782" t="s">
        <v>5380</v>
      </c>
      <c r="AA1470" s="781">
        <f>$S$1*P!AA1470</f>
        <v>7.2661290322580661E-5</v>
      </c>
      <c r="AB1470" s="780"/>
      <c r="AC1470" s="782">
        <v>1466</v>
      </c>
      <c r="AD1470" s="782" t="s">
        <v>4573</v>
      </c>
      <c r="AE1470" s="782" t="s">
        <v>3235</v>
      </c>
      <c r="AF1470" s="781">
        <f>$S$1*P!AF1470</f>
        <v>5.0725806451612911E-4</v>
      </c>
    </row>
    <row r="1471" spans="19:32" x14ac:dyDescent="0.35">
      <c r="S1471" s="881">
        <v>1467</v>
      </c>
      <c r="T1471" s="881" t="s">
        <v>4284</v>
      </c>
      <c r="U1471" s="881" t="s">
        <v>3313</v>
      </c>
      <c r="V1471" s="883">
        <f>$S$1*P!V1471</f>
        <v>97.52</v>
      </c>
      <c r="W1471" s="780"/>
      <c r="X1471" s="782">
        <v>1467</v>
      </c>
      <c r="Y1471" s="782" t="s">
        <v>2248</v>
      </c>
      <c r="Z1471" s="782" t="s">
        <v>3408</v>
      </c>
      <c r="AA1471" s="781">
        <f>$S$1*P!AA1471</f>
        <v>3.3119999999999997E-2</v>
      </c>
      <c r="AB1471" s="780"/>
      <c r="AC1471" s="881">
        <v>1467</v>
      </c>
      <c r="AD1471" s="881" t="s">
        <v>4573</v>
      </c>
      <c r="AE1471" s="881" t="s">
        <v>3235</v>
      </c>
      <c r="AF1471" s="882">
        <f>$S$1*P!AF1471</f>
        <v>0</v>
      </c>
    </row>
    <row r="1472" spans="19:32" x14ac:dyDescent="0.35">
      <c r="S1472" s="881">
        <v>1468</v>
      </c>
      <c r="T1472" s="881" t="s">
        <v>4284</v>
      </c>
      <c r="U1472" s="881" t="s">
        <v>3312</v>
      </c>
      <c r="V1472" s="883">
        <f>$S$1*P!V1472</f>
        <v>0.12328000000000001</v>
      </c>
      <c r="W1472" s="780"/>
      <c r="X1472" s="782">
        <v>1468</v>
      </c>
      <c r="Y1472" s="782" t="s">
        <v>2248</v>
      </c>
      <c r="Z1472" s="782" t="s">
        <v>3408</v>
      </c>
      <c r="AA1472" s="781">
        <f>$S$1*P!AA1472</f>
        <v>5.895161290322581E-5</v>
      </c>
      <c r="AB1472" s="780"/>
      <c r="AC1472" s="881">
        <v>1468</v>
      </c>
      <c r="AD1472" s="881" t="s">
        <v>4573</v>
      </c>
      <c r="AE1472" s="881" t="s">
        <v>3233</v>
      </c>
      <c r="AF1472" s="882">
        <f>$S$1*P!AF1472</f>
        <v>0.27727822580645162</v>
      </c>
    </row>
    <row r="1473" spans="19:32" x14ac:dyDescent="0.35">
      <c r="S1473" s="881">
        <v>1469</v>
      </c>
      <c r="T1473" s="881" t="s">
        <v>4284</v>
      </c>
      <c r="U1473" s="881" t="s">
        <v>4619</v>
      </c>
      <c r="V1473" s="883">
        <f>$S$1*P!V1473</f>
        <v>2.2518145161290325E-2</v>
      </c>
      <c r="W1473" s="780"/>
      <c r="X1473" s="782">
        <v>1469</v>
      </c>
      <c r="Y1473" s="782" t="s">
        <v>2248</v>
      </c>
      <c r="Z1473" s="782" t="s">
        <v>5379</v>
      </c>
      <c r="AA1473" s="781">
        <f>$S$1*P!AA1473</f>
        <v>5.0383064516129035E-3</v>
      </c>
      <c r="AB1473" s="780"/>
      <c r="AC1473" s="881">
        <v>1469</v>
      </c>
      <c r="AD1473" s="881" t="s">
        <v>4573</v>
      </c>
      <c r="AE1473" s="881" t="s">
        <v>3233</v>
      </c>
      <c r="AF1473" s="882">
        <f>$S$1*P!AF1473</f>
        <v>0</v>
      </c>
    </row>
    <row r="1474" spans="19:32" x14ac:dyDescent="0.35">
      <c r="S1474" s="782">
        <v>1470</v>
      </c>
      <c r="T1474" s="782" t="s">
        <v>4284</v>
      </c>
      <c r="U1474" s="782" t="s">
        <v>4618</v>
      </c>
      <c r="V1474" s="797">
        <f>$S$1*P!V1474</f>
        <v>1.7308467741935486E-5</v>
      </c>
      <c r="W1474" s="780"/>
      <c r="X1474" s="782">
        <v>1470</v>
      </c>
      <c r="Y1474" s="782" t="s">
        <v>2248</v>
      </c>
      <c r="Z1474" s="782" t="s">
        <v>4822</v>
      </c>
      <c r="AA1474" s="781">
        <f>$S$1*P!AA1474</f>
        <v>5.4495967741935489E-5</v>
      </c>
      <c r="AB1474" s="780"/>
      <c r="AC1474" s="782">
        <v>1470</v>
      </c>
      <c r="AD1474" s="782" t="s">
        <v>4573</v>
      </c>
      <c r="AE1474" s="782" t="s">
        <v>3232</v>
      </c>
      <c r="AF1474" s="781">
        <f>$S$1*P!AF1474</f>
        <v>0.27727822580645162</v>
      </c>
    </row>
    <row r="1475" spans="19:32" x14ac:dyDescent="0.35">
      <c r="S1475" s="881">
        <v>1471</v>
      </c>
      <c r="T1475" s="881" t="s">
        <v>4284</v>
      </c>
      <c r="U1475" s="881" t="s">
        <v>3310</v>
      </c>
      <c r="V1475" s="883">
        <f>$S$1*P!V1475</f>
        <v>0.42136000000000001</v>
      </c>
      <c r="W1475" s="780"/>
      <c r="X1475" s="782">
        <v>1471</v>
      </c>
      <c r="Y1475" s="782" t="s">
        <v>2248</v>
      </c>
      <c r="Z1475" s="782" t="s">
        <v>3406</v>
      </c>
      <c r="AA1475" s="781">
        <f>$S$1*P!AA1475</f>
        <v>60.260000000000005</v>
      </c>
      <c r="AB1475" s="780"/>
      <c r="AC1475" s="881">
        <v>1471</v>
      </c>
      <c r="AD1475" s="881" t="s">
        <v>4573</v>
      </c>
      <c r="AE1475" s="881" t="s">
        <v>3232</v>
      </c>
      <c r="AF1475" s="882">
        <f>$S$1*P!AF1475</f>
        <v>0</v>
      </c>
    </row>
    <row r="1476" spans="19:32" x14ac:dyDescent="0.35">
      <c r="S1476" s="881">
        <v>1472</v>
      </c>
      <c r="T1476" s="881" t="s">
        <v>4284</v>
      </c>
      <c r="U1476" s="881" t="s">
        <v>4617</v>
      </c>
      <c r="V1476" s="883">
        <f>$S$1*P!V1476</f>
        <v>7.9173387096774198E-2</v>
      </c>
      <c r="W1476" s="780"/>
      <c r="X1476" s="782">
        <v>1472</v>
      </c>
      <c r="Y1476" s="782" t="s">
        <v>2248</v>
      </c>
      <c r="Z1476" s="782" t="s">
        <v>3406</v>
      </c>
      <c r="AA1476" s="781">
        <f>$S$1*P!AA1476</f>
        <v>0.12030241935483872</v>
      </c>
      <c r="AB1476" s="780"/>
      <c r="AC1476" s="881">
        <v>1472</v>
      </c>
      <c r="AD1476" s="881" t="s">
        <v>4573</v>
      </c>
      <c r="AE1476" s="881" t="s">
        <v>3231</v>
      </c>
      <c r="AF1476" s="882">
        <f>$S$1*P!AF1476</f>
        <v>3.5645161290322585</v>
      </c>
    </row>
    <row r="1477" spans="19:32" x14ac:dyDescent="0.35">
      <c r="S1477" s="782">
        <v>1473</v>
      </c>
      <c r="T1477" s="782" t="s">
        <v>4284</v>
      </c>
      <c r="U1477" s="782" t="s">
        <v>4616</v>
      </c>
      <c r="V1477" s="797">
        <f>$S$1*P!V1477</f>
        <v>1.0419354838709678E-4</v>
      </c>
      <c r="W1477" s="780"/>
      <c r="X1477" s="782">
        <v>1473</v>
      </c>
      <c r="Y1477" s="782" t="s">
        <v>2248</v>
      </c>
      <c r="Z1477" s="782" t="s">
        <v>5378</v>
      </c>
      <c r="AA1477" s="781">
        <f>$S$1*P!AA1477</f>
        <v>2.4711693548387097E-3</v>
      </c>
      <c r="AB1477" s="780"/>
      <c r="AC1477" s="881">
        <v>1473</v>
      </c>
      <c r="AD1477" s="881" t="s">
        <v>4573</v>
      </c>
      <c r="AE1477" s="881" t="s">
        <v>3231</v>
      </c>
      <c r="AF1477" s="882">
        <f>$S$1*P!AF1477</f>
        <v>9108</v>
      </c>
    </row>
    <row r="1478" spans="19:32" x14ac:dyDescent="0.35">
      <c r="S1478" s="881">
        <v>1474</v>
      </c>
      <c r="T1478" s="881" t="s">
        <v>4284</v>
      </c>
      <c r="U1478" s="881" t="s">
        <v>3309</v>
      </c>
      <c r="V1478" s="883">
        <f>$S$1*P!V1478</f>
        <v>0</v>
      </c>
      <c r="W1478" s="780"/>
      <c r="X1478" s="782">
        <v>1474</v>
      </c>
      <c r="Y1478" s="782" t="s">
        <v>2248</v>
      </c>
      <c r="Z1478" s="782" t="s">
        <v>4817</v>
      </c>
      <c r="AA1478" s="781">
        <f>$S$1*P!AA1478</f>
        <v>1.1516129032258066E-2</v>
      </c>
      <c r="AB1478" s="780"/>
      <c r="AC1478" s="881">
        <v>1474</v>
      </c>
      <c r="AD1478" s="881" t="s">
        <v>4573</v>
      </c>
      <c r="AE1478" s="881" t="s">
        <v>3230</v>
      </c>
      <c r="AF1478" s="882">
        <f>$S$1*P!AF1478</f>
        <v>0.83286290322580647</v>
      </c>
    </row>
    <row r="1479" spans="19:32" x14ac:dyDescent="0.35">
      <c r="S1479" s="881">
        <v>1475</v>
      </c>
      <c r="T1479" s="881" t="s">
        <v>4284</v>
      </c>
      <c r="U1479" s="881" t="s">
        <v>4615</v>
      </c>
      <c r="V1479" s="883">
        <f>$S$1*P!V1479</f>
        <v>1.6006048387096777E-2</v>
      </c>
      <c r="W1479" s="780"/>
      <c r="X1479" s="782">
        <v>1475</v>
      </c>
      <c r="Y1479" s="782" t="s">
        <v>2248</v>
      </c>
      <c r="Z1479" s="782" t="s">
        <v>3405</v>
      </c>
      <c r="AA1479" s="781">
        <f>$S$1*P!AA1479</f>
        <v>0.79672000000000009</v>
      </c>
      <c r="AB1479" s="780"/>
      <c r="AC1479" s="881">
        <v>1475</v>
      </c>
      <c r="AD1479" s="881" t="s">
        <v>4573</v>
      </c>
      <c r="AE1479" s="881" t="s">
        <v>3230</v>
      </c>
      <c r="AF1479" s="882">
        <f>$S$1*P!AF1479</f>
        <v>0.77464</v>
      </c>
    </row>
    <row r="1480" spans="19:32" x14ac:dyDescent="0.35">
      <c r="S1480" s="881">
        <v>1476</v>
      </c>
      <c r="T1480" s="881" t="s">
        <v>4284</v>
      </c>
      <c r="U1480" s="881" t="s">
        <v>4614</v>
      </c>
      <c r="V1480" s="883">
        <f>$S$1*P!V1480</f>
        <v>1.3538306451612904E-3</v>
      </c>
      <c r="W1480" s="780"/>
      <c r="X1480" s="782">
        <v>1476</v>
      </c>
      <c r="Y1480" s="782" t="s">
        <v>2248</v>
      </c>
      <c r="Z1480" s="782" t="s">
        <v>5377</v>
      </c>
      <c r="AA1480" s="781">
        <f>$S$1*P!AA1480</f>
        <v>2.2175403225806454E-3</v>
      </c>
      <c r="AB1480" s="780"/>
      <c r="AC1480" s="881">
        <v>1476</v>
      </c>
      <c r="AD1480" s="881" t="s">
        <v>4573</v>
      </c>
      <c r="AE1480" s="881" t="s">
        <v>3228</v>
      </c>
      <c r="AF1480" s="882">
        <f>$S$1*P!AF1480</f>
        <v>1012.0000000000001</v>
      </c>
    </row>
    <row r="1481" spans="19:32" x14ac:dyDescent="0.35">
      <c r="S1481" s="881">
        <v>1477</v>
      </c>
      <c r="T1481" s="881" t="s">
        <v>4284</v>
      </c>
      <c r="U1481" s="881" t="s">
        <v>4613</v>
      </c>
      <c r="V1481" s="883">
        <f>$S$1*P!V1481</f>
        <v>6.1008064516129043E-4</v>
      </c>
      <c r="W1481" s="780"/>
      <c r="X1481" s="782">
        <v>1477</v>
      </c>
      <c r="Y1481" s="782" t="s">
        <v>2248</v>
      </c>
      <c r="Z1481" s="782" t="s">
        <v>3405</v>
      </c>
      <c r="AA1481" s="781">
        <f>$S$1*P!AA1481</f>
        <v>1.7754032258064517E-2</v>
      </c>
      <c r="AB1481" s="780"/>
      <c r="AC1481" s="881">
        <v>1477</v>
      </c>
      <c r="AD1481" s="881" t="s">
        <v>4573</v>
      </c>
      <c r="AE1481" s="881" t="s">
        <v>3227</v>
      </c>
      <c r="AF1481" s="882">
        <f>$S$1*P!AF1481</f>
        <v>0</v>
      </c>
    </row>
    <row r="1482" spans="19:32" x14ac:dyDescent="0.35">
      <c r="S1482" s="881">
        <v>1478</v>
      </c>
      <c r="T1482" s="881" t="s">
        <v>4284</v>
      </c>
      <c r="U1482" s="881" t="s">
        <v>4612</v>
      </c>
      <c r="V1482" s="883">
        <f>$S$1*P!V1482</f>
        <v>4.0100806451612905E-4</v>
      </c>
      <c r="W1482" s="780"/>
      <c r="X1482" s="782">
        <v>1478</v>
      </c>
      <c r="Y1482" s="782" t="s">
        <v>2248</v>
      </c>
      <c r="Z1482" s="782" t="s">
        <v>3403</v>
      </c>
      <c r="AA1482" s="781">
        <f>$S$1*P!AA1482</f>
        <v>0</v>
      </c>
      <c r="AB1482" s="780"/>
      <c r="AC1482" s="881">
        <v>1478</v>
      </c>
      <c r="AD1482" s="881" t="s">
        <v>4573</v>
      </c>
      <c r="AE1482" s="881" t="s">
        <v>3225</v>
      </c>
      <c r="AF1482" s="882">
        <f>$S$1*P!AF1482</f>
        <v>9.1908000000000004E-2</v>
      </c>
    </row>
    <row r="1483" spans="19:32" x14ac:dyDescent="0.35">
      <c r="S1483" s="782">
        <v>1479</v>
      </c>
      <c r="T1483" s="782" t="s">
        <v>4284</v>
      </c>
      <c r="U1483" s="782" t="s">
        <v>4611</v>
      </c>
      <c r="V1483" s="797">
        <f>$S$1*P!V1483</f>
        <v>9.1854838709677427E-4</v>
      </c>
      <c r="W1483" s="780"/>
      <c r="X1483" s="782">
        <v>1479</v>
      </c>
      <c r="Y1483" s="782" t="s">
        <v>2248</v>
      </c>
      <c r="Z1483" s="782" t="s">
        <v>3403</v>
      </c>
      <c r="AA1483" s="781">
        <f>$S$1*P!AA1483</f>
        <v>0.48326612903225813</v>
      </c>
      <c r="AB1483" s="780"/>
      <c r="AC1483" s="881">
        <v>1479</v>
      </c>
      <c r="AD1483" s="881" t="s">
        <v>4573</v>
      </c>
      <c r="AE1483" s="881" t="s">
        <v>3224</v>
      </c>
      <c r="AF1483" s="882">
        <f>$S$1*P!AF1483</f>
        <v>275.08</v>
      </c>
    </row>
    <row r="1484" spans="19:32" x14ac:dyDescent="0.35">
      <c r="S1484" s="881">
        <v>1480</v>
      </c>
      <c r="T1484" s="881" t="s">
        <v>4284</v>
      </c>
      <c r="U1484" s="881" t="s">
        <v>3307</v>
      </c>
      <c r="V1484" s="883">
        <f>$S$1*P!V1484</f>
        <v>0</v>
      </c>
      <c r="W1484" s="780"/>
      <c r="X1484" s="782">
        <v>1480</v>
      </c>
      <c r="Y1484" s="782" t="s">
        <v>2248</v>
      </c>
      <c r="Z1484" s="782" t="s">
        <v>5376</v>
      </c>
      <c r="AA1484" s="781">
        <f>$S$1*P!AA1484</f>
        <v>5.4838709677419362E-5</v>
      </c>
      <c r="AB1484" s="780"/>
      <c r="AC1484" s="881">
        <v>1480</v>
      </c>
      <c r="AD1484" s="881" t="s">
        <v>4573</v>
      </c>
      <c r="AE1484" s="881" t="s">
        <v>4514</v>
      </c>
      <c r="AF1484" s="882">
        <f>$S$1*P!AF1484</f>
        <v>3.3588709677419355E-3</v>
      </c>
    </row>
    <row r="1485" spans="19:32" x14ac:dyDescent="0.35">
      <c r="S1485" s="881">
        <v>1481</v>
      </c>
      <c r="T1485" s="881" t="s">
        <v>4284</v>
      </c>
      <c r="U1485" s="881" t="s">
        <v>3306</v>
      </c>
      <c r="V1485" s="883">
        <f>$S$1*P!V1485</f>
        <v>0</v>
      </c>
      <c r="W1485" s="780"/>
      <c r="X1485" s="782">
        <v>1481</v>
      </c>
      <c r="Y1485" s="782" t="s">
        <v>2248</v>
      </c>
      <c r="Z1485" s="782" t="s">
        <v>4813</v>
      </c>
      <c r="AA1485" s="781">
        <f>$S$1*P!AA1485</f>
        <v>6.3064516129032272E-5</v>
      </c>
      <c r="AB1485" s="780"/>
      <c r="AC1485" s="881">
        <v>1481</v>
      </c>
      <c r="AD1485" s="881" t="s">
        <v>4573</v>
      </c>
      <c r="AE1485" s="881" t="s">
        <v>4513</v>
      </c>
      <c r="AF1485" s="882">
        <f>$S$1*P!AF1485</f>
        <v>0.40443548387096778</v>
      </c>
    </row>
    <row r="1486" spans="19:32" x14ac:dyDescent="0.35">
      <c r="S1486" s="881">
        <v>1482</v>
      </c>
      <c r="T1486" s="881" t="s">
        <v>4284</v>
      </c>
      <c r="U1486" s="881" t="s">
        <v>3305</v>
      </c>
      <c r="V1486" s="883">
        <f>$S$1*P!V1486</f>
        <v>0</v>
      </c>
      <c r="W1486" s="780"/>
      <c r="X1486" s="782">
        <v>1482</v>
      </c>
      <c r="Y1486" s="782" t="s">
        <v>2248</v>
      </c>
      <c r="Z1486" s="782" t="s">
        <v>3402</v>
      </c>
      <c r="AA1486" s="781">
        <f>$S$1*P!AA1486</f>
        <v>4.6643999999999998E-2</v>
      </c>
      <c r="AB1486" s="780"/>
      <c r="AC1486" s="782">
        <v>1482</v>
      </c>
      <c r="AD1486" s="782" t="s">
        <v>4573</v>
      </c>
      <c r="AE1486" s="782" t="s">
        <v>4512</v>
      </c>
      <c r="AF1486" s="781">
        <f>$S$1*P!AF1486</f>
        <v>69.233870967741936</v>
      </c>
    </row>
    <row r="1487" spans="19:32" x14ac:dyDescent="0.35">
      <c r="S1487" s="881">
        <v>1483</v>
      </c>
      <c r="T1487" s="881" t="s">
        <v>4284</v>
      </c>
      <c r="U1487" s="881" t="s">
        <v>3303</v>
      </c>
      <c r="V1487" s="883">
        <f>$S$1*P!V1487</f>
        <v>0</v>
      </c>
      <c r="W1487" s="780"/>
      <c r="X1487" s="782">
        <v>1483</v>
      </c>
      <c r="Y1487" s="782" t="s">
        <v>2248</v>
      </c>
      <c r="Z1487" s="782" t="s">
        <v>5375</v>
      </c>
      <c r="AA1487" s="781">
        <f>$S$1*P!AA1487</f>
        <v>4.9697580645161291E-6</v>
      </c>
      <c r="AB1487" s="780"/>
      <c r="AC1487" s="881">
        <v>1483</v>
      </c>
      <c r="AD1487" s="881" t="s">
        <v>4573</v>
      </c>
      <c r="AE1487" s="881" t="s">
        <v>3222</v>
      </c>
      <c r="AF1487" s="882">
        <f>$S$1*P!AF1487</f>
        <v>4.1471774193548389E-2</v>
      </c>
    </row>
    <row r="1488" spans="19:32" x14ac:dyDescent="0.35">
      <c r="S1488" s="881">
        <v>1484</v>
      </c>
      <c r="T1488" s="881" t="s">
        <v>4284</v>
      </c>
      <c r="U1488" s="881" t="s">
        <v>3302</v>
      </c>
      <c r="V1488" s="883">
        <f>$S$1*P!V1488</f>
        <v>0</v>
      </c>
      <c r="W1488" s="780"/>
      <c r="X1488" s="782">
        <v>1484</v>
      </c>
      <c r="Y1488" s="782" t="s">
        <v>2248</v>
      </c>
      <c r="Z1488" s="782" t="s">
        <v>3400</v>
      </c>
      <c r="AA1488" s="781">
        <f>$S$1*P!AA1488</f>
        <v>3.9191999999999998E-2</v>
      </c>
      <c r="AB1488" s="780"/>
      <c r="AC1488" s="881">
        <v>1484</v>
      </c>
      <c r="AD1488" s="881" t="s">
        <v>4573</v>
      </c>
      <c r="AE1488" s="881" t="s">
        <v>3222</v>
      </c>
      <c r="AF1488" s="882">
        <f>$S$1*P!AF1488</f>
        <v>0</v>
      </c>
    </row>
    <row r="1489" spans="19:32" x14ac:dyDescent="0.35">
      <c r="S1489" s="881">
        <v>1485</v>
      </c>
      <c r="T1489" s="881" t="s">
        <v>4284</v>
      </c>
      <c r="U1489" s="881" t="s">
        <v>3300</v>
      </c>
      <c r="V1489" s="883">
        <f>$S$1*P!V1489</f>
        <v>1.6280241935483872E-3</v>
      </c>
      <c r="W1489" s="780"/>
      <c r="X1489" s="782">
        <v>1485</v>
      </c>
      <c r="Y1489" s="782" t="s">
        <v>2248</v>
      </c>
      <c r="Z1489" s="782" t="s">
        <v>3398</v>
      </c>
      <c r="AA1489" s="781">
        <f>$S$1*P!AA1489</f>
        <v>3.2752000000000003E-2</v>
      </c>
      <c r="AB1489" s="780"/>
      <c r="AC1489" s="782">
        <v>1485</v>
      </c>
      <c r="AD1489" s="782" t="s">
        <v>4573</v>
      </c>
      <c r="AE1489" s="782" t="s">
        <v>3221</v>
      </c>
      <c r="AF1489" s="781">
        <f>$S$1*P!AF1489</f>
        <v>7.5403225806451623E-4</v>
      </c>
    </row>
    <row r="1490" spans="19:32" x14ac:dyDescent="0.35">
      <c r="S1490" s="881">
        <v>1486</v>
      </c>
      <c r="T1490" s="881" t="s">
        <v>4284</v>
      </c>
      <c r="U1490" s="881" t="s">
        <v>3300</v>
      </c>
      <c r="V1490" s="883">
        <f>$S$1*P!V1490</f>
        <v>0</v>
      </c>
      <c r="W1490" s="780"/>
      <c r="X1490" s="782">
        <v>1486</v>
      </c>
      <c r="Y1490" s="782" t="s">
        <v>2248</v>
      </c>
      <c r="Z1490" s="782" t="s">
        <v>5374</v>
      </c>
      <c r="AA1490" s="781">
        <f>$S$1*P!AA1490</f>
        <v>0.78830645161290325</v>
      </c>
      <c r="AB1490" s="780"/>
      <c r="AC1490" s="881">
        <v>1486</v>
      </c>
      <c r="AD1490" s="881" t="s">
        <v>4573</v>
      </c>
      <c r="AE1490" s="881" t="s">
        <v>3221</v>
      </c>
      <c r="AF1490" s="882">
        <f>$S$1*P!AF1490</f>
        <v>0</v>
      </c>
    </row>
    <row r="1491" spans="19:32" x14ac:dyDescent="0.35">
      <c r="S1491" s="782">
        <v>1487</v>
      </c>
      <c r="T1491" s="782" t="s">
        <v>4284</v>
      </c>
      <c r="U1491" s="782" t="s">
        <v>4609</v>
      </c>
      <c r="V1491" s="797">
        <f>$S$1*P!V1491</f>
        <v>2.385483870967742E-4</v>
      </c>
      <c r="W1491" s="780"/>
      <c r="X1491" s="782">
        <v>1487</v>
      </c>
      <c r="Y1491" s="782" t="s">
        <v>2248</v>
      </c>
      <c r="Z1491" s="782" t="s">
        <v>4810</v>
      </c>
      <c r="AA1491" s="781">
        <f>$S$1*P!AA1491</f>
        <v>4.7641129032258069E-6</v>
      </c>
      <c r="AB1491" s="780"/>
      <c r="AC1491" s="881">
        <v>1487</v>
      </c>
      <c r="AD1491" s="881" t="s">
        <v>4573</v>
      </c>
      <c r="AE1491" s="881" t="s">
        <v>3220</v>
      </c>
      <c r="AF1491" s="882">
        <f>$S$1*P!AF1491</f>
        <v>61.350806451612911</v>
      </c>
    </row>
    <row r="1492" spans="19:32" x14ac:dyDescent="0.35">
      <c r="S1492" s="881">
        <v>1488</v>
      </c>
      <c r="T1492" s="881" t="s">
        <v>4284</v>
      </c>
      <c r="U1492" s="881" t="s">
        <v>4606</v>
      </c>
      <c r="V1492" s="883">
        <f>$S$1*P!V1492</f>
        <v>7.8487903225806458E-3</v>
      </c>
      <c r="W1492" s="780"/>
      <c r="X1492" s="782">
        <v>1488</v>
      </c>
      <c r="Y1492" s="782" t="s">
        <v>2248</v>
      </c>
      <c r="Z1492" s="782" t="s">
        <v>4808</v>
      </c>
      <c r="AA1492" s="781">
        <f>$S$1*P!AA1492</f>
        <v>2.9510080645161292E-6</v>
      </c>
      <c r="AB1492" s="780"/>
      <c r="AC1492" s="881">
        <v>1488</v>
      </c>
      <c r="AD1492" s="881" t="s">
        <v>4573</v>
      </c>
      <c r="AE1492" s="881" t="s">
        <v>3220</v>
      </c>
      <c r="AF1492" s="882">
        <f>$S$1*P!AF1492</f>
        <v>5.5200000000000005</v>
      </c>
    </row>
    <row r="1493" spans="19:32" x14ac:dyDescent="0.35">
      <c r="S1493" s="881">
        <v>1489</v>
      </c>
      <c r="T1493" s="881" t="s">
        <v>4284</v>
      </c>
      <c r="U1493" s="881" t="s">
        <v>3299</v>
      </c>
      <c r="V1493" s="883">
        <f>$S$1*P!V1493</f>
        <v>3.8271999999999999</v>
      </c>
      <c r="W1493" s="780"/>
      <c r="X1493" s="782">
        <v>1489</v>
      </c>
      <c r="Y1493" s="782" t="s">
        <v>2248</v>
      </c>
      <c r="Z1493" s="782" t="s">
        <v>5373</v>
      </c>
      <c r="AA1493" s="781">
        <f>$S$1*P!AA1493</f>
        <v>4.4899193548387102E-4</v>
      </c>
      <c r="AB1493" s="780"/>
      <c r="AC1493" s="782">
        <v>1489</v>
      </c>
      <c r="AD1493" s="782" t="s">
        <v>4573</v>
      </c>
      <c r="AE1493" s="782" t="s">
        <v>4511</v>
      </c>
      <c r="AF1493" s="781">
        <f>$S$1*P!AF1493</f>
        <v>0.12544354838709679</v>
      </c>
    </row>
    <row r="1494" spans="19:32" x14ac:dyDescent="0.35">
      <c r="S1494" s="881">
        <v>1490</v>
      </c>
      <c r="T1494" s="881" t="s">
        <v>4284</v>
      </c>
      <c r="U1494" s="881" t="s">
        <v>3297</v>
      </c>
      <c r="V1494" s="883">
        <f>$S$1*P!V1494</f>
        <v>14.168000000000001</v>
      </c>
      <c r="W1494" s="780"/>
      <c r="X1494" s="782">
        <v>1490</v>
      </c>
      <c r="Y1494" s="782" t="s">
        <v>2248</v>
      </c>
      <c r="Z1494" s="782" t="s">
        <v>4805</v>
      </c>
      <c r="AA1494" s="781">
        <f>$S$1*P!AA1494</f>
        <v>2.7385080645161296E-3</v>
      </c>
      <c r="AB1494" s="780"/>
      <c r="AC1494" s="881">
        <v>1490</v>
      </c>
      <c r="AD1494" s="881" t="s">
        <v>4573</v>
      </c>
      <c r="AE1494" s="881" t="s">
        <v>3218</v>
      </c>
      <c r="AF1494" s="882">
        <f>$S$1*P!AF1494</f>
        <v>15.363999999999999</v>
      </c>
    </row>
    <row r="1495" spans="19:32" x14ac:dyDescent="0.35">
      <c r="S1495" s="782">
        <v>1491</v>
      </c>
      <c r="T1495" s="782" t="s">
        <v>4284</v>
      </c>
      <c r="U1495" s="782" t="s">
        <v>4603</v>
      </c>
      <c r="V1495" s="797">
        <f>$S$1*P!V1495</f>
        <v>1.4155241935483872E-5</v>
      </c>
      <c r="W1495" s="780"/>
      <c r="X1495" s="782">
        <v>1491</v>
      </c>
      <c r="Y1495" s="782" t="s">
        <v>2248</v>
      </c>
      <c r="Z1495" s="782" t="s">
        <v>4802</v>
      </c>
      <c r="AA1495" s="781">
        <f>$S$1*P!AA1495</f>
        <v>2.553427419354839E-4</v>
      </c>
      <c r="AB1495" s="780"/>
      <c r="AC1495" s="881">
        <v>1491</v>
      </c>
      <c r="AD1495" s="881" t="s">
        <v>4573</v>
      </c>
      <c r="AE1495" s="881" t="s">
        <v>4510</v>
      </c>
      <c r="AF1495" s="882">
        <f>$S$1*P!AF1495</f>
        <v>0.95625000000000004</v>
      </c>
    </row>
    <row r="1496" spans="19:32" x14ac:dyDescent="0.35">
      <c r="S1496" s="881">
        <v>1492</v>
      </c>
      <c r="T1496" s="881" t="s">
        <v>4284</v>
      </c>
      <c r="U1496" s="881" t="s">
        <v>3296</v>
      </c>
      <c r="V1496" s="883">
        <f>$S$1*P!V1496</f>
        <v>0</v>
      </c>
      <c r="W1496" s="780"/>
      <c r="X1496" s="782">
        <v>1492</v>
      </c>
      <c r="Y1496" s="782" t="s">
        <v>2248</v>
      </c>
      <c r="Z1496" s="782" t="s">
        <v>4800</v>
      </c>
      <c r="AA1496" s="781">
        <f>$S$1*P!AA1496</f>
        <v>1.0110887096774195E-3</v>
      </c>
      <c r="AB1496" s="780"/>
      <c r="AC1496" s="881">
        <v>1492</v>
      </c>
      <c r="AD1496" s="881" t="s">
        <v>4573</v>
      </c>
      <c r="AE1496" s="881" t="s">
        <v>3217</v>
      </c>
      <c r="AF1496" s="882">
        <f>$S$1*P!AF1496</f>
        <v>0.33487999999999996</v>
      </c>
    </row>
    <row r="1497" spans="19:32" x14ac:dyDescent="0.35">
      <c r="S1497" s="881">
        <v>1493</v>
      </c>
      <c r="T1497" s="881" t="s">
        <v>4284</v>
      </c>
      <c r="U1497" s="881" t="s">
        <v>4599</v>
      </c>
      <c r="V1497" s="883">
        <f>$S$1*P!V1497</f>
        <v>2.9235887096774195E-2</v>
      </c>
      <c r="W1497" s="780"/>
      <c r="X1497" s="782">
        <v>1493</v>
      </c>
      <c r="Y1497" s="782" t="s">
        <v>2248</v>
      </c>
      <c r="Z1497" s="782" t="s">
        <v>5372</v>
      </c>
      <c r="AA1497" s="781">
        <f>$S$1*P!AA1497</f>
        <v>4.9354838709677424E-4</v>
      </c>
      <c r="AB1497" s="780"/>
      <c r="AC1497" s="881">
        <v>1493</v>
      </c>
      <c r="AD1497" s="881" t="s">
        <v>4573</v>
      </c>
      <c r="AE1497" s="881" t="s">
        <v>4509</v>
      </c>
      <c r="AF1497" s="882">
        <f>$S$1*P!AF1497</f>
        <v>0.26665322580645162</v>
      </c>
    </row>
    <row r="1498" spans="19:32" x14ac:dyDescent="0.35">
      <c r="S1498" s="881">
        <v>1494</v>
      </c>
      <c r="T1498" s="881" t="s">
        <v>4284</v>
      </c>
      <c r="U1498" s="881" t="s">
        <v>3294</v>
      </c>
      <c r="V1498" s="883">
        <f>$S$1*P!V1498</f>
        <v>1.4429435483870969E-3</v>
      </c>
      <c r="W1498" s="780"/>
      <c r="X1498" s="782">
        <v>1494</v>
      </c>
      <c r="Y1498" s="782" t="s">
        <v>2248</v>
      </c>
      <c r="Z1498" s="782" t="s">
        <v>4797</v>
      </c>
      <c r="AA1498" s="781">
        <f>$S$1*P!AA1498</f>
        <v>2.9338709677419357E-4</v>
      </c>
      <c r="AB1498" s="780"/>
      <c r="AC1498" s="881">
        <v>1494</v>
      </c>
      <c r="AD1498" s="881" t="s">
        <v>4573</v>
      </c>
      <c r="AE1498" s="881" t="s">
        <v>4508</v>
      </c>
      <c r="AF1498" s="882">
        <f>$S$1*P!AF1498</f>
        <v>3.1155241935483875E-2</v>
      </c>
    </row>
    <row r="1499" spans="19:32" x14ac:dyDescent="0.35">
      <c r="S1499" s="881">
        <v>1495</v>
      </c>
      <c r="T1499" s="881" t="s">
        <v>4284</v>
      </c>
      <c r="U1499" s="881" t="s">
        <v>3294</v>
      </c>
      <c r="V1499" s="883">
        <f>$S$1*P!V1499</f>
        <v>14.628</v>
      </c>
      <c r="W1499" s="780"/>
      <c r="X1499" s="782">
        <v>1495</v>
      </c>
      <c r="Y1499" s="782" t="s">
        <v>2248</v>
      </c>
      <c r="Z1499" s="782" t="s">
        <v>4795</v>
      </c>
      <c r="AA1499" s="781">
        <f>$S$1*P!AA1499</f>
        <v>1.2133064516129033E-3</v>
      </c>
      <c r="AB1499" s="780"/>
      <c r="AC1499" s="881">
        <v>1495</v>
      </c>
      <c r="AD1499" s="881" t="s">
        <v>4573</v>
      </c>
      <c r="AE1499" s="881" t="s">
        <v>4504</v>
      </c>
      <c r="AF1499" s="882">
        <f>$S$1*P!AF1499</f>
        <v>0.47983870967741937</v>
      </c>
    </row>
    <row r="1500" spans="19:32" x14ac:dyDescent="0.35">
      <c r="S1500" s="881">
        <v>1496</v>
      </c>
      <c r="T1500" s="881" t="s">
        <v>4284</v>
      </c>
      <c r="U1500" s="881" t="s">
        <v>3293</v>
      </c>
      <c r="V1500" s="883">
        <f>$S$1*P!V1500</f>
        <v>27.693548387096776</v>
      </c>
      <c r="W1500" s="780"/>
      <c r="X1500" s="782">
        <v>1496</v>
      </c>
      <c r="Y1500" s="782" t="s">
        <v>2248</v>
      </c>
      <c r="Z1500" s="782" t="s">
        <v>5371</v>
      </c>
      <c r="AA1500" s="781">
        <f>$S$1*P!AA1500</f>
        <v>2.4711693548387099E-2</v>
      </c>
      <c r="AB1500" s="780"/>
      <c r="AC1500" s="782">
        <v>1496</v>
      </c>
      <c r="AD1500" s="782" t="s">
        <v>4573</v>
      </c>
      <c r="AE1500" s="782" t="s">
        <v>4499</v>
      </c>
      <c r="AF1500" s="781">
        <f>$S$1*P!AF1500</f>
        <v>6.2036290322580651E-2</v>
      </c>
    </row>
    <row r="1501" spans="19:32" x14ac:dyDescent="0.35">
      <c r="S1501" s="881">
        <v>1497</v>
      </c>
      <c r="T1501" s="881" t="s">
        <v>4284</v>
      </c>
      <c r="U1501" s="881" t="s">
        <v>3293</v>
      </c>
      <c r="V1501" s="883">
        <f>$S$1*P!V1501</f>
        <v>287.96000000000004</v>
      </c>
      <c r="W1501" s="780"/>
      <c r="X1501" s="782">
        <v>1497</v>
      </c>
      <c r="Y1501" s="782" t="s">
        <v>2248</v>
      </c>
      <c r="Z1501" s="782" t="s">
        <v>4792</v>
      </c>
      <c r="AA1501" s="781">
        <f>$S$1*P!AA1501</f>
        <v>8.0201612903225809E-4</v>
      </c>
      <c r="AB1501" s="780"/>
      <c r="AC1501" s="881">
        <v>1497</v>
      </c>
      <c r="AD1501" s="881" t="s">
        <v>4573</v>
      </c>
      <c r="AE1501" s="881" t="s">
        <v>4495</v>
      </c>
      <c r="AF1501" s="882">
        <f>$S$1*P!AF1501</f>
        <v>6.0322580645161298E-3</v>
      </c>
    </row>
    <row r="1502" spans="19:32" x14ac:dyDescent="0.35">
      <c r="S1502" s="881">
        <v>1498</v>
      </c>
      <c r="T1502" s="881" t="s">
        <v>4284</v>
      </c>
      <c r="U1502" s="881" t="s">
        <v>4587</v>
      </c>
      <c r="V1502" s="883">
        <f>$S$1*P!V1502</f>
        <v>1.477217741935484E-2</v>
      </c>
      <c r="W1502" s="780"/>
      <c r="X1502" s="782">
        <v>1498</v>
      </c>
      <c r="Y1502" s="782" t="s">
        <v>2248</v>
      </c>
      <c r="Z1502" s="782" t="s">
        <v>4789</v>
      </c>
      <c r="AA1502" s="781">
        <f>$S$1*P!AA1502</f>
        <v>9.425403225806452E-4</v>
      </c>
      <c r="AB1502" s="780"/>
      <c r="AC1502" s="782">
        <v>1498</v>
      </c>
      <c r="AD1502" s="782" t="s">
        <v>4573</v>
      </c>
      <c r="AE1502" s="782" t="s">
        <v>4491</v>
      </c>
      <c r="AF1502" s="781">
        <f>$S$1*P!AF1502</f>
        <v>4.215725806451613</v>
      </c>
    </row>
    <row r="1503" spans="19:32" x14ac:dyDescent="0.35">
      <c r="S1503" s="881">
        <v>1499</v>
      </c>
      <c r="T1503" s="881" t="s">
        <v>4284</v>
      </c>
      <c r="U1503" s="881" t="s">
        <v>3291</v>
      </c>
      <c r="V1503" s="883">
        <f>$S$1*P!V1503</f>
        <v>0.18215999999999999</v>
      </c>
      <c r="W1503" s="780"/>
      <c r="X1503" s="782">
        <v>1499</v>
      </c>
      <c r="Y1503" s="782" t="s">
        <v>2248</v>
      </c>
      <c r="Z1503" s="782" t="s">
        <v>4786</v>
      </c>
      <c r="AA1503" s="781">
        <f>$S$1*P!AA1503</f>
        <v>6.7520161290322587E-6</v>
      </c>
      <c r="AB1503" s="780"/>
      <c r="AC1503" s="881">
        <v>1499</v>
      </c>
      <c r="AD1503" s="881" t="s">
        <v>4573</v>
      </c>
      <c r="AE1503" s="881" t="s">
        <v>3215</v>
      </c>
      <c r="AF1503" s="882">
        <f>$S$1*P!AF1503</f>
        <v>0</v>
      </c>
    </row>
    <row r="1504" spans="19:32" x14ac:dyDescent="0.35">
      <c r="S1504" s="782">
        <v>1500</v>
      </c>
      <c r="T1504" s="782" t="s">
        <v>4284</v>
      </c>
      <c r="U1504" s="782" t="s">
        <v>3289</v>
      </c>
      <c r="V1504" s="797">
        <f>$S$1*P!V1504</f>
        <v>0.11516129032258066</v>
      </c>
      <c r="W1504" s="780"/>
      <c r="X1504" s="782">
        <v>1500</v>
      </c>
      <c r="Y1504" s="782" t="s">
        <v>2248</v>
      </c>
      <c r="Z1504" s="782" t="s">
        <v>5370</v>
      </c>
      <c r="AA1504" s="781">
        <f>$S$1*P!AA1504</f>
        <v>1.6040322580645162E-3</v>
      </c>
      <c r="AB1504" s="780"/>
      <c r="AC1504" s="881">
        <v>1500</v>
      </c>
      <c r="AD1504" s="881" t="s">
        <v>4573</v>
      </c>
      <c r="AE1504" s="881" t="s">
        <v>3214</v>
      </c>
      <c r="AF1504" s="882">
        <f>$S$1*P!AF1504</f>
        <v>1.5087999999999999</v>
      </c>
    </row>
    <row r="1505" spans="19:32" x14ac:dyDescent="0.35">
      <c r="S1505" s="881">
        <v>1501</v>
      </c>
      <c r="T1505" s="881" t="s">
        <v>4284</v>
      </c>
      <c r="U1505" s="881" t="s">
        <v>3289</v>
      </c>
      <c r="V1505" s="883">
        <f>$S$1*P!V1505</f>
        <v>0</v>
      </c>
      <c r="W1505" s="780"/>
      <c r="X1505" s="782">
        <v>1501</v>
      </c>
      <c r="Y1505" s="782" t="s">
        <v>2248</v>
      </c>
      <c r="Z1505" s="782" t="s">
        <v>3397</v>
      </c>
      <c r="AA1505" s="781">
        <f>$S$1*P!AA1505</f>
        <v>0</v>
      </c>
      <c r="AB1505" s="780"/>
      <c r="AC1505" s="881">
        <v>1501</v>
      </c>
      <c r="AD1505" s="881" t="s">
        <v>4573</v>
      </c>
      <c r="AE1505" s="881" t="s">
        <v>4486</v>
      </c>
      <c r="AF1505" s="882">
        <f>$S$1*P!AF1505</f>
        <v>340</v>
      </c>
    </row>
    <row r="1506" spans="19:32" x14ac:dyDescent="0.35">
      <c r="S1506" s="881">
        <v>1502</v>
      </c>
      <c r="T1506" s="881" t="s">
        <v>4284</v>
      </c>
      <c r="U1506" s="881" t="s">
        <v>3288</v>
      </c>
      <c r="V1506" s="883">
        <f>$S$1*P!V1506</f>
        <v>0</v>
      </c>
      <c r="W1506" s="780"/>
      <c r="X1506" s="782">
        <v>1502</v>
      </c>
      <c r="Y1506" s="782" t="s">
        <v>2248</v>
      </c>
      <c r="Z1506" s="782" t="s">
        <v>4784</v>
      </c>
      <c r="AA1506" s="781">
        <f>$S$1*P!AA1506</f>
        <v>1.5183467741935485E-4</v>
      </c>
      <c r="AB1506" s="780"/>
      <c r="AC1506" s="782">
        <v>1502</v>
      </c>
      <c r="AD1506" s="782" t="s">
        <v>4573</v>
      </c>
      <c r="AE1506" s="782" t="s">
        <v>4482</v>
      </c>
      <c r="AF1506" s="781">
        <f>$S$1*P!AF1506</f>
        <v>2.0633064516129033E-3</v>
      </c>
    </row>
    <row r="1507" spans="19:32" x14ac:dyDescent="0.35">
      <c r="S1507" s="881">
        <v>1503</v>
      </c>
      <c r="T1507" s="881" t="s">
        <v>4284</v>
      </c>
      <c r="U1507" s="881" t="s">
        <v>4585</v>
      </c>
      <c r="V1507" s="883">
        <f>$S$1*P!V1507</f>
        <v>2.090725806451613E-4</v>
      </c>
      <c r="W1507" s="780"/>
      <c r="X1507" s="782">
        <v>1503</v>
      </c>
      <c r="Y1507" s="782" t="s">
        <v>2248</v>
      </c>
      <c r="Z1507" s="782" t="s">
        <v>5369</v>
      </c>
      <c r="AA1507" s="781">
        <f>$S$1*P!AA1507</f>
        <v>3.3417338709677423E-3</v>
      </c>
      <c r="AB1507" s="780"/>
      <c r="AC1507" s="881">
        <v>1503</v>
      </c>
      <c r="AD1507" s="881" t="s">
        <v>4573</v>
      </c>
      <c r="AE1507" s="881" t="s">
        <v>3212</v>
      </c>
      <c r="AF1507" s="882">
        <f>$S$1*P!AF1507</f>
        <v>7.9858870967741939</v>
      </c>
    </row>
    <row r="1508" spans="19:32" x14ac:dyDescent="0.35">
      <c r="S1508" s="782">
        <v>1504</v>
      </c>
      <c r="T1508" s="782" t="s">
        <v>4284</v>
      </c>
      <c r="U1508" s="782" t="s">
        <v>4582</v>
      </c>
      <c r="V1508" s="797">
        <f>$S$1*P!V1508</f>
        <v>1.1413306451612905E-7</v>
      </c>
      <c r="W1508" s="780"/>
      <c r="X1508" s="782">
        <v>1504</v>
      </c>
      <c r="Y1508" s="782" t="s">
        <v>2248</v>
      </c>
      <c r="Z1508" s="782" t="s">
        <v>4781</v>
      </c>
      <c r="AA1508" s="781">
        <f>$S$1*P!AA1508</f>
        <v>9.5282258064516138E-4</v>
      </c>
      <c r="AB1508" s="780"/>
      <c r="AC1508" s="881">
        <v>1504</v>
      </c>
      <c r="AD1508" s="881" t="s">
        <v>4573</v>
      </c>
      <c r="AE1508" s="881" t="s">
        <v>3212</v>
      </c>
      <c r="AF1508" s="882">
        <f>$S$1*P!AF1508</f>
        <v>0</v>
      </c>
    </row>
    <row r="1509" spans="19:32" x14ac:dyDescent="0.35">
      <c r="S1509" s="881">
        <v>1505</v>
      </c>
      <c r="T1509" s="881" t="s">
        <v>4284</v>
      </c>
      <c r="U1509" s="881" t="s">
        <v>3286</v>
      </c>
      <c r="V1509" s="883">
        <f>$S$1*P!V1509</f>
        <v>3.8044354838709682E-5</v>
      </c>
      <c r="W1509" s="780"/>
      <c r="X1509" s="782">
        <v>1505</v>
      </c>
      <c r="Y1509" s="782" t="s">
        <v>2248</v>
      </c>
      <c r="Z1509" s="782" t="s">
        <v>4778</v>
      </c>
      <c r="AA1509" s="781">
        <f>$S$1*P!AA1509</f>
        <v>2.9030241935483872E-5</v>
      </c>
      <c r="AB1509" s="780"/>
      <c r="AC1509" s="881">
        <v>1505</v>
      </c>
      <c r="AD1509" s="881" t="s">
        <v>4573</v>
      </c>
      <c r="AE1509" s="881" t="s">
        <v>3210</v>
      </c>
      <c r="AF1509" s="882">
        <f>$S$1*P!AF1509</f>
        <v>3.084677419354839E-2</v>
      </c>
    </row>
    <row r="1510" spans="19:32" x14ac:dyDescent="0.35">
      <c r="S1510" s="881">
        <v>1506</v>
      </c>
      <c r="T1510" s="881" t="s">
        <v>4284</v>
      </c>
      <c r="U1510" s="881" t="s">
        <v>3286</v>
      </c>
      <c r="V1510" s="883">
        <f>$S$1*P!V1510</f>
        <v>0</v>
      </c>
      <c r="W1510" s="780"/>
      <c r="X1510" s="782">
        <v>1506</v>
      </c>
      <c r="Y1510" s="782" t="s">
        <v>2248</v>
      </c>
      <c r="Z1510" s="782" t="s">
        <v>5368</v>
      </c>
      <c r="AA1510" s="781">
        <f>$S$1*P!AA1510</f>
        <v>1.1104838709677419E-3</v>
      </c>
      <c r="AB1510" s="780"/>
      <c r="AC1510" s="881">
        <v>1506</v>
      </c>
      <c r="AD1510" s="881" t="s">
        <v>4573</v>
      </c>
      <c r="AE1510" s="881" t="s">
        <v>3210</v>
      </c>
      <c r="AF1510" s="882">
        <f>$S$1*P!AF1510</f>
        <v>1.0671999999999999</v>
      </c>
    </row>
    <row r="1511" spans="19:32" x14ac:dyDescent="0.35">
      <c r="S1511" s="782">
        <v>1507</v>
      </c>
      <c r="T1511" s="782" t="s">
        <v>4284</v>
      </c>
      <c r="U1511" s="782" t="s">
        <v>3285</v>
      </c>
      <c r="V1511" s="797">
        <f>$S$1*P!V1511</f>
        <v>2.7796370967741934E-3</v>
      </c>
      <c r="W1511" s="780"/>
      <c r="X1511" s="782">
        <v>1507</v>
      </c>
      <c r="Y1511" s="782" t="s">
        <v>2248</v>
      </c>
      <c r="Z1511" s="782" t="s">
        <v>4776</v>
      </c>
      <c r="AA1511" s="781">
        <f>$S$1*P!AA1511</f>
        <v>2.704233870967742E-2</v>
      </c>
      <c r="AB1511" s="780"/>
      <c r="AC1511" s="881">
        <v>1507</v>
      </c>
      <c r="AD1511" s="881" t="s">
        <v>4573</v>
      </c>
      <c r="AE1511" s="881" t="s">
        <v>4470</v>
      </c>
      <c r="AF1511" s="882">
        <f>$S$1*P!AF1511</f>
        <v>3.2252016129032259E-2</v>
      </c>
    </row>
    <row r="1512" spans="19:32" x14ac:dyDescent="0.35">
      <c r="S1512" s="881">
        <v>1508</v>
      </c>
      <c r="T1512" s="881" t="s">
        <v>4284</v>
      </c>
      <c r="U1512" s="881" t="s">
        <v>3285</v>
      </c>
      <c r="V1512" s="883">
        <f>$S$1*P!V1512</f>
        <v>0.22908000000000001</v>
      </c>
      <c r="W1512" s="780"/>
      <c r="X1512" s="782">
        <v>1508</v>
      </c>
      <c r="Y1512" s="782" t="s">
        <v>2248</v>
      </c>
      <c r="Z1512" s="782" t="s">
        <v>4773</v>
      </c>
      <c r="AA1512" s="781">
        <f>$S$1*P!AA1512</f>
        <v>1.8576612903225809E-3</v>
      </c>
      <c r="AB1512" s="780"/>
      <c r="AC1512" s="881">
        <v>1508</v>
      </c>
      <c r="AD1512" s="881" t="s">
        <v>4573</v>
      </c>
      <c r="AE1512" s="881" t="s">
        <v>4466</v>
      </c>
      <c r="AF1512" s="882">
        <f>$S$1*P!AF1512</f>
        <v>1.298991935483871</v>
      </c>
    </row>
    <row r="1513" spans="19:32" x14ac:dyDescent="0.35">
      <c r="S1513" s="881">
        <v>1509</v>
      </c>
      <c r="T1513" s="881" t="s">
        <v>4284</v>
      </c>
      <c r="U1513" s="881" t="s">
        <v>4575</v>
      </c>
      <c r="V1513" s="883">
        <f>$S$1*P!V1513</f>
        <v>6.957661290322581E-2</v>
      </c>
      <c r="W1513" s="780"/>
      <c r="X1513" s="782">
        <v>1509</v>
      </c>
      <c r="Y1513" s="782" t="s">
        <v>2248</v>
      </c>
      <c r="Z1513" s="782" t="s">
        <v>5367</v>
      </c>
      <c r="AA1513" s="781">
        <f>$S$1*P!AA1513</f>
        <v>1.2715725806451614E-3</v>
      </c>
      <c r="AB1513" s="780"/>
      <c r="AC1513" s="881">
        <v>1509</v>
      </c>
      <c r="AD1513" s="881" t="s">
        <v>4573</v>
      </c>
      <c r="AE1513" s="881" t="s">
        <v>3209</v>
      </c>
      <c r="AF1513" s="882">
        <f>$S$1*P!AF1513</f>
        <v>4.83</v>
      </c>
    </row>
    <row r="1514" spans="19:32" x14ac:dyDescent="0.35">
      <c r="S1514" s="881">
        <v>1510</v>
      </c>
      <c r="T1514" s="881" t="s">
        <v>4284</v>
      </c>
      <c r="U1514" s="881" t="s">
        <v>3283</v>
      </c>
      <c r="V1514" s="883">
        <f>$S$1*P!V1514</f>
        <v>3.2629032258064516E-2</v>
      </c>
      <c r="W1514" s="780"/>
      <c r="X1514" s="782">
        <v>1510</v>
      </c>
      <c r="Y1514" s="782" t="s">
        <v>2248</v>
      </c>
      <c r="Z1514" s="782" t="s">
        <v>4770</v>
      </c>
      <c r="AA1514" s="781">
        <f>$S$1*P!AA1514</f>
        <v>1.9707661290322583E-2</v>
      </c>
      <c r="AB1514" s="780"/>
      <c r="AC1514" s="782">
        <v>1510</v>
      </c>
      <c r="AD1514" s="782" t="s">
        <v>4573</v>
      </c>
      <c r="AE1514" s="782" t="s">
        <v>4462</v>
      </c>
      <c r="AF1514" s="781">
        <f>$S$1*P!AF1514</f>
        <v>1.795967741935484E-4</v>
      </c>
    </row>
    <row r="1515" spans="19:32" x14ac:dyDescent="0.35">
      <c r="S1515" s="881">
        <v>1511</v>
      </c>
      <c r="T1515" s="881" t="s">
        <v>4284</v>
      </c>
      <c r="U1515" s="881" t="s">
        <v>3283</v>
      </c>
      <c r="V1515" s="883">
        <f>$S$1*P!V1515</f>
        <v>1.5731999999999999E-2</v>
      </c>
      <c r="W1515" s="780"/>
      <c r="X1515" s="782">
        <v>1511</v>
      </c>
      <c r="Y1515" s="782" t="s">
        <v>2248</v>
      </c>
      <c r="Z1515" s="782" t="s">
        <v>3395</v>
      </c>
      <c r="AA1515" s="781">
        <f>$S$1*P!AA1515</f>
        <v>104.88000000000001</v>
      </c>
      <c r="AB1515" s="780"/>
      <c r="AC1515" s="881">
        <v>1511</v>
      </c>
      <c r="AD1515" s="881" t="s">
        <v>4573</v>
      </c>
      <c r="AE1515" s="881" t="s">
        <v>4457</v>
      </c>
      <c r="AF1515" s="882">
        <f>$S$1*P!AF1515</f>
        <v>5.3467741935483879</v>
      </c>
    </row>
    <row r="1516" spans="19:32" x14ac:dyDescent="0.35">
      <c r="S1516" s="881">
        <v>1512</v>
      </c>
      <c r="T1516" s="881" t="s">
        <v>4284</v>
      </c>
      <c r="U1516" s="881" t="s">
        <v>3282</v>
      </c>
      <c r="V1516" s="883">
        <f>$S$1*P!V1516</f>
        <v>6.1350806451612901E-4</v>
      </c>
      <c r="W1516" s="780"/>
      <c r="X1516" s="782">
        <v>1512</v>
      </c>
      <c r="Y1516" s="782" t="s">
        <v>2248</v>
      </c>
      <c r="Z1516" s="782" t="s">
        <v>3395</v>
      </c>
      <c r="AA1516" s="781">
        <f>$S$1*P!AA1516</f>
        <v>4.1471774193548392E-3</v>
      </c>
      <c r="AB1516" s="780"/>
      <c r="AC1516" s="782">
        <v>1512</v>
      </c>
      <c r="AD1516" s="782" t="s">
        <v>4573</v>
      </c>
      <c r="AE1516" s="782" t="s">
        <v>4453</v>
      </c>
      <c r="AF1516" s="781">
        <f>$S$1*P!AF1516</f>
        <v>9.9395161290322595E-2</v>
      </c>
    </row>
    <row r="1517" spans="19:32" x14ac:dyDescent="0.35">
      <c r="S1517" s="881">
        <v>1513</v>
      </c>
      <c r="T1517" s="881" t="s">
        <v>4284</v>
      </c>
      <c r="U1517" s="881" t="s">
        <v>3282</v>
      </c>
      <c r="V1517" s="883">
        <f>$S$1*P!V1517</f>
        <v>0</v>
      </c>
      <c r="W1517" s="780"/>
      <c r="X1517" s="782">
        <v>1513</v>
      </c>
      <c r="Y1517" s="782" t="s">
        <v>2248</v>
      </c>
      <c r="Z1517" s="782" t="s">
        <v>5366</v>
      </c>
      <c r="AA1517" s="781">
        <f>$S$1*P!AA1517</f>
        <v>0.5278225806451613</v>
      </c>
      <c r="AB1517" s="780"/>
      <c r="AC1517" s="881">
        <v>1513</v>
      </c>
      <c r="AD1517" s="881" t="s">
        <v>4573</v>
      </c>
      <c r="AE1517" s="881" t="s">
        <v>3207</v>
      </c>
      <c r="AF1517" s="882">
        <f>$S$1*P!AF1517</f>
        <v>4.25</v>
      </c>
    </row>
    <row r="1518" spans="19:32" x14ac:dyDescent="0.35">
      <c r="S1518" s="881">
        <v>1514</v>
      </c>
      <c r="T1518" s="881" t="s">
        <v>4284</v>
      </c>
      <c r="U1518" s="881" t="s">
        <v>4572</v>
      </c>
      <c r="V1518" s="883">
        <f>$S$1*P!V1518</f>
        <v>7.4375000000000005E-4</v>
      </c>
      <c r="W1518" s="780"/>
      <c r="X1518" s="782">
        <v>1514</v>
      </c>
      <c r="Y1518" s="782" t="s">
        <v>2248</v>
      </c>
      <c r="Z1518" s="782" t="s">
        <v>3394</v>
      </c>
      <c r="AA1518" s="781">
        <f>$S$1*P!AA1518</f>
        <v>5.1611999999999998E-2</v>
      </c>
      <c r="AB1518" s="780"/>
      <c r="AC1518" s="881">
        <v>1514</v>
      </c>
      <c r="AD1518" s="881" t="s">
        <v>4573</v>
      </c>
      <c r="AE1518" s="881" t="s">
        <v>3207</v>
      </c>
      <c r="AF1518" s="882">
        <f>$S$1*P!AF1518</f>
        <v>0</v>
      </c>
    </row>
    <row r="1519" spans="19:32" x14ac:dyDescent="0.35">
      <c r="S1519" s="782">
        <v>1515</v>
      </c>
      <c r="T1519" s="782" t="s">
        <v>4284</v>
      </c>
      <c r="U1519" s="782" t="s">
        <v>4570</v>
      </c>
      <c r="V1519" s="797">
        <f>$S$1*P!V1519</f>
        <v>3.142943548387097E-2</v>
      </c>
      <c r="W1519" s="780"/>
      <c r="X1519" s="782">
        <v>1515</v>
      </c>
      <c r="Y1519" s="782" t="s">
        <v>2248</v>
      </c>
      <c r="Z1519" s="782" t="s">
        <v>3392</v>
      </c>
      <c r="AA1519" s="781">
        <f>$S$1*P!AA1519</f>
        <v>0.32016</v>
      </c>
      <c r="AB1519" s="780"/>
      <c r="AC1519" s="782">
        <v>1515</v>
      </c>
      <c r="AD1519" s="782" t="s">
        <v>4573</v>
      </c>
      <c r="AE1519" s="782" t="s">
        <v>4443</v>
      </c>
      <c r="AF1519" s="781">
        <f>$S$1*P!AF1519</f>
        <v>2.2758064516129033E-2</v>
      </c>
    </row>
    <row r="1520" spans="19:32" x14ac:dyDescent="0.35">
      <c r="S1520" s="881">
        <v>1516</v>
      </c>
      <c r="T1520" s="881" t="s">
        <v>4284</v>
      </c>
      <c r="U1520" s="881" t="s">
        <v>4567</v>
      </c>
      <c r="V1520" s="883">
        <f>$S$1*P!V1520</f>
        <v>2.6870967741935484E-2</v>
      </c>
      <c r="W1520" s="780"/>
      <c r="X1520" s="782">
        <v>1516</v>
      </c>
      <c r="Y1520" s="782" t="s">
        <v>2248</v>
      </c>
      <c r="Z1520" s="782" t="s">
        <v>5365</v>
      </c>
      <c r="AA1520" s="781">
        <f>$S$1*P!AA1520</f>
        <v>1.3366935483870968E-4</v>
      </c>
      <c r="AB1520" s="780"/>
      <c r="AC1520" s="881">
        <v>1516</v>
      </c>
      <c r="AD1520" s="881" t="s">
        <v>4573</v>
      </c>
      <c r="AE1520" s="881" t="s">
        <v>4437</v>
      </c>
      <c r="AF1520" s="882">
        <f>$S$1*P!AF1520</f>
        <v>0.10933467741935485</v>
      </c>
    </row>
    <row r="1521" spans="19:32" x14ac:dyDescent="0.35">
      <c r="S1521" s="782">
        <v>1517</v>
      </c>
      <c r="T1521" s="782" t="s">
        <v>4284</v>
      </c>
      <c r="U1521" s="782" t="s">
        <v>3280</v>
      </c>
      <c r="V1521" s="797">
        <f>$S$1*P!V1521</f>
        <v>3.2046370967741942E-5</v>
      </c>
      <c r="W1521" s="884"/>
      <c r="X1521" s="782">
        <v>1517</v>
      </c>
      <c r="Y1521" s="782" t="s">
        <v>2248</v>
      </c>
      <c r="Z1521" s="782" t="s">
        <v>3391</v>
      </c>
      <c r="AA1521" s="781">
        <f>$S$1*P!AA1521</f>
        <v>7.4979999999999991E-2</v>
      </c>
      <c r="AB1521" s="780"/>
      <c r="AC1521" s="881">
        <v>1517</v>
      </c>
      <c r="AD1521" s="881" t="s">
        <v>4573</v>
      </c>
      <c r="AE1521" s="881" t="s">
        <v>4432</v>
      </c>
      <c r="AF1521" s="882">
        <f>$S$1*P!AF1521</f>
        <v>7.6088709677419363E-3</v>
      </c>
    </row>
    <row r="1522" spans="19:32" x14ac:dyDescent="0.35">
      <c r="S1522" s="881">
        <v>1518</v>
      </c>
      <c r="T1522" s="881" t="s">
        <v>4284</v>
      </c>
      <c r="U1522" s="881" t="s">
        <v>3280</v>
      </c>
      <c r="V1522" s="883">
        <f>$S$1*P!V1522</f>
        <v>3.2199999999999998</v>
      </c>
      <c r="W1522" s="884"/>
      <c r="X1522" s="782">
        <v>1518</v>
      </c>
      <c r="Y1522" s="782" t="s">
        <v>2248</v>
      </c>
      <c r="Z1522" s="782" t="s">
        <v>3391</v>
      </c>
      <c r="AA1522" s="781">
        <f>$S$1*P!AA1522</f>
        <v>8.7741935483870979E-4</v>
      </c>
      <c r="AB1522" s="780"/>
      <c r="AC1522" s="881">
        <v>1518</v>
      </c>
      <c r="AD1522" s="881" t="s">
        <v>4573</v>
      </c>
      <c r="AE1522" s="881" t="s">
        <v>3206</v>
      </c>
      <c r="AF1522" s="882">
        <f>$S$1*P!AF1522</f>
        <v>4.9404000000000003</v>
      </c>
    </row>
    <row r="1523" spans="19:32" x14ac:dyDescent="0.35">
      <c r="S1523" s="881">
        <v>1519</v>
      </c>
      <c r="T1523" s="881" t="s">
        <v>4284</v>
      </c>
      <c r="U1523" s="881" t="s">
        <v>3278</v>
      </c>
      <c r="V1523" s="883">
        <f>$S$1*P!V1523</f>
        <v>0</v>
      </c>
      <c r="W1523" s="884"/>
      <c r="X1523" s="782">
        <v>1519</v>
      </c>
      <c r="Y1523" s="782" t="s">
        <v>2248</v>
      </c>
      <c r="Z1523" s="782" t="s">
        <v>5364</v>
      </c>
      <c r="AA1523" s="781">
        <f>$S$1*P!AA1523</f>
        <v>4.0100806451612905E-4</v>
      </c>
      <c r="AB1523" s="780"/>
      <c r="AC1523" s="881">
        <v>1519</v>
      </c>
      <c r="AD1523" s="881" t="s">
        <v>4573</v>
      </c>
      <c r="AE1523" s="881" t="s">
        <v>3204</v>
      </c>
      <c r="AF1523" s="882">
        <f>$S$1*P!AF1523</f>
        <v>5.3125000000000004E-3</v>
      </c>
    </row>
    <row r="1524" spans="19:32" x14ac:dyDescent="0.35">
      <c r="S1524" s="881">
        <v>1520</v>
      </c>
      <c r="T1524" s="881" t="s">
        <v>4284</v>
      </c>
      <c r="U1524" s="881" t="s">
        <v>3277</v>
      </c>
      <c r="V1524" s="883">
        <f>$S$1*P!V1524</f>
        <v>3.0161290322580647E-2</v>
      </c>
      <c r="W1524" s="780"/>
      <c r="X1524" s="782">
        <v>1520</v>
      </c>
      <c r="Y1524" s="782" t="s">
        <v>2248</v>
      </c>
      <c r="Z1524" s="782" t="s">
        <v>3389</v>
      </c>
      <c r="AA1524" s="781">
        <f>$S$1*P!AA1524</f>
        <v>7.3691999999999993</v>
      </c>
      <c r="AB1524" s="780"/>
      <c r="AC1524" s="881">
        <v>1520</v>
      </c>
      <c r="AD1524" s="881" t="s">
        <v>4573</v>
      </c>
      <c r="AE1524" s="881" t="s">
        <v>3204</v>
      </c>
      <c r="AF1524" s="882">
        <f>$S$1*P!AF1524</f>
        <v>0</v>
      </c>
    </row>
    <row r="1525" spans="19:32" x14ac:dyDescent="0.35">
      <c r="S1525" s="881">
        <v>1521</v>
      </c>
      <c r="T1525" s="881" t="s">
        <v>4284</v>
      </c>
      <c r="U1525" s="881" t="s">
        <v>3277</v>
      </c>
      <c r="V1525" s="883">
        <f>$S$1*P!V1525</f>
        <v>2.2448000000000001</v>
      </c>
      <c r="W1525" s="780"/>
      <c r="X1525" s="782">
        <v>1521</v>
      </c>
      <c r="Y1525" s="782" t="s">
        <v>2248</v>
      </c>
      <c r="Z1525" s="782" t="s">
        <v>3389</v>
      </c>
      <c r="AA1525" s="781">
        <f>$S$1*P!AA1525</f>
        <v>0.25362903225806455</v>
      </c>
      <c r="AB1525" s="780"/>
      <c r="AC1525" s="881">
        <v>1521</v>
      </c>
      <c r="AD1525" s="881" t="s">
        <v>4573</v>
      </c>
      <c r="AE1525" s="881" t="s">
        <v>4420</v>
      </c>
      <c r="AF1525" s="882">
        <f>$S$1*P!AF1525</f>
        <v>0.11893145161290324</v>
      </c>
    </row>
    <row r="1526" spans="19:32" x14ac:dyDescent="0.35">
      <c r="S1526" s="782">
        <v>1522</v>
      </c>
      <c r="T1526" s="782" t="s">
        <v>4284</v>
      </c>
      <c r="U1526" s="782" t="s">
        <v>3276</v>
      </c>
      <c r="V1526" s="797">
        <f>$S$1*P!V1526</f>
        <v>1.3401209677419356E-3</v>
      </c>
      <c r="W1526" s="780"/>
      <c r="X1526" s="782">
        <v>1522</v>
      </c>
      <c r="Y1526" s="782" t="s">
        <v>2248</v>
      </c>
      <c r="Z1526" s="782" t="s">
        <v>3388</v>
      </c>
      <c r="AA1526" s="781">
        <f>$S$1*P!AA1526</f>
        <v>32.384</v>
      </c>
      <c r="AB1526" s="780"/>
      <c r="AC1526" s="782">
        <v>1522</v>
      </c>
      <c r="AD1526" s="782" t="s">
        <v>4573</v>
      </c>
      <c r="AE1526" s="782" t="s">
        <v>3203</v>
      </c>
      <c r="AF1526" s="781">
        <f>$S$1*P!AF1526</f>
        <v>2.9338709677419357</v>
      </c>
    </row>
    <row r="1527" spans="19:32" x14ac:dyDescent="0.35">
      <c r="S1527" s="881">
        <v>1523</v>
      </c>
      <c r="T1527" s="881" t="s">
        <v>4284</v>
      </c>
      <c r="U1527" s="881" t="s">
        <v>3276</v>
      </c>
      <c r="V1527" s="883">
        <f>$S$1*P!V1527</f>
        <v>0.61456</v>
      </c>
      <c r="W1527" s="780"/>
      <c r="X1527" s="782">
        <v>1523</v>
      </c>
      <c r="Y1527" s="782" t="s">
        <v>2248</v>
      </c>
      <c r="Z1527" s="782" t="s">
        <v>5363</v>
      </c>
      <c r="AA1527" s="781">
        <f>$S$1*P!AA1527</f>
        <v>2.7727822580645164E-5</v>
      </c>
      <c r="AB1527" s="780"/>
      <c r="AC1527" s="881">
        <v>1523</v>
      </c>
      <c r="AD1527" s="881" t="s">
        <v>4573</v>
      </c>
      <c r="AE1527" s="881" t="s">
        <v>3203</v>
      </c>
      <c r="AF1527" s="882">
        <f>$S$1*P!AF1527</f>
        <v>34.315999999999995</v>
      </c>
    </row>
    <row r="1528" spans="19:32" x14ac:dyDescent="0.35">
      <c r="S1528" s="881">
        <v>1524</v>
      </c>
      <c r="T1528" s="881" t="s">
        <v>4284</v>
      </c>
      <c r="U1528" s="881" t="s">
        <v>4566</v>
      </c>
      <c r="V1528" s="883">
        <f>$S$1*P!V1528</f>
        <v>0.29441532258064518</v>
      </c>
      <c r="W1528" s="780"/>
      <c r="X1528" s="782">
        <v>1524</v>
      </c>
      <c r="Y1528" s="782" t="s">
        <v>2248</v>
      </c>
      <c r="Z1528" s="782" t="s">
        <v>4763</v>
      </c>
      <c r="AA1528" s="781">
        <f>$S$1*P!AA1528</f>
        <v>1.3298387096774195E-2</v>
      </c>
      <c r="AB1528" s="780"/>
      <c r="AC1528" s="881">
        <v>1524</v>
      </c>
      <c r="AD1528" s="881" t="s">
        <v>4573</v>
      </c>
      <c r="AE1528" s="881" t="s">
        <v>4415</v>
      </c>
      <c r="AF1528" s="882">
        <f>$S$1*P!AF1528</f>
        <v>1.0522177419354839</v>
      </c>
    </row>
    <row r="1529" spans="19:32" x14ac:dyDescent="0.35">
      <c r="S1529" s="881">
        <v>1525</v>
      </c>
      <c r="T1529" s="881" t="s">
        <v>4284</v>
      </c>
      <c r="U1529" s="881" t="s">
        <v>4565</v>
      </c>
      <c r="V1529" s="883">
        <f>$S$1*P!V1529</f>
        <v>1.0590725806451614E-3</v>
      </c>
      <c r="W1529" s="780"/>
      <c r="X1529" s="782">
        <v>1525</v>
      </c>
      <c r="Y1529" s="782" t="s">
        <v>2248</v>
      </c>
      <c r="Z1529" s="782" t="s">
        <v>3387</v>
      </c>
      <c r="AA1529" s="781">
        <f>$S$1*P!AA1529</f>
        <v>25.483999999999998</v>
      </c>
      <c r="AB1529" s="780"/>
      <c r="AC1529" s="782">
        <v>1525</v>
      </c>
      <c r="AD1529" s="782" t="s">
        <v>4573</v>
      </c>
      <c r="AE1529" s="782" t="s">
        <v>4413</v>
      </c>
      <c r="AF1529" s="781">
        <f>$S$1*P!AF1529</f>
        <v>2.4231854838709679E-2</v>
      </c>
    </row>
    <row r="1530" spans="19:32" x14ac:dyDescent="0.35">
      <c r="S1530" s="881">
        <v>1526</v>
      </c>
      <c r="T1530" s="881" t="s">
        <v>4284</v>
      </c>
      <c r="U1530" s="881" t="s">
        <v>3275</v>
      </c>
      <c r="V1530" s="883">
        <f>$S$1*P!V1530</f>
        <v>0.10145161290322581</v>
      </c>
      <c r="W1530" s="780"/>
      <c r="X1530" s="782">
        <v>1526</v>
      </c>
      <c r="Y1530" s="782" t="s">
        <v>2248</v>
      </c>
      <c r="Z1530" s="782" t="s">
        <v>5362</v>
      </c>
      <c r="AA1530" s="781">
        <f>$S$1*P!AA1530</f>
        <v>1.5766129032258064E-4</v>
      </c>
      <c r="AB1530" s="780"/>
      <c r="AC1530" s="881">
        <v>1526</v>
      </c>
      <c r="AD1530" s="881" t="s">
        <v>4573</v>
      </c>
      <c r="AE1530" s="881" t="s">
        <v>4412</v>
      </c>
      <c r="AF1530" s="882">
        <f>$S$1*P!AF1530</f>
        <v>2.0701612903225807E-3</v>
      </c>
    </row>
    <row r="1531" spans="19:32" x14ac:dyDescent="0.35">
      <c r="S1531" s="881">
        <v>1527</v>
      </c>
      <c r="T1531" s="881" t="s">
        <v>4284</v>
      </c>
      <c r="U1531" s="881" t="s">
        <v>3275</v>
      </c>
      <c r="V1531" s="883">
        <f>$S$1*P!V1531</f>
        <v>0</v>
      </c>
      <c r="W1531" s="780"/>
      <c r="X1531" s="782">
        <v>1527</v>
      </c>
      <c r="Y1531" s="782" t="s">
        <v>2248</v>
      </c>
      <c r="Z1531" s="782" t="s">
        <v>3386</v>
      </c>
      <c r="AA1531" s="781">
        <f>$S$1*P!AA1531</f>
        <v>5.9707999999999997</v>
      </c>
      <c r="AB1531" s="780"/>
      <c r="AC1531" s="782">
        <v>1527</v>
      </c>
      <c r="AD1531" s="782" t="s">
        <v>4573</v>
      </c>
      <c r="AE1531" s="782" t="s">
        <v>4410</v>
      </c>
      <c r="AF1531" s="781">
        <f>$S$1*P!AF1531</f>
        <v>0.71290322580645171</v>
      </c>
    </row>
    <row r="1532" spans="19:32" x14ac:dyDescent="0.35">
      <c r="S1532" s="881">
        <v>1528</v>
      </c>
      <c r="T1532" s="881" t="s">
        <v>4284</v>
      </c>
      <c r="U1532" s="881" t="s">
        <v>4564</v>
      </c>
      <c r="V1532" s="883">
        <f>$S$1*P!V1532</f>
        <v>1.3024193548387098E-3</v>
      </c>
      <c r="W1532" s="780"/>
      <c r="X1532" s="782">
        <v>1528</v>
      </c>
      <c r="Y1532" s="782" t="s">
        <v>2248</v>
      </c>
      <c r="Z1532" s="782" t="s">
        <v>3386</v>
      </c>
      <c r="AA1532" s="781">
        <f>$S$1*P!AA1532</f>
        <v>6.2379032258064522E-2</v>
      </c>
      <c r="AB1532" s="780"/>
      <c r="AC1532" s="881">
        <v>1528</v>
      </c>
      <c r="AD1532" s="881" t="s">
        <v>4573</v>
      </c>
      <c r="AE1532" s="881" t="s">
        <v>4408</v>
      </c>
      <c r="AF1532" s="882">
        <f>$S$1*P!AF1532</f>
        <v>3.3828629032258068</v>
      </c>
    </row>
    <row r="1533" spans="19:32" x14ac:dyDescent="0.35">
      <c r="S1533" s="789">
        <v>1529</v>
      </c>
      <c r="T1533" s="789" t="s">
        <v>4284</v>
      </c>
      <c r="U1533" s="888" t="s">
        <v>5361</v>
      </c>
      <c r="V1533" s="889">
        <f>$S$1*P!V1533</f>
        <v>0.11600000000000001</v>
      </c>
      <c r="W1533" s="780"/>
      <c r="X1533" s="782">
        <v>1529</v>
      </c>
      <c r="Y1533" s="782" t="s">
        <v>2248</v>
      </c>
      <c r="Z1533" s="782" t="s">
        <v>5360</v>
      </c>
      <c r="AA1533" s="781">
        <f>$S$1*P!AA1533</f>
        <v>1.569758064516129E-7</v>
      </c>
      <c r="AB1533" s="780"/>
      <c r="AC1533" s="881">
        <v>1529</v>
      </c>
      <c r="AD1533" s="881" t="s">
        <v>4573</v>
      </c>
      <c r="AE1533" s="881" t="s">
        <v>4406</v>
      </c>
      <c r="AF1533" s="882">
        <f>$S$1*P!AF1533</f>
        <v>0.24368951612903228</v>
      </c>
    </row>
    <row r="1534" spans="19:32" x14ac:dyDescent="0.35">
      <c r="S1534" s="789">
        <v>1530</v>
      </c>
      <c r="T1534" s="789" t="s">
        <v>4284</v>
      </c>
      <c r="U1534" s="789" t="s">
        <v>5359</v>
      </c>
      <c r="V1534" s="790">
        <f>$S$1*P!V1534</f>
        <v>0.11600000000000001</v>
      </c>
      <c r="W1534" s="863"/>
      <c r="X1534" s="782">
        <v>1530</v>
      </c>
      <c r="Y1534" s="782" t="s">
        <v>2248</v>
      </c>
      <c r="Z1534" s="782" t="s">
        <v>3385</v>
      </c>
      <c r="AA1534" s="781">
        <f>$S$1*P!AA1534</f>
        <v>2.3275999999999999</v>
      </c>
      <c r="AB1534" s="780"/>
      <c r="AC1534" s="881">
        <v>1530</v>
      </c>
      <c r="AD1534" s="881" t="s">
        <v>4573</v>
      </c>
      <c r="AE1534" s="881" t="s">
        <v>3202</v>
      </c>
      <c r="AF1534" s="882">
        <f>$S$1*P!AF1534</f>
        <v>15.272</v>
      </c>
    </row>
    <row r="1535" spans="19:32" x14ac:dyDescent="0.35">
      <c r="S1535" s="789">
        <v>1531</v>
      </c>
      <c r="T1535" s="789" t="s">
        <v>4284</v>
      </c>
      <c r="U1535" s="789" t="s">
        <v>5358</v>
      </c>
      <c r="V1535" s="790">
        <f>$S$1*P!V1535</f>
        <v>0.11600000000000001</v>
      </c>
      <c r="W1535" s="863"/>
      <c r="X1535" s="782">
        <v>1531</v>
      </c>
      <c r="Y1535" s="782" t="s">
        <v>2248</v>
      </c>
      <c r="Z1535" s="782" t="s">
        <v>3385</v>
      </c>
      <c r="AA1535" s="781">
        <f>$S$1*P!AA1535</f>
        <v>2.9887096774193554E-4</v>
      </c>
      <c r="AB1535" s="780"/>
      <c r="AC1535" s="881">
        <v>1531</v>
      </c>
      <c r="AD1535" s="881" t="s">
        <v>4573</v>
      </c>
      <c r="AE1535" s="881" t="s">
        <v>4405</v>
      </c>
      <c r="AF1535" s="882">
        <f>$S$1*P!AF1535</f>
        <v>5.1411290322580646E-3</v>
      </c>
    </row>
    <row r="1536" spans="19:32" x14ac:dyDescent="0.35">
      <c r="S1536" s="782">
        <v>1532</v>
      </c>
      <c r="T1536" s="782" t="s">
        <v>4284</v>
      </c>
      <c r="U1536" s="782" t="s">
        <v>4563</v>
      </c>
      <c r="V1536" s="797">
        <f>$S$1*P!V1536</f>
        <v>2.4334677419354838E-6</v>
      </c>
      <c r="W1536" s="863"/>
      <c r="X1536" s="782">
        <v>1532</v>
      </c>
      <c r="Y1536" s="782" t="s">
        <v>2248</v>
      </c>
      <c r="Z1536" s="782" t="s">
        <v>3383</v>
      </c>
      <c r="AA1536" s="781">
        <f>$S$1*P!AA1536</f>
        <v>36.524000000000001</v>
      </c>
      <c r="AB1536" s="780"/>
      <c r="AC1536" s="881">
        <v>1532</v>
      </c>
      <c r="AD1536" s="881" t="s">
        <v>4573</v>
      </c>
      <c r="AE1536" s="881" t="s">
        <v>4404</v>
      </c>
      <c r="AF1536" s="882">
        <f>$S$1*P!AF1536</f>
        <v>0.77116935483870974</v>
      </c>
    </row>
    <row r="1537" spans="19:32" x14ac:dyDescent="0.35">
      <c r="S1537" s="861">
        <v>1533</v>
      </c>
      <c r="T1537" s="861" t="s">
        <v>4284</v>
      </c>
      <c r="U1537" s="861" t="s">
        <v>5357</v>
      </c>
      <c r="V1537" s="862">
        <f>$S$1*P!V1537</f>
        <v>0.24395999999999998</v>
      </c>
      <c r="W1537" s="863"/>
      <c r="X1537" s="782">
        <v>1533</v>
      </c>
      <c r="Y1537" s="782" t="s">
        <v>2248</v>
      </c>
      <c r="Z1537" s="782" t="s">
        <v>5356</v>
      </c>
      <c r="AA1537" s="781">
        <f>$S$1*P!AA1537</f>
        <v>2.1010080645161292E-5</v>
      </c>
      <c r="AB1537" s="780"/>
      <c r="AC1537" s="782">
        <v>1533</v>
      </c>
      <c r="AD1537" s="782" t="s">
        <v>4573</v>
      </c>
      <c r="AE1537" s="782" t="s">
        <v>4403</v>
      </c>
      <c r="AF1537" s="781">
        <f>$S$1*P!AF1537</f>
        <v>0.11036290322580646</v>
      </c>
    </row>
    <row r="1538" spans="19:32" x14ac:dyDescent="0.35">
      <c r="S1538" s="861">
        <v>1534</v>
      </c>
      <c r="T1538" s="861" t="s">
        <v>4284</v>
      </c>
      <c r="U1538" s="861" t="s">
        <v>5355</v>
      </c>
      <c r="V1538" s="862">
        <f>$S$1*P!V1538</f>
        <v>0.24395999999999998</v>
      </c>
      <c r="W1538" s="780"/>
      <c r="X1538" s="782">
        <v>1534</v>
      </c>
      <c r="Y1538" s="782" t="s">
        <v>2248</v>
      </c>
      <c r="Z1538" s="782" t="s">
        <v>4759</v>
      </c>
      <c r="AA1538" s="781">
        <f>$S$1*P!AA1538</f>
        <v>9.3911290322580658E-3</v>
      </c>
      <c r="AB1538" s="780"/>
      <c r="AC1538" s="881">
        <v>1534</v>
      </c>
      <c r="AD1538" s="881" t="s">
        <v>4573</v>
      </c>
      <c r="AE1538" s="881" t="s">
        <v>4402</v>
      </c>
      <c r="AF1538" s="890">
        <f>$S$1*P!AF1538</f>
        <v>3.3348790322580646E-2</v>
      </c>
    </row>
    <row r="1539" spans="19:32" x14ac:dyDescent="0.35">
      <c r="S1539" s="881">
        <v>1535</v>
      </c>
      <c r="T1539" s="881" t="s">
        <v>4284</v>
      </c>
      <c r="U1539" s="881" t="s">
        <v>4562</v>
      </c>
      <c r="V1539" s="883">
        <f>$S$1*P!V1539</f>
        <v>1.2407258064516129E-4</v>
      </c>
      <c r="W1539" s="780"/>
      <c r="X1539" s="782">
        <v>1535</v>
      </c>
      <c r="Y1539" s="782" t="s">
        <v>2248</v>
      </c>
      <c r="Z1539" s="782" t="s">
        <v>4758</v>
      </c>
      <c r="AA1539" s="781">
        <f>$S$1*P!AA1539</f>
        <v>2.2243951612903227E-5</v>
      </c>
      <c r="AB1539" s="780"/>
      <c r="AC1539" s="782">
        <v>1535</v>
      </c>
      <c r="AD1539" s="782" t="s">
        <v>4573</v>
      </c>
      <c r="AE1539" s="782" t="s">
        <v>4401</v>
      </c>
      <c r="AF1539" s="781">
        <f>$S$1*P!AF1539</f>
        <v>3.9758064516129036E-4</v>
      </c>
    </row>
    <row r="1540" spans="19:32" x14ac:dyDescent="0.35">
      <c r="S1540" s="881">
        <v>1536</v>
      </c>
      <c r="T1540" s="881" t="s">
        <v>4284</v>
      </c>
      <c r="U1540" s="881" t="s">
        <v>3273</v>
      </c>
      <c r="V1540" s="883">
        <f>$S$1*P!V1540</f>
        <v>0</v>
      </c>
      <c r="W1540" s="780"/>
      <c r="X1540" s="782">
        <v>1536</v>
      </c>
      <c r="Y1540" s="782" t="s">
        <v>2248</v>
      </c>
      <c r="Z1540" s="782" t="s">
        <v>5354</v>
      </c>
      <c r="AA1540" s="781">
        <f>$S$1*P!AA1540</f>
        <v>2.3683467741935485E-5</v>
      </c>
      <c r="AB1540" s="780"/>
      <c r="AC1540" s="881">
        <v>1536</v>
      </c>
      <c r="AD1540" s="881" t="s">
        <v>4573</v>
      </c>
      <c r="AE1540" s="881" t="s">
        <v>4400</v>
      </c>
      <c r="AF1540" s="890">
        <f>$S$1*P!AF1540</f>
        <v>5.4838709677419361E-3</v>
      </c>
    </row>
    <row r="1541" spans="19:32" x14ac:dyDescent="0.35">
      <c r="S1541" s="782">
        <v>1537</v>
      </c>
      <c r="T1541" s="782" t="s">
        <v>4284</v>
      </c>
      <c r="U1541" s="782" t="s">
        <v>4561</v>
      </c>
      <c r="V1541" s="797">
        <f>$S$1*P!V1541</f>
        <v>5.2782258064516138E-5</v>
      </c>
      <c r="W1541" s="780"/>
      <c r="X1541" s="782">
        <v>1537</v>
      </c>
      <c r="Y1541" s="782" t="s">
        <v>2248</v>
      </c>
      <c r="Z1541" s="782" t="s">
        <v>4757</v>
      </c>
      <c r="AA1541" s="781">
        <f>$S$1*P!AA1541</f>
        <v>1.1961693548387099E-2</v>
      </c>
      <c r="AB1541" s="780"/>
      <c r="AC1541" s="782">
        <v>1537</v>
      </c>
      <c r="AD1541" s="782" t="s">
        <v>4573</v>
      </c>
      <c r="AE1541" s="782" t="s">
        <v>4399</v>
      </c>
      <c r="AF1541" s="781">
        <f>$S$1*P!AF1541</f>
        <v>1.2750000000000001E-3</v>
      </c>
    </row>
    <row r="1542" spans="19:32" x14ac:dyDescent="0.35">
      <c r="S1542" s="881">
        <v>1538</v>
      </c>
      <c r="T1542" s="881" t="s">
        <v>4284</v>
      </c>
      <c r="U1542" s="881" t="s">
        <v>4560</v>
      </c>
      <c r="V1542" s="883">
        <f>$S$1*P!V1542</f>
        <v>3.4616935483870973E-2</v>
      </c>
      <c r="W1542" s="780"/>
      <c r="X1542" s="782">
        <v>1538</v>
      </c>
      <c r="Y1542" s="782" t="s">
        <v>2248</v>
      </c>
      <c r="Z1542" s="782" t="s">
        <v>4756</v>
      </c>
      <c r="AA1542" s="781">
        <f>$S$1*P!AA1542</f>
        <v>7.8145161290322574E-5</v>
      </c>
      <c r="AB1542" s="780"/>
      <c r="AC1542" s="881">
        <v>1538</v>
      </c>
      <c r="AD1542" s="881" t="s">
        <v>4573</v>
      </c>
      <c r="AE1542" s="881" t="s">
        <v>4398</v>
      </c>
      <c r="AF1542" s="890">
        <f>$S$1*P!AF1542</f>
        <v>5.415322580645162E-2</v>
      </c>
    </row>
    <row r="1543" spans="19:32" x14ac:dyDescent="0.35">
      <c r="S1543" s="782">
        <v>1539</v>
      </c>
      <c r="T1543" s="782" t="s">
        <v>4284</v>
      </c>
      <c r="U1543" s="782" t="s">
        <v>4559</v>
      </c>
      <c r="V1543" s="797">
        <f>$S$1*P!V1543</f>
        <v>1.9262096774193549E-2</v>
      </c>
      <c r="W1543" s="780"/>
      <c r="X1543" s="782">
        <v>1539</v>
      </c>
      <c r="Y1543" s="782" t="s">
        <v>2248</v>
      </c>
      <c r="Z1543" s="782" t="s">
        <v>3382</v>
      </c>
      <c r="AA1543" s="781">
        <f>$S$1*P!AA1543</f>
        <v>0.19688</v>
      </c>
      <c r="AB1543" s="780"/>
      <c r="AC1543" s="881">
        <v>1539</v>
      </c>
      <c r="AD1543" s="881" t="s">
        <v>4573</v>
      </c>
      <c r="AE1543" s="881" t="s">
        <v>4397</v>
      </c>
      <c r="AF1543" s="890">
        <f>$S$1*P!AF1543</f>
        <v>5.2782258064516134E-2</v>
      </c>
    </row>
    <row r="1544" spans="19:32" x14ac:dyDescent="0.35">
      <c r="S1544" s="881">
        <v>1540</v>
      </c>
      <c r="T1544" s="881" t="s">
        <v>4284</v>
      </c>
      <c r="U1544" s="881" t="s">
        <v>4558</v>
      </c>
      <c r="V1544" s="883">
        <f>$S$1*P!V1544</f>
        <v>8.0887096774193562E-3</v>
      </c>
      <c r="W1544" s="780"/>
      <c r="X1544" s="782">
        <v>1540</v>
      </c>
      <c r="Y1544" s="782" t="s">
        <v>2248</v>
      </c>
      <c r="Z1544" s="782" t="s">
        <v>5353</v>
      </c>
      <c r="AA1544" s="781">
        <f>$S$1*P!AA1544</f>
        <v>4.2500000000000003E-4</v>
      </c>
      <c r="AB1544" s="780"/>
      <c r="AC1544" s="881">
        <v>1540</v>
      </c>
      <c r="AD1544" s="881" t="s">
        <v>4573</v>
      </c>
      <c r="AE1544" s="881" t="s">
        <v>4396</v>
      </c>
      <c r="AF1544" s="890">
        <f>$S$1*P!AF1544</f>
        <v>0.12818548387096776</v>
      </c>
    </row>
    <row r="1545" spans="19:32" x14ac:dyDescent="0.35">
      <c r="S1545" s="881">
        <v>1541</v>
      </c>
      <c r="T1545" s="881" t="s">
        <v>4284</v>
      </c>
      <c r="U1545" s="881" t="s">
        <v>4557</v>
      </c>
      <c r="V1545" s="883">
        <f>$S$1*P!V1545</f>
        <v>4.6955645161290326E-2</v>
      </c>
      <c r="W1545" s="780"/>
      <c r="X1545" s="782">
        <v>1541</v>
      </c>
      <c r="Y1545" s="782" t="s">
        <v>2248</v>
      </c>
      <c r="Z1545" s="782" t="s">
        <v>4755</v>
      </c>
      <c r="AA1545" s="781">
        <f>$S$1*P!AA1545</f>
        <v>7.8487903225806454E-5</v>
      </c>
      <c r="AB1545" s="780"/>
      <c r="AC1545" s="881">
        <v>1541</v>
      </c>
      <c r="AD1545" s="881" t="s">
        <v>4573</v>
      </c>
      <c r="AE1545" s="881" t="s">
        <v>4395</v>
      </c>
      <c r="AF1545" s="890">
        <f>$S$1*P!AF1545</f>
        <v>1.665725806451613E-3</v>
      </c>
    </row>
    <row r="1546" spans="19:32" x14ac:dyDescent="0.35">
      <c r="S1546" s="881">
        <v>1542</v>
      </c>
      <c r="T1546" s="881" t="s">
        <v>4284</v>
      </c>
      <c r="U1546" s="881" t="s">
        <v>4556</v>
      </c>
      <c r="V1546" s="883">
        <f>$S$1*P!V1546</f>
        <v>9.0483870967741943E-3</v>
      </c>
      <c r="W1546" s="780"/>
      <c r="X1546" s="782">
        <v>1542</v>
      </c>
      <c r="Y1546" s="782" t="s">
        <v>2248</v>
      </c>
      <c r="Z1546" s="782" t="s">
        <v>3380</v>
      </c>
      <c r="AA1546" s="781">
        <f>$S$1*P!AA1546</f>
        <v>44.160000000000004</v>
      </c>
      <c r="AB1546" s="780"/>
      <c r="AC1546" s="782">
        <v>1542</v>
      </c>
      <c r="AD1546" s="782" t="s">
        <v>4573</v>
      </c>
      <c r="AE1546" s="782" t="s">
        <v>4394</v>
      </c>
      <c r="AF1546" s="781">
        <f>$S$1*P!AF1546</f>
        <v>0.15971774193548388</v>
      </c>
    </row>
    <row r="1547" spans="19:32" x14ac:dyDescent="0.35">
      <c r="S1547" s="881">
        <v>1543</v>
      </c>
      <c r="T1547" s="881" t="s">
        <v>4284</v>
      </c>
      <c r="U1547" s="881" t="s">
        <v>4555</v>
      </c>
      <c r="V1547" s="883">
        <f>$S$1*P!V1547</f>
        <v>3.3931451612903232E-4</v>
      </c>
      <c r="W1547" s="780"/>
      <c r="X1547" s="782">
        <v>1543</v>
      </c>
      <c r="Y1547" s="782" t="s">
        <v>2248</v>
      </c>
      <c r="Z1547" s="782" t="s">
        <v>5352</v>
      </c>
      <c r="AA1547" s="781">
        <f>$S$1*P!AA1547</f>
        <v>2.5568548387096778E-4</v>
      </c>
      <c r="AB1547" s="780"/>
      <c r="AC1547" s="881">
        <v>1543</v>
      </c>
      <c r="AD1547" s="881" t="s">
        <v>4573</v>
      </c>
      <c r="AE1547" s="881" t="s">
        <v>4393</v>
      </c>
      <c r="AF1547" s="890">
        <f>$S$1*P!AF1547</f>
        <v>1.7993951612903226E-2</v>
      </c>
    </row>
    <row r="1548" spans="19:32" x14ac:dyDescent="0.35">
      <c r="S1548" s="881">
        <v>1544</v>
      </c>
      <c r="T1548" s="881" t="s">
        <v>4284</v>
      </c>
      <c r="U1548" s="881" t="s">
        <v>3272</v>
      </c>
      <c r="V1548" s="883">
        <f>$S$1*P!V1548</f>
        <v>0</v>
      </c>
      <c r="W1548" s="863"/>
      <c r="X1548" s="782">
        <v>1544</v>
      </c>
      <c r="Y1548" s="782" t="s">
        <v>2248</v>
      </c>
      <c r="Z1548" s="782" t="s">
        <v>4754</v>
      </c>
      <c r="AA1548" s="781">
        <f>$S$1*P!AA1548</f>
        <v>1.3881048387096774E-4</v>
      </c>
      <c r="AB1548" s="780"/>
      <c r="AC1548" s="782">
        <v>1544</v>
      </c>
      <c r="AD1548" s="782" t="s">
        <v>4573</v>
      </c>
      <c r="AE1548" s="782" t="s">
        <v>4392</v>
      </c>
      <c r="AF1548" s="781">
        <f>$S$1*P!AF1548</f>
        <v>9.1512096774193554E-3</v>
      </c>
    </row>
    <row r="1549" spans="19:32" x14ac:dyDescent="0.35">
      <c r="S1549" s="782">
        <v>1545</v>
      </c>
      <c r="T1549" s="782" t="s">
        <v>4284</v>
      </c>
      <c r="U1549" s="782" t="s">
        <v>4553</v>
      </c>
      <c r="V1549" s="797">
        <f>$S$1*P!V1549</f>
        <v>0.21558467741935486</v>
      </c>
      <c r="W1549" s="876"/>
      <c r="X1549" s="881">
        <v>1545</v>
      </c>
      <c r="Y1549" s="881" t="s">
        <v>2248</v>
      </c>
      <c r="Z1549" s="881" t="s">
        <v>3379</v>
      </c>
      <c r="AA1549" s="882">
        <f>$S$1*P!AA1549</f>
        <v>4.4159999999999998E-2</v>
      </c>
      <c r="AB1549" s="780"/>
      <c r="AC1549" s="881">
        <v>1545</v>
      </c>
      <c r="AD1549" s="881" t="s">
        <v>4573</v>
      </c>
      <c r="AE1549" s="881" t="s">
        <v>4391</v>
      </c>
      <c r="AF1549" s="890">
        <f>$S$1*P!AF1549</f>
        <v>2.3820564516129034E-2</v>
      </c>
    </row>
    <row r="1550" spans="19:32" x14ac:dyDescent="0.35">
      <c r="S1550" s="881">
        <v>1546</v>
      </c>
      <c r="T1550" s="881" t="s">
        <v>4284</v>
      </c>
      <c r="U1550" s="881" t="s">
        <v>4552</v>
      </c>
      <c r="V1550" s="883">
        <f>$S$1*P!V1550</f>
        <v>3.4616935483870973E-2</v>
      </c>
      <c r="W1550" s="780"/>
      <c r="X1550" s="782">
        <v>1546</v>
      </c>
      <c r="Y1550" s="782" t="s">
        <v>2248</v>
      </c>
      <c r="Z1550" s="782" t="s">
        <v>3671</v>
      </c>
      <c r="AA1550" s="781">
        <f>$S$1*P!AA1550</f>
        <v>5.5181451612903239E-4</v>
      </c>
      <c r="AB1550" s="780"/>
      <c r="AC1550" s="782">
        <v>1546</v>
      </c>
      <c r="AD1550" s="782" t="s">
        <v>4573</v>
      </c>
      <c r="AE1550" s="782" t="s">
        <v>4390</v>
      </c>
      <c r="AF1550" s="781">
        <f>$S$1*P!AF1550</f>
        <v>2.5637096774193551E-2</v>
      </c>
    </row>
    <row r="1551" spans="19:32" x14ac:dyDescent="0.35">
      <c r="S1551" s="782">
        <v>1547</v>
      </c>
      <c r="T1551" s="782" t="s">
        <v>4284</v>
      </c>
      <c r="U1551" s="782" t="s">
        <v>3271</v>
      </c>
      <c r="V1551" s="797">
        <f>$S$1*P!V1551</f>
        <v>9.425403225806452E-4</v>
      </c>
      <c r="W1551" s="780"/>
      <c r="X1551" s="782">
        <v>1547</v>
      </c>
      <c r="Y1551" s="782" t="s">
        <v>2248</v>
      </c>
      <c r="Z1551" s="782" t="s">
        <v>3379</v>
      </c>
      <c r="AA1551" s="781">
        <f>$S$1*P!AA1551</f>
        <v>3.6673387096774194E-4</v>
      </c>
      <c r="AB1551" s="780"/>
      <c r="AC1551" s="881">
        <v>1547</v>
      </c>
      <c r="AD1551" s="881" t="s">
        <v>4573</v>
      </c>
      <c r="AE1551" s="881" t="s">
        <v>3201</v>
      </c>
      <c r="AF1551" s="882">
        <f>$S$1*P!AF1551</f>
        <v>7.0472E-3</v>
      </c>
    </row>
    <row r="1552" spans="19:32" x14ac:dyDescent="0.35">
      <c r="S1552" s="881">
        <v>1548</v>
      </c>
      <c r="T1552" s="881" t="s">
        <v>4284</v>
      </c>
      <c r="U1552" s="881" t="s">
        <v>3271</v>
      </c>
      <c r="V1552" s="883">
        <f>$S$1*P!V1552</f>
        <v>0.37628</v>
      </c>
      <c r="W1552" s="780"/>
      <c r="X1552" s="881">
        <v>1548</v>
      </c>
      <c r="Y1552" s="881" t="s">
        <v>2248</v>
      </c>
      <c r="Z1552" s="881" t="s">
        <v>3377</v>
      </c>
      <c r="AA1552" s="882">
        <f>$S$1*P!AA1552</f>
        <v>0</v>
      </c>
      <c r="AB1552" s="780"/>
      <c r="AC1552" s="881">
        <v>1548</v>
      </c>
      <c r="AD1552" s="881" t="s">
        <v>4573</v>
      </c>
      <c r="AE1552" s="881" t="s">
        <v>4388</v>
      </c>
      <c r="AF1552" s="890">
        <f>$S$1*P!AF1552</f>
        <v>9.425403225806452E-4</v>
      </c>
    </row>
    <row r="1553" spans="19:32" x14ac:dyDescent="0.35">
      <c r="S1553" s="881">
        <v>1549</v>
      </c>
      <c r="T1553" s="881" t="s">
        <v>4284</v>
      </c>
      <c r="U1553" s="881" t="s">
        <v>3270</v>
      </c>
      <c r="V1553" s="883">
        <f>$S$1*P!V1553</f>
        <v>0</v>
      </c>
      <c r="W1553" s="780"/>
      <c r="X1553" s="782">
        <v>1549</v>
      </c>
      <c r="Y1553" s="782" t="s">
        <v>2248</v>
      </c>
      <c r="Z1553" s="782" t="s">
        <v>5351</v>
      </c>
      <c r="AA1553" s="781">
        <f>$S$1*P!AA1553</f>
        <v>5.1754032258064517E-4</v>
      </c>
      <c r="AB1553" s="780"/>
      <c r="AC1553" s="881">
        <v>1549</v>
      </c>
      <c r="AD1553" s="881" t="s">
        <v>4573</v>
      </c>
      <c r="AE1553" s="881" t="s">
        <v>4385</v>
      </c>
      <c r="AF1553" s="890">
        <f>$S$1*P!AF1553</f>
        <v>7.9858870967741934E-3</v>
      </c>
    </row>
    <row r="1554" spans="19:32" x14ac:dyDescent="0.35">
      <c r="S1554" s="881">
        <v>1550</v>
      </c>
      <c r="T1554" s="881" t="s">
        <v>4284</v>
      </c>
      <c r="U1554" s="881" t="s">
        <v>3268</v>
      </c>
      <c r="V1554" s="883">
        <f>$S$1*P!V1554</f>
        <v>0</v>
      </c>
      <c r="W1554" s="780"/>
      <c r="X1554" s="881">
        <v>1550</v>
      </c>
      <c r="Y1554" s="881" t="s">
        <v>2248</v>
      </c>
      <c r="Z1554" s="881" t="s">
        <v>3375</v>
      </c>
      <c r="AA1554" s="882">
        <f>$S$1*P!AA1554</f>
        <v>0</v>
      </c>
      <c r="AB1554" s="780"/>
      <c r="AC1554" s="881">
        <v>1550</v>
      </c>
      <c r="AD1554" s="881" t="s">
        <v>4573</v>
      </c>
      <c r="AE1554" s="881" t="s">
        <v>4382</v>
      </c>
      <c r="AF1554" s="890">
        <f>$S$1*P!AF1554</f>
        <v>6.3750000000000005E-3</v>
      </c>
    </row>
    <row r="1555" spans="19:32" x14ac:dyDescent="0.35">
      <c r="S1555" s="881">
        <v>1551</v>
      </c>
      <c r="T1555" s="881" t="s">
        <v>4284</v>
      </c>
      <c r="U1555" s="881" t="s">
        <v>4551</v>
      </c>
      <c r="V1555" s="883">
        <f>$S$1*P!V1555</f>
        <v>1.3743951612903225E-4</v>
      </c>
      <c r="W1555" s="780"/>
      <c r="X1555" s="782">
        <v>1551</v>
      </c>
      <c r="Y1555" s="782" t="s">
        <v>2248</v>
      </c>
      <c r="Z1555" s="782" t="s">
        <v>3375</v>
      </c>
      <c r="AA1555" s="781">
        <f>$S$1*P!AA1555</f>
        <v>2.0153225806451613E-4</v>
      </c>
      <c r="AB1555" s="780"/>
      <c r="AC1555" s="881">
        <v>1551</v>
      </c>
      <c r="AD1555" s="881" t="s">
        <v>4573</v>
      </c>
      <c r="AE1555" s="881" t="s">
        <v>3200</v>
      </c>
      <c r="AF1555" s="890">
        <f>$S$1*P!AF1555</f>
        <v>2.2758064516129038E-3</v>
      </c>
    </row>
    <row r="1556" spans="19:32" x14ac:dyDescent="0.35">
      <c r="S1556" s="782">
        <v>1552</v>
      </c>
      <c r="T1556" s="782" t="s">
        <v>4284</v>
      </c>
      <c r="U1556" s="782" t="s">
        <v>4550</v>
      </c>
      <c r="V1556" s="797">
        <f>$S$1*P!V1556</f>
        <v>0.50383064516129039</v>
      </c>
      <c r="W1556" s="780"/>
      <c r="X1556" s="782">
        <v>1552</v>
      </c>
      <c r="Y1556" s="782" t="s">
        <v>2248</v>
      </c>
      <c r="Z1556" s="782" t="s">
        <v>4753</v>
      </c>
      <c r="AA1556" s="781">
        <f>$S$1*P!AA1556</f>
        <v>1.1036290322580648E-3</v>
      </c>
      <c r="AB1556" s="780"/>
      <c r="AC1556" s="881">
        <v>1552</v>
      </c>
      <c r="AD1556" s="881" t="s">
        <v>4573</v>
      </c>
      <c r="AE1556" s="881" t="s">
        <v>3200</v>
      </c>
      <c r="AF1556" s="882">
        <f>$S$1*P!AF1556</f>
        <v>0</v>
      </c>
    </row>
    <row r="1557" spans="19:32" x14ac:dyDescent="0.35">
      <c r="S1557" s="881">
        <v>1553</v>
      </c>
      <c r="T1557" s="881" t="s">
        <v>4284</v>
      </c>
      <c r="U1557" s="881" t="s">
        <v>4549</v>
      </c>
      <c r="V1557" s="883">
        <f>$S$1*P!V1557</f>
        <v>0.13504032258064516</v>
      </c>
      <c r="W1557" s="780"/>
      <c r="X1557" s="782">
        <v>1553</v>
      </c>
      <c r="Y1557" s="782" t="s">
        <v>2248</v>
      </c>
      <c r="Z1557" s="782" t="s">
        <v>3668</v>
      </c>
      <c r="AA1557" s="781">
        <f>$S$1*P!AA1557</f>
        <v>1.936491935483871E-5</v>
      </c>
      <c r="AB1557" s="780"/>
      <c r="AC1557" s="782">
        <v>1553</v>
      </c>
      <c r="AD1557" s="782" t="s">
        <v>4573</v>
      </c>
      <c r="AE1557" s="782" t="s">
        <v>4379</v>
      </c>
      <c r="AF1557" s="781">
        <f>$S$1*P!AF1557</f>
        <v>3.0469758064516133E-3</v>
      </c>
    </row>
    <row r="1558" spans="19:32" x14ac:dyDescent="0.35">
      <c r="S1558" s="881">
        <v>1554</v>
      </c>
      <c r="T1558" s="881" t="s">
        <v>4284</v>
      </c>
      <c r="U1558" s="881" t="s">
        <v>4548</v>
      </c>
      <c r="V1558" s="883">
        <f>$S$1*P!V1558</f>
        <v>5.7580645161290328E-2</v>
      </c>
      <c r="W1558" s="780"/>
      <c r="X1558" s="782">
        <v>1554</v>
      </c>
      <c r="Y1558" s="782" t="s">
        <v>2248</v>
      </c>
      <c r="Z1558" s="782" t="s">
        <v>4752</v>
      </c>
      <c r="AA1558" s="781">
        <f>$S$1*P!AA1558</f>
        <v>9.082661290322581E-4</v>
      </c>
      <c r="AB1558" s="780"/>
      <c r="AC1558" s="881">
        <v>1554</v>
      </c>
      <c r="AD1558" s="881" t="s">
        <v>4573</v>
      </c>
      <c r="AE1558" s="881" t="s">
        <v>4377</v>
      </c>
      <c r="AF1558" s="890">
        <f>$S$1*P!AF1558</f>
        <v>2.2209677419354839E-3</v>
      </c>
    </row>
    <row r="1559" spans="19:32" x14ac:dyDescent="0.35">
      <c r="S1559" s="881">
        <v>1555</v>
      </c>
      <c r="T1559" s="881" t="s">
        <v>4284</v>
      </c>
      <c r="U1559" s="881" t="s">
        <v>3267</v>
      </c>
      <c r="V1559" s="883">
        <f>$S$1*P!V1559</f>
        <v>0</v>
      </c>
      <c r="W1559" s="780"/>
      <c r="X1559" s="782">
        <v>1555</v>
      </c>
      <c r="Y1559" s="782" t="s">
        <v>2248</v>
      </c>
      <c r="Z1559" s="782" t="s">
        <v>4750</v>
      </c>
      <c r="AA1559" s="781">
        <f>$S$1*P!AA1559</f>
        <v>6.5806451612903227E-3</v>
      </c>
      <c r="AB1559" s="780"/>
      <c r="AC1559" s="881">
        <v>1555</v>
      </c>
      <c r="AD1559" s="881" t="s">
        <v>4573</v>
      </c>
      <c r="AE1559" s="881" t="s">
        <v>3199</v>
      </c>
      <c r="AF1559" s="882">
        <f>$S$1*P!AF1559</f>
        <v>0.34683999999999998</v>
      </c>
    </row>
    <row r="1560" spans="19:32" x14ac:dyDescent="0.35">
      <c r="S1560" s="881">
        <v>1556</v>
      </c>
      <c r="T1560" s="881" t="s">
        <v>4284</v>
      </c>
      <c r="U1560" s="881" t="s">
        <v>3266</v>
      </c>
      <c r="V1560" s="883">
        <f>$S$1*P!V1560</f>
        <v>3.5302419354838713E-4</v>
      </c>
      <c r="W1560" s="780"/>
      <c r="X1560" s="782">
        <v>1556</v>
      </c>
      <c r="Y1560" s="782" t="s">
        <v>2248</v>
      </c>
      <c r="Z1560" s="782" t="s">
        <v>5350</v>
      </c>
      <c r="AA1560" s="781">
        <f>$S$1*P!AA1560</f>
        <v>6.9576612903225811E-7</v>
      </c>
      <c r="AB1560" s="780"/>
      <c r="AC1560" s="782">
        <v>1556</v>
      </c>
      <c r="AD1560" s="782" t="s">
        <v>4573</v>
      </c>
      <c r="AE1560" s="782" t="s">
        <v>4374</v>
      </c>
      <c r="AF1560" s="781">
        <f>$S$1*P!AF1560</f>
        <v>0.95967741935483875</v>
      </c>
    </row>
    <row r="1561" spans="19:32" x14ac:dyDescent="0.35">
      <c r="S1561" s="881">
        <v>1557</v>
      </c>
      <c r="T1561" s="881" t="s">
        <v>4284</v>
      </c>
      <c r="U1561" s="881" t="s">
        <v>3266</v>
      </c>
      <c r="V1561" s="883">
        <f>$S$1*P!V1561</f>
        <v>0.37352000000000002</v>
      </c>
      <c r="W1561" s="780"/>
      <c r="X1561" s="782">
        <v>1557</v>
      </c>
      <c r="Y1561" s="782" t="s">
        <v>2248</v>
      </c>
      <c r="Z1561" s="782" t="s">
        <v>4749</v>
      </c>
      <c r="AA1561" s="781">
        <f>$S$1*P!AA1561</f>
        <v>1.1893145161290324E-2</v>
      </c>
      <c r="AB1561" s="780"/>
      <c r="AC1561" s="881">
        <v>1557</v>
      </c>
      <c r="AD1561" s="881" t="s">
        <v>4573</v>
      </c>
      <c r="AE1561" s="881" t="s">
        <v>4373</v>
      </c>
      <c r="AF1561" s="890">
        <f>$S$1*P!AF1561</f>
        <v>1.0864919354838711E-3</v>
      </c>
    </row>
    <row r="1562" spans="19:32" x14ac:dyDescent="0.35">
      <c r="S1562" s="881">
        <v>1558</v>
      </c>
      <c r="T1562" s="881" t="s">
        <v>4284</v>
      </c>
      <c r="U1562" s="881" t="s">
        <v>3264</v>
      </c>
      <c r="V1562" s="883">
        <f>$S$1*P!V1562</f>
        <v>0</v>
      </c>
      <c r="W1562" s="780"/>
      <c r="X1562" s="881">
        <v>1558</v>
      </c>
      <c r="Y1562" s="881" t="s">
        <v>2248</v>
      </c>
      <c r="Z1562" s="881" t="s">
        <v>3374</v>
      </c>
      <c r="AA1562" s="882">
        <f>$S$1*P!AA1562</f>
        <v>0</v>
      </c>
      <c r="AB1562" s="780"/>
      <c r="AC1562" s="782">
        <v>1558</v>
      </c>
      <c r="AD1562" s="782" t="s">
        <v>4573</v>
      </c>
      <c r="AE1562" s="782" t="s">
        <v>4370</v>
      </c>
      <c r="AF1562" s="781">
        <f>$S$1*P!AF1562</f>
        <v>4.9697580645161298E-3</v>
      </c>
    </row>
    <row r="1563" spans="19:32" x14ac:dyDescent="0.35">
      <c r="S1563" s="881">
        <v>1559</v>
      </c>
      <c r="T1563" s="881" t="s">
        <v>4284</v>
      </c>
      <c r="U1563" s="881" t="s">
        <v>4547</v>
      </c>
      <c r="V1563" s="883">
        <f>$S$1*P!V1563</f>
        <v>1.7754032258064518E-4</v>
      </c>
      <c r="W1563" s="780"/>
      <c r="X1563" s="782">
        <v>1559</v>
      </c>
      <c r="Y1563" s="782" t="s">
        <v>2248</v>
      </c>
      <c r="Z1563" s="782" t="s">
        <v>4748</v>
      </c>
      <c r="AA1563" s="781">
        <f>$S$1*P!AA1563</f>
        <v>2.4643145161290324E-4</v>
      </c>
      <c r="AB1563" s="780"/>
      <c r="AC1563" s="881">
        <v>1559</v>
      </c>
      <c r="AD1563" s="881" t="s">
        <v>4573</v>
      </c>
      <c r="AE1563" s="881" t="s">
        <v>4368</v>
      </c>
      <c r="AF1563" s="890">
        <f>$S$1*P!AF1563</f>
        <v>1.3058467741935484E-2</v>
      </c>
    </row>
    <row r="1564" spans="19:32" x14ac:dyDescent="0.35">
      <c r="S1564" s="782">
        <v>1560</v>
      </c>
      <c r="T1564" s="782" t="s">
        <v>4284</v>
      </c>
      <c r="U1564" s="782" t="s">
        <v>4546</v>
      </c>
      <c r="V1564" s="797">
        <f>$S$1*P!V1564</f>
        <v>1.9947580645161292E-2</v>
      </c>
      <c r="W1564" s="780"/>
      <c r="X1564" s="782">
        <v>1560</v>
      </c>
      <c r="Y1564" s="782" t="s">
        <v>2248</v>
      </c>
      <c r="Z1564" s="782" t="s">
        <v>5349</v>
      </c>
      <c r="AA1564" s="781">
        <f>$S$1*P!AA1564</f>
        <v>3.9415322580645161E-3</v>
      </c>
      <c r="AB1564" s="780"/>
      <c r="AC1564" s="881">
        <v>1560</v>
      </c>
      <c r="AD1564" s="881" t="s">
        <v>4573</v>
      </c>
      <c r="AE1564" s="881" t="s">
        <v>4367</v>
      </c>
      <c r="AF1564" s="890">
        <f>$S$1*P!AF1564</f>
        <v>7.574596774193549E-3</v>
      </c>
    </row>
    <row r="1565" spans="19:32" x14ac:dyDescent="0.35">
      <c r="S1565" s="881">
        <v>1561</v>
      </c>
      <c r="T1565" s="881" t="s">
        <v>4284</v>
      </c>
      <c r="U1565" s="881" t="s">
        <v>3263</v>
      </c>
      <c r="V1565" s="883">
        <f>$S$1*P!V1565</f>
        <v>65.411999999999992</v>
      </c>
      <c r="W1565" s="780"/>
      <c r="X1565" s="782">
        <v>1561</v>
      </c>
      <c r="Y1565" s="782" t="s">
        <v>2248</v>
      </c>
      <c r="Z1565" s="782" t="s">
        <v>4747</v>
      </c>
      <c r="AA1565" s="781">
        <f>$S$1*P!AA1565</f>
        <v>3.2012096774193554E-3</v>
      </c>
      <c r="AB1565" s="780"/>
      <c r="AC1565" s="881">
        <v>1561</v>
      </c>
      <c r="AD1565" s="881" t="s">
        <v>4573</v>
      </c>
      <c r="AE1565" s="881" t="s">
        <v>4364</v>
      </c>
      <c r="AF1565" s="890">
        <f>$S$1*P!AF1565</f>
        <v>1.0659274193548388E-3</v>
      </c>
    </row>
    <row r="1566" spans="19:32" x14ac:dyDescent="0.35">
      <c r="S1566" s="881">
        <v>1562</v>
      </c>
      <c r="T1566" s="881" t="s">
        <v>4284</v>
      </c>
      <c r="U1566" s="881" t="s">
        <v>4545</v>
      </c>
      <c r="V1566" s="883">
        <f>$S$1*P!V1566</f>
        <v>0.40443548387096778</v>
      </c>
      <c r="W1566" s="780"/>
      <c r="X1566" s="782">
        <v>1562</v>
      </c>
      <c r="Y1566" s="782" t="s">
        <v>2248</v>
      </c>
      <c r="Z1566" s="782" t="s">
        <v>4746</v>
      </c>
      <c r="AA1566" s="781">
        <f>$S$1*P!AA1566</f>
        <v>6.6491935483870967E-4</v>
      </c>
      <c r="AB1566" s="780"/>
      <c r="AC1566" s="881">
        <v>1562</v>
      </c>
      <c r="AD1566" s="881" t="s">
        <v>4573</v>
      </c>
      <c r="AE1566" s="881" t="s">
        <v>3198</v>
      </c>
      <c r="AF1566" s="890">
        <f>$S$1*P!AF1566</f>
        <v>1.6931451612903228</v>
      </c>
    </row>
    <row r="1567" spans="19:32" x14ac:dyDescent="0.35">
      <c r="S1567" s="782">
        <v>1563</v>
      </c>
      <c r="T1567" s="782" t="s">
        <v>4284</v>
      </c>
      <c r="U1567" s="782" t="s">
        <v>4544</v>
      </c>
      <c r="V1567" s="797">
        <f>$S$1*P!V1567</f>
        <v>9.5282258064516138E-4</v>
      </c>
      <c r="W1567" s="780"/>
      <c r="X1567" s="782">
        <v>1563</v>
      </c>
      <c r="Y1567" s="782" t="s">
        <v>2248</v>
      </c>
      <c r="Z1567" s="782" t="s">
        <v>3665</v>
      </c>
      <c r="AA1567" s="781">
        <f>$S$1*P!AA1567</f>
        <v>2.1181451612903226E-4</v>
      </c>
      <c r="AB1567" s="780"/>
      <c r="AC1567" s="881">
        <v>1563</v>
      </c>
      <c r="AD1567" s="881" t="s">
        <v>4573</v>
      </c>
      <c r="AE1567" s="881" t="s">
        <v>3198</v>
      </c>
      <c r="AF1567" s="882">
        <f>$S$1*P!AF1567</f>
        <v>0</v>
      </c>
    </row>
    <row r="1568" spans="19:32" x14ac:dyDescent="0.35">
      <c r="S1568" s="881">
        <v>1564</v>
      </c>
      <c r="T1568" s="881" t="s">
        <v>4284</v>
      </c>
      <c r="U1568" s="881" t="s">
        <v>4543</v>
      </c>
      <c r="V1568" s="883">
        <f>$S$1*P!V1568</f>
        <v>3.4616935483870973E-2</v>
      </c>
      <c r="W1568" s="780"/>
      <c r="X1568" s="782">
        <v>1564</v>
      </c>
      <c r="Y1568" s="782" t="s">
        <v>2248</v>
      </c>
      <c r="Z1568" s="782" t="s">
        <v>4745</v>
      </c>
      <c r="AA1568" s="781">
        <f>$S$1*P!AA1568</f>
        <v>2.5774193548387095E-4</v>
      </c>
      <c r="AB1568" s="780"/>
      <c r="AC1568" s="782">
        <v>1564</v>
      </c>
      <c r="AD1568" s="782" t="s">
        <v>4573</v>
      </c>
      <c r="AE1568" s="782" t="s">
        <v>4359</v>
      </c>
      <c r="AF1568" s="781">
        <f>$S$1*P!AF1568</f>
        <v>1.3024193548387098E-3</v>
      </c>
    </row>
    <row r="1569" spans="19:32" x14ac:dyDescent="0.35">
      <c r="S1569" s="782">
        <v>1565</v>
      </c>
      <c r="T1569" s="782" t="s">
        <v>4284</v>
      </c>
      <c r="U1569" s="782" t="s">
        <v>3261</v>
      </c>
      <c r="V1569" s="797">
        <f>$S$1*P!V1569</f>
        <v>2.6322580645161292E-3</v>
      </c>
      <c r="W1569" s="780"/>
      <c r="X1569" s="782">
        <v>1565</v>
      </c>
      <c r="Y1569" s="782" t="s">
        <v>2248</v>
      </c>
      <c r="Z1569" s="782" t="s">
        <v>4744</v>
      </c>
      <c r="AA1569" s="781">
        <f>$S$1*P!AA1569</f>
        <v>3.2046370967741939E-3</v>
      </c>
      <c r="AB1569" s="780"/>
      <c r="AC1569" s="881">
        <v>1565</v>
      </c>
      <c r="AD1569" s="881" t="s">
        <v>4573</v>
      </c>
      <c r="AE1569" s="881" t="s">
        <v>4356</v>
      </c>
      <c r="AF1569" s="890">
        <f>$S$1*P!AF1569</f>
        <v>4.4556451612903232E-2</v>
      </c>
    </row>
    <row r="1570" spans="19:32" x14ac:dyDescent="0.35">
      <c r="S1570" s="881">
        <v>1566</v>
      </c>
      <c r="T1570" s="881" t="s">
        <v>4284</v>
      </c>
      <c r="U1570" s="881" t="s">
        <v>3261</v>
      </c>
      <c r="V1570" s="883">
        <f>$S$1*P!V1570</f>
        <v>0</v>
      </c>
      <c r="W1570" s="780"/>
      <c r="X1570" s="782">
        <v>1566</v>
      </c>
      <c r="Y1570" s="782" t="s">
        <v>2248</v>
      </c>
      <c r="Z1570" s="782" t="s">
        <v>5348</v>
      </c>
      <c r="AA1570" s="781">
        <f>$S$1*P!AA1570</f>
        <v>1.9673387096774195E-4</v>
      </c>
      <c r="AB1570" s="780"/>
      <c r="AC1570" s="782">
        <v>1566</v>
      </c>
      <c r="AD1570" s="782" t="s">
        <v>4573</v>
      </c>
      <c r="AE1570" s="782" t="s">
        <v>4353</v>
      </c>
      <c r="AF1570" s="781">
        <f>$S$1*P!AF1570</f>
        <v>3.249193548387097E-4</v>
      </c>
    </row>
    <row r="1571" spans="19:32" x14ac:dyDescent="0.35">
      <c r="S1571" s="881">
        <v>1567</v>
      </c>
      <c r="T1571" s="881" t="s">
        <v>4284</v>
      </c>
      <c r="U1571" s="881" t="s">
        <v>3260</v>
      </c>
      <c r="V1571" s="883">
        <f>$S$1*P!V1571</f>
        <v>5.0040322580645162E-2</v>
      </c>
      <c r="W1571" s="780"/>
      <c r="X1571" s="782">
        <v>1567</v>
      </c>
      <c r="Y1571" s="782" t="s">
        <v>2248</v>
      </c>
      <c r="Z1571" s="782" t="s">
        <v>4743</v>
      </c>
      <c r="AA1571" s="781">
        <f>$S$1*P!AA1571</f>
        <v>2.196975806451613E-4</v>
      </c>
      <c r="AB1571" s="780"/>
      <c r="AC1571" s="881">
        <v>1567</v>
      </c>
      <c r="AD1571" s="881" t="s">
        <v>4573</v>
      </c>
      <c r="AE1571" s="881" t="s">
        <v>4351</v>
      </c>
      <c r="AF1571" s="890">
        <f>$S$1*P!AF1571</f>
        <v>2.2655241935483873E-4</v>
      </c>
    </row>
    <row r="1572" spans="19:32" x14ac:dyDescent="0.35">
      <c r="S1572" s="881">
        <v>1568</v>
      </c>
      <c r="T1572" s="881" t="s">
        <v>4284</v>
      </c>
      <c r="U1572" s="881" t="s">
        <v>3260</v>
      </c>
      <c r="V1572" s="883">
        <f>$S$1*P!V1572</f>
        <v>0</v>
      </c>
      <c r="W1572" s="780"/>
      <c r="X1572" s="881">
        <v>1568</v>
      </c>
      <c r="Y1572" s="881" t="s">
        <v>2248</v>
      </c>
      <c r="Z1572" s="881" t="s">
        <v>3372</v>
      </c>
      <c r="AA1572" s="882">
        <f>$S$1*P!AA1572</f>
        <v>31.924000000000003</v>
      </c>
      <c r="AB1572" s="780"/>
      <c r="AC1572" s="881">
        <v>1568</v>
      </c>
      <c r="AD1572" s="881" t="s">
        <v>4573</v>
      </c>
      <c r="AE1572" s="881" t="s">
        <v>3196</v>
      </c>
      <c r="AF1572" s="882">
        <f>$S$1*P!AF1572</f>
        <v>1.012</v>
      </c>
    </row>
    <row r="1573" spans="19:32" x14ac:dyDescent="0.35">
      <c r="S1573" s="881">
        <v>1569</v>
      </c>
      <c r="T1573" s="881" t="s">
        <v>4284</v>
      </c>
      <c r="U1573" s="881" t="s">
        <v>4542</v>
      </c>
      <c r="V1573" s="883">
        <f>$S$1*P!V1573</f>
        <v>1.5903225806451614E-2</v>
      </c>
      <c r="W1573" s="780"/>
      <c r="X1573" s="782">
        <v>1569</v>
      </c>
      <c r="Y1573" s="782" t="s">
        <v>2248</v>
      </c>
      <c r="Z1573" s="782" t="s">
        <v>3372</v>
      </c>
      <c r="AA1573" s="781">
        <f>$S$1*P!AA1573</f>
        <v>4.0443548387096772E-5</v>
      </c>
      <c r="AB1573" s="780"/>
      <c r="AC1573" s="881">
        <v>1569</v>
      </c>
      <c r="AD1573" s="881" t="s">
        <v>4573</v>
      </c>
      <c r="AE1573" s="881" t="s">
        <v>3195</v>
      </c>
      <c r="AF1573" s="882">
        <f>$S$1*P!AF1573</f>
        <v>6.7343999999999999</v>
      </c>
    </row>
    <row r="1574" spans="19:32" x14ac:dyDescent="0.35">
      <c r="S1574" s="881">
        <v>1570</v>
      </c>
      <c r="T1574" s="881" t="s">
        <v>4284</v>
      </c>
      <c r="U1574" s="881" t="s">
        <v>4541</v>
      </c>
      <c r="V1574" s="883">
        <f>$S$1*P!V1574</f>
        <v>1.8028225806451614E-3</v>
      </c>
      <c r="W1574" s="780"/>
      <c r="X1574" s="782">
        <v>1570</v>
      </c>
      <c r="Y1574" s="782" t="s">
        <v>2248</v>
      </c>
      <c r="Z1574" s="782" t="s">
        <v>5347</v>
      </c>
      <c r="AA1574" s="781">
        <f>$S$1*P!AA1574</f>
        <v>5.2439516129032265E-5</v>
      </c>
      <c r="AB1574" s="780"/>
      <c r="AC1574" s="782">
        <v>1570</v>
      </c>
      <c r="AD1574" s="782" t="s">
        <v>4573</v>
      </c>
      <c r="AE1574" s="782" t="s">
        <v>4350</v>
      </c>
      <c r="AF1574" s="781">
        <f>$S$1*P!AF1574</f>
        <v>1.0727822580645162E-2</v>
      </c>
    </row>
    <row r="1575" spans="19:32" x14ac:dyDescent="0.35">
      <c r="S1575" s="881">
        <v>1571</v>
      </c>
      <c r="T1575" s="881" t="s">
        <v>4284</v>
      </c>
      <c r="U1575" s="881" t="s">
        <v>3259</v>
      </c>
      <c r="V1575" s="883">
        <f>$S$1*P!V1575</f>
        <v>5.9979838709677422E-2</v>
      </c>
      <c r="W1575" s="780"/>
      <c r="X1575" s="782">
        <v>1571</v>
      </c>
      <c r="Y1575" s="782" t="s">
        <v>2248</v>
      </c>
      <c r="Z1575" s="782" t="s">
        <v>4741</v>
      </c>
      <c r="AA1575" s="781">
        <f>$S$1*P!AA1575</f>
        <v>4.4213709677419358E-4</v>
      </c>
      <c r="AB1575" s="780"/>
      <c r="AC1575" s="881">
        <v>1571</v>
      </c>
      <c r="AD1575" s="881" t="s">
        <v>4573</v>
      </c>
      <c r="AE1575" s="881" t="s">
        <v>4347</v>
      </c>
      <c r="AF1575" s="890">
        <f>$S$1*P!AF1575</f>
        <v>16760.080645161292</v>
      </c>
    </row>
    <row r="1576" spans="19:32" x14ac:dyDescent="0.35">
      <c r="S1576" s="881">
        <v>1572</v>
      </c>
      <c r="T1576" s="881" t="s">
        <v>4284</v>
      </c>
      <c r="U1576" s="881" t="s">
        <v>3259</v>
      </c>
      <c r="V1576" s="883">
        <f>$S$1*P!V1576</f>
        <v>278.76</v>
      </c>
      <c r="W1576" s="780"/>
      <c r="X1576" s="782">
        <v>1572</v>
      </c>
      <c r="Y1576" s="782" t="s">
        <v>2248</v>
      </c>
      <c r="Z1576" s="782" t="s">
        <v>4739</v>
      </c>
      <c r="AA1576" s="781">
        <f>$S$1*P!AA1576</f>
        <v>3.5302419354838713E-3</v>
      </c>
      <c r="AB1576" s="780"/>
      <c r="AC1576" s="881">
        <v>1572</v>
      </c>
      <c r="AD1576" s="881" t="s">
        <v>4573</v>
      </c>
      <c r="AE1576" s="881" t="s">
        <v>4346</v>
      </c>
      <c r="AF1576" s="890">
        <f>$S$1*P!AF1576</f>
        <v>176.16935483870969</v>
      </c>
    </row>
    <row r="1577" spans="19:32" x14ac:dyDescent="0.35">
      <c r="S1577" s="782">
        <v>1573</v>
      </c>
      <c r="T1577" s="782" t="s">
        <v>4284</v>
      </c>
      <c r="U1577" s="782" t="s">
        <v>4540</v>
      </c>
      <c r="V1577" s="797">
        <f>$S$1*P!V1577</f>
        <v>0.28310483870967745</v>
      </c>
      <c r="W1577" s="780"/>
      <c r="X1577" s="782">
        <v>1573</v>
      </c>
      <c r="Y1577" s="782" t="s">
        <v>2248</v>
      </c>
      <c r="Z1577" s="782" t="s">
        <v>5346</v>
      </c>
      <c r="AA1577" s="781">
        <f>$S$1*P!AA1577</f>
        <v>1.1002016129032259E-4</v>
      </c>
      <c r="AB1577" s="780"/>
      <c r="AC1577" s="881">
        <v>1573</v>
      </c>
      <c r="AD1577" s="881" t="s">
        <v>4573</v>
      </c>
      <c r="AE1577" s="881" t="s">
        <v>4344</v>
      </c>
      <c r="AF1577" s="890">
        <f>$S$1*P!AF1577</f>
        <v>19.227822580645164</v>
      </c>
    </row>
    <row r="1578" spans="19:32" x14ac:dyDescent="0.35">
      <c r="S1578" s="881">
        <v>1574</v>
      </c>
      <c r="T1578" s="881" t="s">
        <v>4284</v>
      </c>
      <c r="U1578" s="881" t="s">
        <v>4539</v>
      </c>
      <c r="V1578" s="883">
        <f>$S$1*P!V1578</f>
        <v>3.7358870967741938E-2</v>
      </c>
      <c r="W1578" s="780"/>
      <c r="X1578" s="782">
        <v>1574</v>
      </c>
      <c r="Y1578" s="782" t="s">
        <v>2248</v>
      </c>
      <c r="Z1578" s="782" t="s">
        <v>4738</v>
      </c>
      <c r="AA1578" s="781">
        <f>$S$1*P!AA1578</f>
        <v>5.4153225806451621E-4</v>
      </c>
      <c r="AB1578" s="780"/>
      <c r="AC1578" s="881">
        <v>1574</v>
      </c>
      <c r="AD1578" s="881" t="s">
        <v>4573</v>
      </c>
      <c r="AE1578" s="881" t="s">
        <v>4341</v>
      </c>
      <c r="AF1578" s="890">
        <f>$S$1*P!AF1578</f>
        <v>0.37358870967741936</v>
      </c>
    </row>
    <row r="1579" spans="19:32" x14ac:dyDescent="0.35">
      <c r="S1579" s="782">
        <v>1575</v>
      </c>
      <c r="T1579" s="782" t="s">
        <v>4284</v>
      </c>
      <c r="U1579" s="782" t="s">
        <v>4538</v>
      </c>
      <c r="V1579" s="797">
        <f>$S$1*P!V1579</f>
        <v>1.9090725806451616E-4</v>
      </c>
      <c r="W1579" s="780"/>
      <c r="X1579" s="881">
        <v>1575</v>
      </c>
      <c r="Y1579" s="881" t="s">
        <v>2248</v>
      </c>
      <c r="Z1579" s="881" t="s">
        <v>3371</v>
      </c>
      <c r="AA1579" s="882">
        <f>$S$1*P!AA1579</f>
        <v>1.6468</v>
      </c>
      <c r="AB1579" s="780"/>
      <c r="AC1579" s="782">
        <v>1575</v>
      </c>
      <c r="AD1579" s="782" t="s">
        <v>4573</v>
      </c>
      <c r="AE1579" s="782" t="s">
        <v>4340</v>
      </c>
      <c r="AF1579" s="781">
        <f>$S$1*P!AF1579</f>
        <v>0.15560483870967742</v>
      </c>
    </row>
    <row r="1580" spans="19:32" x14ac:dyDescent="0.35">
      <c r="S1580" s="881">
        <v>1576</v>
      </c>
      <c r="T1580" s="881" t="s">
        <v>4284</v>
      </c>
      <c r="U1580" s="881" t="s">
        <v>4537</v>
      </c>
      <c r="V1580" s="883">
        <f>$S$1*P!V1580</f>
        <v>2.5774193548387095E-4</v>
      </c>
      <c r="W1580" s="780"/>
      <c r="X1580" s="782">
        <v>1576</v>
      </c>
      <c r="Y1580" s="782" t="s">
        <v>2248</v>
      </c>
      <c r="Z1580" s="782" t="s">
        <v>5345</v>
      </c>
      <c r="AA1580" s="781">
        <f>$S$1*P!AA1580</f>
        <v>7.8145161290322585E-4</v>
      </c>
      <c r="AB1580" s="780"/>
      <c r="AC1580" s="881">
        <v>1576</v>
      </c>
      <c r="AD1580" s="881" t="s">
        <v>4573</v>
      </c>
      <c r="AE1580" s="881" t="s">
        <v>4336</v>
      </c>
      <c r="AF1580" s="890">
        <f>$S$1*P!AF1580</f>
        <v>1723.9919354838712</v>
      </c>
    </row>
    <row r="1581" spans="19:32" x14ac:dyDescent="0.35">
      <c r="S1581" s="881">
        <v>1577</v>
      </c>
      <c r="T1581" s="881" t="s">
        <v>4284</v>
      </c>
      <c r="U1581" s="881" t="s">
        <v>3258</v>
      </c>
      <c r="V1581" s="883">
        <f>$S$1*P!V1581</f>
        <v>5.7223999999999995</v>
      </c>
      <c r="W1581" s="780"/>
      <c r="X1581" s="782">
        <v>1577</v>
      </c>
      <c r="Y1581" s="782" t="s">
        <v>2248</v>
      </c>
      <c r="Z1581" s="782" t="s">
        <v>4737</v>
      </c>
      <c r="AA1581" s="781">
        <f>$S$1*P!AA1581</f>
        <v>5.175403225806452E-2</v>
      </c>
      <c r="AB1581" s="780"/>
      <c r="AC1581" s="782">
        <v>1577</v>
      </c>
      <c r="AD1581" s="782" t="s">
        <v>4573</v>
      </c>
      <c r="AE1581" s="782" t="s">
        <v>4333</v>
      </c>
      <c r="AF1581" s="781">
        <f>$S$1*P!AF1581</f>
        <v>7.9516129032258069</v>
      </c>
    </row>
    <row r="1582" spans="19:32" x14ac:dyDescent="0.35">
      <c r="S1582" s="782">
        <v>1578</v>
      </c>
      <c r="T1582" s="782" t="s">
        <v>4284</v>
      </c>
      <c r="U1582" s="782" t="s">
        <v>4536</v>
      </c>
      <c r="V1582" s="797">
        <f>$S$1*P!V1582</f>
        <v>0.22243951612903229</v>
      </c>
      <c r="W1582" s="780"/>
      <c r="X1582" s="881">
        <v>1578</v>
      </c>
      <c r="Y1582" s="881" t="s">
        <v>2248</v>
      </c>
      <c r="Z1582" s="881" t="s">
        <v>3370</v>
      </c>
      <c r="AA1582" s="882">
        <f>$S$1*P!AA1582</f>
        <v>0</v>
      </c>
      <c r="AB1582" s="780"/>
      <c r="AC1582" s="881">
        <v>1578</v>
      </c>
      <c r="AD1582" s="881" t="s">
        <v>4573</v>
      </c>
      <c r="AE1582" s="881" t="s">
        <v>4330</v>
      </c>
      <c r="AF1582" s="890">
        <f>$S$1*P!AF1582</f>
        <v>0.33622983870967743</v>
      </c>
    </row>
    <row r="1583" spans="19:32" x14ac:dyDescent="0.35">
      <c r="S1583" s="881">
        <v>1579</v>
      </c>
      <c r="T1583" s="881" t="s">
        <v>4284</v>
      </c>
      <c r="U1583" s="881" t="s">
        <v>4535</v>
      </c>
      <c r="V1583" s="883">
        <f>$S$1*P!V1583</f>
        <v>1.0830645161290324</v>
      </c>
      <c r="W1583" s="780"/>
      <c r="X1583" s="782">
        <v>1579</v>
      </c>
      <c r="Y1583" s="782" t="s">
        <v>2248</v>
      </c>
      <c r="Z1583" s="782" t="s">
        <v>4736</v>
      </c>
      <c r="AA1583" s="781">
        <f>$S$1*P!AA1583</f>
        <v>1.2407258064516129E-2</v>
      </c>
      <c r="AB1583" s="780"/>
      <c r="AC1583" s="782">
        <v>1579</v>
      </c>
      <c r="AD1583" s="782" t="s">
        <v>4573</v>
      </c>
      <c r="AE1583" s="782" t="s">
        <v>4327</v>
      </c>
      <c r="AF1583" s="781">
        <f>$S$1*P!AF1583</f>
        <v>0.15800403225806453</v>
      </c>
    </row>
    <row r="1584" spans="19:32" x14ac:dyDescent="0.35">
      <c r="S1584" s="881">
        <v>1580</v>
      </c>
      <c r="T1584" s="881" t="s">
        <v>4284</v>
      </c>
      <c r="U1584" s="881" t="s">
        <v>3257</v>
      </c>
      <c r="V1584" s="883">
        <f>$S$1*P!V1584</f>
        <v>4.2157258064516132E-2</v>
      </c>
      <c r="W1584" s="780"/>
      <c r="X1584" s="782">
        <v>1580</v>
      </c>
      <c r="Y1584" s="782" t="s">
        <v>2248</v>
      </c>
      <c r="Z1584" s="782" t="s">
        <v>5344</v>
      </c>
      <c r="AA1584" s="781">
        <f>$S$1*P!AA1584</f>
        <v>9.3911290322580656E-6</v>
      </c>
      <c r="AB1584" s="780"/>
      <c r="AC1584" s="881">
        <v>1580</v>
      </c>
      <c r="AD1584" s="881" t="s">
        <v>4573</v>
      </c>
      <c r="AE1584" s="881" t="s">
        <v>4324</v>
      </c>
      <c r="AF1584" s="890">
        <f>$S$1*P!AF1584</f>
        <v>0.95967741935483875</v>
      </c>
    </row>
    <row r="1585" spans="19:32" x14ac:dyDescent="0.35">
      <c r="S1585" s="881">
        <v>1581</v>
      </c>
      <c r="T1585" s="881" t="s">
        <v>4284</v>
      </c>
      <c r="U1585" s="881" t="s">
        <v>3257</v>
      </c>
      <c r="V1585" s="883">
        <f>$S$1*P!V1585</f>
        <v>0</v>
      </c>
      <c r="W1585" s="780"/>
      <c r="X1585" s="782">
        <v>1581</v>
      </c>
      <c r="Y1585" s="782" t="s">
        <v>2248</v>
      </c>
      <c r="Z1585" s="782" t="s">
        <v>4735</v>
      </c>
      <c r="AA1585" s="781">
        <f>$S$1*P!AA1585</f>
        <v>1.9570564516129034E-4</v>
      </c>
      <c r="AB1585" s="780"/>
      <c r="AC1585" s="881">
        <v>1581</v>
      </c>
      <c r="AD1585" s="881" t="s">
        <v>4573</v>
      </c>
      <c r="AE1585" s="881" t="s">
        <v>4319</v>
      </c>
      <c r="AF1585" s="890">
        <f>$S$1*P!AF1585</f>
        <v>2.3169354838709678E-2</v>
      </c>
    </row>
    <row r="1586" spans="19:32" x14ac:dyDescent="0.35">
      <c r="S1586" s="881">
        <v>1582</v>
      </c>
      <c r="T1586" s="881" t="s">
        <v>4284</v>
      </c>
      <c r="U1586" s="881" t="s">
        <v>4534</v>
      </c>
      <c r="V1586" s="883">
        <f>$S$1*P!V1586</f>
        <v>9.596774193548388E-2</v>
      </c>
      <c r="W1586" s="780"/>
      <c r="X1586" s="881">
        <v>1582</v>
      </c>
      <c r="Y1586" s="881" t="s">
        <v>2248</v>
      </c>
      <c r="Z1586" s="881" t="s">
        <v>3369</v>
      </c>
      <c r="AA1586" s="882">
        <f>$S$1*P!AA1586</f>
        <v>4.0111999999999995E-3</v>
      </c>
      <c r="AB1586" s="780"/>
      <c r="AC1586" s="881">
        <v>1582</v>
      </c>
      <c r="AD1586" s="881" t="s">
        <v>4573</v>
      </c>
      <c r="AE1586" s="881" t="s">
        <v>4317</v>
      </c>
      <c r="AF1586" s="890">
        <f>$S$1*P!AF1586</f>
        <v>0.10659274193548388</v>
      </c>
    </row>
    <row r="1587" spans="19:32" x14ac:dyDescent="0.35">
      <c r="S1587" s="881">
        <v>1583</v>
      </c>
      <c r="T1587" s="881" t="s">
        <v>4284</v>
      </c>
      <c r="U1587" s="881" t="s">
        <v>4533</v>
      </c>
      <c r="V1587" s="883">
        <f>$S$1*P!V1587</f>
        <v>7.3689516129032268E-3</v>
      </c>
      <c r="W1587" s="780"/>
      <c r="X1587" s="782">
        <v>1583</v>
      </c>
      <c r="Y1587" s="782" t="s">
        <v>2248</v>
      </c>
      <c r="Z1587" s="782" t="s">
        <v>3369</v>
      </c>
      <c r="AA1587" s="781">
        <f>$S$1*P!AA1587</f>
        <v>9.4596774193548387E-3</v>
      </c>
      <c r="AB1587" s="780"/>
      <c r="AC1587" s="881">
        <v>1583</v>
      </c>
      <c r="AD1587" s="881" t="s">
        <v>4573</v>
      </c>
      <c r="AE1587" s="881" t="s">
        <v>3193</v>
      </c>
      <c r="AF1587" s="890">
        <f>$S$1*P!AF1587</f>
        <v>3.8729838709677424E-3</v>
      </c>
    </row>
    <row r="1588" spans="19:32" x14ac:dyDescent="0.35">
      <c r="S1588" s="881">
        <v>1584</v>
      </c>
      <c r="T1588" s="881" t="s">
        <v>4284</v>
      </c>
      <c r="U1588" s="881" t="s">
        <v>3255</v>
      </c>
      <c r="V1588" s="883">
        <f>$S$1*P!V1588</f>
        <v>0</v>
      </c>
      <c r="W1588" s="780"/>
      <c r="X1588" s="782">
        <v>1584</v>
      </c>
      <c r="Y1588" s="782" t="s">
        <v>2248</v>
      </c>
      <c r="Z1588" s="782" t="s">
        <v>5343</v>
      </c>
      <c r="AA1588" s="781">
        <f>$S$1*P!AA1588</f>
        <v>2.3854838709677418E-3</v>
      </c>
      <c r="AB1588" s="780"/>
      <c r="AC1588" s="881">
        <v>1584</v>
      </c>
      <c r="AD1588" s="881" t="s">
        <v>4573</v>
      </c>
      <c r="AE1588" s="881" t="s">
        <v>3193</v>
      </c>
      <c r="AF1588" s="882">
        <f>$S$1*P!AF1588</f>
        <v>7.1208000000000007E-2</v>
      </c>
    </row>
    <row r="1589" spans="19:32" x14ac:dyDescent="0.35">
      <c r="S1589" s="782">
        <v>1585</v>
      </c>
      <c r="T1589" s="782" t="s">
        <v>4284</v>
      </c>
      <c r="U1589" s="782" t="s">
        <v>4532</v>
      </c>
      <c r="V1589" s="797">
        <f>$S$1*P!V1589</f>
        <v>1.1721774193548387E-4</v>
      </c>
      <c r="W1589" s="780"/>
      <c r="X1589" s="881">
        <v>1585</v>
      </c>
      <c r="Y1589" s="881" t="s">
        <v>2248</v>
      </c>
      <c r="Z1589" s="881" t="s">
        <v>3368</v>
      </c>
      <c r="AA1589" s="882">
        <f>$S$1*P!AA1589</f>
        <v>0</v>
      </c>
      <c r="AB1589" s="780"/>
      <c r="AC1589" s="782">
        <v>1585</v>
      </c>
      <c r="AD1589" s="782" t="s">
        <v>4573</v>
      </c>
      <c r="AE1589" s="782" t="s">
        <v>4314</v>
      </c>
      <c r="AF1589" s="781">
        <f>$S$1*P!AF1589</f>
        <v>1.4395161290322582</v>
      </c>
    </row>
    <row r="1590" spans="19:32" x14ac:dyDescent="0.35">
      <c r="S1590" s="881">
        <v>1586</v>
      </c>
      <c r="T1590" s="881" t="s">
        <v>4284</v>
      </c>
      <c r="U1590" s="881" t="s">
        <v>3254</v>
      </c>
      <c r="V1590" s="883">
        <f>$S$1*P!V1590</f>
        <v>5.6552419354838714E-4</v>
      </c>
      <c r="W1590" s="780"/>
      <c r="X1590" s="782">
        <v>1586</v>
      </c>
      <c r="Y1590" s="782" t="s">
        <v>2248</v>
      </c>
      <c r="Z1590" s="782" t="s">
        <v>3368</v>
      </c>
      <c r="AA1590" s="781">
        <f>$S$1*P!AA1590</f>
        <v>1.346975806451613E-3</v>
      </c>
      <c r="AB1590" s="780"/>
      <c r="AC1590" s="881">
        <v>1586</v>
      </c>
      <c r="AD1590" s="881" t="s">
        <v>4573</v>
      </c>
      <c r="AE1590" s="881" t="s">
        <v>4310</v>
      </c>
      <c r="AF1590" s="890">
        <f>$S$1*P!AF1590</f>
        <v>1.7822580645161292</v>
      </c>
    </row>
    <row r="1591" spans="19:32" x14ac:dyDescent="0.35">
      <c r="S1591" s="881">
        <v>1587</v>
      </c>
      <c r="T1591" s="881" t="s">
        <v>4284</v>
      </c>
      <c r="U1591" s="881" t="s">
        <v>3254</v>
      </c>
      <c r="V1591" s="883">
        <f>$S$1*P!V1591</f>
        <v>0</v>
      </c>
      <c r="W1591" s="780"/>
      <c r="X1591" s="782">
        <v>1587</v>
      </c>
      <c r="Y1591" s="782" t="s">
        <v>2248</v>
      </c>
      <c r="Z1591" s="782" t="s">
        <v>5342</v>
      </c>
      <c r="AA1591" s="781">
        <f>$S$1*P!AA1591</f>
        <v>3.0298387096774193E-4</v>
      </c>
      <c r="AB1591" s="780"/>
      <c r="AC1591" s="782">
        <v>1587</v>
      </c>
      <c r="AD1591" s="782" t="s">
        <v>4573</v>
      </c>
      <c r="AE1591" s="782" t="s">
        <v>3192</v>
      </c>
      <c r="AF1591" s="781">
        <f>$S$1*P!AF1591</f>
        <v>93.225806451612911</v>
      </c>
    </row>
    <row r="1592" spans="19:32" x14ac:dyDescent="0.35">
      <c r="S1592" s="782">
        <v>1588</v>
      </c>
      <c r="T1592" s="782" t="s">
        <v>4284</v>
      </c>
      <c r="U1592" s="782" t="s">
        <v>4531</v>
      </c>
      <c r="V1592" s="797">
        <f>$S$1*P!V1592</f>
        <v>3.7358870967741938E-2</v>
      </c>
      <c r="W1592" s="780"/>
      <c r="X1592" s="782">
        <v>1588</v>
      </c>
      <c r="Y1592" s="782" t="s">
        <v>2248</v>
      </c>
      <c r="Z1592" s="782" t="s">
        <v>4734</v>
      </c>
      <c r="AA1592" s="781">
        <f>$S$1*P!AA1592</f>
        <v>3.1600806451612909E-4</v>
      </c>
      <c r="AB1592" s="780"/>
      <c r="AC1592" s="881">
        <v>1588</v>
      </c>
      <c r="AD1592" s="881" t="s">
        <v>4573</v>
      </c>
      <c r="AE1592" s="881" t="s">
        <v>3192</v>
      </c>
      <c r="AF1592" s="882">
        <f>$S$1*P!AF1592</f>
        <v>29347.999999999996</v>
      </c>
    </row>
    <row r="1593" spans="19:32" x14ac:dyDescent="0.35">
      <c r="S1593" s="881">
        <v>1589</v>
      </c>
      <c r="T1593" s="881" t="s">
        <v>4284</v>
      </c>
      <c r="U1593" s="881" t="s">
        <v>3252</v>
      </c>
      <c r="V1593" s="883">
        <f>$S$1*P!V1593</f>
        <v>1.1995967741935485E-2</v>
      </c>
      <c r="W1593" s="780"/>
      <c r="X1593" s="881">
        <v>1589</v>
      </c>
      <c r="Y1593" s="881" t="s">
        <v>2248</v>
      </c>
      <c r="Z1593" s="881" t="s">
        <v>3367</v>
      </c>
      <c r="AA1593" s="882">
        <f>$S$1*P!AA1593</f>
        <v>6.7068000000000003E-2</v>
      </c>
      <c r="AB1593" s="780"/>
      <c r="AC1593" s="881">
        <v>1589</v>
      </c>
      <c r="AD1593" s="881" t="s">
        <v>4573</v>
      </c>
      <c r="AE1593" s="881" t="s">
        <v>3190</v>
      </c>
      <c r="AF1593" s="890">
        <f>$S$1*P!AF1593</f>
        <v>6.272177419354839</v>
      </c>
    </row>
    <row r="1594" spans="19:32" x14ac:dyDescent="0.35">
      <c r="S1594" s="881">
        <v>1590</v>
      </c>
      <c r="T1594" s="881" t="s">
        <v>4284</v>
      </c>
      <c r="U1594" s="881" t="s">
        <v>3252</v>
      </c>
      <c r="V1594" s="883">
        <f>$S$1*P!V1594</f>
        <v>0</v>
      </c>
      <c r="W1594" s="780"/>
      <c r="X1594" s="782">
        <v>1590</v>
      </c>
      <c r="Y1594" s="782" t="s">
        <v>2248</v>
      </c>
      <c r="Z1594" s="782" t="s">
        <v>5341</v>
      </c>
      <c r="AA1594" s="781">
        <f>$S$1*P!AA1594</f>
        <v>5.381048387096775E-3</v>
      </c>
      <c r="AB1594" s="780"/>
      <c r="AC1594" s="881">
        <v>1590</v>
      </c>
      <c r="AD1594" s="881" t="s">
        <v>4573</v>
      </c>
      <c r="AE1594" s="881" t="s">
        <v>3190</v>
      </c>
      <c r="AF1594" s="882">
        <f>$S$1*P!AF1594</f>
        <v>332.12</v>
      </c>
    </row>
    <row r="1595" spans="19:32" x14ac:dyDescent="0.35">
      <c r="S1595" s="782">
        <v>1591</v>
      </c>
      <c r="T1595" s="782" t="s">
        <v>4284</v>
      </c>
      <c r="U1595" s="782" t="s">
        <v>4530</v>
      </c>
      <c r="V1595" s="797">
        <f>$S$1*P!V1595</f>
        <v>1.2475806451612905E-4</v>
      </c>
      <c r="W1595" s="780"/>
      <c r="X1595" s="782">
        <v>1591</v>
      </c>
      <c r="Y1595" s="782" t="s">
        <v>2248</v>
      </c>
      <c r="Z1595" s="782" t="s">
        <v>3367</v>
      </c>
      <c r="AA1595" s="781">
        <f>$S$1*P!AA1595</f>
        <v>1.0693548387096775E-3</v>
      </c>
      <c r="AB1595" s="780"/>
      <c r="AC1595" s="782">
        <v>1591</v>
      </c>
      <c r="AD1595" s="782" t="s">
        <v>4573</v>
      </c>
      <c r="AE1595" s="782" t="s">
        <v>3189</v>
      </c>
      <c r="AF1595" s="781">
        <f>$S$1*P!AF1595</f>
        <v>9.5282258064516139</v>
      </c>
    </row>
    <row r="1596" spans="19:32" x14ac:dyDescent="0.35">
      <c r="S1596" s="881">
        <v>1592</v>
      </c>
      <c r="T1596" s="881" t="s">
        <v>4284</v>
      </c>
      <c r="U1596" s="881" t="s">
        <v>4529</v>
      </c>
      <c r="V1596" s="883">
        <f>$S$1*P!V1596</f>
        <v>1.346975806451613E-2</v>
      </c>
      <c r="W1596" s="780"/>
      <c r="X1596" s="782">
        <v>1592</v>
      </c>
      <c r="Y1596" s="782" t="s">
        <v>2248</v>
      </c>
      <c r="Z1596" s="782" t="s">
        <v>4732</v>
      </c>
      <c r="AA1596" s="781">
        <f>$S$1*P!AA1596</f>
        <v>3.1292338709677419E-3</v>
      </c>
      <c r="AB1596" s="780"/>
      <c r="AC1596" s="881">
        <v>1592</v>
      </c>
      <c r="AD1596" s="881" t="s">
        <v>4573</v>
      </c>
      <c r="AE1596" s="881" t="s">
        <v>3189</v>
      </c>
      <c r="AF1596" s="882">
        <f>$S$1*P!AF1596</f>
        <v>440.68</v>
      </c>
    </row>
    <row r="1597" spans="19:32" x14ac:dyDescent="0.35">
      <c r="S1597" s="881">
        <v>1593</v>
      </c>
      <c r="T1597" s="881" t="s">
        <v>4284</v>
      </c>
      <c r="U1597" s="881" t="s">
        <v>3251</v>
      </c>
      <c r="V1597" s="883">
        <f>$S$1*P!V1597</f>
        <v>1.9227822580645162E-2</v>
      </c>
      <c r="W1597" s="780"/>
      <c r="X1597" s="782">
        <v>1593</v>
      </c>
      <c r="Y1597" s="782" t="s">
        <v>2248</v>
      </c>
      <c r="Z1597" s="782" t="s">
        <v>5340</v>
      </c>
      <c r="AA1597" s="781">
        <f>$S$1*P!AA1597</f>
        <v>1.9810483870967743E-5</v>
      </c>
      <c r="AB1597" s="780"/>
      <c r="AC1597" s="881">
        <v>1593</v>
      </c>
      <c r="AD1597" s="881" t="s">
        <v>4573</v>
      </c>
      <c r="AE1597" s="881" t="s">
        <v>3188</v>
      </c>
      <c r="AF1597" s="882">
        <f>$S$1*P!AF1597</f>
        <v>1.3156000000000001E-3</v>
      </c>
    </row>
    <row r="1598" spans="19:32" x14ac:dyDescent="0.35">
      <c r="S1598" s="881">
        <v>1594</v>
      </c>
      <c r="T1598" s="881" t="s">
        <v>4284</v>
      </c>
      <c r="U1598" s="881" t="s">
        <v>3251</v>
      </c>
      <c r="V1598" s="883">
        <f>$S$1*P!V1598</f>
        <v>1.8399999999999999</v>
      </c>
      <c r="W1598" s="780"/>
      <c r="X1598" s="782">
        <v>1594</v>
      </c>
      <c r="Y1598" s="782" t="s">
        <v>2248</v>
      </c>
      <c r="Z1598" s="782" t="s">
        <v>4731</v>
      </c>
      <c r="AA1598" s="781">
        <f>$S$1*P!AA1598</f>
        <v>2.0016129032258065E-2</v>
      </c>
      <c r="AB1598" s="780"/>
      <c r="AC1598" s="881">
        <v>1594</v>
      </c>
      <c r="AD1598" s="881" t="s">
        <v>4573</v>
      </c>
      <c r="AE1598" s="881" t="s">
        <v>4302</v>
      </c>
      <c r="AF1598" s="890">
        <f>$S$1*P!AF1598</f>
        <v>1.9467741935483871E-2</v>
      </c>
    </row>
    <row r="1599" spans="19:32" x14ac:dyDescent="0.35">
      <c r="S1599" s="881">
        <v>1595</v>
      </c>
      <c r="T1599" s="881" t="s">
        <v>4284</v>
      </c>
      <c r="U1599" s="881" t="s">
        <v>4528</v>
      </c>
      <c r="V1599" s="883">
        <f>$S$1*P!V1599</f>
        <v>2.0530241935483872E-5</v>
      </c>
      <c r="W1599" s="876"/>
      <c r="X1599" s="782">
        <v>1595</v>
      </c>
      <c r="Y1599" s="782" t="s">
        <v>2248</v>
      </c>
      <c r="Z1599" s="782" t="s">
        <v>4730</v>
      </c>
      <c r="AA1599" s="781">
        <f>$S$1*P!AA1599</f>
        <v>2.4403225806451616E-6</v>
      </c>
      <c r="AB1599" s="780"/>
      <c r="AC1599" s="881">
        <v>1595</v>
      </c>
      <c r="AD1599" s="881" t="s">
        <v>4573</v>
      </c>
      <c r="AE1599" s="881" t="s">
        <v>4300</v>
      </c>
      <c r="AF1599" s="890">
        <f>$S$1*P!AF1599</f>
        <v>5.7580645161290328E-2</v>
      </c>
    </row>
    <row r="1600" spans="19:32" x14ac:dyDescent="0.35">
      <c r="S1600" s="789">
        <v>1596</v>
      </c>
      <c r="T1600" s="789" t="s">
        <v>4284</v>
      </c>
      <c r="U1600" s="789" t="s">
        <v>3249</v>
      </c>
      <c r="V1600" s="790">
        <f>$S$1*P!V1600</f>
        <v>1.8560000000000001</v>
      </c>
      <c r="W1600" s="863"/>
      <c r="X1600" s="782">
        <v>1596</v>
      </c>
      <c r="Y1600" s="782" t="s">
        <v>2248</v>
      </c>
      <c r="Z1600" s="782" t="s">
        <v>5339</v>
      </c>
      <c r="AA1600" s="781">
        <f>$S$1*P!AA1600</f>
        <v>3.4239919354838715E-2</v>
      </c>
      <c r="AB1600" s="780"/>
      <c r="AC1600" s="881">
        <v>1596</v>
      </c>
      <c r="AD1600" s="881" t="s">
        <v>4573</v>
      </c>
      <c r="AE1600" s="881" t="s">
        <v>4299</v>
      </c>
      <c r="AF1600" s="890">
        <f>$S$1*P!AF1600</f>
        <v>4.181451612903226E-2</v>
      </c>
    </row>
    <row r="1601" spans="19:32" x14ac:dyDescent="0.35">
      <c r="S1601" s="861">
        <v>1597</v>
      </c>
      <c r="T1601" s="861" t="s">
        <v>4284</v>
      </c>
      <c r="U1601" s="861" t="s">
        <v>3249</v>
      </c>
      <c r="V1601" s="862">
        <f>$S$1*P!V1601</f>
        <v>0.20811499999999997</v>
      </c>
      <c r="W1601" s="863"/>
      <c r="X1601" s="881">
        <v>1597</v>
      </c>
      <c r="Y1601" s="881" t="s">
        <v>2248</v>
      </c>
      <c r="Z1601" s="881" t="s">
        <v>3366</v>
      </c>
      <c r="AA1601" s="882">
        <f>$S$1*P!AA1601</f>
        <v>0</v>
      </c>
      <c r="AB1601" s="780"/>
      <c r="AC1601" s="881">
        <v>1597</v>
      </c>
      <c r="AD1601" s="881" t="s">
        <v>4573</v>
      </c>
      <c r="AE1601" s="881" t="s">
        <v>4297</v>
      </c>
      <c r="AF1601" s="890">
        <f>$S$1*P!AF1601</f>
        <v>1.9399193548387098E-2</v>
      </c>
    </row>
    <row r="1602" spans="19:32" x14ac:dyDescent="0.35">
      <c r="S1602" s="881">
        <v>1598</v>
      </c>
      <c r="T1602" s="881" t="s">
        <v>4284</v>
      </c>
      <c r="U1602" s="881" t="s">
        <v>3249</v>
      </c>
      <c r="V1602" s="883">
        <f>$S$1*P!V1602</f>
        <v>8.4314516129032267E-6</v>
      </c>
      <c r="W1602" s="863"/>
      <c r="X1602" s="782">
        <v>1598</v>
      </c>
      <c r="Y1602" s="782" t="s">
        <v>2248</v>
      </c>
      <c r="Z1602" s="782" t="s">
        <v>3366</v>
      </c>
      <c r="AA1602" s="781">
        <f>$S$1*P!AA1602</f>
        <v>0.11550403225806452</v>
      </c>
      <c r="AB1602" s="780"/>
      <c r="AC1602" s="782">
        <v>1598</v>
      </c>
      <c r="AD1602" s="782" t="s">
        <v>4573</v>
      </c>
      <c r="AE1602" s="782" t="s">
        <v>4293</v>
      </c>
      <c r="AF1602" s="781">
        <f>$S$1*P!AF1602</f>
        <v>6.3750000000000005E-4</v>
      </c>
    </row>
    <row r="1603" spans="19:32" x14ac:dyDescent="0.35">
      <c r="S1603" s="881">
        <v>1599</v>
      </c>
      <c r="T1603" s="881" t="s">
        <v>4284</v>
      </c>
      <c r="U1603" s="881" t="s">
        <v>3249</v>
      </c>
      <c r="V1603" s="883">
        <f>$S$1*P!V1603</f>
        <v>0.18032000000000001</v>
      </c>
      <c r="W1603" s="863"/>
      <c r="X1603" s="782">
        <v>1599</v>
      </c>
      <c r="Y1603" s="782" t="s">
        <v>2248</v>
      </c>
      <c r="Z1603" s="782" t="s">
        <v>4729</v>
      </c>
      <c r="AA1603" s="781">
        <f>$S$1*P!AA1603</f>
        <v>2.8721774193548387E-3</v>
      </c>
      <c r="AB1603" s="780"/>
      <c r="AC1603" s="881">
        <v>1599</v>
      </c>
      <c r="AD1603" s="881" t="s">
        <v>4573</v>
      </c>
      <c r="AE1603" s="881" t="s">
        <v>4290</v>
      </c>
      <c r="AF1603" s="890">
        <f>$S$1*P!AF1603</f>
        <v>6.0665322580645163E-3</v>
      </c>
    </row>
    <row r="1604" spans="19:32" x14ac:dyDescent="0.35">
      <c r="S1604" s="782">
        <v>1600</v>
      </c>
      <c r="T1604" s="782" t="s">
        <v>4284</v>
      </c>
      <c r="U1604" s="782" t="s">
        <v>4527</v>
      </c>
      <c r="V1604" s="797">
        <f>$S$1*P!V1604</f>
        <v>5.4495967741935492E-2</v>
      </c>
      <c r="W1604" s="780"/>
      <c r="X1604" s="782">
        <v>1600</v>
      </c>
      <c r="Y1604" s="782" t="s">
        <v>2248</v>
      </c>
      <c r="Z1604" s="782" t="s">
        <v>5338</v>
      </c>
      <c r="AA1604" s="781">
        <f>$S$1*P!AA1604</f>
        <v>4.5927419354838714E-4</v>
      </c>
      <c r="AB1604" s="780"/>
      <c r="AC1604" s="782">
        <v>1600</v>
      </c>
      <c r="AD1604" s="782" t="s">
        <v>4573</v>
      </c>
      <c r="AE1604" s="782" t="s">
        <v>4288</v>
      </c>
      <c r="AF1604" s="781">
        <f>$S$1*P!AF1604</f>
        <v>4.6955645161290329E-3</v>
      </c>
    </row>
    <row r="1605" spans="19:32" x14ac:dyDescent="0.35">
      <c r="S1605" s="881">
        <v>1601</v>
      </c>
      <c r="T1605" s="881" t="s">
        <v>4284</v>
      </c>
      <c r="U1605" s="881" t="s">
        <v>3248</v>
      </c>
      <c r="V1605" s="883">
        <f>$S$1*P!V1605</f>
        <v>3.0543999999999998</v>
      </c>
      <c r="W1605" s="863"/>
      <c r="X1605" s="881">
        <v>1601</v>
      </c>
      <c r="Y1605" s="881" t="s">
        <v>2248</v>
      </c>
      <c r="Z1605" s="881" t="s">
        <v>3364</v>
      </c>
      <c r="AA1605" s="882">
        <f>$S$1*P!AA1605</f>
        <v>0</v>
      </c>
      <c r="AB1605" s="780"/>
      <c r="AC1605" s="881">
        <v>1601</v>
      </c>
      <c r="AD1605" s="881" t="s">
        <v>4573</v>
      </c>
      <c r="AE1605" s="881" t="s">
        <v>3186</v>
      </c>
      <c r="AF1605" s="890">
        <f>$S$1*P!AF1605</f>
        <v>7.6431451612903236E-3</v>
      </c>
    </row>
    <row r="1606" spans="19:32" x14ac:dyDescent="0.35">
      <c r="S1606" s="881">
        <v>1602</v>
      </c>
      <c r="T1606" s="881" t="s">
        <v>4284</v>
      </c>
      <c r="U1606" s="881" t="s">
        <v>4526</v>
      </c>
      <c r="V1606" s="883">
        <f>$S$1*P!V1606</f>
        <v>1.8165322580645163E-4</v>
      </c>
      <c r="W1606" s="876"/>
      <c r="X1606" s="881">
        <v>1602</v>
      </c>
      <c r="Y1606" s="881" t="s">
        <v>2248</v>
      </c>
      <c r="Z1606" s="881" t="s">
        <v>3363</v>
      </c>
      <c r="AA1606" s="882">
        <f>$S$1*P!AA1606</f>
        <v>1.5179999999999999E-18</v>
      </c>
      <c r="AB1606" s="780"/>
      <c r="AC1606" s="881">
        <v>1602</v>
      </c>
      <c r="AD1606" s="881" t="s">
        <v>4573</v>
      </c>
      <c r="AE1606" s="881" t="s">
        <v>3186</v>
      </c>
      <c r="AF1606" s="882">
        <f>$S$1*P!AF1606</f>
        <v>0</v>
      </c>
    </row>
    <row r="1607" spans="19:32" x14ac:dyDescent="0.35">
      <c r="S1607" s="782">
        <v>1603</v>
      </c>
      <c r="T1607" s="782" t="s">
        <v>4284</v>
      </c>
      <c r="U1607" s="782" t="s">
        <v>3246</v>
      </c>
      <c r="V1607" s="797">
        <f>$S$1*P!V1607</f>
        <v>1.501209677419355E-2</v>
      </c>
      <c r="W1607" s="863"/>
      <c r="X1607" s="782">
        <v>1603</v>
      </c>
      <c r="Y1607" s="782" t="s">
        <v>2248</v>
      </c>
      <c r="Z1607" s="782" t="s">
        <v>3363</v>
      </c>
      <c r="AA1607" s="781">
        <f>$S$1*P!AA1607</f>
        <v>0.26048387096774195</v>
      </c>
      <c r="AB1607" s="780"/>
      <c r="AC1607" s="881">
        <v>1603</v>
      </c>
      <c r="AD1607" s="881" t="s">
        <v>4573</v>
      </c>
      <c r="AE1607" s="881" t="s">
        <v>3185</v>
      </c>
      <c r="AF1607" s="882">
        <f>$S$1*P!AF1607</f>
        <v>0</v>
      </c>
    </row>
    <row r="1608" spans="19:32" x14ac:dyDescent="0.35">
      <c r="S1608" s="881">
        <v>1604</v>
      </c>
      <c r="T1608" s="881" t="s">
        <v>4284</v>
      </c>
      <c r="U1608" s="881" t="s">
        <v>3246</v>
      </c>
      <c r="V1608" s="883">
        <f>$S$1*P!V1608</f>
        <v>0</v>
      </c>
      <c r="W1608" s="863"/>
      <c r="X1608" s="782">
        <v>1604</v>
      </c>
      <c r="Y1608" s="782" t="s">
        <v>2248</v>
      </c>
      <c r="Z1608" s="782" t="s">
        <v>5337</v>
      </c>
      <c r="AA1608" s="781">
        <f>$S$1*P!AA1608</f>
        <v>2.0941532258064517</v>
      </c>
      <c r="AB1608" s="780"/>
      <c r="AC1608" s="881">
        <v>1604</v>
      </c>
      <c r="AD1608" s="881" t="s">
        <v>4573</v>
      </c>
      <c r="AE1608" s="881" t="s">
        <v>3183</v>
      </c>
      <c r="AF1608" s="882">
        <f>$S$1*P!AF1608</f>
        <v>6.2652000000000001</v>
      </c>
    </row>
    <row r="1609" spans="19:32" x14ac:dyDescent="0.35">
      <c r="S1609" s="881">
        <v>1605</v>
      </c>
      <c r="T1609" s="881" t="s">
        <v>4284</v>
      </c>
      <c r="U1609" s="881" t="s">
        <v>3244</v>
      </c>
      <c r="V1609" s="883">
        <f>$S$1*P!V1609</f>
        <v>7.5060483870967749E-9</v>
      </c>
      <c r="W1609" s="863"/>
      <c r="X1609" s="782">
        <v>1605</v>
      </c>
      <c r="Y1609" s="782" t="s">
        <v>2248</v>
      </c>
      <c r="Z1609" s="782" t="s">
        <v>4728</v>
      </c>
      <c r="AA1609" s="781">
        <f>$S$1*P!AA1609</f>
        <v>2.7385080645161293</v>
      </c>
      <c r="AB1609" s="780"/>
      <c r="AC1609" s="782">
        <v>1605</v>
      </c>
      <c r="AD1609" s="782" t="s">
        <v>4573</v>
      </c>
      <c r="AE1609" s="782" t="s">
        <v>4282</v>
      </c>
      <c r="AF1609" s="781">
        <f>$S$1*P!AF1609</f>
        <v>1.2235887096774194</v>
      </c>
    </row>
    <row r="1610" spans="19:32" x14ac:dyDescent="0.35">
      <c r="S1610" s="881">
        <v>1606</v>
      </c>
      <c r="T1610" s="881" t="s">
        <v>4284</v>
      </c>
      <c r="U1610" s="881" t="s">
        <v>3244</v>
      </c>
      <c r="V1610" s="883">
        <f>$S$1*P!V1610</f>
        <v>2.7692000000000001</v>
      </c>
      <c r="W1610" s="780"/>
      <c r="X1610" s="881">
        <v>1606</v>
      </c>
      <c r="Y1610" s="881" t="s">
        <v>2248</v>
      </c>
      <c r="Z1610" s="881" t="s">
        <v>3361</v>
      </c>
      <c r="AA1610" s="882">
        <f>$S$1*P!AA1610</f>
        <v>0</v>
      </c>
      <c r="AB1610" s="780"/>
      <c r="AC1610" s="881">
        <v>1606</v>
      </c>
      <c r="AD1610" s="881" t="s">
        <v>4573</v>
      </c>
      <c r="AE1610" s="881" t="s">
        <v>3182</v>
      </c>
      <c r="AF1610" s="890">
        <f>$S$1*P!AF1610</f>
        <v>117.56048387096776</v>
      </c>
    </row>
    <row r="1611" spans="19:32" x14ac:dyDescent="0.35">
      <c r="S1611" s="782">
        <v>1607</v>
      </c>
      <c r="T1611" s="782" t="s">
        <v>4284</v>
      </c>
      <c r="U1611" s="782" t="s">
        <v>4525</v>
      </c>
      <c r="V1611" s="797">
        <f>$S$1*P!V1611</f>
        <v>2.5671370967741938E-3</v>
      </c>
      <c r="W1611" s="780"/>
      <c r="X1611" s="782">
        <v>1607</v>
      </c>
      <c r="Y1611" s="782" t="s">
        <v>2248</v>
      </c>
      <c r="Z1611" s="782" t="s">
        <v>5336</v>
      </c>
      <c r="AA1611" s="781">
        <f>$S$1*P!AA1611</f>
        <v>0.22723790322580648</v>
      </c>
      <c r="AB1611" s="780"/>
      <c r="AC1611" s="881">
        <v>1607</v>
      </c>
      <c r="AD1611" s="881" t="s">
        <v>4573</v>
      </c>
      <c r="AE1611" s="881" t="s">
        <v>3182</v>
      </c>
      <c r="AF1611" s="882">
        <f>$S$1*P!AF1611</f>
        <v>0</v>
      </c>
    </row>
    <row r="1612" spans="19:32" x14ac:dyDescent="0.35">
      <c r="S1612" s="881">
        <v>1608</v>
      </c>
      <c r="T1612" s="881" t="s">
        <v>4284</v>
      </c>
      <c r="U1612" s="881" t="s">
        <v>3243</v>
      </c>
      <c r="V1612" s="883">
        <f>$S$1*P!V1612</f>
        <v>1.4635080645161291</v>
      </c>
      <c r="W1612" s="780"/>
      <c r="X1612" s="782">
        <v>1608</v>
      </c>
      <c r="Y1612" s="782" t="s">
        <v>2248</v>
      </c>
      <c r="Z1612" s="782" t="s">
        <v>4727</v>
      </c>
      <c r="AA1612" s="781">
        <f>$S$1*P!AA1612</f>
        <v>7.8830645161290329</v>
      </c>
      <c r="AB1612" s="780"/>
      <c r="AC1612" s="881">
        <v>1608</v>
      </c>
      <c r="AD1612" s="881" t="s">
        <v>4573</v>
      </c>
      <c r="AE1612" s="881" t="s">
        <v>4277</v>
      </c>
      <c r="AF1612" s="890">
        <f>$S$1*P!AF1612</f>
        <v>1.9879032258064519E-2</v>
      </c>
    </row>
    <row r="1613" spans="19:32" x14ac:dyDescent="0.35">
      <c r="S1613" s="881">
        <v>1609</v>
      </c>
      <c r="T1613" s="881" t="s">
        <v>4284</v>
      </c>
      <c r="U1613" s="881" t="s">
        <v>3243</v>
      </c>
      <c r="V1613" s="883">
        <f>$S$1*P!V1613</f>
        <v>4.1124000000000001E-2</v>
      </c>
      <c r="W1613" s="780"/>
      <c r="X1613" s="881">
        <v>1609</v>
      </c>
      <c r="Y1613" s="881" t="s">
        <v>2248</v>
      </c>
      <c r="Z1613" s="881" t="s">
        <v>3360</v>
      </c>
      <c r="AA1613" s="882">
        <f>$S$1*P!AA1613</f>
        <v>0.22355999999999998</v>
      </c>
      <c r="AB1613" s="780"/>
      <c r="AC1613" s="881">
        <v>1609</v>
      </c>
      <c r="AD1613" s="881" t="s">
        <v>4573</v>
      </c>
      <c r="AE1613" s="881" t="s">
        <v>4274</v>
      </c>
      <c r="AF1613" s="890">
        <f>$S$1*P!AF1613</f>
        <v>3.3417338709677423E-3</v>
      </c>
    </row>
    <row r="1614" spans="19:32" x14ac:dyDescent="0.35">
      <c r="S1614" s="881">
        <v>1610</v>
      </c>
      <c r="T1614" s="881" t="s">
        <v>4284</v>
      </c>
      <c r="U1614" s="881" t="s">
        <v>4524</v>
      </c>
      <c r="V1614" s="883">
        <f>$S$1*P!V1614</f>
        <v>1.4429435483870968E-2</v>
      </c>
      <c r="W1614" s="780"/>
      <c r="X1614" s="782">
        <v>1610</v>
      </c>
      <c r="Y1614" s="782" t="s">
        <v>2248</v>
      </c>
      <c r="Z1614" s="782" t="s">
        <v>5335</v>
      </c>
      <c r="AA1614" s="781">
        <f>$S$1*P!AA1614</f>
        <v>6.5120967741935491E-4</v>
      </c>
      <c r="AB1614" s="780"/>
      <c r="AC1614" s="881">
        <v>1610</v>
      </c>
      <c r="AD1614" s="881" t="s">
        <v>4573</v>
      </c>
      <c r="AE1614" s="881" t="s">
        <v>3180</v>
      </c>
      <c r="AF1614" s="882">
        <f>$S$1*P!AF1614</f>
        <v>0</v>
      </c>
    </row>
    <row r="1615" spans="19:32" x14ac:dyDescent="0.35">
      <c r="S1615" s="881">
        <v>1611</v>
      </c>
      <c r="T1615" s="881" t="s">
        <v>4284</v>
      </c>
      <c r="U1615" s="881" t="s">
        <v>3241</v>
      </c>
      <c r="V1615" s="883">
        <f>$S$1*P!V1615</f>
        <v>0</v>
      </c>
      <c r="W1615" s="780"/>
      <c r="X1615" s="782">
        <v>1611</v>
      </c>
      <c r="Y1615" s="782" t="s">
        <v>2248</v>
      </c>
      <c r="Z1615" s="782" t="s">
        <v>4726</v>
      </c>
      <c r="AA1615" s="781">
        <f>$S$1*P!AA1615</f>
        <v>2.0016129032258064E-4</v>
      </c>
      <c r="AB1615" s="780"/>
      <c r="AC1615" s="881">
        <v>1611</v>
      </c>
      <c r="AD1615" s="881" t="s">
        <v>4573</v>
      </c>
      <c r="AE1615" s="881" t="s">
        <v>4271</v>
      </c>
      <c r="AF1615" s="890">
        <f>$S$1*P!AF1615</f>
        <v>1.9262096774193549</v>
      </c>
    </row>
    <row r="1616" spans="19:32" x14ac:dyDescent="0.35">
      <c r="S1616" s="881">
        <v>1612</v>
      </c>
      <c r="T1616" s="881" t="s">
        <v>4284</v>
      </c>
      <c r="U1616" s="881" t="s">
        <v>4523</v>
      </c>
      <c r="V1616" s="883">
        <f>$S$1*P!V1616</f>
        <v>4.2842741935483875E-2</v>
      </c>
      <c r="W1616" s="780"/>
      <c r="X1616" s="881">
        <v>1612</v>
      </c>
      <c r="Y1616" s="881" t="s">
        <v>2248</v>
      </c>
      <c r="Z1616" s="881" t="s">
        <v>3359</v>
      </c>
      <c r="AA1616" s="882">
        <f>$S$1*P!AA1616</f>
        <v>0</v>
      </c>
      <c r="AB1616" s="780"/>
      <c r="AC1616" s="782">
        <v>1612</v>
      </c>
      <c r="AD1616" s="782" t="s">
        <v>4573</v>
      </c>
      <c r="AE1616" s="782" t="s">
        <v>4267</v>
      </c>
      <c r="AF1616" s="781">
        <f>$S$1*P!AF1616</f>
        <v>2.9030241935483874</v>
      </c>
    </row>
    <row r="1617" spans="19:32" x14ac:dyDescent="0.35">
      <c r="S1617" s="881">
        <v>1613</v>
      </c>
      <c r="T1617" s="881" t="s">
        <v>4284</v>
      </c>
      <c r="U1617" s="881" t="s">
        <v>4522</v>
      </c>
      <c r="V1617" s="883">
        <f>$S$1*P!V1617</f>
        <v>2.5088709677419357E-2</v>
      </c>
      <c r="W1617" s="780"/>
      <c r="X1617" s="782">
        <v>1613</v>
      </c>
      <c r="Y1617" s="782" t="s">
        <v>2248</v>
      </c>
      <c r="Z1617" s="782" t="s">
        <v>3359</v>
      </c>
      <c r="AA1617" s="781">
        <f>$S$1*P!AA1617</f>
        <v>1.038508064516129E-2</v>
      </c>
      <c r="AB1617" s="780"/>
      <c r="AC1617" s="881">
        <v>1613</v>
      </c>
      <c r="AD1617" s="881" t="s">
        <v>4573</v>
      </c>
      <c r="AE1617" s="881" t="s">
        <v>4264</v>
      </c>
      <c r="AF1617" s="890">
        <f>$S$1*P!AF1617</f>
        <v>0.67177419354838719</v>
      </c>
    </row>
    <row r="1618" spans="19:32" x14ac:dyDescent="0.35">
      <c r="S1618" s="782">
        <v>1614</v>
      </c>
      <c r="T1618" s="782" t="s">
        <v>4284</v>
      </c>
      <c r="U1618" s="782" t="s">
        <v>4521</v>
      </c>
      <c r="V1618" s="797">
        <f>$S$1*P!V1618</f>
        <v>1.3161290322580645</v>
      </c>
      <c r="W1618" s="780"/>
      <c r="X1618" s="782">
        <v>1614</v>
      </c>
      <c r="Y1618" s="782" t="s">
        <v>2248</v>
      </c>
      <c r="Z1618" s="782" t="s">
        <v>3660</v>
      </c>
      <c r="AA1618" s="781">
        <f>$S$1*P!AA1618</f>
        <v>4.4556451612903225E-3</v>
      </c>
      <c r="AB1618" s="780"/>
      <c r="AC1618" s="881">
        <v>1614</v>
      </c>
      <c r="AD1618" s="881" t="s">
        <v>4573</v>
      </c>
      <c r="AE1618" s="881" t="s">
        <v>3179</v>
      </c>
      <c r="AF1618" s="882">
        <f>$S$1*P!AF1618</f>
        <v>0</v>
      </c>
    </row>
    <row r="1619" spans="19:32" x14ac:dyDescent="0.35">
      <c r="S1619" s="881">
        <v>1615</v>
      </c>
      <c r="T1619" s="881" t="s">
        <v>4284</v>
      </c>
      <c r="U1619" s="881" t="s">
        <v>3240</v>
      </c>
      <c r="V1619" s="883">
        <f>$S$1*P!V1619</f>
        <v>0</v>
      </c>
      <c r="W1619" s="780"/>
      <c r="X1619" s="782">
        <v>1615</v>
      </c>
      <c r="Y1619" s="782" t="s">
        <v>2248</v>
      </c>
      <c r="Z1619" s="782" t="s">
        <v>4725</v>
      </c>
      <c r="AA1619" s="781">
        <f>$S$1*P!AA1619</f>
        <v>0.3461693548387097</v>
      </c>
      <c r="AB1619" s="780"/>
      <c r="AC1619" s="881">
        <v>1615</v>
      </c>
      <c r="AD1619" s="881" t="s">
        <v>4573</v>
      </c>
      <c r="AE1619" s="881" t="s">
        <v>3178</v>
      </c>
      <c r="AF1619" s="882">
        <f>$S$1*P!AF1619</f>
        <v>3.8547999999999996</v>
      </c>
    </row>
    <row r="1620" spans="19:32" x14ac:dyDescent="0.35">
      <c r="S1620" s="881">
        <v>1616</v>
      </c>
      <c r="T1620" s="881" t="s">
        <v>4284</v>
      </c>
      <c r="U1620" s="881" t="s">
        <v>3238</v>
      </c>
      <c r="V1620" s="883">
        <f>$S$1*P!V1620</f>
        <v>1.7171370967741938E-3</v>
      </c>
      <c r="W1620" s="780"/>
      <c r="X1620" s="782">
        <v>1616</v>
      </c>
      <c r="Y1620" s="782" t="s">
        <v>2248</v>
      </c>
      <c r="Z1620" s="782" t="s">
        <v>4724</v>
      </c>
      <c r="AA1620" s="781">
        <f>$S$1*P!AA1620</f>
        <v>1.2921370967741936E-5</v>
      </c>
      <c r="AB1620" s="780"/>
      <c r="AC1620" s="782">
        <v>1616</v>
      </c>
      <c r="AD1620" s="782" t="s">
        <v>4573</v>
      </c>
      <c r="AE1620" s="782" t="s">
        <v>4260</v>
      </c>
      <c r="AF1620" s="781">
        <f>$S$1*P!AF1620</f>
        <v>0.44899193548387101</v>
      </c>
    </row>
    <row r="1621" spans="19:32" x14ac:dyDescent="0.35">
      <c r="S1621" s="881">
        <v>1617</v>
      </c>
      <c r="T1621" s="881" t="s">
        <v>4284</v>
      </c>
      <c r="U1621" s="881" t="s">
        <v>3238</v>
      </c>
      <c r="V1621" s="883">
        <f>$S$1*P!V1621</f>
        <v>0</v>
      </c>
      <c r="W1621" s="780"/>
      <c r="X1621" s="782">
        <v>1617</v>
      </c>
      <c r="Y1621" s="782" t="s">
        <v>2248</v>
      </c>
      <c r="Z1621" s="782" t="s">
        <v>5334</v>
      </c>
      <c r="AA1621" s="781">
        <f>$S$1*P!AA1621</f>
        <v>2.6768145161290323E-3</v>
      </c>
      <c r="AB1621" s="780"/>
      <c r="AC1621" s="881">
        <v>1617</v>
      </c>
      <c r="AD1621" s="881" t="s">
        <v>4573</v>
      </c>
      <c r="AE1621" s="881" t="s">
        <v>3176</v>
      </c>
      <c r="AF1621" s="890">
        <f>$S$1*P!AF1621</f>
        <v>0.15423387096774194</v>
      </c>
    </row>
    <row r="1622" spans="19:32" x14ac:dyDescent="0.35">
      <c r="S1622" s="782">
        <v>1618</v>
      </c>
      <c r="T1622" s="782" t="s">
        <v>4284</v>
      </c>
      <c r="U1622" s="782" t="s">
        <v>3237</v>
      </c>
      <c r="V1622" s="797">
        <f>$S$1*P!V1622</f>
        <v>0.80544354838709686</v>
      </c>
      <c r="W1622" s="780"/>
      <c r="X1622" s="782">
        <v>1618</v>
      </c>
      <c r="Y1622" s="782" t="s">
        <v>2248</v>
      </c>
      <c r="Z1622" s="782" t="s">
        <v>4723</v>
      </c>
      <c r="AA1622" s="781">
        <f>$S$1*P!AA1622</f>
        <v>3.4616935483870972E-5</v>
      </c>
      <c r="AB1622" s="780"/>
      <c r="AC1622" s="881">
        <v>1618</v>
      </c>
      <c r="AD1622" s="881" t="s">
        <v>4573</v>
      </c>
      <c r="AE1622" s="881" t="s">
        <v>3176</v>
      </c>
      <c r="AF1622" s="882">
        <f>$S$1*P!AF1622</f>
        <v>16.652000000000001</v>
      </c>
    </row>
    <row r="1623" spans="19:32" x14ac:dyDescent="0.35">
      <c r="S1623" s="881">
        <v>1619</v>
      </c>
      <c r="T1623" s="881" t="s">
        <v>4284</v>
      </c>
      <c r="U1623" s="881" t="s">
        <v>3237</v>
      </c>
      <c r="V1623" s="883">
        <f>$S$1*P!V1623</f>
        <v>0</v>
      </c>
      <c r="W1623" s="780"/>
      <c r="X1623" s="782">
        <v>1619</v>
      </c>
      <c r="Y1623" s="782" t="s">
        <v>2248</v>
      </c>
      <c r="Z1623" s="782" t="s">
        <v>4722</v>
      </c>
      <c r="AA1623" s="781">
        <f>$S$1*P!AA1623</f>
        <v>2.57741935483871E-5</v>
      </c>
      <c r="AB1623" s="780"/>
      <c r="AC1623" s="782">
        <v>1619</v>
      </c>
      <c r="AD1623" s="782" t="s">
        <v>4573</v>
      </c>
      <c r="AE1623" s="782" t="s">
        <v>4256</v>
      </c>
      <c r="AF1623" s="781">
        <f>$S$1*P!AF1623</f>
        <v>2.2449596774193552E-2</v>
      </c>
    </row>
    <row r="1624" spans="19:32" x14ac:dyDescent="0.35">
      <c r="S1624" s="881">
        <v>1620</v>
      </c>
      <c r="T1624" s="881" t="s">
        <v>4284</v>
      </c>
      <c r="U1624" s="881" t="s">
        <v>4520</v>
      </c>
      <c r="V1624" s="883">
        <f>$S$1*P!V1624</f>
        <v>0.11653225806451614</v>
      </c>
      <c r="W1624" s="780"/>
      <c r="X1624" s="782">
        <v>1620</v>
      </c>
      <c r="Y1624" s="782" t="s">
        <v>2248</v>
      </c>
      <c r="Z1624" s="782" t="s">
        <v>5333</v>
      </c>
      <c r="AA1624" s="781">
        <f>$S$1*P!AA1624</f>
        <v>8.2600806451612916E-5</v>
      </c>
      <c r="AB1624" s="780"/>
      <c r="AC1624" s="881">
        <v>1620</v>
      </c>
      <c r="AD1624" s="881" t="s">
        <v>4573</v>
      </c>
      <c r="AE1624" s="881" t="s">
        <v>3175</v>
      </c>
      <c r="AF1624" s="890">
        <f>$S$1*P!AF1624</f>
        <v>0.14463709677419356</v>
      </c>
    </row>
    <row r="1625" spans="19:32" x14ac:dyDescent="0.35">
      <c r="S1625" s="782">
        <v>1621</v>
      </c>
      <c r="T1625" s="782" t="s">
        <v>4284</v>
      </c>
      <c r="U1625" s="782" t="s">
        <v>4519</v>
      </c>
      <c r="V1625" s="797">
        <f>$S$1*P!V1625</f>
        <v>4.3870967741935489E-2</v>
      </c>
      <c r="W1625" s="780"/>
      <c r="X1625" s="782">
        <v>1621</v>
      </c>
      <c r="Y1625" s="782" t="s">
        <v>2248</v>
      </c>
      <c r="Z1625" s="782" t="s">
        <v>4721</v>
      </c>
      <c r="AA1625" s="781">
        <f>$S$1*P!AA1625</f>
        <v>1.9741935483870969E-4</v>
      </c>
      <c r="AB1625" s="780"/>
      <c r="AC1625" s="881">
        <v>1621</v>
      </c>
      <c r="AD1625" s="881" t="s">
        <v>4573</v>
      </c>
      <c r="AE1625" s="881" t="s">
        <v>3175</v>
      </c>
      <c r="AF1625" s="882">
        <f>$S$1*P!AF1625</f>
        <v>0</v>
      </c>
    </row>
    <row r="1626" spans="19:32" x14ac:dyDescent="0.35">
      <c r="S1626" s="881">
        <v>1622</v>
      </c>
      <c r="T1626" s="881" t="s">
        <v>4284</v>
      </c>
      <c r="U1626" s="881" t="s">
        <v>4518</v>
      </c>
      <c r="V1626" s="883">
        <f>$S$1*P!V1626</f>
        <v>9.5967741935483876E-4</v>
      </c>
      <c r="W1626" s="780"/>
      <c r="X1626" s="782">
        <v>1622</v>
      </c>
      <c r="Y1626" s="782" t="s">
        <v>2248</v>
      </c>
      <c r="Z1626" s="782" t="s">
        <v>4720</v>
      </c>
      <c r="AA1626" s="781">
        <f>$S$1*P!AA1626</f>
        <v>3.6673387096774197E-3</v>
      </c>
      <c r="AB1626" s="780"/>
      <c r="AC1626" s="881">
        <v>1622</v>
      </c>
      <c r="AD1626" s="881" t="s">
        <v>4573</v>
      </c>
      <c r="AE1626" s="881" t="s">
        <v>3173</v>
      </c>
      <c r="AF1626" s="882">
        <f>$S$1*P!AF1626</f>
        <v>0</v>
      </c>
    </row>
    <row r="1627" spans="19:32" x14ac:dyDescent="0.35">
      <c r="S1627" s="881">
        <v>1623</v>
      </c>
      <c r="T1627" s="881" t="s">
        <v>4284</v>
      </c>
      <c r="U1627" s="881" t="s">
        <v>4517</v>
      </c>
      <c r="V1627" s="883">
        <f>$S$1*P!V1627</f>
        <v>3.1943548387096778E-4</v>
      </c>
      <c r="W1627" s="780"/>
      <c r="X1627" s="782">
        <v>1623</v>
      </c>
      <c r="Y1627" s="782" t="s">
        <v>2248</v>
      </c>
      <c r="Z1627" s="782" t="s">
        <v>5332</v>
      </c>
      <c r="AA1627" s="781">
        <f>$S$1*P!AA1627</f>
        <v>3.5987903225806456E-4</v>
      </c>
      <c r="AB1627" s="780"/>
      <c r="AC1627" s="881">
        <v>1623</v>
      </c>
      <c r="AD1627" s="881" t="s">
        <v>4573</v>
      </c>
      <c r="AE1627" s="881" t="s">
        <v>3172</v>
      </c>
      <c r="AF1627" s="890">
        <f>$S$1*P!AF1627</f>
        <v>6.340725806451613</v>
      </c>
    </row>
    <row r="1628" spans="19:32" x14ac:dyDescent="0.35">
      <c r="S1628" s="881">
        <v>1624</v>
      </c>
      <c r="T1628" s="881" t="s">
        <v>4284</v>
      </c>
      <c r="U1628" s="881" t="s">
        <v>4516</v>
      </c>
      <c r="V1628" s="883">
        <f>$S$1*P!V1628</f>
        <v>2.265524193548387E-3</v>
      </c>
      <c r="W1628" s="780"/>
      <c r="X1628" s="881">
        <v>1624</v>
      </c>
      <c r="Y1628" s="881" t="s">
        <v>2248</v>
      </c>
      <c r="Z1628" s="881" t="s">
        <v>3358</v>
      </c>
      <c r="AA1628" s="882">
        <f>$S$1*P!AA1628</f>
        <v>0</v>
      </c>
      <c r="AB1628" s="780"/>
      <c r="AC1628" s="881">
        <v>1624</v>
      </c>
      <c r="AD1628" s="881" t="s">
        <v>4573</v>
      </c>
      <c r="AE1628" s="881" t="s">
        <v>3172</v>
      </c>
      <c r="AF1628" s="882">
        <f>$S$1*P!AF1628</f>
        <v>0</v>
      </c>
    </row>
    <row r="1629" spans="19:32" x14ac:dyDescent="0.35">
      <c r="S1629" s="881">
        <v>1625</v>
      </c>
      <c r="T1629" s="881" t="s">
        <v>4284</v>
      </c>
      <c r="U1629" s="881" t="s">
        <v>3235</v>
      </c>
      <c r="V1629" s="883">
        <f>$S$1*P!V1629</f>
        <v>3.0469758064516131E-5</v>
      </c>
      <c r="W1629" s="780"/>
      <c r="X1629" s="782">
        <v>1625</v>
      </c>
      <c r="Y1629" s="782" t="s">
        <v>2248</v>
      </c>
      <c r="Z1629" s="782" t="s">
        <v>3358</v>
      </c>
      <c r="AA1629" s="781">
        <f>$S$1*P!AA1629</f>
        <v>4.7298387096774197E-2</v>
      </c>
      <c r="AB1629" s="780"/>
      <c r="AC1629" s="881">
        <v>1625</v>
      </c>
      <c r="AD1629" s="881" t="s">
        <v>4573</v>
      </c>
      <c r="AE1629" s="881" t="s">
        <v>4250</v>
      </c>
      <c r="AF1629" s="890">
        <f>$S$1*P!AF1629</f>
        <v>4.3870967741935489</v>
      </c>
    </row>
    <row r="1630" spans="19:32" x14ac:dyDescent="0.35">
      <c r="S1630" s="881">
        <v>1626</v>
      </c>
      <c r="T1630" s="881" t="s">
        <v>4284</v>
      </c>
      <c r="U1630" s="881" t="s">
        <v>3235</v>
      </c>
      <c r="V1630" s="883">
        <f>$S$1*P!V1630</f>
        <v>0</v>
      </c>
      <c r="W1630" s="780"/>
      <c r="X1630" s="782">
        <v>1626</v>
      </c>
      <c r="Y1630" s="782" t="s">
        <v>2248</v>
      </c>
      <c r="Z1630" s="782" t="s">
        <v>4719</v>
      </c>
      <c r="AA1630" s="781">
        <f>$S$1*P!AA1630</f>
        <v>2.8653225806451615E-2</v>
      </c>
      <c r="AB1630" s="780"/>
      <c r="AC1630" s="881">
        <v>1626</v>
      </c>
      <c r="AD1630" s="881" t="s">
        <v>4573</v>
      </c>
      <c r="AE1630" s="881" t="s">
        <v>3170</v>
      </c>
      <c r="AF1630" s="890">
        <f>$S$1*P!AF1630</f>
        <v>0.20907258064516129</v>
      </c>
    </row>
    <row r="1631" spans="19:32" x14ac:dyDescent="0.35">
      <c r="S1631" s="782">
        <v>1627</v>
      </c>
      <c r="T1631" s="782" t="s">
        <v>4284</v>
      </c>
      <c r="U1631" s="782" t="s">
        <v>3233</v>
      </c>
      <c r="V1631" s="797">
        <f>$S$1*P!V1631</f>
        <v>9.6995967741935488E-2</v>
      </c>
      <c r="W1631" s="780"/>
      <c r="X1631" s="782">
        <v>1627</v>
      </c>
      <c r="Y1631" s="782" t="s">
        <v>2248</v>
      </c>
      <c r="Z1631" s="782" t="s">
        <v>5331</v>
      </c>
      <c r="AA1631" s="781">
        <f>$S$1*P!AA1631</f>
        <v>0.10556451612903227</v>
      </c>
      <c r="AB1631" s="780"/>
      <c r="AC1631" s="881">
        <v>1627</v>
      </c>
      <c r="AD1631" s="881" t="s">
        <v>4573</v>
      </c>
      <c r="AE1631" s="881" t="s">
        <v>3170</v>
      </c>
      <c r="AF1631" s="882">
        <f>$S$1*P!AF1631</f>
        <v>11500</v>
      </c>
    </row>
    <row r="1632" spans="19:32" x14ac:dyDescent="0.35">
      <c r="S1632" s="881">
        <v>1628</v>
      </c>
      <c r="T1632" s="881" t="s">
        <v>4284</v>
      </c>
      <c r="U1632" s="881" t="s">
        <v>3233</v>
      </c>
      <c r="V1632" s="883">
        <f>$S$1*P!V1632</f>
        <v>0</v>
      </c>
      <c r="W1632" s="780"/>
      <c r="X1632" s="782">
        <v>1628</v>
      </c>
      <c r="Y1632" s="782" t="s">
        <v>2248</v>
      </c>
      <c r="Z1632" s="782" t="s">
        <v>4718</v>
      </c>
      <c r="AA1632" s="781">
        <f>$S$1*P!AA1632</f>
        <v>2.1764112903225809E-2</v>
      </c>
      <c r="AB1632" s="780"/>
      <c r="AC1632" s="881">
        <v>1628</v>
      </c>
      <c r="AD1632" s="881" t="s">
        <v>4573</v>
      </c>
      <c r="AE1632" s="881" t="s">
        <v>3169</v>
      </c>
      <c r="AF1632" s="882">
        <f>$S$1*P!AF1632</f>
        <v>7.3875999999999994E-3</v>
      </c>
    </row>
    <row r="1633" spans="19:32" x14ac:dyDescent="0.35">
      <c r="S1633" s="881">
        <v>1629</v>
      </c>
      <c r="T1633" s="881" t="s">
        <v>4284</v>
      </c>
      <c r="U1633" s="881" t="s">
        <v>3232</v>
      </c>
      <c r="V1633" s="883">
        <f>$S$1*P!V1633</f>
        <v>9.6995967741935488E-2</v>
      </c>
      <c r="W1633" s="780"/>
      <c r="X1633" s="782">
        <v>1629</v>
      </c>
      <c r="Y1633" s="782" t="s">
        <v>2248</v>
      </c>
      <c r="Z1633" s="782" t="s">
        <v>4717</v>
      </c>
      <c r="AA1633" s="781">
        <f>$S$1*P!AA1633</f>
        <v>5.826612903225807E-4</v>
      </c>
      <c r="AB1633" s="780"/>
      <c r="AC1633" s="782">
        <v>1629</v>
      </c>
      <c r="AD1633" s="782" t="s">
        <v>4573</v>
      </c>
      <c r="AE1633" s="782" t="s">
        <v>4248</v>
      </c>
      <c r="AF1633" s="781">
        <f>$S$1*P!AF1633</f>
        <v>7.3689516129032268E-2</v>
      </c>
    </row>
    <row r="1634" spans="19:32" x14ac:dyDescent="0.35">
      <c r="S1634" s="881">
        <v>1630</v>
      </c>
      <c r="T1634" s="881" t="s">
        <v>4284</v>
      </c>
      <c r="U1634" s="881" t="s">
        <v>3232</v>
      </c>
      <c r="V1634" s="883">
        <f>$S$1*P!V1634</f>
        <v>0</v>
      </c>
      <c r="W1634" s="780"/>
      <c r="X1634" s="782">
        <v>1630</v>
      </c>
      <c r="Y1634" s="782" t="s">
        <v>2248</v>
      </c>
      <c r="Z1634" s="782" t="s">
        <v>5330</v>
      </c>
      <c r="AA1634" s="781">
        <f>$S$1*P!AA1634</f>
        <v>1.4635080645161291E-2</v>
      </c>
      <c r="AB1634" s="780"/>
      <c r="AC1634" s="881">
        <v>1630</v>
      </c>
      <c r="AD1634" s="881" t="s">
        <v>4573</v>
      </c>
      <c r="AE1634" s="881" t="s">
        <v>4245</v>
      </c>
      <c r="AF1634" s="890">
        <f>$S$1*P!AF1634</f>
        <v>30538.306451612905</v>
      </c>
    </row>
    <row r="1635" spans="19:32" x14ac:dyDescent="0.35">
      <c r="S1635" s="782">
        <v>1631</v>
      </c>
      <c r="T1635" s="782" t="s">
        <v>4284</v>
      </c>
      <c r="U1635" s="782" t="s">
        <v>3231</v>
      </c>
      <c r="V1635" s="797">
        <f>$S$1*P!V1635</f>
        <v>1.2475806451612905</v>
      </c>
      <c r="W1635" s="780"/>
      <c r="X1635" s="881">
        <v>1631</v>
      </c>
      <c r="Y1635" s="881" t="s">
        <v>2248</v>
      </c>
      <c r="Z1635" s="881" t="s">
        <v>3357</v>
      </c>
      <c r="AA1635" s="882">
        <f>$S$1*P!AA1635</f>
        <v>0</v>
      </c>
      <c r="AB1635" s="780"/>
      <c r="AC1635" s="881">
        <v>1631</v>
      </c>
      <c r="AD1635" s="881" t="s">
        <v>4573</v>
      </c>
      <c r="AE1635" s="881" t="s">
        <v>3167</v>
      </c>
      <c r="AF1635" s="882">
        <f>$S$1*P!AF1635</f>
        <v>0</v>
      </c>
    </row>
    <row r="1636" spans="19:32" x14ac:dyDescent="0.35">
      <c r="S1636" s="881">
        <v>1632</v>
      </c>
      <c r="T1636" s="881" t="s">
        <v>4284</v>
      </c>
      <c r="U1636" s="881" t="s">
        <v>3231</v>
      </c>
      <c r="V1636" s="883">
        <f>$S$1*P!V1636</f>
        <v>3256.8</v>
      </c>
      <c r="W1636" s="780"/>
      <c r="X1636" s="782">
        <v>1632</v>
      </c>
      <c r="Y1636" s="782" t="s">
        <v>2248</v>
      </c>
      <c r="Z1636" s="782" t="s">
        <v>3357</v>
      </c>
      <c r="AA1636" s="781">
        <f>$S$1*P!AA1636</f>
        <v>4.1471774193548391E-5</v>
      </c>
      <c r="AB1636" s="780"/>
      <c r="AC1636" s="782">
        <v>1632</v>
      </c>
      <c r="AD1636" s="782" t="s">
        <v>4573</v>
      </c>
      <c r="AE1636" s="782" t="s">
        <v>4243</v>
      </c>
      <c r="AF1636" s="781">
        <f>$S$1*P!AF1636</f>
        <v>0.92540322580645173</v>
      </c>
    </row>
    <row r="1637" spans="19:32" x14ac:dyDescent="0.35">
      <c r="S1637" s="881">
        <v>1633</v>
      </c>
      <c r="T1637" s="881" t="s">
        <v>4284</v>
      </c>
      <c r="U1637" s="881" t="s">
        <v>3230</v>
      </c>
      <c r="V1637" s="883">
        <f>$S$1*P!V1637</f>
        <v>2.8104838709677421E-2</v>
      </c>
      <c r="W1637" s="780"/>
      <c r="X1637" s="881">
        <v>1633</v>
      </c>
      <c r="Y1637" s="881" t="s">
        <v>2248</v>
      </c>
      <c r="Z1637" s="881" t="s">
        <v>3355</v>
      </c>
      <c r="AA1637" s="882">
        <f>$S$1*P!AA1637</f>
        <v>3.496</v>
      </c>
      <c r="AB1637" s="780"/>
      <c r="AC1637" s="881">
        <v>1633</v>
      </c>
      <c r="AD1637" s="881" t="s">
        <v>4573</v>
      </c>
      <c r="AE1637" s="881" t="s">
        <v>4241</v>
      </c>
      <c r="AF1637" s="890">
        <f>$S$1*P!AF1637</f>
        <v>1.2133064516129033</v>
      </c>
    </row>
    <row r="1638" spans="19:32" x14ac:dyDescent="0.35">
      <c r="S1638" s="881">
        <v>1634</v>
      </c>
      <c r="T1638" s="881" t="s">
        <v>4284</v>
      </c>
      <c r="U1638" s="881" t="s">
        <v>3230</v>
      </c>
      <c r="V1638" s="883">
        <f>$S$1*P!V1638</f>
        <v>1.288</v>
      </c>
      <c r="W1638" s="780"/>
      <c r="X1638" s="782">
        <v>1634</v>
      </c>
      <c r="Y1638" s="782" t="s">
        <v>2248</v>
      </c>
      <c r="Z1638" s="782" t="s">
        <v>5329</v>
      </c>
      <c r="AA1638" s="781">
        <f>$S$1*P!AA1638</f>
        <v>2.7110887096774196E-2</v>
      </c>
      <c r="AB1638" s="780"/>
      <c r="AC1638" s="782">
        <v>1634</v>
      </c>
      <c r="AD1638" s="782" t="s">
        <v>4573</v>
      </c>
      <c r="AE1638" s="782" t="s">
        <v>4237</v>
      </c>
      <c r="AF1638" s="781">
        <f>$S$1*P!AF1638</f>
        <v>0.56209677419354842</v>
      </c>
    </row>
    <row r="1639" spans="19:32" x14ac:dyDescent="0.35">
      <c r="S1639" s="881">
        <v>1635</v>
      </c>
      <c r="T1639" s="881" t="s">
        <v>4284</v>
      </c>
      <c r="U1639" s="881" t="s">
        <v>3228</v>
      </c>
      <c r="V1639" s="883">
        <f>$S$1*P!V1639</f>
        <v>42.872</v>
      </c>
      <c r="W1639" s="780"/>
      <c r="X1639" s="782">
        <v>1635</v>
      </c>
      <c r="Y1639" s="782" t="s">
        <v>2248</v>
      </c>
      <c r="Z1639" s="782" t="s">
        <v>4716</v>
      </c>
      <c r="AA1639" s="781">
        <f>$S$1*P!AA1639</f>
        <v>2.7350806451612908E-5</v>
      </c>
      <c r="AB1639" s="780"/>
      <c r="AC1639" s="881">
        <v>1635</v>
      </c>
      <c r="AD1639" s="881" t="s">
        <v>4573</v>
      </c>
      <c r="AE1639" s="881" t="s">
        <v>4235</v>
      </c>
      <c r="AF1639" s="890">
        <f>$S$1*P!AF1639</f>
        <v>5.5866935483870971E-2</v>
      </c>
    </row>
    <row r="1640" spans="19:32" x14ac:dyDescent="0.35">
      <c r="S1640" s="881">
        <v>1636</v>
      </c>
      <c r="T1640" s="881" t="s">
        <v>4284</v>
      </c>
      <c r="U1640" s="881" t="s">
        <v>3227</v>
      </c>
      <c r="V1640" s="883">
        <f>$S$1*P!V1640</f>
        <v>0</v>
      </c>
      <c r="W1640" s="780"/>
      <c r="X1640" s="881">
        <v>1636</v>
      </c>
      <c r="Y1640" s="881" t="s">
        <v>2248</v>
      </c>
      <c r="Z1640" s="881" t="s">
        <v>3354</v>
      </c>
      <c r="AA1640" s="882">
        <f>$S$1*P!AA1640</f>
        <v>4.5356E-2</v>
      </c>
      <c r="AB1640" s="780"/>
      <c r="AC1640" s="881">
        <v>1636</v>
      </c>
      <c r="AD1640" s="881" t="s">
        <v>4573</v>
      </c>
      <c r="AE1640" s="881" t="s">
        <v>4232</v>
      </c>
      <c r="AF1640" s="890">
        <f>$S$1*P!AF1640</f>
        <v>1.3778225806451614</v>
      </c>
    </row>
    <row r="1641" spans="19:32" x14ac:dyDescent="0.35">
      <c r="S1641" s="881">
        <v>1637</v>
      </c>
      <c r="T1641" s="881" t="s">
        <v>4284</v>
      </c>
      <c r="U1641" s="881" t="s">
        <v>3225</v>
      </c>
      <c r="V1641" s="883">
        <f>$S$1*P!V1641</f>
        <v>2.2079999999999999E-2</v>
      </c>
      <c r="W1641" s="780"/>
      <c r="X1641" s="782">
        <v>1637</v>
      </c>
      <c r="Y1641" s="782" t="s">
        <v>2248</v>
      </c>
      <c r="Z1641" s="782" t="s">
        <v>5328</v>
      </c>
      <c r="AA1641" s="781">
        <f>$S$1*P!AA1641</f>
        <v>1.1516129032258066E-2</v>
      </c>
      <c r="AB1641" s="780"/>
      <c r="AC1641" s="881">
        <v>1637</v>
      </c>
      <c r="AD1641" s="881" t="s">
        <v>4573</v>
      </c>
      <c r="AE1641" s="881" t="s">
        <v>4229</v>
      </c>
      <c r="AF1641" s="890">
        <f>$S$1*P!AF1641</f>
        <v>0.26733870967741935</v>
      </c>
    </row>
    <row r="1642" spans="19:32" x14ac:dyDescent="0.35">
      <c r="S1642" s="881">
        <v>1638</v>
      </c>
      <c r="T1642" s="881" t="s">
        <v>4284</v>
      </c>
      <c r="U1642" s="881" t="s">
        <v>3224</v>
      </c>
      <c r="V1642" s="883">
        <f>$S$1*P!V1642</f>
        <v>78.292000000000002</v>
      </c>
      <c r="W1642" s="780"/>
      <c r="X1642" s="881">
        <v>1638</v>
      </c>
      <c r="Y1642" s="881" t="s">
        <v>2248</v>
      </c>
      <c r="Z1642" s="881" t="s">
        <v>3353</v>
      </c>
      <c r="AA1642" s="882">
        <f>$S$1*P!AA1642</f>
        <v>0.86571999999999993</v>
      </c>
      <c r="AB1642" s="780"/>
      <c r="AC1642" s="881">
        <v>1638</v>
      </c>
      <c r="AD1642" s="881" t="s">
        <v>4573</v>
      </c>
      <c r="AE1642" s="881" t="s">
        <v>4228</v>
      </c>
      <c r="AF1642" s="890">
        <f>$S$1*P!AF1642</f>
        <v>2.3854838709677421E-2</v>
      </c>
    </row>
    <row r="1643" spans="19:32" x14ac:dyDescent="0.35">
      <c r="S1643" s="782">
        <v>1639</v>
      </c>
      <c r="T1643" s="782" t="s">
        <v>4284</v>
      </c>
      <c r="U1643" s="782" t="s">
        <v>4514</v>
      </c>
      <c r="V1643" s="797">
        <f>$S$1*P!V1643</f>
        <v>3.6673387096774197E-5</v>
      </c>
      <c r="W1643" s="780"/>
      <c r="X1643" s="782">
        <v>1639</v>
      </c>
      <c r="Y1643" s="782" t="s">
        <v>2248</v>
      </c>
      <c r="Z1643" s="782" t="s">
        <v>3353</v>
      </c>
      <c r="AA1643" s="781">
        <f>$S$1*P!AA1643</f>
        <v>2.5911290322580647E-4</v>
      </c>
      <c r="AB1643" s="780"/>
      <c r="AC1643" s="881">
        <v>1639</v>
      </c>
      <c r="AD1643" s="881" t="s">
        <v>4573</v>
      </c>
      <c r="AE1643" s="881" t="s">
        <v>3165</v>
      </c>
      <c r="AF1643" s="882">
        <f>$S$1*P!AF1643</f>
        <v>0</v>
      </c>
    </row>
    <row r="1644" spans="19:32" x14ac:dyDescent="0.35">
      <c r="S1644" s="881">
        <v>1640</v>
      </c>
      <c r="T1644" s="881" t="s">
        <v>4284</v>
      </c>
      <c r="U1644" s="881" t="s">
        <v>4513</v>
      </c>
      <c r="V1644" s="883">
        <f>$S$1*P!V1644</f>
        <v>3.8044354838709681E-3</v>
      </c>
      <c r="W1644" s="780"/>
      <c r="X1644" s="782">
        <v>1640</v>
      </c>
      <c r="Y1644" s="782" t="s">
        <v>2248</v>
      </c>
      <c r="Z1644" s="782" t="s">
        <v>4715</v>
      </c>
      <c r="AA1644" s="781">
        <f>$S$1*P!AA1644</f>
        <v>3.1772177419354842E-5</v>
      </c>
      <c r="AB1644" s="780"/>
      <c r="AC1644" s="782">
        <v>1640</v>
      </c>
      <c r="AD1644" s="782" t="s">
        <v>4573</v>
      </c>
      <c r="AE1644" s="782" t="s">
        <v>4227</v>
      </c>
      <c r="AF1644" s="781">
        <f>$S$1*P!AF1644</f>
        <v>1.2338709677419356E-4</v>
      </c>
    </row>
    <row r="1645" spans="19:32" x14ac:dyDescent="0.35">
      <c r="S1645" s="789">
        <v>1641</v>
      </c>
      <c r="T1645" s="789" t="s">
        <v>4284</v>
      </c>
      <c r="U1645" s="789" t="s">
        <v>5327</v>
      </c>
      <c r="V1645" s="790">
        <f>$S$1*P!V1645</f>
        <v>839.84</v>
      </c>
      <c r="W1645" s="780"/>
      <c r="X1645" s="782">
        <v>1641</v>
      </c>
      <c r="Y1645" s="782" t="s">
        <v>2248</v>
      </c>
      <c r="Z1645" s="782" t="s">
        <v>5326</v>
      </c>
      <c r="AA1645" s="781">
        <f>$S$1*P!AA1645</f>
        <v>3.3520161290322582E-4</v>
      </c>
      <c r="AB1645" s="780"/>
      <c r="AC1645" s="881">
        <v>1641</v>
      </c>
      <c r="AD1645" s="881" t="s">
        <v>4573</v>
      </c>
      <c r="AE1645" s="881" t="s">
        <v>4225</v>
      </c>
      <c r="AF1645" s="890">
        <f>$S$1*P!AF1645</f>
        <v>0.18816532258064517</v>
      </c>
    </row>
    <row r="1646" spans="19:32" x14ac:dyDescent="0.35">
      <c r="S1646" s="881">
        <v>1642</v>
      </c>
      <c r="T1646" s="881" t="s">
        <v>4284</v>
      </c>
      <c r="U1646" s="881" t="s">
        <v>4512</v>
      </c>
      <c r="V1646" s="883">
        <f>$S$1*P!V1646</f>
        <v>0.60322580645161294</v>
      </c>
      <c r="W1646" s="780"/>
      <c r="X1646" s="782">
        <v>1642</v>
      </c>
      <c r="Y1646" s="782" t="s">
        <v>2248</v>
      </c>
      <c r="Z1646" s="782" t="s">
        <v>4714</v>
      </c>
      <c r="AA1646" s="781">
        <f>$S$1*P!AA1646</f>
        <v>5.6552419354838714E-4</v>
      </c>
      <c r="AB1646" s="780"/>
      <c r="AC1646" s="782">
        <v>1642</v>
      </c>
      <c r="AD1646" s="782" t="s">
        <v>4573</v>
      </c>
      <c r="AE1646" s="782" t="s">
        <v>4222</v>
      </c>
      <c r="AF1646" s="781">
        <f>$S$1*P!AF1646</f>
        <v>6.4778225806451623E-2</v>
      </c>
    </row>
    <row r="1647" spans="19:32" x14ac:dyDescent="0.35">
      <c r="S1647" s="881">
        <v>1643</v>
      </c>
      <c r="T1647" s="881" t="s">
        <v>4284</v>
      </c>
      <c r="U1647" s="881" t="s">
        <v>3222</v>
      </c>
      <c r="V1647" s="883">
        <f>$S$1*P!V1647</f>
        <v>5.3125000000000004E-5</v>
      </c>
      <c r="W1647" s="780"/>
      <c r="X1647" s="782">
        <v>1643</v>
      </c>
      <c r="Y1647" s="782" t="s">
        <v>2248</v>
      </c>
      <c r="Z1647" s="782" t="s">
        <v>4711</v>
      </c>
      <c r="AA1647" s="781">
        <f>$S$1*P!AA1647</f>
        <v>1.5903225806451615E-5</v>
      </c>
      <c r="AB1647" s="780"/>
      <c r="AC1647" s="881">
        <v>1643</v>
      </c>
      <c r="AD1647" s="881" t="s">
        <v>4573</v>
      </c>
      <c r="AE1647" s="881" t="s">
        <v>4220</v>
      </c>
      <c r="AF1647" s="890">
        <f>$S$1*P!AF1647</f>
        <v>5.586693548387097</v>
      </c>
    </row>
    <row r="1648" spans="19:32" x14ac:dyDescent="0.35">
      <c r="S1648" s="881">
        <v>1644</v>
      </c>
      <c r="T1648" s="881" t="s">
        <v>4284</v>
      </c>
      <c r="U1648" s="881" t="s">
        <v>3222</v>
      </c>
      <c r="V1648" s="883">
        <f>$S$1*P!V1648</f>
        <v>0</v>
      </c>
      <c r="W1648" s="780"/>
      <c r="X1648" s="782">
        <v>1644</v>
      </c>
      <c r="Y1648" s="782" t="s">
        <v>2248</v>
      </c>
      <c r="Z1648" s="782" t="s">
        <v>5325</v>
      </c>
      <c r="AA1648" s="781">
        <f>$S$1*P!AA1648</f>
        <v>1.2338709677419357E-2</v>
      </c>
      <c r="AB1648" s="780"/>
      <c r="AC1648" s="782">
        <v>1644</v>
      </c>
      <c r="AD1648" s="782" t="s">
        <v>4573</v>
      </c>
      <c r="AE1648" s="782" t="s">
        <v>4219</v>
      </c>
      <c r="AF1648" s="781">
        <f>$S$1*P!AF1648</f>
        <v>0.17959677419354841</v>
      </c>
    </row>
    <row r="1649" spans="19:32" x14ac:dyDescent="0.35">
      <c r="S1649" s="881">
        <v>1645</v>
      </c>
      <c r="T1649" s="881" t="s">
        <v>4284</v>
      </c>
      <c r="U1649" s="881" t="s">
        <v>3221</v>
      </c>
      <c r="V1649" s="883">
        <f>$S$1*P!V1649</f>
        <v>6.1008064516129041E-5</v>
      </c>
      <c r="W1649" s="780"/>
      <c r="X1649" s="881">
        <v>1645</v>
      </c>
      <c r="Y1649" s="881" t="s">
        <v>2248</v>
      </c>
      <c r="Z1649" s="881" t="s">
        <v>3352</v>
      </c>
      <c r="AA1649" s="882">
        <f>$S$1*P!AA1649</f>
        <v>0</v>
      </c>
      <c r="AB1649" s="780"/>
      <c r="AC1649" s="881">
        <v>1645</v>
      </c>
      <c r="AD1649" s="881" t="s">
        <v>4573</v>
      </c>
      <c r="AE1649" s="881" t="s">
        <v>4216</v>
      </c>
      <c r="AF1649" s="890">
        <f>$S$1*P!AF1649</f>
        <v>0.29510080645161291</v>
      </c>
    </row>
    <row r="1650" spans="19:32" x14ac:dyDescent="0.35">
      <c r="S1650" s="881">
        <v>1646</v>
      </c>
      <c r="T1650" s="881" t="s">
        <v>4284</v>
      </c>
      <c r="U1650" s="881" t="s">
        <v>3221</v>
      </c>
      <c r="V1650" s="883">
        <f>$S$1*P!V1650</f>
        <v>0</v>
      </c>
      <c r="W1650" s="780"/>
      <c r="X1650" s="782">
        <v>1646</v>
      </c>
      <c r="Y1650" s="782" t="s">
        <v>2248</v>
      </c>
      <c r="Z1650" s="782" t="s">
        <v>3352</v>
      </c>
      <c r="AA1650" s="781">
        <f>$S$1*P!AA1650</f>
        <v>8.808467741935484</v>
      </c>
      <c r="AB1650" s="780"/>
      <c r="AC1650" s="881">
        <v>1646</v>
      </c>
      <c r="AD1650" s="881" t="s">
        <v>4573</v>
      </c>
      <c r="AE1650" s="881" t="s">
        <v>4215</v>
      </c>
      <c r="AF1650" s="890">
        <f>$S$1*P!AF1650</f>
        <v>2.2723790322580646</v>
      </c>
    </row>
    <row r="1651" spans="19:32" x14ac:dyDescent="0.35">
      <c r="S1651" s="782">
        <v>1647</v>
      </c>
      <c r="T1651" s="782" t="s">
        <v>4284</v>
      </c>
      <c r="U1651" s="782" t="s">
        <v>3220</v>
      </c>
      <c r="V1651" s="797">
        <f>$S$1*P!V1651</f>
        <v>1.5080645161290325</v>
      </c>
      <c r="W1651" s="780"/>
      <c r="X1651" s="782">
        <v>1647</v>
      </c>
      <c r="Y1651" s="782" t="s">
        <v>2248</v>
      </c>
      <c r="Z1651" s="782" t="s">
        <v>5324</v>
      </c>
      <c r="AA1651" s="781">
        <f>$S$1*P!AA1651</f>
        <v>2.4403225806451614E-2</v>
      </c>
      <c r="AB1651" s="780"/>
      <c r="AC1651" s="881">
        <v>1647</v>
      </c>
      <c r="AD1651" s="881" t="s">
        <v>4573</v>
      </c>
      <c r="AE1651" s="881" t="s">
        <v>3164</v>
      </c>
      <c r="AF1651" s="890">
        <f>$S$1*P!AF1651</f>
        <v>13.94959677419355</v>
      </c>
    </row>
    <row r="1652" spans="19:32" x14ac:dyDescent="0.35">
      <c r="S1652" s="881">
        <v>1648</v>
      </c>
      <c r="T1652" s="881" t="s">
        <v>4284</v>
      </c>
      <c r="U1652" s="881" t="s">
        <v>3220</v>
      </c>
      <c r="V1652" s="883">
        <f>$S$1*P!V1652</f>
        <v>4.6735999999999995</v>
      </c>
      <c r="W1652" s="780"/>
      <c r="X1652" s="881">
        <v>1648</v>
      </c>
      <c r="Y1652" s="881" t="s">
        <v>2248</v>
      </c>
      <c r="Z1652" s="881" t="s">
        <v>3350</v>
      </c>
      <c r="AA1652" s="882">
        <f>$S$1*P!AA1652</f>
        <v>2180.4</v>
      </c>
      <c r="AB1652" s="780"/>
      <c r="AC1652" s="881">
        <v>1648</v>
      </c>
      <c r="AD1652" s="881" t="s">
        <v>4573</v>
      </c>
      <c r="AE1652" s="881" t="s">
        <v>3164</v>
      </c>
      <c r="AF1652" s="882">
        <f>$S$1*P!AF1652</f>
        <v>0</v>
      </c>
    </row>
    <row r="1653" spans="19:32" x14ac:dyDescent="0.35">
      <c r="S1653" s="881">
        <v>1649</v>
      </c>
      <c r="T1653" s="881" t="s">
        <v>4284</v>
      </c>
      <c r="U1653" s="881" t="s">
        <v>4511</v>
      </c>
      <c r="V1653" s="883">
        <f>$S$1*P!V1653</f>
        <v>1.2784274193548388E-3</v>
      </c>
      <c r="W1653" s="780"/>
      <c r="X1653" s="881">
        <v>1649</v>
      </c>
      <c r="Y1653" s="881" t="s">
        <v>2248</v>
      </c>
      <c r="Z1653" s="881" t="s">
        <v>3349</v>
      </c>
      <c r="AA1653" s="882">
        <f>$S$1*P!AA1653</f>
        <v>0</v>
      </c>
      <c r="AB1653" s="780"/>
      <c r="AC1653" s="881">
        <v>1649</v>
      </c>
      <c r="AD1653" s="881" t="s">
        <v>4573</v>
      </c>
      <c r="AE1653" s="881" t="s">
        <v>4211</v>
      </c>
      <c r="AF1653" s="890">
        <f>$S$1*P!AF1653</f>
        <v>0.23752016129032261</v>
      </c>
    </row>
    <row r="1654" spans="19:32" x14ac:dyDescent="0.35">
      <c r="S1654" s="881">
        <v>1650</v>
      </c>
      <c r="T1654" s="881" t="s">
        <v>4284</v>
      </c>
      <c r="U1654" s="881" t="s">
        <v>3218</v>
      </c>
      <c r="V1654" s="883">
        <f>$S$1*P!V1654</f>
        <v>3.7719999999999998</v>
      </c>
      <c r="W1654" s="780"/>
      <c r="X1654" s="782">
        <v>1650</v>
      </c>
      <c r="Y1654" s="782" t="s">
        <v>2248</v>
      </c>
      <c r="Z1654" s="782" t="s">
        <v>5323</v>
      </c>
      <c r="AA1654" s="781">
        <f>$S$1*P!AA1654</f>
        <v>9.6995967741935491E-3</v>
      </c>
      <c r="AB1654" s="780"/>
      <c r="AC1654" s="782">
        <v>1650</v>
      </c>
      <c r="AD1654" s="782" t="s">
        <v>4573</v>
      </c>
      <c r="AE1654" s="782" t="s">
        <v>3162</v>
      </c>
      <c r="AF1654" s="781">
        <f>$S$1*P!AF1654</f>
        <v>1.4497983870967743E-2</v>
      </c>
    </row>
    <row r="1655" spans="19:32" x14ac:dyDescent="0.35">
      <c r="S1655" s="782">
        <v>1651</v>
      </c>
      <c r="T1655" s="782" t="s">
        <v>4284</v>
      </c>
      <c r="U1655" s="782" t="s">
        <v>4510</v>
      </c>
      <c r="V1655" s="797">
        <f>$S$1*P!V1655</f>
        <v>1.4703629032258065E-2</v>
      </c>
      <c r="W1655" s="780"/>
      <c r="X1655" s="881">
        <v>1651</v>
      </c>
      <c r="Y1655" s="881" t="s">
        <v>2248</v>
      </c>
      <c r="Z1655" s="881" t="s">
        <v>3347</v>
      </c>
      <c r="AA1655" s="882">
        <f>$S$1*P!AA1655</f>
        <v>0</v>
      </c>
      <c r="AB1655" s="780"/>
      <c r="AC1655" s="881">
        <v>1651</v>
      </c>
      <c r="AD1655" s="881" t="s">
        <v>4573</v>
      </c>
      <c r="AE1655" s="881" t="s">
        <v>3162</v>
      </c>
      <c r="AF1655" s="882">
        <f>$S$1*P!AF1655</f>
        <v>0</v>
      </c>
    </row>
    <row r="1656" spans="19:32" x14ac:dyDescent="0.35">
      <c r="S1656" s="881">
        <v>1652</v>
      </c>
      <c r="T1656" s="881" t="s">
        <v>4284</v>
      </c>
      <c r="U1656" s="881" t="s">
        <v>3217</v>
      </c>
      <c r="V1656" s="883">
        <f>$S$1*P!V1656</f>
        <v>0.13616</v>
      </c>
      <c r="W1656" s="780"/>
      <c r="X1656" s="782">
        <v>1652</v>
      </c>
      <c r="Y1656" s="782" t="s">
        <v>2248</v>
      </c>
      <c r="Z1656" s="782" t="s">
        <v>3347</v>
      </c>
      <c r="AA1656" s="781">
        <f>$S$1*P!AA1656</f>
        <v>6.7520161290322584E-3</v>
      </c>
      <c r="AB1656" s="780"/>
      <c r="AC1656" s="881">
        <v>1652</v>
      </c>
      <c r="AD1656" s="881" t="s">
        <v>4573</v>
      </c>
      <c r="AE1656" s="881" t="s">
        <v>3161</v>
      </c>
      <c r="AF1656" s="890">
        <f>$S$1*P!AF1656</f>
        <v>24.81451612903226</v>
      </c>
    </row>
    <row r="1657" spans="19:32" x14ac:dyDescent="0.35">
      <c r="S1657" s="881">
        <v>1653</v>
      </c>
      <c r="T1657" s="881" t="s">
        <v>4284</v>
      </c>
      <c r="U1657" s="881" t="s">
        <v>4509</v>
      </c>
      <c r="V1657" s="883">
        <f>$S$1*P!V1657</f>
        <v>6.4435483870967751E-3</v>
      </c>
      <c r="W1657" s="780"/>
      <c r="X1657" s="782">
        <v>1653</v>
      </c>
      <c r="Y1657" s="782" t="s">
        <v>2248</v>
      </c>
      <c r="Z1657" s="782" t="s">
        <v>4704</v>
      </c>
      <c r="AA1657" s="781">
        <f>$S$1*P!AA1657</f>
        <v>3.2149193548387099E-2</v>
      </c>
      <c r="AB1657" s="780"/>
      <c r="AC1657" s="881">
        <v>1653</v>
      </c>
      <c r="AD1657" s="881" t="s">
        <v>4573</v>
      </c>
      <c r="AE1657" s="881" t="s">
        <v>3161</v>
      </c>
      <c r="AF1657" s="882">
        <f>$S$1*P!AF1657</f>
        <v>19.872</v>
      </c>
    </row>
    <row r="1658" spans="19:32" x14ac:dyDescent="0.35">
      <c r="S1658" s="782">
        <v>1654</v>
      </c>
      <c r="T1658" s="782" t="s">
        <v>4284</v>
      </c>
      <c r="U1658" s="782" t="s">
        <v>4508</v>
      </c>
      <c r="V1658" s="797">
        <f>$S$1*P!V1658</f>
        <v>2.104435483870968E-3</v>
      </c>
      <c r="W1658" s="780"/>
      <c r="X1658" s="782">
        <v>1654</v>
      </c>
      <c r="Y1658" s="782" t="s">
        <v>2248</v>
      </c>
      <c r="Z1658" s="782" t="s">
        <v>5322</v>
      </c>
      <c r="AA1658" s="781">
        <f>$S$1*P!AA1658</f>
        <v>3.0024193548387101E-4</v>
      </c>
      <c r="AB1658" s="780"/>
      <c r="AC1658" s="782">
        <v>1654</v>
      </c>
      <c r="AD1658" s="782" t="s">
        <v>4573</v>
      </c>
      <c r="AE1658" s="782" t="s">
        <v>3159</v>
      </c>
      <c r="AF1658" s="781">
        <f>$S$1*P!AF1658</f>
        <v>6.6491935483870973E-2</v>
      </c>
    </row>
    <row r="1659" spans="19:32" x14ac:dyDescent="0.35">
      <c r="S1659" s="881">
        <v>1655</v>
      </c>
      <c r="T1659" s="881" t="s">
        <v>4284</v>
      </c>
      <c r="U1659" s="881" t="s">
        <v>4504</v>
      </c>
      <c r="V1659" s="883">
        <f>$S$1*P!V1659</f>
        <v>9.2883064516129047E-3</v>
      </c>
      <c r="W1659" s="780"/>
      <c r="X1659" s="782">
        <v>1655</v>
      </c>
      <c r="Y1659" s="782" t="s">
        <v>2248</v>
      </c>
      <c r="Z1659" s="782" t="s">
        <v>4703</v>
      </c>
      <c r="AA1659" s="781">
        <f>$S$1*P!AA1659</f>
        <v>1.9536290322580648E-3</v>
      </c>
      <c r="AB1659" s="780"/>
      <c r="AC1659" s="881">
        <v>1655</v>
      </c>
      <c r="AD1659" s="881" t="s">
        <v>4573</v>
      </c>
      <c r="AE1659" s="881" t="s">
        <v>3159</v>
      </c>
      <c r="AF1659" s="882">
        <f>$S$1*P!AF1659</f>
        <v>0</v>
      </c>
    </row>
    <row r="1660" spans="19:32" x14ac:dyDescent="0.35">
      <c r="S1660" s="881">
        <v>1656</v>
      </c>
      <c r="T1660" s="881" t="s">
        <v>4284</v>
      </c>
      <c r="U1660" s="881" t="s">
        <v>4499</v>
      </c>
      <c r="V1660" s="883">
        <f>$S$1*P!V1660</f>
        <v>1.6794354838709678E-3</v>
      </c>
      <c r="W1660" s="780"/>
      <c r="X1660" s="782">
        <v>1656</v>
      </c>
      <c r="Y1660" s="782" t="s">
        <v>2248</v>
      </c>
      <c r="Z1660" s="782" t="s">
        <v>4702</v>
      </c>
      <c r="AA1660" s="781">
        <f>$S$1*P!AA1660</f>
        <v>3.3622983870967745E-6</v>
      </c>
      <c r="AB1660" s="780"/>
      <c r="AC1660" s="881">
        <v>1656</v>
      </c>
      <c r="AD1660" s="881" t="s">
        <v>4573</v>
      </c>
      <c r="AE1660" s="881" t="s">
        <v>4209</v>
      </c>
      <c r="AF1660" s="890">
        <f>$S$1*P!AF1660</f>
        <v>4.455645161290323</v>
      </c>
    </row>
    <row r="1661" spans="19:32" x14ac:dyDescent="0.35">
      <c r="S1661" s="881">
        <v>1657</v>
      </c>
      <c r="T1661" s="881" t="s">
        <v>4284</v>
      </c>
      <c r="U1661" s="881" t="s">
        <v>4495</v>
      </c>
      <c r="V1661" s="883">
        <f>$S$1*P!V1661</f>
        <v>1.7959677419354841E-3</v>
      </c>
      <c r="W1661" s="780"/>
      <c r="X1661" s="782">
        <v>1657</v>
      </c>
      <c r="Y1661" s="782" t="s">
        <v>2248</v>
      </c>
      <c r="Z1661" s="782" t="s">
        <v>5321</v>
      </c>
      <c r="AA1661" s="781">
        <f>$S$1*P!AA1661</f>
        <v>2.4471774193548387E-2</v>
      </c>
      <c r="AB1661" s="780"/>
      <c r="AC1661" s="782">
        <v>1657</v>
      </c>
      <c r="AD1661" s="782" t="s">
        <v>4573</v>
      </c>
      <c r="AE1661" s="782" t="s">
        <v>3158</v>
      </c>
      <c r="AF1661" s="781">
        <f>$S$1*P!AF1661</f>
        <v>16.520161290322584</v>
      </c>
    </row>
    <row r="1662" spans="19:32" x14ac:dyDescent="0.35">
      <c r="S1662" s="881">
        <v>1658</v>
      </c>
      <c r="T1662" s="881" t="s">
        <v>4284</v>
      </c>
      <c r="U1662" s="881" t="s">
        <v>4491</v>
      </c>
      <c r="V1662" s="883">
        <f>$S$1*P!V1662</f>
        <v>1.5389112903225808</v>
      </c>
      <c r="W1662" s="780"/>
      <c r="X1662" s="782">
        <v>1658</v>
      </c>
      <c r="Y1662" s="782" t="s">
        <v>2248</v>
      </c>
      <c r="Z1662" s="782" t="s">
        <v>4701</v>
      </c>
      <c r="AA1662" s="781">
        <f>$S$1*P!AA1662</f>
        <v>2.1112903225806452E-2</v>
      </c>
      <c r="AB1662" s="780"/>
      <c r="AC1662" s="881">
        <v>1658</v>
      </c>
      <c r="AD1662" s="881" t="s">
        <v>4573</v>
      </c>
      <c r="AE1662" s="881" t="s">
        <v>3158</v>
      </c>
      <c r="AF1662" s="882">
        <f>$S$1*P!AF1662</f>
        <v>460.92</v>
      </c>
    </row>
    <row r="1663" spans="19:32" x14ac:dyDescent="0.35">
      <c r="S1663" s="881">
        <v>1659</v>
      </c>
      <c r="T1663" s="881" t="s">
        <v>4284</v>
      </c>
      <c r="U1663" s="881" t="s">
        <v>3215</v>
      </c>
      <c r="V1663" s="883">
        <f>$S$1*P!V1663</f>
        <v>0</v>
      </c>
      <c r="W1663" s="780"/>
      <c r="X1663" s="782">
        <v>1659</v>
      </c>
      <c r="Y1663" s="782" t="s">
        <v>2248</v>
      </c>
      <c r="Z1663" s="782" t="s">
        <v>4700</v>
      </c>
      <c r="AA1663" s="781">
        <f>$S$1*P!AA1663</f>
        <v>0.65806451612903227</v>
      </c>
      <c r="AB1663" s="780"/>
      <c r="AC1663" s="881">
        <v>1659</v>
      </c>
      <c r="AD1663" s="881" t="s">
        <v>4573</v>
      </c>
      <c r="AE1663" s="881" t="s">
        <v>4205</v>
      </c>
      <c r="AF1663" s="890">
        <f>$S$1*P!AF1663</f>
        <v>0.12544354838709679</v>
      </c>
    </row>
    <row r="1664" spans="19:32" x14ac:dyDescent="0.35">
      <c r="S1664" s="881">
        <v>1660</v>
      </c>
      <c r="T1664" s="881" t="s">
        <v>4284</v>
      </c>
      <c r="U1664" s="881" t="s">
        <v>3214</v>
      </c>
      <c r="V1664" s="883">
        <f>$S$1*P!V1664</f>
        <v>1.6008</v>
      </c>
      <c r="W1664" s="780"/>
      <c r="X1664" s="782">
        <v>1660</v>
      </c>
      <c r="Y1664" s="782" t="s">
        <v>2248</v>
      </c>
      <c r="Z1664" s="782" t="s">
        <v>4699</v>
      </c>
      <c r="AA1664" s="781">
        <f>$S$1*P!AA1664</f>
        <v>4.0100806451612905E-4</v>
      </c>
      <c r="AB1664" s="780"/>
      <c r="AC1664" s="881">
        <v>1660</v>
      </c>
      <c r="AD1664" s="881" t="s">
        <v>4573</v>
      </c>
      <c r="AE1664" s="881" t="s">
        <v>4204</v>
      </c>
      <c r="AF1664" s="890">
        <f>$S$1*P!AF1664</f>
        <v>0.45584677419354841</v>
      </c>
    </row>
    <row r="1665" spans="19:32" x14ac:dyDescent="0.35">
      <c r="S1665" s="782">
        <v>1661</v>
      </c>
      <c r="T1665" s="782" t="s">
        <v>4284</v>
      </c>
      <c r="U1665" s="782" t="s">
        <v>4486</v>
      </c>
      <c r="V1665" s="797">
        <f>$S$1*P!V1665</f>
        <v>124.75806451612904</v>
      </c>
      <c r="W1665" s="780"/>
      <c r="X1665" s="782">
        <v>1661</v>
      </c>
      <c r="Y1665" s="782" t="s">
        <v>2248</v>
      </c>
      <c r="Z1665" s="782" t="s">
        <v>5320</v>
      </c>
      <c r="AA1665" s="781">
        <f>$S$1*P!AA1665</f>
        <v>6.2721774193548394E-2</v>
      </c>
      <c r="AB1665" s="780"/>
      <c r="AC1665" s="881">
        <v>1661</v>
      </c>
      <c r="AD1665" s="881" t="s">
        <v>4573</v>
      </c>
      <c r="AE1665" s="881" t="s">
        <v>4203</v>
      </c>
      <c r="AF1665" s="890">
        <f>$S$1*P!AF1665</f>
        <v>3.495967741935484</v>
      </c>
    </row>
    <row r="1666" spans="19:32" x14ac:dyDescent="0.35">
      <c r="S1666" s="881">
        <v>1662</v>
      </c>
      <c r="T1666" s="881" t="s">
        <v>4284</v>
      </c>
      <c r="U1666" s="881" t="s">
        <v>4482</v>
      </c>
      <c r="V1666" s="883">
        <f>$S$1*P!V1666</f>
        <v>4.6612903225806458E-5</v>
      </c>
      <c r="W1666" s="780"/>
      <c r="X1666" s="782">
        <v>1662</v>
      </c>
      <c r="Y1666" s="782" t="s">
        <v>2248</v>
      </c>
      <c r="Z1666" s="782" t="s">
        <v>4698</v>
      </c>
      <c r="AA1666" s="781">
        <f>$S$1*P!AA1666</f>
        <v>2.6665322580645165E-5</v>
      </c>
      <c r="AB1666" s="780"/>
      <c r="AC1666" s="881">
        <v>1662</v>
      </c>
      <c r="AD1666" s="881" t="s">
        <v>4573</v>
      </c>
      <c r="AE1666" s="881" t="s">
        <v>4201</v>
      </c>
      <c r="AF1666" s="890">
        <f>$S$1*P!AF1666</f>
        <v>5.3810483870967749E-2</v>
      </c>
    </row>
    <row r="1667" spans="19:32" x14ac:dyDescent="0.35">
      <c r="S1667" s="782">
        <v>1663</v>
      </c>
      <c r="T1667" s="782" t="s">
        <v>4284</v>
      </c>
      <c r="U1667" s="782" t="s">
        <v>3212</v>
      </c>
      <c r="V1667" s="797">
        <f>$S$1*P!V1667</f>
        <v>8.7056451612903235E-2</v>
      </c>
      <c r="W1667" s="780"/>
      <c r="X1667" s="782">
        <v>1663</v>
      </c>
      <c r="Y1667" s="782" t="s">
        <v>2248</v>
      </c>
      <c r="Z1667" s="782" t="s">
        <v>4696</v>
      </c>
      <c r="AA1667" s="781">
        <f>$S$1*P!AA1667</f>
        <v>2.6870967741935484E-2</v>
      </c>
      <c r="AB1667" s="780"/>
      <c r="AC1667" s="782">
        <v>1663</v>
      </c>
      <c r="AD1667" s="782" t="s">
        <v>4573</v>
      </c>
      <c r="AE1667" s="782" t="s">
        <v>4200</v>
      </c>
      <c r="AF1667" s="781">
        <f>$S$1*P!AF1667</f>
        <v>7.9173387096774205E-3</v>
      </c>
    </row>
    <row r="1668" spans="19:32" x14ac:dyDescent="0.35">
      <c r="S1668" s="881">
        <v>1664</v>
      </c>
      <c r="T1668" s="881" t="s">
        <v>4284</v>
      </c>
      <c r="U1668" s="881" t="s">
        <v>3212</v>
      </c>
      <c r="V1668" s="883">
        <f>$S$1*P!V1668</f>
        <v>0</v>
      </c>
      <c r="W1668" s="780"/>
      <c r="X1668" s="782">
        <v>1664</v>
      </c>
      <c r="Y1668" s="782" t="s">
        <v>2248</v>
      </c>
      <c r="Z1668" s="782" t="s">
        <v>5319</v>
      </c>
      <c r="AA1668" s="781">
        <f>$S$1*P!AA1668</f>
        <v>2.1764112903225807E-3</v>
      </c>
      <c r="AB1668" s="780"/>
      <c r="AC1668" s="881">
        <v>1664</v>
      </c>
      <c r="AD1668" s="881" t="s">
        <v>4573</v>
      </c>
      <c r="AE1668" s="881" t="s">
        <v>3156</v>
      </c>
      <c r="AF1668" s="882">
        <f>$S$1*P!AF1668</f>
        <v>0</v>
      </c>
    </row>
    <row r="1669" spans="19:32" x14ac:dyDescent="0.35">
      <c r="S1669" s="881">
        <v>1665</v>
      </c>
      <c r="T1669" s="881" t="s">
        <v>4284</v>
      </c>
      <c r="U1669" s="881" t="s">
        <v>3210</v>
      </c>
      <c r="V1669" s="883">
        <f>$S$1*P!V1669</f>
        <v>2.2004032258064517E-3</v>
      </c>
      <c r="W1669" s="780"/>
      <c r="X1669" s="782">
        <v>1665</v>
      </c>
      <c r="Y1669" s="782" t="s">
        <v>2248</v>
      </c>
      <c r="Z1669" s="782" t="s">
        <v>4695</v>
      </c>
      <c r="AA1669" s="781">
        <f>$S$1*P!AA1669</f>
        <v>5.5181451612903226E-3</v>
      </c>
      <c r="AB1669" s="780"/>
      <c r="AC1669" s="881">
        <v>1665</v>
      </c>
      <c r="AD1669" s="881" t="s">
        <v>4573</v>
      </c>
      <c r="AE1669" s="881" t="s">
        <v>3155</v>
      </c>
      <c r="AF1669" s="890">
        <f>$S$1*P!AF1669</f>
        <v>21.25</v>
      </c>
    </row>
    <row r="1670" spans="19:32" x14ac:dyDescent="0.35">
      <c r="S1670" s="881">
        <v>1666</v>
      </c>
      <c r="T1670" s="881" t="s">
        <v>4284</v>
      </c>
      <c r="U1670" s="881" t="s">
        <v>3210</v>
      </c>
      <c r="V1670" s="883">
        <f>$S$1*P!V1670</f>
        <v>1.0488000000000002</v>
      </c>
      <c r="W1670" s="780"/>
      <c r="X1670" s="782">
        <v>1666</v>
      </c>
      <c r="Y1670" s="782" t="s">
        <v>2248</v>
      </c>
      <c r="Z1670" s="782" t="s">
        <v>4694</v>
      </c>
      <c r="AA1670" s="781">
        <f>$S$1*P!AA1670</f>
        <v>9.5625000000000007E-4</v>
      </c>
      <c r="AB1670" s="780"/>
      <c r="AC1670" s="881">
        <v>1666</v>
      </c>
      <c r="AD1670" s="881" t="s">
        <v>4573</v>
      </c>
      <c r="AE1670" s="881" t="s">
        <v>3155</v>
      </c>
      <c r="AF1670" s="882">
        <f>$S$1*P!AF1670</f>
        <v>7856.8000000000011</v>
      </c>
    </row>
    <row r="1671" spans="19:32" x14ac:dyDescent="0.35">
      <c r="S1671" s="782">
        <v>1667</v>
      </c>
      <c r="T1671" s="782" t="s">
        <v>4284</v>
      </c>
      <c r="U1671" s="782" t="s">
        <v>4470</v>
      </c>
      <c r="V1671" s="797">
        <f>$S$1*P!V1671</f>
        <v>2.5054435483870969E-4</v>
      </c>
      <c r="W1671" s="780"/>
      <c r="X1671" s="782">
        <v>1667</v>
      </c>
      <c r="Y1671" s="782" t="s">
        <v>2248</v>
      </c>
      <c r="Z1671" s="782" t="s">
        <v>5318</v>
      </c>
      <c r="AA1671" s="781">
        <f>$S$1*P!AA1671</f>
        <v>4.2157258064516132E-2</v>
      </c>
      <c r="AB1671" s="780"/>
      <c r="AC1671" s="782">
        <v>1667</v>
      </c>
      <c r="AD1671" s="782" t="s">
        <v>4573</v>
      </c>
      <c r="AE1671" s="782" t="s">
        <v>4198</v>
      </c>
      <c r="AF1671" s="781">
        <f>$S$1*P!AF1671</f>
        <v>0.31120967741935485</v>
      </c>
    </row>
    <row r="1672" spans="19:32" x14ac:dyDescent="0.35">
      <c r="S1672" s="881">
        <v>1668</v>
      </c>
      <c r="T1672" s="881" t="s">
        <v>4284</v>
      </c>
      <c r="U1672" s="881" t="s">
        <v>4466</v>
      </c>
      <c r="V1672" s="883">
        <f>$S$1*P!V1672</f>
        <v>2.7487903225806454E-2</v>
      </c>
      <c r="W1672" s="780"/>
      <c r="X1672" s="782">
        <v>1668</v>
      </c>
      <c r="Y1672" s="782" t="s">
        <v>2248</v>
      </c>
      <c r="Z1672" s="782" t="s">
        <v>4689</v>
      </c>
      <c r="AA1672" s="781">
        <f>$S$1*P!AA1672</f>
        <v>1.4120967741935485E-4</v>
      </c>
      <c r="AB1672" s="780"/>
      <c r="AC1672" s="881">
        <v>1668</v>
      </c>
      <c r="AD1672" s="881" t="s">
        <v>4573</v>
      </c>
      <c r="AE1672" s="881" t="s">
        <v>4196</v>
      </c>
      <c r="AF1672" s="890">
        <f>$S$1*P!AF1672</f>
        <v>1.6143145161290325E-3</v>
      </c>
    </row>
    <row r="1673" spans="19:32" x14ac:dyDescent="0.35">
      <c r="S1673" s="881">
        <v>1669</v>
      </c>
      <c r="T1673" s="881" t="s">
        <v>4284</v>
      </c>
      <c r="U1673" s="881" t="s">
        <v>3209</v>
      </c>
      <c r="V1673" s="883">
        <f>$S$1*P!V1673</f>
        <v>2.8611999999999997</v>
      </c>
      <c r="W1673" s="780"/>
      <c r="X1673" s="881">
        <v>1669</v>
      </c>
      <c r="Y1673" s="881" t="s">
        <v>2248</v>
      </c>
      <c r="Z1673" s="881" t="s">
        <v>4688</v>
      </c>
      <c r="AA1673" s="882">
        <f>$S$1*P!AA1673</f>
        <v>2.9304435483870975E-4</v>
      </c>
      <c r="AB1673" s="780"/>
      <c r="AC1673" s="782">
        <v>1669</v>
      </c>
      <c r="AD1673" s="782" t="s">
        <v>4573</v>
      </c>
      <c r="AE1673" s="782" t="s">
        <v>4195</v>
      </c>
      <c r="AF1673" s="781">
        <f>$S$1*P!AF1673</f>
        <v>9.973790322580646E-3</v>
      </c>
    </row>
    <row r="1674" spans="19:32" x14ac:dyDescent="0.35">
      <c r="S1674" s="881">
        <v>1670</v>
      </c>
      <c r="T1674" s="881" t="s">
        <v>4284</v>
      </c>
      <c r="U1674" s="881" t="s">
        <v>4462</v>
      </c>
      <c r="V1674" s="883">
        <f>$S$1*P!V1674</f>
        <v>6.7520161290322587E-6</v>
      </c>
      <c r="W1674" s="780"/>
      <c r="X1674" s="782">
        <v>1670</v>
      </c>
      <c r="Y1674" s="782" t="s">
        <v>2248</v>
      </c>
      <c r="Z1674" s="782" t="s">
        <v>4687</v>
      </c>
      <c r="AA1674" s="781">
        <f>$S$1*P!AA1674</f>
        <v>0.13195564516129032</v>
      </c>
      <c r="AB1674" s="780"/>
      <c r="AC1674" s="881">
        <v>1670</v>
      </c>
      <c r="AD1674" s="881" t="s">
        <v>4573</v>
      </c>
      <c r="AE1674" s="881" t="s">
        <v>4192</v>
      </c>
      <c r="AF1674" s="890">
        <f>$S$1*P!AF1674</f>
        <v>1.038508064516129E-4</v>
      </c>
    </row>
    <row r="1675" spans="19:32" x14ac:dyDescent="0.35">
      <c r="S1675" s="881">
        <v>1671</v>
      </c>
      <c r="T1675" s="881" t="s">
        <v>4284</v>
      </c>
      <c r="U1675" s="881" t="s">
        <v>4457</v>
      </c>
      <c r="V1675" s="883">
        <f>$S$1*P!V1675</f>
        <v>7.129032258064516E-2</v>
      </c>
      <c r="W1675" s="780"/>
      <c r="X1675" s="782">
        <v>1671</v>
      </c>
      <c r="Y1675" s="782" t="s">
        <v>2248</v>
      </c>
      <c r="Z1675" s="782" t="s">
        <v>5317</v>
      </c>
      <c r="AA1675" s="781">
        <f>$S$1*P!AA1675</f>
        <v>1.3401209677419356E-2</v>
      </c>
      <c r="AB1675" s="780"/>
      <c r="AC1675" s="881">
        <v>1671</v>
      </c>
      <c r="AD1675" s="881" t="s">
        <v>4573</v>
      </c>
      <c r="AE1675" s="881" t="s">
        <v>3153</v>
      </c>
      <c r="AF1675" s="890">
        <f>$S$1*P!AF1675</f>
        <v>3.2697580645161296E-2</v>
      </c>
    </row>
    <row r="1676" spans="19:32" x14ac:dyDescent="0.35">
      <c r="S1676" s="881">
        <v>1672</v>
      </c>
      <c r="T1676" s="881" t="s">
        <v>4284</v>
      </c>
      <c r="U1676" s="881" t="s">
        <v>4453</v>
      </c>
      <c r="V1676" s="883">
        <f>$S$1*P!V1676</f>
        <v>1.8473790322580646E-3</v>
      </c>
      <c r="W1676" s="780"/>
      <c r="X1676" s="881">
        <v>1672</v>
      </c>
      <c r="Y1676" s="881" t="s">
        <v>2248</v>
      </c>
      <c r="Z1676" s="881" t="s">
        <v>3345</v>
      </c>
      <c r="AA1676" s="882">
        <f>$S$1*P!AA1676</f>
        <v>1.3984E-2</v>
      </c>
      <c r="AB1676" s="780"/>
      <c r="AC1676" s="881">
        <v>1672</v>
      </c>
      <c r="AD1676" s="881" t="s">
        <v>4573</v>
      </c>
      <c r="AE1676" s="881" t="s">
        <v>3153</v>
      </c>
      <c r="AF1676" s="882">
        <f>$S$1*P!AF1676</f>
        <v>0</v>
      </c>
    </row>
    <row r="1677" spans="19:32" x14ac:dyDescent="0.35">
      <c r="S1677" s="782">
        <v>1673</v>
      </c>
      <c r="T1677" s="782" t="s">
        <v>4284</v>
      </c>
      <c r="U1677" s="782" t="s">
        <v>3207</v>
      </c>
      <c r="V1677" s="797">
        <f>$S$1*P!V1677</f>
        <v>5.7580645161290328E-2</v>
      </c>
      <c r="W1677" s="780"/>
      <c r="X1677" s="881">
        <v>1673</v>
      </c>
      <c r="Y1677" s="881" t="s">
        <v>2248</v>
      </c>
      <c r="Z1677" s="881" t="s">
        <v>3345</v>
      </c>
      <c r="AA1677" s="882">
        <f>$S$1*P!AA1677</f>
        <v>4.3185483870967746E-4</v>
      </c>
      <c r="AB1677" s="780"/>
      <c r="AC1677" s="881">
        <v>1673</v>
      </c>
      <c r="AD1677" s="881" t="s">
        <v>4573</v>
      </c>
      <c r="AE1677" s="881" t="s">
        <v>4187</v>
      </c>
      <c r="AF1677" s="890">
        <f>$S$1*P!AF1677</f>
        <v>5.2782258064516131E-3</v>
      </c>
    </row>
    <row r="1678" spans="19:32" x14ac:dyDescent="0.35">
      <c r="S1678" s="881">
        <v>1674</v>
      </c>
      <c r="T1678" s="881" t="s">
        <v>4284</v>
      </c>
      <c r="U1678" s="881" t="s">
        <v>3207</v>
      </c>
      <c r="V1678" s="883">
        <f>$S$1*P!V1678</f>
        <v>0</v>
      </c>
      <c r="W1678" s="780"/>
      <c r="X1678" s="782">
        <v>1674</v>
      </c>
      <c r="Y1678" s="782" t="s">
        <v>2248</v>
      </c>
      <c r="Z1678" s="782" t="s">
        <v>5316</v>
      </c>
      <c r="AA1678" s="781">
        <f>$S$1*P!AA1678</f>
        <v>2.6288306451612904E-2</v>
      </c>
      <c r="AB1678" s="780"/>
      <c r="AC1678" s="881">
        <v>1674</v>
      </c>
      <c r="AD1678" s="881" t="s">
        <v>4573</v>
      </c>
      <c r="AE1678" s="881" t="s">
        <v>4186</v>
      </c>
      <c r="AF1678" s="890">
        <f>$S$1*P!AF1678</f>
        <v>0.19981854838709678</v>
      </c>
    </row>
    <row r="1679" spans="19:32" x14ac:dyDescent="0.35">
      <c r="S1679" s="891">
        <v>1675</v>
      </c>
      <c r="T1679" s="891" t="s">
        <v>4284</v>
      </c>
      <c r="U1679" s="892" t="s">
        <v>4443</v>
      </c>
      <c r="V1679" s="893">
        <f>$S$1*P!V1679</f>
        <v>4.5207499999999996</v>
      </c>
      <c r="W1679" s="780"/>
      <c r="X1679" s="782">
        <v>1675</v>
      </c>
      <c r="Y1679" s="782" t="s">
        <v>2248</v>
      </c>
      <c r="Z1679" s="782" t="s">
        <v>4683</v>
      </c>
      <c r="AA1679" s="781">
        <f>$S$1*P!AA1679</f>
        <v>4.8326612903225813E-3</v>
      </c>
      <c r="AB1679" s="780"/>
      <c r="AC1679" s="782">
        <v>1675</v>
      </c>
      <c r="AD1679" s="782" t="s">
        <v>4573</v>
      </c>
      <c r="AE1679" s="782" t="s">
        <v>4182</v>
      </c>
      <c r="AF1679" s="781">
        <f>$S$1*P!AF1679</f>
        <v>4.4899193548387098E-3</v>
      </c>
    </row>
    <row r="1680" spans="19:32" x14ac:dyDescent="0.35">
      <c r="S1680" s="881">
        <v>1676</v>
      </c>
      <c r="T1680" s="881" t="s">
        <v>4284</v>
      </c>
      <c r="U1680" s="881" t="s">
        <v>4443</v>
      </c>
      <c r="V1680" s="883">
        <f>$S$1*P!V1680</f>
        <v>2.6288306451612906E-6</v>
      </c>
      <c r="W1680" s="780"/>
      <c r="X1680" s="881">
        <v>1676</v>
      </c>
      <c r="Y1680" s="881" t="s">
        <v>2248</v>
      </c>
      <c r="Z1680" s="881" t="s">
        <v>4678</v>
      </c>
      <c r="AA1680" s="882">
        <f>$S$1*P!AA1680</f>
        <v>2.7179435483870971E-5</v>
      </c>
      <c r="AB1680" s="780"/>
      <c r="AC1680" s="881">
        <v>1676</v>
      </c>
      <c r="AD1680" s="881" t="s">
        <v>4573</v>
      </c>
      <c r="AE1680" s="881" t="s">
        <v>4179</v>
      </c>
      <c r="AF1680" s="890">
        <f>$S$1*P!AF1680</f>
        <v>3.7701612903225808E-3</v>
      </c>
    </row>
    <row r="1681" spans="19:32" x14ac:dyDescent="0.35">
      <c r="S1681" s="782">
        <v>1677</v>
      </c>
      <c r="T1681" s="782" t="s">
        <v>4284</v>
      </c>
      <c r="U1681" s="782" t="s">
        <v>4437</v>
      </c>
      <c r="V1681" s="797">
        <f>$S$1*P!V1681</f>
        <v>6.0665322580645163E-3</v>
      </c>
      <c r="W1681" s="780"/>
      <c r="X1681" s="782">
        <v>1677</v>
      </c>
      <c r="Y1681" s="782" t="s">
        <v>2248</v>
      </c>
      <c r="Z1681" s="782" t="s">
        <v>5315</v>
      </c>
      <c r="AA1681" s="781">
        <f>$S$1*P!AA1681</f>
        <v>2.0838709677419357E-2</v>
      </c>
      <c r="AB1681" s="780"/>
      <c r="AC1681" s="782">
        <v>1677</v>
      </c>
      <c r="AD1681" s="782" t="s">
        <v>4573</v>
      </c>
      <c r="AE1681" s="782" t="s">
        <v>3151</v>
      </c>
      <c r="AF1681" s="781">
        <f>$S$1*P!AF1681</f>
        <v>0.43528225806451615</v>
      </c>
    </row>
    <row r="1682" spans="19:32" x14ac:dyDescent="0.35">
      <c r="S1682" s="881">
        <v>1678</v>
      </c>
      <c r="T1682" s="881" t="s">
        <v>4284</v>
      </c>
      <c r="U1682" s="881" t="s">
        <v>4432</v>
      </c>
      <c r="V1682" s="883">
        <f>$S$1*P!V1682</f>
        <v>1.3606854838709679E-4</v>
      </c>
      <c r="W1682" s="780"/>
      <c r="X1682" s="782">
        <v>1678</v>
      </c>
      <c r="Y1682" s="782" t="s">
        <v>2248</v>
      </c>
      <c r="Z1682" s="782" t="s">
        <v>4675</v>
      </c>
      <c r="AA1682" s="781">
        <f>$S$1*P!AA1682</f>
        <v>6.6491935483870973E-3</v>
      </c>
      <c r="AB1682" s="780"/>
      <c r="AC1682" s="881">
        <v>1678</v>
      </c>
      <c r="AD1682" s="881" t="s">
        <v>4573</v>
      </c>
      <c r="AE1682" s="881" t="s">
        <v>3151</v>
      </c>
      <c r="AF1682" s="882">
        <f>$S$1*P!AF1682</f>
        <v>0</v>
      </c>
    </row>
    <row r="1683" spans="19:32" x14ac:dyDescent="0.35">
      <c r="S1683" s="881">
        <v>1679</v>
      </c>
      <c r="T1683" s="881" t="s">
        <v>4284</v>
      </c>
      <c r="U1683" s="881" t="s">
        <v>3206</v>
      </c>
      <c r="V1683" s="883">
        <f>$S$1*P!V1683</f>
        <v>12.603999999999999</v>
      </c>
      <c r="W1683" s="780"/>
      <c r="X1683" s="894">
        <v>1679</v>
      </c>
      <c r="Y1683" s="894" t="s">
        <v>2248</v>
      </c>
      <c r="Z1683" s="894" t="s">
        <v>4673</v>
      </c>
      <c r="AA1683" s="895">
        <f>$S$1*P!AA1683</f>
        <v>1.501209677419355E-4</v>
      </c>
      <c r="AB1683" s="780"/>
      <c r="AC1683" s="881">
        <v>1679</v>
      </c>
      <c r="AD1683" s="881" t="s">
        <v>4573</v>
      </c>
      <c r="AE1683" s="881" t="s">
        <v>3150</v>
      </c>
      <c r="AF1683" s="890">
        <f>$S$1*P!AF1683</f>
        <v>2.5945564516129036E-5</v>
      </c>
    </row>
    <row r="1684" spans="19:32" x14ac:dyDescent="0.35">
      <c r="S1684" s="782">
        <v>1680</v>
      </c>
      <c r="T1684" s="782" t="s">
        <v>4284</v>
      </c>
      <c r="U1684" s="782" t="s">
        <v>3204</v>
      </c>
      <c r="V1684" s="797">
        <f>$S$1*P!V1684</f>
        <v>2.1250000000000002E-4</v>
      </c>
      <c r="W1684" s="780"/>
      <c r="X1684" s="881">
        <v>1680</v>
      </c>
      <c r="Y1684" s="881" t="s">
        <v>2248</v>
      </c>
      <c r="Z1684" s="881" t="s">
        <v>4671</v>
      </c>
      <c r="AA1684" s="882">
        <f>$S$1*P!AA1684</f>
        <v>2.0564516129032259E-3</v>
      </c>
      <c r="AB1684" s="780"/>
      <c r="AC1684" s="881">
        <v>1680</v>
      </c>
      <c r="AD1684" s="881" t="s">
        <v>4573</v>
      </c>
      <c r="AE1684" s="881" t="s">
        <v>3150</v>
      </c>
      <c r="AF1684" s="882">
        <f>$S$1*P!AF1684</f>
        <v>1.5179999999999999E-2</v>
      </c>
    </row>
    <row r="1685" spans="19:32" x14ac:dyDescent="0.35">
      <c r="S1685" s="881">
        <v>1681</v>
      </c>
      <c r="T1685" s="881" t="s">
        <v>4284</v>
      </c>
      <c r="U1685" s="881" t="s">
        <v>3204</v>
      </c>
      <c r="V1685" s="883">
        <f>$S$1*P!V1685</f>
        <v>0</v>
      </c>
      <c r="W1685" s="780"/>
      <c r="X1685" s="782">
        <v>1681</v>
      </c>
      <c r="Y1685" s="782" t="s">
        <v>2248</v>
      </c>
      <c r="Z1685" s="782" t="s">
        <v>5314</v>
      </c>
      <c r="AA1685" s="781">
        <f>$S$1*P!AA1685</f>
        <v>2.8756048387096778E-4</v>
      </c>
      <c r="AB1685" s="780"/>
      <c r="AC1685" s="782">
        <v>1681</v>
      </c>
      <c r="AD1685" s="782" t="s">
        <v>4573</v>
      </c>
      <c r="AE1685" s="782" t="s">
        <v>4177</v>
      </c>
      <c r="AF1685" s="781">
        <f>$S$1*P!AF1685</f>
        <v>2.7590725806451613E-3</v>
      </c>
    </row>
    <row r="1686" spans="19:32" x14ac:dyDescent="0.35">
      <c r="S1686" s="881">
        <v>1682</v>
      </c>
      <c r="T1686" s="881" t="s">
        <v>4284</v>
      </c>
      <c r="U1686" s="881" t="s">
        <v>4420</v>
      </c>
      <c r="V1686" s="883">
        <f>$S$1*P!V1686</f>
        <v>6.1350806451612909E-3</v>
      </c>
      <c r="W1686" s="780"/>
      <c r="X1686" s="881">
        <v>1682</v>
      </c>
      <c r="Y1686" s="881" t="s">
        <v>2248</v>
      </c>
      <c r="Z1686" s="881" t="s">
        <v>4669</v>
      </c>
      <c r="AA1686" s="882">
        <f>$S$1*P!AA1686</f>
        <v>0.13572580645161292</v>
      </c>
      <c r="AB1686" s="780"/>
      <c r="AC1686" s="881">
        <v>1682</v>
      </c>
      <c r="AD1686" s="881" t="s">
        <v>4573</v>
      </c>
      <c r="AE1686" s="881" t="s">
        <v>4176</v>
      </c>
      <c r="AF1686" s="890">
        <f>$S$1*P!AF1686</f>
        <v>3.331451612903226E-3</v>
      </c>
    </row>
    <row r="1687" spans="19:32" x14ac:dyDescent="0.35">
      <c r="S1687" s="881">
        <v>1683</v>
      </c>
      <c r="T1687" s="881" t="s">
        <v>4284</v>
      </c>
      <c r="U1687" s="881" t="s">
        <v>3203</v>
      </c>
      <c r="V1687" s="883">
        <f>$S$1*P!V1687</f>
        <v>0.1028225806451613</v>
      </c>
      <c r="W1687" s="780"/>
      <c r="X1687" s="881">
        <v>1683</v>
      </c>
      <c r="Y1687" s="881" t="s">
        <v>2248</v>
      </c>
      <c r="Z1687" s="881" t="s">
        <v>4668</v>
      </c>
      <c r="AA1687" s="882">
        <f>$S$1*P!AA1687</f>
        <v>6.7520161290322584E-4</v>
      </c>
      <c r="AB1687" s="780"/>
      <c r="AC1687" s="881">
        <v>1683</v>
      </c>
      <c r="AD1687" s="881" t="s">
        <v>4573</v>
      </c>
      <c r="AE1687" s="881" t="s">
        <v>4175</v>
      </c>
      <c r="AF1687" s="890">
        <f>$S$1*P!AF1687</f>
        <v>1.3572580645161293E-3</v>
      </c>
    </row>
    <row r="1688" spans="19:32" x14ac:dyDescent="0.35">
      <c r="S1688" s="881">
        <v>1684</v>
      </c>
      <c r="T1688" s="881" t="s">
        <v>4284</v>
      </c>
      <c r="U1688" s="881" t="s">
        <v>3203</v>
      </c>
      <c r="V1688" s="883">
        <f>$S$1*P!V1688</f>
        <v>7.9488000000000003</v>
      </c>
      <c r="W1688" s="780"/>
      <c r="X1688" s="782">
        <v>1684</v>
      </c>
      <c r="Y1688" s="782" t="s">
        <v>2248</v>
      </c>
      <c r="Z1688" s="782" t="s">
        <v>5313</v>
      </c>
      <c r="AA1688" s="781">
        <f>$S$1*P!AA1688</f>
        <v>1.4326612903225807E-2</v>
      </c>
      <c r="AB1688" s="780"/>
      <c r="AC1688" s="881">
        <v>1684</v>
      </c>
      <c r="AD1688" s="881" t="s">
        <v>4573</v>
      </c>
      <c r="AE1688" s="881" t="s">
        <v>4174</v>
      </c>
      <c r="AF1688" s="890">
        <f>$S$1*P!AF1688</f>
        <v>8.9455645161290334E-4</v>
      </c>
    </row>
    <row r="1689" spans="19:32" x14ac:dyDescent="0.35">
      <c r="S1689" s="881">
        <v>1685</v>
      </c>
      <c r="T1689" s="881" t="s">
        <v>4284</v>
      </c>
      <c r="U1689" s="881" t="s">
        <v>4415</v>
      </c>
      <c r="V1689" s="883">
        <f>$S$1*P!V1689</f>
        <v>6.2036290322580647E-3</v>
      </c>
      <c r="W1689" s="780"/>
      <c r="X1689" s="881">
        <v>1685</v>
      </c>
      <c r="Y1689" s="881" t="s">
        <v>2248</v>
      </c>
      <c r="Z1689" s="881" t="s">
        <v>3344</v>
      </c>
      <c r="AA1689" s="882">
        <f>$S$1*P!AA1689</f>
        <v>100.28</v>
      </c>
      <c r="AB1689" s="780"/>
      <c r="AC1689" s="881">
        <v>1685</v>
      </c>
      <c r="AD1689" s="881" t="s">
        <v>4573</v>
      </c>
      <c r="AE1689" s="881" t="s">
        <v>4172</v>
      </c>
      <c r="AF1689" s="890">
        <f>$S$1*P!AF1689</f>
        <v>3.0332661290322582E-2</v>
      </c>
    </row>
    <row r="1690" spans="19:32" x14ac:dyDescent="0.35">
      <c r="S1690" s="881">
        <v>1686</v>
      </c>
      <c r="T1690" s="881" t="s">
        <v>4284</v>
      </c>
      <c r="U1690" s="881" t="s">
        <v>4413</v>
      </c>
      <c r="V1690" s="883">
        <f>$S$1*P!V1690</f>
        <v>7.0262096774193543E-5</v>
      </c>
      <c r="W1690" s="780"/>
      <c r="X1690" s="782">
        <v>1686</v>
      </c>
      <c r="Y1690" s="782" t="s">
        <v>2248</v>
      </c>
      <c r="Z1690" s="782" t="s">
        <v>4667</v>
      </c>
      <c r="AA1690" s="781">
        <f>$S$1*P!AA1690</f>
        <v>0.92197580645161292</v>
      </c>
      <c r="AB1690" s="780"/>
      <c r="AC1690" s="782">
        <v>1686</v>
      </c>
      <c r="AD1690" s="782" t="s">
        <v>4573</v>
      </c>
      <c r="AE1690" s="782" t="s">
        <v>3148</v>
      </c>
      <c r="AF1690" s="781">
        <f>$S$1*P!AF1690</f>
        <v>5.997983870967742</v>
      </c>
    </row>
    <row r="1691" spans="19:32" x14ac:dyDescent="0.35">
      <c r="S1691" s="782">
        <v>1687</v>
      </c>
      <c r="T1691" s="782" t="s">
        <v>4284</v>
      </c>
      <c r="U1691" s="782" t="s">
        <v>4412</v>
      </c>
      <c r="V1691" s="797">
        <f>$S$1*P!V1691</f>
        <v>1.3024193548387097E-4</v>
      </c>
      <c r="W1691" s="780"/>
      <c r="X1691" s="881">
        <v>1687</v>
      </c>
      <c r="Y1691" s="881" t="s">
        <v>2248</v>
      </c>
      <c r="Z1691" s="881" t="s">
        <v>4666</v>
      </c>
      <c r="AA1691" s="882">
        <f>$S$1*P!AA1691</f>
        <v>1.0145161290322582E-2</v>
      </c>
      <c r="AB1691" s="780"/>
      <c r="AC1691" s="881">
        <v>1687</v>
      </c>
      <c r="AD1691" s="881" t="s">
        <v>4573</v>
      </c>
      <c r="AE1691" s="881" t="s">
        <v>3148</v>
      </c>
      <c r="AF1691" s="882">
        <f>$S$1*P!AF1691</f>
        <v>20240</v>
      </c>
    </row>
    <row r="1692" spans="19:32" x14ac:dyDescent="0.35">
      <c r="S1692" s="881">
        <v>1688</v>
      </c>
      <c r="T1692" s="881" t="s">
        <v>4284</v>
      </c>
      <c r="U1692" s="881" t="s">
        <v>4410</v>
      </c>
      <c r="V1692" s="883">
        <f>$S$1*P!V1692</f>
        <v>6.2379032258064522E-2</v>
      </c>
      <c r="W1692" s="780"/>
      <c r="X1692" s="782">
        <v>1688</v>
      </c>
      <c r="Y1692" s="782" t="s">
        <v>2248</v>
      </c>
      <c r="Z1692" s="782" t="s">
        <v>5312</v>
      </c>
      <c r="AA1692" s="781">
        <f>$S$1*P!AA1692</f>
        <v>4.72983870967742E-4</v>
      </c>
      <c r="AB1692" s="780"/>
      <c r="AC1692" s="881">
        <v>1688</v>
      </c>
      <c r="AD1692" s="881" t="s">
        <v>4573</v>
      </c>
      <c r="AE1692" s="881" t="s">
        <v>4169</v>
      </c>
      <c r="AF1692" s="890">
        <f>$S$1*P!AF1692</f>
        <v>0.94939516129032264</v>
      </c>
    </row>
    <row r="1693" spans="19:32" x14ac:dyDescent="0.35">
      <c r="S1693" s="782">
        <v>1689</v>
      </c>
      <c r="T1693" s="782" t="s">
        <v>4284</v>
      </c>
      <c r="U1693" s="782" t="s">
        <v>4408</v>
      </c>
      <c r="V1693" s="797">
        <f>$S$1*P!V1693</f>
        <v>4.9354838709677424E-3</v>
      </c>
      <c r="W1693" s="780"/>
      <c r="X1693" s="782">
        <v>1689</v>
      </c>
      <c r="Y1693" s="782" t="s">
        <v>2248</v>
      </c>
      <c r="Z1693" s="782" t="s">
        <v>4665</v>
      </c>
      <c r="AA1693" s="781">
        <f>$S$1*P!AA1693</f>
        <v>1.4326612903225807E-4</v>
      </c>
      <c r="AB1693" s="780"/>
      <c r="AC1693" s="782">
        <v>1689</v>
      </c>
      <c r="AD1693" s="782" t="s">
        <v>4573</v>
      </c>
      <c r="AE1693" s="782" t="s">
        <v>4167</v>
      </c>
      <c r="AF1693" s="781">
        <f>$S$1*P!AF1693</f>
        <v>4.4213709677419359</v>
      </c>
    </row>
    <row r="1694" spans="19:32" x14ac:dyDescent="0.35">
      <c r="S1694" s="881">
        <v>1690</v>
      </c>
      <c r="T1694" s="881" t="s">
        <v>4284</v>
      </c>
      <c r="U1694" s="881" t="s">
        <v>4406</v>
      </c>
      <c r="V1694" s="883">
        <f>$S$1*P!V1694</f>
        <v>1.0247983870967743E-3</v>
      </c>
      <c r="W1694" s="780"/>
      <c r="X1694" s="881">
        <v>1690</v>
      </c>
      <c r="Y1694" s="881" t="s">
        <v>2248</v>
      </c>
      <c r="Z1694" s="881" t="s">
        <v>4664</v>
      </c>
      <c r="AA1694" s="882">
        <f>$S$1*P!AA1694</f>
        <v>8.1572580645161291E-3</v>
      </c>
      <c r="AB1694" s="780"/>
      <c r="AC1694" s="881">
        <v>1690</v>
      </c>
      <c r="AD1694" s="881" t="s">
        <v>4573</v>
      </c>
      <c r="AE1694" s="881" t="s">
        <v>4163</v>
      </c>
      <c r="AF1694" s="890">
        <f>$S$1*P!AF1694</f>
        <v>0.35987903225806456</v>
      </c>
    </row>
    <row r="1695" spans="19:32" x14ac:dyDescent="0.35">
      <c r="S1695" s="881">
        <v>1691</v>
      </c>
      <c r="T1695" s="881" t="s">
        <v>4284</v>
      </c>
      <c r="U1695" s="881" t="s">
        <v>3202</v>
      </c>
      <c r="V1695" s="883">
        <f>$S$1*P!V1695</f>
        <v>17.663999999999998</v>
      </c>
      <c r="W1695" s="780"/>
      <c r="X1695" s="782">
        <v>1691</v>
      </c>
      <c r="Y1695" s="782" t="s">
        <v>2248</v>
      </c>
      <c r="Z1695" s="782" t="s">
        <v>5311</v>
      </c>
      <c r="AA1695" s="781">
        <f>$S$1*P!AA1695</f>
        <v>1.2715725806451614E-3</v>
      </c>
      <c r="AB1695" s="780"/>
      <c r="AC1695" s="782">
        <v>1691</v>
      </c>
      <c r="AD1695" s="782" t="s">
        <v>4573</v>
      </c>
      <c r="AE1695" s="782" t="s">
        <v>4160</v>
      </c>
      <c r="AF1695" s="781">
        <f>$S$1*P!AF1695</f>
        <v>3.1600806451612909E-2</v>
      </c>
    </row>
    <row r="1696" spans="19:32" x14ac:dyDescent="0.35">
      <c r="S1696" s="782">
        <v>1692</v>
      </c>
      <c r="T1696" s="782" t="s">
        <v>4284</v>
      </c>
      <c r="U1696" s="782" t="s">
        <v>4405</v>
      </c>
      <c r="V1696" s="797">
        <f>$S$1*P!V1696</f>
        <v>4.3185483870967747E-7</v>
      </c>
      <c r="W1696" s="780"/>
      <c r="X1696" s="881">
        <v>1692</v>
      </c>
      <c r="Y1696" s="881" t="s">
        <v>2248</v>
      </c>
      <c r="Z1696" s="881" t="s">
        <v>3342</v>
      </c>
      <c r="AA1696" s="882">
        <f>$S$1*P!AA1696</f>
        <v>1.6284E-2</v>
      </c>
      <c r="AB1696" s="780"/>
      <c r="AC1696" s="881">
        <v>1692</v>
      </c>
      <c r="AD1696" s="881" t="s">
        <v>4573</v>
      </c>
      <c r="AE1696" s="881" t="s">
        <v>4157</v>
      </c>
      <c r="AF1696" s="890">
        <f>$S$1*P!AF1696</f>
        <v>407.86290322580646</v>
      </c>
    </row>
    <row r="1697" spans="19:32" x14ac:dyDescent="0.35">
      <c r="S1697" s="881">
        <v>1693</v>
      </c>
      <c r="T1697" s="881" t="s">
        <v>4284</v>
      </c>
      <c r="U1697" s="881" t="s">
        <v>4404</v>
      </c>
      <c r="V1697" s="883">
        <f>$S$1*P!V1697</f>
        <v>2.7076612903225807E-3</v>
      </c>
      <c r="W1697" s="780"/>
      <c r="X1697" s="881">
        <v>1693</v>
      </c>
      <c r="Y1697" s="881" t="s">
        <v>2248</v>
      </c>
      <c r="Z1697" s="881" t="s">
        <v>3341</v>
      </c>
      <c r="AA1697" s="882">
        <f>$S$1*P!AA1697</f>
        <v>0.95679999999999998</v>
      </c>
      <c r="AB1697" s="780"/>
      <c r="AC1697" s="881">
        <v>1693</v>
      </c>
      <c r="AD1697" s="881" t="s">
        <v>4573</v>
      </c>
      <c r="AE1697" s="881" t="s">
        <v>4153</v>
      </c>
      <c r="AF1697" s="890">
        <f>$S$1*P!AF1697</f>
        <v>5.8266129032258071E-2</v>
      </c>
    </row>
    <row r="1698" spans="19:32" x14ac:dyDescent="0.35">
      <c r="S1698" s="881">
        <v>1694</v>
      </c>
      <c r="T1698" s="881" t="s">
        <v>4284</v>
      </c>
      <c r="U1698" s="881" t="s">
        <v>4403</v>
      </c>
      <c r="V1698" s="883">
        <f>$S$1*P!V1698</f>
        <v>8.8427419354838717E-4</v>
      </c>
      <c r="W1698" s="780"/>
      <c r="X1698" s="782">
        <v>1694</v>
      </c>
      <c r="Y1698" s="782" t="s">
        <v>2248</v>
      </c>
      <c r="Z1698" s="782" t="s">
        <v>5310</v>
      </c>
      <c r="AA1698" s="781">
        <f>$S$1*P!AA1698</f>
        <v>8.6028225806451624E-4</v>
      </c>
      <c r="AB1698" s="780"/>
      <c r="AC1698" s="881">
        <v>1694</v>
      </c>
      <c r="AD1698" s="881" t="s">
        <v>4573</v>
      </c>
      <c r="AE1698" s="881" t="s">
        <v>3147</v>
      </c>
      <c r="AF1698" s="882">
        <f>$S$1*P!AF1698</f>
        <v>0.19411999999999999</v>
      </c>
    </row>
    <row r="1699" spans="19:32" x14ac:dyDescent="0.35">
      <c r="S1699" s="881">
        <v>1695</v>
      </c>
      <c r="T1699" s="881" t="s">
        <v>4284</v>
      </c>
      <c r="U1699" s="881" t="s">
        <v>4402</v>
      </c>
      <c r="V1699" s="883">
        <f>$S$1*P!V1699</f>
        <v>1.1344758064516131E-4</v>
      </c>
      <c r="W1699" s="780"/>
      <c r="X1699" s="782">
        <v>1695</v>
      </c>
      <c r="Y1699" s="782" t="s">
        <v>2248</v>
      </c>
      <c r="Z1699" s="782" t="s">
        <v>3341</v>
      </c>
      <c r="AA1699" s="781">
        <f>$S$1*P!AA1699</f>
        <v>2.0393145161290323E-3</v>
      </c>
      <c r="AB1699" s="780"/>
      <c r="AC1699" s="881">
        <v>1695</v>
      </c>
      <c r="AD1699" s="881" t="s">
        <v>4573</v>
      </c>
      <c r="AE1699" s="881" t="s">
        <v>3145</v>
      </c>
      <c r="AF1699" s="882">
        <f>$S$1*P!AF1699</f>
        <v>22.907999999999998</v>
      </c>
    </row>
    <row r="1700" spans="19:32" x14ac:dyDescent="0.35">
      <c r="S1700" s="881">
        <v>1696</v>
      </c>
      <c r="T1700" s="881" t="s">
        <v>4284</v>
      </c>
      <c r="U1700" s="881" t="s">
        <v>4401</v>
      </c>
      <c r="V1700" s="883">
        <f>$S$1*P!V1700</f>
        <v>6.4092741935483877E-9</v>
      </c>
      <c r="W1700" s="780"/>
      <c r="X1700" s="881">
        <v>1696</v>
      </c>
      <c r="Y1700" s="881" t="s">
        <v>2248</v>
      </c>
      <c r="Z1700" s="881" t="s">
        <v>4663</v>
      </c>
      <c r="AA1700" s="882">
        <f>$S$1*P!AA1700</f>
        <v>1.7548387096774196E-3</v>
      </c>
      <c r="AB1700" s="780"/>
      <c r="AC1700" s="881">
        <v>1696</v>
      </c>
      <c r="AD1700" s="881" t="s">
        <v>4573</v>
      </c>
      <c r="AE1700" s="881" t="s">
        <v>4151</v>
      </c>
      <c r="AF1700" s="890">
        <f>$S$1*P!AF1700</f>
        <v>7.4717741935483879E-3</v>
      </c>
    </row>
    <row r="1701" spans="19:32" x14ac:dyDescent="0.35">
      <c r="S1701" s="782">
        <v>1697</v>
      </c>
      <c r="T1701" s="782" t="s">
        <v>4284</v>
      </c>
      <c r="U1701" s="782" t="s">
        <v>4400</v>
      </c>
      <c r="V1701" s="797">
        <f>$S$1*P!V1701</f>
        <v>1.6006048387096774E-7</v>
      </c>
      <c r="W1701" s="780"/>
      <c r="X1701" s="782">
        <v>1697</v>
      </c>
      <c r="Y1701" s="782" t="s">
        <v>2248</v>
      </c>
      <c r="Z1701" s="782" t="s">
        <v>5309</v>
      </c>
      <c r="AA1701" s="781">
        <f>$S$1*P!AA1701</f>
        <v>2.2141129032258067E-4</v>
      </c>
      <c r="AB1701" s="780"/>
      <c r="AC1701" s="881">
        <v>1697</v>
      </c>
      <c r="AD1701" s="881" t="s">
        <v>4573</v>
      </c>
      <c r="AE1701" s="881" t="s">
        <v>3144</v>
      </c>
      <c r="AF1701" s="882">
        <f>$S$1*P!AF1701</f>
        <v>0.5474</v>
      </c>
    </row>
    <row r="1702" spans="19:32" x14ac:dyDescent="0.35">
      <c r="S1702" s="881">
        <v>1698</v>
      </c>
      <c r="T1702" s="881" t="s">
        <v>4284</v>
      </c>
      <c r="U1702" s="881" t="s">
        <v>4399</v>
      </c>
      <c r="V1702" s="883">
        <f>$S$1*P!V1702</f>
        <v>1.1618951612903226E-8</v>
      </c>
      <c r="W1702" s="780"/>
      <c r="X1702" s="881">
        <v>1698</v>
      </c>
      <c r="Y1702" s="881" t="s">
        <v>2248</v>
      </c>
      <c r="Z1702" s="881" t="s">
        <v>4662</v>
      </c>
      <c r="AA1702" s="882">
        <f>$S$1*P!AA1702</f>
        <v>2.2004032258064518E-4</v>
      </c>
      <c r="AB1702" s="780"/>
      <c r="AC1702" s="881">
        <v>1698</v>
      </c>
      <c r="AD1702" s="881" t="s">
        <v>4573</v>
      </c>
      <c r="AE1702" s="881" t="s">
        <v>4147</v>
      </c>
      <c r="AF1702" s="890">
        <f>$S$1*P!AF1702</f>
        <v>1.5149193548387098E-3</v>
      </c>
    </row>
    <row r="1703" spans="19:32" x14ac:dyDescent="0.35">
      <c r="S1703" s="782">
        <v>1699</v>
      </c>
      <c r="T1703" s="782" t="s">
        <v>4284</v>
      </c>
      <c r="U1703" s="782" t="s">
        <v>4398</v>
      </c>
      <c r="V1703" s="797">
        <f>$S$1*P!V1703</f>
        <v>3.9415322580645167E-4</v>
      </c>
      <c r="W1703" s="780"/>
      <c r="X1703" s="881">
        <v>1699</v>
      </c>
      <c r="Y1703" s="881" t="s">
        <v>2248</v>
      </c>
      <c r="Z1703" s="881" t="s">
        <v>4661</v>
      </c>
      <c r="AA1703" s="882">
        <f>$S$1*P!AA1703</f>
        <v>2.2929435483870972E-4</v>
      </c>
      <c r="AB1703" s="780"/>
      <c r="AC1703" s="782">
        <v>1699</v>
      </c>
      <c r="AD1703" s="782" t="s">
        <v>4573</v>
      </c>
      <c r="AE1703" s="782" t="s">
        <v>4146</v>
      </c>
      <c r="AF1703" s="781">
        <f>$S$1*P!AF1703</f>
        <v>6.1693548387096783E-3</v>
      </c>
    </row>
    <row r="1704" spans="19:32" x14ac:dyDescent="0.35">
      <c r="S1704" s="881">
        <v>1700</v>
      </c>
      <c r="T1704" s="881" t="s">
        <v>4284</v>
      </c>
      <c r="U1704" s="881" t="s">
        <v>4397</v>
      </c>
      <c r="V1704" s="883">
        <f>$S$1*P!V1704</f>
        <v>5.6209677419354835E-4</v>
      </c>
      <c r="W1704" s="780"/>
      <c r="X1704" s="782">
        <v>1700</v>
      </c>
      <c r="Y1704" s="782" t="s">
        <v>2248</v>
      </c>
      <c r="Z1704" s="782" t="s">
        <v>5308</v>
      </c>
      <c r="AA1704" s="781">
        <f>$S$1*P!AA1704</f>
        <v>7.3346774193548394E-3</v>
      </c>
      <c r="AB1704" s="780"/>
      <c r="AC1704" s="881">
        <v>1700</v>
      </c>
      <c r="AD1704" s="881" t="s">
        <v>4573</v>
      </c>
      <c r="AE1704" s="881" t="s">
        <v>4145</v>
      </c>
      <c r="AF1704" s="890">
        <f>$S$1*P!AF1704</f>
        <v>8.0887096774193548E-2</v>
      </c>
    </row>
    <row r="1705" spans="19:32" x14ac:dyDescent="0.35">
      <c r="S1705" s="782">
        <v>1701</v>
      </c>
      <c r="T1705" s="782" t="s">
        <v>4284</v>
      </c>
      <c r="U1705" s="782" t="s">
        <v>4396</v>
      </c>
      <c r="V1705" s="797">
        <f>$S$1*P!V1705</f>
        <v>1.4120967741935485E-3</v>
      </c>
      <c r="W1705" s="780"/>
      <c r="X1705" s="881">
        <v>1701</v>
      </c>
      <c r="Y1705" s="881" t="s">
        <v>2248</v>
      </c>
      <c r="Z1705" s="881" t="s">
        <v>3340</v>
      </c>
      <c r="AA1705" s="882">
        <f>$S$1*P!AA1705</f>
        <v>1.8307999999999998E-2</v>
      </c>
      <c r="AB1705" s="780"/>
      <c r="AC1705" s="782">
        <v>1701</v>
      </c>
      <c r="AD1705" s="782" t="s">
        <v>4573</v>
      </c>
      <c r="AE1705" s="782" t="s">
        <v>4143</v>
      </c>
      <c r="AF1705" s="781">
        <f>$S$1*P!AF1705</f>
        <v>6.5120967741935491E-4</v>
      </c>
    </row>
    <row r="1706" spans="19:32" x14ac:dyDescent="0.35">
      <c r="S1706" s="861">
        <v>1702</v>
      </c>
      <c r="T1706" s="861" t="s">
        <v>4284</v>
      </c>
      <c r="U1706" s="861" t="s">
        <v>4395</v>
      </c>
      <c r="V1706" s="862">
        <f>$S$1*P!V1706</f>
        <v>2.6214999999999997</v>
      </c>
      <c r="W1706" s="780"/>
      <c r="X1706" s="881">
        <v>1702</v>
      </c>
      <c r="Y1706" s="881" t="s">
        <v>2248</v>
      </c>
      <c r="Z1706" s="881" t="s">
        <v>3340</v>
      </c>
      <c r="AA1706" s="882">
        <f>$S$1*P!AA1706</f>
        <v>1.1379032258064516E-4</v>
      </c>
      <c r="AB1706" s="780"/>
      <c r="AC1706" s="881">
        <v>1702</v>
      </c>
      <c r="AD1706" s="881" t="s">
        <v>4573</v>
      </c>
      <c r="AE1706" s="881" t="s">
        <v>3142</v>
      </c>
      <c r="AF1706" s="890">
        <f>$S$1*P!AF1706</f>
        <v>7.9173387096774202E-4</v>
      </c>
    </row>
    <row r="1707" spans="19:32" x14ac:dyDescent="0.35">
      <c r="S1707" s="881">
        <v>1703</v>
      </c>
      <c r="T1707" s="881" t="s">
        <v>4284</v>
      </c>
      <c r="U1707" s="881" t="s">
        <v>4395</v>
      </c>
      <c r="V1707" s="883">
        <f>$S$1*P!V1707</f>
        <v>1.9604838709677423E-8</v>
      </c>
      <c r="W1707" s="780"/>
      <c r="X1707" s="782">
        <v>1703</v>
      </c>
      <c r="Y1707" s="782" t="s">
        <v>2248</v>
      </c>
      <c r="Z1707" s="782" t="s">
        <v>5307</v>
      </c>
      <c r="AA1707" s="781">
        <f>$S$1*P!AA1707</f>
        <v>6.5463709677419362E-3</v>
      </c>
      <c r="AB1707" s="780"/>
      <c r="AC1707" s="881">
        <v>1703</v>
      </c>
      <c r="AD1707" s="881" t="s">
        <v>4573</v>
      </c>
      <c r="AE1707" s="881" t="s">
        <v>3142</v>
      </c>
      <c r="AF1707" s="882">
        <f>$S$1*P!AF1707</f>
        <v>0</v>
      </c>
    </row>
    <row r="1708" spans="19:32" x14ac:dyDescent="0.35">
      <c r="S1708" s="881">
        <v>1704</v>
      </c>
      <c r="T1708" s="881" t="s">
        <v>4284</v>
      </c>
      <c r="U1708" s="881" t="s">
        <v>4394</v>
      </c>
      <c r="V1708" s="883">
        <f>$S$1*P!V1708</f>
        <v>5.346774193548387E-7</v>
      </c>
      <c r="W1708" s="780"/>
      <c r="X1708" s="782">
        <v>1704</v>
      </c>
      <c r="Y1708" s="782" t="s">
        <v>2248</v>
      </c>
      <c r="Z1708" s="782" t="s">
        <v>4660</v>
      </c>
      <c r="AA1708" s="781">
        <f>$S$1*P!AA1708</f>
        <v>2.3854838709677419E-6</v>
      </c>
      <c r="AB1708" s="780"/>
      <c r="AC1708" s="782">
        <v>1704</v>
      </c>
      <c r="AD1708" s="782" t="s">
        <v>4573</v>
      </c>
      <c r="AE1708" s="782" t="s">
        <v>4141</v>
      </c>
      <c r="AF1708" s="781">
        <f>$S$1*P!AF1708</f>
        <v>8.5685483870967752E-5</v>
      </c>
    </row>
    <row r="1709" spans="19:32" x14ac:dyDescent="0.35">
      <c r="S1709" s="881">
        <v>1705</v>
      </c>
      <c r="T1709" s="881" t="s">
        <v>4284</v>
      </c>
      <c r="U1709" s="881" t="s">
        <v>4393</v>
      </c>
      <c r="V1709" s="883">
        <f>$S$1*P!V1709</f>
        <v>1.5594758064516131E-7</v>
      </c>
      <c r="W1709" s="780"/>
      <c r="X1709" s="881">
        <v>1705</v>
      </c>
      <c r="Y1709" s="881" t="s">
        <v>2248</v>
      </c>
      <c r="Z1709" s="881" t="s">
        <v>3339</v>
      </c>
      <c r="AA1709" s="882">
        <f>$S$1*P!AA1709</f>
        <v>0</v>
      </c>
      <c r="AB1709" s="780"/>
      <c r="AC1709" s="881">
        <v>1705</v>
      </c>
      <c r="AD1709" s="881" t="s">
        <v>4573</v>
      </c>
      <c r="AE1709" s="881" t="s">
        <v>4139</v>
      </c>
      <c r="AF1709" s="890">
        <f>$S$1*P!AF1709</f>
        <v>3.1223790322580647E-4</v>
      </c>
    </row>
    <row r="1710" spans="19:32" x14ac:dyDescent="0.35">
      <c r="S1710" s="881">
        <v>1706</v>
      </c>
      <c r="T1710" s="881" t="s">
        <v>4284</v>
      </c>
      <c r="U1710" s="881" t="s">
        <v>4392</v>
      </c>
      <c r="V1710" s="883">
        <f>$S$1*P!V1710</f>
        <v>4.1814516129032257E-5</v>
      </c>
      <c r="W1710" s="780"/>
      <c r="X1710" s="782">
        <v>1706</v>
      </c>
      <c r="Y1710" s="782" t="s">
        <v>2248</v>
      </c>
      <c r="Z1710" s="782" t="s">
        <v>5306</v>
      </c>
      <c r="AA1710" s="781">
        <f>$S$1*P!AA1710</f>
        <v>4.5927419354838711E-2</v>
      </c>
      <c r="AB1710" s="780"/>
      <c r="AC1710" s="881">
        <v>1706</v>
      </c>
      <c r="AD1710" s="881" t="s">
        <v>4573</v>
      </c>
      <c r="AE1710" s="881" t="s">
        <v>4136</v>
      </c>
      <c r="AF1710" s="890">
        <f>$S$1*P!AF1710</f>
        <v>1.0145161290322582</v>
      </c>
    </row>
    <row r="1711" spans="19:32" x14ac:dyDescent="0.35">
      <c r="S1711" s="782">
        <v>1707</v>
      </c>
      <c r="T1711" s="782" t="s">
        <v>4284</v>
      </c>
      <c r="U1711" s="782" t="s">
        <v>4391</v>
      </c>
      <c r="V1711" s="797">
        <f>$S$1*P!V1711</f>
        <v>2.4368951612903226E-7</v>
      </c>
      <c r="W1711" s="780"/>
      <c r="X1711" s="881">
        <v>1707</v>
      </c>
      <c r="Y1711" s="881" t="s">
        <v>2248</v>
      </c>
      <c r="Z1711" s="881" t="s">
        <v>3339</v>
      </c>
      <c r="AA1711" s="882">
        <f>$S$1*P!AA1711</f>
        <v>1.1995967741935486E-6</v>
      </c>
      <c r="AB1711" s="780"/>
      <c r="AC1711" s="881">
        <v>1707</v>
      </c>
      <c r="AD1711" s="881" t="s">
        <v>4573</v>
      </c>
      <c r="AE1711" s="881" t="s">
        <v>4134</v>
      </c>
      <c r="AF1711" s="890">
        <f>$S$1*P!AF1711</f>
        <v>2.2243951612903228E-3</v>
      </c>
    </row>
    <row r="1712" spans="19:32" x14ac:dyDescent="0.35">
      <c r="S1712" s="881">
        <v>1708</v>
      </c>
      <c r="T1712" s="881" t="s">
        <v>4284</v>
      </c>
      <c r="U1712" s="881" t="s">
        <v>4390</v>
      </c>
      <c r="V1712" s="883">
        <f>$S$1*P!V1712</f>
        <v>2.1866935483870967E-6</v>
      </c>
      <c r="W1712" s="780"/>
      <c r="X1712" s="782">
        <v>1708</v>
      </c>
      <c r="Y1712" s="782" t="s">
        <v>2248</v>
      </c>
      <c r="Z1712" s="782" t="s">
        <v>4659</v>
      </c>
      <c r="AA1712" s="781">
        <f>$S$1*P!AA1712</f>
        <v>4.3870967741935488E-5</v>
      </c>
      <c r="AB1712" s="780"/>
      <c r="AC1712" s="881">
        <v>1708</v>
      </c>
      <c r="AD1712" s="881" t="s">
        <v>4573</v>
      </c>
      <c r="AE1712" s="881" t="s">
        <v>4133</v>
      </c>
      <c r="AF1712" s="890">
        <f>$S$1*P!AF1712</f>
        <v>1.3092741935483872E-3</v>
      </c>
    </row>
    <row r="1713" spans="19:32" x14ac:dyDescent="0.35">
      <c r="S1713" s="881">
        <v>1709</v>
      </c>
      <c r="T1713" s="881" t="s">
        <v>4284</v>
      </c>
      <c r="U1713" s="881" t="s">
        <v>3201</v>
      </c>
      <c r="V1713" s="883">
        <f>$S$1*P!V1713</f>
        <v>9.5680000000000001E-3</v>
      </c>
      <c r="W1713" s="780"/>
      <c r="X1713" s="881">
        <v>1709</v>
      </c>
      <c r="Y1713" s="881" t="s">
        <v>2248</v>
      </c>
      <c r="Z1713" s="881" t="s">
        <v>4658</v>
      </c>
      <c r="AA1713" s="882">
        <f>$S$1*P!AA1713</f>
        <v>4.6955645161290329E-3</v>
      </c>
      <c r="AB1713" s="780"/>
      <c r="AC1713" s="782">
        <v>1709</v>
      </c>
      <c r="AD1713" s="782" t="s">
        <v>4573</v>
      </c>
      <c r="AE1713" s="782" t="s">
        <v>4130</v>
      </c>
      <c r="AF1713" s="781">
        <f>$S$1*P!AF1713</f>
        <v>11.413306451612904</v>
      </c>
    </row>
    <row r="1714" spans="19:32" x14ac:dyDescent="0.35">
      <c r="S1714" s="861">
        <v>1710</v>
      </c>
      <c r="T1714" s="861" t="s">
        <v>4284</v>
      </c>
      <c r="U1714" s="861" t="s">
        <v>4388</v>
      </c>
      <c r="V1714" s="862">
        <f>$S$1*P!V1714</f>
        <v>4.6812499999999995</v>
      </c>
      <c r="W1714" s="780"/>
      <c r="X1714" s="782">
        <v>1710</v>
      </c>
      <c r="Y1714" s="782" t="s">
        <v>2248</v>
      </c>
      <c r="Z1714" s="782" t="s">
        <v>5305</v>
      </c>
      <c r="AA1714" s="781">
        <f>$S$1*P!AA1714</f>
        <v>6.9576612903225819E-4</v>
      </c>
      <c r="AB1714" s="780"/>
      <c r="AC1714" s="881">
        <v>1710</v>
      </c>
      <c r="AD1714" s="881" t="s">
        <v>4573</v>
      </c>
      <c r="AE1714" s="881" t="s">
        <v>3140</v>
      </c>
      <c r="AF1714" s="882">
        <f>$S$1*P!AF1714</f>
        <v>0</v>
      </c>
    </row>
    <row r="1715" spans="19:32" x14ac:dyDescent="0.35">
      <c r="S1715" s="782">
        <v>1711</v>
      </c>
      <c r="T1715" s="782" t="s">
        <v>4284</v>
      </c>
      <c r="U1715" s="782" t="s">
        <v>4388</v>
      </c>
      <c r="V1715" s="797">
        <f>$S$1*P!V1715</f>
        <v>1.1139112903225809E-5</v>
      </c>
      <c r="W1715" s="780"/>
      <c r="X1715" s="782">
        <v>1711</v>
      </c>
      <c r="Y1715" s="782" t="s">
        <v>2248</v>
      </c>
      <c r="Z1715" s="782" t="s">
        <v>4657</v>
      </c>
      <c r="AA1715" s="781">
        <f>$S$1*P!AA1715</f>
        <v>1.0487903225806453E-4</v>
      </c>
      <c r="AB1715" s="780"/>
      <c r="AC1715" s="881">
        <v>1711</v>
      </c>
      <c r="AD1715" s="881" t="s">
        <v>4573</v>
      </c>
      <c r="AE1715" s="881" t="s">
        <v>4126</v>
      </c>
      <c r="AF1715" s="890">
        <f>$S$1*P!AF1715</f>
        <v>0.42842741935483875</v>
      </c>
    </row>
    <row r="1716" spans="19:32" x14ac:dyDescent="0.35">
      <c r="S1716" s="881">
        <v>1712</v>
      </c>
      <c r="T1716" s="881" t="s">
        <v>4284</v>
      </c>
      <c r="U1716" s="881" t="s">
        <v>4385</v>
      </c>
      <c r="V1716" s="883">
        <f>$S$1*P!V1716</f>
        <v>5.7923387096774198E-5</v>
      </c>
      <c r="W1716" s="780"/>
      <c r="X1716" s="782">
        <v>1712</v>
      </c>
      <c r="Y1716" s="782" t="s">
        <v>2248</v>
      </c>
      <c r="Z1716" s="782" t="s">
        <v>5304</v>
      </c>
      <c r="AA1716" s="781">
        <f>$S$1*P!AA1716</f>
        <v>6.6149193548387109E-2</v>
      </c>
      <c r="AB1716" s="780"/>
      <c r="AC1716" s="782">
        <v>1712</v>
      </c>
      <c r="AD1716" s="782" t="s">
        <v>4573</v>
      </c>
      <c r="AE1716" s="782" t="s">
        <v>4124</v>
      </c>
      <c r="AF1716" s="781">
        <f>$S$1*P!AF1716</f>
        <v>0.28447580645161291</v>
      </c>
    </row>
    <row r="1717" spans="19:32" x14ac:dyDescent="0.35">
      <c r="S1717" s="782">
        <v>1713</v>
      </c>
      <c r="T1717" s="782" t="s">
        <v>4284</v>
      </c>
      <c r="U1717" s="782" t="s">
        <v>4382</v>
      </c>
      <c r="V1717" s="797">
        <f>$S$1*P!V1717</f>
        <v>1.3024193548387098E-5</v>
      </c>
      <c r="W1717" s="780"/>
      <c r="X1717" s="881">
        <v>1713</v>
      </c>
      <c r="Y1717" s="881" t="s">
        <v>2248</v>
      </c>
      <c r="Z1717" s="881" t="s">
        <v>4656</v>
      </c>
      <c r="AA1717" s="882">
        <f>$S$1*P!AA1717</f>
        <v>2.9475806451612905E-5</v>
      </c>
      <c r="AB1717" s="780"/>
      <c r="AC1717" s="881">
        <v>1713</v>
      </c>
      <c r="AD1717" s="881" t="s">
        <v>4573</v>
      </c>
      <c r="AE1717" s="881" t="s">
        <v>4123</v>
      </c>
      <c r="AF1717" s="890">
        <f>$S$1*P!AF1717</f>
        <v>4.7983870967741939</v>
      </c>
    </row>
    <row r="1718" spans="19:32" x14ac:dyDescent="0.35">
      <c r="S1718" s="861">
        <v>1714</v>
      </c>
      <c r="T1718" s="861" t="s">
        <v>4284</v>
      </c>
      <c r="U1718" s="861" t="s">
        <v>3200</v>
      </c>
      <c r="V1718" s="862">
        <f>$S$1*P!V1718</f>
        <v>2.7017499999999997</v>
      </c>
      <c r="W1718" s="780"/>
      <c r="X1718" s="881">
        <v>1714</v>
      </c>
      <c r="Y1718" s="881" t="s">
        <v>2248</v>
      </c>
      <c r="Z1718" s="881" t="s">
        <v>4655</v>
      </c>
      <c r="AA1718" s="882">
        <f>$S$1*P!AA1718</f>
        <v>4.8669354838709681E-4</v>
      </c>
      <c r="AB1718" s="780"/>
      <c r="AC1718" s="782">
        <v>1714</v>
      </c>
      <c r="AD1718" s="782" t="s">
        <v>4573</v>
      </c>
      <c r="AE1718" s="782" t="s">
        <v>4121</v>
      </c>
      <c r="AF1718" s="781">
        <f>$S$1*P!AF1718</f>
        <v>8.2943548387096777E-2</v>
      </c>
    </row>
    <row r="1719" spans="19:32" x14ac:dyDescent="0.35">
      <c r="S1719" s="881">
        <v>1715</v>
      </c>
      <c r="T1719" s="881" t="s">
        <v>4284</v>
      </c>
      <c r="U1719" s="881" t="s">
        <v>3200</v>
      </c>
      <c r="V1719" s="883">
        <f>$S$1*P!V1719</f>
        <v>4.6270161290322585E-5</v>
      </c>
      <c r="W1719" s="780"/>
      <c r="X1719" s="782">
        <v>1715</v>
      </c>
      <c r="Y1719" s="782" t="s">
        <v>2248</v>
      </c>
      <c r="Z1719" s="782" t="s">
        <v>5303</v>
      </c>
      <c r="AA1719" s="781">
        <f>$S$1*P!AA1719</f>
        <v>7.3004032258064519E-4</v>
      </c>
      <c r="AB1719" s="780"/>
      <c r="AC1719" s="881">
        <v>1715</v>
      </c>
      <c r="AD1719" s="881" t="s">
        <v>4573</v>
      </c>
      <c r="AE1719" s="881" t="s">
        <v>4120</v>
      </c>
      <c r="AF1719" s="890">
        <f>$S$1*P!AF1719</f>
        <v>7.7459677419354847E-3</v>
      </c>
    </row>
    <row r="1720" spans="19:32" x14ac:dyDescent="0.35">
      <c r="S1720" s="881">
        <v>1716</v>
      </c>
      <c r="T1720" s="881" t="s">
        <v>4284</v>
      </c>
      <c r="U1720" s="881" t="s">
        <v>3200</v>
      </c>
      <c r="V1720" s="883">
        <f>$S$1*P!V1720</f>
        <v>0</v>
      </c>
      <c r="W1720" s="780"/>
      <c r="X1720" s="881">
        <v>1716</v>
      </c>
      <c r="Y1720" s="881" t="s">
        <v>2248</v>
      </c>
      <c r="Z1720" s="881" t="s">
        <v>4654</v>
      </c>
      <c r="AA1720" s="882">
        <f>$S$1*P!AA1720</f>
        <v>2.7522177419354838E-4</v>
      </c>
      <c r="AB1720" s="780"/>
      <c r="AC1720" s="881">
        <v>1716</v>
      </c>
      <c r="AD1720" s="881" t="s">
        <v>4573</v>
      </c>
      <c r="AE1720" s="881" t="s">
        <v>3139</v>
      </c>
      <c r="AF1720" s="890">
        <f>$S$1*P!AF1720</f>
        <v>0.61350806451612905</v>
      </c>
    </row>
    <row r="1721" spans="19:32" x14ac:dyDescent="0.35">
      <c r="S1721" s="881">
        <v>1717</v>
      </c>
      <c r="T1721" s="881" t="s">
        <v>4284</v>
      </c>
      <c r="U1721" s="881" t="s">
        <v>4379</v>
      </c>
      <c r="V1721" s="883">
        <f>$S$1*P!V1721</f>
        <v>2.0735887096774195E-4</v>
      </c>
      <c r="W1721" s="780"/>
      <c r="X1721" s="881">
        <v>1717</v>
      </c>
      <c r="Y1721" s="881" t="s">
        <v>2248</v>
      </c>
      <c r="Z1721" s="881" t="s">
        <v>4653</v>
      </c>
      <c r="AA1721" s="882">
        <f>$S$1*P!AA1721</f>
        <v>5.7237903225806455E-7</v>
      </c>
      <c r="AB1721" s="780"/>
      <c r="AC1721" s="881">
        <v>1717</v>
      </c>
      <c r="AD1721" s="881" t="s">
        <v>4573</v>
      </c>
      <c r="AE1721" s="881" t="s">
        <v>3139</v>
      </c>
      <c r="AF1721" s="882">
        <f>$S$1*P!AF1721</f>
        <v>0</v>
      </c>
    </row>
    <row r="1722" spans="19:32" x14ac:dyDescent="0.35">
      <c r="S1722" s="881">
        <v>1718</v>
      </c>
      <c r="T1722" s="881" t="s">
        <v>4284</v>
      </c>
      <c r="U1722" s="881" t="s">
        <v>4377</v>
      </c>
      <c r="V1722" s="883">
        <f>$S$1*P!V1722</f>
        <v>1.5594758064516131E-8</v>
      </c>
      <c r="W1722" s="780"/>
      <c r="X1722" s="782">
        <v>1718</v>
      </c>
      <c r="Y1722" s="782" t="s">
        <v>2248</v>
      </c>
      <c r="Z1722" s="782" t="s">
        <v>4652</v>
      </c>
      <c r="AA1722" s="781">
        <f>$S$1*P!AA1722</f>
        <v>8.1572580645161287E-6</v>
      </c>
      <c r="AB1722" s="780"/>
      <c r="AC1722" s="881">
        <v>1718</v>
      </c>
      <c r="AD1722" s="881" t="s">
        <v>4573</v>
      </c>
      <c r="AE1722" s="881" t="s">
        <v>4118</v>
      </c>
      <c r="AF1722" s="890">
        <f>$S$1*P!AF1722</f>
        <v>9.3911290322580651E-2</v>
      </c>
    </row>
    <row r="1723" spans="19:32" x14ac:dyDescent="0.35">
      <c r="S1723" s="881">
        <v>1719</v>
      </c>
      <c r="T1723" s="881" t="s">
        <v>4284</v>
      </c>
      <c r="U1723" s="881" t="s">
        <v>3199</v>
      </c>
      <c r="V1723" s="883">
        <f>$S$1*P!V1723</f>
        <v>0.16743999999999998</v>
      </c>
      <c r="W1723" s="780"/>
      <c r="X1723" s="782">
        <v>1719</v>
      </c>
      <c r="Y1723" s="782" t="s">
        <v>2248</v>
      </c>
      <c r="Z1723" s="782" t="s">
        <v>5302</v>
      </c>
      <c r="AA1723" s="781">
        <f>$S$1*P!AA1723</f>
        <v>6.2721774193548398E-4</v>
      </c>
      <c r="AB1723" s="780"/>
      <c r="AC1723" s="881">
        <v>1719</v>
      </c>
      <c r="AD1723" s="881" t="s">
        <v>4573</v>
      </c>
      <c r="AE1723" s="881" t="s">
        <v>3137</v>
      </c>
      <c r="AF1723" s="890">
        <f>$S$1*P!AF1723</f>
        <v>1.0659274193548387E-2</v>
      </c>
    </row>
    <row r="1724" spans="19:32" x14ac:dyDescent="0.35">
      <c r="S1724" s="881">
        <v>1720</v>
      </c>
      <c r="T1724" s="881" t="s">
        <v>4284</v>
      </c>
      <c r="U1724" s="881" t="s">
        <v>4374</v>
      </c>
      <c r="V1724" s="883">
        <f>$S$1*P!V1724</f>
        <v>0.19399193548387098</v>
      </c>
      <c r="W1724" s="780"/>
      <c r="X1724" s="881">
        <v>1720</v>
      </c>
      <c r="Y1724" s="881" t="s">
        <v>2248</v>
      </c>
      <c r="Z1724" s="881" t="s">
        <v>4651</v>
      </c>
      <c r="AA1724" s="882">
        <f>$S$1*P!AA1724</f>
        <v>1.7856854838709679E-5</v>
      </c>
      <c r="AB1724" s="780"/>
      <c r="AC1724" s="881">
        <v>1720</v>
      </c>
      <c r="AD1724" s="881" t="s">
        <v>4573</v>
      </c>
      <c r="AE1724" s="881" t="s">
        <v>3137</v>
      </c>
      <c r="AF1724" s="882">
        <f>$S$1*P!AF1724</f>
        <v>5.7592000000000004E-2</v>
      </c>
    </row>
    <row r="1725" spans="19:32" x14ac:dyDescent="0.35">
      <c r="S1725" s="782">
        <v>1721</v>
      </c>
      <c r="T1725" s="782" t="s">
        <v>4284</v>
      </c>
      <c r="U1725" s="782" t="s">
        <v>4373</v>
      </c>
      <c r="V1725" s="797">
        <f>$S$1*P!V1725</f>
        <v>1.7068548387096777E-7</v>
      </c>
      <c r="W1725" s="780"/>
      <c r="X1725" s="881">
        <v>1721</v>
      </c>
      <c r="Y1725" s="881" t="s">
        <v>2248</v>
      </c>
      <c r="Z1725" s="881" t="s">
        <v>3337</v>
      </c>
      <c r="AA1725" s="882">
        <f>$S$1*P!AA1725</f>
        <v>1.5916E-2</v>
      </c>
      <c r="AB1725" s="780"/>
      <c r="AC1725" s="782">
        <v>1721</v>
      </c>
      <c r="AD1725" s="782" t="s">
        <v>4573</v>
      </c>
      <c r="AE1725" s="782" t="s">
        <v>4115</v>
      </c>
      <c r="AF1725" s="781">
        <f>$S$1*P!AF1725</f>
        <v>2.0187500000000001E-2</v>
      </c>
    </row>
    <row r="1726" spans="19:32" x14ac:dyDescent="0.35">
      <c r="S1726" s="881">
        <v>1722</v>
      </c>
      <c r="T1726" s="881" t="s">
        <v>4284</v>
      </c>
      <c r="U1726" s="881" t="s">
        <v>4370</v>
      </c>
      <c r="V1726" s="883">
        <f>$S$1*P!V1726</f>
        <v>6.3750000000000005E-5</v>
      </c>
      <c r="W1726" s="780"/>
      <c r="X1726" s="782">
        <v>1722</v>
      </c>
      <c r="Y1726" s="782" t="s">
        <v>2248</v>
      </c>
      <c r="Z1726" s="782" t="s">
        <v>5301</v>
      </c>
      <c r="AA1726" s="781">
        <f>$S$1*P!AA1726</f>
        <v>1.052217741935484E-3</v>
      </c>
      <c r="AB1726" s="780"/>
      <c r="AC1726" s="881">
        <v>1722</v>
      </c>
      <c r="AD1726" s="881" t="s">
        <v>4573</v>
      </c>
      <c r="AE1726" s="881" t="s">
        <v>4112</v>
      </c>
      <c r="AF1726" s="890">
        <f>$S$1*P!AF1726</f>
        <v>1.3195564516129032</v>
      </c>
    </row>
    <row r="1727" spans="19:32" x14ac:dyDescent="0.35">
      <c r="S1727" s="782">
        <v>1723</v>
      </c>
      <c r="T1727" s="782" t="s">
        <v>4284</v>
      </c>
      <c r="U1727" s="782" t="s">
        <v>4368</v>
      </c>
      <c r="V1727" s="797">
        <f>$S$1*P!V1727</f>
        <v>1.8199596774193548E-4</v>
      </c>
      <c r="W1727" s="780"/>
      <c r="X1727" s="782">
        <v>1723</v>
      </c>
      <c r="Y1727" s="782" t="s">
        <v>2248</v>
      </c>
      <c r="Z1727" s="782" t="s">
        <v>4650</v>
      </c>
      <c r="AA1727" s="781">
        <f>$S$1*P!AA1727</f>
        <v>3.4274193548387099E-5</v>
      </c>
      <c r="AB1727" s="780"/>
      <c r="AC1727" s="782">
        <v>1723</v>
      </c>
      <c r="AD1727" s="782" t="s">
        <v>4573</v>
      </c>
      <c r="AE1727" s="782" t="s">
        <v>4110</v>
      </c>
      <c r="AF1727" s="781">
        <f>$S$1*P!AF1727</f>
        <v>0.16862903225806453</v>
      </c>
    </row>
    <row r="1728" spans="19:32" x14ac:dyDescent="0.35">
      <c r="S1728" s="881">
        <v>1724</v>
      </c>
      <c r="T1728" s="881" t="s">
        <v>4284</v>
      </c>
      <c r="U1728" s="881" t="s">
        <v>4367</v>
      </c>
      <c r="V1728" s="883">
        <f>$S$1*P!V1728</f>
        <v>1.1481854838709679E-7</v>
      </c>
      <c r="W1728" s="780"/>
      <c r="X1728" s="782">
        <v>1724</v>
      </c>
      <c r="Y1728" s="782" t="s">
        <v>2248</v>
      </c>
      <c r="Z1728" s="782" t="s">
        <v>5300</v>
      </c>
      <c r="AA1728" s="781">
        <f>$S$1*P!AA1728</f>
        <v>5.3467741935483877E-3</v>
      </c>
      <c r="AB1728" s="780"/>
      <c r="AC1728" s="881">
        <v>1724</v>
      </c>
      <c r="AD1728" s="881" t="s">
        <v>4573</v>
      </c>
      <c r="AE1728" s="881" t="s">
        <v>4107</v>
      </c>
      <c r="AF1728" s="890">
        <f>$S$1*P!AF1728</f>
        <v>0.11207661290322582</v>
      </c>
    </row>
    <row r="1729" spans="19:32" x14ac:dyDescent="0.35">
      <c r="S1729" s="782">
        <v>1725</v>
      </c>
      <c r="T1729" s="782" t="s">
        <v>4284</v>
      </c>
      <c r="U1729" s="782" t="s">
        <v>4364</v>
      </c>
      <c r="V1729" s="797">
        <f>$S$1*P!V1729</f>
        <v>1.9227822580645163E-8</v>
      </c>
      <c r="W1729" s="780"/>
      <c r="X1729" s="881">
        <v>1725</v>
      </c>
      <c r="Y1729" s="881" t="s">
        <v>2248</v>
      </c>
      <c r="Z1729" s="881" t="s">
        <v>4649</v>
      </c>
      <c r="AA1729" s="882">
        <f>$S$1*P!AA1729</f>
        <v>4.72983870967742E-4</v>
      </c>
      <c r="AB1729" s="780"/>
      <c r="AC1729" s="782">
        <v>1725</v>
      </c>
      <c r="AD1729" s="782" t="s">
        <v>4573</v>
      </c>
      <c r="AE1729" s="782" t="s">
        <v>4106</v>
      </c>
      <c r="AF1729" s="781">
        <f>$S$1*P!AF1729</f>
        <v>1.4909274193548387E-6</v>
      </c>
    </row>
    <row r="1730" spans="19:32" x14ac:dyDescent="0.35">
      <c r="S1730" s="881">
        <v>1726</v>
      </c>
      <c r="T1730" s="881" t="s">
        <v>4284</v>
      </c>
      <c r="U1730" s="881" t="s">
        <v>3198</v>
      </c>
      <c r="V1730" s="883">
        <f>$S$1*P!V1730</f>
        <v>5.2096774193548386E-4</v>
      </c>
      <c r="W1730" s="780"/>
      <c r="X1730" s="782">
        <v>1726</v>
      </c>
      <c r="Y1730" s="782" t="s">
        <v>2248</v>
      </c>
      <c r="Z1730" s="782" t="s">
        <v>4648</v>
      </c>
      <c r="AA1730" s="781">
        <f>$S$1*P!AA1730</f>
        <v>0.12441532258064517</v>
      </c>
      <c r="AB1730" s="780"/>
      <c r="AC1730" s="881">
        <v>1726</v>
      </c>
      <c r="AD1730" s="881" t="s">
        <v>4573</v>
      </c>
      <c r="AE1730" s="881" t="s">
        <v>3136</v>
      </c>
      <c r="AF1730" s="890">
        <f>$S$1*P!AF1730</f>
        <v>1.0727822580645162E-4</v>
      </c>
    </row>
    <row r="1731" spans="19:32" x14ac:dyDescent="0.35">
      <c r="S1731" s="881">
        <v>1727</v>
      </c>
      <c r="T1731" s="881" t="s">
        <v>4284</v>
      </c>
      <c r="U1731" s="881" t="s">
        <v>3198</v>
      </c>
      <c r="V1731" s="883">
        <f>$S$1*P!V1731</f>
        <v>0</v>
      </c>
      <c r="W1731" s="780"/>
      <c r="X1731" s="782">
        <v>1727</v>
      </c>
      <c r="Y1731" s="782" t="s">
        <v>2248</v>
      </c>
      <c r="Z1731" s="782" t="s">
        <v>5299</v>
      </c>
      <c r="AA1731" s="781">
        <f>$S$1*P!AA1731</f>
        <v>1.7205645161290324E-4</v>
      </c>
      <c r="AB1731" s="780"/>
      <c r="AC1731" s="881">
        <v>1727</v>
      </c>
      <c r="AD1731" s="881" t="s">
        <v>4573</v>
      </c>
      <c r="AE1731" s="881" t="s">
        <v>3136</v>
      </c>
      <c r="AF1731" s="882">
        <f>$S$1*P!AF1731</f>
        <v>0</v>
      </c>
    </row>
    <row r="1732" spans="19:32" x14ac:dyDescent="0.35">
      <c r="S1732" s="881">
        <v>1728</v>
      </c>
      <c r="T1732" s="881" t="s">
        <v>4284</v>
      </c>
      <c r="U1732" s="881" t="s">
        <v>4359</v>
      </c>
      <c r="V1732" s="883">
        <f>$S$1*P!V1732</f>
        <v>1.7479838709677422E-8</v>
      </c>
      <c r="W1732" s="780"/>
      <c r="X1732" s="881">
        <v>1728</v>
      </c>
      <c r="Y1732" s="881" t="s">
        <v>2248</v>
      </c>
      <c r="Z1732" s="881" t="s">
        <v>4647</v>
      </c>
      <c r="AA1732" s="882">
        <f>$S$1*P!AA1732</f>
        <v>8.1572580645161291E-3</v>
      </c>
      <c r="AB1732" s="780"/>
      <c r="AC1732" s="881">
        <v>1728</v>
      </c>
      <c r="AD1732" s="881" t="s">
        <v>4573</v>
      </c>
      <c r="AE1732" s="881" t="s">
        <v>3134</v>
      </c>
      <c r="AF1732" s="890">
        <f>$S$1*P!AF1732</f>
        <v>2.7522177419354839E-3</v>
      </c>
    </row>
    <row r="1733" spans="19:32" x14ac:dyDescent="0.35">
      <c r="S1733" s="881">
        <v>1729</v>
      </c>
      <c r="T1733" s="881" t="s">
        <v>4284</v>
      </c>
      <c r="U1733" s="881" t="s">
        <v>4356</v>
      </c>
      <c r="V1733" s="883">
        <f>$S$1*P!V1733</f>
        <v>1.8062500000000002E-7</v>
      </c>
      <c r="W1733" s="780"/>
      <c r="X1733" s="881">
        <v>1729</v>
      </c>
      <c r="Y1733" s="881" t="s">
        <v>2248</v>
      </c>
      <c r="Z1733" s="881" t="s">
        <v>4646</v>
      </c>
      <c r="AA1733" s="882">
        <f>$S$1*P!AA1733</f>
        <v>2.0838709677419357E-2</v>
      </c>
      <c r="AB1733" s="780"/>
      <c r="AC1733" s="881">
        <v>1729</v>
      </c>
      <c r="AD1733" s="881" t="s">
        <v>4573</v>
      </c>
      <c r="AE1733" s="881" t="s">
        <v>3134</v>
      </c>
      <c r="AF1733" s="882">
        <f>$S$1*P!AF1733</f>
        <v>0.28795999999999999</v>
      </c>
    </row>
    <row r="1734" spans="19:32" x14ac:dyDescent="0.35">
      <c r="S1734" s="881">
        <v>1730</v>
      </c>
      <c r="T1734" s="881" t="s">
        <v>4284</v>
      </c>
      <c r="U1734" s="881" t="s">
        <v>4353</v>
      </c>
      <c r="V1734" s="883">
        <f>$S$1*P!V1734</f>
        <v>5.1068548387096773E-6</v>
      </c>
      <c r="W1734" s="780"/>
      <c r="X1734" s="782">
        <v>1730</v>
      </c>
      <c r="Y1734" s="782" t="s">
        <v>2248</v>
      </c>
      <c r="Z1734" s="782" t="s">
        <v>5298</v>
      </c>
      <c r="AA1734" s="781">
        <f>$S$1*P!AA1734</f>
        <v>4.6955645161290326E-4</v>
      </c>
      <c r="AB1734" s="780"/>
      <c r="AC1734" s="881">
        <v>1730</v>
      </c>
      <c r="AD1734" s="881" t="s">
        <v>4573</v>
      </c>
      <c r="AE1734" s="881" t="s">
        <v>4100</v>
      </c>
      <c r="AF1734" s="890">
        <f>$S$1*P!AF1734</f>
        <v>6.61491935483871E-3</v>
      </c>
    </row>
    <row r="1735" spans="19:32" x14ac:dyDescent="0.35">
      <c r="S1735" s="782">
        <v>1731</v>
      </c>
      <c r="T1735" s="782" t="s">
        <v>4284</v>
      </c>
      <c r="U1735" s="782" t="s">
        <v>4351</v>
      </c>
      <c r="V1735" s="797">
        <f>$S$1*P!V1735</f>
        <v>7.1290322580645166E-6</v>
      </c>
      <c r="W1735" s="780"/>
      <c r="X1735" s="881">
        <v>1731</v>
      </c>
      <c r="Y1735" s="881" t="s">
        <v>2248</v>
      </c>
      <c r="Z1735" s="881" t="s">
        <v>4645</v>
      </c>
      <c r="AA1735" s="882">
        <f>$S$1*P!AA1735</f>
        <v>4.8326612903225809E-5</v>
      </c>
      <c r="AB1735" s="780"/>
      <c r="AC1735" s="881">
        <v>1731</v>
      </c>
      <c r="AD1735" s="881" t="s">
        <v>4573</v>
      </c>
      <c r="AE1735" s="881" t="s">
        <v>3133</v>
      </c>
      <c r="AF1735" s="882">
        <f>$S$1*P!AF1735</f>
        <v>5.8603999999999996E-2</v>
      </c>
    </row>
    <row r="1736" spans="19:32" x14ac:dyDescent="0.35">
      <c r="S1736" s="881">
        <v>1732</v>
      </c>
      <c r="T1736" s="881" t="s">
        <v>4284</v>
      </c>
      <c r="U1736" s="881" t="s">
        <v>3196</v>
      </c>
      <c r="V1736" s="883">
        <f>$S$1*P!V1736</f>
        <v>1.0488000000000002</v>
      </c>
      <c r="W1736" s="780"/>
      <c r="X1736" s="881">
        <v>1732</v>
      </c>
      <c r="Y1736" s="881" t="s">
        <v>2248</v>
      </c>
      <c r="Z1736" s="881" t="s">
        <v>4644</v>
      </c>
      <c r="AA1736" s="882">
        <f>$S$1*P!AA1736</f>
        <v>2.7967741935483876E-4</v>
      </c>
      <c r="AB1736" s="780"/>
      <c r="AC1736" s="881">
        <v>1732</v>
      </c>
      <c r="AD1736" s="881" t="s">
        <v>4573</v>
      </c>
      <c r="AE1736" s="881" t="s">
        <v>3131</v>
      </c>
      <c r="AF1736" s="882">
        <f>$S$1*P!AF1736</f>
        <v>6.7160000000000011E-2</v>
      </c>
    </row>
    <row r="1737" spans="19:32" x14ac:dyDescent="0.35">
      <c r="S1737" s="881">
        <v>1733</v>
      </c>
      <c r="T1737" s="881" t="s">
        <v>4284</v>
      </c>
      <c r="U1737" s="881" t="s">
        <v>3195</v>
      </c>
      <c r="V1737" s="883">
        <f>$S$1*P!V1737</f>
        <v>2.9164000000000003</v>
      </c>
      <c r="W1737" s="780"/>
      <c r="X1737" s="782">
        <v>1733</v>
      </c>
      <c r="Y1737" s="782" t="s">
        <v>2248</v>
      </c>
      <c r="Z1737" s="782" t="s">
        <v>5297</v>
      </c>
      <c r="AA1737" s="781">
        <f>$S$1*P!AA1737</f>
        <v>5.9294354838709683E-5</v>
      </c>
      <c r="AB1737" s="780"/>
      <c r="AC1737" s="881">
        <v>1733</v>
      </c>
      <c r="AD1737" s="881" t="s">
        <v>4573</v>
      </c>
      <c r="AE1737" s="881" t="s">
        <v>4098</v>
      </c>
      <c r="AF1737" s="890">
        <f>$S$1*P!AF1737</f>
        <v>8.9455645161290332E-3</v>
      </c>
    </row>
    <row r="1738" spans="19:32" x14ac:dyDescent="0.35">
      <c r="S1738" s="881">
        <v>1734</v>
      </c>
      <c r="T1738" s="881" t="s">
        <v>4284</v>
      </c>
      <c r="U1738" s="881" t="s">
        <v>4350</v>
      </c>
      <c r="V1738" s="883">
        <f>$S$1*P!V1738</f>
        <v>1.1070564516129034E-4</v>
      </c>
      <c r="W1738" s="780"/>
      <c r="X1738" s="782">
        <v>1734</v>
      </c>
      <c r="Y1738" s="782" t="s">
        <v>2248</v>
      </c>
      <c r="Z1738" s="782" t="s">
        <v>4643</v>
      </c>
      <c r="AA1738" s="781">
        <f>$S$1*P!AA1738</f>
        <v>6.7520161290322587E-6</v>
      </c>
      <c r="AB1738" s="780"/>
      <c r="AC1738" s="782">
        <v>1734</v>
      </c>
      <c r="AD1738" s="782" t="s">
        <v>4573</v>
      </c>
      <c r="AE1738" s="782" t="s">
        <v>4095</v>
      </c>
      <c r="AF1738" s="781">
        <f>$S$1*P!AF1738</f>
        <v>2.7556451612903231E-5</v>
      </c>
    </row>
    <row r="1739" spans="19:32" x14ac:dyDescent="0.35">
      <c r="S1739" s="782">
        <v>1735</v>
      </c>
      <c r="T1739" s="782" t="s">
        <v>4284</v>
      </c>
      <c r="U1739" s="782" t="s">
        <v>4347</v>
      </c>
      <c r="V1739" s="797">
        <f>$S$1*P!V1739</f>
        <v>356.45161290322585</v>
      </c>
      <c r="W1739" s="780"/>
      <c r="X1739" s="881">
        <v>1735</v>
      </c>
      <c r="Y1739" s="881" t="s">
        <v>2248</v>
      </c>
      <c r="Z1739" s="881" t="s">
        <v>4642</v>
      </c>
      <c r="AA1739" s="882">
        <f>$S$1*P!AA1739</f>
        <v>1.9330645161290324E-4</v>
      </c>
      <c r="AB1739" s="780"/>
      <c r="AC1739" s="881">
        <v>1735</v>
      </c>
      <c r="AD1739" s="881" t="s">
        <v>4573</v>
      </c>
      <c r="AE1739" s="881" t="s">
        <v>4091</v>
      </c>
      <c r="AF1739" s="890">
        <f>$S$1*P!AF1739</f>
        <v>5.8266129032258068E-3</v>
      </c>
    </row>
    <row r="1740" spans="19:32" x14ac:dyDescent="0.35">
      <c r="S1740" s="881">
        <v>1736</v>
      </c>
      <c r="T1740" s="881" t="s">
        <v>4284</v>
      </c>
      <c r="U1740" s="881" t="s">
        <v>4346</v>
      </c>
      <c r="V1740" s="883">
        <f>$S$1*P!V1740</f>
        <v>1.3949596774193549</v>
      </c>
      <c r="W1740" s="780"/>
      <c r="X1740" s="782">
        <v>1736</v>
      </c>
      <c r="Y1740" s="782" t="s">
        <v>2248</v>
      </c>
      <c r="Z1740" s="782" t="s">
        <v>4641</v>
      </c>
      <c r="AA1740" s="781">
        <f>$S$1*P!AA1740</f>
        <v>2.8310483870967745E-4</v>
      </c>
      <c r="AB1740" s="780"/>
      <c r="AC1740" s="881">
        <v>1736</v>
      </c>
      <c r="AD1740" s="881" t="s">
        <v>4573</v>
      </c>
      <c r="AE1740" s="881" t="s">
        <v>3130</v>
      </c>
      <c r="AF1740" s="882">
        <f>$S$1*P!AF1740</f>
        <v>27.692</v>
      </c>
    </row>
    <row r="1741" spans="19:32" x14ac:dyDescent="0.35">
      <c r="S1741" s="782">
        <v>1737</v>
      </c>
      <c r="T1741" s="782" t="s">
        <v>4284</v>
      </c>
      <c r="U1741" s="782" t="s">
        <v>4344</v>
      </c>
      <c r="V1741" s="797">
        <f>$S$1*P!V1741</f>
        <v>0.16108870967741937</v>
      </c>
      <c r="W1741" s="780"/>
      <c r="X1741" s="782">
        <v>1737</v>
      </c>
      <c r="Y1741" s="782" t="s">
        <v>2248</v>
      </c>
      <c r="Z1741" s="782" t="s">
        <v>5296</v>
      </c>
      <c r="AA1741" s="781">
        <f>$S$1*P!AA1741</f>
        <v>4.8326612903225807E-4</v>
      </c>
      <c r="AB1741" s="780"/>
      <c r="AC1741" s="782">
        <v>1737</v>
      </c>
      <c r="AD1741" s="782" t="s">
        <v>4573</v>
      </c>
      <c r="AE1741" s="782" t="s">
        <v>4090</v>
      </c>
      <c r="AF1741" s="781">
        <f>$S$1*P!AF1741</f>
        <v>0.58266129032258074</v>
      </c>
    </row>
    <row r="1742" spans="19:32" x14ac:dyDescent="0.35">
      <c r="S1742" s="881">
        <v>1738</v>
      </c>
      <c r="T1742" s="881" t="s">
        <v>4284</v>
      </c>
      <c r="U1742" s="881" t="s">
        <v>4341</v>
      </c>
      <c r="V1742" s="883">
        <f>$S$1*P!V1742</f>
        <v>1.1584677419354839E-2</v>
      </c>
      <c r="W1742" s="780"/>
      <c r="X1742" s="881">
        <v>1738</v>
      </c>
      <c r="Y1742" s="881" t="s">
        <v>2248</v>
      </c>
      <c r="Z1742" s="881" t="s">
        <v>4640</v>
      </c>
      <c r="AA1742" s="882">
        <f>$S$1*P!AA1742</f>
        <v>1.3264112903225806</v>
      </c>
      <c r="AB1742" s="780"/>
      <c r="AC1742" s="881">
        <v>1738</v>
      </c>
      <c r="AD1742" s="881" t="s">
        <v>4573</v>
      </c>
      <c r="AE1742" s="881" t="s">
        <v>4088</v>
      </c>
      <c r="AF1742" s="890">
        <f>$S$1*P!AF1742</f>
        <v>12.784274193548388</v>
      </c>
    </row>
    <row r="1743" spans="19:32" x14ac:dyDescent="0.35">
      <c r="S1743" s="881">
        <v>1739</v>
      </c>
      <c r="T1743" s="881" t="s">
        <v>4284</v>
      </c>
      <c r="U1743" s="881" t="s">
        <v>4340</v>
      </c>
      <c r="V1743" s="883">
        <f>$S$1*P!V1743</f>
        <v>4.0443548387096781E-3</v>
      </c>
      <c r="W1743" s="780"/>
      <c r="X1743" s="782">
        <v>1739</v>
      </c>
      <c r="Y1743" s="782" t="s">
        <v>2248</v>
      </c>
      <c r="Z1743" s="782" t="s">
        <v>4637</v>
      </c>
      <c r="AA1743" s="781">
        <f>$S$1*P!AA1743</f>
        <v>1.038508064516129E-2</v>
      </c>
      <c r="AB1743" s="780"/>
      <c r="AC1743" s="782">
        <v>1739</v>
      </c>
      <c r="AD1743" s="782" t="s">
        <v>4573</v>
      </c>
      <c r="AE1743" s="782" t="s">
        <v>4085</v>
      </c>
      <c r="AF1743" s="781">
        <f>$S$1*P!AF1743</f>
        <v>0.28104838709677421</v>
      </c>
    </row>
    <row r="1744" spans="19:32" x14ac:dyDescent="0.35">
      <c r="S1744" s="881">
        <v>1740</v>
      </c>
      <c r="T1744" s="881" t="s">
        <v>4284</v>
      </c>
      <c r="U1744" s="881" t="s">
        <v>4336</v>
      </c>
      <c r="V1744" s="883">
        <f>$S$1*P!V1744</f>
        <v>21.661290322580648</v>
      </c>
      <c r="W1744" s="780"/>
      <c r="X1744" s="782">
        <v>1740</v>
      </c>
      <c r="Y1744" s="782" t="s">
        <v>2248</v>
      </c>
      <c r="Z1744" s="782" t="s">
        <v>5295</v>
      </c>
      <c r="AA1744" s="781">
        <f>$S$1*P!AA1744</f>
        <v>2.1901209677419357E-4</v>
      </c>
      <c r="AB1744" s="780"/>
      <c r="AC1744" s="881">
        <v>1740</v>
      </c>
      <c r="AD1744" s="881" t="s">
        <v>4573</v>
      </c>
      <c r="AE1744" s="881" t="s">
        <v>4083</v>
      </c>
      <c r="AF1744" s="890">
        <f>$S$1*P!AF1744</f>
        <v>1.6108870967741936E-2</v>
      </c>
    </row>
    <row r="1745" spans="19:32" x14ac:dyDescent="0.35">
      <c r="S1745" s="881">
        <v>1741</v>
      </c>
      <c r="T1745" s="881" t="s">
        <v>4284</v>
      </c>
      <c r="U1745" s="881" t="s">
        <v>4333</v>
      </c>
      <c r="V1745" s="883">
        <f>$S$1*P!V1745</f>
        <v>2.1729838709677422E-2</v>
      </c>
      <c r="W1745" s="780"/>
      <c r="X1745" s="881">
        <v>1741</v>
      </c>
      <c r="Y1745" s="881" t="s">
        <v>2248</v>
      </c>
      <c r="Z1745" s="881" t="s">
        <v>3336</v>
      </c>
      <c r="AA1745" s="882">
        <f>$S$1*P!AA1745</f>
        <v>0</v>
      </c>
      <c r="AB1745" s="780"/>
      <c r="AC1745" s="881">
        <v>1741</v>
      </c>
      <c r="AD1745" s="881" t="s">
        <v>4573</v>
      </c>
      <c r="AE1745" s="881" t="s">
        <v>4081</v>
      </c>
      <c r="AF1745" s="890">
        <f>$S$1*P!AF1745</f>
        <v>59.29435483870968</v>
      </c>
    </row>
    <row r="1746" spans="19:32" x14ac:dyDescent="0.35">
      <c r="S1746" s="782">
        <v>1742</v>
      </c>
      <c r="T1746" s="782" t="s">
        <v>4284</v>
      </c>
      <c r="U1746" s="782" t="s">
        <v>4330</v>
      </c>
      <c r="V1746" s="797">
        <f>$S$1*P!V1746</f>
        <v>9.6310483870967745E-3</v>
      </c>
      <c r="W1746" s="780"/>
      <c r="X1746" s="881">
        <v>1742</v>
      </c>
      <c r="Y1746" s="881" t="s">
        <v>2248</v>
      </c>
      <c r="Z1746" s="881" t="s">
        <v>4635</v>
      </c>
      <c r="AA1746" s="882">
        <f>$S$1*P!AA1746</f>
        <v>5.9979838709677425E-4</v>
      </c>
      <c r="AB1746" s="780"/>
      <c r="AC1746" s="881">
        <v>1742</v>
      </c>
      <c r="AD1746" s="881" t="s">
        <v>4573</v>
      </c>
      <c r="AE1746" s="881" t="s">
        <v>4078</v>
      </c>
      <c r="AF1746" s="890">
        <f>$S$1*P!AF1746</f>
        <v>3.8387096774193549E-4</v>
      </c>
    </row>
    <row r="1747" spans="19:32" x14ac:dyDescent="0.35">
      <c r="S1747" s="881">
        <v>1743</v>
      </c>
      <c r="T1747" s="881" t="s">
        <v>4284</v>
      </c>
      <c r="U1747" s="881" t="s">
        <v>4327</v>
      </c>
      <c r="V1747" s="883">
        <f>$S$1*P!V1747</f>
        <v>5.4838709677419361E-3</v>
      </c>
      <c r="W1747" s="780"/>
      <c r="X1747" s="782">
        <v>1743</v>
      </c>
      <c r="Y1747" s="782" t="s">
        <v>2248</v>
      </c>
      <c r="Z1747" s="782" t="s">
        <v>5294</v>
      </c>
      <c r="AA1747" s="781">
        <f>$S$1*P!AA1747</f>
        <v>4.1814516129032265E-3</v>
      </c>
      <c r="AB1747" s="780"/>
      <c r="AC1747" s="881">
        <v>1743</v>
      </c>
      <c r="AD1747" s="881" t="s">
        <v>4573</v>
      </c>
      <c r="AE1747" s="881" t="s">
        <v>4074</v>
      </c>
      <c r="AF1747" s="890">
        <f>$S$1*P!AF1747</f>
        <v>111.39112903225808</v>
      </c>
    </row>
    <row r="1748" spans="19:32" x14ac:dyDescent="0.35">
      <c r="S1748" s="782">
        <v>1744</v>
      </c>
      <c r="T1748" s="782" t="s">
        <v>4284</v>
      </c>
      <c r="U1748" s="782" t="s">
        <v>4324</v>
      </c>
      <c r="V1748" s="797">
        <f>$S$1*P!V1748</f>
        <v>7.7116935483870974E-3</v>
      </c>
      <c r="W1748" s="780"/>
      <c r="X1748" s="881">
        <v>1744</v>
      </c>
      <c r="Y1748" s="881" t="s">
        <v>2248</v>
      </c>
      <c r="Z1748" s="881" t="s">
        <v>3334</v>
      </c>
      <c r="AA1748" s="882">
        <f>$S$1*P!AA1748</f>
        <v>9.384E-3</v>
      </c>
      <c r="AB1748" s="780"/>
      <c r="AC1748" s="782">
        <v>1744</v>
      </c>
      <c r="AD1748" s="782" t="s">
        <v>4573</v>
      </c>
      <c r="AE1748" s="782" t="s">
        <v>4072</v>
      </c>
      <c r="AF1748" s="781">
        <f>$S$1*P!AF1748</f>
        <v>1.4737903225806452</v>
      </c>
    </row>
    <row r="1749" spans="19:32" x14ac:dyDescent="0.35">
      <c r="S1749" s="881">
        <v>1745</v>
      </c>
      <c r="T1749" s="881" t="s">
        <v>4284</v>
      </c>
      <c r="U1749" s="881" t="s">
        <v>4319</v>
      </c>
      <c r="V1749" s="883">
        <f>$S$1*P!V1749</f>
        <v>2.9647177419354839E-3</v>
      </c>
      <c r="W1749" s="780"/>
      <c r="X1749" s="881">
        <v>1745</v>
      </c>
      <c r="Y1749" s="881" t="s">
        <v>2248</v>
      </c>
      <c r="Z1749" s="881" t="s">
        <v>3334</v>
      </c>
      <c r="AA1749" s="882">
        <f>$S$1*P!AA1749</f>
        <v>5.4838709677419361E-3</v>
      </c>
      <c r="AB1749" s="780"/>
      <c r="AC1749" s="881">
        <v>1745</v>
      </c>
      <c r="AD1749" s="881" t="s">
        <v>4573</v>
      </c>
      <c r="AE1749" s="881" t="s">
        <v>4070</v>
      </c>
      <c r="AF1749" s="890">
        <f>$S$1*P!AF1749</f>
        <v>1.1241935483870969E-2</v>
      </c>
    </row>
    <row r="1750" spans="19:32" x14ac:dyDescent="0.35">
      <c r="S1750" s="782">
        <v>1746</v>
      </c>
      <c r="T1750" s="782" t="s">
        <v>4284</v>
      </c>
      <c r="U1750" s="782" t="s">
        <v>4317</v>
      </c>
      <c r="V1750" s="797">
        <f>$S$1*P!V1750</f>
        <v>3.8044354838709681E-3</v>
      </c>
      <c r="W1750" s="780"/>
      <c r="X1750" s="881">
        <v>1746</v>
      </c>
      <c r="Y1750" s="881" t="s">
        <v>2248</v>
      </c>
      <c r="Z1750" s="881" t="s">
        <v>4634</v>
      </c>
      <c r="AA1750" s="882">
        <f>$S$1*P!AA1750</f>
        <v>1.6143145161290324E-5</v>
      </c>
      <c r="AB1750" s="780"/>
      <c r="AC1750" s="782">
        <v>1746</v>
      </c>
      <c r="AD1750" s="782" t="s">
        <v>4573</v>
      </c>
      <c r="AE1750" s="782" t="s">
        <v>3128</v>
      </c>
      <c r="AF1750" s="781">
        <f>$S$1*P!AF1750</f>
        <v>1.7891129032258066</v>
      </c>
    </row>
    <row r="1751" spans="19:32" x14ac:dyDescent="0.35">
      <c r="S1751" s="881">
        <v>1747</v>
      </c>
      <c r="T1751" s="881" t="s">
        <v>4284</v>
      </c>
      <c r="U1751" s="881" t="s">
        <v>3193</v>
      </c>
      <c r="V1751" s="883">
        <f>$S$1*P!V1751</f>
        <v>9.1512096774193558E-5</v>
      </c>
      <c r="W1751" s="780"/>
      <c r="X1751" s="782">
        <v>1747</v>
      </c>
      <c r="Y1751" s="782" t="s">
        <v>2248</v>
      </c>
      <c r="Z1751" s="782" t="s">
        <v>5293</v>
      </c>
      <c r="AA1751" s="781">
        <f>$S$1*P!AA1751</f>
        <v>1.0830645161290323E-2</v>
      </c>
      <c r="AB1751" s="780"/>
      <c r="AC1751" s="881">
        <v>1747</v>
      </c>
      <c r="AD1751" s="881" t="s">
        <v>4573</v>
      </c>
      <c r="AE1751" s="881" t="s">
        <v>3128</v>
      </c>
      <c r="AF1751" s="882">
        <f>$S$1*P!AF1751</f>
        <v>0</v>
      </c>
    </row>
    <row r="1752" spans="19:32" x14ac:dyDescent="0.35">
      <c r="S1752" s="881">
        <v>1748</v>
      </c>
      <c r="T1752" s="881" t="s">
        <v>4284</v>
      </c>
      <c r="U1752" s="881" t="s">
        <v>3193</v>
      </c>
      <c r="V1752" s="883">
        <f>$S$1*P!V1752</f>
        <v>0.16928000000000001</v>
      </c>
      <c r="W1752" s="780"/>
      <c r="X1752" s="881">
        <v>1748</v>
      </c>
      <c r="Y1752" s="881" t="s">
        <v>2248</v>
      </c>
      <c r="Z1752" s="881" t="s">
        <v>3332</v>
      </c>
      <c r="AA1752" s="882">
        <f>$S$1*P!AA1752</f>
        <v>0</v>
      </c>
      <c r="AB1752" s="780"/>
      <c r="AC1752" s="881">
        <v>1748</v>
      </c>
      <c r="AD1752" s="881" t="s">
        <v>4573</v>
      </c>
      <c r="AE1752" s="881" t="s">
        <v>4065</v>
      </c>
      <c r="AF1752" s="890">
        <f>$S$1*P!AF1752</f>
        <v>4.592741935483871</v>
      </c>
    </row>
    <row r="1753" spans="19:32" x14ac:dyDescent="0.35">
      <c r="S1753" s="881">
        <v>1749</v>
      </c>
      <c r="T1753" s="881" t="s">
        <v>4284</v>
      </c>
      <c r="U1753" s="881" t="s">
        <v>4314</v>
      </c>
      <c r="V1753" s="883">
        <f>$S$1*P!V1753</f>
        <v>1.453225806451613E-2</v>
      </c>
      <c r="W1753" s="780"/>
      <c r="X1753" s="881">
        <v>1749</v>
      </c>
      <c r="Y1753" s="881" t="s">
        <v>2248</v>
      </c>
      <c r="Z1753" s="881" t="s">
        <v>4633</v>
      </c>
      <c r="AA1753" s="882">
        <f>$S$1*P!AA1753</f>
        <v>1.3983870967741938E-4</v>
      </c>
      <c r="AB1753" s="780"/>
      <c r="AC1753" s="782">
        <v>1749</v>
      </c>
      <c r="AD1753" s="782" t="s">
        <v>4573</v>
      </c>
      <c r="AE1753" s="782" t="s">
        <v>4064</v>
      </c>
      <c r="AF1753" s="781">
        <f>$S$1*P!AF1753</f>
        <v>2.0016129032258068</v>
      </c>
    </row>
    <row r="1754" spans="19:32" x14ac:dyDescent="0.35">
      <c r="S1754" s="881">
        <v>1750</v>
      </c>
      <c r="T1754" s="881" t="s">
        <v>4284</v>
      </c>
      <c r="U1754" s="881" t="s">
        <v>4310</v>
      </c>
      <c r="V1754" s="883">
        <f>$S$1*P!V1754</f>
        <v>4.8326612903225812E-2</v>
      </c>
      <c r="W1754" s="780"/>
      <c r="X1754" s="782">
        <v>1750</v>
      </c>
      <c r="Y1754" s="782" t="s">
        <v>2248</v>
      </c>
      <c r="Z1754" s="782" t="s">
        <v>5292</v>
      </c>
      <c r="AA1754" s="781">
        <f>$S$1*P!AA1754</f>
        <v>2.7556451612903228E-3</v>
      </c>
      <c r="AB1754" s="780"/>
      <c r="AC1754" s="881">
        <v>1750</v>
      </c>
      <c r="AD1754" s="881" t="s">
        <v>4573</v>
      </c>
      <c r="AE1754" s="881" t="s">
        <v>4062</v>
      </c>
      <c r="AF1754" s="890">
        <f>$S$1*P!AF1754</f>
        <v>1.0008064516129034</v>
      </c>
    </row>
    <row r="1755" spans="19:32" x14ac:dyDescent="0.35">
      <c r="S1755" s="881">
        <v>1751</v>
      </c>
      <c r="T1755" s="881" t="s">
        <v>4284</v>
      </c>
      <c r="U1755" s="881" t="s">
        <v>3192</v>
      </c>
      <c r="V1755" s="883">
        <f>$S$1*P!V1755</f>
        <v>1.7068548387096776</v>
      </c>
      <c r="W1755" s="780"/>
      <c r="X1755" s="782">
        <v>1751</v>
      </c>
      <c r="Y1755" s="782" t="s">
        <v>2248</v>
      </c>
      <c r="Z1755" s="782" t="s">
        <v>4632</v>
      </c>
      <c r="AA1755" s="781">
        <f>$S$1*P!AA1755</f>
        <v>1.1550403225806453E-3</v>
      </c>
      <c r="AB1755" s="780"/>
      <c r="AC1755" s="881">
        <v>1751</v>
      </c>
      <c r="AD1755" s="881" t="s">
        <v>4573</v>
      </c>
      <c r="AE1755" s="881" t="s">
        <v>3127</v>
      </c>
      <c r="AF1755" s="890">
        <f>$S$1*P!AF1755</f>
        <v>1.0864919354838711E-2</v>
      </c>
    </row>
    <row r="1756" spans="19:32" x14ac:dyDescent="0.35">
      <c r="S1756" s="881">
        <v>1752</v>
      </c>
      <c r="T1756" s="881" t="s">
        <v>4284</v>
      </c>
      <c r="U1756" s="881" t="s">
        <v>3192</v>
      </c>
      <c r="V1756" s="883">
        <f>$S$1*P!V1756</f>
        <v>720.3599999999999</v>
      </c>
      <c r="W1756" s="780"/>
      <c r="X1756" s="881">
        <v>1752</v>
      </c>
      <c r="Y1756" s="881" t="s">
        <v>2248</v>
      </c>
      <c r="Z1756" s="881" t="s">
        <v>4631</v>
      </c>
      <c r="AA1756" s="882">
        <f>$S$1*P!AA1756</f>
        <v>1.3195564516129034E-4</v>
      </c>
      <c r="AB1756" s="780"/>
      <c r="AC1756" s="881">
        <v>1752</v>
      </c>
      <c r="AD1756" s="881" t="s">
        <v>4573</v>
      </c>
      <c r="AE1756" s="881" t="s">
        <v>3127</v>
      </c>
      <c r="AF1756" s="882">
        <f>$S$1*P!AF1756</f>
        <v>58.512</v>
      </c>
    </row>
    <row r="1757" spans="19:32" x14ac:dyDescent="0.35">
      <c r="S1757" s="782">
        <v>1753</v>
      </c>
      <c r="T1757" s="782" t="s">
        <v>4284</v>
      </c>
      <c r="U1757" s="782" t="s">
        <v>3190</v>
      </c>
      <c r="V1757" s="797">
        <f>$S$1*P!V1757</f>
        <v>2.6254032258064518E-2</v>
      </c>
      <c r="W1757" s="780"/>
      <c r="X1757" s="782">
        <v>1753</v>
      </c>
      <c r="Y1757" s="782" t="s">
        <v>2248</v>
      </c>
      <c r="Z1757" s="782" t="s">
        <v>3643</v>
      </c>
      <c r="AA1757" s="781">
        <f>$S$1*P!AA1757</f>
        <v>6.8891129032258065E-5</v>
      </c>
      <c r="AB1757" s="780"/>
      <c r="AC1757" s="881">
        <v>1753</v>
      </c>
      <c r="AD1757" s="881" t="s">
        <v>4573</v>
      </c>
      <c r="AE1757" s="881" t="s">
        <v>4060</v>
      </c>
      <c r="AF1757" s="890">
        <f>$S$1*P!AF1757</f>
        <v>54.838709677419359</v>
      </c>
    </row>
    <row r="1758" spans="19:32" x14ac:dyDescent="0.35">
      <c r="S1758" s="881">
        <v>1754</v>
      </c>
      <c r="T1758" s="881" t="s">
        <v>4284</v>
      </c>
      <c r="U1758" s="881" t="s">
        <v>3190</v>
      </c>
      <c r="V1758" s="883">
        <f>$S$1*P!V1758</f>
        <v>39.56</v>
      </c>
      <c r="W1758" s="780"/>
      <c r="X1758" s="782">
        <v>1754</v>
      </c>
      <c r="Y1758" s="782" t="s">
        <v>2248</v>
      </c>
      <c r="Z1758" s="782" t="s">
        <v>4630</v>
      </c>
      <c r="AA1758" s="781">
        <f>$S$1*P!AA1758</f>
        <v>2.4129032258064518E-5</v>
      </c>
      <c r="AB1758" s="780"/>
      <c r="AC1758" s="881">
        <v>1754</v>
      </c>
      <c r="AD1758" s="881" t="s">
        <v>4573</v>
      </c>
      <c r="AE1758" s="881" t="s">
        <v>4058</v>
      </c>
      <c r="AF1758" s="890">
        <f>$S$1*P!AF1758</f>
        <v>9.80241935483871</v>
      </c>
    </row>
    <row r="1759" spans="19:32" x14ac:dyDescent="0.35">
      <c r="S1759" s="881">
        <v>1755</v>
      </c>
      <c r="T1759" s="881" t="s">
        <v>4284</v>
      </c>
      <c r="U1759" s="881" t="s">
        <v>3189</v>
      </c>
      <c r="V1759" s="883">
        <f>$S$1*P!V1759</f>
        <v>0.19056451612903227</v>
      </c>
      <c r="W1759" s="780"/>
      <c r="X1759" s="881">
        <v>1755</v>
      </c>
      <c r="Y1759" s="881" t="s">
        <v>2248</v>
      </c>
      <c r="Z1759" s="881" t="s">
        <v>3331</v>
      </c>
      <c r="AA1759" s="882">
        <f>$S$1*P!AA1759</f>
        <v>0</v>
      </c>
      <c r="AB1759" s="780"/>
      <c r="AC1759" s="782">
        <v>1755</v>
      </c>
      <c r="AD1759" s="782" t="s">
        <v>4573</v>
      </c>
      <c r="AE1759" s="782" t="s">
        <v>4057</v>
      </c>
      <c r="AF1759" s="781">
        <f>$S$1*P!AF1759</f>
        <v>9.0483870967741943E-3</v>
      </c>
    </row>
    <row r="1760" spans="19:32" x14ac:dyDescent="0.35">
      <c r="S1760" s="881">
        <v>1756</v>
      </c>
      <c r="T1760" s="881" t="s">
        <v>4284</v>
      </c>
      <c r="U1760" s="881" t="s">
        <v>3189</v>
      </c>
      <c r="V1760" s="883">
        <f>$S$1*P!V1760</f>
        <v>43.239999999999995</v>
      </c>
      <c r="W1760" s="780"/>
      <c r="X1760" s="881">
        <v>1756</v>
      </c>
      <c r="Y1760" s="881" t="s">
        <v>2248</v>
      </c>
      <c r="Z1760" s="881" t="s">
        <v>3331</v>
      </c>
      <c r="AA1760" s="882">
        <f>$S$1*P!AA1760</f>
        <v>1.7239919354838709E-3</v>
      </c>
      <c r="AB1760" s="780"/>
      <c r="AC1760" s="881">
        <v>1756</v>
      </c>
      <c r="AD1760" s="881" t="s">
        <v>4573</v>
      </c>
      <c r="AE1760" s="881" t="s">
        <v>3126</v>
      </c>
      <c r="AF1760" s="890">
        <f>$S$1*P!AF1760</f>
        <v>5.8266129032258069</v>
      </c>
    </row>
    <row r="1761" spans="19:32" x14ac:dyDescent="0.35">
      <c r="S1761" s="881">
        <v>1757</v>
      </c>
      <c r="T1761" s="881" t="s">
        <v>4284</v>
      </c>
      <c r="U1761" s="881" t="s">
        <v>3188</v>
      </c>
      <c r="V1761" s="883">
        <f>$S$1*P!V1761</f>
        <v>7.2312000000000001E-2</v>
      </c>
      <c r="W1761" s="780"/>
      <c r="X1761" s="782">
        <v>1757</v>
      </c>
      <c r="Y1761" s="782" t="s">
        <v>2248</v>
      </c>
      <c r="Z1761" s="782" t="s">
        <v>5291</v>
      </c>
      <c r="AA1761" s="781">
        <f>$S$1*P!AA1761</f>
        <v>4.4213709677419358E-4</v>
      </c>
      <c r="AB1761" s="780"/>
      <c r="AC1761" s="881">
        <v>1757</v>
      </c>
      <c r="AD1761" s="881" t="s">
        <v>4573</v>
      </c>
      <c r="AE1761" s="881" t="s">
        <v>3126</v>
      </c>
      <c r="AF1761" s="882">
        <f>$S$1*P!AF1761</f>
        <v>0</v>
      </c>
    </row>
    <row r="1762" spans="19:32" x14ac:dyDescent="0.35">
      <c r="S1762" s="782">
        <v>1758</v>
      </c>
      <c r="T1762" s="782" t="s">
        <v>4284</v>
      </c>
      <c r="U1762" s="782" t="s">
        <v>4302</v>
      </c>
      <c r="V1762" s="797">
        <f>$S$1*P!V1762</f>
        <v>9.3568548387096783E-7</v>
      </c>
      <c r="W1762" s="780"/>
      <c r="X1762" s="881">
        <v>1758</v>
      </c>
      <c r="Y1762" s="881" t="s">
        <v>2248</v>
      </c>
      <c r="Z1762" s="881" t="s">
        <v>3329</v>
      </c>
      <c r="AA1762" s="882">
        <f>$S$1*P!AA1762</f>
        <v>0.56487999999999994</v>
      </c>
      <c r="AB1762" s="780"/>
      <c r="AC1762" s="782">
        <v>1758</v>
      </c>
      <c r="AD1762" s="782" t="s">
        <v>4573</v>
      </c>
      <c r="AE1762" s="782" t="s">
        <v>4056</v>
      </c>
      <c r="AF1762" s="781">
        <f>$S$1*P!AF1762</f>
        <v>29.852822580645164</v>
      </c>
    </row>
    <row r="1763" spans="19:32" x14ac:dyDescent="0.35">
      <c r="S1763" s="881">
        <v>1759</v>
      </c>
      <c r="T1763" s="881" t="s">
        <v>4284</v>
      </c>
      <c r="U1763" s="881" t="s">
        <v>4300</v>
      </c>
      <c r="V1763" s="883">
        <f>$S$1*P!V1763</f>
        <v>3.42741935483871E-7</v>
      </c>
      <c r="W1763" s="780"/>
      <c r="X1763" s="782">
        <v>1759</v>
      </c>
      <c r="Y1763" s="782" t="s">
        <v>2248</v>
      </c>
      <c r="Z1763" s="782" t="s">
        <v>4629</v>
      </c>
      <c r="AA1763" s="781">
        <f>$S$1*P!AA1763</f>
        <v>8.3971774193548399E-2</v>
      </c>
      <c r="AB1763" s="780"/>
      <c r="AC1763" s="881">
        <v>1759</v>
      </c>
      <c r="AD1763" s="881" t="s">
        <v>4573</v>
      </c>
      <c r="AE1763" s="881" t="s">
        <v>4054</v>
      </c>
      <c r="AF1763" s="890">
        <f>$S$1*P!AF1763</f>
        <v>13.94959677419355</v>
      </c>
    </row>
    <row r="1764" spans="19:32" x14ac:dyDescent="0.35">
      <c r="S1764" s="861">
        <v>1760</v>
      </c>
      <c r="T1764" s="861" t="s">
        <v>4284</v>
      </c>
      <c r="U1764" s="861" t="s">
        <v>4299</v>
      </c>
      <c r="V1764" s="862">
        <f>$S$1*P!V1764</f>
        <v>3.4721500000000001</v>
      </c>
      <c r="W1764" s="780"/>
      <c r="X1764" s="782">
        <v>1760</v>
      </c>
      <c r="Y1764" s="782" t="s">
        <v>2248</v>
      </c>
      <c r="Z1764" s="782" t="s">
        <v>5290</v>
      </c>
      <c r="AA1764" s="781">
        <f>$S$1*P!AA1764</f>
        <v>1.2750000000000001E-3</v>
      </c>
      <c r="AB1764" s="780"/>
      <c r="AC1764" s="782">
        <v>1760</v>
      </c>
      <c r="AD1764" s="782" t="s">
        <v>4573</v>
      </c>
      <c r="AE1764" s="782" t="s">
        <v>4050</v>
      </c>
      <c r="AF1764" s="781">
        <f>$S$1*P!AF1764</f>
        <v>4.2157258064516132E-2</v>
      </c>
    </row>
    <row r="1765" spans="19:32" x14ac:dyDescent="0.35">
      <c r="S1765" s="782">
        <v>1761</v>
      </c>
      <c r="T1765" s="782" t="s">
        <v>4284</v>
      </c>
      <c r="U1765" s="782" t="s">
        <v>4299</v>
      </c>
      <c r="V1765" s="797">
        <f>$S$1*P!V1765</f>
        <v>1.5971774193548387E-7</v>
      </c>
      <c r="W1765" s="780"/>
      <c r="X1765" s="881">
        <v>1761</v>
      </c>
      <c r="Y1765" s="881" t="s">
        <v>2248</v>
      </c>
      <c r="Z1765" s="881" t="s">
        <v>4628</v>
      </c>
      <c r="AA1765" s="882">
        <f>$S$1*P!AA1765</f>
        <v>9.9052419354838717E-2</v>
      </c>
      <c r="AB1765" s="780"/>
      <c r="AC1765" s="881">
        <v>1761</v>
      </c>
      <c r="AD1765" s="881" t="s">
        <v>4573</v>
      </c>
      <c r="AE1765" s="881" t="s">
        <v>4049</v>
      </c>
      <c r="AF1765" s="890">
        <f>$S$1*P!AF1765</f>
        <v>6.5806451612903227E-3</v>
      </c>
    </row>
    <row r="1766" spans="19:32" x14ac:dyDescent="0.35">
      <c r="S1766" s="789">
        <v>1762</v>
      </c>
      <c r="T1766" s="789" t="s">
        <v>4284</v>
      </c>
      <c r="U1766" s="789" t="s">
        <v>5289</v>
      </c>
      <c r="V1766" s="790">
        <f>$S$1*P!V1766</f>
        <v>421.08000000000004</v>
      </c>
      <c r="W1766" s="780"/>
      <c r="X1766" s="881">
        <v>1762</v>
      </c>
      <c r="Y1766" s="881" t="s">
        <v>2248</v>
      </c>
      <c r="Z1766" s="881" t="s">
        <v>4627</v>
      </c>
      <c r="AA1766" s="882">
        <f>$S$1*P!AA1766</f>
        <v>3.1840725806451614E-2</v>
      </c>
      <c r="AB1766" s="780"/>
      <c r="AC1766" s="881">
        <v>1762</v>
      </c>
      <c r="AD1766" s="881" t="s">
        <v>4573</v>
      </c>
      <c r="AE1766" s="881" t="s">
        <v>4048</v>
      </c>
      <c r="AF1766" s="890">
        <f>$S$1*P!AF1766</f>
        <v>5.8951612903225814E-2</v>
      </c>
    </row>
    <row r="1767" spans="19:32" x14ac:dyDescent="0.35">
      <c r="S1767" s="789">
        <v>1763</v>
      </c>
      <c r="T1767" s="789" t="s">
        <v>4284</v>
      </c>
      <c r="U1767" s="789" t="s">
        <v>5288</v>
      </c>
      <c r="V1767" s="790">
        <f>$S$1*P!V1767</f>
        <v>520.84</v>
      </c>
      <c r="W1767" s="780"/>
      <c r="X1767" s="782">
        <v>1763</v>
      </c>
      <c r="Y1767" s="782" t="s">
        <v>2248</v>
      </c>
      <c r="Z1767" s="782" t="s">
        <v>5287</v>
      </c>
      <c r="AA1767" s="781">
        <f>$S$1*P!AA1767</f>
        <v>3.9072580645161295E-2</v>
      </c>
      <c r="AB1767" s="780"/>
      <c r="AC1767" s="881">
        <v>1763</v>
      </c>
      <c r="AD1767" s="881" t="s">
        <v>4573</v>
      </c>
      <c r="AE1767" s="881" t="s">
        <v>3124</v>
      </c>
      <c r="AF1767" s="890">
        <f>$S$1*P!AF1767</f>
        <v>7.7459677419354849</v>
      </c>
    </row>
    <row r="1768" spans="19:32" x14ac:dyDescent="0.35">
      <c r="S1768" s="789">
        <v>1764</v>
      </c>
      <c r="T1768" s="789" t="s">
        <v>4284</v>
      </c>
      <c r="U1768" s="789" t="s">
        <v>5286</v>
      </c>
      <c r="V1768" s="790">
        <f>$S$1*P!V1768</f>
        <v>451.24</v>
      </c>
      <c r="W1768" s="780"/>
      <c r="X1768" s="881">
        <v>1764</v>
      </c>
      <c r="Y1768" s="881" t="s">
        <v>2248</v>
      </c>
      <c r="Z1768" s="881" t="s">
        <v>3328</v>
      </c>
      <c r="AA1768" s="882">
        <f>$S$1*P!AA1768</f>
        <v>0</v>
      </c>
      <c r="AB1768" s="780"/>
      <c r="AC1768" s="881">
        <v>1764</v>
      </c>
      <c r="AD1768" s="881" t="s">
        <v>4573</v>
      </c>
      <c r="AE1768" s="881" t="s">
        <v>3124</v>
      </c>
      <c r="AF1768" s="882">
        <f>$S$1*P!AF1768</f>
        <v>0</v>
      </c>
    </row>
    <row r="1769" spans="19:32" x14ac:dyDescent="0.35">
      <c r="S1769" s="789">
        <v>1765</v>
      </c>
      <c r="T1769" s="789" t="s">
        <v>4284</v>
      </c>
      <c r="U1769" s="789" t="s">
        <v>5285</v>
      </c>
      <c r="V1769" s="790">
        <f>$S$1*P!V1769</f>
        <v>850.28000000000009</v>
      </c>
      <c r="W1769" s="780"/>
      <c r="X1769" s="881">
        <v>1765</v>
      </c>
      <c r="Y1769" s="881" t="s">
        <v>2248</v>
      </c>
      <c r="Z1769" s="881" t="s">
        <v>4626</v>
      </c>
      <c r="AA1769" s="882">
        <f>$S$1*P!AA1769</f>
        <v>0.19879032258064519</v>
      </c>
      <c r="AB1769" s="780"/>
      <c r="AC1769" s="881">
        <v>1765</v>
      </c>
      <c r="AD1769" s="881" t="s">
        <v>4573</v>
      </c>
      <c r="AE1769" s="881" t="s">
        <v>3123</v>
      </c>
      <c r="AF1769" s="890">
        <f>$S$1*P!AF1769</f>
        <v>323.54838709677421</v>
      </c>
    </row>
    <row r="1770" spans="19:32" x14ac:dyDescent="0.35">
      <c r="S1770" s="789">
        <v>1766</v>
      </c>
      <c r="T1770" s="789" t="s">
        <v>4284</v>
      </c>
      <c r="U1770" s="789" t="s">
        <v>5284</v>
      </c>
      <c r="V1770" s="790">
        <f>$S$1*P!V1770</f>
        <v>25.636000000000003</v>
      </c>
      <c r="W1770" s="780"/>
      <c r="X1770" s="881">
        <v>1766</v>
      </c>
      <c r="Y1770" s="881" t="s">
        <v>2248</v>
      </c>
      <c r="Z1770" s="881" t="s">
        <v>3326</v>
      </c>
      <c r="AA1770" s="882">
        <f>$S$1*P!AA1770</f>
        <v>0</v>
      </c>
      <c r="AB1770" s="780"/>
      <c r="AC1770" s="881">
        <v>1766</v>
      </c>
      <c r="AD1770" s="881" t="s">
        <v>4573</v>
      </c>
      <c r="AE1770" s="881" t="s">
        <v>3123</v>
      </c>
      <c r="AF1770" s="882">
        <f>$S$1*P!AF1770</f>
        <v>134320000</v>
      </c>
    </row>
    <row r="1771" spans="19:32" x14ac:dyDescent="0.35">
      <c r="S1771" s="881">
        <v>1767</v>
      </c>
      <c r="T1771" s="881" t="s">
        <v>4284</v>
      </c>
      <c r="U1771" s="881" t="s">
        <v>4297</v>
      </c>
      <c r="V1771" s="883">
        <f>$S$1*P!V1771</f>
        <v>4.6955645161290326E-4</v>
      </c>
      <c r="W1771" s="780"/>
      <c r="X1771" s="782">
        <v>1767</v>
      </c>
      <c r="Y1771" s="782" t="s">
        <v>2248</v>
      </c>
      <c r="Z1771" s="782" t="s">
        <v>5283</v>
      </c>
      <c r="AA1771" s="781">
        <f>$S$1*P!AA1771</f>
        <v>9.2197580645161301E-3</v>
      </c>
      <c r="AB1771" s="780"/>
      <c r="AC1771" s="782">
        <v>1767</v>
      </c>
      <c r="AD1771" s="782" t="s">
        <v>4573</v>
      </c>
      <c r="AE1771" s="782" t="s">
        <v>4045</v>
      </c>
      <c r="AF1771" s="781">
        <f>$S$1*P!AF1771</f>
        <v>9.3568548387096789E-6</v>
      </c>
    </row>
    <row r="1772" spans="19:32" x14ac:dyDescent="0.35">
      <c r="S1772" s="881">
        <v>1768</v>
      </c>
      <c r="T1772" s="881" t="s">
        <v>4284</v>
      </c>
      <c r="U1772" s="881" t="s">
        <v>4293</v>
      </c>
      <c r="V1772" s="883">
        <f>$S$1*P!V1772</f>
        <v>7.7116935483870975E-6</v>
      </c>
      <c r="W1772" s="780"/>
      <c r="X1772" s="881">
        <v>1768</v>
      </c>
      <c r="Y1772" s="881" t="s">
        <v>2248</v>
      </c>
      <c r="Z1772" s="881" t="s">
        <v>4625</v>
      </c>
      <c r="AA1772" s="882">
        <f>$S$1*P!AA1772</f>
        <v>5.5181451612903239E-4</v>
      </c>
      <c r="AB1772" s="780"/>
      <c r="AC1772" s="881">
        <v>1768</v>
      </c>
      <c r="AD1772" s="881" t="s">
        <v>4573</v>
      </c>
      <c r="AE1772" s="881" t="s">
        <v>4043</v>
      </c>
      <c r="AF1772" s="890">
        <f>$S$1*P!AF1772</f>
        <v>2.1455645161290324E-2</v>
      </c>
    </row>
    <row r="1773" spans="19:32" x14ac:dyDescent="0.35">
      <c r="S1773" s="881">
        <v>1769</v>
      </c>
      <c r="T1773" s="881" t="s">
        <v>4284</v>
      </c>
      <c r="U1773" s="881" t="s">
        <v>4290</v>
      </c>
      <c r="V1773" s="883">
        <f>$S$1*P!V1773</f>
        <v>1.0145161290322582E-3</v>
      </c>
      <c r="W1773" s="780"/>
      <c r="X1773" s="782">
        <v>1769</v>
      </c>
      <c r="Y1773" s="782" t="s">
        <v>2248</v>
      </c>
      <c r="Z1773" s="782" t="s">
        <v>4624</v>
      </c>
      <c r="AA1773" s="781">
        <f>$S$1*P!AA1773</f>
        <v>3.2971774193548391E-3</v>
      </c>
      <c r="AB1773" s="780"/>
      <c r="AC1773" s="782">
        <v>1769</v>
      </c>
      <c r="AD1773" s="782" t="s">
        <v>4573</v>
      </c>
      <c r="AE1773" s="782" t="s">
        <v>4042</v>
      </c>
      <c r="AF1773" s="781">
        <f>$S$1*P!AF1773</f>
        <v>3.838709677419355</v>
      </c>
    </row>
    <row r="1774" spans="19:32" x14ac:dyDescent="0.35">
      <c r="S1774" s="881">
        <v>1770</v>
      </c>
      <c r="T1774" s="881" t="s">
        <v>4284</v>
      </c>
      <c r="U1774" s="881" t="s">
        <v>4288</v>
      </c>
      <c r="V1774" s="883">
        <f>$S$1*P!V1774</f>
        <v>7.1633064516129029E-8</v>
      </c>
      <c r="W1774" s="780"/>
      <c r="X1774" s="782">
        <v>1770</v>
      </c>
      <c r="Y1774" s="782" t="s">
        <v>2248</v>
      </c>
      <c r="Z1774" s="782" t="s">
        <v>5282</v>
      </c>
      <c r="AA1774" s="781">
        <f>$S$1*P!AA1774</f>
        <v>1.333266129032258E-3</v>
      </c>
      <c r="AB1774" s="780"/>
      <c r="AC1774" s="881">
        <v>1770</v>
      </c>
      <c r="AD1774" s="881" t="s">
        <v>4573</v>
      </c>
      <c r="AE1774" s="881" t="s">
        <v>4039</v>
      </c>
      <c r="AF1774" s="890">
        <f>$S$1*P!AF1774</f>
        <v>0.10933467741935485</v>
      </c>
    </row>
    <row r="1775" spans="19:32" x14ac:dyDescent="0.35">
      <c r="S1775" s="782">
        <v>1771</v>
      </c>
      <c r="T1775" s="782" t="s">
        <v>4284</v>
      </c>
      <c r="U1775" s="782" t="s">
        <v>3186</v>
      </c>
      <c r="V1775" s="797">
        <f>$S$1*P!V1775</f>
        <v>9.6653225806451619E-5</v>
      </c>
      <c r="W1775" s="780"/>
      <c r="X1775" s="881">
        <v>1771</v>
      </c>
      <c r="Y1775" s="881" t="s">
        <v>2248</v>
      </c>
      <c r="Z1775" s="881" t="s">
        <v>3325</v>
      </c>
      <c r="AA1775" s="882">
        <f>$S$1*P!AA1775</f>
        <v>1.8860000000000002E-2</v>
      </c>
      <c r="AB1775" s="780"/>
      <c r="AC1775" s="782">
        <v>1771</v>
      </c>
      <c r="AD1775" s="782" t="s">
        <v>4573</v>
      </c>
      <c r="AE1775" s="782" t="s">
        <v>4036</v>
      </c>
      <c r="AF1775" s="781">
        <f>$S$1*P!AF1775</f>
        <v>6.1008064516129039</v>
      </c>
    </row>
    <row r="1776" spans="19:32" x14ac:dyDescent="0.35">
      <c r="S1776" s="881">
        <v>1772</v>
      </c>
      <c r="T1776" s="881" t="s">
        <v>4284</v>
      </c>
      <c r="U1776" s="881" t="s">
        <v>3186</v>
      </c>
      <c r="V1776" s="883">
        <f>$S$1*P!V1776</f>
        <v>0</v>
      </c>
      <c r="W1776" s="863"/>
      <c r="X1776" s="881">
        <v>1772</v>
      </c>
      <c r="Y1776" s="881" t="s">
        <v>2248</v>
      </c>
      <c r="Z1776" s="881" t="s">
        <v>3324</v>
      </c>
      <c r="AA1776" s="882">
        <f>$S$1*P!AA1776</f>
        <v>38.18</v>
      </c>
      <c r="AB1776" s="780"/>
      <c r="AC1776" s="881">
        <v>1772</v>
      </c>
      <c r="AD1776" s="881" t="s">
        <v>4573</v>
      </c>
      <c r="AE1776" s="881" t="s">
        <v>4033</v>
      </c>
      <c r="AF1776" s="890">
        <f>$S$1*P!AF1776</f>
        <v>7.3346774193548394E-3</v>
      </c>
    </row>
    <row r="1777" spans="19:32" x14ac:dyDescent="0.35">
      <c r="S1777" s="881">
        <v>1773</v>
      </c>
      <c r="T1777" s="881" t="s">
        <v>4284</v>
      </c>
      <c r="U1777" s="881" t="s">
        <v>3185</v>
      </c>
      <c r="V1777" s="883">
        <f>$S$1*P!V1777</f>
        <v>0</v>
      </c>
      <c r="W1777" s="780"/>
      <c r="X1777" s="881">
        <v>1773</v>
      </c>
      <c r="Y1777" s="881" t="s">
        <v>2248</v>
      </c>
      <c r="Z1777" s="881" t="s">
        <v>3323</v>
      </c>
      <c r="AA1777" s="882">
        <f>$S$1*P!AA1777</f>
        <v>1.6008000000000001E-3</v>
      </c>
      <c r="AB1777" s="780"/>
      <c r="AC1777" s="881">
        <v>1773</v>
      </c>
      <c r="AD1777" s="881" t="s">
        <v>4573</v>
      </c>
      <c r="AE1777" s="881" t="s">
        <v>3121</v>
      </c>
      <c r="AF1777" s="882">
        <f>$S$1*P!AF1777</f>
        <v>0</v>
      </c>
    </row>
    <row r="1778" spans="19:32" x14ac:dyDescent="0.35">
      <c r="S1778" s="881">
        <v>1774</v>
      </c>
      <c r="T1778" s="881" t="s">
        <v>4284</v>
      </c>
      <c r="U1778" s="881" t="s">
        <v>3183</v>
      </c>
      <c r="V1778" s="883">
        <f>$S$1*P!V1778</f>
        <v>0.58328000000000002</v>
      </c>
      <c r="W1778" s="780"/>
      <c r="X1778" s="782">
        <v>1774</v>
      </c>
      <c r="Y1778" s="782" t="s">
        <v>2248</v>
      </c>
      <c r="Z1778" s="782" t="s">
        <v>5281</v>
      </c>
      <c r="AA1778" s="781">
        <f>$S$1*P!AA1778</f>
        <v>2.1387096774193551E-4</v>
      </c>
      <c r="AB1778" s="780"/>
      <c r="AC1778" s="881">
        <v>1774</v>
      </c>
      <c r="AD1778" s="881" t="s">
        <v>4573</v>
      </c>
      <c r="AE1778" s="881" t="s">
        <v>4032</v>
      </c>
      <c r="AF1778" s="890">
        <f>$S$1*P!AF1778</f>
        <v>0.94596774193548394</v>
      </c>
    </row>
    <row r="1779" spans="19:32" x14ac:dyDescent="0.35">
      <c r="S1779" s="881">
        <v>1775</v>
      </c>
      <c r="T1779" s="881" t="s">
        <v>4284</v>
      </c>
      <c r="U1779" s="881" t="s">
        <v>4282</v>
      </c>
      <c r="V1779" s="883">
        <f>$S$1*P!V1779</f>
        <v>5.3125000000000006E-2</v>
      </c>
      <c r="W1779" s="780"/>
      <c r="X1779" s="881">
        <v>1775</v>
      </c>
      <c r="Y1779" s="881" t="s">
        <v>2248</v>
      </c>
      <c r="Z1779" s="881" t="s">
        <v>3322</v>
      </c>
      <c r="AA1779" s="882">
        <f>$S$1*P!AA1779</f>
        <v>0.13891999999999999</v>
      </c>
      <c r="AB1779" s="780"/>
      <c r="AC1779" s="881">
        <v>1775</v>
      </c>
      <c r="AD1779" s="881" t="s">
        <v>4573</v>
      </c>
      <c r="AE1779" s="881" t="s">
        <v>4029</v>
      </c>
      <c r="AF1779" s="890">
        <f>$S$1*P!AF1779</f>
        <v>14.566532258064518</v>
      </c>
    </row>
    <row r="1780" spans="19:32" x14ac:dyDescent="0.35">
      <c r="S1780" s="782">
        <v>1776</v>
      </c>
      <c r="T1780" s="782" t="s">
        <v>4284</v>
      </c>
      <c r="U1780" s="782" t="s">
        <v>3182</v>
      </c>
      <c r="V1780" s="797">
        <f>$S$1*P!V1780</f>
        <v>0.81915322580645167</v>
      </c>
      <c r="W1780" s="780"/>
      <c r="X1780" s="881">
        <v>1776</v>
      </c>
      <c r="Y1780" s="881" t="s">
        <v>2248</v>
      </c>
      <c r="Z1780" s="881" t="s">
        <v>3321</v>
      </c>
      <c r="AA1780" s="882">
        <f>$S$1*P!AA1780</f>
        <v>0.23736000000000002</v>
      </c>
      <c r="AB1780" s="780"/>
      <c r="AC1780" s="782">
        <v>1776</v>
      </c>
      <c r="AD1780" s="782" t="s">
        <v>4573</v>
      </c>
      <c r="AE1780" s="782" t="s">
        <v>4027</v>
      </c>
      <c r="AF1780" s="781">
        <f>$S$1*P!AF1780</f>
        <v>620.36290322580646</v>
      </c>
    </row>
    <row r="1781" spans="19:32" x14ac:dyDescent="0.35">
      <c r="S1781" s="881">
        <v>1777</v>
      </c>
      <c r="T1781" s="881" t="s">
        <v>4284</v>
      </c>
      <c r="U1781" s="881" t="s">
        <v>3182</v>
      </c>
      <c r="V1781" s="883">
        <f>$S$1*P!V1781</f>
        <v>0</v>
      </c>
      <c r="W1781" s="780"/>
      <c r="X1781" s="881">
        <v>1777</v>
      </c>
      <c r="Y1781" s="881" t="s">
        <v>2248</v>
      </c>
      <c r="Z1781" s="881" t="s">
        <v>3321</v>
      </c>
      <c r="AA1781" s="882">
        <f>$S$1*P!AA1781</f>
        <v>1.7822580645161291E-3</v>
      </c>
      <c r="AB1781" s="780"/>
      <c r="AC1781" s="782">
        <v>1777</v>
      </c>
      <c r="AD1781" s="782" t="s">
        <v>4573</v>
      </c>
      <c r="AE1781" s="782" t="s">
        <v>4025</v>
      </c>
      <c r="AF1781" s="781">
        <f>$S$1*P!AF1781</f>
        <v>3.0778225806451613E-3</v>
      </c>
    </row>
    <row r="1782" spans="19:32" x14ac:dyDescent="0.35">
      <c r="S1782" s="881">
        <v>1778</v>
      </c>
      <c r="T1782" s="881" t="s">
        <v>4284</v>
      </c>
      <c r="U1782" s="881" t="s">
        <v>4277</v>
      </c>
      <c r="V1782" s="883">
        <f>$S$1*P!V1782</f>
        <v>2.8995967741935488E-4</v>
      </c>
      <c r="W1782" s="780"/>
      <c r="X1782" s="782">
        <v>1778</v>
      </c>
      <c r="Y1782" s="782" t="s">
        <v>2248</v>
      </c>
      <c r="Z1782" s="782" t="s">
        <v>3640</v>
      </c>
      <c r="AA1782" s="781">
        <f>$S$1*P!AA1782</f>
        <v>5.5181451612903226E-3</v>
      </c>
      <c r="AB1782" s="780"/>
      <c r="AC1782" s="782">
        <v>1778</v>
      </c>
      <c r="AD1782" s="782" t="s">
        <v>4573</v>
      </c>
      <c r="AE1782" s="782" t="s">
        <v>4021</v>
      </c>
      <c r="AF1782" s="781">
        <f>$S$1*P!AF1782</f>
        <v>0.30195564516129036</v>
      </c>
    </row>
    <row r="1783" spans="19:32" x14ac:dyDescent="0.35">
      <c r="S1783" s="782">
        <v>1779</v>
      </c>
      <c r="T1783" s="782" t="s">
        <v>4284</v>
      </c>
      <c r="U1783" s="782" t="s">
        <v>4274</v>
      </c>
      <c r="V1783" s="797">
        <f>$S$1*P!V1783</f>
        <v>1.144758064516129E-4</v>
      </c>
      <c r="W1783" s="780"/>
      <c r="X1783" s="782">
        <v>1779</v>
      </c>
      <c r="Y1783" s="782" t="s">
        <v>2248</v>
      </c>
      <c r="Z1783" s="782" t="s">
        <v>4623</v>
      </c>
      <c r="AA1783" s="781">
        <f>$S$1*P!AA1783</f>
        <v>1.0110887096774195</v>
      </c>
      <c r="AB1783" s="780"/>
      <c r="AC1783" s="782">
        <v>1779</v>
      </c>
      <c r="AD1783" s="782" t="s">
        <v>4573</v>
      </c>
      <c r="AE1783" s="782" t="s">
        <v>4020</v>
      </c>
      <c r="AF1783" s="781">
        <f>$S$1*P!AF1783</f>
        <v>2.3854838709677421E-2</v>
      </c>
    </row>
    <row r="1784" spans="19:32" x14ac:dyDescent="0.35">
      <c r="S1784" s="881">
        <v>1780</v>
      </c>
      <c r="T1784" s="881" t="s">
        <v>4284</v>
      </c>
      <c r="U1784" s="881" t="s">
        <v>3180</v>
      </c>
      <c r="V1784" s="883">
        <f>$S$1*P!V1784</f>
        <v>0</v>
      </c>
      <c r="W1784" s="780"/>
      <c r="X1784" s="782">
        <v>1780</v>
      </c>
      <c r="Y1784" s="782" t="s">
        <v>2248</v>
      </c>
      <c r="Z1784" s="782" t="s">
        <v>5280</v>
      </c>
      <c r="AA1784" s="781">
        <f>$S$1*P!AA1784</f>
        <v>2.9372983870967745E-5</v>
      </c>
      <c r="AB1784" s="780"/>
      <c r="AC1784" s="881">
        <v>1780</v>
      </c>
      <c r="AD1784" s="881" t="s">
        <v>4573</v>
      </c>
      <c r="AE1784" s="881" t="s">
        <v>3120</v>
      </c>
      <c r="AF1784" s="882">
        <f>$S$1*P!AF1784</f>
        <v>0</v>
      </c>
    </row>
    <row r="1785" spans="19:32" x14ac:dyDescent="0.35">
      <c r="S1785" s="881">
        <v>1781</v>
      </c>
      <c r="T1785" s="881" t="s">
        <v>4284</v>
      </c>
      <c r="U1785" s="881" t="s">
        <v>4271</v>
      </c>
      <c r="V1785" s="883">
        <f>$S$1*P!V1785</f>
        <v>9.6310483870967745E-2</v>
      </c>
      <c r="W1785" s="780"/>
      <c r="X1785" s="881">
        <v>1781</v>
      </c>
      <c r="Y1785" s="881" t="s">
        <v>2248</v>
      </c>
      <c r="Z1785" s="881" t="s">
        <v>3320</v>
      </c>
      <c r="AA1785" s="882">
        <f>$S$1*P!AA1785</f>
        <v>0</v>
      </c>
      <c r="AB1785" s="780"/>
      <c r="AC1785" s="782">
        <v>1781</v>
      </c>
      <c r="AD1785" s="782" t="s">
        <v>4573</v>
      </c>
      <c r="AE1785" s="782" t="s">
        <v>4019</v>
      </c>
      <c r="AF1785" s="781">
        <f>$S$1*P!AF1785</f>
        <v>5.8608870967741943E-2</v>
      </c>
    </row>
    <row r="1786" spans="19:32" x14ac:dyDescent="0.35">
      <c r="S1786" s="881">
        <v>1782</v>
      </c>
      <c r="T1786" s="881" t="s">
        <v>4284</v>
      </c>
      <c r="U1786" s="881" t="s">
        <v>4267</v>
      </c>
      <c r="V1786" s="883">
        <f>$S$1*P!V1786</f>
        <v>3.2183467741935486E-2</v>
      </c>
      <c r="W1786" s="780"/>
      <c r="X1786" s="881">
        <v>1782</v>
      </c>
      <c r="Y1786" s="881" t="s">
        <v>2248</v>
      </c>
      <c r="Z1786" s="881" t="s">
        <v>4622</v>
      </c>
      <c r="AA1786" s="882">
        <f>$S$1*P!AA1786</f>
        <v>1.0008064516129032E-2</v>
      </c>
      <c r="AB1786" s="780"/>
      <c r="AC1786" s="881">
        <v>1782</v>
      </c>
      <c r="AD1786" s="881" t="s">
        <v>4573</v>
      </c>
      <c r="AE1786" s="881" t="s">
        <v>3118</v>
      </c>
      <c r="AF1786" s="882">
        <f>$S$1*P!AF1786</f>
        <v>0.24380000000000002</v>
      </c>
    </row>
    <row r="1787" spans="19:32" x14ac:dyDescent="0.35">
      <c r="S1787" s="881">
        <v>1783</v>
      </c>
      <c r="T1787" s="881" t="s">
        <v>4284</v>
      </c>
      <c r="U1787" s="881" t="s">
        <v>4264</v>
      </c>
      <c r="V1787" s="883">
        <f>$S$1*P!V1787</f>
        <v>1.264717741935484E-2</v>
      </c>
      <c r="W1787" s="780"/>
      <c r="X1787" s="782">
        <v>1783</v>
      </c>
      <c r="Y1787" s="782" t="s">
        <v>2248</v>
      </c>
      <c r="Z1787" s="782" t="s">
        <v>5279</v>
      </c>
      <c r="AA1787" s="781">
        <f>$S$1*P!AA1787</f>
        <v>8.2258064516129038E-3</v>
      </c>
      <c r="AB1787" s="780"/>
      <c r="AC1787" s="782">
        <v>1783</v>
      </c>
      <c r="AD1787" s="782" t="s">
        <v>4573</v>
      </c>
      <c r="AE1787" s="782" t="s">
        <v>4016</v>
      </c>
      <c r="AF1787" s="781">
        <f>$S$1*P!AF1787</f>
        <v>2.6391129032258065</v>
      </c>
    </row>
    <row r="1788" spans="19:32" x14ac:dyDescent="0.35">
      <c r="S1788" s="881">
        <v>1784</v>
      </c>
      <c r="T1788" s="881" t="s">
        <v>4284</v>
      </c>
      <c r="U1788" s="881" t="s">
        <v>3179</v>
      </c>
      <c r="V1788" s="883">
        <f>$S$1*P!V1788</f>
        <v>0</v>
      </c>
      <c r="W1788" s="780"/>
      <c r="X1788" s="881">
        <v>1784</v>
      </c>
      <c r="Y1788" s="881" t="s">
        <v>2248</v>
      </c>
      <c r="Z1788" s="881" t="s">
        <v>3319</v>
      </c>
      <c r="AA1788" s="882">
        <f>$S$1*P!AA1788</f>
        <v>0.99360000000000004</v>
      </c>
      <c r="AB1788" s="780"/>
      <c r="AC1788" s="782">
        <v>1784</v>
      </c>
      <c r="AD1788" s="782" t="s">
        <v>4573</v>
      </c>
      <c r="AE1788" s="782" t="s">
        <v>4015</v>
      </c>
      <c r="AF1788" s="781">
        <f>$S$1*P!AF1788</f>
        <v>5.895161290322581</v>
      </c>
    </row>
    <row r="1789" spans="19:32" x14ac:dyDescent="0.35">
      <c r="S1789" s="881">
        <v>1785</v>
      </c>
      <c r="T1789" s="881" t="s">
        <v>4284</v>
      </c>
      <c r="U1789" s="885" t="s">
        <v>3178</v>
      </c>
      <c r="V1789" s="887">
        <f>$S$1*P!V1789</f>
        <v>2.2816000000000001</v>
      </c>
      <c r="W1789" s="780"/>
      <c r="X1789" s="782">
        <v>1785</v>
      </c>
      <c r="Y1789" s="782" t="s">
        <v>2248</v>
      </c>
      <c r="Z1789" s="782" t="s">
        <v>3319</v>
      </c>
      <c r="AA1789" s="781">
        <f>$S$1*P!AA1789</f>
        <v>5.55241935483871</v>
      </c>
      <c r="AB1789" s="780"/>
      <c r="AC1789" s="782">
        <v>1785</v>
      </c>
      <c r="AD1789" s="782" t="s">
        <v>4573</v>
      </c>
      <c r="AE1789" s="782" t="s">
        <v>4012</v>
      </c>
      <c r="AF1789" s="781">
        <f>$S$1*P!AF1789</f>
        <v>5.415322580645162E-2</v>
      </c>
    </row>
    <row r="1790" spans="19:32" x14ac:dyDescent="0.35">
      <c r="S1790" s="881">
        <v>1786</v>
      </c>
      <c r="T1790" s="881" t="s">
        <v>4284</v>
      </c>
      <c r="U1790" s="881" t="s">
        <v>4260</v>
      </c>
      <c r="V1790" s="883">
        <f>$S$1*P!V1790</f>
        <v>3.1360887096774197E-3</v>
      </c>
      <c r="W1790" s="780"/>
      <c r="X1790" s="881">
        <v>1786</v>
      </c>
      <c r="Y1790" s="881" t="s">
        <v>2248</v>
      </c>
      <c r="Z1790" s="881" t="s">
        <v>4621</v>
      </c>
      <c r="AA1790" s="882">
        <f>$S$1*P!AA1790</f>
        <v>1.9981854838709678</v>
      </c>
      <c r="AB1790" s="780"/>
      <c r="AC1790" s="782">
        <v>1786</v>
      </c>
      <c r="AD1790" s="782" t="s">
        <v>4573</v>
      </c>
      <c r="AE1790" s="782" t="s">
        <v>4009</v>
      </c>
      <c r="AF1790" s="781">
        <f>$S$1*P!AF1790</f>
        <v>1.4463709677419357E-2</v>
      </c>
    </row>
    <row r="1791" spans="19:32" x14ac:dyDescent="0.35">
      <c r="S1791" s="782">
        <v>1787</v>
      </c>
      <c r="T1791" s="782" t="s">
        <v>4284</v>
      </c>
      <c r="U1791" s="782" t="s">
        <v>3176</v>
      </c>
      <c r="V1791" s="797">
        <f>$S$1*P!V1791</f>
        <v>8.1915322580645164E-4</v>
      </c>
      <c r="W1791" s="780"/>
      <c r="X1791" s="782">
        <v>1787</v>
      </c>
      <c r="Y1791" s="782" t="s">
        <v>2248</v>
      </c>
      <c r="Z1791" s="782" t="s">
        <v>5278</v>
      </c>
      <c r="AA1791" s="781">
        <f>$S$1*P!AA1791</f>
        <v>5.106854838709678E-4</v>
      </c>
      <c r="AB1791" s="780"/>
      <c r="AC1791" s="782">
        <v>1787</v>
      </c>
      <c r="AD1791" s="782" t="s">
        <v>4573</v>
      </c>
      <c r="AE1791" s="782" t="s">
        <v>4006</v>
      </c>
      <c r="AF1791" s="781">
        <f>$S$1*P!AF1791</f>
        <v>6.1693548387096779E-2</v>
      </c>
    </row>
    <row r="1792" spans="19:32" x14ac:dyDescent="0.35">
      <c r="S1792" s="881">
        <v>1788</v>
      </c>
      <c r="T1792" s="881" t="s">
        <v>4284</v>
      </c>
      <c r="U1792" s="881" t="s">
        <v>3176</v>
      </c>
      <c r="V1792" s="883">
        <f>$S$1*P!V1792</f>
        <v>3.8363999999999998</v>
      </c>
      <c r="W1792" s="780"/>
      <c r="X1792" s="881">
        <v>1788</v>
      </c>
      <c r="Y1792" s="881" t="s">
        <v>2248</v>
      </c>
      <c r="Z1792" s="881" t="s">
        <v>3318</v>
      </c>
      <c r="AA1792" s="882">
        <f>$S$1*P!AA1792</f>
        <v>0</v>
      </c>
      <c r="AB1792" s="780"/>
      <c r="AC1792" s="782">
        <v>1788</v>
      </c>
      <c r="AD1792" s="782" t="s">
        <v>4573</v>
      </c>
      <c r="AE1792" s="782" t="s">
        <v>4004</v>
      </c>
      <c r="AF1792" s="781">
        <f>$S$1*P!AF1792</f>
        <v>1.3778225806451614E-2</v>
      </c>
    </row>
    <row r="1793" spans="19:32" x14ac:dyDescent="0.35">
      <c r="S1793" s="881">
        <v>1789</v>
      </c>
      <c r="T1793" s="881" t="s">
        <v>4284</v>
      </c>
      <c r="U1793" s="881" t="s">
        <v>4256</v>
      </c>
      <c r="V1793" s="883">
        <f>$S$1*P!V1793</f>
        <v>2.3786290322580649E-4</v>
      </c>
      <c r="W1793" s="780"/>
      <c r="X1793" s="881">
        <v>1789</v>
      </c>
      <c r="Y1793" s="881" t="s">
        <v>2248</v>
      </c>
      <c r="Z1793" s="881" t="s">
        <v>3318</v>
      </c>
      <c r="AA1793" s="882">
        <f>$S$1*P!AA1793</f>
        <v>3.0812500000000002E-3</v>
      </c>
      <c r="AB1793" s="780"/>
      <c r="AC1793" s="782">
        <v>1789</v>
      </c>
      <c r="AD1793" s="782" t="s">
        <v>4573</v>
      </c>
      <c r="AE1793" s="782" t="s">
        <v>3116</v>
      </c>
      <c r="AF1793" s="781">
        <f>$S$1*P!AF1793</f>
        <v>7.9173387096774199</v>
      </c>
    </row>
    <row r="1794" spans="19:32" x14ac:dyDescent="0.35">
      <c r="S1794" s="782">
        <v>1790</v>
      </c>
      <c r="T1794" s="782" t="s">
        <v>4284</v>
      </c>
      <c r="U1794" s="782" t="s">
        <v>3175</v>
      </c>
      <c r="V1794" s="797">
        <f>$S$1*P!V1794</f>
        <v>6.5120967741935491E-4</v>
      </c>
      <c r="W1794" s="780"/>
      <c r="X1794" s="881">
        <v>1790</v>
      </c>
      <c r="Y1794" s="881" t="s">
        <v>2248</v>
      </c>
      <c r="Z1794" s="881" t="s">
        <v>4620</v>
      </c>
      <c r="AA1794" s="882">
        <f>$S$1*P!AA1794</f>
        <v>8.1229838709677427E-4</v>
      </c>
      <c r="AB1794" s="780"/>
      <c r="AC1794" s="881">
        <v>1790</v>
      </c>
      <c r="AD1794" s="881" t="s">
        <v>4573</v>
      </c>
      <c r="AE1794" s="881" t="s">
        <v>3116</v>
      </c>
      <c r="AF1794" s="882">
        <f>$S$1*P!AF1794</f>
        <v>0</v>
      </c>
    </row>
    <row r="1795" spans="19:32" x14ac:dyDescent="0.35">
      <c r="S1795" s="881">
        <v>1791</v>
      </c>
      <c r="T1795" s="881" t="s">
        <v>4284</v>
      </c>
      <c r="U1795" s="881" t="s">
        <v>3175</v>
      </c>
      <c r="V1795" s="883">
        <f>$S$1*P!V1795</f>
        <v>0</v>
      </c>
      <c r="W1795" s="780"/>
      <c r="X1795" s="782">
        <v>1791</v>
      </c>
      <c r="Y1795" s="782" t="s">
        <v>2248</v>
      </c>
      <c r="Z1795" s="782" t="s">
        <v>5277</v>
      </c>
      <c r="AA1795" s="781">
        <f>$S$1*P!AA1795</f>
        <v>5.8266129032258064E-5</v>
      </c>
      <c r="AB1795" s="780"/>
      <c r="AC1795" s="782">
        <v>1791</v>
      </c>
      <c r="AD1795" s="782" t="s">
        <v>4573</v>
      </c>
      <c r="AE1795" s="782" t="s">
        <v>4001</v>
      </c>
      <c r="AF1795" s="781">
        <f>$S$1*P!AF1795</f>
        <v>22.758064516129036</v>
      </c>
    </row>
    <row r="1796" spans="19:32" x14ac:dyDescent="0.35">
      <c r="S1796" s="881">
        <v>1792</v>
      </c>
      <c r="T1796" s="881" t="s">
        <v>4284</v>
      </c>
      <c r="U1796" s="881" t="s">
        <v>3173</v>
      </c>
      <c r="V1796" s="883">
        <f>$S$1*P!V1796</f>
        <v>0</v>
      </c>
      <c r="W1796" s="780"/>
      <c r="X1796" s="881">
        <v>1792</v>
      </c>
      <c r="Y1796" s="881" t="s">
        <v>2248</v>
      </c>
      <c r="Z1796" s="881" t="s">
        <v>3317</v>
      </c>
      <c r="AA1796" s="882">
        <f>$S$1*P!AA1796</f>
        <v>50.14</v>
      </c>
      <c r="AB1796" s="780"/>
      <c r="AC1796" s="782">
        <v>1792</v>
      </c>
      <c r="AD1796" s="782" t="s">
        <v>4573</v>
      </c>
      <c r="AE1796" s="782" t="s">
        <v>4000</v>
      </c>
      <c r="AF1796" s="781">
        <f>$S$1*P!AF1796</f>
        <v>44.556451612903231</v>
      </c>
    </row>
    <row r="1797" spans="19:32" x14ac:dyDescent="0.35">
      <c r="S1797" s="881">
        <v>1793</v>
      </c>
      <c r="T1797" s="881" t="s">
        <v>4284</v>
      </c>
      <c r="U1797" s="881" t="s">
        <v>3172</v>
      </c>
      <c r="V1797" s="883">
        <f>$S$1*P!V1797</f>
        <v>5.79233870967742E-2</v>
      </c>
      <c r="W1797" s="780"/>
      <c r="X1797" s="881">
        <v>1793</v>
      </c>
      <c r="Y1797" s="881" t="s">
        <v>2248</v>
      </c>
      <c r="Z1797" s="881" t="s">
        <v>3316</v>
      </c>
      <c r="AA1797" s="882">
        <f>$S$1*P!AA1797</f>
        <v>2.944</v>
      </c>
      <c r="AB1797" s="780"/>
      <c r="AC1797" s="782">
        <v>1793</v>
      </c>
      <c r="AD1797" s="782" t="s">
        <v>4573</v>
      </c>
      <c r="AE1797" s="782" t="s">
        <v>3997</v>
      </c>
      <c r="AF1797" s="781">
        <f>$S$1*P!AF1797</f>
        <v>1.453225806451613</v>
      </c>
    </row>
    <row r="1798" spans="19:32" x14ac:dyDescent="0.35">
      <c r="S1798" s="881">
        <v>1794</v>
      </c>
      <c r="T1798" s="881" t="s">
        <v>4284</v>
      </c>
      <c r="U1798" s="881" t="s">
        <v>3172</v>
      </c>
      <c r="V1798" s="883">
        <f>$S$1*P!V1798</f>
        <v>0</v>
      </c>
      <c r="W1798" s="780"/>
      <c r="X1798" s="782">
        <v>1794</v>
      </c>
      <c r="Y1798" s="782" t="s">
        <v>2248</v>
      </c>
      <c r="Z1798" s="782" t="s">
        <v>5276</v>
      </c>
      <c r="AA1798" s="781">
        <f>$S$1*P!AA1798</f>
        <v>1.1995967741935485E-3</v>
      </c>
      <c r="AB1798" s="780"/>
      <c r="AC1798" s="782">
        <v>1794</v>
      </c>
      <c r="AD1798" s="782" t="s">
        <v>4573</v>
      </c>
      <c r="AE1798" s="782" t="s">
        <v>3996</v>
      </c>
      <c r="AF1798" s="781">
        <f>$S$1*P!AF1798</f>
        <v>9.6653225806451619</v>
      </c>
    </row>
    <row r="1799" spans="19:32" x14ac:dyDescent="0.35">
      <c r="S1799" s="782">
        <v>1795</v>
      </c>
      <c r="T1799" s="782" t="s">
        <v>4284</v>
      </c>
      <c r="U1799" s="782" t="s">
        <v>4250</v>
      </c>
      <c r="V1799" s="797">
        <f>$S$1*P!V1799</f>
        <v>9.0826612903225815E-2</v>
      </c>
      <c r="W1799" s="780"/>
      <c r="X1799" s="881">
        <v>1795</v>
      </c>
      <c r="Y1799" s="881" t="s">
        <v>2248</v>
      </c>
      <c r="Z1799" s="881" t="s">
        <v>3315</v>
      </c>
      <c r="AA1799" s="882">
        <f>$S$1*P!AA1799</f>
        <v>63.296000000000006</v>
      </c>
      <c r="AB1799" s="780"/>
      <c r="AC1799" s="782">
        <v>1795</v>
      </c>
      <c r="AD1799" s="782" t="s">
        <v>4573</v>
      </c>
      <c r="AE1799" s="782" t="s">
        <v>3993</v>
      </c>
      <c r="AF1799" s="781">
        <f>$S$1*P!AF1799</f>
        <v>9.1854838709677425E-6</v>
      </c>
    </row>
    <row r="1800" spans="19:32" x14ac:dyDescent="0.35">
      <c r="S1800" s="881">
        <v>1796</v>
      </c>
      <c r="T1800" s="881" t="s">
        <v>4284</v>
      </c>
      <c r="U1800" s="881" t="s">
        <v>3170</v>
      </c>
      <c r="V1800" s="883">
        <f>$S$1*P!V1800</f>
        <v>2.3272177419354843E-3</v>
      </c>
      <c r="W1800" s="780"/>
      <c r="X1800" s="881">
        <v>1796</v>
      </c>
      <c r="Y1800" s="881" t="s">
        <v>2248</v>
      </c>
      <c r="Z1800" s="881" t="s">
        <v>3313</v>
      </c>
      <c r="AA1800" s="882">
        <f>$S$1*P!AA1800</f>
        <v>47.012</v>
      </c>
      <c r="AB1800" s="780"/>
      <c r="AC1800" s="782">
        <v>1796</v>
      </c>
      <c r="AD1800" s="782" t="s">
        <v>4573</v>
      </c>
      <c r="AE1800" s="782" t="s">
        <v>3115</v>
      </c>
      <c r="AF1800" s="781">
        <f>$S$1*P!AF1800</f>
        <v>2.056451612903226</v>
      </c>
    </row>
    <row r="1801" spans="19:32" x14ac:dyDescent="0.35">
      <c r="S1801" s="881">
        <v>1797</v>
      </c>
      <c r="T1801" s="881" t="s">
        <v>4284</v>
      </c>
      <c r="U1801" s="881" t="s">
        <v>3170</v>
      </c>
      <c r="V1801" s="883">
        <f>$S$1*P!V1801</f>
        <v>5023.2</v>
      </c>
      <c r="W1801" s="780"/>
      <c r="X1801" s="782">
        <v>1797</v>
      </c>
      <c r="Y1801" s="782" t="s">
        <v>2248</v>
      </c>
      <c r="Z1801" s="782" t="s">
        <v>5275</v>
      </c>
      <c r="AA1801" s="781">
        <f>$S$1*P!AA1801</f>
        <v>4.1814516129032257E-5</v>
      </c>
      <c r="AB1801" s="780"/>
      <c r="AC1801" s="881">
        <v>1797</v>
      </c>
      <c r="AD1801" s="881" t="s">
        <v>4573</v>
      </c>
      <c r="AE1801" s="881" t="s">
        <v>3115</v>
      </c>
      <c r="AF1801" s="882">
        <f>$S$1*P!AF1801</f>
        <v>0</v>
      </c>
    </row>
    <row r="1802" spans="19:32" x14ac:dyDescent="0.35">
      <c r="S1802" s="881">
        <v>1798</v>
      </c>
      <c r="T1802" s="881" t="s">
        <v>4284</v>
      </c>
      <c r="U1802" s="881" t="s">
        <v>3169</v>
      </c>
      <c r="V1802" s="883">
        <f>$S$1*P!V1802</f>
        <v>3.9283999999999999E-2</v>
      </c>
      <c r="W1802" s="780"/>
      <c r="X1802" s="881">
        <v>1798</v>
      </c>
      <c r="Y1802" s="881" t="s">
        <v>2248</v>
      </c>
      <c r="Z1802" s="881" t="s">
        <v>3312</v>
      </c>
      <c r="AA1802" s="882">
        <f>$S$1*P!AA1802</f>
        <v>3.5235999999999996E-2</v>
      </c>
      <c r="AB1802" s="780"/>
      <c r="AC1802" s="881">
        <v>1798</v>
      </c>
      <c r="AD1802" s="881" t="s">
        <v>4573</v>
      </c>
      <c r="AE1802" s="881" t="s">
        <v>3113</v>
      </c>
      <c r="AF1802" s="882">
        <f>$S$1*P!AF1802</f>
        <v>4.2228000000000003</v>
      </c>
    </row>
    <row r="1803" spans="19:32" x14ac:dyDescent="0.35">
      <c r="S1803" s="881">
        <v>1799</v>
      </c>
      <c r="T1803" s="881" t="s">
        <v>4284</v>
      </c>
      <c r="U1803" s="881" t="s">
        <v>4248</v>
      </c>
      <c r="V1803" s="883">
        <f>$S$1*P!V1803</f>
        <v>4.1129032258064517E-4</v>
      </c>
      <c r="W1803" s="780"/>
      <c r="X1803" s="881">
        <v>1799</v>
      </c>
      <c r="Y1803" s="881" t="s">
        <v>2248</v>
      </c>
      <c r="Z1803" s="881" t="s">
        <v>4619</v>
      </c>
      <c r="AA1803" s="882">
        <f>$S$1*P!AA1803</f>
        <v>3.0469758064516132E-2</v>
      </c>
      <c r="AB1803" s="780"/>
      <c r="AC1803" s="782">
        <v>1799</v>
      </c>
      <c r="AD1803" s="782" t="s">
        <v>4573</v>
      </c>
      <c r="AE1803" s="782" t="s">
        <v>3112</v>
      </c>
      <c r="AF1803" s="781">
        <f>$S$1*P!AF1803</f>
        <v>9.9052419354838713E-3</v>
      </c>
    </row>
    <row r="1804" spans="19:32" x14ac:dyDescent="0.35">
      <c r="S1804" s="881">
        <v>1800</v>
      </c>
      <c r="T1804" s="881" t="s">
        <v>4284</v>
      </c>
      <c r="U1804" s="881" t="s">
        <v>4245</v>
      </c>
      <c r="V1804" s="883">
        <f>$S$1*P!V1804</f>
        <v>987.09677419354841</v>
      </c>
      <c r="W1804" s="780"/>
      <c r="X1804" s="782">
        <v>1800</v>
      </c>
      <c r="Y1804" s="782" t="s">
        <v>2248</v>
      </c>
      <c r="Z1804" s="782" t="s">
        <v>4618</v>
      </c>
      <c r="AA1804" s="781">
        <f>$S$1*P!AA1804</f>
        <v>8.3286290322580651E-6</v>
      </c>
      <c r="AB1804" s="780"/>
      <c r="AC1804" s="881">
        <v>1800</v>
      </c>
      <c r="AD1804" s="881" t="s">
        <v>4573</v>
      </c>
      <c r="AE1804" s="881" t="s">
        <v>3112</v>
      </c>
      <c r="AF1804" s="882">
        <f>$S$1*P!AF1804</f>
        <v>0.38179999999999997</v>
      </c>
    </row>
    <row r="1805" spans="19:32" x14ac:dyDescent="0.35">
      <c r="S1805" s="881">
        <v>1801</v>
      </c>
      <c r="T1805" s="881" t="s">
        <v>4284</v>
      </c>
      <c r="U1805" s="881" t="s">
        <v>3167</v>
      </c>
      <c r="V1805" s="883">
        <f>$S$1*P!V1805</f>
        <v>0</v>
      </c>
      <c r="W1805" s="780"/>
      <c r="X1805" s="782">
        <v>1801</v>
      </c>
      <c r="Y1805" s="782" t="s">
        <v>2248</v>
      </c>
      <c r="Z1805" s="782" t="s">
        <v>5274</v>
      </c>
      <c r="AA1805" s="781">
        <f>$S$1*P!AA1805</f>
        <v>7.1290322580645169E-5</v>
      </c>
      <c r="AB1805" s="780"/>
      <c r="AC1805" s="881">
        <v>1801</v>
      </c>
      <c r="AD1805" s="881" t="s">
        <v>4573</v>
      </c>
      <c r="AE1805" s="881" t="s">
        <v>3111</v>
      </c>
      <c r="AF1805" s="882">
        <f>$S$1*P!AF1805</f>
        <v>0</v>
      </c>
    </row>
    <row r="1806" spans="19:32" x14ac:dyDescent="0.35">
      <c r="S1806" s="881">
        <v>1802</v>
      </c>
      <c r="T1806" s="881" t="s">
        <v>4284</v>
      </c>
      <c r="U1806" s="881" t="s">
        <v>4243</v>
      </c>
      <c r="V1806" s="883">
        <f>$S$1*P!V1806</f>
        <v>8.911290322580645E-3</v>
      </c>
      <c r="W1806" s="780"/>
      <c r="X1806" s="881">
        <v>1802</v>
      </c>
      <c r="Y1806" s="881" t="s">
        <v>2248</v>
      </c>
      <c r="Z1806" s="881" t="s">
        <v>3310</v>
      </c>
      <c r="AA1806" s="882">
        <f>$S$1*P!AA1806</f>
        <v>1.1868E-2</v>
      </c>
      <c r="AB1806" s="780"/>
      <c r="AC1806" s="881">
        <v>1802</v>
      </c>
      <c r="AD1806" s="881" t="s">
        <v>4573</v>
      </c>
      <c r="AE1806" s="881" t="s">
        <v>3110</v>
      </c>
      <c r="AF1806" s="882">
        <f>$S$1*P!AF1806</f>
        <v>0</v>
      </c>
    </row>
    <row r="1807" spans="19:32" x14ac:dyDescent="0.35">
      <c r="S1807" s="782">
        <v>1803</v>
      </c>
      <c r="T1807" s="782" t="s">
        <v>4284</v>
      </c>
      <c r="U1807" s="782" t="s">
        <v>4241</v>
      </c>
      <c r="V1807" s="797">
        <f>$S$1*P!V1807</f>
        <v>6.7862903225806459E-2</v>
      </c>
      <c r="W1807" s="780"/>
      <c r="X1807" s="881">
        <v>1803</v>
      </c>
      <c r="Y1807" s="881" t="s">
        <v>2248</v>
      </c>
      <c r="Z1807" s="881" t="s">
        <v>4617</v>
      </c>
      <c r="AA1807" s="882">
        <f>$S$1*P!AA1807</f>
        <v>0.10830645161290324</v>
      </c>
      <c r="AB1807" s="780"/>
      <c r="AC1807" s="782">
        <v>1803</v>
      </c>
      <c r="AD1807" s="782" t="s">
        <v>4573</v>
      </c>
      <c r="AE1807" s="782" t="s">
        <v>3987</v>
      </c>
      <c r="AF1807" s="781">
        <f>$S$1*P!AF1807</f>
        <v>27.145161290322584</v>
      </c>
    </row>
    <row r="1808" spans="19:32" x14ac:dyDescent="0.35">
      <c r="S1808" s="881">
        <v>1804</v>
      </c>
      <c r="T1808" s="881" t="s">
        <v>4284</v>
      </c>
      <c r="U1808" s="881" t="s">
        <v>4237</v>
      </c>
      <c r="V1808" s="883">
        <f>$S$1*P!V1808</f>
        <v>3.5645161290322587E-4</v>
      </c>
      <c r="W1808" s="780"/>
      <c r="X1808" s="782">
        <v>1804</v>
      </c>
      <c r="Y1808" s="782" t="s">
        <v>2248</v>
      </c>
      <c r="Z1808" s="782" t="s">
        <v>5273</v>
      </c>
      <c r="AA1808" s="781">
        <f>$S$1*P!AA1808</f>
        <v>1.3881048387096775E-3</v>
      </c>
      <c r="AB1808" s="780"/>
      <c r="AC1808" s="782">
        <v>1804</v>
      </c>
      <c r="AD1808" s="782" t="s">
        <v>4573</v>
      </c>
      <c r="AE1808" s="782" t="s">
        <v>3984</v>
      </c>
      <c r="AF1808" s="781">
        <f>$S$1*P!AF1808</f>
        <v>1.2784274193548388</v>
      </c>
    </row>
    <row r="1809" spans="19:32" x14ac:dyDescent="0.35">
      <c r="S1809" s="782">
        <v>1805</v>
      </c>
      <c r="T1809" s="782" t="s">
        <v>4284</v>
      </c>
      <c r="U1809" s="782" t="s">
        <v>4235</v>
      </c>
      <c r="V1809" s="797">
        <f>$S$1*P!V1809</f>
        <v>8.5342741935483875E-4</v>
      </c>
      <c r="W1809" s="780"/>
      <c r="X1809" s="782">
        <v>1805</v>
      </c>
      <c r="Y1809" s="782" t="s">
        <v>2248</v>
      </c>
      <c r="Z1809" s="782" t="s">
        <v>4616</v>
      </c>
      <c r="AA1809" s="781">
        <f>$S$1*P!AA1809</f>
        <v>5.929435483870968E-6</v>
      </c>
      <c r="AB1809" s="780"/>
      <c r="AC1809" s="782">
        <v>1805</v>
      </c>
      <c r="AD1809" s="782" t="s">
        <v>4573</v>
      </c>
      <c r="AE1809" s="782" t="s">
        <v>3983</v>
      </c>
      <c r="AF1809" s="781">
        <f>$S$1*P!AF1809</f>
        <v>1.4120967741935485E-2</v>
      </c>
    </row>
    <row r="1810" spans="19:32" x14ac:dyDescent="0.35">
      <c r="S1810" s="881">
        <v>1806</v>
      </c>
      <c r="T1810" s="881" t="s">
        <v>4284</v>
      </c>
      <c r="U1810" s="881" t="s">
        <v>4232</v>
      </c>
      <c r="V1810" s="883">
        <f>$S$1*P!V1810</f>
        <v>1.5629032258064519E-2</v>
      </c>
      <c r="W1810" s="780"/>
      <c r="X1810" s="881">
        <v>1806</v>
      </c>
      <c r="Y1810" s="881" t="s">
        <v>2248</v>
      </c>
      <c r="Z1810" s="881" t="s">
        <v>3309</v>
      </c>
      <c r="AA1810" s="882">
        <f>$S$1*P!AA1810</f>
        <v>0</v>
      </c>
      <c r="AB1810" s="780"/>
      <c r="AC1810" s="782">
        <v>1806</v>
      </c>
      <c r="AD1810" s="782" t="s">
        <v>4573</v>
      </c>
      <c r="AE1810" s="782" t="s">
        <v>3982</v>
      </c>
      <c r="AF1810" s="781">
        <f>$S$1*P!AF1810</f>
        <v>2.296370967741936E-5</v>
      </c>
    </row>
    <row r="1811" spans="19:32" x14ac:dyDescent="0.35">
      <c r="S1811" s="782">
        <v>1807</v>
      </c>
      <c r="T1811" s="782" t="s">
        <v>4284</v>
      </c>
      <c r="U1811" s="782" t="s">
        <v>4229</v>
      </c>
      <c r="V1811" s="797">
        <f>$S$1*P!V1811</f>
        <v>1.5012096774193549E-3</v>
      </c>
      <c r="W1811" s="780"/>
      <c r="X1811" s="881">
        <v>1807</v>
      </c>
      <c r="Y1811" s="881" t="s">
        <v>2248</v>
      </c>
      <c r="Z1811" s="881" t="s">
        <v>4615</v>
      </c>
      <c r="AA1811" s="882">
        <f>$S$1*P!AA1811</f>
        <v>2.268951612903226E-2</v>
      </c>
      <c r="AB1811" s="780"/>
      <c r="AC1811" s="782">
        <v>1807</v>
      </c>
      <c r="AD1811" s="782" t="s">
        <v>4573</v>
      </c>
      <c r="AE1811" s="782" t="s">
        <v>3979</v>
      </c>
      <c r="AF1811" s="781">
        <f>$S$1*P!AF1811</f>
        <v>5.5866935483870967E-5</v>
      </c>
    </row>
    <row r="1812" spans="19:32" x14ac:dyDescent="0.35">
      <c r="S1812" s="881">
        <v>1808</v>
      </c>
      <c r="T1812" s="881" t="s">
        <v>4284</v>
      </c>
      <c r="U1812" s="881" t="s">
        <v>4228</v>
      </c>
      <c r="V1812" s="883">
        <f>$S$1*P!V1812</f>
        <v>2.68366935483871E-4</v>
      </c>
      <c r="W1812" s="780"/>
      <c r="X1812" s="782">
        <v>1808</v>
      </c>
      <c r="Y1812" s="782" t="s">
        <v>2248</v>
      </c>
      <c r="Z1812" s="782" t="s">
        <v>5272</v>
      </c>
      <c r="AA1812" s="781">
        <f>$S$1*P!AA1812</f>
        <v>2.2963709677419357E-4</v>
      </c>
      <c r="AB1812" s="780"/>
      <c r="AC1812" s="782">
        <v>1808</v>
      </c>
      <c r="AD1812" s="782" t="s">
        <v>4573</v>
      </c>
      <c r="AE1812" s="782" t="s">
        <v>3978</v>
      </c>
      <c r="AF1812" s="781">
        <f>$S$1*P!AF1812</f>
        <v>0.12921370967741935</v>
      </c>
    </row>
    <row r="1813" spans="19:32" x14ac:dyDescent="0.35">
      <c r="S1813" s="881">
        <v>1809</v>
      </c>
      <c r="T1813" s="881" t="s">
        <v>4284</v>
      </c>
      <c r="U1813" s="881" t="s">
        <v>3165</v>
      </c>
      <c r="V1813" s="883">
        <f>$S$1*P!V1813</f>
        <v>0</v>
      </c>
      <c r="W1813" s="780"/>
      <c r="X1813" s="782">
        <v>1809</v>
      </c>
      <c r="Y1813" s="782" t="s">
        <v>2248</v>
      </c>
      <c r="Z1813" s="782" t="s">
        <v>4614</v>
      </c>
      <c r="AA1813" s="781">
        <f>$S$1*P!AA1813</f>
        <v>1.6245967741935485E-2</v>
      </c>
      <c r="AB1813" s="780"/>
      <c r="AC1813" s="782">
        <v>1809</v>
      </c>
      <c r="AD1813" s="782" t="s">
        <v>4573</v>
      </c>
      <c r="AE1813" s="782" t="s">
        <v>3977</v>
      </c>
      <c r="AF1813" s="781">
        <f>$S$1*P!AF1813</f>
        <v>5.4153225806451619E-6</v>
      </c>
    </row>
    <row r="1814" spans="19:32" x14ac:dyDescent="0.35">
      <c r="S1814" s="881">
        <v>1810</v>
      </c>
      <c r="T1814" s="881" t="s">
        <v>4284</v>
      </c>
      <c r="U1814" s="881" t="s">
        <v>4227</v>
      </c>
      <c r="V1814" s="883">
        <f>$S$1*P!V1814</f>
        <v>3.2903225806451615E-6</v>
      </c>
      <c r="W1814" s="780"/>
      <c r="X1814" s="881">
        <v>1810</v>
      </c>
      <c r="Y1814" s="881" t="s">
        <v>2248</v>
      </c>
      <c r="Z1814" s="881" t="s">
        <v>4613</v>
      </c>
      <c r="AA1814" s="882">
        <f>$S$1*P!AA1814</f>
        <v>8.3286290322580651E-4</v>
      </c>
      <c r="AB1814" s="780"/>
      <c r="AC1814" s="782">
        <v>1810</v>
      </c>
      <c r="AD1814" s="782" t="s">
        <v>4573</v>
      </c>
      <c r="AE1814" s="782" t="s">
        <v>3974</v>
      </c>
      <c r="AF1814" s="781">
        <f>$S$1*P!AF1814</f>
        <v>2.0393145161290323E-2</v>
      </c>
    </row>
    <row r="1815" spans="19:32" x14ac:dyDescent="0.35">
      <c r="S1815" s="881">
        <v>1811</v>
      </c>
      <c r="T1815" s="881" t="s">
        <v>4284</v>
      </c>
      <c r="U1815" s="881" t="s">
        <v>4225</v>
      </c>
      <c r="V1815" s="883">
        <f>$S$1*P!V1815</f>
        <v>1.4909274193548387E-6</v>
      </c>
      <c r="W1815" s="780"/>
      <c r="X1815" s="782">
        <v>1811</v>
      </c>
      <c r="Y1815" s="782" t="s">
        <v>2248</v>
      </c>
      <c r="Z1815" s="782" t="s">
        <v>5271</v>
      </c>
      <c r="AA1815" s="781">
        <f>$S$1*P!AA1815</f>
        <v>2.6254032258064521E-4</v>
      </c>
      <c r="AB1815" s="780"/>
      <c r="AC1815" s="782">
        <v>1811</v>
      </c>
      <c r="AD1815" s="782" t="s">
        <v>4573</v>
      </c>
      <c r="AE1815" s="782" t="s">
        <v>3972</v>
      </c>
      <c r="AF1815" s="781">
        <f>$S$1*P!AF1815</f>
        <v>1.7651209677419358E-2</v>
      </c>
    </row>
    <row r="1816" spans="19:32" x14ac:dyDescent="0.35">
      <c r="S1816" s="881">
        <v>1812</v>
      </c>
      <c r="T1816" s="881" t="s">
        <v>4284</v>
      </c>
      <c r="U1816" s="881" t="s">
        <v>4222</v>
      </c>
      <c r="V1816" s="883">
        <f>$S$1*P!V1816</f>
        <v>2.5157258064516133E-3</v>
      </c>
      <c r="W1816" s="780"/>
      <c r="X1816" s="881">
        <v>1812</v>
      </c>
      <c r="Y1816" s="881" t="s">
        <v>2248</v>
      </c>
      <c r="Z1816" s="881" t="s">
        <v>4612</v>
      </c>
      <c r="AA1816" s="882">
        <f>$S$1*P!AA1816</f>
        <v>5.6209677419354835E-4</v>
      </c>
      <c r="AB1816" s="780"/>
      <c r="AC1816" s="782">
        <v>1812</v>
      </c>
      <c r="AD1816" s="782" t="s">
        <v>4573</v>
      </c>
      <c r="AE1816" s="782" t="s">
        <v>3970</v>
      </c>
      <c r="AF1816" s="781">
        <f>$S$1*P!AF1816</f>
        <v>5.5181451612903235E-6</v>
      </c>
    </row>
    <row r="1817" spans="19:32" x14ac:dyDescent="0.35">
      <c r="S1817" s="782">
        <v>1813</v>
      </c>
      <c r="T1817" s="782" t="s">
        <v>4284</v>
      </c>
      <c r="U1817" s="782" t="s">
        <v>4220</v>
      </c>
      <c r="V1817" s="797">
        <f>$S$1*P!V1817</f>
        <v>6.6834677419354838E-2</v>
      </c>
      <c r="W1817" s="780"/>
      <c r="X1817" s="881">
        <v>1813</v>
      </c>
      <c r="Y1817" s="881" t="s">
        <v>2248</v>
      </c>
      <c r="Z1817" s="881" t="s">
        <v>4611</v>
      </c>
      <c r="AA1817" s="882">
        <f>$S$1*P!AA1817</f>
        <v>1.2887096774193551E-3</v>
      </c>
      <c r="AB1817" s="780"/>
      <c r="AC1817" s="782">
        <v>1813</v>
      </c>
      <c r="AD1817" s="782" t="s">
        <v>4573</v>
      </c>
      <c r="AE1817" s="782" t="s">
        <v>3967</v>
      </c>
      <c r="AF1817" s="781">
        <f>$S$1*P!AF1817</f>
        <v>0.12304435483870969</v>
      </c>
    </row>
    <row r="1818" spans="19:32" x14ac:dyDescent="0.35">
      <c r="S1818" s="881">
        <v>1814</v>
      </c>
      <c r="T1818" s="881" t="s">
        <v>4284</v>
      </c>
      <c r="U1818" s="881" t="s">
        <v>4219</v>
      </c>
      <c r="V1818" s="883">
        <f>$S$1*P!V1818</f>
        <v>6.6834677419354846E-3</v>
      </c>
      <c r="W1818" s="780"/>
      <c r="X1818" s="782">
        <v>1814</v>
      </c>
      <c r="Y1818" s="782" t="s">
        <v>2248</v>
      </c>
      <c r="Z1818" s="782" t="s">
        <v>5270</v>
      </c>
      <c r="AA1818" s="781">
        <f>$S$1*P!AA1818</f>
        <v>4.4556451612903227E-4</v>
      </c>
      <c r="AB1818" s="780"/>
      <c r="AC1818" s="782">
        <v>1814</v>
      </c>
      <c r="AD1818" s="782" t="s">
        <v>4573</v>
      </c>
      <c r="AE1818" s="782" t="s">
        <v>3966</v>
      </c>
      <c r="AF1818" s="781">
        <f>$S$1*P!AF1818</f>
        <v>0.10350806451612904</v>
      </c>
    </row>
    <row r="1819" spans="19:32" x14ac:dyDescent="0.35">
      <c r="S1819" s="782">
        <v>1815</v>
      </c>
      <c r="T1819" s="782" t="s">
        <v>4284</v>
      </c>
      <c r="U1819" s="782" t="s">
        <v>4216</v>
      </c>
      <c r="V1819" s="797">
        <f>$S$1*P!V1819</f>
        <v>1.2338709677419356E-4</v>
      </c>
      <c r="W1819" s="780"/>
      <c r="X1819" s="881">
        <v>1815</v>
      </c>
      <c r="Y1819" s="881" t="s">
        <v>2248</v>
      </c>
      <c r="Z1819" s="881" t="s">
        <v>3307</v>
      </c>
      <c r="AA1819" s="882">
        <f>$S$1*P!AA1819</f>
        <v>0</v>
      </c>
      <c r="AB1819" s="780"/>
      <c r="AC1819" s="782">
        <v>1815</v>
      </c>
      <c r="AD1819" s="782" t="s">
        <v>4573</v>
      </c>
      <c r="AE1819" s="782" t="s">
        <v>3965</v>
      </c>
      <c r="AF1819" s="781">
        <f>$S$1*P!AF1819</f>
        <v>3.5987903225806454E-8</v>
      </c>
    </row>
    <row r="1820" spans="19:32" x14ac:dyDescent="0.35">
      <c r="S1820" s="881">
        <v>1816</v>
      </c>
      <c r="T1820" s="881" t="s">
        <v>4284</v>
      </c>
      <c r="U1820" s="881" t="s">
        <v>4215</v>
      </c>
      <c r="V1820" s="883">
        <f>$S$1*P!V1820</f>
        <v>4.3528225806451618E-2</v>
      </c>
      <c r="W1820" s="780"/>
      <c r="X1820" s="881">
        <v>1816</v>
      </c>
      <c r="Y1820" s="881" t="s">
        <v>2248</v>
      </c>
      <c r="Z1820" s="881" t="s">
        <v>3306</v>
      </c>
      <c r="AA1820" s="882">
        <f>$S$1*P!AA1820</f>
        <v>0</v>
      </c>
      <c r="AB1820" s="780"/>
      <c r="AC1820" s="782">
        <v>1816</v>
      </c>
      <c r="AD1820" s="782" t="s">
        <v>4573</v>
      </c>
      <c r="AE1820" s="782" t="s">
        <v>3964</v>
      </c>
      <c r="AF1820" s="781">
        <f>$S$1*P!AF1820</f>
        <v>0.99052419354838717</v>
      </c>
    </row>
    <row r="1821" spans="19:32" x14ac:dyDescent="0.35">
      <c r="S1821" s="782">
        <v>1817</v>
      </c>
      <c r="T1821" s="782" t="s">
        <v>4284</v>
      </c>
      <c r="U1821" s="782" t="s">
        <v>3164</v>
      </c>
      <c r="V1821" s="797">
        <f>$S$1*P!V1821</f>
        <v>0.58608870967741944</v>
      </c>
      <c r="W1821" s="780"/>
      <c r="X1821" s="881">
        <v>1817</v>
      </c>
      <c r="Y1821" s="881" t="s">
        <v>2248</v>
      </c>
      <c r="Z1821" s="881" t="s">
        <v>3305</v>
      </c>
      <c r="AA1821" s="882">
        <f>$S$1*P!AA1821</f>
        <v>0</v>
      </c>
      <c r="AB1821" s="780"/>
      <c r="AC1821" s="782">
        <v>1817</v>
      </c>
      <c r="AD1821" s="782" t="s">
        <v>4573</v>
      </c>
      <c r="AE1821" s="782" t="s">
        <v>3963</v>
      </c>
      <c r="AF1821" s="781">
        <f>$S$1*P!AF1821</f>
        <v>0.59637096774193554</v>
      </c>
    </row>
    <row r="1822" spans="19:32" x14ac:dyDescent="0.35">
      <c r="S1822" s="881">
        <v>1818</v>
      </c>
      <c r="T1822" s="881" t="s">
        <v>4284</v>
      </c>
      <c r="U1822" s="881" t="s">
        <v>3164</v>
      </c>
      <c r="V1822" s="883">
        <f>$S$1*P!V1822</f>
        <v>0</v>
      </c>
      <c r="W1822" s="780"/>
      <c r="X1822" s="782">
        <v>1818</v>
      </c>
      <c r="Y1822" s="782" t="s">
        <v>2248</v>
      </c>
      <c r="Z1822" s="782" t="s">
        <v>5269</v>
      </c>
      <c r="AA1822" s="781">
        <f>$S$1*P!AA1822</f>
        <v>1.0796370967741937E-3</v>
      </c>
      <c r="AB1822" s="780"/>
      <c r="AC1822" s="782">
        <v>1818</v>
      </c>
      <c r="AD1822" s="782" t="s">
        <v>4573</v>
      </c>
      <c r="AE1822" s="782" t="s">
        <v>3108</v>
      </c>
      <c r="AF1822" s="781">
        <f>$S$1*P!AF1822</f>
        <v>0.58266129032258074</v>
      </c>
    </row>
    <row r="1823" spans="19:32" x14ac:dyDescent="0.35">
      <c r="S1823" s="881">
        <v>1819</v>
      </c>
      <c r="T1823" s="881" t="s">
        <v>4284</v>
      </c>
      <c r="U1823" s="881" t="s">
        <v>4211</v>
      </c>
      <c r="V1823" s="883">
        <f>$S$1*P!V1823</f>
        <v>8.431451612903226E-3</v>
      </c>
      <c r="W1823" s="780"/>
      <c r="X1823" s="881">
        <v>1819</v>
      </c>
      <c r="Y1823" s="881" t="s">
        <v>2248</v>
      </c>
      <c r="Z1823" s="881" t="s">
        <v>3303</v>
      </c>
      <c r="AA1823" s="882">
        <f>$S$1*P!AA1823</f>
        <v>0</v>
      </c>
      <c r="AB1823" s="780"/>
      <c r="AC1823" s="881">
        <v>1819</v>
      </c>
      <c r="AD1823" s="881" t="s">
        <v>4573</v>
      </c>
      <c r="AE1823" s="881" t="s">
        <v>3108</v>
      </c>
      <c r="AF1823" s="882">
        <f>$S$1*P!AF1823</f>
        <v>0</v>
      </c>
    </row>
    <row r="1824" spans="19:32" x14ac:dyDescent="0.35">
      <c r="S1824" s="881">
        <v>1820</v>
      </c>
      <c r="T1824" s="881" t="s">
        <v>4284</v>
      </c>
      <c r="U1824" s="881" t="s">
        <v>3162</v>
      </c>
      <c r="V1824" s="883">
        <f>$S$1*P!V1824</f>
        <v>4.4556451612903227E-4</v>
      </c>
      <c r="W1824" s="780"/>
      <c r="X1824" s="881">
        <v>1820</v>
      </c>
      <c r="Y1824" s="881" t="s">
        <v>2248</v>
      </c>
      <c r="Z1824" s="881" t="s">
        <v>3302</v>
      </c>
      <c r="AA1824" s="882">
        <f>$S$1*P!AA1824</f>
        <v>0</v>
      </c>
      <c r="AB1824" s="780"/>
      <c r="AC1824" s="782">
        <v>1820</v>
      </c>
      <c r="AD1824" s="782" t="s">
        <v>4573</v>
      </c>
      <c r="AE1824" s="782" t="s">
        <v>3107</v>
      </c>
      <c r="AF1824" s="781">
        <f>$S$1*P!AF1824</f>
        <v>1.607459677419355</v>
      </c>
    </row>
    <row r="1825" spans="19:32" x14ac:dyDescent="0.35">
      <c r="S1825" s="881">
        <v>1821</v>
      </c>
      <c r="T1825" s="881" t="s">
        <v>4284</v>
      </c>
      <c r="U1825" s="881" t="s">
        <v>3162</v>
      </c>
      <c r="V1825" s="883">
        <f>$S$1*P!V1825</f>
        <v>0</v>
      </c>
      <c r="W1825" s="780"/>
      <c r="X1825" s="782">
        <v>1821</v>
      </c>
      <c r="Y1825" s="782" t="s">
        <v>2248</v>
      </c>
      <c r="Z1825" s="782" t="s">
        <v>3633</v>
      </c>
      <c r="AA1825" s="781">
        <f>$S$1*P!AA1825</f>
        <v>9.3225806451612908E-2</v>
      </c>
      <c r="AB1825" s="780"/>
      <c r="AC1825" s="881">
        <v>1821</v>
      </c>
      <c r="AD1825" s="881" t="s">
        <v>4573</v>
      </c>
      <c r="AE1825" s="881" t="s">
        <v>3107</v>
      </c>
      <c r="AF1825" s="882">
        <f>$S$1*P!AF1825</f>
        <v>0</v>
      </c>
    </row>
    <row r="1826" spans="19:32" x14ac:dyDescent="0.35">
      <c r="S1826" s="881">
        <v>1822</v>
      </c>
      <c r="T1826" s="881" t="s">
        <v>4284</v>
      </c>
      <c r="U1826" s="881" t="s">
        <v>3161</v>
      </c>
      <c r="V1826" s="883">
        <f>$S$1*P!V1826</f>
        <v>0.46955645161290327</v>
      </c>
      <c r="W1826" s="780"/>
      <c r="X1826" s="881">
        <v>1822</v>
      </c>
      <c r="Y1826" s="881" t="s">
        <v>2248</v>
      </c>
      <c r="Z1826" s="881" t="s">
        <v>3300</v>
      </c>
      <c r="AA1826" s="882">
        <f>$S$1*P!AA1826</f>
        <v>0</v>
      </c>
      <c r="AB1826" s="780"/>
      <c r="AC1826" s="881">
        <v>1822</v>
      </c>
      <c r="AD1826" s="881" t="s">
        <v>4573</v>
      </c>
      <c r="AE1826" s="881" t="s">
        <v>3105</v>
      </c>
      <c r="AF1826" s="882">
        <f>$S$1*P!AF1826</f>
        <v>0.16008</v>
      </c>
    </row>
    <row r="1827" spans="19:32" x14ac:dyDescent="0.35">
      <c r="S1827" s="881">
        <v>1823</v>
      </c>
      <c r="T1827" s="881" t="s">
        <v>4284</v>
      </c>
      <c r="U1827" s="881" t="s">
        <v>3161</v>
      </c>
      <c r="V1827" s="883">
        <f>$S$1*P!V1827</f>
        <v>1.5548</v>
      </c>
      <c r="W1827" s="780"/>
      <c r="X1827" s="881">
        <v>1823</v>
      </c>
      <c r="Y1827" s="881" t="s">
        <v>2248</v>
      </c>
      <c r="Z1827" s="881" t="s">
        <v>3300</v>
      </c>
      <c r="AA1827" s="882">
        <f>$S$1*P!AA1827</f>
        <v>8.3971774193548389E-4</v>
      </c>
      <c r="AB1827" s="780"/>
      <c r="AC1827" s="881">
        <v>1823</v>
      </c>
      <c r="AD1827" s="881" t="s">
        <v>4573</v>
      </c>
      <c r="AE1827" s="881" t="s">
        <v>3103</v>
      </c>
      <c r="AF1827" s="882">
        <f>$S$1*P!AF1827</f>
        <v>0</v>
      </c>
    </row>
    <row r="1828" spans="19:32" x14ac:dyDescent="0.35">
      <c r="S1828" s="881">
        <v>1824</v>
      </c>
      <c r="T1828" s="881" t="s">
        <v>4284</v>
      </c>
      <c r="U1828" s="881" t="s">
        <v>3159</v>
      </c>
      <c r="V1828" s="883">
        <f>$S$1*P!V1828</f>
        <v>1.0145161290322582E-3</v>
      </c>
      <c r="W1828" s="780"/>
      <c r="X1828" s="782">
        <v>1824</v>
      </c>
      <c r="Y1828" s="782" t="s">
        <v>2248</v>
      </c>
      <c r="Z1828" s="782" t="s">
        <v>5268</v>
      </c>
      <c r="AA1828" s="781">
        <f>$S$1*P!AA1828</f>
        <v>5.106854838709678E-4</v>
      </c>
      <c r="AB1828" s="780"/>
      <c r="AC1828" s="782">
        <v>1824</v>
      </c>
      <c r="AD1828" s="782" t="s">
        <v>4573</v>
      </c>
      <c r="AE1828" s="782" t="s">
        <v>3962</v>
      </c>
      <c r="AF1828" s="781">
        <f>$S$1*P!AF1828</f>
        <v>0.48669354838709683</v>
      </c>
    </row>
    <row r="1829" spans="19:32" x14ac:dyDescent="0.35">
      <c r="S1829" s="881">
        <v>1825</v>
      </c>
      <c r="T1829" s="881" t="s">
        <v>4284</v>
      </c>
      <c r="U1829" s="881" t="s">
        <v>3159</v>
      </c>
      <c r="V1829" s="883">
        <f>$S$1*P!V1829</f>
        <v>0</v>
      </c>
      <c r="W1829" s="780"/>
      <c r="X1829" s="782">
        <v>1825</v>
      </c>
      <c r="Y1829" s="782" t="s">
        <v>2248</v>
      </c>
      <c r="Z1829" s="782" t="s">
        <v>4609</v>
      </c>
      <c r="AA1829" s="781">
        <f>$S$1*P!AA1829</f>
        <v>3.1566532258064521E-4</v>
      </c>
      <c r="AB1829" s="780"/>
      <c r="AC1829" s="782">
        <v>1825</v>
      </c>
      <c r="AD1829" s="782" t="s">
        <v>4573</v>
      </c>
      <c r="AE1829" s="782" t="s">
        <v>3961</v>
      </c>
      <c r="AF1829" s="781">
        <f>$S$1*P!AF1829</f>
        <v>2.1627016129032259E-3</v>
      </c>
    </row>
    <row r="1830" spans="19:32" x14ac:dyDescent="0.35">
      <c r="S1830" s="782">
        <v>1826</v>
      </c>
      <c r="T1830" s="782" t="s">
        <v>4284</v>
      </c>
      <c r="U1830" s="782" t="s">
        <v>4209</v>
      </c>
      <c r="V1830" s="797">
        <f>$S$1*P!V1830</f>
        <v>4.181451612903226E-2</v>
      </c>
      <c r="W1830" s="780"/>
      <c r="X1830" s="881">
        <v>1826</v>
      </c>
      <c r="Y1830" s="881" t="s">
        <v>2248</v>
      </c>
      <c r="Z1830" s="881" t="s">
        <v>4606</v>
      </c>
      <c r="AA1830" s="882">
        <f>$S$1*P!AA1830</f>
        <v>1.1241935483870969E-2</v>
      </c>
      <c r="AB1830" s="780"/>
      <c r="AC1830" s="782">
        <v>1826</v>
      </c>
      <c r="AD1830" s="782" t="s">
        <v>4573</v>
      </c>
      <c r="AE1830" s="782" t="s">
        <v>3960</v>
      </c>
      <c r="AF1830" s="781">
        <f>$S$1*P!AF1830</f>
        <v>2.2895161290322581E-3</v>
      </c>
    </row>
    <row r="1831" spans="19:32" x14ac:dyDescent="0.35">
      <c r="S1831" s="881">
        <v>1827</v>
      </c>
      <c r="T1831" s="881" t="s">
        <v>4284</v>
      </c>
      <c r="U1831" s="881" t="s">
        <v>3158</v>
      </c>
      <c r="V1831" s="883">
        <f>$S$1*P!V1831</f>
        <v>0.47298387096774197</v>
      </c>
      <c r="W1831" s="780"/>
      <c r="X1831" s="881">
        <v>1827</v>
      </c>
      <c r="Y1831" s="881" t="s">
        <v>2248</v>
      </c>
      <c r="Z1831" s="881" t="s">
        <v>3299</v>
      </c>
      <c r="AA1831" s="882">
        <f>$S$1*P!AA1831</f>
        <v>4.1124000000000001E-2</v>
      </c>
      <c r="AB1831" s="780"/>
      <c r="AC1831" s="881">
        <v>1827</v>
      </c>
      <c r="AD1831" s="881" t="s">
        <v>4573</v>
      </c>
      <c r="AE1831" s="881" t="s">
        <v>3102</v>
      </c>
      <c r="AF1831" s="882">
        <f>$S$1*P!AF1831</f>
        <v>0</v>
      </c>
    </row>
    <row r="1832" spans="19:32" x14ac:dyDescent="0.35">
      <c r="S1832" s="881">
        <v>1828</v>
      </c>
      <c r="T1832" s="881" t="s">
        <v>4284</v>
      </c>
      <c r="U1832" s="881" t="s">
        <v>3158</v>
      </c>
      <c r="V1832" s="883">
        <f>$S$1*P!V1832</f>
        <v>18.216000000000001</v>
      </c>
      <c r="W1832" s="780"/>
      <c r="X1832" s="782">
        <v>1828</v>
      </c>
      <c r="Y1832" s="782" t="s">
        <v>2248</v>
      </c>
      <c r="Z1832" s="782" t="s">
        <v>5267</v>
      </c>
      <c r="AA1832" s="781">
        <f>$S$1*P!AA1832</f>
        <v>1.2201612903225808E-4</v>
      </c>
      <c r="AB1832" s="780"/>
      <c r="AC1832" s="881">
        <v>1828</v>
      </c>
      <c r="AD1832" s="881" t="s">
        <v>4573</v>
      </c>
      <c r="AE1832" s="881" t="s">
        <v>3100</v>
      </c>
      <c r="AF1832" s="882">
        <f>$S$1*P!AF1832</f>
        <v>0</v>
      </c>
    </row>
    <row r="1833" spans="19:32" x14ac:dyDescent="0.35">
      <c r="S1833" s="782">
        <v>1829</v>
      </c>
      <c r="T1833" s="782" t="s">
        <v>4284</v>
      </c>
      <c r="U1833" s="782" t="s">
        <v>4205</v>
      </c>
      <c r="V1833" s="797">
        <f>$S$1*P!V1833</f>
        <v>8.2943548387096784E-3</v>
      </c>
      <c r="W1833" s="780"/>
      <c r="X1833" s="881">
        <v>1829</v>
      </c>
      <c r="Y1833" s="881" t="s">
        <v>2248</v>
      </c>
      <c r="Z1833" s="881" t="s">
        <v>3297</v>
      </c>
      <c r="AA1833" s="882">
        <f>$S$1*P!AA1833</f>
        <v>2.0055999999999998</v>
      </c>
      <c r="AB1833" s="780"/>
      <c r="AC1833" s="782">
        <v>1829</v>
      </c>
      <c r="AD1833" s="782" t="s">
        <v>4573</v>
      </c>
      <c r="AE1833" s="782" t="s">
        <v>3959</v>
      </c>
      <c r="AF1833" s="781">
        <f>$S$1*P!AF1833</f>
        <v>18.850806451612904</v>
      </c>
    </row>
    <row r="1834" spans="19:32" x14ac:dyDescent="0.35">
      <c r="S1834" s="881">
        <v>1830</v>
      </c>
      <c r="T1834" s="881" t="s">
        <v>4284</v>
      </c>
      <c r="U1834" s="881" t="s">
        <v>4204</v>
      </c>
      <c r="V1834" s="883">
        <f>$S$1*P!V1834</f>
        <v>1.2030241935483871E-2</v>
      </c>
      <c r="W1834" s="780"/>
      <c r="X1834" s="782">
        <v>1830</v>
      </c>
      <c r="Y1834" s="782" t="s">
        <v>2248</v>
      </c>
      <c r="Z1834" s="782" t="s">
        <v>4603</v>
      </c>
      <c r="AA1834" s="781">
        <f>$S$1*P!AA1834</f>
        <v>8.2600806451612898E-8</v>
      </c>
      <c r="AB1834" s="780"/>
      <c r="AC1834" s="782">
        <v>1830</v>
      </c>
      <c r="AD1834" s="782" t="s">
        <v>4573</v>
      </c>
      <c r="AE1834" s="782" t="s">
        <v>3099</v>
      </c>
      <c r="AF1834" s="781">
        <f>$S$1*P!AF1834</f>
        <v>20.358870967741936</v>
      </c>
    </row>
    <row r="1835" spans="19:32" x14ac:dyDescent="0.35">
      <c r="S1835" s="782">
        <v>1831</v>
      </c>
      <c r="T1835" s="782" t="s">
        <v>4284</v>
      </c>
      <c r="U1835" s="782" t="s">
        <v>4203</v>
      </c>
      <c r="V1835" s="797">
        <f>$S$1*P!V1835</f>
        <v>1.3298387096774195E-4</v>
      </c>
      <c r="W1835" s="780"/>
      <c r="X1835" s="782">
        <v>1831</v>
      </c>
      <c r="Y1835" s="782" t="s">
        <v>2248</v>
      </c>
      <c r="Z1835" s="782" t="s">
        <v>5266</v>
      </c>
      <c r="AA1835" s="781">
        <f>$S$1*P!AA1835</f>
        <v>4.5927419354838715E-7</v>
      </c>
      <c r="AB1835" s="780"/>
      <c r="AC1835" s="881">
        <v>1831</v>
      </c>
      <c r="AD1835" s="881" t="s">
        <v>4573</v>
      </c>
      <c r="AE1835" s="881" t="s">
        <v>3099</v>
      </c>
      <c r="AF1835" s="882">
        <f>$S$1*P!AF1835</f>
        <v>0</v>
      </c>
    </row>
    <row r="1836" spans="19:32" x14ac:dyDescent="0.35">
      <c r="S1836" s="881">
        <v>1832</v>
      </c>
      <c r="T1836" s="881" t="s">
        <v>4284</v>
      </c>
      <c r="U1836" s="881" t="s">
        <v>4201</v>
      </c>
      <c r="V1836" s="883">
        <f>$S$1*P!V1836</f>
        <v>5.6552419354838714E-4</v>
      </c>
      <c r="W1836" s="780"/>
      <c r="X1836" s="881">
        <v>1832</v>
      </c>
      <c r="Y1836" s="881" t="s">
        <v>2248</v>
      </c>
      <c r="Z1836" s="881" t="s">
        <v>3296</v>
      </c>
      <c r="AA1836" s="882">
        <f>$S$1*P!AA1836</f>
        <v>0</v>
      </c>
      <c r="AB1836" s="780"/>
      <c r="AC1836" s="782">
        <v>1832</v>
      </c>
      <c r="AD1836" s="782" t="s">
        <v>4573</v>
      </c>
      <c r="AE1836" s="782" t="s">
        <v>3955</v>
      </c>
      <c r="AF1836" s="781">
        <f>$S$1*P!AF1836</f>
        <v>18.473790322580648</v>
      </c>
    </row>
    <row r="1837" spans="19:32" x14ac:dyDescent="0.35">
      <c r="S1837" s="881">
        <v>1833</v>
      </c>
      <c r="T1837" s="881" t="s">
        <v>4284</v>
      </c>
      <c r="U1837" s="881" t="s">
        <v>4200</v>
      </c>
      <c r="V1837" s="883">
        <f>$S$1*P!V1837</f>
        <v>8.1229838709677424E-8</v>
      </c>
      <c r="W1837" s="780"/>
      <c r="X1837" s="881">
        <v>1833</v>
      </c>
      <c r="Y1837" s="881" t="s">
        <v>2248</v>
      </c>
      <c r="Z1837" s="881" t="s">
        <v>4599</v>
      </c>
      <c r="AA1837" s="882">
        <f>$S$1*P!AA1837</f>
        <v>2.1078629032258066E-2</v>
      </c>
      <c r="AB1837" s="780"/>
      <c r="AC1837" s="782">
        <v>1833</v>
      </c>
      <c r="AD1837" s="782" t="s">
        <v>4573</v>
      </c>
      <c r="AE1837" s="782" t="s">
        <v>3952</v>
      </c>
      <c r="AF1837" s="781">
        <f>$S$1*P!AF1837</f>
        <v>7.2318548387096779</v>
      </c>
    </row>
    <row r="1838" spans="19:32" x14ac:dyDescent="0.35">
      <c r="S1838" s="881">
        <v>1834</v>
      </c>
      <c r="T1838" s="881" t="s">
        <v>4284</v>
      </c>
      <c r="U1838" s="881" t="s">
        <v>3156</v>
      </c>
      <c r="V1838" s="883">
        <f>$S$1*P!V1838</f>
        <v>0</v>
      </c>
      <c r="W1838" s="780"/>
      <c r="X1838" s="782">
        <v>1834</v>
      </c>
      <c r="Y1838" s="782" t="s">
        <v>2248</v>
      </c>
      <c r="Z1838" s="782" t="s">
        <v>5265</v>
      </c>
      <c r="AA1838" s="781">
        <f>$S$1*P!AA1838</f>
        <v>2.2449596774193549E-3</v>
      </c>
      <c r="AB1838" s="780"/>
      <c r="AC1838" s="782">
        <v>1834</v>
      </c>
      <c r="AD1838" s="782" t="s">
        <v>4573</v>
      </c>
      <c r="AE1838" s="782" t="s">
        <v>3949</v>
      </c>
      <c r="AF1838" s="781">
        <f>$S$1*P!AF1838</f>
        <v>1.8165322580645162E-2</v>
      </c>
    </row>
    <row r="1839" spans="19:32" x14ac:dyDescent="0.35">
      <c r="S1839" s="881">
        <v>1835</v>
      </c>
      <c r="T1839" s="881" t="s">
        <v>4284</v>
      </c>
      <c r="U1839" s="881" t="s">
        <v>3155</v>
      </c>
      <c r="V1839" s="883">
        <f>$S$1*P!V1839</f>
        <v>0.21661290322580648</v>
      </c>
      <c r="W1839" s="780"/>
      <c r="X1839" s="881">
        <v>1835</v>
      </c>
      <c r="Y1839" s="881" t="s">
        <v>2248</v>
      </c>
      <c r="Z1839" s="881" t="s">
        <v>3294</v>
      </c>
      <c r="AA1839" s="882">
        <f>$S$1*P!AA1839</f>
        <v>0.56672</v>
      </c>
      <c r="AB1839" s="780"/>
      <c r="AC1839" s="782">
        <v>1835</v>
      </c>
      <c r="AD1839" s="782" t="s">
        <v>4573</v>
      </c>
      <c r="AE1839" s="782" t="s">
        <v>3097</v>
      </c>
      <c r="AF1839" s="781">
        <f>$S$1*P!AF1839</f>
        <v>404.4354838709678</v>
      </c>
    </row>
    <row r="1840" spans="19:32" x14ac:dyDescent="0.35">
      <c r="S1840" s="881">
        <v>1836</v>
      </c>
      <c r="T1840" s="881" t="s">
        <v>4284</v>
      </c>
      <c r="U1840" s="881" t="s">
        <v>3155</v>
      </c>
      <c r="V1840" s="883">
        <f>$S$1*P!V1840</f>
        <v>289.8</v>
      </c>
      <c r="W1840" s="780"/>
      <c r="X1840" s="782">
        <v>1836</v>
      </c>
      <c r="Y1840" s="782" t="s">
        <v>2248</v>
      </c>
      <c r="Z1840" s="782" t="s">
        <v>3294</v>
      </c>
      <c r="AA1840" s="781">
        <f>$S$1*P!AA1840</f>
        <v>1.6485887096774196E-3</v>
      </c>
      <c r="AB1840" s="780"/>
      <c r="AC1840" s="881">
        <v>1836</v>
      </c>
      <c r="AD1840" s="881" t="s">
        <v>4573</v>
      </c>
      <c r="AE1840" s="881" t="s">
        <v>3097</v>
      </c>
      <c r="AF1840" s="882">
        <f>$S$1*P!AF1840</f>
        <v>0</v>
      </c>
    </row>
    <row r="1841" spans="19:32" x14ac:dyDescent="0.35">
      <c r="S1841" s="881">
        <v>1837</v>
      </c>
      <c r="T1841" s="881" t="s">
        <v>4284</v>
      </c>
      <c r="U1841" s="881" t="s">
        <v>4198</v>
      </c>
      <c r="V1841" s="883">
        <f>$S$1*P!V1841</f>
        <v>6.6491935483870973E-3</v>
      </c>
      <c r="W1841" s="780"/>
      <c r="X1841" s="881">
        <v>1837</v>
      </c>
      <c r="Y1841" s="881" t="s">
        <v>2248</v>
      </c>
      <c r="Z1841" s="881" t="s">
        <v>3293</v>
      </c>
      <c r="AA1841" s="882">
        <f>$S$1*P!AA1841</f>
        <v>8.1695999999999991</v>
      </c>
      <c r="AB1841" s="780"/>
      <c r="AC1841" s="782">
        <v>1837</v>
      </c>
      <c r="AD1841" s="782" t="s">
        <v>4573</v>
      </c>
      <c r="AE1841" s="782" t="s">
        <v>3947</v>
      </c>
      <c r="AF1841" s="781">
        <f>$S$1*P!AF1841</f>
        <v>1.5491935483870969E-2</v>
      </c>
    </row>
    <row r="1842" spans="19:32" x14ac:dyDescent="0.35">
      <c r="S1842" s="782">
        <v>1838</v>
      </c>
      <c r="T1842" s="782" t="s">
        <v>4284</v>
      </c>
      <c r="U1842" s="782" t="s">
        <v>4196</v>
      </c>
      <c r="V1842" s="797">
        <f>$S$1*P!V1842</f>
        <v>1.9536290322580644E-5</v>
      </c>
      <c r="W1842" s="780"/>
      <c r="X1842" s="782">
        <v>1838</v>
      </c>
      <c r="Y1842" s="782" t="s">
        <v>2248</v>
      </c>
      <c r="Z1842" s="782" t="s">
        <v>5264</v>
      </c>
      <c r="AA1842" s="781">
        <f>$S$1*P!AA1842</f>
        <v>1.6451612903225807E-4</v>
      </c>
      <c r="AB1842" s="780"/>
      <c r="AC1842" s="881">
        <v>1838</v>
      </c>
      <c r="AD1842" s="881" t="s">
        <v>4573</v>
      </c>
      <c r="AE1842" s="881" t="s">
        <v>3096</v>
      </c>
      <c r="AF1842" s="882">
        <f>$S$1*P!AF1842</f>
        <v>1196</v>
      </c>
    </row>
    <row r="1843" spans="19:32" x14ac:dyDescent="0.35">
      <c r="S1843" s="881">
        <v>1839</v>
      </c>
      <c r="T1843" s="881" t="s">
        <v>4284</v>
      </c>
      <c r="U1843" s="881" t="s">
        <v>4195</v>
      </c>
      <c r="V1843" s="883">
        <f>$S$1*P!V1843</f>
        <v>2.5637096774193551E-7</v>
      </c>
      <c r="W1843" s="780"/>
      <c r="X1843" s="881">
        <v>1839</v>
      </c>
      <c r="Y1843" s="881" t="s">
        <v>2248</v>
      </c>
      <c r="Z1843" s="881" t="s">
        <v>3293</v>
      </c>
      <c r="AA1843" s="882">
        <f>$S$1*P!AA1843</f>
        <v>39.758064516129032</v>
      </c>
      <c r="AB1843" s="780"/>
      <c r="AC1843" s="881">
        <v>1839</v>
      </c>
      <c r="AD1843" s="881" t="s">
        <v>4573</v>
      </c>
      <c r="AE1843" s="881" t="s">
        <v>3094</v>
      </c>
      <c r="AF1843" s="882">
        <f>$S$1*P!AF1843</f>
        <v>0</v>
      </c>
    </row>
    <row r="1844" spans="19:32" x14ac:dyDescent="0.35">
      <c r="S1844" s="861">
        <v>1840</v>
      </c>
      <c r="T1844" s="861" t="s">
        <v>4284</v>
      </c>
      <c r="U1844" s="861" t="s">
        <v>4192</v>
      </c>
      <c r="V1844" s="862">
        <f>$S$1*P!V1844</f>
        <v>4.0232000000000001</v>
      </c>
      <c r="W1844" s="780"/>
      <c r="X1844" s="881">
        <v>1840</v>
      </c>
      <c r="Y1844" s="881" t="s">
        <v>2248</v>
      </c>
      <c r="Z1844" s="881" t="s">
        <v>4587</v>
      </c>
      <c r="AA1844" s="882">
        <f>$S$1*P!AA1844</f>
        <v>6.8891129032258071E-4</v>
      </c>
      <c r="AB1844" s="780"/>
      <c r="AC1844" s="782">
        <v>1840</v>
      </c>
      <c r="AD1844" s="782" t="s">
        <v>4573</v>
      </c>
      <c r="AE1844" s="782" t="s">
        <v>3945</v>
      </c>
      <c r="AF1844" s="781">
        <f>$S$1*P!AF1844</f>
        <v>115.50403225806453</v>
      </c>
    </row>
    <row r="1845" spans="19:32" x14ac:dyDescent="0.35">
      <c r="S1845" s="782">
        <v>1841</v>
      </c>
      <c r="T1845" s="782" t="s">
        <v>4284</v>
      </c>
      <c r="U1845" s="782" t="s">
        <v>4192</v>
      </c>
      <c r="V1845" s="797">
        <f>$S$1*P!V1845</f>
        <v>5.8608870967741936E-8</v>
      </c>
      <c r="W1845" s="780"/>
      <c r="X1845" s="782">
        <v>1841</v>
      </c>
      <c r="Y1845" s="782" t="s">
        <v>2248</v>
      </c>
      <c r="Z1845" s="782" t="s">
        <v>5263</v>
      </c>
      <c r="AA1845" s="781">
        <f>$S$1*P!AA1845</f>
        <v>5.6895161290322579E-5</v>
      </c>
      <c r="AB1845" s="780"/>
      <c r="AC1845" s="782">
        <v>1841</v>
      </c>
      <c r="AD1845" s="782" t="s">
        <v>4573</v>
      </c>
      <c r="AE1845" s="782" t="s">
        <v>3092</v>
      </c>
      <c r="AF1845" s="781">
        <f>$S$1*P!AF1845</f>
        <v>1.1584677419354839E-2</v>
      </c>
    </row>
    <row r="1846" spans="19:32" x14ac:dyDescent="0.35">
      <c r="S1846" s="881">
        <v>1842</v>
      </c>
      <c r="T1846" s="881" t="s">
        <v>4284</v>
      </c>
      <c r="U1846" s="881" t="s">
        <v>3153</v>
      </c>
      <c r="V1846" s="883">
        <f>$S$1*P!V1846</f>
        <v>5.9637096774193545E-4</v>
      </c>
      <c r="W1846" s="780"/>
      <c r="X1846" s="881">
        <v>1842</v>
      </c>
      <c r="Y1846" s="881" t="s">
        <v>2248</v>
      </c>
      <c r="Z1846" s="881" t="s">
        <v>3291</v>
      </c>
      <c r="AA1846" s="882">
        <f>$S$1*P!AA1846</f>
        <v>6.1732000000000002E-3</v>
      </c>
      <c r="AB1846" s="780"/>
      <c r="AC1846" s="881">
        <v>1842</v>
      </c>
      <c r="AD1846" s="881" t="s">
        <v>4573</v>
      </c>
      <c r="AE1846" s="881" t="s">
        <v>3092</v>
      </c>
      <c r="AF1846" s="882">
        <f>$S$1*P!AF1846</f>
        <v>6.1548000000000007</v>
      </c>
    </row>
    <row r="1847" spans="19:32" x14ac:dyDescent="0.35">
      <c r="S1847" s="881">
        <v>1843</v>
      </c>
      <c r="T1847" s="881" t="s">
        <v>4284</v>
      </c>
      <c r="U1847" s="881" t="s">
        <v>3153</v>
      </c>
      <c r="V1847" s="883">
        <f>$S$1*P!V1847</f>
        <v>0</v>
      </c>
      <c r="W1847" s="780"/>
      <c r="X1847" s="881">
        <v>1843</v>
      </c>
      <c r="Y1847" s="881" t="s">
        <v>2248</v>
      </c>
      <c r="Z1847" s="881" t="s">
        <v>3289</v>
      </c>
      <c r="AA1847" s="882">
        <f>$S$1*P!AA1847</f>
        <v>0</v>
      </c>
      <c r="AB1847" s="780"/>
      <c r="AC1847" s="782">
        <v>1843</v>
      </c>
      <c r="AD1847" s="782" t="s">
        <v>4573</v>
      </c>
      <c r="AE1847" s="782" t="s">
        <v>3942</v>
      </c>
      <c r="AF1847" s="781">
        <f>$S$1*P!AF1847</f>
        <v>1.1790322580645163</v>
      </c>
    </row>
    <row r="1848" spans="19:32" x14ac:dyDescent="0.35">
      <c r="S1848" s="782">
        <v>1844</v>
      </c>
      <c r="T1848" s="782" t="s">
        <v>4284</v>
      </c>
      <c r="U1848" s="782" t="s">
        <v>4187</v>
      </c>
      <c r="V1848" s="797">
        <f>$S$1*P!V1848</f>
        <v>1.8439516129032258E-4</v>
      </c>
      <c r="W1848" s="780"/>
      <c r="X1848" s="881">
        <v>1844</v>
      </c>
      <c r="Y1848" s="881" t="s">
        <v>2248</v>
      </c>
      <c r="Z1848" s="881" t="s">
        <v>3289</v>
      </c>
      <c r="AA1848" s="882">
        <f>$S$1*P!AA1848</f>
        <v>0.26939516129032259</v>
      </c>
      <c r="AB1848" s="780"/>
      <c r="AC1848" s="782">
        <v>1844</v>
      </c>
      <c r="AD1848" s="782" t="s">
        <v>4573</v>
      </c>
      <c r="AE1848" s="782" t="s">
        <v>3941</v>
      </c>
      <c r="AF1848" s="781">
        <f>$S$1*P!AF1848</f>
        <v>2.573991935483871E-2</v>
      </c>
    </row>
    <row r="1849" spans="19:32" x14ac:dyDescent="0.35">
      <c r="S1849" s="881">
        <v>1845</v>
      </c>
      <c r="T1849" s="881" t="s">
        <v>4284</v>
      </c>
      <c r="U1849" s="881" t="s">
        <v>4186</v>
      </c>
      <c r="V1849" s="883">
        <f>$S$1*P!V1849</f>
        <v>2.3683467741935486E-3</v>
      </c>
      <c r="W1849" s="780"/>
      <c r="X1849" s="782">
        <v>1845</v>
      </c>
      <c r="Y1849" s="782" t="s">
        <v>2248</v>
      </c>
      <c r="Z1849" s="782" t="s">
        <v>5262</v>
      </c>
      <c r="AA1849" s="781">
        <f>$S$1*P!AA1849</f>
        <v>3.804435483870968E-4</v>
      </c>
      <c r="AB1849" s="780"/>
      <c r="AC1849" s="782">
        <v>1845</v>
      </c>
      <c r="AD1849" s="782" t="s">
        <v>4573</v>
      </c>
      <c r="AE1849" s="782" t="s">
        <v>3940</v>
      </c>
      <c r="AF1849" s="781">
        <f>$S$1*P!AF1849</f>
        <v>0.73346774193548392</v>
      </c>
    </row>
    <row r="1850" spans="19:32" x14ac:dyDescent="0.35">
      <c r="S1850" s="881">
        <v>1846</v>
      </c>
      <c r="T1850" s="881" t="s">
        <v>4284</v>
      </c>
      <c r="U1850" s="881" t="s">
        <v>4182</v>
      </c>
      <c r="V1850" s="883">
        <f>$S$1*P!V1850</f>
        <v>3.4274193548387101E-4</v>
      </c>
      <c r="W1850" s="780"/>
      <c r="X1850" s="881">
        <v>1846</v>
      </c>
      <c r="Y1850" s="881" t="s">
        <v>2248</v>
      </c>
      <c r="Z1850" s="881" t="s">
        <v>3288</v>
      </c>
      <c r="AA1850" s="882">
        <f>$S$1*P!AA1850</f>
        <v>0</v>
      </c>
      <c r="AB1850" s="780"/>
      <c r="AC1850" s="782">
        <v>1846</v>
      </c>
      <c r="AD1850" s="782" t="s">
        <v>4573</v>
      </c>
      <c r="AE1850" s="782" t="s">
        <v>3091</v>
      </c>
      <c r="AF1850" s="781">
        <f>$S$1*P!AF1850</f>
        <v>4.5927419354838709E-3</v>
      </c>
    </row>
    <row r="1851" spans="19:32" x14ac:dyDescent="0.35">
      <c r="S1851" s="881">
        <v>1847</v>
      </c>
      <c r="T1851" s="881" t="s">
        <v>4284</v>
      </c>
      <c r="U1851" s="881" t="s">
        <v>4179</v>
      </c>
      <c r="V1851" s="883">
        <f>$S$1*P!V1851</f>
        <v>4.4556451612903234E-5</v>
      </c>
      <c r="W1851" s="780"/>
      <c r="X1851" s="881">
        <v>1847</v>
      </c>
      <c r="Y1851" s="881" t="s">
        <v>2248</v>
      </c>
      <c r="Z1851" s="881" t="s">
        <v>4585</v>
      </c>
      <c r="AA1851" s="882">
        <f>$S$1*P!AA1851</f>
        <v>2.8516129032258068E-4</v>
      </c>
      <c r="AB1851" s="780"/>
      <c r="AC1851" s="881">
        <v>1847</v>
      </c>
      <c r="AD1851" s="881" t="s">
        <v>4573</v>
      </c>
      <c r="AE1851" s="881" t="s">
        <v>3091</v>
      </c>
      <c r="AF1851" s="882">
        <f>$S$1*P!AF1851</f>
        <v>0</v>
      </c>
    </row>
    <row r="1852" spans="19:32" x14ac:dyDescent="0.35">
      <c r="S1852" s="881">
        <v>1848</v>
      </c>
      <c r="T1852" s="881" t="s">
        <v>4284</v>
      </c>
      <c r="U1852" s="881" t="s">
        <v>3151</v>
      </c>
      <c r="V1852" s="883">
        <f>$S$1*P!V1852</f>
        <v>1.9947580645161292E-2</v>
      </c>
      <c r="W1852" s="780"/>
      <c r="X1852" s="782">
        <v>1848</v>
      </c>
      <c r="Y1852" s="782" t="s">
        <v>2248</v>
      </c>
      <c r="Z1852" s="782" t="s">
        <v>5261</v>
      </c>
      <c r="AA1852" s="781">
        <f>$S$1*P!AA1852</f>
        <v>0.21592741935483872</v>
      </c>
      <c r="AB1852" s="780"/>
      <c r="AC1852" s="782">
        <v>1848</v>
      </c>
      <c r="AD1852" s="782" t="s">
        <v>4573</v>
      </c>
      <c r="AE1852" s="782" t="s">
        <v>3934</v>
      </c>
      <c r="AF1852" s="781">
        <f>$S$1*P!AF1852</f>
        <v>651.20967741935488</v>
      </c>
    </row>
    <row r="1853" spans="19:32" x14ac:dyDescent="0.35">
      <c r="S1853" s="881">
        <v>1849</v>
      </c>
      <c r="T1853" s="881" t="s">
        <v>4284</v>
      </c>
      <c r="U1853" s="881" t="s">
        <v>3151</v>
      </c>
      <c r="V1853" s="883">
        <f>$S$1*P!V1853</f>
        <v>0</v>
      </c>
      <c r="W1853" s="780"/>
      <c r="X1853" s="782">
        <v>1849</v>
      </c>
      <c r="Y1853" s="782" t="s">
        <v>2248</v>
      </c>
      <c r="Z1853" s="782" t="s">
        <v>4582</v>
      </c>
      <c r="AA1853" s="781">
        <f>$S$1*P!AA1853</f>
        <v>1.8919354838709681E-5</v>
      </c>
      <c r="AB1853" s="780"/>
      <c r="AC1853" s="881">
        <v>1849</v>
      </c>
      <c r="AD1853" s="881" t="s">
        <v>4573</v>
      </c>
      <c r="AE1853" s="881" t="s">
        <v>3090</v>
      </c>
      <c r="AF1853" s="882">
        <f>$S$1*P!AF1853</f>
        <v>0</v>
      </c>
    </row>
    <row r="1854" spans="19:32" x14ac:dyDescent="0.35">
      <c r="S1854" s="782">
        <v>1850</v>
      </c>
      <c r="T1854" s="782" t="s">
        <v>4284</v>
      </c>
      <c r="U1854" s="782" t="s">
        <v>3150</v>
      </c>
      <c r="V1854" s="797">
        <f>$S$1*P!V1854</f>
        <v>1.7E-6</v>
      </c>
      <c r="W1854" s="780"/>
      <c r="X1854" s="881">
        <v>1850</v>
      </c>
      <c r="Y1854" s="881" t="s">
        <v>2248</v>
      </c>
      <c r="Z1854" s="881" t="s">
        <v>3286</v>
      </c>
      <c r="AA1854" s="882">
        <f>$S$1*P!AA1854</f>
        <v>0</v>
      </c>
      <c r="AB1854" s="780"/>
      <c r="AC1854" s="782">
        <v>1850</v>
      </c>
      <c r="AD1854" s="782" t="s">
        <v>4573</v>
      </c>
      <c r="AE1854" s="782" t="s">
        <v>3089</v>
      </c>
      <c r="AF1854" s="781">
        <f>$S$1*P!AF1854</f>
        <v>7711.6935483870975</v>
      </c>
    </row>
    <row r="1855" spans="19:32" x14ac:dyDescent="0.35">
      <c r="S1855" s="881">
        <v>1851</v>
      </c>
      <c r="T1855" s="881" t="s">
        <v>4284</v>
      </c>
      <c r="U1855" s="881" t="s">
        <v>3150</v>
      </c>
      <c r="V1855" s="883">
        <f>$S$1*P!V1855</f>
        <v>3.6524000000000001E-2</v>
      </c>
      <c r="W1855" s="780"/>
      <c r="X1855" s="881">
        <v>1851</v>
      </c>
      <c r="Y1855" s="881" t="s">
        <v>2248</v>
      </c>
      <c r="Z1855" s="881" t="s">
        <v>3286</v>
      </c>
      <c r="AA1855" s="882">
        <f>$S$1*P!AA1855</f>
        <v>1.0008064516129032E-4</v>
      </c>
      <c r="AB1855" s="780"/>
      <c r="AC1855" s="881">
        <v>1851</v>
      </c>
      <c r="AD1855" s="881" t="s">
        <v>4573</v>
      </c>
      <c r="AE1855" s="881" t="s">
        <v>3089</v>
      </c>
      <c r="AF1855" s="882">
        <f>$S$1*P!AF1855</f>
        <v>0</v>
      </c>
    </row>
    <row r="1856" spans="19:32" x14ac:dyDescent="0.35">
      <c r="S1856" s="881">
        <v>1852</v>
      </c>
      <c r="T1856" s="881" t="s">
        <v>4284</v>
      </c>
      <c r="U1856" s="881" t="s">
        <v>4177</v>
      </c>
      <c r="V1856" s="883">
        <f>$S$1*P!V1856</f>
        <v>2.8344758064516128E-4</v>
      </c>
      <c r="W1856" s="780"/>
      <c r="X1856" s="782">
        <v>1852</v>
      </c>
      <c r="Y1856" s="782" t="s">
        <v>2248</v>
      </c>
      <c r="Z1856" s="782" t="s">
        <v>3630</v>
      </c>
      <c r="AA1856" s="781">
        <f>$S$1*P!AA1856</f>
        <v>0.38387096774193552</v>
      </c>
      <c r="AB1856" s="780"/>
      <c r="AC1856" s="881">
        <v>1852</v>
      </c>
      <c r="AD1856" s="881" t="s">
        <v>4573</v>
      </c>
      <c r="AE1856" s="881" t="s">
        <v>3088</v>
      </c>
      <c r="AF1856" s="882">
        <f>$S$1*P!AF1856</f>
        <v>39.008000000000003</v>
      </c>
    </row>
    <row r="1857" spans="19:32" x14ac:dyDescent="0.35">
      <c r="S1857" s="782">
        <v>1853</v>
      </c>
      <c r="T1857" s="782" t="s">
        <v>4284</v>
      </c>
      <c r="U1857" s="782" t="s">
        <v>4176</v>
      </c>
      <c r="V1857" s="797">
        <f>$S$1*P!V1857</f>
        <v>4.3528225806451615E-5</v>
      </c>
      <c r="W1857" s="780"/>
      <c r="X1857" s="881">
        <v>1853</v>
      </c>
      <c r="Y1857" s="881" t="s">
        <v>2248</v>
      </c>
      <c r="Z1857" s="881" t="s">
        <v>3285</v>
      </c>
      <c r="AA1857" s="882">
        <f>$S$1*P!AA1857</f>
        <v>7.2495999999999997E-4</v>
      </c>
      <c r="AB1857" s="780"/>
      <c r="AC1857" s="782">
        <v>1853</v>
      </c>
      <c r="AD1857" s="782" t="s">
        <v>4573</v>
      </c>
      <c r="AE1857" s="782" t="s">
        <v>3929</v>
      </c>
      <c r="AF1857" s="781">
        <f>$S$1*P!AF1857</f>
        <v>0.80887096774193556</v>
      </c>
    </row>
    <row r="1858" spans="19:32" x14ac:dyDescent="0.35">
      <c r="S1858" s="881">
        <v>1854</v>
      </c>
      <c r="T1858" s="881" t="s">
        <v>4284</v>
      </c>
      <c r="U1858" s="881" t="s">
        <v>4175</v>
      </c>
      <c r="V1858" s="883">
        <f>$S$1*P!V1858</f>
        <v>1.963911290322581E-4</v>
      </c>
      <c r="W1858" s="780"/>
      <c r="X1858" s="782">
        <v>1854</v>
      </c>
      <c r="Y1858" s="782" t="s">
        <v>2248</v>
      </c>
      <c r="Z1858" s="782" t="s">
        <v>3285</v>
      </c>
      <c r="AA1858" s="781">
        <f>$S$1*P!AA1858</f>
        <v>1.8850806451612906E-4</v>
      </c>
      <c r="AB1858" s="780"/>
      <c r="AC1858" s="782">
        <v>1854</v>
      </c>
      <c r="AD1858" s="782" t="s">
        <v>4573</v>
      </c>
      <c r="AE1858" s="782" t="s">
        <v>3927</v>
      </c>
      <c r="AF1858" s="781">
        <f>$S$1*P!AF1858</f>
        <v>8.8427419354838719</v>
      </c>
    </row>
    <row r="1859" spans="19:32" x14ac:dyDescent="0.35">
      <c r="S1859" s="782">
        <v>1855</v>
      </c>
      <c r="T1859" s="782" t="s">
        <v>4284</v>
      </c>
      <c r="U1859" s="782" t="s">
        <v>4174</v>
      </c>
      <c r="V1859" s="797">
        <f>$S$1*P!V1859</f>
        <v>2.1901209677419357E-5</v>
      </c>
      <c r="W1859" s="780"/>
      <c r="X1859" s="782">
        <v>1855</v>
      </c>
      <c r="Y1859" s="782" t="s">
        <v>2248</v>
      </c>
      <c r="Z1859" s="782" t="s">
        <v>5260</v>
      </c>
      <c r="AA1859" s="781">
        <f>$S$1*P!AA1859</f>
        <v>1.4943548387096774</v>
      </c>
      <c r="AB1859" s="780"/>
      <c r="AC1859" s="782">
        <v>1855</v>
      </c>
      <c r="AD1859" s="782" t="s">
        <v>4573</v>
      </c>
      <c r="AE1859" s="782" t="s">
        <v>3923</v>
      </c>
      <c r="AF1859" s="781">
        <f>$S$1*P!AF1859</f>
        <v>1.1995967741935485E-3</v>
      </c>
    </row>
    <row r="1860" spans="19:32" x14ac:dyDescent="0.35">
      <c r="S1860" s="881">
        <v>1856</v>
      </c>
      <c r="T1860" s="881" t="s">
        <v>4284</v>
      </c>
      <c r="U1860" s="881" t="s">
        <v>4172</v>
      </c>
      <c r="V1860" s="883">
        <f>$S$1*P!V1860</f>
        <v>5.3125000000000004E-4</v>
      </c>
      <c r="W1860" s="780"/>
      <c r="X1860" s="881">
        <v>1856</v>
      </c>
      <c r="Y1860" s="881" t="s">
        <v>2248</v>
      </c>
      <c r="Z1860" s="881" t="s">
        <v>4575</v>
      </c>
      <c r="AA1860" s="882">
        <f>$S$1*P!AA1860</f>
        <v>5.7237903225806457E-3</v>
      </c>
      <c r="AB1860" s="780"/>
      <c r="AC1860" s="782">
        <v>1856</v>
      </c>
      <c r="AD1860" s="782" t="s">
        <v>4573</v>
      </c>
      <c r="AE1860" s="782" t="s">
        <v>3921</v>
      </c>
      <c r="AF1860" s="781">
        <f>$S$1*P!AF1860</f>
        <v>0.73689516129032262</v>
      </c>
    </row>
    <row r="1861" spans="19:32" x14ac:dyDescent="0.35">
      <c r="S1861" s="881">
        <v>1857</v>
      </c>
      <c r="T1861" s="881" t="s">
        <v>4284</v>
      </c>
      <c r="U1861" s="881" t="s">
        <v>3148</v>
      </c>
      <c r="V1861" s="883">
        <f>$S$1*P!V1861</f>
        <v>7.9173387096774198E-2</v>
      </c>
      <c r="W1861" s="780"/>
      <c r="X1861" s="881">
        <v>1857</v>
      </c>
      <c r="Y1861" s="881" t="s">
        <v>2248</v>
      </c>
      <c r="Z1861" s="881" t="s">
        <v>3283</v>
      </c>
      <c r="AA1861" s="882">
        <f>$S$1*P!AA1861</f>
        <v>8.2708E-4</v>
      </c>
      <c r="AB1861" s="780"/>
      <c r="AC1861" s="782">
        <v>1857</v>
      </c>
      <c r="AD1861" s="782" t="s">
        <v>4573</v>
      </c>
      <c r="AE1861" s="782" t="s">
        <v>3087</v>
      </c>
      <c r="AF1861" s="781">
        <f>$S$1*P!AF1861</f>
        <v>5.8608870967741941E-3</v>
      </c>
    </row>
    <row r="1862" spans="19:32" x14ac:dyDescent="0.35">
      <c r="S1862" s="881">
        <v>1858</v>
      </c>
      <c r="T1862" s="881" t="s">
        <v>4284</v>
      </c>
      <c r="U1862" s="881" t="s">
        <v>3148</v>
      </c>
      <c r="V1862" s="883">
        <f>$S$1*P!V1862</f>
        <v>3229.2000000000003</v>
      </c>
      <c r="W1862" s="780"/>
      <c r="X1862" s="782">
        <v>1858</v>
      </c>
      <c r="Y1862" s="782" t="s">
        <v>2248</v>
      </c>
      <c r="Z1862" s="782" t="s">
        <v>5259</v>
      </c>
      <c r="AA1862" s="781">
        <f>$S$1*P!AA1862</f>
        <v>2.5808467741935486E-3</v>
      </c>
      <c r="AB1862" s="780"/>
      <c r="AC1862" s="881">
        <v>1858</v>
      </c>
      <c r="AD1862" s="881" t="s">
        <v>4573</v>
      </c>
      <c r="AE1862" s="881" t="s">
        <v>3087</v>
      </c>
      <c r="AF1862" s="882">
        <f>$S$1*P!AF1862</f>
        <v>0.52440000000000009</v>
      </c>
    </row>
    <row r="1863" spans="19:32" x14ac:dyDescent="0.35">
      <c r="S1863" s="881">
        <v>1859</v>
      </c>
      <c r="T1863" s="881" t="s">
        <v>4284</v>
      </c>
      <c r="U1863" s="881" t="s">
        <v>4169</v>
      </c>
      <c r="V1863" s="883">
        <f>$S$1*P!V1863</f>
        <v>3.5302419354838713E-3</v>
      </c>
      <c r="W1863" s="780"/>
      <c r="X1863" s="782">
        <v>1859</v>
      </c>
      <c r="Y1863" s="782" t="s">
        <v>2248</v>
      </c>
      <c r="Z1863" s="782" t="s">
        <v>3283</v>
      </c>
      <c r="AA1863" s="781">
        <f>$S$1*P!AA1863</f>
        <v>1.3709677419354839E-2</v>
      </c>
      <c r="AB1863" s="780"/>
      <c r="AC1863" s="881">
        <v>1859</v>
      </c>
      <c r="AD1863" s="881" t="s">
        <v>4573</v>
      </c>
      <c r="AE1863" s="881" t="s">
        <v>3086</v>
      </c>
      <c r="AF1863" s="882">
        <f>$S$1*P!AF1863</f>
        <v>9.5680000000000001E-3</v>
      </c>
    </row>
    <row r="1864" spans="19:32" x14ac:dyDescent="0.35">
      <c r="S1864" s="881">
        <v>1860</v>
      </c>
      <c r="T1864" s="881" t="s">
        <v>4284</v>
      </c>
      <c r="U1864" s="881" t="s">
        <v>4167</v>
      </c>
      <c r="V1864" s="883">
        <f>$S$1*P!V1864</f>
        <v>0.15594758064516132</v>
      </c>
      <c r="W1864" s="780"/>
      <c r="X1864" s="881">
        <v>1860</v>
      </c>
      <c r="Y1864" s="881" t="s">
        <v>2248</v>
      </c>
      <c r="Z1864" s="881" t="s">
        <v>3282</v>
      </c>
      <c r="AA1864" s="882">
        <f>$S$1*P!AA1864</f>
        <v>0</v>
      </c>
      <c r="AB1864" s="780"/>
      <c r="AC1864" s="782">
        <v>1860</v>
      </c>
      <c r="AD1864" s="782" t="s">
        <v>4573</v>
      </c>
      <c r="AE1864" s="782" t="s">
        <v>3085</v>
      </c>
      <c r="AF1864" s="781">
        <f>$S$1*P!AF1864</f>
        <v>7.4375000000000005E-4</v>
      </c>
    </row>
    <row r="1865" spans="19:32" x14ac:dyDescent="0.35">
      <c r="S1865" s="782">
        <v>1861</v>
      </c>
      <c r="T1865" s="782" t="s">
        <v>4284</v>
      </c>
      <c r="U1865" s="782" t="s">
        <v>4163</v>
      </c>
      <c r="V1865" s="797">
        <f>$S$1*P!V1865</f>
        <v>4.9697580645161298E-3</v>
      </c>
      <c r="W1865" s="780"/>
      <c r="X1865" s="881">
        <v>1861</v>
      </c>
      <c r="Y1865" s="881" t="s">
        <v>2248</v>
      </c>
      <c r="Z1865" s="881" t="s">
        <v>3282</v>
      </c>
      <c r="AA1865" s="882">
        <f>$S$1*P!AA1865</f>
        <v>3.1977822580645161E-3</v>
      </c>
      <c r="AB1865" s="780"/>
      <c r="AC1865" s="881">
        <v>1861</v>
      </c>
      <c r="AD1865" s="881" t="s">
        <v>4573</v>
      </c>
      <c r="AE1865" s="881" t="s">
        <v>3085</v>
      </c>
      <c r="AF1865" s="882">
        <f>$S$1*P!AF1865</f>
        <v>0</v>
      </c>
    </row>
    <row r="1866" spans="19:32" x14ac:dyDescent="0.35">
      <c r="S1866" s="881">
        <v>1862</v>
      </c>
      <c r="T1866" s="881" t="s">
        <v>4284</v>
      </c>
      <c r="U1866" s="881" t="s">
        <v>4160</v>
      </c>
      <c r="V1866" s="883">
        <f>$S$1*P!V1866</f>
        <v>8.5342741935483875E-4</v>
      </c>
      <c r="W1866" s="780"/>
      <c r="X1866" s="782">
        <v>1862</v>
      </c>
      <c r="Y1866" s="782" t="s">
        <v>2248</v>
      </c>
      <c r="Z1866" s="782" t="s">
        <v>5258</v>
      </c>
      <c r="AA1866" s="781">
        <f>$S$1*P!AA1866</f>
        <v>1.7891129032258064E-4</v>
      </c>
      <c r="AB1866" s="780"/>
      <c r="AC1866" s="782">
        <v>1862</v>
      </c>
      <c r="AD1866" s="782" t="s">
        <v>4573</v>
      </c>
      <c r="AE1866" s="782" t="s">
        <v>3083</v>
      </c>
      <c r="AF1866" s="781">
        <f>$S$1*P!AF1866</f>
        <v>1.110483870967742E-2</v>
      </c>
    </row>
    <row r="1867" spans="19:32" x14ac:dyDescent="0.35">
      <c r="S1867" s="782">
        <v>1863</v>
      </c>
      <c r="T1867" s="782" t="s">
        <v>4284</v>
      </c>
      <c r="U1867" s="782" t="s">
        <v>4157</v>
      </c>
      <c r="V1867" s="797">
        <f>$S$1*P!V1867</f>
        <v>7.67741935483871</v>
      </c>
      <c r="W1867" s="780"/>
      <c r="X1867" s="881">
        <v>1863</v>
      </c>
      <c r="Y1867" s="881" t="s">
        <v>2248</v>
      </c>
      <c r="Z1867" s="881" t="s">
        <v>4572</v>
      </c>
      <c r="AA1867" s="882">
        <f>$S$1*P!AA1867</f>
        <v>6.4778225806451611E-4</v>
      </c>
      <c r="AB1867" s="780"/>
      <c r="AC1867" s="881">
        <v>1863</v>
      </c>
      <c r="AD1867" s="881" t="s">
        <v>4573</v>
      </c>
      <c r="AE1867" s="881" t="s">
        <v>3083</v>
      </c>
      <c r="AF1867" s="882">
        <f>$S$1*P!AF1867</f>
        <v>1.0671999999999999</v>
      </c>
    </row>
    <row r="1868" spans="19:32" x14ac:dyDescent="0.35">
      <c r="S1868" s="881">
        <v>1864</v>
      </c>
      <c r="T1868" s="881" t="s">
        <v>4284</v>
      </c>
      <c r="U1868" s="881" t="s">
        <v>4153</v>
      </c>
      <c r="V1868" s="883">
        <f>$S$1*P!V1868</f>
        <v>1.8473790322580646E-3</v>
      </c>
      <c r="W1868" s="780"/>
      <c r="X1868" s="881">
        <v>1864</v>
      </c>
      <c r="Y1868" s="881" t="s">
        <v>2248</v>
      </c>
      <c r="Z1868" s="881" t="s">
        <v>4570</v>
      </c>
      <c r="AA1868" s="882">
        <f>$S$1*P!AA1868</f>
        <v>4.0100806451612908E-3</v>
      </c>
      <c r="AB1868" s="780"/>
      <c r="AC1868" s="782">
        <v>1864</v>
      </c>
      <c r="AD1868" s="782" t="s">
        <v>4573</v>
      </c>
      <c r="AE1868" s="782" t="s">
        <v>3081</v>
      </c>
      <c r="AF1868" s="781">
        <f>$S$1*P!AF1868</f>
        <v>1.4909274193548388E-3</v>
      </c>
    </row>
    <row r="1869" spans="19:32" x14ac:dyDescent="0.35">
      <c r="S1869" s="881">
        <v>1865</v>
      </c>
      <c r="T1869" s="881" t="s">
        <v>4284</v>
      </c>
      <c r="U1869" s="881" t="s">
        <v>3147</v>
      </c>
      <c r="V1869" s="883">
        <f>$S$1*P!V1869</f>
        <v>0.19411999999999999</v>
      </c>
      <c r="W1869" s="780"/>
      <c r="X1869" s="782">
        <v>1865</v>
      </c>
      <c r="Y1869" s="782" t="s">
        <v>2248</v>
      </c>
      <c r="Z1869" s="782" t="s">
        <v>5257</v>
      </c>
      <c r="AA1869" s="781">
        <f>$S$1*P!AA1869</f>
        <v>3.9415322580645161E-3</v>
      </c>
      <c r="AB1869" s="780"/>
      <c r="AC1869" s="881">
        <v>1865</v>
      </c>
      <c r="AD1869" s="881" t="s">
        <v>4573</v>
      </c>
      <c r="AE1869" s="881" t="s">
        <v>3081</v>
      </c>
      <c r="AF1869" s="882">
        <f>$S$1*P!AF1869</f>
        <v>0.70932000000000006</v>
      </c>
    </row>
    <row r="1870" spans="19:32" x14ac:dyDescent="0.35">
      <c r="S1870" s="881">
        <v>1866</v>
      </c>
      <c r="T1870" s="881" t="s">
        <v>4284</v>
      </c>
      <c r="U1870" s="881" t="s">
        <v>3145</v>
      </c>
      <c r="V1870" s="883">
        <f>$S$1*P!V1870</f>
        <v>3.0175999999999998</v>
      </c>
      <c r="W1870" s="780"/>
      <c r="X1870" s="881">
        <v>1866</v>
      </c>
      <c r="Y1870" s="881" t="s">
        <v>2248</v>
      </c>
      <c r="Z1870" s="881" t="s">
        <v>4567</v>
      </c>
      <c r="AA1870" s="882">
        <f>$S$1*P!AA1870</f>
        <v>8.191532258064517E-2</v>
      </c>
      <c r="AB1870" s="780"/>
      <c r="AC1870" s="881">
        <v>1866</v>
      </c>
      <c r="AD1870" s="881" t="s">
        <v>4573</v>
      </c>
      <c r="AE1870" s="881" t="s">
        <v>3080</v>
      </c>
      <c r="AF1870" s="882">
        <f>$S$1*P!AF1870</f>
        <v>0</v>
      </c>
    </row>
    <row r="1871" spans="19:32" x14ac:dyDescent="0.35">
      <c r="S1871" s="782">
        <v>1867</v>
      </c>
      <c r="T1871" s="782" t="s">
        <v>4284</v>
      </c>
      <c r="U1871" s="782" t="s">
        <v>4151</v>
      </c>
      <c r="V1871" s="797">
        <f>$S$1*P!V1871</f>
        <v>1.4086693548387099E-4</v>
      </c>
      <c r="W1871" s="780"/>
      <c r="X1871" s="881">
        <v>1867</v>
      </c>
      <c r="Y1871" s="881" t="s">
        <v>2248</v>
      </c>
      <c r="Z1871" s="881" t="s">
        <v>3280</v>
      </c>
      <c r="AA1871" s="882">
        <f>$S$1*P!AA1871</f>
        <v>1.0488000000000002</v>
      </c>
      <c r="AB1871" s="780"/>
      <c r="AC1871" s="881">
        <v>1867</v>
      </c>
      <c r="AD1871" s="881" t="s">
        <v>4573</v>
      </c>
      <c r="AE1871" s="881" t="s">
        <v>3078</v>
      </c>
      <c r="AF1871" s="882">
        <f>$S$1*P!AF1871</f>
        <v>0</v>
      </c>
    </row>
    <row r="1872" spans="19:32" x14ac:dyDescent="0.35">
      <c r="S1872" s="881">
        <v>1868</v>
      </c>
      <c r="T1872" s="881" t="s">
        <v>4284</v>
      </c>
      <c r="U1872" s="881" t="s">
        <v>3144</v>
      </c>
      <c r="V1872" s="883">
        <f>$S$1*P!V1872</f>
        <v>0.16467999999999999</v>
      </c>
      <c r="W1872" s="780"/>
      <c r="X1872" s="782">
        <v>1868</v>
      </c>
      <c r="Y1872" s="782" t="s">
        <v>2248</v>
      </c>
      <c r="Z1872" s="782" t="s">
        <v>3280</v>
      </c>
      <c r="AA1872" s="781">
        <f>$S$1*P!AA1872</f>
        <v>6.3407258064516138E-5</v>
      </c>
      <c r="AB1872" s="780"/>
      <c r="AC1872" s="881">
        <v>1868</v>
      </c>
      <c r="AD1872" s="881" t="s">
        <v>4573</v>
      </c>
      <c r="AE1872" s="881" t="s">
        <v>3077</v>
      </c>
      <c r="AF1872" s="882">
        <f>$S$1*P!AF1872</f>
        <v>3.4132000000000003E-2</v>
      </c>
    </row>
    <row r="1873" spans="19:32" x14ac:dyDescent="0.35">
      <c r="S1873" s="881">
        <v>1869</v>
      </c>
      <c r="T1873" s="881" t="s">
        <v>4284</v>
      </c>
      <c r="U1873" s="881" t="s">
        <v>4147</v>
      </c>
      <c r="V1873" s="883">
        <f>$S$1*P!V1873</f>
        <v>2.7385080645161291E-6</v>
      </c>
      <c r="W1873" s="780"/>
      <c r="X1873" s="782">
        <v>1869</v>
      </c>
      <c r="Y1873" s="782" t="s">
        <v>2248</v>
      </c>
      <c r="Z1873" s="782" t="s">
        <v>5256</v>
      </c>
      <c r="AA1873" s="781">
        <f>$S$1*P!AA1873</f>
        <v>5.0725806451612909E-3</v>
      </c>
      <c r="AB1873" s="780"/>
      <c r="AC1873" s="782">
        <v>1869</v>
      </c>
      <c r="AD1873" s="782" t="s">
        <v>4573</v>
      </c>
      <c r="AE1873" s="782" t="s">
        <v>3075</v>
      </c>
      <c r="AF1873" s="781">
        <f>$S$1*P!AF1873</f>
        <v>9.2197580645161301E-3</v>
      </c>
    </row>
    <row r="1874" spans="19:32" x14ac:dyDescent="0.35">
      <c r="S1874" s="881">
        <v>1870</v>
      </c>
      <c r="T1874" s="881" t="s">
        <v>4284</v>
      </c>
      <c r="U1874" s="881" t="s">
        <v>4146</v>
      </c>
      <c r="V1874" s="883">
        <f>$S$1*P!V1874</f>
        <v>6.9233870967741945E-5</v>
      </c>
      <c r="W1874" s="780"/>
      <c r="X1874" s="881">
        <v>1870</v>
      </c>
      <c r="Y1874" s="881" t="s">
        <v>2248</v>
      </c>
      <c r="Z1874" s="881" t="s">
        <v>3278</v>
      </c>
      <c r="AA1874" s="882">
        <f>$S$1*P!AA1874</f>
        <v>0</v>
      </c>
      <c r="AB1874" s="780"/>
      <c r="AC1874" s="881">
        <v>1870</v>
      </c>
      <c r="AD1874" s="881" t="s">
        <v>4573</v>
      </c>
      <c r="AE1874" s="881" t="s">
        <v>3075</v>
      </c>
      <c r="AF1874" s="882">
        <f>$S$1*P!AF1874</f>
        <v>13.156000000000001</v>
      </c>
    </row>
    <row r="1875" spans="19:32" x14ac:dyDescent="0.35">
      <c r="S1875" s="881">
        <v>1871</v>
      </c>
      <c r="T1875" s="881" t="s">
        <v>4284</v>
      </c>
      <c r="U1875" s="881" t="s">
        <v>4145</v>
      </c>
      <c r="V1875" s="883">
        <f>$S$1*P!V1875</f>
        <v>2.765927419354839E-4</v>
      </c>
      <c r="W1875" s="780"/>
      <c r="X1875" s="782">
        <v>1871</v>
      </c>
      <c r="Y1875" s="782" t="s">
        <v>2248</v>
      </c>
      <c r="Z1875" s="782" t="s">
        <v>5255</v>
      </c>
      <c r="AA1875" s="781">
        <f>$S$1*P!AA1875</f>
        <v>4.6955645161290326E-4</v>
      </c>
      <c r="AB1875" s="780"/>
      <c r="AC1875" s="782">
        <v>1871</v>
      </c>
      <c r="AD1875" s="782" t="s">
        <v>4573</v>
      </c>
      <c r="AE1875" s="782" t="s">
        <v>3074</v>
      </c>
      <c r="AF1875" s="781">
        <f>$S$1*P!AF1875</f>
        <v>5.1754032258064517E-4</v>
      </c>
    </row>
    <row r="1876" spans="19:32" x14ac:dyDescent="0.35">
      <c r="S1876" s="881">
        <v>1872</v>
      </c>
      <c r="T1876" s="881" t="s">
        <v>4284</v>
      </c>
      <c r="U1876" s="881" t="s">
        <v>4143</v>
      </c>
      <c r="V1876" s="883">
        <f>$S$1*P!V1876</f>
        <v>1.5697580645161291E-5</v>
      </c>
      <c r="W1876" s="780"/>
      <c r="X1876" s="881">
        <v>1872</v>
      </c>
      <c r="Y1876" s="881" t="s">
        <v>2248</v>
      </c>
      <c r="Z1876" s="881" t="s">
        <v>3277</v>
      </c>
      <c r="AA1876" s="882">
        <f>$S$1*P!AA1876</f>
        <v>0.10303999999999999</v>
      </c>
      <c r="AB1876" s="780"/>
      <c r="AC1876" s="881">
        <v>1872</v>
      </c>
      <c r="AD1876" s="881" t="s">
        <v>4573</v>
      </c>
      <c r="AE1876" s="881" t="s">
        <v>3074</v>
      </c>
      <c r="AF1876" s="882">
        <f>$S$1*P!AF1876</f>
        <v>1.4443999999999999</v>
      </c>
    </row>
    <row r="1877" spans="19:32" x14ac:dyDescent="0.35">
      <c r="S1877" s="782">
        <v>1873</v>
      </c>
      <c r="T1877" s="782" t="s">
        <v>4284</v>
      </c>
      <c r="U1877" s="782" t="s">
        <v>3142</v>
      </c>
      <c r="V1877" s="797">
        <f>$S$1*P!V1877</f>
        <v>9.0483870967741943E-6</v>
      </c>
      <c r="W1877" s="780"/>
      <c r="X1877" s="881">
        <v>1873</v>
      </c>
      <c r="Y1877" s="881" t="s">
        <v>2248</v>
      </c>
      <c r="Z1877" s="881" t="s">
        <v>3277</v>
      </c>
      <c r="AA1877" s="882">
        <f>$S$1*P!AA1877</f>
        <v>2.5054435483870971E-2</v>
      </c>
      <c r="AB1877" s="780"/>
      <c r="AC1877" s="881">
        <v>1873</v>
      </c>
      <c r="AD1877" s="881" t="s">
        <v>4573</v>
      </c>
      <c r="AE1877" s="881" t="s">
        <v>3073</v>
      </c>
      <c r="AF1877" s="882">
        <f>$S$1*P!AF1877</f>
        <v>0</v>
      </c>
    </row>
    <row r="1878" spans="19:32" x14ac:dyDescent="0.35">
      <c r="S1878" s="881">
        <v>1874</v>
      </c>
      <c r="T1878" s="881" t="s">
        <v>4284</v>
      </c>
      <c r="U1878" s="881" t="s">
        <v>3142</v>
      </c>
      <c r="V1878" s="883">
        <f>$S$1*P!V1878</f>
        <v>0</v>
      </c>
      <c r="W1878" s="780"/>
      <c r="X1878" s="782">
        <v>1874</v>
      </c>
      <c r="Y1878" s="782" t="s">
        <v>2248</v>
      </c>
      <c r="Z1878" s="782" t="s">
        <v>5254</v>
      </c>
      <c r="AA1878" s="781">
        <f>$S$1*P!AA1878</f>
        <v>3.1360887096774197E-3</v>
      </c>
      <c r="AB1878" s="780"/>
      <c r="AC1878" s="782">
        <v>1874</v>
      </c>
      <c r="AD1878" s="782" t="s">
        <v>4573</v>
      </c>
      <c r="AE1878" s="782" t="s">
        <v>3072</v>
      </c>
      <c r="AF1878" s="781">
        <f>$S$1*P!AF1878</f>
        <v>4.1471774193548392E-3</v>
      </c>
    </row>
    <row r="1879" spans="19:32" x14ac:dyDescent="0.35">
      <c r="S1879" s="861">
        <v>1875</v>
      </c>
      <c r="T1879" s="861" t="s">
        <v>4284</v>
      </c>
      <c r="U1879" s="861" t="s">
        <v>4141</v>
      </c>
      <c r="V1879" s="862">
        <f>$S$1*P!V1879</f>
        <v>3.5952000000000002</v>
      </c>
      <c r="W1879" s="780"/>
      <c r="X1879" s="881">
        <v>1875</v>
      </c>
      <c r="Y1879" s="881" t="s">
        <v>2248</v>
      </c>
      <c r="Z1879" s="881" t="s">
        <v>3276</v>
      </c>
      <c r="AA1879" s="882">
        <f>$S$1*P!AA1879</f>
        <v>3.9652000000000003E-3</v>
      </c>
      <c r="AB1879" s="780"/>
      <c r="AC1879" s="881">
        <v>1875</v>
      </c>
      <c r="AD1879" s="881" t="s">
        <v>4573</v>
      </c>
      <c r="AE1879" s="881" t="s">
        <v>3072</v>
      </c>
      <c r="AF1879" s="882">
        <f>$S$1*P!AF1879</f>
        <v>3.3488000000000004E-2</v>
      </c>
    </row>
    <row r="1880" spans="19:32" x14ac:dyDescent="0.35">
      <c r="S1880" s="881">
        <v>1876</v>
      </c>
      <c r="T1880" s="881" t="s">
        <v>4284</v>
      </c>
      <c r="U1880" s="881" t="s">
        <v>4141</v>
      </c>
      <c r="V1880" s="883">
        <f>$S$1*P!V1880</f>
        <v>2.7350806451612906E-8</v>
      </c>
      <c r="W1880" s="780"/>
      <c r="X1880" s="782">
        <v>1876</v>
      </c>
      <c r="Y1880" s="782" t="s">
        <v>2248</v>
      </c>
      <c r="Z1880" s="782" t="s">
        <v>3276</v>
      </c>
      <c r="AA1880" s="781">
        <f>$S$1*P!AA1880</f>
        <v>3.3897177419354844E-4</v>
      </c>
      <c r="AB1880" s="780"/>
      <c r="AC1880" s="881">
        <v>1876</v>
      </c>
      <c r="AD1880" s="881" t="s">
        <v>4573</v>
      </c>
      <c r="AE1880" s="881" t="s">
        <v>3071</v>
      </c>
      <c r="AF1880" s="882">
        <f>$S$1*P!AF1880</f>
        <v>0</v>
      </c>
    </row>
    <row r="1881" spans="19:32" x14ac:dyDescent="0.35">
      <c r="S1881" s="782">
        <v>1877</v>
      </c>
      <c r="T1881" s="782" t="s">
        <v>4284</v>
      </c>
      <c r="U1881" s="782" t="s">
        <v>4139</v>
      </c>
      <c r="V1881" s="797">
        <f>$S$1*P!V1881</f>
        <v>3.3588709677419354E-7</v>
      </c>
      <c r="W1881" s="780"/>
      <c r="X1881" s="881">
        <v>1877</v>
      </c>
      <c r="Y1881" s="881" t="s">
        <v>2248</v>
      </c>
      <c r="Z1881" s="881" t="s">
        <v>4566</v>
      </c>
      <c r="AA1881" s="882">
        <f>$S$1*P!AA1881</f>
        <v>0.63064516129032266</v>
      </c>
      <c r="AB1881" s="780"/>
      <c r="AC1881" s="881">
        <v>1877</v>
      </c>
      <c r="AD1881" s="881" t="s">
        <v>4573</v>
      </c>
      <c r="AE1881" s="881" t="s">
        <v>3069</v>
      </c>
      <c r="AF1881" s="882">
        <f>$S$1*P!AF1881</f>
        <v>1.3892</v>
      </c>
    </row>
    <row r="1882" spans="19:32" x14ac:dyDescent="0.35">
      <c r="S1882" s="881">
        <v>1878</v>
      </c>
      <c r="T1882" s="881" t="s">
        <v>4284</v>
      </c>
      <c r="U1882" s="881" t="s">
        <v>4136</v>
      </c>
      <c r="V1882" s="883">
        <f>$S$1*P!V1882</f>
        <v>1.346975806451613E-2</v>
      </c>
      <c r="W1882" s="780"/>
      <c r="X1882" s="782">
        <v>1878</v>
      </c>
      <c r="Y1882" s="782" t="s">
        <v>2248</v>
      </c>
      <c r="Z1882" s="782" t="s">
        <v>5253</v>
      </c>
      <c r="AA1882" s="781">
        <f>$S$1*P!AA1882</f>
        <v>5.7923387096774194E-3</v>
      </c>
      <c r="AB1882" s="780"/>
      <c r="AC1882" s="881">
        <v>1878</v>
      </c>
      <c r="AD1882" s="881" t="s">
        <v>4573</v>
      </c>
      <c r="AE1882" s="881" t="s">
        <v>3068</v>
      </c>
      <c r="AF1882" s="882">
        <f>$S$1*P!AF1882</f>
        <v>0.12695999999999999</v>
      </c>
    </row>
    <row r="1883" spans="19:32" x14ac:dyDescent="0.35">
      <c r="S1883" s="782">
        <v>1879</v>
      </c>
      <c r="T1883" s="782" t="s">
        <v>4284</v>
      </c>
      <c r="U1883" s="782" t="s">
        <v>4134</v>
      </c>
      <c r="V1883" s="797">
        <f>$S$1*P!V1883</f>
        <v>2.4780241935483871E-5</v>
      </c>
      <c r="W1883" s="780"/>
      <c r="X1883" s="782">
        <v>1879</v>
      </c>
      <c r="Y1883" s="782" t="s">
        <v>2248</v>
      </c>
      <c r="Z1883" s="782" t="s">
        <v>4565</v>
      </c>
      <c r="AA1883" s="781">
        <f>$S$1*P!AA1883</f>
        <v>1.4395161290322582E-3</v>
      </c>
      <c r="AB1883" s="780"/>
      <c r="AC1883" s="881">
        <v>1879</v>
      </c>
      <c r="AD1883" s="881" t="s">
        <v>4573</v>
      </c>
      <c r="AE1883" s="881" t="s">
        <v>3066</v>
      </c>
      <c r="AF1883" s="882">
        <f>$S$1*P!AF1883</f>
        <v>1.702E-2</v>
      </c>
    </row>
    <row r="1884" spans="19:32" x14ac:dyDescent="0.35">
      <c r="S1884" s="881">
        <v>1880</v>
      </c>
      <c r="T1884" s="881" t="s">
        <v>4284</v>
      </c>
      <c r="U1884" s="881" t="s">
        <v>4133</v>
      </c>
      <c r="V1884" s="883">
        <f>$S$1*P!V1884</f>
        <v>5.4495967741935492E-7</v>
      </c>
      <c r="W1884" s="780"/>
      <c r="X1884" s="881">
        <v>1880</v>
      </c>
      <c r="Y1884" s="881" t="s">
        <v>2248</v>
      </c>
      <c r="Z1884" s="881" t="s">
        <v>3275</v>
      </c>
      <c r="AA1884" s="882">
        <f>$S$1*P!AA1884</f>
        <v>0</v>
      </c>
      <c r="AB1884" s="780"/>
      <c r="AC1884" s="782">
        <v>1880</v>
      </c>
      <c r="AD1884" s="782" t="s">
        <v>4573</v>
      </c>
      <c r="AE1884" s="782" t="s">
        <v>3906</v>
      </c>
      <c r="AF1884" s="781">
        <f>$S$1*P!AF1884</f>
        <v>3.1292338709677423E-4</v>
      </c>
    </row>
    <row r="1885" spans="19:32" x14ac:dyDescent="0.35">
      <c r="S1885" s="881">
        <v>1881</v>
      </c>
      <c r="T1885" s="881" t="s">
        <v>4284</v>
      </c>
      <c r="U1885" s="881" t="s">
        <v>4130</v>
      </c>
      <c r="V1885" s="883">
        <f>$S$1*P!V1885</f>
        <v>0.23957661290322582</v>
      </c>
      <c r="W1885" s="780"/>
      <c r="X1885" s="881">
        <v>1881</v>
      </c>
      <c r="Y1885" s="881" t="s">
        <v>2248</v>
      </c>
      <c r="Z1885" s="881" t="s">
        <v>3275</v>
      </c>
      <c r="AA1885" s="882">
        <f>$S$1*P!AA1885</f>
        <v>0.20050403225806454</v>
      </c>
      <c r="AB1885" s="780"/>
      <c r="AC1885" s="782">
        <v>1881</v>
      </c>
      <c r="AD1885" s="782" t="s">
        <v>4573</v>
      </c>
      <c r="AE1885" s="782" t="s">
        <v>3065</v>
      </c>
      <c r="AF1885" s="781">
        <f>$S$1*P!AF1885</f>
        <v>6.4435483870967744E-2</v>
      </c>
    </row>
    <row r="1886" spans="19:32" x14ac:dyDescent="0.35">
      <c r="S1886" s="881">
        <v>1882</v>
      </c>
      <c r="T1886" s="881" t="s">
        <v>4284</v>
      </c>
      <c r="U1886" s="881" t="s">
        <v>3140</v>
      </c>
      <c r="V1886" s="883">
        <f>$S$1*P!V1886</f>
        <v>0</v>
      </c>
      <c r="W1886" s="780"/>
      <c r="X1886" s="782">
        <v>1882</v>
      </c>
      <c r="Y1886" s="782" t="s">
        <v>2248</v>
      </c>
      <c r="Z1886" s="782" t="s">
        <v>5252</v>
      </c>
      <c r="AA1886" s="781">
        <f>$S$1*P!AA1886</f>
        <v>4.8669354838709676E-5</v>
      </c>
      <c r="AB1886" s="780"/>
      <c r="AC1886" s="881">
        <v>1882</v>
      </c>
      <c r="AD1886" s="881" t="s">
        <v>4573</v>
      </c>
      <c r="AE1886" s="881" t="s">
        <v>3065</v>
      </c>
      <c r="AF1886" s="882">
        <f>$S$1*P!AF1886</f>
        <v>1.9596</v>
      </c>
    </row>
    <row r="1887" spans="19:32" x14ac:dyDescent="0.35">
      <c r="S1887" s="881">
        <v>1883</v>
      </c>
      <c r="T1887" s="881" t="s">
        <v>4284</v>
      </c>
      <c r="U1887" s="881" t="s">
        <v>4126</v>
      </c>
      <c r="V1887" s="883">
        <f>$S$1*P!V1887</f>
        <v>6.3750000000000005E-3</v>
      </c>
      <c r="W1887" s="780"/>
      <c r="X1887" s="881">
        <v>1883</v>
      </c>
      <c r="Y1887" s="881" t="s">
        <v>2248</v>
      </c>
      <c r="Z1887" s="881" t="s">
        <v>4564</v>
      </c>
      <c r="AA1887" s="882">
        <f>$S$1*P!AA1887</f>
        <v>7.883064516129032E-5</v>
      </c>
      <c r="AB1887" s="780"/>
      <c r="AC1887" s="782">
        <v>1883</v>
      </c>
      <c r="AD1887" s="782" t="s">
        <v>4573</v>
      </c>
      <c r="AE1887" s="782" t="s">
        <v>3064</v>
      </c>
      <c r="AF1887" s="781">
        <f>$S$1*P!AF1887</f>
        <v>1.0796370967741937E-2</v>
      </c>
    </row>
    <row r="1888" spans="19:32" x14ac:dyDescent="0.35">
      <c r="S1888" s="881">
        <v>1884</v>
      </c>
      <c r="T1888" s="881" t="s">
        <v>4284</v>
      </c>
      <c r="U1888" s="881" t="s">
        <v>4124</v>
      </c>
      <c r="V1888" s="883">
        <f>$S$1*P!V1888</f>
        <v>5.1411290322580646E-3</v>
      </c>
      <c r="W1888" s="780"/>
      <c r="X1888" s="782">
        <v>1884</v>
      </c>
      <c r="Y1888" s="782" t="s">
        <v>2248</v>
      </c>
      <c r="Z1888" s="782" t="s">
        <v>5251</v>
      </c>
      <c r="AA1888" s="781">
        <f>$S$1*P!AA1888</f>
        <v>5.5181451612903235E-5</v>
      </c>
      <c r="AB1888" s="780"/>
      <c r="AC1888" s="881">
        <v>1884</v>
      </c>
      <c r="AD1888" s="881" t="s">
        <v>4573</v>
      </c>
      <c r="AE1888" s="881" t="s">
        <v>3064</v>
      </c>
      <c r="AF1888" s="882">
        <f>$S$1*P!AF1888</f>
        <v>2.0515999999999996</v>
      </c>
    </row>
    <row r="1889" spans="19:32" x14ac:dyDescent="0.35">
      <c r="S1889" s="782">
        <v>1885</v>
      </c>
      <c r="T1889" s="782" t="s">
        <v>4284</v>
      </c>
      <c r="U1889" s="782" t="s">
        <v>4123</v>
      </c>
      <c r="V1889" s="797">
        <f>$S$1*P!V1889</f>
        <v>7.1633064516129039E-2</v>
      </c>
      <c r="W1889" s="780"/>
      <c r="X1889" s="789">
        <v>1885</v>
      </c>
      <c r="Y1889" s="789" t="s">
        <v>2248</v>
      </c>
      <c r="Z1889" s="789" t="s">
        <v>5250</v>
      </c>
      <c r="AA1889" s="896">
        <f>$S$1*P!AA1889</f>
        <v>-0.11600000000000001</v>
      </c>
      <c r="AB1889" s="780"/>
      <c r="AC1889" s="782">
        <v>1885</v>
      </c>
      <c r="AD1889" s="782" t="s">
        <v>4573</v>
      </c>
      <c r="AE1889" s="782" t="s">
        <v>3900</v>
      </c>
      <c r="AF1889" s="781">
        <f>$S$1*P!AF1889</f>
        <v>4.1814516129032265E-3</v>
      </c>
    </row>
    <row r="1890" spans="19:32" x14ac:dyDescent="0.35">
      <c r="S1890" s="881">
        <v>1886</v>
      </c>
      <c r="T1890" s="881" t="s">
        <v>4284</v>
      </c>
      <c r="U1890" s="881" t="s">
        <v>4121</v>
      </c>
      <c r="V1890" s="883">
        <f>$S$1*P!V1890</f>
        <v>3.6673387096774197E-3</v>
      </c>
      <c r="W1890" s="780"/>
      <c r="X1890" s="881">
        <v>1886</v>
      </c>
      <c r="Y1890" s="881" t="s">
        <v>2248</v>
      </c>
      <c r="Z1890" s="881" t="s">
        <v>4563</v>
      </c>
      <c r="AA1890" s="882">
        <f>$S$1*P!AA1890</f>
        <v>7.1975806451612915E-5</v>
      </c>
      <c r="AB1890" s="780"/>
      <c r="AC1890" s="881">
        <v>1886</v>
      </c>
      <c r="AD1890" s="881" t="s">
        <v>4573</v>
      </c>
      <c r="AE1890" s="881" t="s">
        <v>3063</v>
      </c>
      <c r="AF1890" s="882">
        <f>$S$1*P!AF1890</f>
        <v>1931.9999999999998</v>
      </c>
    </row>
    <row r="1891" spans="19:32" x14ac:dyDescent="0.35">
      <c r="S1891" s="782">
        <v>1887</v>
      </c>
      <c r="T1891" s="782" t="s">
        <v>4284</v>
      </c>
      <c r="U1891" s="782" t="s">
        <v>4120</v>
      </c>
      <c r="V1891" s="797">
        <f>$S$1*P!V1891</f>
        <v>7.7802419354838721E-5</v>
      </c>
      <c r="W1891" s="780"/>
      <c r="X1891" s="782">
        <v>1887</v>
      </c>
      <c r="Y1891" s="782" t="s">
        <v>2248</v>
      </c>
      <c r="Z1891" s="782" t="s">
        <v>5249</v>
      </c>
      <c r="AA1891" s="781">
        <f>$S$1*P!AA1891</f>
        <v>3.4616935483870972E-5</v>
      </c>
      <c r="AB1891" s="780"/>
      <c r="AC1891" s="782">
        <v>1887</v>
      </c>
      <c r="AD1891" s="782" t="s">
        <v>4573</v>
      </c>
      <c r="AE1891" s="782" t="s">
        <v>3061</v>
      </c>
      <c r="AF1891" s="781">
        <f>$S$1*P!AF1891</f>
        <v>1.0693548387096775E-4</v>
      </c>
    </row>
    <row r="1892" spans="19:32" x14ac:dyDescent="0.35">
      <c r="S1892" s="881">
        <v>1888</v>
      </c>
      <c r="T1892" s="881" t="s">
        <v>4284</v>
      </c>
      <c r="U1892" s="881" t="s">
        <v>3139</v>
      </c>
      <c r="V1892" s="883">
        <f>$S$1*P!V1892</f>
        <v>1.1139112903225808E-2</v>
      </c>
      <c r="W1892" s="780"/>
      <c r="X1892" s="881">
        <v>1888</v>
      </c>
      <c r="Y1892" s="881" t="s">
        <v>2248</v>
      </c>
      <c r="Z1892" s="881" t="s">
        <v>4562</v>
      </c>
      <c r="AA1892" s="882">
        <f>$S$1*P!AA1892</f>
        <v>2.0872983870967742E-4</v>
      </c>
      <c r="AB1892" s="780"/>
      <c r="AC1892" s="881">
        <v>1888</v>
      </c>
      <c r="AD1892" s="881" t="s">
        <v>4573</v>
      </c>
      <c r="AE1892" s="881" t="s">
        <v>3061</v>
      </c>
      <c r="AF1892" s="882">
        <f>$S$1*P!AF1892</f>
        <v>2.3368E-3</v>
      </c>
    </row>
    <row r="1893" spans="19:32" x14ac:dyDescent="0.35">
      <c r="S1893" s="881">
        <v>1889</v>
      </c>
      <c r="T1893" s="881" t="s">
        <v>4284</v>
      </c>
      <c r="U1893" s="881" t="s">
        <v>3139</v>
      </c>
      <c r="V1893" s="883">
        <f>$S$1*P!V1893</f>
        <v>0</v>
      </c>
      <c r="W1893" s="780"/>
      <c r="X1893" s="881">
        <v>1889</v>
      </c>
      <c r="Y1893" s="881" t="s">
        <v>2248</v>
      </c>
      <c r="Z1893" s="881" t="s">
        <v>3273</v>
      </c>
      <c r="AA1893" s="882">
        <f>$S$1*P!AA1893</f>
        <v>0</v>
      </c>
      <c r="AB1893" s="780"/>
      <c r="AC1893" s="782">
        <v>1889</v>
      </c>
      <c r="AD1893" s="782" t="s">
        <v>4573</v>
      </c>
      <c r="AE1893" s="782" t="s">
        <v>3896</v>
      </c>
      <c r="AF1893" s="781">
        <f>$S$1*P!AF1893</f>
        <v>2.5088709677419357E-2</v>
      </c>
    </row>
    <row r="1894" spans="19:32" x14ac:dyDescent="0.35">
      <c r="S1894" s="782">
        <v>1890</v>
      </c>
      <c r="T1894" s="782" t="s">
        <v>4284</v>
      </c>
      <c r="U1894" s="782" t="s">
        <v>4118</v>
      </c>
      <c r="V1894" s="797">
        <f>$S$1*P!V1894</f>
        <v>1.4155241935483872E-3</v>
      </c>
      <c r="W1894" s="780"/>
      <c r="X1894" s="782">
        <v>1890</v>
      </c>
      <c r="Y1894" s="782" t="s">
        <v>2248</v>
      </c>
      <c r="Z1894" s="782" t="s">
        <v>4561</v>
      </c>
      <c r="AA1894" s="781">
        <f>$S$1*P!AA1894</f>
        <v>2.1455645161290323E-3</v>
      </c>
      <c r="AB1894" s="780"/>
      <c r="AC1894" s="782">
        <v>1890</v>
      </c>
      <c r="AD1894" s="782" t="s">
        <v>4573</v>
      </c>
      <c r="AE1894" s="782" t="s">
        <v>3893</v>
      </c>
      <c r="AF1894" s="781">
        <f>$S$1*P!AF1894</f>
        <v>2.3957661290322585E-3</v>
      </c>
    </row>
    <row r="1895" spans="19:32" x14ac:dyDescent="0.35">
      <c r="S1895" s="881">
        <v>1891</v>
      </c>
      <c r="T1895" s="881" t="s">
        <v>4284</v>
      </c>
      <c r="U1895" s="881" t="s">
        <v>3137</v>
      </c>
      <c r="V1895" s="883">
        <f>$S$1*P!V1895</f>
        <v>5.1411290322580649E-4</v>
      </c>
      <c r="W1895" s="780"/>
      <c r="X1895" s="782">
        <v>1891</v>
      </c>
      <c r="Y1895" s="782" t="s">
        <v>2248</v>
      </c>
      <c r="Z1895" s="782" t="s">
        <v>5248</v>
      </c>
      <c r="AA1895" s="781">
        <f>$S$1*P!AA1895</f>
        <v>2.8790322580645165E-3</v>
      </c>
      <c r="AB1895" s="780"/>
      <c r="AC1895" s="782">
        <v>1891</v>
      </c>
      <c r="AD1895" s="782" t="s">
        <v>4573</v>
      </c>
      <c r="AE1895" s="782" t="s">
        <v>3891</v>
      </c>
      <c r="AF1895" s="781">
        <f>$S$1*P!AF1895</f>
        <v>1.2407258064516129E-4</v>
      </c>
    </row>
    <row r="1896" spans="19:32" x14ac:dyDescent="0.35">
      <c r="S1896" s="881">
        <v>1892</v>
      </c>
      <c r="T1896" s="881" t="s">
        <v>4284</v>
      </c>
      <c r="U1896" s="881" t="s">
        <v>3137</v>
      </c>
      <c r="V1896" s="883">
        <f>$S$1*P!V1896</f>
        <v>2.5023999999999998E-2</v>
      </c>
      <c r="W1896" s="780"/>
      <c r="X1896" s="881">
        <v>1892</v>
      </c>
      <c r="Y1896" s="881" t="s">
        <v>2248</v>
      </c>
      <c r="Z1896" s="881" t="s">
        <v>4560</v>
      </c>
      <c r="AA1896" s="882">
        <f>$S$1*P!AA1896</f>
        <v>6.409274193548388E-2</v>
      </c>
      <c r="AB1896" s="780"/>
      <c r="AC1896" s="782">
        <v>1892</v>
      </c>
      <c r="AD1896" s="782" t="s">
        <v>4573</v>
      </c>
      <c r="AE1896" s="782" t="s">
        <v>3888</v>
      </c>
      <c r="AF1896" s="781">
        <f>$S$1*P!AF1896</f>
        <v>4.7298387096774191E-5</v>
      </c>
    </row>
    <row r="1897" spans="19:32" x14ac:dyDescent="0.35">
      <c r="S1897" s="881">
        <v>1893</v>
      </c>
      <c r="T1897" s="881" t="s">
        <v>4284</v>
      </c>
      <c r="U1897" s="881" t="s">
        <v>4115</v>
      </c>
      <c r="V1897" s="883">
        <f>$S$1*P!V1897</f>
        <v>1.0762096774193548E-3</v>
      </c>
      <c r="W1897" s="780"/>
      <c r="X1897" s="782">
        <v>1893</v>
      </c>
      <c r="Y1897" s="782" t="s">
        <v>2248</v>
      </c>
      <c r="Z1897" s="782" t="s">
        <v>4559</v>
      </c>
      <c r="AA1897" s="781">
        <f>$S$1*P!AA1897</f>
        <v>2.9167338709677422E-2</v>
      </c>
      <c r="AB1897" s="780"/>
      <c r="AC1897" s="782">
        <v>1893</v>
      </c>
      <c r="AD1897" s="782" t="s">
        <v>4573</v>
      </c>
      <c r="AE1897" s="782" t="s">
        <v>3885</v>
      </c>
      <c r="AF1897" s="781">
        <f>$S$1*P!AF1897</f>
        <v>3.0504032258064521E-4</v>
      </c>
    </row>
    <row r="1898" spans="19:32" x14ac:dyDescent="0.35">
      <c r="S1898" s="881">
        <v>1894</v>
      </c>
      <c r="T1898" s="881" t="s">
        <v>4284</v>
      </c>
      <c r="U1898" s="881" t="s">
        <v>4112</v>
      </c>
      <c r="V1898" s="883">
        <f>$S$1*P!V1898</f>
        <v>8.5000000000000006E-4</v>
      </c>
      <c r="W1898" s="780"/>
      <c r="X1898" s="782">
        <v>1894</v>
      </c>
      <c r="Y1898" s="782" t="s">
        <v>2248</v>
      </c>
      <c r="Z1898" s="782" t="s">
        <v>5247</v>
      </c>
      <c r="AA1898" s="781">
        <f>$S$1*P!AA1898</f>
        <v>1.0590725806451613E-4</v>
      </c>
      <c r="AB1898" s="780"/>
      <c r="AC1898" s="782">
        <v>1894</v>
      </c>
      <c r="AD1898" s="782" t="s">
        <v>4573</v>
      </c>
      <c r="AE1898" s="782" t="s">
        <v>3883</v>
      </c>
      <c r="AF1898" s="781">
        <f>$S$1*P!AF1898</f>
        <v>4.1471774193548391E-4</v>
      </c>
    </row>
    <row r="1899" spans="19:32" x14ac:dyDescent="0.35">
      <c r="S1899" s="881">
        <v>1895</v>
      </c>
      <c r="T1899" s="881" t="s">
        <v>4284</v>
      </c>
      <c r="U1899" s="881" t="s">
        <v>4110</v>
      </c>
      <c r="V1899" s="883">
        <f>$S$1*P!V1899</f>
        <v>8.5000000000000006E-5</v>
      </c>
      <c r="W1899" s="780"/>
      <c r="X1899" s="881">
        <v>1895</v>
      </c>
      <c r="Y1899" s="881" t="s">
        <v>2248</v>
      </c>
      <c r="Z1899" s="881" t="s">
        <v>4558</v>
      </c>
      <c r="AA1899" s="882">
        <f>$S$1*P!AA1899</f>
        <v>8.5342741935483871E-3</v>
      </c>
      <c r="AB1899" s="780"/>
      <c r="AC1899" s="782">
        <v>1895</v>
      </c>
      <c r="AD1899" s="782" t="s">
        <v>4573</v>
      </c>
      <c r="AE1899" s="782" t="s">
        <v>3880</v>
      </c>
      <c r="AF1899" s="781">
        <f>$S$1*P!AF1899</f>
        <v>2.0975806451612906E-2</v>
      </c>
    </row>
    <row r="1900" spans="19:32" x14ac:dyDescent="0.35">
      <c r="S1900" s="861">
        <v>1896</v>
      </c>
      <c r="T1900" s="861" t="s">
        <v>4284</v>
      </c>
      <c r="U1900" s="861" t="s">
        <v>5246</v>
      </c>
      <c r="V1900" s="862">
        <f>$S$1*P!V1900</f>
        <v>0.22577</v>
      </c>
      <c r="W1900" s="780"/>
      <c r="X1900" s="782">
        <v>1896</v>
      </c>
      <c r="Y1900" s="782" t="s">
        <v>2248</v>
      </c>
      <c r="Z1900" s="782" t="s">
        <v>4557</v>
      </c>
      <c r="AA1900" s="781">
        <f>$S$1*P!AA1900</f>
        <v>1.7411290322580646E-3</v>
      </c>
      <c r="AB1900" s="780"/>
      <c r="AC1900" s="782">
        <v>1896</v>
      </c>
      <c r="AD1900" s="782" t="s">
        <v>4573</v>
      </c>
      <c r="AE1900" s="782" t="s">
        <v>3878</v>
      </c>
      <c r="AF1900" s="781">
        <f>$S$1*P!AF1900</f>
        <v>2.7556451612903228E-3</v>
      </c>
    </row>
    <row r="1901" spans="19:32" x14ac:dyDescent="0.35">
      <c r="S1901" s="782">
        <v>1897</v>
      </c>
      <c r="T1901" s="782" t="s">
        <v>4284</v>
      </c>
      <c r="U1901" s="782" t="s">
        <v>4107</v>
      </c>
      <c r="V1901" s="797">
        <f>$S$1*P!V1901</f>
        <v>3.1189516129032259E-4</v>
      </c>
      <c r="W1901" s="780"/>
      <c r="X1901" s="881">
        <v>1897</v>
      </c>
      <c r="Y1901" s="881" t="s">
        <v>2248</v>
      </c>
      <c r="Z1901" s="881" t="s">
        <v>4556</v>
      </c>
      <c r="AA1901" s="882">
        <f>$S$1*P!AA1901</f>
        <v>2.7830645161290328E-3</v>
      </c>
      <c r="AB1901" s="780"/>
      <c r="AC1901" s="782">
        <v>1897</v>
      </c>
      <c r="AD1901" s="782" t="s">
        <v>4573</v>
      </c>
      <c r="AE1901" s="782" t="s">
        <v>3875</v>
      </c>
      <c r="AF1901" s="781">
        <f>$S$1*P!AF1901</f>
        <v>4.0786290322580646E-3</v>
      </c>
    </row>
    <row r="1902" spans="19:32" x14ac:dyDescent="0.35">
      <c r="S1902" s="881">
        <v>1898</v>
      </c>
      <c r="T1902" s="881" t="s">
        <v>4284</v>
      </c>
      <c r="U1902" s="881" t="s">
        <v>4106</v>
      </c>
      <c r="V1902" s="883">
        <f>$S$1*P!V1902</f>
        <v>3.9758064516129036E-8</v>
      </c>
      <c r="W1902" s="780"/>
      <c r="X1902" s="782">
        <v>1898</v>
      </c>
      <c r="Y1902" s="782" t="s">
        <v>2248</v>
      </c>
      <c r="Z1902" s="782" t="s">
        <v>5245</v>
      </c>
      <c r="AA1902" s="781">
        <f>$S$1*P!AA1902</f>
        <v>1.0864919354838711E-3</v>
      </c>
      <c r="AB1902" s="780"/>
      <c r="AC1902" s="782">
        <v>1898</v>
      </c>
      <c r="AD1902" s="782" t="s">
        <v>4573</v>
      </c>
      <c r="AE1902" s="782" t="s">
        <v>3059</v>
      </c>
      <c r="AF1902" s="781">
        <f>$S$1*P!AF1902</f>
        <v>2.8961693548387095E-4</v>
      </c>
    </row>
    <row r="1903" spans="19:32" x14ac:dyDescent="0.35">
      <c r="S1903" s="861">
        <v>1899</v>
      </c>
      <c r="T1903" s="861" t="s">
        <v>4284</v>
      </c>
      <c r="U1903" s="861" t="s">
        <v>5244</v>
      </c>
      <c r="V1903" s="862">
        <f>$S$1*P!V1903</f>
        <v>1.70665</v>
      </c>
      <c r="W1903" s="780"/>
      <c r="X1903" s="881">
        <v>1899</v>
      </c>
      <c r="Y1903" s="881" t="s">
        <v>2248</v>
      </c>
      <c r="Z1903" s="881" t="s">
        <v>4555</v>
      </c>
      <c r="AA1903" s="882">
        <f>$S$1*P!AA1903</f>
        <v>4.1471774193548391E-4</v>
      </c>
      <c r="AB1903" s="780"/>
      <c r="AC1903" s="881">
        <v>1899</v>
      </c>
      <c r="AD1903" s="881" t="s">
        <v>4573</v>
      </c>
      <c r="AE1903" s="881" t="s">
        <v>3059</v>
      </c>
      <c r="AF1903" s="882">
        <f>$S$1*P!AF1903</f>
        <v>2.5023999999999998E-2</v>
      </c>
    </row>
    <row r="1904" spans="19:32" x14ac:dyDescent="0.35">
      <c r="S1904" s="782">
        <v>1900</v>
      </c>
      <c r="T1904" s="782" t="s">
        <v>4284</v>
      </c>
      <c r="U1904" s="782" t="s">
        <v>3136</v>
      </c>
      <c r="V1904" s="797">
        <f>$S$1*P!V1904</f>
        <v>9.9052419354838716E-6</v>
      </c>
      <c r="W1904" s="780"/>
      <c r="X1904" s="881">
        <v>1900</v>
      </c>
      <c r="Y1904" s="881" t="s">
        <v>2248</v>
      </c>
      <c r="Z1904" s="881" t="s">
        <v>3272</v>
      </c>
      <c r="AA1904" s="882">
        <f>$S$1*P!AA1904</f>
        <v>0</v>
      </c>
      <c r="AB1904" s="780"/>
      <c r="AC1904" s="782">
        <v>1900</v>
      </c>
      <c r="AD1904" s="782" t="s">
        <v>4573</v>
      </c>
      <c r="AE1904" s="782" t="s">
        <v>3873</v>
      </c>
      <c r="AF1904" s="781">
        <f>$S$1*P!AF1904</f>
        <v>1.1618951612903227E-3</v>
      </c>
    </row>
    <row r="1905" spans="19:32" x14ac:dyDescent="0.35">
      <c r="S1905" s="881">
        <v>1901</v>
      </c>
      <c r="T1905" s="881" t="s">
        <v>4284</v>
      </c>
      <c r="U1905" s="881" t="s">
        <v>3136</v>
      </c>
      <c r="V1905" s="883">
        <f>$S$1*P!V1905</f>
        <v>0</v>
      </c>
      <c r="W1905" s="780"/>
      <c r="X1905" s="782">
        <v>1901</v>
      </c>
      <c r="Y1905" s="782" t="s">
        <v>2248</v>
      </c>
      <c r="Z1905" s="782" t="s">
        <v>5243</v>
      </c>
      <c r="AA1905" s="781">
        <f>$S$1*P!AA1905</f>
        <v>5.1068548387096779</v>
      </c>
      <c r="AB1905" s="780"/>
      <c r="AC1905" s="782">
        <v>1901</v>
      </c>
      <c r="AD1905" s="782" t="s">
        <v>4573</v>
      </c>
      <c r="AE1905" s="782" t="s">
        <v>3872</v>
      </c>
      <c r="AF1905" s="781">
        <f>$S$1*P!AF1905</f>
        <v>1.7959677419354839E-2</v>
      </c>
    </row>
    <row r="1906" spans="19:32" x14ac:dyDescent="0.35">
      <c r="S1906" s="881">
        <v>1902</v>
      </c>
      <c r="T1906" s="881" t="s">
        <v>4284</v>
      </c>
      <c r="U1906" s="881" t="s">
        <v>3134</v>
      </c>
      <c r="V1906" s="883">
        <f>$S$1*P!V1906</f>
        <v>2.0804435483870971E-4</v>
      </c>
      <c r="W1906" s="780"/>
      <c r="X1906" s="881">
        <v>1902</v>
      </c>
      <c r="Y1906" s="881" t="s">
        <v>2248</v>
      </c>
      <c r="Z1906" s="881" t="s">
        <v>4553</v>
      </c>
      <c r="AA1906" s="882">
        <f>$S$1*P!AA1906</f>
        <v>1.5903225806451614E-3</v>
      </c>
      <c r="AB1906" s="780"/>
      <c r="AC1906" s="782">
        <v>1902</v>
      </c>
      <c r="AD1906" s="782" t="s">
        <v>4573</v>
      </c>
      <c r="AE1906" s="782" t="s">
        <v>3869</v>
      </c>
      <c r="AF1906" s="781">
        <f>$S$1*P!AF1906</f>
        <v>3.941532258064516E-5</v>
      </c>
    </row>
    <row r="1907" spans="19:32" x14ac:dyDescent="0.35">
      <c r="S1907" s="881">
        <v>1903</v>
      </c>
      <c r="T1907" s="881" t="s">
        <v>4284</v>
      </c>
      <c r="U1907" s="881" t="s">
        <v>3134</v>
      </c>
      <c r="V1907" s="883">
        <f>$S$1*P!V1907</f>
        <v>0.16928000000000001</v>
      </c>
      <c r="W1907" s="780"/>
      <c r="X1907" s="881">
        <v>1903</v>
      </c>
      <c r="Y1907" s="881" t="s">
        <v>2248</v>
      </c>
      <c r="Z1907" s="881" t="s">
        <v>4552</v>
      </c>
      <c r="AA1907" s="882">
        <f>$S$1*P!AA1907</f>
        <v>5.7923387096774194E-3</v>
      </c>
      <c r="AB1907" s="780"/>
      <c r="AC1907" s="881">
        <v>1903</v>
      </c>
      <c r="AD1907" s="881" t="s">
        <v>4573</v>
      </c>
      <c r="AE1907" s="881" t="s">
        <v>3058</v>
      </c>
      <c r="AF1907" s="882">
        <f>$S$1*P!AF1907</f>
        <v>0.95679999999999998</v>
      </c>
    </row>
    <row r="1908" spans="19:32" x14ac:dyDescent="0.35">
      <c r="S1908" s="782">
        <v>1904</v>
      </c>
      <c r="T1908" s="782" t="s">
        <v>4284</v>
      </c>
      <c r="U1908" s="782" t="s">
        <v>4100</v>
      </c>
      <c r="V1908" s="797">
        <f>$S$1*P!V1908</f>
        <v>5.0725806451612911E-4</v>
      </c>
      <c r="W1908" s="780"/>
      <c r="X1908" s="782">
        <v>1904</v>
      </c>
      <c r="Y1908" s="782" t="s">
        <v>2248</v>
      </c>
      <c r="Z1908" s="782" t="s">
        <v>5242</v>
      </c>
      <c r="AA1908" s="781">
        <f>$S$1*P!AA1908</f>
        <v>2.1181451612903228E-5</v>
      </c>
      <c r="AB1908" s="780"/>
      <c r="AC1908" s="782">
        <v>1904</v>
      </c>
      <c r="AD1908" s="782" t="s">
        <v>4573</v>
      </c>
      <c r="AE1908" s="782" t="s">
        <v>3868</v>
      </c>
      <c r="AF1908" s="781">
        <f>$S$1*P!AF1908</f>
        <v>3.7701612903225808E-3</v>
      </c>
    </row>
    <row r="1909" spans="19:32" x14ac:dyDescent="0.35">
      <c r="S1909" s="881">
        <v>1905</v>
      </c>
      <c r="T1909" s="881" t="s">
        <v>4284</v>
      </c>
      <c r="U1909" s="881" t="s">
        <v>3133</v>
      </c>
      <c r="V1909" s="883">
        <f>$S$1*P!V1909</f>
        <v>4.5631999999999999E-2</v>
      </c>
      <c r="W1909" s="780"/>
      <c r="X1909" s="881">
        <v>1905</v>
      </c>
      <c r="Y1909" s="881" t="s">
        <v>2248</v>
      </c>
      <c r="Z1909" s="881" t="s">
        <v>3271</v>
      </c>
      <c r="AA1909" s="882">
        <f>$S$1*P!AA1909</f>
        <v>7.4335999999999999E-2</v>
      </c>
      <c r="AB1909" s="780"/>
      <c r="AC1909" s="782">
        <v>1905</v>
      </c>
      <c r="AD1909" s="782" t="s">
        <v>4573</v>
      </c>
      <c r="AE1909" s="782" t="s">
        <v>3867</v>
      </c>
      <c r="AF1909" s="781">
        <f>$S$1*P!AF1909</f>
        <v>3.2903225806451615E-2</v>
      </c>
    </row>
    <row r="1910" spans="19:32" x14ac:dyDescent="0.35">
      <c r="S1910" s="881">
        <v>1906</v>
      </c>
      <c r="T1910" s="881" t="s">
        <v>4284</v>
      </c>
      <c r="U1910" s="881" t="s">
        <v>3131</v>
      </c>
      <c r="V1910" s="883">
        <f>$S$1*P!V1910</f>
        <v>3.8823999999999997E-2</v>
      </c>
      <c r="W1910" s="780"/>
      <c r="X1910" s="782">
        <v>1906</v>
      </c>
      <c r="Y1910" s="782" t="s">
        <v>2248</v>
      </c>
      <c r="Z1910" s="782" t="s">
        <v>3271</v>
      </c>
      <c r="AA1910" s="781">
        <f>$S$1*P!AA1910</f>
        <v>5.5866935483870972E-3</v>
      </c>
      <c r="AB1910" s="780"/>
      <c r="AC1910" s="782">
        <v>1906</v>
      </c>
      <c r="AD1910" s="782" t="s">
        <v>4573</v>
      </c>
      <c r="AE1910" s="782" t="s">
        <v>3056</v>
      </c>
      <c r="AF1910" s="781">
        <f>$S$1*P!AF1910</f>
        <v>1.0727822580645161E-3</v>
      </c>
    </row>
    <row r="1911" spans="19:32" x14ac:dyDescent="0.35">
      <c r="S1911" s="881">
        <v>1907</v>
      </c>
      <c r="T1911" s="881" t="s">
        <v>4284</v>
      </c>
      <c r="U1911" s="881" t="s">
        <v>4098</v>
      </c>
      <c r="V1911" s="883">
        <f>$S$1*P!V1911</f>
        <v>1.0830645161290324E-5</v>
      </c>
      <c r="W1911" s="780"/>
      <c r="X1911" s="881">
        <v>1907</v>
      </c>
      <c r="Y1911" s="881" t="s">
        <v>2248</v>
      </c>
      <c r="Z1911" s="881" t="s">
        <v>3270</v>
      </c>
      <c r="AA1911" s="882">
        <f>$S$1*P!AA1911</f>
        <v>0</v>
      </c>
      <c r="AB1911" s="780"/>
      <c r="AC1911" s="881">
        <v>1907</v>
      </c>
      <c r="AD1911" s="881" t="s">
        <v>4573</v>
      </c>
      <c r="AE1911" s="881" t="s">
        <v>3056</v>
      </c>
      <c r="AF1911" s="882">
        <f>$S$1*P!AF1911</f>
        <v>6.9276000000000004E-2</v>
      </c>
    </row>
    <row r="1912" spans="19:32" x14ac:dyDescent="0.35">
      <c r="S1912" s="881">
        <v>1908</v>
      </c>
      <c r="T1912" s="881" t="s">
        <v>4284</v>
      </c>
      <c r="U1912" s="881" t="s">
        <v>4095</v>
      </c>
      <c r="V1912" s="883">
        <f>$S$1*P!V1912</f>
        <v>1.3949596774193549E-6</v>
      </c>
      <c r="W1912" s="780"/>
      <c r="X1912" s="782">
        <v>1908</v>
      </c>
      <c r="Y1912" s="782" t="s">
        <v>2248</v>
      </c>
      <c r="Z1912" s="782" t="s">
        <v>5241</v>
      </c>
      <c r="AA1912" s="781">
        <f>$S$1*P!AA1912</f>
        <v>1.7651209677419356E-4</v>
      </c>
      <c r="AB1912" s="780"/>
      <c r="AC1912" s="881">
        <v>1908</v>
      </c>
      <c r="AD1912" s="881" t="s">
        <v>4573</v>
      </c>
      <c r="AE1912" s="881" t="s">
        <v>3055</v>
      </c>
      <c r="AF1912" s="882">
        <f>$S$1*P!AF1912</f>
        <v>0</v>
      </c>
    </row>
    <row r="1913" spans="19:32" x14ac:dyDescent="0.35">
      <c r="S1913" s="881">
        <v>1909</v>
      </c>
      <c r="T1913" s="881" t="s">
        <v>4284</v>
      </c>
      <c r="U1913" s="881" t="s">
        <v>4091</v>
      </c>
      <c r="V1913" s="883">
        <f>$S$1*P!V1913</f>
        <v>7.5403225806451631E-5</v>
      </c>
      <c r="W1913" s="780"/>
      <c r="X1913" s="881">
        <v>1909</v>
      </c>
      <c r="Y1913" s="881" t="s">
        <v>2248</v>
      </c>
      <c r="Z1913" s="881" t="s">
        <v>3268</v>
      </c>
      <c r="AA1913" s="882">
        <f>$S$1*P!AA1913</f>
        <v>0</v>
      </c>
      <c r="AB1913" s="780"/>
      <c r="AC1913" s="782">
        <v>1909</v>
      </c>
      <c r="AD1913" s="782" t="s">
        <v>4573</v>
      </c>
      <c r="AE1913" s="782" t="s">
        <v>3862</v>
      </c>
      <c r="AF1913" s="781">
        <f>$S$1*P!AF1913</f>
        <v>1.0179435483870969E-3</v>
      </c>
    </row>
    <row r="1914" spans="19:32" x14ac:dyDescent="0.35">
      <c r="S1914" s="881">
        <v>1910</v>
      </c>
      <c r="T1914" s="881" t="s">
        <v>4284</v>
      </c>
      <c r="U1914" s="881" t="s">
        <v>3130</v>
      </c>
      <c r="V1914" s="883">
        <f>$S$1*P!V1914</f>
        <v>12.512</v>
      </c>
      <c r="W1914" s="780"/>
      <c r="X1914" s="881">
        <v>1910</v>
      </c>
      <c r="Y1914" s="881" t="s">
        <v>2248</v>
      </c>
      <c r="Z1914" s="881" t="s">
        <v>4551</v>
      </c>
      <c r="AA1914" s="882">
        <f>$S$1*P!AA1914</f>
        <v>1.8542338709677422E-4</v>
      </c>
      <c r="AB1914" s="780"/>
      <c r="AC1914" s="881">
        <v>1910</v>
      </c>
      <c r="AD1914" s="881" t="s">
        <v>4573</v>
      </c>
      <c r="AE1914" s="881" t="s">
        <v>3054</v>
      </c>
      <c r="AF1914" s="882">
        <f>$S$1*P!AF1914</f>
        <v>0.58419999999999994</v>
      </c>
    </row>
    <row r="1915" spans="19:32" x14ac:dyDescent="0.35">
      <c r="S1915" s="881">
        <v>1911</v>
      </c>
      <c r="T1915" s="881" t="s">
        <v>4284</v>
      </c>
      <c r="U1915" s="881" t="s">
        <v>4090</v>
      </c>
      <c r="V1915" s="883">
        <f>$S$1*P!V1915</f>
        <v>2.7213709677419356E-2</v>
      </c>
      <c r="W1915" s="780"/>
      <c r="X1915" s="782">
        <v>1911</v>
      </c>
      <c r="Y1915" s="782" t="s">
        <v>2248</v>
      </c>
      <c r="Z1915" s="782" t="s">
        <v>5240</v>
      </c>
      <c r="AA1915" s="781">
        <f>$S$1*P!AA1915</f>
        <v>2.1935483870967744E-3</v>
      </c>
      <c r="AB1915" s="780"/>
      <c r="AC1915" s="881">
        <v>1911</v>
      </c>
      <c r="AD1915" s="881" t="s">
        <v>4573</v>
      </c>
      <c r="AE1915" s="881" t="s">
        <v>3053</v>
      </c>
      <c r="AF1915" s="882">
        <f>$S$1*P!AF1915</f>
        <v>1.3892</v>
      </c>
    </row>
    <row r="1916" spans="19:32" x14ac:dyDescent="0.35">
      <c r="S1916" s="782">
        <v>1912</v>
      </c>
      <c r="T1916" s="782" t="s">
        <v>4284</v>
      </c>
      <c r="U1916" s="782" t="s">
        <v>4088</v>
      </c>
      <c r="V1916" s="797">
        <f>$S$1*P!V1916</f>
        <v>0.63064516129032266</v>
      </c>
      <c r="W1916" s="780"/>
      <c r="X1916" s="782">
        <v>1912</v>
      </c>
      <c r="Y1916" s="782" t="s">
        <v>2248</v>
      </c>
      <c r="Z1916" s="782" t="s">
        <v>4550</v>
      </c>
      <c r="AA1916" s="781">
        <f>$S$1*P!AA1916</f>
        <v>0.72661290322580652</v>
      </c>
      <c r="AB1916" s="780"/>
      <c r="AC1916" s="782">
        <v>1912</v>
      </c>
      <c r="AD1916" s="782" t="s">
        <v>4573</v>
      </c>
      <c r="AE1916" s="782" t="s">
        <v>3860</v>
      </c>
      <c r="AF1916" s="781">
        <f>$S$1*P!AF1916</f>
        <v>6.8548387096774202E-4</v>
      </c>
    </row>
    <row r="1917" spans="19:32" x14ac:dyDescent="0.35">
      <c r="S1917" s="881">
        <v>1913</v>
      </c>
      <c r="T1917" s="881" t="s">
        <v>4284</v>
      </c>
      <c r="U1917" s="881" t="s">
        <v>4085</v>
      </c>
      <c r="V1917" s="883">
        <f>$S$1*P!V1917</f>
        <v>1.8131048387096775E-4</v>
      </c>
      <c r="W1917" s="780"/>
      <c r="X1917" s="881">
        <v>1913</v>
      </c>
      <c r="Y1917" s="881" t="s">
        <v>2248</v>
      </c>
      <c r="Z1917" s="881" t="s">
        <v>4549</v>
      </c>
      <c r="AA1917" s="882">
        <f>$S$1*P!AA1917</f>
        <v>0.10110887096774195</v>
      </c>
      <c r="AB1917" s="780"/>
      <c r="AC1917" s="782">
        <v>1913</v>
      </c>
      <c r="AD1917" s="782" t="s">
        <v>4573</v>
      </c>
      <c r="AE1917" s="782" t="s">
        <v>3051</v>
      </c>
      <c r="AF1917" s="781">
        <f>$S$1*P!AF1917</f>
        <v>2.0804435483870971E-2</v>
      </c>
    </row>
    <row r="1918" spans="19:32" x14ac:dyDescent="0.35">
      <c r="S1918" s="782">
        <v>1914</v>
      </c>
      <c r="T1918" s="782" t="s">
        <v>4284</v>
      </c>
      <c r="U1918" s="782" t="s">
        <v>4083</v>
      </c>
      <c r="V1918" s="797">
        <f>$S$1*P!V1918</f>
        <v>3.9758064516129036E-4</v>
      </c>
      <c r="W1918" s="780"/>
      <c r="X1918" s="782">
        <v>1914</v>
      </c>
      <c r="Y1918" s="782" t="s">
        <v>2248</v>
      </c>
      <c r="Z1918" s="782" t="s">
        <v>5239</v>
      </c>
      <c r="AA1918" s="781">
        <f>$S$1*P!AA1918</f>
        <v>8.362903225806452E-8</v>
      </c>
      <c r="AB1918" s="780"/>
      <c r="AC1918" s="881">
        <v>1914</v>
      </c>
      <c r="AD1918" s="881" t="s">
        <v>4573</v>
      </c>
      <c r="AE1918" s="881" t="s">
        <v>3051</v>
      </c>
      <c r="AF1918" s="882">
        <f>$S$1*P!AF1918</f>
        <v>0.45632</v>
      </c>
    </row>
    <row r="1919" spans="19:32" x14ac:dyDescent="0.35">
      <c r="S1919" s="881">
        <v>1915</v>
      </c>
      <c r="T1919" s="881" t="s">
        <v>4284</v>
      </c>
      <c r="U1919" s="881" t="s">
        <v>4081</v>
      </c>
      <c r="V1919" s="883">
        <f>$S$1*P!V1919</f>
        <v>3.7016129032258069</v>
      </c>
      <c r="W1919" s="780"/>
      <c r="X1919" s="782">
        <v>1915</v>
      </c>
      <c r="Y1919" s="782" t="s">
        <v>2248</v>
      </c>
      <c r="Z1919" s="782" t="s">
        <v>4548</v>
      </c>
      <c r="AA1919" s="781">
        <f>$S$1*P!AA1919</f>
        <v>2.2620967741935484E-2</v>
      </c>
      <c r="AB1919" s="780"/>
      <c r="AC1919" s="782">
        <v>1915</v>
      </c>
      <c r="AD1919" s="782" t="s">
        <v>4573</v>
      </c>
      <c r="AE1919" s="782" t="s">
        <v>3854</v>
      </c>
      <c r="AF1919" s="781">
        <f>$S$1*P!AF1919</f>
        <v>2.7145161290322583E-2</v>
      </c>
    </row>
    <row r="1920" spans="19:32" x14ac:dyDescent="0.35">
      <c r="S1920" s="782">
        <v>1916</v>
      </c>
      <c r="T1920" s="782" t="s">
        <v>4284</v>
      </c>
      <c r="U1920" s="782" t="s">
        <v>4078</v>
      </c>
      <c r="V1920" s="797">
        <f>$S$1*P!V1920</f>
        <v>4.1129032258064518E-5</v>
      </c>
      <c r="W1920" s="780"/>
      <c r="X1920" s="881">
        <v>1916</v>
      </c>
      <c r="Y1920" s="881" t="s">
        <v>2248</v>
      </c>
      <c r="Z1920" s="881" t="s">
        <v>3267</v>
      </c>
      <c r="AA1920" s="882">
        <f>$S$1*P!AA1920</f>
        <v>0</v>
      </c>
      <c r="AB1920" s="780"/>
      <c r="AC1920" s="782">
        <v>1916</v>
      </c>
      <c r="AD1920" s="782" t="s">
        <v>4573</v>
      </c>
      <c r="AE1920" s="782" t="s">
        <v>3050</v>
      </c>
      <c r="AF1920" s="781">
        <f>$S$1*P!AF1920</f>
        <v>2.8447580645161292E-3</v>
      </c>
    </row>
    <row r="1921" spans="19:32" x14ac:dyDescent="0.35">
      <c r="S1921" s="881">
        <v>1917</v>
      </c>
      <c r="T1921" s="881" t="s">
        <v>4284</v>
      </c>
      <c r="U1921" s="881" t="s">
        <v>4074</v>
      </c>
      <c r="V1921" s="883">
        <f>$S$1*P!V1921</f>
        <v>3.7016129032258069</v>
      </c>
      <c r="W1921" s="780"/>
      <c r="X1921" s="782">
        <v>1917</v>
      </c>
      <c r="Y1921" s="782" t="s">
        <v>2248</v>
      </c>
      <c r="Z1921" s="782" t="s">
        <v>5238</v>
      </c>
      <c r="AA1921" s="781">
        <f>$S$1*P!AA1921</f>
        <v>1.6006048387096777E-2</v>
      </c>
      <c r="AB1921" s="780"/>
      <c r="AC1921" s="881">
        <v>1917</v>
      </c>
      <c r="AD1921" s="881" t="s">
        <v>4573</v>
      </c>
      <c r="AE1921" s="881" t="s">
        <v>3050</v>
      </c>
      <c r="AF1921" s="882">
        <f>$S$1*P!AF1921</f>
        <v>3.5971999999999997E-2</v>
      </c>
    </row>
    <row r="1922" spans="19:32" x14ac:dyDescent="0.35">
      <c r="S1922" s="881">
        <v>1918</v>
      </c>
      <c r="T1922" s="881" t="s">
        <v>4284</v>
      </c>
      <c r="U1922" s="881" t="s">
        <v>4072</v>
      </c>
      <c r="V1922" s="883">
        <f>$S$1*P!V1922</f>
        <v>4.6955645161290326E-2</v>
      </c>
      <c r="W1922" s="780"/>
      <c r="X1922" s="881">
        <v>1918</v>
      </c>
      <c r="Y1922" s="881" t="s">
        <v>2248</v>
      </c>
      <c r="Z1922" s="881" t="s">
        <v>3266</v>
      </c>
      <c r="AA1922" s="882">
        <f>$S$1*P!AA1922</f>
        <v>0.21988000000000002</v>
      </c>
      <c r="AB1922" s="780"/>
      <c r="AC1922" s="782">
        <v>1918</v>
      </c>
      <c r="AD1922" s="782" t="s">
        <v>4573</v>
      </c>
      <c r="AE1922" s="782" t="s">
        <v>3847</v>
      </c>
      <c r="AF1922" s="781">
        <f>$S$1*P!AF1922</f>
        <v>4.6612903225806454E-2</v>
      </c>
    </row>
    <row r="1923" spans="19:32" x14ac:dyDescent="0.35">
      <c r="S1923" s="881">
        <v>1919</v>
      </c>
      <c r="T1923" s="881" t="s">
        <v>4284</v>
      </c>
      <c r="U1923" s="881" t="s">
        <v>4070</v>
      </c>
      <c r="V1923" s="883">
        <f>$S$1*P!V1923</f>
        <v>2.2381048387096778E-4</v>
      </c>
      <c r="W1923" s="780"/>
      <c r="X1923" s="881">
        <v>1919</v>
      </c>
      <c r="Y1923" s="881" t="s">
        <v>2248</v>
      </c>
      <c r="Z1923" s="881" t="s">
        <v>3266</v>
      </c>
      <c r="AA1923" s="882">
        <f>$S$1*P!AA1923</f>
        <v>1.5423387096774196E-3</v>
      </c>
      <c r="AB1923" s="780"/>
      <c r="AC1923" s="881">
        <v>1919</v>
      </c>
      <c r="AD1923" s="881" t="s">
        <v>4573</v>
      </c>
      <c r="AE1923" s="881" t="s">
        <v>3048</v>
      </c>
      <c r="AF1923" s="882">
        <f>$S$1*P!AF1923</f>
        <v>0</v>
      </c>
    </row>
    <row r="1924" spans="19:32" x14ac:dyDescent="0.35">
      <c r="S1924" s="881">
        <v>1920</v>
      </c>
      <c r="T1924" s="881" t="s">
        <v>4284</v>
      </c>
      <c r="U1924" s="881" t="s">
        <v>3128</v>
      </c>
      <c r="V1924" s="883">
        <f>$S$1*P!V1924</f>
        <v>1.5012096774193549E-3</v>
      </c>
      <c r="W1924" s="780"/>
      <c r="X1924" s="881">
        <v>1920</v>
      </c>
      <c r="Y1924" s="881" t="s">
        <v>2248</v>
      </c>
      <c r="Z1924" s="881" t="s">
        <v>3264</v>
      </c>
      <c r="AA1924" s="882">
        <f>$S$1*P!AA1924</f>
        <v>0</v>
      </c>
      <c r="AB1924" s="780"/>
      <c r="AC1924" s="782">
        <v>1920</v>
      </c>
      <c r="AD1924" s="782" t="s">
        <v>4573</v>
      </c>
      <c r="AE1924" s="782" t="s">
        <v>3841</v>
      </c>
      <c r="AF1924" s="781">
        <f>$S$1*P!AF1924</f>
        <v>1.652016129032258E-2</v>
      </c>
    </row>
    <row r="1925" spans="19:32" x14ac:dyDescent="0.35">
      <c r="S1925" s="881">
        <v>1921</v>
      </c>
      <c r="T1925" s="881" t="s">
        <v>4284</v>
      </c>
      <c r="U1925" s="881" t="s">
        <v>3128</v>
      </c>
      <c r="V1925" s="883">
        <f>$S$1*P!V1925</f>
        <v>0</v>
      </c>
      <c r="W1925" s="780"/>
      <c r="X1925" s="782">
        <v>1921</v>
      </c>
      <c r="Y1925" s="782" t="s">
        <v>2248</v>
      </c>
      <c r="Z1925" s="782" t="s">
        <v>5237</v>
      </c>
      <c r="AA1925" s="781">
        <f>$S$1*P!AA1925</f>
        <v>6.6491935483870975E-5</v>
      </c>
      <c r="AB1925" s="780"/>
      <c r="AC1925" s="782">
        <v>1921</v>
      </c>
      <c r="AD1925" s="782" t="s">
        <v>4573</v>
      </c>
      <c r="AE1925" s="782" t="s">
        <v>3046</v>
      </c>
      <c r="AF1925" s="781">
        <f>$S$1*P!AF1925</f>
        <v>107.62096774193549</v>
      </c>
    </row>
    <row r="1926" spans="19:32" x14ac:dyDescent="0.35">
      <c r="S1926" s="782">
        <v>1922</v>
      </c>
      <c r="T1926" s="782" t="s">
        <v>4284</v>
      </c>
      <c r="U1926" s="782" t="s">
        <v>4065</v>
      </c>
      <c r="V1926" s="797">
        <f>$S$1*P!V1926</f>
        <v>0.14532258064516129</v>
      </c>
      <c r="W1926" s="780"/>
      <c r="X1926" s="881">
        <v>1922</v>
      </c>
      <c r="Y1926" s="881" t="s">
        <v>2248</v>
      </c>
      <c r="Z1926" s="881" t="s">
        <v>4547</v>
      </c>
      <c r="AA1926" s="882">
        <f>$S$1*P!AA1926</f>
        <v>3.5645161290322587E-4</v>
      </c>
      <c r="AB1926" s="780"/>
      <c r="AC1926" s="881">
        <v>1922</v>
      </c>
      <c r="AD1926" s="881" t="s">
        <v>4573</v>
      </c>
      <c r="AE1926" s="881" t="s">
        <v>3046</v>
      </c>
      <c r="AF1926" s="882">
        <f>$S$1*P!AF1926</f>
        <v>635.72</v>
      </c>
    </row>
    <row r="1927" spans="19:32" x14ac:dyDescent="0.35">
      <c r="S1927" s="881">
        <v>1923</v>
      </c>
      <c r="T1927" s="881" t="s">
        <v>4284</v>
      </c>
      <c r="U1927" s="881" t="s">
        <v>4064</v>
      </c>
      <c r="V1927" s="883">
        <f>$S$1*P!V1927</f>
        <v>2.0735887096774194E-2</v>
      </c>
      <c r="W1927" s="780"/>
      <c r="X1927" s="881">
        <v>1923</v>
      </c>
      <c r="Y1927" s="881" t="s">
        <v>2248</v>
      </c>
      <c r="Z1927" s="881" t="s">
        <v>4546</v>
      </c>
      <c r="AA1927" s="882">
        <f>$S$1*P!AA1927</f>
        <v>2.1627016129032259E-2</v>
      </c>
      <c r="AB1927" s="780"/>
      <c r="AC1927" s="782">
        <v>1923</v>
      </c>
      <c r="AD1927" s="782" t="s">
        <v>4573</v>
      </c>
      <c r="AE1927" s="782" t="s">
        <v>3837</v>
      </c>
      <c r="AF1927" s="781">
        <f>$S$1*P!AF1927</f>
        <v>0.16451612903225807</v>
      </c>
    </row>
    <row r="1928" spans="19:32" x14ac:dyDescent="0.35">
      <c r="S1928" s="789">
        <v>1924</v>
      </c>
      <c r="T1928" s="789" t="s">
        <v>4284</v>
      </c>
      <c r="U1928" s="789" t="s">
        <v>5236</v>
      </c>
      <c r="V1928" s="790">
        <f>$S$1*P!V1928</f>
        <v>30.740000000000002</v>
      </c>
      <c r="W1928" s="780"/>
      <c r="X1928" s="782">
        <v>1924</v>
      </c>
      <c r="Y1928" s="782" t="s">
        <v>2248</v>
      </c>
      <c r="Z1928" s="782" t="s">
        <v>5235</v>
      </c>
      <c r="AA1928" s="781">
        <f>$S$1*P!AA1928</f>
        <v>1.0693548387096775E-3</v>
      </c>
      <c r="AB1928" s="780"/>
      <c r="AC1928" s="782">
        <v>1924</v>
      </c>
      <c r="AD1928" s="782" t="s">
        <v>4573</v>
      </c>
      <c r="AE1928" s="782" t="s">
        <v>3834</v>
      </c>
      <c r="AF1928" s="781">
        <f>$S$1*P!AF1928</f>
        <v>7.1975806451612909</v>
      </c>
    </row>
    <row r="1929" spans="19:32" x14ac:dyDescent="0.35">
      <c r="S1929" s="782">
        <v>1925</v>
      </c>
      <c r="T1929" s="782" t="s">
        <v>4284</v>
      </c>
      <c r="U1929" s="782" t="s">
        <v>4062</v>
      </c>
      <c r="V1929" s="797">
        <f>$S$1*P!V1929</f>
        <v>0.16622983870967742</v>
      </c>
      <c r="W1929" s="863"/>
      <c r="X1929" s="881">
        <v>1925</v>
      </c>
      <c r="Y1929" s="881" t="s">
        <v>2248</v>
      </c>
      <c r="Z1929" s="881" t="s">
        <v>3263</v>
      </c>
      <c r="AA1929" s="882">
        <f>$S$1*P!AA1929</f>
        <v>55.291999999999994</v>
      </c>
      <c r="AB1929" s="780"/>
      <c r="AC1929" s="881">
        <v>1925</v>
      </c>
      <c r="AD1929" s="881" t="s">
        <v>4573</v>
      </c>
      <c r="AE1929" s="881" t="s">
        <v>3045</v>
      </c>
      <c r="AF1929" s="882">
        <f>$S$1*P!AF1929</f>
        <v>2.2171999999999996</v>
      </c>
    </row>
    <row r="1930" spans="19:32" x14ac:dyDescent="0.35">
      <c r="S1930" s="881">
        <v>1926</v>
      </c>
      <c r="T1930" s="881" t="s">
        <v>4284</v>
      </c>
      <c r="U1930" s="881" t="s">
        <v>3127</v>
      </c>
      <c r="V1930" s="883">
        <f>$S$1*P!V1930</f>
        <v>8.5000000000000006E-4</v>
      </c>
      <c r="W1930" s="863"/>
      <c r="X1930" s="881">
        <v>1926</v>
      </c>
      <c r="Y1930" s="881" t="s">
        <v>2248</v>
      </c>
      <c r="Z1930" s="881" t="s">
        <v>4545</v>
      </c>
      <c r="AA1930" s="882">
        <f>$S$1*P!AA1930</f>
        <v>0.46955645161290327</v>
      </c>
      <c r="AB1930" s="780"/>
      <c r="AC1930" s="881">
        <v>1926</v>
      </c>
      <c r="AD1930" s="881" t="s">
        <v>4573</v>
      </c>
      <c r="AE1930" s="881" t="s">
        <v>3043</v>
      </c>
      <c r="AF1930" s="882">
        <f>$S$1*P!AF1930</f>
        <v>8.2984000000000009</v>
      </c>
    </row>
    <row r="1931" spans="19:32" x14ac:dyDescent="0.35">
      <c r="S1931" s="881">
        <v>1927</v>
      </c>
      <c r="T1931" s="881" t="s">
        <v>4284</v>
      </c>
      <c r="U1931" s="881" t="s">
        <v>3127</v>
      </c>
      <c r="V1931" s="883">
        <f>$S$1*P!V1931</f>
        <v>30.268000000000001</v>
      </c>
      <c r="W1931" s="863"/>
      <c r="X1931" s="782">
        <v>1927</v>
      </c>
      <c r="Y1931" s="782" t="s">
        <v>2248</v>
      </c>
      <c r="Z1931" s="782" t="s">
        <v>4544</v>
      </c>
      <c r="AA1931" s="781">
        <f>$S$1*P!AA1931</f>
        <v>1.2201612903225809E-3</v>
      </c>
      <c r="AB1931" s="780"/>
      <c r="AC1931" s="782">
        <v>1927</v>
      </c>
      <c r="AD1931" s="782" t="s">
        <v>4573</v>
      </c>
      <c r="AE1931" s="782" t="s">
        <v>3831</v>
      </c>
      <c r="AF1931" s="781">
        <f>$S$1*P!AF1931</f>
        <v>0.1346975806451613</v>
      </c>
    </row>
    <row r="1932" spans="19:32" x14ac:dyDescent="0.35">
      <c r="S1932" s="782">
        <v>1928</v>
      </c>
      <c r="T1932" s="782" t="s">
        <v>4284</v>
      </c>
      <c r="U1932" s="782" t="s">
        <v>4060</v>
      </c>
      <c r="V1932" s="797">
        <f>$S$1*P!V1932</f>
        <v>1.4086693548387097</v>
      </c>
      <c r="W1932" s="780"/>
      <c r="X1932" s="782">
        <v>1928</v>
      </c>
      <c r="Y1932" s="782" t="s">
        <v>2248</v>
      </c>
      <c r="Z1932" s="782" t="s">
        <v>5234</v>
      </c>
      <c r="AA1932" s="781">
        <f>$S$1*P!AA1932</f>
        <v>3.3451612903225807E-5</v>
      </c>
      <c r="AB1932" s="780"/>
      <c r="AC1932" s="782">
        <v>1928</v>
      </c>
      <c r="AD1932" s="782" t="s">
        <v>4573</v>
      </c>
      <c r="AE1932" s="782" t="s">
        <v>3827</v>
      </c>
      <c r="AF1932" s="781">
        <f>$S$1*P!AF1932</f>
        <v>1.7514112903225808E-2</v>
      </c>
    </row>
    <row r="1933" spans="19:32" x14ac:dyDescent="0.35">
      <c r="S1933" s="881">
        <v>1929</v>
      </c>
      <c r="T1933" s="881" t="s">
        <v>4284</v>
      </c>
      <c r="U1933" s="881" t="s">
        <v>4058</v>
      </c>
      <c r="V1933" s="883">
        <f>$S$1*P!V1933</f>
        <v>0.19639112903225808</v>
      </c>
      <c r="W1933" s="780"/>
      <c r="X1933" s="881">
        <v>1929</v>
      </c>
      <c r="Y1933" s="881" t="s">
        <v>2248</v>
      </c>
      <c r="Z1933" s="881" t="s">
        <v>4543</v>
      </c>
      <c r="AA1933" s="882">
        <f>$S$1*P!AA1933</f>
        <v>4.4899193548387104E-2</v>
      </c>
      <c r="AB1933" s="780"/>
      <c r="AC1933" s="782">
        <v>1929</v>
      </c>
      <c r="AD1933" s="782" t="s">
        <v>4573</v>
      </c>
      <c r="AE1933" s="782" t="s">
        <v>3824</v>
      </c>
      <c r="AF1933" s="781">
        <f>$S$1*P!AF1933</f>
        <v>7.2661290322580649</v>
      </c>
    </row>
    <row r="1934" spans="19:32" x14ac:dyDescent="0.35">
      <c r="S1934" s="881">
        <v>1930</v>
      </c>
      <c r="T1934" s="881" t="s">
        <v>4284</v>
      </c>
      <c r="U1934" s="881" t="s">
        <v>4057</v>
      </c>
      <c r="V1934" s="883">
        <f>$S$1*P!V1934</f>
        <v>2.5157258064516133E-4</v>
      </c>
      <c r="W1934" s="780"/>
      <c r="X1934" s="881">
        <v>1930</v>
      </c>
      <c r="Y1934" s="881" t="s">
        <v>2248</v>
      </c>
      <c r="Z1934" s="881" t="s">
        <v>3261</v>
      </c>
      <c r="AA1934" s="882">
        <f>$S$1*P!AA1934</f>
        <v>0</v>
      </c>
      <c r="AB1934" s="780"/>
      <c r="AC1934" s="782">
        <v>1930</v>
      </c>
      <c r="AD1934" s="782" t="s">
        <v>4573</v>
      </c>
      <c r="AE1934" s="782" t="s">
        <v>3821</v>
      </c>
      <c r="AF1934" s="781">
        <f>$S$1*P!AF1934</f>
        <v>0.5175403225806452</v>
      </c>
    </row>
    <row r="1935" spans="19:32" x14ac:dyDescent="0.35">
      <c r="S1935" s="881">
        <v>1931</v>
      </c>
      <c r="T1935" s="881" t="s">
        <v>4284</v>
      </c>
      <c r="U1935" s="881" t="s">
        <v>3126</v>
      </c>
      <c r="V1935" s="883">
        <f>$S$1*P!V1935</f>
        <v>0.17754032258064517</v>
      </c>
      <c r="W1935" s="780"/>
      <c r="X1935" s="782">
        <v>1931</v>
      </c>
      <c r="Y1935" s="782" t="s">
        <v>2248</v>
      </c>
      <c r="Z1935" s="782" t="s">
        <v>5233</v>
      </c>
      <c r="AA1935" s="781">
        <f>$S$1*P!AA1935</f>
        <v>4.318548387096775E-3</v>
      </c>
      <c r="AB1935" s="780"/>
      <c r="AC1935" s="782">
        <v>1931</v>
      </c>
      <c r="AD1935" s="782" t="s">
        <v>4573</v>
      </c>
      <c r="AE1935" s="782" t="s">
        <v>3042</v>
      </c>
      <c r="AF1935" s="781">
        <f>$S$1*P!AF1935</f>
        <v>0.24985887096774195</v>
      </c>
    </row>
    <row r="1936" spans="19:32" x14ac:dyDescent="0.35">
      <c r="S1936" s="881">
        <v>1932</v>
      </c>
      <c r="T1936" s="881" t="s">
        <v>4284</v>
      </c>
      <c r="U1936" s="881" t="s">
        <v>3126</v>
      </c>
      <c r="V1936" s="883">
        <f>$S$1*P!V1936</f>
        <v>0</v>
      </c>
      <c r="W1936" s="780"/>
      <c r="X1936" s="782">
        <v>1932</v>
      </c>
      <c r="Y1936" s="782" t="s">
        <v>2248</v>
      </c>
      <c r="Z1936" s="782" t="s">
        <v>3261</v>
      </c>
      <c r="AA1936" s="781">
        <f>$S$1*P!AA1936</f>
        <v>3.495967741935484E-3</v>
      </c>
      <c r="AB1936" s="780"/>
      <c r="AC1936" s="881">
        <v>1932</v>
      </c>
      <c r="AD1936" s="881" t="s">
        <v>4573</v>
      </c>
      <c r="AE1936" s="881" t="s">
        <v>3042</v>
      </c>
      <c r="AF1936" s="882">
        <f>$S$1*P!AF1936</f>
        <v>0</v>
      </c>
    </row>
    <row r="1937" spans="19:32" x14ac:dyDescent="0.35">
      <c r="S1937" s="881">
        <v>1933</v>
      </c>
      <c r="T1937" s="881" t="s">
        <v>4284</v>
      </c>
      <c r="U1937" s="881" t="s">
        <v>4056</v>
      </c>
      <c r="V1937" s="883">
        <f>$S$1*P!V1937</f>
        <v>1.3949596774193549</v>
      </c>
      <c r="W1937" s="780"/>
      <c r="X1937" s="881">
        <v>1933</v>
      </c>
      <c r="Y1937" s="881" t="s">
        <v>2248</v>
      </c>
      <c r="Z1937" s="881" t="s">
        <v>3260</v>
      </c>
      <c r="AA1937" s="882">
        <f>$S$1*P!AA1937</f>
        <v>0</v>
      </c>
      <c r="AB1937" s="780"/>
      <c r="AC1937" s="782">
        <v>1933</v>
      </c>
      <c r="AD1937" s="782" t="s">
        <v>4573</v>
      </c>
      <c r="AE1937" s="782" t="s">
        <v>3815</v>
      </c>
      <c r="AF1937" s="781">
        <f>$S$1*P!AF1937</f>
        <v>7.1290322580645174E-4</v>
      </c>
    </row>
    <row r="1938" spans="19:32" x14ac:dyDescent="0.35">
      <c r="S1938" s="782">
        <v>1934</v>
      </c>
      <c r="T1938" s="782" t="s">
        <v>4284</v>
      </c>
      <c r="U1938" s="782" t="s">
        <v>4054</v>
      </c>
      <c r="V1938" s="797">
        <f>$S$1*P!V1938</f>
        <v>0.5209677419354839</v>
      </c>
      <c r="W1938" s="780"/>
      <c r="X1938" s="881">
        <v>1934</v>
      </c>
      <c r="Y1938" s="881" t="s">
        <v>2248</v>
      </c>
      <c r="Z1938" s="881" t="s">
        <v>3260</v>
      </c>
      <c r="AA1938" s="882">
        <f>$S$1*P!AA1938</f>
        <v>1.9947580645161292E-2</v>
      </c>
      <c r="AB1938" s="780"/>
      <c r="AC1938" s="782">
        <v>1934</v>
      </c>
      <c r="AD1938" s="782" t="s">
        <v>4573</v>
      </c>
      <c r="AE1938" s="782" t="s">
        <v>3811</v>
      </c>
      <c r="AF1938" s="781">
        <f>$S$1*P!AF1938</f>
        <v>1.72741935483871E-2</v>
      </c>
    </row>
    <row r="1939" spans="19:32" x14ac:dyDescent="0.35">
      <c r="S1939" s="881">
        <v>1935</v>
      </c>
      <c r="T1939" s="881" t="s">
        <v>4284</v>
      </c>
      <c r="U1939" s="881" t="s">
        <v>4050</v>
      </c>
      <c r="V1939" s="883">
        <f>$S$1*P!V1939</f>
        <v>3.0264112903225811E-6</v>
      </c>
      <c r="W1939" s="780"/>
      <c r="X1939" s="782">
        <v>1935</v>
      </c>
      <c r="Y1939" s="782" t="s">
        <v>2248</v>
      </c>
      <c r="Z1939" s="782" t="s">
        <v>5232</v>
      </c>
      <c r="AA1939" s="781">
        <f>$S$1*P!AA1939</f>
        <v>2.3649193548387099E-2</v>
      </c>
      <c r="AB1939" s="780"/>
      <c r="AC1939" s="881">
        <v>1935</v>
      </c>
      <c r="AD1939" s="881" t="s">
        <v>4573</v>
      </c>
      <c r="AE1939" s="881" t="s">
        <v>3040</v>
      </c>
      <c r="AF1939" s="882">
        <f>$S$1*P!AF1939</f>
        <v>0</v>
      </c>
    </row>
    <row r="1940" spans="19:32" x14ac:dyDescent="0.35">
      <c r="S1940" s="782">
        <v>1936</v>
      </c>
      <c r="T1940" s="782" t="s">
        <v>4284</v>
      </c>
      <c r="U1940" s="782" t="s">
        <v>4049</v>
      </c>
      <c r="V1940" s="797">
        <f>$S$1*P!V1940</f>
        <v>8.8084677419354846E-7</v>
      </c>
      <c r="W1940" s="780"/>
      <c r="X1940" s="782">
        <v>1936</v>
      </c>
      <c r="Y1940" s="782" t="s">
        <v>2248</v>
      </c>
      <c r="Z1940" s="782" t="s">
        <v>4542</v>
      </c>
      <c r="AA1940" s="781">
        <f>$S$1*P!AA1940</f>
        <v>1.0110887096774194E-2</v>
      </c>
      <c r="AB1940" s="780"/>
      <c r="AC1940" s="782">
        <v>1936</v>
      </c>
      <c r="AD1940" s="782" t="s">
        <v>4573</v>
      </c>
      <c r="AE1940" s="782" t="s">
        <v>3809</v>
      </c>
      <c r="AF1940" s="781">
        <f>$S$1*P!AF1940</f>
        <v>2.0118951612903228E-4</v>
      </c>
    </row>
    <row r="1941" spans="19:32" x14ac:dyDescent="0.35">
      <c r="S1941" s="881">
        <v>1937</v>
      </c>
      <c r="T1941" s="881" t="s">
        <v>4284</v>
      </c>
      <c r="U1941" s="881" t="s">
        <v>4048</v>
      </c>
      <c r="V1941" s="883">
        <f>$S$1*P!V1941</f>
        <v>1.1790322580645162E-3</v>
      </c>
      <c r="W1941" s="780"/>
      <c r="X1941" s="881">
        <v>1937</v>
      </c>
      <c r="Y1941" s="881" t="s">
        <v>2248</v>
      </c>
      <c r="Z1941" s="881" t="s">
        <v>4541</v>
      </c>
      <c r="AA1941" s="882">
        <f>$S$1*P!AA1941</f>
        <v>5.8951612903225814E-3</v>
      </c>
      <c r="AB1941" s="780"/>
      <c r="AC1941" s="782">
        <v>1937</v>
      </c>
      <c r="AD1941" s="782" t="s">
        <v>4573</v>
      </c>
      <c r="AE1941" s="782" t="s">
        <v>3039</v>
      </c>
      <c r="AF1941" s="781">
        <f>$S$1*P!AF1941</f>
        <v>2.2312500000000002E-2</v>
      </c>
    </row>
    <row r="1942" spans="19:32" x14ac:dyDescent="0.35">
      <c r="S1942" s="782">
        <v>1938</v>
      </c>
      <c r="T1942" s="782" t="s">
        <v>4284</v>
      </c>
      <c r="U1942" s="782" t="s">
        <v>3124</v>
      </c>
      <c r="V1942" s="797">
        <f>$S$1*P!V1942</f>
        <v>5.5524193548387099E-2</v>
      </c>
      <c r="W1942" s="780"/>
      <c r="X1942" s="782">
        <v>1938</v>
      </c>
      <c r="Y1942" s="782" t="s">
        <v>2248</v>
      </c>
      <c r="Z1942" s="782" t="s">
        <v>5231</v>
      </c>
      <c r="AA1942" s="781">
        <f>$S$1*P!AA1942</f>
        <v>1.0042338709677421E-2</v>
      </c>
      <c r="AB1942" s="780"/>
      <c r="AC1942" s="881">
        <v>1938</v>
      </c>
      <c r="AD1942" s="881" t="s">
        <v>4573</v>
      </c>
      <c r="AE1942" s="881" t="s">
        <v>3039</v>
      </c>
      <c r="AF1942" s="882">
        <f>$S$1*P!AF1942</f>
        <v>8.3535999999999999E-2</v>
      </c>
    </row>
    <row r="1943" spans="19:32" x14ac:dyDescent="0.35">
      <c r="S1943" s="881">
        <v>1939</v>
      </c>
      <c r="T1943" s="881" t="s">
        <v>4284</v>
      </c>
      <c r="U1943" s="881" t="s">
        <v>3124</v>
      </c>
      <c r="V1943" s="883">
        <f>$S$1*P!V1943</f>
        <v>0</v>
      </c>
      <c r="W1943" s="780"/>
      <c r="X1943" s="881">
        <v>1939</v>
      </c>
      <c r="Y1943" s="881" t="s">
        <v>2248</v>
      </c>
      <c r="Z1943" s="881" t="s">
        <v>3259</v>
      </c>
      <c r="AA1943" s="882">
        <f>$S$1*P!AA1943</f>
        <v>41.676000000000002</v>
      </c>
      <c r="AB1943" s="780"/>
      <c r="AC1943" s="782">
        <v>1939</v>
      </c>
      <c r="AD1943" s="782" t="s">
        <v>4573</v>
      </c>
      <c r="AE1943" s="782" t="s">
        <v>3804</v>
      </c>
      <c r="AF1943" s="781">
        <f>$S$1*P!AF1943</f>
        <v>1.974193548387097E-3</v>
      </c>
    </row>
    <row r="1944" spans="19:32" x14ac:dyDescent="0.35">
      <c r="S1944" s="881">
        <v>1940</v>
      </c>
      <c r="T1944" s="881" t="s">
        <v>4284</v>
      </c>
      <c r="U1944" s="881" t="s">
        <v>3123</v>
      </c>
      <c r="V1944" s="883">
        <f>$S$1*P!V1944</f>
        <v>8.2258064516129039</v>
      </c>
      <c r="W1944" s="780"/>
      <c r="X1944" s="881">
        <v>1940</v>
      </c>
      <c r="Y1944" s="881" t="s">
        <v>2248</v>
      </c>
      <c r="Z1944" s="881" t="s">
        <v>3259</v>
      </c>
      <c r="AA1944" s="882">
        <f>$S$1*P!AA1944</f>
        <v>1.7205645161290323E-2</v>
      </c>
      <c r="AB1944" s="780"/>
      <c r="AC1944" s="782">
        <v>1940</v>
      </c>
      <c r="AD1944" s="782" t="s">
        <v>4573</v>
      </c>
      <c r="AE1944" s="782" t="s">
        <v>3800</v>
      </c>
      <c r="AF1944" s="781">
        <f>$S$1*P!AF1944</f>
        <v>1.3881048387096775E-2</v>
      </c>
    </row>
    <row r="1945" spans="19:32" x14ac:dyDescent="0.35">
      <c r="S1945" s="881">
        <v>1941</v>
      </c>
      <c r="T1945" s="881" t="s">
        <v>4284</v>
      </c>
      <c r="U1945" s="881" t="s">
        <v>3123</v>
      </c>
      <c r="V1945" s="883">
        <f>$S$1*P!V1945</f>
        <v>32660000</v>
      </c>
      <c r="W1945" s="780"/>
      <c r="X1945" s="782">
        <v>1941</v>
      </c>
      <c r="Y1945" s="782" t="s">
        <v>2248</v>
      </c>
      <c r="Z1945" s="782" t="s">
        <v>5230</v>
      </c>
      <c r="AA1945" s="781">
        <f>$S$1*P!AA1945</f>
        <v>0.79516129032258076</v>
      </c>
      <c r="AB1945" s="780"/>
      <c r="AC1945" s="881">
        <v>1941</v>
      </c>
      <c r="AD1945" s="881" t="s">
        <v>4573</v>
      </c>
      <c r="AE1945" s="881" t="s">
        <v>3037</v>
      </c>
      <c r="AF1945" s="882">
        <f>$S$1*P!AF1945</f>
        <v>0</v>
      </c>
    </row>
    <row r="1946" spans="19:32" x14ac:dyDescent="0.35">
      <c r="S1946" s="881">
        <v>1942</v>
      </c>
      <c r="T1946" s="881" t="s">
        <v>4284</v>
      </c>
      <c r="U1946" s="881" t="s">
        <v>4045</v>
      </c>
      <c r="V1946" s="883">
        <f>$S$1*P!V1946</f>
        <v>6.5806451612903236E-9</v>
      </c>
      <c r="W1946" s="780"/>
      <c r="X1946" s="881">
        <v>1942</v>
      </c>
      <c r="Y1946" s="881" t="s">
        <v>2248</v>
      </c>
      <c r="Z1946" s="881" t="s">
        <v>4540</v>
      </c>
      <c r="AA1946" s="882">
        <f>$S$1*P!AA1946</f>
        <v>8.0544354838709684E-2</v>
      </c>
      <c r="AB1946" s="780"/>
      <c r="AC1946" s="782">
        <v>1942</v>
      </c>
      <c r="AD1946" s="782" t="s">
        <v>4573</v>
      </c>
      <c r="AE1946" s="782" t="s">
        <v>3797</v>
      </c>
      <c r="AF1946" s="781">
        <f>$S$1*P!AF1946</f>
        <v>0.11481854838709678</v>
      </c>
    </row>
    <row r="1947" spans="19:32" x14ac:dyDescent="0.35">
      <c r="S1947" s="881">
        <v>1943</v>
      </c>
      <c r="T1947" s="881" t="s">
        <v>4284</v>
      </c>
      <c r="U1947" s="881" t="s">
        <v>4043</v>
      </c>
      <c r="V1947" s="883">
        <f>$S$1*P!V1947</f>
        <v>5.2096774193548386E-4</v>
      </c>
      <c r="W1947" s="863"/>
      <c r="X1947" s="881">
        <v>1943</v>
      </c>
      <c r="Y1947" s="881" t="s">
        <v>2248</v>
      </c>
      <c r="Z1947" s="881" t="s">
        <v>4539</v>
      </c>
      <c r="AA1947" s="882">
        <f>$S$1*P!AA1947</f>
        <v>1.0659274193548387E-2</v>
      </c>
      <c r="AB1947" s="780"/>
      <c r="AC1947" s="782">
        <v>1943</v>
      </c>
      <c r="AD1947" s="782" t="s">
        <v>4573</v>
      </c>
      <c r="AE1947" s="782" t="s">
        <v>3795</v>
      </c>
      <c r="AF1947" s="781">
        <f>$S$1*P!AF1947</f>
        <v>1.655443548387097E-2</v>
      </c>
    </row>
    <row r="1948" spans="19:32" x14ac:dyDescent="0.35">
      <c r="S1948" s="881">
        <v>1944</v>
      </c>
      <c r="T1948" s="881" t="s">
        <v>4284</v>
      </c>
      <c r="U1948" s="881" t="s">
        <v>4042</v>
      </c>
      <c r="V1948" s="883">
        <f>$S$1*P!V1948</f>
        <v>5.3125000000000004E-3</v>
      </c>
      <c r="W1948" s="863"/>
      <c r="X1948" s="782">
        <v>1944</v>
      </c>
      <c r="Y1948" s="782" t="s">
        <v>2248</v>
      </c>
      <c r="Z1948" s="782" t="s">
        <v>5229</v>
      </c>
      <c r="AA1948" s="781">
        <f>$S$1*P!AA1948</f>
        <v>1.7479838709677419E-4</v>
      </c>
      <c r="AB1948" s="780"/>
      <c r="AC1948" s="782">
        <v>1944</v>
      </c>
      <c r="AD1948" s="782" t="s">
        <v>4573</v>
      </c>
      <c r="AE1948" s="782" t="s">
        <v>3790</v>
      </c>
      <c r="AF1948" s="781">
        <f>$S$1*P!AF1948</f>
        <v>1.3332661290322581E-2</v>
      </c>
    </row>
    <row r="1949" spans="19:32" x14ac:dyDescent="0.35">
      <c r="S1949" s="782">
        <v>1945</v>
      </c>
      <c r="T1949" s="782" t="s">
        <v>4284</v>
      </c>
      <c r="U1949" s="782" t="s">
        <v>4039</v>
      </c>
      <c r="V1949" s="797">
        <f>$S$1*P!V1949</f>
        <v>2.5191532258064515E-4</v>
      </c>
      <c r="W1949" s="863"/>
      <c r="X1949" s="782">
        <v>1945</v>
      </c>
      <c r="Y1949" s="782" t="s">
        <v>2248</v>
      </c>
      <c r="Z1949" s="782" t="s">
        <v>4538</v>
      </c>
      <c r="AA1949" s="781">
        <f>$S$1*P!AA1949</f>
        <v>1.360685483870968E-3</v>
      </c>
      <c r="AB1949" s="780"/>
      <c r="AC1949" s="782">
        <v>1945</v>
      </c>
      <c r="AD1949" s="782" t="s">
        <v>4573</v>
      </c>
      <c r="AE1949" s="782" t="s">
        <v>3787</v>
      </c>
      <c r="AF1949" s="781">
        <f>$S$1*P!AF1949</f>
        <v>0.33383064516129035</v>
      </c>
    </row>
    <row r="1950" spans="19:32" x14ac:dyDescent="0.35">
      <c r="S1950" s="881">
        <v>1946</v>
      </c>
      <c r="T1950" s="881" t="s">
        <v>4284</v>
      </c>
      <c r="U1950" s="881" t="s">
        <v>4036</v>
      </c>
      <c r="V1950" s="883">
        <f>$S$1*P!V1950</f>
        <v>9.5282258064516137E-2</v>
      </c>
      <c r="W1950" s="780"/>
      <c r="X1950" s="881">
        <v>1946</v>
      </c>
      <c r="Y1950" s="881" t="s">
        <v>2248</v>
      </c>
      <c r="Z1950" s="881" t="s">
        <v>4537</v>
      </c>
      <c r="AA1950" s="882">
        <f>$S$1*P!AA1950</f>
        <v>1.1550403225806453E-5</v>
      </c>
      <c r="AB1950" s="780"/>
      <c r="AC1950" s="782">
        <v>1946</v>
      </c>
      <c r="AD1950" s="782" t="s">
        <v>4573</v>
      </c>
      <c r="AE1950" s="782" t="s">
        <v>3784</v>
      </c>
      <c r="AF1950" s="781">
        <f>$S$1*P!AF1950</f>
        <v>7.5403225806451623E-4</v>
      </c>
    </row>
    <row r="1951" spans="19:32" x14ac:dyDescent="0.35">
      <c r="S1951" s="782">
        <v>1947</v>
      </c>
      <c r="T1951" s="782" t="s">
        <v>4284</v>
      </c>
      <c r="U1951" s="782" t="s">
        <v>4033</v>
      </c>
      <c r="V1951" s="797">
        <f>$S$1*P!V1951</f>
        <v>1.5971774193548389E-4</v>
      </c>
      <c r="W1951" s="780"/>
      <c r="X1951" s="881">
        <v>1947</v>
      </c>
      <c r="Y1951" s="881" t="s">
        <v>2248</v>
      </c>
      <c r="Z1951" s="881" t="s">
        <v>3258</v>
      </c>
      <c r="AA1951" s="882">
        <f>$S$1*P!AA1951</f>
        <v>1.748</v>
      </c>
      <c r="AB1951" s="780"/>
      <c r="AC1951" s="782">
        <v>1947</v>
      </c>
      <c r="AD1951" s="782" t="s">
        <v>4573</v>
      </c>
      <c r="AE1951" s="782" t="s">
        <v>3781</v>
      </c>
      <c r="AF1951" s="781">
        <f>$S$1*P!AF1951</f>
        <v>0.93911290322580654</v>
      </c>
    </row>
    <row r="1952" spans="19:32" x14ac:dyDescent="0.35">
      <c r="S1952" s="881">
        <v>1948</v>
      </c>
      <c r="T1952" s="881" t="s">
        <v>4284</v>
      </c>
      <c r="U1952" s="881" t="s">
        <v>3121</v>
      </c>
      <c r="V1952" s="883">
        <f>$S$1*P!V1952</f>
        <v>0</v>
      </c>
      <c r="W1952" s="780"/>
      <c r="X1952" s="782">
        <v>1948</v>
      </c>
      <c r="Y1952" s="782" t="s">
        <v>2248</v>
      </c>
      <c r="Z1952" s="782" t="s">
        <v>5228</v>
      </c>
      <c r="AA1952" s="781">
        <f>$S$1*P!AA1952</f>
        <v>1.8405241935483874E-2</v>
      </c>
      <c r="AB1952" s="780"/>
      <c r="AC1952" s="881">
        <v>1948</v>
      </c>
      <c r="AD1952" s="881" t="s">
        <v>4573</v>
      </c>
      <c r="AE1952" s="881" t="s">
        <v>3035</v>
      </c>
      <c r="AF1952" s="882">
        <f>$S$1*P!AF1952</f>
        <v>112.24</v>
      </c>
    </row>
    <row r="1953" spans="19:32" x14ac:dyDescent="0.35">
      <c r="S1953" s="881">
        <v>1949</v>
      </c>
      <c r="T1953" s="881" t="s">
        <v>4284</v>
      </c>
      <c r="U1953" s="881" t="s">
        <v>4032</v>
      </c>
      <c r="V1953" s="883">
        <f>$S$1*P!V1953</f>
        <v>1.7274193548387099E-3</v>
      </c>
      <c r="W1953" s="780"/>
      <c r="X1953" s="782">
        <v>1949</v>
      </c>
      <c r="Y1953" s="782" t="s">
        <v>2248</v>
      </c>
      <c r="Z1953" s="782" t="s">
        <v>4536</v>
      </c>
      <c r="AA1953" s="781">
        <f>$S$1*P!AA1953</f>
        <v>0.11756048387096775</v>
      </c>
      <c r="AB1953" s="780"/>
      <c r="AC1953" s="782">
        <v>1949</v>
      </c>
      <c r="AD1953" s="782" t="s">
        <v>4573</v>
      </c>
      <c r="AE1953" s="782" t="s">
        <v>3777</v>
      </c>
      <c r="AF1953" s="781">
        <f>$S$1*P!AF1953</f>
        <v>53.125000000000007</v>
      </c>
    </row>
    <row r="1954" spans="19:32" x14ac:dyDescent="0.35">
      <c r="S1954" s="782">
        <v>1950</v>
      </c>
      <c r="T1954" s="782" t="s">
        <v>4284</v>
      </c>
      <c r="U1954" s="782" t="s">
        <v>4029</v>
      </c>
      <c r="V1954" s="797">
        <f>$S$1*P!V1954</f>
        <v>0.21352822580645162</v>
      </c>
      <c r="W1954" s="780"/>
      <c r="X1954" s="881">
        <v>1950</v>
      </c>
      <c r="Y1954" s="881" t="s">
        <v>2248</v>
      </c>
      <c r="Z1954" s="881" t="s">
        <v>4535</v>
      </c>
      <c r="AA1954" s="882">
        <f>$S$1*P!AA1954</f>
        <v>1.3092741935483871</v>
      </c>
      <c r="AB1954" s="780"/>
      <c r="AC1954" s="782">
        <v>1950</v>
      </c>
      <c r="AD1954" s="782" t="s">
        <v>4573</v>
      </c>
      <c r="AE1954" s="782" t="s">
        <v>3772</v>
      </c>
      <c r="AF1954" s="781">
        <f>$S$1*P!AF1954</f>
        <v>1.3572580645161293E-3</v>
      </c>
    </row>
    <row r="1955" spans="19:32" x14ac:dyDescent="0.35">
      <c r="S1955" s="881">
        <v>1951</v>
      </c>
      <c r="T1955" s="881" t="s">
        <v>4284</v>
      </c>
      <c r="U1955" s="881" t="s">
        <v>4027</v>
      </c>
      <c r="V1955" s="883">
        <f>$S$1*P!V1955</f>
        <v>27.487903225806456</v>
      </c>
      <c r="W1955" s="780"/>
      <c r="X1955" s="782">
        <v>1951</v>
      </c>
      <c r="Y1955" s="782" t="s">
        <v>2248</v>
      </c>
      <c r="Z1955" s="782" t="s">
        <v>5227</v>
      </c>
      <c r="AA1955" s="781">
        <f>$S$1*P!AA1955</f>
        <v>5.6895161290322594E-4</v>
      </c>
      <c r="AB1955" s="780"/>
      <c r="AC1955" s="782">
        <v>1951</v>
      </c>
      <c r="AD1955" s="782" t="s">
        <v>4573</v>
      </c>
      <c r="AE1955" s="782" t="s">
        <v>3769</v>
      </c>
      <c r="AF1955" s="781">
        <f>$S$1*P!AF1955</f>
        <v>2.2723790322580646E-4</v>
      </c>
    </row>
    <row r="1956" spans="19:32" x14ac:dyDescent="0.35">
      <c r="S1956" s="782">
        <v>1952</v>
      </c>
      <c r="T1956" s="782" t="s">
        <v>4284</v>
      </c>
      <c r="U1956" s="782" t="s">
        <v>4025</v>
      </c>
      <c r="V1956" s="797">
        <f>$S$1*P!V1956</f>
        <v>3.3245967741935483E-4</v>
      </c>
      <c r="W1956" s="780"/>
      <c r="X1956" s="881">
        <v>1952</v>
      </c>
      <c r="Y1956" s="881" t="s">
        <v>2248</v>
      </c>
      <c r="Z1956" s="881" t="s">
        <v>3257</v>
      </c>
      <c r="AA1956" s="882">
        <f>$S$1*P!AA1956</f>
        <v>0</v>
      </c>
      <c r="AB1956" s="780"/>
      <c r="AC1956" s="782">
        <v>1952</v>
      </c>
      <c r="AD1956" s="782" t="s">
        <v>4573</v>
      </c>
      <c r="AE1956" s="782" t="s">
        <v>3034</v>
      </c>
      <c r="AF1956" s="781">
        <f>$S$1*P!AF1956</f>
        <v>4.215725806451613</v>
      </c>
    </row>
    <row r="1957" spans="19:32" x14ac:dyDescent="0.35">
      <c r="S1957" s="782">
        <v>1953</v>
      </c>
      <c r="T1957" s="782" t="s">
        <v>4284</v>
      </c>
      <c r="U1957" s="782" t="s">
        <v>4021</v>
      </c>
      <c r="V1957" s="797">
        <f>$S$1*P!V1957</f>
        <v>7.574596774193549E-3</v>
      </c>
      <c r="W1957" s="780"/>
      <c r="X1957" s="782">
        <v>1953</v>
      </c>
      <c r="Y1957" s="782" t="s">
        <v>2248</v>
      </c>
      <c r="Z1957" s="782" t="s">
        <v>3257</v>
      </c>
      <c r="AA1957" s="781">
        <f>$S$1*P!AA1957</f>
        <v>1.6177419354838712E-2</v>
      </c>
      <c r="AB1957" s="780"/>
      <c r="AC1957" s="881">
        <v>1953</v>
      </c>
      <c r="AD1957" s="881" t="s">
        <v>4573</v>
      </c>
      <c r="AE1957" s="881" t="s">
        <v>3034</v>
      </c>
      <c r="AF1957" s="882">
        <f>$S$1*P!AF1957</f>
        <v>0</v>
      </c>
    </row>
    <row r="1958" spans="19:32" x14ac:dyDescent="0.35">
      <c r="S1958" s="782">
        <v>1954</v>
      </c>
      <c r="T1958" s="782" t="s">
        <v>4284</v>
      </c>
      <c r="U1958" s="782" t="s">
        <v>4020</v>
      </c>
      <c r="V1958" s="797">
        <f>$S$1*P!V1958</f>
        <v>2.7316532258064516E-4</v>
      </c>
      <c r="W1958" s="780"/>
      <c r="X1958" s="881">
        <v>1954</v>
      </c>
      <c r="Y1958" s="881" t="s">
        <v>2248</v>
      </c>
      <c r="Z1958" s="881" t="s">
        <v>4534</v>
      </c>
      <c r="AA1958" s="882">
        <f>$S$1*P!AA1958</f>
        <v>0.17102822580645163</v>
      </c>
      <c r="AB1958" s="780"/>
      <c r="AC1958" s="782">
        <v>1954</v>
      </c>
      <c r="AD1958" s="782" t="s">
        <v>4573</v>
      </c>
      <c r="AE1958" s="782" t="s">
        <v>3761</v>
      </c>
      <c r="AF1958" s="781">
        <f>$S$1*P!AF1958</f>
        <v>1.7891129032258067E-3</v>
      </c>
    </row>
    <row r="1959" spans="19:32" x14ac:dyDescent="0.35">
      <c r="S1959" s="881">
        <v>1955</v>
      </c>
      <c r="T1959" s="881" t="s">
        <v>4284</v>
      </c>
      <c r="U1959" s="881" t="s">
        <v>3120</v>
      </c>
      <c r="V1959" s="883">
        <f>$S$1*P!V1959</f>
        <v>0</v>
      </c>
      <c r="W1959" s="780"/>
      <c r="X1959" s="782">
        <v>1955</v>
      </c>
      <c r="Y1959" s="782" t="s">
        <v>2248</v>
      </c>
      <c r="Z1959" s="782" t="s">
        <v>5226</v>
      </c>
      <c r="AA1959" s="781">
        <f>$S$1*P!AA1959</f>
        <v>3.5302419354838716E-2</v>
      </c>
      <c r="AB1959" s="780"/>
      <c r="AC1959" s="782">
        <v>1955</v>
      </c>
      <c r="AD1959" s="782" t="s">
        <v>4573</v>
      </c>
      <c r="AE1959" s="782" t="s">
        <v>3756</v>
      </c>
      <c r="AF1959" s="781">
        <f>$S$1*P!AF1959</f>
        <v>1.3401209677419356E-2</v>
      </c>
    </row>
    <row r="1960" spans="19:32" x14ac:dyDescent="0.35">
      <c r="S1960" s="782">
        <v>1956</v>
      </c>
      <c r="T1960" s="782" t="s">
        <v>4284</v>
      </c>
      <c r="U1960" s="782" t="s">
        <v>4019</v>
      </c>
      <c r="V1960" s="797">
        <f>$S$1*P!V1960</f>
        <v>2.172983870967742E-4</v>
      </c>
      <c r="W1960" s="780"/>
      <c r="X1960" s="881">
        <v>1956</v>
      </c>
      <c r="Y1960" s="881" t="s">
        <v>2248</v>
      </c>
      <c r="Z1960" s="881" t="s">
        <v>4533</v>
      </c>
      <c r="AA1960" s="882">
        <f>$S$1*P!AA1960</f>
        <v>2.0118951612903228E-2</v>
      </c>
      <c r="AB1960" s="780"/>
      <c r="AC1960" s="782">
        <v>1956</v>
      </c>
      <c r="AD1960" s="782" t="s">
        <v>4573</v>
      </c>
      <c r="AE1960" s="782" t="s">
        <v>3032</v>
      </c>
      <c r="AF1960" s="781">
        <f>$S$1*P!AF1960</f>
        <v>4.7298387096774191E-5</v>
      </c>
    </row>
    <row r="1961" spans="19:32" x14ac:dyDescent="0.35">
      <c r="S1961" s="881">
        <v>1957</v>
      </c>
      <c r="T1961" s="881" t="s">
        <v>4284</v>
      </c>
      <c r="U1961" s="881" t="s">
        <v>3118</v>
      </c>
      <c r="V1961" s="883">
        <f>$S$1*P!V1961</f>
        <v>0.55476000000000003</v>
      </c>
      <c r="W1961" s="780"/>
      <c r="X1961" s="881">
        <v>1957</v>
      </c>
      <c r="Y1961" s="881" t="s">
        <v>2248</v>
      </c>
      <c r="Z1961" s="881" t="s">
        <v>3255</v>
      </c>
      <c r="AA1961" s="882">
        <f>$S$1*P!AA1961</f>
        <v>0</v>
      </c>
      <c r="AB1961" s="780"/>
      <c r="AC1961" s="881">
        <v>1957</v>
      </c>
      <c r="AD1961" s="881" t="s">
        <v>4573</v>
      </c>
      <c r="AE1961" s="881" t="s">
        <v>3032</v>
      </c>
      <c r="AF1961" s="882">
        <f>$S$1*P!AF1961</f>
        <v>0</v>
      </c>
    </row>
    <row r="1962" spans="19:32" x14ac:dyDescent="0.35">
      <c r="S1962" s="782">
        <v>1958</v>
      </c>
      <c r="T1962" s="782" t="s">
        <v>4284</v>
      </c>
      <c r="U1962" s="782" t="s">
        <v>4016</v>
      </c>
      <c r="V1962" s="797">
        <f>$S$1*P!V1962</f>
        <v>0.16897177419354839</v>
      </c>
      <c r="W1962" s="780"/>
      <c r="X1962" s="782">
        <v>1958</v>
      </c>
      <c r="Y1962" s="782" t="s">
        <v>2248</v>
      </c>
      <c r="Z1962" s="782" t="s">
        <v>5225</v>
      </c>
      <c r="AA1962" s="781">
        <f>$S$1*P!AA1962</f>
        <v>2.5054435483870971E-2</v>
      </c>
      <c r="AB1962" s="780"/>
      <c r="AC1962" s="782">
        <v>1958</v>
      </c>
      <c r="AD1962" s="782" t="s">
        <v>4573</v>
      </c>
      <c r="AE1962" s="782" t="s">
        <v>3748</v>
      </c>
      <c r="AF1962" s="781">
        <f>$S$1*P!AF1962</f>
        <v>7.6431451612903236E-3</v>
      </c>
    </row>
    <row r="1963" spans="19:32" x14ac:dyDescent="0.35">
      <c r="S1963" s="782">
        <v>1959</v>
      </c>
      <c r="T1963" s="782" t="s">
        <v>4284</v>
      </c>
      <c r="U1963" s="782" t="s">
        <v>4015</v>
      </c>
      <c r="V1963" s="797">
        <f>$S$1*P!V1963</f>
        <v>0.64778225806451617</v>
      </c>
      <c r="W1963" s="780"/>
      <c r="X1963" s="881">
        <v>1959</v>
      </c>
      <c r="Y1963" s="881" t="s">
        <v>2248</v>
      </c>
      <c r="Z1963" s="881" t="s">
        <v>4532</v>
      </c>
      <c r="AA1963" s="882">
        <f>$S$1*P!AA1963</f>
        <v>4.8326612903225813E-3</v>
      </c>
      <c r="AB1963" s="780"/>
      <c r="AC1963" s="782">
        <v>1959</v>
      </c>
      <c r="AD1963" s="782" t="s">
        <v>4573</v>
      </c>
      <c r="AE1963" s="782" t="s">
        <v>3744</v>
      </c>
      <c r="AF1963" s="781">
        <f>$S$1*P!AF1963</f>
        <v>0.13401209677419357</v>
      </c>
    </row>
    <row r="1964" spans="19:32" x14ac:dyDescent="0.35">
      <c r="S1964" s="782">
        <v>1960</v>
      </c>
      <c r="T1964" s="782" t="s">
        <v>4284</v>
      </c>
      <c r="U1964" s="782" t="s">
        <v>4012</v>
      </c>
      <c r="V1964" s="797">
        <f>$S$1*P!V1964</f>
        <v>7.4375000000000005E-3</v>
      </c>
      <c r="W1964" s="780"/>
      <c r="X1964" s="881">
        <v>1960</v>
      </c>
      <c r="Y1964" s="881" t="s">
        <v>2248</v>
      </c>
      <c r="Z1964" s="881" t="s">
        <v>3254</v>
      </c>
      <c r="AA1964" s="882">
        <f>$S$1*P!AA1964</f>
        <v>0</v>
      </c>
      <c r="AB1964" s="780"/>
      <c r="AC1964" s="782">
        <v>1960</v>
      </c>
      <c r="AD1964" s="782" t="s">
        <v>4573</v>
      </c>
      <c r="AE1964" s="782" t="s">
        <v>3031</v>
      </c>
      <c r="AF1964" s="781">
        <f>$S$1*P!AF1964</f>
        <v>8.0201612903225809E-4</v>
      </c>
    </row>
    <row r="1965" spans="19:32" x14ac:dyDescent="0.35">
      <c r="S1965" s="782">
        <v>1961</v>
      </c>
      <c r="T1965" s="782" t="s">
        <v>4284</v>
      </c>
      <c r="U1965" s="782" t="s">
        <v>4009</v>
      </c>
      <c r="V1965" s="797">
        <f>$S$1*P!V1965</f>
        <v>5.0725806451612909E-3</v>
      </c>
      <c r="W1965" s="780"/>
      <c r="X1965" s="881">
        <v>1961</v>
      </c>
      <c r="Y1965" s="881" t="s">
        <v>2248</v>
      </c>
      <c r="Z1965" s="881" t="s">
        <v>3254</v>
      </c>
      <c r="AA1965" s="882">
        <f>$S$1*P!AA1965</f>
        <v>9.8709677419354849E-4</v>
      </c>
      <c r="AB1965" s="780"/>
      <c r="AC1965" s="881">
        <v>1961</v>
      </c>
      <c r="AD1965" s="881" t="s">
        <v>4573</v>
      </c>
      <c r="AE1965" s="881" t="s">
        <v>3031</v>
      </c>
      <c r="AF1965" s="882">
        <f>$S$1*P!AF1965</f>
        <v>1.4536</v>
      </c>
    </row>
    <row r="1966" spans="19:32" x14ac:dyDescent="0.35">
      <c r="S1966" s="782">
        <v>1962</v>
      </c>
      <c r="T1966" s="782" t="s">
        <v>4284</v>
      </c>
      <c r="U1966" s="782" t="s">
        <v>4006</v>
      </c>
      <c r="V1966" s="797">
        <f>$S$1*P!V1966</f>
        <v>2.344354838709678E-3</v>
      </c>
      <c r="W1966" s="780"/>
      <c r="X1966" s="782">
        <v>1962</v>
      </c>
      <c r="Y1966" s="782" t="s">
        <v>2248</v>
      </c>
      <c r="Z1966" s="782" t="s">
        <v>5224</v>
      </c>
      <c r="AA1966" s="781">
        <f>$S$1*P!AA1966</f>
        <v>5.175403225806452E-2</v>
      </c>
      <c r="AB1966" s="780"/>
      <c r="AC1966" s="782">
        <v>1962</v>
      </c>
      <c r="AD1966" s="782" t="s">
        <v>4573</v>
      </c>
      <c r="AE1966" s="782" t="s">
        <v>3029</v>
      </c>
      <c r="AF1966" s="781">
        <f>$S$1*P!AF1966</f>
        <v>7.2318548387096781E-4</v>
      </c>
    </row>
    <row r="1967" spans="19:32" x14ac:dyDescent="0.35">
      <c r="S1967" s="782">
        <v>1963</v>
      </c>
      <c r="T1967" s="782" t="s">
        <v>4284</v>
      </c>
      <c r="U1967" s="782" t="s">
        <v>4004</v>
      </c>
      <c r="V1967" s="797">
        <f>$S$1*P!V1967</f>
        <v>4.1129032258064519E-3</v>
      </c>
      <c r="W1967" s="780"/>
      <c r="X1967" s="782">
        <v>1963</v>
      </c>
      <c r="Y1967" s="782" t="s">
        <v>2248</v>
      </c>
      <c r="Z1967" s="782" t="s">
        <v>4531</v>
      </c>
      <c r="AA1967" s="781">
        <f>$S$1*P!AA1967</f>
        <v>1.3915322580645163E-2</v>
      </c>
      <c r="AB1967" s="780"/>
      <c r="AC1967" s="881">
        <v>1963</v>
      </c>
      <c r="AD1967" s="881" t="s">
        <v>4573</v>
      </c>
      <c r="AE1967" s="881" t="s">
        <v>3029</v>
      </c>
      <c r="AF1967" s="882">
        <f>$S$1*P!AF1967</f>
        <v>5.0968</v>
      </c>
    </row>
    <row r="1968" spans="19:32" x14ac:dyDescent="0.35">
      <c r="S1968" s="782">
        <v>1964</v>
      </c>
      <c r="T1968" s="782" t="s">
        <v>4284</v>
      </c>
      <c r="U1968" s="782" t="s">
        <v>3116</v>
      </c>
      <c r="V1968" s="797">
        <f>$S$1*P!V1968</f>
        <v>2.210685483870968E-2</v>
      </c>
      <c r="W1968" s="780"/>
      <c r="X1968" s="782">
        <v>1964</v>
      </c>
      <c r="Y1968" s="782" t="s">
        <v>2248</v>
      </c>
      <c r="Z1968" s="782" t="s">
        <v>5223</v>
      </c>
      <c r="AA1968" s="781">
        <f>$S$1*P!AA1968</f>
        <v>1.583467741935484E-3</v>
      </c>
      <c r="AB1968" s="780"/>
      <c r="AC1968" s="782">
        <v>1964</v>
      </c>
      <c r="AD1968" s="782" t="s">
        <v>4573</v>
      </c>
      <c r="AE1968" s="782" t="s">
        <v>3028</v>
      </c>
      <c r="AF1968" s="781">
        <f>$S$1*P!AF1968</f>
        <v>6.957661290322581E-2</v>
      </c>
    </row>
    <row r="1969" spans="19:32" x14ac:dyDescent="0.35">
      <c r="S1969" s="881">
        <v>1965</v>
      </c>
      <c r="T1969" s="881" t="s">
        <v>4284</v>
      </c>
      <c r="U1969" s="881" t="s">
        <v>3116</v>
      </c>
      <c r="V1969" s="883">
        <f>$S$1*P!V1969</f>
        <v>0</v>
      </c>
      <c r="W1969" s="780"/>
      <c r="X1969" s="881">
        <v>1965</v>
      </c>
      <c r="Y1969" s="881" t="s">
        <v>2248</v>
      </c>
      <c r="Z1969" s="881" t="s">
        <v>3252</v>
      </c>
      <c r="AA1969" s="882">
        <f>$S$1*P!AA1969</f>
        <v>0</v>
      </c>
      <c r="AB1969" s="780"/>
      <c r="AC1969" s="881">
        <v>1965</v>
      </c>
      <c r="AD1969" s="881" t="s">
        <v>4573</v>
      </c>
      <c r="AE1969" s="881" t="s">
        <v>3028</v>
      </c>
      <c r="AF1969" s="882">
        <f>$S$1*P!AF1969</f>
        <v>183.08</v>
      </c>
    </row>
    <row r="1970" spans="19:32" x14ac:dyDescent="0.35">
      <c r="S1970" s="782">
        <v>1966</v>
      </c>
      <c r="T1970" s="782" t="s">
        <v>4284</v>
      </c>
      <c r="U1970" s="782" t="s">
        <v>4001</v>
      </c>
      <c r="V1970" s="797">
        <f>$S$1*P!V1970</f>
        <v>6.8891129032258067E-2</v>
      </c>
      <c r="W1970" s="780"/>
      <c r="X1970" s="881">
        <v>1966</v>
      </c>
      <c r="Y1970" s="881" t="s">
        <v>2248</v>
      </c>
      <c r="Z1970" s="881" t="s">
        <v>3252</v>
      </c>
      <c r="AA1970" s="882">
        <f>$S$1*P!AA1970</f>
        <v>1.3264112903225808E-2</v>
      </c>
      <c r="AB1970" s="780"/>
      <c r="AC1970" s="782">
        <v>1966</v>
      </c>
      <c r="AD1970" s="782" t="s">
        <v>4573</v>
      </c>
      <c r="AE1970" s="782" t="s">
        <v>3728</v>
      </c>
      <c r="AF1970" s="781">
        <f>$S$1*P!AF1970</f>
        <v>1.0796370967741937</v>
      </c>
    </row>
    <row r="1971" spans="19:32" x14ac:dyDescent="0.35">
      <c r="S1971" s="782">
        <v>1967</v>
      </c>
      <c r="T1971" s="782" t="s">
        <v>4284</v>
      </c>
      <c r="U1971" s="782" t="s">
        <v>4000</v>
      </c>
      <c r="V1971" s="797">
        <f>$S$1*P!V1971</f>
        <v>1.1036290322580646</v>
      </c>
      <c r="W1971" s="780"/>
      <c r="X1971" s="782">
        <v>1967</v>
      </c>
      <c r="Y1971" s="782" t="s">
        <v>2248</v>
      </c>
      <c r="Z1971" s="782" t="s">
        <v>4530</v>
      </c>
      <c r="AA1971" s="781">
        <f>$S$1*P!AA1971</f>
        <v>1.6177419354838709E-4</v>
      </c>
      <c r="AB1971" s="780"/>
      <c r="AC1971" s="881">
        <v>1967</v>
      </c>
      <c r="AD1971" s="881" t="s">
        <v>4573</v>
      </c>
      <c r="AE1971" s="881" t="s">
        <v>3026</v>
      </c>
      <c r="AF1971" s="882">
        <f>$S$1*P!AF1971</f>
        <v>11.224</v>
      </c>
    </row>
    <row r="1972" spans="19:32" x14ac:dyDescent="0.35">
      <c r="S1972" s="782">
        <v>1968</v>
      </c>
      <c r="T1972" s="782" t="s">
        <v>4284</v>
      </c>
      <c r="U1972" s="782" t="s">
        <v>3997</v>
      </c>
      <c r="V1972" s="797">
        <f>$S$1*P!V1972</f>
        <v>3.8387096774193552E-2</v>
      </c>
      <c r="W1972" s="780"/>
      <c r="X1972" s="782">
        <v>1968</v>
      </c>
      <c r="Y1972" s="782" t="s">
        <v>2248</v>
      </c>
      <c r="Z1972" s="782" t="s">
        <v>5222</v>
      </c>
      <c r="AA1972" s="781">
        <f>$S$1*P!AA1972</f>
        <v>0.21901209677419356</v>
      </c>
      <c r="AB1972" s="780"/>
      <c r="AC1972" s="782">
        <v>1968</v>
      </c>
      <c r="AD1972" s="782" t="s">
        <v>4573</v>
      </c>
      <c r="AE1972" s="782" t="s">
        <v>3725</v>
      </c>
      <c r="AF1972" s="781">
        <f>$S$1*P!AF1972</f>
        <v>9.2197580645161301E-3</v>
      </c>
    </row>
    <row r="1973" spans="19:32" x14ac:dyDescent="0.35">
      <c r="S1973" s="782">
        <v>1969</v>
      </c>
      <c r="T1973" s="782" t="s">
        <v>4284</v>
      </c>
      <c r="U1973" s="782" t="s">
        <v>3996</v>
      </c>
      <c r="V1973" s="797">
        <f>$S$1*P!V1973</f>
        <v>0.16657258064516131</v>
      </c>
      <c r="W1973" s="780"/>
      <c r="X1973" s="881">
        <v>1969</v>
      </c>
      <c r="Y1973" s="881" t="s">
        <v>2248</v>
      </c>
      <c r="Z1973" s="881" t="s">
        <v>4529</v>
      </c>
      <c r="AA1973" s="882">
        <f>$S$1*P!AA1973</f>
        <v>5.7237903225806457E-2</v>
      </c>
      <c r="AB1973" s="780"/>
      <c r="AC1973" s="881">
        <v>1969</v>
      </c>
      <c r="AD1973" s="881" t="s">
        <v>4573</v>
      </c>
      <c r="AE1973" s="881" t="s">
        <v>3025</v>
      </c>
      <c r="AF1973" s="882">
        <f>$S$1*P!AF1973</f>
        <v>0</v>
      </c>
    </row>
    <row r="1974" spans="19:32" x14ac:dyDescent="0.35">
      <c r="S1974" s="782">
        <v>1970</v>
      </c>
      <c r="T1974" s="782" t="s">
        <v>4284</v>
      </c>
      <c r="U1974" s="782" t="s">
        <v>3993</v>
      </c>
      <c r="V1974" s="797">
        <f>$S$1*P!V1974</f>
        <v>2.4506048387096777E-7</v>
      </c>
      <c r="W1974" s="780"/>
      <c r="X1974" s="881">
        <v>1970</v>
      </c>
      <c r="Y1974" s="881" t="s">
        <v>2248</v>
      </c>
      <c r="Z1974" s="881" t="s">
        <v>3251</v>
      </c>
      <c r="AA1974" s="882">
        <f>$S$1*P!AA1974</f>
        <v>3.2660000000000002E-2</v>
      </c>
      <c r="AB1974" s="780"/>
      <c r="AC1974" s="782">
        <v>1970</v>
      </c>
      <c r="AD1974" s="782" t="s">
        <v>4573</v>
      </c>
      <c r="AE1974" s="782" t="s">
        <v>3722</v>
      </c>
      <c r="AF1974" s="781">
        <f>$S$1*P!AF1974</f>
        <v>1.4429435483870968E-2</v>
      </c>
    </row>
    <row r="1975" spans="19:32" x14ac:dyDescent="0.35">
      <c r="S1975" s="782">
        <v>1971</v>
      </c>
      <c r="T1975" s="782" t="s">
        <v>4284</v>
      </c>
      <c r="U1975" s="782" t="s">
        <v>3115</v>
      </c>
      <c r="V1975" s="797">
        <f>$S$1*P!V1975</f>
        <v>0.10145161290322581</v>
      </c>
      <c r="W1975" s="780"/>
      <c r="X1975" s="782">
        <v>1971</v>
      </c>
      <c r="Y1975" s="782" t="s">
        <v>2248</v>
      </c>
      <c r="Z1975" s="782" t="s">
        <v>3251</v>
      </c>
      <c r="AA1975" s="781">
        <f>$S$1*P!AA1975</f>
        <v>2.1078629032258065E-3</v>
      </c>
      <c r="AB1975" s="780"/>
      <c r="AC1975" s="782">
        <v>1971</v>
      </c>
      <c r="AD1975" s="782" t="s">
        <v>4573</v>
      </c>
      <c r="AE1975" s="782" t="s">
        <v>3718</v>
      </c>
      <c r="AF1975" s="781">
        <f>$S$1*P!AF1975</f>
        <v>1.6588709677419355</v>
      </c>
    </row>
    <row r="1976" spans="19:32" x14ac:dyDescent="0.35">
      <c r="S1976" s="881">
        <v>1972</v>
      </c>
      <c r="T1976" s="881" t="s">
        <v>4284</v>
      </c>
      <c r="U1976" s="881" t="s">
        <v>3115</v>
      </c>
      <c r="V1976" s="883">
        <f>$S$1*P!V1976</f>
        <v>0</v>
      </c>
      <c r="W1976" s="780"/>
      <c r="X1976" s="782">
        <v>1972</v>
      </c>
      <c r="Y1976" s="782" t="s">
        <v>2248</v>
      </c>
      <c r="Z1976" s="782" t="s">
        <v>5221</v>
      </c>
      <c r="AA1976" s="781">
        <f>$S$1*P!AA1976</f>
        <v>5.4153225806451621E-4</v>
      </c>
      <c r="AB1976" s="780"/>
      <c r="AC1976" s="782">
        <v>1972</v>
      </c>
      <c r="AD1976" s="782" t="s">
        <v>4573</v>
      </c>
      <c r="AE1976" s="782" t="s">
        <v>3712</v>
      </c>
      <c r="AF1976" s="781">
        <f>$S$1*P!AF1976</f>
        <v>6.4435483870967749</v>
      </c>
    </row>
    <row r="1977" spans="19:32" x14ac:dyDescent="0.35">
      <c r="S1977" s="881">
        <v>1973</v>
      </c>
      <c r="T1977" s="881" t="s">
        <v>4284</v>
      </c>
      <c r="U1977" s="881" t="s">
        <v>3113</v>
      </c>
      <c r="V1977" s="883">
        <f>$S$1*P!V1977</f>
        <v>4.3608000000000002</v>
      </c>
      <c r="W1977" s="780"/>
      <c r="X1977" s="881">
        <v>1973</v>
      </c>
      <c r="Y1977" s="881" t="s">
        <v>2248</v>
      </c>
      <c r="Z1977" s="881" t="s">
        <v>4528</v>
      </c>
      <c r="AA1977" s="882">
        <f>$S$1*P!AA1977</f>
        <v>2.2997983870967745E-4</v>
      </c>
      <c r="AB1977" s="780"/>
      <c r="AC1977" s="782">
        <v>1973</v>
      </c>
      <c r="AD1977" s="782" t="s">
        <v>4573</v>
      </c>
      <c r="AE1977" s="782" t="s">
        <v>3023</v>
      </c>
      <c r="AF1977" s="781">
        <f>$S$1*P!AF1977</f>
        <v>2.4060483870967743E-2</v>
      </c>
    </row>
    <row r="1978" spans="19:32" x14ac:dyDescent="0.35">
      <c r="S1978" s="782">
        <v>1974</v>
      </c>
      <c r="T1978" s="782" t="s">
        <v>4284</v>
      </c>
      <c r="U1978" s="782" t="s">
        <v>3112</v>
      </c>
      <c r="V1978" s="797">
        <f>$S$1*P!V1978</f>
        <v>1.4018145161290324E-7</v>
      </c>
      <c r="W1978" s="780"/>
      <c r="X1978" s="782">
        <v>1974</v>
      </c>
      <c r="Y1978" s="782" t="s">
        <v>2248</v>
      </c>
      <c r="Z1978" s="782" t="s">
        <v>5220</v>
      </c>
      <c r="AA1978" s="781">
        <f>$S$1*P!AA1978</f>
        <v>1.4120967741935485E-3</v>
      </c>
      <c r="AB1978" s="780"/>
      <c r="AC1978" s="881">
        <v>1974</v>
      </c>
      <c r="AD1978" s="881" t="s">
        <v>4573</v>
      </c>
      <c r="AE1978" s="881" t="s">
        <v>3023</v>
      </c>
      <c r="AF1978" s="882">
        <f>$S$1*P!AF1978</f>
        <v>0</v>
      </c>
    </row>
    <row r="1979" spans="19:32" x14ac:dyDescent="0.35">
      <c r="S1979" s="881">
        <v>1975</v>
      </c>
      <c r="T1979" s="881" t="s">
        <v>4284</v>
      </c>
      <c r="U1979" s="881" t="s">
        <v>3112</v>
      </c>
      <c r="V1979" s="883">
        <f>$S$1*P!V1979</f>
        <v>3.9835999999999996E-2</v>
      </c>
      <c r="W1979" s="780"/>
      <c r="X1979" s="881">
        <v>1975</v>
      </c>
      <c r="Y1979" s="881" t="s">
        <v>2248</v>
      </c>
      <c r="Z1979" s="881" t="s">
        <v>3249</v>
      </c>
      <c r="AA1979" s="882">
        <f>$S$1*P!AA1979</f>
        <v>0.10856</v>
      </c>
      <c r="AB1979" s="780"/>
      <c r="AC1979" s="782">
        <v>1975</v>
      </c>
      <c r="AD1979" s="782" t="s">
        <v>4573</v>
      </c>
      <c r="AE1979" s="782" t="s">
        <v>3704</v>
      </c>
      <c r="AF1979" s="781">
        <f>$S$1*P!AF1979</f>
        <v>2.7933467741935486E-3</v>
      </c>
    </row>
    <row r="1980" spans="19:32" x14ac:dyDescent="0.35">
      <c r="S1980" s="881">
        <v>1976</v>
      </c>
      <c r="T1980" s="881" t="s">
        <v>4284</v>
      </c>
      <c r="U1980" s="881" t="s">
        <v>3111</v>
      </c>
      <c r="V1980" s="883">
        <f>$S$1*P!V1980</f>
        <v>0</v>
      </c>
      <c r="W1980" s="780"/>
      <c r="X1980" s="881">
        <v>1976</v>
      </c>
      <c r="Y1980" s="881" t="s">
        <v>2248</v>
      </c>
      <c r="Z1980" s="881" t="s">
        <v>3249</v>
      </c>
      <c r="AA1980" s="882">
        <f>$S$1*P!AA1980</f>
        <v>7.0947580645161289E-5</v>
      </c>
      <c r="AB1980" s="780"/>
      <c r="AC1980" s="782">
        <v>1976</v>
      </c>
      <c r="AD1980" s="782" t="s">
        <v>4573</v>
      </c>
      <c r="AE1980" s="782" t="s">
        <v>3700</v>
      </c>
      <c r="AF1980" s="781">
        <f>$S$1*P!AF1980</f>
        <v>6.6491935483870973E-3</v>
      </c>
    </row>
    <row r="1981" spans="19:32" x14ac:dyDescent="0.35">
      <c r="S1981" s="881">
        <v>1977</v>
      </c>
      <c r="T1981" s="881" t="s">
        <v>4284</v>
      </c>
      <c r="U1981" s="881" t="s">
        <v>3110</v>
      </c>
      <c r="V1981" s="883">
        <f>$S$1*P!V1981</f>
        <v>0</v>
      </c>
      <c r="W1981" s="780"/>
      <c r="X1981" s="881">
        <v>1977</v>
      </c>
      <c r="Y1981" s="881" t="s">
        <v>2248</v>
      </c>
      <c r="Z1981" s="881" t="s">
        <v>4527</v>
      </c>
      <c r="AA1981" s="882">
        <f>$S$1*P!AA1981</f>
        <v>0.25431451612903228</v>
      </c>
      <c r="AB1981" s="780"/>
      <c r="AC1981" s="782">
        <v>1977</v>
      </c>
      <c r="AD1981" s="782" t="s">
        <v>4573</v>
      </c>
      <c r="AE1981" s="782" t="s">
        <v>3021</v>
      </c>
      <c r="AF1981" s="781">
        <f>$S$1*P!AF1981</f>
        <v>1.8542338709677422E-3</v>
      </c>
    </row>
    <row r="1982" spans="19:32" x14ac:dyDescent="0.35">
      <c r="S1982" s="782">
        <v>1978</v>
      </c>
      <c r="T1982" s="782" t="s">
        <v>4284</v>
      </c>
      <c r="U1982" s="782" t="s">
        <v>3987</v>
      </c>
      <c r="V1982" s="797">
        <f>$S$1*P!V1982</f>
        <v>4.1471774193548389E-2</v>
      </c>
      <c r="W1982" s="780"/>
      <c r="X1982" s="782">
        <v>1978</v>
      </c>
      <c r="Y1982" s="782" t="s">
        <v>2248</v>
      </c>
      <c r="Z1982" s="782" t="s">
        <v>5219</v>
      </c>
      <c r="AA1982" s="781">
        <f>$S$1*P!AA1982</f>
        <v>6.6491935483870967E-4</v>
      </c>
      <c r="AB1982" s="780"/>
      <c r="AC1982" s="881">
        <v>1978</v>
      </c>
      <c r="AD1982" s="881" t="s">
        <v>4573</v>
      </c>
      <c r="AE1982" s="881" t="s">
        <v>3021</v>
      </c>
      <c r="AF1982" s="882">
        <f>$S$1*P!AF1982</f>
        <v>1.9595999999999999E-2</v>
      </c>
    </row>
    <row r="1983" spans="19:32" x14ac:dyDescent="0.35">
      <c r="S1983" s="782">
        <v>1979</v>
      </c>
      <c r="T1983" s="782" t="s">
        <v>4284</v>
      </c>
      <c r="U1983" s="782" t="s">
        <v>3984</v>
      </c>
      <c r="V1983" s="797">
        <f>$S$1*P!V1983</f>
        <v>6.6491935483870973E-2</v>
      </c>
      <c r="W1983" s="780"/>
      <c r="X1983" s="881">
        <v>1979</v>
      </c>
      <c r="Y1983" s="881" t="s">
        <v>2248</v>
      </c>
      <c r="Z1983" s="881" t="s">
        <v>3248</v>
      </c>
      <c r="AA1983" s="882">
        <f>$S$1*P!AA1983</f>
        <v>0.88595999999999997</v>
      </c>
      <c r="AB1983" s="780"/>
      <c r="AC1983" s="782">
        <v>1979</v>
      </c>
      <c r="AD1983" s="782" t="s">
        <v>4573</v>
      </c>
      <c r="AE1983" s="782" t="s">
        <v>3020</v>
      </c>
      <c r="AF1983" s="781">
        <f>$S$1*P!AF1983</f>
        <v>3.1566532258064518E-3</v>
      </c>
    </row>
    <row r="1984" spans="19:32" x14ac:dyDescent="0.35">
      <c r="S1984" s="861">
        <v>1980</v>
      </c>
      <c r="T1984" s="861" t="s">
        <v>4284</v>
      </c>
      <c r="U1984" s="861" t="s">
        <v>5218</v>
      </c>
      <c r="V1984" s="862">
        <f>$S$1*P!V1984</f>
        <v>3.2260499999999999</v>
      </c>
      <c r="W1984" s="780"/>
      <c r="X1984" s="881">
        <v>1980</v>
      </c>
      <c r="Y1984" s="881" t="s">
        <v>2248</v>
      </c>
      <c r="Z1984" s="881" t="s">
        <v>4526</v>
      </c>
      <c r="AA1984" s="882">
        <f>$S$1*P!AA1984</f>
        <v>1.0008064516129032E-3</v>
      </c>
      <c r="AB1984" s="780"/>
      <c r="AC1984" s="881">
        <v>1980</v>
      </c>
      <c r="AD1984" s="881" t="s">
        <v>4573</v>
      </c>
      <c r="AE1984" s="881" t="s">
        <v>3020</v>
      </c>
      <c r="AF1984" s="882">
        <f>$S$1*P!AF1984</f>
        <v>3.8640000000000001E-2</v>
      </c>
    </row>
    <row r="1985" spans="19:32" x14ac:dyDescent="0.35">
      <c r="S1985" s="782">
        <v>1981</v>
      </c>
      <c r="T1985" s="782" t="s">
        <v>4284</v>
      </c>
      <c r="U1985" s="782" t="s">
        <v>3983</v>
      </c>
      <c r="V1985" s="797">
        <f>$S$1*P!V1985</f>
        <v>3.0127016129032259E-4</v>
      </c>
      <c r="W1985" s="780"/>
      <c r="X1985" s="782">
        <v>1981</v>
      </c>
      <c r="Y1985" s="782" t="s">
        <v>2248</v>
      </c>
      <c r="Z1985" s="782" t="s">
        <v>5217</v>
      </c>
      <c r="AA1985" s="781">
        <f>$S$1*P!AA1985</f>
        <v>8.5685483870967744E-4</v>
      </c>
      <c r="AB1985" s="780"/>
      <c r="AC1985" s="881">
        <v>1981</v>
      </c>
      <c r="AD1985" s="881" t="s">
        <v>4573</v>
      </c>
      <c r="AE1985" s="881" t="s">
        <v>3018</v>
      </c>
      <c r="AF1985" s="882">
        <f>$S$1*P!AF1985</f>
        <v>8.2431999999999991E-2</v>
      </c>
    </row>
    <row r="1986" spans="19:32" x14ac:dyDescent="0.35">
      <c r="S1986" s="782">
        <v>1982</v>
      </c>
      <c r="T1986" s="782" t="s">
        <v>4284</v>
      </c>
      <c r="U1986" s="782" t="s">
        <v>3982</v>
      </c>
      <c r="V1986" s="797">
        <f>$S$1*P!V1986</f>
        <v>3.5302419354838717E-8</v>
      </c>
      <c r="W1986" s="780"/>
      <c r="X1986" s="881">
        <v>1982</v>
      </c>
      <c r="Y1986" s="881" t="s">
        <v>2248</v>
      </c>
      <c r="Z1986" s="881" t="s">
        <v>3246</v>
      </c>
      <c r="AA1986" s="882">
        <f>$S$1*P!AA1986</f>
        <v>0</v>
      </c>
      <c r="AB1986" s="780"/>
      <c r="AC1986" s="881">
        <v>1982</v>
      </c>
      <c r="AD1986" s="881" t="s">
        <v>4573</v>
      </c>
      <c r="AE1986" s="881" t="s">
        <v>3017</v>
      </c>
      <c r="AF1986" s="882">
        <f>$S$1*P!AF1986</f>
        <v>1.5640000000000001E-2</v>
      </c>
    </row>
    <row r="1987" spans="19:32" x14ac:dyDescent="0.35">
      <c r="S1987" s="782">
        <v>1983</v>
      </c>
      <c r="T1987" s="782" t="s">
        <v>4284</v>
      </c>
      <c r="U1987" s="782" t="s">
        <v>3979</v>
      </c>
      <c r="V1987" s="797">
        <f>$S$1*P!V1987</f>
        <v>2.4026209677419356E-7</v>
      </c>
      <c r="W1987" s="780"/>
      <c r="X1987" s="782">
        <v>1983</v>
      </c>
      <c r="Y1987" s="782" t="s">
        <v>2248</v>
      </c>
      <c r="Z1987" s="782" t="s">
        <v>3246</v>
      </c>
      <c r="AA1987" s="781">
        <f>$S$1*P!AA1987</f>
        <v>1.9639112903225807E-2</v>
      </c>
      <c r="AB1987" s="780"/>
      <c r="AC1987" s="881">
        <v>1983</v>
      </c>
      <c r="AD1987" s="881" t="s">
        <v>4573</v>
      </c>
      <c r="AE1987" s="881" t="s">
        <v>3015</v>
      </c>
      <c r="AF1987" s="882">
        <f>$S$1*P!AF1987</f>
        <v>7.9028000000000001E-2</v>
      </c>
    </row>
    <row r="1988" spans="19:32" x14ac:dyDescent="0.35">
      <c r="S1988" s="782">
        <v>1984</v>
      </c>
      <c r="T1988" s="782" t="s">
        <v>4284</v>
      </c>
      <c r="U1988" s="782" t="s">
        <v>3978</v>
      </c>
      <c r="V1988" s="797">
        <f>$S$1*P!V1988</f>
        <v>7.6088709677419361E-4</v>
      </c>
      <c r="W1988" s="780"/>
      <c r="X1988" s="782">
        <v>1984</v>
      </c>
      <c r="Y1988" s="782" t="s">
        <v>2248</v>
      </c>
      <c r="Z1988" s="782" t="s">
        <v>5216</v>
      </c>
      <c r="AA1988" s="781">
        <f>$S$1*P!AA1988</f>
        <v>1.394959677419355E-4</v>
      </c>
      <c r="AB1988" s="780"/>
      <c r="AC1988" s="782">
        <v>1984</v>
      </c>
      <c r="AD1988" s="782" t="s">
        <v>4573</v>
      </c>
      <c r="AE1988" s="782" t="s">
        <v>3688</v>
      </c>
      <c r="AF1988" s="781">
        <f>$S$1*P!AF1988</f>
        <v>8.3971774193548399E-2</v>
      </c>
    </row>
    <row r="1989" spans="19:32" x14ac:dyDescent="0.35">
      <c r="S1989" s="782">
        <v>1985</v>
      </c>
      <c r="T1989" s="782" t="s">
        <v>4284</v>
      </c>
      <c r="U1989" s="782" t="s">
        <v>3977</v>
      </c>
      <c r="V1989" s="797">
        <f>$S$1*P!V1989</f>
        <v>1.5629032258064517E-9</v>
      </c>
      <c r="W1989" s="780"/>
      <c r="X1989" s="881">
        <v>1985</v>
      </c>
      <c r="Y1989" s="881" t="s">
        <v>2248</v>
      </c>
      <c r="Z1989" s="881" t="s">
        <v>3244</v>
      </c>
      <c r="AA1989" s="882">
        <f>$S$1*P!AA1989</f>
        <v>0.17480000000000001</v>
      </c>
      <c r="AB1989" s="780"/>
      <c r="AC1989" s="782">
        <v>1985</v>
      </c>
      <c r="AD1989" s="782" t="s">
        <v>4573</v>
      </c>
      <c r="AE1989" s="782" t="s">
        <v>3014</v>
      </c>
      <c r="AF1989" s="781">
        <f>$S$1*P!AF1989</f>
        <v>7.7459677419354847E-2</v>
      </c>
    </row>
    <row r="1990" spans="19:32" x14ac:dyDescent="0.35">
      <c r="S1990" s="782">
        <v>1986</v>
      </c>
      <c r="T1990" s="782" t="s">
        <v>4284</v>
      </c>
      <c r="U1990" s="782" t="s">
        <v>3974</v>
      </c>
      <c r="V1990" s="797">
        <f>$S$1*P!V1990</f>
        <v>2.2689516129032261E-4</v>
      </c>
      <c r="W1990" s="780"/>
      <c r="X1990" s="881">
        <v>1986</v>
      </c>
      <c r="Y1990" s="881" t="s">
        <v>2248</v>
      </c>
      <c r="Z1990" s="881" t="s">
        <v>3244</v>
      </c>
      <c r="AA1990" s="882">
        <f>$S$1*P!AA1990</f>
        <v>2.3889112903225808E-6</v>
      </c>
      <c r="AB1990" s="780"/>
      <c r="AC1990" s="881">
        <v>1986</v>
      </c>
      <c r="AD1990" s="881" t="s">
        <v>4573</v>
      </c>
      <c r="AE1990" s="881" t="s">
        <v>3014</v>
      </c>
      <c r="AF1990" s="882">
        <f>$S$1*P!AF1990</f>
        <v>0</v>
      </c>
    </row>
    <row r="1991" spans="19:32" x14ac:dyDescent="0.35">
      <c r="S1991" s="782">
        <v>1987</v>
      </c>
      <c r="T1991" s="782" t="s">
        <v>4284</v>
      </c>
      <c r="U1991" s="782" t="s">
        <v>3972</v>
      </c>
      <c r="V1991" s="797">
        <f>$S$1*P!V1991</f>
        <v>3.4171370967741939E-3</v>
      </c>
      <c r="W1991" s="780"/>
      <c r="X1991" s="782">
        <v>1987</v>
      </c>
      <c r="Y1991" s="782" t="s">
        <v>2248</v>
      </c>
      <c r="Z1991" s="782" t="s">
        <v>4525</v>
      </c>
      <c r="AA1991" s="781">
        <f>$S$1*P!AA1991</f>
        <v>2.7487903225806454E-3</v>
      </c>
      <c r="AB1991" s="780"/>
      <c r="AC1991" s="782">
        <v>1987</v>
      </c>
      <c r="AD1991" s="782" t="s">
        <v>4573</v>
      </c>
      <c r="AE1991" s="782" t="s">
        <v>3680</v>
      </c>
      <c r="AF1991" s="781">
        <f>$S$1*P!AF1991</f>
        <v>17.822580645161292</v>
      </c>
    </row>
    <row r="1992" spans="19:32" x14ac:dyDescent="0.35">
      <c r="S1992" s="782">
        <v>1988</v>
      </c>
      <c r="T1992" s="782" t="s">
        <v>4284</v>
      </c>
      <c r="U1992" s="782" t="s">
        <v>3970</v>
      </c>
      <c r="V1992" s="797">
        <f>$S$1*P!V1992</f>
        <v>1.7479838709677422E-8</v>
      </c>
      <c r="W1992" s="780"/>
      <c r="X1992" s="782">
        <v>1988</v>
      </c>
      <c r="Y1992" s="782" t="s">
        <v>2248</v>
      </c>
      <c r="Z1992" s="782" t="s">
        <v>5215</v>
      </c>
      <c r="AA1992" s="781">
        <f>$S$1*P!AA1992</f>
        <v>2.5362903225806453E-2</v>
      </c>
      <c r="AB1992" s="780"/>
      <c r="AC1992" s="782">
        <v>1988</v>
      </c>
      <c r="AD1992" s="782" t="s">
        <v>4573</v>
      </c>
      <c r="AE1992" s="782" t="s">
        <v>3676</v>
      </c>
      <c r="AF1992" s="781">
        <f>$S$1*P!AF1992</f>
        <v>1.1858870967741937</v>
      </c>
    </row>
    <row r="1993" spans="19:32" x14ac:dyDescent="0.35">
      <c r="S1993" s="782">
        <v>1989</v>
      </c>
      <c r="T1993" s="782" t="s">
        <v>4284</v>
      </c>
      <c r="U1993" s="782" t="s">
        <v>3967</v>
      </c>
      <c r="V1993" s="797">
        <f>$S$1*P!V1993</f>
        <v>5.0725806451612909E-3</v>
      </c>
      <c r="W1993" s="780"/>
      <c r="X1993" s="881">
        <v>1989</v>
      </c>
      <c r="Y1993" s="881" t="s">
        <v>2248</v>
      </c>
      <c r="Z1993" s="881" t="s">
        <v>3243</v>
      </c>
      <c r="AA1993" s="882">
        <f>$S$1*P!AA1993</f>
        <v>1.6927999999999999E-3</v>
      </c>
      <c r="AB1993" s="780"/>
      <c r="AC1993" s="782">
        <v>1989</v>
      </c>
      <c r="AD1993" s="782" t="s">
        <v>4573</v>
      </c>
      <c r="AE1993" s="782" t="s">
        <v>3672</v>
      </c>
      <c r="AF1993" s="781">
        <f>$S$1*P!AF1993</f>
        <v>4.0100806451612909</v>
      </c>
    </row>
    <row r="1994" spans="19:32" x14ac:dyDescent="0.35">
      <c r="S1994" s="782">
        <v>1990</v>
      </c>
      <c r="T1994" s="782" t="s">
        <v>4284</v>
      </c>
      <c r="U1994" s="782" t="s">
        <v>3966</v>
      </c>
      <c r="V1994" s="797">
        <f>$S$1*P!V1994</f>
        <v>1.0110887096774194E-2</v>
      </c>
      <c r="W1994" s="780"/>
      <c r="X1994" s="881">
        <v>1990</v>
      </c>
      <c r="Y1994" s="881" t="s">
        <v>2248</v>
      </c>
      <c r="Z1994" s="881" t="s">
        <v>3243</v>
      </c>
      <c r="AA1994" s="882">
        <f>$S$1*P!AA1994</f>
        <v>0.28310483870967745</v>
      </c>
      <c r="AB1994" s="780"/>
      <c r="AC1994" s="782">
        <v>1990</v>
      </c>
      <c r="AD1994" s="782" t="s">
        <v>4573</v>
      </c>
      <c r="AE1994" s="782" t="s">
        <v>3666</v>
      </c>
      <c r="AF1994" s="781">
        <f>$S$1*P!AF1994</f>
        <v>7.4375000000000004E-6</v>
      </c>
    </row>
    <row r="1995" spans="19:32" x14ac:dyDescent="0.35">
      <c r="S1995" s="782">
        <v>1991</v>
      </c>
      <c r="T1995" s="782" t="s">
        <v>4284</v>
      </c>
      <c r="U1995" s="782" t="s">
        <v>3965</v>
      </c>
      <c r="V1995" s="797">
        <f>$S$1*P!V1995</f>
        <v>9.5967741935483885E-10</v>
      </c>
      <c r="W1995" s="780"/>
      <c r="X1995" s="782">
        <v>1991</v>
      </c>
      <c r="Y1995" s="782" t="s">
        <v>2248</v>
      </c>
      <c r="Z1995" s="782" t="s">
        <v>5214</v>
      </c>
      <c r="AA1995" s="781">
        <f>$S$1*P!AA1995</f>
        <v>5.4838709677419359E-4</v>
      </c>
      <c r="AB1995" s="780"/>
      <c r="AC1995" s="782">
        <v>1991</v>
      </c>
      <c r="AD1995" s="782" t="s">
        <v>4573</v>
      </c>
      <c r="AE1995" s="782" t="s">
        <v>3662</v>
      </c>
      <c r="AF1995" s="781">
        <f>$S$1*P!AF1995</f>
        <v>7.0947580645161299</v>
      </c>
    </row>
    <row r="1996" spans="19:32" x14ac:dyDescent="0.35">
      <c r="S1996" s="782">
        <v>1992</v>
      </c>
      <c r="T1996" s="782" t="s">
        <v>4284</v>
      </c>
      <c r="U1996" s="782" t="s">
        <v>3964</v>
      </c>
      <c r="V1996" s="797">
        <f>$S$1*P!V1996</f>
        <v>6.0665322580645165E-2</v>
      </c>
      <c r="W1996" s="780"/>
      <c r="X1996" s="782">
        <v>1992</v>
      </c>
      <c r="Y1996" s="782" t="s">
        <v>2248</v>
      </c>
      <c r="Z1996" s="782" t="s">
        <v>4524</v>
      </c>
      <c r="AA1996" s="781">
        <f>$S$1*P!AA1996</f>
        <v>1.7377016129032259E-2</v>
      </c>
      <c r="AB1996" s="780"/>
      <c r="AC1996" s="782">
        <v>1992</v>
      </c>
      <c r="AD1996" s="782" t="s">
        <v>4573</v>
      </c>
      <c r="AE1996" s="782" t="s">
        <v>3659</v>
      </c>
      <c r="AF1996" s="781">
        <f>$S$1*P!AF1996</f>
        <v>0.12133064516129033</v>
      </c>
    </row>
    <row r="1997" spans="19:32" x14ac:dyDescent="0.35">
      <c r="S1997" s="782">
        <v>1993</v>
      </c>
      <c r="T1997" s="782" t="s">
        <v>4284</v>
      </c>
      <c r="U1997" s="782" t="s">
        <v>3963</v>
      </c>
      <c r="V1997" s="797">
        <f>$S$1*P!V1997</f>
        <v>5.9979838709677425E-3</v>
      </c>
      <c r="W1997" s="780"/>
      <c r="X1997" s="881">
        <v>1993</v>
      </c>
      <c r="Y1997" s="881" t="s">
        <v>2248</v>
      </c>
      <c r="Z1997" s="881" t="s">
        <v>3241</v>
      </c>
      <c r="AA1997" s="882">
        <f>$S$1*P!AA1997</f>
        <v>0</v>
      </c>
      <c r="AB1997" s="780"/>
      <c r="AC1997" s="782">
        <v>1993</v>
      </c>
      <c r="AD1997" s="782" t="s">
        <v>4573</v>
      </c>
      <c r="AE1997" s="782" t="s">
        <v>3653</v>
      </c>
      <c r="AF1997" s="781">
        <f>$S$1*P!AF1997</f>
        <v>6.7520161290322589</v>
      </c>
    </row>
    <row r="1998" spans="19:32" x14ac:dyDescent="0.35">
      <c r="S1998" s="782">
        <v>1994</v>
      </c>
      <c r="T1998" s="782" t="s">
        <v>4284</v>
      </c>
      <c r="U1998" s="782" t="s">
        <v>3108</v>
      </c>
      <c r="V1998" s="797">
        <f>$S$1*P!V1998</f>
        <v>6.2036290322580647E-3</v>
      </c>
      <c r="W1998" s="780"/>
      <c r="X1998" s="782">
        <v>1994</v>
      </c>
      <c r="Y1998" s="782" t="s">
        <v>2248</v>
      </c>
      <c r="Z1998" s="782" t="s">
        <v>5213</v>
      </c>
      <c r="AA1998" s="781">
        <f>$S$1*P!AA1998</f>
        <v>3.0504032258064518E-2</v>
      </c>
      <c r="AB1998" s="780"/>
      <c r="AC1998" s="782">
        <v>1994</v>
      </c>
      <c r="AD1998" s="782" t="s">
        <v>4573</v>
      </c>
      <c r="AE1998" s="782" t="s">
        <v>3650</v>
      </c>
      <c r="AF1998" s="781">
        <f>$S$1*P!AF1998</f>
        <v>1.6828629032258067</v>
      </c>
    </row>
    <row r="1999" spans="19:32" x14ac:dyDescent="0.35">
      <c r="S1999" s="881">
        <v>1995</v>
      </c>
      <c r="T1999" s="881" t="s">
        <v>4284</v>
      </c>
      <c r="U1999" s="881" t="s">
        <v>3108</v>
      </c>
      <c r="V1999" s="883">
        <f>$S$1*P!V1999</f>
        <v>0</v>
      </c>
      <c r="W1999" s="780"/>
      <c r="X1999" s="881">
        <v>1995</v>
      </c>
      <c r="Y1999" s="881" t="s">
        <v>2248</v>
      </c>
      <c r="Z1999" s="881" t="s">
        <v>4523</v>
      </c>
      <c r="AA1999" s="882">
        <f>$S$1*P!AA1999</f>
        <v>7.8487903225806459</v>
      </c>
      <c r="AB1999" s="780"/>
      <c r="AC1999" s="782">
        <v>1995</v>
      </c>
      <c r="AD1999" s="782" t="s">
        <v>4573</v>
      </c>
      <c r="AE1999" s="782" t="s">
        <v>3647</v>
      </c>
      <c r="AF1999" s="781">
        <f>$S$1*P!AF1999</f>
        <v>1.9673387096774195</v>
      </c>
    </row>
    <row r="2000" spans="19:32" x14ac:dyDescent="0.35">
      <c r="S2000" s="782">
        <v>1996</v>
      </c>
      <c r="T2000" s="782" t="s">
        <v>4284</v>
      </c>
      <c r="U2000" s="782" t="s">
        <v>3107</v>
      </c>
      <c r="V2000" s="797">
        <f>$S$1*P!V2000</f>
        <v>6.409274193548388E-2</v>
      </c>
      <c r="W2000" s="780"/>
      <c r="X2000" s="881">
        <v>1996</v>
      </c>
      <c r="Y2000" s="881" t="s">
        <v>2248</v>
      </c>
      <c r="Z2000" s="881" t="s">
        <v>4522</v>
      </c>
      <c r="AA2000" s="882">
        <f>$S$1*P!AA2000</f>
        <v>1.5697580645161292E-2</v>
      </c>
      <c r="AB2000" s="780"/>
      <c r="AC2000" s="782">
        <v>1996</v>
      </c>
      <c r="AD2000" s="782" t="s">
        <v>4573</v>
      </c>
      <c r="AE2000" s="782" t="s">
        <v>3641</v>
      </c>
      <c r="AF2000" s="781">
        <f>$S$1*P!AF2000</f>
        <v>1.1310483870967742</v>
      </c>
    </row>
    <row r="2001" spans="19:32" x14ac:dyDescent="0.35">
      <c r="S2001" s="881">
        <v>1997</v>
      </c>
      <c r="T2001" s="881" t="s">
        <v>4284</v>
      </c>
      <c r="U2001" s="881" t="s">
        <v>3107</v>
      </c>
      <c r="V2001" s="883">
        <f>$S$1*P!V2001</f>
        <v>0</v>
      </c>
      <c r="W2001" s="780"/>
      <c r="X2001" s="881">
        <v>1997</v>
      </c>
      <c r="Y2001" s="881" t="s">
        <v>2248</v>
      </c>
      <c r="Z2001" s="881" t="s">
        <v>4521</v>
      </c>
      <c r="AA2001" s="882">
        <f>$S$1*P!AA2001</f>
        <v>0.42842741935483875</v>
      </c>
      <c r="AB2001" s="780"/>
      <c r="AC2001" s="782">
        <v>1997</v>
      </c>
      <c r="AD2001" s="782" t="s">
        <v>4573</v>
      </c>
      <c r="AE2001" s="782" t="s">
        <v>3637</v>
      </c>
      <c r="AF2001" s="781">
        <f>$S$1*P!AF2001</f>
        <v>2.2072580645161293</v>
      </c>
    </row>
    <row r="2002" spans="19:32" x14ac:dyDescent="0.35">
      <c r="S2002" s="881">
        <v>1998</v>
      </c>
      <c r="T2002" s="881" t="s">
        <v>4284</v>
      </c>
      <c r="U2002" s="881" t="s">
        <v>3105</v>
      </c>
      <c r="V2002" s="883">
        <f>$S$1*P!V2002</f>
        <v>9.4759999999999997E-2</v>
      </c>
      <c r="W2002" s="780"/>
      <c r="X2002" s="782">
        <v>1998</v>
      </c>
      <c r="Y2002" s="782" t="s">
        <v>2248</v>
      </c>
      <c r="Z2002" s="782" t="s">
        <v>5212</v>
      </c>
      <c r="AA2002" s="781">
        <f>$S$1*P!AA2002</f>
        <v>1.6245967741935485E-2</v>
      </c>
      <c r="AB2002" s="780"/>
      <c r="AC2002" s="782">
        <v>1998</v>
      </c>
      <c r="AD2002" s="782" t="s">
        <v>4573</v>
      </c>
      <c r="AE2002" s="782" t="s">
        <v>3634</v>
      </c>
      <c r="AF2002" s="781">
        <f>$S$1*P!AF2002</f>
        <v>3907.2580645161293</v>
      </c>
    </row>
    <row r="2003" spans="19:32" x14ac:dyDescent="0.35">
      <c r="S2003" s="881">
        <v>1999</v>
      </c>
      <c r="T2003" s="881" t="s">
        <v>4284</v>
      </c>
      <c r="U2003" s="881" t="s">
        <v>3103</v>
      </c>
      <c r="V2003" s="883">
        <f>$S$1*P!V2003</f>
        <v>0</v>
      </c>
      <c r="W2003" s="780"/>
      <c r="X2003" s="881">
        <v>1999</v>
      </c>
      <c r="Y2003" s="881" t="s">
        <v>2248</v>
      </c>
      <c r="Z2003" s="881" t="s">
        <v>3240</v>
      </c>
      <c r="AA2003" s="882">
        <f>$S$1*P!AA2003</f>
        <v>0</v>
      </c>
      <c r="AB2003" s="780"/>
      <c r="AC2003" s="782">
        <v>1999</v>
      </c>
      <c r="AD2003" s="782" t="s">
        <v>4573</v>
      </c>
      <c r="AE2003" s="782" t="s">
        <v>3628</v>
      </c>
      <c r="AF2003" s="781">
        <f>$S$1*P!AF2003</f>
        <v>3.770161290322581</v>
      </c>
    </row>
    <row r="2004" spans="19:32" x14ac:dyDescent="0.35">
      <c r="S2004" s="782">
        <v>2000</v>
      </c>
      <c r="T2004" s="782" t="s">
        <v>4284</v>
      </c>
      <c r="U2004" s="782" t="s">
        <v>3962</v>
      </c>
      <c r="V2004" s="797">
        <f>$S$1*P!V2004</f>
        <v>6.7862903225806457E-3</v>
      </c>
      <c r="W2004" s="780"/>
      <c r="X2004" s="881">
        <v>2000</v>
      </c>
      <c r="Y2004" s="881" t="s">
        <v>2248</v>
      </c>
      <c r="Z2004" s="881" t="s">
        <v>3238</v>
      </c>
      <c r="AA2004" s="882">
        <f>$S$1*P!AA2004</f>
        <v>0</v>
      </c>
      <c r="AB2004" s="780"/>
      <c r="AC2004" s="782">
        <v>2000</v>
      </c>
      <c r="AD2004" s="782" t="s">
        <v>4573</v>
      </c>
      <c r="AE2004" s="782" t="s">
        <v>3012</v>
      </c>
      <c r="AF2004" s="781">
        <f>$S$1*P!AF2004</f>
        <v>6.7520161290322589</v>
      </c>
    </row>
    <row r="2005" spans="19:32" x14ac:dyDescent="0.35">
      <c r="S2005" s="782">
        <v>2001</v>
      </c>
      <c r="T2005" s="782" t="s">
        <v>4284</v>
      </c>
      <c r="U2005" s="782" t="s">
        <v>3961</v>
      </c>
      <c r="V2005" s="797">
        <f>$S$1*P!V2005</f>
        <v>5.8608870967741937E-5</v>
      </c>
      <c r="W2005" s="780"/>
      <c r="X2005" s="881">
        <v>2001</v>
      </c>
      <c r="Y2005" s="881" t="s">
        <v>2248</v>
      </c>
      <c r="Z2005" s="881" t="s">
        <v>3238</v>
      </c>
      <c r="AA2005" s="882">
        <f>$S$1*P!AA2005</f>
        <v>2.9441532258064522E-3</v>
      </c>
      <c r="AB2005" s="780"/>
      <c r="AC2005" s="881">
        <v>2001</v>
      </c>
      <c r="AD2005" s="881" t="s">
        <v>4573</v>
      </c>
      <c r="AE2005" s="881" t="s">
        <v>3012</v>
      </c>
      <c r="AF2005" s="882">
        <f>$S$1*P!AF2005</f>
        <v>0</v>
      </c>
    </row>
    <row r="2006" spans="19:32" x14ac:dyDescent="0.35">
      <c r="S2006" s="782">
        <v>2002</v>
      </c>
      <c r="T2006" s="782" t="s">
        <v>4284</v>
      </c>
      <c r="U2006" s="782" t="s">
        <v>3960</v>
      </c>
      <c r="V2006" s="797">
        <f>$S$1*P!V2006</f>
        <v>6.4435483870967737E-5</v>
      </c>
      <c r="W2006" s="780"/>
      <c r="X2006" s="782">
        <v>2002</v>
      </c>
      <c r="Y2006" s="782" t="s">
        <v>2248</v>
      </c>
      <c r="Z2006" s="782" t="s">
        <v>5211</v>
      </c>
      <c r="AA2006" s="781">
        <f>$S$1*P!AA2006</f>
        <v>1.5389112903225807E-3</v>
      </c>
      <c r="AB2006" s="780"/>
      <c r="AC2006" s="782">
        <v>2002</v>
      </c>
      <c r="AD2006" s="782" t="s">
        <v>4573</v>
      </c>
      <c r="AE2006" s="782" t="s">
        <v>3619</v>
      </c>
      <c r="AF2006" s="781">
        <f>$S$1*P!AF2006</f>
        <v>9.0141129032258078</v>
      </c>
    </row>
    <row r="2007" spans="19:32" x14ac:dyDescent="0.35">
      <c r="S2007" s="881">
        <v>2003</v>
      </c>
      <c r="T2007" s="881" t="s">
        <v>4284</v>
      </c>
      <c r="U2007" s="881" t="s">
        <v>3102</v>
      </c>
      <c r="V2007" s="883">
        <f>$S$1*P!V2007</f>
        <v>0</v>
      </c>
      <c r="W2007" s="780"/>
      <c r="X2007" s="881">
        <v>2003</v>
      </c>
      <c r="Y2007" s="881" t="s">
        <v>2248</v>
      </c>
      <c r="Z2007" s="881" t="s">
        <v>3237</v>
      </c>
      <c r="AA2007" s="882">
        <f>$S$1*P!AA2007</f>
        <v>0</v>
      </c>
      <c r="AB2007" s="780"/>
      <c r="AC2007" s="782">
        <v>2003</v>
      </c>
      <c r="AD2007" s="782" t="s">
        <v>4573</v>
      </c>
      <c r="AE2007" s="782" t="s">
        <v>3010</v>
      </c>
      <c r="AF2007" s="781">
        <f>$S$1*P!AF2007</f>
        <v>1199.5967741935485</v>
      </c>
    </row>
    <row r="2008" spans="19:32" x14ac:dyDescent="0.35">
      <c r="S2008" s="881">
        <v>2004</v>
      </c>
      <c r="T2008" s="881" t="s">
        <v>4284</v>
      </c>
      <c r="U2008" s="881" t="s">
        <v>3100</v>
      </c>
      <c r="V2008" s="883">
        <f>$S$1*P!V2008</f>
        <v>0</v>
      </c>
      <c r="W2008" s="780"/>
      <c r="X2008" s="782">
        <v>2004</v>
      </c>
      <c r="Y2008" s="782" t="s">
        <v>2248</v>
      </c>
      <c r="Z2008" s="782" t="s">
        <v>3237</v>
      </c>
      <c r="AA2008" s="781">
        <f>$S$1*P!AA2008</f>
        <v>0.24300403225806452</v>
      </c>
      <c r="AB2008" s="780"/>
      <c r="AC2008" s="881">
        <v>2004</v>
      </c>
      <c r="AD2008" s="881" t="s">
        <v>4573</v>
      </c>
      <c r="AE2008" s="881" t="s">
        <v>3010</v>
      </c>
      <c r="AF2008" s="882">
        <f>$S$1*P!AF2008</f>
        <v>0</v>
      </c>
    </row>
    <row r="2009" spans="19:32" x14ac:dyDescent="0.35">
      <c r="S2009" s="782">
        <v>2005</v>
      </c>
      <c r="T2009" s="782" t="s">
        <v>4284</v>
      </c>
      <c r="U2009" s="782" t="s">
        <v>3959</v>
      </c>
      <c r="V2009" s="797">
        <f>$S$1*P!V2009</f>
        <v>1.5217741935483873E-2</v>
      </c>
      <c r="W2009" s="780"/>
      <c r="X2009" s="782">
        <v>2005</v>
      </c>
      <c r="Y2009" s="782" t="s">
        <v>2248</v>
      </c>
      <c r="Z2009" s="782" t="s">
        <v>5210</v>
      </c>
      <c r="AA2009" s="781">
        <f>$S$1*P!AA2009</f>
        <v>6.8205645161290331E-3</v>
      </c>
      <c r="AB2009" s="780"/>
      <c r="AC2009" s="782">
        <v>2005</v>
      </c>
      <c r="AD2009" s="782" t="s">
        <v>4573</v>
      </c>
      <c r="AE2009" s="782" t="s">
        <v>3614</v>
      </c>
      <c r="AF2009" s="781">
        <f>$S$1*P!AF2009</f>
        <v>606.6532258064517</v>
      </c>
    </row>
    <row r="2010" spans="19:32" x14ac:dyDescent="0.35">
      <c r="S2010" s="782">
        <v>2006</v>
      </c>
      <c r="T2010" s="782" t="s">
        <v>4284</v>
      </c>
      <c r="U2010" s="782" t="s">
        <v>3099</v>
      </c>
      <c r="V2010" s="797">
        <f>$S$1*P!V2010</f>
        <v>0.11824596774193549</v>
      </c>
      <c r="W2010" s="780"/>
      <c r="X2010" s="881">
        <v>2006</v>
      </c>
      <c r="Y2010" s="881" t="s">
        <v>2248</v>
      </c>
      <c r="Z2010" s="881" t="s">
        <v>4520</v>
      </c>
      <c r="AA2010" s="882">
        <f>$S$1*P!AA2010</f>
        <v>6.237903225806452E-3</v>
      </c>
      <c r="AB2010" s="780"/>
      <c r="AC2010" s="782">
        <v>2006</v>
      </c>
      <c r="AD2010" s="782" t="s">
        <v>4573</v>
      </c>
      <c r="AE2010" s="782" t="s">
        <v>3009</v>
      </c>
      <c r="AF2010" s="781">
        <f>$S$1*P!AF2010</f>
        <v>2032.4596774193551</v>
      </c>
    </row>
    <row r="2011" spans="19:32" x14ac:dyDescent="0.35">
      <c r="S2011" s="881">
        <v>2007</v>
      </c>
      <c r="T2011" s="881" t="s">
        <v>4284</v>
      </c>
      <c r="U2011" s="881" t="s">
        <v>3099</v>
      </c>
      <c r="V2011" s="883">
        <f>$S$1*P!V2011</f>
        <v>0</v>
      </c>
      <c r="W2011" s="780"/>
      <c r="X2011" s="782">
        <v>2007</v>
      </c>
      <c r="Y2011" s="782" t="s">
        <v>2248</v>
      </c>
      <c r="Z2011" s="782" t="s">
        <v>4519</v>
      </c>
      <c r="AA2011" s="781">
        <f>$S$1*P!AA2011</f>
        <v>4.7641129032258069E-2</v>
      </c>
      <c r="AB2011" s="780"/>
      <c r="AC2011" s="881">
        <v>2007</v>
      </c>
      <c r="AD2011" s="881" t="s">
        <v>4573</v>
      </c>
      <c r="AE2011" s="881" t="s">
        <v>3009</v>
      </c>
      <c r="AF2011" s="882">
        <f>$S$1*P!AF2011</f>
        <v>0</v>
      </c>
    </row>
    <row r="2012" spans="19:32" x14ac:dyDescent="0.35">
      <c r="S2012" s="782">
        <v>2008</v>
      </c>
      <c r="T2012" s="782" t="s">
        <v>4284</v>
      </c>
      <c r="U2012" s="782" t="s">
        <v>3955</v>
      </c>
      <c r="V2012" s="797">
        <f>$S$1*P!V2012</f>
        <v>0.10350806451612904</v>
      </c>
      <c r="W2012" s="780"/>
      <c r="X2012" s="782">
        <v>2008</v>
      </c>
      <c r="Y2012" s="782" t="s">
        <v>2248</v>
      </c>
      <c r="Z2012" s="782" t="s">
        <v>5209</v>
      </c>
      <c r="AA2012" s="781">
        <f>$S$1*P!AA2012</f>
        <v>3.7358870967741939E-3</v>
      </c>
      <c r="AB2012" s="780"/>
      <c r="AC2012" s="782">
        <v>2008</v>
      </c>
      <c r="AD2012" s="782" t="s">
        <v>4573</v>
      </c>
      <c r="AE2012" s="782" t="s">
        <v>3608</v>
      </c>
      <c r="AF2012" s="781">
        <f>$S$1*P!AF2012</f>
        <v>9.5625000000000002E-2</v>
      </c>
    </row>
    <row r="2013" spans="19:32" x14ac:dyDescent="0.35">
      <c r="S2013" s="782">
        <v>2009</v>
      </c>
      <c r="T2013" s="782" t="s">
        <v>4284</v>
      </c>
      <c r="U2013" s="782" t="s">
        <v>3952</v>
      </c>
      <c r="V2013" s="797">
        <f>$S$1*P!V2013</f>
        <v>0.26185483870967746</v>
      </c>
      <c r="W2013" s="780"/>
      <c r="X2013" s="881">
        <v>2009</v>
      </c>
      <c r="Y2013" s="881" t="s">
        <v>2248</v>
      </c>
      <c r="Z2013" s="881" t="s">
        <v>4518</v>
      </c>
      <c r="AA2013" s="882">
        <f>$S$1*P!AA2013</f>
        <v>1.1481854838709677E-3</v>
      </c>
      <c r="AB2013" s="780"/>
      <c r="AC2013" s="782">
        <v>2009</v>
      </c>
      <c r="AD2013" s="782" t="s">
        <v>4573</v>
      </c>
      <c r="AE2013" s="782" t="s">
        <v>3007</v>
      </c>
      <c r="AF2013" s="781">
        <f>$S$1*P!AF2013</f>
        <v>1103.6290322580646</v>
      </c>
    </row>
    <row r="2014" spans="19:32" x14ac:dyDescent="0.35">
      <c r="S2014" s="782">
        <v>2010</v>
      </c>
      <c r="T2014" s="782" t="s">
        <v>4284</v>
      </c>
      <c r="U2014" s="782" t="s">
        <v>3949</v>
      </c>
      <c r="V2014" s="797">
        <f>$S$1*P!V2014</f>
        <v>8.4314516129032268E-4</v>
      </c>
      <c r="W2014" s="780"/>
      <c r="X2014" s="782">
        <v>2010</v>
      </c>
      <c r="Y2014" s="782" t="s">
        <v>2248</v>
      </c>
      <c r="Z2014" s="782" t="s">
        <v>4517</v>
      </c>
      <c r="AA2014" s="781">
        <f>$S$1*P!AA2014</f>
        <v>1.1584677419354839E-2</v>
      </c>
      <c r="AB2014" s="780"/>
      <c r="AC2014" s="881">
        <v>2010</v>
      </c>
      <c r="AD2014" s="881" t="s">
        <v>4573</v>
      </c>
      <c r="AE2014" s="881" t="s">
        <v>3007</v>
      </c>
      <c r="AF2014" s="882">
        <f>$S$1*P!AF2014</f>
        <v>0</v>
      </c>
    </row>
    <row r="2015" spans="19:32" x14ac:dyDescent="0.35">
      <c r="S2015" s="782">
        <v>2011</v>
      </c>
      <c r="T2015" s="782" t="s">
        <v>4284</v>
      </c>
      <c r="U2015" s="782" t="s">
        <v>3097</v>
      </c>
      <c r="V2015" s="797">
        <f>$S$1*P!V2015</f>
        <v>4.284274193548387</v>
      </c>
      <c r="W2015" s="780"/>
      <c r="X2015" s="782">
        <v>2011</v>
      </c>
      <c r="Y2015" s="782" t="s">
        <v>2248</v>
      </c>
      <c r="Z2015" s="782" t="s">
        <v>5208</v>
      </c>
      <c r="AA2015" s="781">
        <f>$S$1*P!AA2015</f>
        <v>6.1008064516129043E-4</v>
      </c>
      <c r="AB2015" s="780"/>
      <c r="AC2015" s="782">
        <v>2011</v>
      </c>
      <c r="AD2015" s="782" t="s">
        <v>4573</v>
      </c>
      <c r="AE2015" s="782" t="s">
        <v>3006</v>
      </c>
      <c r="AF2015" s="781">
        <f>$S$1*P!AF2015</f>
        <v>14.566532258064518</v>
      </c>
    </row>
    <row r="2016" spans="19:32" x14ac:dyDescent="0.35">
      <c r="S2016" s="881">
        <v>2012</v>
      </c>
      <c r="T2016" s="881" t="s">
        <v>4284</v>
      </c>
      <c r="U2016" s="881" t="s">
        <v>3097</v>
      </c>
      <c r="V2016" s="883">
        <f>$S$1*P!V2016</f>
        <v>0</v>
      </c>
      <c r="W2016" s="780"/>
      <c r="X2016" s="881">
        <v>2012</v>
      </c>
      <c r="Y2016" s="881" t="s">
        <v>2248</v>
      </c>
      <c r="Z2016" s="881" t="s">
        <v>4516</v>
      </c>
      <c r="AA2016" s="882">
        <f>$S$1*P!AA2016</f>
        <v>6.3750000000000005E-3</v>
      </c>
      <c r="AB2016" s="780"/>
      <c r="AC2016" s="881">
        <v>2012</v>
      </c>
      <c r="AD2016" s="881" t="s">
        <v>4573</v>
      </c>
      <c r="AE2016" s="881" t="s">
        <v>3006</v>
      </c>
      <c r="AF2016" s="882">
        <f>$S$1*P!AF2016</f>
        <v>0</v>
      </c>
    </row>
    <row r="2017" spans="19:32" x14ac:dyDescent="0.35">
      <c r="S2017" s="782">
        <v>2013</v>
      </c>
      <c r="T2017" s="782" t="s">
        <v>4284</v>
      </c>
      <c r="U2017" s="782" t="s">
        <v>3947</v>
      </c>
      <c r="V2017" s="797">
        <f>$S$1*P!V2017</f>
        <v>3.5987903225806456E-4</v>
      </c>
      <c r="W2017" s="780"/>
      <c r="X2017" s="881">
        <v>2013</v>
      </c>
      <c r="Y2017" s="881" t="s">
        <v>2248</v>
      </c>
      <c r="Z2017" s="881" t="s">
        <v>3235</v>
      </c>
      <c r="AA2017" s="882">
        <f>$S$1*P!AA2017</f>
        <v>0</v>
      </c>
      <c r="AB2017" s="780"/>
      <c r="AC2017" s="782">
        <v>2013</v>
      </c>
      <c r="AD2017" s="782" t="s">
        <v>4573</v>
      </c>
      <c r="AE2017" s="782" t="s">
        <v>3599</v>
      </c>
      <c r="AF2017" s="781">
        <f>$S$1*P!AF2017</f>
        <v>0.27556451612903227</v>
      </c>
    </row>
    <row r="2018" spans="19:32" x14ac:dyDescent="0.35">
      <c r="S2018" s="881">
        <v>2014</v>
      </c>
      <c r="T2018" s="881" t="s">
        <v>4284</v>
      </c>
      <c r="U2018" s="881" t="s">
        <v>3096</v>
      </c>
      <c r="V2018" s="883">
        <f>$S$1*P!V2018</f>
        <v>202.4</v>
      </c>
      <c r="W2018" s="780"/>
      <c r="X2018" s="881">
        <v>2014</v>
      </c>
      <c r="Y2018" s="881" t="s">
        <v>2248</v>
      </c>
      <c r="Z2018" s="881" t="s">
        <v>3235</v>
      </c>
      <c r="AA2018" s="882">
        <f>$S$1*P!AA2018</f>
        <v>8.2943548387096782E-5</v>
      </c>
      <c r="AB2018" s="780"/>
      <c r="AC2018" s="782">
        <v>2014</v>
      </c>
      <c r="AD2018" s="782" t="s">
        <v>4573</v>
      </c>
      <c r="AE2018" s="782" t="s">
        <v>3595</v>
      </c>
      <c r="AF2018" s="781">
        <f>$S$1*P!AF2018</f>
        <v>74.375</v>
      </c>
    </row>
    <row r="2019" spans="19:32" x14ac:dyDescent="0.35">
      <c r="S2019" s="881">
        <v>2015</v>
      </c>
      <c r="T2019" s="881" t="s">
        <v>4284</v>
      </c>
      <c r="U2019" s="881" t="s">
        <v>3094</v>
      </c>
      <c r="V2019" s="883">
        <f>$S$1*P!V2019</f>
        <v>0</v>
      </c>
      <c r="W2019" s="780"/>
      <c r="X2019" s="782">
        <v>2015</v>
      </c>
      <c r="Y2019" s="782" t="s">
        <v>2248</v>
      </c>
      <c r="Z2019" s="782" t="s">
        <v>5207</v>
      </c>
      <c r="AA2019" s="781">
        <f>$S$1*P!AA2019</f>
        <v>9.4939516129032258E-4</v>
      </c>
      <c r="AB2019" s="780"/>
      <c r="AC2019" s="782">
        <v>2015</v>
      </c>
      <c r="AD2019" s="782" t="s">
        <v>4573</v>
      </c>
      <c r="AE2019" s="782" t="s">
        <v>3590</v>
      </c>
      <c r="AF2019" s="781">
        <f>$S$1*P!AF2019</f>
        <v>0.3461693548387097</v>
      </c>
    </row>
    <row r="2020" spans="19:32" x14ac:dyDescent="0.35">
      <c r="S2020" s="782">
        <v>2016</v>
      </c>
      <c r="T2020" s="782" t="s">
        <v>4284</v>
      </c>
      <c r="U2020" s="782" t="s">
        <v>3945</v>
      </c>
      <c r="V2020" s="797">
        <f>$S$1*P!V2020</f>
        <v>23.923387096774196</v>
      </c>
      <c r="W2020" s="780"/>
      <c r="X2020" s="881">
        <v>2016</v>
      </c>
      <c r="Y2020" s="881" t="s">
        <v>2248</v>
      </c>
      <c r="Z2020" s="881" t="s">
        <v>3233</v>
      </c>
      <c r="AA2020" s="882">
        <f>$S$1*P!AA2020</f>
        <v>0</v>
      </c>
      <c r="AB2020" s="780"/>
      <c r="AC2020" s="881">
        <v>2016</v>
      </c>
      <c r="AD2020" s="881" t="s">
        <v>4573</v>
      </c>
      <c r="AE2020" s="881" t="s">
        <v>3004</v>
      </c>
      <c r="AF2020" s="882">
        <f>$S$1*P!AF2020</f>
        <v>11.5</v>
      </c>
    </row>
    <row r="2021" spans="19:32" x14ac:dyDescent="0.35">
      <c r="S2021" s="782">
        <v>2017</v>
      </c>
      <c r="T2021" s="782" t="s">
        <v>4284</v>
      </c>
      <c r="U2021" s="782" t="s">
        <v>3092</v>
      </c>
      <c r="V2021" s="797">
        <f>$S$1*P!V2021</f>
        <v>4.2842741935483872E-4</v>
      </c>
      <c r="W2021" s="780"/>
      <c r="X2021" s="881">
        <v>2017</v>
      </c>
      <c r="Y2021" s="881" t="s">
        <v>2248</v>
      </c>
      <c r="Z2021" s="881" t="s">
        <v>3233</v>
      </c>
      <c r="AA2021" s="882">
        <f>$S$1*P!AA2021</f>
        <v>0.13949596774193548</v>
      </c>
      <c r="AB2021" s="780"/>
      <c r="AC2021" s="782">
        <v>2017</v>
      </c>
      <c r="AD2021" s="782" t="s">
        <v>4573</v>
      </c>
      <c r="AE2021" s="782" t="s">
        <v>3584</v>
      </c>
      <c r="AF2021" s="781">
        <f>$S$1*P!AF2021</f>
        <v>0.37016129032258066</v>
      </c>
    </row>
    <row r="2022" spans="19:32" x14ac:dyDescent="0.35">
      <c r="S2022" s="881">
        <v>2018</v>
      </c>
      <c r="T2022" s="881" t="s">
        <v>4284</v>
      </c>
      <c r="U2022" s="881" t="s">
        <v>3092</v>
      </c>
      <c r="V2022" s="883">
        <f>$S$1*P!V2022</f>
        <v>0.39560000000000001</v>
      </c>
      <c r="W2022" s="780"/>
      <c r="X2022" s="782">
        <v>2018</v>
      </c>
      <c r="Y2022" s="782" t="s">
        <v>2248</v>
      </c>
      <c r="Z2022" s="782" t="s">
        <v>5206</v>
      </c>
      <c r="AA2022" s="781">
        <f>$S$1*P!AA2022</f>
        <v>2.659677419354839E-4</v>
      </c>
      <c r="AB2022" s="780"/>
      <c r="AC2022" s="782">
        <v>2018</v>
      </c>
      <c r="AD2022" s="782" t="s">
        <v>4573</v>
      </c>
      <c r="AE2022" s="782" t="s">
        <v>3580</v>
      </c>
      <c r="AF2022" s="781">
        <f>$S$1*P!AF2022</f>
        <v>0.68548387096774199</v>
      </c>
    </row>
    <row r="2023" spans="19:32" x14ac:dyDescent="0.35">
      <c r="S2023" s="782">
        <v>2019</v>
      </c>
      <c r="T2023" s="782" t="s">
        <v>4284</v>
      </c>
      <c r="U2023" s="782" t="s">
        <v>3942</v>
      </c>
      <c r="V2023" s="797">
        <f>$S$1*P!V2023</f>
        <v>4.1471774193548389E-2</v>
      </c>
      <c r="W2023" s="780"/>
      <c r="X2023" s="881">
        <v>2019</v>
      </c>
      <c r="Y2023" s="881" t="s">
        <v>2248</v>
      </c>
      <c r="Z2023" s="881" t="s">
        <v>3232</v>
      </c>
      <c r="AA2023" s="882">
        <f>$S$1*P!AA2023</f>
        <v>0</v>
      </c>
      <c r="AB2023" s="780"/>
      <c r="AC2023" s="782">
        <v>2019</v>
      </c>
      <c r="AD2023" s="782" t="s">
        <v>4573</v>
      </c>
      <c r="AE2023" s="782" t="s">
        <v>5080</v>
      </c>
      <c r="AF2023" s="781">
        <f>$S$1*P!AF2023</f>
        <v>1.0008064516129034</v>
      </c>
    </row>
    <row r="2024" spans="19:32" x14ac:dyDescent="0.35">
      <c r="S2024" s="789">
        <v>2020</v>
      </c>
      <c r="T2024" s="789" t="s">
        <v>4284</v>
      </c>
      <c r="U2024" s="789" t="s">
        <v>5205</v>
      </c>
      <c r="V2024" s="790">
        <f>$S$1*P!V2024</f>
        <v>6.4960000000000004</v>
      </c>
      <c r="W2024" s="780"/>
      <c r="X2024" s="881">
        <v>2020</v>
      </c>
      <c r="Y2024" s="881" t="s">
        <v>2248</v>
      </c>
      <c r="Z2024" s="881" t="s">
        <v>3232</v>
      </c>
      <c r="AA2024" s="882">
        <f>$S$1*P!AA2024</f>
        <v>0.13949596774193548</v>
      </c>
      <c r="AB2024" s="780"/>
      <c r="AC2024" s="782">
        <v>2020</v>
      </c>
      <c r="AD2024" s="782" t="s">
        <v>4573</v>
      </c>
      <c r="AE2024" s="782" t="s">
        <v>3571</v>
      </c>
      <c r="AF2024" s="781">
        <f>$S$1*P!AF2024</f>
        <v>23.6491935483871</v>
      </c>
    </row>
    <row r="2025" spans="19:32" x14ac:dyDescent="0.35">
      <c r="S2025" s="782">
        <v>2021</v>
      </c>
      <c r="T2025" s="782" t="s">
        <v>4284</v>
      </c>
      <c r="U2025" s="782" t="s">
        <v>3941</v>
      </c>
      <c r="V2025" s="797">
        <f>$S$1*P!V2025</f>
        <v>6.4778225806451617E-5</v>
      </c>
      <c r="W2025" s="780"/>
      <c r="X2025" s="782">
        <v>2021</v>
      </c>
      <c r="Y2025" s="782" t="s">
        <v>2248</v>
      </c>
      <c r="Z2025" s="782" t="s">
        <v>5204</v>
      </c>
      <c r="AA2025" s="781">
        <f>$S$1*P!AA2025</f>
        <v>5.758064516129033E-3</v>
      </c>
      <c r="AB2025" s="780"/>
      <c r="AC2025" s="782">
        <v>2021</v>
      </c>
      <c r="AD2025" s="782" t="s">
        <v>4573</v>
      </c>
      <c r="AE2025" s="782" t="s">
        <v>3568</v>
      </c>
      <c r="AF2025" s="781">
        <f>$S$1*P!AF2025</f>
        <v>25.7741935483871</v>
      </c>
    </row>
    <row r="2026" spans="19:32" x14ac:dyDescent="0.35">
      <c r="S2026" s="782">
        <v>2022</v>
      </c>
      <c r="T2026" s="782" t="s">
        <v>4284</v>
      </c>
      <c r="U2026" s="782" t="s">
        <v>3940</v>
      </c>
      <c r="V2026" s="797">
        <f>$S$1*P!V2026</f>
        <v>2.5191532258064517E-2</v>
      </c>
      <c r="W2026" s="780"/>
      <c r="X2026" s="881">
        <v>2022</v>
      </c>
      <c r="Y2026" s="881" t="s">
        <v>2248</v>
      </c>
      <c r="Z2026" s="881" t="s">
        <v>3231</v>
      </c>
      <c r="AA2026" s="882">
        <f>$S$1*P!AA2026</f>
        <v>4572.3999999999996</v>
      </c>
      <c r="AB2026" s="780"/>
      <c r="AC2026" s="782">
        <v>2022</v>
      </c>
      <c r="AD2026" s="782" t="s">
        <v>4573</v>
      </c>
      <c r="AE2026" s="782" t="s">
        <v>3565</v>
      </c>
      <c r="AF2026" s="781">
        <f>$S$1*P!AF2026</f>
        <v>445.56451612903231</v>
      </c>
    </row>
    <row r="2027" spans="19:32" x14ac:dyDescent="0.35">
      <c r="S2027" s="782">
        <v>2023</v>
      </c>
      <c r="T2027" s="782" t="s">
        <v>4284</v>
      </c>
      <c r="U2027" s="782" t="s">
        <v>3091</v>
      </c>
      <c r="V2027" s="797">
        <f>$S$1*P!V2027</f>
        <v>1.5286290322580646E-3</v>
      </c>
      <c r="W2027" s="780"/>
      <c r="X2027" s="782">
        <v>2023</v>
      </c>
      <c r="Y2027" s="782" t="s">
        <v>2248</v>
      </c>
      <c r="Z2027" s="782" t="s">
        <v>3231</v>
      </c>
      <c r="AA2027" s="781">
        <f>$S$1*P!AA2027</f>
        <v>1.795967741935484</v>
      </c>
      <c r="AB2027" s="780"/>
      <c r="AC2027" s="782">
        <v>2023</v>
      </c>
      <c r="AD2027" s="782" t="s">
        <v>4573</v>
      </c>
      <c r="AE2027" s="782" t="s">
        <v>3562</v>
      </c>
      <c r="AF2027" s="781">
        <f>$S$1*P!AF2027</f>
        <v>1100.2016129032259</v>
      </c>
    </row>
    <row r="2028" spans="19:32" x14ac:dyDescent="0.35">
      <c r="S2028" s="881">
        <v>2024</v>
      </c>
      <c r="T2028" s="881" t="s">
        <v>4284</v>
      </c>
      <c r="U2028" s="881" t="s">
        <v>3091</v>
      </c>
      <c r="V2028" s="883">
        <f>$S$1*P!V2028</f>
        <v>0</v>
      </c>
      <c r="W2028" s="780"/>
      <c r="X2028" s="782">
        <v>2024</v>
      </c>
      <c r="Y2028" s="782" t="s">
        <v>2248</v>
      </c>
      <c r="Z2028" s="782" t="s">
        <v>5203</v>
      </c>
      <c r="AA2028" s="781">
        <f>$S$1*P!AA2028</f>
        <v>2.3957661290322582E-6</v>
      </c>
      <c r="AB2028" s="780"/>
      <c r="AC2028" s="782">
        <v>2024</v>
      </c>
      <c r="AD2028" s="782" t="s">
        <v>4573</v>
      </c>
      <c r="AE2028" s="782" t="s">
        <v>3559</v>
      </c>
      <c r="AF2028" s="781">
        <f>$S$1*P!AF2028</f>
        <v>3.3828629032258068</v>
      </c>
    </row>
    <row r="2029" spans="19:32" x14ac:dyDescent="0.35">
      <c r="S2029" s="782">
        <v>2025</v>
      </c>
      <c r="T2029" s="782" t="s">
        <v>4284</v>
      </c>
      <c r="U2029" s="782" t="s">
        <v>3934</v>
      </c>
      <c r="V2029" s="797">
        <f>$S$1*P!V2029</f>
        <v>11.82459677419355</v>
      </c>
      <c r="W2029" s="780"/>
      <c r="X2029" s="881">
        <v>2025</v>
      </c>
      <c r="Y2029" s="881" t="s">
        <v>2248</v>
      </c>
      <c r="Z2029" s="881" t="s">
        <v>3230</v>
      </c>
      <c r="AA2029" s="882">
        <f>$S$1*P!AA2029</f>
        <v>8.7767999999999995E-3</v>
      </c>
      <c r="AB2029" s="780"/>
      <c r="AC2029" s="782">
        <v>2025</v>
      </c>
      <c r="AD2029" s="782" t="s">
        <v>4573</v>
      </c>
      <c r="AE2029" s="782" t="s">
        <v>3556</v>
      </c>
      <c r="AF2029" s="781">
        <f>$S$1*P!AF2029</f>
        <v>5.963709677419355</v>
      </c>
    </row>
    <row r="2030" spans="19:32" x14ac:dyDescent="0.35">
      <c r="S2030" s="881">
        <v>2026</v>
      </c>
      <c r="T2030" s="881" t="s">
        <v>4284</v>
      </c>
      <c r="U2030" s="881" t="s">
        <v>3090</v>
      </c>
      <c r="V2030" s="883">
        <f>$S$1*P!V2030</f>
        <v>0</v>
      </c>
      <c r="W2030" s="780"/>
      <c r="X2030" s="881">
        <v>2026</v>
      </c>
      <c r="Y2030" s="881" t="s">
        <v>2248</v>
      </c>
      <c r="Z2030" s="881" t="s">
        <v>3230</v>
      </c>
      <c r="AA2030" s="882">
        <f>$S$1*P!AA2030</f>
        <v>9.4254032258064523E-3</v>
      </c>
      <c r="AB2030" s="780"/>
      <c r="AC2030" s="782">
        <v>2026</v>
      </c>
      <c r="AD2030" s="782" t="s">
        <v>4573</v>
      </c>
      <c r="AE2030" s="782" t="s">
        <v>3551</v>
      </c>
      <c r="AF2030" s="781">
        <f>$S$1*P!AF2030</f>
        <v>0.29681451612903226</v>
      </c>
    </row>
    <row r="2031" spans="19:32" x14ac:dyDescent="0.35">
      <c r="S2031" s="782">
        <v>2027</v>
      </c>
      <c r="T2031" s="782" t="s">
        <v>4284</v>
      </c>
      <c r="U2031" s="782" t="s">
        <v>3089</v>
      </c>
      <c r="V2031" s="797">
        <f>$S$1*P!V2031</f>
        <v>89.455645161290334</v>
      </c>
      <c r="W2031" s="780"/>
      <c r="X2031" s="881">
        <v>2027</v>
      </c>
      <c r="Y2031" s="881" t="s">
        <v>2248</v>
      </c>
      <c r="Z2031" s="881" t="s">
        <v>3228</v>
      </c>
      <c r="AA2031" s="882">
        <f>$S$1*P!AA2031</f>
        <v>9.9359999999999999</v>
      </c>
      <c r="AB2031" s="780"/>
      <c r="AC2031" s="782">
        <v>2027</v>
      </c>
      <c r="AD2031" s="782" t="s">
        <v>4573</v>
      </c>
      <c r="AE2031" s="782" t="s">
        <v>3547</v>
      </c>
      <c r="AF2031" s="781">
        <f>$S$1*P!AF2031</f>
        <v>33.006048387096776</v>
      </c>
    </row>
    <row r="2032" spans="19:32" x14ac:dyDescent="0.35">
      <c r="S2032" s="881">
        <v>2028</v>
      </c>
      <c r="T2032" s="881" t="s">
        <v>4284</v>
      </c>
      <c r="U2032" s="881" t="s">
        <v>3089</v>
      </c>
      <c r="V2032" s="883">
        <f>$S$1*P!V2032</f>
        <v>0</v>
      </c>
      <c r="W2032" s="780"/>
      <c r="X2032" s="782">
        <v>2028</v>
      </c>
      <c r="Y2032" s="782" t="s">
        <v>2248</v>
      </c>
      <c r="Z2032" s="782" t="s">
        <v>5202</v>
      </c>
      <c r="AA2032" s="781">
        <f>$S$1*P!AA2032</f>
        <v>3.9072580645161292E-4</v>
      </c>
      <c r="AB2032" s="780"/>
      <c r="AC2032" s="782">
        <v>2028</v>
      </c>
      <c r="AD2032" s="782" t="s">
        <v>4573</v>
      </c>
      <c r="AE2032" s="782" t="s">
        <v>3544</v>
      </c>
      <c r="AF2032" s="781">
        <f>$S$1*P!AF2032</f>
        <v>1.0625</v>
      </c>
    </row>
    <row r="2033" spans="19:32" x14ac:dyDescent="0.35">
      <c r="S2033" s="881">
        <v>2029</v>
      </c>
      <c r="T2033" s="881" t="s">
        <v>4284</v>
      </c>
      <c r="U2033" s="881" t="s">
        <v>3088</v>
      </c>
      <c r="V2033" s="883">
        <f>$S$1*P!V2033</f>
        <v>317.39999999999998</v>
      </c>
      <c r="W2033" s="780"/>
      <c r="X2033" s="881">
        <v>2029</v>
      </c>
      <c r="Y2033" s="881" t="s">
        <v>2248</v>
      </c>
      <c r="Z2033" s="881" t="s">
        <v>3227</v>
      </c>
      <c r="AA2033" s="882">
        <f>$S$1*P!AA2033</f>
        <v>0</v>
      </c>
      <c r="AB2033" s="780"/>
      <c r="AC2033" s="782">
        <v>2029</v>
      </c>
      <c r="AD2033" s="782" t="s">
        <v>4573</v>
      </c>
      <c r="AE2033" s="782" t="s">
        <v>3541</v>
      </c>
      <c r="AF2033" s="781">
        <f>$S$1*P!AF2033</f>
        <v>1.5903225806451615</v>
      </c>
    </row>
    <row r="2034" spans="19:32" x14ac:dyDescent="0.35">
      <c r="S2034" s="782">
        <v>2030</v>
      </c>
      <c r="T2034" s="782" t="s">
        <v>4284</v>
      </c>
      <c r="U2034" s="782" t="s">
        <v>3929</v>
      </c>
      <c r="V2034" s="797">
        <f>$S$1*P!V2034</f>
        <v>4.4213709677419358E-4</v>
      </c>
      <c r="W2034" s="780"/>
      <c r="X2034" s="881">
        <v>2030</v>
      </c>
      <c r="Y2034" s="881" t="s">
        <v>2248</v>
      </c>
      <c r="Z2034" s="881" t="s">
        <v>3225</v>
      </c>
      <c r="AA2034" s="882">
        <f>$S$1*P!AA2034</f>
        <v>1.0396000000000001E-3</v>
      </c>
      <c r="AB2034" s="780"/>
      <c r="AC2034" s="782">
        <v>2030</v>
      </c>
      <c r="AD2034" s="782" t="s">
        <v>4573</v>
      </c>
      <c r="AE2034" s="782" t="s">
        <v>3538</v>
      </c>
      <c r="AF2034" s="781">
        <f>$S$1*P!AF2034</f>
        <v>16.31451612903226</v>
      </c>
    </row>
    <row r="2035" spans="19:32" x14ac:dyDescent="0.35">
      <c r="S2035" s="782">
        <v>2031</v>
      </c>
      <c r="T2035" s="782" t="s">
        <v>4284</v>
      </c>
      <c r="U2035" s="782" t="s">
        <v>3927</v>
      </c>
      <c r="V2035" s="797">
        <f>$S$1*P!V2035</f>
        <v>6.237903225806452E-3</v>
      </c>
      <c r="W2035" s="780"/>
      <c r="X2035" s="881">
        <v>2031</v>
      </c>
      <c r="Y2035" s="881" t="s">
        <v>2248</v>
      </c>
      <c r="Z2035" s="881" t="s">
        <v>3224</v>
      </c>
      <c r="AA2035" s="882">
        <f>$S$1*P!AA2035</f>
        <v>47.012</v>
      </c>
      <c r="AB2035" s="780"/>
      <c r="AC2035" s="782">
        <v>2031</v>
      </c>
      <c r="AD2035" s="782" t="s">
        <v>4573</v>
      </c>
      <c r="AE2035" s="782" t="s">
        <v>3003</v>
      </c>
      <c r="AF2035" s="781">
        <f>$S$1*P!AF2035</f>
        <v>1.3572580645161292</v>
      </c>
    </row>
    <row r="2036" spans="19:32" x14ac:dyDescent="0.35">
      <c r="S2036" s="782">
        <v>2032</v>
      </c>
      <c r="T2036" s="782" t="s">
        <v>4284</v>
      </c>
      <c r="U2036" s="782" t="s">
        <v>3923</v>
      </c>
      <c r="V2036" s="797">
        <f>$S$1*P!V2036</f>
        <v>1.6177419354838711E-5</v>
      </c>
      <c r="W2036" s="780"/>
      <c r="X2036" s="782">
        <v>2032</v>
      </c>
      <c r="Y2036" s="782" t="s">
        <v>2248</v>
      </c>
      <c r="Z2036" s="782" t="s">
        <v>5201</v>
      </c>
      <c r="AA2036" s="781">
        <f>$S$1*P!AA2036</f>
        <v>2.0804435483870971E-4</v>
      </c>
      <c r="AB2036" s="780"/>
      <c r="AC2036" s="881">
        <v>2032</v>
      </c>
      <c r="AD2036" s="881" t="s">
        <v>4573</v>
      </c>
      <c r="AE2036" s="881" t="s">
        <v>3003</v>
      </c>
      <c r="AF2036" s="882">
        <f>$S$1*P!AF2036</f>
        <v>0</v>
      </c>
    </row>
    <row r="2037" spans="19:32" x14ac:dyDescent="0.35">
      <c r="S2037" s="861">
        <v>2033</v>
      </c>
      <c r="T2037" s="861" t="s">
        <v>4284</v>
      </c>
      <c r="U2037" s="861" t="s">
        <v>5200</v>
      </c>
      <c r="V2037" s="862">
        <f>$S$1*P!V2037</f>
        <v>1.1127999999999998</v>
      </c>
      <c r="W2037" s="780"/>
      <c r="X2037" s="782">
        <v>2033</v>
      </c>
      <c r="Y2037" s="782" t="s">
        <v>2248</v>
      </c>
      <c r="Z2037" s="782" t="s">
        <v>4514</v>
      </c>
      <c r="AA2037" s="781">
        <f>$S$1*P!AA2037</f>
        <v>5.2439516129032263E-6</v>
      </c>
      <c r="AB2037" s="780"/>
      <c r="AC2037" s="782">
        <v>2033</v>
      </c>
      <c r="AD2037" s="782" t="s">
        <v>4573</v>
      </c>
      <c r="AE2037" s="782" t="s">
        <v>3002</v>
      </c>
      <c r="AF2037" s="781">
        <f>$S$1*P!AF2037</f>
        <v>3.9072580645161294</v>
      </c>
    </row>
    <row r="2038" spans="19:32" x14ac:dyDescent="0.35">
      <c r="S2038" s="782">
        <v>2034</v>
      </c>
      <c r="T2038" s="782" t="s">
        <v>4284</v>
      </c>
      <c r="U2038" s="782" t="s">
        <v>3921</v>
      </c>
      <c r="V2038" s="797">
        <f>$S$1*P!V2038</f>
        <v>4.1129032258064518E-5</v>
      </c>
      <c r="W2038" s="780"/>
      <c r="X2038" s="881">
        <v>2034</v>
      </c>
      <c r="Y2038" s="881" t="s">
        <v>2248</v>
      </c>
      <c r="Z2038" s="881" t="s">
        <v>4513</v>
      </c>
      <c r="AA2038" s="882">
        <f>$S$1*P!AA2038</f>
        <v>5.7580645161290332E-4</v>
      </c>
      <c r="AB2038" s="780"/>
      <c r="AC2038" s="881">
        <v>2034</v>
      </c>
      <c r="AD2038" s="881" t="s">
        <v>4573</v>
      </c>
      <c r="AE2038" s="881" t="s">
        <v>3002</v>
      </c>
      <c r="AF2038" s="882">
        <f>$S$1*P!AF2038</f>
        <v>80.224000000000004</v>
      </c>
    </row>
    <row r="2039" spans="19:32" x14ac:dyDescent="0.35">
      <c r="S2039" s="789">
        <v>2035</v>
      </c>
      <c r="T2039" s="789" t="s">
        <v>4284</v>
      </c>
      <c r="U2039" s="789" t="s">
        <v>5199</v>
      </c>
      <c r="V2039" s="790">
        <f>$S$1*P!V2039</f>
        <v>491.84000000000003</v>
      </c>
      <c r="W2039" s="780"/>
      <c r="X2039" s="782">
        <v>2035</v>
      </c>
      <c r="Y2039" s="782" t="s">
        <v>2248</v>
      </c>
      <c r="Z2039" s="782" t="s">
        <v>5198</v>
      </c>
      <c r="AA2039" s="781">
        <f>$S$1*P!AA2039</f>
        <v>2.1078629032258067E-4</v>
      </c>
      <c r="AB2039" s="780"/>
      <c r="AC2039" s="782">
        <v>2035</v>
      </c>
      <c r="AD2039" s="782" t="s">
        <v>4573</v>
      </c>
      <c r="AE2039" s="782" t="s">
        <v>3001</v>
      </c>
      <c r="AF2039" s="781">
        <f>$S$1*P!AF2039</f>
        <v>0.12338709677419356</v>
      </c>
    </row>
    <row r="2040" spans="19:32" x14ac:dyDescent="0.35">
      <c r="S2040" s="782">
        <v>2036</v>
      </c>
      <c r="T2040" s="782" t="s">
        <v>4284</v>
      </c>
      <c r="U2040" s="782" t="s">
        <v>3087</v>
      </c>
      <c r="V2040" s="797">
        <f>$S$1*P!V2040</f>
        <v>7.7802419354838721E-5</v>
      </c>
      <c r="W2040" s="780"/>
      <c r="X2040" s="782">
        <v>2036</v>
      </c>
      <c r="Y2040" s="782" t="s">
        <v>2248</v>
      </c>
      <c r="Z2040" s="782" t="s">
        <v>4512</v>
      </c>
      <c r="AA2040" s="781">
        <f>$S$1*P!AA2040</f>
        <v>4.5927419354838711E-2</v>
      </c>
      <c r="AB2040" s="780"/>
      <c r="AC2040" s="881">
        <v>2036</v>
      </c>
      <c r="AD2040" s="881" t="s">
        <v>4573</v>
      </c>
      <c r="AE2040" s="881" t="s">
        <v>3001</v>
      </c>
      <c r="AF2040" s="882">
        <f>$S$1*P!AF2040</f>
        <v>6.1179999999999994</v>
      </c>
    </row>
    <row r="2041" spans="19:32" x14ac:dyDescent="0.35">
      <c r="S2041" s="881">
        <v>2037</v>
      </c>
      <c r="T2041" s="881" t="s">
        <v>4284</v>
      </c>
      <c r="U2041" s="881" t="s">
        <v>3087</v>
      </c>
      <c r="V2041" s="883">
        <f>$S$1*P!V2041</f>
        <v>0.49863999999999997</v>
      </c>
      <c r="W2041" s="780"/>
      <c r="X2041" s="881">
        <v>2037</v>
      </c>
      <c r="Y2041" s="881" t="s">
        <v>2248</v>
      </c>
      <c r="Z2041" s="881" t="s">
        <v>3222</v>
      </c>
      <c r="AA2041" s="882">
        <f>$S$1*P!AA2041</f>
        <v>0</v>
      </c>
      <c r="AB2041" s="780"/>
      <c r="AC2041" s="782">
        <v>2037</v>
      </c>
      <c r="AD2041" s="782" t="s">
        <v>4573</v>
      </c>
      <c r="AE2041" s="782" t="s">
        <v>3530</v>
      </c>
      <c r="AF2041" s="781">
        <f>$S$1*P!AF2041</f>
        <v>9.3911290322580651E-2</v>
      </c>
    </row>
    <row r="2042" spans="19:32" x14ac:dyDescent="0.35">
      <c r="S2042" s="789">
        <v>2038</v>
      </c>
      <c r="T2042" s="789" t="s">
        <v>4284</v>
      </c>
      <c r="U2042" s="789" t="s">
        <v>3086</v>
      </c>
      <c r="V2042" s="790">
        <f>$S$1*P!V2042</f>
        <v>150.80000000000001</v>
      </c>
      <c r="W2042" s="780"/>
      <c r="X2042" s="782">
        <v>2038</v>
      </c>
      <c r="Y2042" s="782" t="s">
        <v>2248</v>
      </c>
      <c r="Z2042" s="782" t="s">
        <v>5197</v>
      </c>
      <c r="AA2042" s="781">
        <f>$S$1*P!AA2042</f>
        <v>2.7659274193548391E-3</v>
      </c>
      <c r="AB2042" s="780"/>
      <c r="AC2042" s="782">
        <v>2038</v>
      </c>
      <c r="AD2042" s="782" t="s">
        <v>4573</v>
      </c>
      <c r="AE2042" s="782" t="s">
        <v>3527</v>
      </c>
      <c r="AF2042" s="781">
        <f>$S$1*P!AF2042</f>
        <v>7.4375000000000005E-4</v>
      </c>
    </row>
    <row r="2043" spans="19:32" x14ac:dyDescent="0.35">
      <c r="S2043" s="881">
        <v>2039</v>
      </c>
      <c r="T2043" s="881" t="s">
        <v>4284</v>
      </c>
      <c r="U2043" s="881" t="s">
        <v>3086</v>
      </c>
      <c r="V2043" s="883">
        <f>$S$1*P!V2043</f>
        <v>1.0764000000000001E-2</v>
      </c>
      <c r="W2043" s="780"/>
      <c r="X2043" s="881">
        <v>2039</v>
      </c>
      <c r="Y2043" s="881" t="s">
        <v>2248</v>
      </c>
      <c r="Z2043" s="881" t="s">
        <v>3222</v>
      </c>
      <c r="AA2043" s="882">
        <f>$S$1*P!AA2043</f>
        <v>3.804435483870968E-4</v>
      </c>
      <c r="AB2043" s="780"/>
      <c r="AC2043" s="782">
        <v>2039</v>
      </c>
      <c r="AD2043" s="782" t="s">
        <v>4573</v>
      </c>
      <c r="AE2043" s="782" t="s">
        <v>3525</v>
      </c>
      <c r="AF2043" s="781">
        <f>$S$1*P!AF2043</f>
        <v>3.0709677419354839E-3</v>
      </c>
    </row>
    <row r="2044" spans="19:32" x14ac:dyDescent="0.35">
      <c r="S2044" s="789">
        <v>2040</v>
      </c>
      <c r="T2044" s="789" t="s">
        <v>4284</v>
      </c>
      <c r="U2044" s="789" t="s">
        <v>5196</v>
      </c>
      <c r="V2044" s="790">
        <f>$S$1*P!V2044</f>
        <v>21.344000000000001</v>
      </c>
      <c r="W2044" s="780"/>
      <c r="X2044" s="881">
        <v>2040</v>
      </c>
      <c r="Y2044" s="881" t="s">
        <v>2248</v>
      </c>
      <c r="Z2044" s="881" t="s">
        <v>3221</v>
      </c>
      <c r="AA2044" s="882">
        <f>$S$1*P!AA2044</f>
        <v>0</v>
      </c>
      <c r="AB2044" s="780"/>
      <c r="AC2044" s="782">
        <v>2040</v>
      </c>
      <c r="AD2044" s="782" t="s">
        <v>4573</v>
      </c>
      <c r="AE2044" s="782" t="s">
        <v>3522</v>
      </c>
      <c r="AF2044" s="781">
        <f>$S$1*P!AF2044</f>
        <v>2.0838709677419357E-2</v>
      </c>
    </row>
    <row r="2045" spans="19:32" x14ac:dyDescent="0.35">
      <c r="S2045" s="789">
        <v>2041</v>
      </c>
      <c r="T2045" s="789" t="s">
        <v>4284</v>
      </c>
      <c r="U2045" s="789" t="s">
        <v>3085</v>
      </c>
      <c r="V2045" s="790">
        <f>$S$1*P!V2045</f>
        <v>18.560000000000002</v>
      </c>
      <c r="W2045" s="780"/>
      <c r="X2045" s="881">
        <v>2041</v>
      </c>
      <c r="Y2045" s="881" t="s">
        <v>2248</v>
      </c>
      <c r="Z2045" s="881" t="s">
        <v>3221</v>
      </c>
      <c r="AA2045" s="882">
        <f>$S$1*P!AA2045</f>
        <v>9.7338709677419351E-5</v>
      </c>
      <c r="AB2045" s="780"/>
      <c r="AC2045" s="782">
        <v>2041</v>
      </c>
      <c r="AD2045" s="782" t="s">
        <v>4573</v>
      </c>
      <c r="AE2045" s="782" t="s">
        <v>3519</v>
      </c>
      <c r="AF2045" s="781">
        <f>$S$1*P!AF2045</f>
        <v>0.45584677419354841</v>
      </c>
    </row>
    <row r="2046" spans="19:32" x14ac:dyDescent="0.35">
      <c r="S2046" s="861">
        <v>2042</v>
      </c>
      <c r="T2046" s="861" t="s">
        <v>4284</v>
      </c>
      <c r="U2046" s="861" t="s">
        <v>3085</v>
      </c>
      <c r="V2046" s="862">
        <f>$S$1*P!V2046</f>
        <v>8.131999999999999E-2</v>
      </c>
      <c r="W2046" s="780"/>
      <c r="X2046" s="782">
        <v>2042</v>
      </c>
      <c r="Y2046" s="782" t="s">
        <v>2248</v>
      </c>
      <c r="Z2046" s="782" t="s">
        <v>5195</v>
      </c>
      <c r="AA2046" s="781">
        <f>$S$1*P!AA2046</f>
        <v>6.9919354838709677E-4</v>
      </c>
      <c r="AB2046" s="780"/>
      <c r="AC2046" s="782">
        <v>2042</v>
      </c>
      <c r="AD2046" s="782" t="s">
        <v>4573</v>
      </c>
      <c r="AE2046" s="782" t="s">
        <v>3516</v>
      </c>
      <c r="AF2046" s="781">
        <f>$S$1*P!AF2046</f>
        <v>5.8951612903225814E-2</v>
      </c>
    </row>
    <row r="2047" spans="19:32" x14ac:dyDescent="0.35">
      <c r="S2047" s="782">
        <v>2043</v>
      </c>
      <c r="T2047" s="782" t="s">
        <v>4284</v>
      </c>
      <c r="U2047" s="782" t="s">
        <v>3085</v>
      </c>
      <c r="V2047" s="797">
        <f>$S$1*P!V2047</f>
        <v>6.4778225806451615E-6</v>
      </c>
      <c r="W2047" s="780"/>
      <c r="X2047" s="881">
        <v>2043</v>
      </c>
      <c r="Y2047" s="881" t="s">
        <v>2248</v>
      </c>
      <c r="Z2047" s="881" t="s">
        <v>3220</v>
      </c>
      <c r="AA2047" s="882">
        <f>$S$1*P!AA2047</f>
        <v>0.70564000000000004</v>
      </c>
      <c r="AB2047" s="780"/>
      <c r="AC2047" s="782">
        <v>2043</v>
      </c>
      <c r="AD2047" s="782" t="s">
        <v>4573</v>
      </c>
      <c r="AE2047" s="782" t="s">
        <v>3513</v>
      </c>
      <c r="AF2047" s="781">
        <f>$S$1*P!AF2047</f>
        <v>0.76431451612903234</v>
      </c>
    </row>
    <row r="2048" spans="19:32" x14ac:dyDescent="0.35">
      <c r="S2048" s="881">
        <v>2044</v>
      </c>
      <c r="T2048" s="881" t="s">
        <v>4284</v>
      </c>
      <c r="U2048" s="881" t="s">
        <v>3085</v>
      </c>
      <c r="V2048" s="883">
        <f>$S$1*P!V2048</f>
        <v>0</v>
      </c>
      <c r="W2048" s="780"/>
      <c r="X2048" s="881">
        <v>2044</v>
      </c>
      <c r="Y2048" s="881" t="s">
        <v>2248</v>
      </c>
      <c r="Z2048" s="881" t="s">
        <v>3220</v>
      </c>
      <c r="AA2048" s="882">
        <f>$S$1*P!AA2048</f>
        <v>7.8487903225806459</v>
      </c>
      <c r="AB2048" s="780"/>
      <c r="AC2048" s="782">
        <v>2044</v>
      </c>
      <c r="AD2048" s="782" t="s">
        <v>4573</v>
      </c>
      <c r="AE2048" s="782" t="s">
        <v>3511</v>
      </c>
      <c r="AF2048" s="781">
        <f>$S$1*P!AF2048</f>
        <v>0.71633064516129041</v>
      </c>
    </row>
    <row r="2049" spans="19:32" x14ac:dyDescent="0.35">
      <c r="S2049" s="789">
        <v>2045</v>
      </c>
      <c r="T2049" s="789" t="s">
        <v>4284</v>
      </c>
      <c r="U2049" s="789" t="s">
        <v>5194</v>
      </c>
      <c r="V2049" s="790">
        <f>$S$1*P!V2049</f>
        <v>556.80000000000007</v>
      </c>
      <c r="W2049" s="780"/>
      <c r="X2049" s="782">
        <v>2045</v>
      </c>
      <c r="Y2049" s="782" t="s">
        <v>2248</v>
      </c>
      <c r="Z2049" s="782" t="s">
        <v>5193</v>
      </c>
      <c r="AA2049" s="781">
        <f>$S$1*P!AA2049</f>
        <v>3.2560483870967745E-4</v>
      </c>
      <c r="AB2049" s="780"/>
      <c r="AC2049" s="782">
        <v>2045</v>
      </c>
      <c r="AD2049" s="782" t="s">
        <v>4573</v>
      </c>
      <c r="AE2049" s="782" t="s">
        <v>3508</v>
      </c>
      <c r="AF2049" s="781">
        <f>$S$1*P!AF2049</f>
        <v>9.973790322580646E-2</v>
      </c>
    </row>
    <row r="2050" spans="19:32" x14ac:dyDescent="0.35">
      <c r="S2050" s="789">
        <v>2046</v>
      </c>
      <c r="T2050" s="789" t="s">
        <v>4284</v>
      </c>
      <c r="U2050" s="789" t="s">
        <v>5192</v>
      </c>
      <c r="V2050" s="790">
        <f>$S$1*P!V2050</f>
        <v>20.068000000000001</v>
      </c>
      <c r="W2050" s="780"/>
      <c r="X2050" s="881">
        <v>2046</v>
      </c>
      <c r="Y2050" s="881" t="s">
        <v>2248</v>
      </c>
      <c r="Z2050" s="881" t="s">
        <v>4511</v>
      </c>
      <c r="AA2050" s="882">
        <f>$S$1*P!AA2050</f>
        <v>7.0947580645161289E-5</v>
      </c>
      <c r="AB2050" s="780"/>
      <c r="AC2050" s="782">
        <v>2046</v>
      </c>
      <c r="AD2050" s="782" t="s">
        <v>4573</v>
      </c>
      <c r="AE2050" s="782" t="s">
        <v>3505</v>
      </c>
      <c r="AF2050" s="781">
        <f>$S$1*P!AF2050</f>
        <v>0.45241935483870971</v>
      </c>
    </row>
    <row r="2051" spans="19:32" x14ac:dyDescent="0.35">
      <c r="S2051" s="782">
        <v>2047</v>
      </c>
      <c r="T2051" s="782" t="s">
        <v>4284</v>
      </c>
      <c r="U2051" s="782" t="s">
        <v>3083</v>
      </c>
      <c r="V2051" s="797">
        <f>$S$1*P!V2051</f>
        <v>1.6040322580645162E-4</v>
      </c>
      <c r="W2051" s="780"/>
      <c r="X2051" s="881">
        <v>2047</v>
      </c>
      <c r="Y2051" s="881" t="s">
        <v>2248</v>
      </c>
      <c r="Z2051" s="881" t="s">
        <v>3218</v>
      </c>
      <c r="AA2051" s="882">
        <f>$S$1*P!AA2051</f>
        <v>1.7663999999999997</v>
      </c>
      <c r="AB2051" s="780"/>
      <c r="AC2051" s="782">
        <v>2047</v>
      </c>
      <c r="AD2051" s="782" t="s">
        <v>4573</v>
      </c>
      <c r="AE2051" s="782" t="s">
        <v>3502</v>
      </c>
      <c r="AF2051" s="781">
        <f>$S$1*P!AF2051</f>
        <v>95.625000000000014</v>
      </c>
    </row>
    <row r="2052" spans="19:32" x14ac:dyDescent="0.35">
      <c r="S2052" s="881">
        <v>2048</v>
      </c>
      <c r="T2052" s="881" t="s">
        <v>4284</v>
      </c>
      <c r="U2052" s="881" t="s">
        <v>3083</v>
      </c>
      <c r="V2052" s="883">
        <f>$S$1*P!V2052</f>
        <v>1.0396000000000001</v>
      </c>
      <c r="W2052" s="780"/>
      <c r="X2052" s="782">
        <v>2048</v>
      </c>
      <c r="Y2052" s="782" t="s">
        <v>2248</v>
      </c>
      <c r="Z2052" s="782" t="s">
        <v>5191</v>
      </c>
      <c r="AA2052" s="781">
        <f>$S$1*P!AA2052</f>
        <v>1.4223790322580646E-3</v>
      </c>
      <c r="AB2052" s="780"/>
      <c r="AC2052" s="782">
        <v>2048</v>
      </c>
      <c r="AD2052" s="782" t="s">
        <v>4573</v>
      </c>
      <c r="AE2052" s="782" t="s">
        <v>3500</v>
      </c>
      <c r="AF2052" s="781">
        <f>$S$1*P!AF2052</f>
        <v>0.26802419354838714</v>
      </c>
    </row>
    <row r="2053" spans="19:32" x14ac:dyDescent="0.35">
      <c r="S2053" s="789">
        <v>2049</v>
      </c>
      <c r="T2053" s="789" t="s">
        <v>4284</v>
      </c>
      <c r="U2053" s="789" t="s">
        <v>5190</v>
      </c>
      <c r="V2053" s="790">
        <f>$S$1*P!V2053</f>
        <v>129.92000000000002</v>
      </c>
      <c r="W2053" s="780"/>
      <c r="X2053" s="782">
        <v>2049</v>
      </c>
      <c r="Y2053" s="782" t="s">
        <v>2248</v>
      </c>
      <c r="Z2053" s="782" t="s">
        <v>4510</v>
      </c>
      <c r="AA2053" s="781">
        <f>$S$1*P!AA2053</f>
        <v>1.1241935483870968E-4</v>
      </c>
      <c r="AB2053" s="780"/>
      <c r="AC2053" s="782">
        <v>2049</v>
      </c>
      <c r="AD2053" s="782" t="s">
        <v>4573</v>
      </c>
      <c r="AE2053" s="782" t="s">
        <v>3497</v>
      </c>
      <c r="AF2053" s="781">
        <f>$S$1*P!AF2053</f>
        <v>248.48790322580646</v>
      </c>
    </row>
    <row r="2054" spans="19:32" x14ac:dyDescent="0.35">
      <c r="S2054" s="789">
        <v>2050</v>
      </c>
      <c r="T2054" s="789" t="s">
        <v>4284</v>
      </c>
      <c r="U2054" s="789" t="s">
        <v>5189</v>
      </c>
      <c r="V2054" s="790">
        <f>$S$1*P!V2054</f>
        <v>101.036</v>
      </c>
      <c r="W2054" s="780"/>
      <c r="X2054" s="881">
        <v>2050</v>
      </c>
      <c r="Y2054" s="881" t="s">
        <v>2248</v>
      </c>
      <c r="Z2054" s="881" t="s">
        <v>3217</v>
      </c>
      <c r="AA2054" s="882">
        <f>$S$1*P!AA2054</f>
        <v>1.3984E-2</v>
      </c>
      <c r="AB2054" s="780"/>
      <c r="AC2054" s="881">
        <v>2050</v>
      </c>
      <c r="AD2054" s="881" t="s">
        <v>4573</v>
      </c>
      <c r="AE2054" s="881" t="s">
        <v>2999</v>
      </c>
      <c r="AF2054" s="882">
        <f>$S$1*P!AF2054</f>
        <v>10.396000000000001</v>
      </c>
    </row>
    <row r="2055" spans="19:32" x14ac:dyDescent="0.35">
      <c r="S2055" s="789">
        <v>2051</v>
      </c>
      <c r="T2055" s="789" t="s">
        <v>4284</v>
      </c>
      <c r="U2055" s="789" t="s">
        <v>5188</v>
      </c>
      <c r="V2055" s="790">
        <f>$S$1*P!V2055</f>
        <v>25.752000000000002</v>
      </c>
      <c r="W2055" s="780"/>
      <c r="X2055" s="782">
        <v>2051</v>
      </c>
      <c r="Y2055" s="782" t="s">
        <v>2248</v>
      </c>
      <c r="Z2055" s="782" t="s">
        <v>5187</v>
      </c>
      <c r="AA2055" s="781">
        <f>$S$1*P!AA2055</f>
        <v>2.3923387096774196E-4</v>
      </c>
      <c r="AB2055" s="780"/>
      <c r="AC2055" s="782">
        <v>2051</v>
      </c>
      <c r="AD2055" s="782" t="s">
        <v>4573</v>
      </c>
      <c r="AE2055" s="782" t="s">
        <v>2997</v>
      </c>
      <c r="AF2055" s="781">
        <f>$S$1*P!AF2055</f>
        <v>38.387096774193552</v>
      </c>
    </row>
    <row r="2056" spans="19:32" x14ac:dyDescent="0.35">
      <c r="S2056" s="789">
        <v>2052</v>
      </c>
      <c r="T2056" s="789" t="s">
        <v>4284</v>
      </c>
      <c r="U2056" s="789" t="s">
        <v>5186</v>
      </c>
      <c r="V2056" s="790">
        <f>$S$1*P!V2056</f>
        <v>27.376000000000001</v>
      </c>
      <c r="W2056" s="780"/>
      <c r="X2056" s="881">
        <v>2052</v>
      </c>
      <c r="Y2056" s="881" t="s">
        <v>2248</v>
      </c>
      <c r="Z2056" s="881" t="s">
        <v>4509</v>
      </c>
      <c r="AA2056" s="882">
        <f>$S$1*P!AA2056</f>
        <v>9.8366935483870984E-3</v>
      </c>
      <c r="AB2056" s="780"/>
      <c r="AC2056" s="881">
        <v>2052</v>
      </c>
      <c r="AD2056" s="881" t="s">
        <v>4573</v>
      </c>
      <c r="AE2056" s="881" t="s">
        <v>2997</v>
      </c>
      <c r="AF2056" s="882">
        <f>$S$1*P!AF2056</f>
        <v>0.21068000000000001</v>
      </c>
    </row>
    <row r="2057" spans="19:32" x14ac:dyDescent="0.35">
      <c r="S2057" s="782">
        <v>2053</v>
      </c>
      <c r="T2057" s="782" t="s">
        <v>4284</v>
      </c>
      <c r="U2057" s="782" t="s">
        <v>3081</v>
      </c>
      <c r="V2057" s="797">
        <f>$S$1*P!V2057</f>
        <v>1.5526209677419355E-5</v>
      </c>
      <c r="W2057" s="780"/>
      <c r="X2057" s="782">
        <v>2053</v>
      </c>
      <c r="Y2057" s="782" t="s">
        <v>2248</v>
      </c>
      <c r="Z2057" s="782" t="s">
        <v>4508</v>
      </c>
      <c r="AA2057" s="781">
        <f>$S$1*P!AA2057</f>
        <v>1.5491935483870969E-3</v>
      </c>
      <c r="AB2057" s="780"/>
      <c r="AC2057" s="782">
        <v>2053</v>
      </c>
      <c r="AD2057" s="782" t="s">
        <v>4573</v>
      </c>
      <c r="AE2057" s="782" t="s">
        <v>2996</v>
      </c>
      <c r="AF2057" s="781">
        <f>$S$1*P!AF2057</f>
        <v>1.3743951612903227E-2</v>
      </c>
    </row>
    <row r="2058" spans="19:32" x14ac:dyDescent="0.35">
      <c r="S2058" s="881">
        <v>2054</v>
      </c>
      <c r="T2058" s="881" t="s">
        <v>4284</v>
      </c>
      <c r="U2058" s="881" t="s">
        <v>3081</v>
      </c>
      <c r="V2058" s="883">
        <f>$S$1*P!V2058</f>
        <v>0.79855999999999994</v>
      </c>
      <c r="W2058" s="780"/>
      <c r="X2058" s="881">
        <v>2054</v>
      </c>
      <c r="Y2058" s="881" t="s">
        <v>2248</v>
      </c>
      <c r="Z2058" s="881" t="s">
        <v>4504</v>
      </c>
      <c r="AA2058" s="882">
        <f>$S$1*P!AA2058</f>
        <v>1.7822580645161294E-4</v>
      </c>
      <c r="AB2058" s="780"/>
      <c r="AC2058" s="881">
        <v>2054</v>
      </c>
      <c r="AD2058" s="881" t="s">
        <v>4573</v>
      </c>
      <c r="AE2058" s="881" t="s">
        <v>2996</v>
      </c>
      <c r="AF2058" s="882">
        <f>$S$1*P!AF2058</f>
        <v>18.675999999999998</v>
      </c>
    </row>
    <row r="2059" spans="19:32" x14ac:dyDescent="0.35">
      <c r="S2059" s="789">
        <v>2055</v>
      </c>
      <c r="T2059" s="789" t="s">
        <v>4284</v>
      </c>
      <c r="U2059" s="789" t="s">
        <v>3080</v>
      </c>
      <c r="V2059" s="790">
        <f>$S$1*P!V2059</f>
        <v>675.12</v>
      </c>
      <c r="W2059" s="780"/>
      <c r="X2059" s="782">
        <v>2055</v>
      </c>
      <c r="Y2059" s="782" t="s">
        <v>2248</v>
      </c>
      <c r="Z2059" s="782" t="s">
        <v>5185</v>
      </c>
      <c r="AA2059" s="781">
        <f>$S$1*P!AA2059</f>
        <v>5.3125000000000004E-5</v>
      </c>
      <c r="AB2059" s="780"/>
      <c r="AC2059" s="782">
        <v>2055</v>
      </c>
      <c r="AD2059" s="782" t="s">
        <v>4573</v>
      </c>
      <c r="AE2059" s="782" t="s">
        <v>3490</v>
      </c>
      <c r="AF2059" s="781">
        <f>$S$1*P!AF2059</f>
        <v>104.87903225806453</v>
      </c>
    </row>
    <row r="2060" spans="19:32" x14ac:dyDescent="0.35">
      <c r="S2060" s="881">
        <v>2056</v>
      </c>
      <c r="T2060" s="881" t="s">
        <v>4284</v>
      </c>
      <c r="U2060" s="881" t="s">
        <v>3080</v>
      </c>
      <c r="V2060" s="883">
        <f>$S$1*P!V2060</f>
        <v>0</v>
      </c>
      <c r="W2060" s="780"/>
      <c r="X2060" s="782">
        <v>2056</v>
      </c>
      <c r="Y2060" s="782" t="s">
        <v>2248</v>
      </c>
      <c r="Z2060" s="782" t="s">
        <v>4499</v>
      </c>
      <c r="AA2060" s="781">
        <f>$S$1*P!AA2060</f>
        <v>4.7983870967741937E-5</v>
      </c>
      <c r="AB2060" s="780"/>
      <c r="AC2060" s="782">
        <v>2056</v>
      </c>
      <c r="AD2060" s="782" t="s">
        <v>4573</v>
      </c>
      <c r="AE2060" s="782" t="s">
        <v>2994</v>
      </c>
      <c r="AF2060" s="781">
        <f>$S$1*P!AF2060</f>
        <v>1.0179435483870968E-2</v>
      </c>
    </row>
    <row r="2061" spans="19:32" x14ac:dyDescent="0.35">
      <c r="S2061" s="789">
        <v>2057</v>
      </c>
      <c r="T2061" s="789" t="s">
        <v>4284</v>
      </c>
      <c r="U2061" s="789" t="s">
        <v>5184</v>
      </c>
      <c r="V2061" s="790">
        <f>$S$1*P!V2061</f>
        <v>29.928000000000001</v>
      </c>
      <c r="W2061" s="780"/>
      <c r="X2061" s="881">
        <v>2057</v>
      </c>
      <c r="Y2061" s="881" t="s">
        <v>2248</v>
      </c>
      <c r="Z2061" s="881" t="s">
        <v>4495</v>
      </c>
      <c r="AA2061" s="882">
        <f>$S$1*P!AA2061</f>
        <v>2.4471774193548391E-3</v>
      </c>
      <c r="AB2061" s="780"/>
      <c r="AC2061" s="881">
        <v>2057</v>
      </c>
      <c r="AD2061" s="881" t="s">
        <v>4573</v>
      </c>
      <c r="AE2061" s="881" t="s">
        <v>2994</v>
      </c>
      <c r="AF2061" s="882">
        <f>$S$1*P!AF2061</f>
        <v>0.10764</v>
      </c>
    </row>
    <row r="2062" spans="19:32" x14ac:dyDescent="0.35">
      <c r="S2062" s="789">
        <v>2058</v>
      </c>
      <c r="T2062" s="789" t="s">
        <v>4284</v>
      </c>
      <c r="U2062" s="789" t="s">
        <v>5183</v>
      </c>
      <c r="V2062" s="790">
        <f>$S$1*P!V2062</f>
        <v>38.048000000000002</v>
      </c>
      <c r="W2062" s="780"/>
      <c r="X2062" s="782">
        <v>2058</v>
      </c>
      <c r="Y2062" s="782" t="s">
        <v>2248</v>
      </c>
      <c r="Z2062" s="782" t="s">
        <v>5182</v>
      </c>
      <c r="AA2062" s="781">
        <f>$S$1*P!AA2062</f>
        <v>1.3435483870967743E-3</v>
      </c>
      <c r="AB2062" s="780"/>
      <c r="AC2062" s="782">
        <v>2058</v>
      </c>
      <c r="AD2062" s="782" t="s">
        <v>4573</v>
      </c>
      <c r="AE2062" s="782" t="s">
        <v>3486</v>
      </c>
      <c r="AF2062" s="781">
        <f>$S$1*P!AF2062</f>
        <v>2.4094758064516133E-4</v>
      </c>
    </row>
    <row r="2063" spans="19:32" x14ac:dyDescent="0.35">
      <c r="S2063" s="881">
        <v>2059</v>
      </c>
      <c r="T2063" s="881" t="s">
        <v>4284</v>
      </c>
      <c r="U2063" s="881" t="s">
        <v>3078</v>
      </c>
      <c r="V2063" s="883">
        <f>$S$1*P!V2063</f>
        <v>0</v>
      </c>
      <c r="W2063" s="780"/>
      <c r="X2063" s="881">
        <v>2059</v>
      </c>
      <c r="Y2063" s="881" t="s">
        <v>2248</v>
      </c>
      <c r="Z2063" s="881" t="s">
        <v>4491</v>
      </c>
      <c r="AA2063" s="882">
        <f>$S$1*P!AA2063</f>
        <v>2.2175403225806454</v>
      </c>
      <c r="AB2063" s="780"/>
      <c r="AC2063" s="782">
        <v>2059</v>
      </c>
      <c r="AD2063" s="782" t="s">
        <v>4573</v>
      </c>
      <c r="AE2063" s="782" t="s">
        <v>3483</v>
      </c>
      <c r="AF2063" s="781">
        <f>$S$1*P!AF2063</f>
        <v>2.1112903225806452E-2</v>
      </c>
    </row>
    <row r="2064" spans="19:32" x14ac:dyDescent="0.35">
      <c r="S2064" s="789">
        <v>2060</v>
      </c>
      <c r="T2064" s="789" t="s">
        <v>4284</v>
      </c>
      <c r="U2064" s="789" t="s">
        <v>5181</v>
      </c>
      <c r="V2064" s="790">
        <f>$S$1*P!V2064</f>
        <v>39.208000000000006</v>
      </c>
      <c r="W2064" s="780"/>
      <c r="X2064" s="881">
        <v>2060</v>
      </c>
      <c r="Y2064" s="881" t="s">
        <v>2248</v>
      </c>
      <c r="Z2064" s="881" t="s">
        <v>3215</v>
      </c>
      <c r="AA2064" s="882">
        <f>$S$1*P!AA2064</f>
        <v>0</v>
      </c>
      <c r="AB2064" s="780"/>
      <c r="AC2064" s="782">
        <v>2060</v>
      </c>
      <c r="AD2064" s="782" t="s">
        <v>4573</v>
      </c>
      <c r="AE2064" s="782" t="s">
        <v>3480</v>
      </c>
      <c r="AF2064" s="781">
        <f>$S$1*P!AF2064</f>
        <v>0.64778225806451617</v>
      </c>
    </row>
    <row r="2065" spans="19:32" x14ac:dyDescent="0.35">
      <c r="S2065" s="789">
        <v>2061</v>
      </c>
      <c r="T2065" s="789" t="s">
        <v>4284</v>
      </c>
      <c r="U2065" s="789" t="s">
        <v>3077</v>
      </c>
      <c r="V2065" s="790">
        <f>$S$1*P!V2065</f>
        <v>90.712000000000003</v>
      </c>
      <c r="W2065" s="780"/>
      <c r="X2065" s="881">
        <v>2061</v>
      </c>
      <c r="Y2065" s="881" t="s">
        <v>2248</v>
      </c>
      <c r="Z2065" s="881" t="s">
        <v>3214</v>
      </c>
      <c r="AA2065" s="882">
        <f>$S$1*P!AA2065</f>
        <v>3.0820000000000004E-2</v>
      </c>
      <c r="AB2065" s="780"/>
      <c r="AC2065" s="782">
        <v>2061</v>
      </c>
      <c r="AD2065" s="782" t="s">
        <v>4573</v>
      </c>
      <c r="AE2065" s="782" t="s">
        <v>3478</v>
      </c>
      <c r="AF2065" s="781">
        <f>$S$1*P!AF2065</f>
        <v>1.5320564516129035E-3</v>
      </c>
    </row>
    <row r="2066" spans="19:32" x14ac:dyDescent="0.35">
      <c r="S2066" s="881">
        <v>2062</v>
      </c>
      <c r="T2066" s="881" t="s">
        <v>4284</v>
      </c>
      <c r="U2066" s="881" t="s">
        <v>3077</v>
      </c>
      <c r="V2066" s="883">
        <f>$S$1*P!V2066</f>
        <v>3.8364000000000002E-2</v>
      </c>
      <c r="W2066" s="780"/>
      <c r="X2066" s="782">
        <v>2062</v>
      </c>
      <c r="Y2066" s="782" t="s">
        <v>2248</v>
      </c>
      <c r="Z2066" s="782" t="s">
        <v>5180</v>
      </c>
      <c r="AA2066" s="781">
        <f>$S$1*P!AA2066</f>
        <v>0.76431451612903234</v>
      </c>
      <c r="AB2066" s="780"/>
      <c r="AC2066" s="881">
        <v>2062</v>
      </c>
      <c r="AD2066" s="881" t="s">
        <v>4573</v>
      </c>
      <c r="AE2066" s="881" t="s">
        <v>2993</v>
      </c>
      <c r="AF2066" s="882">
        <f>$S$1*P!AF2066</f>
        <v>2.8704000000000001</v>
      </c>
    </row>
    <row r="2067" spans="19:32" x14ac:dyDescent="0.35">
      <c r="S2067" s="789">
        <v>2063</v>
      </c>
      <c r="T2067" s="789" t="s">
        <v>4284</v>
      </c>
      <c r="U2067" s="789" t="s">
        <v>5179</v>
      </c>
      <c r="V2067" s="790">
        <f>$S$1*P!V2067</f>
        <v>16.007999999999999</v>
      </c>
      <c r="W2067" s="780"/>
      <c r="X2067" s="881">
        <v>2063</v>
      </c>
      <c r="Y2067" s="881" t="s">
        <v>2248</v>
      </c>
      <c r="Z2067" s="881" t="s">
        <v>4486</v>
      </c>
      <c r="AA2067" s="882">
        <f>$S$1*P!AA2067</f>
        <v>179.59677419354841</v>
      </c>
      <c r="AB2067" s="780"/>
      <c r="AC2067" s="782">
        <v>2063</v>
      </c>
      <c r="AD2067" s="782" t="s">
        <v>4573</v>
      </c>
      <c r="AE2067" s="782" t="s">
        <v>3475</v>
      </c>
      <c r="AF2067" s="781">
        <f>$S$1*P!AF2067</f>
        <v>2.5431451612903229E-2</v>
      </c>
    </row>
    <row r="2068" spans="19:32" x14ac:dyDescent="0.35">
      <c r="S2068" s="789">
        <v>2064</v>
      </c>
      <c r="T2068" s="789" t="s">
        <v>4284</v>
      </c>
      <c r="U2068" s="789" t="s">
        <v>5178</v>
      </c>
      <c r="V2068" s="790">
        <f>$S$1*P!V2068</f>
        <v>570.72</v>
      </c>
      <c r="W2068" s="780"/>
      <c r="X2068" s="881">
        <v>2064</v>
      </c>
      <c r="Y2068" s="881" t="s">
        <v>2248</v>
      </c>
      <c r="Z2068" s="881" t="s">
        <v>4482</v>
      </c>
      <c r="AA2068" s="882">
        <f>$S$1*P!AA2068</f>
        <v>1.264717741935484E-4</v>
      </c>
      <c r="AB2068" s="780"/>
      <c r="AC2068" s="782">
        <v>2064</v>
      </c>
      <c r="AD2068" s="782" t="s">
        <v>4573</v>
      </c>
      <c r="AE2068" s="782" t="s">
        <v>3472</v>
      </c>
      <c r="AF2068" s="781">
        <f>$S$1*P!AF2068</f>
        <v>7.8487903225806458E-3</v>
      </c>
    </row>
    <row r="2069" spans="19:32" x14ac:dyDescent="0.35">
      <c r="S2069" s="782">
        <v>2065</v>
      </c>
      <c r="T2069" s="782" t="s">
        <v>4284</v>
      </c>
      <c r="U2069" s="782" t="s">
        <v>3075</v>
      </c>
      <c r="V2069" s="797">
        <f>$S$1*P!V2069</f>
        <v>9.5282258064516127E-5</v>
      </c>
      <c r="W2069" s="780"/>
      <c r="X2069" s="782">
        <v>2065</v>
      </c>
      <c r="Y2069" s="782" t="s">
        <v>2248</v>
      </c>
      <c r="Z2069" s="782" t="s">
        <v>5177</v>
      </c>
      <c r="AA2069" s="781">
        <f>$S$1*P!AA2069</f>
        <v>4.3528225806451615E-4</v>
      </c>
      <c r="AB2069" s="780"/>
      <c r="AC2069" s="782">
        <v>2065</v>
      </c>
      <c r="AD2069" s="782" t="s">
        <v>4573</v>
      </c>
      <c r="AE2069" s="782" t="s">
        <v>2992</v>
      </c>
      <c r="AF2069" s="781">
        <f>$S$1*P!AF2069</f>
        <v>5.1068548387096777E-2</v>
      </c>
    </row>
    <row r="2070" spans="19:32" x14ac:dyDescent="0.35">
      <c r="S2070" s="881">
        <v>2066</v>
      </c>
      <c r="T2070" s="881" t="s">
        <v>4284</v>
      </c>
      <c r="U2070" s="881" t="s">
        <v>3075</v>
      </c>
      <c r="V2070" s="883">
        <f>$S$1*P!V2070</f>
        <v>14.719999999999999</v>
      </c>
      <c r="W2070" s="780"/>
      <c r="X2070" s="881">
        <v>2066</v>
      </c>
      <c r="Y2070" s="881" t="s">
        <v>2248</v>
      </c>
      <c r="Z2070" s="881" t="s">
        <v>3212</v>
      </c>
      <c r="AA2070" s="882">
        <f>$S$1*P!AA2070</f>
        <v>0</v>
      </c>
      <c r="AB2070" s="780"/>
      <c r="AC2070" s="881">
        <v>2066</v>
      </c>
      <c r="AD2070" s="881" t="s">
        <v>4573</v>
      </c>
      <c r="AE2070" s="881" t="s">
        <v>2992</v>
      </c>
      <c r="AF2070" s="882">
        <f>$S$1*P!AF2070</f>
        <v>2.3460000000000002E-2</v>
      </c>
    </row>
    <row r="2071" spans="19:32" x14ac:dyDescent="0.35">
      <c r="S2071" s="789">
        <v>2067</v>
      </c>
      <c r="T2071" s="789" t="s">
        <v>4284</v>
      </c>
      <c r="U2071" s="789" t="s">
        <v>5176</v>
      </c>
      <c r="V2071" s="790">
        <f>$S$1*P!V2071</f>
        <v>170.52</v>
      </c>
      <c r="W2071" s="780"/>
      <c r="X2071" s="782">
        <v>2067</v>
      </c>
      <c r="Y2071" s="782" t="s">
        <v>2248</v>
      </c>
      <c r="Z2071" s="782" t="s">
        <v>3212</v>
      </c>
      <c r="AA2071" s="781">
        <f>$S$1*P!AA2071</f>
        <v>0.11344758064516131</v>
      </c>
      <c r="AB2071" s="780"/>
      <c r="AC2071" s="782">
        <v>2067</v>
      </c>
      <c r="AD2071" s="782" t="s">
        <v>4573</v>
      </c>
      <c r="AE2071" s="782" t="s">
        <v>3468</v>
      </c>
      <c r="AF2071" s="781">
        <f>$S$1*P!AF2071</f>
        <v>712.9032258064517</v>
      </c>
    </row>
    <row r="2072" spans="19:32" x14ac:dyDescent="0.35">
      <c r="S2072" s="789">
        <v>2068</v>
      </c>
      <c r="T2072" s="789" t="s">
        <v>4284</v>
      </c>
      <c r="U2072" s="789" t="s">
        <v>3074</v>
      </c>
      <c r="V2072" s="790">
        <f>$S$1*P!V2072</f>
        <v>0.10416800000000001</v>
      </c>
      <c r="W2072" s="780"/>
      <c r="X2072" s="782">
        <v>2068</v>
      </c>
      <c r="Y2072" s="782" t="s">
        <v>2248</v>
      </c>
      <c r="Z2072" s="782" t="s">
        <v>5175</v>
      </c>
      <c r="AA2072" s="781">
        <f>$S$1*P!AA2072</f>
        <v>1.8679435483870969E-4</v>
      </c>
      <c r="AB2072" s="780"/>
      <c r="AC2072" s="782">
        <v>2068</v>
      </c>
      <c r="AD2072" s="782" t="s">
        <v>4573</v>
      </c>
      <c r="AE2072" s="782" t="s">
        <v>3465</v>
      </c>
      <c r="AF2072" s="781">
        <f>$S$1*P!AF2072</f>
        <v>0.19707661290322581</v>
      </c>
    </row>
    <row r="2073" spans="19:32" x14ac:dyDescent="0.35">
      <c r="S2073" s="782">
        <v>2069</v>
      </c>
      <c r="T2073" s="782" t="s">
        <v>4284</v>
      </c>
      <c r="U2073" s="782" t="s">
        <v>3074</v>
      </c>
      <c r="V2073" s="797">
        <f>$S$1*P!V2073</f>
        <v>4.1814516129032259E-6</v>
      </c>
      <c r="W2073" s="780"/>
      <c r="X2073" s="881">
        <v>2069</v>
      </c>
      <c r="Y2073" s="881" t="s">
        <v>2248</v>
      </c>
      <c r="Z2073" s="881" t="s">
        <v>3210</v>
      </c>
      <c r="AA2073" s="882">
        <f>$S$1*P!AA2073</f>
        <v>0.24196000000000001</v>
      </c>
      <c r="AB2073" s="780"/>
      <c r="AC2073" s="782">
        <v>2069</v>
      </c>
      <c r="AD2073" s="782" t="s">
        <v>4573</v>
      </c>
      <c r="AE2073" s="782" t="s">
        <v>3462</v>
      </c>
      <c r="AF2073" s="781">
        <f>$S$1*P!AF2073</f>
        <v>1.1790322580645163</v>
      </c>
    </row>
    <row r="2074" spans="19:32" x14ac:dyDescent="0.35">
      <c r="S2074" s="881">
        <v>2070</v>
      </c>
      <c r="T2074" s="881" t="s">
        <v>4284</v>
      </c>
      <c r="U2074" s="881" t="s">
        <v>3074</v>
      </c>
      <c r="V2074" s="883">
        <f>$S$1*P!V2074</f>
        <v>0.31464000000000003</v>
      </c>
      <c r="W2074" s="780"/>
      <c r="X2074" s="881">
        <v>2070</v>
      </c>
      <c r="Y2074" s="881" t="s">
        <v>2248</v>
      </c>
      <c r="Z2074" s="881" t="s">
        <v>3210</v>
      </c>
      <c r="AA2074" s="882">
        <f>$S$1*P!AA2074</f>
        <v>5.8608870967741941E-3</v>
      </c>
      <c r="AB2074" s="780"/>
      <c r="AC2074" s="782">
        <v>2070</v>
      </c>
      <c r="AD2074" s="782" t="s">
        <v>4573</v>
      </c>
      <c r="AE2074" s="782" t="s">
        <v>3459</v>
      </c>
      <c r="AF2074" s="781">
        <f>$S$1*P!AF2074</f>
        <v>3.2800403225806455E-3</v>
      </c>
    </row>
    <row r="2075" spans="19:32" x14ac:dyDescent="0.35">
      <c r="S2075" s="789">
        <v>2071</v>
      </c>
      <c r="T2075" s="789" t="s">
        <v>4284</v>
      </c>
      <c r="U2075" s="789" t="s">
        <v>5174</v>
      </c>
      <c r="V2075" s="790">
        <f>$S$1*P!V2075</f>
        <v>996.44</v>
      </c>
      <c r="W2075" s="780"/>
      <c r="X2075" s="782">
        <v>2071</v>
      </c>
      <c r="Y2075" s="782" t="s">
        <v>2248</v>
      </c>
      <c r="Z2075" s="782" t="s">
        <v>4470</v>
      </c>
      <c r="AA2075" s="781">
        <f>$S$1*P!AA2075</f>
        <v>1.4189516129032259E-3</v>
      </c>
      <c r="AB2075" s="780"/>
      <c r="AC2075" s="782">
        <v>2071</v>
      </c>
      <c r="AD2075" s="782" t="s">
        <v>4573</v>
      </c>
      <c r="AE2075" s="782" t="s">
        <v>3456</v>
      </c>
      <c r="AF2075" s="781">
        <f>$S$1*P!AF2075</f>
        <v>7.9173387096774205E-3</v>
      </c>
    </row>
    <row r="2076" spans="19:32" x14ac:dyDescent="0.35">
      <c r="S2076" s="789">
        <v>2072</v>
      </c>
      <c r="T2076" s="789" t="s">
        <v>4284</v>
      </c>
      <c r="U2076" s="789" t="s">
        <v>5173</v>
      </c>
      <c r="V2076" s="790">
        <f>$S$1*P!V2076</f>
        <v>42.92</v>
      </c>
      <c r="W2076" s="780"/>
      <c r="X2076" s="782">
        <v>2072</v>
      </c>
      <c r="Y2076" s="782" t="s">
        <v>2248</v>
      </c>
      <c r="Z2076" s="782" t="s">
        <v>5172</v>
      </c>
      <c r="AA2076" s="781">
        <f>$S$1*P!AA2076</f>
        <v>9.9737903225806455E-4</v>
      </c>
      <c r="AB2076" s="780"/>
      <c r="AC2076" s="782">
        <v>2072</v>
      </c>
      <c r="AD2076" s="782" t="s">
        <v>4573</v>
      </c>
      <c r="AE2076" s="782" t="s">
        <v>3454</v>
      </c>
      <c r="AF2076" s="781">
        <f>$S$1*P!AF2076</f>
        <v>3.1532258064516129E-2</v>
      </c>
    </row>
    <row r="2077" spans="19:32" x14ac:dyDescent="0.35">
      <c r="S2077" s="789">
        <v>2073</v>
      </c>
      <c r="T2077" s="789" t="s">
        <v>4284</v>
      </c>
      <c r="U2077" s="789" t="s">
        <v>5171</v>
      </c>
      <c r="V2077" s="790">
        <f>$S$1*P!V2077</f>
        <v>1.8560000000000001</v>
      </c>
      <c r="W2077" s="780"/>
      <c r="X2077" s="881">
        <v>2073</v>
      </c>
      <c r="Y2077" s="881" t="s">
        <v>2248</v>
      </c>
      <c r="Z2077" s="881" t="s">
        <v>4466</v>
      </c>
      <c r="AA2077" s="882">
        <f>$S$1*P!AA2077</f>
        <v>1.264717741935484E-3</v>
      </c>
      <c r="AB2077" s="780"/>
      <c r="AC2077" s="782">
        <v>2073</v>
      </c>
      <c r="AD2077" s="782" t="s">
        <v>4573</v>
      </c>
      <c r="AE2077" s="782" t="s">
        <v>2991</v>
      </c>
      <c r="AF2077" s="781">
        <f>$S$1*P!AF2077</f>
        <v>1.6211693548387096E-3</v>
      </c>
    </row>
    <row r="2078" spans="19:32" x14ac:dyDescent="0.35">
      <c r="S2078" s="789">
        <v>2074</v>
      </c>
      <c r="T2078" s="789" t="s">
        <v>4284</v>
      </c>
      <c r="U2078" s="789" t="s">
        <v>5170</v>
      </c>
      <c r="V2078" s="790">
        <f>$S$1*P!V2078</f>
        <v>229.68</v>
      </c>
      <c r="W2078" s="780"/>
      <c r="X2078" s="881">
        <v>2074</v>
      </c>
      <c r="Y2078" s="881" t="s">
        <v>2248</v>
      </c>
      <c r="Z2078" s="881" t="s">
        <v>3209</v>
      </c>
      <c r="AA2078" s="882">
        <f>$S$1*P!AA2078</f>
        <v>0.97520000000000007</v>
      </c>
      <c r="AB2078" s="780"/>
      <c r="AC2078" s="881">
        <v>2074</v>
      </c>
      <c r="AD2078" s="881" t="s">
        <v>4573</v>
      </c>
      <c r="AE2078" s="881" t="s">
        <v>2991</v>
      </c>
      <c r="AF2078" s="882">
        <f>$S$1*P!AF2078</f>
        <v>22.263999999999999</v>
      </c>
    </row>
    <row r="2079" spans="19:32" x14ac:dyDescent="0.35">
      <c r="S2079" s="789">
        <v>2075</v>
      </c>
      <c r="T2079" s="789" t="s">
        <v>4284</v>
      </c>
      <c r="U2079" s="789" t="s">
        <v>3073</v>
      </c>
      <c r="V2079" s="790">
        <f>$S$1*P!V2079</f>
        <v>56.956000000000003</v>
      </c>
      <c r="W2079" s="780"/>
      <c r="X2079" s="782">
        <v>2075</v>
      </c>
      <c r="Y2079" s="782" t="s">
        <v>2248</v>
      </c>
      <c r="Z2079" s="782" t="s">
        <v>5169</v>
      </c>
      <c r="AA2079" s="781">
        <f>$S$1*P!AA2079</f>
        <v>5.1754032258064519E-5</v>
      </c>
      <c r="AB2079" s="780"/>
      <c r="AC2079" s="782">
        <v>2075</v>
      </c>
      <c r="AD2079" s="782" t="s">
        <v>4573</v>
      </c>
      <c r="AE2079" s="782" t="s">
        <v>3449</v>
      </c>
      <c r="AF2079" s="781">
        <f>$S$1*P!AF2079</f>
        <v>1.9262096774193551E-3</v>
      </c>
    </row>
    <row r="2080" spans="19:32" x14ac:dyDescent="0.35">
      <c r="S2080" s="881">
        <v>2076</v>
      </c>
      <c r="T2080" s="881" t="s">
        <v>4284</v>
      </c>
      <c r="U2080" s="881" t="s">
        <v>3073</v>
      </c>
      <c r="V2080" s="883">
        <f>$S$1*P!V2080</f>
        <v>0</v>
      </c>
      <c r="W2080" s="780"/>
      <c r="X2080" s="782">
        <v>2076</v>
      </c>
      <c r="Y2080" s="782" t="s">
        <v>2248</v>
      </c>
      <c r="Z2080" s="782" t="s">
        <v>4462</v>
      </c>
      <c r="AA2080" s="781">
        <f>$S$1*P!AA2080</f>
        <v>1.4258064516129033E-5</v>
      </c>
      <c r="AB2080" s="780"/>
      <c r="AC2080" s="782">
        <v>2076</v>
      </c>
      <c r="AD2080" s="782" t="s">
        <v>4573</v>
      </c>
      <c r="AE2080" s="782" t="s">
        <v>2989</v>
      </c>
      <c r="AF2080" s="781">
        <f>$S$1*P!AF2080</f>
        <v>5.895161290322581E-5</v>
      </c>
    </row>
    <row r="2081" spans="19:32" x14ac:dyDescent="0.35">
      <c r="S2081" s="789">
        <v>2077</v>
      </c>
      <c r="T2081" s="789" t="s">
        <v>4284</v>
      </c>
      <c r="U2081" s="789" t="s">
        <v>5168</v>
      </c>
      <c r="V2081" s="790">
        <f>$S$1*P!V2081</f>
        <v>6.7280000000000006</v>
      </c>
      <c r="W2081" s="780"/>
      <c r="X2081" s="881">
        <v>2077</v>
      </c>
      <c r="Y2081" s="881" t="s">
        <v>2248</v>
      </c>
      <c r="Z2081" s="881" t="s">
        <v>4457</v>
      </c>
      <c r="AA2081" s="882">
        <f>$S$1*P!AA2081</f>
        <v>1.9639112903225807E-2</v>
      </c>
      <c r="AB2081" s="780"/>
      <c r="AC2081" s="881">
        <v>2077</v>
      </c>
      <c r="AD2081" s="881" t="s">
        <v>4573</v>
      </c>
      <c r="AE2081" s="881" t="s">
        <v>2989</v>
      </c>
      <c r="AF2081" s="882">
        <f>$S$1*P!AF2081</f>
        <v>3.2936E-2</v>
      </c>
    </row>
    <row r="2082" spans="19:32" x14ac:dyDescent="0.35">
      <c r="S2082" s="789">
        <v>2078</v>
      </c>
      <c r="T2082" s="789" t="s">
        <v>4284</v>
      </c>
      <c r="U2082" s="789" t="s">
        <v>3072</v>
      </c>
      <c r="V2082" s="790">
        <f>$S$1*P!V2082</f>
        <v>9.1639999999999997</v>
      </c>
      <c r="W2082" s="780"/>
      <c r="X2082" s="881">
        <v>2078</v>
      </c>
      <c r="Y2082" s="881" t="s">
        <v>2248</v>
      </c>
      <c r="Z2082" s="881" t="s">
        <v>4453</v>
      </c>
      <c r="AA2082" s="882">
        <f>$S$1*P!AA2082</f>
        <v>3.8729838709677424E-3</v>
      </c>
      <c r="AB2082" s="780"/>
      <c r="AC2082" s="782">
        <v>2078</v>
      </c>
      <c r="AD2082" s="782" t="s">
        <v>4573</v>
      </c>
      <c r="AE2082" s="782" t="s">
        <v>3445</v>
      </c>
      <c r="AF2082" s="781">
        <f>$S$1*P!AF2082</f>
        <v>2.8036290322580646</v>
      </c>
    </row>
    <row r="2083" spans="19:32" x14ac:dyDescent="0.35">
      <c r="S2083" s="782">
        <v>2079</v>
      </c>
      <c r="T2083" s="782" t="s">
        <v>4284</v>
      </c>
      <c r="U2083" s="782" t="s">
        <v>3072</v>
      </c>
      <c r="V2083" s="797">
        <f>$S$1*P!V2083</f>
        <v>1.1618951612903228E-5</v>
      </c>
      <c r="W2083" s="780"/>
      <c r="X2083" s="782">
        <v>2079</v>
      </c>
      <c r="Y2083" s="782" t="s">
        <v>2248</v>
      </c>
      <c r="Z2083" s="782" t="s">
        <v>5167</v>
      </c>
      <c r="AA2083" s="781">
        <f>$S$1*P!AA2083</f>
        <v>2.3203629032258069E-5</v>
      </c>
      <c r="AB2083" s="780"/>
      <c r="AC2083" s="782">
        <v>2079</v>
      </c>
      <c r="AD2083" s="782" t="s">
        <v>4573</v>
      </c>
      <c r="AE2083" s="782" t="s">
        <v>2987</v>
      </c>
      <c r="AF2083" s="781">
        <f>$S$1*P!AF2083</f>
        <v>1.3298387096774195E-2</v>
      </c>
    </row>
    <row r="2084" spans="19:32" x14ac:dyDescent="0.35">
      <c r="S2084" s="881">
        <v>2080</v>
      </c>
      <c r="T2084" s="881" t="s">
        <v>4284</v>
      </c>
      <c r="U2084" s="881" t="s">
        <v>3072</v>
      </c>
      <c r="V2084" s="883">
        <f>$S$1*P!V2084</f>
        <v>3.6248000000000002E-2</v>
      </c>
      <c r="W2084" s="780"/>
      <c r="X2084" s="881">
        <v>2080</v>
      </c>
      <c r="Y2084" s="881" t="s">
        <v>2248</v>
      </c>
      <c r="Z2084" s="881" t="s">
        <v>3207</v>
      </c>
      <c r="AA2084" s="882">
        <f>$S$1*P!AA2084</f>
        <v>0</v>
      </c>
      <c r="AB2084" s="780"/>
      <c r="AC2084" s="881">
        <v>2080</v>
      </c>
      <c r="AD2084" s="881" t="s">
        <v>4573</v>
      </c>
      <c r="AE2084" s="881" t="s">
        <v>2987</v>
      </c>
      <c r="AF2084" s="882">
        <f>$S$1*P!AF2084</f>
        <v>0.30176000000000003</v>
      </c>
    </row>
    <row r="2085" spans="19:32" x14ac:dyDescent="0.35">
      <c r="S2085" s="789">
        <v>2081</v>
      </c>
      <c r="T2085" s="789" t="s">
        <v>4284</v>
      </c>
      <c r="U2085" s="789" t="s">
        <v>3071</v>
      </c>
      <c r="V2085" s="790">
        <f>$S$1*P!V2085</f>
        <v>61.132000000000005</v>
      </c>
      <c r="W2085" s="780"/>
      <c r="X2085" s="881">
        <v>2081</v>
      </c>
      <c r="Y2085" s="881" t="s">
        <v>2248</v>
      </c>
      <c r="Z2085" s="881" t="s">
        <v>3207</v>
      </c>
      <c r="AA2085" s="882">
        <f>$S$1*P!AA2085</f>
        <v>0.19125</v>
      </c>
      <c r="AB2085" s="780"/>
      <c r="AC2085" s="881">
        <v>2081</v>
      </c>
      <c r="AD2085" s="881" t="s">
        <v>4573</v>
      </c>
      <c r="AE2085" s="881" t="s">
        <v>2986</v>
      </c>
      <c r="AF2085" s="882">
        <f>$S$1*P!AF2085</f>
        <v>0.29808000000000001</v>
      </c>
    </row>
    <row r="2086" spans="19:32" x14ac:dyDescent="0.35">
      <c r="S2086" s="881">
        <v>2082</v>
      </c>
      <c r="T2086" s="881" t="s">
        <v>4284</v>
      </c>
      <c r="U2086" s="881" t="s">
        <v>3071</v>
      </c>
      <c r="V2086" s="883">
        <f>$S$1*P!V2086</f>
        <v>0</v>
      </c>
      <c r="W2086" s="780"/>
      <c r="X2086" s="782">
        <v>2082</v>
      </c>
      <c r="Y2086" s="782" t="s">
        <v>2248</v>
      </c>
      <c r="Z2086" s="782" t="s">
        <v>5166</v>
      </c>
      <c r="AA2086" s="781">
        <f>$S$1*P!AA2086</f>
        <v>1.4875000000000001E-5</v>
      </c>
      <c r="AB2086" s="780"/>
      <c r="AC2086" s="782">
        <v>2082</v>
      </c>
      <c r="AD2086" s="782" t="s">
        <v>4573</v>
      </c>
      <c r="AE2086" s="782" t="s">
        <v>3440</v>
      </c>
      <c r="AF2086" s="781">
        <f>$S$1*P!AF2086</f>
        <v>1.6965725806451614E-3</v>
      </c>
    </row>
    <row r="2087" spans="19:32" x14ac:dyDescent="0.35">
      <c r="S2087" s="881">
        <v>2083</v>
      </c>
      <c r="T2087" s="881" t="s">
        <v>4284</v>
      </c>
      <c r="U2087" s="881" t="s">
        <v>3069</v>
      </c>
      <c r="V2087" s="883">
        <f>$S$1*P!V2087</f>
        <v>1.5731999999999999</v>
      </c>
      <c r="W2087" s="780"/>
      <c r="X2087" s="881">
        <v>2083</v>
      </c>
      <c r="Y2087" s="881" t="s">
        <v>2248</v>
      </c>
      <c r="Z2087" s="881" t="s">
        <v>4443</v>
      </c>
      <c r="AA2087" s="882">
        <f>$S$1*P!AA2087</f>
        <v>6.1008064516129041E-5</v>
      </c>
      <c r="AB2087" s="780"/>
      <c r="AC2087" s="881">
        <v>2083</v>
      </c>
      <c r="AD2087" s="881" t="s">
        <v>4573</v>
      </c>
      <c r="AE2087" s="881" t="s">
        <v>2984</v>
      </c>
      <c r="AF2087" s="882">
        <f>$S$1*P!AF2087</f>
        <v>2.8704000000000001</v>
      </c>
    </row>
    <row r="2088" spans="19:32" x14ac:dyDescent="0.35">
      <c r="S2088" s="789">
        <v>2084</v>
      </c>
      <c r="T2088" s="789" t="s">
        <v>4284</v>
      </c>
      <c r="U2088" s="789" t="s">
        <v>5165</v>
      </c>
      <c r="V2088" s="790">
        <f>$S$1*P!V2088</f>
        <v>14.152000000000001</v>
      </c>
      <c r="W2088" s="780"/>
      <c r="X2088" s="782">
        <v>2084</v>
      </c>
      <c r="Y2088" s="782" t="s">
        <v>2248</v>
      </c>
      <c r="Z2088" s="782" t="s">
        <v>4437</v>
      </c>
      <c r="AA2088" s="781">
        <f>$S$1*P!AA2088</f>
        <v>9.1512096774193554E-3</v>
      </c>
      <c r="AB2088" s="780"/>
      <c r="AC2088" s="881">
        <v>2084</v>
      </c>
      <c r="AD2088" s="881" t="s">
        <v>4573</v>
      </c>
      <c r="AE2088" s="881" t="s">
        <v>2983</v>
      </c>
      <c r="AF2088" s="882">
        <f>$S$1*P!AF2088</f>
        <v>0</v>
      </c>
    </row>
    <row r="2089" spans="19:32" x14ac:dyDescent="0.35">
      <c r="S2089" s="881">
        <v>2085</v>
      </c>
      <c r="T2089" s="881" t="s">
        <v>4284</v>
      </c>
      <c r="U2089" s="881" t="s">
        <v>3068</v>
      </c>
      <c r="V2089" s="883">
        <f>$S$1*P!V2089</f>
        <v>0.16836000000000001</v>
      </c>
      <c r="W2089" s="780"/>
      <c r="X2089" s="782">
        <v>2085</v>
      </c>
      <c r="Y2089" s="782" t="s">
        <v>2248</v>
      </c>
      <c r="Z2089" s="782" t="s">
        <v>5164</v>
      </c>
      <c r="AA2089" s="781">
        <f>$S$1*P!AA2089</f>
        <v>1.1687500000000001E-4</v>
      </c>
      <c r="AB2089" s="780"/>
      <c r="AC2089" s="782">
        <v>2085</v>
      </c>
      <c r="AD2089" s="782" t="s">
        <v>4573</v>
      </c>
      <c r="AE2089" s="782" t="s">
        <v>3437</v>
      </c>
      <c r="AF2089" s="781">
        <f>$S$1*P!AF2089</f>
        <v>0.1110483870967742</v>
      </c>
    </row>
    <row r="2090" spans="19:32" x14ac:dyDescent="0.35">
      <c r="S2090" s="881">
        <v>2086</v>
      </c>
      <c r="T2090" s="881" t="s">
        <v>4284</v>
      </c>
      <c r="U2090" s="881" t="s">
        <v>3066</v>
      </c>
      <c r="V2090" s="883">
        <f>$S$1*P!V2090</f>
        <v>2.3643999999999998E-2</v>
      </c>
      <c r="W2090" s="780"/>
      <c r="X2090" s="881">
        <v>2086</v>
      </c>
      <c r="Y2090" s="881" t="s">
        <v>2248</v>
      </c>
      <c r="Z2090" s="881" t="s">
        <v>4432</v>
      </c>
      <c r="AA2090" s="882">
        <f>$S$1*P!AA2090</f>
        <v>1.3572580645161292E-6</v>
      </c>
      <c r="AB2090" s="780"/>
      <c r="AC2090" s="881">
        <v>2086</v>
      </c>
      <c r="AD2090" s="881" t="s">
        <v>4573</v>
      </c>
      <c r="AE2090" s="881" t="s">
        <v>2981</v>
      </c>
      <c r="AF2090" s="882">
        <f>$S$1*P!AF2090</f>
        <v>0</v>
      </c>
    </row>
    <row r="2091" spans="19:32" x14ac:dyDescent="0.35">
      <c r="S2091" s="789">
        <v>2087</v>
      </c>
      <c r="T2091" s="789" t="s">
        <v>4284</v>
      </c>
      <c r="U2091" s="789" t="s">
        <v>5163</v>
      </c>
      <c r="V2091" s="790">
        <f>$S$1*P!V2091</f>
        <v>889.72</v>
      </c>
      <c r="W2091" s="780"/>
      <c r="X2091" s="881">
        <v>2087</v>
      </c>
      <c r="Y2091" s="881" t="s">
        <v>2248</v>
      </c>
      <c r="Z2091" s="881" t="s">
        <v>3206</v>
      </c>
      <c r="AA2091" s="882">
        <f>$S$1*P!AA2091</f>
        <v>1.6652</v>
      </c>
      <c r="AB2091" s="780"/>
      <c r="AC2091" s="782">
        <v>2087</v>
      </c>
      <c r="AD2091" s="782" t="s">
        <v>4573</v>
      </c>
      <c r="AE2091" s="782" t="s">
        <v>3434</v>
      </c>
      <c r="AF2091" s="781">
        <f>$S$1*P!AF2091</f>
        <v>1.9810483870967743E-2</v>
      </c>
    </row>
    <row r="2092" spans="19:32" x14ac:dyDescent="0.35">
      <c r="S2092" s="782">
        <v>2088</v>
      </c>
      <c r="T2092" s="782" t="s">
        <v>4284</v>
      </c>
      <c r="U2092" s="782" t="s">
        <v>3906</v>
      </c>
      <c r="V2092" s="797">
        <f>$S$1*P!V2092</f>
        <v>2.5191532258064516E-6</v>
      </c>
      <c r="W2092" s="780"/>
      <c r="X2092" s="782">
        <v>2088</v>
      </c>
      <c r="Y2092" s="782" t="s">
        <v>2248</v>
      </c>
      <c r="Z2092" s="782" t="s">
        <v>5162</v>
      </c>
      <c r="AA2092" s="781">
        <f>$S$1*P!AA2092</f>
        <v>4.2842741935483874E-6</v>
      </c>
      <c r="AB2092" s="780"/>
      <c r="AC2092" s="881">
        <v>2088</v>
      </c>
      <c r="AD2092" s="881" t="s">
        <v>4573</v>
      </c>
      <c r="AE2092" s="881" t="s">
        <v>2980</v>
      </c>
      <c r="AF2092" s="882">
        <f>$S$1*P!AF2092</f>
        <v>28.796000000000003</v>
      </c>
    </row>
    <row r="2093" spans="19:32" x14ac:dyDescent="0.35">
      <c r="S2093" s="789">
        <v>2089</v>
      </c>
      <c r="T2093" s="789" t="s">
        <v>4284</v>
      </c>
      <c r="U2093" s="789" t="s">
        <v>5161</v>
      </c>
      <c r="V2093" s="790">
        <f>$S$1*P!V2093</f>
        <v>0.46400000000000002</v>
      </c>
      <c r="W2093" s="780"/>
      <c r="X2093" s="881">
        <v>2089</v>
      </c>
      <c r="Y2093" s="881" t="s">
        <v>2248</v>
      </c>
      <c r="Z2093" s="881" t="s">
        <v>3204</v>
      </c>
      <c r="AA2093" s="882">
        <f>$S$1*P!AA2093</f>
        <v>0</v>
      </c>
      <c r="AB2093" s="780"/>
      <c r="AC2093" s="881">
        <v>2089</v>
      </c>
      <c r="AD2093" s="881" t="s">
        <v>4573</v>
      </c>
      <c r="AE2093" s="881" t="s">
        <v>2978</v>
      </c>
      <c r="AF2093" s="882">
        <f>$S$1*P!AF2093</f>
        <v>9.66</v>
      </c>
    </row>
    <row r="2094" spans="19:32" x14ac:dyDescent="0.35">
      <c r="S2094" s="782">
        <v>2090</v>
      </c>
      <c r="T2094" s="782" t="s">
        <v>4284</v>
      </c>
      <c r="U2094" s="782" t="s">
        <v>3065</v>
      </c>
      <c r="V2094" s="797">
        <f>$S$1*P!V2094</f>
        <v>4.9697580645161293E-4</v>
      </c>
      <c r="W2094" s="780"/>
      <c r="X2094" s="782">
        <v>2090</v>
      </c>
      <c r="Y2094" s="782" t="s">
        <v>2248</v>
      </c>
      <c r="Z2094" s="782" t="s">
        <v>3204</v>
      </c>
      <c r="AA2094" s="781">
        <f>$S$1*P!AA2094</f>
        <v>1.3058467741935485E-4</v>
      </c>
      <c r="AB2094" s="780"/>
      <c r="AC2094" s="782">
        <v>2090</v>
      </c>
      <c r="AD2094" s="782" t="s">
        <v>4573</v>
      </c>
      <c r="AE2094" s="782" t="s">
        <v>2977</v>
      </c>
      <c r="AF2094" s="781">
        <f>$S$1*P!AF2094</f>
        <v>9.6995967741935488E-2</v>
      </c>
    </row>
    <row r="2095" spans="19:32" x14ac:dyDescent="0.35">
      <c r="S2095" s="881">
        <v>2091</v>
      </c>
      <c r="T2095" s="881" t="s">
        <v>4284</v>
      </c>
      <c r="U2095" s="881" t="s">
        <v>3065</v>
      </c>
      <c r="V2095" s="883">
        <f>$S$1*P!V2095</f>
        <v>1.0211999999999999</v>
      </c>
      <c r="W2095" s="780"/>
      <c r="X2095" s="881">
        <v>2091</v>
      </c>
      <c r="Y2095" s="881" t="s">
        <v>2248</v>
      </c>
      <c r="Z2095" s="881" t="s">
        <v>4420</v>
      </c>
      <c r="AA2095" s="882">
        <f>$S$1*P!AA2095</f>
        <v>2.2209677419354839E-3</v>
      </c>
      <c r="AB2095" s="780"/>
      <c r="AC2095" s="881">
        <v>2091</v>
      </c>
      <c r="AD2095" s="881" t="s">
        <v>4573</v>
      </c>
      <c r="AE2095" s="881" t="s">
        <v>2977</v>
      </c>
      <c r="AF2095" s="882">
        <f>$S$1*P!AF2095</f>
        <v>0</v>
      </c>
    </row>
    <row r="2096" spans="19:32" x14ac:dyDescent="0.35">
      <c r="S2096" s="789">
        <v>2092</v>
      </c>
      <c r="T2096" s="789" t="s">
        <v>4284</v>
      </c>
      <c r="U2096" s="789" t="s">
        <v>5160</v>
      </c>
      <c r="V2096" s="790">
        <f>$S$1*P!V2096</f>
        <v>1287.6000000000001</v>
      </c>
      <c r="W2096" s="780"/>
      <c r="X2096" s="782">
        <v>2092</v>
      </c>
      <c r="Y2096" s="782" t="s">
        <v>2248</v>
      </c>
      <c r="Z2096" s="782" t="s">
        <v>5159</v>
      </c>
      <c r="AA2096" s="781">
        <f>$S$1*P!AA2096</f>
        <v>2.5602822580645163E-5</v>
      </c>
      <c r="AB2096" s="780"/>
      <c r="AC2096" s="782">
        <v>2092</v>
      </c>
      <c r="AD2096" s="782" t="s">
        <v>4573</v>
      </c>
      <c r="AE2096" s="782" t="s">
        <v>2975</v>
      </c>
      <c r="AF2096" s="781">
        <f>$S$1*P!AF2096</f>
        <v>7.3004032258064522E-6</v>
      </c>
    </row>
    <row r="2097" spans="19:32" x14ac:dyDescent="0.35">
      <c r="S2097" s="782">
        <v>2093</v>
      </c>
      <c r="T2097" s="782" t="s">
        <v>4284</v>
      </c>
      <c r="U2097" s="782" t="s">
        <v>3064</v>
      </c>
      <c r="V2097" s="797">
        <f>$S$1*P!V2097</f>
        <v>1.7891129032258064E-4</v>
      </c>
      <c r="W2097" s="780"/>
      <c r="X2097" s="881">
        <v>2093</v>
      </c>
      <c r="Y2097" s="881" t="s">
        <v>2248</v>
      </c>
      <c r="Z2097" s="881" t="s">
        <v>3203</v>
      </c>
      <c r="AA2097" s="882">
        <f>$S$1*P!AA2097</f>
        <v>0.70748</v>
      </c>
      <c r="AB2097" s="780"/>
      <c r="AC2097" s="881">
        <v>2093</v>
      </c>
      <c r="AD2097" s="881" t="s">
        <v>4573</v>
      </c>
      <c r="AE2097" s="881" t="s">
        <v>2975</v>
      </c>
      <c r="AF2097" s="882">
        <f>$S$1*P!AF2097</f>
        <v>0</v>
      </c>
    </row>
    <row r="2098" spans="19:32" x14ac:dyDescent="0.35">
      <c r="S2098" s="881">
        <v>2094</v>
      </c>
      <c r="T2098" s="881" t="s">
        <v>4284</v>
      </c>
      <c r="U2098" s="881" t="s">
        <v>3064</v>
      </c>
      <c r="V2098" s="883">
        <f>$S$1*P!V2098</f>
        <v>1.6468</v>
      </c>
      <c r="W2098" s="780"/>
      <c r="X2098" s="782">
        <v>2094</v>
      </c>
      <c r="Y2098" s="782" t="s">
        <v>2248</v>
      </c>
      <c r="Z2098" s="782" t="s">
        <v>3203</v>
      </c>
      <c r="AA2098" s="781">
        <f>$S$1*P!AA2098</f>
        <v>6.0322580645161293E-2</v>
      </c>
      <c r="AB2098" s="780"/>
      <c r="AC2098" s="782">
        <v>2094</v>
      </c>
      <c r="AD2098" s="782" t="s">
        <v>4573</v>
      </c>
      <c r="AE2098" s="782" t="s">
        <v>2973</v>
      </c>
      <c r="AF2098" s="781">
        <f>$S$1*P!AF2098</f>
        <v>7.0604838709677426E-3</v>
      </c>
    </row>
    <row r="2099" spans="19:32" x14ac:dyDescent="0.35">
      <c r="S2099" s="789">
        <v>2095</v>
      </c>
      <c r="T2099" s="789" t="s">
        <v>4284</v>
      </c>
      <c r="U2099" s="789" t="s">
        <v>5158</v>
      </c>
      <c r="V2099" s="790">
        <f>$S$1*P!V2099</f>
        <v>367.72</v>
      </c>
      <c r="W2099" s="780"/>
      <c r="X2099" s="782">
        <v>2095</v>
      </c>
      <c r="Y2099" s="782" t="s">
        <v>2248</v>
      </c>
      <c r="Z2099" s="782" t="s">
        <v>5157</v>
      </c>
      <c r="AA2099" s="781">
        <f>$S$1*P!AA2099</f>
        <v>1.1756048387096775E-4</v>
      </c>
      <c r="AB2099" s="780"/>
      <c r="AC2099" s="881">
        <v>2095</v>
      </c>
      <c r="AD2099" s="881" t="s">
        <v>4573</v>
      </c>
      <c r="AE2099" s="881" t="s">
        <v>2973</v>
      </c>
      <c r="AF2099" s="882">
        <f>$S$1*P!AF2099</f>
        <v>9.3840000000000003</v>
      </c>
    </row>
    <row r="2100" spans="19:32" x14ac:dyDescent="0.35">
      <c r="S2100" s="782">
        <v>2096</v>
      </c>
      <c r="T2100" s="782" t="s">
        <v>4284</v>
      </c>
      <c r="U2100" s="782" t="s">
        <v>3900</v>
      </c>
      <c r="V2100" s="797">
        <f>$S$1*P!V2100</f>
        <v>6.0322580645161295E-5</v>
      </c>
      <c r="W2100" s="780"/>
      <c r="X2100" s="881">
        <v>2096</v>
      </c>
      <c r="Y2100" s="881" t="s">
        <v>2248</v>
      </c>
      <c r="Z2100" s="881" t="s">
        <v>4415</v>
      </c>
      <c r="AA2100" s="882">
        <f>$S$1*P!AA2100</f>
        <v>5.5524193548387099E-3</v>
      </c>
      <c r="AB2100" s="780"/>
      <c r="AC2100" s="881">
        <v>2096</v>
      </c>
      <c r="AD2100" s="881" t="s">
        <v>4573</v>
      </c>
      <c r="AE2100" s="881" t="s">
        <v>2972</v>
      </c>
      <c r="AF2100" s="882">
        <f>$S$1*P!AF2100</f>
        <v>0</v>
      </c>
    </row>
    <row r="2101" spans="19:32" x14ac:dyDescent="0.35">
      <c r="S2101" s="881">
        <v>2097</v>
      </c>
      <c r="T2101" s="881" t="s">
        <v>4284</v>
      </c>
      <c r="U2101" s="881" t="s">
        <v>3063</v>
      </c>
      <c r="V2101" s="883">
        <f>$S$1*P!V2101</f>
        <v>5060</v>
      </c>
      <c r="W2101" s="780"/>
      <c r="X2101" s="881">
        <v>2097</v>
      </c>
      <c r="Y2101" s="881" t="s">
        <v>2248</v>
      </c>
      <c r="Z2101" s="881" t="s">
        <v>4413</v>
      </c>
      <c r="AA2101" s="882">
        <f>$S$1*P!AA2101</f>
        <v>1.6862903225806454E-3</v>
      </c>
      <c r="AB2101" s="780"/>
      <c r="AC2101" s="881">
        <v>2097</v>
      </c>
      <c r="AD2101" s="881" t="s">
        <v>4573</v>
      </c>
      <c r="AE2101" s="881" t="s">
        <v>2970</v>
      </c>
      <c r="AF2101" s="882">
        <f>$S$1*P!AF2101</f>
        <v>9.8440000000000008E-4</v>
      </c>
    </row>
    <row r="2102" spans="19:32" x14ac:dyDescent="0.35">
      <c r="S2102" s="897">
        <v>2098</v>
      </c>
      <c r="T2102" s="897" t="s">
        <v>4284</v>
      </c>
      <c r="U2102" s="898" t="s">
        <v>3061</v>
      </c>
      <c r="V2102" s="899">
        <f>$S$1*P!V2102</f>
        <v>3.6059000000000001</v>
      </c>
      <c r="W2102" s="780"/>
      <c r="X2102" s="782">
        <v>2098</v>
      </c>
      <c r="Y2102" s="782" t="s">
        <v>2248</v>
      </c>
      <c r="Z2102" s="782" t="s">
        <v>5156</v>
      </c>
      <c r="AA2102" s="781">
        <f>$S$1*P!AA2102</f>
        <v>1.6143145161290324E-5</v>
      </c>
      <c r="AB2102" s="780"/>
      <c r="AC2102" s="782">
        <v>2098</v>
      </c>
      <c r="AD2102" s="782" t="s">
        <v>4573</v>
      </c>
      <c r="AE2102" s="782" t="s">
        <v>3426</v>
      </c>
      <c r="AF2102" s="781">
        <f>$S$1*P!AF2102</f>
        <v>4.8669354838709681E-4</v>
      </c>
    </row>
    <row r="2103" spans="19:32" x14ac:dyDescent="0.35">
      <c r="S2103" s="782">
        <v>2099</v>
      </c>
      <c r="T2103" s="782" t="s">
        <v>4284</v>
      </c>
      <c r="U2103" s="782" t="s">
        <v>3061</v>
      </c>
      <c r="V2103" s="797">
        <f>$S$1*P!V2103</f>
        <v>4.2157258064516133E-6</v>
      </c>
      <c r="W2103" s="780"/>
      <c r="X2103" s="881">
        <v>2099</v>
      </c>
      <c r="Y2103" s="881" t="s">
        <v>2248</v>
      </c>
      <c r="Z2103" s="881" t="s">
        <v>4412</v>
      </c>
      <c r="AA2103" s="882">
        <f>$S$1*P!AA2103</f>
        <v>1.0350806451612904E-4</v>
      </c>
      <c r="AB2103" s="780"/>
      <c r="AC2103" s="782">
        <v>2099</v>
      </c>
      <c r="AD2103" s="782" t="s">
        <v>4573</v>
      </c>
      <c r="AE2103" s="782" t="s">
        <v>3424</v>
      </c>
      <c r="AF2103" s="781">
        <f>$S$1*P!AF2103</f>
        <v>1.6828629032258067E-4</v>
      </c>
    </row>
    <row r="2104" spans="19:32" x14ac:dyDescent="0.35">
      <c r="S2104" s="881">
        <v>2100</v>
      </c>
      <c r="T2104" s="881" t="s">
        <v>4284</v>
      </c>
      <c r="U2104" s="881" t="s">
        <v>3061</v>
      </c>
      <c r="V2104" s="883">
        <f>$S$1*P!V2104</f>
        <v>1.9228000000000001E-3</v>
      </c>
      <c r="W2104" s="780"/>
      <c r="X2104" s="881">
        <v>2100</v>
      </c>
      <c r="Y2104" s="881" t="s">
        <v>2248</v>
      </c>
      <c r="Z2104" s="881" t="s">
        <v>4410</v>
      </c>
      <c r="AA2104" s="882">
        <f>$S$1*P!AA2104</f>
        <v>6.6834677419354838E-2</v>
      </c>
      <c r="AB2104" s="780"/>
      <c r="AC2104" s="782">
        <v>2100</v>
      </c>
      <c r="AD2104" s="782" t="s">
        <v>4573</v>
      </c>
      <c r="AE2104" s="782" t="s">
        <v>3421</v>
      </c>
      <c r="AF2104" s="781">
        <f>$S$1*P!AF2104</f>
        <v>5.5866935483870977E-4</v>
      </c>
    </row>
    <row r="2105" spans="19:32" x14ac:dyDescent="0.35">
      <c r="S2105" s="782">
        <v>2101</v>
      </c>
      <c r="T2105" s="782" t="s">
        <v>4284</v>
      </c>
      <c r="U2105" s="782" t="s">
        <v>3896</v>
      </c>
      <c r="V2105" s="797">
        <f>$S$1*P!V2105</f>
        <v>2.7590725806451619E-4</v>
      </c>
      <c r="W2105" s="780"/>
      <c r="X2105" s="782">
        <v>2101</v>
      </c>
      <c r="Y2105" s="782" t="s">
        <v>2248</v>
      </c>
      <c r="Z2105" s="782" t="s">
        <v>4408</v>
      </c>
      <c r="AA2105" s="781">
        <f>$S$1*P!AA2105</f>
        <v>7.8145161290322585E-4</v>
      </c>
      <c r="AB2105" s="780"/>
      <c r="AC2105" s="782">
        <v>2101</v>
      </c>
      <c r="AD2105" s="782" t="s">
        <v>4573</v>
      </c>
      <c r="AE2105" s="782" t="s">
        <v>3418</v>
      </c>
      <c r="AF2105" s="781">
        <f>$S$1*P!AF2105</f>
        <v>1.3538306451612904E-3</v>
      </c>
    </row>
    <row r="2106" spans="19:32" x14ac:dyDescent="0.35">
      <c r="S2106" s="782">
        <v>2102</v>
      </c>
      <c r="T2106" s="782" t="s">
        <v>4284</v>
      </c>
      <c r="U2106" s="782" t="s">
        <v>3893</v>
      </c>
      <c r="V2106" s="797">
        <f>$S$1*P!V2106</f>
        <v>3.7701612903225815E-5</v>
      </c>
      <c r="W2106" s="780"/>
      <c r="X2106" s="782">
        <v>2102</v>
      </c>
      <c r="Y2106" s="782" t="s">
        <v>2248</v>
      </c>
      <c r="Z2106" s="782" t="s">
        <v>5155</v>
      </c>
      <c r="AA2106" s="781">
        <f>$S$1*P!AA2106</f>
        <v>2.5225806451612902E-3</v>
      </c>
      <c r="AB2106" s="780"/>
      <c r="AC2106" s="782">
        <v>2102</v>
      </c>
      <c r="AD2106" s="782" t="s">
        <v>4573</v>
      </c>
      <c r="AE2106" s="782" t="s">
        <v>3415</v>
      </c>
      <c r="AF2106" s="781">
        <f>$S$1*P!AF2106</f>
        <v>1.2098790322580646E-3</v>
      </c>
    </row>
    <row r="2107" spans="19:32" x14ac:dyDescent="0.35">
      <c r="S2107" s="782">
        <v>2103</v>
      </c>
      <c r="T2107" s="782" t="s">
        <v>4284</v>
      </c>
      <c r="U2107" s="782" t="s">
        <v>3891</v>
      </c>
      <c r="V2107" s="797">
        <f>$S$1*P!V2107</f>
        <v>4.1471774193548393E-6</v>
      </c>
      <c r="W2107" s="780"/>
      <c r="X2107" s="881">
        <v>2103</v>
      </c>
      <c r="Y2107" s="881" t="s">
        <v>2248</v>
      </c>
      <c r="Z2107" s="881" t="s">
        <v>4406</v>
      </c>
      <c r="AA2107" s="882">
        <f>$S$1*P!AA2107</f>
        <v>9.116935483870969E-3</v>
      </c>
      <c r="AB2107" s="780"/>
      <c r="AC2107" s="782">
        <v>2103</v>
      </c>
      <c r="AD2107" s="782" t="s">
        <v>4573</v>
      </c>
      <c r="AE2107" s="782" t="s">
        <v>3412</v>
      </c>
      <c r="AF2107" s="781">
        <f>$S$1*P!AF2107</f>
        <v>1.1002016129032259E-2</v>
      </c>
    </row>
    <row r="2108" spans="19:32" x14ac:dyDescent="0.35">
      <c r="S2108" s="782">
        <v>2104</v>
      </c>
      <c r="T2108" s="782" t="s">
        <v>4284</v>
      </c>
      <c r="U2108" s="782" t="s">
        <v>3888</v>
      </c>
      <c r="V2108" s="797">
        <f>$S$1*P!V2108</f>
        <v>2.268951612903226E-6</v>
      </c>
      <c r="W2108" s="780"/>
      <c r="X2108" s="881">
        <v>2104</v>
      </c>
      <c r="Y2108" s="881" t="s">
        <v>2248</v>
      </c>
      <c r="Z2108" s="881" t="s">
        <v>3202</v>
      </c>
      <c r="AA2108" s="882">
        <f>$S$1*P!AA2108</f>
        <v>7.1668000000000003</v>
      </c>
      <c r="AB2108" s="780"/>
      <c r="AC2108" s="881">
        <v>2104</v>
      </c>
      <c r="AD2108" s="881" t="s">
        <v>4573</v>
      </c>
      <c r="AE2108" s="881" t="s">
        <v>2969</v>
      </c>
      <c r="AF2108" s="882">
        <f>$S$1*P!AF2108</f>
        <v>17.112000000000002</v>
      </c>
    </row>
    <row r="2109" spans="19:32" x14ac:dyDescent="0.35">
      <c r="S2109" s="782">
        <v>2105</v>
      </c>
      <c r="T2109" s="782" t="s">
        <v>4284</v>
      </c>
      <c r="U2109" s="782" t="s">
        <v>3885</v>
      </c>
      <c r="V2109" s="797">
        <f>$S$1*P!V2109</f>
        <v>2.3272177419354843E-5</v>
      </c>
      <c r="W2109" s="780"/>
      <c r="X2109" s="782">
        <v>2105</v>
      </c>
      <c r="Y2109" s="782" t="s">
        <v>2248</v>
      </c>
      <c r="Z2109" s="782" t="s">
        <v>5154</v>
      </c>
      <c r="AA2109" s="781">
        <f>$S$1*P!AA2109</f>
        <v>9.2883064516129045E-4</v>
      </c>
      <c r="AB2109" s="780"/>
      <c r="AC2109" s="782">
        <v>2105</v>
      </c>
      <c r="AD2109" s="782" t="s">
        <v>4573</v>
      </c>
      <c r="AE2109" s="782" t="s">
        <v>3410</v>
      </c>
      <c r="AF2109" s="781">
        <f>$S$1*P!AF2109</f>
        <v>2.3100806451612905E-2</v>
      </c>
    </row>
    <row r="2110" spans="19:32" x14ac:dyDescent="0.35">
      <c r="S2110" s="782">
        <v>2106</v>
      </c>
      <c r="T2110" s="782" t="s">
        <v>4284</v>
      </c>
      <c r="U2110" s="782" t="s">
        <v>3883</v>
      </c>
      <c r="V2110" s="797">
        <f>$S$1*P!V2110</f>
        <v>4.8669354838709676E-6</v>
      </c>
      <c r="W2110" s="780"/>
      <c r="X2110" s="782">
        <v>2106</v>
      </c>
      <c r="Y2110" s="782" t="s">
        <v>2248</v>
      </c>
      <c r="Z2110" s="782" t="s">
        <v>4405</v>
      </c>
      <c r="AA2110" s="781">
        <f>$S$1*P!AA2110</f>
        <v>4.2842741935483876E-7</v>
      </c>
      <c r="AB2110" s="780"/>
      <c r="AC2110" s="782">
        <v>2106</v>
      </c>
      <c r="AD2110" s="782" t="s">
        <v>4573</v>
      </c>
      <c r="AE2110" s="782" t="s">
        <v>3407</v>
      </c>
      <c r="AF2110" s="781">
        <f>$S$1*P!AF2110</f>
        <v>1.5629032258064517E-3</v>
      </c>
    </row>
    <row r="2111" spans="19:32" x14ac:dyDescent="0.35">
      <c r="S2111" s="782">
        <v>2107</v>
      </c>
      <c r="T2111" s="782" t="s">
        <v>4284</v>
      </c>
      <c r="U2111" s="782" t="s">
        <v>3880</v>
      </c>
      <c r="V2111" s="797">
        <f>$S$1*P!V2111</f>
        <v>6.5806451612903229E-4</v>
      </c>
      <c r="W2111" s="780"/>
      <c r="X2111" s="881">
        <v>2107</v>
      </c>
      <c r="Y2111" s="881" t="s">
        <v>2248</v>
      </c>
      <c r="Z2111" s="881" t="s">
        <v>4404</v>
      </c>
      <c r="AA2111" s="882">
        <f>$S$1*P!AA2111</f>
        <v>1.370967741935484E-4</v>
      </c>
      <c r="AB2111" s="780"/>
      <c r="AC2111" s="782">
        <v>2107</v>
      </c>
      <c r="AD2111" s="782" t="s">
        <v>4573</v>
      </c>
      <c r="AE2111" s="782" t="s">
        <v>3404</v>
      </c>
      <c r="AF2111" s="781">
        <f>$S$1*P!AF2111</f>
        <v>0.10316532258064517</v>
      </c>
    </row>
    <row r="2112" spans="19:32" x14ac:dyDescent="0.35">
      <c r="S2112" s="782">
        <v>2108</v>
      </c>
      <c r="T2112" s="782" t="s">
        <v>4284</v>
      </c>
      <c r="U2112" s="782" t="s">
        <v>3878</v>
      </c>
      <c r="V2112" s="797">
        <f>$S$1*P!V2112</f>
        <v>2.1010080645161292E-5</v>
      </c>
      <c r="W2112" s="780"/>
      <c r="X2112" s="782">
        <v>2108</v>
      </c>
      <c r="Y2112" s="782" t="s">
        <v>2248</v>
      </c>
      <c r="Z2112" s="782" t="s">
        <v>4403</v>
      </c>
      <c r="AA2112" s="781">
        <f>$S$1*P!AA2112</f>
        <v>1.4463709677419356E-4</v>
      </c>
      <c r="AB2112" s="780"/>
      <c r="AC2112" s="881">
        <v>2108</v>
      </c>
      <c r="AD2112" s="881" t="s">
        <v>4573</v>
      </c>
      <c r="AE2112" s="881" t="s">
        <v>2967</v>
      </c>
      <c r="AF2112" s="882">
        <f>$S$1*P!AF2112</f>
        <v>28.336000000000002</v>
      </c>
    </row>
    <row r="2113" spans="19:32" x14ac:dyDescent="0.35">
      <c r="S2113" s="789">
        <v>2109</v>
      </c>
      <c r="T2113" s="789" t="s">
        <v>4284</v>
      </c>
      <c r="U2113" s="789" t="s">
        <v>3875</v>
      </c>
      <c r="V2113" s="790">
        <f>$S$1*P!V2113</f>
        <v>2.3200000000000003</v>
      </c>
      <c r="W2113" s="780"/>
      <c r="X2113" s="782">
        <v>2109</v>
      </c>
      <c r="Y2113" s="782" t="s">
        <v>2248</v>
      </c>
      <c r="Z2113" s="782" t="s">
        <v>5153</v>
      </c>
      <c r="AA2113" s="781">
        <f>$S$1*P!AA2113</f>
        <v>3.4616935483870973E-2</v>
      </c>
      <c r="AB2113" s="780"/>
      <c r="AC2113" s="782">
        <v>2109</v>
      </c>
      <c r="AD2113" s="782" t="s">
        <v>4573</v>
      </c>
      <c r="AE2113" s="782" t="s">
        <v>3401</v>
      </c>
      <c r="AF2113" s="781">
        <f>$S$1*P!AF2113</f>
        <v>1.216733870967742</v>
      </c>
    </row>
    <row r="2114" spans="19:32" x14ac:dyDescent="0.35">
      <c r="S2114" s="782">
        <v>2110</v>
      </c>
      <c r="T2114" s="782" t="s">
        <v>4284</v>
      </c>
      <c r="U2114" s="782" t="s">
        <v>3875</v>
      </c>
      <c r="V2114" s="797">
        <f>$S$1*P!V2114</f>
        <v>1.93991935483871E-4</v>
      </c>
      <c r="W2114" s="780"/>
      <c r="X2114" s="881">
        <v>2110</v>
      </c>
      <c r="Y2114" s="881" t="s">
        <v>2248</v>
      </c>
      <c r="Z2114" s="881" t="s">
        <v>4402</v>
      </c>
      <c r="AA2114" s="882">
        <f>$S$1*P!AA2114</f>
        <v>1.0145161290322581E-4</v>
      </c>
      <c r="AB2114" s="780"/>
      <c r="AC2114" s="782">
        <v>2110</v>
      </c>
      <c r="AD2114" s="782" t="s">
        <v>4573</v>
      </c>
      <c r="AE2114" s="782" t="s">
        <v>3399</v>
      </c>
      <c r="AF2114" s="781">
        <f>$S$1*P!AF2114</f>
        <v>5.4495967741935489</v>
      </c>
    </row>
    <row r="2115" spans="19:32" x14ac:dyDescent="0.35">
      <c r="S2115" s="789">
        <v>2111</v>
      </c>
      <c r="T2115" s="789" t="s">
        <v>4284</v>
      </c>
      <c r="U2115" s="789" t="s">
        <v>5152</v>
      </c>
      <c r="V2115" s="790">
        <f>$S$1*P!V2115</f>
        <v>0.34800000000000003</v>
      </c>
      <c r="W2115" s="780"/>
      <c r="X2115" s="881">
        <v>2111</v>
      </c>
      <c r="Y2115" s="881" t="s">
        <v>2248</v>
      </c>
      <c r="Z2115" s="881" t="s">
        <v>4401</v>
      </c>
      <c r="AA2115" s="890">
        <f>$S$1*P!AA2115</f>
        <v>3.2526209677419359E-7</v>
      </c>
      <c r="AB2115" s="780"/>
      <c r="AC2115" s="782">
        <v>2111</v>
      </c>
      <c r="AD2115" s="782" t="s">
        <v>4573</v>
      </c>
      <c r="AE2115" s="782" t="s">
        <v>3396</v>
      </c>
      <c r="AF2115" s="781">
        <f>$S$1*P!AF2115</f>
        <v>2.7385080645161296E-3</v>
      </c>
    </row>
    <row r="2116" spans="19:32" x14ac:dyDescent="0.35">
      <c r="S2116" s="898">
        <v>2112</v>
      </c>
      <c r="T2116" s="898" t="s">
        <v>4284</v>
      </c>
      <c r="U2116" s="861" t="s">
        <v>3059</v>
      </c>
      <c r="V2116" s="862">
        <f>$S$1*P!V2116</f>
        <v>4.3655999999999997</v>
      </c>
      <c r="W2116" s="780"/>
      <c r="X2116" s="782">
        <v>2112</v>
      </c>
      <c r="Y2116" s="782" t="s">
        <v>2248</v>
      </c>
      <c r="Z2116" s="782" t="s">
        <v>5151</v>
      </c>
      <c r="AA2116" s="781">
        <f>$S$1*P!AA2116</f>
        <v>1.5149193548387098E-3</v>
      </c>
      <c r="AB2116" s="780"/>
      <c r="AC2116" s="782">
        <v>2112</v>
      </c>
      <c r="AD2116" s="782" t="s">
        <v>4573</v>
      </c>
      <c r="AE2116" s="782" t="s">
        <v>3393</v>
      </c>
      <c r="AF2116" s="781">
        <f>$S$1*P!AF2116</f>
        <v>0.43185483870967745</v>
      </c>
    </row>
    <row r="2117" spans="19:32" x14ac:dyDescent="0.35">
      <c r="S2117" s="782">
        <v>2113</v>
      </c>
      <c r="T2117" s="782" t="s">
        <v>4284</v>
      </c>
      <c r="U2117" s="782" t="s">
        <v>3059</v>
      </c>
      <c r="V2117" s="797">
        <f>$S$1*P!V2117</f>
        <v>4.8326612903225809E-6</v>
      </c>
      <c r="W2117" s="780"/>
      <c r="X2117" s="881">
        <v>2113</v>
      </c>
      <c r="Y2117" s="881" t="s">
        <v>2248</v>
      </c>
      <c r="Z2117" s="881" t="s">
        <v>4400</v>
      </c>
      <c r="AA2117" s="890">
        <f>$S$1*P!AA2117</f>
        <v>6.3064516129032272E-5</v>
      </c>
      <c r="AB2117" s="780"/>
      <c r="AC2117" s="782">
        <v>2113</v>
      </c>
      <c r="AD2117" s="782" t="s">
        <v>4573</v>
      </c>
      <c r="AE2117" s="782" t="s">
        <v>3390</v>
      </c>
      <c r="AF2117" s="781">
        <f>$S$1*P!AF2117</f>
        <v>3.1669354838709682E-2</v>
      </c>
    </row>
    <row r="2118" spans="19:32" x14ac:dyDescent="0.35">
      <c r="S2118" s="881">
        <v>2114</v>
      </c>
      <c r="T2118" s="881" t="s">
        <v>4284</v>
      </c>
      <c r="U2118" s="881" t="s">
        <v>3059</v>
      </c>
      <c r="V2118" s="883">
        <f>$S$1*P!V2118</f>
        <v>1.5271999999999999E-2</v>
      </c>
      <c r="W2118" s="780"/>
      <c r="X2118" s="881">
        <v>2114</v>
      </c>
      <c r="Y2118" s="881" t="s">
        <v>2248</v>
      </c>
      <c r="Z2118" s="881" t="s">
        <v>4399</v>
      </c>
      <c r="AA2118" s="890">
        <f>$S$1*P!AA2118</f>
        <v>2.5294354838709679E-6</v>
      </c>
      <c r="AB2118" s="780"/>
      <c r="AC2118" s="881">
        <v>2114</v>
      </c>
      <c r="AD2118" s="881" t="s">
        <v>4573</v>
      </c>
      <c r="AE2118" s="881" t="s">
        <v>2966</v>
      </c>
      <c r="AF2118" s="882">
        <f>$S$1*P!AF2118</f>
        <v>1.7756000000000001</v>
      </c>
    </row>
    <row r="2119" spans="19:32" x14ac:dyDescent="0.35">
      <c r="S2119" s="861">
        <v>2115</v>
      </c>
      <c r="T2119" s="861" t="s">
        <v>4284</v>
      </c>
      <c r="U2119" s="861" t="s">
        <v>3873</v>
      </c>
      <c r="V2119" s="862">
        <f>$S$1*P!V2119</f>
        <v>3.4882</v>
      </c>
      <c r="W2119" s="780"/>
      <c r="X2119" s="782">
        <v>2115</v>
      </c>
      <c r="Y2119" s="782" t="s">
        <v>2248</v>
      </c>
      <c r="Z2119" s="782" t="s">
        <v>5150</v>
      </c>
      <c r="AA2119" s="781">
        <f>$S$1*P!AA2119</f>
        <v>4.6612903225806456E-3</v>
      </c>
      <c r="AB2119" s="780"/>
      <c r="AC2119" s="881">
        <v>2115</v>
      </c>
      <c r="AD2119" s="881" t="s">
        <v>4573</v>
      </c>
      <c r="AE2119" s="881" t="s">
        <v>2964</v>
      </c>
      <c r="AF2119" s="882">
        <f>$S$1*P!AF2119</f>
        <v>0</v>
      </c>
    </row>
    <row r="2120" spans="19:32" x14ac:dyDescent="0.35">
      <c r="S2120" s="782">
        <v>2116</v>
      </c>
      <c r="T2120" s="782" t="s">
        <v>4284</v>
      </c>
      <c r="U2120" s="782" t="s">
        <v>3873</v>
      </c>
      <c r="V2120" s="797">
        <f>$S$1*P!V2120</f>
        <v>5.6552419354838713E-5</v>
      </c>
      <c r="W2120" s="780"/>
      <c r="X2120" s="782">
        <v>2116</v>
      </c>
      <c r="Y2120" s="782" t="s">
        <v>2248</v>
      </c>
      <c r="Z2120" s="782" t="s">
        <v>4398</v>
      </c>
      <c r="AA2120" s="781">
        <f>$S$1*P!AA2120</f>
        <v>2.8516129032258066E-5</v>
      </c>
      <c r="AB2120" s="780"/>
      <c r="AC2120" s="881">
        <v>2116</v>
      </c>
      <c r="AD2120" s="881" t="s">
        <v>4573</v>
      </c>
      <c r="AE2120" s="881" t="s">
        <v>2962</v>
      </c>
      <c r="AF2120" s="882">
        <f>$S$1*P!AF2120</f>
        <v>8.6204000000000003E-2</v>
      </c>
    </row>
    <row r="2121" spans="19:32" x14ac:dyDescent="0.35">
      <c r="S2121" s="789">
        <v>2117</v>
      </c>
      <c r="T2121" s="789" t="s">
        <v>4284</v>
      </c>
      <c r="U2121" s="789" t="s">
        <v>5149</v>
      </c>
      <c r="V2121" s="790">
        <f>$S$1*P!V2121</f>
        <v>0.10208</v>
      </c>
      <c r="W2121" s="780"/>
      <c r="X2121" s="881">
        <v>2117</v>
      </c>
      <c r="Y2121" s="881" t="s">
        <v>2248</v>
      </c>
      <c r="Z2121" s="881" t="s">
        <v>4397</v>
      </c>
      <c r="AA2121" s="890">
        <f>$S$1*P!AA2121</f>
        <v>3.7358870967741943E-5</v>
      </c>
      <c r="AB2121" s="780"/>
      <c r="AC2121" s="782">
        <v>2117</v>
      </c>
      <c r="AD2121" s="782" t="s">
        <v>4573</v>
      </c>
      <c r="AE2121" s="782" t="s">
        <v>2961</v>
      </c>
      <c r="AF2121" s="781">
        <f>$S$1*P!AF2121</f>
        <v>4.627016129032258</v>
      </c>
    </row>
    <row r="2122" spans="19:32" x14ac:dyDescent="0.35">
      <c r="S2122" s="782">
        <v>2118</v>
      </c>
      <c r="T2122" s="782" t="s">
        <v>4284</v>
      </c>
      <c r="U2122" s="782" t="s">
        <v>3872</v>
      </c>
      <c r="V2122" s="797">
        <f>$S$1*P!V2122</f>
        <v>5.2096774193548386E-4</v>
      </c>
      <c r="W2122" s="780"/>
      <c r="X2122" s="782">
        <v>2118</v>
      </c>
      <c r="Y2122" s="782" t="s">
        <v>2248</v>
      </c>
      <c r="Z2122" s="782" t="s">
        <v>4396</v>
      </c>
      <c r="AA2122" s="781">
        <f>$S$1*P!AA2122</f>
        <v>9.6653225806451619E-5</v>
      </c>
      <c r="AB2122" s="780"/>
      <c r="AC2122" s="881">
        <v>2118</v>
      </c>
      <c r="AD2122" s="881" t="s">
        <v>4573</v>
      </c>
      <c r="AE2122" s="881" t="s">
        <v>2961</v>
      </c>
      <c r="AF2122" s="882">
        <f>$S$1*P!AF2122</f>
        <v>1692.8</v>
      </c>
    </row>
    <row r="2123" spans="19:32" x14ac:dyDescent="0.35">
      <c r="S2123" s="861">
        <v>2119</v>
      </c>
      <c r="T2123" s="861" t="s">
        <v>4284</v>
      </c>
      <c r="U2123" s="861" t="s">
        <v>3869</v>
      </c>
      <c r="V2123" s="862">
        <f>$S$1*P!V2123</f>
        <v>2.7766500000000001</v>
      </c>
      <c r="W2123" s="780"/>
      <c r="X2123" s="782">
        <v>2119</v>
      </c>
      <c r="Y2123" s="782" t="s">
        <v>2248</v>
      </c>
      <c r="Z2123" s="782" t="s">
        <v>5148</v>
      </c>
      <c r="AA2123" s="781">
        <f>$S$1*P!AA2123</f>
        <v>4.0786290322580646E-3</v>
      </c>
      <c r="AB2123" s="780"/>
      <c r="AC2123" s="782">
        <v>2119</v>
      </c>
      <c r="AD2123" s="782" t="s">
        <v>4573</v>
      </c>
      <c r="AE2123" s="782" t="s">
        <v>2959</v>
      </c>
      <c r="AF2123" s="781">
        <f>$S$1*P!AF2123</f>
        <v>21.72983870967742</v>
      </c>
    </row>
    <row r="2124" spans="19:32" x14ac:dyDescent="0.35">
      <c r="S2124" s="782">
        <v>2120</v>
      </c>
      <c r="T2124" s="782" t="s">
        <v>4284</v>
      </c>
      <c r="U2124" s="782" t="s">
        <v>3869</v>
      </c>
      <c r="V2124" s="797">
        <f>$S$1*P!V2124</f>
        <v>2.7316532258064517E-6</v>
      </c>
      <c r="W2124" s="780"/>
      <c r="X2124" s="881">
        <v>2120</v>
      </c>
      <c r="Y2124" s="881" t="s">
        <v>2248</v>
      </c>
      <c r="Z2124" s="881" t="s">
        <v>4395</v>
      </c>
      <c r="AA2124" s="890">
        <f>$S$1*P!AA2124</f>
        <v>1.9330645161290325E-6</v>
      </c>
      <c r="AB2124" s="780"/>
      <c r="AC2124" s="881">
        <v>2120</v>
      </c>
      <c r="AD2124" s="881" t="s">
        <v>4573</v>
      </c>
      <c r="AE2124" s="881" t="s">
        <v>2959</v>
      </c>
      <c r="AF2124" s="882">
        <f>$S$1*P!AF2124</f>
        <v>56856</v>
      </c>
    </row>
    <row r="2125" spans="19:32" x14ac:dyDescent="0.35">
      <c r="S2125" s="881">
        <v>2121</v>
      </c>
      <c r="T2125" s="881" t="s">
        <v>4284</v>
      </c>
      <c r="U2125" s="881" t="s">
        <v>3058</v>
      </c>
      <c r="V2125" s="883">
        <f>$S$1*P!V2125</f>
        <v>0.85376000000000007</v>
      </c>
      <c r="W2125" s="780"/>
      <c r="X2125" s="782">
        <v>2121</v>
      </c>
      <c r="Y2125" s="782" t="s">
        <v>2248</v>
      </c>
      <c r="Z2125" s="782" t="s">
        <v>4394</v>
      </c>
      <c r="AA2125" s="781">
        <f>$S$1*P!AA2125</f>
        <v>5.106854838709678E-5</v>
      </c>
      <c r="AB2125" s="780"/>
      <c r="AC2125" s="782">
        <v>2121</v>
      </c>
      <c r="AD2125" s="782" t="s">
        <v>4573</v>
      </c>
      <c r="AE2125" s="782" t="s">
        <v>3384</v>
      </c>
      <c r="AF2125" s="781">
        <f>$S$1*P!AF2125</f>
        <v>2.810483870967742</v>
      </c>
    </row>
    <row r="2126" spans="19:32" x14ac:dyDescent="0.35">
      <c r="S2126" s="782">
        <v>2122</v>
      </c>
      <c r="T2126" s="782" t="s">
        <v>4284</v>
      </c>
      <c r="U2126" s="782" t="s">
        <v>3868</v>
      </c>
      <c r="V2126" s="797">
        <f>$S$1*P!V2126</f>
        <v>4.215725806451613E-5</v>
      </c>
      <c r="W2126" s="780"/>
      <c r="X2126" s="782">
        <v>2122</v>
      </c>
      <c r="Y2126" s="782" t="s">
        <v>2248</v>
      </c>
      <c r="Z2126" s="782" t="s">
        <v>3586</v>
      </c>
      <c r="AA2126" s="781">
        <f>$S$1*P!AA2126</f>
        <v>3.838709677419355E-3</v>
      </c>
      <c r="AB2126" s="780"/>
      <c r="AC2126" s="782">
        <v>2122</v>
      </c>
      <c r="AD2126" s="782" t="s">
        <v>4573</v>
      </c>
      <c r="AE2126" s="782" t="s">
        <v>3381</v>
      </c>
      <c r="AF2126" s="781">
        <f>$S$1*P!AF2126</f>
        <v>1.8199596774193548E-4</v>
      </c>
    </row>
    <row r="2127" spans="19:32" x14ac:dyDescent="0.35">
      <c r="S2127" s="782">
        <v>2123</v>
      </c>
      <c r="T2127" s="782" t="s">
        <v>4284</v>
      </c>
      <c r="U2127" s="782" t="s">
        <v>3867</v>
      </c>
      <c r="V2127" s="797">
        <f>$S$1*P!V2127</f>
        <v>8.2943548387096782E-4</v>
      </c>
      <c r="W2127" s="780"/>
      <c r="X2127" s="881">
        <v>2123</v>
      </c>
      <c r="Y2127" s="881" t="s">
        <v>2248</v>
      </c>
      <c r="Z2127" s="881" t="s">
        <v>4393</v>
      </c>
      <c r="AA2127" s="890">
        <f>$S$1*P!AA2127</f>
        <v>1.0419354838709678E-5</v>
      </c>
      <c r="AB2127" s="780"/>
      <c r="AC2127" s="782">
        <v>2123</v>
      </c>
      <c r="AD2127" s="782" t="s">
        <v>4573</v>
      </c>
      <c r="AE2127" s="782" t="s">
        <v>3378</v>
      </c>
      <c r="AF2127" s="781">
        <f>$S$1*P!AF2127</f>
        <v>3.064112903225807E-3</v>
      </c>
    </row>
    <row r="2128" spans="19:32" x14ac:dyDescent="0.35">
      <c r="S2128" s="900">
        <v>2124</v>
      </c>
      <c r="T2128" s="900" t="s">
        <v>4284</v>
      </c>
      <c r="U2128" s="900" t="s">
        <v>5147</v>
      </c>
      <c r="V2128" s="901">
        <f>$S$1*P!V2128</f>
        <v>9.0414999999999992</v>
      </c>
      <c r="W2128" s="780"/>
      <c r="X2128" s="881">
        <v>2124</v>
      </c>
      <c r="Y2128" s="881" t="s">
        <v>2248</v>
      </c>
      <c r="Z2128" s="881" t="s">
        <v>4392</v>
      </c>
      <c r="AA2128" s="890">
        <f>$S$1*P!AA2128</f>
        <v>2.3066532258064519E-5</v>
      </c>
      <c r="AB2128" s="780"/>
      <c r="AC2128" s="782">
        <v>2124</v>
      </c>
      <c r="AD2128" s="782" t="s">
        <v>4573</v>
      </c>
      <c r="AE2128" s="782" t="s">
        <v>3376</v>
      </c>
      <c r="AF2128" s="781">
        <f>$S$1*P!AF2128</f>
        <v>7.6431451612903236E-3</v>
      </c>
    </row>
    <row r="2129" spans="19:32" x14ac:dyDescent="0.35">
      <c r="S2129" s="789">
        <v>2125</v>
      </c>
      <c r="T2129" s="789" t="s">
        <v>4284</v>
      </c>
      <c r="U2129" s="789" t="s">
        <v>5146</v>
      </c>
      <c r="V2129" s="790">
        <f>$S$1*P!V2129</f>
        <v>2.4244000000000002E-2</v>
      </c>
      <c r="W2129" s="780"/>
      <c r="X2129" s="782">
        <v>2125</v>
      </c>
      <c r="Y2129" s="782" t="s">
        <v>2248</v>
      </c>
      <c r="Z2129" s="782" t="s">
        <v>5145</v>
      </c>
      <c r="AA2129" s="781">
        <f>$S$1*P!AA2129</f>
        <v>6.2036290322580647E-3</v>
      </c>
      <c r="AB2129" s="780"/>
      <c r="AC2129" s="782">
        <v>2125</v>
      </c>
      <c r="AD2129" s="782" t="s">
        <v>4573</v>
      </c>
      <c r="AE2129" s="782" t="s">
        <v>3373</v>
      </c>
      <c r="AF2129" s="781">
        <f>$S$1*P!AF2129</f>
        <v>2.467741935483871</v>
      </c>
    </row>
    <row r="2130" spans="19:32" x14ac:dyDescent="0.35">
      <c r="S2130" s="782">
        <v>2126</v>
      </c>
      <c r="T2130" s="782" t="s">
        <v>4284</v>
      </c>
      <c r="U2130" s="782" t="s">
        <v>3056</v>
      </c>
      <c r="V2130" s="797">
        <f>$S$1*P!V2130</f>
        <v>3.4274193548387101E-8</v>
      </c>
      <c r="W2130" s="780"/>
      <c r="X2130" s="881">
        <v>2126</v>
      </c>
      <c r="Y2130" s="881" t="s">
        <v>2248</v>
      </c>
      <c r="Z2130" s="881" t="s">
        <v>4391</v>
      </c>
      <c r="AA2130" s="890">
        <f>$S$1*P!AA2130</f>
        <v>6.8205645161290328E-6</v>
      </c>
      <c r="AB2130" s="780"/>
      <c r="AC2130" s="782">
        <v>2126</v>
      </c>
      <c r="AD2130" s="782" t="s">
        <v>4573</v>
      </c>
      <c r="AE2130" s="782" t="s">
        <v>2958</v>
      </c>
      <c r="AF2130" s="781">
        <f>$S$1*P!AF2130</f>
        <v>2.2483870967741938E-2</v>
      </c>
    </row>
    <row r="2131" spans="19:32" x14ac:dyDescent="0.35">
      <c r="S2131" s="881">
        <v>2127</v>
      </c>
      <c r="T2131" s="881" t="s">
        <v>4284</v>
      </c>
      <c r="U2131" s="881" t="s">
        <v>3056</v>
      </c>
      <c r="V2131" s="883">
        <f>$S$1*P!V2131</f>
        <v>0.71116000000000001</v>
      </c>
      <c r="W2131" s="780"/>
      <c r="X2131" s="881">
        <v>2127</v>
      </c>
      <c r="Y2131" s="881" t="s">
        <v>2248</v>
      </c>
      <c r="Z2131" s="881" t="s">
        <v>4390</v>
      </c>
      <c r="AA2131" s="890">
        <f>$S$1*P!AA2131</f>
        <v>1.0487903225806453E-4</v>
      </c>
      <c r="AB2131" s="780"/>
      <c r="AC2131" s="881">
        <v>2127</v>
      </c>
      <c r="AD2131" s="881" t="s">
        <v>4573</v>
      </c>
      <c r="AE2131" s="881" t="s">
        <v>2958</v>
      </c>
      <c r="AF2131" s="882">
        <f>$S$1*P!AF2131</f>
        <v>0</v>
      </c>
    </row>
    <row r="2132" spans="19:32" x14ac:dyDescent="0.35">
      <c r="S2132" s="789">
        <v>2128</v>
      </c>
      <c r="T2132" s="789" t="s">
        <v>4284</v>
      </c>
      <c r="U2132" s="789" t="s">
        <v>3055</v>
      </c>
      <c r="V2132" s="790">
        <f>$S$1*P!V2132</f>
        <v>4.8952000000000006E-3</v>
      </c>
      <c r="W2132" s="780"/>
      <c r="X2132" s="782">
        <v>2128</v>
      </c>
      <c r="Y2132" s="782" t="s">
        <v>2248</v>
      </c>
      <c r="Z2132" s="782" t="s">
        <v>5144</v>
      </c>
      <c r="AA2132" s="781">
        <f>$S$1*P!AA2132</f>
        <v>2.3100806451612906E-5</v>
      </c>
      <c r="AB2132" s="780"/>
      <c r="AC2132" s="881">
        <v>2128</v>
      </c>
      <c r="AD2132" s="881" t="s">
        <v>4573</v>
      </c>
      <c r="AE2132" s="881" t="s">
        <v>2956</v>
      </c>
      <c r="AF2132" s="882">
        <f>$S$1*P!AF2132</f>
        <v>8.4456000000000007</v>
      </c>
    </row>
    <row r="2133" spans="19:32" x14ac:dyDescent="0.35">
      <c r="S2133" s="881">
        <v>2129</v>
      </c>
      <c r="T2133" s="881" t="s">
        <v>4284</v>
      </c>
      <c r="U2133" s="881" t="s">
        <v>3055</v>
      </c>
      <c r="V2133" s="883">
        <f>$S$1*P!V2133</f>
        <v>0</v>
      </c>
      <c r="W2133" s="780"/>
      <c r="X2133" s="881">
        <v>2129</v>
      </c>
      <c r="Y2133" s="881" t="s">
        <v>2248</v>
      </c>
      <c r="Z2133" s="881" t="s">
        <v>3201</v>
      </c>
      <c r="AA2133" s="882">
        <f>$S$1*P!AA2133</f>
        <v>3.0175999999999998E-4</v>
      </c>
      <c r="AB2133" s="780"/>
      <c r="AC2133" s="782">
        <v>2129</v>
      </c>
      <c r="AD2133" s="782" t="s">
        <v>4573</v>
      </c>
      <c r="AE2133" s="782" t="s">
        <v>2955</v>
      </c>
      <c r="AF2133" s="781">
        <f>$S$1*P!AF2133</f>
        <v>4.7983870967741939</v>
      </c>
    </row>
    <row r="2134" spans="19:32" x14ac:dyDescent="0.35">
      <c r="S2134" s="782">
        <v>2130</v>
      </c>
      <c r="T2134" s="782" t="s">
        <v>4284</v>
      </c>
      <c r="U2134" s="782" t="s">
        <v>3862</v>
      </c>
      <c r="V2134" s="797">
        <f>$S$1*P!V2134</f>
        <v>6.4435483870967745E-7</v>
      </c>
      <c r="W2134" s="780"/>
      <c r="X2134" s="782">
        <v>2130</v>
      </c>
      <c r="Y2134" s="782" t="s">
        <v>2248</v>
      </c>
      <c r="Z2134" s="782" t="s">
        <v>4388</v>
      </c>
      <c r="AA2134" s="781">
        <f>$S$1*P!AA2134</f>
        <v>1.607459677419355E-4</v>
      </c>
      <c r="AB2134" s="780"/>
      <c r="AC2134" s="881">
        <v>2130</v>
      </c>
      <c r="AD2134" s="881" t="s">
        <v>4573</v>
      </c>
      <c r="AE2134" s="881" t="s">
        <v>2955</v>
      </c>
      <c r="AF2134" s="882">
        <f>$S$1*P!AF2134</f>
        <v>61.272000000000006</v>
      </c>
    </row>
    <row r="2135" spans="19:32" x14ac:dyDescent="0.35">
      <c r="S2135" s="881">
        <v>2131</v>
      </c>
      <c r="T2135" s="881" t="s">
        <v>4284</v>
      </c>
      <c r="U2135" s="881" t="s">
        <v>3054</v>
      </c>
      <c r="V2135" s="883">
        <f>$S$1*P!V2135</f>
        <v>0.79120000000000001</v>
      </c>
      <c r="W2135" s="780"/>
      <c r="X2135" s="782">
        <v>2131</v>
      </c>
      <c r="Y2135" s="782" t="s">
        <v>2248</v>
      </c>
      <c r="Z2135" s="782" t="s">
        <v>5143</v>
      </c>
      <c r="AA2135" s="781">
        <f>$S$1*P!AA2135</f>
        <v>4.4213709677419358E-4</v>
      </c>
      <c r="AB2135" s="780"/>
      <c r="AC2135" s="782">
        <v>2131</v>
      </c>
      <c r="AD2135" s="782" t="s">
        <v>4573</v>
      </c>
      <c r="AE2135" s="782" t="s">
        <v>2953</v>
      </c>
      <c r="AF2135" s="781">
        <f>$S$1*P!AF2135</f>
        <v>102.13709677419355</v>
      </c>
    </row>
    <row r="2136" spans="19:32" x14ac:dyDescent="0.35">
      <c r="S2136" s="881">
        <v>2132</v>
      </c>
      <c r="T2136" s="881" t="s">
        <v>4284</v>
      </c>
      <c r="U2136" s="881" t="s">
        <v>3053</v>
      </c>
      <c r="V2136" s="883">
        <f>$S$1*P!V2136</f>
        <v>2.4563999999999999</v>
      </c>
      <c r="W2136" s="780"/>
      <c r="X2136" s="881">
        <v>2132</v>
      </c>
      <c r="Y2136" s="881" t="s">
        <v>2248</v>
      </c>
      <c r="Z2136" s="881" t="s">
        <v>4385</v>
      </c>
      <c r="AA2136" s="890">
        <f>$S$1*P!AA2136</f>
        <v>1.8370967741935488E-4</v>
      </c>
      <c r="AB2136" s="780"/>
      <c r="AC2136" s="881">
        <v>2132</v>
      </c>
      <c r="AD2136" s="881" t="s">
        <v>4573</v>
      </c>
      <c r="AE2136" s="881" t="s">
        <v>2953</v>
      </c>
      <c r="AF2136" s="882">
        <f>$S$1*P!AF2136</f>
        <v>0</v>
      </c>
    </row>
    <row r="2137" spans="19:32" x14ac:dyDescent="0.35">
      <c r="S2137" s="902">
        <v>2133</v>
      </c>
      <c r="T2137" s="902" t="s">
        <v>4284</v>
      </c>
      <c r="U2137" s="902" t="s">
        <v>5142</v>
      </c>
      <c r="V2137" s="903">
        <f>$S$1*P!V2137</f>
        <v>4.03925</v>
      </c>
      <c r="W2137" s="780"/>
      <c r="X2137" s="782">
        <v>2133</v>
      </c>
      <c r="Y2137" s="782" t="s">
        <v>2248</v>
      </c>
      <c r="Z2137" s="782" t="s">
        <v>4382</v>
      </c>
      <c r="AA2137" s="781">
        <f>$S$1*P!AA2137</f>
        <v>7.7459677419354842E-5</v>
      </c>
      <c r="AB2137" s="780"/>
      <c r="AC2137" s="782">
        <v>2133</v>
      </c>
      <c r="AD2137" s="782" t="s">
        <v>4573</v>
      </c>
      <c r="AE2137" s="782" t="s">
        <v>3365</v>
      </c>
      <c r="AF2137" s="781">
        <f>$S$1*P!AF2137</f>
        <v>4.8669354838709683E-2</v>
      </c>
    </row>
    <row r="2138" spans="19:32" x14ac:dyDescent="0.35">
      <c r="S2138" s="861">
        <v>2134</v>
      </c>
      <c r="T2138" s="861" t="s">
        <v>4284</v>
      </c>
      <c r="U2138" s="861" t="s">
        <v>3860</v>
      </c>
      <c r="V2138" s="862">
        <f>$S$1*P!V2138</f>
        <v>3.5417000000000001</v>
      </c>
      <c r="W2138" s="780"/>
      <c r="X2138" s="782">
        <v>2134</v>
      </c>
      <c r="Y2138" s="782" t="s">
        <v>2248</v>
      </c>
      <c r="Z2138" s="782" t="s">
        <v>5141</v>
      </c>
      <c r="AA2138" s="781">
        <f>$S$1*P!AA2138</f>
        <v>1.1790322580645161E-5</v>
      </c>
      <c r="AB2138" s="780"/>
      <c r="AC2138" s="782">
        <v>2134</v>
      </c>
      <c r="AD2138" s="782" t="s">
        <v>4573</v>
      </c>
      <c r="AE2138" s="782" t="s">
        <v>3362</v>
      </c>
      <c r="AF2138" s="781">
        <f>$S$1*P!AF2138</f>
        <v>5.8608870967741941E-3</v>
      </c>
    </row>
    <row r="2139" spans="19:32" x14ac:dyDescent="0.35">
      <c r="S2139" s="782">
        <v>2135</v>
      </c>
      <c r="T2139" s="782" t="s">
        <v>4284</v>
      </c>
      <c r="U2139" s="782" t="s">
        <v>3860</v>
      </c>
      <c r="V2139" s="797">
        <f>$S$1*P!V2139</f>
        <v>4.3528225806451612E-7</v>
      </c>
      <c r="W2139" s="780"/>
      <c r="X2139" s="881">
        <v>2135</v>
      </c>
      <c r="Y2139" s="881" t="s">
        <v>2248</v>
      </c>
      <c r="Z2139" s="881" t="s">
        <v>3200</v>
      </c>
      <c r="AA2139" s="882">
        <f>$S$1*P!AA2139</f>
        <v>0</v>
      </c>
      <c r="AB2139" s="780"/>
      <c r="AC2139" s="782">
        <v>2135</v>
      </c>
      <c r="AD2139" s="782" t="s">
        <v>4573</v>
      </c>
      <c r="AE2139" s="782" t="s">
        <v>2952</v>
      </c>
      <c r="AF2139" s="781">
        <f>$S$1*P!AF2139</f>
        <v>3.369153225806452E-5</v>
      </c>
    </row>
    <row r="2140" spans="19:32" x14ac:dyDescent="0.35">
      <c r="S2140" s="861">
        <v>2136</v>
      </c>
      <c r="T2140" s="861" t="s">
        <v>4284</v>
      </c>
      <c r="U2140" s="861" t="s">
        <v>3051</v>
      </c>
      <c r="V2140" s="862">
        <f>$S$1*P!V2140</f>
        <v>0.26214999999999999</v>
      </c>
      <c r="W2140" s="780"/>
      <c r="X2140" s="881">
        <v>2136</v>
      </c>
      <c r="Y2140" s="881" t="s">
        <v>2248</v>
      </c>
      <c r="Z2140" s="881" t="s">
        <v>3200</v>
      </c>
      <c r="AA2140" s="890">
        <f>$S$1*P!AA2140</f>
        <v>4.524193548387097E-4</v>
      </c>
      <c r="AB2140" s="780"/>
      <c r="AC2140" s="881">
        <v>2136</v>
      </c>
      <c r="AD2140" s="881" t="s">
        <v>4573</v>
      </c>
      <c r="AE2140" s="881" t="s">
        <v>2952</v>
      </c>
      <c r="AF2140" s="882">
        <f>$S$1*P!AF2140</f>
        <v>0</v>
      </c>
    </row>
    <row r="2141" spans="19:32" x14ac:dyDescent="0.35">
      <c r="S2141" s="782">
        <v>2137</v>
      </c>
      <c r="T2141" s="782" t="s">
        <v>4284</v>
      </c>
      <c r="U2141" s="782" t="s">
        <v>3051</v>
      </c>
      <c r="V2141" s="797">
        <f>$S$1*P!V2141</f>
        <v>2.2004032258064517E-5</v>
      </c>
      <c r="W2141" s="780"/>
      <c r="X2141" s="782">
        <v>2137</v>
      </c>
      <c r="Y2141" s="782" t="s">
        <v>2248</v>
      </c>
      <c r="Z2141" s="782" t="s">
        <v>4379</v>
      </c>
      <c r="AA2141" s="781">
        <f>$S$1*P!AA2141</f>
        <v>4.4213709677419358E-4</v>
      </c>
      <c r="AB2141" s="780"/>
      <c r="AC2141" s="782">
        <v>2137</v>
      </c>
      <c r="AD2141" s="782" t="s">
        <v>4573</v>
      </c>
      <c r="AE2141" s="782" t="s">
        <v>2950</v>
      </c>
      <c r="AF2141" s="781">
        <f>$S$1*P!AF2141</f>
        <v>1.0556451612903228E-4</v>
      </c>
    </row>
    <row r="2142" spans="19:32" x14ac:dyDescent="0.35">
      <c r="S2142" s="881">
        <v>2138</v>
      </c>
      <c r="T2142" s="881" t="s">
        <v>4284</v>
      </c>
      <c r="U2142" s="881" t="s">
        <v>3051</v>
      </c>
      <c r="V2142" s="883">
        <f>$S$1*P!V2142</f>
        <v>0.25851999999999997</v>
      </c>
      <c r="W2142" s="780"/>
      <c r="X2142" s="782">
        <v>2138</v>
      </c>
      <c r="Y2142" s="782" t="s">
        <v>2248</v>
      </c>
      <c r="Z2142" s="782" t="s">
        <v>5140</v>
      </c>
      <c r="AA2142" s="781">
        <f>$S$1*P!AA2142</f>
        <v>3.084677419354839E-4</v>
      </c>
      <c r="AB2142" s="780"/>
      <c r="AC2142" s="881">
        <v>2138</v>
      </c>
      <c r="AD2142" s="881" t="s">
        <v>4573</v>
      </c>
      <c r="AE2142" s="881" t="s">
        <v>2950</v>
      </c>
      <c r="AF2142" s="882">
        <f>$S$1*P!AF2142</f>
        <v>1196</v>
      </c>
    </row>
    <row r="2143" spans="19:32" x14ac:dyDescent="0.35">
      <c r="S2143" s="782">
        <v>2139</v>
      </c>
      <c r="T2143" s="782" t="s">
        <v>4284</v>
      </c>
      <c r="U2143" s="782" t="s">
        <v>3854</v>
      </c>
      <c r="V2143" s="797">
        <f>$S$1*P!V2143</f>
        <v>2.9681451612903225E-6</v>
      </c>
      <c r="W2143" s="780"/>
      <c r="X2143" s="881">
        <v>2139</v>
      </c>
      <c r="Y2143" s="881" t="s">
        <v>2248</v>
      </c>
      <c r="Z2143" s="881" t="s">
        <v>4377</v>
      </c>
      <c r="AA2143" s="890">
        <f>$S$1*P!AA2143</f>
        <v>7.7802419354838725E-6</v>
      </c>
      <c r="AB2143" s="780"/>
      <c r="AC2143" s="782">
        <v>2139</v>
      </c>
      <c r="AD2143" s="782" t="s">
        <v>4573</v>
      </c>
      <c r="AE2143" s="782" t="s">
        <v>3356</v>
      </c>
      <c r="AF2143" s="781">
        <f>$S$1*P!AF2143</f>
        <v>6.3750000000000005E-3</v>
      </c>
    </row>
    <row r="2144" spans="19:32" x14ac:dyDescent="0.35">
      <c r="S2144" s="861">
        <v>2140</v>
      </c>
      <c r="T2144" s="861" t="s">
        <v>4284</v>
      </c>
      <c r="U2144" s="861" t="s">
        <v>3050</v>
      </c>
      <c r="V2144" s="862">
        <f>$S$1*P!V2144</f>
        <v>2.9371499999999999</v>
      </c>
      <c r="W2144" s="780"/>
      <c r="X2144" s="881">
        <v>2140</v>
      </c>
      <c r="Y2144" s="881" t="s">
        <v>2248</v>
      </c>
      <c r="Z2144" s="881" t="s">
        <v>3199</v>
      </c>
      <c r="AA2144" s="882">
        <f>$S$1*P!AA2144</f>
        <v>3.1739999999999997E-3</v>
      </c>
      <c r="AB2144" s="780"/>
      <c r="AC2144" s="881">
        <v>2140</v>
      </c>
      <c r="AD2144" s="881" t="s">
        <v>4573</v>
      </c>
      <c r="AE2144" s="881" t="s">
        <v>2948</v>
      </c>
      <c r="AF2144" s="882">
        <f>$S$1*P!AF2144</f>
        <v>3.7811999999999998E-2</v>
      </c>
    </row>
    <row r="2145" spans="19:32" x14ac:dyDescent="0.35">
      <c r="S2145" s="782">
        <v>2141</v>
      </c>
      <c r="T2145" s="782" t="s">
        <v>4284</v>
      </c>
      <c r="U2145" s="782" t="s">
        <v>3050</v>
      </c>
      <c r="V2145" s="797">
        <f>$S$1*P!V2145</f>
        <v>7.0262096774193552E-7</v>
      </c>
      <c r="W2145" s="780"/>
      <c r="X2145" s="782">
        <v>2141</v>
      </c>
      <c r="Y2145" s="782" t="s">
        <v>2248</v>
      </c>
      <c r="Z2145" s="782" t="s">
        <v>5139</v>
      </c>
      <c r="AA2145" s="781">
        <f>$S$1*P!AA2145</f>
        <v>2.0358870967741938E-3</v>
      </c>
      <c r="AB2145" s="780"/>
      <c r="AC2145" s="782">
        <v>2141</v>
      </c>
      <c r="AD2145" s="782" t="s">
        <v>4573</v>
      </c>
      <c r="AE2145" s="782" t="s">
        <v>2947</v>
      </c>
      <c r="AF2145" s="781">
        <f>$S$1*P!AF2145</f>
        <v>2.210685483870968E-3</v>
      </c>
    </row>
    <row r="2146" spans="19:32" x14ac:dyDescent="0.35">
      <c r="S2146" s="881">
        <v>2142</v>
      </c>
      <c r="T2146" s="881" t="s">
        <v>4284</v>
      </c>
      <c r="U2146" s="881" t="s">
        <v>3050</v>
      </c>
      <c r="V2146" s="883">
        <f>$S$1*P!V2146</f>
        <v>2.53E-2</v>
      </c>
      <c r="W2146" s="780"/>
      <c r="X2146" s="881">
        <v>2142</v>
      </c>
      <c r="Y2146" s="881" t="s">
        <v>2248</v>
      </c>
      <c r="Z2146" s="881" t="s">
        <v>4374</v>
      </c>
      <c r="AA2146" s="890">
        <f>$S$1*P!AA2146</f>
        <v>0.26151209677419357</v>
      </c>
      <c r="AB2146" s="780"/>
      <c r="AC2146" s="881">
        <v>2142</v>
      </c>
      <c r="AD2146" s="881" t="s">
        <v>4573</v>
      </c>
      <c r="AE2146" s="881" t="s">
        <v>2947</v>
      </c>
      <c r="AF2146" s="882">
        <f>$S$1*P!AF2146</f>
        <v>1.6191999999999999E-3</v>
      </c>
    </row>
    <row r="2147" spans="19:32" x14ac:dyDescent="0.35">
      <c r="S2147" s="782">
        <v>2143</v>
      </c>
      <c r="T2147" s="782" t="s">
        <v>4284</v>
      </c>
      <c r="U2147" s="782" t="s">
        <v>3847</v>
      </c>
      <c r="V2147" s="797">
        <f>$S$1*P!V2147</f>
        <v>3.8044354838709681E-3</v>
      </c>
      <c r="W2147" s="780"/>
      <c r="X2147" s="881">
        <v>2143</v>
      </c>
      <c r="Y2147" s="881" t="s">
        <v>2248</v>
      </c>
      <c r="Z2147" s="881" t="s">
        <v>4373</v>
      </c>
      <c r="AA2147" s="890">
        <f>$S$1*P!AA2147</f>
        <v>1.3641129032258066E-5</v>
      </c>
      <c r="AB2147" s="780"/>
      <c r="AC2147" s="881">
        <v>2143</v>
      </c>
      <c r="AD2147" s="881" t="s">
        <v>4573</v>
      </c>
      <c r="AE2147" s="881" t="s">
        <v>2946</v>
      </c>
      <c r="AF2147" s="882">
        <f>$S$1*P!AF2147</f>
        <v>0</v>
      </c>
    </row>
    <row r="2148" spans="19:32" x14ac:dyDescent="0.35">
      <c r="S2148" s="789">
        <v>2144</v>
      </c>
      <c r="T2148" s="789" t="s">
        <v>4284</v>
      </c>
      <c r="U2148" s="789" t="s">
        <v>5138</v>
      </c>
      <c r="V2148" s="790">
        <f>$S$1*P!V2148</f>
        <v>60.668000000000006</v>
      </c>
      <c r="W2148" s="780"/>
      <c r="X2148" s="782">
        <v>2144</v>
      </c>
      <c r="Y2148" s="782" t="s">
        <v>2248</v>
      </c>
      <c r="Z2148" s="782" t="s">
        <v>5137</v>
      </c>
      <c r="AA2148" s="781">
        <f>$S$1*P!AA2148</f>
        <v>1.5800403225806454E-6</v>
      </c>
      <c r="AB2148" s="780"/>
      <c r="AC2148" s="782">
        <v>2144</v>
      </c>
      <c r="AD2148" s="782" t="s">
        <v>4573</v>
      </c>
      <c r="AE2148" s="782" t="s">
        <v>3351</v>
      </c>
      <c r="AF2148" s="781">
        <f>$S$1*P!AF2148</f>
        <v>8.5342741935483875E-4</v>
      </c>
    </row>
    <row r="2149" spans="19:32" x14ac:dyDescent="0.35">
      <c r="S2149" s="789">
        <v>2145</v>
      </c>
      <c r="T2149" s="789" t="s">
        <v>4284</v>
      </c>
      <c r="U2149" s="789" t="s">
        <v>5136</v>
      </c>
      <c r="V2149" s="790">
        <f>$S$1*P!V2149</f>
        <v>99.064000000000007</v>
      </c>
      <c r="W2149" s="780"/>
      <c r="X2149" s="881">
        <v>2145</v>
      </c>
      <c r="Y2149" s="881" t="s">
        <v>2248</v>
      </c>
      <c r="Z2149" s="881" t="s">
        <v>4370</v>
      </c>
      <c r="AA2149" s="890">
        <f>$S$1*P!AA2149</f>
        <v>1.2784274193548388E-6</v>
      </c>
      <c r="AB2149" s="780"/>
      <c r="AC2149" s="782">
        <v>2145</v>
      </c>
      <c r="AD2149" s="782" t="s">
        <v>4573</v>
      </c>
      <c r="AE2149" s="782" t="s">
        <v>3348</v>
      </c>
      <c r="AF2149" s="781">
        <f>$S$1*P!AF2149</f>
        <v>2.7590725806451614E-2</v>
      </c>
    </row>
    <row r="2150" spans="19:32" x14ac:dyDescent="0.35">
      <c r="S2150" s="789">
        <v>2146</v>
      </c>
      <c r="T2150" s="789" t="s">
        <v>4284</v>
      </c>
      <c r="U2150" s="789" t="s">
        <v>5135</v>
      </c>
      <c r="V2150" s="790">
        <f>$S$1*P!V2150</f>
        <v>103.12400000000001</v>
      </c>
      <c r="W2150" s="780"/>
      <c r="X2150" s="782">
        <v>2146</v>
      </c>
      <c r="Y2150" s="782" t="s">
        <v>2248</v>
      </c>
      <c r="Z2150" s="782" t="s">
        <v>4368</v>
      </c>
      <c r="AA2150" s="781">
        <f>$S$1*P!AA2150</f>
        <v>3.2252016129032264E-6</v>
      </c>
      <c r="AB2150" s="780"/>
      <c r="AC2150" s="782">
        <v>2146</v>
      </c>
      <c r="AD2150" s="782" t="s">
        <v>4573</v>
      </c>
      <c r="AE2150" s="782" t="s">
        <v>3346</v>
      </c>
      <c r="AF2150" s="781">
        <f>$S$1*P!AF2150</f>
        <v>2.0358870967741938E-3</v>
      </c>
    </row>
    <row r="2151" spans="19:32" x14ac:dyDescent="0.35">
      <c r="S2151" s="789">
        <v>2147</v>
      </c>
      <c r="T2151" s="789" t="s">
        <v>4284</v>
      </c>
      <c r="U2151" s="789" t="s">
        <v>5134</v>
      </c>
      <c r="V2151" s="790">
        <f>$S$1*P!V2151</f>
        <v>34.916000000000004</v>
      </c>
      <c r="W2151" s="780"/>
      <c r="X2151" s="881">
        <v>2147</v>
      </c>
      <c r="Y2151" s="881" t="s">
        <v>2248</v>
      </c>
      <c r="Z2151" s="881" t="s">
        <v>4367</v>
      </c>
      <c r="AA2151" s="890">
        <f>$S$1*P!AA2151</f>
        <v>3.633064516129033E-5</v>
      </c>
      <c r="AB2151" s="780"/>
      <c r="AC2151" s="782">
        <v>2147</v>
      </c>
      <c r="AD2151" s="782" t="s">
        <v>4573</v>
      </c>
      <c r="AE2151" s="782" t="s">
        <v>3343</v>
      </c>
      <c r="AF2151" s="781">
        <f>$S$1*P!AF2151</f>
        <v>2.7659274193548391E-3</v>
      </c>
    </row>
    <row r="2152" spans="19:32" x14ac:dyDescent="0.35">
      <c r="S2152" s="789">
        <v>2148</v>
      </c>
      <c r="T2152" s="789" t="s">
        <v>4284</v>
      </c>
      <c r="U2152" s="789" t="s">
        <v>5133</v>
      </c>
      <c r="V2152" s="790">
        <f>$S$1*P!V2152</f>
        <v>44.892000000000003</v>
      </c>
      <c r="W2152" s="780"/>
      <c r="X2152" s="782">
        <v>2148</v>
      </c>
      <c r="Y2152" s="782" t="s">
        <v>2248</v>
      </c>
      <c r="Z2152" s="782" t="s">
        <v>5132</v>
      </c>
      <c r="AA2152" s="781">
        <f>$S$1*P!AA2152</f>
        <v>2.6631048387096779E-5</v>
      </c>
      <c r="AB2152" s="780"/>
      <c r="AC2152" s="782">
        <v>2148</v>
      </c>
      <c r="AD2152" s="782" t="s">
        <v>4573</v>
      </c>
      <c r="AE2152" s="782" t="s">
        <v>2945</v>
      </c>
      <c r="AF2152" s="781">
        <f>$S$1*P!AF2152</f>
        <v>9.2883064516129047E-3</v>
      </c>
    </row>
    <row r="2153" spans="19:32" x14ac:dyDescent="0.35">
      <c r="S2153" s="789">
        <v>2149</v>
      </c>
      <c r="T2153" s="789" t="s">
        <v>4284</v>
      </c>
      <c r="U2153" s="789" t="s">
        <v>5131</v>
      </c>
      <c r="V2153" s="790">
        <f>$S$1*P!V2153</f>
        <v>47.908000000000001</v>
      </c>
      <c r="W2153" s="780"/>
      <c r="X2153" s="782">
        <v>2149</v>
      </c>
      <c r="Y2153" s="782" t="s">
        <v>2248</v>
      </c>
      <c r="Z2153" s="782" t="s">
        <v>4364</v>
      </c>
      <c r="AA2153" s="781">
        <f>$S$1*P!AA2153</f>
        <v>5.1754032258064518E-7</v>
      </c>
      <c r="AB2153" s="780"/>
      <c r="AC2153" s="881">
        <v>2149</v>
      </c>
      <c r="AD2153" s="881" t="s">
        <v>4573</v>
      </c>
      <c r="AE2153" s="881" t="s">
        <v>2945</v>
      </c>
      <c r="AF2153" s="882">
        <f>$S$1*P!AF2153</f>
        <v>2.1343999999999998E-2</v>
      </c>
    </row>
    <row r="2154" spans="19:32" x14ac:dyDescent="0.35">
      <c r="S2154" s="789">
        <v>2150</v>
      </c>
      <c r="T2154" s="789" t="s">
        <v>4284</v>
      </c>
      <c r="U2154" s="789" t="s">
        <v>5130</v>
      </c>
      <c r="V2154" s="790">
        <f>$S$1*P!V2154</f>
        <v>83.404000000000011</v>
      </c>
      <c r="W2154" s="780"/>
      <c r="X2154" s="881">
        <v>2150</v>
      </c>
      <c r="Y2154" s="881" t="s">
        <v>2248</v>
      </c>
      <c r="Z2154" s="881" t="s">
        <v>3198</v>
      </c>
      <c r="AA2154" s="882">
        <f>$S$1*P!AA2154</f>
        <v>0</v>
      </c>
      <c r="AB2154" s="780"/>
      <c r="AC2154" s="782">
        <v>2150</v>
      </c>
      <c r="AD2154" s="782" t="s">
        <v>4573</v>
      </c>
      <c r="AE2154" s="782" t="s">
        <v>3338</v>
      </c>
      <c r="AF2154" s="781">
        <f>$S$1*P!AF2154</f>
        <v>4.0443548387096779</v>
      </c>
    </row>
    <row r="2155" spans="19:32" x14ac:dyDescent="0.35">
      <c r="S2155" s="789">
        <v>2151</v>
      </c>
      <c r="T2155" s="789" t="s">
        <v>4284</v>
      </c>
      <c r="U2155" s="789" t="s">
        <v>5129</v>
      </c>
      <c r="V2155" s="790">
        <f>$S$1*P!V2155</f>
        <v>51.736000000000004</v>
      </c>
      <c r="W2155" s="780"/>
      <c r="X2155" s="881">
        <v>2151</v>
      </c>
      <c r="Y2155" s="881" t="s">
        <v>2248</v>
      </c>
      <c r="Z2155" s="881" t="s">
        <v>3198</v>
      </c>
      <c r="AA2155" s="890">
        <f>$S$1*P!AA2155</f>
        <v>4.1814516129032265E-3</v>
      </c>
      <c r="AB2155" s="780"/>
      <c r="AC2155" s="782">
        <v>2151</v>
      </c>
      <c r="AD2155" s="782" t="s">
        <v>4573</v>
      </c>
      <c r="AE2155" s="782" t="s">
        <v>3335</v>
      </c>
      <c r="AF2155" s="781">
        <f>$S$1*P!AF2155</f>
        <v>1.4292338709677422E-3</v>
      </c>
    </row>
    <row r="2156" spans="19:32" x14ac:dyDescent="0.35">
      <c r="S2156" s="789">
        <v>2152</v>
      </c>
      <c r="T2156" s="789" t="s">
        <v>4284</v>
      </c>
      <c r="U2156" s="789" t="s">
        <v>5128</v>
      </c>
      <c r="V2156" s="790">
        <f>$S$1*P!V2156</f>
        <v>143.84</v>
      </c>
      <c r="W2156" s="780"/>
      <c r="X2156" s="782">
        <v>2152</v>
      </c>
      <c r="Y2156" s="782" t="s">
        <v>2248</v>
      </c>
      <c r="Z2156" s="782" t="s">
        <v>5127</v>
      </c>
      <c r="AA2156" s="781">
        <f>$S$1*P!AA2156</f>
        <v>5.9637096774193545E-4</v>
      </c>
      <c r="AB2156" s="780"/>
      <c r="AC2156" s="782">
        <v>2152</v>
      </c>
      <c r="AD2156" s="782" t="s">
        <v>4573</v>
      </c>
      <c r="AE2156" s="782" t="s">
        <v>3333</v>
      </c>
      <c r="AF2156" s="781">
        <f>$S$1*P!AF2156</f>
        <v>0.41471774193548389</v>
      </c>
    </row>
    <row r="2157" spans="19:32" x14ac:dyDescent="0.35">
      <c r="S2157" s="789">
        <v>2153</v>
      </c>
      <c r="T2157" s="789" t="s">
        <v>4284</v>
      </c>
      <c r="U2157" s="789" t="s">
        <v>5126</v>
      </c>
      <c r="V2157" s="790">
        <f>$S$1*P!V2157</f>
        <v>113.56400000000001</v>
      </c>
      <c r="W2157" s="780"/>
      <c r="X2157" s="782">
        <v>2153</v>
      </c>
      <c r="Y2157" s="782" t="s">
        <v>2248</v>
      </c>
      <c r="Z2157" s="782" t="s">
        <v>4359</v>
      </c>
      <c r="AA2157" s="781">
        <f>$S$1*P!AA2157</f>
        <v>2.1935483870967745E-6</v>
      </c>
      <c r="AB2157" s="780"/>
      <c r="AC2157" s="782">
        <v>2153</v>
      </c>
      <c r="AD2157" s="782" t="s">
        <v>4573</v>
      </c>
      <c r="AE2157" s="782" t="s">
        <v>3330</v>
      </c>
      <c r="AF2157" s="781">
        <f>$S$1*P!AF2157</f>
        <v>5.963709677419355</v>
      </c>
    </row>
    <row r="2158" spans="19:32" x14ac:dyDescent="0.35">
      <c r="S2158" s="789">
        <v>2154</v>
      </c>
      <c r="T2158" s="789" t="s">
        <v>4284</v>
      </c>
      <c r="U2158" s="789" t="s">
        <v>5125</v>
      </c>
      <c r="V2158" s="790">
        <f>$S$1*P!V2158</f>
        <v>0.10764800000000001</v>
      </c>
      <c r="W2158" s="780"/>
      <c r="X2158" s="782">
        <v>2154</v>
      </c>
      <c r="Y2158" s="782" t="s">
        <v>2248</v>
      </c>
      <c r="Z2158" s="782" t="s">
        <v>5124</v>
      </c>
      <c r="AA2158" s="781">
        <f>$S$1*P!AA2158</f>
        <v>1.3229838709677421E-5</v>
      </c>
      <c r="AB2158" s="780"/>
      <c r="AC2158" s="782">
        <v>2154</v>
      </c>
      <c r="AD2158" s="782" t="s">
        <v>4573</v>
      </c>
      <c r="AE2158" s="782" t="s">
        <v>3327</v>
      </c>
      <c r="AF2158" s="781">
        <f>$S$1*P!AF2158</f>
        <v>3.1395161290322583E-2</v>
      </c>
    </row>
    <row r="2159" spans="19:32" x14ac:dyDescent="0.35">
      <c r="S2159" s="789">
        <v>2155</v>
      </c>
      <c r="T2159" s="789" t="s">
        <v>4284</v>
      </c>
      <c r="U2159" s="789" t="s">
        <v>3048</v>
      </c>
      <c r="V2159" s="790">
        <f>$S$1*P!V2159</f>
        <v>67.628</v>
      </c>
      <c r="W2159" s="780"/>
      <c r="X2159" s="881">
        <v>2155</v>
      </c>
      <c r="Y2159" s="881" t="s">
        <v>2248</v>
      </c>
      <c r="Z2159" s="881" t="s">
        <v>4356</v>
      </c>
      <c r="AA2159" s="890">
        <f>$S$1*P!AA2159</f>
        <v>1.2784274193548388E-5</v>
      </c>
      <c r="AB2159" s="780"/>
      <c r="AC2159" s="782">
        <v>2155</v>
      </c>
      <c r="AD2159" s="782" t="s">
        <v>4573</v>
      </c>
      <c r="AE2159" s="782" t="s">
        <v>2944</v>
      </c>
      <c r="AF2159" s="781">
        <f>$S$1*P!AF2159</f>
        <v>0.95282258064516134</v>
      </c>
    </row>
    <row r="2160" spans="19:32" x14ac:dyDescent="0.35">
      <c r="S2160" s="881">
        <v>2156</v>
      </c>
      <c r="T2160" s="881" t="s">
        <v>4284</v>
      </c>
      <c r="U2160" s="881" t="s">
        <v>3048</v>
      </c>
      <c r="V2160" s="883">
        <f>$S$1*P!V2160</f>
        <v>0</v>
      </c>
      <c r="W2160" s="780"/>
      <c r="X2160" s="881">
        <v>2156</v>
      </c>
      <c r="Y2160" s="881" t="s">
        <v>2248</v>
      </c>
      <c r="Z2160" s="881" t="s">
        <v>4353</v>
      </c>
      <c r="AA2160" s="890">
        <f>$S$1*P!AA2160</f>
        <v>5.6895161290322579E-5</v>
      </c>
      <c r="AB2160" s="780"/>
      <c r="AC2160" s="881">
        <v>2156</v>
      </c>
      <c r="AD2160" s="881" t="s">
        <v>4573</v>
      </c>
      <c r="AE2160" s="881" t="s">
        <v>2944</v>
      </c>
      <c r="AF2160" s="882">
        <f>$S$1*P!AF2160</f>
        <v>24.84</v>
      </c>
    </row>
    <row r="2161" spans="19:32" x14ac:dyDescent="0.35">
      <c r="S2161" s="789">
        <v>2157</v>
      </c>
      <c r="T2161" s="789" t="s">
        <v>4284</v>
      </c>
      <c r="U2161" s="789" t="s">
        <v>5123</v>
      </c>
      <c r="V2161" s="790">
        <f>$S$1*P!V2161</f>
        <v>1.9720000000000002</v>
      </c>
      <c r="W2161" s="780"/>
      <c r="X2161" s="881">
        <v>2157</v>
      </c>
      <c r="Y2161" s="881" t="s">
        <v>2248</v>
      </c>
      <c r="Z2161" s="881" t="s">
        <v>4351</v>
      </c>
      <c r="AA2161" s="890">
        <f>$S$1*P!AA2161</f>
        <v>5.0040322580645161E-5</v>
      </c>
      <c r="AB2161" s="780"/>
      <c r="AC2161" s="881">
        <v>2157</v>
      </c>
      <c r="AD2161" s="881" t="s">
        <v>4573</v>
      </c>
      <c r="AE2161" s="881" t="s">
        <v>2943</v>
      </c>
      <c r="AF2161" s="882">
        <f>$S$1*P!AF2161</f>
        <v>9.66</v>
      </c>
    </row>
    <row r="2162" spans="19:32" x14ac:dyDescent="0.35">
      <c r="S2162" s="789">
        <v>2158</v>
      </c>
      <c r="T2162" s="789" t="s">
        <v>4284</v>
      </c>
      <c r="U2162" s="789" t="s">
        <v>5122</v>
      </c>
      <c r="V2162" s="790">
        <f>$S$1*P!V2162</f>
        <v>644.96</v>
      </c>
      <c r="W2162" s="780"/>
      <c r="X2162" s="782">
        <v>2158</v>
      </c>
      <c r="Y2162" s="782" t="s">
        <v>2248</v>
      </c>
      <c r="Z2162" s="782" t="s">
        <v>5121</v>
      </c>
      <c r="AA2162" s="781">
        <f>$S$1*P!AA2162</f>
        <v>2.6391129032258069E-5</v>
      </c>
      <c r="AB2162" s="780"/>
      <c r="AC2162" s="782">
        <v>2158</v>
      </c>
      <c r="AD2162" s="782" t="s">
        <v>4573</v>
      </c>
      <c r="AE2162" s="782" t="s">
        <v>2942</v>
      </c>
      <c r="AF2162" s="781">
        <f>$S$1*P!AF2162</f>
        <v>5.5524193548387099E-2</v>
      </c>
    </row>
    <row r="2163" spans="19:32" x14ac:dyDescent="0.35">
      <c r="S2163" s="789">
        <v>2159</v>
      </c>
      <c r="T2163" s="789" t="s">
        <v>4284</v>
      </c>
      <c r="U2163" s="789" t="s">
        <v>5120</v>
      </c>
      <c r="V2163" s="790">
        <f>$S$1*P!V2163</f>
        <v>207.64000000000001</v>
      </c>
      <c r="W2163" s="780"/>
      <c r="X2163" s="881">
        <v>2159</v>
      </c>
      <c r="Y2163" s="881" t="s">
        <v>2248</v>
      </c>
      <c r="Z2163" s="881" t="s">
        <v>3196</v>
      </c>
      <c r="AA2163" s="882">
        <f>$S$1*P!AA2163</f>
        <v>0.22908000000000001</v>
      </c>
      <c r="AB2163" s="780"/>
      <c r="AC2163" s="881">
        <v>2159</v>
      </c>
      <c r="AD2163" s="881" t="s">
        <v>4573</v>
      </c>
      <c r="AE2163" s="881" t="s">
        <v>2942</v>
      </c>
      <c r="AF2163" s="882">
        <f>$S$1*P!AF2163</f>
        <v>15.731999999999999</v>
      </c>
    </row>
    <row r="2164" spans="19:32" x14ac:dyDescent="0.35">
      <c r="S2164" s="789">
        <v>2160</v>
      </c>
      <c r="T2164" s="789" t="s">
        <v>4284</v>
      </c>
      <c r="U2164" s="789" t="s">
        <v>5119</v>
      </c>
      <c r="V2164" s="790">
        <f>$S$1*P!V2164</f>
        <v>75.864000000000004</v>
      </c>
      <c r="W2164" s="780"/>
      <c r="X2164" s="881">
        <v>2160</v>
      </c>
      <c r="Y2164" s="881" t="s">
        <v>2248</v>
      </c>
      <c r="Z2164" s="881" t="s">
        <v>3195</v>
      </c>
      <c r="AA2164" s="882">
        <f>$S$1*P!AA2164</f>
        <v>1.012</v>
      </c>
      <c r="AB2164" s="780"/>
      <c r="AC2164" s="881">
        <v>2160</v>
      </c>
      <c r="AD2164" s="881" t="s">
        <v>4573</v>
      </c>
      <c r="AE2164" s="881" t="s">
        <v>2941</v>
      </c>
      <c r="AF2164" s="882">
        <f>$S$1*P!AF2164</f>
        <v>0.85007999999999995</v>
      </c>
    </row>
    <row r="2165" spans="19:32" x14ac:dyDescent="0.35">
      <c r="S2165" s="789">
        <v>2161</v>
      </c>
      <c r="T2165" s="789" t="s">
        <v>4284</v>
      </c>
      <c r="U2165" s="789" t="s">
        <v>5118</v>
      </c>
      <c r="V2165" s="790">
        <f>$S$1*P!V2165</f>
        <v>96.048000000000002</v>
      </c>
      <c r="W2165" s="780"/>
      <c r="X2165" s="782">
        <v>2161</v>
      </c>
      <c r="Y2165" s="782" t="s">
        <v>2248</v>
      </c>
      <c r="Z2165" s="782" t="s">
        <v>5117</v>
      </c>
      <c r="AA2165" s="781">
        <f>$S$1*P!AA2165</f>
        <v>1.7548387096774196E-3</v>
      </c>
      <c r="AB2165" s="780"/>
      <c r="AC2165" s="881">
        <v>2161</v>
      </c>
      <c r="AD2165" s="881" t="s">
        <v>4573</v>
      </c>
      <c r="AE2165" s="881" t="s">
        <v>2940</v>
      </c>
      <c r="AF2165" s="882">
        <f>$S$1*P!AF2165</f>
        <v>0.11039999999999998</v>
      </c>
    </row>
    <row r="2166" spans="19:32" x14ac:dyDescent="0.35">
      <c r="S2166" s="789">
        <v>2162</v>
      </c>
      <c r="T2166" s="789" t="s">
        <v>4284</v>
      </c>
      <c r="U2166" s="789" t="s">
        <v>5116</v>
      </c>
      <c r="V2166" s="790">
        <f>$S$1*P!V2166</f>
        <v>94.192000000000007</v>
      </c>
      <c r="W2166" s="780"/>
      <c r="X2166" s="881">
        <v>2162</v>
      </c>
      <c r="Y2166" s="881" t="s">
        <v>2248</v>
      </c>
      <c r="Z2166" s="881" t="s">
        <v>4350</v>
      </c>
      <c r="AA2166" s="890">
        <f>$S$1*P!AA2166</f>
        <v>1.405241935483871E-5</v>
      </c>
      <c r="AB2166" s="780"/>
      <c r="AC2166" s="881">
        <v>2162</v>
      </c>
      <c r="AD2166" s="881" t="s">
        <v>4573</v>
      </c>
      <c r="AE2166" s="881" t="s">
        <v>2938</v>
      </c>
      <c r="AF2166" s="882">
        <f>$S$1*P!AF2166</f>
        <v>644</v>
      </c>
    </row>
    <row r="2167" spans="19:32" x14ac:dyDescent="0.35">
      <c r="S2167" s="789">
        <v>2163</v>
      </c>
      <c r="T2167" s="789" t="s">
        <v>4284</v>
      </c>
      <c r="U2167" s="789" t="s">
        <v>5115</v>
      </c>
      <c r="V2167" s="790">
        <f>$S$1*P!V2167</f>
        <v>72.731999999999999</v>
      </c>
      <c r="W2167" s="780"/>
      <c r="X2167" s="782">
        <v>2163</v>
      </c>
      <c r="Y2167" s="782" t="s">
        <v>2248</v>
      </c>
      <c r="Z2167" s="782" t="s">
        <v>4347</v>
      </c>
      <c r="AA2167" s="781">
        <f>$S$1*P!AA2167</f>
        <v>0.83971774193548399</v>
      </c>
      <c r="AB2167" s="780"/>
      <c r="AC2167" s="782">
        <v>2163</v>
      </c>
      <c r="AD2167" s="782" t="s">
        <v>4573</v>
      </c>
      <c r="AE2167" s="782" t="s">
        <v>2937</v>
      </c>
      <c r="AF2167" s="781">
        <f>$S$1*P!AF2167</f>
        <v>0.27727822580645162</v>
      </c>
    </row>
    <row r="2168" spans="19:32" x14ac:dyDescent="0.35">
      <c r="S2168" s="789">
        <v>2164</v>
      </c>
      <c r="T2168" s="789" t="s">
        <v>4284</v>
      </c>
      <c r="U2168" s="789" t="s">
        <v>5114</v>
      </c>
      <c r="V2168" s="790">
        <f>$S$1*P!V2168</f>
        <v>3.3640000000000003</v>
      </c>
      <c r="W2168" s="780"/>
      <c r="X2168" s="881">
        <v>2164</v>
      </c>
      <c r="Y2168" s="881" t="s">
        <v>2248</v>
      </c>
      <c r="Z2168" s="881" t="s">
        <v>4346</v>
      </c>
      <c r="AA2168" s="890">
        <f>$S$1*P!AA2168</f>
        <v>2.6905241935483874E-2</v>
      </c>
      <c r="AB2168" s="780"/>
      <c r="AC2168" s="881">
        <v>2164</v>
      </c>
      <c r="AD2168" s="881" t="s">
        <v>4573</v>
      </c>
      <c r="AE2168" s="881" t="s">
        <v>2937</v>
      </c>
      <c r="AF2168" s="882">
        <f>$S$1*P!AF2168</f>
        <v>10.119999999999999</v>
      </c>
    </row>
    <row r="2169" spans="19:32" x14ac:dyDescent="0.35">
      <c r="S2169" s="789">
        <v>2165</v>
      </c>
      <c r="T2169" s="789" t="s">
        <v>4284</v>
      </c>
      <c r="U2169" s="789" t="s">
        <v>5113</v>
      </c>
      <c r="V2169" s="790">
        <f>$S$1*P!V2169</f>
        <v>5.1040000000000001</v>
      </c>
      <c r="W2169" s="780"/>
      <c r="X2169" s="782">
        <v>2165</v>
      </c>
      <c r="Y2169" s="782" t="s">
        <v>2248</v>
      </c>
      <c r="Z2169" s="782" t="s">
        <v>5112</v>
      </c>
      <c r="AA2169" s="781">
        <f>$S$1*P!AA2169</f>
        <v>2.3820564516129034E-4</v>
      </c>
      <c r="AB2169" s="780"/>
      <c r="AC2169" s="881">
        <v>2165</v>
      </c>
      <c r="AD2169" s="881" t="s">
        <v>4573</v>
      </c>
      <c r="AE2169" s="881" t="s">
        <v>2935</v>
      </c>
      <c r="AF2169" s="882">
        <f>$S$1*P!AF2169</f>
        <v>0.46460000000000001</v>
      </c>
    </row>
    <row r="2170" spans="19:32" x14ac:dyDescent="0.35">
      <c r="S2170" s="789">
        <v>2166</v>
      </c>
      <c r="T2170" s="789" t="s">
        <v>4284</v>
      </c>
      <c r="U2170" s="789" t="s">
        <v>5111</v>
      </c>
      <c r="V2170" s="790">
        <f>$S$1*P!V2170</f>
        <v>7.54</v>
      </c>
      <c r="W2170" s="780"/>
      <c r="X2170" s="782">
        <v>2166</v>
      </c>
      <c r="Y2170" s="782" t="s">
        <v>2248</v>
      </c>
      <c r="Z2170" s="782" t="s">
        <v>4344</v>
      </c>
      <c r="AA2170" s="781">
        <f>$S$1*P!AA2170</f>
        <v>2.0050403225806454E-3</v>
      </c>
      <c r="AB2170" s="780"/>
      <c r="AC2170" s="881">
        <v>2166</v>
      </c>
      <c r="AD2170" s="881" t="s">
        <v>4573</v>
      </c>
      <c r="AE2170" s="881" t="s">
        <v>2934</v>
      </c>
      <c r="AF2170" s="882">
        <f>$S$1*P!AF2170</f>
        <v>1.4352</v>
      </c>
    </row>
    <row r="2171" spans="19:32" x14ac:dyDescent="0.35">
      <c r="S2171" s="789">
        <v>2167</v>
      </c>
      <c r="T2171" s="789" t="s">
        <v>4284</v>
      </c>
      <c r="U2171" s="789" t="s">
        <v>5110</v>
      </c>
      <c r="V2171" s="790">
        <f>$S$1*P!V2171</f>
        <v>6.6120000000000001</v>
      </c>
      <c r="W2171" s="780"/>
      <c r="X2171" s="881">
        <v>2167</v>
      </c>
      <c r="Y2171" s="881" t="s">
        <v>2248</v>
      </c>
      <c r="Z2171" s="881" t="s">
        <v>4341</v>
      </c>
      <c r="AA2171" s="890">
        <f>$S$1*P!AA2171</f>
        <v>2.6356854838709681E-3</v>
      </c>
      <c r="AB2171" s="780"/>
      <c r="AC2171" s="881">
        <v>2167</v>
      </c>
      <c r="AD2171" s="881" t="s">
        <v>4573</v>
      </c>
      <c r="AE2171" s="881" t="s">
        <v>2932</v>
      </c>
      <c r="AF2171" s="882">
        <f>$S$1*P!AF2171</f>
        <v>184</v>
      </c>
    </row>
    <row r="2172" spans="19:32" x14ac:dyDescent="0.35">
      <c r="S2172" s="789">
        <v>2168</v>
      </c>
      <c r="T2172" s="789" t="s">
        <v>4284</v>
      </c>
      <c r="U2172" s="789" t="s">
        <v>5109</v>
      </c>
      <c r="V2172" s="790">
        <f>$S$1*P!V2172</f>
        <v>1438.4</v>
      </c>
      <c r="W2172" s="780"/>
      <c r="X2172" s="782">
        <v>2168</v>
      </c>
      <c r="Y2172" s="782" t="s">
        <v>2248</v>
      </c>
      <c r="Z2172" s="782" t="s">
        <v>5108</v>
      </c>
      <c r="AA2172" s="781">
        <f>$S$1*P!AA2172</f>
        <v>1.4703629032258064E-3</v>
      </c>
      <c r="AB2172" s="780"/>
      <c r="AC2172" s="782">
        <v>2168</v>
      </c>
      <c r="AD2172" s="782" t="s">
        <v>4573</v>
      </c>
      <c r="AE2172" s="782" t="s">
        <v>2931</v>
      </c>
      <c r="AF2172" s="781">
        <f>$S$1*P!AF2172</f>
        <v>2.5225806451612902E-3</v>
      </c>
    </row>
    <row r="2173" spans="19:32" x14ac:dyDescent="0.35">
      <c r="S2173" s="782">
        <v>2169</v>
      </c>
      <c r="T2173" s="782" t="s">
        <v>4284</v>
      </c>
      <c r="U2173" s="782" t="s">
        <v>3841</v>
      </c>
      <c r="V2173" s="797">
        <f>$S$1*P!V2173</f>
        <v>2.4334677419354839E-3</v>
      </c>
      <c r="W2173" s="780"/>
      <c r="X2173" s="782">
        <v>2169</v>
      </c>
      <c r="Y2173" s="782" t="s">
        <v>2248</v>
      </c>
      <c r="Z2173" s="782" t="s">
        <v>4340</v>
      </c>
      <c r="AA2173" s="781">
        <f>$S$1*P!AA2173</f>
        <v>1.6965725806451615E-2</v>
      </c>
      <c r="AB2173" s="780"/>
      <c r="AC2173" s="881">
        <v>2169</v>
      </c>
      <c r="AD2173" s="881" t="s">
        <v>4573</v>
      </c>
      <c r="AE2173" s="881" t="s">
        <v>2931</v>
      </c>
      <c r="AF2173" s="882">
        <f>$S$1*P!AF2173</f>
        <v>0.32935999999999999</v>
      </c>
    </row>
    <row r="2174" spans="19:32" x14ac:dyDescent="0.35">
      <c r="S2174" s="782">
        <v>2170</v>
      </c>
      <c r="T2174" s="782" t="s">
        <v>4284</v>
      </c>
      <c r="U2174" s="782" t="s">
        <v>3046</v>
      </c>
      <c r="V2174" s="797">
        <f>$S$1*P!V2174</f>
        <v>1.4292338709677421</v>
      </c>
      <c r="W2174" s="780"/>
      <c r="X2174" s="881">
        <v>2170</v>
      </c>
      <c r="Y2174" s="881" t="s">
        <v>2248</v>
      </c>
      <c r="Z2174" s="881" t="s">
        <v>4336</v>
      </c>
      <c r="AA2174" s="890">
        <f>$S$1*P!AA2174</f>
        <v>0.45927419354838711</v>
      </c>
      <c r="AB2174" s="780"/>
      <c r="AC2174" s="881">
        <v>2170</v>
      </c>
      <c r="AD2174" s="881" t="s">
        <v>4573</v>
      </c>
      <c r="AE2174" s="881" t="s">
        <v>2930</v>
      </c>
      <c r="AF2174" s="882">
        <f>$S$1*P!AF2174</f>
        <v>2.0148000000000001</v>
      </c>
    </row>
    <row r="2175" spans="19:32" x14ac:dyDescent="0.35">
      <c r="S2175" s="881">
        <v>2171</v>
      </c>
      <c r="T2175" s="881" t="s">
        <v>4284</v>
      </c>
      <c r="U2175" s="881" t="s">
        <v>3046</v>
      </c>
      <c r="V2175" s="883">
        <f>$S$1*P!V2175</f>
        <v>188.6</v>
      </c>
      <c r="W2175" s="780"/>
      <c r="X2175" s="782">
        <v>2171</v>
      </c>
      <c r="Y2175" s="782" t="s">
        <v>2248</v>
      </c>
      <c r="Z2175" s="782" t="s">
        <v>5107</v>
      </c>
      <c r="AA2175" s="781">
        <f>$S$1*P!AA2175</f>
        <v>2.3889112903225805E-5</v>
      </c>
      <c r="AB2175" s="780"/>
      <c r="AC2175" s="782">
        <v>2171</v>
      </c>
      <c r="AD2175" s="782" t="s">
        <v>4573</v>
      </c>
      <c r="AE2175" s="782" t="s">
        <v>2928</v>
      </c>
      <c r="AF2175" s="781">
        <f>$S$1*P!AF2175</f>
        <v>0.39072580645161292</v>
      </c>
    </row>
    <row r="2176" spans="19:32" x14ac:dyDescent="0.35">
      <c r="S2176" s="782">
        <v>2172</v>
      </c>
      <c r="T2176" s="782" t="s">
        <v>4284</v>
      </c>
      <c r="U2176" s="782" t="s">
        <v>3837</v>
      </c>
      <c r="V2176" s="797">
        <f>$S$1*P!V2176</f>
        <v>4.5584677419354845E-3</v>
      </c>
      <c r="W2176" s="780"/>
      <c r="X2176" s="881">
        <v>2172</v>
      </c>
      <c r="Y2176" s="881" t="s">
        <v>2248</v>
      </c>
      <c r="Z2176" s="881" t="s">
        <v>4333</v>
      </c>
      <c r="AA2176" s="890">
        <f>$S$1*P!AA2176</f>
        <v>2.0598790322580648E-3</v>
      </c>
      <c r="AB2176" s="780"/>
      <c r="AC2176" s="881">
        <v>2172</v>
      </c>
      <c r="AD2176" s="881" t="s">
        <v>4573</v>
      </c>
      <c r="AE2176" s="881" t="s">
        <v>2928</v>
      </c>
      <c r="AF2176" s="882">
        <f>$S$1*P!AF2176</f>
        <v>9.4759999999999991</v>
      </c>
    </row>
    <row r="2177" spans="19:32" x14ac:dyDescent="0.35">
      <c r="S2177" s="782">
        <v>2173</v>
      </c>
      <c r="T2177" s="782" t="s">
        <v>4284</v>
      </c>
      <c r="U2177" s="782" t="s">
        <v>3834</v>
      </c>
      <c r="V2177" s="797">
        <f>$S$1*P!V2177</f>
        <v>2.1284274193548388E-2</v>
      </c>
      <c r="W2177" s="780"/>
      <c r="X2177" s="881">
        <v>2173</v>
      </c>
      <c r="Y2177" s="881" t="s">
        <v>2248</v>
      </c>
      <c r="Z2177" s="881" t="s">
        <v>4330</v>
      </c>
      <c r="AA2177" s="890">
        <f>$S$1*P!AA2177</f>
        <v>1.4326612903225807E-2</v>
      </c>
      <c r="AB2177" s="780"/>
      <c r="AC2177" s="881">
        <v>2173</v>
      </c>
      <c r="AD2177" s="881" t="s">
        <v>4573</v>
      </c>
      <c r="AE2177" s="881" t="s">
        <v>2927</v>
      </c>
      <c r="AF2177" s="882">
        <f>$S$1*P!AF2177</f>
        <v>7.4611999999999998</v>
      </c>
    </row>
    <row r="2178" spans="19:32" x14ac:dyDescent="0.35">
      <c r="S2178" s="881">
        <v>2174</v>
      </c>
      <c r="T2178" s="881" t="s">
        <v>4284</v>
      </c>
      <c r="U2178" s="881" t="s">
        <v>3045</v>
      </c>
      <c r="V2178" s="883">
        <f>$S$1*P!V2178</f>
        <v>1.9872000000000001</v>
      </c>
      <c r="W2178" s="780"/>
      <c r="X2178" s="881">
        <v>2174</v>
      </c>
      <c r="Y2178" s="881" t="s">
        <v>2248</v>
      </c>
      <c r="Z2178" s="881" t="s">
        <v>4327</v>
      </c>
      <c r="AA2178" s="890">
        <f>$S$1*P!AA2178</f>
        <v>8.1229838709677427E-3</v>
      </c>
      <c r="AB2178" s="780"/>
      <c r="AC2178" s="881">
        <v>2174</v>
      </c>
      <c r="AD2178" s="881" t="s">
        <v>4573</v>
      </c>
      <c r="AE2178" s="881" t="s">
        <v>2925</v>
      </c>
      <c r="AF2178" s="882">
        <f>$S$1*P!AF2178</f>
        <v>2.254</v>
      </c>
    </row>
    <row r="2179" spans="19:32" x14ac:dyDescent="0.35">
      <c r="S2179" s="881">
        <v>2175</v>
      </c>
      <c r="T2179" s="881" t="s">
        <v>4284</v>
      </c>
      <c r="U2179" s="881" t="s">
        <v>3043</v>
      </c>
      <c r="V2179" s="883">
        <f>$S$1*P!V2179</f>
        <v>8.5652000000000008</v>
      </c>
      <c r="W2179" s="780"/>
      <c r="X2179" s="782">
        <v>2175</v>
      </c>
      <c r="Y2179" s="782" t="s">
        <v>2248</v>
      </c>
      <c r="Z2179" s="782" t="s">
        <v>5106</v>
      </c>
      <c r="AA2179" s="781">
        <f>$S$1*P!AA2179</f>
        <v>2.4163306451612903E-4</v>
      </c>
      <c r="AB2179" s="780"/>
      <c r="AC2179" s="881">
        <v>2175</v>
      </c>
      <c r="AD2179" s="881" t="s">
        <v>4573</v>
      </c>
      <c r="AE2179" s="881" t="s">
        <v>2924</v>
      </c>
      <c r="AF2179" s="882">
        <f>$S$1*P!AF2179</f>
        <v>52.624000000000002</v>
      </c>
    </row>
    <row r="2180" spans="19:32" x14ac:dyDescent="0.35">
      <c r="S2180" s="782">
        <v>2176</v>
      </c>
      <c r="T2180" s="782" t="s">
        <v>4284</v>
      </c>
      <c r="U2180" s="782" t="s">
        <v>3831</v>
      </c>
      <c r="V2180" s="797">
        <f>$S$1*P!V2180</f>
        <v>2.1558467741935486E-3</v>
      </c>
      <c r="W2180" s="780"/>
      <c r="X2180" s="782">
        <v>2176</v>
      </c>
      <c r="Y2180" s="782" t="s">
        <v>2248</v>
      </c>
      <c r="Z2180" s="782" t="s">
        <v>4324</v>
      </c>
      <c r="AA2180" s="781">
        <f>$S$1*P!AA2180</f>
        <v>7.7802419354838712E-3</v>
      </c>
      <c r="AB2180" s="780"/>
      <c r="AC2180" s="881">
        <v>2176</v>
      </c>
      <c r="AD2180" s="881" t="s">
        <v>4573</v>
      </c>
      <c r="AE2180" s="881" t="s">
        <v>2922</v>
      </c>
      <c r="AF2180" s="882">
        <f>$S$1*P!AF2180</f>
        <v>6.9</v>
      </c>
    </row>
    <row r="2181" spans="19:32" x14ac:dyDescent="0.35">
      <c r="S2181" s="782">
        <v>2177</v>
      </c>
      <c r="T2181" s="782" t="s">
        <v>4284</v>
      </c>
      <c r="U2181" s="782" t="s">
        <v>3827</v>
      </c>
      <c r="V2181" s="797">
        <f>$S$1*P!V2181</f>
        <v>4.6955645161290326E-4</v>
      </c>
      <c r="W2181" s="780"/>
      <c r="X2181" s="881">
        <v>2177</v>
      </c>
      <c r="Y2181" s="881" t="s">
        <v>2248</v>
      </c>
      <c r="Z2181" s="881" t="s">
        <v>4319</v>
      </c>
      <c r="AA2181" s="890">
        <f>$S$1*P!AA2181</f>
        <v>7.8830645161290323E-3</v>
      </c>
      <c r="AB2181" s="780"/>
      <c r="AC2181" s="881">
        <v>2177</v>
      </c>
      <c r="AD2181" s="881" t="s">
        <v>4573</v>
      </c>
      <c r="AE2181" s="881" t="s">
        <v>2921</v>
      </c>
      <c r="AF2181" s="882">
        <f>$S$1*P!AF2181</f>
        <v>1.0304</v>
      </c>
    </row>
    <row r="2182" spans="19:32" x14ac:dyDescent="0.35">
      <c r="S2182" s="782">
        <v>2178</v>
      </c>
      <c r="T2182" s="782" t="s">
        <v>4284</v>
      </c>
      <c r="U2182" s="782" t="s">
        <v>3824</v>
      </c>
      <c r="V2182" s="797">
        <f>$S$1*P!V2182</f>
        <v>9.2883064516129044E-2</v>
      </c>
      <c r="W2182" s="780"/>
      <c r="X2182" s="782">
        <v>2178</v>
      </c>
      <c r="Y2182" s="782" t="s">
        <v>2248</v>
      </c>
      <c r="Z2182" s="782" t="s">
        <v>5105</v>
      </c>
      <c r="AA2182" s="781">
        <f>$S$1*P!AA2182</f>
        <v>5.3125000000000004E-4</v>
      </c>
      <c r="AB2182" s="780"/>
      <c r="AC2182" s="881">
        <v>2178</v>
      </c>
      <c r="AD2182" s="881" t="s">
        <v>4573</v>
      </c>
      <c r="AE2182" s="881" t="s">
        <v>2919</v>
      </c>
      <c r="AF2182" s="882">
        <f>$S$1*P!AF2182</f>
        <v>10.488</v>
      </c>
    </row>
    <row r="2183" spans="19:32" x14ac:dyDescent="0.35">
      <c r="S2183" s="782">
        <v>2179</v>
      </c>
      <c r="T2183" s="782" t="s">
        <v>4284</v>
      </c>
      <c r="U2183" s="782" t="s">
        <v>3821</v>
      </c>
      <c r="V2183" s="797">
        <f>$S$1*P!V2183</f>
        <v>1.8816532258064517E-3</v>
      </c>
      <c r="W2183" s="780"/>
      <c r="X2183" s="782">
        <v>2179</v>
      </c>
      <c r="Y2183" s="782" t="s">
        <v>2248</v>
      </c>
      <c r="Z2183" s="782" t="s">
        <v>4317</v>
      </c>
      <c r="AA2183" s="781">
        <f>$S$1*P!AA2183</f>
        <v>3.5645161290322587E-4</v>
      </c>
      <c r="AB2183" s="780"/>
      <c r="AC2183" s="881">
        <v>2179</v>
      </c>
      <c r="AD2183" s="881" t="s">
        <v>4573</v>
      </c>
      <c r="AE2183" s="881" t="s">
        <v>2918</v>
      </c>
      <c r="AF2183" s="882">
        <f>$S$1*P!AF2183</f>
        <v>0.44528000000000006</v>
      </c>
    </row>
    <row r="2184" spans="19:32" x14ac:dyDescent="0.35">
      <c r="S2184" s="782">
        <v>2180</v>
      </c>
      <c r="T2184" s="782" t="s">
        <v>4284</v>
      </c>
      <c r="U2184" s="782" t="s">
        <v>3042</v>
      </c>
      <c r="V2184" s="797">
        <f>$S$1*P!V2184</f>
        <v>7.5745967741935492E-4</v>
      </c>
      <c r="W2184" s="780"/>
      <c r="X2184" s="881">
        <v>2180</v>
      </c>
      <c r="Y2184" s="881" t="s">
        <v>2248</v>
      </c>
      <c r="Z2184" s="881" t="s">
        <v>3193</v>
      </c>
      <c r="AA2184" s="882">
        <f>$S$1*P!AA2184</f>
        <v>3.6708000000000004E-4</v>
      </c>
      <c r="AB2184" s="780"/>
      <c r="AC2184" s="881">
        <v>2180</v>
      </c>
      <c r="AD2184" s="881" t="s">
        <v>4573</v>
      </c>
      <c r="AE2184" s="881" t="s">
        <v>2917</v>
      </c>
      <c r="AF2184" s="882">
        <f>$S$1*P!AF2184</f>
        <v>0</v>
      </c>
    </row>
    <row r="2185" spans="19:32" x14ac:dyDescent="0.35">
      <c r="S2185" s="881">
        <v>2181</v>
      </c>
      <c r="T2185" s="881" t="s">
        <v>4284</v>
      </c>
      <c r="U2185" s="881" t="s">
        <v>3042</v>
      </c>
      <c r="V2185" s="883">
        <f>$S$1*P!V2185</f>
        <v>0</v>
      </c>
      <c r="W2185" s="780"/>
      <c r="X2185" s="881">
        <v>2181</v>
      </c>
      <c r="Y2185" s="881" t="s">
        <v>2248</v>
      </c>
      <c r="Z2185" s="881" t="s">
        <v>3193</v>
      </c>
      <c r="AA2185" s="890">
        <f>$S$1*P!AA2185</f>
        <v>1.9879032258064516E-5</v>
      </c>
      <c r="AB2185" s="780"/>
      <c r="AC2185" s="881">
        <v>2181</v>
      </c>
      <c r="AD2185" s="881" t="s">
        <v>4573</v>
      </c>
      <c r="AE2185" s="881" t="s">
        <v>2915</v>
      </c>
      <c r="AF2185" s="882">
        <f>$S$1*P!AF2185</f>
        <v>0</v>
      </c>
    </row>
    <row r="2186" spans="19:32" x14ac:dyDescent="0.35">
      <c r="S2186" s="782">
        <v>2182</v>
      </c>
      <c r="T2186" s="782" t="s">
        <v>4284</v>
      </c>
      <c r="U2186" s="782" t="s">
        <v>3815</v>
      </c>
      <c r="V2186" s="797">
        <f>$S$1*P!V2186</f>
        <v>6.6491935483870975E-5</v>
      </c>
      <c r="W2186" s="780"/>
      <c r="X2186" s="782">
        <v>2182</v>
      </c>
      <c r="Y2186" s="782" t="s">
        <v>2248</v>
      </c>
      <c r="Z2186" s="782" t="s">
        <v>5104</v>
      </c>
      <c r="AA2186" s="781">
        <f>$S$1*P!AA2186</f>
        <v>3.0538306451612904E-2</v>
      </c>
      <c r="AB2186" s="780"/>
      <c r="AC2186" s="881">
        <v>2182</v>
      </c>
      <c r="AD2186" s="881" t="s">
        <v>4573</v>
      </c>
      <c r="AE2186" s="881" t="s">
        <v>2914</v>
      </c>
      <c r="AF2186" s="882">
        <f>$S$1*P!AF2186</f>
        <v>0</v>
      </c>
    </row>
    <row r="2187" spans="19:32" x14ac:dyDescent="0.35">
      <c r="S2187" s="782">
        <v>2183</v>
      </c>
      <c r="T2187" s="782" t="s">
        <v>4284</v>
      </c>
      <c r="U2187" s="782" t="s">
        <v>3811</v>
      </c>
      <c r="V2187" s="797">
        <f>$S$1*P!V2187</f>
        <v>1.2544354838709678E-4</v>
      </c>
      <c r="W2187" s="780"/>
      <c r="X2187" s="782">
        <v>2183</v>
      </c>
      <c r="Y2187" s="782" t="s">
        <v>2248</v>
      </c>
      <c r="Z2187" s="782" t="s">
        <v>4314</v>
      </c>
      <c r="AA2187" s="781">
        <f>$S$1*P!AA2187</f>
        <v>2.9133064516129035E-4</v>
      </c>
      <c r="AB2187" s="780"/>
      <c r="AC2187" s="782">
        <v>2183</v>
      </c>
      <c r="AD2187" s="782" t="s">
        <v>4573</v>
      </c>
      <c r="AE2187" s="782" t="s">
        <v>2912</v>
      </c>
      <c r="AF2187" s="781">
        <f>$S$1*P!AF2187</f>
        <v>1.3092741935483871</v>
      </c>
    </row>
    <row r="2188" spans="19:32" x14ac:dyDescent="0.35">
      <c r="S2188" s="881">
        <v>2184</v>
      </c>
      <c r="T2188" s="881" t="s">
        <v>4284</v>
      </c>
      <c r="U2188" s="881" t="s">
        <v>3040</v>
      </c>
      <c r="V2188" s="883">
        <f>$S$1*P!V2188</f>
        <v>0</v>
      </c>
      <c r="W2188" s="780"/>
      <c r="X2188" s="881">
        <v>2184</v>
      </c>
      <c r="Y2188" s="881" t="s">
        <v>2248</v>
      </c>
      <c r="Z2188" s="881" t="s">
        <v>4310</v>
      </c>
      <c r="AA2188" s="890">
        <f>$S$1*P!AA2188</f>
        <v>1.9536290322580648E-3</v>
      </c>
      <c r="AB2188" s="780"/>
      <c r="AC2188" s="881">
        <v>2184</v>
      </c>
      <c r="AD2188" s="881" t="s">
        <v>4573</v>
      </c>
      <c r="AE2188" s="881" t="s">
        <v>2912</v>
      </c>
      <c r="AF2188" s="882">
        <f>$S$1*P!AF2188</f>
        <v>0.49863999999999997</v>
      </c>
    </row>
    <row r="2189" spans="19:32" x14ac:dyDescent="0.35">
      <c r="S2189" s="861">
        <v>2185</v>
      </c>
      <c r="T2189" s="861" t="s">
        <v>4284</v>
      </c>
      <c r="U2189" s="861" t="s">
        <v>3809</v>
      </c>
      <c r="V2189" s="862">
        <f>$S$1*P!V2189</f>
        <v>1.8885499999999997</v>
      </c>
      <c r="W2189" s="780"/>
      <c r="X2189" s="782">
        <v>2185</v>
      </c>
      <c r="Y2189" s="782" t="s">
        <v>2248</v>
      </c>
      <c r="Z2189" s="782" t="s">
        <v>5103</v>
      </c>
      <c r="AA2189" s="781">
        <f>$S$1*P!AA2189</f>
        <v>1.7959677419354839E-2</v>
      </c>
      <c r="AB2189" s="780"/>
      <c r="AC2189" s="782">
        <v>2185</v>
      </c>
      <c r="AD2189" s="782" t="s">
        <v>4573</v>
      </c>
      <c r="AE2189" s="782" t="s">
        <v>3314</v>
      </c>
      <c r="AF2189" s="781">
        <f>$S$1*P!AF2189</f>
        <v>1.7514112903225809E-3</v>
      </c>
    </row>
    <row r="2190" spans="19:32" x14ac:dyDescent="0.35">
      <c r="S2190" s="782">
        <v>2186</v>
      </c>
      <c r="T2190" s="782" t="s">
        <v>4284</v>
      </c>
      <c r="U2190" s="782" t="s">
        <v>3809</v>
      </c>
      <c r="V2190" s="797">
        <f>$S$1*P!V2190</f>
        <v>2.9338709677419354E-6</v>
      </c>
      <c r="W2190" s="780"/>
      <c r="X2190" s="881">
        <v>2186</v>
      </c>
      <c r="Y2190" s="881" t="s">
        <v>2248</v>
      </c>
      <c r="Z2190" s="881" t="s">
        <v>3192</v>
      </c>
      <c r="AA2190" s="882">
        <f>$S$1*P!AA2190</f>
        <v>229.07999999999998</v>
      </c>
      <c r="AB2190" s="780"/>
      <c r="AC2190" s="782">
        <v>2186</v>
      </c>
      <c r="AD2190" s="782" t="s">
        <v>4573</v>
      </c>
      <c r="AE2190" s="782" t="s">
        <v>3311</v>
      </c>
      <c r="AF2190" s="781">
        <f>$S$1*P!AF2190</f>
        <v>1.3846774193548388E-2</v>
      </c>
    </row>
    <row r="2191" spans="19:32" x14ac:dyDescent="0.35">
      <c r="S2191" s="782">
        <v>2187</v>
      </c>
      <c r="T2191" s="782" t="s">
        <v>4284</v>
      </c>
      <c r="U2191" s="782" t="s">
        <v>3039</v>
      </c>
      <c r="V2191" s="797">
        <f>$S$1*P!V2191</f>
        <v>3.1669354838709683E-5</v>
      </c>
      <c r="W2191" s="780"/>
      <c r="X2191" s="881">
        <v>2187</v>
      </c>
      <c r="Y2191" s="881" t="s">
        <v>2248</v>
      </c>
      <c r="Z2191" s="881" t="s">
        <v>3192</v>
      </c>
      <c r="AA2191" s="890">
        <f>$S$1*P!AA2191</f>
        <v>0.67520161290322589</v>
      </c>
      <c r="AB2191" s="780"/>
      <c r="AC2191" s="782">
        <v>2187</v>
      </c>
      <c r="AD2191" s="782" t="s">
        <v>4573</v>
      </c>
      <c r="AE2191" s="782" t="s">
        <v>3308</v>
      </c>
      <c r="AF2191" s="781">
        <f>$S$1*P!AF2191</f>
        <v>0.14532258064516129</v>
      </c>
    </row>
    <row r="2192" spans="19:32" x14ac:dyDescent="0.35">
      <c r="S2192" s="881">
        <v>2188</v>
      </c>
      <c r="T2192" s="881" t="s">
        <v>4284</v>
      </c>
      <c r="U2192" s="881" t="s">
        <v>3039</v>
      </c>
      <c r="V2192" s="883">
        <f>$S$1*P!V2192</f>
        <v>2.1987999999999999E-4</v>
      </c>
      <c r="W2192" s="780"/>
      <c r="X2192" s="782">
        <v>2188</v>
      </c>
      <c r="Y2192" s="782" t="s">
        <v>2248</v>
      </c>
      <c r="Z2192" s="782" t="s">
        <v>5102</v>
      </c>
      <c r="AA2192" s="781">
        <f>$S$1*P!AA2192</f>
        <v>1.9193548387096775E-4</v>
      </c>
      <c r="AB2192" s="780"/>
      <c r="AC2192" s="782">
        <v>2188</v>
      </c>
      <c r="AD2192" s="782" t="s">
        <v>4573</v>
      </c>
      <c r="AE2192" s="782" t="s">
        <v>2911</v>
      </c>
      <c r="AF2192" s="781">
        <f>$S$1*P!AF2192</f>
        <v>7.9858870967741934E-3</v>
      </c>
    </row>
    <row r="2193" spans="19:32" x14ac:dyDescent="0.35">
      <c r="S2193" s="782">
        <v>2189</v>
      </c>
      <c r="T2193" s="782" t="s">
        <v>4284</v>
      </c>
      <c r="U2193" s="782" t="s">
        <v>3804</v>
      </c>
      <c r="V2193" s="797">
        <f>$S$1*P!V2193</f>
        <v>2.6151209677419357E-6</v>
      </c>
      <c r="W2193" s="780"/>
      <c r="X2193" s="881">
        <v>2189</v>
      </c>
      <c r="Y2193" s="881" t="s">
        <v>2248</v>
      </c>
      <c r="Z2193" s="881" t="s">
        <v>3190</v>
      </c>
      <c r="AA2193" s="882">
        <f>$S$1*P!AA2193</f>
        <v>20.056000000000001</v>
      </c>
      <c r="AB2193" s="780"/>
      <c r="AC2193" s="881">
        <v>2189</v>
      </c>
      <c r="AD2193" s="881" t="s">
        <v>4573</v>
      </c>
      <c r="AE2193" s="881" t="s">
        <v>2911</v>
      </c>
      <c r="AF2193" s="882">
        <f>$S$1*P!AF2193</f>
        <v>0</v>
      </c>
    </row>
    <row r="2194" spans="19:32" x14ac:dyDescent="0.35">
      <c r="S2194" s="782">
        <v>2190</v>
      </c>
      <c r="T2194" s="782" t="s">
        <v>4284</v>
      </c>
      <c r="U2194" s="782" t="s">
        <v>3800</v>
      </c>
      <c r="V2194" s="797">
        <f>$S$1*P!V2194</f>
        <v>2.0324596774193548E-4</v>
      </c>
      <c r="W2194" s="780"/>
      <c r="X2194" s="881">
        <v>2190</v>
      </c>
      <c r="Y2194" s="881" t="s">
        <v>2248</v>
      </c>
      <c r="Z2194" s="881" t="s">
        <v>3190</v>
      </c>
      <c r="AA2194" s="890">
        <f>$S$1*P!AA2194</f>
        <v>8.8770161290322586E-3</v>
      </c>
      <c r="AB2194" s="780"/>
      <c r="AC2194" s="782">
        <v>2190</v>
      </c>
      <c r="AD2194" s="782" t="s">
        <v>4573</v>
      </c>
      <c r="AE2194" s="782" t="s">
        <v>3304</v>
      </c>
      <c r="AF2194" s="781">
        <f>$S$1*P!AF2194</f>
        <v>0.55866935483870972</v>
      </c>
    </row>
    <row r="2195" spans="19:32" x14ac:dyDescent="0.35">
      <c r="S2195" s="881">
        <v>2191</v>
      </c>
      <c r="T2195" s="881" t="s">
        <v>4284</v>
      </c>
      <c r="U2195" s="881" t="s">
        <v>3037</v>
      </c>
      <c r="V2195" s="883">
        <f>$S$1*P!V2195</f>
        <v>0</v>
      </c>
      <c r="W2195" s="780"/>
      <c r="X2195" s="782">
        <v>2191</v>
      </c>
      <c r="Y2195" s="782" t="s">
        <v>2248</v>
      </c>
      <c r="Z2195" s="782" t="s">
        <v>3582</v>
      </c>
      <c r="AA2195" s="781">
        <f>$S$1*P!AA2195</f>
        <v>0.25294354838709682</v>
      </c>
      <c r="AB2195" s="780"/>
      <c r="AC2195" s="782">
        <v>2191</v>
      </c>
      <c r="AD2195" s="782" t="s">
        <v>4573</v>
      </c>
      <c r="AE2195" s="782" t="s">
        <v>3301</v>
      </c>
      <c r="AF2195" s="781">
        <f>$S$1*P!AF2195</f>
        <v>7.6088709677419363E-3</v>
      </c>
    </row>
    <row r="2196" spans="19:32" x14ac:dyDescent="0.35">
      <c r="S2196" s="782">
        <v>2192</v>
      </c>
      <c r="T2196" s="782" t="s">
        <v>4284</v>
      </c>
      <c r="U2196" s="782" t="s">
        <v>3797</v>
      </c>
      <c r="V2196" s="797">
        <f>$S$1*P!V2196</f>
        <v>3.0161290322580649E-3</v>
      </c>
      <c r="W2196" s="780"/>
      <c r="X2196" s="881">
        <v>2192</v>
      </c>
      <c r="Y2196" s="881" t="s">
        <v>2248</v>
      </c>
      <c r="Z2196" s="881" t="s">
        <v>3189</v>
      </c>
      <c r="AA2196" s="882">
        <f>$S$1*P!AA2196</f>
        <v>12.328000000000001</v>
      </c>
      <c r="AB2196" s="780"/>
      <c r="AC2196" s="782">
        <v>2192</v>
      </c>
      <c r="AD2196" s="782" t="s">
        <v>4573</v>
      </c>
      <c r="AE2196" s="782" t="s">
        <v>3298</v>
      </c>
      <c r="AF2196" s="781">
        <f>$S$1*P!AF2196</f>
        <v>0.1713709677419355</v>
      </c>
    </row>
    <row r="2197" spans="19:32" x14ac:dyDescent="0.35">
      <c r="S2197" s="782">
        <v>2193</v>
      </c>
      <c r="T2197" s="782" t="s">
        <v>4284</v>
      </c>
      <c r="U2197" s="782" t="s">
        <v>3795</v>
      </c>
      <c r="V2197" s="797">
        <f>$S$1*P!V2197</f>
        <v>1.963911290322581E-4</v>
      </c>
      <c r="W2197" s="780"/>
      <c r="X2197" s="881">
        <v>2193</v>
      </c>
      <c r="Y2197" s="881" t="s">
        <v>2248</v>
      </c>
      <c r="Z2197" s="881" t="s">
        <v>3189</v>
      </c>
      <c r="AA2197" s="890">
        <f>$S$1*P!AA2197</f>
        <v>0.14737903225806454</v>
      </c>
      <c r="AB2197" s="780"/>
      <c r="AC2197" s="782">
        <v>2193</v>
      </c>
      <c r="AD2197" s="782" t="s">
        <v>4573</v>
      </c>
      <c r="AE2197" s="782" t="s">
        <v>3295</v>
      </c>
      <c r="AF2197" s="781">
        <f>$S$1*P!AF2197</f>
        <v>3.8044354838709681E-2</v>
      </c>
    </row>
    <row r="2198" spans="19:32" x14ac:dyDescent="0.35">
      <c r="S2198" s="782">
        <v>2194</v>
      </c>
      <c r="T2198" s="782" t="s">
        <v>4284</v>
      </c>
      <c r="U2198" s="782" t="s">
        <v>3790</v>
      </c>
      <c r="V2198" s="797">
        <f>$S$1*P!V2198</f>
        <v>2.505443548387097E-5</v>
      </c>
      <c r="W2198" s="780"/>
      <c r="X2198" s="881">
        <v>2194</v>
      </c>
      <c r="Y2198" s="881" t="s">
        <v>2248</v>
      </c>
      <c r="Z2198" s="881" t="s">
        <v>3188</v>
      </c>
      <c r="AA2198" s="882">
        <f>$S$1*P!AA2198</f>
        <v>5.6212000000000001E-7</v>
      </c>
      <c r="AB2198" s="780"/>
      <c r="AC2198" s="782">
        <v>2194</v>
      </c>
      <c r="AD2198" s="782" t="s">
        <v>4573</v>
      </c>
      <c r="AE2198" s="782" t="s">
        <v>3292</v>
      </c>
      <c r="AF2198" s="781">
        <f>$S$1*P!AF2198</f>
        <v>0.5346774193548387</v>
      </c>
    </row>
    <row r="2199" spans="19:32" x14ac:dyDescent="0.35">
      <c r="S2199" s="782">
        <v>2195</v>
      </c>
      <c r="T2199" s="782" t="s">
        <v>4284</v>
      </c>
      <c r="U2199" s="782" t="s">
        <v>3787</v>
      </c>
      <c r="V2199" s="797">
        <f>$S$1*P!V2199</f>
        <v>4.6270161290322583E-3</v>
      </c>
      <c r="W2199" s="780"/>
      <c r="X2199" s="782">
        <v>2195</v>
      </c>
      <c r="Y2199" s="782" t="s">
        <v>2248</v>
      </c>
      <c r="Z2199" s="782" t="s">
        <v>5101</v>
      </c>
      <c r="AA2199" s="781">
        <f>$S$1*P!AA2199</f>
        <v>9.5282258064516127E-5</v>
      </c>
      <c r="AB2199" s="780"/>
      <c r="AC2199" s="782">
        <v>2195</v>
      </c>
      <c r="AD2199" s="782" t="s">
        <v>4573</v>
      </c>
      <c r="AE2199" s="782" t="s">
        <v>3290</v>
      </c>
      <c r="AF2199" s="781">
        <f>$S$1*P!AF2199</f>
        <v>4.010080645161291E-2</v>
      </c>
    </row>
    <row r="2200" spans="19:32" x14ac:dyDescent="0.35">
      <c r="S2200" s="782">
        <v>2196</v>
      </c>
      <c r="T2200" s="782" t="s">
        <v>4284</v>
      </c>
      <c r="U2200" s="782" t="s">
        <v>3784</v>
      </c>
      <c r="V2200" s="797">
        <f>$S$1*P!V2200</f>
        <v>7.0262096774193543E-5</v>
      </c>
      <c r="W2200" s="780"/>
      <c r="X2200" s="782">
        <v>2196</v>
      </c>
      <c r="Y2200" s="782" t="s">
        <v>2248</v>
      </c>
      <c r="Z2200" s="782" t="s">
        <v>4302</v>
      </c>
      <c r="AA2200" s="781">
        <f>$S$1*P!AA2200</f>
        <v>8.9112903225806461E-6</v>
      </c>
      <c r="AB2200" s="780"/>
      <c r="AC2200" s="782">
        <v>2196</v>
      </c>
      <c r="AD2200" s="782" t="s">
        <v>4573</v>
      </c>
      <c r="AE2200" s="782" t="s">
        <v>3287</v>
      </c>
      <c r="AF2200" s="781">
        <f>$S$1*P!AF2200</f>
        <v>0.10967741935483871</v>
      </c>
    </row>
    <row r="2201" spans="19:32" x14ac:dyDescent="0.35">
      <c r="S2201" s="782">
        <v>2197</v>
      </c>
      <c r="T2201" s="782" t="s">
        <v>4284</v>
      </c>
      <c r="U2201" s="782" t="s">
        <v>3781</v>
      </c>
      <c r="V2201" s="797">
        <f>$S$1*P!V2201</f>
        <v>5.8951612903225814E-2</v>
      </c>
      <c r="W2201" s="780"/>
      <c r="X2201" s="881">
        <v>2197</v>
      </c>
      <c r="Y2201" s="881" t="s">
        <v>2248</v>
      </c>
      <c r="Z2201" s="881" t="s">
        <v>4300</v>
      </c>
      <c r="AA2201" s="890">
        <f>$S$1*P!AA2201</f>
        <v>1.676008064516129E-5</v>
      </c>
      <c r="AB2201" s="780"/>
      <c r="AC2201" s="782">
        <v>2197</v>
      </c>
      <c r="AD2201" s="782" t="s">
        <v>4573</v>
      </c>
      <c r="AE2201" s="782" t="s">
        <v>3284</v>
      </c>
      <c r="AF2201" s="781">
        <f>$S$1*P!AF2201</f>
        <v>6.3064516129032267E-3</v>
      </c>
    </row>
    <row r="2202" spans="19:32" x14ac:dyDescent="0.35">
      <c r="S2202" s="881">
        <v>2198</v>
      </c>
      <c r="T2202" s="881" t="s">
        <v>4284</v>
      </c>
      <c r="U2202" s="881" t="s">
        <v>3035</v>
      </c>
      <c r="V2202" s="883">
        <f>$S$1*P!V2202</f>
        <v>56.672000000000004</v>
      </c>
      <c r="W2202" s="780"/>
      <c r="X2202" s="782">
        <v>2198</v>
      </c>
      <c r="Y2202" s="782" t="s">
        <v>2248</v>
      </c>
      <c r="Z2202" s="782" t="s">
        <v>5100</v>
      </c>
      <c r="AA2202" s="781">
        <f>$S$1*P!AA2202</f>
        <v>0.15354838709677421</v>
      </c>
      <c r="AB2202" s="780"/>
      <c r="AC2202" s="782">
        <v>2198</v>
      </c>
      <c r="AD2202" s="782" t="s">
        <v>4573</v>
      </c>
      <c r="AE2202" s="782" t="s">
        <v>3281</v>
      </c>
      <c r="AF2202" s="781">
        <f>$S$1*P!AF2202</f>
        <v>9.9052419354838713E-3</v>
      </c>
    </row>
    <row r="2203" spans="19:32" x14ac:dyDescent="0.35">
      <c r="S2203" s="782">
        <v>2199</v>
      </c>
      <c r="T2203" s="782" t="s">
        <v>4284</v>
      </c>
      <c r="U2203" s="782" t="s">
        <v>3777</v>
      </c>
      <c r="V2203" s="797">
        <f>$S$1*P!V2203</f>
        <v>0.37701612903225812</v>
      </c>
      <c r="W2203" s="780"/>
      <c r="X2203" s="782">
        <v>2199</v>
      </c>
      <c r="Y2203" s="782" t="s">
        <v>2248</v>
      </c>
      <c r="Z2203" s="782" t="s">
        <v>4299</v>
      </c>
      <c r="AA2203" s="781">
        <f>$S$1*P!AA2203</f>
        <v>1.7274193548387099E-6</v>
      </c>
      <c r="AB2203" s="780"/>
      <c r="AC2203" s="782">
        <v>2199</v>
      </c>
      <c r="AD2203" s="782" t="s">
        <v>4573</v>
      </c>
      <c r="AE2203" s="782" t="s">
        <v>3279</v>
      </c>
      <c r="AF2203" s="781">
        <f>$S$1*P!AF2203</f>
        <v>7.7116935483870974E-3</v>
      </c>
    </row>
    <row r="2204" spans="19:32" x14ac:dyDescent="0.35">
      <c r="S2204" s="782">
        <v>2200</v>
      </c>
      <c r="T2204" s="782" t="s">
        <v>4284</v>
      </c>
      <c r="U2204" s="782" t="s">
        <v>3772</v>
      </c>
      <c r="V2204" s="797">
        <f>$S$1*P!V2204</f>
        <v>6.3064516129032272E-5</v>
      </c>
      <c r="W2204" s="780"/>
      <c r="X2204" s="782">
        <v>2200</v>
      </c>
      <c r="Y2204" s="782" t="s">
        <v>2248</v>
      </c>
      <c r="Z2204" s="782" t="s">
        <v>5099</v>
      </c>
      <c r="AA2204" s="781">
        <f>$S$1*P!AA2204</f>
        <v>2.9475806451612905E-5</v>
      </c>
      <c r="AB2204" s="780"/>
      <c r="AC2204" s="881">
        <v>2200</v>
      </c>
      <c r="AD2204" s="881" t="s">
        <v>4573</v>
      </c>
      <c r="AE2204" s="881" t="s">
        <v>2909</v>
      </c>
      <c r="AF2204" s="882">
        <f>$S$1*P!AF2204</f>
        <v>1554.8000000000002</v>
      </c>
    </row>
    <row r="2205" spans="19:32" x14ac:dyDescent="0.35">
      <c r="S2205" s="782">
        <v>2201</v>
      </c>
      <c r="T2205" s="782" t="s">
        <v>4284</v>
      </c>
      <c r="U2205" s="782" t="s">
        <v>3769</v>
      </c>
      <c r="V2205" s="797">
        <f>$S$1*P!V2205</f>
        <v>1.1173387096774195E-8</v>
      </c>
      <c r="W2205" s="780"/>
      <c r="X2205" s="881">
        <v>2201</v>
      </c>
      <c r="Y2205" s="881" t="s">
        <v>2248</v>
      </c>
      <c r="Z2205" s="881" t="s">
        <v>4297</v>
      </c>
      <c r="AA2205" s="890">
        <f>$S$1*P!AA2205</f>
        <v>2.553427419354839E-4</v>
      </c>
      <c r="AB2205" s="780"/>
      <c r="AC2205" s="782">
        <v>2201</v>
      </c>
      <c r="AD2205" s="782" t="s">
        <v>4573</v>
      </c>
      <c r="AE2205" s="782" t="s">
        <v>2908</v>
      </c>
      <c r="AF2205" s="781">
        <f>$S$1*P!AF2205</f>
        <v>0.20256048387096776</v>
      </c>
    </row>
    <row r="2206" spans="19:32" x14ac:dyDescent="0.35">
      <c r="S2206" s="782">
        <v>2202</v>
      </c>
      <c r="T2206" s="782" t="s">
        <v>4284</v>
      </c>
      <c r="U2206" s="782" t="s">
        <v>3034</v>
      </c>
      <c r="V2206" s="797">
        <f>$S$1*P!V2206</f>
        <v>5.4838709677419356E-2</v>
      </c>
      <c r="W2206" s="780"/>
      <c r="X2206" s="782">
        <v>2202</v>
      </c>
      <c r="Y2206" s="782" t="s">
        <v>2248</v>
      </c>
      <c r="Z2206" s="782" t="s">
        <v>4293</v>
      </c>
      <c r="AA2206" s="781">
        <f>$S$1*P!AA2206</f>
        <v>1.1241935483870968E-7</v>
      </c>
      <c r="AB2206" s="780"/>
      <c r="AC2206" s="881">
        <v>2202</v>
      </c>
      <c r="AD2206" s="881" t="s">
        <v>4573</v>
      </c>
      <c r="AE2206" s="881" t="s">
        <v>2908</v>
      </c>
      <c r="AF2206" s="882">
        <f>$S$1*P!AF2206</f>
        <v>0</v>
      </c>
    </row>
    <row r="2207" spans="19:32" x14ac:dyDescent="0.35">
      <c r="S2207" s="881">
        <v>2203</v>
      </c>
      <c r="T2207" s="881" t="s">
        <v>4284</v>
      </c>
      <c r="U2207" s="881" t="s">
        <v>3034</v>
      </c>
      <c r="V2207" s="883">
        <f>$S$1*P!V2207</f>
        <v>0</v>
      </c>
      <c r="W2207" s="780"/>
      <c r="X2207" s="782">
        <v>2203</v>
      </c>
      <c r="Y2207" s="782" t="s">
        <v>2248</v>
      </c>
      <c r="Z2207" s="782" t="s">
        <v>5098</v>
      </c>
      <c r="AA2207" s="781">
        <f>$S$1*P!AA2207</f>
        <v>2.0735887096774196E-3</v>
      </c>
      <c r="AB2207" s="780"/>
      <c r="AC2207" s="782">
        <v>2203</v>
      </c>
      <c r="AD2207" s="782" t="s">
        <v>4573</v>
      </c>
      <c r="AE2207" s="782" t="s">
        <v>3274</v>
      </c>
      <c r="AF2207" s="781">
        <f>$S$1*P!AF2207</f>
        <v>9.8709677419354852E-2</v>
      </c>
    </row>
    <row r="2208" spans="19:32" x14ac:dyDescent="0.35">
      <c r="S2208" s="782">
        <v>2204</v>
      </c>
      <c r="T2208" s="782" t="s">
        <v>4284</v>
      </c>
      <c r="U2208" s="782" t="s">
        <v>3761</v>
      </c>
      <c r="V2208" s="797">
        <f>$S$1*P!V2208</f>
        <v>3.1875000000000002E-5</v>
      </c>
      <c r="W2208" s="780"/>
      <c r="X2208" s="881">
        <v>2204</v>
      </c>
      <c r="Y2208" s="881" t="s">
        <v>2248</v>
      </c>
      <c r="Z2208" s="881" t="s">
        <v>4290</v>
      </c>
      <c r="AA2208" s="890">
        <f>$S$1*P!AA2208</f>
        <v>1.4909274193548388E-3</v>
      </c>
      <c r="AB2208" s="780"/>
      <c r="AC2208" s="782">
        <v>2204</v>
      </c>
      <c r="AD2208" s="782" t="s">
        <v>4573</v>
      </c>
      <c r="AE2208" s="782" t="s">
        <v>2906</v>
      </c>
      <c r="AF2208" s="781">
        <f>$S$1*P!AF2208</f>
        <v>3.1497983870967743E-2</v>
      </c>
    </row>
    <row r="2209" spans="19:32" x14ac:dyDescent="0.35">
      <c r="S2209" s="782">
        <v>2205</v>
      </c>
      <c r="T2209" s="782" t="s">
        <v>4284</v>
      </c>
      <c r="U2209" s="782" t="s">
        <v>3756</v>
      </c>
      <c r="V2209" s="797">
        <f>$S$1*P!V2209</f>
        <v>2.2004032258064518E-4</v>
      </c>
      <c r="W2209" s="780"/>
      <c r="X2209" s="881">
        <v>2205</v>
      </c>
      <c r="Y2209" s="881" t="s">
        <v>2248</v>
      </c>
      <c r="Z2209" s="881" t="s">
        <v>4288</v>
      </c>
      <c r="AA2209" s="890">
        <f>$S$1*P!AA2209</f>
        <v>3.42741935483871E-7</v>
      </c>
      <c r="AB2209" s="780"/>
      <c r="AC2209" s="881">
        <v>2205</v>
      </c>
      <c r="AD2209" s="881" t="s">
        <v>4573</v>
      </c>
      <c r="AE2209" s="881" t="s">
        <v>2906</v>
      </c>
      <c r="AF2209" s="882">
        <f>$S$1*P!AF2209</f>
        <v>0</v>
      </c>
    </row>
    <row r="2210" spans="19:32" x14ac:dyDescent="0.35">
      <c r="S2210" s="861">
        <v>2206</v>
      </c>
      <c r="T2210" s="861" t="s">
        <v>4284</v>
      </c>
      <c r="U2210" s="861" t="s">
        <v>3032</v>
      </c>
      <c r="V2210" s="862">
        <f>$S$1*P!V2210</f>
        <v>3.3704999999999998</v>
      </c>
      <c r="W2210" s="780"/>
      <c r="X2210" s="782">
        <v>2206</v>
      </c>
      <c r="Y2210" s="782" t="s">
        <v>2248</v>
      </c>
      <c r="Z2210" s="782" t="s">
        <v>5097</v>
      </c>
      <c r="AA2210" s="781">
        <f>$S$1*P!AA2210</f>
        <v>5.0040322580645162E-3</v>
      </c>
      <c r="AB2210" s="780"/>
      <c r="AC2210" s="881">
        <v>2206</v>
      </c>
      <c r="AD2210" s="881" t="s">
        <v>4573</v>
      </c>
      <c r="AE2210" s="881" t="s">
        <v>2904</v>
      </c>
      <c r="AF2210" s="882">
        <f>$S$1*P!AF2210</f>
        <v>600.76</v>
      </c>
    </row>
    <row r="2211" spans="19:32" x14ac:dyDescent="0.35">
      <c r="S2211" s="782">
        <v>2207</v>
      </c>
      <c r="T2211" s="782" t="s">
        <v>4284</v>
      </c>
      <c r="U2211" s="782" t="s">
        <v>3032</v>
      </c>
      <c r="V2211" s="797">
        <f>$S$1*P!V2211</f>
        <v>6.3064516129032259E-6</v>
      </c>
      <c r="W2211" s="780"/>
      <c r="X2211" s="881">
        <v>2207</v>
      </c>
      <c r="Y2211" s="881" t="s">
        <v>2248</v>
      </c>
      <c r="Z2211" s="881" t="s">
        <v>3186</v>
      </c>
      <c r="AA2211" s="882">
        <f>$S$1*P!AA2211</f>
        <v>0</v>
      </c>
      <c r="AB2211" s="780"/>
      <c r="AC2211" s="782">
        <v>2207</v>
      </c>
      <c r="AD2211" s="782" t="s">
        <v>4573</v>
      </c>
      <c r="AE2211" s="782" t="s">
        <v>3269</v>
      </c>
      <c r="AF2211" s="781">
        <f>$S$1*P!AF2211</f>
        <v>5.3467741935483879</v>
      </c>
    </row>
    <row r="2212" spans="19:32" x14ac:dyDescent="0.35">
      <c r="S2212" s="881">
        <v>2208</v>
      </c>
      <c r="T2212" s="881" t="s">
        <v>4284</v>
      </c>
      <c r="U2212" s="881" t="s">
        <v>3032</v>
      </c>
      <c r="V2212" s="883">
        <f>$S$1*P!V2212</f>
        <v>0</v>
      </c>
      <c r="W2212" s="780"/>
      <c r="X2212" s="881">
        <v>2208</v>
      </c>
      <c r="Y2212" s="881" t="s">
        <v>2248</v>
      </c>
      <c r="Z2212" s="881" t="s">
        <v>3186</v>
      </c>
      <c r="AA2212" s="890">
        <f>$S$1*P!AA2212</f>
        <v>3.9072580645161292E-4</v>
      </c>
      <c r="AB2212" s="780"/>
      <c r="AC2212" s="782">
        <v>2208</v>
      </c>
      <c r="AD2212" s="782" t="s">
        <v>4573</v>
      </c>
      <c r="AE2212" s="782" t="s">
        <v>2903</v>
      </c>
      <c r="AF2212" s="781">
        <f>$S$1*P!AF2212</f>
        <v>1.0590725806451614E-3</v>
      </c>
    </row>
    <row r="2213" spans="19:32" x14ac:dyDescent="0.35">
      <c r="S2213" s="782">
        <v>2209</v>
      </c>
      <c r="T2213" s="782" t="s">
        <v>4284</v>
      </c>
      <c r="U2213" s="782" t="s">
        <v>3748</v>
      </c>
      <c r="V2213" s="797">
        <f>$S$1*P!V2213</f>
        <v>1.3127016129032259E-3</v>
      </c>
      <c r="W2213" s="780"/>
      <c r="X2213" s="881">
        <v>2209</v>
      </c>
      <c r="Y2213" s="881" t="s">
        <v>2248</v>
      </c>
      <c r="Z2213" s="881" t="s">
        <v>3185</v>
      </c>
      <c r="AA2213" s="882">
        <f>$S$1*P!AA2213</f>
        <v>0</v>
      </c>
      <c r="AB2213" s="780"/>
      <c r="AC2213" s="881">
        <v>2209</v>
      </c>
      <c r="AD2213" s="881" t="s">
        <v>4573</v>
      </c>
      <c r="AE2213" s="881" t="s">
        <v>2903</v>
      </c>
      <c r="AF2213" s="882">
        <f>$S$1*P!AF2213</f>
        <v>0</v>
      </c>
    </row>
    <row r="2214" spans="19:32" x14ac:dyDescent="0.35">
      <c r="S2214" s="782">
        <v>2210</v>
      </c>
      <c r="T2214" s="782" t="s">
        <v>4284</v>
      </c>
      <c r="U2214" s="782" t="s">
        <v>3744</v>
      </c>
      <c r="V2214" s="797">
        <f>$S$1*P!V2214</f>
        <v>1.4977822580645162E-2</v>
      </c>
      <c r="W2214" s="780"/>
      <c r="X2214" s="782">
        <v>2210</v>
      </c>
      <c r="Y2214" s="782" t="s">
        <v>2248</v>
      </c>
      <c r="Z2214" s="782" t="s">
        <v>5096</v>
      </c>
      <c r="AA2214" s="781">
        <f>$S$1*P!AA2214</f>
        <v>1.2784274193548388E-3</v>
      </c>
      <c r="AB2214" s="780"/>
      <c r="AC2214" s="782">
        <v>2210</v>
      </c>
      <c r="AD2214" s="782" t="s">
        <v>4573</v>
      </c>
      <c r="AE2214" s="782" t="s">
        <v>3265</v>
      </c>
      <c r="AF2214" s="781">
        <f>$S$1*P!AF2214</f>
        <v>6.2379032258064518E-4</v>
      </c>
    </row>
    <row r="2215" spans="19:32" x14ac:dyDescent="0.35">
      <c r="S2215" s="782">
        <v>2211</v>
      </c>
      <c r="T2215" s="782" t="s">
        <v>4284</v>
      </c>
      <c r="U2215" s="782" t="s">
        <v>3031</v>
      </c>
      <c r="V2215" s="797">
        <f>$S$1*P!V2215</f>
        <v>2.2175403225806454E-5</v>
      </c>
      <c r="W2215" s="780"/>
      <c r="X2215" s="881">
        <v>2211</v>
      </c>
      <c r="Y2215" s="881" t="s">
        <v>2248</v>
      </c>
      <c r="Z2215" s="881" t="s">
        <v>3183</v>
      </c>
      <c r="AA2215" s="882">
        <f>$S$1*P!AA2215</f>
        <v>9.1355999999999993E-2</v>
      </c>
      <c r="AB2215" s="780"/>
      <c r="AC2215" s="881">
        <v>2211</v>
      </c>
      <c r="AD2215" s="881" t="s">
        <v>4573</v>
      </c>
      <c r="AE2215" s="881" t="s">
        <v>2901</v>
      </c>
      <c r="AF2215" s="882">
        <f>$S$1*P!AF2215</f>
        <v>0.53452</v>
      </c>
    </row>
    <row r="2216" spans="19:32" x14ac:dyDescent="0.35">
      <c r="S2216" s="881">
        <v>2212</v>
      </c>
      <c r="T2216" s="881" t="s">
        <v>4284</v>
      </c>
      <c r="U2216" s="881" t="s">
        <v>3031</v>
      </c>
      <c r="V2216" s="883">
        <f>$S$1*P!V2216</f>
        <v>0.59799999999999998</v>
      </c>
      <c r="W2216" s="780"/>
      <c r="X2216" s="881">
        <v>2212</v>
      </c>
      <c r="Y2216" s="881" t="s">
        <v>2248</v>
      </c>
      <c r="Z2216" s="881" t="s">
        <v>4282</v>
      </c>
      <c r="AA2216" s="890">
        <f>$S$1*P!AA2216</f>
        <v>8.362903225806452E-2</v>
      </c>
      <c r="AB2216" s="780"/>
      <c r="AC2216" s="881">
        <v>2212</v>
      </c>
      <c r="AD2216" s="881" t="s">
        <v>4573</v>
      </c>
      <c r="AE2216" s="881" t="s">
        <v>2900</v>
      </c>
      <c r="AF2216" s="882">
        <f>$S$1*P!AF2216</f>
        <v>0</v>
      </c>
    </row>
    <row r="2217" spans="19:32" x14ac:dyDescent="0.35">
      <c r="S2217" s="782">
        <v>2213</v>
      </c>
      <c r="T2217" s="782" t="s">
        <v>4284</v>
      </c>
      <c r="U2217" s="782" t="s">
        <v>3029</v>
      </c>
      <c r="V2217" s="797">
        <f>$S$1*P!V2217</f>
        <v>9.0826612903225826E-6</v>
      </c>
      <c r="W2217" s="780"/>
      <c r="X2217" s="782">
        <v>2213</v>
      </c>
      <c r="Y2217" s="782" t="s">
        <v>2248</v>
      </c>
      <c r="Z2217" s="782" t="s">
        <v>5095</v>
      </c>
      <c r="AA2217" s="781">
        <f>$S$1*P!AA2217</f>
        <v>5.6552419354838713E-5</v>
      </c>
      <c r="AB2217" s="780"/>
      <c r="AC2217" s="782">
        <v>2213</v>
      </c>
      <c r="AD2217" s="782" t="s">
        <v>4573</v>
      </c>
      <c r="AE2217" s="782" t="s">
        <v>3262</v>
      </c>
      <c r="AF2217" s="781">
        <f>$S$1*P!AF2217</f>
        <v>4.7641129032258069</v>
      </c>
    </row>
    <row r="2218" spans="19:32" x14ac:dyDescent="0.35">
      <c r="S2218" s="881">
        <v>2214</v>
      </c>
      <c r="T2218" s="881" t="s">
        <v>4284</v>
      </c>
      <c r="U2218" s="881" t="s">
        <v>3029</v>
      </c>
      <c r="V2218" s="883">
        <f>$S$1*P!V2218</f>
        <v>1.9227999999999998</v>
      </c>
      <c r="W2218" s="780"/>
      <c r="X2218" s="881">
        <v>2214</v>
      </c>
      <c r="Y2218" s="881" t="s">
        <v>2248</v>
      </c>
      <c r="Z2218" s="881" t="s">
        <v>3182</v>
      </c>
      <c r="AA2218" s="882">
        <f>$S$1*P!AA2218</f>
        <v>0</v>
      </c>
      <c r="AB2218" s="780"/>
      <c r="AC2218" s="782">
        <v>2214</v>
      </c>
      <c r="AD2218" s="782" t="s">
        <v>4573</v>
      </c>
      <c r="AE2218" s="782" t="s">
        <v>2898</v>
      </c>
      <c r="AF2218" s="781">
        <f>$S$1*P!AF2218</f>
        <v>0.10008064516129032</v>
      </c>
    </row>
    <row r="2219" spans="19:32" x14ac:dyDescent="0.35">
      <c r="S2219" s="782">
        <v>2215</v>
      </c>
      <c r="T2219" s="782" t="s">
        <v>4284</v>
      </c>
      <c r="U2219" s="782" t="s">
        <v>3028</v>
      </c>
      <c r="V2219" s="797">
        <f>$S$1*P!V2219</f>
        <v>2.2209677419354839E-3</v>
      </c>
      <c r="W2219" s="780"/>
      <c r="X2219" s="782">
        <v>2215</v>
      </c>
      <c r="Y2219" s="782" t="s">
        <v>2248</v>
      </c>
      <c r="Z2219" s="782" t="s">
        <v>3182</v>
      </c>
      <c r="AA2219" s="781">
        <f>$S$1*P!AA2219</f>
        <v>2.7282258064516132E-2</v>
      </c>
      <c r="AB2219" s="780"/>
      <c r="AC2219" s="881">
        <v>2215</v>
      </c>
      <c r="AD2219" s="881" t="s">
        <v>4573</v>
      </c>
      <c r="AE2219" s="881" t="s">
        <v>2898</v>
      </c>
      <c r="AF2219" s="882">
        <f>$S$1*P!AF2219</f>
        <v>0</v>
      </c>
    </row>
    <row r="2220" spans="19:32" x14ac:dyDescent="0.35">
      <c r="S2220" s="881">
        <v>2216</v>
      </c>
      <c r="T2220" s="881" t="s">
        <v>4284</v>
      </c>
      <c r="U2220" s="881" t="s">
        <v>3028</v>
      </c>
      <c r="V2220" s="883">
        <f>$S$1*P!V2220</f>
        <v>67.804000000000002</v>
      </c>
      <c r="W2220" s="780"/>
      <c r="X2220" s="881">
        <v>2216</v>
      </c>
      <c r="Y2220" s="881" t="s">
        <v>2248</v>
      </c>
      <c r="Z2220" s="881" t="s">
        <v>4277</v>
      </c>
      <c r="AA2220" s="890">
        <f>$S$1*P!AA2220</f>
        <v>3.5645161290322587E-4</v>
      </c>
      <c r="AB2220" s="780"/>
      <c r="AC2220" s="782">
        <v>2216</v>
      </c>
      <c r="AD2220" s="782" t="s">
        <v>4573</v>
      </c>
      <c r="AE2220" s="782" t="s">
        <v>2897</v>
      </c>
      <c r="AF2220" s="781">
        <f>$S$1*P!AF2220</f>
        <v>8.2258064516129033E-4</v>
      </c>
    </row>
    <row r="2221" spans="19:32" x14ac:dyDescent="0.35">
      <c r="S2221" s="782">
        <v>2217</v>
      </c>
      <c r="T2221" s="782" t="s">
        <v>4284</v>
      </c>
      <c r="U2221" s="782" t="s">
        <v>3728</v>
      </c>
      <c r="V2221" s="797">
        <f>$S$1*P!V2221</f>
        <v>6.512096774193549E-6</v>
      </c>
      <c r="W2221" s="780"/>
      <c r="X2221" s="782">
        <v>2217</v>
      </c>
      <c r="Y2221" s="782" t="s">
        <v>2248</v>
      </c>
      <c r="Z2221" s="782" t="s">
        <v>5094</v>
      </c>
      <c r="AA2221" s="781">
        <f>$S$1*P!AA2221</f>
        <v>3.190927419354839E-4</v>
      </c>
      <c r="AB2221" s="780"/>
      <c r="AC2221" s="881">
        <v>2217</v>
      </c>
      <c r="AD2221" s="881" t="s">
        <v>4573</v>
      </c>
      <c r="AE2221" s="881" t="s">
        <v>2897</v>
      </c>
      <c r="AF2221" s="882">
        <f>$S$1*P!AF2221</f>
        <v>0</v>
      </c>
    </row>
    <row r="2222" spans="19:32" x14ac:dyDescent="0.35">
      <c r="S2222" s="881">
        <v>2218</v>
      </c>
      <c r="T2222" s="881" t="s">
        <v>4284</v>
      </c>
      <c r="U2222" s="881" t="s">
        <v>3026</v>
      </c>
      <c r="V2222" s="883">
        <f>$S$1*P!V2222</f>
        <v>17.204000000000001</v>
      </c>
      <c r="W2222" s="780"/>
      <c r="X2222" s="782">
        <v>2218</v>
      </c>
      <c r="Y2222" s="782" t="s">
        <v>2248</v>
      </c>
      <c r="Z2222" s="782" t="s">
        <v>4274</v>
      </c>
      <c r="AA2222" s="781">
        <f>$S$1*P!AA2222</f>
        <v>1.6074596774193549E-3</v>
      </c>
      <c r="AB2222" s="780"/>
      <c r="AC2222" s="782">
        <v>2218</v>
      </c>
      <c r="AD2222" s="782" t="s">
        <v>4573</v>
      </c>
      <c r="AE2222" s="782" t="s">
        <v>3256</v>
      </c>
      <c r="AF2222" s="781">
        <f>$S$1*P!AF2222</f>
        <v>0.67862903225806459</v>
      </c>
    </row>
    <row r="2223" spans="19:32" x14ac:dyDescent="0.35">
      <c r="S2223" s="861">
        <v>2219</v>
      </c>
      <c r="T2223" s="861" t="s">
        <v>4284</v>
      </c>
      <c r="U2223" s="861" t="s">
        <v>5093</v>
      </c>
      <c r="V2223" s="862">
        <f>$S$1*P!V2223</f>
        <v>0.77039999999999986</v>
      </c>
      <c r="W2223" s="780"/>
      <c r="X2223" s="881">
        <v>2219</v>
      </c>
      <c r="Y2223" s="881" t="s">
        <v>2248</v>
      </c>
      <c r="Z2223" s="881" t="s">
        <v>3180</v>
      </c>
      <c r="AA2223" s="882">
        <f>$S$1*P!AA2223</f>
        <v>0</v>
      </c>
      <c r="AB2223" s="780"/>
      <c r="AC2223" s="782">
        <v>2219</v>
      </c>
      <c r="AD2223" s="782" t="s">
        <v>4573</v>
      </c>
      <c r="AE2223" s="782" t="s">
        <v>3253</v>
      </c>
      <c r="AF2223" s="781">
        <f>$S$1*P!AF2223</f>
        <v>8.6028225806451614E-2</v>
      </c>
    </row>
    <row r="2224" spans="19:32" x14ac:dyDescent="0.35">
      <c r="S2224" s="782">
        <v>2220</v>
      </c>
      <c r="T2224" s="782" t="s">
        <v>4284</v>
      </c>
      <c r="U2224" s="782" t="s">
        <v>3725</v>
      </c>
      <c r="V2224" s="797">
        <f>$S$1*P!V2224</f>
        <v>9.3225806451612916E-5</v>
      </c>
      <c r="W2224" s="780"/>
      <c r="X2224" s="782">
        <v>2220</v>
      </c>
      <c r="Y2224" s="782" t="s">
        <v>2248</v>
      </c>
      <c r="Z2224" s="782" t="s">
        <v>5092</v>
      </c>
      <c r="AA2224" s="781">
        <f>$S$1*P!AA2224</f>
        <v>2.9510080645161293E-2</v>
      </c>
      <c r="AB2224" s="780"/>
      <c r="AC2224" s="782">
        <v>2220</v>
      </c>
      <c r="AD2224" s="782" t="s">
        <v>4573</v>
      </c>
      <c r="AE2224" s="782" t="s">
        <v>3250</v>
      </c>
      <c r="AF2224" s="781">
        <f>$S$1*P!AF2224</f>
        <v>2.1352822580645161</v>
      </c>
    </row>
    <row r="2225" spans="19:32" x14ac:dyDescent="0.35">
      <c r="S2225" s="881">
        <v>2221</v>
      </c>
      <c r="T2225" s="881" t="s">
        <v>4284</v>
      </c>
      <c r="U2225" s="881" t="s">
        <v>3025</v>
      </c>
      <c r="V2225" s="883">
        <f>$S$1*P!V2225</f>
        <v>0</v>
      </c>
      <c r="W2225" s="780"/>
      <c r="X2225" s="881">
        <v>2221</v>
      </c>
      <c r="Y2225" s="881" t="s">
        <v>2248</v>
      </c>
      <c r="Z2225" s="881" t="s">
        <v>4271</v>
      </c>
      <c r="AA2225" s="890">
        <f>$S$1*P!AA2225</f>
        <v>0.24300403225806452</v>
      </c>
      <c r="AB2225" s="780"/>
      <c r="AC2225" s="782">
        <v>2221</v>
      </c>
      <c r="AD2225" s="782" t="s">
        <v>4573</v>
      </c>
      <c r="AE2225" s="782" t="s">
        <v>3247</v>
      </c>
      <c r="AF2225" s="781">
        <f>$S$1*P!AF2225</f>
        <v>2.7110887096774196E-2</v>
      </c>
    </row>
    <row r="2226" spans="19:32" x14ac:dyDescent="0.35">
      <c r="S2226" s="782">
        <v>2222</v>
      </c>
      <c r="T2226" s="782" t="s">
        <v>4284</v>
      </c>
      <c r="U2226" s="782" t="s">
        <v>3722</v>
      </c>
      <c r="V2226" s="797">
        <f>$S$1*P!V2226</f>
        <v>4.6955645161290331E-5</v>
      </c>
      <c r="W2226" s="780"/>
      <c r="X2226" s="782">
        <v>2222</v>
      </c>
      <c r="Y2226" s="782" t="s">
        <v>2248</v>
      </c>
      <c r="Z2226" s="782" t="s">
        <v>4267</v>
      </c>
      <c r="AA2226" s="781">
        <f>$S$1*P!AA2226</f>
        <v>4.0786290322580646E-3</v>
      </c>
      <c r="AB2226" s="780"/>
      <c r="AC2226" s="782">
        <v>2222</v>
      </c>
      <c r="AD2226" s="782" t="s">
        <v>4573</v>
      </c>
      <c r="AE2226" s="782" t="s">
        <v>3245</v>
      </c>
      <c r="AF2226" s="781">
        <f>$S$1*P!AF2226</f>
        <v>70.947580645161295</v>
      </c>
    </row>
    <row r="2227" spans="19:32" x14ac:dyDescent="0.35">
      <c r="S2227" s="782">
        <v>2223</v>
      </c>
      <c r="T2227" s="782" t="s">
        <v>4284</v>
      </c>
      <c r="U2227" s="782" t="s">
        <v>3718</v>
      </c>
      <c r="V2227" s="797">
        <f>$S$1*P!V2227</f>
        <v>3.9758064516129038E-2</v>
      </c>
      <c r="W2227" s="780"/>
      <c r="X2227" s="782">
        <v>2223</v>
      </c>
      <c r="Y2227" s="782" t="s">
        <v>2248</v>
      </c>
      <c r="Z2227" s="782" t="s">
        <v>5091</v>
      </c>
      <c r="AA2227" s="781">
        <f>$S$1*P!AA2227</f>
        <v>4.8326612903225813E-3</v>
      </c>
      <c r="AB2227" s="780"/>
      <c r="AC2227" s="782">
        <v>2223</v>
      </c>
      <c r="AD2227" s="782" t="s">
        <v>4573</v>
      </c>
      <c r="AE2227" s="782" t="s">
        <v>3242</v>
      </c>
      <c r="AF2227" s="781">
        <f>$S$1*P!AF2227</f>
        <v>11.82459677419355</v>
      </c>
    </row>
    <row r="2228" spans="19:32" x14ac:dyDescent="0.35">
      <c r="S2228" s="782">
        <v>2224</v>
      </c>
      <c r="T2228" s="782" t="s">
        <v>4284</v>
      </c>
      <c r="U2228" s="782" t="s">
        <v>3712</v>
      </c>
      <c r="V2228" s="797">
        <f>$S$1*P!V2228</f>
        <v>3.9415322580645167E-2</v>
      </c>
      <c r="W2228" s="780"/>
      <c r="X2228" s="881">
        <v>2224</v>
      </c>
      <c r="Y2228" s="881" t="s">
        <v>2248</v>
      </c>
      <c r="Z2228" s="881" t="s">
        <v>4264</v>
      </c>
      <c r="AA2228" s="890">
        <f>$S$1*P!AA2228</f>
        <v>4.1471774193548392E-3</v>
      </c>
      <c r="AB2228" s="780"/>
      <c r="AC2228" s="782">
        <v>2224</v>
      </c>
      <c r="AD2228" s="782" t="s">
        <v>4573</v>
      </c>
      <c r="AE2228" s="782" t="s">
        <v>3239</v>
      </c>
      <c r="AF2228" s="781">
        <f>$S$1*P!AF2228</f>
        <v>0.45927419354838711</v>
      </c>
    </row>
    <row r="2229" spans="19:32" x14ac:dyDescent="0.35">
      <c r="S2229" s="782">
        <v>2225</v>
      </c>
      <c r="T2229" s="782" t="s">
        <v>4284</v>
      </c>
      <c r="U2229" s="782" t="s">
        <v>3023</v>
      </c>
      <c r="V2229" s="797">
        <f>$S$1*P!V2229</f>
        <v>1.0282258064516129E-4</v>
      </c>
      <c r="W2229" s="780"/>
      <c r="X2229" s="881">
        <v>2225</v>
      </c>
      <c r="Y2229" s="881" t="s">
        <v>2248</v>
      </c>
      <c r="Z2229" s="881" t="s">
        <v>3179</v>
      </c>
      <c r="AA2229" s="882">
        <f>$S$1*P!AA2229</f>
        <v>0</v>
      </c>
      <c r="AB2229" s="780"/>
      <c r="AC2229" s="782">
        <v>2225</v>
      </c>
      <c r="AD2229" s="782" t="s">
        <v>4573</v>
      </c>
      <c r="AE2229" s="782" t="s">
        <v>3236</v>
      </c>
      <c r="AF2229" s="781">
        <f>$S$1*P!AF2229</f>
        <v>11.82459677419355</v>
      </c>
    </row>
    <row r="2230" spans="19:32" x14ac:dyDescent="0.35">
      <c r="S2230" s="881">
        <v>2226</v>
      </c>
      <c r="T2230" s="881" t="s">
        <v>4284</v>
      </c>
      <c r="U2230" s="881" t="s">
        <v>3023</v>
      </c>
      <c r="V2230" s="883">
        <f>$S$1*P!V2230</f>
        <v>0</v>
      </c>
      <c r="W2230" s="780"/>
      <c r="X2230" s="881">
        <v>2226</v>
      </c>
      <c r="Y2230" s="881" t="s">
        <v>2248</v>
      </c>
      <c r="Z2230" s="881" t="s">
        <v>3178</v>
      </c>
      <c r="AA2230" s="882">
        <f>$S$1*P!AA2230</f>
        <v>0.47472000000000003</v>
      </c>
      <c r="AB2230" s="780"/>
      <c r="AC2230" s="782">
        <v>2226</v>
      </c>
      <c r="AD2230" s="782" t="s">
        <v>4573</v>
      </c>
      <c r="AE2230" s="782" t="s">
        <v>3234</v>
      </c>
      <c r="AF2230" s="781">
        <f>$S$1*P!AF2230</f>
        <v>1.3024193548387098E-3</v>
      </c>
    </row>
    <row r="2231" spans="19:32" x14ac:dyDescent="0.35">
      <c r="S2231" s="782">
        <v>2227</v>
      </c>
      <c r="T2231" s="782" t="s">
        <v>4284</v>
      </c>
      <c r="U2231" s="782" t="s">
        <v>3704</v>
      </c>
      <c r="V2231" s="797">
        <f>$S$1*P!V2231</f>
        <v>1.7925403225806455E-4</v>
      </c>
      <c r="W2231" s="780"/>
      <c r="X2231" s="782">
        <v>2227</v>
      </c>
      <c r="Y2231" s="782" t="s">
        <v>2248</v>
      </c>
      <c r="Z2231" s="782" t="s">
        <v>5090</v>
      </c>
      <c r="AA2231" s="781">
        <f>$S$1*P!AA2231</f>
        <v>6.1350806451612909E-3</v>
      </c>
      <c r="AB2231" s="780"/>
      <c r="AC2231" s="782">
        <v>2227</v>
      </c>
      <c r="AD2231" s="782" t="s">
        <v>4573</v>
      </c>
      <c r="AE2231" s="782" t="s">
        <v>2896</v>
      </c>
      <c r="AF2231" s="781">
        <f>$S$1*P!AF2231</f>
        <v>5.586693548387097</v>
      </c>
    </row>
    <row r="2232" spans="19:32" x14ac:dyDescent="0.35">
      <c r="S2232" s="782">
        <v>2228</v>
      </c>
      <c r="T2232" s="782" t="s">
        <v>4284</v>
      </c>
      <c r="U2232" s="782" t="s">
        <v>3700</v>
      </c>
      <c r="V2232" s="797">
        <f>$S$1*P!V2232</f>
        <v>8.9112903225806468E-5</v>
      </c>
      <c r="W2232" s="780"/>
      <c r="X2232" s="881">
        <v>2228</v>
      </c>
      <c r="Y2232" s="881" t="s">
        <v>2248</v>
      </c>
      <c r="Z2232" s="881" t="s">
        <v>4260</v>
      </c>
      <c r="AA2232" s="890">
        <f>$S$1*P!AA2232</f>
        <v>1.1584677419354838E-3</v>
      </c>
      <c r="AB2232" s="780"/>
      <c r="AC2232" s="881">
        <v>2228</v>
      </c>
      <c r="AD2232" s="881" t="s">
        <v>4573</v>
      </c>
      <c r="AE2232" s="881" t="s">
        <v>2896</v>
      </c>
      <c r="AF2232" s="882">
        <f>$S$1*P!AF2232</f>
        <v>0</v>
      </c>
    </row>
    <row r="2233" spans="19:32" x14ac:dyDescent="0.35">
      <c r="S2233" s="782">
        <v>2229</v>
      </c>
      <c r="T2233" s="782" t="s">
        <v>4284</v>
      </c>
      <c r="U2233" s="782" t="s">
        <v>3021</v>
      </c>
      <c r="V2233" s="797">
        <f>$S$1*P!V2233</f>
        <v>5.826612903225807E-4</v>
      </c>
      <c r="W2233" s="780"/>
      <c r="X2233" s="881">
        <v>2229</v>
      </c>
      <c r="Y2233" s="881" t="s">
        <v>2248</v>
      </c>
      <c r="Z2233" s="881" t="s">
        <v>3176</v>
      </c>
      <c r="AA2233" s="882">
        <f>$S$1*P!AA2233</f>
        <v>0.17019999999999999</v>
      </c>
      <c r="AB2233" s="780"/>
      <c r="AC2233" s="881">
        <v>2229</v>
      </c>
      <c r="AD2233" s="881" t="s">
        <v>4573</v>
      </c>
      <c r="AE2233" s="881" t="s">
        <v>2894</v>
      </c>
      <c r="AF2233" s="882">
        <f>$S$1*P!AF2233</f>
        <v>2.6403999999999998E-3</v>
      </c>
    </row>
    <row r="2234" spans="19:32" x14ac:dyDescent="0.35">
      <c r="S2234" s="881">
        <v>2230</v>
      </c>
      <c r="T2234" s="881" t="s">
        <v>4284</v>
      </c>
      <c r="U2234" s="881" t="s">
        <v>3021</v>
      </c>
      <c r="V2234" s="883">
        <f>$S$1*P!V2234</f>
        <v>3.1188E-2</v>
      </c>
      <c r="W2234" s="780"/>
      <c r="X2234" s="782">
        <v>2230</v>
      </c>
      <c r="Y2234" s="782" t="s">
        <v>2248</v>
      </c>
      <c r="Z2234" s="782" t="s">
        <v>5089</v>
      </c>
      <c r="AA2234" s="781">
        <f>$S$1*P!AA2234</f>
        <v>9.425403225806453E-2</v>
      </c>
      <c r="AB2234" s="780"/>
      <c r="AC2234" s="782">
        <v>2230</v>
      </c>
      <c r="AD2234" s="782" t="s">
        <v>4573</v>
      </c>
      <c r="AE2234" s="782" t="s">
        <v>3229</v>
      </c>
      <c r="AF2234" s="781">
        <f>$S$1*P!AF2234</f>
        <v>3.7701612903225811E-4</v>
      </c>
    </row>
    <row r="2235" spans="19:32" x14ac:dyDescent="0.35">
      <c r="S2235" s="782">
        <v>2231</v>
      </c>
      <c r="T2235" s="782" t="s">
        <v>4284</v>
      </c>
      <c r="U2235" s="782" t="s">
        <v>3020</v>
      </c>
      <c r="V2235" s="797">
        <f>$S$1*P!V2235</f>
        <v>1.0590725806451614E-3</v>
      </c>
      <c r="W2235" s="780"/>
      <c r="X2235" s="881">
        <v>2231</v>
      </c>
      <c r="Y2235" s="881" t="s">
        <v>2248</v>
      </c>
      <c r="Z2235" s="881" t="s">
        <v>3176</v>
      </c>
      <c r="AA2235" s="890">
        <f>$S$1*P!AA2235</f>
        <v>6.4092741935483873E-4</v>
      </c>
      <c r="AB2235" s="780"/>
      <c r="AC2235" s="782">
        <v>2231</v>
      </c>
      <c r="AD2235" s="782" t="s">
        <v>4573</v>
      </c>
      <c r="AE2235" s="782" t="s">
        <v>3226</v>
      </c>
      <c r="AF2235" s="781">
        <f>$S$1*P!AF2235</f>
        <v>6.6149193548387109E-2</v>
      </c>
    </row>
    <row r="2236" spans="19:32" x14ac:dyDescent="0.35">
      <c r="S2236" s="881">
        <v>2232</v>
      </c>
      <c r="T2236" s="881" t="s">
        <v>4284</v>
      </c>
      <c r="U2236" s="881" t="s">
        <v>3020</v>
      </c>
      <c r="V2236" s="883">
        <f>$S$1*P!V2236</f>
        <v>3.8455999999999997E-2</v>
      </c>
      <c r="W2236" s="780"/>
      <c r="X2236" s="881">
        <v>2232</v>
      </c>
      <c r="Y2236" s="881" t="s">
        <v>2248</v>
      </c>
      <c r="Z2236" s="881" t="s">
        <v>4256</v>
      </c>
      <c r="AA2236" s="890">
        <f>$S$1*P!AA2236</f>
        <v>1.0556451612903226E-5</v>
      </c>
      <c r="AB2236" s="780"/>
      <c r="AC2236" s="782">
        <v>2232</v>
      </c>
      <c r="AD2236" s="782" t="s">
        <v>4573</v>
      </c>
      <c r="AE2236" s="782" t="s">
        <v>3223</v>
      </c>
      <c r="AF2236" s="781">
        <f>$S$1*P!AF2236</f>
        <v>2.8447580645161297E-4</v>
      </c>
    </row>
    <row r="2237" spans="19:32" x14ac:dyDescent="0.35">
      <c r="S2237" s="881">
        <v>2233</v>
      </c>
      <c r="T2237" s="881" t="s">
        <v>4284</v>
      </c>
      <c r="U2237" s="881" t="s">
        <v>3018</v>
      </c>
      <c r="V2237" s="883">
        <f>$S$1*P!V2237</f>
        <v>0.12695999999999999</v>
      </c>
      <c r="W2237" s="780"/>
      <c r="X2237" s="782">
        <v>2233</v>
      </c>
      <c r="Y2237" s="782" t="s">
        <v>2248</v>
      </c>
      <c r="Z2237" s="782" t="s">
        <v>5088</v>
      </c>
      <c r="AA2237" s="781">
        <f>$S$1*P!AA2237</f>
        <v>5.7923387096774198E-5</v>
      </c>
      <c r="AB2237" s="780"/>
      <c r="AC2237" s="782">
        <v>2233</v>
      </c>
      <c r="AD2237" s="782" t="s">
        <v>4573</v>
      </c>
      <c r="AE2237" s="782" t="s">
        <v>2893</v>
      </c>
      <c r="AF2237" s="781">
        <f>$S$1*P!AF2237</f>
        <v>1.7891129032258067E-3</v>
      </c>
    </row>
    <row r="2238" spans="19:32" x14ac:dyDescent="0.35">
      <c r="S2238" s="881">
        <v>2234</v>
      </c>
      <c r="T2238" s="881" t="s">
        <v>4284</v>
      </c>
      <c r="U2238" s="881" t="s">
        <v>3017</v>
      </c>
      <c r="V2238" s="883">
        <f>$S$1*P!V2238</f>
        <v>2.7415999999999999E-2</v>
      </c>
      <c r="W2238" s="780"/>
      <c r="X2238" s="881">
        <v>2234</v>
      </c>
      <c r="Y2238" s="881" t="s">
        <v>2248</v>
      </c>
      <c r="Z2238" s="881" t="s">
        <v>3175</v>
      </c>
      <c r="AA2238" s="882">
        <f>$S$1*P!AA2238</f>
        <v>0</v>
      </c>
      <c r="AB2238" s="780"/>
      <c r="AC2238" s="881">
        <v>2234</v>
      </c>
      <c r="AD2238" s="881" t="s">
        <v>4573</v>
      </c>
      <c r="AE2238" s="881" t="s">
        <v>2893</v>
      </c>
      <c r="AF2238" s="882">
        <f>$S$1*P!AF2238</f>
        <v>0</v>
      </c>
    </row>
    <row r="2239" spans="19:32" x14ac:dyDescent="0.35">
      <c r="S2239" s="881">
        <v>2235</v>
      </c>
      <c r="T2239" s="881" t="s">
        <v>4284</v>
      </c>
      <c r="U2239" s="881" t="s">
        <v>3015</v>
      </c>
      <c r="V2239" s="883">
        <f>$S$1*P!V2239</f>
        <v>7.3599999999999999E-2</v>
      </c>
      <c r="W2239" s="780"/>
      <c r="X2239" s="782">
        <v>2235</v>
      </c>
      <c r="Y2239" s="782" t="s">
        <v>2248</v>
      </c>
      <c r="Z2239" s="782" t="s">
        <v>3175</v>
      </c>
      <c r="AA2239" s="781">
        <f>$S$1*P!AA2239</f>
        <v>2.0427419354838712E-3</v>
      </c>
      <c r="AB2239" s="780"/>
      <c r="AC2239" s="782">
        <v>2235</v>
      </c>
      <c r="AD2239" s="782" t="s">
        <v>4573</v>
      </c>
      <c r="AE2239" s="782" t="s">
        <v>3219</v>
      </c>
      <c r="AF2239" s="781">
        <f>$S$1*P!AF2239</f>
        <v>1.3949596774193551E-3</v>
      </c>
    </row>
    <row r="2240" spans="19:32" x14ac:dyDescent="0.35">
      <c r="S2240" s="782">
        <v>2236</v>
      </c>
      <c r="T2240" s="782" t="s">
        <v>4284</v>
      </c>
      <c r="U2240" s="782" t="s">
        <v>3688</v>
      </c>
      <c r="V2240" s="797">
        <f>$S$1*P!V2240</f>
        <v>1.6211693548387099E-2</v>
      </c>
      <c r="W2240" s="780"/>
      <c r="X2240" s="881">
        <v>2236</v>
      </c>
      <c r="Y2240" s="881" t="s">
        <v>2248</v>
      </c>
      <c r="Z2240" s="881" t="s">
        <v>3173</v>
      </c>
      <c r="AA2240" s="882">
        <f>$S$1*P!AA2240</f>
        <v>0</v>
      </c>
      <c r="AB2240" s="780"/>
      <c r="AC2240" s="782">
        <v>2236</v>
      </c>
      <c r="AD2240" s="782" t="s">
        <v>4573</v>
      </c>
      <c r="AE2240" s="782" t="s">
        <v>3216</v>
      </c>
      <c r="AF2240" s="781">
        <f>$S$1*P!AF2240</f>
        <v>5.6552419354838714E-2</v>
      </c>
    </row>
    <row r="2241" spans="19:32" x14ac:dyDescent="0.35">
      <c r="S2241" s="782">
        <v>2237</v>
      </c>
      <c r="T2241" s="782" t="s">
        <v>4284</v>
      </c>
      <c r="U2241" s="782" t="s">
        <v>3014</v>
      </c>
      <c r="V2241" s="797">
        <f>$S$1*P!V2241</f>
        <v>2.5122983870967744E-3</v>
      </c>
      <c r="W2241" s="780"/>
      <c r="X2241" s="782">
        <v>2237</v>
      </c>
      <c r="Y2241" s="782" t="s">
        <v>2248</v>
      </c>
      <c r="Z2241" s="782" t="s">
        <v>5087</v>
      </c>
      <c r="AA2241" s="781">
        <f>$S$1*P!AA2241</f>
        <v>2.9612903225806453E-2</v>
      </c>
      <c r="AB2241" s="780"/>
      <c r="AC2241" s="782">
        <v>2237</v>
      </c>
      <c r="AD2241" s="782" t="s">
        <v>4573</v>
      </c>
      <c r="AE2241" s="782" t="s">
        <v>3213</v>
      </c>
      <c r="AF2241" s="781">
        <f>$S$1*P!AF2241</f>
        <v>0.37701612903225812</v>
      </c>
    </row>
    <row r="2242" spans="19:32" x14ac:dyDescent="0.35">
      <c r="S2242" s="881">
        <v>2238</v>
      </c>
      <c r="T2242" s="881" t="s">
        <v>4284</v>
      </c>
      <c r="U2242" s="881" t="s">
        <v>3014</v>
      </c>
      <c r="V2242" s="883">
        <f>$S$1*P!V2242</f>
        <v>0</v>
      </c>
      <c r="W2242" s="780"/>
      <c r="X2242" s="881">
        <v>2238</v>
      </c>
      <c r="Y2242" s="881" t="s">
        <v>2248</v>
      </c>
      <c r="Z2242" s="881" t="s">
        <v>3172</v>
      </c>
      <c r="AA2242" s="882">
        <f>$S$1*P!AA2242</f>
        <v>0</v>
      </c>
      <c r="AB2242" s="780"/>
      <c r="AC2242" s="782">
        <v>2238</v>
      </c>
      <c r="AD2242" s="782" t="s">
        <v>4573</v>
      </c>
      <c r="AE2242" s="782" t="s">
        <v>3211</v>
      </c>
      <c r="AF2242" s="781">
        <f>$S$1*P!AF2242</f>
        <v>41.814516129032263</v>
      </c>
    </row>
    <row r="2243" spans="19:32" x14ac:dyDescent="0.35">
      <c r="S2243" s="782">
        <v>2239</v>
      </c>
      <c r="T2243" s="782" t="s">
        <v>4284</v>
      </c>
      <c r="U2243" s="782" t="s">
        <v>3680</v>
      </c>
      <c r="V2243" s="797">
        <f>$S$1*P!V2243</f>
        <v>0.20187500000000003</v>
      </c>
      <c r="W2243" s="780"/>
      <c r="X2243" s="881">
        <v>2239</v>
      </c>
      <c r="Y2243" s="881" t="s">
        <v>2248</v>
      </c>
      <c r="Z2243" s="881" t="s">
        <v>3172</v>
      </c>
      <c r="AA2243" s="890">
        <f>$S$1*P!AA2243</f>
        <v>5.5181451612903228E-2</v>
      </c>
      <c r="AB2243" s="780"/>
      <c r="AC2243" s="782">
        <v>2239</v>
      </c>
      <c r="AD2243" s="782" t="s">
        <v>4573</v>
      </c>
      <c r="AE2243" s="782" t="s">
        <v>3208</v>
      </c>
      <c r="AF2243" s="781">
        <f>$S$1*P!AF2243</f>
        <v>13.94959677419355</v>
      </c>
    </row>
    <row r="2244" spans="19:32" x14ac:dyDescent="0.35">
      <c r="S2244" s="782">
        <v>2240</v>
      </c>
      <c r="T2244" s="782" t="s">
        <v>4284</v>
      </c>
      <c r="U2244" s="782" t="s">
        <v>3676</v>
      </c>
      <c r="V2244" s="797">
        <f>$S$1*P!V2244</f>
        <v>5.2439516129032263E-2</v>
      </c>
      <c r="W2244" s="780"/>
      <c r="X2244" s="782">
        <v>2240</v>
      </c>
      <c r="Y2244" s="782" t="s">
        <v>2248</v>
      </c>
      <c r="Z2244" s="782" t="s">
        <v>3573</v>
      </c>
      <c r="AA2244" s="781">
        <f>$S$1*P!AA2244</f>
        <v>1.5629032258064517E-3</v>
      </c>
      <c r="AB2244" s="780"/>
      <c r="AC2244" s="782">
        <v>2240</v>
      </c>
      <c r="AD2244" s="782" t="s">
        <v>4573</v>
      </c>
      <c r="AE2244" s="782" t="s">
        <v>3205</v>
      </c>
      <c r="AF2244" s="781">
        <f>$S$1*P!AF2244</f>
        <v>3.7358870967741938E-2</v>
      </c>
    </row>
    <row r="2245" spans="19:32" x14ac:dyDescent="0.35">
      <c r="S2245" s="782">
        <v>2241</v>
      </c>
      <c r="T2245" s="782" t="s">
        <v>4284</v>
      </c>
      <c r="U2245" s="782" t="s">
        <v>3672</v>
      </c>
      <c r="V2245" s="797">
        <f>$S$1*P!V2245</f>
        <v>0.11379032258064517</v>
      </c>
      <c r="W2245" s="780"/>
      <c r="X2245" s="782">
        <v>2241</v>
      </c>
      <c r="Y2245" s="782" t="s">
        <v>2248</v>
      </c>
      <c r="Z2245" s="782" t="s">
        <v>4250</v>
      </c>
      <c r="AA2245" s="781">
        <f>$S$1*P!AA2245</f>
        <v>0.25911290322580649</v>
      </c>
      <c r="AB2245" s="780"/>
      <c r="AC2245" s="782">
        <v>2241</v>
      </c>
      <c r="AD2245" s="782" t="s">
        <v>4573</v>
      </c>
      <c r="AE2245" s="782" t="s">
        <v>2891</v>
      </c>
      <c r="AF2245" s="781">
        <f>$S$1*P!AF2245</f>
        <v>0.68548387096774199</v>
      </c>
    </row>
    <row r="2246" spans="19:32" x14ac:dyDescent="0.35">
      <c r="S2246" s="782">
        <v>2242</v>
      </c>
      <c r="T2246" s="782" t="s">
        <v>4284</v>
      </c>
      <c r="U2246" s="782" t="s">
        <v>3666</v>
      </c>
      <c r="V2246" s="797">
        <f>$S$1*P!V2246</f>
        <v>1.9879032258064516E-7</v>
      </c>
      <c r="W2246" s="780"/>
      <c r="X2246" s="881">
        <v>2242</v>
      </c>
      <c r="Y2246" s="881" t="s">
        <v>2248</v>
      </c>
      <c r="Z2246" s="881" t="s">
        <v>3170</v>
      </c>
      <c r="AA2246" s="882">
        <f>$S$1*P!AA2246</f>
        <v>18.492000000000001</v>
      </c>
      <c r="AB2246" s="780"/>
      <c r="AC2246" s="881">
        <v>2242</v>
      </c>
      <c r="AD2246" s="881" t="s">
        <v>4573</v>
      </c>
      <c r="AE2246" s="881" t="s">
        <v>2891</v>
      </c>
      <c r="AF2246" s="882">
        <f>$S$1*P!AF2246</f>
        <v>0</v>
      </c>
    </row>
    <row r="2247" spans="19:32" x14ac:dyDescent="0.35">
      <c r="S2247" s="782">
        <v>2243</v>
      </c>
      <c r="T2247" s="782" t="s">
        <v>4284</v>
      </c>
      <c r="U2247" s="782" t="s">
        <v>3662</v>
      </c>
      <c r="V2247" s="797">
        <f>$S$1*P!V2247</f>
        <v>0.21558467741935486</v>
      </c>
      <c r="W2247" s="780"/>
      <c r="X2247" s="881">
        <v>2243</v>
      </c>
      <c r="Y2247" s="881" t="s">
        <v>2248</v>
      </c>
      <c r="Z2247" s="881" t="s">
        <v>3170</v>
      </c>
      <c r="AA2247" s="890">
        <f>$S$1*P!AA2247</f>
        <v>3.2766129032258068E-4</v>
      </c>
      <c r="AB2247" s="780"/>
      <c r="AC2247" s="881">
        <v>2243</v>
      </c>
      <c r="AD2247" s="881" t="s">
        <v>4573</v>
      </c>
      <c r="AE2247" s="881" t="s">
        <v>2890</v>
      </c>
      <c r="AF2247" s="882">
        <f>$S$1*P!AF2247</f>
        <v>1.242</v>
      </c>
    </row>
    <row r="2248" spans="19:32" x14ac:dyDescent="0.35">
      <c r="S2248" s="782">
        <v>2244</v>
      </c>
      <c r="T2248" s="782" t="s">
        <v>4284</v>
      </c>
      <c r="U2248" s="782" t="s">
        <v>3659</v>
      </c>
      <c r="V2248" s="797">
        <f>$S$1*P!V2248</f>
        <v>1.9707661290322581E-3</v>
      </c>
      <c r="W2248" s="780"/>
      <c r="X2248" s="782">
        <v>2244</v>
      </c>
      <c r="Y2248" s="782" t="s">
        <v>2248</v>
      </c>
      <c r="Z2248" s="782" t="s">
        <v>5086</v>
      </c>
      <c r="AA2248" s="781">
        <f>$S$1*P!AA2248</f>
        <v>8.6370967741935498E-5</v>
      </c>
      <c r="AB2248" s="780"/>
      <c r="AC2248" s="782">
        <v>2244</v>
      </c>
      <c r="AD2248" s="782" t="s">
        <v>4573</v>
      </c>
      <c r="AE2248" s="782" t="s">
        <v>2888</v>
      </c>
      <c r="AF2248" s="781">
        <f>$S$1*P!AF2248</f>
        <v>1.4086693548387098E-3</v>
      </c>
    </row>
    <row r="2249" spans="19:32" x14ac:dyDescent="0.35">
      <c r="S2249" s="782">
        <v>2245</v>
      </c>
      <c r="T2249" s="782" t="s">
        <v>4284</v>
      </c>
      <c r="U2249" s="782" t="s">
        <v>3653</v>
      </c>
      <c r="V2249" s="797">
        <f>$S$1*P!V2249</f>
        <v>4.1129032258064517E-2</v>
      </c>
      <c r="W2249" s="780"/>
      <c r="X2249" s="881">
        <v>2245</v>
      </c>
      <c r="Y2249" s="881" t="s">
        <v>2248</v>
      </c>
      <c r="Z2249" s="881" t="s">
        <v>3169</v>
      </c>
      <c r="AA2249" s="882">
        <f>$S$1*P!AA2249</f>
        <v>1.61E-6</v>
      </c>
      <c r="AB2249" s="780"/>
      <c r="AC2249" s="881">
        <v>2245</v>
      </c>
      <c r="AD2249" s="881" t="s">
        <v>4573</v>
      </c>
      <c r="AE2249" s="881" t="s">
        <v>2888</v>
      </c>
      <c r="AF2249" s="882">
        <f>$S$1*P!AF2249</f>
        <v>5.6580000000000004</v>
      </c>
    </row>
    <row r="2250" spans="19:32" x14ac:dyDescent="0.35">
      <c r="S2250" s="782">
        <v>2246</v>
      </c>
      <c r="T2250" s="782" t="s">
        <v>4284</v>
      </c>
      <c r="U2250" s="782" t="s">
        <v>3650</v>
      </c>
      <c r="V2250" s="797">
        <f>$S$1*P!V2250</f>
        <v>2.340927419354839E-2</v>
      </c>
      <c r="W2250" s="780"/>
      <c r="X2250" s="782">
        <v>2246</v>
      </c>
      <c r="Y2250" s="782" t="s">
        <v>2248</v>
      </c>
      <c r="Z2250" s="782" t="s">
        <v>4248</v>
      </c>
      <c r="AA2250" s="781">
        <f>$S$1*P!AA2250</f>
        <v>1.004233870967742E-4</v>
      </c>
      <c r="AB2250" s="780"/>
      <c r="AC2250" s="782">
        <v>2246</v>
      </c>
      <c r="AD2250" s="782" t="s">
        <v>4573</v>
      </c>
      <c r="AE2250" s="782" t="s">
        <v>2887</v>
      </c>
      <c r="AF2250" s="781">
        <f>$S$1*P!AF2250</f>
        <v>2.1901209677419357E-4</v>
      </c>
    </row>
    <row r="2251" spans="19:32" x14ac:dyDescent="0.35">
      <c r="S2251" s="782">
        <v>2247</v>
      </c>
      <c r="T2251" s="782" t="s">
        <v>4284</v>
      </c>
      <c r="U2251" s="782" t="s">
        <v>3647</v>
      </c>
      <c r="V2251" s="797">
        <f>$S$1*P!V2251</f>
        <v>2.7350806451612905E-2</v>
      </c>
      <c r="W2251" s="780"/>
      <c r="X2251" s="782">
        <v>2247</v>
      </c>
      <c r="Y2251" s="782" t="s">
        <v>2248</v>
      </c>
      <c r="Z2251" s="782" t="s">
        <v>5085</v>
      </c>
      <c r="AA2251" s="781">
        <f>$S$1*P!AA2251</f>
        <v>5.3810483870967742E-4</v>
      </c>
      <c r="AB2251" s="780"/>
      <c r="AC2251" s="881">
        <v>2247</v>
      </c>
      <c r="AD2251" s="881" t="s">
        <v>4573</v>
      </c>
      <c r="AE2251" s="881" t="s">
        <v>2887</v>
      </c>
      <c r="AF2251" s="882">
        <f>$S$1*P!AF2251</f>
        <v>0</v>
      </c>
    </row>
    <row r="2252" spans="19:32" x14ac:dyDescent="0.35">
      <c r="S2252" s="782">
        <v>2248</v>
      </c>
      <c r="T2252" s="782" t="s">
        <v>4284</v>
      </c>
      <c r="U2252" s="782" t="s">
        <v>3641</v>
      </c>
      <c r="V2252" s="797">
        <f>$S$1*P!V2252</f>
        <v>1.4120967741935485E-2</v>
      </c>
      <c r="W2252" s="780"/>
      <c r="X2252" s="881">
        <v>2248</v>
      </c>
      <c r="Y2252" s="881" t="s">
        <v>2248</v>
      </c>
      <c r="Z2252" s="881" t="s">
        <v>4245</v>
      </c>
      <c r="AA2252" s="890">
        <f>$S$1*P!AA2252</f>
        <v>1233.8709677419356</v>
      </c>
      <c r="AB2252" s="780"/>
      <c r="AC2252" s="782">
        <v>2248</v>
      </c>
      <c r="AD2252" s="782" t="s">
        <v>4573</v>
      </c>
      <c r="AE2252" s="782" t="s">
        <v>3197</v>
      </c>
      <c r="AF2252" s="781">
        <f>$S$1*P!AF2252</f>
        <v>3.6330645161290323E-2</v>
      </c>
    </row>
    <row r="2253" spans="19:32" x14ac:dyDescent="0.35">
      <c r="S2253" s="782">
        <v>2249</v>
      </c>
      <c r="T2253" s="782" t="s">
        <v>4284</v>
      </c>
      <c r="U2253" s="782" t="s">
        <v>3637</v>
      </c>
      <c r="V2253" s="797">
        <f>$S$1*P!V2253</f>
        <v>6.2036290322580651E-2</v>
      </c>
      <c r="W2253" s="780"/>
      <c r="X2253" s="881">
        <v>2249</v>
      </c>
      <c r="Y2253" s="881" t="s">
        <v>2248</v>
      </c>
      <c r="Z2253" s="881" t="s">
        <v>3167</v>
      </c>
      <c r="AA2253" s="882">
        <f>$S$1*P!AA2253</f>
        <v>0</v>
      </c>
      <c r="AB2253" s="780"/>
      <c r="AC2253" s="782">
        <v>2249</v>
      </c>
      <c r="AD2253" s="782" t="s">
        <v>4573</v>
      </c>
      <c r="AE2253" s="782" t="s">
        <v>3194</v>
      </c>
      <c r="AF2253" s="781">
        <f>$S$1*P!AF2253</f>
        <v>0.74375000000000002</v>
      </c>
    </row>
    <row r="2254" spans="19:32" x14ac:dyDescent="0.35">
      <c r="S2254" s="782">
        <v>2250</v>
      </c>
      <c r="T2254" s="782" t="s">
        <v>4284</v>
      </c>
      <c r="U2254" s="782" t="s">
        <v>3634</v>
      </c>
      <c r="V2254" s="797">
        <f>$S$1*P!V2254</f>
        <v>30.675403225806456</v>
      </c>
      <c r="W2254" s="780"/>
      <c r="X2254" s="782">
        <v>2250</v>
      </c>
      <c r="Y2254" s="782" t="s">
        <v>2248</v>
      </c>
      <c r="Z2254" s="782" t="s">
        <v>3570</v>
      </c>
      <c r="AA2254" s="781">
        <f>$S$1*P!AA2254</f>
        <v>2.7385080645161296E-3</v>
      </c>
      <c r="AB2254" s="780"/>
      <c r="AC2254" s="782">
        <v>2250</v>
      </c>
      <c r="AD2254" s="782" t="s">
        <v>4573</v>
      </c>
      <c r="AE2254" s="782" t="s">
        <v>3191</v>
      </c>
      <c r="AF2254" s="781">
        <f>$S$1*P!AF2254</f>
        <v>4.6612903225806456E-3</v>
      </c>
    </row>
    <row r="2255" spans="19:32" x14ac:dyDescent="0.35">
      <c r="S2255" s="782">
        <v>2251</v>
      </c>
      <c r="T2255" s="782" t="s">
        <v>4284</v>
      </c>
      <c r="U2255" s="782" t="s">
        <v>3628</v>
      </c>
      <c r="V2255" s="797">
        <f>$S$1*P!V2255</f>
        <v>4.2500000000000003E-2</v>
      </c>
      <c r="W2255" s="780"/>
      <c r="X2255" s="881">
        <v>2251</v>
      </c>
      <c r="Y2255" s="881" t="s">
        <v>2248</v>
      </c>
      <c r="Z2255" s="881" t="s">
        <v>4243</v>
      </c>
      <c r="AA2255" s="890">
        <f>$S$1*P!AA2255</f>
        <v>9.5625000000000007E-4</v>
      </c>
      <c r="AB2255" s="780"/>
      <c r="AC2255" s="782">
        <v>2251</v>
      </c>
      <c r="AD2255" s="782" t="s">
        <v>4573</v>
      </c>
      <c r="AE2255" s="782" t="s">
        <v>2885</v>
      </c>
      <c r="AF2255" s="781">
        <f>$S$1*P!AF2255</f>
        <v>3.5645161290322582E-3</v>
      </c>
    </row>
    <row r="2256" spans="19:32" x14ac:dyDescent="0.35">
      <c r="S2256" s="782">
        <v>2252</v>
      </c>
      <c r="T2256" s="782" t="s">
        <v>4284</v>
      </c>
      <c r="U2256" s="782" t="s">
        <v>3012</v>
      </c>
      <c r="V2256" s="797">
        <f>$S$1*P!V2256</f>
        <v>3.2903225806451615E-2</v>
      </c>
      <c r="W2256" s="780"/>
      <c r="X2256" s="881">
        <v>2252</v>
      </c>
      <c r="Y2256" s="881" t="s">
        <v>2248</v>
      </c>
      <c r="Z2256" s="881" t="s">
        <v>4241</v>
      </c>
      <c r="AA2256" s="890">
        <f>$S$1*P!AA2256</f>
        <v>0.3530241935483871</v>
      </c>
      <c r="AB2256" s="780"/>
      <c r="AC2256" s="881">
        <v>2252</v>
      </c>
      <c r="AD2256" s="881" t="s">
        <v>4573</v>
      </c>
      <c r="AE2256" s="881" t="s">
        <v>2885</v>
      </c>
      <c r="AF2256" s="882">
        <f>$S$1*P!AF2256</f>
        <v>4.1307999999999997E-2</v>
      </c>
    </row>
    <row r="2257" spans="19:32" x14ac:dyDescent="0.35">
      <c r="S2257" s="881">
        <v>2253</v>
      </c>
      <c r="T2257" s="881" t="s">
        <v>4284</v>
      </c>
      <c r="U2257" s="881" t="s">
        <v>3012</v>
      </c>
      <c r="V2257" s="883">
        <f>$S$1*P!V2257</f>
        <v>0</v>
      </c>
      <c r="W2257" s="780"/>
      <c r="X2257" s="881">
        <v>2253</v>
      </c>
      <c r="Y2257" s="881" t="s">
        <v>2248</v>
      </c>
      <c r="Z2257" s="881" t="s">
        <v>4237</v>
      </c>
      <c r="AA2257" s="890">
        <f>$S$1*P!AA2257</f>
        <v>4.8669354838709683E-2</v>
      </c>
      <c r="AB2257" s="780"/>
      <c r="AC2257" s="782">
        <v>2253</v>
      </c>
      <c r="AD2257" s="782" t="s">
        <v>4573</v>
      </c>
      <c r="AE2257" s="782" t="s">
        <v>3187</v>
      </c>
      <c r="AF2257" s="781">
        <f>$S$1*P!AF2257</f>
        <v>1.501209677419355E-2</v>
      </c>
    </row>
    <row r="2258" spans="19:32" x14ac:dyDescent="0.35">
      <c r="S2258" s="782">
        <v>2254</v>
      </c>
      <c r="T2258" s="782" t="s">
        <v>4284</v>
      </c>
      <c r="U2258" s="782" t="s">
        <v>3619</v>
      </c>
      <c r="V2258" s="797">
        <f>$S$1*P!V2258</f>
        <v>0.10796370967741936</v>
      </c>
      <c r="W2258" s="780"/>
      <c r="X2258" s="782">
        <v>2254</v>
      </c>
      <c r="Y2258" s="782" t="s">
        <v>2248</v>
      </c>
      <c r="Z2258" s="782" t="s">
        <v>5084</v>
      </c>
      <c r="AA2258" s="781">
        <f>$S$1*P!AA2258</f>
        <v>7.6088709677419363E-5</v>
      </c>
      <c r="AB2258" s="780"/>
      <c r="AC2258" s="782">
        <v>2254</v>
      </c>
      <c r="AD2258" s="782" t="s">
        <v>4573</v>
      </c>
      <c r="AE2258" s="782" t="s">
        <v>3184</v>
      </c>
      <c r="AF2258" s="781">
        <f>$S$1*P!AF2258</f>
        <v>4.5241935483870973E-5</v>
      </c>
    </row>
    <row r="2259" spans="19:32" x14ac:dyDescent="0.35">
      <c r="S2259" s="782">
        <v>2255</v>
      </c>
      <c r="T2259" s="782" t="s">
        <v>4284</v>
      </c>
      <c r="U2259" s="782" t="s">
        <v>3010</v>
      </c>
      <c r="V2259" s="797">
        <f>$S$1*P!V2259</f>
        <v>239.91935483870969</v>
      </c>
      <c r="W2259" s="780"/>
      <c r="X2259" s="782">
        <v>2255</v>
      </c>
      <c r="Y2259" s="782" t="s">
        <v>2248</v>
      </c>
      <c r="Z2259" s="782" t="s">
        <v>4235</v>
      </c>
      <c r="AA2259" s="781">
        <f>$S$1*P!AA2259</f>
        <v>8.8770161290322588E-5</v>
      </c>
      <c r="AB2259" s="780"/>
      <c r="AC2259" s="782">
        <v>2255</v>
      </c>
      <c r="AD2259" s="782" t="s">
        <v>4573</v>
      </c>
      <c r="AE2259" s="782" t="s">
        <v>3181</v>
      </c>
      <c r="AF2259" s="781">
        <f>$S$1*P!AF2259</f>
        <v>2.6973790322580649</v>
      </c>
    </row>
    <row r="2260" spans="19:32" x14ac:dyDescent="0.35">
      <c r="S2260" s="881">
        <v>2256</v>
      </c>
      <c r="T2260" s="881" t="s">
        <v>4284</v>
      </c>
      <c r="U2260" s="881" t="s">
        <v>3010</v>
      </c>
      <c r="V2260" s="883">
        <f>$S$1*P!V2260</f>
        <v>0</v>
      </c>
      <c r="W2260" s="780"/>
      <c r="X2260" s="881">
        <v>2256</v>
      </c>
      <c r="Y2260" s="881" t="s">
        <v>2248</v>
      </c>
      <c r="Z2260" s="881" t="s">
        <v>4232</v>
      </c>
      <c r="AA2260" s="890">
        <f>$S$1*P!AA2260</f>
        <v>1.7754032258064517E-3</v>
      </c>
      <c r="AB2260" s="780"/>
      <c r="AC2260" s="782">
        <v>2256</v>
      </c>
      <c r="AD2260" s="782" t="s">
        <v>4573</v>
      </c>
      <c r="AE2260" s="782" t="s">
        <v>2884</v>
      </c>
      <c r="AF2260" s="781">
        <f>$S$1*P!AF2260</f>
        <v>6.9233870967741939E-4</v>
      </c>
    </row>
    <row r="2261" spans="19:32" x14ac:dyDescent="0.35">
      <c r="S2261" s="782">
        <v>2257</v>
      </c>
      <c r="T2261" s="782" t="s">
        <v>4284</v>
      </c>
      <c r="U2261" s="782" t="s">
        <v>3614</v>
      </c>
      <c r="V2261" s="797">
        <f>$S$1*P!V2261</f>
        <v>9.4596774193548399</v>
      </c>
      <c r="W2261" s="780"/>
      <c r="X2261" s="782">
        <v>2257</v>
      </c>
      <c r="Y2261" s="782" t="s">
        <v>2248</v>
      </c>
      <c r="Z2261" s="782" t="s">
        <v>3561</v>
      </c>
      <c r="AA2261" s="781">
        <f>$S$1*P!AA2261</f>
        <v>2.7213709677419358E-5</v>
      </c>
      <c r="AB2261" s="780"/>
      <c r="AC2261" s="881">
        <v>2257</v>
      </c>
      <c r="AD2261" s="881" t="s">
        <v>4573</v>
      </c>
      <c r="AE2261" s="881" t="s">
        <v>2884</v>
      </c>
      <c r="AF2261" s="882">
        <f>$S$1*P!AF2261</f>
        <v>6.1824000000000004E-2</v>
      </c>
    </row>
    <row r="2262" spans="19:32" x14ac:dyDescent="0.35">
      <c r="S2262" s="782">
        <v>2258</v>
      </c>
      <c r="T2262" s="782" t="s">
        <v>4284</v>
      </c>
      <c r="U2262" s="782" t="s">
        <v>3009</v>
      </c>
      <c r="V2262" s="797">
        <f>$S$1*P!V2262</f>
        <v>53.467741935483872</v>
      </c>
      <c r="W2262" s="780"/>
      <c r="X2262" s="782">
        <v>2258</v>
      </c>
      <c r="Y2262" s="782" t="s">
        <v>2248</v>
      </c>
      <c r="Z2262" s="782" t="s">
        <v>4229</v>
      </c>
      <c r="AA2262" s="781">
        <f>$S$1*P!AA2262</f>
        <v>6.2036290322580647E-5</v>
      </c>
      <c r="AB2262" s="780"/>
      <c r="AC2262" s="782">
        <v>2258</v>
      </c>
      <c r="AD2262" s="782" t="s">
        <v>4573</v>
      </c>
      <c r="AE2262" s="782" t="s">
        <v>3177</v>
      </c>
      <c r="AF2262" s="781">
        <f>$S$1*P!AF2262</f>
        <v>0.42157258064516134</v>
      </c>
    </row>
    <row r="2263" spans="19:32" x14ac:dyDescent="0.35">
      <c r="S2263" s="881">
        <v>2259</v>
      </c>
      <c r="T2263" s="881" t="s">
        <v>4284</v>
      </c>
      <c r="U2263" s="881" t="s">
        <v>3009</v>
      </c>
      <c r="V2263" s="883">
        <f>$S$1*P!V2263</f>
        <v>0</v>
      </c>
      <c r="W2263" s="780"/>
      <c r="X2263" s="881">
        <v>2259</v>
      </c>
      <c r="Y2263" s="881" t="s">
        <v>2248</v>
      </c>
      <c r="Z2263" s="881" t="s">
        <v>4228</v>
      </c>
      <c r="AA2263" s="890">
        <f>$S$1*P!AA2263</f>
        <v>3.4137096774193549E-6</v>
      </c>
      <c r="AB2263" s="780"/>
      <c r="AC2263" s="782">
        <v>2259</v>
      </c>
      <c r="AD2263" s="782" t="s">
        <v>4573</v>
      </c>
      <c r="AE2263" s="782" t="s">
        <v>3174</v>
      </c>
      <c r="AF2263" s="781">
        <f>$S$1*P!AF2263</f>
        <v>0.37701612903225812</v>
      </c>
    </row>
    <row r="2264" spans="19:32" x14ac:dyDescent="0.35">
      <c r="S2264" s="782">
        <v>2260</v>
      </c>
      <c r="T2264" s="782" t="s">
        <v>4284</v>
      </c>
      <c r="U2264" s="782" t="s">
        <v>3608</v>
      </c>
      <c r="V2264" s="797">
        <f>$S$1*P!V2264</f>
        <v>4.5584677419354845E-3</v>
      </c>
      <c r="W2264" s="780"/>
      <c r="X2264" s="782">
        <v>2260</v>
      </c>
      <c r="Y2264" s="782" t="s">
        <v>2248</v>
      </c>
      <c r="Z2264" s="782" t="s">
        <v>5083</v>
      </c>
      <c r="AA2264" s="781">
        <f>$S$1*P!AA2264</f>
        <v>4.6270161290322585E-5</v>
      </c>
      <c r="AB2264" s="780"/>
      <c r="AC2264" s="782">
        <v>2260</v>
      </c>
      <c r="AD2264" s="782" t="s">
        <v>4573</v>
      </c>
      <c r="AE2264" s="782" t="s">
        <v>3171</v>
      </c>
      <c r="AF2264" s="781">
        <f>$S$1*P!AF2264</f>
        <v>1.1618951612903228</v>
      </c>
    </row>
    <row r="2265" spans="19:32" x14ac:dyDescent="0.35">
      <c r="S2265" s="782">
        <v>2261</v>
      </c>
      <c r="T2265" s="782" t="s">
        <v>4284</v>
      </c>
      <c r="U2265" s="782" t="s">
        <v>3007</v>
      </c>
      <c r="V2265" s="797">
        <f>$S$1*P!V2265</f>
        <v>19.913306451612904</v>
      </c>
      <c r="W2265" s="780"/>
      <c r="X2265" s="881">
        <v>2261</v>
      </c>
      <c r="Y2265" s="881" t="s">
        <v>2248</v>
      </c>
      <c r="Z2265" s="881" t="s">
        <v>3165</v>
      </c>
      <c r="AA2265" s="882">
        <f>$S$1*P!AA2265</f>
        <v>0</v>
      </c>
      <c r="AB2265" s="780"/>
      <c r="AC2265" s="782">
        <v>2261</v>
      </c>
      <c r="AD2265" s="782" t="s">
        <v>4573</v>
      </c>
      <c r="AE2265" s="782" t="s">
        <v>3168</v>
      </c>
      <c r="AF2265" s="781">
        <f>$S$1*P!AF2265</f>
        <v>3.1635080645161292E-4</v>
      </c>
    </row>
    <row r="2266" spans="19:32" x14ac:dyDescent="0.35">
      <c r="S2266" s="881">
        <v>2262</v>
      </c>
      <c r="T2266" s="881" t="s">
        <v>4284</v>
      </c>
      <c r="U2266" s="881" t="s">
        <v>3007</v>
      </c>
      <c r="V2266" s="883">
        <f>$S$1*P!V2266</f>
        <v>0</v>
      </c>
      <c r="W2266" s="780"/>
      <c r="X2266" s="782">
        <v>2262</v>
      </c>
      <c r="Y2266" s="782" t="s">
        <v>2248</v>
      </c>
      <c r="Z2266" s="782" t="s">
        <v>4227</v>
      </c>
      <c r="AA2266" s="781">
        <f>$S$1*P!AA2266</f>
        <v>4.3870967741935482E-9</v>
      </c>
      <c r="AB2266" s="780"/>
      <c r="AC2266" s="782">
        <v>2262</v>
      </c>
      <c r="AD2266" s="782" t="s">
        <v>4573</v>
      </c>
      <c r="AE2266" s="782" t="s">
        <v>3166</v>
      </c>
      <c r="AF2266" s="781">
        <f>$S$1*P!AF2266</f>
        <v>1.7891129032258066E-2</v>
      </c>
    </row>
    <row r="2267" spans="19:32" x14ac:dyDescent="0.35">
      <c r="S2267" s="782">
        <v>2263</v>
      </c>
      <c r="T2267" s="782" t="s">
        <v>4284</v>
      </c>
      <c r="U2267" s="782" t="s">
        <v>3006</v>
      </c>
      <c r="V2267" s="797">
        <f>$S$1*P!V2267</f>
        <v>0.37701612903225812</v>
      </c>
      <c r="W2267" s="780"/>
      <c r="X2267" s="881">
        <v>2263</v>
      </c>
      <c r="Y2267" s="881" t="s">
        <v>2248</v>
      </c>
      <c r="Z2267" s="881" t="s">
        <v>4225</v>
      </c>
      <c r="AA2267" s="890">
        <f>$S$1*P!AA2267</f>
        <v>1.8953629032258068E-5</v>
      </c>
      <c r="AB2267" s="780"/>
      <c r="AC2267" s="782">
        <v>2263</v>
      </c>
      <c r="AD2267" s="782" t="s">
        <v>4573</v>
      </c>
      <c r="AE2267" s="782" t="s">
        <v>3163</v>
      </c>
      <c r="AF2267" s="781">
        <f>$S$1*P!AF2267</f>
        <v>3.8729838709677424E-3</v>
      </c>
    </row>
    <row r="2268" spans="19:32" x14ac:dyDescent="0.35">
      <c r="S2268" s="881">
        <v>2264</v>
      </c>
      <c r="T2268" s="881" t="s">
        <v>4284</v>
      </c>
      <c r="U2268" s="881" t="s">
        <v>3006</v>
      </c>
      <c r="V2268" s="883">
        <f>$S$1*P!V2268</f>
        <v>0</v>
      </c>
      <c r="W2268" s="780"/>
      <c r="X2268" s="782">
        <v>2264</v>
      </c>
      <c r="Y2268" s="782" t="s">
        <v>2248</v>
      </c>
      <c r="Z2268" s="782" t="s">
        <v>5082</v>
      </c>
      <c r="AA2268" s="781">
        <f>$S$1*P!AA2268</f>
        <v>3.2423387096774193E-3</v>
      </c>
      <c r="AB2268" s="780"/>
      <c r="AC2268" s="782">
        <v>2264</v>
      </c>
      <c r="AD2268" s="782" t="s">
        <v>4573</v>
      </c>
      <c r="AE2268" s="782" t="s">
        <v>3160</v>
      </c>
      <c r="AF2268" s="781">
        <f>$S$1*P!AF2268</f>
        <v>7.7802419354838721E-5</v>
      </c>
    </row>
    <row r="2269" spans="19:32" x14ac:dyDescent="0.35">
      <c r="S2269" s="782">
        <v>2265</v>
      </c>
      <c r="T2269" s="782" t="s">
        <v>4284</v>
      </c>
      <c r="U2269" s="782" t="s">
        <v>3599</v>
      </c>
      <c r="V2269" s="797">
        <f>$S$1*P!V2269</f>
        <v>5.5524193548387099E-2</v>
      </c>
      <c r="W2269" s="780"/>
      <c r="X2269" s="881">
        <v>2265</v>
      </c>
      <c r="Y2269" s="881" t="s">
        <v>2248</v>
      </c>
      <c r="Z2269" s="881" t="s">
        <v>4222</v>
      </c>
      <c r="AA2269" s="890">
        <f>$S$1*P!AA2269</f>
        <v>9.5282258064516138E-4</v>
      </c>
      <c r="AB2269" s="780"/>
      <c r="AC2269" s="782">
        <v>2265</v>
      </c>
      <c r="AD2269" s="782" t="s">
        <v>4573</v>
      </c>
      <c r="AE2269" s="782" t="s">
        <v>3157</v>
      </c>
      <c r="AF2269" s="781">
        <f>$S$1*P!AF2269</f>
        <v>0.93568548387096784</v>
      </c>
    </row>
    <row r="2270" spans="19:32" x14ac:dyDescent="0.35">
      <c r="S2270" s="782">
        <v>2266</v>
      </c>
      <c r="T2270" s="782" t="s">
        <v>4284</v>
      </c>
      <c r="U2270" s="782" t="s">
        <v>3595</v>
      </c>
      <c r="V2270" s="797">
        <f>$S$1*P!V2270</f>
        <v>0.85000000000000009</v>
      </c>
      <c r="W2270" s="780"/>
      <c r="X2270" s="881">
        <v>2266</v>
      </c>
      <c r="Y2270" s="881" t="s">
        <v>2248</v>
      </c>
      <c r="Z2270" s="881" t="s">
        <v>4220</v>
      </c>
      <c r="AA2270" s="890">
        <f>$S$1*P!AA2270</f>
        <v>0.10625000000000001</v>
      </c>
      <c r="AB2270" s="780"/>
      <c r="AC2270" s="782">
        <v>2266</v>
      </c>
      <c r="AD2270" s="782" t="s">
        <v>4573</v>
      </c>
      <c r="AE2270" s="782" t="s">
        <v>3154</v>
      </c>
      <c r="AF2270" s="781">
        <f>$S$1*P!AF2270</f>
        <v>5.3467741935483877E-3</v>
      </c>
    </row>
    <row r="2271" spans="19:32" x14ac:dyDescent="0.35">
      <c r="S2271" s="782">
        <v>2267</v>
      </c>
      <c r="T2271" s="782" t="s">
        <v>4284</v>
      </c>
      <c r="U2271" s="782" t="s">
        <v>3590</v>
      </c>
      <c r="V2271" s="797">
        <f>$S$1*P!V2271</f>
        <v>1.5663306451612905E-2</v>
      </c>
      <c r="W2271" s="780"/>
      <c r="X2271" s="782">
        <v>2267</v>
      </c>
      <c r="Y2271" s="782" t="s">
        <v>2248</v>
      </c>
      <c r="Z2271" s="782" t="s">
        <v>5081</v>
      </c>
      <c r="AA2271" s="781">
        <f>$S$1*P!AA2271</f>
        <v>3.5987903225806455E-3</v>
      </c>
      <c r="AB2271" s="780"/>
      <c r="AC2271" s="782">
        <v>2267</v>
      </c>
      <c r="AD2271" s="782" t="s">
        <v>4573</v>
      </c>
      <c r="AE2271" s="782" t="s">
        <v>3152</v>
      </c>
      <c r="AF2271" s="781">
        <f>$S$1*P!AF2271</f>
        <v>2.2723790322580647E-2</v>
      </c>
    </row>
    <row r="2272" spans="19:32" x14ac:dyDescent="0.35">
      <c r="S2272" s="881">
        <v>2268</v>
      </c>
      <c r="T2272" s="881" t="s">
        <v>4284</v>
      </c>
      <c r="U2272" s="881" t="s">
        <v>3004</v>
      </c>
      <c r="V2272" s="883">
        <f>$S$1*P!V2272</f>
        <v>18.584</v>
      </c>
      <c r="W2272" s="780"/>
      <c r="X2272" s="881">
        <v>2268</v>
      </c>
      <c r="Y2272" s="881" t="s">
        <v>2248</v>
      </c>
      <c r="Z2272" s="881" t="s">
        <v>4219</v>
      </c>
      <c r="AA2272" s="890">
        <f>$S$1*P!AA2272</f>
        <v>1.0110887096774195E-3</v>
      </c>
      <c r="AB2272" s="780"/>
      <c r="AC2272" s="782">
        <v>2268</v>
      </c>
      <c r="AD2272" s="782" t="s">
        <v>4573</v>
      </c>
      <c r="AE2272" s="782" t="s">
        <v>3149</v>
      </c>
      <c r="AF2272" s="781">
        <f>$S$1*P!AF2272</f>
        <v>3.9758064516129035</v>
      </c>
    </row>
    <row r="2273" spans="19:32" x14ac:dyDescent="0.35">
      <c r="S2273" s="782">
        <v>2269</v>
      </c>
      <c r="T2273" s="782" t="s">
        <v>4284</v>
      </c>
      <c r="U2273" s="782" t="s">
        <v>3584</v>
      </c>
      <c r="V2273" s="797">
        <f>$S$1*P!V2273</f>
        <v>4.4899193548387098E-3</v>
      </c>
      <c r="W2273" s="780"/>
      <c r="X2273" s="782">
        <v>2269</v>
      </c>
      <c r="Y2273" s="782" t="s">
        <v>2248</v>
      </c>
      <c r="Z2273" s="782" t="s">
        <v>4216</v>
      </c>
      <c r="AA2273" s="781">
        <f>$S$1*P!AA2273</f>
        <v>2.7590725806451617E-5</v>
      </c>
      <c r="AB2273" s="780"/>
      <c r="AC2273" s="782">
        <v>2269</v>
      </c>
      <c r="AD2273" s="782" t="s">
        <v>4573</v>
      </c>
      <c r="AE2273" s="782" t="s">
        <v>3146</v>
      </c>
      <c r="AF2273" s="781">
        <f>$S$1*P!AF2273</f>
        <v>1.4497983870967743E-2</v>
      </c>
    </row>
    <row r="2274" spans="19:32" x14ac:dyDescent="0.35">
      <c r="S2274" s="782">
        <v>2270</v>
      </c>
      <c r="T2274" s="782" t="s">
        <v>4284</v>
      </c>
      <c r="U2274" s="782" t="s">
        <v>3580</v>
      </c>
      <c r="V2274" s="797">
        <f>$S$1*P!V2274</f>
        <v>8.2943548387096784E-3</v>
      </c>
      <c r="W2274" s="780"/>
      <c r="X2274" s="881">
        <v>2270</v>
      </c>
      <c r="Y2274" s="881" t="s">
        <v>2248</v>
      </c>
      <c r="Z2274" s="881" t="s">
        <v>4215</v>
      </c>
      <c r="AA2274" s="890">
        <f>$S$1*P!AA2274</f>
        <v>1.6897177419354838E-3</v>
      </c>
      <c r="AB2274" s="780"/>
      <c r="AC2274" s="881">
        <v>2270</v>
      </c>
      <c r="AD2274" s="881" t="s">
        <v>4573</v>
      </c>
      <c r="AE2274" s="881" t="s">
        <v>2882</v>
      </c>
      <c r="AF2274" s="882">
        <f>$S$1*P!AF2274</f>
        <v>0</v>
      </c>
    </row>
    <row r="2275" spans="19:32" x14ac:dyDescent="0.35">
      <c r="S2275" s="782">
        <v>2271</v>
      </c>
      <c r="T2275" s="782" t="s">
        <v>4284</v>
      </c>
      <c r="U2275" s="782" t="s">
        <v>5080</v>
      </c>
      <c r="V2275" s="797">
        <f>$S$1*P!V2275</f>
        <v>1.206451612903226E-2</v>
      </c>
      <c r="W2275" s="780"/>
      <c r="X2275" s="782">
        <v>2271</v>
      </c>
      <c r="Y2275" s="782" t="s">
        <v>2248</v>
      </c>
      <c r="Z2275" s="782" t="s">
        <v>5079</v>
      </c>
      <c r="AA2275" s="781">
        <f>$S$1*P!AA2275</f>
        <v>0.27110887096774194</v>
      </c>
      <c r="AB2275" s="780"/>
      <c r="AC2275" s="782">
        <v>2271</v>
      </c>
      <c r="AD2275" s="782" t="s">
        <v>4573</v>
      </c>
      <c r="AE2275" s="782" t="s">
        <v>3143</v>
      </c>
      <c r="AF2275" s="781">
        <f>$S$1*P!AF2275</f>
        <v>7.4032258064516132E-2</v>
      </c>
    </row>
    <row r="2276" spans="19:32" x14ac:dyDescent="0.35">
      <c r="S2276" s="782">
        <v>2272</v>
      </c>
      <c r="T2276" s="782" t="s">
        <v>4284</v>
      </c>
      <c r="U2276" s="782" t="s">
        <v>3571</v>
      </c>
      <c r="V2276" s="797">
        <f>$S$1*P!V2276</f>
        <v>0.81229838709677427</v>
      </c>
      <c r="W2276" s="780"/>
      <c r="X2276" s="881">
        <v>2272</v>
      </c>
      <c r="Y2276" s="881" t="s">
        <v>2248</v>
      </c>
      <c r="Z2276" s="881" t="s">
        <v>3164</v>
      </c>
      <c r="AA2276" s="882">
        <f>$S$1*P!AA2276</f>
        <v>0</v>
      </c>
      <c r="AB2276" s="780"/>
      <c r="AC2276" s="782">
        <v>2272</v>
      </c>
      <c r="AD2276" s="782" t="s">
        <v>4573</v>
      </c>
      <c r="AE2276" s="782" t="s">
        <v>3141</v>
      </c>
      <c r="AF2276" s="781">
        <f>$S$1*P!AF2276</f>
        <v>0.28756048387096778</v>
      </c>
    </row>
    <row r="2277" spans="19:32" x14ac:dyDescent="0.35">
      <c r="S2277" s="782">
        <v>2273</v>
      </c>
      <c r="T2277" s="782" t="s">
        <v>4284</v>
      </c>
      <c r="U2277" s="782" t="s">
        <v>3568</v>
      </c>
      <c r="V2277" s="797">
        <f>$S$1*P!V2277</f>
        <v>0.15868951612903226</v>
      </c>
      <c r="W2277" s="780"/>
      <c r="X2277" s="782">
        <v>2273</v>
      </c>
      <c r="Y2277" s="782" t="s">
        <v>2248</v>
      </c>
      <c r="Z2277" s="782" t="s">
        <v>3164</v>
      </c>
      <c r="AA2277" s="781">
        <f>$S$1*P!AA2277</f>
        <v>0.19639112903225808</v>
      </c>
      <c r="AB2277" s="780"/>
      <c r="AC2277" s="782">
        <v>2273</v>
      </c>
      <c r="AD2277" s="782" t="s">
        <v>4573</v>
      </c>
      <c r="AE2277" s="782" t="s">
        <v>3138</v>
      </c>
      <c r="AF2277" s="781">
        <f>$S$1*P!AF2277</f>
        <v>2.0290322580645163E-4</v>
      </c>
    </row>
    <row r="2278" spans="19:32" x14ac:dyDescent="0.35">
      <c r="S2278" s="782">
        <v>2274</v>
      </c>
      <c r="T2278" s="782" t="s">
        <v>4284</v>
      </c>
      <c r="U2278" s="782" t="s">
        <v>3565</v>
      </c>
      <c r="V2278" s="797">
        <f>$S$1*P!V2278</f>
        <v>4.215725806451613</v>
      </c>
      <c r="W2278" s="780"/>
      <c r="X2278" s="782">
        <v>2274</v>
      </c>
      <c r="Y2278" s="782" t="s">
        <v>2248</v>
      </c>
      <c r="Z2278" s="782" t="s">
        <v>5078</v>
      </c>
      <c r="AA2278" s="781">
        <f>$S$1*P!AA2278</f>
        <v>1.1310483870967743E-4</v>
      </c>
      <c r="AB2278" s="780"/>
      <c r="AC2278" s="782">
        <v>2274</v>
      </c>
      <c r="AD2278" s="782" t="s">
        <v>4573</v>
      </c>
      <c r="AE2278" s="782" t="s">
        <v>3135</v>
      </c>
      <c r="AF2278" s="781">
        <f>$S$1*P!AF2278</f>
        <v>1.867943548387097</v>
      </c>
    </row>
    <row r="2279" spans="19:32" x14ac:dyDescent="0.35">
      <c r="S2279" s="782">
        <v>2275</v>
      </c>
      <c r="T2279" s="782" t="s">
        <v>4284</v>
      </c>
      <c r="U2279" s="782" t="s">
        <v>3562</v>
      </c>
      <c r="V2279" s="797">
        <f>$S$1*P!V2279</f>
        <v>12.715725806451614</v>
      </c>
      <c r="W2279" s="780"/>
      <c r="X2279" s="881">
        <v>2275</v>
      </c>
      <c r="Y2279" s="881" t="s">
        <v>2248</v>
      </c>
      <c r="Z2279" s="881" t="s">
        <v>4211</v>
      </c>
      <c r="AA2279" s="890">
        <f>$S$1*P!AA2279</f>
        <v>7.0262096774193553E-3</v>
      </c>
      <c r="AB2279" s="780"/>
      <c r="AC2279" s="782">
        <v>2275</v>
      </c>
      <c r="AD2279" s="782" t="s">
        <v>4573</v>
      </c>
      <c r="AE2279" s="782" t="s">
        <v>3132</v>
      </c>
      <c r="AF2279" s="781">
        <f>$S$1*P!AF2279</f>
        <v>1.7034274193548389</v>
      </c>
    </row>
    <row r="2280" spans="19:32" x14ac:dyDescent="0.35">
      <c r="S2280" s="782">
        <v>2276</v>
      </c>
      <c r="T2280" s="782" t="s">
        <v>4284</v>
      </c>
      <c r="U2280" s="782" t="s">
        <v>3559</v>
      </c>
      <c r="V2280" s="797">
        <f>$S$1*P!V2280</f>
        <v>4.3528225806451618E-2</v>
      </c>
      <c r="W2280" s="780"/>
      <c r="X2280" s="881">
        <v>2276</v>
      </c>
      <c r="Y2280" s="881" t="s">
        <v>2248</v>
      </c>
      <c r="Z2280" s="881" t="s">
        <v>3162</v>
      </c>
      <c r="AA2280" s="882">
        <f>$S$1*P!AA2280</f>
        <v>0</v>
      </c>
      <c r="AB2280" s="780"/>
      <c r="AC2280" s="782">
        <v>2276</v>
      </c>
      <c r="AD2280" s="782" t="s">
        <v>4573</v>
      </c>
      <c r="AE2280" s="782" t="s">
        <v>3129</v>
      </c>
      <c r="AF2280" s="781">
        <f>$S$1*P!AF2280</f>
        <v>0.60665322580645165</v>
      </c>
    </row>
    <row r="2281" spans="19:32" x14ac:dyDescent="0.35">
      <c r="S2281" s="782">
        <v>2277</v>
      </c>
      <c r="T2281" s="782" t="s">
        <v>4284</v>
      </c>
      <c r="U2281" s="782" t="s">
        <v>3556</v>
      </c>
      <c r="V2281" s="797">
        <f>$S$1*P!V2281</f>
        <v>0.13949596774193548</v>
      </c>
      <c r="W2281" s="780"/>
      <c r="X2281" s="782">
        <v>2277</v>
      </c>
      <c r="Y2281" s="782" t="s">
        <v>2248</v>
      </c>
      <c r="Z2281" s="782" t="s">
        <v>3162</v>
      </c>
      <c r="AA2281" s="781">
        <f>$S$1*P!AA2281</f>
        <v>3.7701612903225811E-4</v>
      </c>
      <c r="AB2281" s="780"/>
      <c r="AC2281" s="881">
        <v>2277</v>
      </c>
      <c r="AD2281" s="881" t="s">
        <v>4573</v>
      </c>
      <c r="AE2281" s="881" t="s">
        <v>2880</v>
      </c>
      <c r="AF2281" s="882">
        <f>$S$1*P!AF2281</f>
        <v>0</v>
      </c>
    </row>
    <row r="2282" spans="19:32" x14ac:dyDescent="0.35">
      <c r="S2282" s="782">
        <v>2278</v>
      </c>
      <c r="T2282" s="782" t="s">
        <v>4284</v>
      </c>
      <c r="U2282" s="782" t="s">
        <v>3551</v>
      </c>
      <c r="V2282" s="797">
        <f>$S$1*P!V2282</f>
        <v>1.7034274193548388E-2</v>
      </c>
      <c r="W2282" s="780"/>
      <c r="X2282" s="782">
        <v>2278</v>
      </c>
      <c r="Y2282" s="782" t="s">
        <v>2248</v>
      </c>
      <c r="Z2282" s="782" t="s">
        <v>5077</v>
      </c>
      <c r="AA2282" s="781">
        <f>$S$1*P!AA2282</f>
        <v>6.3064516129032267E-3</v>
      </c>
      <c r="AB2282" s="780"/>
      <c r="AC2282" s="881">
        <v>2278</v>
      </c>
      <c r="AD2282" s="881" t="s">
        <v>4573</v>
      </c>
      <c r="AE2282" s="881" t="s">
        <v>2879</v>
      </c>
      <c r="AF2282" s="882">
        <f>$S$1*P!AF2282</f>
        <v>0</v>
      </c>
    </row>
    <row r="2283" spans="19:32" x14ac:dyDescent="0.35">
      <c r="S2283" s="782">
        <v>2279</v>
      </c>
      <c r="T2283" s="782" t="s">
        <v>4284</v>
      </c>
      <c r="U2283" s="782" t="s">
        <v>3547</v>
      </c>
      <c r="V2283" s="797">
        <f>$S$1*P!V2283</f>
        <v>0.30024193548387101</v>
      </c>
      <c r="W2283" s="780"/>
      <c r="X2283" s="881">
        <v>2279</v>
      </c>
      <c r="Y2283" s="881" t="s">
        <v>2248</v>
      </c>
      <c r="Z2283" s="881" t="s">
        <v>3161</v>
      </c>
      <c r="AA2283" s="882">
        <f>$S$1*P!AA2283</f>
        <v>0.20884</v>
      </c>
      <c r="AB2283" s="780"/>
      <c r="AC2283" s="782">
        <v>2279</v>
      </c>
      <c r="AD2283" s="782" t="s">
        <v>4573</v>
      </c>
      <c r="AE2283" s="782" t="s">
        <v>2877</v>
      </c>
      <c r="AF2283" s="781">
        <f>$S$1*P!AF2283</f>
        <v>40.786290322580648</v>
      </c>
    </row>
    <row r="2284" spans="19:32" x14ac:dyDescent="0.35">
      <c r="S2284" s="782">
        <v>2280</v>
      </c>
      <c r="T2284" s="782" t="s">
        <v>4284</v>
      </c>
      <c r="U2284" s="782" t="s">
        <v>3544</v>
      </c>
      <c r="V2284" s="797">
        <f>$S$1*P!V2284</f>
        <v>0.10076612903225807</v>
      </c>
      <c r="W2284" s="780"/>
      <c r="X2284" s="881">
        <v>2280</v>
      </c>
      <c r="Y2284" s="881" t="s">
        <v>2248</v>
      </c>
      <c r="Z2284" s="881" t="s">
        <v>3161</v>
      </c>
      <c r="AA2284" s="890">
        <f>$S$1*P!AA2284</f>
        <v>0.23957661290322582</v>
      </c>
      <c r="AB2284" s="780"/>
      <c r="AC2284" s="881">
        <v>2280</v>
      </c>
      <c r="AD2284" s="881" t="s">
        <v>4573</v>
      </c>
      <c r="AE2284" s="881" t="s">
        <v>2877</v>
      </c>
      <c r="AF2284" s="882">
        <f>$S$1*P!AF2284</f>
        <v>3385.6</v>
      </c>
    </row>
    <row r="2285" spans="19:32" x14ac:dyDescent="0.35">
      <c r="S2285" s="782">
        <v>2281</v>
      </c>
      <c r="T2285" s="782" t="s">
        <v>4284</v>
      </c>
      <c r="U2285" s="782" t="s">
        <v>3541</v>
      </c>
      <c r="V2285" s="797">
        <f>$S$1*P!V2285</f>
        <v>3.3177419354838714E-2</v>
      </c>
      <c r="W2285" s="780"/>
      <c r="X2285" s="782">
        <v>2281</v>
      </c>
      <c r="Y2285" s="782" t="s">
        <v>2248</v>
      </c>
      <c r="Z2285" s="782" t="s">
        <v>5076</v>
      </c>
      <c r="AA2285" s="781">
        <f>$S$1*P!AA2285</f>
        <v>0.22243951612903229</v>
      </c>
      <c r="AB2285" s="780"/>
      <c r="AC2285" s="881">
        <v>2281</v>
      </c>
      <c r="AD2285" s="881" t="s">
        <v>4573</v>
      </c>
      <c r="AE2285" s="881" t="s">
        <v>2876</v>
      </c>
      <c r="AF2285" s="882">
        <f>$S$1*P!AF2285</f>
        <v>0</v>
      </c>
    </row>
    <row r="2286" spans="19:32" x14ac:dyDescent="0.35">
      <c r="S2286" s="782">
        <v>2282</v>
      </c>
      <c r="T2286" s="782" t="s">
        <v>4284</v>
      </c>
      <c r="U2286" s="782" t="s">
        <v>3538</v>
      </c>
      <c r="V2286" s="797">
        <f>$S$1*P!V2286</f>
        <v>0.1158467741935484</v>
      </c>
      <c r="W2286" s="780"/>
      <c r="X2286" s="881">
        <v>2282</v>
      </c>
      <c r="Y2286" s="881" t="s">
        <v>2248</v>
      </c>
      <c r="Z2286" s="881" t="s">
        <v>3159</v>
      </c>
      <c r="AA2286" s="882">
        <f>$S$1*P!AA2286</f>
        <v>0</v>
      </c>
      <c r="AB2286" s="780"/>
      <c r="AC2286" s="861">
        <v>2282</v>
      </c>
      <c r="AD2286" s="861" t="s">
        <v>4573</v>
      </c>
      <c r="AE2286" s="861" t="s">
        <v>4984</v>
      </c>
      <c r="AF2286" s="904">
        <f>$S$1*P!AF2286</f>
        <v>4.7</v>
      </c>
    </row>
    <row r="2287" spans="19:32" x14ac:dyDescent="0.35">
      <c r="S2287" s="782">
        <v>2283</v>
      </c>
      <c r="T2287" s="782" t="s">
        <v>4284</v>
      </c>
      <c r="U2287" s="782" t="s">
        <v>3003</v>
      </c>
      <c r="V2287" s="797">
        <f>$S$1*P!V2287</f>
        <v>0.13264112903225808</v>
      </c>
      <c r="W2287" s="780"/>
      <c r="X2287" s="881">
        <v>2283</v>
      </c>
      <c r="Y2287" s="881" t="s">
        <v>2248</v>
      </c>
      <c r="Z2287" s="881" t="s">
        <v>3159</v>
      </c>
      <c r="AA2287" s="890">
        <f>$S$1*P!AA2287</f>
        <v>5.1411290322580646E-3</v>
      </c>
      <c r="AB2287" s="780"/>
      <c r="AC2287" s="782">
        <v>2283</v>
      </c>
      <c r="AD2287" s="782" t="s">
        <v>4573</v>
      </c>
      <c r="AE2287" s="782" t="s">
        <v>3125</v>
      </c>
      <c r="AF2287" s="781">
        <f>$S$1*P!AF2287</f>
        <v>5.620967741935484</v>
      </c>
    </row>
    <row r="2288" spans="19:32" x14ac:dyDescent="0.35">
      <c r="S2288" s="881">
        <v>2284</v>
      </c>
      <c r="T2288" s="881" t="s">
        <v>4284</v>
      </c>
      <c r="U2288" s="881" t="s">
        <v>3003</v>
      </c>
      <c r="V2288" s="883">
        <f>$S$1*P!V2288</f>
        <v>0</v>
      </c>
      <c r="W2288" s="780"/>
      <c r="X2288" s="782">
        <v>2284</v>
      </c>
      <c r="Y2288" s="782" t="s">
        <v>2248</v>
      </c>
      <c r="Z2288" s="782" t="s">
        <v>5075</v>
      </c>
      <c r="AA2288" s="781">
        <f>$S$1*P!AA2288</f>
        <v>5.4495967741935492E-2</v>
      </c>
      <c r="AB2288" s="780"/>
      <c r="AC2288" s="782">
        <v>2284</v>
      </c>
      <c r="AD2288" s="782" t="s">
        <v>4573</v>
      </c>
      <c r="AE2288" s="782" t="s">
        <v>3122</v>
      </c>
      <c r="AF2288" s="781">
        <f>$S$1*P!AF2288</f>
        <v>2.8344758064516133E-3</v>
      </c>
    </row>
    <row r="2289" spans="19:32" x14ac:dyDescent="0.35">
      <c r="S2289" s="782">
        <v>2285</v>
      </c>
      <c r="T2289" s="782" t="s">
        <v>4284</v>
      </c>
      <c r="U2289" s="782" t="s">
        <v>3002</v>
      </c>
      <c r="V2289" s="797">
        <f>$S$1*P!V2289</f>
        <v>2.279233870967742E-2</v>
      </c>
      <c r="W2289" s="780"/>
      <c r="X2289" s="881">
        <v>2285</v>
      </c>
      <c r="Y2289" s="881" t="s">
        <v>2248</v>
      </c>
      <c r="Z2289" s="881" t="s">
        <v>4209</v>
      </c>
      <c r="AA2289" s="890">
        <f>$S$1*P!AA2289</f>
        <v>1.5697580645161291E-3</v>
      </c>
      <c r="AB2289" s="780"/>
      <c r="AC2289" s="881">
        <v>2285</v>
      </c>
      <c r="AD2289" s="881" t="s">
        <v>4573</v>
      </c>
      <c r="AE2289" s="881" t="s">
        <v>2874</v>
      </c>
      <c r="AF2289" s="882">
        <f>$S$1*P!AF2289</f>
        <v>18.675999999999998</v>
      </c>
    </row>
    <row r="2290" spans="19:32" x14ac:dyDescent="0.35">
      <c r="S2290" s="881">
        <v>2286</v>
      </c>
      <c r="T2290" s="881" t="s">
        <v>4284</v>
      </c>
      <c r="U2290" s="881" t="s">
        <v>3002</v>
      </c>
      <c r="V2290" s="883">
        <f>$S$1*P!V2290</f>
        <v>4.8576000000000006</v>
      </c>
      <c r="W2290" s="780"/>
      <c r="X2290" s="881">
        <v>2286</v>
      </c>
      <c r="Y2290" s="881" t="s">
        <v>2248</v>
      </c>
      <c r="Z2290" s="881" t="s">
        <v>3158</v>
      </c>
      <c r="AA2290" s="882">
        <f>$S$1*P!AA2290</f>
        <v>2.0331999999999999</v>
      </c>
      <c r="AB2290" s="780"/>
      <c r="AC2290" s="782">
        <v>2286</v>
      </c>
      <c r="AD2290" s="782" t="s">
        <v>4573</v>
      </c>
      <c r="AE2290" s="782" t="s">
        <v>3119</v>
      </c>
      <c r="AF2290" s="781">
        <f>$S$1*P!AF2290</f>
        <v>1.4909274193548388E-3</v>
      </c>
    </row>
    <row r="2291" spans="19:32" x14ac:dyDescent="0.35">
      <c r="S2291" s="782">
        <v>2287</v>
      </c>
      <c r="T2291" s="782" t="s">
        <v>4284</v>
      </c>
      <c r="U2291" s="782" t="s">
        <v>3001</v>
      </c>
      <c r="V2291" s="797">
        <f>$S$1*P!V2291</f>
        <v>5.0725806451612911E-4</v>
      </c>
      <c r="W2291" s="780"/>
      <c r="X2291" s="881">
        <v>2287</v>
      </c>
      <c r="Y2291" s="881" t="s">
        <v>2248</v>
      </c>
      <c r="Z2291" s="881" t="s">
        <v>3158</v>
      </c>
      <c r="AA2291" s="890">
        <f>$S$1*P!AA2291</f>
        <v>7.1975806451612903E-2</v>
      </c>
      <c r="AB2291" s="780"/>
      <c r="AC2291" s="782">
        <v>2287</v>
      </c>
      <c r="AD2291" s="782" t="s">
        <v>4573</v>
      </c>
      <c r="AE2291" s="782" t="s">
        <v>3117</v>
      </c>
      <c r="AF2291" s="781">
        <f>$S$1*P!AF2291</f>
        <v>4764.1129032258068</v>
      </c>
    </row>
    <row r="2292" spans="19:32" x14ac:dyDescent="0.35">
      <c r="S2292" s="881">
        <v>2288</v>
      </c>
      <c r="T2292" s="881" t="s">
        <v>4284</v>
      </c>
      <c r="U2292" s="881" t="s">
        <v>3001</v>
      </c>
      <c r="V2292" s="883">
        <f>$S$1*P!V2292</f>
        <v>1.4168000000000001</v>
      </c>
      <c r="W2292" s="780"/>
      <c r="X2292" s="782">
        <v>2288</v>
      </c>
      <c r="Y2292" s="782" t="s">
        <v>2248</v>
      </c>
      <c r="Z2292" s="782" t="s">
        <v>5074</v>
      </c>
      <c r="AA2292" s="781">
        <f>$S$1*P!AA2292</f>
        <v>0.18610887096774195</v>
      </c>
      <c r="AB2292" s="780"/>
      <c r="AC2292" s="782">
        <v>2288</v>
      </c>
      <c r="AD2292" s="782" t="s">
        <v>4573</v>
      </c>
      <c r="AE2292" s="782" t="s">
        <v>3114</v>
      </c>
      <c r="AF2292" s="781">
        <f>$S$1*P!AF2292</f>
        <v>1.0453629032258064E-5</v>
      </c>
    </row>
    <row r="2293" spans="19:32" x14ac:dyDescent="0.35">
      <c r="S2293" s="782">
        <v>2289</v>
      </c>
      <c r="T2293" s="782" t="s">
        <v>4284</v>
      </c>
      <c r="U2293" s="782" t="s">
        <v>3530</v>
      </c>
      <c r="V2293" s="797">
        <f>$S$1*P!V2293</f>
        <v>1.6074596774193549E-3</v>
      </c>
      <c r="W2293" s="780"/>
      <c r="X2293" s="782">
        <v>2289</v>
      </c>
      <c r="Y2293" s="782" t="s">
        <v>2248</v>
      </c>
      <c r="Z2293" s="782" t="s">
        <v>4205</v>
      </c>
      <c r="AA2293" s="781">
        <f>$S$1*P!AA2293</f>
        <v>7.6774193548387101E-3</v>
      </c>
      <c r="AB2293" s="780"/>
      <c r="AC2293" s="881">
        <v>2289</v>
      </c>
      <c r="AD2293" s="881" t="s">
        <v>4573</v>
      </c>
      <c r="AE2293" s="881" t="s">
        <v>2873</v>
      </c>
      <c r="AF2293" s="882">
        <f>$S$1*P!AF2293</f>
        <v>278.76</v>
      </c>
    </row>
    <row r="2294" spans="19:32" x14ac:dyDescent="0.35">
      <c r="S2294" s="782">
        <v>2290</v>
      </c>
      <c r="T2294" s="782" t="s">
        <v>4284</v>
      </c>
      <c r="U2294" s="782" t="s">
        <v>3527</v>
      </c>
      <c r="V2294" s="797">
        <f>$S$1*P!V2294</f>
        <v>2.1901209677419357E-4</v>
      </c>
      <c r="W2294" s="780"/>
      <c r="X2294" s="881">
        <v>2290</v>
      </c>
      <c r="Y2294" s="881" t="s">
        <v>2248</v>
      </c>
      <c r="Z2294" s="881" t="s">
        <v>4204</v>
      </c>
      <c r="AA2294" s="890">
        <f>$S$1*P!AA2294</f>
        <v>4.9697580645161298E-2</v>
      </c>
      <c r="AB2294" s="780"/>
      <c r="AC2294" s="881">
        <v>2290</v>
      </c>
      <c r="AD2294" s="881" t="s">
        <v>4573</v>
      </c>
      <c r="AE2294" s="881" t="s">
        <v>2871</v>
      </c>
      <c r="AF2294" s="882">
        <f>$S$1*P!AF2294</f>
        <v>0</v>
      </c>
    </row>
    <row r="2295" spans="19:32" x14ac:dyDescent="0.35">
      <c r="S2295" s="789">
        <v>2291</v>
      </c>
      <c r="T2295" s="789" t="s">
        <v>4284</v>
      </c>
      <c r="U2295" s="789" t="s">
        <v>5073</v>
      </c>
      <c r="V2295" s="790">
        <f>$S$1*P!V2295</f>
        <v>3.1320000000000001</v>
      </c>
      <c r="W2295" s="780"/>
      <c r="X2295" s="782">
        <v>2291</v>
      </c>
      <c r="Y2295" s="782" t="s">
        <v>2248</v>
      </c>
      <c r="Z2295" s="782" t="s">
        <v>5072</v>
      </c>
      <c r="AA2295" s="781">
        <f>$S$1*P!AA2295</f>
        <v>9.5967741935483873E-5</v>
      </c>
      <c r="AB2295" s="780"/>
      <c r="AC2295" s="782">
        <v>2291</v>
      </c>
      <c r="AD2295" s="782" t="s">
        <v>4573</v>
      </c>
      <c r="AE2295" s="782" t="s">
        <v>2869</v>
      </c>
      <c r="AF2295" s="781">
        <f>$S$1*P!AF2295</f>
        <v>2.3614919354838712E-2</v>
      </c>
    </row>
    <row r="2296" spans="19:32" x14ac:dyDescent="0.35">
      <c r="S2296" s="789">
        <v>2292</v>
      </c>
      <c r="T2296" s="789" t="s">
        <v>4284</v>
      </c>
      <c r="U2296" s="789" t="s">
        <v>5071</v>
      </c>
      <c r="V2296" s="790">
        <f>$S$1*P!V2296</f>
        <v>11.020000000000001</v>
      </c>
      <c r="W2296" s="780"/>
      <c r="X2296" s="782">
        <v>2292</v>
      </c>
      <c r="Y2296" s="782" t="s">
        <v>2248</v>
      </c>
      <c r="Z2296" s="782" t="s">
        <v>4203</v>
      </c>
      <c r="AA2296" s="781">
        <f>$S$1*P!AA2296</f>
        <v>3.2149193548387101E-4</v>
      </c>
      <c r="AB2296" s="780"/>
      <c r="AC2296" s="881">
        <v>2292</v>
      </c>
      <c r="AD2296" s="881" t="s">
        <v>4573</v>
      </c>
      <c r="AE2296" s="881" t="s">
        <v>2869</v>
      </c>
      <c r="AF2296" s="882">
        <f>$S$1*P!AF2296</f>
        <v>0.13247999999999999</v>
      </c>
    </row>
    <row r="2297" spans="19:32" x14ac:dyDescent="0.35">
      <c r="S2297" s="782">
        <v>2293</v>
      </c>
      <c r="T2297" s="782" t="s">
        <v>4284</v>
      </c>
      <c r="U2297" s="782" t="s">
        <v>3525</v>
      </c>
      <c r="V2297" s="797">
        <f>$S$1*P!V2297</f>
        <v>2.8961693548387095E-4</v>
      </c>
      <c r="W2297" s="780"/>
      <c r="X2297" s="881">
        <v>2293</v>
      </c>
      <c r="Y2297" s="881" t="s">
        <v>2248</v>
      </c>
      <c r="Z2297" s="881" t="s">
        <v>4201</v>
      </c>
      <c r="AA2297" s="890">
        <f>$S$1*P!AA2297</f>
        <v>1.1070564516129034E-5</v>
      </c>
      <c r="AB2297" s="780"/>
      <c r="AC2297" s="881">
        <v>2293</v>
      </c>
      <c r="AD2297" s="881" t="s">
        <v>4573</v>
      </c>
      <c r="AE2297" s="881" t="s">
        <v>2868</v>
      </c>
      <c r="AF2297" s="882">
        <f>$S$1*P!AF2297</f>
        <v>0</v>
      </c>
    </row>
    <row r="2298" spans="19:32" x14ac:dyDescent="0.35">
      <c r="S2298" s="782">
        <v>2294</v>
      </c>
      <c r="T2298" s="782" t="s">
        <v>4284</v>
      </c>
      <c r="U2298" s="782" t="s">
        <v>3522</v>
      </c>
      <c r="V2298" s="797">
        <f>$S$1*P!V2298</f>
        <v>2.1250000000000002E-5</v>
      </c>
      <c r="W2298" s="780"/>
      <c r="X2298" s="782">
        <v>2294</v>
      </c>
      <c r="Y2298" s="782" t="s">
        <v>2248</v>
      </c>
      <c r="Z2298" s="782" t="s">
        <v>5070</v>
      </c>
      <c r="AA2298" s="781">
        <f>$S$1*P!AA2298</f>
        <v>2.8893145161290323E-3</v>
      </c>
      <c r="AB2298" s="780"/>
      <c r="AC2298" s="782">
        <v>2294</v>
      </c>
      <c r="AD2298" s="782" t="s">
        <v>4573</v>
      </c>
      <c r="AE2298" s="782" t="s">
        <v>3109</v>
      </c>
      <c r="AF2298" s="781">
        <f>$S$1*P!AF2298</f>
        <v>2.0495967741935486</v>
      </c>
    </row>
    <row r="2299" spans="19:32" x14ac:dyDescent="0.35">
      <c r="S2299" s="782">
        <v>2295</v>
      </c>
      <c r="T2299" s="782" t="s">
        <v>4284</v>
      </c>
      <c r="U2299" s="782" t="s">
        <v>3519</v>
      </c>
      <c r="V2299" s="797">
        <f>$S$1*P!V2299</f>
        <v>2.9647177419354839E-2</v>
      </c>
      <c r="W2299" s="780"/>
      <c r="X2299" s="782">
        <v>2295</v>
      </c>
      <c r="Y2299" s="782" t="s">
        <v>2248</v>
      </c>
      <c r="Z2299" s="782" t="s">
        <v>4200</v>
      </c>
      <c r="AA2299" s="781">
        <f>$S$1*P!AA2299</f>
        <v>4.4213709677419358E-4</v>
      </c>
      <c r="AB2299" s="780"/>
      <c r="AC2299" s="782">
        <v>2295</v>
      </c>
      <c r="AD2299" s="782" t="s">
        <v>4573</v>
      </c>
      <c r="AE2299" s="782" t="s">
        <v>3106</v>
      </c>
      <c r="AF2299" s="781">
        <f>$S$1*P!AF2299</f>
        <v>1.1413306451612903</v>
      </c>
    </row>
    <row r="2300" spans="19:32" x14ac:dyDescent="0.35">
      <c r="S2300" s="789">
        <v>2296</v>
      </c>
      <c r="T2300" s="789" t="s">
        <v>4284</v>
      </c>
      <c r="U2300" s="789" t="s">
        <v>5069</v>
      </c>
      <c r="V2300" s="790">
        <f>$S$1*P!V2300</f>
        <v>6.2871999999999997E-3</v>
      </c>
      <c r="W2300" s="780"/>
      <c r="X2300" s="881">
        <v>2296</v>
      </c>
      <c r="Y2300" s="881" t="s">
        <v>2248</v>
      </c>
      <c r="Z2300" s="881" t="s">
        <v>3156</v>
      </c>
      <c r="AA2300" s="882">
        <f>$S$1*P!AA2300</f>
        <v>0</v>
      </c>
      <c r="AB2300" s="780"/>
      <c r="AC2300" s="782">
        <v>2296</v>
      </c>
      <c r="AD2300" s="782" t="s">
        <v>4573</v>
      </c>
      <c r="AE2300" s="782" t="s">
        <v>3104</v>
      </c>
      <c r="AF2300" s="781">
        <f>$S$1*P!AF2300</f>
        <v>6.5463709677419366E-2</v>
      </c>
    </row>
    <row r="2301" spans="19:32" x14ac:dyDescent="0.35">
      <c r="S2301" s="782">
        <v>2297</v>
      </c>
      <c r="T2301" s="782" t="s">
        <v>4284</v>
      </c>
      <c r="U2301" s="782" t="s">
        <v>3516</v>
      </c>
      <c r="V2301" s="797">
        <f>$S$1*P!V2301</f>
        <v>1.3812500000000001E-3</v>
      </c>
      <c r="W2301" s="780"/>
      <c r="X2301" s="782">
        <v>2297</v>
      </c>
      <c r="Y2301" s="782" t="s">
        <v>2248</v>
      </c>
      <c r="Z2301" s="782" t="s">
        <v>5068</v>
      </c>
      <c r="AA2301" s="781">
        <f>$S$1*P!AA2301</f>
        <v>7.5745967741935484E-5</v>
      </c>
      <c r="AB2301" s="780"/>
      <c r="AC2301" s="782">
        <v>2297</v>
      </c>
      <c r="AD2301" s="782" t="s">
        <v>4573</v>
      </c>
      <c r="AE2301" s="782" t="s">
        <v>3101</v>
      </c>
      <c r="AF2301" s="781">
        <f>$S$1*P!AF2301</f>
        <v>0.49012096774193553</v>
      </c>
    </row>
    <row r="2302" spans="19:32" x14ac:dyDescent="0.35">
      <c r="S2302" s="782">
        <v>2298</v>
      </c>
      <c r="T2302" s="782" t="s">
        <v>4284</v>
      </c>
      <c r="U2302" s="782" t="s">
        <v>3513</v>
      </c>
      <c r="V2302" s="797">
        <f>$S$1*P!V2302</f>
        <v>1.0967741935483872E-2</v>
      </c>
      <c r="W2302" s="780"/>
      <c r="X2302" s="881">
        <v>2298</v>
      </c>
      <c r="Y2302" s="881" t="s">
        <v>2248</v>
      </c>
      <c r="Z2302" s="881" t="s">
        <v>3155</v>
      </c>
      <c r="AA2302" s="882">
        <f>$S$1*P!AA2302</f>
        <v>245.64</v>
      </c>
      <c r="AB2302" s="780"/>
      <c r="AC2302" s="782">
        <v>2298</v>
      </c>
      <c r="AD2302" s="782" t="s">
        <v>4573</v>
      </c>
      <c r="AE2302" s="782" t="s">
        <v>3098</v>
      </c>
      <c r="AF2302" s="781">
        <f>$S$1*P!AF2302</f>
        <v>9.2883064516129047E-3</v>
      </c>
    </row>
    <row r="2303" spans="19:32" x14ac:dyDescent="0.35">
      <c r="S2303" s="782">
        <v>2299</v>
      </c>
      <c r="T2303" s="782" t="s">
        <v>4284</v>
      </c>
      <c r="U2303" s="782" t="s">
        <v>3511</v>
      </c>
      <c r="V2303" s="797">
        <f>$S$1*P!V2303</f>
        <v>2.2004032258064517E-2</v>
      </c>
      <c r="W2303" s="780"/>
      <c r="X2303" s="881">
        <v>2299</v>
      </c>
      <c r="Y2303" s="881" t="s">
        <v>2248</v>
      </c>
      <c r="Z2303" s="881" t="s">
        <v>3155</v>
      </c>
      <c r="AA2303" s="890">
        <f>$S$1*P!AA2303</f>
        <v>0.54153225806451621</v>
      </c>
      <c r="AB2303" s="780"/>
      <c r="AC2303" s="782">
        <v>2299</v>
      </c>
      <c r="AD2303" s="782" t="s">
        <v>4573</v>
      </c>
      <c r="AE2303" s="782" t="s">
        <v>3095</v>
      </c>
      <c r="AF2303" s="781">
        <f>$S$1*P!AF2303</f>
        <v>4.1814516129032265E-3</v>
      </c>
    </row>
    <row r="2304" spans="19:32" x14ac:dyDescent="0.35">
      <c r="S2304" s="782">
        <v>2300</v>
      </c>
      <c r="T2304" s="782" t="s">
        <v>4284</v>
      </c>
      <c r="U2304" s="782" t="s">
        <v>3508</v>
      </c>
      <c r="V2304" s="797">
        <f>$S$1*P!V2304</f>
        <v>4.798387096774194E-3</v>
      </c>
      <c r="W2304" s="780"/>
      <c r="X2304" s="881">
        <v>2300</v>
      </c>
      <c r="Y2304" s="881" t="s">
        <v>2248</v>
      </c>
      <c r="Z2304" s="881" t="s">
        <v>4198</v>
      </c>
      <c r="AA2304" s="890">
        <f>$S$1*P!AA2304</f>
        <v>1.5423387096774196E-3</v>
      </c>
      <c r="AB2304" s="780"/>
      <c r="AC2304" s="782">
        <v>2300</v>
      </c>
      <c r="AD2304" s="782" t="s">
        <v>4573</v>
      </c>
      <c r="AE2304" s="782" t="s">
        <v>3093</v>
      </c>
      <c r="AF2304" s="781">
        <f>$S$1*P!AF2304</f>
        <v>1.1379032258064517E-2</v>
      </c>
    </row>
    <row r="2305" spans="19:32" x14ac:dyDescent="0.35">
      <c r="S2305" s="782">
        <v>2301</v>
      </c>
      <c r="T2305" s="782" t="s">
        <v>4284</v>
      </c>
      <c r="U2305" s="782" t="s">
        <v>3505</v>
      </c>
      <c r="V2305" s="797">
        <f>$S$1*P!V2305</f>
        <v>6.6491935483870973E-3</v>
      </c>
      <c r="W2305" s="780"/>
      <c r="X2305" s="782">
        <v>2301</v>
      </c>
      <c r="Y2305" s="782" t="s">
        <v>2248</v>
      </c>
      <c r="Z2305" s="782" t="s">
        <v>5067</v>
      </c>
      <c r="AA2305" s="781">
        <f>$S$1*P!AA2305</f>
        <v>1.0933467741935485E-12</v>
      </c>
      <c r="AB2305" s="780"/>
      <c r="AC2305" s="782">
        <v>2301</v>
      </c>
      <c r="AD2305" s="782" t="s">
        <v>4573</v>
      </c>
      <c r="AE2305" s="782" t="s">
        <v>2866</v>
      </c>
      <c r="AF2305" s="781">
        <f>$S$1*P!AF2305</f>
        <v>9.9052419354838719</v>
      </c>
    </row>
    <row r="2306" spans="19:32" x14ac:dyDescent="0.35">
      <c r="S2306" s="782">
        <v>2302</v>
      </c>
      <c r="T2306" s="782" t="s">
        <v>4284</v>
      </c>
      <c r="U2306" s="782" t="s">
        <v>3502</v>
      </c>
      <c r="V2306" s="797">
        <f>$S$1*P!V2306</f>
        <v>1.3641129032258066</v>
      </c>
      <c r="W2306" s="780"/>
      <c r="X2306" s="881">
        <v>2302</v>
      </c>
      <c r="Y2306" s="881" t="s">
        <v>2248</v>
      </c>
      <c r="Z2306" s="881" t="s">
        <v>4196</v>
      </c>
      <c r="AA2306" s="890">
        <f>$S$1*P!AA2306</f>
        <v>1.4772177419354839E-5</v>
      </c>
      <c r="AB2306" s="780"/>
      <c r="AC2306" s="881">
        <v>2302</v>
      </c>
      <c r="AD2306" s="881" t="s">
        <v>4573</v>
      </c>
      <c r="AE2306" s="881" t="s">
        <v>2866</v>
      </c>
      <c r="AF2306" s="882">
        <f>$S$1*P!AF2306</f>
        <v>26.312000000000001</v>
      </c>
    </row>
    <row r="2307" spans="19:32" x14ac:dyDescent="0.35">
      <c r="S2307" s="782">
        <v>2303</v>
      </c>
      <c r="T2307" s="782" t="s">
        <v>4284</v>
      </c>
      <c r="U2307" s="782" t="s">
        <v>3500</v>
      </c>
      <c r="V2307" s="797">
        <f>$S$1*P!V2307</f>
        <v>3.5302419354838713E-3</v>
      </c>
      <c r="W2307" s="780"/>
      <c r="X2307" s="881">
        <v>2303</v>
      </c>
      <c r="Y2307" s="881" t="s">
        <v>2248</v>
      </c>
      <c r="Z2307" s="881" t="s">
        <v>4195</v>
      </c>
      <c r="AA2307" s="890">
        <f>$S$1*P!AA2307</f>
        <v>1.182459677419355E-4</v>
      </c>
      <c r="AB2307" s="780"/>
      <c r="AC2307" s="782">
        <v>2303</v>
      </c>
      <c r="AD2307" s="782" t="s">
        <v>4573</v>
      </c>
      <c r="AE2307" s="782" t="s">
        <v>2865</v>
      </c>
      <c r="AF2307" s="781">
        <f>$S$1*P!AF2307</f>
        <v>0.56552419354838712</v>
      </c>
    </row>
    <row r="2308" spans="19:32" x14ac:dyDescent="0.35">
      <c r="S2308" s="782">
        <v>2304</v>
      </c>
      <c r="T2308" s="782" t="s">
        <v>4284</v>
      </c>
      <c r="U2308" s="782" t="s">
        <v>3497</v>
      </c>
      <c r="V2308" s="797">
        <f>$S$1*P!V2308</f>
        <v>1.7891129032258066</v>
      </c>
      <c r="W2308" s="780"/>
      <c r="X2308" s="782">
        <v>2304</v>
      </c>
      <c r="Y2308" s="782" t="s">
        <v>2248</v>
      </c>
      <c r="Z2308" s="782" t="s">
        <v>5066</v>
      </c>
      <c r="AA2308" s="781">
        <f>$S$1*P!AA2308</f>
        <v>3.0743951612903232E-4</v>
      </c>
      <c r="AB2308" s="780"/>
      <c r="AC2308" s="881">
        <v>2304</v>
      </c>
      <c r="AD2308" s="881" t="s">
        <v>4573</v>
      </c>
      <c r="AE2308" s="881" t="s">
        <v>2865</v>
      </c>
      <c r="AF2308" s="882">
        <f>$S$1*P!AF2308</f>
        <v>137.07999999999998</v>
      </c>
    </row>
    <row r="2309" spans="19:32" x14ac:dyDescent="0.35">
      <c r="S2309" s="881">
        <v>2305</v>
      </c>
      <c r="T2309" s="881" t="s">
        <v>4284</v>
      </c>
      <c r="U2309" s="881" t="s">
        <v>2999</v>
      </c>
      <c r="V2309" s="883">
        <f>$S$1*P!V2309</f>
        <v>4.968</v>
      </c>
      <c r="W2309" s="780"/>
      <c r="X2309" s="782">
        <v>2305</v>
      </c>
      <c r="Y2309" s="782" t="s">
        <v>2248</v>
      </c>
      <c r="Z2309" s="782" t="s">
        <v>4192</v>
      </c>
      <c r="AA2309" s="781">
        <f>$S$1*P!AA2309</f>
        <v>7.4717741935483878E-6</v>
      </c>
      <c r="AB2309" s="780"/>
      <c r="AC2309" s="782">
        <v>2305</v>
      </c>
      <c r="AD2309" s="782" t="s">
        <v>4573</v>
      </c>
      <c r="AE2309" s="782" t="s">
        <v>2863</v>
      </c>
      <c r="AF2309" s="781">
        <f>$S$1*P!AF2309</f>
        <v>0.90826612903225812</v>
      </c>
    </row>
    <row r="2310" spans="19:32" x14ac:dyDescent="0.35">
      <c r="S2310" s="782">
        <v>2306</v>
      </c>
      <c r="T2310" s="782" t="s">
        <v>4284</v>
      </c>
      <c r="U2310" s="782" t="s">
        <v>2997</v>
      </c>
      <c r="V2310" s="797">
        <f>$S$1*P!V2310</f>
        <v>0.72318548387096782</v>
      </c>
      <c r="W2310" s="780"/>
      <c r="X2310" s="881">
        <v>2306</v>
      </c>
      <c r="Y2310" s="881" t="s">
        <v>2248</v>
      </c>
      <c r="Z2310" s="881" t="s">
        <v>3153</v>
      </c>
      <c r="AA2310" s="882">
        <f>$S$1*P!AA2310</f>
        <v>0</v>
      </c>
      <c r="AB2310" s="780"/>
      <c r="AC2310" s="881">
        <v>2306</v>
      </c>
      <c r="AD2310" s="881" t="s">
        <v>4573</v>
      </c>
      <c r="AE2310" s="881" t="s">
        <v>2863</v>
      </c>
      <c r="AF2310" s="882">
        <f>$S$1*P!AF2310</f>
        <v>32.475999999999999</v>
      </c>
    </row>
    <row r="2311" spans="19:32" x14ac:dyDescent="0.35">
      <c r="S2311" s="881">
        <v>2307</v>
      </c>
      <c r="T2311" s="881" t="s">
        <v>4284</v>
      </c>
      <c r="U2311" s="881" t="s">
        <v>2997</v>
      </c>
      <c r="V2311" s="883">
        <f>$S$1*P!V2311</f>
        <v>5.1336E-2</v>
      </c>
      <c r="W2311" s="780"/>
      <c r="X2311" s="881">
        <v>2307</v>
      </c>
      <c r="Y2311" s="881" t="s">
        <v>2248</v>
      </c>
      <c r="Z2311" s="881" t="s">
        <v>3153</v>
      </c>
      <c r="AA2311" s="890">
        <f>$S$1*P!AA2311</f>
        <v>2.3786290322580649E-3</v>
      </c>
      <c r="AB2311" s="780"/>
      <c r="AC2311" s="782">
        <v>2307</v>
      </c>
      <c r="AD2311" s="782" t="s">
        <v>4573</v>
      </c>
      <c r="AE2311" s="782" t="s">
        <v>3084</v>
      </c>
      <c r="AF2311" s="781">
        <f>$S$1*P!AF2311</f>
        <v>6.8205645161290329</v>
      </c>
    </row>
    <row r="2312" spans="19:32" x14ac:dyDescent="0.35">
      <c r="S2312" s="782">
        <v>2308</v>
      </c>
      <c r="T2312" s="782" t="s">
        <v>4284</v>
      </c>
      <c r="U2312" s="782" t="s">
        <v>2996</v>
      </c>
      <c r="V2312" s="797">
        <f>$S$1*P!V2312</f>
        <v>1.8987903225806452E-3</v>
      </c>
      <c r="W2312" s="780"/>
      <c r="X2312" s="782">
        <v>2308</v>
      </c>
      <c r="Y2312" s="782" t="s">
        <v>2248</v>
      </c>
      <c r="Z2312" s="782" t="s">
        <v>5065</v>
      </c>
      <c r="AA2312" s="781">
        <f>$S$1*P!AA2312</f>
        <v>4.5927419354838714E-4</v>
      </c>
      <c r="AB2312" s="780"/>
      <c r="AC2312" s="881">
        <v>2308</v>
      </c>
      <c r="AD2312" s="881" t="s">
        <v>4573</v>
      </c>
      <c r="AE2312" s="881" t="s">
        <v>2862</v>
      </c>
      <c r="AF2312" s="882">
        <f>$S$1*P!AF2312</f>
        <v>0</v>
      </c>
    </row>
    <row r="2313" spans="19:32" x14ac:dyDescent="0.35">
      <c r="S2313" s="881">
        <v>2309</v>
      </c>
      <c r="T2313" s="881" t="s">
        <v>4284</v>
      </c>
      <c r="U2313" s="881" t="s">
        <v>2996</v>
      </c>
      <c r="V2313" s="883">
        <f>$S$1*P!V2313</f>
        <v>12.052</v>
      </c>
      <c r="W2313" s="780"/>
      <c r="X2313" s="782">
        <v>2309</v>
      </c>
      <c r="Y2313" s="782" t="s">
        <v>2248</v>
      </c>
      <c r="Z2313" s="782" t="s">
        <v>4187</v>
      </c>
      <c r="AA2313" s="781">
        <f>$S$1*P!AA2313</f>
        <v>5.6895161290322594E-4</v>
      </c>
      <c r="AB2313" s="780"/>
      <c r="AC2313" s="782">
        <v>2309</v>
      </c>
      <c r="AD2313" s="782" t="s">
        <v>4573</v>
      </c>
      <c r="AE2313" s="782" t="s">
        <v>3082</v>
      </c>
      <c r="AF2313" s="781">
        <f>$S$1*P!AF2313</f>
        <v>9.9395161290322586E-4</v>
      </c>
    </row>
    <row r="2314" spans="19:32" x14ac:dyDescent="0.35">
      <c r="S2314" s="782">
        <v>2310</v>
      </c>
      <c r="T2314" s="782" t="s">
        <v>4284</v>
      </c>
      <c r="U2314" s="782" t="s">
        <v>3490</v>
      </c>
      <c r="V2314" s="797">
        <f>$S$1*P!V2314</f>
        <v>0.22552419354838713</v>
      </c>
      <c r="W2314" s="780"/>
      <c r="X2314" s="881">
        <v>2310</v>
      </c>
      <c r="Y2314" s="881" t="s">
        <v>2248</v>
      </c>
      <c r="Z2314" s="881" t="s">
        <v>4186</v>
      </c>
      <c r="AA2314" s="890">
        <f>$S$1*P!AA2314</f>
        <v>4.1471774193548391E-4</v>
      </c>
      <c r="AB2314" s="780"/>
      <c r="AC2314" s="782">
        <v>2310</v>
      </c>
      <c r="AD2314" s="782" t="s">
        <v>4573</v>
      </c>
      <c r="AE2314" s="782" t="s">
        <v>3079</v>
      </c>
      <c r="AF2314" s="781">
        <f>$S$1*P!AF2314</f>
        <v>0.26493951612903227</v>
      </c>
    </row>
    <row r="2315" spans="19:32" x14ac:dyDescent="0.35">
      <c r="S2315" s="861">
        <v>2311</v>
      </c>
      <c r="T2315" s="861" t="s">
        <v>4284</v>
      </c>
      <c r="U2315" s="861" t="s">
        <v>2994</v>
      </c>
      <c r="V2315" s="862">
        <f>$S$1*P!V2315</f>
        <v>4.6919499999999994</v>
      </c>
      <c r="W2315" s="780"/>
      <c r="X2315" s="782">
        <v>2311</v>
      </c>
      <c r="Y2315" s="782" t="s">
        <v>2248</v>
      </c>
      <c r="Z2315" s="782" t="s">
        <v>5064</v>
      </c>
      <c r="AA2315" s="781">
        <f>$S$1*P!AA2315</f>
        <v>2.6493951612903228E-3</v>
      </c>
      <c r="AB2315" s="780"/>
      <c r="AC2315" s="881">
        <v>2311</v>
      </c>
      <c r="AD2315" s="881" t="s">
        <v>4573</v>
      </c>
      <c r="AE2315" s="881" t="s">
        <v>2860</v>
      </c>
      <c r="AF2315" s="882">
        <f>$S$1*P!AF2315</f>
        <v>0</v>
      </c>
    </row>
    <row r="2316" spans="19:32" x14ac:dyDescent="0.35">
      <c r="S2316" s="782">
        <v>2312</v>
      </c>
      <c r="T2316" s="782" t="s">
        <v>4284</v>
      </c>
      <c r="U2316" s="782" t="s">
        <v>2994</v>
      </c>
      <c r="V2316" s="797">
        <f>$S$1*P!V2316</f>
        <v>5.0383064516129031E-4</v>
      </c>
      <c r="W2316" s="780"/>
      <c r="X2316" s="782">
        <v>2312</v>
      </c>
      <c r="Y2316" s="782" t="s">
        <v>2248</v>
      </c>
      <c r="Z2316" s="782" t="s">
        <v>4182</v>
      </c>
      <c r="AA2316" s="781">
        <f>$S$1*P!AA2316</f>
        <v>9.0483870967741941E-4</v>
      </c>
      <c r="AB2316" s="780"/>
      <c r="AC2316" s="881">
        <v>2312</v>
      </c>
      <c r="AD2316" s="881" t="s">
        <v>4573</v>
      </c>
      <c r="AE2316" s="881" t="s">
        <v>2858</v>
      </c>
      <c r="AF2316" s="882">
        <f>$S$1*P!AF2316</f>
        <v>0.47195999999999999</v>
      </c>
    </row>
    <row r="2317" spans="19:32" x14ac:dyDescent="0.35">
      <c r="S2317" s="881">
        <v>2313</v>
      </c>
      <c r="T2317" s="881" t="s">
        <v>4284</v>
      </c>
      <c r="U2317" s="881" t="s">
        <v>2994</v>
      </c>
      <c r="V2317" s="883">
        <f>$S$1*P!V2317</f>
        <v>12.144</v>
      </c>
      <c r="W2317" s="780"/>
      <c r="X2317" s="881">
        <v>2313</v>
      </c>
      <c r="Y2317" s="881" t="s">
        <v>2248</v>
      </c>
      <c r="Z2317" s="881" t="s">
        <v>4179</v>
      </c>
      <c r="AA2317" s="890">
        <f>$S$1*P!AA2317</f>
        <v>9.6310483870967757E-7</v>
      </c>
      <c r="AB2317" s="780"/>
      <c r="AC2317" s="881">
        <v>2313</v>
      </c>
      <c r="AD2317" s="881" t="s">
        <v>4573</v>
      </c>
      <c r="AE2317" s="881" t="s">
        <v>2857</v>
      </c>
      <c r="AF2317" s="882">
        <f>$S$1*P!AF2317</f>
        <v>881.36</v>
      </c>
    </row>
    <row r="2318" spans="19:32" x14ac:dyDescent="0.35">
      <c r="S2318" s="782">
        <v>2314</v>
      </c>
      <c r="T2318" s="782" t="s">
        <v>4284</v>
      </c>
      <c r="U2318" s="782" t="s">
        <v>3486</v>
      </c>
      <c r="V2318" s="797">
        <f>$S$1*P!V2318</f>
        <v>5.106854838709678E-5</v>
      </c>
      <c r="W2318" s="780"/>
      <c r="X2318" s="782">
        <v>2314</v>
      </c>
      <c r="Y2318" s="782" t="s">
        <v>2248</v>
      </c>
      <c r="Z2318" s="782" t="s">
        <v>5063</v>
      </c>
      <c r="AA2318" s="781">
        <f>$S$1*P!AA2318</f>
        <v>1.7102822580645163</v>
      </c>
      <c r="AB2318" s="780"/>
      <c r="AC2318" s="782">
        <v>2314</v>
      </c>
      <c r="AD2318" s="782" t="s">
        <v>4573</v>
      </c>
      <c r="AE2318" s="782" t="s">
        <v>3076</v>
      </c>
      <c r="AF2318" s="781">
        <f>$S$1*P!AF2318</f>
        <v>0.16108870967741937</v>
      </c>
    </row>
    <row r="2319" spans="19:32" x14ac:dyDescent="0.35">
      <c r="S2319" s="782">
        <v>2315</v>
      </c>
      <c r="T2319" s="782" t="s">
        <v>4284</v>
      </c>
      <c r="U2319" s="782" t="s">
        <v>3483</v>
      </c>
      <c r="V2319" s="797">
        <f>$S$1*P!V2319</f>
        <v>8.2943548387096782E-4</v>
      </c>
      <c r="W2319" s="780"/>
      <c r="X2319" s="881">
        <v>2315</v>
      </c>
      <c r="Y2319" s="881" t="s">
        <v>2248</v>
      </c>
      <c r="Z2319" s="881" t="s">
        <v>3151</v>
      </c>
      <c r="AA2319" s="882">
        <f>$S$1*P!AA2319</f>
        <v>0</v>
      </c>
      <c r="AB2319" s="780"/>
      <c r="AC2319" s="782">
        <v>2315</v>
      </c>
      <c r="AD2319" s="782" t="s">
        <v>4573</v>
      </c>
      <c r="AE2319" s="782" t="s">
        <v>2855</v>
      </c>
      <c r="AF2319" s="781">
        <f>$S$1*P!AF2319</f>
        <v>14.703629032258066</v>
      </c>
    </row>
    <row r="2320" spans="19:32" x14ac:dyDescent="0.35">
      <c r="S2320" s="789">
        <v>2316</v>
      </c>
      <c r="T2320" s="789" t="s">
        <v>4284</v>
      </c>
      <c r="U2320" s="789" t="s">
        <v>5062</v>
      </c>
      <c r="V2320" s="790">
        <f>$S$1*P!V2320</f>
        <v>38.628</v>
      </c>
      <c r="W2320" s="780"/>
      <c r="X2320" s="881">
        <v>2316</v>
      </c>
      <c r="Y2320" s="881" t="s">
        <v>2248</v>
      </c>
      <c r="Z2320" s="881" t="s">
        <v>3151</v>
      </c>
      <c r="AA2320" s="890">
        <f>$S$1*P!AA2320</f>
        <v>0.14635080645161291</v>
      </c>
      <c r="AB2320" s="780"/>
      <c r="AC2320" s="881">
        <v>2316</v>
      </c>
      <c r="AD2320" s="881" t="s">
        <v>4573</v>
      </c>
      <c r="AE2320" s="881" t="s">
        <v>2855</v>
      </c>
      <c r="AF2320" s="882">
        <f>$S$1*P!AF2320</f>
        <v>0</v>
      </c>
    </row>
    <row r="2321" spans="19:32" x14ac:dyDescent="0.35">
      <c r="S2321" s="789">
        <v>2317</v>
      </c>
      <c r="T2321" s="789" t="s">
        <v>4284</v>
      </c>
      <c r="U2321" s="789" t="s">
        <v>5061</v>
      </c>
      <c r="V2321" s="790">
        <f>$S$1*P!V2321</f>
        <v>54.52</v>
      </c>
      <c r="W2321" s="780"/>
      <c r="X2321" s="782">
        <v>2317</v>
      </c>
      <c r="Y2321" s="782" t="s">
        <v>2248</v>
      </c>
      <c r="Z2321" s="782" t="s">
        <v>3557</v>
      </c>
      <c r="AA2321" s="781">
        <f>$S$1*P!AA2321</f>
        <v>6.4092741935483873E-4</v>
      </c>
      <c r="AB2321" s="780"/>
      <c r="AC2321" s="782">
        <v>2317</v>
      </c>
      <c r="AD2321" s="782" t="s">
        <v>4573</v>
      </c>
      <c r="AE2321" s="782" t="s">
        <v>2854</v>
      </c>
      <c r="AF2321" s="781">
        <f>$S$1*P!AF2321</f>
        <v>2.1318548387096774</v>
      </c>
    </row>
    <row r="2322" spans="19:32" x14ac:dyDescent="0.35">
      <c r="S2322" s="789">
        <v>2318</v>
      </c>
      <c r="T2322" s="789" t="s">
        <v>4284</v>
      </c>
      <c r="U2322" s="789" t="s">
        <v>5060</v>
      </c>
      <c r="V2322" s="790">
        <f>$S$1*P!V2322</f>
        <v>3.8280000000000003</v>
      </c>
      <c r="W2322" s="780"/>
      <c r="X2322" s="881">
        <v>2318</v>
      </c>
      <c r="Y2322" s="881" t="s">
        <v>2248</v>
      </c>
      <c r="Z2322" s="881" t="s">
        <v>3150</v>
      </c>
      <c r="AA2322" s="882">
        <f>$S$1*P!AA2322</f>
        <v>4.1492000000000005E-3</v>
      </c>
      <c r="AB2322" s="780"/>
      <c r="AC2322" s="881">
        <v>2318</v>
      </c>
      <c r="AD2322" s="881" t="s">
        <v>4573</v>
      </c>
      <c r="AE2322" s="881" t="s">
        <v>2854</v>
      </c>
      <c r="AF2322" s="882">
        <f>$S$1*P!AF2322</f>
        <v>0</v>
      </c>
    </row>
    <row r="2323" spans="19:32" x14ac:dyDescent="0.35">
      <c r="S2323" s="789">
        <v>2319</v>
      </c>
      <c r="T2323" s="789" t="s">
        <v>4284</v>
      </c>
      <c r="U2323" s="789" t="s">
        <v>5059</v>
      </c>
      <c r="V2323" s="790">
        <f>$S$1*P!V2323</f>
        <v>1.9720000000000002</v>
      </c>
      <c r="W2323" s="780"/>
      <c r="X2323" s="881">
        <v>2319</v>
      </c>
      <c r="Y2323" s="881" t="s">
        <v>2248</v>
      </c>
      <c r="Z2323" s="881" t="s">
        <v>3150</v>
      </c>
      <c r="AA2323" s="890">
        <f>$S$1*P!AA2323</f>
        <v>7.026209677419355E-6</v>
      </c>
      <c r="AB2323" s="780"/>
      <c r="AC2323" s="782">
        <v>2319</v>
      </c>
      <c r="AD2323" s="782" t="s">
        <v>4573</v>
      </c>
      <c r="AE2323" s="782" t="s">
        <v>3070</v>
      </c>
      <c r="AF2323" s="781">
        <f>$S$1*P!AF2323</f>
        <v>5.4838709677419361E-3</v>
      </c>
    </row>
    <row r="2324" spans="19:32" x14ac:dyDescent="0.35">
      <c r="S2324" s="789">
        <v>2320</v>
      </c>
      <c r="T2324" s="789" t="s">
        <v>4284</v>
      </c>
      <c r="U2324" s="789" t="s">
        <v>5058</v>
      </c>
      <c r="V2324" s="790">
        <f>$S$1*P!V2324</f>
        <v>45.472000000000001</v>
      </c>
      <c r="W2324" s="780"/>
      <c r="X2324" s="881">
        <v>2320</v>
      </c>
      <c r="Y2324" s="881" t="s">
        <v>2248</v>
      </c>
      <c r="Z2324" s="881" t="s">
        <v>4177</v>
      </c>
      <c r="AA2324" s="890">
        <f>$S$1*P!AA2324</f>
        <v>6.3750000000000005E-4</v>
      </c>
      <c r="AB2324" s="780"/>
      <c r="AC2324" s="782">
        <v>2320</v>
      </c>
      <c r="AD2324" s="782" t="s">
        <v>4573</v>
      </c>
      <c r="AE2324" s="782" t="s">
        <v>3067</v>
      </c>
      <c r="AF2324" s="781">
        <f>$S$1*P!AF2324</f>
        <v>2.0633064516129033E-3</v>
      </c>
    </row>
    <row r="2325" spans="19:32" x14ac:dyDescent="0.35">
      <c r="S2325" s="789">
        <v>2321</v>
      </c>
      <c r="T2325" s="789" t="s">
        <v>4284</v>
      </c>
      <c r="U2325" s="789" t="s">
        <v>5057</v>
      </c>
      <c r="V2325" s="790">
        <f>$S$1*P!V2325</f>
        <v>67.28</v>
      </c>
      <c r="W2325" s="780"/>
      <c r="X2325" s="782">
        <v>2321</v>
      </c>
      <c r="Y2325" s="782" t="s">
        <v>2248</v>
      </c>
      <c r="Z2325" s="782" t="s">
        <v>3549</v>
      </c>
      <c r="AA2325" s="781">
        <f>$S$1*P!AA2325</f>
        <v>1.5012096774193549E-3</v>
      </c>
      <c r="AB2325" s="780"/>
      <c r="AC2325" s="782">
        <v>2321</v>
      </c>
      <c r="AD2325" s="782" t="s">
        <v>4573</v>
      </c>
      <c r="AE2325" s="782" t="s">
        <v>2853</v>
      </c>
      <c r="AF2325" s="781">
        <f>$S$1*P!AF2325</f>
        <v>6.237903225806452E-3</v>
      </c>
    </row>
    <row r="2326" spans="19:32" x14ac:dyDescent="0.35">
      <c r="S2326" s="789">
        <v>2322</v>
      </c>
      <c r="T2326" s="789" t="s">
        <v>4284</v>
      </c>
      <c r="U2326" s="789" t="s">
        <v>5056</v>
      </c>
      <c r="V2326" s="790">
        <f>$S$1*P!V2326</f>
        <v>43.616</v>
      </c>
      <c r="W2326" s="780"/>
      <c r="X2326" s="782">
        <v>2322</v>
      </c>
      <c r="Y2326" s="782" t="s">
        <v>2248</v>
      </c>
      <c r="Z2326" s="782" t="s">
        <v>4176</v>
      </c>
      <c r="AA2326" s="781">
        <f>$S$1*P!AA2326</f>
        <v>1.2201612903225808E-4</v>
      </c>
      <c r="AB2326" s="780"/>
      <c r="AC2326" s="881">
        <v>2322</v>
      </c>
      <c r="AD2326" s="881" t="s">
        <v>4573</v>
      </c>
      <c r="AE2326" s="881" t="s">
        <v>2853</v>
      </c>
      <c r="AF2326" s="882">
        <f>$S$1*P!AF2326</f>
        <v>0</v>
      </c>
    </row>
    <row r="2327" spans="19:32" x14ac:dyDescent="0.35">
      <c r="S2327" s="789">
        <v>2323</v>
      </c>
      <c r="T2327" s="789" t="s">
        <v>4284</v>
      </c>
      <c r="U2327" s="789" t="s">
        <v>5055</v>
      </c>
      <c r="V2327" s="790">
        <f>$S$1*P!V2327</f>
        <v>68.207999999999998</v>
      </c>
      <c r="W2327" s="780"/>
      <c r="X2327" s="881">
        <v>2323</v>
      </c>
      <c r="Y2327" s="881" t="s">
        <v>2248</v>
      </c>
      <c r="Z2327" s="881" t="s">
        <v>4175</v>
      </c>
      <c r="AA2327" s="890">
        <f>$S$1*P!AA2327</f>
        <v>2.6939516129032259E-4</v>
      </c>
      <c r="AB2327" s="780"/>
      <c r="AC2327" s="881">
        <v>2323</v>
      </c>
      <c r="AD2327" s="881" t="s">
        <v>4573</v>
      </c>
      <c r="AE2327" s="881" t="s">
        <v>2852</v>
      </c>
      <c r="AF2327" s="882">
        <f>$S$1*P!AF2327</f>
        <v>5.2072000000000003</v>
      </c>
    </row>
    <row r="2328" spans="19:32" x14ac:dyDescent="0.35">
      <c r="S2328" s="782">
        <v>2324</v>
      </c>
      <c r="T2328" s="782" t="s">
        <v>4284</v>
      </c>
      <c r="U2328" s="782" t="s">
        <v>3480</v>
      </c>
      <c r="V2328" s="797">
        <f>$S$1*P!V2328</f>
        <v>3.564516129032258E-2</v>
      </c>
      <c r="W2328" s="780"/>
      <c r="X2328" s="782">
        <v>2324</v>
      </c>
      <c r="Y2328" s="782" t="s">
        <v>2248</v>
      </c>
      <c r="Z2328" s="782" t="s">
        <v>3546</v>
      </c>
      <c r="AA2328" s="781">
        <f>$S$1*P!AA2328</f>
        <v>2.9475806451612904E-4</v>
      </c>
      <c r="AB2328" s="780"/>
      <c r="AC2328" s="782">
        <v>2324</v>
      </c>
      <c r="AD2328" s="782" t="s">
        <v>4573</v>
      </c>
      <c r="AE2328" s="782" t="s">
        <v>3062</v>
      </c>
      <c r="AF2328" s="781">
        <f>$S$1*P!AF2328</f>
        <v>1.9364919354838712E-3</v>
      </c>
    </row>
    <row r="2329" spans="19:32" x14ac:dyDescent="0.35">
      <c r="S2329" s="861">
        <v>2325</v>
      </c>
      <c r="T2329" s="861" t="s">
        <v>4284</v>
      </c>
      <c r="U2329" s="861" t="s">
        <v>3478</v>
      </c>
      <c r="V2329" s="862">
        <f>$S$1*P!V2329</f>
        <v>0.289435</v>
      </c>
      <c r="W2329" s="780"/>
      <c r="X2329" s="782">
        <v>2325</v>
      </c>
      <c r="Y2329" s="782" t="s">
        <v>2248</v>
      </c>
      <c r="Z2329" s="782" t="s">
        <v>4174</v>
      </c>
      <c r="AA2329" s="781">
        <f>$S$1*P!AA2329</f>
        <v>2.4403225806451616E-4</v>
      </c>
      <c r="AB2329" s="780"/>
      <c r="AC2329" s="782">
        <v>2325</v>
      </c>
      <c r="AD2329" s="782" t="s">
        <v>4573</v>
      </c>
      <c r="AE2329" s="782" t="s">
        <v>3060</v>
      </c>
      <c r="AF2329" s="781">
        <f>$S$1*P!AF2329</f>
        <v>0.44556451612903231</v>
      </c>
    </row>
    <row r="2330" spans="19:32" x14ac:dyDescent="0.35">
      <c r="S2330" s="782">
        <v>2326</v>
      </c>
      <c r="T2330" s="782" t="s">
        <v>4284</v>
      </c>
      <c r="U2330" s="782" t="s">
        <v>3478</v>
      </c>
      <c r="V2330" s="797">
        <f>$S$1*P!V2330</f>
        <v>7.1290322580645169E-5</v>
      </c>
      <c r="W2330" s="780"/>
      <c r="X2330" s="881">
        <v>2326</v>
      </c>
      <c r="Y2330" s="881" t="s">
        <v>2248</v>
      </c>
      <c r="Z2330" s="881" t="s">
        <v>4172</v>
      </c>
      <c r="AA2330" s="890">
        <f>$S$1*P!AA2330</f>
        <v>1.7239919354838709E-3</v>
      </c>
      <c r="AB2330" s="780"/>
      <c r="AC2330" s="782">
        <v>2326</v>
      </c>
      <c r="AD2330" s="782" t="s">
        <v>4573</v>
      </c>
      <c r="AE2330" s="782" t="s">
        <v>3057</v>
      </c>
      <c r="AF2330" s="781">
        <f>$S$1*P!AF2330</f>
        <v>1.8028225806451614</v>
      </c>
    </row>
    <row r="2331" spans="19:32" x14ac:dyDescent="0.35">
      <c r="S2331" s="881">
        <v>2327</v>
      </c>
      <c r="T2331" s="881" t="s">
        <v>4284</v>
      </c>
      <c r="U2331" s="881" t="s">
        <v>2993</v>
      </c>
      <c r="V2331" s="883">
        <f>$S$1*P!V2331</f>
        <v>7.8292000000000002</v>
      </c>
      <c r="W2331" s="780"/>
      <c r="X2331" s="782">
        <v>2327</v>
      </c>
      <c r="Y2331" s="782" t="s">
        <v>2248</v>
      </c>
      <c r="Z2331" s="782" t="s">
        <v>5054</v>
      </c>
      <c r="AA2331" s="781">
        <f>$S$1*P!AA2331</f>
        <v>9.1512096774193558E-4</v>
      </c>
      <c r="AB2331" s="780"/>
      <c r="AC2331" s="782">
        <v>2327</v>
      </c>
      <c r="AD2331" s="782" t="s">
        <v>4573</v>
      </c>
      <c r="AE2331" s="782" t="s">
        <v>2850</v>
      </c>
      <c r="AF2331" s="781">
        <f>$S$1*P!AF2331</f>
        <v>2.3580645161290326</v>
      </c>
    </row>
    <row r="2332" spans="19:32" x14ac:dyDescent="0.35">
      <c r="S2332" s="782">
        <v>2328</v>
      </c>
      <c r="T2332" s="782" t="s">
        <v>4284</v>
      </c>
      <c r="U2332" s="782" t="s">
        <v>3475</v>
      </c>
      <c r="V2332" s="797">
        <f>$S$1*P!V2332</f>
        <v>5.2782258064516135E-4</v>
      </c>
      <c r="W2332" s="780"/>
      <c r="X2332" s="881">
        <v>2328</v>
      </c>
      <c r="Y2332" s="881" t="s">
        <v>2248</v>
      </c>
      <c r="Z2332" s="881" t="s">
        <v>3148</v>
      </c>
      <c r="AA2332" s="882">
        <f>$S$1*P!AA2332</f>
        <v>58.696000000000005</v>
      </c>
      <c r="AB2332" s="780"/>
      <c r="AC2332" s="881">
        <v>2328</v>
      </c>
      <c r="AD2332" s="881" t="s">
        <v>4573</v>
      </c>
      <c r="AE2332" s="881" t="s">
        <v>2850</v>
      </c>
      <c r="AF2332" s="882">
        <f>$S$1*P!AF2332</f>
        <v>0.54648000000000008</v>
      </c>
    </row>
    <row r="2333" spans="19:32" x14ac:dyDescent="0.35">
      <c r="S2333" s="782">
        <v>2329</v>
      </c>
      <c r="T2333" s="782" t="s">
        <v>4284</v>
      </c>
      <c r="U2333" s="782" t="s">
        <v>3472</v>
      </c>
      <c r="V2333" s="797">
        <f>$S$1*P!V2333</f>
        <v>3.0401209677419352E-4</v>
      </c>
      <c r="W2333" s="780"/>
      <c r="X2333" s="782">
        <v>2329</v>
      </c>
      <c r="Y2333" s="782" t="s">
        <v>2248</v>
      </c>
      <c r="Z2333" s="782" t="s">
        <v>3148</v>
      </c>
      <c r="AA2333" s="781">
        <f>$S$1*P!AA2333</f>
        <v>1.7445564516129032E-2</v>
      </c>
      <c r="AB2333" s="780"/>
      <c r="AC2333" s="782">
        <v>2329</v>
      </c>
      <c r="AD2333" s="782" t="s">
        <v>4573</v>
      </c>
      <c r="AE2333" s="782" t="s">
        <v>3052</v>
      </c>
      <c r="AF2333" s="781">
        <f>$S$1*P!AF2333</f>
        <v>0.56209677419354842</v>
      </c>
    </row>
    <row r="2334" spans="19:32" x14ac:dyDescent="0.35">
      <c r="S2334" s="782">
        <v>2330</v>
      </c>
      <c r="T2334" s="782" t="s">
        <v>4284</v>
      </c>
      <c r="U2334" s="782" t="s">
        <v>2992</v>
      </c>
      <c r="V2334" s="797">
        <f>$S$1*P!V2334</f>
        <v>6.169354838709678E-4</v>
      </c>
      <c r="W2334" s="780"/>
      <c r="X2334" s="881">
        <v>2330</v>
      </c>
      <c r="Y2334" s="881" t="s">
        <v>2248</v>
      </c>
      <c r="Z2334" s="881" t="s">
        <v>4169</v>
      </c>
      <c r="AA2334" s="890">
        <f>$S$1*P!AA2334</f>
        <v>1.0179435483870969E-3</v>
      </c>
      <c r="AB2334" s="780"/>
      <c r="AC2334" s="881">
        <v>2330</v>
      </c>
      <c r="AD2334" s="881" t="s">
        <v>4573</v>
      </c>
      <c r="AE2334" s="881" t="s">
        <v>2849</v>
      </c>
      <c r="AF2334" s="882">
        <f>$S$1*P!AF2334</f>
        <v>0</v>
      </c>
    </row>
    <row r="2335" spans="19:32" x14ac:dyDescent="0.35">
      <c r="S2335" s="881">
        <v>2331</v>
      </c>
      <c r="T2335" s="881" t="s">
        <v>4284</v>
      </c>
      <c r="U2335" s="881" t="s">
        <v>2992</v>
      </c>
      <c r="V2335" s="883">
        <f>$S$1*P!V2335</f>
        <v>8.7583999999999995E-3</v>
      </c>
      <c r="W2335" s="780"/>
      <c r="X2335" s="782">
        <v>2331</v>
      </c>
      <c r="Y2335" s="782" t="s">
        <v>2248</v>
      </c>
      <c r="Z2335" s="782" t="s">
        <v>3545</v>
      </c>
      <c r="AA2335" s="781">
        <f>$S$1*P!AA2335</f>
        <v>1.4292338709677422E-3</v>
      </c>
      <c r="AB2335" s="780"/>
      <c r="AC2335" s="782">
        <v>2331</v>
      </c>
      <c r="AD2335" s="782" t="s">
        <v>4573</v>
      </c>
      <c r="AE2335" s="782" t="s">
        <v>3049</v>
      </c>
      <c r="AF2335" s="781">
        <f>$S$1*P!AF2335</f>
        <v>1.4120967741935485E-2</v>
      </c>
    </row>
    <row r="2336" spans="19:32" x14ac:dyDescent="0.35">
      <c r="S2336" s="782">
        <v>2332</v>
      </c>
      <c r="T2336" s="782" t="s">
        <v>4284</v>
      </c>
      <c r="U2336" s="782" t="s">
        <v>3468</v>
      </c>
      <c r="V2336" s="797">
        <f>$S$1*P!V2336</f>
        <v>105.56451612903227</v>
      </c>
      <c r="W2336" s="780"/>
      <c r="X2336" s="881">
        <v>2332</v>
      </c>
      <c r="Y2336" s="881" t="s">
        <v>2248</v>
      </c>
      <c r="Z2336" s="881" t="s">
        <v>4167</v>
      </c>
      <c r="AA2336" s="890">
        <f>$S$1*P!AA2336</f>
        <v>5.0040322580645162E-2</v>
      </c>
      <c r="AB2336" s="780"/>
      <c r="AC2336" s="782">
        <v>2332</v>
      </c>
      <c r="AD2336" s="782" t="s">
        <v>4573</v>
      </c>
      <c r="AE2336" s="782" t="s">
        <v>3047</v>
      </c>
      <c r="AF2336" s="781">
        <f>$S$1*P!AF2336</f>
        <v>2.8995967741935486E-2</v>
      </c>
    </row>
    <row r="2337" spans="19:32" x14ac:dyDescent="0.35">
      <c r="S2337" s="782">
        <v>2333</v>
      </c>
      <c r="T2337" s="782" t="s">
        <v>4284</v>
      </c>
      <c r="U2337" s="782" t="s">
        <v>3465</v>
      </c>
      <c r="V2337" s="797">
        <f>$S$1*P!V2337</f>
        <v>2.135282258064516E-3</v>
      </c>
      <c r="W2337" s="780"/>
      <c r="X2337" s="881">
        <v>2333</v>
      </c>
      <c r="Y2337" s="881" t="s">
        <v>2248</v>
      </c>
      <c r="Z2337" s="881" t="s">
        <v>4163</v>
      </c>
      <c r="AA2337" s="890">
        <f>$S$1*P!AA2337</f>
        <v>7.3004032258064521E-3</v>
      </c>
      <c r="AB2337" s="780"/>
      <c r="AC2337" s="782">
        <v>2333</v>
      </c>
      <c r="AD2337" s="782" t="s">
        <v>4573</v>
      </c>
      <c r="AE2337" s="782" t="s">
        <v>3044</v>
      </c>
      <c r="AF2337" s="781">
        <f>$S$1*P!AF2337</f>
        <v>2.3100806451612905E-2</v>
      </c>
    </row>
    <row r="2338" spans="19:32" x14ac:dyDescent="0.35">
      <c r="S2338" s="782">
        <v>2334</v>
      </c>
      <c r="T2338" s="782" t="s">
        <v>4284</v>
      </c>
      <c r="U2338" s="782" t="s">
        <v>3462</v>
      </c>
      <c r="V2338" s="797">
        <f>$S$1*P!V2338</f>
        <v>2.0050403225806455E-2</v>
      </c>
      <c r="W2338" s="780"/>
      <c r="X2338" s="782">
        <v>2334</v>
      </c>
      <c r="Y2338" s="782" t="s">
        <v>2248</v>
      </c>
      <c r="Z2338" s="782" t="s">
        <v>3543</v>
      </c>
      <c r="AA2338" s="781">
        <f>$S$1*P!AA2338</f>
        <v>1.3298387096774195E-2</v>
      </c>
      <c r="AB2338" s="780"/>
      <c r="AC2338" s="782">
        <v>2334</v>
      </c>
      <c r="AD2338" s="782" t="s">
        <v>4573</v>
      </c>
      <c r="AE2338" s="782" t="s">
        <v>3041</v>
      </c>
      <c r="AF2338" s="781">
        <f>$S$1*P!AF2338</f>
        <v>1.2544354838709679E-2</v>
      </c>
    </row>
    <row r="2339" spans="19:32" x14ac:dyDescent="0.35">
      <c r="S2339" s="782">
        <v>2335</v>
      </c>
      <c r="T2339" s="782" t="s">
        <v>4284</v>
      </c>
      <c r="U2339" s="782" t="s">
        <v>3459</v>
      </c>
      <c r="V2339" s="797">
        <f>$S$1*P!V2339</f>
        <v>1.93991935483871E-4</v>
      </c>
      <c r="W2339" s="780"/>
      <c r="X2339" s="881">
        <v>2335</v>
      </c>
      <c r="Y2339" s="881" t="s">
        <v>2248</v>
      </c>
      <c r="Z2339" s="881" t="s">
        <v>4160</v>
      </c>
      <c r="AA2339" s="890">
        <f>$S$1*P!AA2339</f>
        <v>1.7102822580645163E-5</v>
      </c>
      <c r="AB2339" s="780"/>
      <c r="AC2339" s="782">
        <v>2335</v>
      </c>
      <c r="AD2339" s="782" t="s">
        <v>4573</v>
      </c>
      <c r="AE2339" s="782" t="s">
        <v>3038</v>
      </c>
      <c r="AF2339" s="781">
        <f>$S$1*P!AF2339</f>
        <v>3.1977822580645161E-3</v>
      </c>
    </row>
    <row r="2340" spans="19:32" x14ac:dyDescent="0.35">
      <c r="S2340" s="782">
        <v>2336</v>
      </c>
      <c r="T2340" s="782" t="s">
        <v>4284</v>
      </c>
      <c r="U2340" s="782" t="s">
        <v>3456</v>
      </c>
      <c r="V2340" s="797">
        <f>$S$1*P!V2340</f>
        <v>1.5629032258064515E-4</v>
      </c>
      <c r="W2340" s="780"/>
      <c r="X2340" s="782">
        <v>2336</v>
      </c>
      <c r="Y2340" s="782" t="s">
        <v>2248</v>
      </c>
      <c r="Z2340" s="782" t="s">
        <v>4157</v>
      </c>
      <c r="AA2340" s="781">
        <f>$S$1*P!AA2340</f>
        <v>4.9697580645161298E-2</v>
      </c>
      <c r="AB2340" s="780"/>
      <c r="AC2340" s="782">
        <v>2336</v>
      </c>
      <c r="AD2340" s="782" t="s">
        <v>4573</v>
      </c>
      <c r="AE2340" s="782" t="s">
        <v>3036</v>
      </c>
      <c r="AF2340" s="781">
        <f>$S$1*P!AF2340</f>
        <v>2.9338709677419358E-2</v>
      </c>
    </row>
    <row r="2341" spans="19:32" x14ac:dyDescent="0.35">
      <c r="S2341" s="782">
        <v>2337</v>
      </c>
      <c r="T2341" s="782" t="s">
        <v>4284</v>
      </c>
      <c r="U2341" s="782" t="s">
        <v>3454</v>
      </c>
      <c r="V2341" s="797">
        <f>$S$1*P!V2341</f>
        <v>6.169354838709678E-4</v>
      </c>
      <c r="W2341" s="780"/>
      <c r="X2341" s="881">
        <v>2337</v>
      </c>
      <c r="Y2341" s="881" t="s">
        <v>2248</v>
      </c>
      <c r="Z2341" s="881" t="s">
        <v>4153</v>
      </c>
      <c r="AA2341" s="890">
        <f>$S$1*P!AA2341</f>
        <v>8.6028225806451624E-4</v>
      </c>
      <c r="AB2341" s="780"/>
      <c r="AC2341" s="782">
        <v>2337</v>
      </c>
      <c r="AD2341" s="782" t="s">
        <v>4573</v>
      </c>
      <c r="AE2341" s="782" t="s">
        <v>3033</v>
      </c>
      <c r="AF2341" s="781">
        <f>$S$1*P!AF2341</f>
        <v>8.9798387096774207E-2</v>
      </c>
    </row>
    <row r="2342" spans="19:32" x14ac:dyDescent="0.35">
      <c r="S2342" s="782">
        <v>2338</v>
      </c>
      <c r="T2342" s="782" t="s">
        <v>4284</v>
      </c>
      <c r="U2342" s="782" t="s">
        <v>2991</v>
      </c>
      <c r="V2342" s="797">
        <f>$S$1*P!V2342</f>
        <v>8.1229838709677424E-8</v>
      </c>
      <c r="W2342" s="780"/>
      <c r="X2342" s="782">
        <v>2338</v>
      </c>
      <c r="Y2342" s="782" t="s">
        <v>2248</v>
      </c>
      <c r="Z2342" s="782" t="s">
        <v>5053</v>
      </c>
      <c r="AA2342" s="781">
        <f>$S$1*P!AA2342</f>
        <v>3.3451612903225808E-3</v>
      </c>
      <c r="AB2342" s="780"/>
      <c r="AC2342" s="782">
        <v>2338</v>
      </c>
      <c r="AD2342" s="782" t="s">
        <v>4573</v>
      </c>
      <c r="AE2342" s="782" t="s">
        <v>3030</v>
      </c>
      <c r="AF2342" s="781">
        <f>$S$1*P!AF2342</f>
        <v>6.6834677419354838E-2</v>
      </c>
    </row>
    <row r="2343" spans="19:32" x14ac:dyDescent="0.35">
      <c r="S2343" s="881">
        <v>2339</v>
      </c>
      <c r="T2343" s="881" t="s">
        <v>4284</v>
      </c>
      <c r="U2343" s="881" t="s">
        <v>2991</v>
      </c>
      <c r="V2343" s="883">
        <f>$S$1*P!V2343</f>
        <v>29.439999999999998</v>
      </c>
      <c r="W2343" s="780"/>
      <c r="X2343" s="881">
        <v>2339</v>
      </c>
      <c r="Y2343" s="881" t="s">
        <v>2248</v>
      </c>
      <c r="Z2343" s="881" t="s">
        <v>3147</v>
      </c>
      <c r="AA2343" s="882">
        <f>$S$1*P!AA2343</f>
        <v>3.3855999999999997E-2</v>
      </c>
      <c r="AB2343" s="780"/>
      <c r="AC2343" s="782">
        <v>2339</v>
      </c>
      <c r="AD2343" s="782" t="s">
        <v>4573</v>
      </c>
      <c r="AE2343" s="782" t="s">
        <v>3027</v>
      </c>
      <c r="AF2343" s="781">
        <f>$S$1*P!AF2343</f>
        <v>0.24883064516129033</v>
      </c>
    </row>
    <row r="2344" spans="19:32" x14ac:dyDescent="0.35">
      <c r="S2344" s="782">
        <v>2340</v>
      </c>
      <c r="T2344" s="782" t="s">
        <v>4284</v>
      </c>
      <c r="U2344" s="782" t="s">
        <v>3449</v>
      </c>
      <c r="V2344" s="797">
        <f>$S$1*P!V2344</f>
        <v>4.1471774193548388E-8</v>
      </c>
      <c r="W2344" s="780"/>
      <c r="X2344" s="881">
        <v>2340</v>
      </c>
      <c r="Y2344" s="881" t="s">
        <v>2248</v>
      </c>
      <c r="Z2344" s="881" t="s">
        <v>3145</v>
      </c>
      <c r="AA2344" s="882">
        <f>$S$1*P!AA2344</f>
        <v>7.1392000000000007</v>
      </c>
      <c r="AB2344" s="780"/>
      <c r="AC2344" s="782">
        <v>2340</v>
      </c>
      <c r="AD2344" s="782" t="s">
        <v>4573</v>
      </c>
      <c r="AE2344" s="782" t="s">
        <v>3024</v>
      </c>
      <c r="AF2344" s="781">
        <f>$S$1*P!AF2344</f>
        <v>0.17822580645161293</v>
      </c>
    </row>
    <row r="2345" spans="19:32" x14ac:dyDescent="0.35">
      <c r="S2345" s="782">
        <v>2341</v>
      </c>
      <c r="T2345" s="782" t="s">
        <v>4284</v>
      </c>
      <c r="U2345" s="782" t="s">
        <v>2989</v>
      </c>
      <c r="V2345" s="797">
        <f>$S$1*P!V2345</f>
        <v>2.872177419354839E-7</v>
      </c>
      <c r="W2345" s="780"/>
      <c r="X2345" s="782">
        <v>2341</v>
      </c>
      <c r="Y2345" s="782" t="s">
        <v>2248</v>
      </c>
      <c r="Z2345" s="782" t="s">
        <v>3542</v>
      </c>
      <c r="AA2345" s="781">
        <f>$S$1*P!AA2345</f>
        <v>3.0298387096774198E-5</v>
      </c>
      <c r="AB2345" s="780"/>
      <c r="AC2345" s="782">
        <v>2341</v>
      </c>
      <c r="AD2345" s="782" t="s">
        <v>4573</v>
      </c>
      <c r="AE2345" s="782" t="s">
        <v>3022</v>
      </c>
      <c r="AF2345" s="781">
        <f>$S$1*P!AF2345</f>
        <v>2.6151209677419358E-2</v>
      </c>
    </row>
    <row r="2346" spans="19:32" x14ac:dyDescent="0.35">
      <c r="S2346" s="881">
        <v>2342</v>
      </c>
      <c r="T2346" s="881" t="s">
        <v>4284</v>
      </c>
      <c r="U2346" s="881" t="s">
        <v>2989</v>
      </c>
      <c r="V2346" s="883">
        <f>$S$1*P!V2346</f>
        <v>3.2568E-2</v>
      </c>
      <c r="W2346" s="780"/>
      <c r="X2346" s="782">
        <v>2342</v>
      </c>
      <c r="Y2346" s="782" t="s">
        <v>2248</v>
      </c>
      <c r="Z2346" s="782" t="s">
        <v>4151</v>
      </c>
      <c r="AA2346" s="781">
        <f>$S$1*P!AA2346</f>
        <v>3.7016129032258069E-7</v>
      </c>
      <c r="AB2346" s="780"/>
      <c r="AC2346" s="782">
        <v>2342</v>
      </c>
      <c r="AD2346" s="782" t="s">
        <v>4573</v>
      </c>
      <c r="AE2346" s="782" t="s">
        <v>3019</v>
      </c>
      <c r="AF2346" s="781">
        <f>$S$1*P!AF2346</f>
        <v>3.4274193548387101E-2</v>
      </c>
    </row>
    <row r="2347" spans="19:32" x14ac:dyDescent="0.35">
      <c r="S2347" s="782">
        <v>2343</v>
      </c>
      <c r="T2347" s="782" t="s">
        <v>4284</v>
      </c>
      <c r="U2347" s="782" t="s">
        <v>3445</v>
      </c>
      <c r="V2347" s="797">
        <f>$S$1*P!V2347</f>
        <v>0.27899193548387097</v>
      </c>
      <c r="W2347" s="780"/>
      <c r="X2347" s="881">
        <v>2343</v>
      </c>
      <c r="Y2347" s="881" t="s">
        <v>2248</v>
      </c>
      <c r="Z2347" s="881" t="s">
        <v>3144</v>
      </c>
      <c r="AA2347" s="882">
        <f>$S$1*P!AA2347</f>
        <v>1.0580000000000001E-2</v>
      </c>
      <c r="AB2347" s="780"/>
      <c r="AC2347" s="782">
        <v>2343</v>
      </c>
      <c r="AD2347" s="782" t="s">
        <v>4573</v>
      </c>
      <c r="AE2347" s="782" t="s">
        <v>3016</v>
      </c>
      <c r="AF2347" s="781">
        <f>$S$1*P!AF2347</f>
        <v>3.7358870967741939E-3</v>
      </c>
    </row>
    <row r="2348" spans="19:32" x14ac:dyDescent="0.35">
      <c r="S2348" s="782">
        <v>2344</v>
      </c>
      <c r="T2348" s="782" t="s">
        <v>4284</v>
      </c>
      <c r="U2348" s="782" t="s">
        <v>2987</v>
      </c>
      <c r="V2348" s="797">
        <f>$S$1*P!V2348</f>
        <v>7.883064516129032E-5</v>
      </c>
      <c r="W2348" s="780"/>
      <c r="X2348" s="782">
        <v>2344</v>
      </c>
      <c r="Y2348" s="782" t="s">
        <v>2248</v>
      </c>
      <c r="Z2348" s="782" t="s">
        <v>5052</v>
      </c>
      <c r="AA2348" s="781">
        <f>$S$1*P!AA2348</f>
        <v>1.7171370967741938E-3</v>
      </c>
      <c r="AB2348" s="780"/>
      <c r="AC2348" s="782">
        <v>2344</v>
      </c>
      <c r="AD2348" s="782" t="s">
        <v>4573</v>
      </c>
      <c r="AE2348" s="782" t="s">
        <v>3013</v>
      </c>
      <c r="AF2348" s="781">
        <f>$S$1*P!AF2348</f>
        <v>0.57580645161290323</v>
      </c>
    </row>
    <row r="2349" spans="19:32" x14ac:dyDescent="0.35">
      <c r="S2349" s="881">
        <v>2345</v>
      </c>
      <c r="T2349" s="881" t="s">
        <v>4284</v>
      </c>
      <c r="U2349" s="881" t="s">
        <v>2987</v>
      </c>
      <c r="V2349" s="883">
        <f>$S$1*P!V2349</f>
        <v>4.4435999999999998E-3</v>
      </c>
      <c r="W2349" s="780"/>
      <c r="X2349" s="881">
        <v>2345</v>
      </c>
      <c r="Y2349" s="881" t="s">
        <v>2248</v>
      </c>
      <c r="Z2349" s="881" t="s">
        <v>4147</v>
      </c>
      <c r="AA2349" s="890">
        <f>$S$1*P!AA2349</f>
        <v>5.0383064516129034E-5</v>
      </c>
      <c r="AB2349" s="780"/>
      <c r="AC2349" s="782">
        <v>2345</v>
      </c>
      <c r="AD2349" s="782" t="s">
        <v>4573</v>
      </c>
      <c r="AE2349" s="782" t="s">
        <v>3011</v>
      </c>
      <c r="AF2349" s="781">
        <f>$S$1*P!AF2349</f>
        <v>1.3435483870967742E-2</v>
      </c>
    </row>
    <row r="2350" spans="19:32" x14ac:dyDescent="0.35">
      <c r="S2350" s="881">
        <v>2346</v>
      </c>
      <c r="T2350" s="881" t="s">
        <v>4284</v>
      </c>
      <c r="U2350" s="881" t="s">
        <v>2986</v>
      </c>
      <c r="V2350" s="883">
        <f>$S$1*P!V2350</f>
        <v>8.7676000000000004E-2</v>
      </c>
      <c r="W2350" s="780"/>
      <c r="X2350" s="782">
        <v>2346</v>
      </c>
      <c r="Y2350" s="782" t="s">
        <v>2248</v>
      </c>
      <c r="Z2350" s="782" t="s">
        <v>4146</v>
      </c>
      <c r="AA2350" s="781">
        <f>$S$1*P!AA2350</f>
        <v>1.2201612903225808E-6</v>
      </c>
      <c r="AB2350" s="780"/>
      <c r="AC2350" s="782">
        <v>2346</v>
      </c>
      <c r="AD2350" s="782" t="s">
        <v>4573</v>
      </c>
      <c r="AE2350" s="782" t="s">
        <v>4971</v>
      </c>
      <c r="AF2350" s="781">
        <f>$S$1*P!AF2350</f>
        <v>1.4463709677419357E-2</v>
      </c>
    </row>
    <row r="2351" spans="19:32" x14ac:dyDescent="0.35">
      <c r="S2351" s="782">
        <v>2347</v>
      </c>
      <c r="T2351" s="782" t="s">
        <v>4284</v>
      </c>
      <c r="U2351" s="782" t="s">
        <v>3440</v>
      </c>
      <c r="V2351" s="797">
        <f>$S$1*P!V2351</f>
        <v>2.0461693548387099E-5</v>
      </c>
      <c r="W2351" s="780"/>
      <c r="X2351" s="881">
        <v>2347</v>
      </c>
      <c r="Y2351" s="881" t="s">
        <v>2248</v>
      </c>
      <c r="Z2351" s="881" t="s">
        <v>4145</v>
      </c>
      <c r="AA2351" s="890">
        <f>$S$1*P!AA2351</f>
        <v>4.3870967741935489E-4</v>
      </c>
      <c r="AB2351" s="780"/>
      <c r="AC2351" s="782">
        <v>2347</v>
      </c>
      <c r="AD2351" s="782" t="s">
        <v>4573</v>
      </c>
      <c r="AE2351" s="782" t="s">
        <v>3005</v>
      </c>
      <c r="AF2351" s="781">
        <f>$S$1*P!AF2351</f>
        <v>1.1721774193548389</v>
      </c>
    </row>
    <row r="2352" spans="19:32" x14ac:dyDescent="0.35">
      <c r="S2352" s="881">
        <v>2348</v>
      </c>
      <c r="T2352" s="881" t="s">
        <v>4284</v>
      </c>
      <c r="U2352" s="881" t="s">
        <v>2984</v>
      </c>
      <c r="V2352" s="883">
        <f>$S$1*P!V2352</f>
        <v>0.23275999999999999</v>
      </c>
      <c r="W2352" s="780"/>
      <c r="X2352" s="782">
        <v>2348</v>
      </c>
      <c r="Y2352" s="782" t="s">
        <v>2248</v>
      </c>
      <c r="Z2352" s="782" t="s">
        <v>3537</v>
      </c>
      <c r="AA2352" s="781">
        <f>$S$1*P!AA2352</f>
        <v>2.8858870967741936E-5</v>
      </c>
      <c r="AB2352" s="780"/>
      <c r="AC2352" s="782">
        <v>2348</v>
      </c>
      <c r="AD2352" s="782" t="s">
        <v>4573</v>
      </c>
      <c r="AE2352" s="782" t="s">
        <v>2847</v>
      </c>
      <c r="AF2352" s="781">
        <f>$S$1*P!AF2352</f>
        <v>8.9455645161290334E-4</v>
      </c>
    </row>
    <row r="2353" spans="19:32" x14ac:dyDescent="0.35">
      <c r="S2353" s="881">
        <v>2349</v>
      </c>
      <c r="T2353" s="881" t="s">
        <v>4284</v>
      </c>
      <c r="U2353" s="881" t="s">
        <v>2983</v>
      </c>
      <c r="V2353" s="883">
        <f>$S$1*P!V2353</f>
        <v>0</v>
      </c>
      <c r="W2353" s="780"/>
      <c r="X2353" s="881">
        <v>2349</v>
      </c>
      <c r="Y2353" s="881" t="s">
        <v>2248</v>
      </c>
      <c r="Z2353" s="881" t="s">
        <v>4143</v>
      </c>
      <c r="AA2353" s="890">
        <f>$S$1*P!AA2353</f>
        <v>5.8266129032258064E-8</v>
      </c>
      <c r="AB2353" s="780"/>
      <c r="AC2353" s="881">
        <v>2349</v>
      </c>
      <c r="AD2353" s="881" t="s">
        <v>4573</v>
      </c>
      <c r="AE2353" s="881" t="s">
        <v>2847</v>
      </c>
      <c r="AF2353" s="882">
        <f>$S$1*P!AF2353</f>
        <v>0.1196</v>
      </c>
    </row>
    <row r="2354" spans="19:32" x14ac:dyDescent="0.35">
      <c r="S2354" s="782">
        <v>2350</v>
      </c>
      <c r="T2354" s="782" t="s">
        <v>4284</v>
      </c>
      <c r="U2354" s="782" t="s">
        <v>3437</v>
      </c>
      <c r="V2354" s="797">
        <f>$S$1*P!V2354</f>
        <v>1.2750000000000001E-4</v>
      </c>
      <c r="W2354" s="780"/>
      <c r="X2354" s="881">
        <v>2350</v>
      </c>
      <c r="Y2354" s="881" t="s">
        <v>2248</v>
      </c>
      <c r="Z2354" s="881" t="s">
        <v>3142</v>
      </c>
      <c r="AA2354" s="882">
        <f>$S$1*P!AA2354</f>
        <v>0</v>
      </c>
      <c r="AB2354" s="780"/>
      <c r="AC2354" s="881">
        <v>2350</v>
      </c>
      <c r="AD2354" s="881" t="s">
        <v>4573</v>
      </c>
      <c r="AE2354" s="881" t="s">
        <v>2845</v>
      </c>
      <c r="AF2354" s="882">
        <f>$S$1*P!AF2354</f>
        <v>0</v>
      </c>
    </row>
    <row r="2355" spans="19:32" x14ac:dyDescent="0.35">
      <c r="S2355" s="881">
        <v>2351</v>
      </c>
      <c r="T2355" s="881" t="s">
        <v>4284</v>
      </c>
      <c r="U2355" s="881" t="s">
        <v>2981</v>
      </c>
      <c r="V2355" s="883">
        <f>$S$1*P!V2355</f>
        <v>0</v>
      </c>
      <c r="W2355" s="780"/>
      <c r="X2355" s="782">
        <v>2351</v>
      </c>
      <c r="Y2355" s="782" t="s">
        <v>2248</v>
      </c>
      <c r="Z2355" s="782" t="s">
        <v>3535</v>
      </c>
      <c r="AA2355" s="781">
        <f>$S$1*P!AA2355</f>
        <v>5.106854838709678E-4</v>
      </c>
      <c r="AB2355" s="780"/>
      <c r="AC2355" s="881">
        <v>2351</v>
      </c>
      <c r="AD2355" s="881" t="s">
        <v>4573</v>
      </c>
      <c r="AE2355" s="881" t="s">
        <v>2844</v>
      </c>
      <c r="AF2355" s="882">
        <f>$S$1*P!AF2355</f>
        <v>0</v>
      </c>
    </row>
    <row r="2356" spans="19:32" x14ac:dyDescent="0.35">
      <c r="S2356" s="782">
        <v>2352</v>
      </c>
      <c r="T2356" s="782" t="s">
        <v>4284</v>
      </c>
      <c r="U2356" s="782" t="s">
        <v>3434</v>
      </c>
      <c r="V2356" s="797">
        <f>$S$1*P!V2356</f>
        <v>3.3040322580645166E-4</v>
      </c>
      <c r="W2356" s="780"/>
      <c r="X2356" s="881">
        <v>2352</v>
      </c>
      <c r="Y2356" s="881" t="s">
        <v>2248</v>
      </c>
      <c r="Z2356" s="881" t="s">
        <v>3142</v>
      </c>
      <c r="AA2356" s="890">
        <f>$S$1*P!AA2356</f>
        <v>3.770161290322581E-6</v>
      </c>
      <c r="AB2356" s="780"/>
      <c r="AC2356" s="782">
        <v>2352</v>
      </c>
      <c r="AD2356" s="782" t="s">
        <v>4573</v>
      </c>
      <c r="AE2356" s="782" t="s">
        <v>3000</v>
      </c>
      <c r="AF2356" s="781">
        <f>$S$1*P!AF2356</f>
        <v>1.6485887096774194E-2</v>
      </c>
    </row>
    <row r="2357" spans="19:32" x14ac:dyDescent="0.35">
      <c r="S2357" s="881">
        <v>2353</v>
      </c>
      <c r="T2357" s="881" t="s">
        <v>4284</v>
      </c>
      <c r="U2357" s="881" t="s">
        <v>2980</v>
      </c>
      <c r="V2357" s="883">
        <f>$S$1*P!V2357</f>
        <v>8.1052</v>
      </c>
      <c r="W2357" s="780"/>
      <c r="X2357" s="881">
        <v>2353</v>
      </c>
      <c r="Y2357" s="881" t="s">
        <v>2248</v>
      </c>
      <c r="Z2357" s="881" t="s">
        <v>4141</v>
      </c>
      <c r="AA2357" s="890">
        <f>$S$1*P!AA2357</f>
        <v>3.4959677419354838E-6</v>
      </c>
      <c r="AB2357" s="780"/>
      <c r="AC2357" s="782">
        <v>2353</v>
      </c>
      <c r="AD2357" s="782" t="s">
        <v>4573</v>
      </c>
      <c r="AE2357" s="782" t="s">
        <v>2998</v>
      </c>
      <c r="AF2357" s="781">
        <f>$S$1*P!AF2357</f>
        <v>2.7350806451612905E-2</v>
      </c>
    </row>
    <row r="2358" spans="19:32" x14ac:dyDescent="0.35">
      <c r="S2358" s="881">
        <v>2354</v>
      </c>
      <c r="T2358" s="881" t="s">
        <v>4284</v>
      </c>
      <c r="U2358" s="881" t="s">
        <v>2978</v>
      </c>
      <c r="V2358" s="883">
        <f>$S$1*P!V2358</f>
        <v>1.9780000000000002</v>
      </c>
      <c r="W2358" s="780"/>
      <c r="X2358" s="782">
        <v>2354</v>
      </c>
      <c r="Y2358" s="782" t="s">
        <v>2248</v>
      </c>
      <c r="Z2358" s="782" t="s">
        <v>5051</v>
      </c>
      <c r="AA2358" s="781">
        <f>$S$1*P!AA2358</f>
        <v>9.425403225806452E-4</v>
      </c>
      <c r="AB2358" s="780"/>
      <c r="AC2358" s="782">
        <v>2354</v>
      </c>
      <c r="AD2358" s="782" t="s">
        <v>4573</v>
      </c>
      <c r="AE2358" s="782" t="s">
        <v>2995</v>
      </c>
      <c r="AF2358" s="781">
        <f>$S$1*P!AF2358</f>
        <v>1.3127016129032259E-2</v>
      </c>
    </row>
    <row r="2359" spans="19:32" x14ac:dyDescent="0.35">
      <c r="S2359" s="782">
        <v>2355</v>
      </c>
      <c r="T2359" s="782" t="s">
        <v>4284</v>
      </c>
      <c r="U2359" s="782" t="s">
        <v>2977</v>
      </c>
      <c r="V2359" s="797">
        <f>$S$1*P!V2359</f>
        <v>2.0872983870967744E-3</v>
      </c>
      <c r="W2359" s="780"/>
      <c r="X2359" s="782">
        <v>2355</v>
      </c>
      <c r="Y2359" s="782" t="s">
        <v>2248</v>
      </c>
      <c r="Z2359" s="782" t="s">
        <v>4139</v>
      </c>
      <c r="AA2359" s="781">
        <f>$S$1*P!AA2359</f>
        <v>5.0383064516129034E-5</v>
      </c>
      <c r="AB2359" s="780"/>
      <c r="AC2359" s="782">
        <v>2355</v>
      </c>
      <c r="AD2359" s="782" t="s">
        <v>4573</v>
      </c>
      <c r="AE2359" s="782" t="s">
        <v>2842</v>
      </c>
      <c r="AF2359" s="781">
        <f>$S$1*P!AF2359</f>
        <v>0.75745967741935494</v>
      </c>
    </row>
    <row r="2360" spans="19:32" x14ac:dyDescent="0.35">
      <c r="S2360" s="881">
        <v>2356</v>
      </c>
      <c r="T2360" s="881" t="s">
        <v>4284</v>
      </c>
      <c r="U2360" s="881" t="s">
        <v>2977</v>
      </c>
      <c r="V2360" s="883">
        <f>$S$1*P!V2360</f>
        <v>0</v>
      </c>
      <c r="W2360" s="780"/>
      <c r="X2360" s="881">
        <v>2356</v>
      </c>
      <c r="Y2360" s="881" t="s">
        <v>2248</v>
      </c>
      <c r="Z2360" s="881" t="s">
        <v>4136</v>
      </c>
      <c r="AA2360" s="890">
        <f>$S$1*P!AA2360</f>
        <v>7.0604838709677431E-2</v>
      </c>
      <c r="AB2360" s="780"/>
      <c r="AC2360" s="881">
        <v>2356</v>
      </c>
      <c r="AD2360" s="881" t="s">
        <v>4573</v>
      </c>
      <c r="AE2360" s="881" t="s">
        <v>2842</v>
      </c>
      <c r="AF2360" s="882">
        <f>$S$1*P!AF2360</f>
        <v>139.84</v>
      </c>
    </row>
    <row r="2361" spans="19:32" x14ac:dyDescent="0.35">
      <c r="S2361" s="782">
        <v>2357</v>
      </c>
      <c r="T2361" s="782" t="s">
        <v>4284</v>
      </c>
      <c r="U2361" s="782" t="s">
        <v>2975</v>
      </c>
      <c r="V2361" s="797">
        <f>$S$1*P!V2361</f>
        <v>6.1693548387096771E-7</v>
      </c>
      <c r="W2361" s="780"/>
      <c r="X2361" s="782">
        <v>2357</v>
      </c>
      <c r="Y2361" s="782" t="s">
        <v>2248</v>
      </c>
      <c r="Z2361" s="782" t="s">
        <v>4134</v>
      </c>
      <c r="AA2361" s="781">
        <f>$S$1*P!AA2361</f>
        <v>4.6955645161290327E-7</v>
      </c>
      <c r="AB2361" s="780"/>
      <c r="AC2361" s="782">
        <v>2357</v>
      </c>
      <c r="AD2361" s="782" t="s">
        <v>4573</v>
      </c>
      <c r="AE2361" s="782" t="s">
        <v>2990</v>
      </c>
      <c r="AF2361" s="781">
        <f>$S$1*P!AF2361</f>
        <v>1.8610887096774194E-3</v>
      </c>
    </row>
    <row r="2362" spans="19:32" x14ac:dyDescent="0.35">
      <c r="S2362" s="881">
        <v>2358</v>
      </c>
      <c r="T2362" s="881" t="s">
        <v>4284</v>
      </c>
      <c r="U2362" s="881" t="s">
        <v>2975</v>
      </c>
      <c r="V2362" s="883">
        <f>$S$1*P!V2362</f>
        <v>0</v>
      </c>
      <c r="W2362" s="780"/>
      <c r="X2362" s="782">
        <v>2358</v>
      </c>
      <c r="Y2362" s="782" t="s">
        <v>2248</v>
      </c>
      <c r="Z2362" s="782" t="s">
        <v>5050</v>
      </c>
      <c r="AA2362" s="781">
        <f>$S$1*P!AA2362</f>
        <v>1.4600806451612904E-5</v>
      </c>
      <c r="AB2362" s="780"/>
      <c r="AC2362" s="881">
        <v>2358</v>
      </c>
      <c r="AD2362" s="881" t="s">
        <v>4573</v>
      </c>
      <c r="AE2362" s="881" t="s">
        <v>2841</v>
      </c>
      <c r="AF2362" s="882">
        <f>$S$1*P!AF2362</f>
        <v>0</v>
      </c>
    </row>
    <row r="2363" spans="19:32" x14ac:dyDescent="0.35">
      <c r="S2363" s="782">
        <v>2359</v>
      </c>
      <c r="T2363" s="782" t="s">
        <v>4284</v>
      </c>
      <c r="U2363" s="782" t="s">
        <v>2973</v>
      </c>
      <c r="V2363" s="797">
        <f>$S$1*P!V2363</f>
        <v>6.5120967741935491E-4</v>
      </c>
      <c r="W2363" s="780"/>
      <c r="X2363" s="881">
        <v>2359</v>
      </c>
      <c r="Y2363" s="881" t="s">
        <v>2248</v>
      </c>
      <c r="Z2363" s="881" t="s">
        <v>4133</v>
      </c>
      <c r="AA2363" s="890">
        <f>$S$1*P!AA2363</f>
        <v>3.3828629032258067E-7</v>
      </c>
      <c r="AB2363" s="780"/>
      <c r="AC2363" s="881">
        <v>2359</v>
      </c>
      <c r="AD2363" s="881" t="s">
        <v>4573</v>
      </c>
      <c r="AE2363" s="881" t="s">
        <v>2839</v>
      </c>
      <c r="AF2363" s="882">
        <f>$S$1*P!AF2363</f>
        <v>0.17111999999999999</v>
      </c>
    </row>
    <row r="2364" spans="19:32" x14ac:dyDescent="0.35">
      <c r="S2364" s="881">
        <v>2360</v>
      </c>
      <c r="T2364" s="881" t="s">
        <v>4284</v>
      </c>
      <c r="U2364" s="881" t="s">
        <v>2973</v>
      </c>
      <c r="V2364" s="883">
        <f>$S$1*P!V2364</f>
        <v>6.0076000000000001</v>
      </c>
      <c r="W2364" s="780"/>
      <c r="X2364" s="782">
        <v>2360</v>
      </c>
      <c r="Y2364" s="782" t="s">
        <v>2248</v>
      </c>
      <c r="Z2364" s="782" t="s">
        <v>4130</v>
      </c>
      <c r="AA2364" s="781">
        <f>$S$1*P!AA2364</f>
        <v>6.7177419354838716E-2</v>
      </c>
      <c r="AB2364" s="780"/>
      <c r="AC2364" s="782">
        <v>2360</v>
      </c>
      <c r="AD2364" s="782" t="s">
        <v>4573</v>
      </c>
      <c r="AE2364" s="782" t="s">
        <v>2988</v>
      </c>
      <c r="AF2364" s="781">
        <f>$S$1*P!AF2364</f>
        <v>0.19467741935483873</v>
      </c>
    </row>
    <row r="2365" spans="19:32" x14ac:dyDescent="0.35">
      <c r="S2365" s="881">
        <v>2361</v>
      </c>
      <c r="T2365" s="881" t="s">
        <v>4284</v>
      </c>
      <c r="U2365" s="881" t="s">
        <v>2972</v>
      </c>
      <c r="V2365" s="883">
        <f>$S$1*P!V2365</f>
        <v>0</v>
      </c>
      <c r="W2365" s="780"/>
      <c r="X2365" s="782">
        <v>2361</v>
      </c>
      <c r="Y2365" s="782" t="s">
        <v>2248</v>
      </c>
      <c r="Z2365" s="782" t="s">
        <v>5049</v>
      </c>
      <c r="AA2365" s="781">
        <f>$S$1*P!AA2365</f>
        <v>2.4985887096774195E-2</v>
      </c>
      <c r="AB2365" s="780"/>
      <c r="AC2365" s="782">
        <v>2361</v>
      </c>
      <c r="AD2365" s="782" t="s">
        <v>4573</v>
      </c>
      <c r="AE2365" s="782" t="s">
        <v>2985</v>
      </c>
      <c r="AF2365" s="781">
        <f>$S$1*P!AF2365</f>
        <v>3.2766129032258069E-2</v>
      </c>
    </row>
    <row r="2366" spans="19:32" x14ac:dyDescent="0.35">
      <c r="S2366" s="881">
        <v>2362</v>
      </c>
      <c r="T2366" s="881" t="s">
        <v>4284</v>
      </c>
      <c r="U2366" s="881" t="s">
        <v>2970</v>
      </c>
      <c r="V2366" s="883">
        <f>$S$1*P!V2366</f>
        <v>2.6219999999999998E-3</v>
      </c>
      <c r="W2366" s="780"/>
      <c r="X2366" s="881">
        <v>2362</v>
      </c>
      <c r="Y2366" s="881" t="s">
        <v>2248</v>
      </c>
      <c r="Z2366" s="881" t="s">
        <v>3140</v>
      </c>
      <c r="AA2366" s="882">
        <f>$S$1*P!AA2366</f>
        <v>0</v>
      </c>
      <c r="AB2366" s="780"/>
      <c r="AC2366" s="782">
        <v>2362</v>
      </c>
      <c r="AD2366" s="782" t="s">
        <v>4573</v>
      </c>
      <c r="AE2366" s="782" t="s">
        <v>2982</v>
      </c>
      <c r="AF2366" s="781">
        <f>$S$1*P!AF2366</f>
        <v>7.4032258064516132E-2</v>
      </c>
    </row>
    <row r="2367" spans="19:32" x14ac:dyDescent="0.35">
      <c r="S2367" s="782">
        <v>2363</v>
      </c>
      <c r="T2367" s="782" t="s">
        <v>4284</v>
      </c>
      <c r="U2367" s="782" t="s">
        <v>3426</v>
      </c>
      <c r="V2367" s="797">
        <f>$S$1*P!V2367</f>
        <v>2.9338709677419355E-5</v>
      </c>
      <c r="W2367" s="780"/>
      <c r="X2367" s="881">
        <v>2363</v>
      </c>
      <c r="Y2367" s="881" t="s">
        <v>2248</v>
      </c>
      <c r="Z2367" s="881" t="s">
        <v>4126</v>
      </c>
      <c r="AA2367" s="890">
        <f>$S$1*P!AA2367</f>
        <v>4.4556451612903225E-3</v>
      </c>
      <c r="AB2367" s="780"/>
      <c r="AC2367" s="782">
        <v>2363</v>
      </c>
      <c r="AD2367" s="782" t="s">
        <v>4573</v>
      </c>
      <c r="AE2367" s="782" t="s">
        <v>2979</v>
      </c>
      <c r="AF2367" s="781">
        <f>$S$1*P!AF2367</f>
        <v>8.431451612903226E-3</v>
      </c>
    </row>
    <row r="2368" spans="19:32" x14ac:dyDescent="0.35">
      <c r="S2368" s="782">
        <v>2364</v>
      </c>
      <c r="T2368" s="782" t="s">
        <v>4284</v>
      </c>
      <c r="U2368" s="782" t="s">
        <v>3424</v>
      </c>
      <c r="V2368" s="797">
        <f>$S$1*P!V2368</f>
        <v>4.5927419354838712E-6</v>
      </c>
      <c r="W2368" s="780"/>
      <c r="X2368" s="782">
        <v>2364</v>
      </c>
      <c r="Y2368" s="782" t="s">
        <v>2248</v>
      </c>
      <c r="Z2368" s="782" t="s">
        <v>5048</v>
      </c>
      <c r="AA2368" s="781">
        <f>$S$1*P!AA2368</f>
        <v>4.5927419354838714E-4</v>
      </c>
      <c r="AB2368" s="780"/>
      <c r="AC2368" s="782">
        <v>2364</v>
      </c>
      <c r="AD2368" s="782" t="s">
        <v>4573</v>
      </c>
      <c r="AE2368" s="782" t="s">
        <v>2976</v>
      </c>
      <c r="AF2368" s="781">
        <f>$S$1*P!AF2368</f>
        <v>1.7034274193548388E-2</v>
      </c>
    </row>
    <row r="2369" spans="19:32" x14ac:dyDescent="0.35">
      <c r="S2369" s="782">
        <v>2365</v>
      </c>
      <c r="T2369" s="782" t="s">
        <v>4284</v>
      </c>
      <c r="U2369" s="782" t="s">
        <v>3421</v>
      </c>
      <c r="V2369" s="797">
        <f>$S$1*P!V2369</f>
        <v>1.5183467741935485E-5</v>
      </c>
      <c r="W2369" s="780"/>
      <c r="X2369" s="881">
        <v>2365</v>
      </c>
      <c r="Y2369" s="881" t="s">
        <v>2248</v>
      </c>
      <c r="Z2369" s="881" t="s">
        <v>4124</v>
      </c>
      <c r="AA2369" s="890">
        <f>$S$1*P!AA2369</f>
        <v>7.3004032258064521E-3</v>
      </c>
      <c r="AB2369" s="780"/>
      <c r="AC2369" s="782">
        <v>2365</v>
      </c>
      <c r="AD2369" s="782" t="s">
        <v>4573</v>
      </c>
      <c r="AE2369" s="782" t="s">
        <v>2974</v>
      </c>
      <c r="AF2369" s="781">
        <f>$S$1*P!AF2369</f>
        <v>1.9056451612903227</v>
      </c>
    </row>
    <row r="2370" spans="19:32" x14ac:dyDescent="0.35">
      <c r="S2370" s="782">
        <v>2366</v>
      </c>
      <c r="T2370" s="782" t="s">
        <v>4284</v>
      </c>
      <c r="U2370" s="782" t="s">
        <v>3418</v>
      </c>
      <c r="V2370" s="797">
        <f>$S$1*P!V2370</f>
        <v>1.5937500000000001E-4</v>
      </c>
      <c r="W2370" s="780"/>
      <c r="X2370" s="881">
        <v>2366</v>
      </c>
      <c r="Y2370" s="881" t="s">
        <v>2248</v>
      </c>
      <c r="Z2370" s="881" t="s">
        <v>4123</v>
      </c>
      <c r="AA2370" s="890">
        <f>$S$1*P!AA2370</f>
        <v>0.19639112903225808</v>
      </c>
      <c r="AB2370" s="780"/>
      <c r="AC2370" s="782">
        <v>2366</v>
      </c>
      <c r="AD2370" s="782" t="s">
        <v>4573</v>
      </c>
      <c r="AE2370" s="782" t="s">
        <v>2971</v>
      </c>
      <c r="AF2370" s="781">
        <f>$S$1*P!AF2370</f>
        <v>0.2553427419354839</v>
      </c>
    </row>
    <row r="2371" spans="19:32" x14ac:dyDescent="0.35">
      <c r="S2371" s="782">
        <v>2367</v>
      </c>
      <c r="T2371" s="782" t="s">
        <v>4284</v>
      </c>
      <c r="U2371" s="782" t="s">
        <v>3415</v>
      </c>
      <c r="V2371" s="797">
        <f>$S$1*P!V2371</f>
        <v>1.6417338709677422E-4</v>
      </c>
      <c r="W2371" s="780"/>
      <c r="X2371" s="881">
        <v>2367</v>
      </c>
      <c r="Y2371" s="881" t="s">
        <v>2248</v>
      </c>
      <c r="Z2371" s="881" t="s">
        <v>4121</v>
      </c>
      <c r="AA2371" s="890">
        <f>$S$1*P!AA2371</f>
        <v>3.7358870967741938E-2</v>
      </c>
      <c r="AB2371" s="780"/>
      <c r="AC2371" s="881">
        <v>2367</v>
      </c>
      <c r="AD2371" s="881" t="s">
        <v>4573</v>
      </c>
      <c r="AE2371" s="881" t="s">
        <v>2838</v>
      </c>
      <c r="AF2371" s="882">
        <f>$S$1*P!AF2371</f>
        <v>19.32</v>
      </c>
    </row>
    <row r="2372" spans="19:32" x14ac:dyDescent="0.35">
      <c r="S2372" s="782">
        <v>2368</v>
      </c>
      <c r="T2372" s="782" t="s">
        <v>4284</v>
      </c>
      <c r="U2372" s="782" t="s">
        <v>3412</v>
      </c>
      <c r="V2372" s="797">
        <f>$S$1*P!V2372</f>
        <v>3.6673387096774194E-4</v>
      </c>
      <c r="W2372" s="780"/>
      <c r="X2372" s="782">
        <v>2368</v>
      </c>
      <c r="Y2372" s="782" t="s">
        <v>2248</v>
      </c>
      <c r="Z2372" s="782" t="s">
        <v>5047</v>
      </c>
      <c r="AA2372" s="781">
        <f>$S$1*P!AA2372</f>
        <v>3.8729838709677424E-3</v>
      </c>
      <c r="AB2372" s="780"/>
      <c r="AC2372" s="782">
        <v>2368</v>
      </c>
      <c r="AD2372" s="782" t="s">
        <v>4573</v>
      </c>
      <c r="AE2372" s="782" t="s">
        <v>2968</v>
      </c>
      <c r="AF2372" s="781">
        <f>$S$1*P!AF2372</f>
        <v>0.53125</v>
      </c>
    </row>
    <row r="2373" spans="19:32" x14ac:dyDescent="0.35">
      <c r="S2373" s="881">
        <v>2369</v>
      </c>
      <c r="T2373" s="881" t="s">
        <v>4284</v>
      </c>
      <c r="U2373" s="881" t="s">
        <v>2969</v>
      </c>
      <c r="V2373" s="883">
        <f>$S$1*P!V2373</f>
        <v>1.9412</v>
      </c>
      <c r="W2373" s="780"/>
      <c r="X2373" s="782">
        <v>2369</v>
      </c>
      <c r="Y2373" s="782" t="s">
        <v>2248</v>
      </c>
      <c r="Z2373" s="782" t="s">
        <v>4120</v>
      </c>
      <c r="AA2373" s="781">
        <f>$S$1*P!AA2373</f>
        <v>5.3810483870967745E-6</v>
      </c>
      <c r="AB2373" s="780"/>
      <c r="AC2373" s="782">
        <v>2369</v>
      </c>
      <c r="AD2373" s="782" t="s">
        <v>4573</v>
      </c>
      <c r="AE2373" s="782" t="s">
        <v>2965</v>
      </c>
      <c r="AF2373" s="781">
        <f>$S$1*P!AF2373</f>
        <v>8.8770161290322586E-3</v>
      </c>
    </row>
    <row r="2374" spans="19:32" x14ac:dyDescent="0.35">
      <c r="S2374" s="782">
        <v>2370</v>
      </c>
      <c r="T2374" s="782" t="s">
        <v>4284</v>
      </c>
      <c r="U2374" s="782" t="s">
        <v>3410</v>
      </c>
      <c r="V2374" s="797">
        <f>$S$1*P!V2374</f>
        <v>2.7110887096774199E-4</v>
      </c>
      <c r="W2374" s="780"/>
      <c r="X2374" s="881">
        <v>2370</v>
      </c>
      <c r="Y2374" s="881" t="s">
        <v>2248</v>
      </c>
      <c r="Z2374" s="881" t="s">
        <v>3139</v>
      </c>
      <c r="AA2374" s="882">
        <f>$S$1*P!AA2374</f>
        <v>0</v>
      </c>
      <c r="AB2374" s="780"/>
      <c r="AC2374" s="782">
        <v>2370</v>
      </c>
      <c r="AD2374" s="782" t="s">
        <v>4573</v>
      </c>
      <c r="AE2374" s="782" t="s">
        <v>2963</v>
      </c>
      <c r="AF2374" s="781">
        <f>$S$1*P!AF2374</f>
        <v>6.0322580645161305E-4</v>
      </c>
    </row>
    <row r="2375" spans="19:32" x14ac:dyDescent="0.35">
      <c r="S2375" s="782">
        <v>2371</v>
      </c>
      <c r="T2375" s="782" t="s">
        <v>4284</v>
      </c>
      <c r="U2375" s="782" t="s">
        <v>3407</v>
      </c>
      <c r="V2375" s="797">
        <f>$S$1*P!V2375</f>
        <v>9.8366935483870977E-5</v>
      </c>
      <c r="W2375" s="780"/>
      <c r="X2375" s="782">
        <v>2371</v>
      </c>
      <c r="Y2375" s="782" t="s">
        <v>2248</v>
      </c>
      <c r="Z2375" s="782" t="s">
        <v>5046</v>
      </c>
      <c r="AA2375" s="781">
        <f>$S$1*P!AA2375</f>
        <v>7.985887096774194E-4</v>
      </c>
      <c r="AB2375" s="780"/>
      <c r="AC2375" s="782">
        <v>2371</v>
      </c>
      <c r="AD2375" s="782" t="s">
        <v>4573</v>
      </c>
      <c r="AE2375" s="782" t="s">
        <v>2960</v>
      </c>
      <c r="AF2375" s="781">
        <f>$S$1*P!AF2375</f>
        <v>1.2338709677419357E-2</v>
      </c>
    </row>
    <row r="2376" spans="19:32" x14ac:dyDescent="0.35">
      <c r="S2376" s="782">
        <v>2372</v>
      </c>
      <c r="T2376" s="782" t="s">
        <v>4284</v>
      </c>
      <c r="U2376" s="782" t="s">
        <v>3404</v>
      </c>
      <c r="V2376" s="797">
        <f>$S$1*P!V2376</f>
        <v>2.7042338709677423E-3</v>
      </c>
      <c r="W2376" s="780"/>
      <c r="X2376" s="881">
        <v>2372</v>
      </c>
      <c r="Y2376" s="881" t="s">
        <v>2248</v>
      </c>
      <c r="Z2376" s="881" t="s">
        <v>3139</v>
      </c>
      <c r="AA2376" s="890">
        <f>$S$1*P!AA2376</f>
        <v>4.2842741935483875E-2</v>
      </c>
      <c r="AB2376" s="780"/>
      <c r="AC2376" s="782">
        <v>2372</v>
      </c>
      <c r="AD2376" s="782" t="s">
        <v>4573</v>
      </c>
      <c r="AE2376" s="782" t="s">
        <v>2957</v>
      </c>
      <c r="AF2376" s="781">
        <f>$S$1*P!AF2376</f>
        <v>2.4300403225806454E-3</v>
      </c>
    </row>
    <row r="2377" spans="19:32" x14ac:dyDescent="0.35">
      <c r="S2377" s="881">
        <v>2373</v>
      </c>
      <c r="T2377" s="881" t="s">
        <v>4284</v>
      </c>
      <c r="U2377" s="881" t="s">
        <v>2967</v>
      </c>
      <c r="V2377" s="883">
        <f>$S$1*P!V2377</f>
        <v>11.776</v>
      </c>
      <c r="W2377" s="780"/>
      <c r="X2377" s="782">
        <v>2373</v>
      </c>
      <c r="Y2377" s="782" t="s">
        <v>2248</v>
      </c>
      <c r="Z2377" s="782" t="s">
        <v>4118</v>
      </c>
      <c r="AA2377" s="781">
        <f>$S$1*P!AA2377</f>
        <v>5.0725806451612909E-3</v>
      </c>
      <c r="AB2377" s="780"/>
      <c r="AC2377" s="881">
        <v>2373</v>
      </c>
      <c r="AD2377" s="881" t="s">
        <v>4573</v>
      </c>
      <c r="AE2377" s="881" t="s">
        <v>2836</v>
      </c>
      <c r="AF2377" s="882">
        <f>$S$1*P!AF2377</f>
        <v>0</v>
      </c>
    </row>
    <row r="2378" spans="19:32" x14ac:dyDescent="0.35">
      <c r="S2378" s="782">
        <v>2374</v>
      </c>
      <c r="T2378" s="782" t="s">
        <v>4284</v>
      </c>
      <c r="U2378" s="782" t="s">
        <v>3401</v>
      </c>
      <c r="V2378" s="797">
        <f>$S$1*P!V2378</f>
        <v>7.129032258064516E-2</v>
      </c>
      <c r="W2378" s="780"/>
      <c r="X2378" s="782">
        <v>2374</v>
      </c>
      <c r="Y2378" s="782" t="s">
        <v>2248</v>
      </c>
      <c r="Z2378" s="782" t="s">
        <v>3531</v>
      </c>
      <c r="AA2378" s="781">
        <f>$S$1*P!AA2378</f>
        <v>2.1250000000000002E-4</v>
      </c>
      <c r="AB2378" s="780"/>
      <c r="AC2378" s="782">
        <v>2374</v>
      </c>
      <c r="AD2378" s="782" t="s">
        <v>4573</v>
      </c>
      <c r="AE2378" s="782" t="s">
        <v>2954</v>
      </c>
      <c r="AF2378" s="781">
        <f>$S$1*P!AF2378</f>
        <v>0.64778225806451617</v>
      </c>
    </row>
    <row r="2379" spans="19:32" x14ac:dyDescent="0.35">
      <c r="S2379" s="782">
        <v>2375</v>
      </c>
      <c r="T2379" s="782" t="s">
        <v>4284</v>
      </c>
      <c r="U2379" s="782" t="s">
        <v>3399</v>
      </c>
      <c r="V2379" s="797">
        <f>$S$1*P!V2379</f>
        <v>7.7116935483870969E-2</v>
      </c>
      <c r="W2379" s="780"/>
      <c r="X2379" s="881">
        <v>2375</v>
      </c>
      <c r="Y2379" s="881" t="s">
        <v>2248</v>
      </c>
      <c r="Z2379" s="881" t="s">
        <v>3137</v>
      </c>
      <c r="AA2379" s="882">
        <f>$S$1*P!AA2379</f>
        <v>1.6927999999999999E-2</v>
      </c>
      <c r="AB2379" s="780"/>
      <c r="AC2379" s="782">
        <v>2375</v>
      </c>
      <c r="AD2379" s="782" t="s">
        <v>4573</v>
      </c>
      <c r="AE2379" s="782" t="s">
        <v>2951</v>
      </c>
      <c r="AF2379" s="781">
        <f>$S$1*P!AF2379</f>
        <v>0.34068548387096775</v>
      </c>
    </row>
    <row r="2380" spans="19:32" x14ac:dyDescent="0.35">
      <c r="S2380" s="789">
        <v>2376</v>
      </c>
      <c r="T2380" s="789" t="s">
        <v>4284</v>
      </c>
      <c r="U2380" s="789" t="s">
        <v>3396</v>
      </c>
      <c r="V2380" s="790">
        <f>$S$1*P!V2380</f>
        <v>4.7560000000000002</v>
      </c>
      <c r="W2380" s="780"/>
      <c r="X2380" s="881">
        <v>2376</v>
      </c>
      <c r="Y2380" s="881" t="s">
        <v>2248</v>
      </c>
      <c r="Z2380" s="881" t="s">
        <v>3137</v>
      </c>
      <c r="AA2380" s="890">
        <f>$S$1*P!AA2380</f>
        <v>3.0881048387096776E-3</v>
      </c>
      <c r="AB2380" s="780"/>
      <c r="AC2380" s="881">
        <v>2376</v>
      </c>
      <c r="AD2380" s="881" t="s">
        <v>4573</v>
      </c>
      <c r="AE2380" s="881" t="s">
        <v>2834</v>
      </c>
      <c r="AF2380" s="882">
        <f>$S$1*P!AF2380</f>
        <v>0</v>
      </c>
    </row>
    <row r="2381" spans="19:32" x14ac:dyDescent="0.35">
      <c r="S2381" s="782">
        <v>2377</v>
      </c>
      <c r="T2381" s="782" t="s">
        <v>4284</v>
      </c>
      <c r="U2381" s="782" t="s">
        <v>3396</v>
      </c>
      <c r="V2381" s="797">
        <f>$S$1*P!V2381</f>
        <v>7.4375000000000004E-6</v>
      </c>
      <c r="W2381" s="780"/>
      <c r="X2381" s="782">
        <v>2377</v>
      </c>
      <c r="Y2381" s="782" t="s">
        <v>2248</v>
      </c>
      <c r="Z2381" s="782" t="s">
        <v>4115</v>
      </c>
      <c r="AA2381" s="781">
        <f>$S$1*P!AA2381</f>
        <v>3.7016129032258066E-3</v>
      </c>
      <c r="AB2381" s="780"/>
      <c r="AC2381" s="782">
        <v>2377</v>
      </c>
      <c r="AD2381" s="782" t="s">
        <v>4573</v>
      </c>
      <c r="AE2381" s="782" t="s">
        <v>2949</v>
      </c>
      <c r="AF2381" s="781">
        <f>$S$1*P!AF2381</f>
        <v>4.9354838709677424E-3</v>
      </c>
    </row>
    <row r="2382" spans="19:32" x14ac:dyDescent="0.35">
      <c r="S2382" s="782">
        <v>2378</v>
      </c>
      <c r="T2382" s="782" t="s">
        <v>4284</v>
      </c>
      <c r="U2382" s="782" t="s">
        <v>3393</v>
      </c>
      <c r="V2382" s="797">
        <f>$S$1*P!V2382</f>
        <v>1.1447580645161291E-2</v>
      </c>
      <c r="W2382" s="780"/>
      <c r="X2382" s="782">
        <v>2378</v>
      </c>
      <c r="Y2382" s="782" t="s">
        <v>2248</v>
      </c>
      <c r="Z2382" s="782" t="s">
        <v>5045</v>
      </c>
      <c r="AA2382" s="781">
        <f>$S$1*P!AA2382</f>
        <v>1.5766129032258068E-5</v>
      </c>
      <c r="AB2382" s="780"/>
      <c r="AC2382" s="782">
        <v>2378</v>
      </c>
      <c r="AD2382" s="782" t="s">
        <v>4573</v>
      </c>
      <c r="AE2382" s="782" t="s">
        <v>2833</v>
      </c>
      <c r="AF2382" s="781">
        <f>$S$1*P!AF2382</f>
        <v>5.4495967741935492E-2</v>
      </c>
    </row>
    <row r="2383" spans="19:32" x14ac:dyDescent="0.35">
      <c r="S2383" s="782">
        <v>2379</v>
      </c>
      <c r="T2383" s="782" t="s">
        <v>4284</v>
      </c>
      <c r="U2383" s="782" t="s">
        <v>3390</v>
      </c>
      <c r="V2383" s="797">
        <f>$S$1*P!V2383</f>
        <v>3.1875000000000002E-4</v>
      </c>
      <c r="W2383" s="780"/>
      <c r="X2383" s="881">
        <v>2379</v>
      </c>
      <c r="Y2383" s="881" t="s">
        <v>2248</v>
      </c>
      <c r="Z2383" s="881" t="s">
        <v>4112</v>
      </c>
      <c r="AA2383" s="890">
        <f>$S$1*P!AA2383</f>
        <v>2.0633064516129032E-4</v>
      </c>
      <c r="AB2383" s="780"/>
      <c r="AC2383" s="881">
        <v>2379</v>
      </c>
      <c r="AD2383" s="881" t="s">
        <v>4573</v>
      </c>
      <c r="AE2383" s="881" t="s">
        <v>2833</v>
      </c>
      <c r="AF2383" s="882">
        <f>$S$1*P!AF2383</f>
        <v>0</v>
      </c>
    </row>
    <row r="2384" spans="19:32" x14ac:dyDescent="0.35">
      <c r="S2384" s="881">
        <v>2380</v>
      </c>
      <c r="T2384" s="881" t="s">
        <v>4284</v>
      </c>
      <c r="U2384" s="881" t="s">
        <v>2966</v>
      </c>
      <c r="V2384" s="883">
        <f>$S$1*P!V2384</f>
        <v>1.6284000000000001</v>
      </c>
      <c r="W2384" s="780"/>
      <c r="X2384" s="881">
        <v>2380</v>
      </c>
      <c r="Y2384" s="881" t="s">
        <v>2248</v>
      </c>
      <c r="Z2384" s="881" t="s">
        <v>4110</v>
      </c>
      <c r="AA2384" s="890">
        <f>$S$1*P!AA2384</f>
        <v>2.4266129032258065E-3</v>
      </c>
      <c r="AB2384" s="780"/>
      <c r="AC2384" s="782">
        <v>2380</v>
      </c>
      <c r="AD2384" s="782" t="s">
        <v>4573</v>
      </c>
      <c r="AE2384" s="782" t="s">
        <v>2831</v>
      </c>
      <c r="AF2384" s="781">
        <f>$S$1*P!AF2384</f>
        <v>7.3689516129032268E-4</v>
      </c>
    </row>
    <row r="2385" spans="19:32" x14ac:dyDescent="0.35">
      <c r="S2385" s="881">
        <v>2381</v>
      </c>
      <c r="T2385" s="881" t="s">
        <v>4284</v>
      </c>
      <c r="U2385" s="881" t="s">
        <v>2964</v>
      </c>
      <c r="V2385" s="883">
        <f>$S$1*P!V2385</f>
        <v>0</v>
      </c>
      <c r="W2385" s="780"/>
      <c r="X2385" s="782">
        <v>2381</v>
      </c>
      <c r="Y2385" s="782" t="s">
        <v>2248</v>
      </c>
      <c r="Z2385" s="782" t="s">
        <v>5044</v>
      </c>
      <c r="AA2385" s="781">
        <f>$S$1*P!AA2385</f>
        <v>5.0383064516129034E-5</v>
      </c>
      <c r="AB2385" s="780"/>
      <c r="AC2385" s="881">
        <v>2381</v>
      </c>
      <c r="AD2385" s="881" t="s">
        <v>4573</v>
      </c>
      <c r="AE2385" s="881" t="s">
        <v>2831</v>
      </c>
      <c r="AF2385" s="882">
        <f>$S$1*P!AF2385</f>
        <v>1.1867999999999999</v>
      </c>
    </row>
    <row r="2386" spans="19:32" x14ac:dyDescent="0.35">
      <c r="S2386" s="881">
        <v>2382</v>
      </c>
      <c r="T2386" s="881" t="s">
        <v>4284</v>
      </c>
      <c r="U2386" s="881" t="s">
        <v>2962</v>
      </c>
      <c r="V2386" s="883">
        <f>$S$1*P!V2386</f>
        <v>0.19688</v>
      </c>
      <c r="W2386" s="780"/>
      <c r="X2386" s="881">
        <v>2382</v>
      </c>
      <c r="Y2386" s="881" t="s">
        <v>2248</v>
      </c>
      <c r="Z2386" s="881" t="s">
        <v>4107</v>
      </c>
      <c r="AA2386" s="890">
        <f>$S$1*P!AA2386</f>
        <v>1.6828629032258065E-2</v>
      </c>
      <c r="AB2386" s="780"/>
      <c r="AC2386" s="881">
        <v>2382</v>
      </c>
      <c r="AD2386" s="881" t="s">
        <v>4573</v>
      </c>
      <c r="AE2386" s="881" t="s">
        <v>2830</v>
      </c>
      <c r="AF2386" s="882">
        <f>$S$1*P!AF2386</f>
        <v>0</v>
      </c>
    </row>
    <row r="2387" spans="19:32" x14ac:dyDescent="0.35">
      <c r="S2387" s="782">
        <v>2383</v>
      </c>
      <c r="T2387" s="782" t="s">
        <v>4284</v>
      </c>
      <c r="U2387" s="782" t="s">
        <v>2961</v>
      </c>
      <c r="V2387" s="797">
        <f>$S$1*P!V2387</f>
        <v>2.2552419354838712E-3</v>
      </c>
      <c r="W2387" s="780"/>
      <c r="X2387" s="881">
        <v>2383</v>
      </c>
      <c r="Y2387" s="881" t="s">
        <v>2248</v>
      </c>
      <c r="Z2387" s="881" t="s">
        <v>4106</v>
      </c>
      <c r="AA2387" s="890">
        <f>$S$1*P!AA2387</f>
        <v>1.3264112903225807E-10</v>
      </c>
      <c r="AB2387" s="780"/>
      <c r="AC2387" s="881">
        <v>2383</v>
      </c>
      <c r="AD2387" s="881" t="s">
        <v>4573</v>
      </c>
      <c r="AE2387" s="881" t="s">
        <v>2829</v>
      </c>
      <c r="AF2387" s="882">
        <f>$S$1*P!AF2387</f>
        <v>1.4812000000000001</v>
      </c>
    </row>
    <row r="2388" spans="19:32" x14ac:dyDescent="0.35">
      <c r="S2388" s="881">
        <v>2384</v>
      </c>
      <c r="T2388" s="881" t="s">
        <v>4284</v>
      </c>
      <c r="U2388" s="881" t="s">
        <v>2961</v>
      </c>
      <c r="V2388" s="883">
        <f>$S$1*P!V2388</f>
        <v>29.072000000000003</v>
      </c>
      <c r="W2388" s="780"/>
      <c r="X2388" s="782">
        <v>2384</v>
      </c>
      <c r="Y2388" s="782" t="s">
        <v>2248</v>
      </c>
      <c r="Z2388" s="782" t="s">
        <v>5043</v>
      </c>
      <c r="AA2388" s="781">
        <f>$S$1*P!AA2388</f>
        <v>3.2971774193548385E-4</v>
      </c>
      <c r="AB2388" s="780"/>
      <c r="AC2388" s="782">
        <v>2384</v>
      </c>
      <c r="AD2388" s="782" t="s">
        <v>4573</v>
      </c>
      <c r="AE2388" s="782" t="s">
        <v>2828</v>
      </c>
      <c r="AF2388" s="781">
        <f>$S$1*P!AF2388</f>
        <v>3.7016129032258066E-3</v>
      </c>
    </row>
    <row r="2389" spans="19:32" x14ac:dyDescent="0.35">
      <c r="S2389" s="782">
        <v>2385</v>
      </c>
      <c r="T2389" s="782" t="s">
        <v>4284</v>
      </c>
      <c r="U2389" s="782" t="s">
        <v>2959</v>
      </c>
      <c r="V2389" s="797">
        <f>$S$1*P!V2389</f>
        <v>0.25808467741935487</v>
      </c>
      <c r="W2389" s="780"/>
      <c r="X2389" s="881">
        <v>2385</v>
      </c>
      <c r="Y2389" s="881" t="s">
        <v>2248</v>
      </c>
      <c r="Z2389" s="881" t="s">
        <v>3136</v>
      </c>
      <c r="AA2389" s="882">
        <f>$S$1*P!AA2389</f>
        <v>0</v>
      </c>
      <c r="AB2389" s="780"/>
      <c r="AC2389" s="881">
        <v>2385</v>
      </c>
      <c r="AD2389" s="881" t="s">
        <v>4573</v>
      </c>
      <c r="AE2389" s="881" t="s">
        <v>2828</v>
      </c>
      <c r="AF2389" s="882">
        <f>$S$1*P!AF2389</f>
        <v>0.34867999999999999</v>
      </c>
    </row>
    <row r="2390" spans="19:32" x14ac:dyDescent="0.35">
      <c r="S2390" s="881">
        <v>2386</v>
      </c>
      <c r="T2390" s="881" t="s">
        <v>4284</v>
      </c>
      <c r="U2390" s="881" t="s">
        <v>2959</v>
      </c>
      <c r="V2390" s="883">
        <f>$S$1*P!V2390</f>
        <v>1600.8</v>
      </c>
      <c r="W2390" s="780"/>
      <c r="X2390" s="782">
        <v>2386</v>
      </c>
      <c r="Y2390" s="782" t="s">
        <v>2248</v>
      </c>
      <c r="Z2390" s="782" t="s">
        <v>3136</v>
      </c>
      <c r="AA2390" s="781">
        <f>$S$1*P!AA2390</f>
        <v>3.4034274193548386E-5</v>
      </c>
      <c r="AB2390" s="780"/>
      <c r="AC2390" s="782">
        <v>2386</v>
      </c>
      <c r="AD2390" s="782" t="s">
        <v>4573</v>
      </c>
      <c r="AE2390" s="782" t="s">
        <v>2826</v>
      </c>
      <c r="AF2390" s="781">
        <f>$S$1*P!AF2390</f>
        <v>5.0040322580645162E-4</v>
      </c>
    </row>
    <row r="2391" spans="19:32" x14ac:dyDescent="0.35">
      <c r="S2391" s="782">
        <v>2387</v>
      </c>
      <c r="T2391" s="782" t="s">
        <v>4284</v>
      </c>
      <c r="U2391" s="782" t="s">
        <v>3384</v>
      </c>
      <c r="V2391" s="797">
        <f>$S$1*P!V2391</f>
        <v>2.0427419354838712E-4</v>
      </c>
      <c r="W2391" s="780"/>
      <c r="X2391" s="782">
        <v>2387</v>
      </c>
      <c r="Y2391" s="782" t="s">
        <v>2248</v>
      </c>
      <c r="Z2391" s="782" t="s">
        <v>5042</v>
      </c>
      <c r="AA2391" s="781">
        <f>$S$1*P!AA2391</f>
        <v>3.8387096774193552E-2</v>
      </c>
      <c r="AB2391" s="780"/>
      <c r="AC2391" s="881">
        <v>2387</v>
      </c>
      <c r="AD2391" s="881" t="s">
        <v>4573</v>
      </c>
      <c r="AE2391" s="881" t="s">
        <v>2826</v>
      </c>
      <c r="AF2391" s="882">
        <f>$S$1*P!AF2391</f>
        <v>5.3544000000000001E-2</v>
      </c>
    </row>
    <row r="2392" spans="19:32" x14ac:dyDescent="0.35">
      <c r="S2392" s="861">
        <v>2388</v>
      </c>
      <c r="T2392" s="861" t="s">
        <v>4284</v>
      </c>
      <c r="U2392" s="861" t="s">
        <v>3381</v>
      </c>
      <c r="V2392" s="862">
        <f>$S$1*P!V2392</f>
        <v>4.4618999999999991</v>
      </c>
      <c r="W2392" s="780"/>
      <c r="X2392" s="881">
        <v>2388</v>
      </c>
      <c r="Y2392" s="881" t="s">
        <v>2248</v>
      </c>
      <c r="Z2392" s="881" t="s">
        <v>3134</v>
      </c>
      <c r="AA2392" s="882">
        <f>$S$1*P!AA2392</f>
        <v>9.3840000000000007E-2</v>
      </c>
      <c r="AB2392" s="780"/>
      <c r="AC2392" s="881">
        <v>2388</v>
      </c>
      <c r="AD2392" s="881" t="s">
        <v>4573</v>
      </c>
      <c r="AE2392" s="881" t="s">
        <v>2825</v>
      </c>
      <c r="AF2392" s="882">
        <f>$S$1*P!AF2392</f>
        <v>0</v>
      </c>
    </row>
    <row r="2393" spans="19:32" x14ac:dyDescent="0.35">
      <c r="S2393" s="782">
        <v>2389</v>
      </c>
      <c r="T2393" s="782" t="s">
        <v>4284</v>
      </c>
      <c r="U2393" s="782" t="s">
        <v>3381</v>
      </c>
      <c r="V2393" s="797">
        <f>$S$1*P!V2393</f>
        <v>9.5967741935483885E-10</v>
      </c>
      <c r="W2393" s="780"/>
      <c r="X2393" s="881">
        <v>2389</v>
      </c>
      <c r="Y2393" s="881" t="s">
        <v>2248</v>
      </c>
      <c r="Z2393" s="881" t="s">
        <v>3134</v>
      </c>
      <c r="AA2393" s="890">
        <f>$S$1*P!AA2393</f>
        <v>7.7116935483870978E-4</v>
      </c>
      <c r="AB2393" s="780"/>
      <c r="AC2393" s="782">
        <v>2389</v>
      </c>
      <c r="AD2393" s="782" t="s">
        <v>4573</v>
      </c>
      <c r="AE2393" s="782" t="s">
        <v>2939</v>
      </c>
      <c r="AF2393" s="781">
        <f>$S$1*P!AF2393</f>
        <v>2.296370967741936E-5</v>
      </c>
    </row>
    <row r="2394" spans="19:32" x14ac:dyDescent="0.35">
      <c r="S2394" s="782">
        <v>2390</v>
      </c>
      <c r="T2394" s="782" t="s">
        <v>4284</v>
      </c>
      <c r="U2394" s="782" t="s">
        <v>3378</v>
      </c>
      <c r="V2394" s="797">
        <f>$S$1*P!V2394</f>
        <v>1.3401209677419356E-4</v>
      </c>
      <c r="W2394" s="780"/>
      <c r="X2394" s="782">
        <v>2390</v>
      </c>
      <c r="Y2394" s="782" t="s">
        <v>2248</v>
      </c>
      <c r="Z2394" s="782" t="s">
        <v>4100</v>
      </c>
      <c r="AA2394" s="781">
        <f>$S$1*P!AA2394</f>
        <v>1.2818548387096775E-3</v>
      </c>
      <c r="AB2394" s="780"/>
      <c r="AC2394" s="782">
        <v>2390</v>
      </c>
      <c r="AD2394" s="782" t="s">
        <v>4573</v>
      </c>
      <c r="AE2394" s="782" t="s">
        <v>2936</v>
      </c>
      <c r="AF2394" s="781">
        <f>$S$1*P!AF2394</f>
        <v>3.1223790322580647E-4</v>
      </c>
    </row>
    <row r="2395" spans="19:32" x14ac:dyDescent="0.35">
      <c r="S2395" s="789">
        <v>2391</v>
      </c>
      <c r="T2395" s="789" t="s">
        <v>4284</v>
      </c>
      <c r="U2395" s="789" t="s">
        <v>5041</v>
      </c>
      <c r="V2395" s="790">
        <f>$S$1*P!V2395</f>
        <v>4.9416000000000002E-2</v>
      </c>
      <c r="W2395" s="780"/>
      <c r="X2395" s="782">
        <v>2391</v>
      </c>
      <c r="Y2395" s="782" t="s">
        <v>2248</v>
      </c>
      <c r="Z2395" s="782" t="s">
        <v>5040</v>
      </c>
      <c r="AA2395" s="781">
        <f>$S$1*P!AA2395</f>
        <v>4.0443548387096779E-4</v>
      </c>
      <c r="AB2395" s="780"/>
      <c r="AC2395" s="782">
        <v>2391</v>
      </c>
      <c r="AD2395" s="782" t="s">
        <v>4573</v>
      </c>
      <c r="AE2395" s="782" t="s">
        <v>2933</v>
      </c>
      <c r="AF2395" s="781">
        <f>$S$1*P!AF2395</f>
        <v>6.8548387096774199</v>
      </c>
    </row>
    <row r="2396" spans="19:32" x14ac:dyDescent="0.35">
      <c r="S2396" s="782">
        <v>2392</v>
      </c>
      <c r="T2396" s="782" t="s">
        <v>4284</v>
      </c>
      <c r="U2396" s="782" t="s">
        <v>3376</v>
      </c>
      <c r="V2396" s="797">
        <f>$S$1*P!V2396</f>
        <v>4.181451612903226E-8</v>
      </c>
      <c r="W2396" s="780"/>
      <c r="X2396" s="881">
        <v>2392</v>
      </c>
      <c r="Y2396" s="881" t="s">
        <v>2248</v>
      </c>
      <c r="Z2396" s="881" t="s">
        <v>3133</v>
      </c>
      <c r="AA2396" s="882">
        <f>$S$1*P!AA2396</f>
        <v>2.0516E-2</v>
      </c>
      <c r="AB2396" s="780"/>
      <c r="AC2396" s="782">
        <v>2392</v>
      </c>
      <c r="AD2396" s="782" t="s">
        <v>4573</v>
      </c>
      <c r="AE2396" s="782" t="s">
        <v>2823</v>
      </c>
      <c r="AF2396" s="781">
        <f>$S$1*P!AF2396</f>
        <v>2.2415322580645164E-3</v>
      </c>
    </row>
    <row r="2397" spans="19:32" x14ac:dyDescent="0.35">
      <c r="S2397" s="782">
        <v>2393</v>
      </c>
      <c r="T2397" s="782" t="s">
        <v>4284</v>
      </c>
      <c r="U2397" s="782" t="s">
        <v>3373</v>
      </c>
      <c r="V2397" s="797">
        <f>$S$1*P!V2397</f>
        <v>2.0975806451612906E-2</v>
      </c>
      <c r="W2397" s="780"/>
      <c r="X2397" s="881">
        <v>2393</v>
      </c>
      <c r="Y2397" s="881" t="s">
        <v>2248</v>
      </c>
      <c r="Z2397" s="881" t="s">
        <v>3131</v>
      </c>
      <c r="AA2397" s="882">
        <f>$S$1*P!AA2397</f>
        <v>2.2447999999999999E-2</v>
      </c>
      <c r="AB2397" s="780"/>
      <c r="AC2397" s="881">
        <v>2393</v>
      </c>
      <c r="AD2397" s="881" t="s">
        <v>4573</v>
      </c>
      <c r="AE2397" s="881" t="s">
        <v>2823</v>
      </c>
      <c r="AF2397" s="882">
        <f>$S$1*P!AF2397</f>
        <v>1.9412</v>
      </c>
    </row>
    <row r="2398" spans="19:32" x14ac:dyDescent="0.35">
      <c r="S2398" s="782">
        <v>2394</v>
      </c>
      <c r="T2398" s="782" t="s">
        <v>4284</v>
      </c>
      <c r="U2398" s="782" t="s">
        <v>2958</v>
      </c>
      <c r="V2398" s="797">
        <f>$S$1*P!V2398</f>
        <v>3.2252016129032259E-4</v>
      </c>
      <c r="W2398" s="780"/>
      <c r="X2398" s="782">
        <v>2394</v>
      </c>
      <c r="Y2398" s="782" t="s">
        <v>2248</v>
      </c>
      <c r="Z2398" s="782" t="s">
        <v>5039</v>
      </c>
      <c r="AA2398" s="781">
        <f>$S$1*P!AA2398</f>
        <v>2.1661290322580649E-4</v>
      </c>
      <c r="AB2398" s="780"/>
      <c r="AC2398" s="881">
        <v>2394</v>
      </c>
      <c r="AD2398" s="881" t="s">
        <v>4573</v>
      </c>
      <c r="AE2398" s="881" t="s">
        <v>2821</v>
      </c>
      <c r="AF2398" s="882">
        <f>$S$1*P!AF2398</f>
        <v>44.436</v>
      </c>
    </row>
    <row r="2399" spans="19:32" x14ac:dyDescent="0.35">
      <c r="S2399" s="881">
        <v>2395</v>
      </c>
      <c r="T2399" s="881" t="s">
        <v>4284</v>
      </c>
      <c r="U2399" s="881" t="s">
        <v>2958</v>
      </c>
      <c r="V2399" s="883">
        <f>$S$1*P!V2399</f>
        <v>0</v>
      </c>
      <c r="W2399" s="780"/>
      <c r="X2399" s="881">
        <v>2395</v>
      </c>
      <c r="Y2399" s="881" t="s">
        <v>2248</v>
      </c>
      <c r="Z2399" s="881" t="s">
        <v>4098</v>
      </c>
      <c r="AA2399" s="890">
        <f>$S$1*P!AA2399</f>
        <v>5.6209677419354835E-4</v>
      </c>
      <c r="AB2399" s="780"/>
      <c r="AC2399" s="881">
        <v>2395</v>
      </c>
      <c r="AD2399" s="881" t="s">
        <v>4573</v>
      </c>
      <c r="AE2399" s="881" t="s">
        <v>2820</v>
      </c>
      <c r="AF2399" s="882">
        <f>$S$1*P!AF2399</f>
        <v>0</v>
      </c>
    </row>
    <row r="2400" spans="19:32" x14ac:dyDescent="0.35">
      <c r="S2400" s="881">
        <v>2396</v>
      </c>
      <c r="T2400" s="881" t="s">
        <v>4284</v>
      </c>
      <c r="U2400" s="881" t="s">
        <v>2956</v>
      </c>
      <c r="V2400" s="883">
        <f>$S$1*P!V2400</f>
        <v>8.1511999999999993</v>
      </c>
      <c r="W2400" s="780"/>
      <c r="X2400" s="782">
        <v>2396</v>
      </c>
      <c r="Y2400" s="782" t="s">
        <v>2248</v>
      </c>
      <c r="Z2400" s="782" t="s">
        <v>4095</v>
      </c>
      <c r="AA2400" s="781">
        <f>$S$1*P!AA2400</f>
        <v>9.2540322580645174E-6</v>
      </c>
      <c r="AB2400" s="780"/>
      <c r="AC2400" s="782">
        <v>2396</v>
      </c>
      <c r="AD2400" s="782" t="s">
        <v>4573</v>
      </c>
      <c r="AE2400" s="782" t="s">
        <v>2929</v>
      </c>
      <c r="AF2400" s="781">
        <f>$S$1*P!AF2400</f>
        <v>3.5302419354838713E-3</v>
      </c>
    </row>
    <row r="2401" spans="19:32" x14ac:dyDescent="0.35">
      <c r="S2401" s="782">
        <v>2397</v>
      </c>
      <c r="T2401" s="782" t="s">
        <v>4284</v>
      </c>
      <c r="U2401" s="782" t="s">
        <v>2955</v>
      </c>
      <c r="V2401" s="797">
        <f>$S$1*P!V2401</f>
        <v>0.20838709677419356</v>
      </c>
      <c r="W2401" s="780"/>
      <c r="X2401" s="782">
        <v>2397</v>
      </c>
      <c r="Y2401" s="782" t="s">
        <v>2248</v>
      </c>
      <c r="Z2401" s="782" t="s">
        <v>5038</v>
      </c>
      <c r="AA2401" s="781">
        <f>$S$1*P!AA2401</f>
        <v>3.3417338709677419E-2</v>
      </c>
      <c r="AB2401" s="780"/>
      <c r="AC2401" s="881">
        <v>2397</v>
      </c>
      <c r="AD2401" s="881" t="s">
        <v>4573</v>
      </c>
      <c r="AE2401" s="881" t="s">
        <v>2818</v>
      </c>
      <c r="AF2401" s="882">
        <f>$S$1*P!AF2401</f>
        <v>2.3092000000000001</v>
      </c>
    </row>
    <row r="2402" spans="19:32" x14ac:dyDescent="0.35">
      <c r="S2402" s="881">
        <v>2398</v>
      </c>
      <c r="T2402" s="881" t="s">
        <v>4284</v>
      </c>
      <c r="U2402" s="881" t="s">
        <v>2955</v>
      </c>
      <c r="V2402" s="883">
        <f>$S$1*P!V2402</f>
        <v>29.623999999999995</v>
      </c>
      <c r="W2402" s="780"/>
      <c r="X2402" s="881">
        <v>2398</v>
      </c>
      <c r="Y2402" s="881" t="s">
        <v>2248</v>
      </c>
      <c r="Z2402" s="881" t="s">
        <v>4091</v>
      </c>
      <c r="AA2402" s="890">
        <f>$S$1*P!AA2402</f>
        <v>5.2096774193548388E-6</v>
      </c>
      <c r="AB2402" s="780"/>
      <c r="AC2402" s="782">
        <v>2398</v>
      </c>
      <c r="AD2402" s="782" t="s">
        <v>4573</v>
      </c>
      <c r="AE2402" s="782" t="s">
        <v>2926</v>
      </c>
      <c r="AF2402" s="781">
        <f>$S$1*P!AF2402</f>
        <v>9.0483870967741946E-5</v>
      </c>
    </row>
    <row r="2403" spans="19:32" x14ac:dyDescent="0.35">
      <c r="S2403" s="782">
        <v>2399</v>
      </c>
      <c r="T2403" s="782" t="s">
        <v>4284</v>
      </c>
      <c r="U2403" s="782" t="s">
        <v>2953</v>
      </c>
      <c r="V2403" s="797">
        <f>$S$1*P!V2403</f>
        <v>2.7282258064516132</v>
      </c>
      <c r="W2403" s="780"/>
      <c r="X2403" s="881">
        <v>2399</v>
      </c>
      <c r="Y2403" s="881" t="s">
        <v>2248</v>
      </c>
      <c r="Z2403" s="881" t="s">
        <v>3130</v>
      </c>
      <c r="AA2403" s="882">
        <f>$S$1*P!AA2403</f>
        <v>8.2155999999999985</v>
      </c>
      <c r="AB2403" s="780"/>
      <c r="AC2403" s="782">
        <v>2399</v>
      </c>
      <c r="AD2403" s="782" t="s">
        <v>4573</v>
      </c>
      <c r="AE2403" s="782" t="s">
        <v>2923</v>
      </c>
      <c r="AF2403" s="781">
        <f>$S$1*P!AF2403</f>
        <v>1.134475806451613E-2</v>
      </c>
    </row>
    <row r="2404" spans="19:32" x14ac:dyDescent="0.35">
      <c r="S2404" s="881">
        <v>2400</v>
      </c>
      <c r="T2404" s="881" t="s">
        <v>4284</v>
      </c>
      <c r="U2404" s="881" t="s">
        <v>2953</v>
      </c>
      <c r="V2404" s="883">
        <f>$S$1*P!V2404</f>
        <v>0</v>
      </c>
      <c r="W2404" s="780"/>
      <c r="X2404" s="881">
        <v>2400</v>
      </c>
      <c r="Y2404" s="881" t="s">
        <v>2248</v>
      </c>
      <c r="Z2404" s="881" t="s">
        <v>4090</v>
      </c>
      <c r="AA2404" s="890">
        <f>$S$1*P!AA2404</f>
        <v>0.19673387096774195</v>
      </c>
      <c r="AB2404" s="780"/>
      <c r="AC2404" s="782">
        <v>2400</v>
      </c>
      <c r="AD2404" s="782" t="s">
        <v>4573</v>
      </c>
      <c r="AE2404" s="782" t="s">
        <v>2920</v>
      </c>
      <c r="AF2404" s="781">
        <f>$S$1*P!AF2404</f>
        <v>1.3983870967741935E-3</v>
      </c>
    </row>
    <row r="2405" spans="19:32" x14ac:dyDescent="0.35">
      <c r="S2405" s="782">
        <v>2401</v>
      </c>
      <c r="T2405" s="782" t="s">
        <v>4284</v>
      </c>
      <c r="U2405" s="782" t="s">
        <v>3365</v>
      </c>
      <c r="V2405" s="797">
        <f>$S$1*P!V2405</f>
        <v>1.2098790322580646E-3</v>
      </c>
      <c r="W2405" s="780"/>
      <c r="X2405" s="782">
        <v>2401</v>
      </c>
      <c r="Y2405" s="782" t="s">
        <v>2248</v>
      </c>
      <c r="Z2405" s="782" t="s">
        <v>5037</v>
      </c>
      <c r="AA2405" s="781">
        <f>$S$1*P!AA2405</f>
        <v>8.8770161290322595E-6</v>
      </c>
      <c r="AB2405" s="780"/>
      <c r="AC2405" s="881">
        <v>2401</v>
      </c>
      <c r="AD2405" s="881" t="s">
        <v>4573</v>
      </c>
      <c r="AE2405" s="881" t="s">
        <v>2817</v>
      </c>
      <c r="AF2405" s="882">
        <f>$S$1*P!AF2405</f>
        <v>0</v>
      </c>
    </row>
    <row r="2406" spans="19:32" x14ac:dyDescent="0.35">
      <c r="S2406" s="782">
        <v>2402</v>
      </c>
      <c r="T2406" s="782" t="s">
        <v>4284</v>
      </c>
      <c r="U2406" s="782" t="s">
        <v>3362</v>
      </c>
      <c r="V2406" s="797">
        <f>$S$1*P!V2406</f>
        <v>7.0262096774193543E-5</v>
      </c>
      <c r="W2406" s="780"/>
      <c r="X2406" s="881">
        <v>2402</v>
      </c>
      <c r="Y2406" s="881" t="s">
        <v>2248</v>
      </c>
      <c r="Z2406" s="881" t="s">
        <v>4088</v>
      </c>
      <c r="AA2406" s="890">
        <f>$S$1*P!AA2406</f>
        <v>4.3185483870967749</v>
      </c>
      <c r="AB2406" s="780"/>
      <c r="AC2406" s="881">
        <v>2402</v>
      </c>
      <c r="AD2406" s="881" t="s">
        <v>4573</v>
      </c>
      <c r="AE2406" s="881" t="s">
        <v>2816</v>
      </c>
      <c r="AF2406" s="882">
        <f>$S$1*P!AF2406</f>
        <v>12.972000000000001</v>
      </c>
    </row>
    <row r="2407" spans="19:32" x14ac:dyDescent="0.35">
      <c r="S2407" s="782">
        <v>2403</v>
      </c>
      <c r="T2407" s="782" t="s">
        <v>4284</v>
      </c>
      <c r="U2407" s="782" t="s">
        <v>2952</v>
      </c>
      <c r="V2407" s="797">
        <f>$S$1*P!V2407</f>
        <v>8.5000000000000001E-7</v>
      </c>
      <c r="W2407" s="780"/>
      <c r="X2407" s="881">
        <v>2403</v>
      </c>
      <c r="Y2407" s="881" t="s">
        <v>2248</v>
      </c>
      <c r="Z2407" s="881" t="s">
        <v>4085</v>
      </c>
      <c r="AA2407" s="890">
        <f>$S$1*P!AA2407</f>
        <v>1.2475806451612904E-3</v>
      </c>
      <c r="AB2407" s="780"/>
      <c r="AC2407" s="782">
        <v>2403</v>
      </c>
      <c r="AD2407" s="782" t="s">
        <v>4573</v>
      </c>
      <c r="AE2407" s="782" t="s">
        <v>2815</v>
      </c>
      <c r="AF2407" s="781">
        <f>$S$1*P!AF2407</f>
        <v>5.4838709677419359</v>
      </c>
    </row>
    <row r="2408" spans="19:32" x14ac:dyDescent="0.35">
      <c r="S2408" s="881">
        <v>2404</v>
      </c>
      <c r="T2408" s="881" t="s">
        <v>4284</v>
      </c>
      <c r="U2408" s="881" t="s">
        <v>2952</v>
      </c>
      <c r="V2408" s="883">
        <f>$S$1*P!V2408</f>
        <v>0</v>
      </c>
      <c r="W2408" s="780"/>
      <c r="X2408" s="782">
        <v>2404</v>
      </c>
      <c r="Y2408" s="782" t="s">
        <v>2248</v>
      </c>
      <c r="Z2408" s="782" t="s">
        <v>3528</v>
      </c>
      <c r="AA2408" s="781">
        <f>$S$1*P!AA2408</f>
        <v>7.1633064516129035E-5</v>
      </c>
      <c r="AB2408" s="780"/>
      <c r="AC2408" s="881">
        <v>2404</v>
      </c>
      <c r="AD2408" s="881" t="s">
        <v>4573</v>
      </c>
      <c r="AE2408" s="881" t="s">
        <v>2815</v>
      </c>
      <c r="AF2408" s="882">
        <f>$S$1*P!AF2408</f>
        <v>26.220000000000002</v>
      </c>
    </row>
    <row r="2409" spans="19:32" x14ac:dyDescent="0.35">
      <c r="S2409" s="782">
        <v>2405</v>
      </c>
      <c r="T2409" s="782" t="s">
        <v>4284</v>
      </c>
      <c r="U2409" s="782" t="s">
        <v>2950</v>
      </c>
      <c r="V2409" s="797">
        <f>$S$1*P!V2409</f>
        <v>1.9090725806451614E-6</v>
      </c>
      <c r="W2409" s="780"/>
      <c r="X2409" s="782">
        <v>2405</v>
      </c>
      <c r="Y2409" s="782" t="s">
        <v>2248</v>
      </c>
      <c r="Z2409" s="782" t="s">
        <v>4083</v>
      </c>
      <c r="AA2409" s="781">
        <f>$S$1*P!AA2409</f>
        <v>2.4334677419354838E-6</v>
      </c>
      <c r="AB2409" s="780"/>
      <c r="AC2409" s="881">
        <v>2405</v>
      </c>
      <c r="AD2409" s="881" t="s">
        <v>4573</v>
      </c>
      <c r="AE2409" s="881" t="s">
        <v>2813</v>
      </c>
      <c r="AF2409" s="882">
        <f>$S$1*P!AF2409</f>
        <v>36.155999999999999</v>
      </c>
    </row>
    <row r="2410" spans="19:32" x14ac:dyDescent="0.35">
      <c r="S2410" s="881">
        <v>2406</v>
      </c>
      <c r="T2410" s="881" t="s">
        <v>4284</v>
      </c>
      <c r="U2410" s="881" t="s">
        <v>2950</v>
      </c>
      <c r="V2410" s="883">
        <f>$S$1*P!V2410</f>
        <v>487.59999999999997</v>
      </c>
      <c r="W2410" s="780"/>
      <c r="X2410" s="881">
        <v>2406</v>
      </c>
      <c r="Y2410" s="881" t="s">
        <v>2248</v>
      </c>
      <c r="Z2410" s="881" t="s">
        <v>4081</v>
      </c>
      <c r="AA2410" s="890">
        <f>$S$1*P!AA2410</f>
        <v>18.816532258064516</v>
      </c>
      <c r="AB2410" s="780"/>
      <c r="AC2410" s="782">
        <v>2406</v>
      </c>
      <c r="AD2410" s="782" t="s">
        <v>4573</v>
      </c>
      <c r="AE2410" s="782" t="s">
        <v>2916</v>
      </c>
      <c r="AF2410" s="781">
        <f>$S$1*P!AF2410</f>
        <v>6.2036290322580649</v>
      </c>
    </row>
    <row r="2411" spans="19:32" x14ac:dyDescent="0.35">
      <c r="S2411" s="782">
        <v>2407</v>
      </c>
      <c r="T2411" s="782" t="s">
        <v>4284</v>
      </c>
      <c r="U2411" s="782" t="s">
        <v>3356</v>
      </c>
      <c r="V2411" s="797">
        <f>$S$1*P!V2411</f>
        <v>7.1290322580645166E-6</v>
      </c>
      <c r="W2411" s="780"/>
      <c r="X2411" s="782">
        <v>2407</v>
      </c>
      <c r="Y2411" s="782" t="s">
        <v>2248</v>
      </c>
      <c r="Z2411" s="782" t="s">
        <v>4078</v>
      </c>
      <c r="AA2411" s="781">
        <f>$S$1*P!AA2411</f>
        <v>5.4153225806451623E-5</v>
      </c>
      <c r="AB2411" s="780"/>
      <c r="AC2411" s="782">
        <v>2407</v>
      </c>
      <c r="AD2411" s="782" t="s">
        <v>4573</v>
      </c>
      <c r="AE2411" s="782" t="s">
        <v>2913</v>
      </c>
      <c r="AF2411" s="781">
        <f>$S$1*P!AF2411</f>
        <v>2.4403225806451617E-3</v>
      </c>
    </row>
    <row r="2412" spans="19:32" x14ac:dyDescent="0.35">
      <c r="S2412" s="881">
        <v>2408</v>
      </c>
      <c r="T2412" s="881" t="s">
        <v>4284</v>
      </c>
      <c r="U2412" s="881" t="s">
        <v>2948</v>
      </c>
      <c r="V2412" s="883">
        <f>$S$1*P!V2412</f>
        <v>6.2468000000000003E-2</v>
      </c>
      <c r="W2412" s="780"/>
      <c r="X2412" s="782">
        <v>2408</v>
      </c>
      <c r="Y2412" s="782" t="s">
        <v>2248</v>
      </c>
      <c r="Z2412" s="782" t="s">
        <v>5036</v>
      </c>
      <c r="AA2412" s="781">
        <f>$S$1*P!AA2412</f>
        <v>1.9776209677419354E-4</v>
      </c>
      <c r="AB2412" s="780"/>
      <c r="AC2412" s="782">
        <v>2408</v>
      </c>
      <c r="AD2412" s="782" t="s">
        <v>4573</v>
      </c>
      <c r="AE2412" s="782" t="s">
        <v>2910</v>
      </c>
      <c r="AF2412" s="781">
        <f>$S$1*P!AF2412</f>
        <v>0.99052419354838717</v>
      </c>
    </row>
    <row r="2413" spans="19:32" x14ac:dyDescent="0.35">
      <c r="S2413" s="861">
        <v>2409</v>
      </c>
      <c r="T2413" s="861" t="s">
        <v>4284</v>
      </c>
      <c r="U2413" s="861" t="s">
        <v>2947</v>
      </c>
      <c r="V2413" s="862">
        <f>$S$1*P!V2413</f>
        <v>4.3548999999999998</v>
      </c>
      <c r="W2413" s="780"/>
      <c r="X2413" s="881">
        <v>2409</v>
      </c>
      <c r="Y2413" s="881" t="s">
        <v>2248</v>
      </c>
      <c r="Z2413" s="881" t="s">
        <v>4074</v>
      </c>
      <c r="AA2413" s="890">
        <f>$S$1*P!AA2413</f>
        <v>42.842741935483872</v>
      </c>
      <c r="AB2413" s="780"/>
      <c r="AC2413" s="782">
        <v>2409</v>
      </c>
      <c r="AD2413" s="782" t="s">
        <v>4573</v>
      </c>
      <c r="AE2413" s="782" t="s">
        <v>2907</v>
      </c>
      <c r="AF2413" s="781">
        <f>$S$1*P!AF2413</f>
        <v>0.27487903225806454</v>
      </c>
    </row>
    <row r="2414" spans="19:32" x14ac:dyDescent="0.35">
      <c r="S2414" s="782">
        <v>2410</v>
      </c>
      <c r="T2414" s="782" t="s">
        <v>4284</v>
      </c>
      <c r="U2414" s="782" t="s">
        <v>2947</v>
      </c>
      <c r="V2414" s="797">
        <f>$S$1*P!V2414</f>
        <v>7.6774193548387108E-9</v>
      </c>
      <c r="W2414" s="780"/>
      <c r="X2414" s="782">
        <v>2410</v>
      </c>
      <c r="Y2414" s="782" t="s">
        <v>2248</v>
      </c>
      <c r="Z2414" s="782" t="s">
        <v>4072</v>
      </c>
      <c r="AA2414" s="781">
        <f>$S$1*P!AA2414</f>
        <v>9.3911290322580658E-3</v>
      </c>
      <c r="AB2414" s="780"/>
      <c r="AC2414" s="782">
        <v>2410</v>
      </c>
      <c r="AD2414" s="782" t="s">
        <v>4573</v>
      </c>
      <c r="AE2414" s="782" t="s">
        <v>2905</v>
      </c>
      <c r="AF2414" s="781">
        <f>$S$1*P!AF2414</f>
        <v>8.4657258064516142E-2</v>
      </c>
    </row>
    <row r="2415" spans="19:32" x14ac:dyDescent="0.35">
      <c r="S2415" s="881">
        <v>2411</v>
      </c>
      <c r="T2415" s="881" t="s">
        <v>4284</v>
      </c>
      <c r="U2415" s="881" t="s">
        <v>2947</v>
      </c>
      <c r="V2415" s="883">
        <f>$S$1*P!V2415</f>
        <v>8.8135999999999998E-4</v>
      </c>
      <c r="W2415" s="780"/>
      <c r="X2415" s="782">
        <v>2411</v>
      </c>
      <c r="Y2415" s="782" t="s">
        <v>2248</v>
      </c>
      <c r="Z2415" s="782" t="s">
        <v>5035</v>
      </c>
      <c r="AA2415" s="781">
        <f>$S$1*P!AA2415</f>
        <v>9.9052419354838717E-4</v>
      </c>
      <c r="AB2415" s="780"/>
      <c r="AC2415" s="881">
        <v>2411</v>
      </c>
      <c r="AD2415" s="881" t="s">
        <v>4573</v>
      </c>
      <c r="AE2415" s="881" t="s">
        <v>2811</v>
      </c>
      <c r="AF2415" s="882">
        <f>$S$1*P!AF2415</f>
        <v>0</v>
      </c>
    </row>
    <row r="2416" spans="19:32" x14ac:dyDescent="0.35">
      <c r="S2416" s="861">
        <v>2412</v>
      </c>
      <c r="T2416" s="861" t="s">
        <v>4284</v>
      </c>
      <c r="U2416" s="861" t="s">
        <v>5034</v>
      </c>
      <c r="V2416" s="862">
        <f>$S$1*P!V2416</f>
        <v>3.7128999999999994</v>
      </c>
      <c r="W2416" s="780"/>
      <c r="X2416" s="881">
        <v>2412</v>
      </c>
      <c r="Y2416" s="881" t="s">
        <v>2248</v>
      </c>
      <c r="Z2416" s="881" t="s">
        <v>4070</v>
      </c>
      <c r="AA2416" s="890">
        <f>$S$1*P!AA2416</f>
        <v>6.5806451612903229E-4</v>
      </c>
      <c r="AB2416" s="780"/>
      <c r="AC2416" s="782">
        <v>2412</v>
      </c>
      <c r="AD2416" s="782" t="s">
        <v>4573</v>
      </c>
      <c r="AE2416" s="782" t="s">
        <v>2902</v>
      </c>
      <c r="AF2416" s="781">
        <f>$S$1*P!AF2416</f>
        <v>2.3237903225806455E-4</v>
      </c>
    </row>
    <row r="2417" spans="19:32" x14ac:dyDescent="0.35">
      <c r="S2417" s="861">
        <v>2413</v>
      </c>
      <c r="T2417" s="861" t="s">
        <v>4284</v>
      </c>
      <c r="U2417" s="861" t="s">
        <v>5033</v>
      </c>
      <c r="V2417" s="862">
        <f>$S$1*P!V2417</f>
        <v>3.2902499999999999</v>
      </c>
      <c r="W2417" s="780"/>
      <c r="X2417" s="881">
        <v>2413</v>
      </c>
      <c r="Y2417" s="881" t="s">
        <v>2248</v>
      </c>
      <c r="Z2417" s="881" t="s">
        <v>3128</v>
      </c>
      <c r="AA2417" s="882">
        <f>$S$1*P!AA2417</f>
        <v>0</v>
      </c>
      <c r="AB2417" s="780"/>
      <c r="AC2417" s="782">
        <v>2413</v>
      </c>
      <c r="AD2417" s="782" t="s">
        <v>4573</v>
      </c>
      <c r="AE2417" s="782" t="s">
        <v>2899</v>
      </c>
      <c r="AF2417" s="781">
        <f>$S$1*P!AF2417</f>
        <v>2.292943548387097E-3</v>
      </c>
    </row>
    <row r="2418" spans="19:32" x14ac:dyDescent="0.35">
      <c r="S2418" s="789">
        <v>2414</v>
      </c>
      <c r="T2418" s="789" t="s">
        <v>4284</v>
      </c>
      <c r="U2418" s="789" t="s">
        <v>5032</v>
      </c>
      <c r="V2418" s="790">
        <f>$S$1*P!V2418</f>
        <v>917.56000000000006</v>
      </c>
      <c r="W2418" s="780"/>
      <c r="X2418" s="782">
        <v>2414</v>
      </c>
      <c r="Y2418" s="782" t="s">
        <v>2248</v>
      </c>
      <c r="Z2418" s="782" t="s">
        <v>5031</v>
      </c>
      <c r="AA2418" s="781">
        <f>$S$1*P!AA2418</f>
        <v>8.8084677419354848E-4</v>
      </c>
      <c r="AB2418" s="780"/>
      <c r="AC2418" s="782">
        <v>2414</v>
      </c>
      <c r="AD2418" s="782" t="s">
        <v>4573</v>
      </c>
      <c r="AE2418" s="782" t="s">
        <v>2810</v>
      </c>
      <c r="AF2418" s="781">
        <f>$S$1*P!AF2418</f>
        <v>42.5</v>
      </c>
    </row>
    <row r="2419" spans="19:32" x14ac:dyDescent="0.35">
      <c r="S2419" s="881">
        <v>2415</v>
      </c>
      <c r="T2419" s="881" t="s">
        <v>4284</v>
      </c>
      <c r="U2419" s="881" t="s">
        <v>2946</v>
      </c>
      <c r="V2419" s="883">
        <f>$S$1*P!V2419</f>
        <v>0</v>
      </c>
      <c r="W2419" s="780"/>
      <c r="X2419" s="881">
        <v>2415</v>
      </c>
      <c r="Y2419" s="881" t="s">
        <v>2248</v>
      </c>
      <c r="Z2419" s="881" t="s">
        <v>3128</v>
      </c>
      <c r="AA2419" s="890">
        <f>$S$1*P!AA2419</f>
        <v>0.25705645161290325</v>
      </c>
      <c r="AB2419" s="780"/>
      <c r="AC2419" s="881">
        <v>2415</v>
      </c>
      <c r="AD2419" s="881" t="s">
        <v>4573</v>
      </c>
      <c r="AE2419" s="881" t="s">
        <v>2810</v>
      </c>
      <c r="AF2419" s="882">
        <f>$S$1*P!AF2419</f>
        <v>0</v>
      </c>
    </row>
    <row r="2420" spans="19:32" x14ac:dyDescent="0.35">
      <c r="S2420" s="782">
        <v>2416</v>
      </c>
      <c r="T2420" s="782" t="s">
        <v>4284</v>
      </c>
      <c r="U2420" s="782" t="s">
        <v>3351</v>
      </c>
      <c r="V2420" s="797">
        <f>$S$1*P!V2420</f>
        <v>5.9294354838709683E-5</v>
      </c>
      <c r="W2420" s="780"/>
      <c r="X2420" s="881">
        <v>2416</v>
      </c>
      <c r="Y2420" s="881" t="s">
        <v>2248</v>
      </c>
      <c r="Z2420" s="881" t="s">
        <v>4065</v>
      </c>
      <c r="AA2420" s="890">
        <f>$S$1*P!AA2420</f>
        <v>0.11447580645161291</v>
      </c>
      <c r="AB2420" s="780"/>
      <c r="AC2420" s="782">
        <v>2416</v>
      </c>
      <c r="AD2420" s="782" t="s">
        <v>4573</v>
      </c>
      <c r="AE2420" s="782" t="s">
        <v>2895</v>
      </c>
      <c r="AF2420" s="781">
        <f>$S$1*P!AF2420</f>
        <v>1.7171370967741937</v>
      </c>
    </row>
    <row r="2421" spans="19:32" x14ac:dyDescent="0.35">
      <c r="S2421" s="782">
        <v>2417</v>
      </c>
      <c r="T2421" s="782" t="s">
        <v>4284</v>
      </c>
      <c r="U2421" s="782" t="s">
        <v>3348</v>
      </c>
      <c r="V2421" s="797">
        <f>$S$1*P!V2421</f>
        <v>5.8608870967741937E-5</v>
      </c>
      <c r="W2421" s="780"/>
      <c r="X2421" s="881">
        <v>2417</v>
      </c>
      <c r="Y2421" s="881" t="s">
        <v>2248</v>
      </c>
      <c r="Z2421" s="881" t="s">
        <v>4064</v>
      </c>
      <c r="AA2421" s="890">
        <f>$S$1*P!AA2421</f>
        <v>4.9012096774193551E-3</v>
      </c>
      <c r="AB2421" s="780"/>
      <c r="AC2421" s="782">
        <v>2417</v>
      </c>
      <c r="AD2421" s="782" t="s">
        <v>4573</v>
      </c>
      <c r="AE2421" s="782" t="s">
        <v>2892</v>
      </c>
      <c r="AF2421" s="781">
        <f>$S$1*P!AF2421</f>
        <v>3.7358870967741939E-3</v>
      </c>
    </row>
    <row r="2422" spans="19:32" x14ac:dyDescent="0.35">
      <c r="S2422" s="782">
        <v>2418</v>
      </c>
      <c r="T2422" s="782" t="s">
        <v>4284</v>
      </c>
      <c r="U2422" s="782" t="s">
        <v>3346</v>
      </c>
      <c r="V2422" s="797">
        <f>$S$1*P!V2422</f>
        <v>1.1413306451612904E-4</v>
      </c>
      <c r="W2422" s="780"/>
      <c r="X2422" s="782">
        <v>2418</v>
      </c>
      <c r="Y2422" s="782" t="s">
        <v>2248</v>
      </c>
      <c r="Z2422" s="782" t="s">
        <v>5030</v>
      </c>
      <c r="AA2422" s="781">
        <f>$S$1*P!AA2422</f>
        <v>2.7625000000000002E-3</v>
      </c>
      <c r="AB2422" s="780"/>
      <c r="AC2422" s="782">
        <v>2418</v>
      </c>
      <c r="AD2422" s="782" t="s">
        <v>4573</v>
      </c>
      <c r="AE2422" s="782" t="s">
        <v>2889</v>
      </c>
      <c r="AF2422" s="781">
        <f>$S$1*P!AF2422</f>
        <v>0.13641129032258065</v>
      </c>
    </row>
    <row r="2423" spans="19:32" x14ac:dyDescent="0.35">
      <c r="S2423" s="782">
        <v>2419</v>
      </c>
      <c r="T2423" s="782" t="s">
        <v>4284</v>
      </c>
      <c r="U2423" s="782" t="s">
        <v>3343</v>
      </c>
      <c r="V2423" s="797">
        <f>$S$1*P!V2423</f>
        <v>8.705645161290323E-5</v>
      </c>
      <c r="W2423" s="780"/>
      <c r="X2423" s="782">
        <v>2419</v>
      </c>
      <c r="Y2423" s="782" t="s">
        <v>2248</v>
      </c>
      <c r="Z2423" s="782" t="s">
        <v>4062</v>
      </c>
      <c r="AA2423" s="781">
        <f>$S$1*P!AA2423</f>
        <v>0.20564516129032259</v>
      </c>
      <c r="AB2423" s="780"/>
      <c r="AC2423" s="881">
        <v>2419</v>
      </c>
      <c r="AD2423" s="881" t="s">
        <v>4573</v>
      </c>
      <c r="AE2423" s="881" t="s">
        <v>2808</v>
      </c>
      <c r="AF2423" s="882">
        <f>$S$1*P!AF2423</f>
        <v>0</v>
      </c>
    </row>
    <row r="2424" spans="19:32" x14ac:dyDescent="0.35">
      <c r="S2424" s="782">
        <v>2420</v>
      </c>
      <c r="T2424" s="782" t="s">
        <v>4284</v>
      </c>
      <c r="U2424" s="782" t="s">
        <v>2945</v>
      </c>
      <c r="V2424" s="797">
        <f>$S$1*P!V2424</f>
        <v>6.7862903225806453E-5</v>
      </c>
      <c r="W2424" s="780"/>
      <c r="X2424" s="782">
        <v>2420</v>
      </c>
      <c r="Y2424" s="782" t="s">
        <v>2248</v>
      </c>
      <c r="Z2424" s="782" t="s">
        <v>5029</v>
      </c>
      <c r="AA2424" s="781">
        <f>$S$1*P!AA2424</f>
        <v>1.6760080645161293E-2</v>
      </c>
      <c r="AB2424" s="780"/>
      <c r="AC2424" s="782">
        <v>2420</v>
      </c>
      <c r="AD2424" s="782" t="s">
        <v>4573</v>
      </c>
      <c r="AE2424" s="782" t="s">
        <v>2886</v>
      </c>
      <c r="AF2424" s="781">
        <f>$S$1*P!AF2424</f>
        <v>1.5834677419354841E-2</v>
      </c>
    </row>
    <row r="2425" spans="19:32" x14ac:dyDescent="0.35">
      <c r="S2425" s="881">
        <v>2421</v>
      </c>
      <c r="T2425" s="881" t="s">
        <v>4284</v>
      </c>
      <c r="U2425" s="881" t="s">
        <v>2945</v>
      </c>
      <c r="V2425" s="883">
        <f>$S$1*P!V2425</f>
        <v>1.5640000000000001E-2</v>
      </c>
      <c r="W2425" s="780"/>
      <c r="X2425" s="881">
        <v>2421</v>
      </c>
      <c r="Y2425" s="881" t="s">
        <v>2248</v>
      </c>
      <c r="Z2425" s="881" t="s">
        <v>3127</v>
      </c>
      <c r="AA2425" s="882">
        <f>$S$1*P!AA2425</f>
        <v>26.036000000000001</v>
      </c>
      <c r="AB2425" s="780"/>
      <c r="AC2425" s="782">
        <v>2421</v>
      </c>
      <c r="AD2425" s="782" t="s">
        <v>4573</v>
      </c>
      <c r="AE2425" s="782" t="s">
        <v>2883</v>
      </c>
      <c r="AF2425" s="781">
        <f>$S$1*P!AF2425</f>
        <v>2.5465725806451615E-2</v>
      </c>
    </row>
    <row r="2426" spans="19:32" x14ac:dyDescent="0.35">
      <c r="S2426" s="782">
        <v>2422</v>
      </c>
      <c r="T2426" s="782" t="s">
        <v>4284</v>
      </c>
      <c r="U2426" s="782" t="s">
        <v>3338</v>
      </c>
      <c r="V2426" s="797">
        <f>$S$1*P!V2426</f>
        <v>0.11036290322580646</v>
      </c>
      <c r="W2426" s="780"/>
      <c r="X2426" s="881">
        <v>2422</v>
      </c>
      <c r="Y2426" s="881" t="s">
        <v>2248</v>
      </c>
      <c r="Z2426" s="881" t="s">
        <v>3127</v>
      </c>
      <c r="AA2426" s="890">
        <f>$S$1*P!AA2426</f>
        <v>4.8326612903225813E-3</v>
      </c>
      <c r="AB2426" s="780"/>
      <c r="AC2426" s="782">
        <v>2422</v>
      </c>
      <c r="AD2426" s="782" t="s">
        <v>4573</v>
      </c>
      <c r="AE2426" s="782" t="s">
        <v>2881</v>
      </c>
      <c r="AF2426" s="781">
        <f>$S$1*P!AF2426</f>
        <v>4.1129032258064517E-2</v>
      </c>
    </row>
    <row r="2427" spans="19:32" x14ac:dyDescent="0.35">
      <c r="S2427" s="782">
        <v>2423</v>
      </c>
      <c r="T2427" s="782" t="s">
        <v>4284</v>
      </c>
      <c r="U2427" s="782" t="s">
        <v>3335</v>
      </c>
      <c r="V2427" s="797">
        <f>$S$1*P!V2427</f>
        <v>3.9072580645161299E-9</v>
      </c>
      <c r="W2427" s="780"/>
      <c r="X2427" s="782">
        <v>2423</v>
      </c>
      <c r="Y2427" s="782" t="s">
        <v>2248</v>
      </c>
      <c r="Z2427" s="782" t="s">
        <v>4060</v>
      </c>
      <c r="AA2427" s="781">
        <f>$S$1*P!AA2427</f>
        <v>0.873991935483871</v>
      </c>
      <c r="AB2427" s="780"/>
      <c r="AC2427" s="782">
        <v>2423</v>
      </c>
      <c r="AD2427" s="782" t="s">
        <v>4573</v>
      </c>
      <c r="AE2427" s="782" t="s">
        <v>2878</v>
      </c>
      <c r="AF2427" s="781">
        <f>$S$1*P!AF2427</f>
        <v>5.2439516129032266E-4</v>
      </c>
    </row>
    <row r="2428" spans="19:32" x14ac:dyDescent="0.35">
      <c r="S2428" s="782">
        <v>2424</v>
      </c>
      <c r="T2428" s="782" t="s">
        <v>4284</v>
      </c>
      <c r="U2428" s="782" t="s">
        <v>3333</v>
      </c>
      <c r="V2428" s="797">
        <f>$S$1*P!V2428</f>
        <v>5.7923387096774194E-3</v>
      </c>
      <c r="W2428" s="780"/>
      <c r="X2428" s="782">
        <v>2424</v>
      </c>
      <c r="Y2428" s="782" t="s">
        <v>2248</v>
      </c>
      <c r="Z2428" s="782" t="s">
        <v>5028</v>
      </c>
      <c r="AA2428" s="781">
        <f>$S$1*P!AA2428</f>
        <v>0.20358870967741938</v>
      </c>
      <c r="AB2428" s="780"/>
      <c r="AC2428" s="782">
        <v>2424</v>
      </c>
      <c r="AD2428" s="782" t="s">
        <v>4573</v>
      </c>
      <c r="AE2428" s="782" t="s">
        <v>2875</v>
      </c>
      <c r="AF2428" s="781">
        <f>$S$1*P!AF2428</f>
        <v>2.3135080645161291E-2</v>
      </c>
    </row>
    <row r="2429" spans="19:32" x14ac:dyDescent="0.35">
      <c r="S2429" s="789">
        <v>2425</v>
      </c>
      <c r="T2429" s="789" t="s">
        <v>4284</v>
      </c>
      <c r="U2429" s="789" t="s">
        <v>5027</v>
      </c>
      <c r="V2429" s="790">
        <f>$S$1*P!V2429</f>
        <v>748.2</v>
      </c>
      <c r="W2429" s="780"/>
      <c r="X2429" s="881">
        <v>2425</v>
      </c>
      <c r="Y2429" s="881" t="s">
        <v>2248</v>
      </c>
      <c r="Z2429" s="881" t="s">
        <v>4058</v>
      </c>
      <c r="AA2429" s="890">
        <f>$S$1*P!AA2429</f>
        <v>2.1421370967741936E-4</v>
      </c>
      <c r="AB2429" s="780"/>
      <c r="AC2429" s="782">
        <v>2425</v>
      </c>
      <c r="AD2429" s="782" t="s">
        <v>4573</v>
      </c>
      <c r="AE2429" s="782" t="s">
        <v>2872</v>
      </c>
      <c r="AF2429" s="781">
        <f>$S$1*P!AF2429</f>
        <v>2.9441532258064517E-2</v>
      </c>
    </row>
    <row r="2430" spans="19:32" x14ac:dyDescent="0.35">
      <c r="S2430" s="789">
        <v>2426</v>
      </c>
      <c r="T2430" s="789" t="s">
        <v>4284</v>
      </c>
      <c r="U2430" s="789" t="s">
        <v>5026</v>
      </c>
      <c r="V2430" s="790">
        <f>$S$1*P!V2430</f>
        <v>620.6</v>
      </c>
      <c r="W2430" s="780"/>
      <c r="X2430" s="782">
        <v>2426</v>
      </c>
      <c r="Y2430" s="782" t="s">
        <v>2248</v>
      </c>
      <c r="Z2430" s="782" t="s">
        <v>4057</v>
      </c>
      <c r="AA2430" s="781">
        <f>$S$1*P!AA2430</f>
        <v>1.5903225806451615E-5</v>
      </c>
      <c r="AB2430" s="780"/>
      <c r="AC2430" s="881">
        <v>2426</v>
      </c>
      <c r="AD2430" s="881" t="s">
        <v>4573</v>
      </c>
      <c r="AE2430" s="881" t="s">
        <v>2807</v>
      </c>
      <c r="AF2430" s="882">
        <f>$S$1*P!AF2430</f>
        <v>0.7268</v>
      </c>
    </row>
    <row r="2431" spans="19:32" x14ac:dyDescent="0.35">
      <c r="S2431" s="789">
        <v>2427</v>
      </c>
      <c r="T2431" s="789" t="s">
        <v>4284</v>
      </c>
      <c r="U2431" s="789" t="s">
        <v>5025</v>
      </c>
      <c r="V2431" s="790">
        <f>$S$1*P!V2431</f>
        <v>0.11600000000000001</v>
      </c>
      <c r="W2431" s="780"/>
      <c r="X2431" s="782">
        <v>2427</v>
      </c>
      <c r="Y2431" s="782" t="s">
        <v>2248</v>
      </c>
      <c r="Z2431" s="782" t="s">
        <v>5024</v>
      </c>
      <c r="AA2431" s="781">
        <f>$S$1*P!AA2431</f>
        <v>3.4959677419354839E-4</v>
      </c>
      <c r="AB2431" s="780"/>
      <c r="AC2431" s="782">
        <v>2427</v>
      </c>
      <c r="AD2431" s="782" t="s">
        <v>4573</v>
      </c>
      <c r="AE2431" s="782" t="s">
        <v>2870</v>
      </c>
      <c r="AF2431" s="781">
        <f>$S$1*P!AF2431</f>
        <v>3.7701612903225808E-3</v>
      </c>
    </row>
    <row r="2432" spans="19:32" x14ac:dyDescent="0.35">
      <c r="S2432" s="789">
        <v>2428</v>
      </c>
      <c r="T2432" s="789" t="s">
        <v>4284</v>
      </c>
      <c r="U2432" s="789" t="s">
        <v>5023</v>
      </c>
      <c r="V2432" s="790">
        <f>$S$1*P!V2432</f>
        <v>356.12</v>
      </c>
      <c r="W2432" s="780"/>
      <c r="X2432" s="881">
        <v>2428</v>
      </c>
      <c r="Y2432" s="881" t="s">
        <v>2248</v>
      </c>
      <c r="Z2432" s="881" t="s">
        <v>3126</v>
      </c>
      <c r="AA2432" s="882">
        <f>$S$1*P!AA2432</f>
        <v>0</v>
      </c>
      <c r="AB2432" s="780"/>
      <c r="AC2432" s="782">
        <v>2428</v>
      </c>
      <c r="AD2432" s="782" t="s">
        <v>4573</v>
      </c>
      <c r="AE2432" s="782" t="s">
        <v>2867</v>
      </c>
      <c r="AF2432" s="781">
        <f>$S$1*P!AF2432</f>
        <v>0.1442943548387097</v>
      </c>
    </row>
    <row r="2433" spans="19:32" x14ac:dyDescent="0.35">
      <c r="S2433" s="789">
        <v>2429</v>
      </c>
      <c r="T2433" s="789" t="s">
        <v>4284</v>
      </c>
      <c r="U2433" s="789" t="s">
        <v>5022</v>
      </c>
      <c r="V2433" s="790">
        <f>$S$1*P!V2433</f>
        <v>107.76400000000001</v>
      </c>
      <c r="W2433" s="780"/>
      <c r="X2433" s="881">
        <v>2429</v>
      </c>
      <c r="Y2433" s="881" t="s">
        <v>2248</v>
      </c>
      <c r="Z2433" s="881" t="s">
        <v>3126</v>
      </c>
      <c r="AA2433" s="890">
        <f>$S$1*P!AA2433</f>
        <v>4.4899193548387104E-2</v>
      </c>
      <c r="AB2433" s="780"/>
      <c r="AC2433" s="782">
        <v>2429</v>
      </c>
      <c r="AD2433" s="782" t="s">
        <v>4573</v>
      </c>
      <c r="AE2433" s="782" t="s">
        <v>2864</v>
      </c>
      <c r="AF2433" s="781">
        <f>$S$1*P!AF2433</f>
        <v>5.381048387096775E-5</v>
      </c>
    </row>
    <row r="2434" spans="19:32" x14ac:dyDescent="0.35">
      <c r="S2434" s="789">
        <v>2430</v>
      </c>
      <c r="T2434" s="789" t="s">
        <v>4284</v>
      </c>
      <c r="U2434" s="789" t="s">
        <v>5021</v>
      </c>
      <c r="V2434" s="790">
        <f>$S$1*P!V2434</f>
        <v>337.56</v>
      </c>
      <c r="W2434" s="780"/>
      <c r="X2434" s="881">
        <v>2430</v>
      </c>
      <c r="Y2434" s="881" t="s">
        <v>2248</v>
      </c>
      <c r="Z2434" s="881" t="s">
        <v>4056</v>
      </c>
      <c r="AA2434" s="890">
        <f>$S$1*P!AA2434</f>
        <v>1.1618951612903228</v>
      </c>
      <c r="AB2434" s="780"/>
      <c r="AC2434" s="782">
        <v>2430</v>
      </c>
      <c r="AD2434" s="782" t="s">
        <v>4573</v>
      </c>
      <c r="AE2434" s="782" t="s">
        <v>2861</v>
      </c>
      <c r="AF2434" s="781">
        <f>$S$1*P!AF2434</f>
        <v>6.0322580645161305E-4</v>
      </c>
    </row>
    <row r="2435" spans="19:32" x14ac:dyDescent="0.35">
      <c r="S2435" s="789">
        <v>2431</v>
      </c>
      <c r="T2435" s="789" t="s">
        <v>4284</v>
      </c>
      <c r="U2435" s="789" t="s">
        <v>5020</v>
      </c>
      <c r="V2435" s="790">
        <f>$S$1*P!V2435</f>
        <v>327.12</v>
      </c>
      <c r="W2435" s="780"/>
      <c r="X2435" s="782">
        <v>2431</v>
      </c>
      <c r="Y2435" s="782" t="s">
        <v>2248</v>
      </c>
      <c r="Z2435" s="782" t="s">
        <v>5019</v>
      </c>
      <c r="AA2435" s="781">
        <f>$S$1*P!AA2435</f>
        <v>2.4540322580645164E-2</v>
      </c>
      <c r="AB2435" s="780"/>
      <c r="AC2435" s="782">
        <v>2431</v>
      </c>
      <c r="AD2435" s="782" t="s">
        <v>4573</v>
      </c>
      <c r="AE2435" s="782" t="s">
        <v>2859</v>
      </c>
      <c r="AF2435" s="781">
        <f>$S$1*P!AF2435</f>
        <v>1.9193548387096775</v>
      </c>
    </row>
    <row r="2436" spans="19:32" x14ac:dyDescent="0.35">
      <c r="S2436" s="789">
        <v>2432</v>
      </c>
      <c r="T2436" s="789" t="s">
        <v>4284</v>
      </c>
      <c r="U2436" s="789" t="s">
        <v>5018</v>
      </c>
      <c r="V2436" s="790">
        <f>$S$1*P!V2436</f>
        <v>316.68</v>
      </c>
      <c r="W2436" s="780"/>
      <c r="X2436" s="881">
        <v>2432</v>
      </c>
      <c r="Y2436" s="881" t="s">
        <v>2248</v>
      </c>
      <c r="Z2436" s="881" t="s">
        <v>4054</v>
      </c>
      <c r="AA2436" s="890">
        <f>$S$1*P!AA2436</f>
        <v>5.963709677419355E-2</v>
      </c>
      <c r="AB2436" s="780"/>
      <c r="AC2436" s="782">
        <v>2432</v>
      </c>
      <c r="AD2436" s="782" t="s">
        <v>4573</v>
      </c>
      <c r="AE2436" s="782" t="s">
        <v>2856</v>
      </c>
      <c r="AF2436" s="781">
        <f>$S$1*P!AF2436</f>
        <v>5.106854838709678E-4</v>
      </c>
    </row>
    <row r="2437" spans="19:32" x14ac:dyDescent="0.35">
      <c r="S2437" s="789">
        <v>2433</v>
      </c>
      <c r="T2437" s="789" t="s">
        <v>4284</v>
      </c>
      <c r="U2437" s="789" t="s">
        <v>5017</v>
      </c>
      <c r="V2437" s="790">
        <f>$S$1*P!V2437</f>
        <v>330.6</v>
      </c>
      <c r="W2437" s="780"/>
      <c r="X2437" s="881">
        <v>2433</v>
      </c>
      <c r="Y2437" s="881" t="s">
        <v>2248</v>
      </c>
      <c r="Z2437" s="881" t="s">
        <v>4050</v>
      </c>
      <c r="AA2437" s="890">
        <f>$S$1*P!AA2437</f>
        <v>5.5181451612903235E-5</v>
      </c>
      <c r="AB2437" s="780"/>
      <c r="AC2437" s="881">
        <v>2433</v>
      </c>
      <c r="AD2437" s="881" t="s">
        <v>4573</v>
      </c>
      <c r="AE2437" s="881" t="s">
        <v>2805</v>
      </c>
      <c r="AF2437" s="882">
        <f>$S$1*P!AF2437</f>
        <v>103.03999999999999</v>
      </c>
    </row>
    <row r="2438" spans="19:32" x14ac:dyDescent="0.35">
      <c r="S2438" s="782">
        <v>2434</v>
      </c>
      <c r="T2438" s="782" t="s">
        <v>4284</v>
      </c>
      <c r="U2438" s="782" t="s">
        <v>3330</v>
      </c>
      <c r="V2438" s="797">
        <f>$S$1*P!V2438</f>
        <v>4.3185483870967746E-2</v>
      </c>
      <c r="W2438" s="780"/>
      <c r="X2438" s="782">
        <v>2434</v>
      </c>
      <c r="Y2438" s="782" t="s">
        <v>2248</v>
      </c>
      <c r="Z2438" s="782" t="s">
        <v>3520</v>
      </c>
      <c r="AA2438" s="781">
        <f>$S$1*P!AA2438</f>
        <v>0.14703629032258064</v>
      </c>
      <c r="AB2438" s="780"/>
      <c r="AC2438" s="782">
        <v>2434</v>
      </c>
      <c r="AD2438" s="782" t="s">
        <v>4573</v>
      </c>
      <c r="AE2438" s="782" t="s">
        <v>2804</v>
      </c>
      <c r="AF2438" s="781">
        <f>$S$1*P!AF2438</f>
        <v>4.7983870967741938E-4</v>
      </c>
    </row>
    <row r="2439" spans="19:32" x14ac:dyDescent="0.35">
      <c r="S2439" s="782">
        <v>2435</v>
      </c>
      <c r="T2439" s="782" t="s">
        <v>4284</v>
      </c>
      <c r="U2439" s="782" t="s">
        <v>3327</v>
      </c>
      <c r="V2439" s="797">
        <f>$S$1*P!V2439</f>
        <v>8.4657258064516137E-4</v>
      </c>
      <c r="W2439" s="780"/>
      <c r="X2439" s="782">
        <v>2435</v>
      </c>
      <c r="Y2439" s="782" t="s">
        <v>2248</v>
      </c>
      <c r="Z2439" s="782" t="s">
        <v>4049</v>
      </c>
      <c r="AA2439" s="781">
        <f>$S$1*P!AA2439</f>
        <v>6.7520161290322587E-5</v>
      </c>
      <c r="AB2439" s="780"/>
      <c r="AC2439" s="881">
        <v>2435</v>
      </c>
      <c r="AD2439" s="881" t="s">
        <v>4573</v>
      </c>
      <c r="AE2439" s="881" t="s">
        <v>2804</v>
      </c>
      <c r="AF2439" s="882">
        <f>$S$1*P!AF2439</f>
        <v>0</v>
      </c>
    </row>
    <row r="2440" spans="19:32" x14ac:dyDescent="0.35">
      <c r="S2440" s="782">
        <v>2436</v>
      </c>
      <c r="T2440" s="782" t="s">
        <v>4284</v>
      </c>
      <c r="U2440" s="782" t="s">
        <v>2944</v>
      </c>
      <c r="V2440" s="797">
        <f>$S$1*P!V2440</f>
        <v>8.191532258064517E-2</v>
      </c>
      <c r="W2440" s="780"/>
      <c r="X2440" s="881">
        <v>2436</v>
      </c>
      <c r="Y2440" s="881" t="s">
        <v>2248</v>
      </c>
      <c r="Z2440" s="881" t="s">
        <v>4048</v>
      </c>
      <c r="AA2440" s="890">
        <f>$S$1*P!AA2440</f>
        <v>6.4435483870967753E-4</v>
      </c>
      <c r="AB2440" s="780"/>
      <c r="AC2440" s="782">
        <v>2436</v>
      </c>
      <c r="AD2440" s="782" t="s">
        <v>4573</v>
      </c>
      <c r="AE2440" s="782" t="s">
        <v>2851</v>
      </c>
      <c r="AF2440" s="781">
        <f>$S$1*P!AF2440</f>
        <v>5.415322580645162E-2</v>
      </c>
    </row>
    <row r="2441" spans="19:32" x14ac:dyDescent="0.35">
      <c r="S2441" s="881">
        <v>2437</v>
      </c>
      <c r="T2441" s="881" t="s">
        <v>4284</v>
      </c>
      <c r="U2441" s="881" t="s">
        <v>2944</v>
      </c>
      <c r="V2441" s="883">
        <f>$S$1*P!V2441</f>
        <v>48.76</v>
      </c>
      <c r="W2441" s="780"/>
      <c r="X2441" s="782">
        <v>2437</v>
      </c>
      <c r="Y2441" s="782" t="s">
        <v>2248</v>
      </c>
      <c r="Z2441" s="782" t="s">
        <v>3518</v>
      </c>
      <c r="AA2441" s="781">
        <f>$S$1*P!AA2441</f>
        <v>6.2721774193548398E-4</v>
      </c>
      <c r="AB2441" s="780"/>
      <c r="AC2441" s="782">
        <v>2437</v>
      </c>
      <c r="AD2441" s="782" t="s">
        <v>4573</v>
      </c>
      <c r="AE2441" s="782" t="s">
        <v>2848</v>
      </c>
      <c r="AF2441" s="781">
        <f>$S$1*P!AF2441</f>
        <v>6.4092741935483879</v>
      </c>
    </row>
    <row r="2442" spans="19:32" x14ac:dyDescent="0.35">
      <c r="S2442" s="881">
        <v>2438</v>
      </c>
      <c r="T2442" s="881" t="s">
        <v>4284</v>
      </c>
      <c r="U2442" s="881" t="s">
        <v>2943</v>
      </c>
      <c r="V2442" s="883">
        <f>$S$1*P!V2442</f>
        <v>45.631999999999998</v>
      </c>
      <c r="W2442" s="780"/>
      <c r="X2442" s="881">
        <v>2438</v>
      </c>
      <c r="Y2442" s="881" t="s">
        <v>2248</v>
      </c>
      <c r="Z2442" s="881" t="s">
        <v>3124</v>
      </c>
      <c r="AA2442" s="882">
        <f>$S$1*P!AA2442</f>
        <v>0</v>
      </c>
      <c r="AB2442" s="780"/>
      <c r="AC2442" s="782">
        <v>2438</v>
      </c>
      <c r="AD2442" s="782" t="s">
        <v>4573</v>
      </c>
      <c r="AE2442" s="782" t="s">
        <v>2846</v>
      </c>
      <c r="AF2442" s="781">
        <f>$S$1*P!AF2442</f>
        <v>1.9947580645161292E-2</v>
      </c>
    </row>
    <row r="2443" spans="19:32" x14ac:dyDescent="0.35">
      <c r="S2443" s="782">
        <v>2439</v>
      </c>
      <c r="T2443" s="782" t="s">
        <v>4284</v>
      </c>
      <c r="U2443" s="782" t="s">
        <v>2942</v>
      </c>
      <c r="V2443" s="797">
        <f>$S$1*P!V2443</f>
        <v>2.6699596774193554E-3</v>
      </c>
      <c r="W2443" s="780"/>
      <c r="X2443" s="782">
        <v>2439</v>
      </c>
      <c r="Y2443" s="782" t="s">
        <v>2248</v>
      </c>
      <c r="Z2443" s="782" t="s">
        <v>3124</v>
      </c>
      <c r="AA2443" s="781">
        <f>$S$1*P!AA2443</f>
        <v>8.8770161290322586E-2</v>
      </c>
      <c r="AB2443" s="780"/>
      <c r="AC2443" s="782">
        <v>2439</v>
      </c>
      <c r="AD2443" s="782" t="s">
        <v>4573</v>
      </c>
      <c r="AE2443" s="782" t="s">
        <v>2843</v>
      </c>
      <c r="AF2443" s="781">
        <f>$S$1*P!AF2443</f>
        <v>3.804435483870968E-4</v>
      </c>
    </row>
    <row r="2444" spans="19:32" x14ac:dyDescent="0.35">
      <c r="S2444" s="881">
        <v>2440</v>
      </c>
      <c r="T2444" s="881" t="s">
        <v>4284</v>
      </c>
      <c r="U2444" s="881" t="s">
        <v>2942</v>
      </c>
      <c r="V2444" s="883">
        <f>$S$1*P!V2444</f>
        <v>7.1392000000000007</v>
      </c>
      <c r="W2444" s="780"/>
      <c r="X2444" s="782">
        <v>2440</v>
      </c>
      <c r="Y2444" s="782" t="s">
        <v>2248</v>
      </c>
      <c r="Z2444" s="782" t="s">
        <v>3517</v>
      </c>
      <c r="AA2444" s="781">
        <f>$S$1*P!AA2444</f>
        <v>5.826612903225807E-4</v>
      </c>
      <c r="AB2444" s="780"/>
      <c r="AC2444" s="782">
        <v>2440</v>
      </c>
      <c r="AD2444" s="782" t="s">
        <v>4573</v>
      </c>
      <c r="AE2444" s="782" t="s">
        <v>2840</v>
      </c>
      <c r="AF2444" s="781">
        <f>$S$1*P!AF2444</f>
        <v>2.6493951612903226E-2</v>
      </c>
    </row>
    <row r="2445" spans="19:32" x14ac:dyDescent="0.35">
      <c r="S2445" s="881">
        <v>2441</v>
      </c>
      <c r="T2445" s="881" t="s">
        <v>4284</v>
      </c>
      <c r="U2445" s="881" t="s">
        <v>2941</v>
      </c>
      <c r="V2445" s="883">
        <f>$S$1*P!V2445</f>
        <v>0.48116000000000003</v>
      </c>
      <c r="W2445" s="780"/>
      <c r="X2445" s="881">
        <v>2441</v>
      </c>
      <c r="Y2445" s="881" t="s">
        <v>2248</v>
      </c>
      <c r="Z2445" s="881" t="s">
        <v>3123</v>
      </c>
      <c r="AA2445" s="882">
        <f>$S$1*P!AA2445</f>
        <v>14352000</v>
      </c>
      <c r="AB2445" s="780"/>
      <c r="AC2445" s="881">
        <v>2441</v>
      </c>
      <c r="AD2445" s="881" t="s">
        <v>4573</v>
      </c>
      <c r="AE2445" s="881" t="s">
        <v>2803</v>
      </c>
      <c r="AF2445" s="882">
        <f>$S$1*P!AF2445</f>
        <v>0</v>
      </c>
    </row>
    <row r="2446" spans="19:32" x14ac:dyDescent="0.35">
      <c r="S2446" s="881">
        <v>2442</v>
      </c>
      <c r="T2446" s="881" t="s">
        <v>4284</v>
      </c>
      <c r="U2446" s="881" t="s">
        <v>2940</v>
      </c>
      <c r="V2446" s="883">
        <f>$S$1*P!V2446</f>
        <v>0.30176000000000003</v>
      </c>
      <c r="W2446" s="780"/>
      <c r="X2446" s="881">
        <v>2442</v>
      </c>
      <c r="Y2446" s="881" t="s">
        <v>2248</v>
      </c>
      <c r="Z2446" s="881" t="s">
        <v>3123</v>
      </c>
      <c r="AA2446" s="890">
        <f>$S$1*P!AA2446</f>
        <v>12.372983870967744</v>
      </c>
      <c r="AB2446" s="780"/>
      <c r="AC2446" s="782">
        <v>2442</v>
      </c>
      <c r="AD2446" s="782" t="s">
        <v>4573</v>
      </c>
      <c r="AE2446" s="782" t="s">
        <v>2837</v>
      </c>
      <c r="AF2446" s="781">
        <f>$S$1*P!AF2446</f>
        <v>2.7556451612903228E-3</v>
      </c>
    </row>
    <row r="2447" spans="19:32" x14ac:dyDescent="0.35">
      <c r="S2447" s="881">
        <v>2443</v>
      </c>
      <c r="T2447" s="881" t="s">
        <v>4284</v>
      </c>
      <c r="U2447" s="881" t="s">
        <v>2938</v>
      </c>
      <c r="V2447" s="883">
        <f>$S$1*P!V2447</f>
        <v>2456.4</v>
      </c>
      <c r="W2447" s="780"/>
      <c r="X2447" s="782">
        <v>2443</v>
      </c>
      <c r="Y2447" s="782" t="s">
        <v>2248</v>
      </c>
      <c r="Z2447" s="782" t="s">
        <v>4045</v>
      </c>
      <c r="AA2447" s="781">
        <f>$S$1*P!AA2447</f>
        <v>8.8770161290322587E-7</v>
      </c>
      <c r="AB2447" s="780"/>
      <c r="AC2447" s="881">
        <v>2443</v>
      </c>
      <c r="AD2447" s="881" t="s">
        <v>4573</v>
      </c>
      <c r="AE2447" s="881" t="s">
        <v>2802</v>
      </c>
      <c r="AF2447" s="882">
        <f>$S$1*P!AF2447</f>
        <v>7.350799999999999E-2</v>
      </c>
    </row>
    <row r="2448" spans="19:32" x14ac:dyDescent="0.35">
      <c r="S2448" s="782">
        <v>2444</v>
      </c>
      <c r="T2448" s="782" t="s">
        <v>4284</v>
      </c>
      <c r="U2448" s="782" t="s">
        <v>2937</v>
      </c>
      <c r="V2448" s="797">
        <f>$S$1*P!V2448</f>
        <v>1.8473790322580646E-3</v>
      </c>
      <c r="W2448" s="780"/>
      <c r="X2448" s="782">
        <v>2444</v>
      </c>
      <c r="Y2448" s="782" t="s">
        <v>2248</v>
      </c>
      <c r="Z2448" s="782" t="s">
        <v>3515</v>
      </c>
      <c r="AA2448" s="781">
        <f>$S$1*P!AA2448</f>
        <v>1.891935483870968E-3</v>
      </c>
      <c r="AB2448" s="780"/>
      <c r="AC2448" s="782">
        <v>2444</v>
      </c>
      <c r="AD2448" s="782" t="s">
        <v>4573</v>
      </c>
      <c r="AE2448" s="782" t="s">
        <v>2835</v>
      </c>
      <c r="AF2448" s="781">
        <f>$S$1*P!AF2448</f>
        <v>3.0983870967741939E-3</v>
      </c>
    </row>
    <row r="2449" spans="19:32" x14ac:dyDescent="0.35">
      <c r="S2449" s="881">
        <v>2445</v>
      </c>
      <c r="T2449" s="881" t="s">
        <v>4284</v>
      </c>
      <c r="U2449" s="881" t="s">
        <v>2937</v>
      </c>
      <c r="V2449" s="883">
        <f>$S$1*P!V2449</f>
        <v>3.6983999999999995</v>
      </c>
      <c r="W2449" s="780"/>
      <c r="X2449" s="881">
        <v>2445</v>
      </c>
      <c r="Y2449" s="881" t="s">
        <v>2248</v>
      </c>
      <c r="Z2449" s="881" t="s">
        <v>4043</v>
      </c>
      <c r="AA2449" s="890">
        <f>$S$1*P!AA2449</f>
        <v>7.3689516129032268E-4</v>
      </c>
      <c r="AB2449" s="780"/>
      <c r="AC2449" s="782">
        <v>2445</v>
      </c>
      <c r="AD2449" s="782" t="s">
        <v>4573</v>
      </c>
      <c r="AE2449" s="782" t="s">
        <v>2832</v>
      </c>
      <c r="AF2449" s="781">
        <f>$S$1*P!AF2449</f>
        <v>7.4717741935483879</v>
      </c>
    </row>
    <row r="2450" spans="19:32" x14ac:dyDescent="0.35">
      <c r="S2450" s="881">
        <v>2446</v>
      </c>
      <c r="T2450" s="881" t="s">
        <v>4284</v>
      </c>
      <c r="U2450" s="881" t="s">
        <v>2935</v>
      </c>
      <c r="V2450" s="883">
        <f>$S$1*P!V2450</f>
        <v>0.65595999999999999</v>
      </c>
      <c r="W2450" s="780"/>
      <c r="X2450" s="881">
        <v>2446</v>
      </c>
      <c r="Y2450" s="881" t="s">
        <v>2248</v>
      </c>
      <c r="Z2450" s="881" t="s">
        <v>4042</v>
      </c>
      <c r="AA2450" s="890">
        <f>$S$1*P!AA2450</f>
        <v>6.4435483870967751E-3</v>
      </c>
      <c r="AB2450" s="780"/>
      <c r="AC2450" s="782">
        <v>2446</v>
      </c>
      <c r="AD2450" s="782" t="s">
        <v>4573</v>
      </c>
      <c r="AE2450" s="782" t="s">
        <v>2800</v>
      </c>
      <c r="AF2450" s="781">
        <f>$S$1*P!AF2450</f>
        <v>0.11550403225806452</v>
      </c>
    </row>
    <row r="2451" spans="19:32" x14ac:dyDescent="0.35">
      <c r="S2451" s="881">
        <v>2447</v>
      </c>
      <c r="T2451" s="881" t="s">
        <v>4284</v>
      </c>
      <c r="U2451" s="881" t="s">
        <v>2934</v>
      </c>
      <c r="V2451" s="883">
        <f>$S$1*P!V2451</f>
        <v>1.6927999999999999</v>
      </c>
      <c r="W2451" s="780"/>
      <c r="X2451" s="881">
        <v>2447</v>
      </c>
      <c r="Y2451" s="881" t="s">
        <v>2248</v>
      </c>
      <c r="Z2451" s="881" t="s">
        <v>4039</v>
      </c>
      <c r="AA2451" s="890">
        <f>$S$1*P!AA2451</f>
        <v>4.1471774193548391E-4</v>
      </c>
      <c r="AB2451" s="780"/>
      <c r="AC2451" s="881">
        <v>2447</v>
      </c>
      <c r="AD2451" s="881" t="s">
        <v>4573</v>
      </c>
      <c r="AE2451" s="881" t="s">
        <v>2800</v>
      </c>
      <c r="AF2451" s="882">
        <f>$S$1*P!AF2451</f>
        <v>8.1971999999999987</v>
      </c>
    </row>
    <row r="2452" spans="19:32" x14ac:dyDescent="0.35">
      <c r="S2452" s="881">
        <v>2448</v>
      </c>
      <c r="T2452" s="881" t="s">
        <v>4284</v>
      </c>
      <c r="U2452" s="881" t="s">
        <v>2932</v>
      </c>
      <c r="V2452" s="883">
        <f>$S$1*P!V2452</f>
        <v>113.16000000000001</v>
      </c>
      <c r="W2452" s="780"/>
      <c r="X2452" s="782">
        <v>2448</v>
      </c>
      <c r="Y2452" s="782" t="s">
        <v>2248</v>
      </c>
      <c r="Z2452" s="782" t="s">
        <v>3512</v>
      </c>
      <c r="AA2452" s="781">
        <f>$S$1*P!AA2452</f>
        <v>1.4977822580645163E-6</v>
      </c>
      <c r="AB2452" s="780"/>
      <c r="AC2452" s="881">
        <v>2448</v>
      </c>
      <c r="AD2452" s="881" t="s">
        <v>4573</v>
      </c>
      <c r="AE2452" s="881" t="s">
        <v>2798</v>
      </c>
      <c r="AF2452" s="882">
        <f>$S$1*P!AF2452</f>
        <v>0</v>
      </c>
    </row>
    <row r="2453" spans="19:32" x14ac:dyDescent="0.35">
      <c r="S2453" s="782">
        <v>2449</v>
      </c>
      <c r="T2453" s="782" t="s">
        <v>4284</v>
      </c>
      <c r="U2453" s="782" t="s">
        <v>2931</v>
      </c>
      <c r="V2453" s="797">
        <f>$S$1*P!V2453</f>
        <v>5.7237903225806452E-4</v>
      </c>
      <c r="W2453" s="780"/>
      <c r="X2453" s="881">
        <v>2449</v>
      </c>
      <c r="Y2453" s="881" t="s">
        <v>2248</v>
      </c>
      <c r="Z2453" s="881" t="s">
        <v>4036</v>
      </c>
      <c r="AA2453" s="890">
        <f>$S$1*P!AA2453</f>
        <v>2.0872983870967744E-2</v>
      </c>
      <c r="AB2453" s="780"/>
      <c r="AC2453" s="782">
        <v>2449</v>
      </c>
      <c r="AD2453" s="782" t="s">
        <v>4573</v>
      </c>
      <c r="AE2453" s="782" t="s">
        <v>2827</v>
      </c>
      <c r="AF2453" s="781">
        <f>$S$1*P!AF2453</f>
        <v>0.58266129032258074</v>
      </c>
    </row>
    <row r="2454" spans="19:32" x14ac:dyDescent="0.35">
      <c r="S2454" s="881">
        <v>2450</v>
      </c>
      <c r="T2454" s="881" t="s">
        <v>4284</v>
      </c>
      <c r="U2454" s="881" t="s">
        <v>2931</v>
      </c>
      <c r="V2454" s="883">
        <f>$S$1*P!V2454</f>
        <v>1.2144000000000001</v>
      </c>
      <c r="W2454" s="780"/>
      <c r="X2454" s="782">
        <v>2450</v>
      </c>
      <c r="Y2454" s="782" t="s">
        <v>2248</v>
      </c>
      <c r="Z2454" s="782" t="s">
        <v>4033</v>
      </c>
      <c r="AA2454" s="781">
        <f>$S$1*P!AA2454</f>
        <v>7.0604838709677426E-4</v>
      </c>
      <c r="AB2454" s="780"/>
      <c r="AC2454" s="782">
        <v>2450</v>
      </c>
      <c r="AD2454" s="782" t="s">
        <v>4573</v>
      </c>
      <c r="AE2454" s="782" t="s">
        <v>2824</v>
      </c>
      <c r="AF2454" s="781">
        <f>$S$1*P!AF2454</f>
        <v>16.657258064516132</v>
      </c>
    </row>
    <row r="2455" spans="19:32" x14ac:dyDescent="0.35">
      <c r="S2455" s="881">
        <v>2451</v>
      </c>
      <c r="T2455" s="881" t="s">
        <v>4284</v>
      </c>
      <c r="U2455" s="881" t="s">
        <v>2930</v>
      </c>
      <c r="V2455" s="883">
        <f>$S$1*P!V2455</f>
        <v>1.8308</v>
      </c>
      <c r="W2455" s="780"/>
      <c r="X2455" s="782">
        <v>2451</v>
      </c>
      <c r="Y2455" s="782" t="s">
        <v>2248</v>
      </c>
      <c r="Z2455" s="782" t="s">
        <v>5016</v>
      </c>
      <c r="AA2455" s="781">
        <f>$S$1*P!AA2455</f>
        <v>2.4403225806451616E-4</v>
      </c>
      <c r="AB2455" s="780"/>
      <c r="AC2455" s="881">
        <v>2451</v>
      </c>
      <c r="AD2455" s="881" t="s">
        <v>4573</v>
      </c>
      <c r="AE2455" s="881" t="s">
        <v>2797</v>
      </c>
      <c r="AF2455" s="882">
        <f>$S$1*P!AF2455</f>
        <v>2.3000000000000003</v>
      </c>
    </row>
    <row r="2456" spans="19:32" x14ac:dyDescent="0.35">
      <c r="S2456" s="782">
        <v>2452</v>
      </c>
      <c r="T2456" s="782" t="s">
        <v>4284</v>
      </c>
      <c r="U2456" s="782" t="s">
        <v>2928</v>
      </c>
      <c r="V2456" s="797">
        <f>$S$1*P!V2456</f>
        <v>5.5524193548387099E-3</v>
      </c>
      <c r="W2456" s="780"/>
      <c r="X2456" s="881">
        <v>2452</v>
      </c>
      <c r="Y2456" s="881" t="s">
        <v>2248</v>
      </c>
      <c r="Z2456" s="881" t="s">
        <v>3121</v>
      </c>
      <c r="AA2456" s="882">
        <f>$S$1*P!AA2456</f>
        <v>0</v>
      </c>
      <c r="AB2456" s="780"/>
      <c r="AC2456" s="782">
        <v>2452</v>
      </c>
      <c r="AD2456" s="782" t="s">
        <v>4573</v>
      </c>
      <c r="AE2456" s="782" t="s">
        <v>2822</v>
      </c>
      <c r="AF2456" s="781">
        <f>$S$1*P!AF2456</f>
        <v>2.0358870967741936E-2</v>
      </c>
    </row>
    <row r="2457" spans="19:32" x14ac:dyDescent="0.35">
      <c r="S2457" s="881">
        <v>2453</v>
      </c>
      <c r="T2457" s="881" t="s">
        <v>4284</v>
      </c>
      <c r="U2457" s="881" t="s">
        <v>2928</v>
      </c>
      <c r="V2457" s="883">
        <f>$S$1*P!V2457</f>
        <v>2.5944000000000003</v>
      </c>
      <c r="W2457" s="780"/>
      <c r="X2457" s="881">
        <v>2453</v>
      </c>
      <c r="Y2457" s="881" t="s">
        <v>2248</v>
      </c>
      <c r="Z2457" s="881" t="s">
        <v>4032</v>
      </c>
      <c r="AA2457" s="890">
        <f>$S$1*P!AA2457</f>
        <v>2.6631048387096776E-2</v>
      </c>
      <c r="AB2457" s="780"/>
      <c r="AC2457" s="881">
        <v>2453</v>
      </c>
      <c r="AD2457" s="881" t="s">
        <v>4573</v>
      </c>
      <c r="AE2457" s="881" t="s">
        <v>2796</v>
      </c>
      <c r="AF2457" s="882">
        <f>$S$1*P!AF2457</f>
        <v>0.33119999999999999</v>
      </c>
    </row>
    <row r="2458" spans="19:32" x14ac:dyDescent="0.35">
      <c r="S2458" s="881">
        <v>2454</v>
      </c>
      <c r="T2458" s="881" t="s">
        <v>4284</v>
      </c>
      <c r="U2458" s="881" t="s">
        <v>2927</v>
      </c>
      <c r="V2458" s="883">
        <f>$S$1*P!V2458</f>
        <v>11.040000000000001</v>
      </c>
      <c r="W2458" s="780"/>
      <c r="X2458" s="782">
        <v>2454</v>
      </c>
      <c r="Y2458" s="782" t="s">
        <v>2248</v>
      </c>
      <c r="Z2458" s="782" t="s">
        <v>5015</v>
      </c>
      <c r="AA2458" s="781">
        <f>$S$1*P!AA2458</f>
        <v>2.8858870967741937E-4</v>
      </c>
      <c r="AB2458" s="780"/>
      <c r="AC2458" s="782">
        <v>2454</v>
      </c>
      <c r="AD2458" s="782" t="s">
        <v>4573</v>
      </c>
      <c r="AE2458" s="782" t="s">
        <v>2819</v>
      </c>
      <c r="AF2458" s="781">
        <f>$S$1*P!AF2458</f>
        <v>1.7925403225806453</v>
      </c>
    </row>
    <row r="2459" spans="19:32" x14ac:dyDescent="0.35">
      <c r="S2459" s="881">
        <v>2455</v>
      </c>
      <c r="T2459" s="881" t="s">
        <v>4284</v>
      </c>
      <c r="U2459" s="881" t="s">
        <v>2925</v>
      </c>
      <c r="V2459" s="883">
        <f>$S$1*P!V2459</f>
        <v>1.5271999999999999</v>
      </c>
      <c r="W2459" s="780"/>
      <c r="X2459" s="782">
        <v>2455</v>
      </c>
      <c r="Y2459" s="782" t="s">
        <v>2248</v>
      </c>
      <c r="Z2459" s="782" t="s">
        <v>4029</v>
      </c>
      <c r="AA2459" s="781">
        <f>$S$1*P!AA2459</f>
        <v>6.2379032258064522E-2</v>
      </c>
      <c r="AB2459" s="780"/>
      <c r="AC2459" s="782">
        <v>2455</v>
      </c>
      <c r="AD2459" s="782" t="s">
        <v>4573</v>
      </c>
      <c r="AE2459" s="782" t="s">
        <v>2795</v>
      </c>
      <c r="AF2459" s="781">
        <f>$S$1*P!AF2459</f>
        <v>7.0262096774193553E-2</v>
      </c>
    </row>
    <row r="2460" spans="19:32" x14ac:dyDescent="0.35">
      <c r="S2460" s="881">
        <v>2456</v>
      </c>
      <c r="T2460" s="881" t="s">
        <v>4284</v>
      </c>
      <c r="U2460" s="881" t="s">
        <v>2924</v>
      </c>
      <c r="V2460" s="883">
        <f>$S$1*P!V2460</f>
        <v>25.391999999999999</v>
      </c>
      <c r="W2460" s="780"/>
      <c r="X2460" s="782">
        <v>2456</v>
      </c>
      <c r="Y2460" s="782" t="s">
        <v>2248</v>
      </c>
      <c r="Z2460" s="782" t="s">
        <v>4027</v>
      </c>
      <c r="AA2460" s="781">
        <f>$S$1*P!AA2460</f>
        <v>153.54838709677421</v>
      </c>
      <c r="AB2460" s="780"/>
      <c r="AC2460" s="881">
        <v>2456</v>
      </c>
      <c r="AD2460" s="881" t="s">
        <v>4573</v>
      </c>
      <c r="AE2460" s="881" t="s">
        <v>2795</v>
      </c>
      <c r="AF2460" s="882">
        <f>$S$1*P!AF2460</f>
        <v>0</v>
      </c>
    </row>
    <row r="2461" spans="19:32" x14ac:dyDescent="0.35">
      <c r="S2461" s="881">
        <v>2457</v>
      </c>
      <c r="T2461" s="881" t="s">
        <v>4284</v>
      </c>
      <c r="U2461" s="881" t="s">
        <v>2922</v>
      </c>
      <c r="V2461" s="883">
        <f>$S$1*P!V2461</f>
        <v>3.0728</v>
      </c>
      <c r="W2461" s="780"/>
      <c r="X2461" s="782">
        <v>2457</v>
      </c>
      <c r="Y2461" s="782" t="s">
        <v>2248</v>
      </c>
      <c r="Z2461" s="782" t="s">
        <v>4025</v>
      </c>
      <c r="AA2461" s="781">
        <f>$S$1*P!AA2461</f>
        <v>7.4032258064516136E-4</v>
      </c>
      <c r="AB2461" s="780"/>
      <c r="AC2461" s="782">
        <v>2457</v>
      </c>
      <c r="AD2461" s="782" t="s">
        <v>4573</v>
      </c>
      <c r="AE2461" s="782" t="s">
        <v>2814</v>
      </c>
      <c r="AF2461" s="781">
        <f>$S$1*P!AF2461</f>
        <v>4.5927419354838711E-2</v>
      </c>
    </row>
    <row r="2462" spans="19:32" x14ac:dyDescent="0.35">
      <c r="S2462" s="881">
        <v>2458</v>
      </c>
      <c r="T2462" s="881" t="s">
        <v>4284</v>
      </c>
      <c r="U2462" s="881" t="s">
        <v>2921</v>
      </c>
      <c r="V2462" s="883">
        <f>$S$1*P!V2462</f>
        <v>1.3156000000000001</v>
      </c>
      <c r="W2462" s="780"/>
      <c r="X2462" s="782">
        <v>2458</v>
      </c>
      <c r="Y2462" s="782" t="s">
        <v>2248</v>
      </c>
      <c r="Z2462" s="782" t="s">
        <v>5014</v>
      </c>
      <c r="AA2462" s="781">
        <f>$S$1*P!AA2462</f>
        <v>8.7056451612903235E-2</v>
      </c>
      <c r="AB2462" s="780"/>
      <c r="AC2462" s="782">
        <v>2458</v>
      </c>
      <c r="AD2462" s="782" t="s">
        <v>4573</v>
      </c>
      <c r="AE2462" s="782" t="s">
        <v>2812</v>
      </c>
      <c r="AF2462" s="781">
        <f>$S$1*P!AF2462</f>
        <v>2.2963709677419355</v>
      </c>
    </row>
    <row r="2463" spans="19:32" x14ac:dyDescent="0.35">
      <c r="S2463" s="881">
        <v>2459</v>
      </c>
      <c r="T2463" s="881" t="s">
        <v>4284</v>
      </c>
      <c r="U2463" s="881" t="s">
        <v>2919</v>
      </c>
      <c r="V2463" s="883">
        <f>$S$1*P!V2463</f>
        <v>18.400000000000002</v>
      </c>
      <c r="W2463" s="780"/>
      <c r="X2463" s="782">
        <v>2459</v>
      </c>
      <c r="Y2463" s="782" t="s">
        <v>2248</v>
      </c>
      <c r="Z2463" s="782" t="s">
        <v>4021</v>
      </c>
      <c r="AA2463" s="781">
        <f>$S$1*P!AA2463</f>
        <v>4.1471774193548392E-3</v>
      </c>
      <c r="AB2463" s="780"/>
      <c r="AC2463" s="782">
        <v>2459</v>
      </c>
      <c r="AD2463" s="782" t="s">
        <v>4573</v>
      </c>
      <c r="AE2463" s="782" t="s">
        <v>2809</v>
      </c>
      <c r="AF2463" s="781">
        <f>$S$1*P!AF2463</f>
        <v>3.9072580645161294</v>
      </c>
    </row>
    <row r="2464" spans="19:32" x14ac:dyDescent="0.35">
      <c r="S2464" s="881">
        <v>2460</v>
      </c>
      <c r="T2464" s="881" t="s">
        <v>4284</v>
      </c>
      <c r="U2464" s="881" t="s">
        <v>2918</v>
      </c>
      <c r="V2464" s="883">
        <f>$S$1*P!V2464</f>
        <v>0.52991999999999995</v>
      </c>
      <c r="W2464" s="780"/>
      <c r="X2464" s="782">
        <v>2460</v>
      </c>
      <c r="Y2464" s="782" t="s">
        <v>2248</v>
      </c>
      <c r="Z2464" s="782" t="s">
        <v>4020</v>
      </c>
      <c r="AA2464" s="781">
        <f>$S$1*P!AA2464</f>
        <v>4.7641129032258069E-6</v>
      </c>
      <c r="AB2464" s="780"/>
      <c r="AC2464" s="782">
        <v>2460</v>
      </c>
      <c r="AD2464" s="782" t="s">
        <v>4573</v>
      </c>
      <c r="AE2464" s="782" t="s">
        <v>2806</v>
      </c>
      <c r="AF2464" s="781">
        <f>$S$1*P!AF2464</f>
        <v>0.25020161290322585</v>
      </c>
    </row>
    <row r="2465" spans="19:32" x14ac:dyDescent="0.35">
      <c r="S2465" s="881">
        <v>2461</v>
      </c>
      <c r="T2465" s="881" t="s">
        <v>4284</v>
      </c>
      <c r="U2465" s="881" t="s">
        <v>2917</v>
      </c>
      <c r="V2465" s="883">
        <f>$S$1*P!V2465</f>
        <v>0</v>
      </c>
      <c r="W2465" s="780"/>
      <c r="X2465" s="782">
        <v>2461</v>
      </c>
      <c r="Y2465" s="782" t="s">
        <v>2248</v>
      </c>
      <c r="Z2465" s="782" t="s">
        <v>3507</v>
      </c>
      <c r="AA2465" s="781">
        <f>$S$1*P!AA2465</f>
        <v>0.46955645161290327</v>
      </c>
      <c r="AB2465" s="780"/>
      <c r="AC2465" s="782">
        <v>2461</v>
      </c>
      <c r="AD2465" s="782" t="s">
        <v>4573</v>
      </c>
      <c r="AE2465" s="782" t="s">
        <v>2793</v>
      </c>
      <c r="AF2465" s="781">
        <f>$S$1*P!AF2465</f>
        <v>0.12064516129032259</v>
      </c>
    </row>
    <row r="2466" spans="19:32" x14ac:dyDescent="0.35">
      <c r="S2466" s="881">
        <v>2462</v>
      </c>
      <c r="T2466" s="881" t="s">
        <v>4284</v>
      </c>
      <c r="U2466" s="881" t="s">
        <v>2915</v>
      </c>
      <c r="V2466" s="883">
        <f>$S$1*P!V2466</f>
        <v>0</v>
      </c>
      <c r="W2466" s="780"/>
      <c r="X2466" s="881">
        <v>2462</v>
      </c>
      <c r="Y2466" s="881" t="s">
        <v>2248</v>
      </c>
      <c r="Z2466" s="881" t="s">
        <v>3120</v>
      </c>
      <c r="AA2466" s="882">
        <f>$S$1*P!AA2466</f>
        <v>0</v>
      </c>
      <c r="AB2466" s="780"/>
      <c r="AC2466" s="881">
        <v>2462</v>
      </c>
      <c r="AD2466" s="881" t="s">
        <v>4573</v>
      </c>
      <c r="AE2466" s="881" t="s">
        <v>2793</v>
      </c>
      <c r="AF2466" s="882">
        <f>$S$1*P!AF2466</f>
        <v>0</v>
      </c>
    </row>
    <row r="2467" spans="19:32" x14ac:dyDescent="0.35">
      <c r="S2467" s="881">
        <v>2463</v>
      </c>
      <c r="T2467" s="881" t="s">
        <v>4284</v>
      </c>
      <c r="U2467" s="881" t="s">
        <v>2914</v>
      </c>
      <c r="V2467" s="883">
        <f>$S$1*P!V2467</f>
        <v>0</v>
      </c>
      <c r="W2467" s="780"/>
      <c r="X2467" s="782">
        <v>2463</v>
      </c>
      <c r="Y2467" s="782" t="s">
        <v>2248</v>
      </c>
      <c r="Z2467" s="782" t="s">
        <v>4019</v>
      </c>
      <c r="AA2467" s="781">
        <f>$S$1*P!AA2467</f>
        <v>1.0042338709677419E-3</v>
      </c>
      <c r="AB2467" s="780"/>
      <c r="AC2467" s="782">
        <v>2463</v>
      </c>
      <c r="AD2467" s="782" t="s">
        <v>4573</v>
      </c>
      <c r="AE2467" s="782" t="s">
        <v>2801</v>
      </c>
      <c r="AF2467" s="781">
        <f>$S$1*P!AF2467</f>
        <v>4.2842741935483876E-3</v>
      </c>
    </row>
    <row r="2468" spans="19:32" x14ac:dyDescent="0.35">
      <c r="S2468" s="782">
        <v>2464</v>
      </c>
      <c r="T2468" s="782" t="s">
        <v>4284</v>
      </c>
      <c r="U2468" s="782" t="s">
        <v>2912</v>
      </c>
      <c r="V2468" s="797">
        <f>$S$1*P!V2468</f>
        <v>6.8205645161290324E-2</v>
      </c>
      <c r="W2468" s="780"/>
      <c r="X2468" s="782">
        <v>2464</v>
      </c>
      <c r="Y2468" s="782" t="s">
        <v>2248</v>
      </c>
      <c r="Z2468" s="782" t="s">
        <v>5013</v>
      </c>
      <c r="AA2468" s="781">
        <f>$S$1*P!AA2468</f>
        <v>4.7298387096774197E-2</v>
      </c>
      <c r="AB2468" s="780"/>
      <c r="AC2468" s="782">
        <v>2464</v>
      </c>
      <c r="AD2468" s="782" t="s">
        <v>4573</v>
      </c>
      <c r="AE2468" s="782" t="s">
        <v>2799</v>
      </c>
      <c r="AF2468" s="781">
        <f>$S$1*P!AF2468</f>
        <v>0.32457661290322581</v>
      </c>
    </row>
    <row r="2469" spans="19:32" x14ac:dyDescent="0.35">
      <c r="S2469" s="881">
        <v>2465</v>
      </c>
      <c r="T2469" s="881" t="s">
        <v>4284</v>
      </c>
      <c r="U2469" s="881" t="s">
        <v>2912</v>
      </c>
      <c r="V2469" s="883">
        <f>$S$1*P!V2469</f>
        <v>0.97520000000000007</v>
      </c>
      <c r="W2469" s="780"/>
      <c r="X2469" s="881">
        <v>2465</v>
      </c>
      <c r="Y2469" s="881" t="s">
        <v>2248</v>
      </c>
      <c r="Z2469" s="881" t="s">
        <v>3118</v>
      </c>
      <c r="AA2469" s="882">
        <f>$S$1*P!AA2469</f>
        <v>0.10212</v>
      </c>
      <c r="AB2469" s="780"/>
      <c r="AC2469" s="782">
        <v>2465</v>
      </c>
      <c r="AD2469" s="782" t="s">
        <v>4573</v>
      </c>
      <c r="AE2469" s="782" t="s">
        <v>2792</v>
      </c>
      <c r="AF2469" s="781">
        <f>$S$1*P!AF2469</f>
        <v>5.5181451612903226E-3</v>
      </c>
    </row>
    <row r="2470" spans="19:32" x14ac:dyDescent="0.35">
      <c r="S2470" s="782">
        <v>2466</v>
      </c>
      <c r="T2470" s="782" t="s">
        <v>4284</v>
      </c>
      <c r="U2470" s="782" t="s">
        <v>3314</v>
      </c>
      <c r="V2470" s="797">
        <f>$S$1*P!V2470</f>
        <v>3.7701612903225811E-4</v>
      </c>
      <c r="W2470" s="780"/>
      <c r="X2470" s="782">
        <v>2466</v>
      </c>
      <c r="Y2470" s="782" t="s">
        <v>2248</v>
      </c>
      <c r="Z2470" s="782" t="s">
        <v>4016</v>
      </c>
      <c r="AA2470" s="781">
        <f>$S$1*P!AA2470</f>
        <v>0.16657258064516131</v>
      </c>
      <c r="AB2470" s="780"/>
      <c r="AC2470" s="881">
        <v>2466</v>
      </c>
      <c r="AD2470" s="881" t="s">
        <v>4573</v>
      </c>
      <c r="AE2470" s="881" t="s">
        <v>2792</v>
      </c>
      <c r="AF2470" s="890">
        <f>$S$1*P!AF2470</f>
        <v>0.30360000000000004</v>
      </c>
    </row>
    <row r="2471" spans="19:32" x14ac:dyDescent="0.35">
      <c r="S2471" s="782">
        <v>2467</v>
      </c>
      <c r="T2471" s="782" t="s">
        <v>4284</v>
      </c>
      <c r="U2471" s="782" t="s">
        <v>3311</v>
      </c>
      <c r="V2471" s="797">
        <f>$S$1*P!V2471</f>
        <v>2.0667338709677422E-4</v>
      </c>
      <c r="W2471" s="780"/>
      <c r="X2471" s="782">
        <v>2467</v>
      </c>
      <c r="Y2471" s="782" t="s">
        <v>2248</v>
      </c>
      <c r="Z2471" s="782" t="s">
        <v>4015</v>
      </c>
      <c r="AA2471" s="781">
        <f>$S$1*P!AA2471</f>
        <v>2.5122983870967746</v>
      </c>
      <c r="AB2471" s="780"/>
      <c r="AC2471" s="782">
        <v>2467</v>
      </c>
      <c r="AD2471" s="782" t="s">
        <v>4573</v>
      </c>
      <c r="AE2471" s="782" t="s">
        <v>2794</v>
      </c>
      <c r="AF2471" s="781">
        <f>$S$1*P!AF2471</f>
        <v>0.73004032258064522</v>
      </c>
    </row>
    <row r="2472" spans="19:32" x14ac:dyDescent="0.35">
      <c r="S2472" s="782">
        <v>2468</v>
      </c>
      <c r="T2472" s="782" t="s">
        <v>4284</v>
      </c>
      <c r="U2472" s="782" t="s">
        <v>3308</v>
      </c>
      <c r="V2472" s="797">
        <f>$S$1*P!V2472</f>
        <v>1.6143145161290325E-3</v>
      </c>
      <c r="W2472" s="780"/>
      <c r="X2472" s="782">
        <v>2468</v>
      </c>
      <c r="Y2472" s="782" t="s">
        <v>2248</v>
      </c>
      <c r="Z2472" s="782" t="s">
        <v>5012</v>
      </c>
      <c r="AA2472" s="781">
        <f>$S$1*P!AA2472</f>
        <v>7.4375000000000004E-6</v>
      </c>
      <c r="AB2472" s="780"/>
      <c r="AC2472" s="782">
        <v>2468</v>
      </c>
      <c r="AD2472" s="782" t="s">
        <v>4573</v>
      </c>
      <c r="AE2472" s="782" t="s">
        <v>2791</v>
      </c>
      <c r="AF2472" s="781">
        <f>$S$1*P!AF2472</f>
        <v>8.2600806451612918</v>
      </c>
    </row>
    <row r="2473" spans="19:32" x14ac:dyDescent="0.35">
      <c r="S2473" s="782">
        <v>2469</v>
      </c>
      <c r="T2473" s="782" t="s">
        <v>4284</v>
      </c>
      <c r="U2473" s="782" t="s">
        <v>2911</v>
      </c>
      <c r="V2473" s="797">
        <f>$S$1*P!V2473</f>
        <v>2.1661290322580649E-4</v>
      </c>
      <c r="W2473" s="780"/>
      <c r="X2473" s="782">
        <v>2469</v>
      </c>
      <c r="Y2473" s="782" t="s">
        <v>2248</v>
      </c>
      <c r="Z2473" s="782" t="s">
        <v>4012</v>
      </c>
      <c r="AA2473" s="781">
        <f>$S$1*P!AA2473</f>
        <v>9.3568548387096776E-3</v>
      </c>
      <c r="AB2473" s="780"/>
      <c r="AC2473" s="782">
        <v>2469</v>
      </c>
      <c r="AD2473" s="782" t="s">
        <v>4573</v>
      </c>
      <c r="AE2473" s="782" t="s">
        <v>2790</v>
      </c>
      <c r="AF2473" s="781">
        <f>$S$1*P!AF2473</f>
        <v>1.7788306451612905</v>
      </c>
    </row>
    <row r="2474" spans="19:32" x14ac:dyDescent="0.35">
      <c r="S2474" s="881">
        <v>2470</v>
      </c>
      <c r="T2474" s="881" t="s">
        <v>4284</v>
      </c>
      <c r="U2474" s="881" t="s">
        <v>2911</v>
      </c>
      <c r="V2474" s="883">
        <f>$S$1*P!V2474</f>
        <v>0</v>
      </c>
      <c r="W2474" s="780"/>
      <c r="X2474" s="782">
        <v>2470</v>
      </c>
      <c r="Y2474" s="782" t="s">
        <v>2248</v>
      </c>
      <c r="Z2474" s="782" t="s">
        <v>4009</v>
      </c>
      <c r="AA2474" s="781">
        <f>$S$1*P!AA2474</f>
        <v>6.8548387096774195E-3</v>
      </c>
      <c r="AB2474" s="780"/>
      <c r="AC2474" s="881">
        <v>2470</v>
      </c>
      <c r="AD2474" s="881" t="s">
        <v>4573</v>
      </c>
      <c r="AE2474" s="881" t="s">
        <v>2790</v>
      </c>
      <c r="AF2474" s="890">
        <f>$S$1*P!AF2474</f>
        <v>0</v>
      </c>
    </row>
    <row r="2475" spans="19:32" x14ac:dyDescent="0.35">
      <c r="S2475" s="782">
        <v>2471</v>
      </c>
      <c r="T2475" s="782" t="s">
        <v>4284</v>
      </c>
      <c r="U2475" s="782" t="s">
        <v>3304</v>
      </c>
      <c r="V2475" s="797">
        <f>$S$1*P!V2475</f>
        <v>6.1693548387096783E-3</v>
      </c>
      <c r="W2475" s="780"/>
      <c r="X2475" s="782">
        <v>2471</v>
      </c>
      <c r="Y2475" s="782" t="s">
        <v>2248</v>
      </c>
      <c r="Z2475" s="782" t="s">
        <v>5011</v>
      </c>
      <c r="AA2475" s="781">
        <f>$S$1*P!AA2475</f>
        <v>2.2209677419354841E-6</v>
      </c>
      <c r="AB2475" s="780"/>
      <c r="AC2475" s="782">
        <v>2471</v>
      </c>
      <c r="AD2475" s="782" t="s">
        <v>4573</v>
      </c>
      <c r="AE2475" s="782" t="s">
        <v>2788</v>
      </c>
      <c r="AF2475" s="781">
        <f>$S$1*P!AF2475</f>
        <v>5.6895161290322594E-4</v>
      </c>
    </row>
    <row r="2476" spans="19:32" x14ac:dyDescent="0.35">
      <c r="S2476" s="782">
        <v>2472</v>
      </c>
      <c r="T2476" s="782" t="s">
        <v>4284</v>
      </c>
      <c r="U2476" s="782" t="s">
        <v>3301</v>
      </c>
      <c r="V2476" s="797">
        <f>$S$1*P!V2476</f>
        <v>2.872177419354839E-4</v>
      </c>
      <c r="W2476" s="780"/>
      <c r="X2476" s="782">
        <v>2472</v>
      </c>
      <c r="Y2476" s="782" t="s">
        <v>2248</v>
      </c>
      <c r="Z2476" s="782" t="s">
        <v>4006</v>
      </c>
      <c r="AA2476" s="781">
        <f>$S$1*P!AA2476</f>
        <v>8.054435483870968E-3</v>
      </c>
      <c r="AB2476" s="780"/>
      <c r="AC2476" s="782">
        <v>2472</v>
      </c>
      <c r="AD2476" s="782" t="s">
        <v>4573</v>
      </c>
      <c r="AE2476" s="782" t="s">
        <v>2785</v>
      </c>
      <c r="AF2476" s="781">
        <f>$S$1*P!AF2476</f>
        <v>8.1915322580645173E-3</v>
      </c>
    </row>
    <row r="2477" spans="19:32" x14ac:dyDescent="0.35">
      <c r="S2477" s="782">
        <v>2473</v>
      </c>
      <c r="T2477" s="782" t="s">
        <v>4284</v>
      </c>
      <c r="U2477" s="782" t="s">
        <v>3298</v>
      </c>
      <c r="V2477" s="797">
        <f>$S$1*P!V2477</f>
        <v>1.723991935483871E-2</v>
      </c>
      <c r="W2477" s="780"/>
      <c r="X2477" s="782">
        <v>2473</v>
      </c>
      <c r="Y2477" s="782" t="s">
        <v>2248</v>
      </c>
      <c r="Z2477" s="782" t="s">
        <v>4004</v>
      </c>
      <c r="AA2477" s="781">
        <f>$S$1*P!AA2477</f>
        <v>5.758064516129033E-3</v>
      </c>
      <c r="AB2477" s="780"/>
      <c r="AC2477" s="782">
        <v>2473</v>
      </c>
      <c r="AD2477" s="782" t="s">
        <v>4573</v>
      </c>
      <c r="AE2477" s="782" t="s">
        <v>2782</v>
      </c>
      <c r="AF2477" s="781">
        <f>$S$1*P!AF2477</f>
        <v>5.8951612903225814E-2</v>
      </c>
    </row>
    <row r="2478" spans="19:32" x14ac:dyDescent="0.35">
      <c r="S2478" s="782">
        <v>2474</v>
      </c>
      <c r="T2478" s="782" t="s">
        <v>4284</v>
      </c>
      <c r="U2478" s="782" t="s">
        <v>3295</v>
      </c>
      <c r="V2478" s="797">
        <f>$S$1*P!V2478</f>
        <v>1.0693548387096775E-3</v>
      </c>
      <c r="W2478" s="780"/>
      <c r="X2478" s="782">
        <v>2474</v>
      </c>
      <c r="Y2478" s="782" t="s">
        <v>2248</v>
      </c>
      <c r="Z2478" s="782" t="s">
        <v>5010</v>
      </c>
      <c r="AA2478" s="781">
        <f>$S$1*P!AA2478</f>
        <v>7.2318548387096783E-3</v>
      </c>
      <c r="AB2478" s="780"/>
      <c r="AC2478" s="881">
        <v>2474</v>
      </c>
      <c r="AD2478" s="881" t="s">
        <v>4573</v>
      </c>
      <c r="AE2478" s="881" t="s">
        <v>2782</v>
      </c>
      <c r="AF2478" s="890">
        <f>$S$1*P!AF2478</f>
        <v>1499.6</v>
      </c>
    </row>
    <row r="2479" spans="19:32" x14ac:dyDescent="0.35">
      <c r="S2479" s="782">
        <v>2475</v>
      </c>
      <c r="T2479" s="782" t="s">
        <v>4284</v>
      </c>
      <c r="U2479" s="782" t="s">
        <v>3292</v>
      </c>
      <c r="V2479" s="797">
        <f>$S$1*P!V2479</f>
        <v>0.14532258064516129</v>
      </c>
      <c r="W2479" s="780"/>
      <c r="X2479" s="881">
        <v>2475</v>
      </c>
      <c r="Y2479" s="881" t="s">
        <v>2248</v>
      </c>
      <c r="Z2479" s="881" t="s">
        <v>3116</v>
      </c>
      <c r="AA2479" s="882">
        <f>$S$1*P!AA2479</f>
        <v>0</v>
      </c>
      <c r="AB2479" s="780"/>
      <c r="AC2479" s="881">
        <v>2475</v>
      </c>
      <c r="AD2479" s="881" t="s">
        <v>4573</v>
      </c>
      <c r="AE2479" s="881" t="s">
        <v>2789</v>
      </c>
      <c r="AF2479" s="890">
        <f>$S$1*P!AF2479</f>
        <v>122360</v>
      </c>
    </row>
    <row r="2480" spans="19:32" x14ac:dyDescent="0.35">
      <c r="S2480" s="782">
        <v>2476</v>
      </c>
      <c r="T2480" s="782" t="s">
        <v>4284</v>
      </c>
      <c r="U2480" s="782" t="s">
        <v>3290</v>
      </c>
      <c r="V2480" s="797">
        <f>$S$1*P!V2480</f>
        <v>4.215725806451613E-3</v>
      </c>
      <c r="W2480" s="780"/>
      <c r="X2480" s="782">
        <v>2476</v>
      </c>
      <c r="Y2480" s="782" t="s">
        <v>2248</v>
      </c>
      <c r="Z2480" s="782" t="s">
        <v>3116</v>
      </c>
      <c r="AA2480" s="781">
        <f>$S$1*P!AA2480</f>
        <v>8.6713709677419357E-2</v>
      </c>
      <c r="AB2480" s="780"/>
      <c r="AC2480" s="881">
        <v>2476</v>
      </c>
      <c r="AD2480" s="881" t="s">
        <v>4573</v>
      </c>
      <c r="AE2480" s="881" t="s">
        <v>2787</v>
      </c>
      <c r="AF2480" s="890">
        <f>$S$1*P!AF2480</f>
        <v>0</v>
      </c>
    </row>
    <row r="2481" spans="19:32" x14ac:dyDescent="0.35">
      <c r="S2481" s="782">
        <v>2477</v>
      </c>
      <c r="T2481" s="782" t="s">
        <v>4284</v>
      </c>
      <c r="U2481" s="782" t="s">
        <v>3287</v>
      </c>
      <c r="V2481" s="797">
        <f>$S$1*P!V2481</f>
        <v>2.210685483870968E-2</v>
      </c>
      <c r="W2481" s="780"/>
      <c r="X2481" s="782">
        <v>2477</v>
      </c>
      <c r="Y2481" s="782" t="s">
        <v>2248</v>
      </c>
      <c r="Z2481" s="782" t="s">
        <v>4001</v>
      </c>
      <c r="AA2481" s="781">
        <f>$S$1*P!AA2481</f>
        <v>0.10659274193548388</v>
      </c>
      <c r="AB2481" s="780"/>
      <c r="AC2481" s="782">
        <v>2477</v>
      </c>
      <c r="AD2481" s="782" t="s">
        <v>4573</v>
      </c>
      <c r="AE2481" s="782" t="s">
        <v>2780</v>
      </c>
      <c r="AF2481" s="781">
        <f>$S$1*P!AF2481</f>
        <v>6.9233870967741939</v>
      </c>
    </row>
    <row r="2482" spans="19:32" x14ac:dyDescent="0.35">
      <c r="S2482" s="782">
        <v>2478</v>
      </c>
      <c r="T2482" s="782" t="s">
        <v>4284</v>
      </c>
      <c r="U2482" s="782" t="s">
        <v>3284</v>
      </c>
      <c r="V2482" s="797">
        <f>$S$1*P!V2482</f>
        <v>1.0796370967741937E-4</v>
      </c>
      <c r="W2482" s="780"/>
      <c r="X2482" s="782">
        <v>2478</v>
      </c>
      <c r="Y2482" s="782" t="s">
        <v>2248</v>
      </c>
      <c r="Z2482" s="782" t="s">
        <v>3503</v>
      </c>
      <c r="AA2482" s="781">
        <f>$S$1*P!AA2482</f>
        <v>2.1215725806451615E-2</v>
      </c>
      <c r="AB2482" s="780"/>
      <c r="AC2482" s="782">
        <v>2478</v>
      </c>
      <c r="AD2482" s="782" t="s">
        <v>4573</v>
      </c>
      <c r="AE2482" s="782" t="s">
        <v>2779</v>
      </c>
      <c r="AF2482" s="781">
        <f>$S$1*P!AF2482</f>
        <v>1.206451612903226E-2</v>
      </c>
    </row>
    <row r="2483" spans="19:32" x14ac:dyDescent="0.35">
      <c r="S2483" s="782">
        <v>2479</v>
      </c>
      <c r="T2483" s="782" t="s">
        <v>4284</v>
      </c>
      <c r="U2483" s="782" t="s">
        <v>3281</v>
      </c>
      <c r="V2483" s="797">
        <f>$S$1*P!V2483</f>
        <v>3.2766129032258068E-5</v>
      </c>
      <c r="W2483" s="780"/>
      <c r="X2483" s="782">
        <v>2479</v>
      </c>
      <c r="Y2483" s="782" t="s">
        <v>2248</v>
      </c>
      <c r="Z2483" s="782" t="s">
        <v>4000</v>
      </c>
      <c r="AA2483" s="781">
        <f>$S$1*P!AA2483</f>
        <v>11.207661290322582</v>
      </c>
      <c r="AB2483" s="780"/>
      <c r="AC2483" s="782">
        <v>2479</v>
      </c>
      <c r="AD2483" s="782" t="s">
        <v>4573</v>
      </c>
      <c r="AE2483" s="782" t="s">
        <v>2776</v>
      </c>
      <c r="AF2483" s="781">
        <f>$S$1*P!AF2483</f>
        <v>0.20975806451612905</v>
      </c>
    </row>
    <row r="2484" spans="19:32" x14ac:dyDescent="0.35">
      <c r="S2484" s="782">
        <v>2480</v>
      </c>
      <c r="T2484" s="782" t="s">
        <v>4284</v>
      </c>
      <c r="U2484" s="782" t="s">
        <v>3279</v>
      </c>
      <c r="V2484" s="797">
        <f>$S$1*P!V2484</f>
        <v>1.3161290322580646E-4</v>
      </c>
      <c r="W2484" s="780"/>
      <c r="X2484" s="782">
        <v>2480</v>
      </c>
      <c r="Y2484" s="782" t="s">
        <v>2248</v>
      </c>
      <c r="Z2484" s="782" t="s">
        <v>3997</v>
      </c>
      <c r="AA2484" s="781">
        <f>$S$1*P!AA2484</f>
        <v>4.8669354838709683E-2</v>
      </c>
      <c r="AB2484" s="780"/>
      <c r="AC2484" s="782">
        <v>2480</v>
      </c>
      <c r="AD2484" s="782" t="s">
        <v>4573</v>
      </c>
      <c r="AE2484" s="782" t="s">
        <v>2774</v>
      </c>
      <c r="AF2484" s="781">
        <f>$S$1*P!AF2484</f>
        <v>0.20667338709677421</v>
      </c>
    </row>
    <row r="2485" spans="19:32" x14ac:dyDescent="0.35">
      <c r="S2485" s="881">
        <v>2481</v>
      </c>
      <c r="T2485" s="881" t="s">
        <v>4284</v>
      </c>
      <c r="U2485" s="881" t="s">
        <v>2909</v>
      </c>
      <c r="V2485" s="883">
        <f>$S$1*P!V2485</f>
        <v>385.48</v>
      </c>
      <c r="W2485" s="780"/>
      <c r="X2485" s="782">
        <v>2481</v>
      </c>
      <c r="Y2485" s="782" t="s">
        <v>2248</v>
      </c>
      <c r="Z2485" s="782" t="s">
        <v>5009</v>
      </c>
      <c r="AA2485" s="781">
        <f>$S$1*P!AA2485</f>
        <v>0.26802419354838714</v>
      </c>
      <c r="AB2485" s="780"/>
      <c r="AC2485" s="782">
        <v>2481</v>
      </c>
      <c r="AD2485" s="782" t="s">
        <v>4573</v>
      </c>
      <c r="AE2485" s="782" t="s">
        <v>2772</v>
      </c>
      <c r="AF2485" s="781">
        <f>$S$1*P!AF2485</f>
        <v>1.0110887096774194E-2</v>
      </c>
    </row>
    <row r="2486" spans="19:32" x14ac:dyDescent="0.35">
      <c r="S2486" s="782">
        <v>2482</v>
      </c>
      <c r="T2486" s="782" t="s">
        <v>4284</v>
      </c>
      <c r="U2486" s="782" t="s">
        <v>2908</v>
      </c>
      <c r="V2486" s="797">
        <f>$S$1*P!V2486</f>
        <v>1.0830645161290324E-3</v>
      </c>
      <c r="W2486" s="780"/>
      <c r="X2486" s="782">
        <v>2482</v>
      </c>
      <c r="Y2486" s="782" t="s">
        <v>2248</v>
      </c>
      <c r="Z2486" s="782" t="s">
        <v>3996</v>
      </c>
      <c r="AA2486" s="781">
        <f>$S$1*P!AA2486</f>
        <v>0.11824596774193549</v>
      </c>
      <c r="AB2486" s="780"/>
      <c r="AC2486" s="881">
        <v>2482</v>
      </c>
      <c r="AD2486" s="881" t="s">
        <v>4573</v>
      </c>
      <c r="AE2486" s="881" t="s">
        <v>2786</v>
      </c>
      <c r="AF2486" s="890">
        <f>$S$1*P!AF2486</f>
        <v>125.12</v>
      </c>
    </row>
    <row r="2487" spans="19:32" x14ac:dyDescent="0.35">
      <c r="S2487" s="881">
        <v>2483</v>
      </c>
      <c r="T2487" s="881" t="s">
        <v>4284</v>
      </c>
      <c r="U2487" s="881" t="s">
        <v>2908</v>
      </c>
      <c r="V2487" s="883">
        <f>$S$1*P!V2487</f>
        <v>0</v>
      </c>
      <c r="W2487" s="780"/>
      <c r="X2487" s="782">
        <v>2483</v>
      </c>
      <c r="Y2487" s="782" t="s">
        <v>2248</v>
      </c>
      <c r="Z2487" s="782" t="s">
        <v>3993</v>
      </c>
      <c r="AA2487" s="781">
        <f>$S$1*P!AA2487</f>
        <v>3.2697580645161292E-10</v>
      </c>
      <c r="AB2487" s="780"/>
      <c r="AC2487" s="782">
        <v>2483</v>
      </c>
      <c r="AD2487" s="782" t="s">
        <v>4573</v>
      </c>
      <c r="AE2487" s="782" t="s">
        <v>2770</v>
      </c>
      <c r="AF2487" s="781">
        <f>$S$1*P!AF2487</f>
        <v>0.22243951612903229</v>
      </c>
    </row>
    <row r="2488" spans="19:32" x14ac:dyDescent="0.35">
      <c r="S2488" s="782">
        <v>2484</v>
      </c>
      <c r="T2488" s="782" t="s">
        <v>4284</v>
      </c>
      <c r="U2488" s="782" t="s">
        <v>3274</v>
      </c>
      <c r="V2488" s="797">
        <f>$S$1*P!V2488</f>
        <v>4.1471774193548392E-3</v>
      </c>
      <c r="W2488" s="780"/>
      <c r="X2488" s="782">
        <v>2484</v>
      </c>
      <c r="Y2488" s="782" t="s">
        <v>2248</v>
      </c>
      <c r="Z2488" s="782" t="s">
        <v>5008</v>
      </c>
      <c r="AA2488" s="781">
        <f>$S$1*P!AA2488</f>
        <v>8.1572580645161291E-2</v>
      </c>
      <c r="AB2488" s="780"/>
      <c r="AC2488" s="782">
        <v>2484</v>
      </c>
      <c r="AD2488" s="782" t="s">
        <v>4573</v>
      </c>
      <c r="AE2488" s="782" t="s">
        <v>2767</v>
      </c>
      <c r="AF2488" s="781">
        <f>$S$1*P!AF2488</f>
        <v>2.1455645161290323E-3</v>
      </c>
    </row>
    <row r="2489" spans="19:32" x14ac:dyDescent="0.35">
      <c r="S2489" s="782">
        <v>2485</v>
      </c>
      <c r="T2489" s="782" t="s">
        <v>4284</v>
      </c>
      <c r="U2489" s="782" t="s">
        <v>2906</v>
      </c>
      <c r="V2489" s="797">
        <f>$S$1*P!V2489</f>
        <v>5.1754032258064517E-4</v>
      </c>
      <c r="W2489" s="780"/>
      <c r="X2489" s="881">
        <v>2485</v>
      </c>
      <c r="Y2489" s="881" t="s">
        <v>2248</v>
      </c>
      <c r="Z2489" s="881" t="s">
        <v>3115</v>
      </c>
      <c r="AA2489" s="882">
        <f>$S$1*P!AA2489</f>
        <v>0</v>
      </c>
      <c r="AB2489" s="780"/>
      <c r="AC2489" s="782">
        <v>2485</v>
      </c>
      <c r="AD2489" s="782" t="s">
        <v>4573</v>
      </c>
      <c r="AE2489" s="782" t="s">
        <v>2764</v>
      </c>
      <c r="AF2489" s="781">
        <f>$S$1*P!AF2489</f>
        <v>0.66149193548387097</v>
      </c>
    </row>
    <row r="2490" spans="19:32" x14ac:dyDescent="0.35">
      <c r="S2490" s="881">
        <v>2486</v>
      </c>
      <c r="T2490" s="881" t="s">
        <v>4284</v>
      </c>
      <c r="U2490" s="881" t="s">
        <v>2906</v>
      </c>
      <c r="V2490" s="883">
        <f>$S$1*P!V2490</f>
        <v>0</v>
      </c>
      <c r="W2490" s="780"/>
      <c r="X2490" s="782">
        <v>2486</v>
      </c>
      <c r="Y2490" s="782" t="s">
        <v>2248</v>
      </c>
      <c r="Z2490" s="782" t="s">
        <v>3115</v>
      </c>
      <c r="AA2490" s="781">
        <f>$S$1*P!AA2490</f>
        <v>0.15903225806451615</v>
      </c>
      <c r="AB2490" s="780"/>
      <c r="AC2490" s="782">
        <v>2486</v>
      </c>
      <c r="AD2490" s="782" t="s">
        <v>4573</v>
      </c>
      <c r="AE2490" s="782" t="s">
        <v>2762</v>
      </c>
      <c r="AF2490" s="781">
        <f>$S$1*P!AF2490</f>
        <v>5.0383064516129035E-3</v>
      </c>
    </row>
    <row r="2491" spans="19:32" x14ac:dyDescent="0.35">
      <c r="S2491" s="881">
        <v>2487</v>
      </c>
      <c r="T2491" s="881" t="s">
        <v>4284</v>
      </c>
      <c r="U2491" s="881" t="s">
        <v>2904</v>
      </c>
      <c r="V2491" s="883">
        <f>$S$1*P!V2491</f>
        <v>30.360000000000003</v>
      </c>
      <c r="W2491" s="780"/>
      <c r="X2491" s="881">
        <v>2487</v>
      </c>
      <c r="Y2491" s="881" t="s">
        <v>2248</v>
      </c>
      <c r="Z2491" s="881" t="s">
        <v>3113</v>
      </c>
      <c r="AA2491" s="882">
        <f>$S$1*P!AA2491</f>
        <v>1.3615999999999999</v>
      </c>
      <c r="AB2491" s="780"/>
      <c r="AC2491" s="782">
        <v>2487</v>
      </c>
      <c r="AD2491" s="782" t="s">
        <v>4573</v>
      </c>
      <c r="AE2491" s="782" t="s">
        <v>2759</v>
      </c>
      <c r="AF2491" s="781">
        <f>$S$1*P!AF2491</f>
        <v>4.2500000000000003E-3</v>
      </c>
    </row>
    <row r="2492" spans="19:32" x14ac:dyDescent="0.35">
      <c r="S2492" s="782">
        <v>2488</v>
      </c>
      <c r="T2492" s="782" t="s">
        <v>4284</v>
      </c>
      <c r="U2492" s="782" t="s">
        <v>3269</v>
      </c>
      <c r="V2492" s="797">
        <f>$S$1*P!V2492</f>
        <v>7.2661290322580646E-2</v>
      </c>
      <c r="W2492" s="780"/>
      <c r="X2492" s="782">
        <v>2488</v>
      </c>
      <c r="Y2492" s="782" t="s">
        <v>2248</v>
      </c>
      <c r="Z2492" s="782" t="s">
        <v>3501</v>
      </c>
      <c r="AA2492" s="781">
        <f>$S$1*P!AA2492</f>
        <v>2.0598790322580648E-2</v>
      </c>
      <c r="AB2492" s="780"/>
      <c r="AC2492" s="782">
        <v>2488</v>
      </c>
      <c r="AD2492" s="782" t="s">
        <v>4573</v>
      </c>
      <c r="AE2492" s="782" t="s">
        <v>2758</v>
      </c>
      <c r="AF2492" s="781">
        <f>$S$1*P!AF2492</f>
        <v>1.5629032258064517E-3</v>
      </c>
    </row>
    <row r="2493" spans="19:32" x14ac:dyDescent="0.35">
      <c r="S2493" s="782">
        <v>2489</v>
      </c>
      <c r="T2493" s="782" t="s">
        <v>4284</v>
      </c>
      <c r="U2493" s="782" t="s">
        <v>2903</v>
      </c>
      <c r="V2493" s="797">
        <f>$S$1*P!V2493</f>
        <v>1.6245967741935485E-4</v>
      </c>
      <c r="W2493" s="780"/>
      <c r="X2493" s="881">
        <v>2489</v>
      </c>
      <c r="Y2493" s="881" t="s">
        <v>2248</v>
      </c>
      <c r="Z2493" s="881" t="s">
        <v>3112</v>
      </c>
      <c r="AA2493" s="882">
        <f>$S$1*P!AA2493</f>
        <v>6.5044000000000007E-4</v>
      </c>
      <c r="AB2493" s="780"/>
      <c r="AC2493" s="881">
        <v>2489</v>
      </c>
      <c r="AD2493" s="881" t="s">
        <v>4573</v>
      </c>
      <c r="AE2493" s="881" t="s">
        <v>2784</v>
      </c>
      <c r="AF2493" s="890">
        <f>$S$1*P!AF2493</f>
        <v>0</v>
      </c>
    </row>
    <row r="2494" spans="19:32" x14ac:dyDescent="0.35">
      <c r="S2494" s="881">
        <v>2490</v>
      </c>
      <c r="T2494" s="881" t="s">
        <v>4284</v>
      </c>
      <c r="U2494" s="881" t="s">
        <v>2903</v>
      </c>
      <c r="V2494" s="883">
        <f>$S$1*P!V2494</f>
        <v>0</v>
      </c>
      <c r="W2494" s="780"/>
      <c r="X2494" s="782">
        <v>2490</v>
      </c>
      <c r="Y2494" s="782" t="s">
        <v>2248</v>
      </c>
      <c r="Z2494" s="782" t="s">
        <v>3112</v>
      </c>
      <c r="AA2494" s="781">
        <f>$S$1*P!AA2494</f>
        <v>7.7802419354838725E-6</v>
      </c>
      <c r="AB2494" s="780"/>
      <c r="AC2494" s="881">
        <v>2490</v>
      </c>
      <c r="AD2494" s="881" t="s">
        <v>4573</v>
      </c>
      <c r="AE2494" s="881" t="s">
        <v>2783</v>
      </c>
      <c r="AF2494" s="890">
        <f>$S$1*P!AF2494</f>
        <v>0.94760000000000011</v>
      </c>
    </row>
    <row r="2495" spans="19:32" x14ac:dyDescent="0.35">
      <c r="S2495" s="782">
        <v>2491</v>
      </c>
      <c r="T2495" s="782" t="s">
        <v>4284</v>
      </c>
      <c r="U2495" s="782" t="s">
        <v>3265</v>
      </c>
      <c r="V2495" s="797">
        <f>$S$1*P!V2495</f>
        <v>3.0127016129032261E-5</v>
      </c>
      <c r="W2495" s="780"/>
      <c r="X2495" s="782">
        <v>2491</v>
      </c>
      <c r="Y2495" s="782" t="s">
        <v>2248</v>
      </c>
      <c r="Z2495" s="782" t="s">
        <v>5007</v>
      </c>
      <c r="AA2495" s="781">
        <f>$S$1*P!AA2495</f>
        <v>1.8953629032258067E-2</v>
      </c>
      <c r="AB2495" s="780"/>
      <c r="AC2495" s="782">
        <v>2491</v>
      </c>
      <c r="AD2495" s="782" t="s">
        <v>4573</v>
      </c>
      <c r="AE2495" s="782" t="s">
        <v>2757</v>
      </c>
      <c r="AF2495" s="781">
        <f>$S$1*P!AF2495</f>
        <v>1.5868951612903227E-2</v>
      </c>
    </row>
    <row r="2496" spans="19:32" x14ac:dyDescent="0.35">
      <c r="S2496" s="881">
        <v>2492</v>
      </c>
      <c r="T2496" s="881" t="s">
        <v>4284</v>
      </c>
      <c r="U2496" s="881" t="s">
        <v>2901</v>
      </c>
      <c r="V2496" s="883">
        <f>$S$1*P!V2496</f>
        <v>0.75439999999999996</v>
      </c>
      <c r="W2496" s="780"/>
      <c r="X2496" s="881">
        <v>2492</v>
      </c>
      <c r="Y2496" s="881" t="s">
        <v>2248</v>
      </c>
      <c r="Z2496" s="881" t="s">
        <v>3111</v>
      </c>
      <c r="AA2496" s="882">
        <f>$S$1*P!AA2496</f>
        <v>0</v>
      </c>
      <c r="AB2496" s="780"/>
      <c r="AC2496" s="782">
        <v>2492</v>
      </c>
      <c r="AD2496" s="782" t="s">
        <v>4573</v>
      </c>
      <c r="AE2496" s="782" t="s">
        <v>2755</v>
      </c>
      <c r="AF2496" s="781">
        <f>$S$1*P!AF2496</f>
        <v>2.1969758064516131E-2</v>
      </c>
    </row>
    <row r="2497" spans="19:32" x14ac:dyDescent="0.35">
      <c r="S2497" s="881">
        <v>2493</v>
      </c>
      <c r="T2497" s="881" t="s">
        <v>4284</v>
      </c>
      <c r="U2497" s="881" t="s">
        <v>2900</v>
      </c>
      <c r="V2497" s="883">
        <f>$S$1*P!V2497</f>
        <v>0</v>
      </c>
      <c r="W2497" s="780"/>
      <c r="X2497" s="881">
        <v>2493</v>
      </c>
      <c r="Y2497" s="881" t="s">
        <v>2248</v>
      </c>
      <c r="Z2497" s="881" t="s">
        <v>3110</v>
      </c>
      <c r="AA2497" s="882">
        <f>$S$1*P!AA2497</f>
        <v>0</v>
      </c>
      <c r="AB2497" s="780"/>
      <c r="AC2497" s="881">
        <v>2493</v>
      </c>
      <c r="AD2497" s="881" t="s">
        <v>4573</v>
      </c>
      <c r="AE2497" s="881" t="s">
        <v>2755</v>
      </c>
      <c r="AF2497" s="890">
        <f>$S$1*P!AF2497</f>
        <v>0</v>
      </c>
    </row>
    <row r="2498" spans="19:32" x14ac:dyDescent="0.35">
      <c r="S2498" s="782">
        <v>2494</v>
      </c>
      <c r="T2498" s="782" t="s">
        <v>4284</v>
      </c>
      <c r="U2498" s="782" t="s">
        <v>3262</v>
      </c>
      <c r="V2498" s="797">
        <f>$S$1*P!V2498</f>
        <v>2.1798387096774195E-2</v>
      </c>
      <c r="W2498" s="780"/>
      <c r="X2498" s="782">
        <v>2494</v>
      </c>
      <c r="Y2498" s="782" t="s">
        <v>2248</v>
      </c>
      <c r="Z2498" s="782" t="s">
        <v>3987</v>
      </c>
      <c r="AA2498" s="781">
        <f>$S$1*P!AA2498</f>
        <v>0.21215725806451616</v>
      </c>
      <c r="AB2498" s="780"/>
      <c r="AC2498" s="881">
        <v>2494</v>
      </c>
      <c r="AD2498" s="881" t="s">
        <v>4573</v>
      </c>
      <c r="AE2498" s="881" t="s">
        <v>2781</v>
      </c>
      <c r="AF2498" s="890">
        <f>$S$1*P!AF2498</f>
        <v>0</v>
      </c>
    </row>
    <row r="2499" spans="19:32" x14ac:dyDescent="0.35">
      <c r="S2499" s="782">
        <v>2495</v>
      </c>
      <c r="T2499" s="782" t="s">
        <v>4284</v>
      </c>
      <c r="U2499" s="782" t="s">
        <v>2898</v>
      </c>
      <c r="V2499" s="797">
        <f>$S$1*P!V2499</f>
        <v>1.8850806451612904E-3</v>
      </c>
      <c r="W2499" s="780"/>
      <c r="X2499" s="782">
        <v>2495</v>
      </c>
      <c r="Y2499" s="782" t="s">
        <v>2248</v>
      </c>
      <c r="Z2499" s="782" t="s">
        <v>5006</v>
      </c>
      <c r="AA2499" s="781">
        <f>$S$1*P!AA2499</f>
        <v>1.1002016129032259E-2</v>
      </c>
      <c r="AB2499" s="780"/>
      <c r="AC2499" s="782">
        <v>2495</v>
      </c>
      <c r="AD2499" s="782" t="s">
        <v>4573</v>
      </c>
      <c r="AE2499" s="782" t="s">
        <v>2753</v>
      </c>
      <c r="AF2499" s="781">
        <f>$S$1*P!AF2499</f>
        <v>4.2842741935483875E-2</v>
      </c>
    </row>
    <row r="2500" spans="19:32" x14ac:dyDescent="0.35">
      <c r="S2500" s="881">
        <v>2496</v>
      </c>
      <c r="T2500" s="881" t="s">
        <v>4284</v>
      </c>
      <c r="U2500" s="881" t="s">
        <v>2898</v>
      </c>
      <c r="V2500" s="883">
        <f>$S$1*P!V2500</f>
        <v>0</v>
      </c>
      <c r="W2500" s="780"/>
      <c r="X2500" s="782">
        <v>2496</v>
      </c>
      <c r="Y2500" s="782" t="s">
        <v>2248</v>
      </c>
      <c r="Z2500" s="782" t="s">
        <v>3984</v>
      </c>
      <c r="AA2500" s="781">
        <f>$S$1*P!AA2500</f>
        <v>3.32116935483871E-2</v>
      </c>
      <c r="AB2500" s="780"/>
      <c r="AC2500" s="782">
        <v>2496</v>
      </c>
      <c r="AD2500" s="782" t="s">
        <v>4573</v>
      </c>
      <c r="AE2500" s="782" t="s">
        <v>2752</v>
      </c>
      <c r="AF2500" s="781">
        <f>$S$1*P!AF2500</f>
        <v>7.1975806451612903E-2</v>
      </c>
    </row>
    <row r="2501" spans="19:32" x14ac:dyDescent="0.35">
      <c r="S2501" s="782">
        <v>2497</v>
      </c>
      <c r="T2501" s="782" t="s">
        <v>4284</v>
      </c>
      <c r="U2501" s="782" t="s">
        <v>2897</v>
      </c>
      <c r="V2501" s="797">
        <f>$S$1*P!V2501</f>
        <v>2.5054435483870969E-4</v>
      </c>
      <c r="W2501" s="780"/>
      <c r="X2501" s="782">
        <v>2497</v>
      </c>
      <c r="Y2501" s="782" t="s">
        <v>2248</v>
      </c>
      <c r="Z2501" s="782" t="s">
        <v>3983</v>
      </c>
      <c r="AA2501" s="781">
        <f>$S$1*P!AA2501</f>
        <v>1.1207661290322581E-4</v>
      </c>
      <c r="AB2501" s="780"/>
      <c r="AC2501" s="782">
        <v>2497</v>
      </c>
      <c r="AD2501" s="782" t="s">
        <v>4573</v>
      </c>
      <c r="AE2501" s="782" t="s">
        <v>2751</v>
      </c>
      <c r="AF2501" s="781">
        <f>$S$1*P!AF2501</f>
        <v>2.0016129032258065E-2</v>
      </c>
    </row>
    <row r="2502" spans="19:32" x14ac:dyDescent="0.35">
      <c r="S2502" s="881">
        <v>2498</v>
      </c>
      <c r="T2502" s="881" t="s">
        <v>4284</v>
      </c>
      <c r="U2502" s="881" t="s">
        <v>2897</v>
      </c>
      <c r="V2502" s="883">
        <f>$S$1*P!V2502</f>
        <v>0</v>
      </c>
      <c r="W2502" s="780"/>
      <c r="X2502" s="782">
        <v>2498</v>
      </c>
      <c r="Y2502" s="782" t="s">
        <v>2248</v>
      </c>
      <c r="Z2502" s="782" t="s">
        <v>5005</v>
      </c>
      <c r="AA2502" s="781">
        <f>$S$1*P!AA2502</f>
        <v>1.9193548387096777E-9</v>
      </c>
      <c r="AB2502" s="780"/>
      <c r="AC2502" s="782">
        <v>2498</v>
      </c>
      <c r="AD2502" s="782" t="s">
        <v>4573</v>
      </c>
      <c r="AE2502" s="782" t="s">
        <v>2748</v>
      </c>
      <c r="AF2502" s="781">
        <f>$S$1*P!AF2502</f>
        <v>1.264717741935484E-2</v>
      </c>
    </row>
    <row r="2503" spans="19:32" x14ac:dyDescent="0.35">
      <c r="S2503" s="782">
        <v>2499</v>
      </c>
      <c r="T2503" s="782" t="s">
        <v>4284</v>
      </c>
      <c r="U2503" s="782" t="s">
        <v>3256</v>
      </c>
      <c r="V2503" s="797">
        <f>$S$1*P!V2503</f>
        <v>2.6733870967741939E-2</v>
      </c>
      <c r="W2503" s="780"/>
      <c r="X2503" s="782">
        <v>2499</v>
      </c>
      <c r="Y2503" s="782" t="s">
        <v>2248</v>
      </c>
      <c r="Z2503" s="782" t="s">
        <v>3982</v>
      </c>
      <c r="AA2503" s="781">
        <f>$S$1*P!AA2503</f>
        <v>8.6028225806451616E-10</v>
      </c>
      <c r="AB2503" s="780"/>
      <c r="AC2503" s="881">
        <v>2499</v>
      </c>
      <c r="AD2503" s="881" t="s">
        <v>4573</v>
      </c>
      <c r="AE2503" s="881" t="s">
        <v>2748</v>
      </c>
      <c r="AF2503" s="890">
        <f>$S$1*P!AF2503</f>
        <v>0</v>
      </c>
    </row>
    <row r="2504" spans="19:32" x14ac:dyDescent="0.35">
      <c r="S2504" s="782">
        <v>2500</v>
      </c>
      <c r="T2504" s="782" t="s">
        <v>4284</v>
      </c>
      <c r="U2504" s="782" t="s">
        <v>3253</v>
      </c>
      <c r="V2504" s="797">
        <f>$S$1*P!V2504</f>
        <v>2.3375000000000003E-2</v>
      </c>
      <c r="W2504" s="780"/>
      <c r="X2504" s="782">
        <v>2500</v>
      </c>
      <c r="Y2504" s="782" t="s">
        <v>2248</v>
      </c>
      <c r="Z2504" s="782" t="s">
        <v>3979</v>
      </c>
      <c r="AA2504" s="781">
        <f>$S$1*P!AA2504</f>
        <v>2.4026209677419358E-8</v>
      </c>
      <c r="AB2504" s="780"/>
      <c r="AC2504" s="782">
        <v>2500</v>
      </c>
      <c r="AD2504" s="782" t="s">
        <v>4573</v>
      </c>
      <c r="AE2504" s="782" t="s">
        <v>2745</v>
      </c>
      <c r="AF2504" s="781">
        <f>$S$1*P!AF2504</f>
        <v>1.0042338709677421E-2</v>
      </c>
    </row>
    <row r="2505" spans="19:32" x14ac:dyDescent="0.35">
      <c r="S2505" s="782">
        <v>2501</v>
      </c>
      <c r="T2505" s="782" t="s">
        <v>4284</v>
      </c>
      <c r="U2505" s="782" t="s">
        <v>3250</v>
      </c>
      <c r="V2505" s="797">
        <f>$S$1*P!V2505</f>
        <v>5.8608870967741943E-2</v>
      </c>
      <c r="W2505" s="780"/>
      <c r="X2505" s="782">
        <v>2501</v>
      </c>
      <c r="Y2505" s="782" t="s">
        <v>2248</v>
      </c>
      <c r="Z2505" s="782" t="s">
        <v>5004</v>
      </c>
      <c r="AA2505" s="781">
        <f>$S$1*P!AA2505</f>
        <v>2.1764112903225807E-9</v>
      </c>
      <c r="AB2505" s="780"/>
      <c r="AC2505" s="782">
        <v>2501</v>
      </c>
      <c r="AD2505" s="782" t="s">
        <v>4573</v>
      </c>
      <c r="AE2505" s="782" t="s">
        <v>2744</v>
      </c>
      <c r="AF2505" s="781">
        <f>$S$1*P!AF2505</f>
        <v>1.0247983870967743</v>
      </c>
    </row>
    <row r="2506" spans="19:32" x14ac:dyDescent="0.35">
      <c r="S2506" s="782">
        <v>2502</v>
      </c>
      <c r="T2506" s="782" t="s">
        <v>4284</v>
      </c>
      <c r="U2506" s="782" t="s">
        <v>3247</v>
      </c>
      <c r="V2506" s="797">
        <f>$S$1*P!V2506</f>
        <v>3.5645161290322585E-5</v>
      </c>
      <c r="W2506" s="780"/>
      <c r="X2506" s="782">
        <v>2502</v>
      </c>
      <c r="Y2506" s="782" t="s">
        <v>2248</v>
      </c>
      <c r="Z2506" s="782" t="s">
        <v>3978</v>
      </c>
      <c r="AA2506" s="781">
        <f>$S$1*P!AA2506</f>
        <v>3.3245967741935483E-4</v>
      </c>
      <c r="AB2506" s="780"/>
      <c r="AC2506" s="881">
        <v>2502</v>
      </c>
      <c r="AD2506" s="881" t="s">
        <v>4573</v>
      </c>
      <c r="AE2506" s="881" t="s">
        <v>2778</v>
      </c>
      <c r="AF2506" s="890">
        <f>$S$1*P!AF2506</f>
        <v>0</v>
      </c>
    </row>
    <row r="2507" spans="19:32" x14ac:dyDescent="0.35">
      <c r="S2507" s="782">
        <v>2503</v>
      </c>
      <c r="T2507" s="782" t="s">
        <v>4284</v>
      </c>
      <c r="U2507" s="782" t="s">
        <v>3245</v>
      </c>
      <c r="V2507" s="797">
        <f>$S$1*P!V2507</f>
        <v>2.8447580645161294</v>
      </c>
      <c r="W2507" s="780"/>
      <c r="X2507" s="782">
        <v>2503</v>
      </c>
      <c r="Y2507" s="782" t="s">
        <v>2248</v>
      </c>
      <c r="Z2507" s="782" t="s">
        <v>3977</v>
      </c>
      <c r="AA2507" s="781">
        <f>$S$1*P!AA2507</f>
        <v>3.0778225806451615E-10</v>
      </c>
      <c r="AB2507" s="780"/>
      <c r="AC2507" s="782">
        <v>2503</v>
      </c>
      <c r="AD2507" s="782" t="s">
        <v>4573</v>
      </c>
      <c r="AE2507" s="782" t="s">
        <v>2742</v>
      </c>
      <c r="AF2507" s="781">
        <f>$S$1*P!AF2507</f>
        <v>3.0572580645161294E-2</v>
      </c>
    </row>
    <row r="2508" spans="19:32" x14ac:dyDescent="0.35">
      <c r="S2508" s="782">
        <v>2504</v>
      </c>
      <c r="T2508" s="782" t="s">
        <v>4284</v>
      </c>
      <c r="U2508" s="782" t="s">
        <v>3242</v>
      </c>
      <c r="V2508" s="797">
        <f>$S$1*P!V2508</f>
        <v>4.455645161290323</v>
      </c>
      <c r="W2508" s="780"/>
      <c r="X2508" s="782">
        <v>2504</v>
      </c>
      <c r="Y2508" s="782" t="s">
        <v>2248</v>
      </c>
      <c r="Z2508" s="782" t="s">
        <v>5003</v>
      </c>
      <c r="AA2508" s="781">
        <f>$S$1*P!AA2508</f>
        <v>7.3004032258064521E-3</v>
      </c>
      <c r="AB2508" s="780"/>
      <c r="AC2508" s="881">
        <v>2504</v>
      </c>
      <c r="AD2508" s="881" t="s">
        <v>4573</v>
      </c>
      <c r="AE2508" s="881" t="s">
        <v>2777</v>
      </c>
      <c r="AF2508" s="890">
        <f>$S$1*P!AF2508</f>
        <v>4.8760000000000003</v>
      </c>
    </row>
    <row r="2509" spans="19:32" x14ac:dyDescent="0.35">
      <c r="S2509" s="782">
        <v>2505</v>
      </c>
      <c r="T2509" s="782" t="s">
        <v>4284</v>
      </c>
      <c r="U2509" s="782" t="s">
        <v>3239</v>
      </c>
      <c r="V2509" s="797">
        <f>$S$1*P!V2509</f>
        <v>0.17342741935483871</v>
      </c>
      <c r="W2509" s="780"/>
      <c r="X2509" s="782">
        <v>2505</v>
      </c>
      <c r="Y2509" s="782" t="s">
        <v>2248</v>
      </c>
      <c r="Z2509" s="782" t="s">
        <v>3974</v>
      </c>
      <c r="AA2509" s="781">
        <f>$S$1*P!AA2509</f>
        <v>1.7479838709677419E-6</v>
      </c>
      <c r="AB2509" s="780"/>
      <c r="AC2509" s="782">
        <v>2505</v>
      </c>
      <c r="AD2509" s="782" t="s">
        <v>4573</v>
      </c>
      <c r="AE2509" s="782" t="s">
        <v>2741</v>
      </c>
      <c r="AF2509" s="781">
        <f>$S$1*P!AF2509</f>
        <v>1.9056451612903227</v>
      </c>
    </row>
    <row r="2510" spans="19:32" x14ac:dyDescent="0.35">
      <c r="S2510" s="782">
        <v>2506</v>
      </c>
      <c r="T2510" s="782" t="s">
        <v>4284</v>
      </c>
      <c r="U2510" s="782" t="s">
        <v>3236</v>
      </c>
      <c r="V2510" s="797">
        <f>$S$1*P!V2510</f>
        <v>4.455645161290323</v>
      </c>
      <c r="W2510" s="780"/>
      <c r="X2510" s="782">
        <v>2506</v>
      </c>
      <c r="Y2510" s="782" t="s">
        <v>2248</v>
      </c>
      <c r="Z2510" s="782" t="s">
        <v>3972</v>
      </c>
      <c r="AA2510" s="781">
        <f>$S$1*P!AA2510</f>
        <v>4.5241935483870972E-3</v>
      </c>
      <c r="AB2510" s="780"/>
      <c r="AC2510" s="881">
        <v>2506</v>
      </c>
      <c r="AD2510" s="881" t="s">
        <v>4573</v>
      </c>
      <c r="AE2510" s="881" t="s">
        <v>2741</v>
      </c>
      <c r="AF2510" s="890">
        <f>$S$1*P!AF2510</f>
        <v>0.68540000000000001</v>
      </c>
    </row>
    <row r="2511" spans="19:32" x14ac:dyDescent="0.35">
      <c r="S2511" s="782">
        <v>2507</v>
      </c>
      <c r="T2511" s="782" t="s">
        <v>4284</v>
      </c>
      <c r="U2511" s="782" t="s">
        <v>3234</v>
      </c>
      <c r="V2511" s="797">
        <f>$S$1*P!V2511</f>
        <v>2.3923387096774198E-6</v>
      </c>
      <c r="W2511" s="780"/>
      <c r="X2511" s="782">
        <v>2507</v>
      </c>
      <c r="Y2511" s="782" t="s">
        <v>2248</v>
      </c>
      <c r="Z2511" s="782" t="s">
        <v>3970</v>
      </c>
      <c r="AA2511" s="781">
        <f>$S$1*P!AA2511</f>
        <v>2.0358870967741937E-10</v>
      </c>
      <c r="AB2511" s="780"/>
      <c r="AC2511" s="782">
        <v>2507</v>
      </c>
      <c r="AD2511" s="782" t="s">
        <v>4573</v>
      </c>
      <c r="AE2511" s="782" t="s">
        <v>2739</v>
      </c>
      <c r="AF2511" s="781">
        <f>$S$1*P!AF2511</f>
        <v>8.2600806451612902E-3</v>
      </c>
    </row>
    <row r="2512" spans="19:32" x14ac:dyDescent="0.35">
      <c r="S2512" s="782">
        <v>2508</v>
      </c>
      <c r="T2512" s="782" t="s">
        <v>4284</v>
      </c>
      <c r="U2512" s="782" t="s">
        <v>2896</v>
      </c>
      <c r="V2512" s="797">
        <f>$S$1*P!V2512</f>
        <v>0.11070564516129033</v>
      </c>
      <c r="W2512" s="780"/>
      <c r="X2512" s="782">
        <v>2508</v>
      </c>
      <c r="Y2512" s="782" t="s">
        <v>2248</v>
      </c>
      <c r="Z2512" s="782" t="s">
        <v>5002</v>
      </c>
      <c r="AA2512" s="781">
        <f>$S$1*P!AA2512</f>
        <v>6.409274193548388E-2</v>
      </c>
      <c r="AB2512" s="780"/>
      <c r="AC2512" s="782">
        <v>2508</v>
      </c>
      <c r="AD2512" s="782" t="s">
        <v>4573</v>
      </c>
      <c r="AE2512" s="782" t="s">
        <v>2737</v>
      </c>
      <c r="AF2512" s="781">
        <f>$S$1*P!AF2512</f>
        <v>1.3915322580645164E-3</v>
      </c>
    </row>
    <row r="2513" spans="19:32" x14ac:dyDescent="0.35">
      <c r="S2513" s="881">
        <v>2509</v>
      </c>
      <c r="T2513" s="881" t="s">
        <v>4284</v>
      </c>
      <c r="U2513" s="881" t="s">
        <v>2896</v>
      </c>
      <c r="V2513" s="883">
        <f>$S$1*P!V2513</f>
        <v>0</v>
      </c>
      <c r="W2513" s="780"/>
      <c r="X2513" s="782">
        <v>2509</v>
      </c>
      <c r="Y2513" s="782" t="s">
        <v>2248</v>
      </c>
      <c r="Z2513" s="782" t="s">
        <v>3967</v>
      </c>
      <c r="AA2513" s="781">
        <f>$S$1*P!AA2513</f>
        <v>7.0262096774193553E-3</v>
      </c>
      <c r="AB2513" s="780"/>
      <c r="AC2513" s="881">
        <v>2509</v>
      </c>
      <c r="AD2513" s="881" t="s">
        <v>4573</v>
      </c>
      <c r="AE2513" s="881" t="s">
        <v>2775</v>
      </c>
      <c r="AF2513" s="890">
        <f>$S$1*P!AF2513</f>
        <v>8.3996000000000013</v>
      </c>
    </row>
    <row r="2514" spans="19:32" x14ac:dyDescent="0.35">
      <c r="S2514" s="861">
        <v>2510</v>
      </c>
      <c r="T2514" s="861" t="s">
        <v>4284</v>
      </c>
      <c r="U2514" s="861" t="s">
        <v>5001</v>
      </c>
      <c r="V2514" s="862">
        <f>$S$1*P!V2514</f>
        <v>2.7766500000000001</v>
      </c>
      <c r="W2514" s="780"/>
      <c r="X2514" s="782">
        <v>2510</v>
      </c>
      <c r="Y2514" s="782" t="s">
        <v>2248</v>
      </c>
      <c r="Z2514" s="782" t="s">
        <v>3966</v>
      </c>
      <c r="AA2514" s="781">
        <f>$S$1*P!AA2514</f>
        <v>1.1413306451612905E-2</v>
      </c>
      <c r="AB2514" s="780"/>
      <c r="AC2514" s="782">
        <v>2510</v>
      </c>
      <c r="AD2514" s="782" t="s">
        <v>4573</v>
      </c>
      <c r="AE2514" s="782" t="s">
        <v>2736</v>
      </c>
      <c r="AF2514" s="781">
        <f>$S$1*P!AF2514</f>
        <v>5.0383064516129034E-2</v>
      </c>
    </row>
    <row r="2515" spans="19:32" x14ac:dyDescent="0.35">
      <c r="S2515" s="861">
        <v>2511</v>
      </c>
      <c r="T2515" s="861" t="s">
        <v>4284</v>
      </c>
      <c r="U2515" s="861" t="s">
        <v>2894</v>
      </c>
      <c r="V2515" s="862">
        <f>$S$1*P!V2515</f>
        <v>5.6710000000000003</v>
      </c>
      <c r="W2515" s="780"/>
      <c r="X2515" s="782">
        <v>2511</v>
      </c>
      <c r="Y2515" s="782" t="s">
        <v>2248</v>
      </c>
      <c r="Z2515" s="782" t="s">
        <v>3498</v>
      </c>
      <c r="AA2515" s="781">
        <f>$S$1*P!AA2515</f>
        <v>5.415322580645162E-2</v>
      </c>
      <c r="AB2515" s="780"/>
      <c r="AC2515" s="782">
        <v>2511</v>
      </c>
      <c r="AD2515" s="782" t="s">
        <v>4573</v>
      </c>
      <c r="AE2515" s="782" t="s">
        <v>2734</v>
      </c>
      <c r="AF2515" s="781">
        <f>$S$1*P!AF2515</f>
        <v>2.1969758064516131E-2</v>
      </c>
    </row>
    <row r="2516" spans="19:32" x14ac:dyDescent="0.35">
      <c r="S2516" s="881">
        <v>2512</v>
      </c>
      <c r="T2516" s="881" t="s">
        <v>4284</v>
      </c>
      <c r="U2516" s="881" t="s">
        <v>2894</v>
      </c>
      <c r="V2516" s="883">
        <f>$S$1*P!V2516</f>
        <v>3.1556000000000002E-3</v>
      </c>
      <c r="W2516" s="780"/>
      <c r="X2516" s="782">
        <v>2512</v>
      </c>
      <c r="Y2516" s="782" t="s">
        <v>2248</v>
      </c>
      <c r="Z2516" s="782" t="s">
        <v>3965</v>
      </c>
      <c r="AA2516" s="781">
        <f>$S$1*P!AA2516</f>
        <v>5.1068548387096779E-12</v>
      </c>
      <c r="AB2516" s="780"/>
      <c r="AC2516" s="881">
        <v>2512</v>
      </c>
      <c r="AD2516" s="881" t="s">
        <v>4573</v>
      </c>
      <c r="AE2516" s="881" t="s">
        <v>2773</v>
      </c>
      <c r="AF2516" s="890">
        <f>$S$1*P!AF2516</f>
        <v>0</v>
      </c>
    </row>
    <row r="2517" spans="19:32" x14ac:dyDescent="0.35">
      <c r="S2517" s="782">
        <v>2513</v>
      </c>
      <c r="T2517" s="782" t="s">
        <v>4284</v>
      </c>
      <c r="U2517" s="782" t="s">
        <v>3229</v>
      </c>
      <c r="V2517" s="797">
        <f>$S$1*P!V2517</f>
        <v>9.5967741935483887E-7</v>
      </c>
      <c r="W2517" s="780"/>
      <c r="X2517" s="782">
        <v>2513</v>
      </c>
      <c r="Y2517" s="782" t="s">
        <v>2248</v>
      </c>
      <c r="Z2517" s="782" t="s">
        <v>3964</v>
      </c>
      <c r="AA2517" s="781">
        <f>$S$1*P!AA2517</f>
        <v>0.22038306451612905</v>
      </c>
      <c r="AB2517" s="780"/>
      <c r="AC2517" s="782">
        <v>2513</v>
      </c>
      <c r="AD2517" s="782" t="s">
        <v>4573</v>
      </c>
      <c r="AE2517" s="782" t="s">
        <v>2731</v>
      </c>
      <c r="AF2517" s="781">
        <f>$S$1*P!AF2517</f>
        <v>1.6074596774193549E-3</v>
      </c>
    </row>
    <row r="2518" spans="19:32" x14ac:dyDescent="0.35">
      <c r="S2518" s="782">
        <v>2514</v>
      </c>
      <c r="T2518" s="782" t="s">
        <v>4284</v>
      </c>
      <c r="U2518" s="782" t="s">
        <v>3226</v>
      </c>
      <c r="V2518" s="797">
        <f>$S$1*P!V2518</f>
        <v>4.9354838709677422E-5</v>
      </c>
      <c r="W2518" s="780"/>
      <c r="X2518" s="782">
        <v>2514</v>
      </c>
      <c r="Y2518" s="782" t="s">
        <v>2248</v>
      </c>
      <c r="Z2518" s="782" t="s">
        <v>3496</v>
      </c>
      <c r="AA2518" s="781">
        <f>$S$1*P!AA2518</f>
        <v>7.883064516129032E-5</v>
      </c>
      <c r="AB2518" s="780"/>
      <c r="AC2518" s="881">
        <v>2514</v>
      </c>
      <c r="AD2518" s="881" t="s">
        <v>4573</v>
      </c>
      <c r="AE2518" s="881" t="s">
        <v>2731</v>
      </c>
      <c r="AF2518" s="890">
        <f>$S$1*P!AF2518</f>
        <v>0</v>
      </c>
    </row>
    <row r="2519" spans="19:32" x14ac:dyDescent="0.35">
      <c r="S2519" s="782">
        <v>2515</v>
      </c>
      <c r="T2519" s="782" t="s">
        <v>4284</v>
      </c>
      <c r="U2519" s="782" t="s">
        <v>3223</v>
      </c>
      <c r="V2519" s="797">
        <f>$S$1*P!V2519</f>
        <v>2.2449596774193549E-8</v>
      </c>
      <c r="W2519" s="780"/>
      <c r="X2519" s="782">
        <v>2515</v>
      </c>
      <c r="Y2519" s="782" t="s">
        <v>2248</v>
      </c>
      <c r="Z2519" s="782" t="s">
        <v>3963</v>
      </c>
      <c r="AA2519" s="781">
        <f>$S$1*P!AA2519</f>
        <v>1.3229838709677422E-3</v>
      </c>
      <c r="AB2519" s="780"/>
      <c r="AC2519" s="782">
        <v>2515</v>
      </c>
      <c r="AD2519" s="782" t="s">
        <v>4573</v>
      </c>
      <c r="AE2519" s="782" t="s">
        <v>2728</v>
      </c>
      <c r="AF2519" s="781">
        <f>$S$1*P!AF2519</f>
        <v>2.7316532258064519E-2</v>
      </c>
    </row>
    <row r="2520" spans="19:32" x14ac:dyDescent="0.35">
      <c r="S2520" s="861">
        <v>2516</v>
      </c>
      <c r="T2520" s="861" t="s">
        <v>4284</v>
      </c>
      <c r="U2520" s="861" t="s">
        <v>2893</v>
      </c>
      <c r="V2520" s="862">
        <f>$S$1*P!V2520</f>
        <v>4.6437999999999997</v>
      </c>
      <c r="W2520" s="780"/>
      <c r="X2520" s="881">
        <v>2516</v>
      </c>
      <c r="Y2520" s="881" t="s">
        <v>2248</v>
      </c>
      <c r="Z2520" s="881" t="s">
        <v>3108</v>
      </c>
      <c r="AA2520" s="882">
        <f>$S$1*P!AA2520</f>
        <v>0</v>
      </c>
      <c r="AB2520" s="780"/>
      <c r="AC2520" s="782">
        <v>2516</v>
      </c>
      <c r="AD2520" s="782" t="s">
        <v>4573</v>
      </c>
      <c r="AE2520" s="782" t="s">
        <v>2725</v>
      </c>
      <c r="AF2520" s="781">
        <f>$S$1*P!AF2520</f>
        <v>2.0290322580645164</v>
      </c>
    </row>
    <row r="2521" spans="19:32" x14ac:dyDescent="0.35">
      <c r="S2521" s="782">
        <v>2517</v>
      </c>
      <c r="T2521" s="782" t="s">
        <v>4284</v>
      </c>
      <c r="U2521" s="782" t="s">
        <v>2893</v>
      </c>
      <c r="V2521" s="797">
        <f>$S$1*P!V2521</f>
        <v>2.9475806451612903E-6</v>
      </c>
      <c r="W2521" s="780"/>
      <c r="X2521" s="782">
        <v>2517</v>
      </c>
      <c r="Y2521" s="782" t="s">
        <v>2248</v>
      </c>
      <c r="Z2521" s="782" t="s">
        <v>3108</v>
      </c>
      <c r="AA2521" s="781">
        <f>$S$1*P!AA2521</f>
        <v>2.1455645161290324E-4</v>
      </c>
      <c r="AB2521" s="780"/>
      <c r="AC2521" s="881">
        <v>2517</v>
      </c>
      <c r="AD2521" s="881" t="s">
        <v>4573</v>
      </c>
      <c r="AE2521" s="881" t="s">
        <v>2771</v>
      </c>
      <c r="AF2521" s="890">
        <f>$S$1*P!AF2521</f>
        <v>0</v>
      </c>
    </row>
    <row r="2522" spans="19:32" x14ac:dyDescent="0.35">
      <c r="S2522" s="881">
        <v>2518</v>
      </c>
      <c r="T2522" s="881" t="s">
        <v>4284</v>
      </c>
      <c r="U2522" s="881" t="s">
        <v>2893</v>
      </c>
      <c r="V2522" s="883">
        <f>$S$1*P!V2522</f>
        <v>0</v>
      </c>
      <c r="W2522" s="780"/>
      <c r="X2522" s="782">
        <v>2518</v>
      </c>
      <c r="Y2522" s="782" t="s">
        <v>2248</v>
      </c>
      <c r="Z2522" s="782" t="s">
        <v>5000</v>
      </c>
      <c r="AA2522" s="781">
        <f>$S$1*P!AA2522</f>
        <v>6.0322580645161298E-3</v>
      </c>
      <c r="AB2522" s="780"/>
      <c r="AC2522" s="782">
        <v>2518</v>
      </c>
      <c r="AD2522" s="782" t="s">
        <v>4573</v>
      </c>
      <c r="AE2522" s="782" t="s">
        <v>2723</v>
      </c>
      <c r="AF2522" s="781">
        <f>$S$1*P!AF2522</f>
        <v>3.8729838709677424E-2</v>
      </c>
    </row>
    <row r="2523" spans="19:32" x14ac:dyDescent="0.35">
      <c r="S2523" s="782">
        <v>2519</v>
      </c>
      <c r="T2523" s="782" t="s">
        <v>4284</v>
      </c>
      <c r="U2523" s="782" t="s">
        <v>3219</v>
      </c>
      <c r="V2523" s="797">
        <f>$S$1*P!V2523</f>
        <v>1.0556451612903228E-4</v>
      </c>
      <c r="W2523" s="780"/>
      <c r="X2523" s="881">
        <v>2519</v>
      </c>
      <c r="Y2523" s="881" t="s">
        <v>2248</v>
      </c>
      <c r="Z2523" s="881" t="s">
        <v>3107</v>
      </c>
      <c r="AA2523" s="882">
        <f>$S$1*P!AA2523</f>
        <v>0</v>
      </c>
      <c r="AB2523" s="780"/>
      <c r="AC2523" s="782">
        <v>2519</v>
      </c>
      <c r="AD2523" s="782" t="s">
        <v>4573</v>
      </c>
      <c r="AE2523" s="782" t="s">
        <v>2720</v>
      </c>
      <c r="AF2523" s="781">
        <f>$S$1*P!AF2523</f>
        <v>0.11070564516129033</v>
      </c>
    </row>
    <row r="2524" spans="19:32" x14ac:dyDescent="0.35">
      <c r="S2524" s="782">
        <v>2520</v>
      </c>
      <c r="T2524" s="782" t="s">
        <v>4284</v>
      </c>
      <c r="U2524" s="782" t="s">
        <v>3216</v>
      </c>
      <c r="V2524" s="797">
        <f>$S$1*P!V2524</f>
        <v>3.461693548387097E-4</v>
      </c>
      <c r="W2524" s="780"/>
      <c r="X2524" s="782">
        <v>2520</v>
      </c>
      <c r="Y2524" s="782" t="s">
        <v>2248</v>
      </c>
      <c r="Z2524" s="782" t="s">
        <v>3107</v>
      </c>
      <c r="AA2524" s="781">
        <f>$S$1*P!AA2524</f>
        <v>0.5278225806451613</v>
      </c>
      <c r="AB2524" s="780"/>
      <c r="AC2524" s="881">
        <v>2520</v>
      </c>
      <c r="AD2524" s="881" t="s">
        <v>4573</v>
      </c>
      <c r="AE2524" s="881" t="s">
        <v>2769</v>
      </c>
      <c r="AF2524" s="890">
        <f>$S$1*P!AF2524</f>
        <v>0</v>
      </c>
    </row>
    <row r="2525" spans="19:32" x14ac:dyDescent="0.35">
      <c r="S2525" s="782">
        <v>2521</v>
      </c>
      <c r="T2525" s="782" t="s">
        <v>4284</v>
      </c>
      <c r="U2525" s="782" t="s">
        <v>3213</v>
      </c>
      <c r="V2525" s="797">
        <f>$S$1*P!V2525</f>
        <v>7.8145161290322594E-3</v>
      </c>
      <c r="W2525" s="780"/>
      <c r="X2525" s="782">
        <v>2521</v>
      </c>
      <c r="Y2525" s="782" t="s">
        <v>2248</v>
      </c>
      <c r="Z2525" s="782" t="s">
        <v>4999</v>
      </c>
      <c r="AA2525" s="781">
        <f>$S$1*P!AA2525</f>
        <v>1.5971774193548388E-5</v>
      </c>
      <c r="AB2525" s="780"/>
      <c r="AC2525" s="881">
        <v>2521</v>
      </c>
      <c r="AD2525" s="881" t="s">
        <v>4573</v>
      </c>
      <c r="AE2525" s="881" t="s">
        <v>2768</v>
      </c>
      <c r="AF2525" s="890">
        <f>$S$1*P!AF2525</f>
        <v>20.423999999999999</v>
      </c>
    </row>
    <row r="2526" spans="19:32" x14ac:dyDescent="0.35">
      <c r="S2526" s="782">
        <v>2522</v>
      </c>
      <c r="T2526" s="782" t="s">
        <v>4284</v>
      </c>
      <c r="U2526" s="782" t="s">
        <v>3211</v>
      </c>
      <c r="V2526" s="797">
        <f>$S$1*P!V2526</f>
        <v>8.6370967741935492E-2</v>
      </c>
      <c r="W2526" s="780"/>
      <c r="X2526" s="881">
        <v>2522</v>
      </c>
      <c r="Y2526" s="881" t="s">
        <v>2248</v>
      </c>
      <c r="Z2526" s="881" t="s">
        <v>3105</v>
      </c>
      <c r="AA2526" s="882">
        <f>$S$1*P!AA2526</f>
        <v>1.6284E-2</v>
      </c>
      <c r="AB2526" s="780"/>
      <c r="AC2526" s="881">
        <v>2522</v>
      </c>
      <c r="AD2526" s="881" t="s">
        <v>4573</v>
      </c>
      <c r="AE2526" s="881" t="s">
        <v>2766</v>
      </c>
      <c r="AF2526" s="890">
        <f>$S$1*P!AF2526</f>
        <v>22.724</v>
      </c>
    </row>
    <row r="2527" spans="19:32" x14ac:dyDescent="0.35">
      <c r="S2527" s="782">
        <v>2523</v>
      </c>
      <c r="T2527" s="782" t="s">
        <v>4284</v>
      </c>
      <c r="U2527" s="782" t="s">
        <v>3208</v>
      </c>
      <c r="V2527" s="797">
        <f>$S$1*P!V2527</f>
        <v>0.12921370967741935</v>
      </c>
      <c r="W2527" s="780"/>
      <c r="X2527" s="881">
        <v>2523</v>
      </c>
      <c r="Y2527" s="881" t="s">
        <v>2248</v>
      </c>
      <c r="Z2527" s="881" t="s">
        <v>3103</v>
      </c>
      <c r="AA2527" s="882">
        <f>$S$1*P!AA2527</f>
        <v>0</v>
      </c>
      <c r="AB2527" s="780"/>
      <c r="AC2527" s="881">
        <v>2523</v>
      </c>
      <c r="AD2527" s="881" t="s">
        <v>4573</v>
      </c>
      <c r="AE2527" s="881" t="s">
        <v>2765</v>
      </c>
      <c r="AF2527" s="890">
        <f>$S$1*P!AF2527</f>
        <v>1.4443999999999999</v>
      </c>
    </row>
    <row r="2528" spans="19:32" x14ac:dyDescent="0.35">
      <c r="S2528" s="782">
        <v>2524</v>
      </c>
      <c r="T2528" s="782" t="s">
        <v>4284</v>
      </c>
      <c r="U2528" s="782" t="s">
        <v>3205</v>
      </c>
      <c r="V2528" s="797">
        <f>$S$1*P!V2528</f>
        <v>7.7459677419354842E-5</v>
      </c>
      <c r="W2528" s="780"/>
      <c r="X2528" s="782">
        <v>2524</v>
      </c>
      <c r="Y2528" s="782" t="s">
        <v>2248</v>
      </c>
      <c r="Z2528" s="782" t="s">
        <v>3962</v>
      </c>
      <c r="AA2528" s="781">
        <f>$S$1*P!AA2528</f>
        <v>3.2183467741935486E-3</v>
      </c>
      <c r="AB2528" s="780"/>
      <c r="AC2528" s="881">
        <v>2524</v>
      </c>
      <c r="AD2528" s="881" t="s">
        <v>4573</v>
      </c>
      <c r="AE2528" s="881" t="s">
        <v>2763</v>
      </c>
      <c r="AF2528" s="890">
        <f>$S$1*P!AF2528</f>
        <v>0</v>
      </c>
    </row>
    <row r="2529" spans="19:32" x14ac:dyDescent="0.35">
      <c r="S2529" s="782">
        <v>2525</v>
      </c>
      <c r="T2529" s="782" t="s">
        <v>4284</v>
      </c>
      <c r="U2529" s="782" t="s">
        <v>2891</v>
      </c>
      <c r="V2529" s="797">
        <f>$S$1*P!V2529</f>
        <v>2.340927419354839E-2</v>
      </c>
      <c r="W2529" s="780"/>
      <c r="X2529" s="782">
        <v>2525</v>
      </c>
      <c r="Y2529" s="782" t="s">
        <v>2248</v>
      </c>
      <c r="Z2529" s="782" t="s">
        <v>4998</v>
      </c>
      <c r="AA2529" s="781">
        <f>$S$1*P!AA2529</f>
        <v>5.9979838709677422E-5</v>
      </c>
      <c r="AB2529" s="780"/>
      <c r="AC2529" s="782">
        <v>2525</v>
      </c>
      <c r="AD2529" s="782" t="s">
        <v>4573</v>
      </c>
      <c r="AE2529" s="782" t="s">
        <v>2717</v>
      </c>
      <c r="AF2529" s="781">
        <f>$S$1*P!AF2529</f>
        <v>0.86713709677419359</v>
      </c>
    </row>
    <row r="2530" spans="19:32" x14ac:dyDescent="0.35">
      <c r="S2530" s="881">
        <v>2526</v>
      </c>
      <c r="T2530" s="881" t="s">
        <v>4284</v>
      </c>
      <c r="U2530" s="881" t="s">
        <v>2891</v>
      </c>
      <c r="V2530" s="883">
        <f>$S$1*P!V2530</f>
        <v>0</v>
      </c>
      <c r="W2530" s="780"/>
      <c r="X2530" s="782">
        <v>2526</v>
      </c>
      <c r="Y2530" s="782" t="s">
        <v>2248</v>
      </c>
      <c r="Z2530" s="782" t="s">
        <v>3961</v>
      </c>
      <c r="AA2530" s="781">
        <f>$S$1*P!AA2530</f>
        <v>5.8608870967741949E-4</v>
      </c>
      <c r="AB2530" s="780"/>
      <c r="AC2530" s="881">
        <v>2526</v>
      </c>
      <c r="AD2530" s="881" t="s">
        <v>4573</v>
      </c>
      <c r="AE2530" s="881" t="s">
        <v>2717</v>
      </c>
      <c r="AF2530" s="890">
        <f>$S$1*P!AF2530</f>
        <v>0</v>
      </c>
    </row>
    <row r="2531" spans="19:32" x14ac:dyDescent="0.35">
      <c r="S2531" s="881">
        <v>2527</v>
      </c>
      <c r="T2531" s="881" t="s">
        <v>4284</v>
      </c>
      <c r="U2531" s="881" t="s">
        <v>2890</v>
      </c>
      <c r="V2531" s="883">
        <f>$S$1*P!V2531</f>
        <v>2.4563999999999999</v>
      </c>
      <c r="W2531" s="780"/>
      <c r="X2531" s="782">
        <v>2527</v>
      </c>
      <c r="Y2531" s="782" t="s">
        <v>2248</v>
      </c>
      <c r="Z2531" s="782" t="s">
        <v>3960</v>
      </c>
      <c r="AA2531" s="781">
        <f>$S$1*P!AA2531</f>
        <v>6.2379032258064518E-4</v>
      </c>
      <c r="AB2531" s="780"/>
      <c r="AC2531" s="881">
        <v>2527</v>
      </c>
      <c r="AD2531" s="881" t="s">
        <v>4573</v>
      </c>
      <c r="AE2531" s="881" t="s">
        <v>2761</v>
      </c>
      <c r="AF2531" s="890">
        <f>$S$1*P!AF2531</f>
        <v>993.6</v>
      </c>
    </row>
    <row r="2532" spans="19:32" x14ac:dyDescent="0.35">
      <c r="S2532" s="782">
        <v>2528</v>
      </c>
      <c r="T2532" s="782" t="s">
        <v>4284</v>
      </c>
      <c r="U2532" s="782" t="s">
        <v>2888</v>
      </c>
      <c r="V2532" s="797">
        <f>$S$1*P!V2532</f>
        <v>2.5979838709677423E-4</v>
      </c>
      <c r="W2532" s="780"/>
      <c r="X2532" s="782">
        <v>2528</v>
      </c>
      <c r="Y2532" s="782" t="s">
        <v>2248</v>
      </c>
      <c r="Z2532" s="782" t="s">
        <v>4997</v>
      </c>
      <c r="AA2532" s="781">
        <f>$S$1*P!AA2532</f>
        <v>2.2963709677419357E-4</v>
      </c>
      <c r="AB2532" s="780"/>
      <c r="AC2532" s="782">
        <v>2528</v>
      </c>
      <c r="AD2532" s="782" t="s">
        <v>4573</v>
      </c>
      <c r="AE2532" s="782" t="s">
        <v>2714</v>
      </c>
      <c r="AF2532" s="781">
        <f>$S$1*P!AF2532</f>
        <v>2.0872983870967743</v>
      </c>
    </row>
    <row r="2533" spans="19:32" x14ac:dyDescent="0.35">
      <c r="S2533" s="881">
        <v>2529</v>
      </c>
      <c r="T2533" s="881" t="s">
        <v>4284</v>
      </c>
      <c r="U2533" s="881" t="s">
        <v>2888</v>
      </c>
      <c r="V2533" s="883">
        <f>$S$1*P!V2533</f>
        <v>10.028</v>
      </c>
      <c r="W2533" s="780"/>
      <c r="X2533" s="881">
        <v>2529</v>
      </c>
      <c r="Y2533" s="881" t="s">
        <v>2248</v>
      </c>
      <c r="Z2533" s="881" t="s">
        <v>3102</v>
      </c>
      <c r="AA2533" s="882">
        <f>$S$1*P!AA2533</f>
        <v>0</v>
      </c>
      <c r="AB2533" s="780"/>
      <c r="AC2533" s="881">
        <v>2529</v>
      </c>
      <c r="AD2533" s="881" t="s">
        <v>4573</v>
      </c>
      <c r="AE2533" s="881" t="s">
        <v>2760</v>
      </c>
      <c r="AF2533" s="890">
        <f>$S$1*P!AF2533</f>
        <v>0.43056</v>
      </c>
    </row>
    <row r="2534" spans="19:32" x14ac:dyDescent="0.35">
      <c r="S2534" s="782">
        <v>2530</v>
      </c>
      <c r="T2534" s="782" t="s">
        <v>4284</v>
      </c>
      <c r="U2534" s="782" t="s">
        <v>2887</v>
      </c>
      <c r="V2534" s="797">
        <f>$S$1*P!V2534</f>
        <v>2.7899193548387097E-5</v>
      </c>
      <c r="W2534" s="780"/>
      <c r="X2534" s="881">
        <v>2530</v>
      </c>
      <c r="Y2534" s="881" t="s">
        <v>2248</v>
      </c>
      <c r="Z2534" s="881" t="s">
        <v>3100</v>
      </c>
      <c r="AA2534" s="882">
        <f>$S$1*P!AA2534</f>
        <v>0</v>
      </c>
      <c r="AB2534" s="780"/>
      <c r="AC2534" s="782">
        <v>2530</v>
      </c>
      <c r="AD2534" s="782" t="s">
        <v>4573</v>
      </c>
      <c r="AE2534" s="782" t="s">
        <v>2712</v>
      </c>
      <c r="AF2534" s="781">
        <f>$S$1*P!AF2534</f>
        <v>7.7116935483870974E-3</v>
      </c>
    </row>
    <row r="2535" spans="19:32" x14ac:dyDescent="0.35">
      <c r="S2535" s="881">
        <v>2531</v>
      </c>
      <c r="T2535" s="881" t="s">
        <v>4284</v>
      </c>
      <c r="U2535" s="881" t="s">
        <v>2887</v>
      </c>
      <c r="V2535" s="883">
        <f>$S$1*P!V2535</f>
        <v>0</v>
      </c>
      <c r="W2535" s="780"/>
      <c r="X2535" s="782">
        <v>2531</v>
      </c>
      <c r="Y2535" s="782" t="s">
        <v>2248</v>
      </c>
      <c r="Z2535" s="782" t="s">
        <v>4996</v>
      </c>
      <c r="AA2535" s="781">
        <f>$S$1*P!AA2535</f>
        <v>1.8028225806451614E-3</v>
      </c>
      <c r="AB2535" s="780"/>
      <c r="AC2535" s="782">
        <v>2531</v>
      </c>
      <c r="AD2535" s="782" t="s">
        <v>4573</v>
      </c>
      <c r="AE2535" s="782" t="s">
        <v>2709</v>
      </c>
      <c r="AF2535" s="781">
        <f>$S$1*P!AF2535</f>
        <v>3.1086693548387098E-2</v>
      </c>
    </row>
    <row r="2536" spans="19:32" x14ac:dyDescent="0.35">
      <c r="S2536" s="782">
        <v>2532</v>
      </c>
      <c r="T2536" s="782" t="s">
        <v>4284</v>
      </c>
      <c r="U2536" s="782" t="s">
        <v>3197</v>
      </c>
      <c r="V2536" s="797">
        <f>$S$1*P!V2536</f>
        <v>3.3485887096774194E-4</v>
      </c>
      <c r="W2536" s="780"/>
      <c r="X2536" s="782">
        <v>2532</v>
      </c>
      <c r="Y2536" s="782" t="s">
        <v>2248</v>
      </c>
      <c r="Z2536" s="782" t="s">
        <v>3959</v>
      </c>
      <c r="AA2536" s="781">
        <f>$S$1*P!AA2536</f>
        <v>4.318548387096775E-3</v>
      </c>
      <c r="AB2536" s="780"/>
      <c r="AC2536" s="881">
        <v>2532</v>
      </c>
      <c r="AD2536" s="881" t="s">
        <v>4573</v>
      </c>
      <c r="AE2536" s="881" t="s">
        <v>2709</v>
      </c>
      <c r="AF2536" s="890">
        <f>$S$1*P!AF2536</f>
        <v>0.62284000000000006</v>
      </c>
    </row>
    <row r="2537" spans="19:32" x14ac:dyDescent="0.35">
      <c r="S2537" s="782">
        <v>2533</v>
      </c>
      <c r="T2537" s="782" t="s">
        <v>4284</v>
      </c>
      <c r="U2537" s="782" t="s">
        <v>3194</v>
      </c>
      <c r="V2537" s="797">
        <f>$S$1*P!V2537</f>
        <v>4.2500000000000003E-3</v>
      </c>
      <c r="W2537" s="780"/>
      <c r="X2537" s="881">
        <v>2533</v>
      </c>
      <c r="Y2537" s="881" t="s">
        <v>2248</v>
      </c>
      <c r="Z2537" s="881" t="s">
        <v>3099</v>
      </c>
      <c r="AA2537" s="882">
        <f>$S$1*P!AA2537</f>
        <v>0</v>
      </c>
      <c r="AB2537" s="780"/>
      <c r="AC2537" s="782">
        <v>2533</v>
      </c>
      <c r="AD2537" s="782" t="s">
        <v>4573</v>
      </c>
      <c r="AE2537" s="782" t="s">
        <v>2706</v>
      </c>
      <c r="AF2537" s="781">
        <f>$S$1*P!AF2537</f>
        <v>1.3983870967741936E-2</v>
      </c>
    </row>
    <row r="2538" spans="19:32" x14ac:dyDescent="0.35">
      <c r="S2538" s="782">
        <v>2534</v>
      </c>
      <c r="T2538" s="782" t="s">
        <v>4284</v>
      </c>
      <c r="U2538" s="782" t="s">
        <v>3191</v>
      </c>
      <c r="V2538" s="797">
        <f>$S$1*P!V2538</f>
        <v>1.994758064516129E-5</v>
      </c>
      <c r="W2538" s="780"/>
      <c r="X2538" s="782">
        <v>2534</v>
      </c>
      <c r="Y2538" s="782" t="s">
        <v>2248</v>
      </c>
      <c r="Z2538" s="782" t="s">
        <v>3099</v>
      </c>
      <c r="AA2538" s="781">
        <f>$S$1*P!AA2538</f>
        <v>4.558467741935484E-2</v>
      </c>
      <c r="AB2538" s="780"/>
      <c r="AC2538" s="782">
        <v>2534</v>
      </c>
      <c r="AD2538" s="782" t="s">
        <v>4573</v>
      </c>
      <c r="AE2538" s="782" t="s">
        <v>2703</v>
      </c>
      <c r="AF2538" s="781">
        <f>$S$1*P!AF2538</f>
        <v>9.9052419354838717E-2</v>
      </c>
    </row>
    <row r="2539" spans="19:32" x14ac:dyDescent="0.35">
      <c r="S2539" s="861">
        <v>2535</v>
      </c>
      <c r="T2539" s="861" t="s">
        <v>4284</v>
      </c>
      <c r="U2539" s="861" t="s">
        <v>4995</v>
      </c>
      <c r="V2539" s="862">
        <f>$S$1*P!V2539</f>
        <v>3.6594000000000002</v>
      </c>
      <c r="W2539" s="780"/>
      <c r="X2539" s="782">
        <v>2535</v>
      </c>
      <c r="Y2539" s="782" t="s">
        <v>2248</v>
      </c>
      <c r="Z2539" s="782" t="s">
        <v>4994</v>
      </c>
      <c r="AA2539" s="781">
        <f>$S$1*P!AA2539</f>
        <v>0.16280241935483872</v>
      </c>
      <c r="AB2539" s="780"/>
      <c r="AC2539" s="881">
        <v>2535</v>
      </c>
      <c r="AD2539" s="881" t="s">
        <v>4573</v>
      </c>
      <c r="AE2539" s="881" t="s">
        <v>2703</v>
      </c>
      <c r="AF2539" s="890">
        <f>$S$1*P!AF2539</f>
        <v>1.2695999999999998</v>
      </c>
    </row>
    <row r="2540" spans="19:32" x14ac:dyDescent="0.35">
      <c r="S2540" s="782">
        <v>2536</v>
      </c>
      <c r="T2540" s="782" t="s">
        <v>4284</v>
      </c>
      <c r="U2540" s="782" t="s">
        <v>2885</v>
      </c>
      <c r="V2540" s="797">
        <f>$S$1*P!V2540</f>
        <v>8.9798387096774211E-6</v>
      </c>
      <c r="W2540" s="780"/>
      <c r="X2540" s="782">
        <v>2536</v>
      </c>
      <c r="Y2540" s="782" t="s">
        <v>2248</v>
      </c>
      <c r="Z2540" s="782" t="s">
        <v>3955</v>
      </c>
      <c r="AA2540" s="781">
        <f>$S$1*P!AA2540</f>
        <v>0.14018145161290324</v>
      </c>
      <c r="AB2540" s="780"/>
      <c r="AC2540" s="782">
        <v>2536</v>
      </c>
      <c r="AD2540" s="782" t="s">
        <v>4573</v>
      </c>
      <c r="AE2540" s="782" t="s">
        <v>2700</v>
      </c>
      <c r="AF2540" s="781">
        <f>$S$1*P!AF2540</f>
        <v>0.11447580645161291</v>
      </c>
    </row>
    <row r="2541" spans="19:32" x14ac:dyDescent="0.35">
      <c r="S2541" s="881">
        <v>2537</v>
      </c>
      <c r="T2541" s="881" t="s">
        <v>4284</v>
      </c>
      <c r="U2541" s="881" t="s">
        <v>2885</v>
      </c>
      <c r="V2541" s="883">
        <f>$S$1*P!V2541</f>
        <v>8.6756000000000003E-3</v>
      </c>
      <c r="W2541" s="780"/>
      <c r="X2541" s="782">
        <v>2537</v>
      </c>
      <c r="Y2541" s="782" t="s">
        <v>2248</v>
      </c>
      <c r="Z2541" s="782" t="s">
        <v>3952</v>
      </c>
      <c r="AA2541" s="781">
        <f>$S$1*P!AA2541</f>
        <v>0.49354838709677423</v>
      </c>
      <c r="AB2541" s="780"/>
      <c r="AC2541" s="782">
        <v>2537</v>
      </c>
      <c r="AD2541" s="782" t="s">
        <v>4573</v>
      </c>
      <c r="AE2541" s="782" t="s">
        <v>2698</v>
      </c>
      <c r="AF2541" s="781">
        <f>$S$1*P!AF2541</f>
        <v>9.1512096774193558E-2</v>
      </c>
    </row>
    <row r="2542" spans="19:32" x14ac:dyDescent="0.35">
      <c r="S2542" s="782">
        <v>2538</v>
      </c>
      <c r="T2542" s="782" t="s">
        <v>4284</v>
      </c>
      <c r="U2542" s="782" t="s">
        <v>3187</v>
      </c>
      <c r="V2542" s="797">
        <f>$S$1*P!V2542</f>
        <v>1.6965725806451616E-4</v>
      </c>
      <c r="W2542" s="780"/>
      <c r="X2542" s="782">
        <v>2538</v>
      </c>
      <c r="Y2542" s="782" t="s">
        <v>2248</v>
      </c>
      <c r="Z2542" s="782" t="s">
        <v>4993</v>
      </c>
      <c r="AA2542" s="781">
        <f>$S$1*P!AA2542</f>
        <v>2.186693548387097E-3</v>
      </c>
      <c r="AB2542" s="780"/>
      <c r="AC2542" s="881">
        <v>2538</v>
      </c>
      <c r="AD2542" s="881" t="s">
        <v>4573</v>
      </c>
      <c r="AE2542" s="881" t="s">
        <v>2698</v>
      </c>
      <c r="AF2542" s="890">
        <f>$S$1*P!AF2542</f>
        <v>0</v>
      </c>
    </row>
    <row r="2543" spans="19:32" x14ac:dyDescent="0.35">
      <c r="S2543" s="782">
        <v>2539</v>
      </c>
      <c r="T2543" s="782" t="s">
        <v>4284</v>
      </c>
      <c r="U2543" s="782" t="s">
        <v>3184</v>
      </c>
      <c r="V2543" s="797">
        <f>$S$1*P!V2543</f>
        <v>1.1241935483870968E-7</v>
      </c>
      <c r="W2543" s="780"/>
      <c r="X2543" s="782">
        <v>2539</v>
      </c>
      <c r="Y2543" s="782" t="s">
        <v>2248</v>
      </c>
      <c r="Z2543" s="782" t="s">
        <v>3949</v>
      </c>
      <c r="AA2543" s="781">
        <f>$S$1*P!AA2543</f>
        <v>4.9697580645161293E-4</v>
      </c>
      <c r="AB2543" s="780"/>
      <c r="AC2543" s="782">
        <v>2539</v>
      </c>
      <c r="AD2543" s="782" t="s">
        <v>4573</v>
      </c>
      <c r="AE2543" s="782" t="s">
        <v>2695</v>
      </c>
      <c r="AF2543" s="781">
        <f>$S$1*P!AF2543</f>
        <v>2.7727822580645165E-3</v>
      </c>
    </row>
    <row r="2544" spans="19:32" x14ac:dyDescent="0.35">
      <c r="S2544" s="782">
        <v>2540</v>
      </c>
      <c r="T2544" s="782" t="s">
        <v>4284</v>
      </c>
      <c r="U2544" s="782" t="s">
        <v>3181</v>
      </c>
      <c r="V2544" s="797">
        <f>$S$1*P!V2544</f>
        <v>1.6862903225806452E-2</v>
      </c>
      <c r="W2544" s="780"/>
      <c r="X2544" s="881">
        <v>2540</v>
      </c>
      <c r="Y2544" s="881" t="s">
        <v>2248</v>
      </c>
      <c r="Z2544" s="881" t="s">
        <v>3097</v>
      </c>
      <c r="AA2544" s="882">
        <f>$S$1*P!AA2544</f>
        <v>0</v>
      </c>
      <c r="AB2544" s="780"/>
      <c r="AC2544" s="782">
        <v>2540</v>
      </c>
      <c r="AD2544" s="782" t="s">
        <v>4573</v>
      </c>
      <c r="AE2544" s="782" t="s">
        <v>2692</v>
      </c>
      <c r="AF2544" s="781">
        <f>$S$1*P!AF2544</f>
        <v>3.9758064516129035E-3</v>
      </c>
    </row>
    <row r="2545" spans="19:32" x14ac:dyDescent="0.35">
      <c r="S2545" s="891">
        <v>2541</v>
      </c>
      <c r="T2545" s="891" t="s">
        <v>4284</v>
      </c>
      <c r="U2545" s="861" t="s">
        <v>2884</v>
      </c>
      <c r="V2545" s="862">
        <f>$S$1*P!V2545</f>
        <v>9.8439999999999994</v>
      </c>
      <c r="W2545" s="780"/>
      <c r="X2545" s="782">
        <v>2541</v>
      </c>
      <c r="Y2545" s="782" t="s">
        <v>2248</v>
      </c>
      <c r="Z2545" s="782" t="s">
        <v>3097</v>
      </c>
      <c r="AA2545" s="781">
        <f>$S$1*P!AA2545</f>
        <v>22.963709677419356</v>
      </c>
      <c r="AB2545" s="780"/>
      <c r="AC2545" s="881">
        <v>2541</v>
      </c>
      <c r="AD2545" s="881" t="s">
        <v>4573</v>
      </c>
      <c r="AE2545" s="881" t="s">
        <v>2756</v>
      </c>
      <c r="AF2545" s="890">
        <f>$S$1*P!AF2545</f>
        <v>0.57684000000000002</v>
      </c>
    </row>
    <row r="2546" spans="19:32" x14ac:dyDescent="0.35">
      <c r="S2546" s="782">
        <v>2542</v>
      </c>
      <c r="T2546" s="782" t="s">
        <v>4284</v>
      </c>
      <c r="U2546" s="782" t="s">
        <v>2884</v>
      </c>
      <c r="V2546" s="797">
        <f>$S$1*P!V2546</f>
        <v>2.2758064516129033E-9</v>
      </c>
      <c r="W2546" s="780"/>
      <c r="X2546" s="782">
        <v>2542</v>
      </c>
      <c r="Y2546" s="782" t="s">
        <v>2248</v>
      </c>
      <c r="Z2546" s="782" t="s">
        <v>3495</v>
      </c>
      <c r="AA2546" s="781">
        <f>$S$1*P!AA2546</f>
        <v>2.5877016129032259E-4</v>
      </c>
      <c r="AB2546" s="780"/>
      <c r="AC2546" s="782">
        <v>2542</v>
      </c>
      <c r="AD2546" s="782" t="s">
        <v>4573</v>
      </c>
      <c r="AE2546" s="782" t="s">
        <v>2691</v>
      </c>
      <c r="AF2546" s="781">
        <f>$S$1*P!AF2546</f>
        <v>0.13435483870967743</v>
      </c>
    </row>
    <row r="2547" spans="19:32" x14ac:dyDescent="0.35">
      <c r="S2547" s="881">
        <v>2543</v>
      </c>
      <c r="T2547" s="881" t="s">
        <v>4284</v>
      </c>
      <c r="U2547" s="881" t="s">
        <v>2884</v>
      </c>
      <c r="V2547" s="883">
        <f>$S$1*P!V2547</f>
        <v>6.2651999999999999E-2</v>
      </c>
      <c r="W2547" s="780"/>
      <c r="X2547" s="782">
        <v>2543</v>
      </c>
      <c r="Y2547" s="782" t="s">
        <v>2248</v>
      </c>
      <c r="Z2547" s="782" t="s">
        <v>3947</v>
      </c>
      <c r="AA2547" s="781">
        <f>$S$1*P!AA2547</f>
        <v>2.0050403225806452E-4</v>
      </c>
      <c r="AB2547" s="780"/>
      <c r="AC2547" s="782">
        <v>2543</v>
      </c>
      <c r="AD2547" s="782" t="s">
        <v>4573</v>
      </c>
      <c r="AE2547" s="782" t="s">
        <v>2690</v>
      </c>
      <c r="AF2547" s="781">
        <f>$S$1*P!AF2547</f>
        <v>5.8951612903225808E-4</v>
      </c>
    </row>
    <row r="2548" spans="19:32" x14ac:dyDescent="0.35">
      <c r="S2548" s="782">
        <v>2544</v>
      </c>
      <c r="T2548" s="782" t="s">
        <v>4284</v>
      </c>
      <c r="U2548" s="782" t="s">
        <v>3177</v>
      </c>
      <c r="V2548" s="797">
        <f>$S$1*P!V2548</f>
        <v>1.1893145161290324E-2</v>
      </c>
      <c r="W2548" s="780"/>
      <c r="X2548" s="881">
        <v>2544</v>
      </c>
      <c r="Y2548" s="881" t="s">
        <v>2248</v>
      </c>
      <c r="Z2548" s="881" t="s">
        <v>3096</v>
      </c>
      <c r="AA2548" s="882">
        <f>$S$1*P!AA2548</f>
        <v>97.52</v>
      </c>
      <c r="AB2548" s="780"/>
      <c r="AC2548" s="782">
        <v>2544</v>
      </c>
      <c r="AD2548" s="782" t="s">
        <v>4573</v>
      </c>
      <c r="AE2548" s="782" t="s">
        <v>2687</v>
      </c>
      <c r="AF2548" s="781">
        <f>$S$1*P!AF2548</f>
        <v>2.7522177419354839E-3</v>
      </c>
    </row>
    <row r="2549" spans="19:32" x14ac:dyDescent="0.35">
      <c r="S2549" s="782">
        <v>2545</v>
      </c>
      <c r="T2549" s="782" t="s">
        <v>4284</v>
      </c>
      <c r="U2549" s="782" t="s">
        <v>3174</v>
      </c>
      <c r="V2549" s="797">
        <f>$S$1*P!V2549</f>
        <v>6.9919354838709677E-4</v>
      </c>
      <c r="W2549" s="780"/>
      <c r="X2549" s="782">
        <v>2545</v>
      </c>
      <c r="Y2549" s="782" t="s">
        <v>2248</v>
      </c>
      <c r="Z2549" s="782" t="s">
        <v>4992</v>
      </c>
      <c r="AA2549" s="781">
        <f>$S$1*P!AA2549</f>
        <v>1.182459677419355E-4</v>
      </c>
      <c r="AB2549" s="780"/>
      <c r="AC2549" s="782">
        <v>2545</v>
      </c>
      <c r="AD2549" s="782" t="s">
        <v>4573</v>
      </c>
      <c r="AE2549" s="782" t="s">
        <v>2684</v>
      </c>
      <c r="AF2549" s="781">
        <f>$S$1*P!AF2549</f>
        <v>8.4657258064516142E-2</v>
      </c>
    </row>
    <row r="2550" spans="19:32" x14ac:dyDescent="0.35">
      <c r="S2550" s="782">
        <v>2546</v>
      </c>
      <c r="T2550" s="782" t="s">
        <v>4284</v>
      </c>
      <c r="U2550" s="782" t="s">
        <v>3171</v>
      </c>
      <c r="V2550" s="797">
        <f>$S$1*P!V2550</f>
        <v>2.340927419354839E-2</v>
      </c>
      <c r="W2550" s="780"/>
      <c r="X2550" s="881">
        <v>2546</v>
      </c>
      <c r="Y2550" s="881" t="s">
        <v>2248</v>
      </c>
      <c r="Z2550" s="881" t="s">
        <v>3094</v>
      </c>
      <c r="AA2550" s="882">
        <f>$S$1*P!AA2550</f>
        <v>0</v>
      </c>
      <c r="AB2550" s="780"/>
      <c r="AC2550" s="881">
        <v>2546</v>
      </c>
      <c r="AD2550" s="881" t="s">
        <v>4573</v>
      </c>
      <c r="AE2550" s="881" t="s">
        <v>2684</v>
      </c>
      <c r="AF2550" s="890">
        <f>$S$1*P!AF2550</f>
        <v>0</v>
      </c>
    </row>
    <row r="2551" spans="19:32" x14ac:dyDescent="0.35">
      <c r="S2551" s="861">
        <v>2547</v>
      </c>
      <c r="T2551" s="861" t="s">
        <v>4284</v>
      </c>
      <c r="U2551" s="861" t="s">
        <v>3168</v>
      </c>
      <c r="V2551" s="862">
        <f>$S$1*P!V2551</f>
        <v>1.9045999999999998</v>
      </c>
      <c r="W2551" s="780"/>
      <c r="X2551" s="782">
        <v>2547</v>
      </c>
      <c r="Y2551" s="782" t="s">
        <v>2248</v>
      </c>
      <c r="Z2551" s="782" t="s">
        <v>3945</v>
      </c>
      <c r="AA2551" s="781">
        <f>$S$1*P!AA2551</f>
        <v>34</v>
      </c>
      <c r="AB2551" s="780"/>
      <c r="AC2551" s="782">
        <v>2547</v>
      </c>
      <c r="AD2551" s="782" t="s">
        <v>4573</v>
      </c>
      <c r="AE2551" s="782" t="s">
        <v>2681</v>
      </c>
      <c r="AF2551" s="781">
        <f>$S$1*P!AF2551</f>
        <v>0.55181451612903232</v>
      </c>
    </row>
    <row r="2552" spans="19:32" x14ac:dyDescent="0.35">
      <c r="S2552" s="782">
        <v>2548</v>
      </c>
      <c r="T2552" s="782" t="s">
        <v>4284</v>
      </c>
      <c r="U2552" s="782" t="s">
        <v>3168</v>
      </c>
      <c r="V2552" s="797">
        <f>$S$1*P!V2552</f>
        <v>1.7582661290322582E-6</v>
      </c>
      <c r="W2552" s="780"/>
      <c r="X2552" s="782">
        <v>2548</v>
      </c>
      <c r="Y2552" s="782" t="s">
        <v>2248</v>
      </c>
      <c r="Z2552" s="782" t="s">
        <v>4991</v>
      </c>
      <c r="AA2552" s="781">
        <f>$S$1*P!AA2552</f>
        <v>1.6417338709677421E-6</v>
      </c>
      <c r="AB2552" s="780"/>
      <c r="AC2552" s="782">
        <v>2548</v>
      </c>
      <c r="AD2552" s="782" t="s">
        <v>4573</v>
      </c>
      <c r="AE2552" s="782" t="s">
        <v>2679</v>
      </c>
      <c r="AF2552" s="781">
        <f>$S$1*P!AF2552</f>
        <v>6.5120967741935489</v>
      </c>
    </row>
    <row r="2553" spans="19:32" x14ac:dyDescent="0.35">
      <c r="S2553" s="782">
        <v>2549</v>
      </c>
      <c r="T2553" s="782" t="s">
        <v>4284</v>
      </c>
      <c r="U2553" s="782" t="s">
        <v>3166</v>
      </c>
      <c r="V2553" s="797">
        <f>$S$1*P!V2553</f>
        <v>3.9415322580645162E-7</v>
      </c>
      <c r="W2553" s="780"/>
      <c r="X2553" s="881">
        <v>2549</v>
      </c>
      <c r="Y2553" s="881" t="s">
        <v>2248</v>
      </c>
      <c r="Z2553" s="881" t="s">
        <v>3092</v>
      </c>
      <c r="AA2553" s="882">
        <f>$S$1*P!AA2553</f>
        <v>1.0855999999999999</v>
      </c>
      <c r="AB2553" s="780"/>
      <c r="AC2553" s="782">
        <v>2549</v>
      </c>
      <c r="AD2553" s="782" t="s">
        <v>4573</v>
      </c>
      <c r="AE2553" s="782" t="s">
        <v>2677</v>
      </c>
      <c r="AF2553" s="781">
        <f>$S$1*P!AF2553</f>
        <v>1.8405241935483871</v>
      </c>
    </row>
    <row r="2554" spans="19:32" x14ac:dyDescent="0.35">
      <c r="S2554" s="782">
        <v>2550</v>
      </c>
      <c r="T2554" s="782" t="s">
        <v>4284</v>
      </c>
      <c r="U2554" s="782" t="s">
        <v>3163</v>
      </c>
      <c r="V2554" s="797">
        <f>$S$1*P!V2554</f>
        <v>8.2943548387096779E-7</v>
      </c>
      <c r="W2554" s="780"/>
      <c r="X2554" s="782">
        <v>2550</v>
      </c>
      <c r="Y2554" s="782" t="s">
        <v>2248</v>
      </c>
      <c r="Z2554" s="782" t="s">
        <v>3092</v>
      </c>
      <c r="AA2554" s="781">
        <f>$S$1*P!AA2554</f>
        <v>1.9399193548387099E-3</v>
      </c>
      <c r="AB2554" s="780"/>
      <c r="AC2554" s="782">
        <v>2550</v>
      </c>
      <c r="AD2554" s="782" t="s">
        <v>4573</v>
      </c>
      <c r="AE2554" s="782" t="s">
        <v>2674</v>
      </c>
      <c r="AF2554" s="781">
        <f>$S$1*P!AF2554</f>
        <v>2.4129032258064519E-2</v>
      </c>
    </row>
    <row r="2555" spans="19:32" x14ac:dyDescent="0.35">
      <c r="S2555" s="782">
        <v>2551</v>
      </c>
      <c r="T2555" s="782" t="s">
        <v>4284</v>
      </c>
      <c r="U2555" s="782" t="s">
        <v>3160</v>
      </c>
      <c r="V2555" s="797">
        <f>$S$1*P!V2555</f>
        <v>1.1276209677419356E-7</v>
      </c>
      <c r="W2555" s="780"/>
      <c r="X2555" s="782">
        <v>2551</v>
      </c>
      <c r="Y2555" s="782" t="s">
        <v>2248</v>
      </c>
      <c r="Z2555" s="782" t="s">
        <v>3942</v>
      </c>
      <c r="AA2555" s="781">
        <f>$S$1*P!AA2555</f>
        <v>3.7358870967741938E-2</v>
      </c>
      <c r="AB2555" s="780"/>
      <c r="AC2555" s="782">
        <v>2551</v>
      </c>
      <c r="AD2555" s="782" t="s">
        <v>4573</v>
      </c>
      <c r="AE2555" s="782" t="s">
        <v>2671</v>
      </c>
      <c r="AF2555" s="781">
        <f>$S$1*P!AF2555</f>
        <v>5.1411290322580648E-2</v>
      </c>
    </row>
    <row r="2556" spans="19:32" x14ac:dyDescent="0.35">
      <c r="S2556" s="782">
        <v>2552</v>
      </c>
      <c r="T2556" s="782" t="s">
        <v>4284</v>
      </c>
      <c r="U2556" s="782" t="s">
        <v>3157</v>
      </c>
      <c r="V2556" s="797">
        <f>$S$1*P!V2556</f>
        <v>2.1147177419354839E-2</v>
      </c>
      <c r="W2556" s="780"/>
      <c r="X2556" s="782">
        <v>2552</v>
      </c>
      <c r="Y2556" s="782" t="s">
        <v>2248</v>
      </c>
      <c r="Z2556" s="782" t="s">
        <v>4990</v>
      </c>
      <c r="AA2556" s="781">
        <f>$S$1*P!AA2556</f>
        <v>0.11687500000000001</v>
      </c>
      <c r="AB2556" s="780"/>
      <c r="AC2556" s="782">
        <v>2552</v>
      </c>
      <c r="AD2556" s="782" t="s">
        <v>4573</v>
      </c>
      <c r="AE2556" s="782" t="s">
        <v>2670</v>
      </c>
      <c r="AF2556" s="781">
        <f>$S$1*P!AF2556</f>
        <v>5.3125000000000004E-3</v>
      </c>
    </row>
    <row r="2557" spans="19:32" x14ac:dyDescent="0.35">
      <c r="S2557" s="782">
        <v>2553</v>
      </c>
      <c r="T2557" s="782" t="s">
        <v>4284</v>
      </c>
      <c r="U2557" s="782" t="s">
        <v>3154</v>
      </c>
      <c r="V2557" s="797">
        <f>$S$1*P!V2557</f>
        <v>8.0201612903225812E-5</v>
      </c>
      <c r="W2557" s="780"/>
      <c r="X2557" s="782">
        <v>2553</v>
      </c>
      <c r="Y2557" s="782" t="s">
        <v>2248</v>
      </c>
      <c r="Z2557" s="782" t="s">
        <v>3941</v>
      </c>
      <c r="AA2557" s="781">
        <f>$S$1*P!AA2557</f>
        <v>6.3064516129032272E-5</v>
      </c>
      <c r="AB2557" s="780"/>
      <c r="AC2557" s="782">
        <v>2553</v>
      </c>
      <c r="AD2557" s="782" t="s">
        <v>4573</v>
      </c>
      <c r="AE2557" s="782" t="s">
        <v>2668</v>
      </c>
      <c r="AF2557" s="781">
        <f>$S$1*P!AF2557</f>
        <v>0.15080645161290324</v>
      </c>
    </row>
    <row r="2558" spans="19:32" x14ac:dyDescent="0.35">
      <c r="S2558" s="782">
        <v>2554</v>
      </c>
      <c r="T2558" s="782" t="s">
        <v>4284</v>
      </c>
      <c r="U2558" s="782" t="s">
        <v>3152</v>
      </c>
      <c r="V2558" s="797">
        <f>$S$1*P!V2558</f>
        <v>3.1840725806451618E-3</v>
      </c>
      <c r="W2558" s="780"/>
      <c r="X2558" s="782">
        <v>2554</v>
      </c>
      <c r="Y2558" s="782" t="s">
        <v>2248</v>
      </c>
      <c r="Z2558" s="782" t="s">
        <v>3940</v>
      </c>
      <c r="AA2558" s="781">
        <f>$S$1*P!AA2558</f>
        <v>8.6713709677419364E-3</v>
      </c>
      <c r="AB2558" s="780"/>
      <c r="AC2558" s="782">
        <v>2554</v>
      </c>
      <c r="AD2558" s="782" t="s">
        <v>4573</v>
      </c>
      <c r="AE2558" s="782" t="s">
        <v>2666</v>
      </c>
      <c r="AF2558" s="781">
        <f>$S$1*P!AF2558</f>
        <v>1.4463709677419357E-2</v>
      </c>
    </row>
    <row r="2559" spans="19:32" x14ac:dyDescent="0.35">
      <c r="S2559" s="782">
        <v>2555</v>
      </c>
      <c r="T2559" s="782" t="s">
        <v>4284</v>
      </c>
      <c r="U2559" s="782" t="s">
        <v>3149</v>
      </c>
      <c r="V2559" s="797">
        <f>$S$1*P!V2559</f>
        <v>0.10110887096774195</v>
      </c>
      <c r="W2559" s="780"/>
      <c r="X2559" s="782">
        <v>2555</v>
      </c>
      <c r="Y2559" s="782" t="s">
        <v>2248</v>
      </c>
      <c r="Z2559" s="782" t="s">
        <v>4989</v>
      </c>
      <c r="AA2559" s="781">
        <f>$S$1*P!AA2559</f>
        <v>94.596774193548399</v>
      </c>
      <c r="AB2559" s="780"/>
      <c r="AC2559" s="782">
        <v>2555</v>
      </c>
      <c r="AD2559" s="782" t="s">
        <v>4573</v>
      </c>
      <c r="AE2559" s="782" t="s">
        <v>2664</v>
      </c>
      <c r="AF2559" s="781">
        <f>$S$1*P!AF2559</f>
        <v>4.4556451612903232E-2</v>
      </c>
    </row>
    <row r="2560" spans="19:32" x14ac:dyDescent="0.35">
      <c r="S2560" s="782">
        <v>2556</v>
      </c>
      <c r="T2560" s="782" t="s">
        <v>4284</v>
      </c>
      <c r="U2560" s="782" t="s">
        <v>3146</v>
      </c>
      <c r="V2560" s="797">
        <f>$S$1*P!V2560</f>
        <v>2.6254032258064521E-4</v>
      </c>
      <c r="W2560" s="780"/>
      <c r="X2560" s="881">
        <v>2556</v>
      </c>
      <c r="Y2560" s="881" t="s">
        <v>2248</v>
      </c>
      <c r="Z2560" s="881" t="s">
        <v>3091</v>
      </c>
      <c r="AA2560" s="882">
        <f>$S$1*P!AA2560</f>
        <v>0</v>
      </c>
      <c r="AB2560" s="780"/>
      <c r="AC2560" s="782">
        <v>2556</v>
      </c>
      <c r="AD2560" s="782" t="s">
        <v>4573</v>
      </c>
      <c r="AE2560" s="782" t="s">
        <v>2661</v>
      </c>
      <c r="AF2560" s="781">
        <f>$S$1*P!AF2560</f>
        <v>71.633064516129039</v>
      </c>
    </row>
    <row r="2561" spans="19:32" x14ac:dyDescent="0.35">
      <c r="S2561" s="881">
        <v>2557</v>
      </c>
      <c r="T2561" s="881" t="s">
        <v>4284</v>
      </c>
      <c r="U2561" s="881" t="s">
        <v>2882</v>
      </c>
      <c r="V2561" s="883">
        <f>$S$1*P!V2561</f>
        <v>0</v>
      </c>
      <c r="W2561" s="780"/>
      <c r="X2561" s="782">
        <v>2557</v>
      </c>
      <c r="Y2561" s="782" t="s">
        <v>2248</v>
      </c>
      <c r="Z2561" s="782" t="s">
        <v>3091</v>
      </c>
      <c r="AA2561" s="781">
        <f>$S$1*P!AA2561</f>
        <v>2.186693548387097E-3</v>
      </c>
      <c r="AB2561" s="780"/>
      <c r="AC2561" s="782">
        <v>2557</v>
      </c>
      <c r="AD2561" s="782" t="s">
        <v>4573</v>
      </c>
      <c r="AE2561" s="782" t="s">
        <v>2658</v>
      </c>
      <c r="AF2561" s="781">
        <f>$S$1*P!AF2561</f>
        <v>2.7453629032258068E-2</v>
      </c>
    </row>
    <row r="2562" spans="19:32" x14ac:dyDescent="0.35">
      <c r="S2562" s="782">
        <v>2558</v>
      </c>
      <c r="T2562" s="782" t="s">
        <v>4284</v>
      </c>
      <c r="U2562" s="782" t="s">
        <v>3143</v>
      </c>
      <c r="V2562" s="797">
        <f>$S$1*P!V2562</f>
        <v>1.6622983870967742E-4</v>
      </c>
      <c r="W2562" s="780"/>
      <c r="X2562" s="782">
        <v>2558</v>
      </c>
      <c r="Y2562" s="782" t="s">
        <v>2248</v>
      </c>
      <c r="Z2562" s="782" t="s">
        <v>4988</v>
      </c>
      <c r="AA2562" s="781">
        <f>$S$1*P!AA2562</f>
        <v>1.6245967741935484E-5</v>
      </c>
      <c r="AB2562" s="780"/>
      <c r="AC2562" s="782">
        <v>2558</v>
      </c>
      <c r="AD2562" s="782" t="s">
        <v>4573</v>
      </c>
      <c r="AE2562" s="782" t="s">
        <v>2656</v>
      </c>
      <c r="AF2562" s="781">
        <f>$S$1*P!AF2562</f>
        <v>1.134475806451613E-2</v>
      </c>
    </row>
    <row r="2563" spans="19:32" x14ac:dyDescent="0.35">
      <c r="S2563" s="782">
        <v>2559</v>
      </c>
      <c r="T2563" s="782" t="s">
        <v>4284</v>
      </c>
      <c r="U2563" s="782" t="s">
        <v>3141</v>
      </c>
      <c r="V2563" s="797">
        <f>$S$1*P!V2563</f>
        <v>1.8576612903225809E-3</v>
      </c>
      <c r="W2563" s="780"/>
      <c r="X2563" s="782">
        <v>2559</v>
      </c>
      <c r="Y2563" s="782" t="s">
        <v>2248</v>
      </c>
      <c r="Z2563" s="782" t="s">
        <v>3934</v>
      </c>
      <c r="AA2563" s="781">
        <f>$S$1*P!AA2563</f>
        <v>1.4120967741935484</v>
      </c>
      <c r="AB2563" s="780"/>
      <c r="AC2563" s="881">
        <v>2559</v>
      </c>
      <c r="AD2563" s="881" t="s">
        <v>4573</v>
      </c>
      <c r="AE2563" s="881" t="s">
        <v>2754</v>
      </c>
      <c r="AF2563" s="890">
        <f>$S$1*P!AF2563</f>
        <v>99.36</v>
      </c>
    </row>
    <row r="2564" spans="19:32" x14ac:dyDescent="0.35">
      <c r="S2564" s="782">
        <v>2560</v>
      </c>
      <c r="T2564" s="782" t="s">
        <v>4284</v>
      </c>
      <c r="U2564" s="782" t="s">
        <v>3138</v>
      </c>
      <c r="V2564" s="797">
        <f>$S$1*P!V2564</f>
        <v>1.288709677419355E-5</v>
      </c>
      <c r="W2564" s="780"/>
      <c r="X2564" s="881">
        <v>2560</v>
      </c>
      <c r="Y2564" s="881" t="s">
        <v>2248</v>
      </c>
      <c r="Z2564" s="881" t="s">
        <v>3090</v>
      </c>
      <c r="AA2564" s="882">
        <f>$S$1*P!AA2564</f>
        <v>0</v>
      </c>
      <c r="AB2564" s="780"/>
      <c r="AC2564" s="782">
        <v>2560</v>
      </c>
      <c r="AD2564" s="782" t="s">
        <v>4573</v>
      </c>
      <c r="AE2564" s="782" t="s">
        <v>2653</v>
      </c>
      <c r="AF2564" s="781">
        <f>$S$1*P!AF2564</f>
        <v>10.213709677419356</v>
      </c>
    </row>
    <row r="2565" spans="19:32" x14ac:dyDescent="0.35">
      <c r="S2565" s="782">
        <v>2561</v>
      </c>
      <c r="T2565" s="782" t="s">
        <v>4284</v>
      </c>
      <c r="U2565" s="782" t="s">
        <v>3135</v>
      </c>
      <c r="V2565" s="797">
        <f>$S$1*P!V2565</f>
        <v>2.1112903225806452E-2</v>
      </c>
      <c r="W2565" s="780"/>
      <c r="X2565" s="782">
        <v>2561</v>
      </c>
      <c r="Y2565" s="782" t="s">
        <v>2248</v>
      </c>
      <c r="Z2565" s="782" t="s">
        <v>4987</v>
      </c>
      <c r="AA2565" s="781">
        <f>$S$1*P!AA2565</f>
        <v>6.1693548387096779E-2</v>
      </c>
      <c r="AB2565" s="780"/>
      <c r="AC2565" s="881">
        <v>2561</v>
      </c>
      <c r="AD2565" s="881" t="s">
        <v>4573</v>
      </c>
      <c r="AE2565" s="881" t="s">
        <v>2653</v>
      </c>
      <c r="AF2565" s="890">
        <f>$S$1*P!AF2565</f>
        <v>109.48</v>
      </c>
    </row>
    <row r="2566" spans="19:32" x14ac:dyDescent="0.35">
      <c r="S2566" s="782">
        <v>2562</v>
      </c>
      <c r="T2566" s="782" t="s">
        <v>4284</v>
      </c>
      <c r="U2566" s="782" t="s">
        <v>3132</v>
      </c>
      <c r="V2566" s="797">
        <f>$S$1*P!V2566</f>
        <v>4.7298387096774197E-2</v>
      </c>
      <c r="W2566" s="780"/>
      <c r="X2566" s="881">
        <v>2562</v>
      </c>
      <c r="Y2566" s="881" t="s">
        <v>2248</v>
      </c>
      <c r="Z2566" s="881" t="s">
        <v>3089</v>
      </c>
      <c r="AA2566" s="882">
        <f>$S$1*P!AA2566</f>
        <v>0</v>
      </c>
      <c r="AB2566" s="780"/>
      <c r="AC2566" s="782">
        <v>2562</v>
      </c>
      <c r="AD2566" s="782" t="s">
        <v>4573</v>
      </c>
      <c r="AE2566" s="782" t="s">
        <v>2650</v>
      </c>
      <c r="AF2566" s="781">
        <f>$S$1*P!AF2566</f>
        <v>14.875000000000002</v>
      </c>
    </row>
    <row r="2567" spans="19:32" x14ac:dyDescent="0.35">
      <c r="S2567" s="782">
        <v>2563</v>
      </c>
      <c r="T2567" s="782" t="s">
        <v>4284</v>
      </c>
      <c r="U2567" s="782" t="s">
        <v>3129</v>
      </c>
      <c r="V2567" s="797">
        <f>$S$1*P!V2567</f>
        <v>2.1558467741935486E-3</v>
      </c>
      <c r="W2567" s="780"/>
      <c r="X2567" s="782">
        <v>2563</v>
      </c>
      <c r="Y2567" s="782" t="s">
        <v>2248</v>
      </c>
      <c r="Z2567" s="782" t="s">
        <v>3089</v>
      </c>
      <c r="AA2567" s="781">
        <f>$S$1*P!AA2567</f>
        <v>80.201612903225808</v>
      </c>
      <c r="AB2567" s="780"/>
      <c r="AC2567" s="782">
        <v>2563</v>
      </c>
      <c r="AD2567" s="782" t="s">
        <v>4573</v>
      </c>
      <c r="AE2567" s="782" t="s">
        <v>2648</v>
      </c>
      <c r="AF2567" s="781">
        <f>$S$1*P!AF2567</f>
        <v>5.3467741935483879</v>
      </c>
    </row>
    <row r="2568" spans="19:32" x14ac:dyDescent="0.35">
      <c r="S2568" s="881">
        <v>2564</v>
      </c>
      <c r="T2568" s="881" t="s">
        <v>4284</v>
      </c>
      <c r="U2568" s="881" t="s">
        <v>2880</v>
      </c>
      <c r="V2568" s="883">
        <f>$S$1*P!V2568</f>
        <v>0</v>
      </c>
      <c r="W2568" s="780"/>
      <c r="X2568" s="881">
        <v>2564</v>
      </c>
      <c r="Y2568" s="881" t="s">
        <v>2248</v>
      </c>
      <c r="Z2568" s="881" t="s">
        <v>3088</v>
      </c>
      <c r="AA2568" s="882">
        <f>$S$1*P!AA2568</f>
        <v>1.9872000000000001E-2</v>
      </c>
      <c r="AB2568" s="780"/>
      <c r="AC2568" s="881">
        <v>2564</v>
      </c>
      <c r="AD2568" s="881" t="s">
        <v>4573</v>
      </c>
      <c r="AE2568" s="881" t="s">
        <v>2648</v>
      </c>
      <c r="AF2568" s="890">
        <f>$S$1*P!AF2568</f>
        <v>0</v>
      </c>
    </row>
    <row r="2569" spans="19:32" x14ac:dyDescent="0.35">
      <c r="S2569" s="881">
        <v>2565</v>
      </c>
      <c r="T2569" s="881" t="s">
        <v>4284</v>
      </c>
      <c r="U2569" s="881" t="s">
        <v>2879</v>
      </c>
      <c r="V2569" s="883">
        <f>$S$1*P!V2569</f>
        <v>0</v>
      </c>
      <c r="W2569" s="780"/>
      <c r="X2569" s="782">
        <v>2565</v>
      </c>
      <c r="Y2569" s="782" t="s">
        <v>2248</v>
      </c>
      <c r="Z2569" s="782" t="s">
        <v>3494</v>
      </c>
      <c r="AA2569" s="781">
        <f>$S$1*P!AA2569</f>
        <v>6.1350806451612901E-4</v>
      </c>
      <c r="AB2569" s="780"/>
      <c r="AC2569" s="782">
        <v>2565</v>
      </c>
      <c r="AD2569" s="782" t="s">
        <v>4573</v>
      </c>
      <c r="AE2569" s="782" t="s">
        <v>2646</v>
      </c>
      <c r="AF2569" s="781">
        <f>$S$1*P!AF2569</f>
        <v>2.2278225806451616E-2</v>
      </c>
    </row>
    <row r="2570" spans="19:32" x14ac:dyDescent="0.35">
      <c r="S2570" s="782">
        <v>2566</v>
      </c>
      <c r="T2570" s="782" t="s">
        <v>4284</v>
      </c>
      <c r="U2570" s="782" t="s">
        <v>2877</v>
      </c>
      <c r="V2570" s="797">
        <f>$S$1*P!V2570</f>
        <v>1.5286290322580647</v>
      </c>
      <c r="W2570" s="780"/>
      <c r="X2570" s="782">
        <v>2566</v>
      </c>
      <c r="Y2570" s="782" t="s">
        <v>2248</v>
      </c>
      <c r="Z2570" s="782" t="s">
        <v>3929</v>
      </c>
      <c r="AA2570" s="781">
        <f>$S$1*P!AA2570</f>
        <v>1.9536290322580648E-2</v>
      </c>
      <c r="AB2570" s="780"/>
      <c r="AC2570" s="782">
        <v>2566</v>
      </c>
      <c r="AD2570" s="782" t="s">
        <v>4573</v>
      </c>
      <c r="AE2570" s="782" t="s">
        <v>2644</v>
      </c>
      <c r="AF2570" s="781">
        <f>$S$1*P!AF2570</f>
        <v>3.9415322580645165</v>
      </c>
    </row>
    <row r="2571" spans="19:32" x14ac:dyDescent="0.35">
      <c r="S2571" s="881">
        <v>2567</v>
      </c>
      <c r="T2571" s="881" t="s">
        <v>4284</v>
      </c>
      <c r="U2571" s="881" t="s">
        <v>2877</v>
      </c>
      <c r="V2571" s="883">
        <f>$S$1*P!V2571</f>
        <v>472.88</v>
      </c>
      <c r="W2571" s="780"/>
      <c r="X2571" s="782">
        <v>2567</v>
      </c>
      <c r="Y2571" s="782" t="s">
        <v>2248</v>
      </c>
      <c r="Z2571" s="782" t="s">
        <v>3927</v>
      </c>
      <c r="AA2571" s="781">
        <f>$S$1*P!AA2571</f>
        <v>2.8721774193548388E-2</v>
      </c>
      <c r="AB2571" s="780"/>
      <c r="AC2571" s="881">
        <v>2567</v>
      </c>
      <c r="AD2571" s="881" t="s">
        <v>4573</v>
      </c>
      <c r="AE2571" s="881" t="s">
        <v>2644</v>
      </c>
      <c r="AF2571" s="890">
        <f>$S$1*P!AF2571</f>
        <v>0</v>
      </c>
    </row>
    <row r="2572" spans="19:32" x14ac:dyDescent="0.35">
      <c r="S2572" s="881">
        <v>2568</v>
      </c>
      <c r="T2572" s="881" t="s">
        <v>4284</v>
      </c>
      <c r="U2572" s="881" t="s">
        <v>2876</v>
      </c>
      <c r="V2572" s="883">
        <f>$S$1*P!V2572</f>
        <v>0</v>
      </c>
      <c r="W2572" s="780"/>
      <c r="X2572" s="782">
        <v>2568</v>
      </c>
      <c r="Y2572" s="782" t="s">
        <v>2248</v>
      </c>
      <c r="Z2572" s="782" t="s">
        <v>4986</v>
      </c>
      <c r="AA2572" s="781">
        <f>$S$1*P!AA2572</f>
        <v>1.4943548387096776E-2</v>
      </c>
      <c r="AB2572" s="780"/>
      <c r="AC2572" s="782">
        <v>2568</v>
      </c>
      <c r="AD2572" s="782" t="s">
        <v>4573</v>
      </c>
      <c r="AE2572" s="782" t="s">
        <v>2643</v>
      </c>
      <c r="AF2572" s="781">
        <f>$S$1*P!AF2572</f>
        <v>0.12441532258064517</v>
      </c>
    </row>
    <row r="2573" spans="19:32" x14ac:dyDescent="0.35">
      <c r="S2573" s="789">
        <v>2569</v>
      </c>
      <c r="T2573" s="789" t="s">
        <v>4284</v>
      </c>
      <c r="U2573" s="789" t="s">
        <v>4985</v>
      </c>
      <c r="V2573" s="790">
        <f>$S$1*P!V2573</f>
        <v>0.11600000000000001</v>
      </c>
      <c r="W2573" s="780"/>
      <c r="X2573" s="782">
        <v>2569</v>
      </c>
      <c r="Y2573" s="782" t="s">
        <v>2248</v>
      </c>
      <c r="Z2573" s="782" t="s">
        <v>3923</v>
      </c>
      <c r="AA2573" s="781">
        <f>$S$1*P!AA2573</f>
        <v>6.9919354838709676E-6</v>
      </c>
      <c r="AB2573" s="780"/>
      <c r="AC2573" s="782">
        <v>2569</v>
      </c>
      <c r="AD2573" s="782" t="s">
        <v>4573</v>
      </c>
      <c r="AE2573" s="782" t="s">
        <v>2640</v>
      </c>
      <c r="AF2573" s="781">
        <f>$S$1*P!AF2573</f>
        <v>0.17993951612903228</v>
      </c>
    </row>
    <row r="2574" spans="19:32" x14ac:dyDescent="0.35">
      <c r="S2574" s="870">
        <v>2570</v>
      </c>
      <c r="T2574" s="870" t="s">
        <v>4284</v>
      </c>
      <c r="U2574" s="870" t="s">
        <v>4984</v>
      </c>
      <c r="V2574" s="871">
        <f>$S$1*P!V2574</f>
        <v>4.7</v>
      </c>
      <c r="W2574" s="780"/>
      <c r="X2574" s="782">
        <v>2570</v>
      </c>
      <c r="Y2574" s="782" t="s">
        <v>2248</v>
      </c>
      <c r="Z2574" s="782" t="s">
        <v>3921</v>
      </c>
      <c r="AA2574" s="781">
        <f>$S$1*P!AA2574</f>
        <v>1.3675403225806453E-2</v>
      </c>
      <c r="AB2574" s="780"/>
      <c r="AC2574" s="782">
        <v>2570</v>
      </c>
      <c r="AD2574" s="782" t="s">
        <v>4573</v>
      </c>
      <c r="AE2574" s="782" t="s">
        <v>2639</v>
      </c>
      <c r="AF2574" s="781">
        <f>$S$1*P!AF2574</f>
        <v>2.9167338709677419E-3</v>
      </c>
    </row>
    <row r="2575" spans="19:32" x14ac:dyDescent="0.35">
      <c r="S2575" s="879">
        <v>2571</v>
      </c>
      <c r="T2575" s="879" t="s">
        <v>4284</v>
      </c>
      <c r="U2575" s="879" t="s">
        <v>4983</v>
      </c>
      <c r="V2575" s="880">
        <f>$S$1*P!V2575</f>
        <v>7.2887499999999994</v>
      </c>
      <c r="W2575" s="780"/>
      <c r="X2575" s="782">
        <v>2571</v>
      </c>
      <c r="Y2575" s="782" t="s">
        <v>2248</v>
      </c>
      <c r="Z2575" s="782" t="s">
        <v>4982</v>
      </c>
      <c r="AA2575" s="781">
        <f>$S$1*P!AA2575</f>
        <v>4.8669354838709676E-6</v>
      </c>
      <c r="AB2575" s="780"/>
      <c r="AC2575" s="881">
        <v>2571</v>
      </c>
      <c r="AD2575" s="881" t="s">
        <v>4573</v>
      </c>
      <c r="AE2575" s="881" t="s">
        <v>2639</v>
      </c>
      <c r="AF2575" s="890">
        <f>$S$1*P!AF2575</f>
        <v>0</v>
      </c>
    </row>
    <row r="2576" spans="19:32" x14ac:dyDescent="0.35">
      <c r="S2576" s="782">
        <v>2572</v>
      </c>
      <c r="T2576" s="782" t="s">
        <v>4284</v>
      </c>
      <c r="U2576" s="782" t="s">
        <v>3125</v>
      </c>
      <c r="V2576" s="797">
        <f>$S$1*P!V2576</f>
        <v>8.0544354838709684E-2</v>
      </c>
      <c r="W2576" s="780"/>
      <c r="X2576" s="881">
        <v>2572</v>
      </c>
      <c r="Y2576" s="881" t="s">
        <v>2248</v>
      </c>
      <c r="Z2576" s="881" t="s">
        <v>3087</v>
      </c>
      <c r="AA2576" s="882">
        <f>$S$1*P!AA2576</f>
        <v>0.27324000000000004</v>
      </c>
      <c r="AB2576" s="780"/>
      <c r="AC2576" s="881">
        <v>2572</v>
      </c>
      <c r="AD2576" s="881" t="s">
        <v>4573</v>
      </c>
      <c r="AE2576" s="881" t="s">
        <v>2750</v>
      </c>
      <c r="AF2576" s="890">
        <f>$S$1*P!AF2576</f>
        <v>0.67252000000000001</v>
      </c>
    </row>
    <row r="2577" spans="19:32" x14ac:dyDescent="0.35">
      <c r="S2577" s="782">
        <v>2573</v>
      </c>
      <c r="T2577" s="782" t="s">
        <v>4284</v>
      </c>
      <c r="U2577" s="782" t="s">
        <v>3122</v>
      </c>
      <c r="V2577" s="797">
        <f>$S$1*P!V2577</f>
        <v>5.6209677419354842E-6</v>
      </c>
      <c r="W2577" s="780"/>
      <c r="X2577" s="782">
        <v>2573</v>
      </c>
      <c r="Y2577" s="782" t="s">
        <v>2248</v>
      </c>
      <c r="Z2577" s="782" t="s">
        <v>3087</v>
      </c>
      <c r="AA2577" s="781">
        <f>$S$1*P!AA2577</f>
        <v>2.0941532258064518E-4</v>
      </c>
      <c r="AB2577" s="780"/>
      <c r="AC2577" s="881">
        <v>2573</v>
      </c>
      <c r="AD2577" s="881" t="s">
        <v>4573</v>
      </c>
      <c r="AE2577" s="881" t="s">
        <v>2749</v>
      </c>
      <c r="AF2577" s="890">
        <f>$S$1*P!AF2577</f>
        <v>16.375999999999998</v>
      </c>
    </row>
    <row r="2578" spans="19:32" x14ac:dyDescent="0.35">
      <c r="S2578" s="881">
        <v>2574</v>
      </c>
      <c r="T2578" s="881" t="s">
        <v>4284</v>
      </c>
      <c r="U2578" s="881" t="s">
        <v>2874</v>
      </c>
      <c r="V2578" s="883">
        <f>$S$1*P!V2578</f>
        <v>3.1556000000000002</v>
      </c>
      <c r="W2578" s="780"/>
      <c r="X2578" s="782">
        <v>2574</v>
      </c>
      <c r="Y2578" s="782" t="s">
        <v>2248</v>
      </c>
      <c r="Z2578" s="782" t="s">
        <v>3492</v>
      </c>
      <c r="AA2578" s="781">
        <f>$S$1*P!AA2578</f>
        <v>4.5584677419354845E-3</v>
      </c>
      <c r="AB2578" s="780"/>
      <c r="AC2578" s="881">
        <v>2574</v>
      </c>
      <c r="AD2578" s="881" t="s">
        <v>4573</v>
      </c>
      <c r="AE2578" s="881" t="s">
        <v>2747</v>
      </c>
      <c r="AF2578" s="890">
        <f>$S$1*P!AF2578</f>
        <v>17.02</v>
      </c>
    </row>
    <row r="2579" spans="19:32" x14ac:dyDescent="0.35">
      <c r="S2579" s="782">
        <v>2575</v>
      </c>
      <c r="T2579" s="782" t="s">
        <v>4284</v>
      </c>
      <c r="U2579" s="782" t="s">
        <v>3119</v>
      </c>
      <c r="V2579" s="797">
        <f>$S$1*P!V2579</f>
        <v>4.3870967741935488E-5</v>
      </c>
      <c r="W2579" s="780"/>
      <c r="X2579" s="881">
        <v>2575</v>
      </c>
      <c r="Y2579" s="881" t="s">
        <v>2248</v>
      </c>
      <c r="Z2579" s="881" t="s">
        <v>3086</v>
      </c>
      <c r="AA2579" s="882">
        <f>$S$1*P!AA2579</f>
        <v>9.8440000000000003E-3</v>
      </c>
      <c r="AB2579" s="780"/>
      <c r="AC2579" s="881">
        <v>2575</v>
      </c>
      <c r="AD2579" s="881" t="s">
        <v>4573</v>
      </c>
      <c r="AE2579" s="881" t="s">
        <v>2746</v>
      </c>
      <c r="AF2579" s="890">
        <f>$S$1*P!AF2579</f>
        <v>0.65871999999999997</v>
      </c>
    </row>
    <row r="2580" spans="19:32" x14ac:dyDescent="0.35">
      <c r="S2580" s="782">
        <v>2576</v>
      </c>
      <c r="T2580" s="782" t="s">
        <v>4284</v>
      </c>
      <c r="U2580" s="782" t="s">
        <v>3117</v>
      </c>
      <c r="V2580" s="797">
        <f>$S$1*P!V2580</f>
        <v>38.387096774193552</v>
      </c>
      <c r="W2580" s="780"/>
      <c r="X2580" s="782">
        <v>2576</v>
      </c>
      <c r="Y2580" s="782" t="s">
        <v>2248</v>
      </c>
      <c r="Z2580" s="782" t="s">
        <v>4981</v>
      </c>
      <c r="AA2580" s="781">
        <f>$S$1*P!AA2580</f>
        <v>1.5663306451612905E-2</v>
      </c>
      <c r="AB2580" s="780"/>
      <c r="AC2580" s="782">
        <v>2576</v>
      </c>
      <c r="AD2580" s="782" t="s">
        <v>4573</v>
      </c>
      <c r="AE2580" s="782" t="s">
        <v>2637</v>
      </c>
      <c r="AF2580" s="781">
        <f>$S$1*P!AF2580</f>
        <v>0.91169354838709682</v>
      </c>
    </row>
    <row r="2581" spans="19:32" x14ac:dyDescent="0.35">
      <c r="S2581" s="782">
        <v>2577</v>
      </c>
      <c r="T2581" s="782" t="s">
        <v>4284</v>
      </c>
      <c r="U2581" s="782" t="s">
        <v>3114</v>
      </c>
      <c r="V2581" s="797">
        <f>$S$1*P!V2581</f>
        <v>3.7358870967741939E-7</v>
      </c>
      <c r="W2581" s="780"/>
      <c r="X2581" s="881">
        <v>2577</v>
      </c>
      <c r="Y2581" s="881" t="s">
        <v>2248</v>
      </c>
      <c r="Z2581" s="881" t="s">
        <v>3085</v>
      </c>
      <c r="AA2581" s="882">
        <f>$S$1*P!AA2581</f>
        <v>0</v>
      </c>
      <c r="AB2581" s="780"/>
      <c r="AC2581" s="782">
        <v>2577</v>
      </c>
      <c r="AD2581" s="782" t="s">
        <v>4573</v>
      </c>
      <c r="AE2581" s="782" t="s">
        <v>2635</v>
      </c>
      <c r="AF2581" s="781">
        <f>$S$1*P!AF2581</f>
        <v>0.28447580645161291</v>
      </c>
    </row>
    <row r="2582" spans="19:32" x14ac:dyDescent="0.35">
      <c r="S2582" s="881">
        <v>2578</v>
      </c>
      <c r="T2582" s="881" t="s">
        <v>4284</v>
      </c>
      <c r="U2582" s="881" t="s">
        <v>2873</v>
      </c>
      <c r="V2582" s="883">
        <f>$S$1*P!V2582</f>
        <v>250.24</v>
      </c>
      <c r="W2582" s="780"/>
      <c r="X2582" s="782">
        <v>2578</v>
      </c>
      <c r="Y2582" s="782" t="s">
        <v>2248</v>
      </c>
      <c r="Z2582" s="782" t="s">
        <v>3085</v>
      </c>
      <c r="AA2582" s="781">
        <f>$S$1*P!AA2582</f>
        <v>2.1764112903225808E-5</v>
      </c>
      <c r="AB2582" s="780"/>
      <c r="AC2582" s="870">
        <v>2578</v>
      </c>
      <c r="AD2582" s="870" t="s">
        <v>4573</v>
      </c>
      <c r="AE2582" s="870" t="s">
        <v>4877</v>
      </c>
      <c r="AF2582" s="905">
        <f>$S$1*P!AF2582</f>
        <v>4.7</v>
      </c>
    </row>
    <row r="2583" spans="19:32" x14ac:dyDescent="0.35">
      <c r="S2583" s="881">
        <v>2579</v>
      </c>
      <c r="T2583" s="881" t="s">
        <v>4284</v>
      </c>
      <c r="U2583" s="881" t="s">
        <v>2871</v>
      </c>
      <c r="V2583" s="883">
        <f>$S$1*P!V2583</f>
        <v>0</v>
      </c>
      <c r="W2583" s="780"/>
      <c r="X2583" s="782">
        <v>2579</v>
      </c>
      <c r="Y2583" s="782" t="s">
        <v>2248</v>
      </c>
      <c r="Z2583" s="782" t="s">
        <v>3489</v>
      </c>
      <c r="AA2583" s="781">
        <f>$S$1*P!AA2583</f>
        <v>1.4600806451612904E-3</v>
      </c>
      <c r="AB2583" s="780"/>
      <c r="AC2583" s="870">
        <v>2579</v>
      </c>
      <c r="AD2583" s="870" t="s">
        <v>4573</v>
      </c>
      <c r="AE2583" s="877" t="s">
        <v>4876</v>
      </c>
      <c r="AF2583" s="906">
        <f>$S$1*P!AF2583</f>
        <v>4.6059999999999999</v>
      </c>
    </row>
    <row r="2584" spans="19:32" x14ac:dyDescent="0.35">
      <c r="S2584" s="782">
        <v>2580</v>
      </c>
      <c r="T2584" s="782" t="s">
        <v>4284</v>
      </c>
      <c r="U2584" s="782" t="s">
        <v>2869</v>
      </c>
      <c r="V2584" s="797">
        <f>$S$1*P!V2584</f>
        <v>9.6310483870967745E-3</v>
      </c>
      <c r="W2584" s="780"/>
      <c r="X2584" s="881">
        <v>2580</v>
      </c>
      <c r="Y2584" s="881" t="s">
        <v>2248</v>
      </c>
      <c r="Z2584" s="881" t="s">
        <v>3083</v>
      </c>
      <c r="AA2584" s="882">
        <f>$S$1*P!AA2584</f>
        <v>0.34776000000000001</v>
      </c>
      <c r="AB2584" s="780"/>
      <c r="AC2584" s="782">
        <v>2580</v>
      </c>
      <c r="AD2584" s="782" t="s">
        <v>4573</v>
      </c>
      <c r="AE2584" s="782" t="s">
        <v>2633</v>
      </c>
      <c r="AF2584" s="781">
        <f>$S$1*P!AF2584</f>
        <v>2.7864919354838712E-3</v>
      </c>
    </row>
    <row r="2585" spans="19:32" x14ac:dyDescent="0.35">
      <c r="S2585" s="881">
        <v>2581</v>
      </c>
      <c r="T2585" s="881" t="s">
        <v>4284</v>
      </c>
      <c r="U2585" s="881" t="s">
        <v>2869</v>
      </c>
      <c r="V2585" s="883">
        <f>$S$1*P!V2585</f>
        <v>41.491999999999997</v>
      </c>
      <c r="W2585" s="780"/>
      <c r="X2585" s="782">
        <v>2581</v>
      </c>
      <c r="Y2585" s="782" t="s">
        <v>2248</v>
      </c>
      <c r="Z2585" s="782" t="s">
        <v>3083</v>
      </c>
      <c r="AA2585" s="781">
        <f>$S$1*P!AA2585</f>
        <v>1.1413306451612904E-3</v>
      </c>
      <c r="AB2585" s="780"/>
      <c r="AC2585" s="881">
        <v>2581</v>
      </c>
      <c r="AD2585" s="881" t="s">
        <v>4573</v>
      </c>
      <c r="AE2585" s="881" t="s">
        <v>2633</v>
      </c>
      <c r="AF2585" s="890">
        <f>$S$1*P!AF2585</f>
        <v>1.6927999999999999E-2</v>
      </c>
    </row>
    <row r="2586" spans="19:32" x14ac:dyDescent="0.35">
      <c r="S2586" s="881">
        <v>2582</v>
      </c>
      <c r="T2586" s="881" t="s">
        <v>4284</v>
      </c>
      <c r="U2586" s="881" t="s">
        <v>2868</v>
      </c>
      <c r="V2586" s="883">
        <f>$S$1*P!V2586</f>
        <v>0</v>
      </c>
      <c r="W2586" s="780"/>
      <c r="X2586" s="782">
        <v>2582</v>
      </c>
      <c r="Y2586" s="782" t="s">
        <v>2248</v>
      </c>
      <c r="Z2586" s="782" t="s">
        <v>4980</v>
      </c>
      <c r="AA2586" s="781">
        <f>$S$1*P!AA2586</f>
        <v>0.36673387096774196</v>
      </c>
      <c r="AB2586" s="780"/>
      <c r="AC2586" s="870">
        <v>2582</v>
      </c>
      <c r="AD2586" s="870" t="s">
        <v>4573</v>
      </c>
      <c r="AE2586" s="870" t="s">
        <v>4874</v>
      </c>
      <c r="AF2586" s="905">
        <f>$S$1*P!AF2586</f>
        <v>6.3638000000000003</v>
      </c>
    </row>
    <row r="2587" spans="19:32" x14ac:dyDescent="0.35">
      <c r="S2587" s="782">
        <v>2583</v>
      </c>
      <c r="T2587" s="782" t="s">
        <v>4284</v>
      </c>
      <c r="U2587" s="782" t="s">
        <v>3109</v>
      </c>
      <c r="V2587" s="797">
        <f>$S$1*P!V2587</f>
        <v>4.7298387096774197E-2</v>
      </c>
      <c r="W2587" s="780"/>
      <c r="X2587" s="881">
        <v>2583</v>
      </c>
      <c r="Y2587" s="881" t="s">
        <v>2248</v>
      </c>
      <c r="Z2587" s="881" t="s">
        <v>3081</v>
      </c>
      <c r="AA2587" s="882">
        <f>$S$1*P!AA2587</f>
        <v>0.28612000000000004</v>
      </c>
      <c r="AB2587" s="780"/>
      <c r="AC2587" s="782">
        <v>2583</v>
      </c>
      <c r="AD2587" s="782" t="s">
        <v>4573</v>
      </c>
      <c r="AE2587" s="782" t="s">
        <v>2630</v>
      </c>
      <c r="AF2587" s="781">
        <f>$S$1*P!AF2587</f>
        <v>1.6588709677419357E-2</v>
      </c>
    </row>
    <row r="2588" spans="19:32" x14ac:dyDescent="0.35">
      <c r="S2588" s="782">
        <v>2584</v>
      </c>
      <c r="T2588" s="782" t="s">
        <v>4284</v>
      </c>
      <c r="U2588" s="782" t="s">
        <v>3106</v>
      </c>
      <c r="V2588" s="797">
        <f>$S$1*P!V2588</f>
        <v>5.8266129032258068E-3</v>
      </c>
      <c r="W2588" s="780"/>
      <c r="X2588" s="782">
        <v>2584</v>
      </c>
      <c r="Y2588" s="782" t="s">
        <v>2248</v>
      </c>
      <c r="Z2588" s="782" t="s">
        <v>3081</v>
      </c>
      <c r="AA2588" s="781">
        <f>$S$1*P!AA2588</f>
        <v>9.6310483870967753E-5</v>
      </c>
      <c r="AB2588" s="780"/>
      <c r="AC2588" s="881">
        <v>2584</v>
      </c>
      <c r="AD2588" s="881" t="s">
        <v>4573</v>
      </c>
      <c r="AE2588" s="881" t="s">
        <v>2630</v>
      </c>
      <c r="AF2588" s="890">
        <f>$S$1*P!AF2588</f>
        <v>5.5292000000000003</v>
      </c>
    </row>
    <row r="2589" spans="19:32" x14ac:dyDescent="0.35">
      <c r="S2589" s="782">
        <v>2585</v>
      </c>
      <c r="T2589" s="782" t="s">
        <v>4284</v>
      </c>
      <c r="U2589" s="782" t="s">
        <v>3104</v>
      </c>
      <c r="V2589" s="797">
        <f>$S$1*P!V2589</f>
        <v>5.0383064516129031E-4</v>
      </c>
      <c r="W2589" s="780"/>
      <c r="X2589" s="782">
        <v>2585</v>
      </c>
      <c r="Y2589" s="782" t="s">
        <v>2248</v>
      </c>
      <c r="Z2589" s="782" t="s">
        <v>4979</v>
      </c>
      <c r="AA2589" s="781">
        <f>$S$1*P!AA2589</f>
        <v>2.1421370967741938E-3</v>
      </c>
      <c r="AB2589" s="780"/>
      <c r="AC2589" s="881">
        <v>2585</v>
      </c>
      <c r="AD2589" s="881" t="s">
        <v>4573</v>
      </c>
      <c r="AE2589" s="881" t="s">
        <v>2743</v>
      </c>
      <c r="AF2589" s="890">
        <f>$S$1*P!AF2589</f>
        <v>130.64000000000001</v>
      </c>
    </row>
    <row r="2590" spans="19:32" x14ac:dyDescent="0.35">
      <c r="S2590" s="782">
        <v>2586</v>
      </c>
      <c r="T2590" s="782" t="s">
        <v>4284</v>
      </c>
      <c r="U2590" s="782" t="s">
        <v>3101</v>
      </c>
      <c r="V2590" s="797">
        <f>$S$1*P!V2590</f>
        <v>0.15286290322580645</v>
      </c>
      <c r="W2590" s="780"/>
      <c r="X2590" s="881">
        <v>2586</v>
      </c>
      <c r="Y2590" s="881" t="s">
        <v>2248</v>
      </c>
      <c r="Z2590" s="881" t="s">
        <v>3080</v>
      </c>
      <c r="AA2590" s="882">
        <f>$S$1*P!AA2590</f>
        <v>0</v>
      </c>
      <c r="AB2590" s="780"/>
      <c r="AC2590" s="782">
        <v>2586</v>
      </c>
      <c r="AD2590" s="782" t="s">
        <v>4573</v>
      </c>
      <c r="AE2590" s="782" t="s">
        <v>2628</v>
      </c>
      <c r="AF2590" s="781">
        <f>$S$1*P!AF2590</f>
        <v>6.1350806451612909E-3</v>
      </c>
    </row>
    <row r="2591" spans="19:32" x14ac:dyDescent="0.35">
      <c r="S2591" s="782">
        <v>2587</v>
      </c>
      <c r="T2591" s="782" t="s">
        <v>4284</v>
      </c>
      <c r="U2591" s="782" t="s">
        <v>3098</v>
      </c>
      <c r="V2591" s="797">
        <f>$S$1*P!V2591</f>
        <v>2.9167338709677419E-3</v>
      </c>
      <c r="W2591" s="780"/>
      <c r="X2591" s="782">
        <v>2587</v>
      </c>
      <c r="Y2591" s="782" t="s">
        <v>2248</v>
      </c>
      <c r="Z2591" s="782" t="s">
        <v>4978</v>
      </c>
      <c r="AA2591" s="781">
        <f>$S$1*P!AA2591</f>
        <v>1.3435483870967743E-3</v>
      </c>
      <c r="AB2591" s="780"/>
      <c r="AC2591" s="881">
        <v>2587</v>
      </c>
      <c r="AD2591" s="881" t="s">
        <v>4573</v>
      </c>
      <c r="AE2591" s="881" t="s">
        <v>2628</v>
      </c>
      <c r="AF2591" s="890">
        <f>$S$1*P!AF2591</f>
        <v>0.96599999999999986</v>
      </c>
    </row>
    <row r="2592" spans="19:32" x14ac:dyDescent="0.35">
      <c r="S2592" s="782">
        <v>2588</v>
      </c>
      <c r="T2592" s="782" t="s">
        <v>4284</v>
      </c>
      <c r="U2592" s="782" t="s">
        <v>3095</v>
      </c>
      <c r="V2592" s="797">
        <f>$S$1*P!V2592</f>
        <v>6.9576612903225811E-8</v>
      </c>
      <c r="W2592" s="780"/>
      <c r="X2592" s="881">
        <v>2588</v>
      </c>
      <c r="Y2592" s="881" t="s">
        <v>2248</v>
      </c>
      <c r="Z2592" s="881" t="s">
        <v>3078</v>
      </c>
      <c r="AA2592" s="882">
        <f>$S$1*P!AA2592</f>
        <v>0</v>
      </c>
      <c r="AB2592" s="780"/>
      <c r="AC2592" s="782">
        <v>2588</v>
      </c>
      <c r="AD2592" s="782" t="s">
        <v>4573</v>
      </c>
      <c r="AE2592" s="782" t="s">
        <v>2625</v>
      </c>
      <c r="AF2592" s="781">
        <f>$S$1*P!AF2592</f>
        <v>1.5868951612903227E-2</v>
      </c>
    </row>
    <row r="2593" spans="19:32" x14ac:dyDescent="0.35">
      <c r="S2593" s="782">
        <v>2589</v>
      </c>
      <c r="T2593" s="782" t="s">
        <v>4284</v>
      </c>
      <c r="U2593" s="782" t="s">
        <v>3093</v>
      </c>
      <c r="V2593" s="797">
        <f>$S$1*P!V2593</f>
        <v>9.0141129032258077E-6</v>
      </c>
      <c r="W2593" s="780"/>
      <c r="X2593" s="782">
        <v>2589</v>
      </c>
      <c r="Y2593" s="782" t="s">
        <v>2248</v>
      </c>
      <c r="Z2593" s="782" t="s">
        <v>4977</v>
      </c>
      <c r="AA2593" s="781">
        <f>$S$1*P!AA2593</f>
        <v>3.4239919354838713E-4</v>
      </c>
      <c r="AB2593" s="780"/>
      <c r="AC2593" s="881">
        <v>2589</v>
      </c>
      <c r="AD2593" s="881" t="s">
        <v>4573</v>
      </c>
      <c r="AE2593" s="881" t="s">
        <v>2625</v>
      </c>
      <c r="AF2593" s="890">
        <f>$S$1*P!AF2593</f>
        <v>0.41768</v>
      </c>
    </row>
    <row r="2594" spans="19:32" x14ac:dyDescent="0.35">
      <c r="S2594" s="782">
        <v>2590</v>
      </c>
      <c r="T2594" s="782" t="s">
        <v>4284</v>
      </c>
      <c r="U2594" s="782" t="s">
        <v>2866</v>
      </c>
      <c r="V2594" s="797">
        <f>$S$1*P!V2594</f>
        <v>0.38729838709677422</v>
      </c>
      <c r="W2594" s="780"/>
      <c r="X2594" s="881">
        <v>2590</v>
      </c>
      <c r="Y2594" s="881" t="s">
        <v>2248</v>
      </c>
      <c r="Z2594" s="881" t="s">
        <v>3077</v>
      </c>
      <c r="AA2594" s="882">
        <f>$S$1*P!AA2594</f>
        <v>3.2568E-2</v>
      </c>
      <c r="AB2594" s="780"/>
      <c r="AC2594" s="881">
        <v>2590</v>
      </c>
      <c r="AD2594" s="881" t="s">
        <v>4573</v>
      </c>
      <c r="AE2594" s="881" t="s">
        <v>2740</v>
      </c>
      <c r="AF2594" s="890">
        <f>$S$1*P!AF2594</f>
        <v>0.52807999999999999</v>
      </c>
    </row>
    <row r="2595" spans="19:32" x14ac:dyDescent="0.35">
      <c r="S2595" s="881">
        <v>2591</v>
      </c>
      <c r="T2595" s="881" t="s">
        <v>4284</v>
      </c>
      <c r="U2595" s="881" t="s">
        <v>2866</v>
      </c>
      <c r="V2595" s="883">
        <f>$S$1*P!V2595</f>
        <v>7.9763999999999999</v>
      </c>
      <c r="W2595" s="780"/>
      <c r="X2595" s="881">
        <v>2591</v>
      </c>
      <c r="Y2595" s="881" t="s">
        <v>2248</v>
      </c>
      <c r="Z2595" s="881" t="s">
        <v>3075</v>
      </c>
      <c r="AA2595" s="882">
        <f>$S$1*P!AA2595</f>
        <v>6.5596000000000005</v>
      </c>
      <c r="AB2595" s="780"/>
      <c r="AC2595" s="782">
        <v>2591</v>
      </c>
      <c r="AD2595" s="782" t="s">
        <v>4573</v>
      </c>
      <c r="AE2595" s="782" t="s">
        <v>2622</v>
      </c>
      <c r="AF2595" s="781">
        <f>$S$1*P!AF2595</f>
        <v>2.8858870967741937E-2</v>
      </c>
    </row>
    <row r="2596" spans="19:32" x14ac:dyDescent="0.35">
      <c r="S2596" s="782">
        <v>2592</v>
      </c>
      <c r="T2596" s="782" t="s">
        <v>4284</v>
      </c>
      <c r="U2596" s="782" t="s">
        <v>2865</v>
      </c>
      <c r="V2596" s="797">
        <f>$S$1*P!V2596</f>
        <v>2.2723790322580647E-2</v>
      </c>
      <c r="W2596" s="780"/>
      <c r="X2596" s="782">
        <v>2592</v>
      </c>
      <c r="Y2596" s="782" t="s">
        <v>2248</v>
      </c>
      <c r="Z2596" s="782" t="s">
        <v>3075</v>
      </c>
      <c r="AA2596" s="781">
        <f>$S$1*P!AA2596</f>
        <v>2.7316532258064518E-3</v>
      </c>
      <c r="AB2596" s="780"/>
      <c r="AC2596" s="881">
        <v>2592</v>
      </c>
      <c r="AD2596" s="881" t="s">
        <v>4573</v>
      </c>
      <c r="AE2596" s="881" t="s">
        <v>2622</v>
      </c>
      <c r="AF2596" s="890">
        <f>$S$1*P!AF2596</f>
        <v>10.304</v>
      </c>
    </row>
    <row r="2597" spans="19:32" x14ac:dyDescent="0.35">
      <c r="S2597" s="881">
        <v>2593</v>
      </c>
      <c r="T2597" s="881" t="s">
        <v>4284</v>
      </c>
      <c r="U2597" s="881" t="s">
        <v>2865</v>
      </c>
      <c r="V2597" s="883">
        <f>$S$1*P!V2597</f>
        <v>64.399999999999991</v>
      </c>
      <c r="W2597" s="780"/>
      <c r="X2597" s="782">
        <v>2593</v>
      </c>
      <c r="Y2597" s="782" t="s">
        <v>2248</v>
      </c>
      <c r="Z2597" s="782" t="s">
        <v>4976</v>
      </c>
      <c r="AA2597" s="781">
        <f>$S$1*P!AA2597</f>
        <v>2.587701612903226E-3</v>
      </c>
      <c r="AB2597" s="780"/>
      <c r="AC2597" s="861">
        <v>2593</v>
      </c>
      <c r="AD2597" s="861" t="s">
        <v>4573</v>
      </c>
      <c r="AE2597" s="861" t="s">
        <v>4760</v>
      </c>
      <c r="AF2597" s="904">
        <f>$S$1*P!AF2597</f>
        <v>20.87</v>
      </c>
    </row>
    <row r="2598" spans="19:32" x14ac:dyDescent="0.35">
      <c r="S2598" s="782">
        <v>2594</v>
      </c>
      <c r="T2598" s="782" t="s">
        <v>4284</v>
      </c>
      <c r="U2598" s="782" t="s">
        <v>2863</v>
      </c>
      <c r="V2598" s="797">
        <f>$S$1*P!V2598</f>
        <v>3.9415322580645167E-2</v>
      </c>
      <c r="W2598" s="780"/>
      <c r="X2598" s="881">
        <v>2594</v>
      </c>
      <c r="Y2598" s="881" t="s">
        <v>2248</v>
      </c>
      <c r="Z2598" s="881" t="s">
        <v>3074</v>
      </c>
      <c r="AA2598" s="882">
        <f>$S$1*P!AA2598</f>
        <v>0.21435999999999999</v>
      </c>
      <c r="AB2598" s="780"/>
      <c r="AC2598" s="782">
        <v>2594</v>
      </c>
      <c r="AD2598" s="782" t="s">
        <v>4573</v>
      </c>
      <c r="AE2598" s="782" t="s">
        <v>2619</v>
      </c>
      <c r="AF2598" s="781">
        <f>$S$1*P!AF2598</f>
        <v>0.14223790322580646</v>
      </c>
    </row>
    <row r="2599" spans="19:32" x14ac:dyDescent="0.35">
      <c r="S2599" s="881">
        <v>2595</v>
      </c>
      <c r="T2599" s="881" t="s">
        <v>4284</v>
      </c>
      <c r="U2599" s="881" t="s">
        <v>2863</v>
      </c>
      <c r="V2599" s="883">
        <f>$S$1*P!V2599</f>
        <v>15.455999999999998</v>
      </c>
      <c r="W2599" s="780"/>
      <c r="X2599" s="782">
        <v>2595</v>
      </c>
      <c r="Y2599" s="782" t="s">
        <v>2248</v>
      </c>
      <c r="Z2599" s="782" t="s">
        <v>4975</v>
      </c>
      <c r="AA2599" s="781">
        <f>$S$1*P!AA2599</f>
        <v>1.9536290322580648E-2</v>
      </c>
      <c r="AB2599" s="780"/>
      <c r="AC2599" s="881">
        <v>2595</v>
      </c>
      <c r="AD2599" s="881" t="s">
        <v>4573</v>
      </c>
      <c r="AE2599" s="881" t="s">
        <v>2619</v>
      </c>
      <c r="AF2599" s="890">
        <f>$S$1*P!AF2599</f>
        <v>0.47564000000000001</v>
      </c>
    </row>
    <row r="2600" spans="19:32" x14ac:dyDescent="0.35">
      <c r="S2600" s="782">
        <v>2596</v>
      </c>
      <c r="T2600" s="782" t="s">
        <v>4284</v>
      </c>
      <c r="U2600" s="782" t="s">
        <v>3084</v>
      </c>
      <c r="V2600" s="797">
        <f>$S$1*P!V2600</f>
        <v>0.21112903225806454</v>
      </c>
      <c r="W2600" s="780"/>
      <c r="X2600" s="782">
        <v>2596</v>
      </c>
      <c r="Y2600" s="782" t="s">
        <v>2248</v>
      </c>
      <c r="Z2600" s="782" t="s">
        <v>3074</v>
      </c>
      <c r="AA2600" s="781">
        <f>$S$1*P!AA2600</f>
        <v>4.0100806451612906E-5</v>
      </c>
      <c r="AB2600" s="780"/>
      <c r="AC2600" s="881">
        <v>2596</v>
      </c>
      <c r="AD2600" s="881" t="s">
        <v>4573</v>
      </c>
      <c r="AE2600" s="881" t="s">
        <v>2738</v>
      </c>
      <c r="AF2600" s="890">
        <f>$S$1*P!AF2600</f>
        <v>5.0599999999999996</v>
      </c>
    </row>
    <row r="2601" spans="19:32" x14ac:dyDescent="0.35">
      <c r="S2601" s="881">
        <v>2597</v>
      </c>
      <c r="T2601" s="881" t="s">
        <v>4284</v>
      </c>
      <c r="U2601" s="881" t="s">
        <v>2862</v>
      </c>
      <c r="V2601" s="883">
        <f>$S$1*P!V2601</f>
        <v>0</v>
      </c>
      <c r="W2601" s="780"/>
      <c r="X2601" s="782">
        <v>2597</v>
      </c>
      <c r="Y2601" s="782" t="s">
        <v>2248</v>
      </c>
      <c r="Z2601" s="782" t="s">
        <v>3485</v>
      </c>
      <c r="AA2601" s="781">
        <f>$S$1*P!AA2601</f>
        <v>1.8336693548387099E-3</v>
      </c>
      <c r="AB2601" s="780"/>
      <c r="AC2601" s="782">
        <v>2597</v>
      </c>
      <c r="AD2601" s="782" t="s">
        <v>4573</v>
      </c>
      <c r="AE2601" s="782" t="s">
        <v>2616</v>
      </c>
      <c r="AF2601" s="781">
        <f>$S$1*P!AF2601</f>
        <v>1.1893145161290324E-3</v>
      </c>
    </row>
    <row r="2602" spans="19:32" x14ac:dyDescent="0.35">
      <c r="S2602" s="782">
        <v>2598</v>
      </c>
      <c r="T2602" s="782" t="s">
        <v>4284</v>
      </c>
      <c r="U2602" s="782" t="s">
        <v>3082</v>
      </c>
      <c r="V2602" s="797">
        <f>$S$1*P!V2602</f>
        <v>7.4032258064516139E-5</v>
      </c>
      <c r="W2602" s="780"/>
      <c r="X2602" s="881">
        <v>2598</v>
      </c>
      <c r="Y2602" s="881" t="s">
        <v>2248</v>
      </c>
      <c r="Z2602" s="881" t="s">
        <v>3073</v>
      </c>
      <c r="AA2602" s="882">
        <f>$S$1*P!AA2602</f>
        <v>0</v>
      </c>
      <c r="AB2602" s="780"/>
      <c r="AC2602" s="881">
        <v>2598</v>
      </c>
      <c r="AD2602" s="881" t="s">
        <v>4573</v>
      </c>
      <c r="AE2602" s="881" t="s">
        <v>2616</v>
      </c>
      <c r="AF2602" s="890">
        <f>$S$1*P!AF2602</f>
        <v>0.51059999999999994</v>
      </c>
    </row>
    <row r="2603" spans="19:32" x14ac:dyDescent="0.35">
      <c r="S2603" s="782">
        <v>2599</v>
      </c>
      <c r="T2603" s="782" t="s">
        <v>4284</v>
      </c>
      <c r="U2603" s="782" t="s">
        <v>3079</v>
      </c>
      <c r="V2603" s="797">
        <f>$S$1*P!V2603</f>
        <v>1.1550403225806453E-5</v>
      </c>
      <c r="W2603" s="780"/>
      <c r="X2603" s="782">
        <v>2599</v>
      </c>
      <c r="Y2603" s="782" t="s">
        <v>2248</v>
      </c>
      <c r="Z2603" s="782" t="s">
        <v>3484</v>
      </c>
      <c r="AA2603" s="781">
        <f>$S$1*P!AA2603</f>
        <v>2.2381048387096778E-4</v>
      </c>
      <c r="AB2603" s="780"/>
      <c r="AC2603" s="782">
        <v>2599</v>
      </c>
      <c r="AD2603" s="782" t="s">
        <v>4573</v>
      </c>
      <c r="AE2603" s="782" t="s">
        <v>2614</v>
      </c>
      <c r="AF2603" s="781">
        <f>$S$1*P!AF2603</f>
        <v>3.7358870967741938E-2</v>
      </c>
    </row>
    <row r="2604" spans="19:32" x14ac:dyDescent="0.35">
      <c r="S2604" s="881">
        <v>2600</v>
      </c>
      <c r="T2604" s="881" t="s">
        <v>4284</v>
      </c>
      <c r="U2604" s="881" t="s">
        <v>2860</v>
      </c>
      <c r="V2604" s="883">
        <f>$S$1*P!V2604</f>
        <v>0</v>
      </c>
      <c r="W2604" s="780"/>
      <c r="X2604" s="881">
        <v>2600</v>
      </c>
      <c r="Y2604" s="881" t="s">
        <v>2248</v>
      </c>
      <c r="Z2604" s="881" t="s">
        <v>3072</v>
      </c>
      <c r="AA2604" s="882">
        <f>$S$1*P!AA2604</f>
        <v>2.8612000000000002E-2</v>
      </c>
      <c r="AB2604" s="780"/>
      <c r="AC2604" s="881">
        <v>2600</v>
      </c>
      <c r="AD2604" s="881" t="s">
        <v>4573</v>
      </c>
      <c r="AE2604" s="881" t="s">
        <v>2614</v>
      </c>
      <c r="AF2604" s="890">
        <f>$S$1*P!AF2604</f>
        <v>0.27876000000000001</v>
      </c>
    </row>
    <row r="2605" spans="19:32" x14ac:dyDescent="0.35">
      <c r="S2605" s="881">
        <v>2601</v>
      </c>
      <c r="T2605" s="881" t="s">
        <v>4284</v>
      </c>
      <c r="U2605" s="881" t="s">
        <v>2858</v>
      </c>
      <c r="V2605" s="883">
        <f>$S$1*P!V2605</f>
        <v>0.66056000000000004</v>
      </c>
      <c r="W2605" s="780"/>
      <c r="X2605" s="782">
        <v>2601</v>
      </c>
      <c r="Y2605" s="782" t="s">
        <v>2248</v>
      </c>
      <c r="Z2605" s="782" t="s">
        <v>3072</v>
      </c>
      <c r="AA2605" s="781">
        <f>$S$1*P!AA2605</f>
        <v>9.4939516129032261E-5</v>
      </c>
      <c r="AB2605" s="780"/>
      <c r="AC2605" s="881">
        <v>2601</v>
      </c>
      <c r="AD2605" s="881" t="s">
        <v>4573</v>
      </c>
      <c r="AE2605" s="881" t="s">
        <v>2735</v>
      </c>
      <c r="AF2605" s="890">
        <f>$S$1*P!AF2605</f>
        <v>8.8595999999999986</v>
      </c>
    </row>
    <row r="2606" spans="19:32" x14ac:dyDescent="0.35">
      <c r="S2606" s="881">
        <v>2602</v>
      </c>
      <c r="T2606" s="881" t="s">
        <v>4284</v>
      </c>
      <c r="U2606" s="881" t="s">
        <v>2857</v>
      </c>
      <c r="V2606" s="883">
        <f>$S$1*P!V2606</f>
        <v>26.68</v>
      </c>
      <c r="W2606" s="780"/>
      <c r="X2606" s="782">
        <v>2602</v>
      </c>
      <c r="Y2606" s="782" t="s">
        <v>2248</v>
      </c>
      <c r="Z2606" s="782" t="s">
        <v>3481</v>
      </c>
      <c r="AA2606" s="781">
        <f>$S$1*P!AA2606</f>
        <v>4.0443548387096781E-3</v>
      </c>
      <c r="AB2606" s="780"/>
      <c r="AC2606" s="881">
        <v>2602</v>
      </c>
      <c r="AD2606" s="881" t="s">
        <v>4573</v>
      </c>
      <c r="AE2606" s="881" t="s">
        <v>2733</v>
      </c>
      <c r="AF2606" s="890">
        <f>$S$1*P!AF2606</f>
        <v>20.792000000000002</v>
      </c>
    </row>
    <row r="2607" spans="19:32" x14ac:dyDescent="0.35">
      <c r="S2607" s="782">
        <v>2603</v>
      </c>
      <c r="T2607" s="782" t="s">
        <v>4284</v>
      </c>
      <c r="U2607" s="782" t="s">
        <v>3076</v>
      </c>
      <c r="V2607" s="797">
        <f>$S$1*P!V2607</f>
        <v>1.8747983870967742E-4</v>
      </c>
      <c r="W2607" s="780"/>
      <c r="X2607" s="881">
        <v>2603</v>
      </c>
      <c r="Y2607" s="881" t="s">
        <v>2248</v>
      </c>
      <c r="Z2607" s="881" t="s">
        <v>3071</v>
      </c>
      <c r="AA2607" s="882">
        <f>$S$1*P!AA2607</f>
        <v>0</v>
      </c>
      <c r="AB2607" s="780"/>
      <c r="AC2607" s="881">
        <v>2603</v>
      </c>
      <c r="AD2607" s="881" t="s">
        <v>4573</v>
      </c>
      <c r="AE2607" s="881" t="s">
        <v>2732</v>
      </c>
      <c r="AF2607" s="890">
        <f>$S$1*P!AF2607</f>
        <v>11.959999999999999</v>
      </c>
    </row>
    <row r="2608" spans="19:32" x14ac:dyDescent="0.35">
      <c r="S2608" s="782">
        <v>2604</v>
      </c>
      <c r="T2608" s="782" t="s">
        <v>4284</v>
      </c>
      <c r="U2608" s="782" t="s">
        <v>2855</v>
      </c>
      <c r="V2608" s="797">
        <f>$S$1*P!V2608</f>
        <v>1.1550403225806452</v>
      </c>
      <c r="W2608" s="780"/>
      <c r="X2608" s="881">
        <v>2604</v>
      </c>
      <c r="Y2608" s="881" t="s">
        <v>2248</v>
      </c>
      <c r="Z2608" s="881" t="s">
        <v>3069</v>
      </c>
      <c r="AA2608" s="882">
        <f>$S$1*P!AA2608</f>
        <v>1.3248</v>
      </c>
      <c r="AB2608" s="780"/>
      <c r="AC2608" s="881">
        <v>2604</v>
      </c>
      <c r="AD2608" s="881" t="s">
        <v>4573</v>
      </c>
      <c r="AE2608" s="881" t="s">
        <v>2730</v>
      </c>
      <c r="AF2608" s="890">
        <f>$S$1*P!AF2608</f>
        <v>9.9359999999999999</v>
      </c>
    </row>
    <row r="2609" spans="19:32" x14ac:dyDescent="0.35">
      <c r="S2609" s="881">
        <v>2605</v>
      </c>
      <c r="T2609" s="881" t="s">
        <v>4284</v>
      </c>
      <c r="U2609" s="881" t="s">
        <v>2855</v>
      </c>
      <c r="V2609" s="883">
        <f>$S$1*P!V2609</f>
        <v>0</v>
      </c>
      <c r="W2609" s="780"/>
      <c r="X2609" s="782">
        <v>2605</v>
      </c>
      <c r="Y2609" s="782" t="s">
        <v>2248</v>
      </c>
      <c r="Z2609" s="782" t="s">
        <v>4974</v>
      </c>
      <c r="AA2609" s="781">
        <f>$S$1*P!AA2609</f>
        <v>1.2715725806451614E-2</v>
      </c>
      <c r="AB2609" s="780"/>
      <c r="AC2609" s="881">
        <v>2605</v>
      </c>
      <c r="AD2609" s="881" t="s">
        <v>4573</v>
      </c>
      <c r="AE2609" s="881" t="s">
        <v>2729</v>
      </c>
      <c r="AF2609" s="890">
        <f>$S$1*P!AF2609</f>
        <v>18.032</v>
      </c>
    </row>
    <row r="2610" spans="19:32" x14ac:dyDescent="0.35">
      <c r="S2610" s="782">
        <v>2606</v>
      </c>
      <c r="T2610" s="782" t="s">
        <v>4284</v>
      </c>
      <c r="U2610" s="782" t="s">
        <v>2854</v>
      </c>
      <c r="V2610" s="797">
        <f>$S$1*P!V2610</f>
        <v>2.3820564516129034E-2</v>
      </c>
      <c r="W2610" s="780"/>
      <c r="X2610" s="881">
        <v>2606</v>
      </c>
      <c r="Y2610" s="881" t="s">
        <v>2248</v>
      </c>
      <c r="Z2610" s="881" t="s">
        <v>3068</v>
      </c>
      <c r="AA2610" s="882">
        <f>$S$1*P!AA2610</f>
        <v>7.3048000000000002E-2</v>
      </c>
      <c r="AB2610" s="780"/>
      <c r="AC2610" s="881">
        <v>2606</v>
      </c>
      <c r="AD2610" s="881" t="s">
        <v>4573</v>
      </c>
      <c r="AE2610" s="881" t="s">
        <v>2727</v>
      </c>
      <c r="AF2610" s="890">
        <f>$S$1*P!AF2610</f>
        <v>431.48</v>
      </c>
    </row>
    <row r="2611" spans="19:32" x14ac:dyDescent="0.35">
      <c r="S2611" s="881">
        <v>2607</v>
      </c>
      <c r="T2611" s="881" t="s">
        <v>4284</v>
      </c>
      <c r="U2611" s="881" t="s">
        <v>2854</v>
      </c>
      <c r="V2611" s="883">
        <f>$S$1*P!V2611</f>
        <v>0</v>
      </c>
      <c r="W2611" s="780"/>
      <c r="X2611" s="881">
        <v>2607</v>
      </c>
      <c r="Y2611" s="881" t="s">
        <v>2248</v>
      </c>
      <c r="Z2611" s="881" t="s">
        <v>3066</v>
      </c>
      <c r="AA2611" s="882">
        <f>$S$1*P!AA2611</f>
        <v>1.0212000000000001E-2</v>
      </c>
      <c r="AB2611" s="780"/>
      <c r="AC2611" s="881">
        <v>2607</v>
      </c>
      <c r="AD2611" s="881" t="s">
        <v>4573</v>
      </c>
      <c r="AE2611" s="881" t="s">
        <v>2726</v>
      </c>
      <c r="AF2611" s="890">
        <f>$S$1*P!AF2611</f>
        <v>48.576000000000001</v>
      </c>
    </row>
    <row r="2612" spans="19:32" x14ac:dyDescent="0.35">
      <c r="S2612" s="782">
        <v>2608</v>
      </c>
      <c r="T2612" s="782" t="s">
        <v>4284</v>
      </c>
      <c r="U2612" s="782" t="s">
        <v>3070</v>
      </c>
      <c r="V2612" s="797">
        <f>$S$1*P!V2612</f>
        <v>3.5645161290322587E-4</v>
      </c>
      <c r="W2612" s="780"/>
      <c r="X2612" s="782">
        <v>2608</v>
      </c>
      <c r="Y2612" s="782" t="s">
        <v>2248</v>
      </c>
      <c r="Z2612" s="782" t="s">
        <v>3906</v>
      </c>
      <c r="AA2612" s="781">
        <f>$S$1*P!AA2612</f>
        <v>2.4266129032258065E-5</v>
      </c>
      <c r="AB2612" s="780"/>
      <c r="AC2612" s="881">
        <v>2608</v>
      </c>
      <c r="AD2612" s="881" t="s">
        <v>4573</v>
      </c>
      <c r="AE2612" s="881" t="s">
        <v>2724</v>
      </c>
      <c r="AF2612" s="890">
        <f>$S$1*P!AF2612</f>
        <v>103.03999999999999</v>
      </c>
    </row>
    <row r="2613" spans="19:32" x14ac:dyDescent="0.35">
      <c r="S2613" s="782">
        <v>2609</v>
      </c>
      <c r="T2613" s="782" t="s">
        <v>4284</v>
      </c>
      <c r="U2613" s="782" t="s">
        <v>3067</v>
      </c>
      <c r="V2613" s="797">
        <f>$S$1*P!V2613</f>
        <v>8.2943548387096782E-5</v>
      </c>
      <c r="W2613" s="780"/>
      <c r="X2613" s="782">
        <v>2609</v>
      </c>
      <c r="Y2613" s="782" t="s">
        <v>2248</v>
      </c>
      <c r="Z2613" s="782" t="s">
        <v>4973</v>
      </c>
      <c r="AA2613" s="781">
        <f>$S$1*P!AA2613</f>
        <v>7.4032258064516132E-3</v>
      </c>
      <c r="AB2613" s="780"/>
      <c r="AC2613" s="881">
        <v>2609</v>
      </c>
      <c r="AD2613" s="881" t="s">
        <v>4573</v>
      </c>
      <c r="AE2613" s="881" t="s">
        <v>2722</v>
      </c>
      <c r="AF2613" s="890">
        <f>$S$1*P!AF2613</f>
        <v>2134.4</v>
      </c>
    </row>
    <row r="2614" spans="19:32" x14ac:dyDescent="0.35">
      <c r="S2614" s="782">
        <v>2610</v>
      </c>
      <c r="T2614" s="782" t="s">
        <v>4284</v>
      </c>
      <c r="U2614" s="782" t="s">
        <v>2853</v>
      </c>
      <c r="V2614" s="797">
        <f>$S$1*P!V2614</f>
        <v>2.4643145161290324E-4</v>
      </c>
      <c r="W2614" s="780"/>
      <c r="X2614" s="881">
        <v>2610</v>
      </c>
      <c r="Y2614" s="881" t="s">
        <v>2248</v>
      </c>
      <c r="Z2614" s="881" t="s">
        <v>3065</v>
      </c>
      <c r="AA2614" s="882">
        <f>$S$1*P!AA2614</f>
        <v>0.51427999999999996</v>
      </c>
      <c r="AB2614" s="780"/>
      <c r="AC2614" s="881">
        <v>2610</v>
      </c>
      <c r="AD2614" s="881" t="s">
        <v>4573</v>
      </c>
      <c r="AE2614" s="881" t="s">
        <v>2721</v>
      </c>
      <c r="AF2614" s="890">
        <f>$S$1*P!AF2614</f>
        <v>0.93840000000000001</v>
      </c>
    </row>
    <row r="2615" spans="19:32" x14ac:dyDescent="0.35">
      <c r="S2615" s="881">
        <v>2611</v>
      </c>
      <c r="T2615" s="881" t="s">
        <v>4284</v>
      </c>
      <c r="U2615" s="881" t="s">
        <v>2853</v>
      </c>
      <c r="V2615" s="883">
        <f>$S$1*P!V2615</f>
        <v>0</v>
      </c>
      <c r="W2615" s="780"/>
      <c r="X2615" s="782">
        <v>2611</v>
      </c>
      <c r="Y2615" s="782" t="s">
        <v>2248</v>
      </c>
      <c r="Z2615" s="782" t="s">
        <v>3065</v>
      </c>
      <c r="AA2615" s="781">
        <f>$S$1*P!AA2615</f>
        <v>1.0796370967741937E-3</v>
      </c>
      <c r="AB2615" s="780"/>
      <c r="AC2615" s="881">
        <v>2611</v>
      </c>
      <c r="AD2615" s="881" t="s">
        <v>4573</v>
      </c>
      <c r="AE2615" s="881" t="s">
        <v>2719</v>
      </c>
      <c r="AF2615" s="890">
        <f>$S$1*P!AF2615</f>
        <v>586.96</v>
      </c>
    </row>
    <row r="2616" spans="19:32" x14ac:dyDescent="0.35">
      <c r="S2616" s="881">
        <v>2612</v>
      </c>
      <c r="T2616" s="881" t="s">
        <v>4284</v>
      </c>
      <c r="U2616" s="881" t="s">
        <v>2852</v>
      </c>
      <c r="V2616" s="883">
        <f>$S$1*P!V2616</f>
        <v>3.0084</v>
      </c>
      <c r="W2616" s="780"/>
      <c r="X2616" s="782">
        <v>2612</v>
      </c>
      <c r="Y2616" s="782" t="s">
        <v>2248</v>
      </c>
      <c r="Z2616" s="782" t="s">
        <v>3477</v>
      </c>
      <c r="AA2616" s="781">
        <f>$S$1*P!AA2616</f>
        <v>6.9233870967741939E-4</v>
      </c>
      <c r="AB2616" s="780"/>
      <c r="AC2616" s="881">
        <v>2612</v>
      </c>
      <c r="AD2616" s="881" t="s">
        <v>4573</v>
      </c>
      <c r="AE2616" s="881" t="s">
        <v>2718</v>
      </c>
      <c r="AF2616" s="890">
        <f>$S$1*P!AF2616</f>
        <v>1554.8000000000002</v>
      </c>
    </row>
    <row r="2617" spans="19:32" x14ac:dyDescent="0.35">
      <c r="S2617" s="782">
        <v>2613</v>
      </c>
      <c r="T2617" s="782" t="s">
        <v>4284</v>
      </c>
      <c r="U2617" s="782" t="s">
        <v>3062</v>
      </c>
      <c r="V2617" s="797">
        <f>$S$1*P!V2617</f>
        <v>1.8542338709677422E-4</v>
      </c>
      <c r="W2617" s="780"/>
      <c r="X2617" s="881">
        <v>2613</v>
      </c>
      <c r="Y2617" s="881" t="s">
        <v>2248</v>
      </c>
      <c r="Z2617" s="881" t="s">
        <v>3064</v>
      </c>
      <c r="AA2617" s="882">
        <f>$S$1*P!AA2617</f>
        <v>0.95679999999999998</v>
      </c>
      <c r="AB2617" s="780"/>
      <c r="AC2617" s="881">
        <v>2613</v>
      </c>
      <c r="AD2617" s="881" t="s">
        <v>4573</v>
      </c>
      <c r="AE2617" s="881" t="s">
        <v>2716</v>
      </c>
      <c r="AF2617" s="890">
        <f>$S$1*P!AF2617</f>
        <v>8675.5999999999985</v>
      </c>
    </row>
    <row r="2618" spans="19:32" x14ac:dyDescent="0.35">
      <c r="S2618" s="782">
        <v>2614</v>
      </c>
      <c r="T2618" s="782" t="s">
        <v>4284</v>
      </c>
      <c r="U2618" s="782" t="s">
        <v>3060</v>
      </c>
      <c r="V2618" s="797">
        <f>$S$1*P!V2618</f>
        <v>8.8084677419354843E-2</v>
      </c>
      <c r="W2618" s="780"/>
      <c r="X2618" s="782">
        <v>2614</v>
      </c>
      <c r="Y2618" s="782" t="s">
        <v>2248</v>
      </c>
      <c r="Z2618" s="782" t="s">
        <v>3064</v>
      </c>
      <c r="AA2618" s="781">
        <f>$S$1*P!AA2618</f>
        <v>5.7237903225806452E-4</v>
      </c>
      <c r="AB2618" s="780"/>
      <c r="AC2618" s="881">
        <v>2614</v>
      </c>
      <c r="AD2618" s="881" t="s">
        <v>4573</v>
      </c>
      <c r="AE2618" s="881" t="s">
        <v>2715</v>
      </c>
      <c r="AF2618" s="890">
        <f>$S$1*P!AF2618</f>
        <v>169.28</v>
      </c>
    </row>
    <row r="2619" spans="19:32" x14ac:dyDescent="0.35">
      <c r="S2619" s="782">
        <v>2615</v>
      </c>
      <c r="T2619" s="782" t="s">
        <v>4284</v>
      </c>
      <c r="U2619" s="782" t="s">
        <v>3057</v>
      </c>
      <c r="V2619" s="797">
        <f>$S$1*P!V2619</f>
        <v>2.210685483870968E-2</v>
      </c>
      <c r="W2619" s="780"/>
      <c r="X2619" s="782">
        <v>2615</v>
      </c>
      <c r="Y2619" s="782" t="s">
        <v>2248</v>
      </c>
      <c r="Z2619" s="782" t="s">
        <v>3476</v>
      </c>
      <c r="AA2619" s="781">
        <f>$S$1*P!AA2619</f>
        <v>2.7110887096774196E-2</v>
      </c>
      <c r="AB2619" s="780"/>
      <c r="AC2619" s="881">
        <v>2615</v>
      </c>
      <c r="AD2619" s="881" t="s">
        <v>4573</v>
      </c>
      <c r="AE2619" s="881" t="s">
        <v>2713</v>
      </c>
      <c r="AF2619" s="890">
        <f>$S$1*P!AF2619</f>
        <v>6.2284000000000006</v>
      </c>
    </row>
    <row r="2620" spans="19:32" x14ac:dyDescent="0.35">
      <c r="S2620" s="782">
        <v>2616</v>
      </c>
      <c r="T2620" s="782" t="s">
        <v>4284</v>
      </c>
      <c r="U2620" s="782" t="s">
        <v>2850</v>
      </c>
      <c r="V2620" s="797">
        <f>$S$1*P!V2620</f>
        <v>2.5945564516129033E-2</v>
      </c>
      <c r="W2620" s="780"/>
      <c r="X2620" s="782">
        <v>2616</v>
      </c>
      <c r="Y2620" s="782" t="s">
        <v>2248</v>
      </c>
      <c r="Z2620" s="782" t="s">
        <v>3900</v>
      </c>
      <c r="AA2620" s="781">
        <f>$S$1*P!AA2620</f>
        <v>4.2842741935483872E-4</v>
      </c>
      <c r="AB2620" s="780"/>
      <c r="AC2620" s="881">
        <v>2616</v>
      </c>
      <c r="AD2620" s="881" t="s">
        <v>4573</v>
      </c>
      <c r="AE2620" s="881" t="s">
        <v>2711</v>
      </c>
      <c r="AF2620" s="890">
        <f>$S$1*P!AF2620</f>
        <v>74.52000000000001</v>
      </c>
    </row>
    <row r="2621" spans="19:32" x14ac:dyDescent="0.35">
      <c r="S2621" s="881">
        <v>2617</v>
      </c>
      <c r="T2621" s="881" t="s">
        <v>4284</v>
      </c>
      <c r="U2621" s="881" t="s">
        <v>2850</v>
      </c>
      <c r="V2621" s="883">
        <f>$S$1*P!V2621</f>
        <v>6.8815999999999988E-2</v>
      </c>
      <c r="W2621" s="780"/>
      <c r="X2621" s="881">
        <v>2617</v>
      </c>
      <c r="Y2621" s="881" t="s">
        <v>2248</v>
      </c>
      <c r="Z2621" s="881" t="s">
        <v>3063</v>
      </c>
      <c r="AA2621" s="882">
        <f>$S$1*P!AA2621</f>
        <v>316.48</v>
      </c>
      <c r="AB2621" s="780"/>
      <c r="AC2621" s="881">
        <v>2617</v>
      </c>
      <c r="AD2621" s="881" t="s">
        <v>4573</v>
      </c>
      <c r="AE2621" s="881" t="s">
        <v>2710</v>
      </c>
      <c r="AF2621" s="890">
        <f>$S$1*P!AF2621</f>
        <v>10.396000000000001</v>
      </c>
    </row>
    <row r="2622" spans="19:32" x14ac:dyDescent="0.35">
      <c r="S2622" s="782">
        <v>2618</v>
      </c>
      <c r="T2622" s="782" t="s">
        <v>4284</v>
      </c>
      <c r="U2622" s="782" t="s">
        <v>3052</v>
      </c>
      <c r="V2622" s="797">
        <f>$S$1*P!V2622</f>
        <v>0.21695564516129034</v>
      </c>
      <c r="W2622" s="780"/>
      <c r="X2622" s="782">
        <v>2618</v>
      </c>
      <c r="Y2622" s="782" t="s">
        <v>2248</v>
      </c>
      <c r="Z2622" s="782" t="s">
        <v>3473</v>
      </c>
      <c r="AA2622" s="781">
        <f>$S$1*P!AA2622</f>
        <v>6.9576612903225815E-3</v>
      </c>
      <c r="AB2622" s="780"/>
      <c r="AC2622" s="782">
        <v>2618</v>
      </c>
      <c r="AD2622" s="782" t="s">
        <v>4573</v>
      </c>
      <c r="AE2622" s="782" t="s">
        <v>2611</v>
      </c>
      <c r="AF2622" s="781">
        <f>$S$1*P!AF2622</f>
        <v>0.63407258064516137</v>
      </c>
    </row>
    <row r="2623" spans="19:32" x14ac:dyDescent="0.35">
      <c r="S2623" s="881">
        <v>2619</v>
      </c>
      <c r="T2623" s="881" t="s">
        <v>4284</v>
      </c>
      <c r="U2623" s="881" t="s">
        <v>2849</v>
      </c>
      <c r="V2623" s="883">
        <f>$S$1*P!V2623</f>
        <v>0</v>
      </c>
      <c r="W2623" s="780"/>
      <c r="X2623" s="881">
        <v>2619</v>
      </c>
      <c r="Y2623" s="881" t="s">
        <v>2248</v>
      </c>
      <c r="Z2623" s="881" t="s">
        <v>3061</v>
      </c>
      <c r="AA2623" s="882">
        <f>$S$1*P!AA2623</f>
        <v>5.7132000000000005E-4</v>
      </c>
      <c r="AB2623" s="780"/>
      <c r="AC2623" s="881">
        <v>2619</v>
      </c>
      <c r="AD2623" s="881" t="s">
        <v>4573</v>
      </c>
      <c r="AE2623" s="881" t="s">
        <v>2708</v>
      </c>
      <c r="AF2623" s="890">
        <f>$S$1*P!AF2623</f>
        <v>0.2346</v>
      </c>
    </row>
    <row r="2624" spans="19:32" x14ac:dyDescent="0.35">
      <c r="S2624" s="782">
        <v>2620</v>
      </c>
      <c r="T2624" s="782" t="s">
        <v>4284</v>
      </c>
      <c r="U2624" s="782" t="s">
        <v>3049</v>
      </c>
      <c r="V2624" s="797">
        <f>$S$1*P!V2624</f>
        <v>1.0762096774193548E-3</v>
      </c>
      <c r="W2624" s="780"/>
      <c r="X2624" s="782">
        <v>2620</v>
      </c>
      <c r="Y2624" s="782" t="s">
        <v>2248</v>
      </c>
      <c r="Z2624" s="782" t="s">
        <v>3061</v>
      </c>
      <c r="AA2624" s="781">
        <f>$S$1*P!AA2624</f>
        <v>2.0461693548387099E-5</v>
      </c>
      <c r="AB2624" s="780"/>
      <c r="AC2624" s="881">
        <v>2620</v>
      </c>
      <c r="AD2624" s="881" t="s">
        <v>4573</v>
      </c>
      <c r="AE2624" s="881" t="s">
        <v>2707</v>
      </c>
      <c r="AF2624" s="890">
        <f>$S$1*P!AF2624</f>
        <v>0</v>
      </c>
    </row>
    <row r="2625" spans="19:32" x14ac:dyDescent="0.35">
      <c r="S2625" s="782">
        <v>2621</v>
      </c>
      <c r="T2625" s="782" t="s">
        <v>4284</v>
      </c>
      <c r="U2625" s="782" t="s">
        <v>3047</v>
      </c>
      <c r="V2625" s="797">
        <f>$S$1*P!V2625</f>
        <v>3.2903225806451614E-5</v>
      </c>
      <c r="W2625" s="780"/>
      <c r="X2625" s="782">
        <v>2621</v>
      </c>
      <c r="Y2625" s="782" t="s">
        <v>2248</v>
      </c>
      <c r="Z2625" s="782" t="s">
        <v>3471</v>
      </c>
      <c r="AA2625" s="781">
        <f>$S$1*P!AA2625</f>
        <v>4.0786290322580646E-2</v>
      </c>
      <c r="AB2625" s="780"/>
      <c r="AC2625" s="782">
        <v>2621</v>
      </c>
      <c r="AD2625" s="782" t="s">
        <v>4573</v>
      </c>
      <c r="AE2625" s="782" t="s">
        <v>2608</v>
      </c>
      <c r="AF2625" s="781">
        <f>$S$1*P!AF2625</f>
        <v>0.22518145161290323</v>
      </c>
    </row>
    <row r="2626" spans="19:32" x14ac:dyDescent="0.35">
      <c r="S2626" s="782">
        <v>2622</v>
      </c>
      <c r="T2626" s="782" t="s">
        <v>4284</v>
      </c>
      <c r="U2626" s="782" t="s">
        <v>3044</v>
      </c>
      <c r="V2626" s="797">
        <f>$S$1*P!V2626</f>
        <v>3.2423387096774193E-3</v>
      </c>
      <c r="W2626" s="780"/>
      <c r="X2626" s="782">
        <v>2622</v>
      </c>
      <c r="Y2626" s="782" t="s">
        <v>2248</v>
      </c>
      <c r="Z2626" s="782" t="s">
        <v>3896</v>
      </c>
      <c r="AA2626" s="781">
        <f>$S$1*P!AA2626</f>
        <v>6.3407258064516136E-4</v>
      </c>
      <c r="AB2626" s="780"/>
      <c r="AC2626" s="782">
        <v>2622</v>
      </c>
      <c r="AD2626" s="782" t="s">
        <v>4573</v>
      </c>
      <c r="AE2626" s="782" t="s">
        <v>2605</v>
      </c>
      <c r="AF2626" s="781">
        <f>$S$1*P!AF2626</f>
        <v>2.0530241935483873</v>
      </c>
    </row>
    <row r="2627" spans="19:32" x14ac:dyDescent="0.35">
      <c r="S2627" s="782">
        <v>2623</v>
      </c>
      <c r="T2627" s="782" t="s">
        <v>4284</v>
      </c>
      <c r="U2627" s="782" t="s">
        <v>3041</v>
      </c>
      <c r="V2627" s="797">
        <f>$S$1*P!V2627</f>
        <v>7.1633064516129033E-4</v>
      </c>
      <c r="W2627" s="780"/>
      <c r="X2627" s="782">
        <v>2623</v>
      </c>
      <c r="Y2627" s="782" t="s">
        <v>2248</v>
      </c>
      <c r="Z2627" s="782" t="s">
        <v>3893</v>
      </c>
      <c r="AA2627" s="781">
        <f>$S$1*P!AA2627</f>
        <v>8.465725806451614E-5</v>
      </c>
      <c r="AB2627" s="780"/>
      <c r="AC2627" s="782">
        <v>2623</v>
      </c>
      <c r="AD2627" s="782" t="s">
        <v>4573</v>
      </c>
      <c r="AE2627" s="782" t="s">
        <v>2603</v>
      </c>
      <c r="AF2627" s="781">
        <f>$S$1*P!AF2627</f>
        <v>12.64717741935484</v>
      </c>
    </row>
    <row r="2628" spans="19:32" x14ac:dyDescent="0.35">
      <c r="S2628" s="782">
        <v>2624</v>
      </c>
      <c r="T2628" s="782" t="s">
        <v>4284</v>
      </c>
      <c r="U2628" s="782" t="s">
        <v>3038</v>
      </c>
      <c r="V2628" s="797">
        <f>$S$1*P!V2628</f>
        <v>7.8487903225806454E-4</v>
      </c>
      <c r="W2628" s="780"/>
      <c r="X2628" s="782">
        <v>2624</v>
      </c>
      <c r="Y2628" s="782" t="s">
        <v>2248</v>
      </c>
      <c r="Z2628" s="782" t="s">
        <v>3469</v>
      </c>
      <c r="AA2628" s="781">
        <f>$S$1*P!AA2628</f>
        <v>1.1241935483870968E-4</v>
      </c>
      <c r="AB2628" s="780"/>
      <c r="AC2628" s="782">
        <v>2624</v>
      </c>
      <c r="AD2628" s="782" t="s">
        <v>4573</v>
      </c>
      <c r="AE2628" s="782" t="s">
        <v>2600</v>
      </c>
      <c r="AF2628" s="781">
        <f>$S$1*P!AF2628</f>
        <v>0.3355443548387097</v>
      </c>
    </row>
    <row r="2629" spans="19:32" x14ac:dyDescent="0.35">
      <c r="S2629" s="782">
        <v>2625</v>
      </c>
      <c r="T2629" s="782" t="s">
        <v>4284</v>
      </c>
      <c r="U2629" s="782" t="s">
        <v>3036</v>
      </c>
      <c r="V2629" s="797">
        <f>$S$1*P!V2629</f>
        <v>1.6006048387096777E-3</v>
      </c>
      <c r="W2629" s="780"/>
      <c r="X2629" s="782">
        <v>2625</v>
      </c>
      <c r="Y2629" s="782" t="s">
        <v>2248</v>
      </c>
      <c r="Z2629" s="782" t="s">
        <v>3891</v>
      </c>
      <c r="AA2629" s="781">
        <f>$S$1*P!AA2629</f>
        <v>2.7762096774193554E-5</v>
      </c>
      <c r="AB2629" s="780"/>
      <c r="AC2629" s="782">
        <v>2625</v>
      </c>
      <c r="AD2629" s="782" t="s">
        <v>4573</v>
      </c>
      <c r="AE2629" s="782" t="s">
        <v>2597</v>
      </c>
      <c r="AF2629" s="781">
        <f>$S$1*P!AF2629</f>
        <v>1.5183467741935484E-2</v>
      </c>
    </row>
    <row r="2630" spans="19:32" x14ac:dyDescent="0.35">
      <c r="S2630" s="782">
        <v>2626</v>
      </c>
      <c r="T2630" s="782" t="s">
        <v>4284</v>
      </c>
      <c r="U2630" s="782" t="s">
        <v>3033</v>
      </c>
      <c r="V2630" s="797">
        <f>$S$1*P!V2630</f>
        <v>5.5524193548387097E-4</v>
      </c>
      <c r="W2630" s="780"/>
      <c r="X2630" s="782">
        <v>2626</v>
      </c>
      <c r="Y2630" s="782" t="s">
        <v>2248</v>
      </c>
      <c r="Z2630" s="782" t="s">
        <v>3888</v>
      </c>
      <c r="AA2630" s="781">
        <f>$S$1*P!AA2630</f>
        <v>1.5320564516129035E-5</v>
      </c>
      <c r="AB2630" s="780"/>
      <c r="AC2630" s="782">
        <v>2626</v>
      </c>
      <c r="AD2630" s="782" t="s">
        <v>4573</v>
      </c>
      <c r="AE2630" s="782" t="s">
        <v>2594</v>
      </c>
      <c r="AF2630" s="781">
        <f>$S$1*P!AF2630</f>
        <v>1.665725806451613E-3</v>
      </c>
    </row>
    <row r="2631" spans="19:32" x14ac:dyDescent="0.35">
      <c r="S2631" s="782">
        <v>2627</v>
      </c>
      <c r="T2631" s="782" t="s">
        <v>4284</v>
      </c>
      <c r="U2631" s="782" t="s">
        <v>3030</v>
      </c>
      <c r="V2631" s="797">
        <f>$S$1*P!V2631</f>
        <v>1.360685483870968E-3</v>
      </c>
      <c r="W2631" s="780"/>
      <c r="X2631" s="782">
        <v>2627</v>
      </c>
      <c r="Y2631" s="782" t="s">
        <v>2248</v>
      </c>
      <c r="Z2631" s="782" t="s">
        <v>4972</v>
      </c>
      <c r="AA2631" s="781">
        <f>$S$1*P!AA2631</f>
        <v>1.0899193548387098E-3</v>
      </c>
      <c r="AB2631" s="780"/>
      <c r="AC2631" s="782">
        <v>2627</v>
      </c>
      <c r="AD2631" s="782" t="s">
        <v>4573</v>
      </c>
      <c r="AE2631" s="782" t="s">
        <v>2591</v>
      </c>
      <c r="AF2631" s="781">
        <f>$S$1*P!AF2631</f>
        <v>9.2883064516129044E-2</v>
      </c>
    </row>
    <row r="2632" spans="19:32" x14ac:dyDescent="0.35">
      <c r="S2632" s="782">
        <v>2628</v>
      </c>
      <c r="T2632" s="782" t="s">
        <v>4284</v>
      </c>
      <c r="U2632" s="782" t="s">
        <v>3027</v>
      </c>
      <c r="V2632" s="797">
        <f>$S$1*P!V2632</f>
        <v>4.4556451612903225E-3</v>
      </c>
      <c r="W2632" s="780"/>
      <c r="X2632" s="782">
        <v>2628</v>
      </c>
      <c r="Y2632" s="782" t="s">
        <v>2248</v>
      </c>
      <c r="Z2632" s="782" t="s">
        <v>3885</v>
      </c>
      <c r="AA2632" s="781">
        <f>$S$1*P!AA2632</f>
        <v>9.8709677419354843E-5</v>
      </c>
      <c r="AB2632" s="780"/>
      <c r="AC2632" s="881">
        <v>2628</v>
      </c>
      <c r="AD2632" s="881" t="s">
        <v>4573</v>
      </c>
      <c r="AE2632" s="881" t="s">
        <v>2705</v>
      </c>
      <c r="AF2632" s="890">
        <f>$S$1*P!AF2632</f>
        <v>12.788</v>
      </c>
    </row>
    <row r="2633" spans="19:32" x14ac:dyDescent="0.35">
      <c r="S2633" s="782">
        <v>2629</v>
      </c>
      <c r="T2633" s="782" t="s">
        <v>4284</v>
      </c>
      <c r="U2633" s="782" t="s">
        <v>3024</v>
      </c>
      <c r="V2633" s="797">
        <f>$S$1*P!V2633</f>
        <v>5.4838709677419356E-2</v>
      </c>
      <c r="W2633" s="780"/>
      <c r="X2633" s="782">
        <v>2629</v>
      </c>
      <c r="Y2633" s="782" t="s">
        <v>2248</v>
      </c>
      <c r="Z2633" s="782" t="s">
        <v>3883</v>
      </c>
      <c r="AA2633" s="781">
        <f>$S$1*P!AA2633</f>
        <v>9.1512096774193561E-7</v>
      </c>
      <c r="AB2633" s="780"/>
      <c r="AC2633" s="881">
        <v>2629</v>
      </c>
      <c r="AD2633" s="881" t="s">
        <v>4573</v>
      </c>
      <c r="AE2633" s="881" t="s">
        <v>2704</v>
      </c>
      <c r="AF2633" s="890">
        <f>$S$1*P!AF2633</f>
        <v>2.7600000000000002</v>
      </c>
    </row>
    <row r="2634" spans="19:32" x14ac:dyDescent="0.35">
      <c r="S2634" s="782">
        <v>2630</v>
      </c>
      <c r="T2634" s="782" t="s">
        <v>4284</v>
      </c>
      <c r="U2634" s="782" t="s">
        <v>3022</v>
      </c>
      <c r="V2634" s="797">
        <f>$S$1*P!V2634</f>
        <v>1.771975806451613E-4</v>
      </c>
      <c r="W2634" s="780"/>
      <c r="X2634" s="782">
        <v>2630</v>
      </c>
      <c r="Y2634" s="782" t="s">
        <v>2248</v>
      </c>
      <c r="Z2634" s="782" t="s">
        <v>3880</v>
      </c>
      <c r="AA2634" s="781">
        <f>$S$1*P!AA2634</f>
        <v>5.2439516129032266E-3</v>
      </c>
      <c r="AB2634" s="780"/>
      <c r="AC2634" s="782">
        <v>2630</v>
      </c>
      <c r="AD2634" s="782" t="s">
        <v>4573</v>
      </c>
      <c r="AE2634" s="782" t="s">
        <v>2589</v>
      </c>
      <c r="AF2634" s="781">
        <f>$S$1*P!AF2634</f>
        <v>6.1008064516129036E-2</v>
      </c>
    </row>
    <row r="2635" spans="19:32" x14ac:dyDescent="0.35">
      <c r="S2635" s="782">
        <v>2631</v>
      </c>
      <c r="T2635" s="782" t="s">
        <v>4284</v>
      </c>
      <c r="U2635" s="782" t="s">
        <v>3019</v>
      </c>
      <c r="V2635" s="797">
        <f>$S$1*P!V2635</f>
        <v>3.8729838709677421E-6</v>
      </c>
      <c r="W2635" s="780"/>
      <c r="X2635" s="782">
        <v>2631</v>
      </c>
      <c r="Y2635" s="782" t="s">
        <v>2248</v>
      </c>
      <c r="Z2635" s="782" t="s">
        <v>3467</v>
      </c>
      <c r="AA2635" s="781">
        <f>$S$1*P!AA2635</f>
        <v>1.6485887096774194</v>
      </c>
      <c r="AB2635" s="780"/>
      <c r="AC2635" s="881">
        <v>2631</v>
      </c>
      <c r="AD2635" s="881" t="s">
        <v>4573</v>
      </c>
      <c r="AE2635" s="881" t="s">
        <v>2702</v>
      </c>
      <c r="AF2635" s="890">
        <f>$S$1*P!AF2635</f>
        <v>75.163999999999987</v>
      </c>
    </row>
    <row r="2636" spans="19:32" x14ac:dyDescent="0.35">
      <c r="S2636" s="782">
        <v>2632</v>
      </c>
      <c r="T2636" s="782" t="s">
        <v>4284</v>
      </c>
      <c r="U2636" s="782" t="s">
        <v>3016</v>
      </c>
      <c r="V2636" s="797">
        <f>$S$1*P!V2636</f>
        <v>2.2826612903225808E-4</v>
      </c>
      <c r="W2636" s="780"/>
      <c r="X2636" s="782">
        <v>2632</v>
      </c>
      <c r="Y2636" s="782" t="s">
        <v>2248</v>
      </c>
      <c r="Z2636" s="782" t="s">
        <v>3878</v>
      </c>
      <c r="AA2636" s="781">
        <f>$S$1*P!AA2636</f>
        <v>1.9502016129032261E-4</v>
      </c>
      <c r="AB2636" s="780"/>
      <c r="AC2636" s="881">
        <v>2632</v>
      </c>
      <c r="AD2636" s="881" t="s">
        <v>4573</v>
      </c>
      <c r="AE2636" s="881" t="s">
        <v>2701</v>
      </c>
      <c r="AF2636" s="890">
        <f>$S$1*P!AF2636</f>
        <v>76.63600000000001</v>
      </c>
    </row>
    <row r="2637" spans="19:32" x14ac:dyDescent="0.35">
      <c r="S2637" s="782">
        <v>2633</v>
      </c>
      <c r="T2637" s="782" t="s">
        <v>4284</v>
      </c>
      <c r="U2637" s="782" t="s">
        <v>3013</v>
      </c>
      <c r="V2637" s="797">
        <f>$S$1*P!V2637</f>
        <v>9.6653225806451627E-3</v>
      </c>
      <c r="W2637" s="780"/>
      <c r="X2637" s="782">
        <v>2633</v>
      </c>
      <c r="Y2637" s="782" t="s">
        <v>2248</v>
      </c>
      <c r="Z2637" s="782" t="s">
        <v>3875</v>
      </c>
      <c r="AA2637" s="781">
        <f>$S$1*P!AA2637</f>
        <v>8.6370967741935493E-4</v>
      </c>
      <c r="AB2637" s="780"/>
      <c r="AC2637" s="881">
        <v>2633</v>
      </c>
      <c r="AD2637" s="881" t="s">
        <v>4573</v>
      </c>
      <c r="AE2637" s="881" t="s">
        <v>2699</v>
      </c>
      <c r="AF2637" s="890">
        <f>$S$1*P!AF2637</f>
        <v>0</v>
      </c>
    </row>
    <row r="2638" spans="19:32" x14ac:dyDescent="0.35">
      <c r="S2638" s="782">
        <v>2634</v>
      </c>
      <c r="T2638" s="782" t="s">
        <v>4284</v>
      </c>
      <c r="U2638" s="782" t="s">
        <v>3011</v>
      </c>
      <c r="V2638" s="797">
        <f>$S$1*P!V2638</f>
        <v>4.215725806451613E-3</v>
      </c>
      <c r="W2638" s="780"/>
      <c r="X2638" s="782">
        <v>2634</v>
      </c>
      <c r="Y2638" s="782" t="s">
        <v>2248</v>
      </c>
      <c r="Z2638" s="782" t="s">
        <v>3466</v>
      </c>
      <c r="AA2638" s="781">
        <f>$S$1*P!AA2638</f>
        <v>2.1215725806451615E-2</v>
      </c>
      <c r="AB2638" s="780"/>
      <c r="AC2638" s="881">
        <v>2634</v>
      </c>
      <c r="AD2638" s="881" t="s">
        <v>4573</v>
      </c>
      <c r="AE2638" s="881" t="s">
        <v>2697</v>
      </c>
      <c r="AF2638" s="890">
        <f>$S$1*P!AF2638</f>
        <v>48.76</v>
      </c>
    </row>
    <row r="2639" spans="19:32" x14ac:dyDescent="0.35">
      <c r="S2639" s="782">
        <v>2635</v>
      </c>
      <c r="T2639" s="782" t="s">
        <v>4284</v>
      </c>
      <c r="U2639" s="782" t="s">
        <v>4971</v>
      </c>
      <c r="V2639" s="797">
        <f>$S$1*P!V2639</f>
        <v>4.9354838709677424E-4</v>
      </c>
      <c r="W2639" s="780"/>
      <c r="X2639" s="881">
        <v>2635</v>
      </c>
      <c r="Y2639" s="881" t="s">
        <v>2248</v>
      </c>
      <c r="Z2639" s="881" t="s">
        <v>3059</v>
      </c>
      <c r="AA2639" s="882">
        <f>$S$1*P!AA2639</f>
        <v>4.6552E-3</v>
      </c>
      <c r="AB2639" s="780"/>
      <c r="AC2639" s="881">
        <v>2635</v>
      </c>
      <c r="AD2639" s="881" t="s">
        <v>4573</v>
      </c>
      <c r="AE2639" s="881" t="s">
        <v>2696</v>
      </c>
      <c r="AF2639" s="890">
        <f>$S$1*P!AF2639</f>
        <v>175.72</v>
      </c>
    </row>
    <row r="2640" spans="19:32" x14ac:dyDescent="0.35">
      <c r="S2640" s="782">
        <v>2636</v>
      </c>
      <c r="T2640" s="782" t="s">
        <v>4284</v>
      </c>
      <c r="U2640" s="782" t="s">
        <v>3005</v>
      </c>
      <c r="V2640" s="797">
        <f>$S$1*P!V2640</f>
        <v>1.3915322580645163E-2</v>
      </c>
      <c r="W2640" s="780"/>
      <c r="X2640" s="782">
        <v>2636</v>
      </c>
      <c r="Y2640" s="782" t="s">
        <v>2248</v>
      </c>
      <c r="Z2640" s="782" t="s">
        <v>3059</v>
      </c>
      <c r="AA2640" s="781">
        <f>$S$1*P!AA2640</f>
        <v>4.7983870967741937E-5</v>
      </c>
      <c r="AB2640" s="780"/>
      <c r="AC2640" s="881">
        <v>2636</v>
      </c>
      <c r="AD2640" s="881" t="s">
        <v>4573</v>
      </c>
      <c r="AE2640" s="881" t="s">
        <v>2694</v>
      </c>
      <c r="AF2640" s="890">
        <f>$S$1*P!AF2640</f>
        <v>50.6</v>
      </c>
    </row>
    <row r="2641" spans="19:32" x14ac:dyDescent="0.35">
      <c r="S2641" s="782">
        <v>2637</v>
      </c>
      <c r="T2641" s="782" t="s">
        <v>4284</v>
      </c>
      <c r="U2641" s="782" t="s">
        <v>2847</v>
      </c>
      <c r="V2641" s="797">
        <f>$S$1*P!V2641</f>
        <v>2.6973790322580647E-4</v>
      </c>
      <c r="W2641" s="780"/>
      <c r="X2641" s="782">
        <v>2637</v>
      </c>
      <c r="Y2641" s="782" t="s">
        <v>2248</v>
      </c>
      <c r="Z2641" s="782" t="s">
        <v>3464</v>
      </c>
      <c r="AA2641" s="781">
        <f>$S$1*P!AA2641</f>
        <v>3.2766129032258067</v>
      </c>
      <c r="AB2641" s="780"/>
      <c r="AC2641" s="881">
        <v>2637</v>
      </c>
      <c r="AD2641" s="881" t="s">
        <v>4573</v>
      </c>
      <c r="AE2641" s="881" t="s">
        <v>2693</v>
      </c>
      <c r="AF2641" s="890">
        <f>$S$1*P!AF2641</f>
        <v>12.972000000000001</v>
      </c>
    </row>
    <row r="2642" spans="19:32" x14ac:dyDescent="0.35">
      <c r="S2642" s="881">
        <v>2638</v>
      </c>
      <c r="T2642" s="881" t="s">
        <v>4284</v>
      </c>
      <c r="U2642" s="881" t="s">
        <v>2847</v>
      </c>
      <c r="V2642" s="883">
        <f>$S$1*P!V2642</f>
        <v>0.26679999999999998</v>
      </c>
      <c r="W2642" s="780"/>
      <c r="X2642" s="782">
        <v>2638</v>
      </c>
      <c r="Y2642" s="782" t="s">
        <v>2248</v>
      </c>
      <c r="Z2642" s="782" t="s">
        <v>3873</v>
      </c>
      <c r="AA2642" s="781">
        <f>$S$1*P!AA2642</f>
        <v>3.1840725806451614E-4</v>
      </c>
      <c r="AB2642" s="780"/>
      <c r="AC2642" s="782">
        <v>2638</v>
      </c>
      <c r="AD2642" s="782" t="s">
        <v>4573</v>
      </c>
      <c r="AE2642" s="782" t="s">
        <v>2586</v>
      </c>
      <c r="AF2642" s="781">
        <f>$S$1*P!AF2642</f>
        <v>1.0453629032258066E-3</v>
      </c>
    </row>
    <row r="2643" spans="19:32" x14ac:dyDescent="0.35">
      <c r="S2643" s="881">
        <v>2639</v>
      </c>
      <c r="T2643" s="881" t="s">
        <v>4284</v>
      </c>
      <c r="U2643" s="881" t="s">
        <v>2845</v>
      </c>
      <c r="V2643" s="883">
        <f>$S$1*P!V2643</f>
        <v>0</v>
      </c>
      <c r="W2643" s="780"/>
      <c r="X2643" s="782">
        <v>2639</v>
      </c>
      <c r="Y2643" s="782" t="s">
        <v>2248</v>
      </c>
      <c r="Z2643" s="782" t="s">
        <v>4970</v>
      </c>
      <c r="AA2643" s="781">
        <f>$S$1*P!AA2643</f>
        <v>23.889112903225808</v>
      </c>
      <c r="AB2643" s="780"/>
      <c r="AC2643" s="881">
        <v>2639</v>
      </c>
      <c r="AD2643" s="881" t="s">
        <v>4573</v>
      </c>
      <c r="AE2643" s="881" t="s">
        <v>2586</v>
      </c>
      <c r="AF2643" s="890">
        <f>$S$1*P!AF2643</f>
        <v>2235.6</v>
      </c>
    </row>
    <row r="2644" spans="19:32" x14ac:dyDescent="0.35">
      <c r="S2644" s="881">
        <v>2640</v>
      </c>
      <c r="T2644" s="881" t="s">
        <v>4284</v>
      </c>
      <c r="U2644" s="881" t="s">
        <v>2844</v>
      </c>
      <c r="V2644" s="883">
        <f>$S$1*P!V2644</f>
        <v>0</v>
      </c>
      <c r="W2644" s="780"/>
      <c r="X2644" s="782">
        <v>2640</v>
      </c>
      <c r="Y2644" s="782" t="s">
        <v>2248</v>
      </c>
      <c r="Z2644" s="782" t="s">
        <v>3872</v>
      </c>
      <c r="AA2644" s="781">
        <f>$S$1*P!AA2644</f>
        <v>3.8729838709677424E-3</v>
      </c>
      <c r="AB2644" s="780"/>
      <c r="AC2644" s="782">
        <v>2640</v>
      </c>
      <c r="AD2644" s="782" t="s">
        <v>4573</v>
      </c>
      <c r="AE2644" s="782" t="s">
        <v>2583</v>
      </c>
      <c r="AF2644" s="781">
        <f>$S$1*P!AF2644</f>
        <v>8.6028225806451624E-4</v>
      </c>
    </row>
    <row r="2645" spans="19:32" x14ac:dyDescent="0.35">
      <c r="S2645" s="782">
        <v>2641</v>
      </c>
      <c r="T2645" s="782" t="s">
        <v>4284</v>
      </c>
      <c r="U2645" s="782" t="s">
        <v>3000</v>
      </c>
      <c r="V2645" s="797">
        <f>$S$1*P!V2645</f>
        <v>7.0262096774193543E-5</v>
      </c>
      <c r="W2645" s="780"/>
      <c r="X2645" s="782">
        <v>2641</v>
      </c>
      <c r="Y2645" s="782" t="s">
        <v>2248</v>
      </c>
      <c r="Z2645" s="782" t="s">
        <v>3869</v>
      </c>
      <c r="AA2645" s="781">
        <f>$S$1*P!AA2645</f>
        <v>1.1310483870967743E-5</v>
      </c>
      <c r="AB2645" s="780"/>
      <c r="AC2645" s="881">
        <v>2641</v>
      </c>
      <c r="AD2645" s="881" t="s">
        <v>4573</v>
      </c>
      <c r="AE2645" s="881" t="s">
        <v>2583</v>
      </c>
      <c r="AF2645" s="890">
        <f>$S$1*P!AF2645</f>
        <v>729.56</v>
      </c>
    </row>
    <row r="2646" spans="19:32" x14ac:dyDescent="0.35">
      <c r="S2646" s="782">
        <v>2642</v>
      </c>
      <c r="T2646" s="782" t="s">
        <v>4284</v>
      </c>
      <c r="U2646" s="782" t="s">
        <v>2998</v>
      </c>
      <c r="V2646" s="797">
        <f>$S$1*P!V2646</f>
        <v>4.3528225806451615E-4</v>
      </c>
      <c r="W2646" s="780"/>
      <c r="X2646" s="782">
        <v>2642</v>
      </c>
      <c r="Y2646" s="782" t="s">
        <v>2248</v>
      </c>
      <c r="Z2646" s="782" t="s">
        <v>3463</v>
      </c>
      <c r="AA2646" s="781">
        <f>$S$1*P!AA2646</f>
        <v>1.5080645161290326E-4</v>
      </c>
      <c r="AB2646" s="780"/>
      <c r="AC2646" s="782">
        <v>2642</v>
      </c>
      <c r="AD2646" s="782" t="s">
        <v>4573</v>
      </c>
      <c r="AE2646" s="782" t="s">
        <v>2580</v>
      </c>
      <c r="AF2646" s="781">
        <f>$S$1*P!AF2646</f>
        <v>0.11276209677419356</v>
      </c>
    </row>
    <row r="2647" spans="19:32" x14ac:dyDescent="0.35">
      <c r="S2647" s="782">
        <v>2643</v>
      </c>
      <c r="T2647" s="782" t="s">
        <v>4284</v>
      </c>
      <c r="U2647" s="782" t="s">
        <v>2995</v>
      </c>
      <c r="V2647" s="797">
        <f>$S$1*P!V2647</f>
        <v>3.7016129032258068E-4</v>
      </c>
      <c r="W2647" s="780"/>
      <c r="X2647" s="881">
        <v>2643</v>
      </c>
      <c r="Y2647" s="881" t="s">
        <v>2248</v>
      </c>
      <c r="Z2647" s="881" t="s">
        <v>3058</v>
      </c>
      <c r="AA2647" s="882">
        <f>$S$1*P!AA2647</f>
        <v>0.33672000000000002</v>
      </c>
      <c r="AB2647" s="780"/>
      <c r="AC2647" s="881">
        <v>2643</v>
      </c>
      <c r="AD2647" s="881" t="s">
        <v>4573</v>
      </c>
      <c r="AE2647" s="881" t="s">
        <v>2580</v>
      </c>
      <c r="AF2647" s="890">
        <f>$S$1*P!AF2647</f>
        <v>0.57684000000000002</v>
      </c>
    </row>
    <row r="2648" spans="19:32" x14ac:dyDescent="0.35">
      <c r="S2648" s="782">
        <v>2644</v>
      </c>
      <c r="T2648" s="782" t="s">
        <v>4284</v>
      </c>
      <c r="U2648" s="782" t="s">
        <v>2842</v>
      </c>
      <c r="V2648" s="797">
        <f>$S$1*P!V2648</f>
        <v>0.36330645161290326</v>
      </c>
      <c r="W2648" s="780"/>
      <c r="X2648" s="782">
        <v>2644</v>
      </c>
      <c r="Y2648" s="782" t="s">
        <v>2248</v>
      </c>
      <c r="Z2648" s="782" t="s">
        <v>3868</v>
      </c>
      <c r="AA2648" s="781">
        <f>$S$1*P!AA2648</f>
        <v>3.3554435483870971E-6</v>
      </c>
      <c r="AB2648" s="780"/>
      <c r="AC2648" s="881">
        <v>2644</v>
      </c>
      <c r="AD2648" s="881" t="s">
        <v>4573</v>
      </c>
      <c r="AE2648" s="881" t="s">
        <v>2689</v>
      </c>
      <c r="AF2648" s="890">
        <f>$S$1*P!AF2648</f>
        <v>290.71999999999997</v>
      </c>
    </row>
    <row r="2649" spans="19:32" x14ac:dyDescent="0.35">
      <c r="S2649" s="881">
        <v>2645</v>
      </c>
      <c r="T2649" s="881" t="s">
        <v>4284</v>
      </c>
      <c r="U2649" s="881" t="s">
        <v>2842</v>
      </c>
      <c r="V2649" s="883">
        <f>$S$1*P!V2649</f>
        <v>9844</v>
      </c>
      <c r="W2649" s="780"/>
      <c r="X2649" s="782">
        <v>2645</v>
      </c>
      <c r="Y2649" s="782" t="s">
        <v>2248</v>
      </c>
      <c r="Z2649" s="782" t="s">
        <v>3867</v>
      </c>
      <c r="AA2649" s="781">
        <f>$S$1*P!AA2649</f>
        <v>1.6074596774193549E-3</v>
      </c>
      <c r="AB2649" s="780"/>
      <c r="AC2649" s="881">
        <v>2645</v>
      </c>
      <c r="AD2649" s="881" t="s">
        <v>4573</v>
      </c>
      <c r="AE2649" s="881" t="s">
        <v>2688</v>
      </c>
      <c r="AF2649" s="890">
        <f>$S$1*P!AF2649</f>
        <v>0.90527999999999997</v>
      </c>
    </row>
    <row r="2650" spans="19:32" x14ac:dyDescent="0.35">
      <c r="S2650" s="782">
        <v>2646</v>
      </c>
      <c r="T2650" s="782" t="s">
        <v>4284</v>
      </c>
      <c r="U2650" s="782" t="s">
        <v>2990</v>
      </c>
      <c r="V2650" s="797">
        <f>$S$1*P!V2650</f>
        <v>4.1471774193548393E-6</v>
      </c>
      <c r="W2650" s="780"/>
      <c r="X2650" s="782">
        <v>2646</v>
      </c>
      <c r="Y2650" s="782" t="s">
        <v>2248</v>
      </c>
      <c r="Z2650" s="782" t="s">
        <v>4969</v>
      </c>
      <c r="AA2650" s="781">
        <f>$S$1*P!AA2650</f>
        <v>15.800403225806454</v>
      </c>
      <c r="AB2650" s="780"/>
      <c r="AC2650" s="881">
        <v>2646</v>
      </c>
      <c r="AD2650" s="881" t="s">
        <v>4573</v>
      </c>
      <c r="AE2650" s="881" t="s">
        <v>2686</v>
      </c>
      <c r="AF2650" s="890">
        <f>$S$1*P!AF2650</f>
        <v>272.32</v>
      </c>
    </row>
    <row r="2651" spans="19:32" x14ac:dyDescent="0.35">
      <c r="S2651" s="881">
        <v>2647</v>
      </c>
      <c r="T2651" s="881" t="s">
        <v>4284</v>
      </c>
      <c r="U2651" s="881" t="s">
        <v>2841</v>
      </c>
      <c r="V2651" s="883">
        <f>$S$1*P!V2651</f>
        <v>0</v>
      </c>
      <c r="W2651" s="780"/>
      <c r="X2651" s="881">
        <v>2647</v>
      </c>
      <c r="Y2651" s="881" t="s">
        <v>2248</v>
      </c>
      <c r="Z2651" s="881" t="s">
        <v>3056</v>
      </c>
      <c r="AA2651" s="882">
        <f>$S$1*P!AA2651</f>
        <v>7.1943999999999994E-2</v>
      </c>
      <c r="AB2651" s="780"/>
      <c r="AC2651" s="881">
        <v>2647</v>
      </c>
      <c r="AD2651" s="881" t="s">
        <v>4573</v>
      </c>
      <c r="AE2651" s="881" t="s">
        <v>2685</v>
      </c>
      <c r="AF2651" s="890">
        <f>$S$1*P!AF2651</f>
        <v>788.44</v>
      </c>
    </row>
    <row r="2652" spans="19:32" x14ac:dyDescent="0.35">
      <c r="S2652" s="881">
        <v>2648</v>
      </c>
      <c r="T2652" s="881" t="s">
        <v>4284</v>
      </c>
      <c r="U2652" s="881" t="s">
        <v>2839</v>
      </c>
      <c r="V2652" s="883">
        <f>$S$1*P!V2652</f>
        <v>2.2079999999999999E-2</v>
      </c>
      <c r="W2652" s="780"/>
      <c r="X2652" s="782">
        <v>2648</v>
      </c>
      <c r="Y2652" s="782" t="s">
        <v>2248</v>
      </c>
      <c r="Z2652" s="782" t="s">
        <v>3056</v>
      </c>
      <c r="AA2652" s="781">
        <f>$S$1*P!AA2652</f>
        <v>1.6143145161290324E-5</v>
      </c>
      <c r="AB2652" s="780"/>
      <c r="AC2652" s="881">
        <v>2648</v>
      </c>
      <c r="AD2652" s="881" t="s">
        <v>4573</v>
      </c>
      <c r="AE2652" s="881" t="s">
        <v>2683</v>
      </c>
      <c r="AF2652" s="890">
        <f>$S$1*P!AF2652</f>
        <v>43.239999999999995</v>
      </c>
    </row>
    <row r="2653" spans="19:32" x14ac:dyDescent="0.35">
      <c r="S2653" s="782">
        <v>2649</v>
      </c>
      <c r="T2653" s="782" t="s">
        <v>4284</v>
      </c>
      <c r="U2653" s="782" t="s">
        <v>2988</v>
      </c>
      <c r="V2653" s="797">
        <f>$S$1*P!V2653</f>
        <v>1.5663306451612906E-3</v>
      </c>
      <c r="W2653" s="780"/>
      <c r="X2653" s="782">
        <v>2649</v>
      </c>
      <c r="Y2653" s="782" t="s">
        <v>2248</v>
      </c>
      <c r="Z2653" s="782" t="s">
        <v>3461</v>
      </c>
      <c r="AA2653" s="781">
        <f>$S$1*P!AA2653</f>
        <v>2.0187500000000001E-2</v>
      </c>
      <c r="AB2653" s="780"/>
      <c r="AC2653" s="881">
        <v>2649</v>
      </c>
      <c r="AD2653" s="881" t="s">
        <v>4573</v>
      </c>
      <c r="AE2653" s="881" t="s">
        <v>2682</v>
      </c>
      <c r="AF2653" s="890">
        <f>$S$1*P!AF2653</f>
        <v>8.6847999999999992</v>
      </c>
    </row>
    <row r="2654" spans="19:32" x14ac:dyDescent="0.35">
      <c r="S2654" s="782">
        <v>2650</v>
      </c>
      <c r="T2654" s="782" t="s">
        <v>4284</v>
      </c>
      <c r="U2654" s="782" t="s">
        <v>2985</v>
      </c>
      <c r="V2654" s="797">
        <f>$S$1*P!V2654</f>
        <v>1.6451612903225807E-3</v>
      </c>
      <c r="W2654" s="780"/>
      <c r="X2654" s="881">
        <v>2650</v>
      </c>
      <c r="Y2654" s="881" t="s">
        <v>2248</v>
      </c>
      <c r="Z2654" s="881" t="s">
        <v>3055</v>
      </c>
      <c r="AA2654" s="882">
        <f>$S$1*P!AA2654</f>
        <v>0</v>
      </c>
      <c r="AB2654" s="780"/>
      <c r="AC2654" s="881">
        <v>2650</v>
      </c>
      <c r="AD2654" s="881" t="s">
        <v>4573</v>
      </c>
      <c r="AE2654" s="881" t="s">
        <v>2680</v>
      </c>
      <c r="AF2654" s="890">
        <f>$S$1*P!AF2654</f>
        <v>221.72</v>
      </c>
    </row>
    <row r="2655" spans="19:32" x14ac:dyDescent="0.35">
      <c r="S2655" s="782">
        <v>2651</v>
      </c>
      <c r="T2655" s="782" t="s">
        <v>4284</v>
      </c>
      <c r="U2655" s="782" t="s">
        <v>2982</v>
      </c>
      <c r="V2655" s="797">
        <f>$S$1*P!V2655</f>
        <v>3.4616935483870971E-3</v>
      </c>
      <c r="W2655" s="780"/>
      <c r="X2655" s="782">
        <v>2651</v>
      </c>
      <c r="Y2655" s="782" t="s">
        <v>2248</v>
      </c>
      <c r="Z2655" s="782" t="s">
        <v>4968</v>
      </c>
      <c r="AA2655" s="781">
        <f>$S$1*P!AA2655</f>
        <v>0.19467741935483873</v>
      </c>
      <c r="AB2655" s="780"/>
      <c r="AC2655" s="782">
        <v>2651</v>
      </c>
      <c r="AD2655" s="782" t="s">
        <v>4573</v>
      </c>
      <c r="AE2655" s="782" t="s">
        <v>2578</v>
      </c>
      <c r="AF2655" s="781">
        <f>$S$1*P!AF2655</f>
        <v>5.4495967741935488E-3</v>
      </c>
    </row>
    <row r="2656" spans="19:32" x14ac:dyDescent="0.35">
      <c r="S2656" s="782">
        <v>2652</v>
      </c>
      <c r="T2656" s="782" t="s">
        <v>4284</v>
      </c>
      <c r="U2656" s="782" t="s">
        <v>2979</v>
      </c>
      <c r="V2656" s="797">
        <f>$S$1*P!V2656</f>
        <v>1.2064516129032259E-4</v>
      </c>
      <c r="W2656" s="780"/>
      <c r="X2656" s="782">
        <v>2652</v>
      </c>
      <c r="Y2656" s="782" t="s">
        <v>2248</v>
      </c>
      <c r="Z2656" s="782" t="s">
        <v>3862</v>
      </c>
      <c r="AA2656" s="781">
        <f>$S$1*P!AA2656</f>
        <v>3.5645161290322585E-5</v>
      </c>
      <c r="AB2656" s="780"/>
      <c r="AC2656" s="881">
        <v>2652</v>
      </c>
      <c r="AD2656" s="881" t="s">
        <v>4573</v>
      </c>
      <c r="AE2656" s="881" t="s">
        <v>2578</v>
      </c>
      <c r="AF2656" s="890">
        <f>$S$1*P!AF2656</f>
        <v>442.52</v>
      </c>
    </row>
    <row r="2657" spans="19:32" x14ac:dyDescent="0.35">
      <c r="S2657" s="782">
        <v>2653</v>
      </c>
      <c r="T2657" s="782" t="s">
        <v>4284</v>
      </c>
      <c r="U2657" s="782" t="s">
        <v>2976</v>
      </c>
      <c r="V2657" s="797">
        <f>$S$1*P!V2657</f>
        <v>3.9072580645161292E-4</v>
      </c>
      <c r="W2657" s="780"/>
      <c r="X2657" s="881">
        <v>2653</v>
      </c>
      <c r="Y2657" s="881" t="s">
        <v>2248</v>
      </c>
      <c r="Z2657" s="881" t="s">
        <v>3054</v>
      </c>
      <c r="AA2657" s="882">
        <f>$S$1*P!AA2657</f>
        <v>0.11408</v>
      </c>
      <c r="AB2657" s="780"/>
      <c r="AC2657" s="881">
        <v>2653</v>
      </c>
      <c r="AD2657" s="881" t="s">
        <v>4573</v>
      </c>
      <c r="AE2657" s="881" t="s">
        <v>2678</v>
      </c>
      <c r="AF2657" s="890">
        <f>$S$1*P!AF2657</f>
        <v>9.0436000000000014</v>
      </c>
    </row>
    <row r="2658" spans="19:32" x14ac:dyDescent="0.35">
      <c r="S2658" s="782">
        <v>2654</v>
      </c>
      <c r="T2658" s="782" t="s">
        <v>4284</v>
      </c>
      <c r="U2658" s="782" t="s">
        <v>2974</v>
      </c>
      <c r="V2658" s="797">
        <f>$S$1*P!V2658</f>
        <v>5.8608870967741943E-2</v>
      </c>
      <c r="W2658" s="780"/>
      <c r="X2658" s="881">
        <v>2654</v>
      </c>
      <c r="Y2658" s="881" t="s">
        <v>2248</v>
      </c>
      <c r="Z2658" s="881" t="s">
        <v>3053</v>
      </c>
      <c r="AA2658" s="882">
        <f>$S$1*P!AA2658</f>
        <v>0.34500000000000003</v>
      </c>
      <c r="AB2658" s="780"/>
      <c r="AC2658" s="881">
        <v>2654</v>
      </c>
      <c r="AD2658" s="881" t="s">
        <v>4573</v>
      </c>
      <c r="AE2658" s="881" t="s">
        <v>2676</v>
      </c>
      <c r="AF2658" s="890">
        <f>$S$1*P!AF2658</f>
        <v>106.72</v>
      </c>
    </row>
    <row r="2659" spans="19:32" x14ac:dyDescent="0.35">
      <c r="S2659" s="782">
        <v>2655</v>
      </c>
      <c r="T2659" s="782" t="s">
        <v>4284</v>
      </c>
      <c r="U2659" s="782" t="s">
        <v>2971</v>
      </c>
      <c r="V2659" s="797">
        <f>$S$1*P!V2659</f>
        <v>3.225201612903226E-3</v>
      </c>
      <c r="W2659" s="780"/>
      <c r="X2659" s="782">
        <v>2655</v>
      </c>
      <c r="Y2659" s="782" t="s">
        <v>2248</v>
      </c>
      <c r="Z2659" s="782" t="s">
        <v>4967</v>
      </c>
      <c r="AA2659" s="781">
        <f>$S$1*P!AA2659</f>
        <v>1.0110887096774195E-3</v>
      </c>
      <c r="AB2659" s="780"/>
      <c r="AC2659" s="881">
        <v>2655</v>
      </c>
      <c r="AD2659" s="881" t="s">
        <v>4573</v>
      </c>
      <c r="AE2659" s="881" t="s">
        <v>2675</v>
      </c>
      <c r="AF2659" s="890">
        <f>$S$1*P!AF2659</f>
        <v>15.916</v>
      </c>
    </row>
    <row r="2660" spans="19:32" x14ac:dyDescent="0.35">
      <c r="S2660" s="881">
        <v>2656</v>
      </c>
      <c r="T2660" s="881" t="s">
        <v>4284</v>
      </c>
      <c r="U2660" s="881" t="s">
        <v>2838</v>
      </c>
      <c r="V2660" s="883">
        <f>$S$1*P!V2660</f>
        <v>9.2919999999999998</v>
      </c>
      <c r="W2660" s="780"/>
      <c r="X2660" s="782">
        <v>2656</v>
      </c>
      <c r="Y2660" s="782" t="s">
        <v>2248</v>
      </c>
      <c r="Z2660" s="782" t="s">
        <v>3860</v>
      </c>
      <c r="AA2660" s="781">
        <f>$S$1*P!AA2660</f>
        <v>2.4094758064516128E-5</v>
      </c>
      <c r="AB2660" s="780"/>
      <c r="AC2660" s="782">
        <v>2656</v>
      </c>
      <c r="AD2660" s="782" t="s">
        <v>4573</v>
      </c>
      <c r="AE2660" s="782" t="s">
        <v>2575</v>
      </c>
      <c r="AF2660" s="781">
        <f>$S$1*P!AF2660</f>
        <v>0.2080443548387097</v>
      </c>
    </row>
    <row r="2661" spans="19:32" x14ac:dyDescent="0.35">
      <c r="S2661" s="782">
        <v>2657</v>
      </c>
      <c r="T2661" s="782" t="s">
        <v>4284</v>
      </c>
      <c r="U2661" s="782" t="s">
        <v>2968</v>
      </c>
      <c r="V2661" s="797">
        <f>$S$1*P!V2661</f>
        <v>1.0590725806451614E-2</v>
      </c>
      <c r="W2661" s="780"/>
      <c r="X2661" s="782">
        <v>2657</v>
      </c>
      <c r="Y2661" s="782" t="s">
        <v>2248</v>
      </c>
      <c r="Z2661" s="782" t="s">
        <v>4966</v>
      </c>
      <c r="AA2661" s="781">
        <f>$S$1*P!AA2661</f>
        <v>1.2201612903225809E-3</v>
      </c>
      <c r="AB2661" s="780"/>
      <c r="AC2661" s="782">
        <v>2657</v>
      </c>
      <c r="AD2661" s="782" t="s">
        <v>4573</v>
      </c>
      <c r="AE2661" s="782" t="s">
        <v>2572</v>
      </c>
      <c r="AF2661" s="781">
        <f>$S$1*P!AF2661</f>
        <v>3.0709677419354842</v>
      </c>
    </row>
    <row r="2662" spans="19:32" x14ac:dyDescent="0.35">
      <c r="S2662" s="782">
        <v>2658</v>
      </c>
      <c r="T2662" s="782" t="s">
        <v>4284</v>
      </c>
      <c r="U2662" s="782" t="s">
        <v>2965</v>
      </c>
      <c r="V2662" s="797">
        <f>$S$1*P!V2662</f>
        <v>3.3931451612903232E-4</v>
      </c>
      <c r="W2662" s="780"/>
      <c r="X2662" s="881">
        <v>2658</v>
      </c>
      <c r="Y2662" s="881" t="s">
        <v>2248</v>
      </c>
      <c r="Z2662" s="881" t="s">
        <v>3051</v>
      </c>
      <c r="AA2662" s="882">
        <f>$S$1*P!AA2662</f>
        <v>0.1472</v>
      </c>
      <c r="AB2662" s="780"/>
      <c r="AC2662" s="782">
        <v>2658</v>
      </c>
      <c r="AD2662" s="782" t="s">
        <v>4573</v>
      </c>
      <c r="AE2662" s="782" t="s">
        <v>2569</v>
      </c>
      <c r="AF2662" s="781">
        <f>$S$1*P!AF2662</f>
        <v>10.556451612903226</v>
      </c>
    </row>
    <row r="2663" spans="19:32" x14ac:dyDescent="0.35">
      <c r="S2663" s="782">
        <v>2659</v>
      </c>
      <c r="T2663" s="782" t="s">
        <v>4284</v>
      </c>
      <c r="U2663" s="782" t="s">
        <v>2963</v>
      </c>
      <c r="V2663" s="797">
        <f>$S$1*P!V2663</f>
        <v>4.3185483870967747E-7</v>
      </c>
      <c r="W2663" s="780"/>
      <c r="X2663" s="782">
        <v>2659</v>
      </c>
      <c r="Y2663" s="782" t="s">
        <v>2248</v>
      </c>
      <c r="Z2663" s="782" t="s">
        <v>3051</v>
      </c>
      <c r="AA2663" s="781">
        <f>$S$1*P!AA2663</f>
        <v>2.9955645161290325E-4</v>
      </c>
      <c r="AB2663" s="780"/>
      <c r="AC2663" s="782">
        <v>2659</v>
      </c>
      <c r="AD2663" s="782" t="s">
        <v>4573</v>
      </c>
      <c r="AE2663" s="782" t="s">
        <v>2566</v>
      </c>
      <c r="AF2663" s="781">
        <f>$S$1*P!AF2663</f>
        <v>0.42500000000000004</v>
      </c>
    </row>
    <row r="2664" spans="19:32" x14ac:dyDescent="0.35">
      <c r="S2664" s="782">
        <v>2660</v>
      </c>
      <c r="T2664" s="782" t="s">
        <v>4284</v>
      </c>
      <c r="U2664" s="782" t="s">
        <v>2960</v>
      </c>
      <c r="V2664" s="797">
        <f>$S$1*P!V2664</f>
        <v>8.122983870967742E-6</v>
      </c>
      <c r="W2664" s="780"/>
      <c r="X2664" s="782">
        <v>2660</v>
      </c>
      <c r="Y2664" s="782" t="s">
        <v>2248</v>
      </c>
      <c r="Z2664" s="782" t="s">
        <v>4965</v>
      </c>
      <c r="AA2664" s="781">
        <f>$S$1*P!AA2664</f>
        <v>1.2989919354838711E-2</v>
      </c>
      <c r="AB2664" s="780"/>
      <c r="AC2664" s="782">
        <v>2660</v>
      </c>
      <c r="AD2664" s="782" t="s">
        <v>4573</v>
      </c>
      <c r="AE2664" s="782" t="s">
        <v>2564</v>
      </c>
      <c r="AF2664" s="781">
        <f>$S$1*P!AF2664</f>
        <v>1.0008064516129032E-2</v>
      </c>
    </row>
    <row r="2665" spans="19:32" x14ac:dyDescent="0.35">
      <c r="S2665" s="782">
        <v>2661</v>
      </c>
      <c r="T2665" s="782" t="s">
        <v>4284</v>
      </c>
      <c r="U2665" s="782" t="s">
        <v>2957</v>
      </c>
      <c r="V2665" s="797">
        <f>$S$1*P!V2665</f>
        <v>1.7137096774193551E-6</v>
      </c>
      <c r="W2665" s="780"/>
      <c r="X2665" s="782">
        <v>2661</v>
      </c>
      <c r="Y2665" s="782" t="s">
        <v>2248</v>
      </c>
      <c r="Z2665" s="782" t="s">
        <v>3854</v>
      </c>
      <c r="AA2665" s="781">
        <f>$S$1*P!AA2665</f>
        <v>1.8439516129032258E-4</v>
      </c>
      <c r="AB2665" s="780"/>
      <c r="AC2665" s="782">
        <v>2661</v>
      </c>
      <c r="AD2665" s="782" t="s">
        <v>4573</v>
      </c>
      <c r="AE2665" s="782" t="s">
        <v>2561</v>
      </c>
      <c r="AF2665" s="781">
        <f>$S$1*P!AF2665</f>
        <v>2.4368951612903228E-2</v>
      </c>
    </row>
    <row r="2666" spans="19:32" x14ac:dyDescent="0.35">
      <c r="S2666" s="881">
        <v>2662</v>
      </c>
      <c r="T2666" s="881" t="s">
        <v>4284</v>
      </c>
      <c r="U2666" s="881" t="s">
        <v>2836</v>
      </c>
      <c r="V2666" s="883">
        <f>$S$1*P!V2666</f>
        <v>0</v>
      </c>
      <c r="W2666" s="780"/>
      <c r="X2666" s="881">
        <v>2662</v>
      </c>
      <c r="Y2666" s="881" t="s">
        <v>2248</v>
      </c>
      <c r="Z2666" s="881" t="s">
        <v>3050</v>
      </c>
      <c r="AA2666" s="882">
        <f>$S$1*P!AA2666</f>
        <v>6.0995999999999993E-3</v>
      </c>
      <c r="AB2666" s="780"/>
      <c r="AC2666" s="782">
        <v>2662</v>
      </c>
      <c r="AD2666" s="782" t="s">
        <v>4573</v>
      </c>
      <c r="AE2666" s="782" t="s">
        <v>2558</v>
      </c>
      <c r="AF2666" s="781">
        <f>$S$1*P!AF2666</f>
        <v>0.54838709677419362</v>
      </c>
    </row>
    <row r="2667" spans="19:32" x14ac:dyDescent="0.35">
      <c r="S2667" s="782">
        <v>2663</v>
      </c>
      <c r="T2667" s="782" t="s">
        <v>4284</v>
      </c>
      <c r="U2667" s="782" t="s">
        <v>2954</v>
      </c>
      <c r="V2667" s="797">
        <f>$S$1*P!V2667</f>
        <v>1.0556451612903226E-2</v>
      </c>
      <c r="W2667" s="780"/>
      <c r="X2667" s="782">
        <v>2663</v>
      </c>
      <c r="Y2667" s="782" t="s">
        <v>2248</v>
      </c>
      <c r="Z2667" s="782" t="s">
        <v>3050</v>
      </c>
      <c r="AA2667" s="781">
        <f>$S$1*P!AA2667</f>
        <v>5.8608870967741937E-5</v>
      </c>
      <c r="AB2667" s="780"/>
      <c r="AC2667" s="782">
        <v>2663</v>
      </c>
      <c r="AD2667" s="782" t="s">
        <v>4573</v>
      </c>
      <c r="AE2667" s="782" t="s">
        <v>2555</v>
      </c>
      <c r="AF2667" s="781">
        <f>$S$1*P!AF2667</f>
        <v>0.10110887096774195</v>
      </c>
    </row>
    <row r="2668" spans="19:32" x14ac:dyDescent="0.35">
      <c r="S2668" s="782">
        <v>2664</v>
      </c>
      <c r="T2668" s="782" t="s">
        <v>4284</v>
      </c>
      <c r="U2668" s="782" t="s">
        <v>2951</v>
      </c>
      <c r="V2668" s="797">
        <f>$S$1*P!V2668</f>
        <v>9.3225806451612912E-3</v>
      </c>
      <c r="W2668" s="780"/>
      <c r="X2668" s="782">
        <v>2664</v>
      </c>
      <c r="Y2668" s="782" t="s">
        <v>2248</v>
      </c>
      <c r="Z2668" s="782" t="s">
        <v>4964</v>
      </c>
      <c r="AA2668" s="781">
        <f>$S$1*P!AA2668</f>
        <v>7.6431451612903236E-3</v>
      </c>
      <c r="AB2668" s="780"/>
      <c r="AC2668" s="881">
        <v>2664</v>
      </c>
      <c r="AD2668" s="881" t="s">
        <v>4573</v>
      </c>
      <c r="AE2668" s="881" t="s">
        <v>2673</v>
      </c>
      <c r="AF2668" s="890">
        <f>$S$1*P!AF2668</f>
        <v>0</v>
      </c>
    </row>
    <row r="2669" spans="19:32" x14ac:dyDescent="0.35">
      <c r="S2669" s="789">
        <v>2665</v>
      </c>
      <c r="T2669" s="789" t="s">
        <v>4284</v>
      </c>
      <c r="U2669" s="789" t="s">
        <v>4963</v>
      </c>
      <c r="V2669" s="790">
        <f>$S$1*P!V2669</f>
        <v>3.5380000000000003</v>
      </c>
      <c r="W2669" s="780"/>
      <c r="X2669" s="782">
        <v>2665</v>
      </c>
      <c r="Y2669" s="782" t="s">
        <v>2248</v>
      </c>
      <c r="Z2669" s="782" t="s">
        <v>3847</v>
      </c>
      <c r="AA2669" s="781">
        <f>$S$1*P!AA2669</f>
        <v>3.495967741935484E-3</v>
      </c>
      <c r="AB2669" s="780"/>
      <c r="AC2669" s="782">
        <v>2665</v>
      </c>
      <c r="AD2669" s="782" t="s">
        <v>4573</v>
      </c>
      <c r="AE2669" s="782" t="s">
        <v>2553</v>
      </c>
      <c r="AF2669" s="781">
        <f>$S$1*P!AF2669</f>
        <v>1.7445564516129033</v>
      </c>
    </row>
    <row r="2670" spans="19:32" x14ac:dyDescent="0.35">
      <c r="S2670" s="861">
        <v>2666</v>
      </c>
      <c r="T2670" s="861" t="s">
        <v>4284</v>
      </c>
      <c r="U2670" s="861" t="s">
        <v>4963</v>
      </c>
      <c r="V2670" s="862">
        <f>$S$1*P!V2670</f>
        <v>5.4034999999999993E-2</v>
      </c>
      <c r="W2670" s="780"/>
      <c r="X2670" s="782">
        <v>2666</v>
      </c>
      <c r="Y2670" s="782" t="s">
        <v>2248</v>
      </c>
      <c r="Z2670" s="782" t="s">
        <v>3458</v>
      </c>
      <c r="AA2670" s="781">
        <f>$S$1*P!AA2670</f>
        <v>0.50383064516129039</v>
      </c>
      <c r="AB2670" s="780"/>
      <c r="AC2670" s="881">
        <v>2666</v>
      </c>
      <c r="AD2670" s="881" t="s">
        <v>4573</v>
      </c>
      <c r="AE2670" s="881" t="s">
        <v>2672</v>
      </c>
      <c r="AF2670" s="890">
        <f>$S$1*P!AF2670</f>
        <v>0</v>
      </c>
    </row>
    <row r="2671" spans="19:32" x14ac:dyDescent="0.35">
      <c r="S2671" s="881">
        <v>2667</v>
      </c>
      <c r="T2671" s="881" t="s">
        <v>4284</v>
      </c>
      <c r="U2671" s="881" t="s">
        <v>2834</v>
      </c>
      <c r="V2671" s="883">
        <f>$S$1*P!V2671</f>
        <v>0</v>
      </c>
      <c r="W2671" s="780"/>
      <c r="X2671" s="782">
        <v>2667</v>
      </c>
      <c r="Y2671" s="782" t="s">
        <v>2248</v>
      </c>
      <c r="Z2671" s="782" t="s">
        <v>3457</v>
      </c>
      <c r="AA2671" s="781">
        <f>$S$1*P!AA2671</f>
        <v>0.27522177419354843</v>
      </c>
      <c r="AB2671" s="780"/>
      <c r="AC2671" s="782">
        <v>2667</v>
      </c>
      <c r="AD2671" s="782" t="s">
        <v>4573</v>
      </c>
      <c r="AE2671" s="782" t="s">
        <v>2550</v>
      </c>
      <c r="AF2671" s="781">
        <f>$S$1*P!AF2671</f>
        <v>2.3032258064516133E-3</v>
      </c>
    </row>
    <row r="2672" spans="19:32" x14ac:dyDescent="0.35">
      <c r="S2672" s="789">
        <v>2668</v>
      </c>
      <c r="T2672" s="789" t="s">
        <v>4284</v>
      </c>
      <c r="U2672" s="789" t="s">
        <v>4962</v>
      </c>
      <c r="V2672" s="790">
        <f>$S$1*P!V2672</f>
        <v>614.80000000000007</v>
      </c>
      <c r="W2672" s="780"/>
      <c r="X2672" s="881">
        <v>2668</v>
      </c>
      <c r="Y2672" s="881" t="s">
        <v>2248</v>
      </c>
      <c r="Z2672" s="881" t="s">
        <v>3048</v>
      </c>
      <c r="AA2672" s="882">
        <f>$S$1*P!AA2672</f>
        <v>0</v>
      </c>
      <c r="AB2672" s="780"/>
      <c r="AC2672" s="782">
        <v>2668</v>
      </c>
      <c r="AD2672" s="782" t="s">
        <v>4573</v>
      </c>
      <c r="AE2672" s="782" t="s">
        <v>2547</v>
      </c>
      <c r="AF2672" s="781">
        <f>$S$1*P!AF2672</f>
        <v>3.3348790322580646</v>
      </c>
    </row>
    <row r="2673" spans="19:32" x14ac:dyDescent="0.35">
      <c r="S2673" s="789">
        <v>2669</v>
      </c>
      <c r="T2673" s="789" t="s">
        <v>4284</v>
      </c>
      <c r="U2673" s="789" t="s">
        <v>4961</v>
      </c>
      <c r="V2673" s="790">
        <f>$S$1*P!V2673</f>
        <v>3.2190000000000003</v>
      </c>
      <c r="W2673" s="780"/>
      <c r="X2673" s="782">
        <v>2669</v>
      </c>
      <c r="Y2673" s="782" t="s">
        <v>2248</v>
      </c>
      <c r="Z2673" s="782" t="s">
        <v>3455</v>
      </c>
      <c r="AA2673" s="781">
        <f>$S$1*P!AA2673</f>
        <v>0.73004032258064522</v>
      </c>
      <c r="AB2673" s="780"/>
      <c r="AC2673" s="881">
        <v>2669</v>
      </c>
      <c r="AD2673" s="881" t="s">
        <v>4573</v>
      </c>
      <c r="AE2673" s="881" t="s">
        <v>2547</v>
      </c>
      <c r="AF2673" s="890">
        <f>$S$1*P!AF2673</f>
        <v>0</v>
      </c>
    </row>
    <row r="2674" spans="19:32" x14ac:dyDescent="0.35">
      <c r="S2674" s="861">
        <v>2670</v>
      </c>
      <c r="T2674" s="861" t="s">
        <v>4284</v>
      </c>
      <c r="U2674" s="861" t="s">
        <v>4961</v>
      </c>
      <c r="V2674" s="862">
        <f>$S$1*P!V2674</f>
        <v>5.4034999999999993E-2</v>
      </c>
      <c r="W2674" s="780"/>
      <c r="X2674" s="782">
        <v>2670</v>
      </c>
      <c r="Y2674" s="782" t="s">
        <v>2248</v>
      </c>
      <c r="Z2674" s="782" t="s">
        <v>4960</v>
      </c>
      <c r="AA2674" s="781">
        <f>$S$1*P!AA2674</f>
        <v>3.9415322580645167E-4</v>
      </c>
      <c r="AB2674" s="780"/>
      <c r="AC2674" s="782">
        <v>2670</v>
      </c>
      <c r="AD2674" s="782" t="s">
        <v>4573</v>
      </c>
      <c r="AE2674" s="782" t="s">
        <v>2544</v>
      </c>
      <c r="AF2674" s="781">
        <f>$S$1*P!AF2674</f>
        <v>2.4608870967741937E-2</v>
      </c>
    </row>
    <row r="2675" spans="19:32" x14ac:dyDescent="0.35">
      <c r="S2675" s="782">
        <v>2671</v>
      </c>
      <c r="T2675" s="782" t="s">
        <v>4284</v>
      </c>
      <c r="U2675" s="782" t="s">
        <v>2949</v>
      </c>
      <c r="V2675" s="797">
        <f>$S$1*P!V2675</f>
        <v>1.1413306451612904E-4</v>
      </c>
      <c r="W2675" s="780"/>
      <c r="X2675" s="782">
        <v>2671</v>
      </c>
      <c r="Y2675" s="782" t="s">
        <v>2248</v>
      </c>
      <c r="Z2675" s="782" t="s">
        <v>3841</v>
      </c>
      <c r="AA2675" s="781">
        <f>$S$1*P!AA2675</f>
        <v>5.758064516129033E-3</v>
      </c>
      <c r="AB2675" s="780"/>
      <c r="AC2675" s="881">
        <v>2671</v>
      </c>
      <c r="AD2675" s="881" t="s">
        <v>4573</v>
      </c>
      <c r="AE2675" s="881" t="s">
        <v>2544</v>
      </c>
      <c r="AF2675" s="890">
        <f>$S$1*P!AF2675</f>
        <v>0</v>
      </c>
    </row>
    <row r="2676" spans="19:32" x14ac:dyDescent="0.35">
      <c r="S2676" s="789">
        <v>2672</v>
      </c>
      <c r="T2676" s="789" t="s">
        <v>4284</v>
      </c>
      <c r="U2676" s="789" t="s">
        <v>2833</v>
      </c>
      <c r="V2676" s="790">
        <f>$S$1*P!V2676</f>
        <v>0.23200000000000001</v>
      </c>
      <c r="W2676" s="780"/>
      <c r="X2676" s="782">
        <v>2672</v>
      </c>
      <c r="Y2676" s="782" t="s">
        <v>2248</v>
      </c>
      <c r="Z2676" s="782" t="s">
        <v>3450</v>
      </c>
      <c r="AA2676" s="781">
        <f>$S$1*P!AA2676</f>
        <v>0.11756048387096775</v>
      </c>
      <c r="AB2676" s="780"/>
      <c r="AC2676" s="782">
        <v>2672</v>
      </c>
      <c r="AD2676" s="782" t="s">
        <v>4573</v>
      </c>
      <c r="AE2676" s="782" t="s">
        <v>2541</v>
      </c>
      <c r="AF2676" s="781">
        <f>$S$1*P!AF2676</f>
        <v>2.7727822580645163E-2</v>
      </c>
    </row>
    <row r="2677" spans="19:32" x14ac:dyDescent="0.35">
      <c r="S2677" s="782">
        <v>2673</v>
      </c>
      <c r="T2677" s="782" t="s">
        <v>4284</v>
      </c>
      <c r="U2677" s="782" t="s">
        <v>2833</v>
      </c>
      <c r="V2677" s="797">
        <f>$S$1*P!V2677</f>
        <v>3.5987903225806456E-4</v>
      </c>
      <c r="W2677" s="780"/>
      <c r="X2677" s="881">
        <v>2673</v>
      </c>
      <c r="Y2677" s="881" t="s">
        <v>2248</v>
      </c>
      <c r="Z2677" s="881" t="s">
        <v>3046</v>
      </c>
      <c r="AA2677" s="882">
        <f>$S$1*P!AA2677</f>
        <v>15.64</v>
      </c>
      <c r="AB2677" s="780"/>
      <c r="AC2677" s="881">
        <v>2673</v>
      </c>
      <c r="AD2677" s="881" t="s">
        <v>4573</v>
      </c>
      <c r="AE2677" s="881" t="s">
        <v>2669</v>
      </c>
      <c r="AF2677" s="890">
        <f>$S$1*P!AF2677</f>
        <v>52.531999999999996</v>
      </c>
    </row>
    <row r="2678" spans="19:32" x14ac:dyDescent="0.35">
      <c r="S2678" s="881">
        <v>2674</v>
      </c>
      <c r="T2678" s="881" t="s">
        <v>4284</v>
      </c>
      <c r="U2678" s="881" t="s">
        <v>2833</v>
      </c>
      <c r="V2678" s="883">
        <f>$S$1*P!V2678</f>
        <v>0</v>
      </c>
      <c r="W2678" s="780"/>
      <c r="X2678" s="782">
        <v>2674</v>
      </c>
      <c r="Y2678" s="782" t="s">
        <v>2248</v>
      </c>
      <c r="Z2678" s="782" t="s">
        <v>3046</v>
      </c>
      <c r="AA2678" s="781">
        <f>$S$1*P!AA2678</f>
        <v>2.6459677419354839</v>
      </c>
      <c r="AB2678" s="780"/>
      <c r="AC2678" s="782">
        <v>2674</v>
      </c>
      <c r="AD2678" s="782" t="s">
        <v>4573</v>
      </c>
      <c r="AE2678" s="782" t="s">
        <v>2539</v>
      </c>
      <c r="AF2678" s="781">
        <f>$S$1*P!AF2678</f>
        <v>1.0967741935483872</v>
      </c>
    </row>
    <row r="2679" spans="19:32" x14ac:dyDescent="0.35">
      <c r="S2679" s="789">
        <v>2675</v>
      </c>
      <c r="T2679" s="789" t="s">
        <v>4284</v>
      </c>
      <c r="U2679" s="789" t="s">
        <v>4959</v>
      </c>
      <c r="V2679" s="790">
        <f>$S$1*P!V2679</f>
        <v>203</v>
      </c>
      <c r="W2679" s="780"/>
      <c r="X2679" s="782">
        <v>2675</v>
      </c>
      <c r="Y2679" s="782" t="s">
        <v>2248</v>
      </c>
      <c r="Z2679" s="782" t="s">
        <v>3837</v>
      </c>
      <c r="AA2679" s="781">
        <f>$S$1*P!AA2679</f>
        <v>8.5342741935483871E-3</v>
      </c>
      <c r="AB2679" s="780"/>
      <c r="AC2679" s="782">
        <v>2675</v>
      </c>
      <c r="AD2679" s="782" t="s">
        <v>4573</v>
      </c>
      <c r="AE2679" s="782" t="s">
        <v>2536</v>
      </c>
      <c r="AF2679" s="781">
        <f>$S$1*P!AF2679</f>
        <v>1.5114919354838711E-3</v>
      </c>
    </row>
    <row r="2680" spans="19:32" x14ac:dyDescent="0.35">
      <c r="S2680" s="782">
        <v>2676</v>
      </c>
      <c r="T2680" s="782" t="s">
        <v>4284</v>
      </c>
      <c r="U2680" s="782" t="s">
        <v>2831</v>
      </c>
      <c r="V2680" s="797">
        <f>$S$1*P!V2680</f>
        <v>6.580645161290323E-6</v>
      </c>
      <c r="W2680" s="780"/>
      <c r="X2680" s="782">
        <v>2676</v>
      </c>
      <c r="Y2680" s="782" t="s">
        <v>2248</v>
      </c>
      <c r="Z2680" s="782" t="s">
        <v>3448</v>
      </c>
      <c r="AA2680" s="781">
        <f>$S$1*P!AA2680</f>
        <v>3.9072580645161295E-2</v>
      </c>
      <c r="AB2680" s="780"/>
      <c r="AC2680" s="881">
        <v>2676</v>
      </c>
      <c r="AD2680" s="881" t="s">
        <v>4573</v>
      </c>
      <c r="AE2680" s="881" t="s">
        <v>2536</v>
      </c>
      <c r="AF2680" s="890">
        <f>$S$1*P!AF2680</f>
        <v>3.3672</v>
      </c>
    </row>
    <row r="2681" spans="19:32" x14ac:dyDescent="0.35">
      <c r="S2681" s="881">
        <v>2677</v>
      </c>
      <c r="T2681" s="881" t="s">
        <v>4284</v>
      </c>
      <c r="U2681" s="881" t="s">
        <v>2831</v>
      </c>
      <c r="V2681" s="883">
        <f>$S$1*P!V2681</f>
        <v>1.3248</v>
      </c>
      <c r="W2681" s="780"/>
      <c r="X2681" s="782">
        <v>2677</v>
      </c>
      <c r="Y2681" s="782" t="s">
        <v>2248</v>
      </c>
      <c r="Z2681" s="782" t="s">
        <v>3834</v>
      </c>
      <c r="AA2681" s="781">
        <f>$S$1*P!AA2681</f>
        <v>1.5697580645161292E-2</v>
      </c>
      <c r="AB2681" s="780"/>
      <c r="AC2681" s="881">
        <v>2677</v>
      </c>
      <c r="AD2681" s="881" t="s">
        <v>4573</v>
      </c>
      <c r="AE2681" s="881" t="s">
        <v>2667</v>
      </c>
      <c r="AF2681" s="890">
        <f>$S$1*P!AF2681</f>
        <v>0</v>
      </c>
    </row>
    <row r="2682" spans="19:32" x14ac:dyDescent="0.35">
      <c r="S2682" s="789">
        <v>2678</v>
      </c>
      <c r="T2682" s="789" t="s">
        <v>4284</v>
      </c>
      <c r="U2682" s="789" t="s">
        <v>4958</v>
      </c>
      <c r="V2682" s="790">
        <f>$S$1*P!V2682</f>
        <v>43.616</v>
      </c>
      <c r="W2682" s="780"/>
      <c r="X2682" s="881">
        <v>2678</v>
      </c>
      <c r="Y2682" s="881" t="s">
        <v>2248</v>
      </c>
      <c r="Z2682" s="881" t="s">
        <v>3045</v>
      </c>
      <c r="AA2682" s="882">
        <f>$S$1*P!AA2682</f>
        <v>0.13524</v>
      </c>
      <c r="AB2682" s="780"/>
      <c r="AC2682" s="782">
        <v>2678</v>
      </c>
      <c r="AD2682" s="782" t="s">
        <v>4573</v>
      </c>
      <c r="AE2682" s="782" t="s">
        <v>2533</v>
      </c>
      <c r="AF2682" s="781">
        <f>$S$1*P!AF2682</f>
        <v>6.7520161290322589</v>
      </c>
    </row>
    <row r="2683" spans="19:32" x14ac:dyDescent="0.35">
      <c r="S2683" s="789">
        <v>2679</v>
      </c>
      <c r="T2683" s="789" t="s">
        <v>4284</v>
      </c>
      <c r="U2683" s="789" t="s">
        <v>4957</v>
      </c>
      <c r="V2683" s="790">
        <f>$S$1*P!V2683</f>
        <v>729.64</v>
      </c>
      <c r="W2683" s="780"/>
      <c r="X2683" s="782">
        <v>2679</v>
      </c>
      <c r="Y2683" s="782" t="s">
        <v>2248</v>
      </c>
      <c r="Z2683" s="782" t="s">
        <v>4956</v>
      </c>
      <c r="AA2683" s="781">
        <f>$S$1*P!AA2683</f>
        <v>8.2600806451612902E-3</v>
      </c>
      <c r="AB2683" s="780"/>
      <c r="AC2683" s="782">
        <v>2679</v>
      </c>
      <c r="AD2683" s="782" t="s">
        <v>4573</v>
      </c>
      <c r="AE2683" s="782" t="s">
        <v>2530</v>
      </c>
      <c r="AF2683" s="781">
        <f>$S$1*P!AF2683</f>
        <v>0.13264112903225808</v>
      </c>
    </row>
    <row r="2684" spans="19:32" x14ac:dyDescent="0.35">
      <c r="S2684" s="789">
        <v>2680</v>
      </c>
      <c r="T2684" s="789" t="s">
        <v>4284</v>
      </c>
      <c r="U2684" s="789" t="s">
        <v>2830</v>
      </c>
      <c r="V2684" s="790">
        <f>$S$1*P!V2684</f>
        <v>204.16</v>
      </c>
      <c r="W2684" s="780"/>
      <c r="X2684" s="881">
        <v>2680</v>
      </c>
      <c r="Y2684" s="881" t="s">
        <v>2248</v>
      </c>
      <c r="Z2684" s="881" t="s">
        <v>3043</v>
      </c>
      <c r="AA2684" s="882">
        <f>$S$1*P!AA2684</f>
        <v>2.6772</v>
      </c>
      <c r="AB2684" s="780"/>
      <c r="AC2684" s="782">
        <v>2680</v>
      </c>
      <c r="AD2684" s="782" t="s">
        <v>4573</v>
      </c>
      <c r="AE2684" s="782" t="s">
        <v>2528</v>
      </c>
      <c r="AF2684" s="781">
        <f>$S$1*P!AF2684</f>
        <v>2.1935483870967745E-2</v>
      </c>
    </row>
    <row r="2685" spans="19:32" x14ac:dyDescent="0.35">
      <c r="S2685" s="881">
        <v>2681</v>
      </c>
      <c r="T2685" s="881" t="s">
        <v>4284</v>
      </c>
      <c r="U2685" s="881" t="s">
        <v>2830</v>
      </c>
      <c r="V2685" s="883">
        <f>$S$1*P!V2685</f>
        <v>0</v>
      </c>
      <c r="W2685" s="780"/>
      <c r="X2685" s="782">
        <v>2681</v>
      </c>
      <c r="Y2685" s="782" t="s">
        <v>2248</v>
      </c>
      <c r="Z2685" s="782" t="s">
        <v>3831</v>
      </c>
      <c r="AA2685" s="781">
        <f>$S$1*P!AA2685</f>
        <v>5.3125000000000004E-3</v>
      </c>
      <c r="AB2685" s="780"/>
      <c r="AC2685" s="782">
        <v>2681</v>
      </c>
      <c r="AD2685" s="782" t="s">
        <v>4573</v>
      </c>
      <c r="AE2685" s="782" t="s">
        <v>2525</v>
      </c>
      <c r="AF2685" s="781">
        <f>$S$1*P!AF2685</f>
        <v>9.9395161290322595E-3</v>
      </c>
    </row>
    <row r="2686" spans="19:32" x14ac:dyDescent="0.35">
      <c r="S2686" s="881">
        <v>2682</v>
      </c>
      <c r="T2686" s="881" t="s">
        <v>4284</v>
      </c>
      <c r="U2686" s="881" t="s">
        <v>2829</v>
      </c>
      <c r="V2686" s="883">
        <f>$S$1*P!V2686</f>
        <v>1.9412</v>
      </c>
      <c r="W2686" s="780"/>
      <c r="X2686" s="782">
        <v>2682</v>
      </c>
      <c r="Y2686" s="782" t="s">
        <v>2248</v>
      </c>
      <c r="Z2686" s="782" t="s">
        <v>4955</v>
      </c>
      <c r="AA2686" s="781">
        <f>$S$1*P!AA2686</f>
        <v>4.6612903225806456E-3</v>
      </c>
      <c r="AB2686" s="780"/>
      <c r="AC2686" s="782">
        <v>2682</v>
      </c>
      <c r="AD2686" s="782" t="s">
        <v>4573</v>
      </c>
      <c r="AE2686" s="782" t="s">
        <v>2522</v>
      </c>
      <c r="AF2686" s="781">
        <f>$S$1*P!AF2686</f>
        <v>2.4334677419354842E-2</v>
      </c>
    </row>
    <row r="2687" spans="19:32" x14ac:dyDescent="0.35">
      <c r="S2687" s="789">
        <v>2683</v>
      </c>
      <c r="T2687" s="789" t="s">
        <v>4284</v>
      </c>
      <c r="U2687" s="789" t="s">
        <v>4954</v>
      </c>
      <c r="V2687" s="790">
        <f>$S$1*P!V2687</f>
        <v>1612.4</v>
      </c>
      <c r="W2687" s="780"/>
      <c r="X2687" s="782">
        <v>2683</v>
      </c>
      <c r="Y2687" s="782" t="s">
        <v>2248</v>
      </c>
      <c r="Z2687" s="782" t="s">
        <v>3827</v>
      </c>
      <c r="AA2687" s="781">
        <f>$S$1*P!AA2687</f>
        <v>1.8987903225806452E-3</v>
      </c>
      <c r="AB2687" s="780"/>
      <c r="AC2687" s="782">
        <v>2683</v>
      </c>
      <c r="AD2687" s="782" t="s">
        <v>4573</v>
      </c>
      <c r="AE2687" s="782" t="s">
        <v>2519</v>
      </c>
      <c r="AF2687" s="781">
        <f>$S$1*P!AF2687</f>
        <v>3.1737903225806455E-2</v>
      </c>
    </row>
    <row r="2688" spans="19:32" x14ac:dyDescent="0.35">
      <c r="S2688" s="789">
        <v>2684</v>
      </c>
      <c r="T2688" s="789" t="s">
        <v>4284</v>
      </c>
      <c r="U2688" s="789" t="s">
        <v>4953</v>
      </c>
      <c r="V2688" s="790">
        <f>$S$1*P!V2688</f>
        <v>0.11600000000000001</v>
      </c>
      <c r="W2688" s="780"/>
      <c r="X2688" s="782">
        <v>2684</v>
      </c>
      <c r="Y2688" s="782" t="s">
        <v>2248</v>
      </c>
      <c r="Z2688" s="782" t="s">
        <v>3824</v>
      </c>
      <c r="AA2688" s="781">
        <f>$S$1*P!AA2688</f>
        <v>0.47641129032258067</v>
      </c>
      <c r="AB2688" s="780"/>
      <c r="AC2688" s="782">
        <v>2684</v>
      </c>
      <c r="AD2688" s="782" t="s">
        <v>4573</v>
      </c>
      <c r="AE2688" s="782" t="s">
        <v>2516</v>
      </c>
      <c r="AF2688" s="781">
        <f>$S$1*P!AF2688</f>
        <v>0.21764112903225807</v>
      </c>
    </row>
    <row r="2689" spans="19:32" x14ac:dyDescent="0.35">
      <c r="S2689" s="782">
        <v>2685</v>
      </c>
      <c r="T2689" s="782" t="s">
        <v>4284</v>
      </c>
      <c r="U2689" s="782" t="s">
        <v>2828</v>
      </c>
      <c r="V2689" s="797">
        <f>$S$1*P!V2689</f>
        <v>5.1754032258064519E-5</v>
      </c>
      <c r="W2689" s="780"/>
      <c r="X2689" s="782">
        <v>2685</v>
      </c>
      <c r="Y2689" s="782" t="s">
        <v>2248</v>
      </c>
      <c r="Z2689" s="782" t="s">
        <v>3821</v>
      </c>
      <c r="AA2689" s="781">
        <f>$S$1*P!AA2689</f>
        <v>3.9072580645161292E-4</v>
      </c>
      <c r="AB2689" s="780"/>
      <c r="AC2689" s="881">
        <v>2685</v>
      </c>
      <c r="AD2689" s="881" t="s">
        <v>4573</v>
      </c>
      <c r="AE2689" s="881" t="s">
        <v>2516</v>
      </c>
      <c r="AF2689" s="890">
        <f>$S$1*P!AF2689</f>
        <v>0</v>
      </c>
    </row>
    <row r="2690" spans="19:32" x14ac:dyDescent="0.35">
      <c r="S2690" s="881">
        <v>2686</v>
      </c>
      <c r="T2690" s="881" t="s">
        <v>4284</v>
      </c>
      <c r="U2690" s="881" t="s">
        <v>2828</v>
      </c>
      <c r="V2690" s="883">
        <f>$S$1*P!V2690</f>
        <v>0.36708000000000002</v>
      </c>
      <c r="W2690" s="780"/>
      <c r="X2690" s="782">
        <v>2686</v>
      </c>
      <c r="Y2690" s="782" t="s">
        <v>2248</v>
      </c>
      <c r="Z2690" s="782" t="s">
        <v>4952</v>
      </c>
      <c r="AA2690" s="781">
        <f>$S$1*P!AA2690</f>
        <v>4.1814516129032265E-3</v>
      </c>
      <c r="AB2690" s="780"/>
      <c r="AC2690" s="881">
        <v>2686</v>
      </c>
      <c r="AD2690" s="881" t="s">
        <v>4573</v>
      </c>
      <c r="AE2690" s="881" t="s">
        <v>2665</v>
      </c>
      <c r="AF2690" s="890">
        <f>$S$1*P!AF2690</f>
        <v>715.76</v>
      </c>
    </row>
    <row r="2691" spans="19:32" x14ac:dyDescent="0.35">
      <c r="S2691" s="789">
        <v>2687</v>
      </c>
      <c r="T2691" s="789" t="s">
        <v>4284</v>
      </c>
      <c r="U2691" s="789" t="s">
        <v>4951</v>
      </c>
      <c r="V2691" s="790">
        <f>$S$1*P!V2691</f>
        <v>26.796000000000003</v>
      </c>
      <c r="W2691" s="780"/>
      <c r="X2691" s="881">
        <v>2687</v>
      </c>
      <c r="Y2691" s="881" t="s">
        <v>2248</v>
      </c>
      <c r="Z2691" s="881" t="s">
        <v>3042</v>
      </c>
      <c r="AA2691" s="882">
        <f>$S$1*P!AA2691</f>
        <v>0</v>
      </c>
      <c r="AB2691" s="780"/>
      <c r="AC2691" s="782">
        <v>2687</v>
      </c>
      <c r="AD2691" s="782" t="s">
        <v>4573</v>
      </c>
      <c r="AE2691" s="782" t="s">
        <v>2514</v>
      </c>
      <c r="AF2691" s="781">
        <f>$S$1*P!AF2691</f>
        <v>2.0256048387096777E-2</v>
      </c>
    </row>
    <row r="2692" spans="19:32" x14ac:dyDescent="0.35">
      <c r="S2692" s="789">
        <v>2688</v>
      </c>
      <c r="T2692" s="789" t="s">
        <v>4284</v>
      </c>
      <c r="U2692" s="789" t="s">
        <v>2826</v>
      </c>
      <c r="V2692" s="790">
        <f>$S$1*P!V2692</f>
        <v>1.044</v>
      </c>
      <c r="W2692" s="780"/>
      <c r="X2692" s="782">
        <v>2688</v>
      </c>
      <c r="Y2692" s="782" t="s">
        <v>2248</v>
      </c>
      <c r="Z2692" s="782" t="s">
        <v>3042</v>
      </c>
      <c r="AA2692" s="781">
        <f>$S$1*P!AA2692</f>
        <v>4.0443548387096781E-3</v>
      </c>
      <c r="AB2692" s="780"/>
      <c r="AC2692" s="782">
        <v>2688</v>
      </c>
      <c r="AD2692" s="782" t="s">
        <v>4573</v>
      </c>
      <c r="AE2692" s="782" t="s">
        <v>2511</v>
      </c>
      <c r="AF2692" s="781">
        <f>$S$1*P!AF2692</f>
        <v>1.9159274193548388E-3</v>
      </c>
    </row>
    <row r="2693" spans="19:32" x14ac:dyDescent="0.35">
      <c r="S2693" s="861">
        <v>2689</v>
      </c>
      <c r="T2693" s="861" t="s">
        <v>4284</v>
      </c>
      <c r="U2693" s="898" t="s">
        <v>2826</v>
      </c>
      <c r="V2693" s="899">
        <f>$S$1*P!V2693</f>
        <v>0.61524999999999996</v>
      </c>
      <c r="W2693" s="780"/>
      <c r="X2693" s="782">
        <v>2689</v>
      </c>
      <c r="Y2693" s="782" t="s">
        <v>2248</v>
      </c>
      <c r="Z2693" s="782" t="s">
        <v>4950</v>
      </c>
      <c r="AA2693" s="781">
        <f>$S$1*P!AA2693</f>
        <v>1.9913306451612906E-3</v>
      </c>
      <c r="AB2693" s="780"/>
      <c r="AC2693" s="782">
        <v>2689</v>
      </c>
      <c r="AD2693" s="782" t="s">
        <v>4573</v>
      </c>
      <c r="AE2693" s="782" t="s">
        <v>2508</v>
      </c>
      <c r="AF2693" s="781">
        <f>$S$1*P!AF2693</f>
        <v>2.0153225806451613E-5</v>
      </c>
    </row>
    <row r="2694" spans="19:32" x14ac:dyDescent="0.35">
      <c r="S2694" s="782">
        <v>2690</v>
      </c>
      <c r="T2694" s="782" t="s">
        <v>4284</v>
      </c>
      <c r="U2694" s="782" t="s">
        <v>2826</v>
      </c>
      <c r="V2694" s="797">
        <f>$S$1*P!V2694</f>
        <v>2.8481854838709676E-6</v>
      </c>
      <c r="W2694" s="780"/>
      <c r="X2694" s="782">
        <v>2690</v>
      </c>
      <c r="Y2694" s="782" t="s">
        <v>2248</v>
      </c>
      <c r="Z2694" s="782" t="s">
        <v>3815</v>
      </c>
      <c r="AA2694" s="781">
        <f>$S$1*P!AA2694</f>
        <v>1.984475806451613E-4</v>
      </c>
      <c r="AB2694" s="780"/>
      <c r="AC2694" s="881">
        <v>2690</v>
      </c>
      <c r="AD2694" s="881" t="s">
        <v>4573</v>
      </c>
      <c r="AE2694" s="881" t="s">
        <v>2663</v>
      </c>
      <c r="AF2694" s="890">
        <f>$S$1*P!AF2694</f>
        <v>0</v>
      </c>
    </row>
    <row r="2695" spans="19:32" x14ac:dyDescent="0.35">
      <c r="S2695" s="881">
        <v>2691</v>
      </c>
      <c r="T2695" s="881" t="s">
        <v>4284</v>
      </c>
      <c r="U2695" s="881" t="s">
        <v>2826</v>
      </c>
      <c r="V2695" s="883">
        <f>$S$1*P!V2695</f>
        <v>5.1519999999999996E-2</v>
      </c>
      <c r="W2695" s="780"/>
      <c r="X2695" s="782">
        <v>2691</v>
      </c>
      <c r="Y2695" s="782" t="s">
        <v>2248</v>
      </c>
      <c r="Z2695" s="782" t="s">
        <v>3811</v>
      </c>
      <c r="AA2695" s="781">
        <f>$S$1*P!AA2695</f>
        <v>2.4608870967741936E-4</v>
      </c>
      <c r="AB2695" s="780"/>
      <c r="AC2695" s="782">
        <v>2691</v>
      </c>
      <c r="AD2695" s="782" t="s">
        <v>4573</v>
      </c>
      <c r="AE2695" s="782" t="s">
        <v>2505</v>
      </c>
      <c r="AF2695" s="781">
        <f>$S$1*P!AF2695</f>
        <v>2.964717741935484E-6</v>
      </c>
    </row>
    <row r="2696" spans="19:32" x14ac:dyDescent="0.35">
      <c r="S2696" s="789">
        <v>2692</v>
      </c>
      <c r="T2696" s="789" t="s">
        <v>4284</v>
      </c>
      <c r="U2696" s="789" t="s">
        <v>2825</v>
      </c>
      <c r="V2696" s="790">
        <f>$S$1*P!V2696</f>
        <v>1183.2</v>
      </c>
      <c r="W2696" s="780"/>
      <c r="X2696" s="782">
        <v>2692</v>
      </c>
      <c r="Y2696" s="782" t="s">
        <v>2248</v>
      </c>
      <c r="Z2696" s="782" t="s">
        <v>4949</v>
      </c>
      <c r="AA2696" s="781">
        <f>$S$1*P!AA2696</f>
        <v>7.6431451612903236E-3</v>
      </c>
      <c r="AB2696" s="780"/>
      <c r="AC2696" s="782">
        <v>2692</v>
      </c>
      <c r="AD2696" s="782" t="s">
        <v>4573</v>
      </c>
      <c r="AE2696" s="782" t="s">
        <v>2503</v>
      </c>
      <c r="AF2696" s="781">
        <f>$S$1*P!AF2696</f>
        <v>0.24745967741935485</v>
      </c>
    </row>
    <row r="2697" spans="19:32" x14ac:dyDescent="0.35">
      <c r="S2697" s="881">
        <v>2693</v>
      </c>
      <c r="T2697" s="881" t="s">
        <v>4284</v>
      </c>
      <c r="U2697" s="881" t="s">
        <v>2825</v>
      </c>
      <c r="V2697" s="883">
        <f>$S$1*P!V2697</f>
        <v>0</v>
      </c>
      <c r="W2697" s="780"/>
      <c r="X2697" s="881">
        <v>2693</v>
      </c>
      <c r="Y2697" s="881" t="s">
        <v>2248</v>
      </c>
      <c r="Z2697" s="881" t="s">
        <v>3040</v>
      </c>
      <c r="AA2697" s="882">
        <f>$S$1*P!AA2697</f>
        <v>0</v>
      </c>
      <c r="AB2697" s="780"/>
      <c r="AC2697" s="782">
        <v>2693</v>
      </c>
      <c r="AD2697" s="782" t="s">
        <v>4573</v>
      </c>
      <c r="AE2697" s="782" t="s">
        <v>2500</v>
      </c>
      <c r="AF2697" s="781">
        <f>$S$1*P!AF2697</f>
        <v>3.1395161290322582E-3</v>
      </c>
    </row>
    <row r="2698" spans="19:32" x14ac:dyDescent="0.35">
      <c r="S2698" s="789">
        <v>2694</v>
      </c>
      <c r="T2698" s="789" t="s">
        <v>4284</v>
      </c>
      <c r="U2698" s="789" t="s">
        <v>4948</v>
      </c>
      <c r="V2698" s="790">
        <f>$S$1*P!V2698</f>
        <v>17.167999999999999</v>
      </c>
      <c r="W2698" s="780"/>
      <c r="X2698" s="782">
        <v>2694</v>
      </c>
      <c r="Y2698" s="782" t="s">
        <v>2248</v>
      </c>
      <c r="Z2698" s="782" t="s">
        <v>3809</v>
      </c>
      <c r="AA2698" s="781">
        <f>$S$1*P!AA2698</f>
        <v>3.0161290322580648E-5</v>
      </c>
      <c r="AB2698" s="780"/>
      <c r="AC2698" s="782">
        <v>2694</v>
      </c>
      <c r="AD2698" s="782" t="s">
        <v>4573</v>
      </c>
      <c r="AE2698" s="782" t="s">
        <v>2497</v>
      </c>
      <c r="AF2698" s="781">
        <f>$S$1*P!AF2698</f>
        <v>18.405241935483872</v>
      </c>
    </row>
    <row r="2699" spans="19:32" x14ac:dyDescent="0.35">
      <c r="S2699" s="789">
        <v>2695</v>
      </c>
      <c r="T2699" s="789" t="s">
        <v>4284</v>
      </c>
      <c r="U2699" s="789" t="s">
        <v>4947</v>
      </c>
      <c r="V2699" s="790">
        <f>$S$1*P!V2699</f>
        <v>71.572000000000003</v>
      </c>
      <c r="W2699" s="780"/>
      <c r="X2699" s="782">
        <v>2695</v>
      </c>
      <c r="Y2699" s="782" t="s">
        <v>2248</v>
      </c>
      <c r="Z2699" s="782" t="s">
        <v>4946</v>
      </c>
      <c r="AA2699" s="781">
        <f>$S$1*P!AA2699</f>
        <v>1.038508064516129E-2</v>
      </c>
      <c r="AB2699" s="780"/>
      <c r="AC2699" s="782">
        <v>2695</v>
      </c>
      <c r="AD2699" s="782" t="s">
        <v>4573</v>
      </c>
      <c r="AE2699" s="782" t="s">
        <v>2494</v>
      </c>
      <c r="AF2699" s="781">
        <f>$S$1*P!AF2699</f>
        <v>2.5260080645161291E-3</v>
      </c>
    </row>
    <row r="2700" spans="19:32" x14ac:dyDescent="0.35">
      <c r="S2700" s="789">
        <v>2696</v>
      </c>
      <c r="T2700" s="789" t="s">
        <v>4284</v>
      </c>
      <c r="U2700" s="789" t="s">
        <v>4945</v>
      </c>
      <c r="V2700" s="790">
        <f>$S$1*P!V2700</f>
        <v>16.704000000000001</v>
      </c>
      <c r="W2700" s="780"/>
      <c r="X2700" s="881">
        <v>2696</v>
      </c>
      <c r="Y2700" s="881" t="s">
        <v>2248</v>
      </c>
      <c r="Z2700" s="881" t="s">
        <v>3039</v>
      </c>
      <c r="AA2700" s="882">
        <f>$S$1*P!AA2700</f>
        <v>7.5807999999999995E-3</v>
      </c>
      <c r="AB2700" s="780"/>
      <c r="AC2700" s="782">
        <v>2696</v>
      </c>
      <c r="AD2700" s="782" t="s">
        <v>4573</v>
      </c>
      <c r="AE2700" s="782" t="s">
        <v>2491</v>
      </c>
      <c r="AF2700" s="781">
        <f>$S$1*P!AF2700</f>
        <v>4.8326612903225812E-2</v>
      </c>
    </row>
    <row r="2701" spans="19:32" x14ac:dyDescent="0.35">
      <c r="S2701" s="789">
        <v>2697</v>
      </c>
      <c r="T2701" s="789" t="s">
        <v>4284</v>
      </c>
      <c r="U2701" s="789" t="s">
        <v>4944</v>
      </c>
      <c r="V2701" s="790">
        <f>$S$1*P!V2701</f>
        <v>78.532000000000011</v>
      </c>
      <c r="W2701" s="780"/>
      <c r="X2701" s="782">
        <v>2697</v>
      </c>
      <c r="Y2701" s="782" t="s">
        <v>2248</v>
      </c>
      <c r="Z2701" s="782" t="s">
        <v>3039</v>
      </c>
      <c r="AA2701" s="781">
        <f>$S$1*P!AA2701</f>
        <v>2.0084677419354839E-3</v>
      </c>
      <c r="AB2701" s="780"/>
      <c r="AC2701" s="782">
        <v>2697</v>
      </c>
      <c r="AD2701" s="782" t="s">
        <v>4573</v>
      </c>
      <c r="AE2701" s="782" t="s">
        <v>2489</v>
      </c>
      <c r="AF2701" s="781">
        <f>$S$1*P!AF2701</f>
        <v>2.5054435483870966E-3</v>
      </c>
    </row>
    <row r="2702" spans="19:32" x14ac:dyDescent="0.35">
      <c r="S2702" s="861">
        <v>2698</v>
      </c>
      <c r="T2702" s="861" t="s">
        <v>4284</v>
      </c>
      <c r="U2702" s="861" t="s">
        <v>2939</v>
      </c>
      <c r="V2702" s="862">
        <f>$S$1*P!V2702</f>
        <v>1.4819500000000001</v>
      </c>
      <c r="W2702" s="780"/>
      <c r="X2702" s="782">
        <v>2698</v>
      </c>
      <c r="Y2702" s="782" t="s">
        <v>2248</v>
      </c>
      <c r="Z2702" s="782" t="s">
        <v>3804</v>
      </c>
      <c r="AA2702" s="781">
        <f>$S$1*P!AA2702</f>
        <v>8.5000000000000006E-5</v>
      </c>
      <c r="AB2702" s="780"/>
      <c r="AC2702" s="782">
        <v>2698</v>
      </c>
      <c r="AD2702" s="782" t="s">
        <v>4573</v>
      </c>
      <c r="AE2702" s="782" t="s">
        <v>2486</v>
      </c>
      <c r="AF2702" s="781">
        <f>$S$1*P!AF2702</f>
        <v>4.3870967741935489E-4</v>
      </c>
    </row>
    <row r="2703" spans="19:32" x14ac:dyDescent="0.35">
      <c r="S2703" s="782">
        <v>2699</v>
      </c>
      <c r="T2703" s="782" t="s">
        <v>4284</v>
      </c>
      <c r="U2703" s="782" t="s">
        <v>2939</v>
      </c>
      <c r="V2703" s="797">
        <f>$S$1*P!V2703</f>
        <v>1.5457661290322582E-7</v>
      </c>
      <c r="W2703" s="780"/>
      <c r="X2703" s="782">
        <v>2699</v>
      </c>
      <c r="Y2703" s="782" t="s">
        <v>2248</v>
      </c>
      <c r="Z2703" s="782" t="s">
        <v>4943</v>
      </c>
      <c r="AA2703" s="781">
        <f>$S$1*P!AA2703</f>
        <v>0.88084677419354851</v>
      </c>
      <c r="AB2703" s="780"/>
      <c r="AC2703" s="782">
        <v>2699</v>
      </c>
      <c r="AD2703" s="782" t="s">
        <v>4573</v>
      </c>
      <c r="AE2703" s="782" t="s">
        <v>2483</v>
      </c>
      <c r="AF2703" s="781">
        <f>$S$1*P!AF2703</f>
        <v>1.7102822580645164E-2</v>
      </c>
    </row>
    <row r="2704" spans="19:32" x14ac:dyDescent="0.35">
      <c r="S2704" s="789">
        <v>2700</v>
      </c>
      <c r="T2704" s="789" t="s">
        <v>4284</v>
      </c>
      <c r="U2704" s="789" t="s">
        <v>4942</v>
      </c>
      <c r="V2704" s="790">
        <f>$S$1*P!V2704</f>
        <v>15.08</v>
      </c>
      <c r="W2704" s="780"/>
      <c r="X2704" s="782">
        <v>2700</v>
      </c>
      <c r="Y2704" s="782" t="s">
        <v>2248</v>
      </c>
      <c r="Z2704" s="782" t="s">
        <v>3800</v>
      </c>
      <c r="AA2704" s="781">
        <f>$S$1*P!AA2704</f>
        <v>4.3185483870967746E-4</v>
      </c>
      <c r="AB2704" s="780"/>
      <c r="AC2704" s="782">
        <v>2700</v>
      </c>
      <c r="AD2704" s="782" t="s">
        <v>4573</v>
      </c>
      <c r="AE2704" s="782" t="s">
        <v>2480</v>
      </c>
      <c r="AF2704" s="781">
        <f>$S$1*P!AF2704</f>
        <v>8.3286290322580649E-3</v>
      </c>
    </row>
    <row r="2705" spans="19:32" x14ac:dyDescent="0.35">
      <c r="S2705" s="789">
        <v>2701</v>
      </c>
      <c r="T2705" s="789" t="s">
        <v>4284</v>
      </c>
      <c r="U2705" s="789" t="s">
        <v>4941</v>
      </c>
      <c r="V2705" s="790">
        <f>$S$1*P!V2705</f>
        <v>1.508</v>
      </c>
      <c r="W2705" s="780"/>
      <c r="X2705" s="881">
        <v>2701</v>
      </c>
      <c r="Y2705" s="881" t="s">
        <v>2248</v>
      </c>
      <c r="Z2705" s="881" t="s">
        <v>3037</v>
      </c>
      <c r="AA2705" s="882">
        <f>$S$1*P!AA2705</f>
        <v>0</v>
      </c>
      <c r="AB2705" s="780"/>
      <c r="AC2705" s="782">
        <v>2701</v>
      </c>
      <c r="AD2705" s="782" t="s">
        <v>4573</v>
      </c>
      <c r="AE2705" s="782" t="s">
        <v>2478</v>
      </c>
      <c r="AF2705" s="781">
        <f>$S$1*P!AF2705</f>
        <v>2.1695564516129036</v>
      </c>
    </row>
    <row r="2706" spans="19:32" x14ac:dyDescent="0.35">
      <c r="S2706" s="789">
        <v>2702</v>
      </c>
      <c r="T2706" s="789" t="s">
        <v>4284</v>
      </c>
      <c r="U2706" s="789" t="s">
        <v>4940</v>
      </c>
      <c r="V2706" s="790">
        <f>$S$1*P!V2706</f>
        <v>13.456000000000001</v>
      </c>
      <c r="W2706" s="780"/>
      <c r="X2706" s="782">
        <v>2702</v>
      </c>
      <c r="Y2706" s="782" t="s">
        <v>2248</v>
      </c>
      <c r="Z2706" s="782" t="s">
        <v>3446</v>
      </c>
      <c r="AA2706" s="781">
        <f>$S$1*P!AA2706</f>
        <v>0.24094758064516131</v>
      </c>
      <c r="AB2706" s="780"/>
      <c r="AC2706" s="782">
        <v>2702</v>
      </c>
      <c r="AD2706" s="782" t="s">
        <v>4573</v>
      </c>
      <c r="AE2706" s="782" t="s">
        <v>2475</v>
      </c>
      <c r="AF2706" s="781">
        <f>$S$1*P!AF2706</f>
        <v>5.1411290322580648E-2</v>
      </c>
    </row>
    <row r="2707" spans="19:32" x14ac:dyDescent="0.35">
      <c r="S2707" s="789">
        <v>2703</v>
      </c>
      <c r="T2707" s="789" t="s">
        <v>4284</v>
      </c>
      <c r="U2707" s="789" t="s">
        <v>4939</v>
      </c>
      <c r="V2707" s="790">
        <f>$S$1*P!V2707</f>
        <v>3.5380000000000003</v>
      </c>
      <c r="W2707" s="780"/>
      <c r="X2707" s="782">
        <v>2703</v>
      </c>
      <c r="Y2707" s="782" t="s">
        <v>2248</v>
      </c>
      <c r="Z2707" s="782" t="s">
        <v>3797</v>
      </c>
      <c r="AA2707" s="781">
        <f>$S$1*P!AA2707</f>
        <v>1.9947580645161292E-2</v>
      </c>
      <c r="AB2707" s="780"/>
      <c r="AC2707" s="782">
        <v>2703</v>
      </c>
      <c r="AD2707" s="782" t="s">
        <v>4573</v>
      </c>
      <c r="AE2707" s="782" t="s">
        <v>2472</v>
      </c>
      <c r="AF2707" s="781">
        <f>$S$1*P!AF2707</f>
        <v>4.5927419354838709E-3</v>
      </c>
    </row>
    <row r="2708" spans="19:32" x14ac:dyDescent="0.35">
      <c r="S2708" s="861">
        <v>2704</v>
      </c>
      <c r="T2708" s="861" t="s">
        <v>4284</v>
      </c>
      <c r="U2708" s="898" t="s">
        <v>4939</v>
      </c>
      <c r="V2708" s="899">
        <f>$S$1*P!V2708</f>
        <v>5.4034999999999993E-2</v>
      </c>
      <c r="W2708" s="780"/>
      <c r="X2708" s="782">
        <v>2704</v>
      </c>
      <c r="Y2708" s="782" t="s">
        <v>2248</v>
      </c>
      <c r="Z2708" s="782" t="s">
        <v>3795</v>
      </c>
      <c r="AA2708" s="781">
        <f>$S$1*P!AA2708</f>
        <v>6.3064516129032259E-6</v>
      </c>
      <c r="AB2708" s="780"/>
      <c r="AC2708" s="881">
        <v>2704</v>
      </c>
      <c r="AD2708" s="881" t="s">
        <v>4573</v>
      </c>
      <c r="AE2708" s="881" t="s">
        <v>2662</v>
      </c>
      <c r="AF2708" s="890">
        <f>$S$1*P!AF2708</f>
        <v>0.29899999999999999</v>
      </c>
    </row>
    <row r="2709" spans="19:32" x14ac:dyDescent="0.35">
      <c r="S2709" s="789">
        <v>2705</v>
      </c>
      <c r="T2709" s="789" t="s">
        <v>4284</v>
      </c>
      <c r="U2709" s="789" t="s">
        <v>4938</v>
      </c>
      <c r="V2709" s="790">
        <f>$S$1*P!V2709</f>
        <v>3.5380000000000003</v>
      </c>
      <c r="W2709" s="780"/>
      <c r="X2709" s="782">
        <v>2705</v>
      </c>
      <c r="Y2709" s="782" t="s">
        <v>2248</v>
      </c>
      <c r="Z2709" s="782" t="s">
        <v>3790</v>
      </c>
      <c r="AA2709" s="781">
        <f>$S$1*P!AA2709</f>
        <v>2.7864919354838712E-4</v>
      </c>
      <c r="AB2709" s="780"/>
      <c r="AC2709" s="782">
        <v>2705</v>
      </c>
      <c r="AD2709" s="782" t="s">
        <v>4573</v>
      </c>
      <c r="AE2709" s="782" t="s">
        <v>2469</v>
      </c>
      <c r="AF2709" s="781">
        <f>$S$1*P!AF2709</f>
        <v>179.59677419354841</v>
      </c>
    </row>
    <row r="2710" spans="19:32" x14ac:dyDescent="0.35">
      <c r="S2710" s="898">
        <v>2706</v>
      </c>
      <c r="T2710" s="898" t="s">
        <v>4284</v>
      </c>
      <c r="U2710" s="861" t="s">
        <v>4938</v>
      </c>
      <c r="V2710" s="862">
        <f>$S$1*P!V2710</f>
        <v>5.4034999999999993E-2</v>
      </c>
      <c r="W2710" s="780"/>
      <c r="X2710" s="782">
        <v>2706</v>
      </c>
      <c r="Y2710" s="782" t="s">
        <v>2248</v>
      </c>
      <c r="Z2710" s="782" t="s">
        <v>4937</v>
      </c>
      <c r="AA2710" s="781">
        <f>$S$1*P!AA2710</f>
        <v>1.4840725806451613E-4</v>
      </c>
      <c r="AB2710" s="780"/>
      <c r="AC2710" s="782">
        <v>2706</v>
      </c>
      <c r="AD2710" s="782" t="s">
        <v>4573</v>
      </c>
      <c r="AE2710" s="782" t="s">
        <v>2466</v>
      </c>
      <c r="AF2710" s="781">
        <f>$S$1*P!AF2710</f>
        <v>2.1729838709677422E-2</v>
      </c>
    </row>
    <row r="2711" spans="19:32" x14ac:dyDescent="0.35">
      <c r="S2711" s="789">
        <v>2707</v>
      </c>
      <c r="T2711" s="789" t="s">
        <v>4284</v>
      </c>
      <c r="U2711" s="789" t="s">
        <v>2936</v>
      </c>
      <c r="V2711" s="790">
        <f>$S$1*P!V2711</f>
        <v>1.3920000000000001</v>
      </c>
      <c r="W2711" s="780"/>
      <c r="X2711" s="782">
        <v>2707</v>
      </c>
      <c r="Y2711" s="782" t="s">
        <v>2248</v>
      </c>
      <c r="Z2711" s="782" t="s">
        <v>3787</v>
      </c>
      <c r="AA2711" s="781">
        <f>$S$1*P!AA2711</f>
        <v>3.2903225806451615E-2</v>
      </c>
      <c r="AB2711" s="780"/>
      <c r="AC2711" s="782">
        <v>2707</v>
      </c>
      <c r="AD2711" s="782" t="s">
        <v>4573</v>
      </c>
      <c r="AE2711" s="782" t="s">
        <v>2464</v>
      </c>
      <c r="AF2711" s="781">
        <f>$S$1*P!AF2711</f>
        <v>8.1229838709677427E-3</v>
      </c>
    </row>
    <row r="2712" spans="19:32" x14ac:dyDescent="0.35">
      <c r="S2712" s="898">
        <v>2708</v>
      </c>
      <c r="T2712" s="898" t="s">
        <v>4284</v>
      </c>
      <c r="U2712" s="898" t="s">
        <v>2936</v>
      </c>
      <c r="V2712" s="899">
        <f>$S$1*P!V2712</f>
        <v>4.5207499999999991E-2</v>
      </c>
      <c r="W2712" s="780"/>
      <c r="X2712" s="782">
        <v>2708</v>
      </c>
      <c r="Y2712" s="782" t="s">
        <v>2248</v>
      </c>
      <c r="Z2712" s="782" t="s">
        <v>3784</v>
      </c>
      <c r="AA2712" s="781">
        <f>$S$1*P!AA2712</f>
        <v>2.0975806451612906E-4</v>
      </c>
      <c r="AB2712" s="780"/>
      <c r="AC2712" s="782">
        <v>2708</v>
      </c>
      <c r="AD2712" s="782" t="s">
        <v>4573</v>
      </c>
      <c r="AE2712" s="782" t="s">
        <v>2461</v>
      </c>
      <c r="AF2712" s="781">
        <f>$S$1*P!AF2712</f>
        <v>1.9776209677419356E-2</v>
      </c>
    </row>
    <row r="2713" spans="19:32" x14ac:dyDescent="0.35">
      <c r="S2713" s="782">
        <v>2709</v>
      </c>
      <c r="T2713" s="782" t="s">
        <v>4284</v>
      </c>
      <c r="U2713" s="782" t="s">
        <v>2936</v>
      </c>
      <c r="V2713" s="797">
        <f>$S$1*P!V2713</f>
        <v>1.9502016129032259E-6</v>
      </c>
      <c r="W2713" s="780"/>
      <c r="X2713" s="782">
        <v>2709</v>
      </c>
      <c r="Y2713" s="782" t="s">
        <v>2248</v>
      </c>
      <c r="Z2713" s="782" t="s">
        <v>3444</v>
      </c>
      <c r="AA2713" s="781">
        <f>$S$1*P!AA2713</f>
        <v>6.4435483870967751E-3</v>
      </c>
      <c r="AB2713" s="780"/>
      <c r="AC2713" s="782">
        <v>2709</v>
      </c>
      <c r="AD2713" s="782" t="s">
        <v>4573</v>
      </c>
      <c r="AE2713" s="782" t="s">
        <v>2458</v>
      </c>
      <c r="AF2713" s="781">
        <f>$S$1*P!AF2713</f>
        <v>1.5080645161290323E-2</v>
      </c>
    </row>
    <row r="2714" spans="19:32" x14ac:dyDescent="0.35">
      <c r="S2714" s="782">
        <v>2710</v>
      </c>
      <c r="T2714" s="782" t="s">
        <v>4284</v>
      </c>
      <c r="U2714" s="782" t="s">
        <v>2933</v>
      </c>
      <c r="V2714" s="797">
        <f>$S$1*P!V2714</f>
        <v>0.27830645161290324</v>
      </c>
      <c r="W2714" s="780"/>
      <c r="X2714" s="782">
        <v>2710</v>
      </c>
      <c r="Y2714" s="782" t="s">
        <v>2248</v>
      </c>
      <c r="Z2714" s="782" t="s">
        <v>3781</v>
      </c>
      <c r="AA2714" s="781">
        <f>$S$1*P!AA2714</f>
        <v>0.39072580645161292</v>
      </c>
      <c r="AB2714" s="780"/>
      <c r="AC2714" s="782">
        <v>2710</v>
      </c>
      <c r="AD2714" s="782" t="s">
        <v>4573</v>
      </c>
      <c r="AE2714" s="782" t="s">
        <v>2455</v>
      </c>
      <c r="AF2714" s="781">
        <f>$S$1*P!AF2714</f>
        <v>7.0947580645161296E-2</v>
      </c>
    </row>
    <row r="2715" spans="19:32" x14ac:dyDescent="0.35">
      <c r="S2715" s="789">
        <v>2711</v>
      </c>
      <c r="T2715" s="789" t="s">
        <v>4284</v>
      </c>
      <c r="U2715" s="789" t="s">
        <v>2823</v>
      </c>
      <c r="V2715" s="790">
        <f>$S$1*P!V2715</f>
        <v>200.68</v>
      </c>
      <c r="W2715" s="780"/>
      <c r="X2715" s="881">
        <v>2711</v>
      </c>
      <c r="Y2715" s="881" t="s">
        <v>2248</v>
      </c>
      <c r="Z2715" s="881" t="s">
        <v>3035</v>
      </c>
      <c r="AA2715" s="882">
        <f>$S$1*P!AA2715</f>
        <v>22.263999999999999</v>
      </c>
      <c r="AB2715" s="780"/>
      <c r="AC2715" s="782">
        <v>2711</v>
      </c>
      <c r="AD2715" s="782" t="s">
        <v>4573</v>
      </c>
      <c r="AE2715" s="782" t="s">
        <v>2452</v>
      </c>
      <c r="AF2715" s="781">
        <f>$S$1*P!AF2715</f>
        <v>5.5181451612903226E-3</v>
      </c>
    </row>
    <row r="2716" spans="19:32" x14ac:dyDescent="0.35">
      <c r="S2716" s="782">
        <v>2712</v>
      </c>
      <c r="T2716" s="782" t="s">
        <v>4284</v>
      </c>
      <c r="U2716" s="782" t="s">
        <v>2823</v>
      </c>
      <c r="V2716" s="797">
        <f>$S$1*P!V2716</f>
        <v>1.4977822580645163E-6</v>
      </c>
      <c r="W2716" s="780"/>
      <c r="X2716" s="782">
        <v>2712</v>
      </c>
      <c r="Y2716" s="782" t="s">
        <v>2248</v>
      </c>
      <c r="Z2716" s="782" t="s">
        <v>4936</v>
      </c>
      <c r="AA2716" s="781">
        <f>$S$1*P!AA2716</f>
        <v>1.1310483870967742E-2</v>
      </c>
      <c r="AB2716" s="780"/>
      <c r="AC2716" s="782">
        <v>2712</v>
      </c>
      <c r="AD2716" s="782" t="s">
        <v>4573</v>
      </c>
      <c r="AE2716" s="782" t="s">
        <v>2449</v>
      </c>
      <c r="AF2716" s="781">
        <f>$S$1*P!AF2716</f>
        <v>1.6177419354838712E-3</v>
      </c>
    </row>
    <row r="2717" spans="19:32" x14ac:dyDescent="0.35">
      <c r="S2717" s="881">
        <v>2713</v>
      </c>
      <c r="T2717" s="881" t="s">
        <v>4284</v>
      </c>
      <c r="U2717" s="881" t="s">
        <v>2823</v>
      </c>
      <c r="V2717" s="883">
        <f>$S$1*P!V2717</f>
        <v>3.1739999999999999</v>
      </c>
      <c r="W2717" s="780"/>
      <c r="X2717" s="782">
        <v>2713</v>
      </c>
      <c r="Y2717" s="782" t="s">
        <v>2248</v>
      </c>
      <c r="Z2717" s="782" t="s">
        <v>3777</v>
      </c>
      <c r="AA2717" s="781">
        <f>$S$1*P!AA2717</f>
        <v>3.5302419354838716E-2</v>
      </c>
      <c r="AB2717" s="780"/>
      <c r="AC2717" s="881">
        <v>2713</v>
      </c>
      <c r="AD2717" s="881" t="s">
        <v>4573</v>
      </c>
      <c r="AE2717" s="881" t="s">
        <v>2660</v>
      </c>
      <c r="AF2717" s="890">
        <f>$S$1*P!AF2717</f>
        <v>1.012</v>
      </c>
    </row>
    <row r="2718" spans="19:32" x14ac:dyDescent="0.35">
      <c r="S2718" s="789">
        <v>2714</v>
      </c>
      <c r="T2718" s="789" t="s">
        <v>4284</v>
      </c>
      <c r="U2718" s="789" t="s">
        <v>4935</v>
      </c>
      <c r="V2718" s="790">
        <f>$S$1*P!V2718</f>
        <v>769.08</v>
      </c>
      <c r="W2718" s="780"/>
      <c r="X2718" s="782">
        <v>2714</v>
      </c>
      <c r="Y2718" s="782" t="s">
        <v>2248</v>
      </c>
      <c r="Z2718" s="782" t="s">
        <v>3772</v>
      </c>
      <c r="AA2718" s="781">
        <f>$S$1*P!AA2718</f>
        <v>3.166935483870968E-4</v>
      </c>
      <c r="AB2718" s="780"/>
      <c r="AC2718" s="782">
        <v>2714</v>
      </c>
      <c r="AD2718" s="782" t="s">
        <v>4573</v>
      </c>
      <c r="AE2718" s="782" t="s">
        <v>2447</v>
      </c>
      <c r="AF2718" s="781">
        <f>$S$1*P!AF2718</f>
        <v>6.2036290322580651E-2</v>
      </c>
    </row>
    <row r="2719" spans="19:32" x14ac:dyDescent="0.35">
      <c r="S2719" s="881">
        <v>2715</v>
      </c>
      <c r="T2719" s="881" t="s">
        <v>4284</v>
      </c>
      <c r="U2719" s="881" t="s">
        <v>2821</v>
      </c>
      <c r="V2719" s="883">
        <f>$S$1*P!V2719</f>
        <v>44.712000000000003</v>
      </c>
      <c r="W2719" s="780"/>
      <c r="X2719" s="782">
        <v>2715</v>
      </c>
      <c r="Y2719" s="782" t="s">
        <v>2248</v>
      </c>
      <c r="Z2719" s="782" t="s">
        <v>3769</v>
      </c>
      <c r="AA2719" s="781">
        <f>$S$1*P!AA2719</f>
        <v>8.4657258064516133E-6</v>
      </c>
      <c r="AB2719" s="780"/>
      <c r="AC2719" s="782">
        <v>2715</v>
      </c>
      <c r="AD2719" s="782" t="s">
        <v>4573</v>
      </c>
      <c r="AE2719" s="782" t="s">
        <v>2444</v>
      </c>
      <c r="AF2719" s="781">
        <f>$S$1*P!AF2719</f>
        <v>0.19913306451612905</v>
      </c>
    </row>
    <row r="2720" spans="19:32" x14ac:dyDescent="0.35">
      <c r="S2720" s="789">
        <v>2716</v>
      </c>
      <c r="T2720" s="789" t="s">
        <v>4284</v>
      </c>
      <c r="U2720" s="789" t="s">
        <v>2820</v>
      </c>
      <c r="V2720" s="790">
        <f>$S$1*P!V2720</f>
        <v>540.56000000000006</v>
      </c>
      <c r="W2720" s="780"/>
      <c r="X2720" s="782">
        <v>2716</v>
      </c>
      <c r="Y2720" s="782" t="s">
        <v>2248</v>
      </c>
      <c r="Z2720" s="782" t="s">
        <v>4934</v>
      </c>
      <c r="AA2720" s="781">
        <f>$S$1*P!AA2720</f>
        <v>0.5346774193548387</v>
      </c>
      <c r="AB2720" s="780"/>
      <c r="AC2720" s="881">
        <v>2716</v>
      </c>
      <c r="AD2720" s="881" t="s">
        <v>4573</v>
      </c>
      <c r="AE2720" s="881" t="s">
        <v>2659</v>
      </c>
      <c r="AF2720" s="890">
        <f>$S$1*P!AF2720</f>
        <v>0.34776000000000001</v>
      </c>
    </row>
    <row r="2721" spans="19:32" x14ac:dyDescent="0.35">
      <c r="S2721" s="881">
        <v>2717</v>
      </c>
      <c r="T2721" s="881" t="s">
        <v>4284</v>
      </c>
      <c r="U2721" s="881" t="s">
        <v>2820</v>
      </c>
      <c r="V2721" s="883">
        <f>$S$1*P!V2721</f>
        <v>0</v>
      </c>
      <c r="W2721" s="780"/>
      <c r="X2721" s="881">
        <v>2717</v>
      </c>
      <c r="Y2721" s="881" t="s">
        <v>2248</v>
      </c>
      <c r="Z2721" s="881" t="s">
        <v>3034</v>
      </c>
      <c r="AA2721" s="882">
        <f>$S$1*P!AA2721</f>
        <v>0</v>
      </c>
      <c r="AB2721" s="780"/>
      <c r="AC2721" s="782">
        <v>2717</v>
      </c>
      <c r="AD2721" s="782" t="s">
        <v>4573</v>
      </c>
      <c r="AE2721" s="782" t="s">
        <v>2441</v>
      </c>
      <c r="AF2721" s="781">
        <f>$S$1*P!AF2721</f>
        <v>1.785685483870968E-2</v>
      </c>
    </row>
    <row r="2722" spans="19:32" x14ac:dyDescent="0.35">
      <c r="S2722" s="789">
        <v>2718</v>
      </c>
      <c r="T2722" s="789" t="s">
        <v>4284</v>
      </c>
      <c r="U2722" s="789" t="s">
        <v>4933</v>
      </c>
      <c r="V2722" s="790">
        <f>$S$1*P!V2722</f>
        <v>87.116</v>
      </c>
      <c r="W2722" s="780"/>
      <c r="X2722" s="782">
        <v>2718</v>
      </c>
      <c r="Y2722" s="782" t="s">
        <v>2248</v>
      </c>
      <c r="Z2722" s="782" t="s">
        <v>3034</v>
      </c>
      <c r="AA2722" s="781">
        <f>$S$1*P!AA2722</f>
        <v>0.18199596774193549</v>
      </c>
      <c r="AB2722" s="780"/>
      <c r="AC2722" s="782">
        <v>2718</v>
      </c>
      <c r="AD2722" s="782" t="s">
        <v>4573</v>
      </c>
      <c r="AE2722" s="782" t="s">
        <v>2438</v>
      </c>
      <c r="AF2722" s="781">
        <f>$S$1*P!AF2722</f>
        <v>0.39072580645161292</v>
      </c>
    </row>
    <row r="2723" spans="19:32" x14ac:dyDescent="0.35">
      <c r="S2723" s="789">
        <v>2719</v>
      </c>
      <c r="T2723" s="789" t="s">
        <v>4284</v>
      </c>
      <c r="U2723" s="789" t="s">
        <v>4932</v>
      </c>
      <c r="V2723" s="790">
        <f>$S$1*P!V2723</f>
        <v>1438.4</v>
      </c>
      <c r="W2723" s="780"/>
      <c r="X2723" s="782">
        <v>2719</v>
      </c>
      <c r="Y2723" s="782" t="s">
        <v>2248</v>
      </c>
      <c r="Z2723" s="782" t="s">
        <v>4931</v>
      </c>
      <c r="AA2723" s="781">
        <f>$S$1*P!AA2723</f>
        <v>2.9989919354838713E-4</v>
      </c>
      <c r="AB2723" s="780"/>
      <c r="AC2723" s="782">
        <v>2719</v>
      </c>
      <c r="AD2723" s="782" t="s">
        <v>4573</v>
      </c>
      <c r="AE2723" s="782" t="s">
        <v>2436</v>
      </c>
      <c r="AF2723" s="781">
        <f>$S$1*P!AF2723</f>
        <v>7.5403225806451619</v>
      </c>
    </row>
    <row r="2724" spans="19:32" x14ac:dyDescent="0.35">
      <c r="S2724" s="782">
        <v>2720</v>
      </c>
      <c r="T2724" s="782" t="s">
        <v>4284</v>
      </c>
      <c r="U2724" s="782" t="s">
        <v>2929</v>
      </c>
      <c r="V2724" s="797">
        <f>$S$1*P!V2724</f>
        <v>2.6014112903225811E-4</v>
      </c>
      <c r="W2724" s="780"/>
      <c r="X2724" s="782">
        <v>2720</v>
      </c>
      <c r="Y2724" s="782" t="s">
        <v>2248</v>
      </c>
      <c r="Z2724" s="782" t="s">
        <v>3761</v>
      </c>
      <c r="AA2724" s="781">
        <f>$S$1*P!AA2724</f>
        <v>1.2887096774193549E-6</v>
      </c>
      <c r="AB2724" s="780"/>
      <c r="AC2724" s="782">
        <v>2720</v>
      </c>
      <c r="AD2724" s="782" t="s">
        <v>4573</v>
      </c>
      <c r="AE2724" s="782" t="s">
        <v>2433</v>
      </c>
      <c r="AF2724" s="781">
        <f>$S$1*P!AF2724</f>
        <v>0.27727822580645162</v>
      </c>
    </row>
    <row r="2725" spans="19:32" x14ac:dyDescent="0.35">
      <c r="S2725" s="881">
        <v>2721</v>
      </c>
      <c r="T2725" s="881" t="s">
        <v>4284</v>
      </c>
      <c r="U2725" s="881" t="s">
        <v>2818</v>
      </c>
      <c r="V2725" s="883">
        <f>$S$1*P!V2725</f>
        <v>2.4380000000000002</v>
      </c>
      <c r="W2725" s="780"/>
      <c r="X2725" s="782">
        <v>2721</v>
      </c>
      <c r="Y2725" s="782" t="s">
        <v>2248</v>
      </c>
      <c r="Z2725" s="782" t="s">
        <v>3756</v>
      </c>
      <c r="AA2725" s="781">
        <f>$S$1*P!AA2725</f>
        <v>4.4213709677419358E-4</v>
      </c>
      <c r="AB2725" s="780"/>
      <c r="AC2725" s="782">
        <v>2721</v>
      </c>
      <c r="AD2725" s="782" t="s">
        <v>4573</v>
      </c>
      <c r="AE2725" s="782" t="s">
        <v>2430</v>
      </c>
      <c r="AF2725" s="781">
        <f>$S$1*P!AF2725</f>
        <v>0.17685483870967744</v>
      </c>
    </row>
    <row r="2726" spans="19:32" x14ac:dyDescent="0.35">
      <c r="S2726" s="897">
        <v>2722</v>
      </c>
      <c r="T2726" s="897" t="s">
        <v>4284</v>
      </c>
      <c r="U2726" s="898" t="s">
        <v>2926</v>
      </c>
      <c r="V2726" s="899">
        <f>$S$1*P!V2726</f>
        <v>1.2625999999999999</v>
      </c>
      <c r="W2726" s="780"/>
      <c r="X2726" s="782">
        <v>2722</v>
      </c>
      <c r="Y2726" s="782" t="s">
        <v>2248</v>
      </c>
      <c r="Z2726" s="782" t="s">
        <v>4930</v>
      </c>
      <c r="AA2726" s="781">
        <f>$S$1*P!AA2726</f>
        <v>1.1893145161290324E-3</v>
      </c>
      <c r="AB2726" s="780"/>
      <c r="AC2726" s="881">
        <v>2722</v>
      </c>
      <c r="AD2726" s="881" t="s">
        <v>4573</v>
      </c>
      <c r="AE2726" s="881" t="s">
        <v>2657</v>
      </c>
      <c r="AF2726" s="890">
        <f>$S$1*P!AF2726</f>
        <v>2.2079999999999999E-2</v>
      </c>
    </row>
    <row r="2727" spans="19:32" x14ac:dyDescent="0.35">
      <c r="S2727" s="782">
        <v>2723</v>
      </c>
      <c r="T2727" s="782" t="s">
        <v>4284</v>
      </c>
      <c r="U2727" s="782" t="s">
        <v>2926</v>
      </c>
      <c r="V2727" s="797">
        <f>$S$1*P!V2727</f>
        <v>5.5181451612903235E-6</v>
      </c>
      <c r="W2727" s="780"/>
      <c r="X2727" s="881">
        <v>2723</v>
      </c>
      <c r="Y2727" s="881" t="s">
        <v>2248</v>
      </c>
      <c r="Z2727" s="881" t="s">
        <v>3032</v>
      </c>
      <c r="AA2727" s="882">
        <f>$S$1*P!AA2727</f>
        <v>0</v>
      </c>
      <c r="AB2727" s="780"/>
      <c r="AC2727" s="782">
        <v>2723</v>
      </c>
      <c r="AD2727" s="782" t="s">
        <v>4573</v>
      </c>
      <c r="AE2727" s="782" t="s">
        <v>2427</v>
      </c>
      <c r="AF2727" s="781">
        <f>$S$1*P!AF2727</f>
        <v>2.3272177419354841E-2</v>
      </c>
    </row>
    <row r="2728" spans="19:32" x14ac:dyDescent="0.35">
      <c r="S2728" s="782">
        <v>2724</v>
      </c>
      <c r="T2728" s="782" t="s">
        <v>4284</v>
      </c>
      <c r="U2728" s="782" t="s">
        <v>2923</v>
      </c>
      <c r="V2728" s="797">
        <f>$S$1*P!V2728</f>
        <v>4.2842741935483872E-4</v>
      </c>
      <c r="W2728" s="780"/>
      <c r="X2728" s="782">
        <v>2724</v>
      </c>
      <c r="Y2728" s="782" t="s">
        <v>2248</v>
      </c>
      <c r="Z2728" s="782" t="s">
        <v>3032</v>
      </c>
      <c r="AA2728" s="781">
        <f>$S$1*P!AA2728</f>
        <v>1.3298387096774194E-5</v>
      </c>
      <c r="AB2728" s="780"/>
      <c r="AC2728" s="881">
        <v>2724</v>
      </c>
      <c r="AD2728" s="881" t="s">
        <v>4573</v>
      </c>
      <c r="AE2728" s="881" t="s">
        <v>2655</v>
      </c>
      <c r="AF2728" s="890">
        <f>$S$1*P!AF2728</f>
        <v>0.85283999999999993</v>
      </c>
    </row>
    <row r="2729" spans="19:32" x14ac:dyDescent="0.35">
      <c r="S2729" s="782">
        <v>2725</v>
      </c>
      <c r="T2729" s="782" t="s">
        <v>4284</v>
      </c>
      <c r="U2729" s="782" t="s">
        <v>2920</v>
      </c>
      <c r="V2729" s="797">
        <f>$S$1*P!V2729</f>
        <v>5.8608870967741947E-6</v>
      </c>
      <c r="W2729" s="780"/>
      <c r="X2729" s="782">
        <v>2725</v>
      </c>
      <c r="Y2729" s="782" t="s">
        <v>2248</v>
      </c>
      <c r="Z2729" s="782" t="s">
        <v>3748</v>
      </c>
      <c r="AA2729" s="781">
        <f>$S$1*P!AA2729</f>
        <v>2.2449596774193549E-3</v>
      </c>
      <c r="AB2729" s="780"/>
      <c r="AC2729" s="881">
        <v>2725</v>
      </c>
      <c r="AD2729" s="881" t="s">
        <v>4573</v>
      </c>
      <c r="AE2729" s="881" t="s">
        <v>2654</v>
      </c>
      <c r="AF2729" s="890">
        <f>$S$1*P!AF2729</f>
        <v>4.4619999999999997</v>
      </c>
    </row>
    <row r="2730" spans="19:32" x14ac:dyDescent="0.35">
      <c r="S2730" s="881">
        <v>2726</v>
      </c>
      <c r="T2730" s="881" t="s">
        <v>4284</v>
      </c>
      <c r="U2730" s="881" t="s">
        <v>2817</v>
      </c>
      <c r="V2730" s="883">
        <f>$S$1*P!V2730</f>
        <v>0</v>
      </c>
      <c r="W2730" s="780"/>
      <c r="X2730" s="782">
        <v>2726</v>
      </c>
      <c r="Y2730" s="782" t="s">
        <v>2248</v>
      </c>
      <c r="Z2730" s="782" t="s">
        <v>4929</v>
      </c>
      <c r="AA2730" s="781">
        <f>$S$1*P!AA2730</f>
        <v>2.6733870967741939E-3</v>
      </c>
      <c r="AB2730" s="780"/>
      <c r="AC2730" s="782">
        <v>2726</v>
      </c>
      <c r="AD2730" s="782" t="s">
        <v>4573</v>
      </c>
      <c r="AE2730" s="782" t="s">
        <v>2424</v>
      </c>
      <c r="AF2730" s="781">
        <f>$S$1*P!AF2730</f>
        <v>0.17274193548387098</v>
      </c>
    </row>
    <row r="2731" spans="19:32" x14ac:dyDescent="0.35">
      <c r="S2731" s="881">
        <v>2727</v>
      </c>
      <c r="T2731" s="881" t="s">
        <v>4284</v>
      </c>
      <c r="U2731" s="881" t="s">
        <v>2816</v>
      </c>
      <c r="V2731" s="883">
        <f>$S$1*P!V2731</f>
        <v>2.7047999999999996</v>
      </c>
      <c r="W2731" s="780"/>
      <c r="X2731" s="782">
        <v>2727</v>
      </c>
      <c r="Y2731" s="782" t="s">
        <v>2248</v>
      </c>
      <c r="Z2731" s="782" t="s">
        <v>3744</v>
      </c>
      <c r="AA2731" s="781">
        <f>$S$1*P!AA2731</f>
        <v>4.3185483870967746E-2</v>
      </c>
      <c r="AB2731" s="780"/>
      <c r="AC2731" s="881">
        <v>2727</v>
      </c>
      <c r="AD2731" s="881" t="s">
        <v>4573</v>
      </c>
      <c r="AE2731" s="881" t="s">
        <v>2652</v>
      </c>
      <c r="AF2731" s="890">
        <f>$S$1*P!AF2731</f>
        <v>23.46</v>
      </c>
    </row>
    <row r="2732" spans="19:32" x14ac:dyDescent="0.35">
      <c r="S2732" s="782">
        <v>2728</v>
      </c>
      <c r="T2732" s="782" t="s">
        <v>4284</v>
      </c>
      <c r="U2732" s="782" t="s">
        <v>2815</v>
      </c>
      <c r="V2732" s="797">
        <f>$S$1*P!V2732</f>
        <v>6.957661290322581E-2</v>
      </c>
      <c r="W2732" s="780"/>
      <c r="X2732" s="881">
        <v>2728</v>
      </c>
      <c r="Y2732" s="881" t="s">
        <v>2248</v>
      </c>
      <c r="Z2732" s="881" t="s">
        <v>3031</v>
      </c>
      <c r="AA2732" s="882">
        <f>$S$1*P!AA2732</f>
        <v>0.35052</v>
      </c>
      <c r="AB2732" s="780"/>
      <c r="AC2732" s="881">
        <v>2728</v>
      </c>
      <c r="AD2732" s="881" t="s">
        <v>4573</v>
      </c>
      <c r="AE2732" s="881" t="s">
        <v>2651</v>
      </c>
      <c r="AF2732" s="890">
        <f>$S$1*P!AF2732</f>
        <v>10.028</v>
      </c>
    </row>
    <row r="2733" spans="19:32" x14ac:dyDescent="0.35">
      <c r="S2733" s="881">
        <v>2729</v>
      </c>
      <c r="T2733" s="881" t="s">
        <v>4284</v>
      </c>
      <c r="U2733" s="881" t="s">
        <v>2815</v>
      </c>
      <c r="V2733" s="883">
        <f>$S$1*P!V2733</f>
        <v>3.6155999999999997</v>
      </c>
      <c r="W2733" s="780"/>
      <c r="X2733" s="782">
        <v>2729</v>
      </c>
      <c r="Y2733" s="782" t="s">
        <v>2248</v>
      </c>
      <c r="Z2733" s="782" t="s">
        <v>3438</v>
      </c>
      <c r="AA2733" s="781">
        <f>$S$1*P!AA2733</f>
        <v>0.53810483870967751</v>
      </c>
      <c r="AB2733" s="780"/>
      <c r="AC2733" s="782">
        <v>2729</v>
      </c>
      <c r="AD2733" s="782" t="s">
        <v>4573</v>
      </c>
      <c r="AE2733" s="782" t="s">
        <v>2422</v>
      </c>
      <c r="AF2733" s="781">
        <f>$S$1*P!AF2733</f>
        <v>5.4495967741935488E-3</v>
      </c>
    </row>
    <row r="2734" spans="19:32" x14ac:dyDescent="0.35">
      <c r="S2734" s="881">
        <v>2730</v>
      </c>
      <c r="T2734" s="881" t="s">
        <v>4284</v>
      </c>
      <c r="U2734" s="881" t="s">
        <v>2813</v>
      </c>
      <c r="V2734" s="883">
        <f>$S$1*P!V2734</f>
        <v>18.032</v>
      </c>
      <c r="W2734" s="780"/>
      <c r="X2734" s="782">
        <v>2730</v>
      </c>
      <c r="Y2734" s="782" t="s">
        <v>2248</v>
      </c>
      <c r="Z2734" s="782" t="s">
        <v>3031</v>
      </c>
      <c r="AA2734" s="781">
        <f>$S$1*P!AA2734</f>
        <v>1.3435483870967741E-4</v>
      </c>
      <c r="AB2734" s="780"/>
      <c r="AC2734" s="782">
        <v>2730</v>
      </c>
      <c r="AD2734" s="782" t="s">
        <v>4573</v>
      </c>
      <c r="AE2734" s="782" t="s">
        <v>2419</v>
      </c>
      <c r="AF2734" s="781">
        <f>$S$1*P!AF2734</f>
        <v>4.9354838709677424E-4</v>
      </c>
    </row>
    <row r="2735" spans="19:32" x14ac:dyDescent="0.35">
      <c r="S2735" s="782">
        <v>2731</v>
      </c>
      <c r="T2735" s="782" t="s">
        <v>4284</v>
      </c>
      <c r="U2735" s="782" t="s">
        <v>2916</v>
      </c>
      <c r="V2735" s="797">
        <f>$S$1*P!V2735</f>
        <v>0.20358870967741938</v>
      </c>
      <c r="W2735" s="780"/>
      <c r="X2735" s="881">
        <v>2731</v>
      </c>
      <c r="Y2735" s="881" t="s">
        <v>2248</v>
      </c>
      <c r="Z2735" s="881" t="s">
        <v>3029</v>
      </c>
      <c r="AA2735" s="882">
        <f>$S$1*P!AA2735</f>
        <v>0.14168</v>
      </c>
      <c r="AB2735" s="780"/>
      <c r="AC2735" s="782">
        <v>2731</v>
      </c>
      <c r="AD2735" s="782" t="s">
        <v>4573</v>
      </c>
      <c r="AE2735" s="782" t="s">
        <v>2416</v>
      </c>
      <c r="AF2735" s="781">
        <f>$S$1*P!AF2735</f>
        <v>2.6219758064516133E-4</v>
      </c>
    </row>
    <row r="2736" spans="19:32" x14ac:dyDescent="0.35">
      <c r="S2736" s="782">
        <v>2732</v>
      </c>
      <c r="T2736" s="782" t="s">
        <v>4284</v>
      </c>
      <c r="U2736" s="782" t="s">
        <v>2913</v>
      </c>
      <c r="V2736" s="797">
        <f>$S$1*P!V2736</f>
        <v>9.8024193548387097E-5</v>
      </c>
      <c r="W2736" s="780"/>
      <c r="X2736" s="782">
        <v>2732</v>
      </c>
      <c r="Y2736" s="782" t="s">
        <v>2248</v>
      </c>
      <c r="Z2736" s="782" t="s">
        <v>4928</v>
      </c>
      <c r="AA2736" s="781">
        <f>$S$1*P!AA2736</f>
        <v>4.2500000000000003E-4</v>
      </c>
      <c r="AB2736" s="780"/>
      <c r="AC2736" s="782">
        <v>2732</v>
      </c>
      <c r="AD2736" s="782" t="s">
        <v>4573</v>
      </c>
      <c r="AE2736" s="782" t="s">
        <v>2413</v>
      </c>
      <c r="AF2736" s="781">
        <f>$S$1*P!AF2736</f>
        <v>0.55524193548387102</v>
      </c>
    </row>
    <row r="2737" spans="19:32" x14ac:dyDescent="0.35">
      <c r="S2737" s="782">
        <v>2733</v>
      </c>
      <c r="T2737" s="782" t="s">
        <v>4284</v>
      </c>
      <c r="U2737" s="782" t="s">
        <v>2910</v>
      </c>
      <c r="V2737" s="797">
        <f>$S$1*P!V2737</f>
        <v>5.2096774193548391E-2</v>
      </c>
      <c r="W2737" s="780"/>
      <c r="X2737" s="782">
        <v>2733</v>
      </c>
      <c r="Y2737" s="782" t="s">
        <v>2248</v>
      </c>
      <c r="Z2737" s="782" t="s">
        <v>3029</v>
      </c>
      <c r="AA2737" s="781">
        <f>$S$1*P!AA2737</f>
        <v>2.0050403225806453E-5</v>
      </c>
      <c r="AB2737" s="780"/>
      <c r="AC2737" s="881">
        <v>2733</v>
      </c>
      <c r="AD2737" s="881" t="s">
        <v>4573</v>
      </c>
      <c r="AE2737" s="881" t="s">
        <v>2413</v>
      </c>
      <c r="AF2737" s="890">
        <f>$S$1*P!AF2737</f>
        <v>0</v>
      </c>
    </row>
    <row r="2738" spans="19:32" x14ac:dyDescent="0.35">
      <c r="S2738" s="782">
        <v>2734</v>
      </c>
      <c r="T2738" s="782" t="s">
        <v>4284</v>
      </c>
      <c r="U2738" s="782" t="s">
        <v>2907</v>
      </c>
      <c r="V2738" s="797">
        <f>$S$1*P!V2738</f>
        <v>1.0693548387096775E-3</v>
      </c>
      <c r="W2738" s="780"/>
      <c r="X2738" s="881">
        <v>2734</v>
      </c>
      <c r="Y2738" s="881" t="s">
        <v>2248</v>
      </c>
      <c r="Z2738" s="881" t="s">
        <v>3028</v>
      </c>
      <c r="AA2738" s="882">
        <f>$S$1*P!AA2738</f>
        <v>0.31004000000000004</v>
      </c>
      <c r="AB2738" s="780"/>
      <c r="AC2738" s="881">
        <v>2734</v>
      </c>
      <c r="AD2738" s="881" t="s">
        <v>4573</v>
      </c>
      <c r="AE2738" s="881" t="s">
        <v>2649</v>
      </c>
      <c r="AF2738" s="890">
        <f>$S$1*P!AF2738</f>
        <v>4.7563999999999993</v>
      </c>
    </row>
    <row r="2739" spans="19:32" x14ac:dyDescent="0.35">
      <c r="S2739" s="782">
        <v>2735</v>
      </c>
      <c r="T2739" s="782" t="s">
        <v>4284</v>
      </c>
      <c r="U2739" s="782" t="s">
        <v>2905</v>
      </c>
      <c r="V2739" s="797">
        <f>$S$1*P!V2739</f>
        <v>1.7719758064516132E-3</v>
      </c>
      <c r="W2739" s="780"/>
      <c r="X2739" s="782">
        <v>2735</v>
      </c>
      <c r="Y2739" s="782" t="s">
        <v>2248</v>
      </c>
      <c r="Z2739" s="782" t="s">
        <v>3028</v>
      </c>
      <c r="AA2739" s="781">
        <f>$S$1*P!AA2739</f>
        <v>1.1756048387096775E-4</v>
      </c>
      <c r="AB2739" s="780"/>
      <c r="AC2739" s="881">
        <v>2735</v>
      </c>
      <c r="AD2739" s="881" t="s">
        <v>4573</v>
      </c>
      <c r="AE2739" s="881" t="s">
        <v>2647</v>
      </c>
      <c r="AF2739" s="890">
        <f>$S$1*P!AF2739</f>
        <v>0.45079999999999998</v>
      </c>
    </row>
    <row r="2740" spans="19:32" x14ac:dyDescent="0.35">
      <c r="S2740" s="881">
        <v>2736</v>
      </c>
      <c r="T2740" s="881" t="s">
        <v>4284</v>
      </c>
      <c r="U2740" s="881" t="s">
        <v>2811</v>
      </c>
      <c r="V2740" s="883">
        <f>$S$1*P!V2740</f>
        <v>0</v>
      </c>
      <c r="W2740" s="780"/>
      <c r="X2740" s="782">
        <v>2736</v>
      </c>
      <c r="Y2740" s="782" t="s">
        <v>2248</v>
      </c>
      <c r="Z2740" s="782" t="s">
        <v>4927</v>
      </c>
      <c r="AA2740" s="781">
        <f>$S$1*P!AA2740</f>
        <v>4.2842741935483875E-2</v>
      </c>
      <c r="AB2740" s="780"/>
      <c r="AC2740" s="881">
        <v>2736</v>
      </c>
      <c r="AD2740" s="881" t="s">
        <v>4573</v>
      </c>
      <c r="AE2740" s="881" t="s">
        <v>2645</v>
      </c>
      <c r="AF2740" s="890">
        <f>$S$1*P!AF2740</f>
        <v>1.6743999999999999</v>
      </c>
    </row>
    <row r="2741" spans="19:32" x14ac:dyDescent="0.35">
      <c r="S2741" s="782">
        <v>2737</v>
      </c>
      <c r="T2741" s="782" t="s">
        <v>4284</v>
      </c>
      <c r="U2741" s="782" t="s">
        <v>2902</v>
      </c>
      <c r="V2741" s="797">
        <f>$S$1*P!V2741</f>
        <v>1.5012096774193549E-5</v>
      </c>
      <c r="W2741" s="780"/>
      <c r="X2741" s="782">
        <v>2737</v>
      </c>
      <c r="Y2741" s="782" t="s">
        <v>2248</v>
      </c>
      <c r="Z2741" s="782" t="s">
        <v>3728</v>
      </c>
      <c r="AA2741" s="781">
        <f>$S$1*P!AA2741</f>
        <v>4.2500000000000003E-2</v>
      </c>
      <c r="AB2741" s="780"/>
      <c r="AC2741" s="782">
        <v>2737</v>
      </c>
      <c r="AD2741" s="782" t="s">
        <v>4573</v>
      </c>
      <c r="AE2741" s="782" t="s">
        <v>2411</v>
      </c>
      <c r="AF2741" s="781">
        <f>$S$1*P!AF2741</f>
        <v>1.5731854838709678E-2</v>
      </c>
    </row>
    <row r="2742" spans="19:32" x14ac:dyDescent="0.35">
      <c r="S2742" s="782">
        <v>2738</v>
      </c>
      <c r="T2742" s="782" t="s">
        <v>4284</v>
      </c>
      <c r="U2742" s="782" t="s">
        <v>2899</v>
      </c>
      <c r="V2742" s="797">
        <f>$S$1*P!V2742</f>
        <v>2.1866935483870967E-6</v>
      </c>
      <c r="W2742" s="780"/>
      <c r="X2742" s="881">
        <v>2738</v>
      </c>
      <c r="Y2742" s="881" t="s">
        <v>2248</v>
      </c>
      <c r="Z2742" s="881" t="s">
        <v>3026</v>
      </c>
      <c r="AA2742" s="882">
        <f>$S$1*P!AA2742</f>
        <v>3.9192</v>
      </c>
      <c r="AB2742" s="780"/>
      <c r="AC2742" s="782">
        <v>2738</v>
      </c>
      <c r="AD2742" s="782" t="s">
        <v>4573</v>
      </c>
      <c r="AE2742" s="782" t="s">
        <v>2408</v>
      </c>
      <c r="AF2742" s="781">
        <f>$S$1*P!AF2742</f>
        <v>1.2612903225806453E-2</v>
      </c>
    </row>
    <row r="2743" spans="19:32" x14ac:dyDescent="0.35">
      <c r="S2743" s="782">
        <v>2739</v>
      </c>
      <c r="T2743" s="782" t="s">
        <v>4284</v>
      </c>
      <c r="U2743" s="782" t="s">
        <v>2810</v>
      </c>
      <c r="V2743" s="797">
        <f>$S$1*P!V2743</f>
        <v>0.41129032258064518</v>
      </c>
      <c r="W2743" s="780"/>
      <c r="X2743" s="782">
        <v>2739</v>
      </c>
      <c r="Y2743" s="782" t="s">
        <v>2248</v>
      </c>
      <c r="Z2743" s="782" t="s">
        <v>4926</v>
      </c>
      <c r="AA2743" s="781">
        <f>$S$1*P!AA2743</f>
        <v>8.1572580645161295E-4</v>
      </c>
      <c r="AB2743" s="780"/>
      <c r="AC2743" s="782">
        <v>2739</v>
      </c>
      <c r="AD2743" s="782" t="s">
        <v>4573</v>
      </c>
      <c r="AE2743" s="782" t="s">
        <v>2405</v>
      </c>
      <c r="AF2743" s="781">
        <f>$S$1*P!AF2743</f>
        <v>7.574596774193549E-3</v>
      </c>
    </row>
    <row r="2744" spans="19:32" x14ac:dyDescent="0.35">
      <c r="S2744" s="881">
        <v>2740</v>
      </c>
      <c r="T2744" s="881" t="s">
        <v>4284</v>
      </c>
      <c r="U2744" s="881" t="s">
        <v>2810</v>
      </c>
      <c r="V2744" s="883">
        <f>$S$1*P!V2744</f>
        <v>0</v>
      </c>
      <c r="W2744" s="780"/>
      <c r="X2744" s="782">
        <v>2740</v>
      </c>
      <c r="Y2744" s="782" t="s">
        <v>2248</v>
      </c>
      <c r="Z2744" s="782" t="s">
        <v>3725</v>
      </c>
      <c r="AA2744" s="781">
        <f>$S$1*P!AA2744</f>
        <v>1.2544354838709678E-6</v>
      </c>
      <c r="AB2744" s="780"/>
      <c r="AC2744" s="881">
        <v>2740</v>
      </c>
      <c r="AD2744" s="881" t="s">
        <v>4573</v>
      </c>
      <c r="AE2744" s="881" t="s">
        <v>2405</v>
      </c>
      <c r="AF2744" s="890">
        <f>$S$1*P!AF2744</f>
        <v>0.23275999999999999</v>
      </c>
    </row>
    <row r="2745" spans="19:32" x14ac:dyDescent="0.35">
      <c r="S2745" s="782">
        <v>2741</v>
      </c>
      <c r="T2745" s="782" t="s">
        <v>4284</v>
      </c>
      <c r="U2745" s="782" t="s">
        <v>2895</v>
      </c>
      <c r="V2745" s="797">
        <f>$S$1*P!V2745</f>
        <v>4.7641129032258069E-2</v>
      </c>
      <c r="W2745" s="780"/>
      <c r="X2745" s="881">
        <v>2741</v>
      </c>
      <c r="Y2745" s="881" t="s">
        <v>2248</v>
      </c>
      <c r="Z2745" s="881" t="s">
        <v>3025</v>
      </c>
      <c r="AA2745" s="882">
        <f>$S$1*P!AA2745</f>
        <v>0</v>
      </c>
      <c r="AB2745" s="780"/>
      <c r="AC2745" s="782">
        <v>2741</v>
      </c>
      <c r="AD2745" s="782" t="s">
        <v>4573</v>
      </c>
      <c r="AE2745" s="782" t="s">
        <v>2402</v>
      </c>
      <c r="AF2745" s="781">
        <f>$S$1*P!AF2745</f>
        <v>1.1276209677419356E-2</v>
      </c>
    </row>
    <row r="2746" spans="19:32" x14ac:dyDescent="0.35">
      <c r="S2746" s="782">
        <v>2742</v>
      </c>
      <c r="T2746" s="782" t="s">
        <v>4284</v>
      </c>
      <c r="U2746" s="782" t="s">
        <v>2892</v>
      </c>
      <c r="V2746" s="797">
        <f>$S$1*P!V2746</f>
        <v>3.633064516129033E-5</v>
      </c>
      <c r="W2746" s="780"/>
      <c r="X2746" s="782">
        <v>2742</v>
      </c>
      <c r="Y2746" s="782" t="s">
        <v>2248</v>
      </c>
      <c r="Z2746" s="782" t="s">
        <v>4925</v>
      </c>
      <c r="AA2746" s="781">
        <f>$S$1*P!AA2746</f>
        <v>4.8326612903225813E-3</v>
      </c>
      <c r="AB2746" s="780"/>
      <c r="AC2746" s="881">
        <v>2742</v>
      </c>
      <c r="AD2746" s="881" t="s">
        <v>4573</v>
      </c>
      <c r="AE2746" s="881" t="s">
        <v>2402</v>
      </c>
      <c r="AF2746" s="890">
        <f>$S$1*P!AF2746</f>
        <v>0.91999999999999993</v>
      </c>
    </row>
    <row r="2747" spans="19:32" x14ac:dyDescent="0.35">
      <c r="S2747" s="782">
        <v>2743</v>
      </c>
      <c r="T2747" s="782" t="s">
        <v>4284</v>
      </c>
      <c r="U2747" s="782" t="s">
        <v>2889</v>
      </c>
      <c r="V2747" s="797">
        <f>$S$1*P!V2747</f>
        <v>1.5320564516129035E-3</v>
      </c>
      <c r="W2747" s="780"/>
      <c r="X2747" s="782">
        <v>2743</v>
      </c>
      <c r="Y2747" s="782" t="s">
        <v>2248</v>
      </c>
      <c r="Z2747" s="782" t="s">
        <v>3722</v>
      </c>
      <c r="AA2747" s="781">
        <f>$S$1*P!AA2747</f>
        <v>2.7008064516129032E-7</v>
      </c>
      <c r="AB2747" s="780"/>
      <c r="AC2747" s="782">
        <v>2743</v>
      </c>
      <c r="AD2747" s="782" t="s">
        <v>4573</v>
      </c>
      <c r="AE2747" s="782" t="s">
        <v>2399</v>
      </c>
      <c r="AF2747" s="781">
        <f>$S$1*P!AF2747</f>
        <v>0.30915322580645166</v>
      </c>
    </row>
    <row r="2748" spans="19:32" x14ac:dyDescent="0.35">
      <c r="S2748" s="881">
        <v>2744</v>
      </c>
      <c r="T2748" s="881" t="s">
        <v>4284</v>
      </c>
      <c r="U2748" s="881" t="s">
        <v>2808</v>
      </c>
      <c r="V2748" s="883">
        <f>$S$1*P!V2748</f>
        <v>0</v>
      </c>
      <c r="W2748" s="780"/>
      <c r="X2748" s="782">
        <v>2744</v>
      </c>
      <c r="Y2748" s="782" t="s">
        <v>2248</v>
      </c>
      <c r="Z2748" s="782" t="s">
        <v>3718</v>
      </c>
      <c r="AA2748" s="781">
        <f>$S$1*P!AA2748</f>
        <v>8.8084677419354839E-3</v>
      </c>
      <c r="AB2748" s="780"/>
      <c r="AC2748" s="782">
        <v>2744</v>
      </c>
      <c r="AD2748" s="782" t="s">
        <v>4573</v>
      </c>
      <c r="AE2748" s="782" t="s">
        <v>2397</v>
      </c>
      <c r="AF2748" s="781">
        <f>$S$1*P!AF2748</f>
        <v>7.4717741935483879</v>
      </c>
    </row>
    <row r="2749" spans="19:32" x14ac:dyDescent="0.35">
      <c r="S2749" s="782">
        <v>2745</v>
      </c>
      <c r="T2749" s="782" t="s">
        <v>4284</v>
      </c>
      <c r="U2749" s="782" t="s">
        <v>2886</v>
      </c>
      <c r="V2749" s="797">
        <f>$S$1*P!V2749</f>
        <v>1.9913306451612903E-4</v>
      </c>
      <c r="W2749" s="780"/>
      <c r="X2749" s="782">
        <v>2745</v>
      </c>
      <c r="Y2749" s="782" t="s">
        <v>2248</v>
      </c>
      <c r="Z2749" s="782" t="s">
        <v>3712</v>
      </c>
      <c r="AA2749" s="781">
        <f>$S$1*P!AA2749</f>
        <v>3.4102822580645162E-2</v>
      </c>
      <c r="AB2749" s="780"/>
      <c r="AC2749" s="881">
        <v>2745</v>
      </c>
      <c r="AD2749" s="881" t="s">
        <v>4573</v>
      </c>
      <c r="AE2749" s="881" t="s">
        <v>2397</v>
      </c>
      <c r="AF2749" s="890">
        <f>$S$1*P!AF2749</f>
        <v>0.51796000000000009</v>
      </c>
    </row>
    <row r="2750" spans="19:32" x14ac:dyDescent="0.35">
      <c r="S2750" s="782">
        <v>2746</v>
      </c>
      <c r="T2750" s="782" t="s">
        <v>4284</v>
      </c>
      <c r="U2750" s="782" t="s">
        <v>2883</v>
      </c>
      <c r="V2750" s="797">
        <f>$S$1*P!V2750</f>
        <v>7.1975806451612912E-4</v>
      </c>
      <c r="W2750" s="780"/>
      <c r="X2750" s="782">
        <v>2746</v>
      </c>
      <c r="Y2750" s="782" t="s">
        <v>2248</v>
      </c>
      <c r="Z2750" s="782" t="s">
        <v>4924</v>
      </c>
      <c r="AA2750" s="781">
        <f>$S$1*P!AA2750</f>
        <v>2.6870967741935484E-2</v>
      </c>
      <c r="AB2750" s="780"/>
      <c r="AC2750" s="782">
        <v>2746</v>
      </c>
      <c r="AD2750" s="782" t="s">
        <v>4573</v>
      </c>
      <c r="AE2750" s="782" t="s">
        <v>2394</v>
      </c>
      <c r="AF2750" s="781">
        <f>$S$1*P!AF2750</f>
        <v>6.2379032258064522E-2</v>
      </c>
    </row>
    <row r="2751" spans="19:32" x14ac:dyDescent="0.35">
      <c r="S2751" s="782">
        <v>2747</v>
      </c>
      <c r="T2751" s="782" t="s">
        <v>4284</v>
      </c>
      <c r="U2751" s="782" t="s">
        <v>2881</v>
      </c>
      <c r="V2751" s="797">
        <f>$S$1*P!V2751</f>
        <v>2.666532258064516E-3</v>
      </c>
      <c r="W2751" s="780"/>
      <c r="X2751" s="881">
        <v>2747</v>
      </c>
      <c r="Y2751" s="881" t="s">
        <v>2248</v>
      </c>
      <c r="Z2751" s="881" t="s">
        <v>3023</v>
      </c>
      <c r="AA2751" s="882">
        <f>$S$1*P!AA2751</f>
        <v>0</v>
      </c>
      <c r="AB2751" s="780"/>
      <c r="AC2751" s="782">
        <v>2747</v>
      </c>
      <c r="AD2751" s="782" t="s">
        <v>4573</v>
      </c>
      <c r="AE2751" s="782" t="s">
        <v>2391</v>
      </c>
      <c r="AF2751" s="781">
        <f>$S$1*P!AF2751</f>
        <v>4.901209677419355</v>
      </c>
    </row>
    <row r="2752" spans="19:32" x14ac:dyDescent="0.35">
      <c r="S2752" s="898">
        <v>2748</v>
      </c>
      <c r="T2752" s="898" t="s">
        <v>4284</v>
      </c>
      <c r="U2752" s="861" t="s">
        <v>2878</v>
      </c>
      <c r="V2752" s="862">
        <f>$S$1*P!V2752</f>
        <v>0.53339499999999995</v>
      </c>
      <c r="W2752" s="780"/>
      <c r="X2752" s="782">
        <v>2748</v>
      </c>
      <c r="Y2752" s="782" t="s">
        <v>2248</v>
      </c>
      <c r="Z2752" s="782" t="s">
        <v>3023</v>
      </c>
      <c r="AA2752" s="781">
        <f>$S$1*P!AA2752</f>
        <v>7.4717741935483874E-4</v>
      </c>
      <c r="AB2752" s="780"/>
      <c r="AC2752" s="782">
        <v>2748</v>
      </c>
      <c r="AD2752" s="782" t="s">
        <v>4573</v>
      </c>
      <c r="AE2752" s="782" t="s">
        <v>2388</v>
      </c>
      <c r="AF2752" s="781">
        <f>$S$1*P!AF2752</f>
        <v>0.20564516129032259</v>
      </c>
    </row>
    <row r="2753" spans="19:32" x14ac:dyDescent="0.35">
      <c r="S2753" s="782">
        <v>2749</v>
      </c>
      <c r="T2753" s="782" t="s">
        <v>4284</v>
      </c>
      <c r="U2753" s="782" t="s">
        <v>2878</v>
      </c>
      <c r="V2753" s="797">
        <f>$S$1*P!V2753</f>
        <v>1.3161290322580646E-5</v>
      </c>
      <c r="W2753" s="780"/>
      <c r="X2753" s="782">
        <v>2749</v>
      </c>
      <c r="Y2753" s="782" t="s">
        <v>2248</v>
      </c>
      <c r="Z2753" s="782" t="s">
        <v>4923</v>
      </c>
      <c r="AA2753" s="781">
        <f>$S$1*P!AA2753</f>
        <v>4.4899193548387102E-4</v>
      </c>
      <c r="AB2753" s="780"/>
      <c r="AC2753" s="782">
        <v>2749</v>
      </c>
      <c r="AD2753" s="782" t="s">
        <v>4573</v>
      </c>
      <c r="AE2753" s="782" t="s">
        <v>2386</v>
      </c>
      <c r="AF2753" s="781">
        <f>$S$1*P!AF2753</f>
        <v>21.935483870967744</v>
      </c>
    </row>
    <row r="2754" spans="19:32" x14ac:dyDescent="0.35">
      <c r="S2754" s="782">
        <v>2750</v>
      </c>
      <c r="T2754" s="782" t="s">
        <v>4284</v>
      </c>
      <c r="U2754" s="782" t="s">
        <v>2875</v>
      </c>
      <c r="V2754" s="797">
        <f>$S$1*P!V2754</f>
        <v>8.2600806451612916E-5</v>
      </c>
      <c r="W2754" s="780"/>
      <c r="X2754" s="782">
        <v>2750</v>
      </c>
      <c r="Y2754" s="782" t="s">
        <v>2248</v>
      </c>
      <c r="Z2754" s="782" t="s">
        <v>3704</v>
      </c>
      <c r="AA2754" s="781">
        <f>$S$1*P!AA2754</f>
        <v>5.2782258064516135E-4</v>
      </c>
      <c r="AB2754" s="780"/>
      <c r="AC2754" s="782">
        <v>2750</v>
      </c>
      <c r="AD2754" s="782" t="s">
        <v>4573</v>
      </c>
      <c r="AE2754" s="782" t="s">
        <v>2383</v>
      </c>
      <c r="AF2754" s="781">
        <f>$S$1*P!AF2754</f>
        <v>2.1866935483870971</v>
      </c>
    </row>
    <row r="2755" spans="19:32" x14ac:dyDescent="0.35">
      <c r="S2755" s="782">
        <v>2751</v>
      </c>
      <c r="T2755" s="782" t="s">
        <v>4284</v>
      </c>
      <c r="U2755" s="782" t="s">
        <v>2872</v>
      </c>
      <c r="V2755" s="797">
        <f>$S$1*P!V2755</f>
        <v>2.0118951612903228E-4</v>
      </c>
      <c r="W2755" s="780"/>
      <c r="X2755" s="782">
        <v>2751</v>
      </c>
      <c r="Y2755" s="782" t="s">
        <v>2248</v>
      </c>
      <c r="Z2755" s="782" t="s">
        <v>3700</v>
      </c>
      <c r="AA2755" s="781">
        <f>$S$1*P!AA2755</f>
        <v>2.4608870967741936E-4</v>
      </c>
      <c r="AB2755" s="780"/>
      <c r="AC2755" s="782">
        <v>2751</v>
      </c>
      <c r="AD2755" s="782" t="s">
        <v>4573</v>
      </c>
      <c r="AE2755" s="782" t="s">
        <v>2380</v>
      </c>
      <c r="AF2755" s="781">
        <f>$S$1*P!AF2755</f>
        <v>7.574596774193549E-3</v>
      </c>
    </row>
    <row r="2756" spans="19:32" x14ac:dyDescent="0.35">
      <c r="S2756" s="881">
        <v>2752</v>
      </c>
      <c r="T2756" s="881" t="s">
        <v>4284</v>
      </c>
      <c r="U2756" s="881" t="s">
        <v>2807</v>
      </c>
      <c r="V2756" s="883">
        <f>$S$1*P!V2756</f>
        <v>0.63663999999999998</v>
      </c>
      <c r="W2756" s="780"/>
      <c r="X2756" s="782">
        <v>2752</v>
      </c>
      <c r="Y2756" s="782" t="s">
        <v>2248</v>
      </c>
      <c r="Z2756" s="782" t="s">
        <v>4922</v>
      </c>
      <c r="AA2756" s="781">
        <f>$S$1*P!AA2756</f>
        <v>4.2842741935483875E-2</v>
      </c>
      <c r="AB2756" s="780"/>
      <c r="AC2756" s="881">
        <v>2752</v>
      </c>
      <c r="AD2756" s="881" t="s">
        <v>4573</v>
      </c>
      <c r="AE2756" s="881" t="s">
        <v>2642</v>
      </c>
      <c r="AF2756" s="890">
        <f>$S$1*P!AF2756</f>
        <v>4.9863999999999997</v>
      </c>
    </row>
    <row r="2757" spans="19:32" x14ac:dyDescent="0.35">
      <c r="S2757" s="782">
        <v>2753</v>
      </c>
      <c r="T2757" s="782" t="s">
        <v>4284</v>
      </c>
      <c r="U2757" s="782" t="s">
        <v>2870</v>
      </c>
      <c r="V2757" s="797">
        <f>$S$1*P!V2757</f>
        <v>1.5491935483870968E-4</v>
      </c>
      <c r="W2757" s="780"/>
      <c r="X2757" s="881">
        <v>2753</v>
      </c>
      <c r="Y2757" s="881" t="s">
        <v>2248</v>
      </c>
      <c r="Z2757" s="881" t="s">
        <v>3021</v>
      </c>
      <c r="AA2757" s="882">
        <f>$S$1*P!AA2757</f>
        <v>8.7492000000000004E-3</v>
      </c>
      <c r="AB2757" s="780"/>
      <c r="AC2757" s="782">
        <v>2753</v>
      </c>
      <c r="AD2757" s="782" t="s">
        <v>4573</v>
      </c>
      <c r="AE2757" s="782" t="s">
        <v>2377</v>
      </c>
      <c r="AF2757" s="781">
        <f>$S$1*P!AF2757</f>
        <v>0.46612903225806457</v>
      </c>
    </row>
    <row r="2758" spans="19:32" x14ac:dyDescent="0.35">
      <c r="S2758" s="782">
        <v>2754</v>
      </c>
      <c r="T2758" s="782" t="s">
        <v>4284</v>
      </c>
      <c r="U2758" s="782" t="s">
        <v>2867</v>
      </c>
      <c r="V2758" s="797">
        <f>$S$1*P!V2758</f>
        <v>1.8850806451612906E-4</v>
      </c>
      <c r="W2758" s="780"/>
      <c r="X2758" s="782">
        <v>2754</v>
      </c>
      <c r="Y2758" s="782" t="s">
        <v>2248</v>
      </c>
      <c r="Z2758" s="782" t="s">
        <v>3021</v>
      </c>
      <c r="AA2758" s="781">
        <f>$S$1*P!AA2758</f>
        <v>8.2600806451612913E-4</v>
      </c>
      <c r="AB2758" s="780"/>
      <c r="AC2758" s="782">
        <v>2754</v>
      </c>
      <c r="AD2758" s="782" t="s">
        <v>4573</v>
      </c>
      <c r="AE2758" s="782" t="s">
        <v>2374</v>
      </c>
      <c r="AF2758" s="781">
        <f>$S$1*P!AF2758</f>
        <v>81.572580645161295</v>
      </c>
    </row>
    <row r="2759" spans="19:32" x14ac:dyDescent="0.35">
      <c r="S2759" s="898">
        <v>2755</v>
      </c>
      <c r="T2759" s="898" t="s">
        <v>4284</v>
      </c>
      <c r="U2759" s="861" t="s">
        <v>2864</v>
      </c>
      <c r="V2759" s="862">
        <f>$S$1*P!V2759</f>
        <v>3.3704999999999998</v>
      </c>
      <c r="W2759" s="780"/>
      <c r="X2759" s="782">
        <v>2755</v>
      </c>
      <c r="Y2759" s="782" t="s">
        <v>2248</v>
      </c>
      <c r="Z2759" s="782" t="s">
        <v>4921</v>
      </c>
      <c r="AA2759" s="781">
        <f>$S$1*P!AA2759</f>
        <v>1.1139112903225807E-4</v>
      </c>
      <c r="AB2759" s="780"/>
      <c r="AC2759" s="782">
        <v>2755</v>
      </c>
      <c r="AD2759" s="782" t="s">
        <v>4573</v>
      </c>
      <c r="AE2759" s="782" t="s">
        <v>2372</v>
      </c>
      <c r="AF2759" s="781">
        <f>$S$1*P!AF2759</f>
        <v>1.1927419354838711</v>
      </c>
    </row>
    <row r="2760" spans="19:32" x14ac:dyDescent="0.35">
      <c r="S2760" s="782">
        <v>2756</v>
      </c>
      <c r="T2760" s="782" t="s">
        <v>4284</v>
      </c>
      <c r="U2760" s="782" t="s">
        <v>2864</v>
      </c>
      <c r="V2760" s="797">
        <f>$S$1*P!V2760</f>
        <v>1.4155241935483874E-6</v>
      </c>
      <c r="W2760" s="780"/>
      <c r="X2760" s="881">
        <v>2756</v>
      </c>
      <c r="Y2760" s="881" t="s">
        <v>2248</v>
      </c>
      <c r="Z2760" s="881" t="s">
        <v>3020</v>
      </c>
      <c r="AA2760" s="882">
        <f>$S$1*P!AA2760</f>
        <v>1.8584E-2</v>
      </c>
      <c r="AB2760" s="780"/>
      <c r="AC2760" s="881">
        <v>2756</v>
      </c>
      <c r="AD2760" s="881" t="s">
        <v>4573</v>
      </c>
      <c r="AE2760" s="881" t="s">
        <v>2641</v>
      </c>
      <c r="AF2760" s="890">
        <f>$S$1*P!AF2760</f>
        <v>0</v>
      </c>
    </row>
    <row r="2761" spans="19:32" x14ac:dyDescent="0.35">
      <c r="S2761" s="897">
        <v>2757</v>
      </c>
      <c r="T2761" s="897" t="s">
        <v>4284</v>
      </c>
      <c r="U2761" s="861" t="s">
        <v>2861</v>
      </c>
      <c r="V2761" s="862">
        <f>$S$1*P!V2761</f>
        <v>0.24395999999999998</v>
      </c>
      <c r="W2761" s="780"/>
      <c r="X2761" s="782">
        <v>2757</v>
      </c>
      <c r="Y2761" s="782" t="s">
        <v>2248</v>
      </c>
      <c r="Z2761" s="782" t="s">
        <v>3020</v>
      </c>
      <c r="AA2761" s="781">
        <f>$S$1*P!AA2761</f>
        <v>1.5183467741935483E-3</v>
      </c>
      <c r="AB2761" s="780"/>
      <c r="AC2761" s="782">
        <v>2757</v>
      </c>
      <c r="AD2761" s="782" t="s">
        <v>4573</v>
      </c>
      <c r="AE2761" s="782" t="s">
        <v>2369</v>
      </c>
      <c r="AF2761" s="781">
        <f>$S$1*P!AF2761</f>
        <v>0.39758064516129038</v>
      </c>
    </row>
    <row r="2762" spans="19:32" x14ac:dyDescent="0.35">
      <c r="S2762" s="782">
        <v>2758</v>
      </c>
      <c r="T2762" s="782" t="s">
        <v>4284</v>
      </c>
      <c r="U2762" s="782" t="s">
        <v>2861</v>
      </c>
      <c r="V2762" s="797">
        <f>$S$1*P!V2762</f>
        <v>1.2372983870967742E-5</v>
      </c>
      <c r="W2762" s="780"/>
      <c r="X2762" s="881">
        <v>2758</v>
      </c>
      <c r="Y2762" s="881" t="s">
        <v>2248</v>
      </c>
      <c r="Z2762" s="881" t="s">
        <v>3018</v>
      </c>
      <c r="AA2762" s="882">
        <f>$S$1*P!AA2762</f>
        <v>3.6799999999999999E-2</v>
      </c>
      <c r="AB2762" s="780"/>
      <c r="AC2762" s="782">
        <v>2758</v>
      </c>
      <c r="AD2762" s="782" t="s">
        <v>4573</v>
      </c>
      <c r="AE2762" s="782" t="s">
        <v>2366</v>
      </c>
      <c r="AF2762" s="781">
        <f>$S$1*P!AF2762</f>
        <v>3.6330645161290323E-2</v>
      </c>
    </row>
    <row r="2763" spans="19:32" x14ac:dyDescent="0.35">
      <c r="S2763" s="782">
        <v>2759</v>
      </c>
      <c r="T2763" s="782" t="s">
        <v>4284</v>
      </c>
      <c r="U2763" s="782" t="s">
        <v>2859</v>
      </c>
      <c r="V2763" s="797">
        <f>$S$1*P!V2763</f>
        <v>6.9233870967741945E-2</v>
      </c>
      <c r="W2763" s="780"/>
      <c r="X2763" s="782">
        <v>2759</v>
      </c>
      <c r="Y2763" s="782" t="s">
        <v>2248</v>
      </c>
      <c r="Z2763" s="782" t="s">
        <v>4920</v>
      </c>
      <c r="AA2763" s="781">
        <f>$S$1*P!AA2763</f>
        <v>5.2782258064516135E-4</v>
      </c>
      <c r="AB2763" s="780"/>
      <c r="AC2763" s="782">
        <v>2759</v>
      </c>
      <c r="AD2763" s="782" t="s">
        <v>4573</v>
      </c>
      <c r="AE2763" s="782" t="s">
        <v>2364</v>
      </c>
      <c r="AF2763" s="781">
        <f>$S$1*P!AF2763</f>
        <v>24.094758064516132</v>
      </c>
    </row>
    <row r="2764" spans="19:32" x14ac:dyDescent="0.35">
      <c r="S2764" s="782">
        <v>2760</v>
      </c>
      <c r="T2764" s="782" t="s">
        <v>4284</v>
      </c>
      <c r="U2764" s="782" t="s">
        <v>2856</v>
      </c>
      <c r="V2764" s="797">
        <f>$S$1*P!V2764</f>
        <v>6.7862903225806453E-5</v>
      </c>
      <c r="W2764" s="780"/>
      <c r="X2764" s="881">
        <v>2760</v>
      </c>
      <c r="Y2764" s="881" t="s">
        <v>2248</v>
      </c>
      <c r="Z2764" s="881" t="s">
        <v>3017</v>
      </c>
      <c r="AA2764" s="882">
        <f>$S$1*P!AA2764</f>
        <v>6.8907999999999999E-3</v>
      </c>
      <c r="AB2764" s="780"/>
      <c r="AC2764" s="782">
        <v>2760</v>
      </c>
      <c r="AD2764" s="782" t="s">
        <v>4573</v>
      </c>
      <c r="AE2764" s="782" t="s">
        <v>2361</v>
      </c>
      <c r="AF2764" s="781">
        <f>$S$1*P!AF2764</f>
        <v>8.5685483870967749E-2</v>
      </c>
    </row>
    <row r="2765" spans="19:32" x14ac:dyDescent="0.35">
      <c r="S2765" s="881">
        <v>2761</v>
      </c>
      <c r="T2765" s="881" t="s">
        <v>4284</v>
      </c>
      <c r="U2765" s="881" t="s">
        <v>2805</v>
      </c>
      <c r="V2765" s="883">
        <f>$S$1*P!V2765</f>
        <v>39.56</v>
      </c>
      <c r="W2765" s="780"/>
      <c r="X2765" s="881">
        <v>2761</v>
      </c>
      <c r="Y2765" s="881" t="s">
        <v>2248</v>
      </c>
      <c r="Z2765" s="881" t="s">
        <v>3015</v>
      </c>
      <c r="AA2765" s="882">
        <f>$S$1*P!AA2765</f>
        <v>1.9595999999999999E-2</v>
      </c>
      <c r="AB2765" s="780"/>
      <c r="AC2765" s="782">
        <v>2761</v>
      </c>
      <c r="AD2765" s="782" t="s">
        <v>4573</v>
      </c>
      <c r="AE2765" s="782" t="s">
        <v>2358</v>
      </c>
      <c r="AF2765" s="781">
        <f>$S$1*P!AF2765</f>
        <v>1.7891129032258066</v>
      </c>
    </row>
    <row r="2766" spans="19:32" x14ac:dyDescent="0.35">
      <c r="S2766" s="782">
        <v>2762</v>
      </c>
      <c r="T2766" s="782" t="s">
        <v>4284</v>
      </c>
      <c r="U2766" s="782" t="s">
        <v>2804</v>
      </c>
      <c r="V2766" s="797">
        <f>$S$1*P!V2766</f>
        <v>4.5927419354838715E-7</v>
      </c>
      <c r="W2766" s="780"/>
      <c r="X2766" s="782">
        <v>2762</v>
      </c>
      <c r="Y2766" s="782" t="s">
        <v>2248</v>
      </c>
      <c r="Z2766" s="782" t="s">
        <v>4919</v>
      </c>
      <c r="AA2766" s="781">
        <f>$S$1*P!AA2766</f>
        <v>2.2997983870967746E-5</v>
      </c>
      <c r="AB2766" s="780"/>
      <c r="AC2766" s="782">
        <v>2762</v>
      </c>
      <c r="AD2766" s="782" t="s">
        <v>4573</v>
      </c>
      <c r="AE2766" s="782" t="s">
        <v>2355</v>
      </c>
      <c r="AF2766" s="781">
        <f>$S$1*P!AF2766</f>
        <v>2.2449596774193552E-2</v>
      </c>
    </row>
    <row r="2767" spans="19:32" x14ac:dyDescent="0.35">
      <c r="S2767" s="881">
        <v>2763</v>
      </c>
      <c r="T2767" s="881" t="s">
        <v>4284</v>
      </c>
      <c r="U2767" s="881" t="s">
        <v>2804</v>
      </c>
      <c r="V2767" s="883">
        <f>$S$1*P!V2767</f>
        <v>0</v>
      </c>
      <c r="W2767" s="780"/>
      <c r="X2767" s="782">
        <v>2763</v>
      </c>
      <c r="Y2767" s="782" t="s">
        <v>2248</v>
      </c>
      <c r="Z2767" s="782" t="s">
        <v>3688</v>
      </c>
      <c r="AA2767" s="781">
        <f>$S$1*P!AA2767</f>
        <v>2.2243951612903226E-2</v>
      </c>
      <c r="AB2767" s="780"/>
      <c r="AC2767" s="782">
        <v>2763</v>
      </c>
      <c r="AD2767" s="782" t="s">
        <v>4573</v>
      </c>
      <c r="AE2767" s="782" t="s">
        <v>2353</v>
      </c>
      <c r="AF2767" s="781">
        <f>$S$1*P!AF2767</f>
        <v>0.15560483870967742</v>
      </c>
    </row>
    <row r="2768" spans="19:32" x14ac:dyDescent="0.35">
      <c r="S2768" s="782">
        <v>2764</v>
      </c>
      <c r="T2768" s="782" t="s">
        <v>4284</v>
      </c>
      <c r="U2768" s="782" t="s">
        <v>2851</v>
      </c>
      <c r="V2768" s="797">
        <f>$S$1*P!V2768</f>
        <v>2.0221774193548386E-5</v>
      </c>
      <c r="W2768" s="780"/>
      <c r="X2768" s="881">
        <v>2764</v>
      </c>
      <c r="Y2768" s="881" t="s">
        <v>2248</v>
      </c>
      <c r="Z2768" s="881" t="s">
        <v>3014</v>
      </c>
      <c r="AA2768" s="882">
        <f>$S$1*P!AA2768</f>
        <v>0</v>
      </c>
      <c r="AB2768" s="780"/>
      <c r="AC2768" s="782">
        <v>2764</v>
      </c>
      <c r="AD2768" s="782" t="s">
        <v>4573</v>
      </c>
      <c r="AE2768" s="782" t="s">
        <v>2350</v>
      </c>
      <c r="AF2768" s="781">
        <f>$S$1*P!AF2768</f>
        <v>44.213709677419359</v>
      </c>
    </row>
    <row r="2769" spans="19:32" x14ac:dyDescent="0.35">
      <c r="S2769" s="782">
        <v>2765</v>
      </c>
      <c r="T2769" s="782" t="s">
        <v>4284</v>
      </c>
      <c r="U2769" s="782" t="s">
        <v>2848</v>
      </c>
      <c r="V2769" s="797">
        <f>$S$1*P!V2769</f>
        <v>1.0693548387096774</v>
      </c>
      <c r="W2769" s="780"/>
      <c r="X2769" s="782">
        <v>2765</v>
      </c>
      <c r="Y2769" s="782" t="s">
        <v>2248</v>
      </c>
      <c r="Z2769" s="782" t="s">
        <v>3014</v>
      </c>
      <c r="AA2769" s="781">
        <f>$S$1*P!AA2769</f>
        <v>1.7274193548387099E-3</v>
      </c>
      <c r="AB2769" s="780"/>
      <c r="AC2769" s="782">
        <v>2765</v>
      </c>
      <c r="AD2769" s="782" t="s">
        <v>4573</v>
      </c>
      <c r="AE2769" s="782" t="s">
        <v>2347</v>
      </c>
      <c r="AF2769" s="781">
        <f>$S$1*P!AF2769</f>
        <v>4.0786290322580649</v>
      </c>
    </row>
    <row r="2770" spans="19:32" x14ac:dyDescent="0.35">
      <c r="S2770" s="782">
        <v>2766</v>
      </c>
      <c r="T2770" s="782" t="s">
        <v>4284</v>
      </c>
      <c r="U2770" s="782" t="s">
        <v>2846</v>
      </c>
      <c r="V2770" s="797">
        <f>$S$1*P!V2770</f>
        <v>4.72983870967742E-4</v>
      </c>
      <c r="W2770" s="780"/>
      <c r="X2770" s="782">
        <v>2766</v>
      </c>
      <c r="Y2770" s="782" t="s">
        <v>2248</v>
      </c>
      <c r="Z2770" s="782" t="s">
        <v>4918</v>
      </c>
      <c r="AA2770" s="781">
        <f>$S$1*P!AA2770</f>
        <v>0.26939516129032259</v>
      </c>
      <c r="AB2770" s="780"/>
      <c r="AC2770" s="782">
        <v>2766</v>
      </c>
      <c r="AD2770" s="782" t="s">
        <v>4573</v>
      </c>
      <c r="AE2770" s="782" t="s">
        <v>2344</v>
      </c>
      <c r="AF2770" s="781">
        <f>$S$1*P!AF2770</f>
        <v>0.18028225806451614</v>
      </c>
    </row>
    <row r="2771" spans="19:32" x14ac:dyDescent="0.35">
      <c r="S2771" s="782">
        <v>2767</v>
      </c>
      <c r="T2771" s="782" t="s">
        <v>4284</v>
      </c>
      <c r="U2771" s="782" t="s">
        <v>2843</v>
      </c>
      <c r="V2771" s="797">
        <f>$S$1*P!V2771</f>
        <v>5.6209677419354842E-6</v>
      </c>
      <c r="W2771" s="780"/>
      <c r="X2771" s="782">
        <v>2767</v>
      </c>
      <c r="Y2771" s="782" t="s">
        <v>2248</v>
      </c>
      <c r="Z2771" s="782" t="s">
        <v>3680</v>
      </c>
      <c r="AA2771" s="781">
        <f>$S$1*P!AA2771</f>
        <v>2.5705645161290324E-2</v>
      </c>
      <c r="AB2771" s="780"/>
      <c r="AC2771" s="782">
        <v>2767</v>
      </c>
      <c r="AD2771" s="782" t="s">
        <v>4573</v>
      </c>
      <c r="AE2771" s="782" t="s">
        <v>2341</v>
      </c>
      <c r="AF2771" s="781">
        <f>$S$1*P!AF2771</f>
        <v>233.40725806451616</v>
      </c>
    </row>
    <row r="2772" spans="19:32" x14ac:dyDescent="0.35">
      <c r="S2772" s="789">
        <v>2768</v>
      </c>
      <c r="T2772" s="789" t="s">
        <v>4284</v>
      </c>
      <c r="U2772" s="789" t="s">
        <v>4917</v>
      </c>
      <c r="V2772" s="790">
        <f>$S$1*P!V2772</f>
        <v>42.108000000000004</v>
      </c>
      <c r="W2772" s="780"/>
      <c r="X2772" s="782">
        <v>2768</v>
      </c>
      <c r="Y2772" s="782" t="s">
        <v>2248</v>
      </c>
      <c r="Z2772" s="782" t="s">
        <v>3676</v>
      </c>
      <c r="AA2772" s="781">
        <f>$S$1*P!AA2772</f>
        <v>3.5987903225806452E-2</v>
      </c>
      <c r="AB2772" s="780"/>
      <c r="AC2772" s="881">
        <v>2768</v>
      </c>
      <c r="AD2772" s="881" t="s">
        <v>4573</v>
      </c>
      <c r="AE2772" s="881" t="s">
        <v>2341</v>
      </c>
      <c r="AF2772" s="890">
        <f>$S$1*P!AF2772</f>
        <v>0</v>
      </c>
    </row>
    <row r="2773" spans="19:32" x14ac:dyDescent="0.35">
      <c r="S2773" s="782">
        <v>2769</v>
      </c>
      <c r="T2773" s="782" t="s">
        <v>4284</v>
      </c>
      <c r="U2773" s="782" t="s">
        <v>2840</v>
      </c>
      <c r="V2773" s="797">
        <f>$S$1*P!V2773</f>
        <v>2.3272177419354843E-3</v>
      </c>
      <c r="W2773" s="780"/>
      <c r="X2773" s="782">
        <v>2769</v>
      </c>
      <c r="Y2773" s="782" t="s">
        <v>2248</v>
      </c>
      <c r="Z2773" s="782" t="s">
        <v>4916</v>
      </c>
      <c r="AA2773" s="781">
        <f>$S$1*P!AA2773</f>
        <v>3.2286290322580649</v>
      </c>
      <c r="AB2773" s="780"/>
      <c r="AC2773" s="782">
        <v>2769</v>
      </c>
      <c r="AD2773" s="782" t="s">
        <v>4573</v>
      </c>
      <c r="AE2773" s="782" t="s">
        <v>2339</v>
      </c>
      <c r="AF2773" s="781">
        <f>$S$1*P!AF2773</f>
        <v>2.2278225806451615</v>
      </c>
    </row>
    <row r="2774" spans="19:32" x14ac:dyDescent="0.35">
      <c r="S2774" s="881">
        <v>2770</v>
      </c>
      <c r="T2774" s="881" t="s">
        <v>4284</v>
      </c>
      <c r="U2774" s="881" t="s">
        <v>2803</v>
      </c>
      <c r="V2774" s="883">
        <f>$S$1*P!V2774</f>
        <v>0</v>
      </c>
      <c r="W2774" s="780"/>
      <c r="X2774" s="782">
        <v>2770</v>
      </c>
      <c r="Y2774" s="782" t="s">
        <v>2248</v>
      </c>
      <c r="Z2774" s="782" t="s">
        <v>3672</v>
      </c>
      <c r="AA2774" s="781">
        <f>$S$1*P!AA2774</f>
        <v>7.9516129032258076E-2</v>
      </c>
      <c r="AB2774" s="780"/>
      <c r="AC2774" s="881">
        <v>2770</v>
      </c>
      <c r="AD2774" s="881" t="s">
        <v>4573</v>
      </c>
      <c r="AE2774" s="881" t="s">
        <v>2339</v>
      </c>
      <c r="AF2774" s="890">
        <f>$S$1*P!AF2774</f>
        <v>0</v>
      </c>
    </row>
    <row r="2775" spans="19:32" x14ac:dyDescent="0.35">
      <c r="S2775" s="782">
        <v>2771</v>
      </c>
      <c r="T2775" s="782" t="s">
        <v>4284</v>
      </c>
      <c r="U2775" s="782" t="s">
        <v>2837</v>
      </c>
      <c r="V2775" s="797">
        <f>$S$1*P!V2775</f>
        <v>5.6895161290322579E-5</v>
      </c>
      <c r="W2775" s="780"/>
      <c r="X2775" s="782">
        <v>2771</v>
      </c>
      <c r="Y2775" s="782" t="s">
        <v>2248</v>
      </c>
      <c r="Z2775" s="782" t="s">
        <v>3666</v>
      </c>
      <c r="AA2775" s="781">
        <f>$S$1*P!AA2775</f>
        <v>8.3971774193548387E-10</v>
      </c>
      <c r="AB2775" s="780"/>
      <c r="AC2775" s="782">
        <v>2771</v>
      </c>
      <c r="AD2775" s="782" t="s">
        <v>4573</v>
      </c>
      <c r="AE2775" s="782" t="s">
        <v>2336</v>
      </c>
      <c r="AF2775" s="781">
        <f>$S$1*P!AF2775</f>
        <v>5.3125000000000006E-2</v>
      </c>
    </row>
    <row r="2776" spans="19:32" x14ac:dyDescent="0.35">
      <c r="S2776" s="881">
        <v>2772</v>
      </c>
      <c r="T2776" s="881" t="s">
        <v>4284</v>
      </c>
      <c r="U2776" s="881" t="s">
        <v>2802</v>
      </c>
      <c r="V2776" s="883">
        <f>$S$1*P!V2776</f>
        <v>3.3027999999999995E-2</v>
      </c>
      <c r="W2776" s="780"/>
      <c r="X2776" s="782">
        <v>2772</v>
      </c>
      <c r="Y2776" s="782" t="s">
        <v>2248</v>
      </c>
      <c r="Z2776" s="782" t="s">
        <v>4915</v>
      </c>
      <c r="AA2776" s="781">
        <f>$S$1*P!AA2776</f>
        <v>1.360685483870968E-3</v>
      </c>
      <c r="AB2776" s="780"/>
      <c r="AC2776" s="782">
        <v>2772</v>
      </c>
      <c r="AD2776" s="782" t="s">
        <v>4573</v>
      </c>
      <c r="AE2776" s="782" t="s">
        <v>2334</v>
      </c>
      <c r="AF2776" s="781">
        <f>$S$1*P!AF2776</f>
        <v>3.770161290322581</v>
      </c>
    </row>
    <row r="2777" spans="19:32" x14ac:dyDescent="0.35">
      <c r="S2777" s="782">
        <v>2773</v>
      </c>
      <c r="T2777" s="782" t="s">
        <v>4284</v>
      </c>
      <c r="U2777" s="782" t="s">
        <v>2835</v>
      </c>
      <c r="V2777" s="797">
        <f>$S$1*P!V2777</f>
        <v>1.4943548387096776E-8</v>
      </c>
      <c r="W2777" s="780"/>
      <c r="X2777" s="782">
        <v>2773</v>
      </c>
      <c r="Y2777" s="782" t="s">
        <v>2248</v>
      </c>
      <c r="Z2777" s="782" t="s">
        <v>3662</v>
      </c>
      <c r="AA2777" s="781">
        <f>$S$1*P!AA2777</f>
        <v>8.0544354838709689E-4</v>
      </c>
      <c r="AB2777" s="780"/>
      <c r="AC2777" s="881">
        <v>2773</v>
      </c>
      <c r="AD2777" s="881" t="s">
        <v>4573</v>
      </c>
      <c r="AE2777" s="881" t="s">
        <v>2638</v>
      </c>
      <c r="AF2777" s="890">
        <f>$S$1*P!AF2777</f>
        <v>0</v>
      </c>
    </row>
    <row r="2778" spans="19:32" x14ac:dyDescent="0.35">
      <c r="S2778" s="782">
        <v>2774</v>
      </c>
      <c r="T2778" s="782" t="s">
        <v>4284</v>
      </c>
      <c r="U2778" s="782" t="s">
        <v>2832</v>
      </c>
      <c r="V2778" s="797">
        <f>$S$1*P!V2778</f>
        <v>0.33794354838709678</v>
      </c>
      <c r="W2778" s="780"/>
      <c r="X2778" s="782">
        <v>2774</v>
      </c>
      <c r="Y2778" s="782" t="s">
        <v>2248</v>
      </c>
      <c r="Z2778" s="782" t="s">
        <v>3659</v>
      </c>
      <c r="AA2778" s="781">
        <f>$S$1*P!AA2778</f>
        <v>4.0786290322580646E-3</v>
      </c>
      <c r="AB2778" s="780"/>
      <c r="AC2778" s="782">
        <v>2774</v>
      </c>
      <c r="AD2778" s="782" t="s">
        <v>4573</v>
      </c>
      <c r="AE2778" s="782" t="s">
        <v>2331</v>
      </c>
      <c r="AF2778" s="781">
        <f>$S$1*P!AF2778</f>
        <v>1.3778225806451614E-2</v>
      </c>
    </row>
    <row r="2779" spans="19:32" x14ac:dyDescent="0.35">
      <c r="S2779" s="782">
        <v>2775</v>
      </c>
      <c r="T2779" s="782" t="s">
        <v>4284</v>
      </c>
      <c r="U2779" s="782" t="s">
        <v>2800</v>
      </c>
      <c r="V2779" s="797">
        <f>$S$1*P!V2779</f>
        <v>2.9064516129032264E-4</v>
      </c>
      <c r="W2779" s="780"/>
      <c r="X2779" s="782">
        <v>2775</v>
      </c>
      <c r="Y2779" s="782" t="s">
        <v>2248</v>
      </c>
      <c r="Z2779" s="782" t="s">
        <v>3653</v>
      </c>
      <c r="AA2779" s="781">
        <f>$S$1*P!AA2779</f>
        <v>1.1207661290322581E-2</v>
      </c>
      <c r="AB2779" s="780"/>
      <c r="AC2779" s="782">
        <v>2775</v>
      </c>
      <c r="AD2779" s="782" t="s">
        <v>4573</v>
      </c>
      <c r="AE2779" s="782" t="s">
        <v>2328</v>
      </c>
      <c r="AF2779" s="781">
        <f>$S$1*P!AF2779</f>
        <v>8.9455645161290329E-2</v>
      </c>
    </row>
    <row r="2780" spans="19:32" x14ac:dyDescent="0.35">
      <c r="S2780" s="881">
        <v>2776</v>
      </c>
      <c r="T2780" s="881" t="s">
        <v>4284</v>
      </c>
      <c r="U2780" s="881" t="s">
        <v>2800</v>
      </c>
      <c r="V2780" s="883">
        <f>$S$1*P!V2780</f>
        <v>1.1776</v>
      </c>
      <c r="W2780" s="780"/>
      <c r="X2780" s="782">
        <v>2776</v>
      </c>
      <c r="Y2780" s="782" t="s">
        <v>2248</v>
      </c>
      <c r="Z2780" s="782" t="s">
        <v>3436</v>
      </c>
      <c r="AA2780" s="781">
        <f>$S$1*P!AA2780</f>
        <v>1.5491935483870969E-3</v>
      </c>
      <c r="AB2780" s="780"/>
      <c r="AC2780" s="782">
        <v>2776</v>
      </c>
      <c r="AD2780" s="782" t="s">
        <v>4573</v>
      </c>
      <c r="AE2780" s="782" t="s">
        <v>2325</v>
      </c>
      <c r="AF2780" s="781">
        <f>$S$1*P!AF2780</f>
        <v>7.9173387096774205E-3</v>
      </c>
    </row>
    <row r="2781" spans="19:32" x14ac:dyDescent="0.35">
      <c r="S2781" s="881">
        <v>2777</v>
      </c>
      <c r="T2781" s="881" t="s">
        <v>4284</v>
      </c>
      <c r="U2781" s="881" t="s">
        <v>2798</v>
      </c>
      <c r="V2781" s="883">
        <f>$S$1*P!V2781</f>
        <v>0</v>
      </c>
      <c r="W2781" s="780"/>
      <c r="X2781" s="782">
        <v>2777</v>
      </c>
      <c r="Y2781" s="782" t="s">
        <v>2248</v>
      </c>
      <c r="Z2781" s="782" t="s">
        <v>3650</v>
      </c>
      <c r="AA2781" s="781">
        <f>$S$1*P!AA2781</f>
        <v>1.9570564516129034E-4</v>
      </c>
      <c r="AB2781" s="780"/>
      <c r="AC2781" s="782">
        <v>2777</v>
      </c>
      <c r="AD2781" s="782" t="s">
        <v>4573</v>
      </c>
      <c r="AE2781" s="782" t="s">
        <v>2322</v>
      </c>
      <c r="AF2781" s="781">
        <f>$S$1*P!AF2781</f>
        <v>4.2842741935483876E-3</v>
      </c>
    </row>
    <row r="2782" spans="19:32" x14ac:dyDescent="0.35">
      <c r="S2782" s="782">
        <v>2778</v>
      </c>
      <c r="T2782" s="782" t="s">
        <v>4284</v>
      </c>
      <c r="U2782" s="782" t="s">
        <v>2827</v>
      </c>
      <c r="V2782" s="797">
        <f>$S$1*P!V2782</f>
        <v>1.7719758064516131E-2</v>
      </c>
      <c r="W2782" s="780"/>
      <c r="X2782" s="782">
        <v>2778</v>
      </c>
      <c r="Y2782" s="782" t="s">
        <v>2248</v>
      </c>
      <c r="Z2782" s="782" t="s">
        <v>3647</v>
      </c>
      <c r="AA2782" s="781">
        <f>$S$1*P!AA2782</f>
        <v>1.7719758064516132E-5</v>
      </c>
      <c r="AB2782" s="780"/>
      <c r="AC2782" s="782">
        <v>2778</v>
      </c>
      <c r="AD2782" s="782" t="s">
        <v>4573</v>
      </c>
      <c r="AE2782" s="782" t="s">
        <v>2320</v>
      </c>
      <c r="AF2782" s="781">
        <f>$S$1*P!AF2782</f>
        <v>3.1395161290322583E-2</v>
      </c>
    </row>
    <row r="2783" spans="19:32" x14ac:dyDescent="0.35">
      <c r="S2783" s="782">
        <v>2779</v>
      </c>
      <c r="T2783" s="782" t="s">
        <v>4284</v>
      </c>
      <c r="U2783" s="782" t="s">
        <v>2824</v>
      </c>
      <c r="V2783" s="797">
        <f>$S$1*P!V2783</f>
        <v>3.180645161290323</v>
      </c>
      <c r="W2783" s="780"/>
      <c r="X2783" s="782">
        <v>2779</v>
      </c>
      <c r="Y2783" s="782" t="s">
        <v>2248</v>
      </c>
      <c r="Z2783" s="782" t="s">
        <v>4914</v>
      </c>
      <c r="AA2783" s="781">
        <f>$S$1*P!AA2783</f>
        <v>3.3451612903225808E-3</v>
      </c>
      <c r="AB2783" s="780"/>
      <c r="AC2783" s="881">
        <v>2779</v>
      </c>
      <c r="AD2783" s="881" t="s">
        <v>4573</v>
      </c>
      <c r="AE2783" s="881" t="s">
        <v>2636</v>
      </c>
      <c r="AF2783" s="890">
        <f>$S$1*P!AF2783</f>
        <v>2.3000000000000003</v>
      </c>
    </row>
    <row r="2784" spans="19:32" x14ac:dyDescent="0.35">
      <c r="S2784" s="881">
        <v>2780</v>
      </c>
      <c r="T2784" s="881" t="s">
        <v>4284</v>
      </c>
      <c r="U2784" s="881" t="s">
        <v>2797</v>
      </c>
      <c r="V2784" s="883">
        <f>$S$1*P!V2784</f>
        <v>1.7387999999999999</v>
      </c>
      <c r="W2784" s="780"/>
      <c r="X2784" s="782">
        <v>2780</v>
      </c>
      <c r="Y2784" s="782" t="s">
        <v>2248</v>
      </c>
      <c r="Z2784" s="782" t="s">
        <v>3641</v>
      </c>
      <c r="AA2784" s="781">
        <f>$S$1*P!AA2784</f>
        <v>1.7788306451612904E-3</v>
      </c>
      <c r="AB2784" s="780"/>
      <c r="AC2784" s="782">
        <v>2780</v>
      </c>
      <c r="AD2784" s="782" t="s">
        <v>4573</v>
      </c>
      <c r="AE2784" s="782" t="s">
        <v>2317</v>
      </c>
      <c r="AF2784" s="781">
        <f>$S$1*P!AF2784</f>
        <v>3.7701612903225809E-2</v>
      </c>
    </row>
    <row r="2785" spans="19:32" x14ac:dyDescent="0.35">
      <c r="S2785" s="782">
        <v>2781</v>
      </c>
      <c r="T2785" s="782" t="s">
        <v>4284</v>
      </c>
      <c r="U2785" s="782" t="s">
        <v>2822</v>
      </c>
      <c r="V2785" s="797">
        <f>$S$1*P!V2785</f>
        <v>5.5866935483870977E-4</v>
      </c>
      <c r="W2785" s="780"/>
      <c r="X2785" s="782">
        <v>2781</v>
      </c>
      <c r="Y2785" s="782" t="s">
        <v>2248</v>
      </c>
      <c r="Z2785" s="782" t="s">
        <v>3637</v>
      </c>
      <c r="AA2785" s="781">
        <f>$S$1*P!AA2785</f>
        <v>8.3971774193548399E-2</v>
      </c>
      <c r="AB2785" s="780"/>
      <c r="AC2785" s="782">
        <v>2781</v>
      </c>
      <c r="AD2785" s="782" t="s">
        <v>4573</v>
      </c>
      <c r="AE2785" s="782" t="s">
        <v>2314</v>
      </c>
      <c r="AF2785" s="781">
        <f>$S$1*P!AF2785</f>
        <v>1.2407258064516129E-2</v>
      </c>
    </row>
    <row r="2786" spans="19:32" x14ac:dyDescent="0.35">
      <c r="S2786" s="881">
        <v>2782</v>
      </c>
      <c r="T2786" s="881" t="s">
        <v>4284</v>
      </c>
      <c r="U2786" s="881" t="s">
        <v>2796</v>
      </c>
      <c r="V2786" s="883">
        <f>$S$1*P!V2786</f>
        <v>0.32752000000000003</v>
      </c>
      <c r="W2786" s="780"/>
      <c r="X2786" s="782">
        <v>2782</v>
      </c>
      <c r="Y2786" s="782" t="s">
        <v>2248</v>
      </c>
      <c r="Z2786" s="782" t="s">
        <v>4913</v>
      </c>
      <c r="AA2786" s="781">
        <f>$S$1*P!AA2786</f>
        <v>1.9981854838709678E-2</v>
      </c>
      <c r="AB2786" s="780"/>
      <c r="AC2786" s="782">
        <v>2782</v>
      </c>
      <c r="AD2786" s="782" t="s">
        <v>4573</v>
      </c>
      <c r="AE2786" s="782" t="s">
        <v>2311</v>
      </c>
      <c r="AF2786" s="781">
        <f>$S$1*P!AF2786</f>
        <v>3.3211693548387102E-3</v>
      </c>
    </row>
    <row r="2787" spans="19:32" x14ac:dyDescent="0.35">
      <c r="S2787" s="782">
        <v>2783</v>
      </c>
      <c r="T2787" s="782" t="s">
        <v>4284</v>
      </c>
      <c r="U2787" s="782" t="s">
        <v>2819</v>
      </c>
      <c r="V2787" s="797">
        <f>$S$1*P!V2787</f>
        <v>9.596774193548388E-3</v>
      </c>
      <c r="W2787" s="780"/>
      <c r="X2787" s="782">
        <v>2783</v>
      </c>
      <c r="Y2787" s="782" t="s">
        <v>2248</v>
      </c>
      <c r="Z2787" s="782" t="s">
        <v>3634</v>
      </c>
      <c r="AA2787" s="781">
        <f>$S$1*P!AA2787</f>
        <v>1.7582661290322581</v>
      </c>
      <c r="AB2787" s="780"/>
      <c r="AC2787" s="782">
        <v>2783</v>
      </c>
      <c r="AD2787" s="782" t="s">
        <v>4573</v>
      </c>
      <c r="AE2787" s="782" t="s">
        <v>2309</v>
      </c>
      <c r="AF2787" s="781">
        <f>$S$1*P!AF2787</f>
        <v>338.97177419354841</v>
      </c>
    </row>
    <row r="2788" spans="19:32" x14ac:dyDescent="0.35">
      <c r="S2788" s="782">
        <v>2784</v>
      </c>
      <c r="T2788" s="782" t="s">
        <v>4284</v>
      </c>
      <c r="U2788" s="782" t="s">
        <v>2795</v>
      </c>
      <c r="V2788" s="797">
        <f>$S$1*P!V2788</f>
        <v>1.333266129032258E-3</v>
      </c>
      <c r="W2788" s="780"/>
      <c r="X2788" s="782">
        <v>2784</v>
      </c>
      <c r="Y2788" s="782" t="s">
        <v>2248</v>
      </c>
      <c r="Z2788" s="782" t="s">
        <v>3628</v>
      </c>
      <c r="AA2788" s="781">
        <f>$S$1*P!AA2788</f>
        <v>8.5000000000000006E-2</v>
      </c>
      <c r="AB2788" s="780"/>
      <c r="AC2788" s="782">
        <v>2784</v>
      </c>
      <c r="AD2788" s="782" t="s">
        <v>4573</v>
      </c>
      <c r="AE2788" s="782" t="s">
        <v>2306</v>
      </c>
      <c r="AF2788" s="781">
        <f>$S$1*P!AF2788</f>
        <v>3.2286290322580645E-2</v>
      </c>
    </row>
    <row r="2789" spans="19:32" x14ac:dyDescent="0.35">
      <c r="S2789" s="881">
        <v>2785</v>
      </c>
      <c r="T2789" s="881" t="s">
        <v>4284</v>
      </c>
      <c r="U2789" s="881" t="s">
        <v>2795</v>
      </c>
      <c r="V2789" s="883">
        <f>$S$1*P!V2789</f>
        <v>0</v>
      </c>
      <c r="W2789" s="780"/>
      <c r="X2789" s="881">
        <v>2785</v>
      </c>
      <c r="Y2789" s="881" t="s">
        <v>2248</v>
      </c>
      <c r="Z2789" s="881" t="s">
        <v>3012</v>
      </c>
      <c r="AA2789" s="882">
        <f>$S$1*P!AA2789</f>
        <v>0</v>
      </c>
      <c r="AB2789" s="780"/>
      <c r="AC2789" s="881">
        <v>2785</v>
      </c>
      <c r="AD2789" s="881" t="s">
        <v>4573</v>
      </c>
      <c r="AE2789" s="881" t="s">
        <v>2306</v>
      </c>
      <c r="AF2789" s="890">
        <f>$S$1*P!AF2789</f>
        <v>0</v>
      </c>
    </row>
    <row r="2790" spans="19:32" x14ac:dyDescent="0.35">
      <c r="S2790" s="782">
        <v>2786</v>
      </c>
      <c r="T2790" s="782" t="s">
        <v>4284</v>
      </c>
      <c r="U2790" s="782" t="s">
        <v>2814</v>
      </c>
      <c r="V2790" s="797">
        <f>$S$1*P!V2790</f>
        <v>1.7651209677419356E-3</v>
      </c>
      <c r="W2790" s="780"/>
      <c r="X2790" s="782">
        <v>2786</v>
      </c>
      <c r="Y2790" s="782" t="s">
        <v>2248</v>
      </c>
      <c r="Z2790" s="782" t="s">
        <v>4912</v>
      </c>
      <c r="AA2790" s="781">
        <f>$S$1*P!AA2790</f>
        <v>4.9354838709677424E-4</v>
      </c>
      <c r="AB2790" s="780"/>
      <c r="AC2790" s="782">
        <v>2786</v>
      </c>
      <c r="AD2790" s="782" t="s">
        <v>4573</v>
      </c>
      <c r="AE2790" s="782" t="s">
        <v>2303</v>
      </c>
      <c r="AF2790" s="781">
        <f>$S$1*P!AF2790</f>
        <v>0.57580645161290323</v>
      </c>
    </row>
    <row r="2791" spans="19:32" x14ac:dyDescent="0.35">
      <c r="S2791" s="782">
        <v>2787</v>
      </c>
      <c r="T2791" s="782" t="s">
        <v>4284</v>
      </c>
      <c r="U2791" s="782" t="s">
        <v>2812</v>
      </c>
      <c r="V2791" s="797">
        <f>$S$1*P!V2791</f>
        <v>3.2423387096774198E-2</v>
      </c>
      <c r="W2791" s="780"/>
      <c r="X2791" s="782">
        <v>2787</v>
      </c>
      <c r="Y2791" s="782" t="s">
        <v>2248</v>
      </c>
      <c r="Z2791" s="782" t="s">
        <v>3012</v>
      </c>
      <c r="AA2791" s="781">
        <f>$S$1*P!AA2791</f>
        <v>2.573991935483871E-2</v>
      </c>
      <c r="AB2791" s="780"/>
      <c r="AC2791" s="782">
        <v>2787</v>
      </c>
      <c r="AD2791" s="782" t="s">
        <v>4573</v>
      </c>
      <c r="AE2791" s="782" t="s">
        <v>2300</v>
      </c>
      <c r="AF2791" s="781">
        <f>$S$1*P!AF2791</f>
        <v>0.11995967741935484</v>
      </c>
    </row>
    <row r="2792" spans="19:32" x14ac:dyDescent="0.35">
      <c r="S2792" s="782">
        <v>2788</v>
      </c>
      <c r="T2792" s="782" t="s">
        <v>4284</v>
      </c>
      <c r="U2792" s="782" t="s">
        <v>2809</v>
      </c>
      <c r="V2792" s="797">
        <f>$S$1*P!V2792</f>
        <v>5.5181451612903228E-2</v>
      </c>
      <c r="W2792" s="780"/>
      <c r="X2792" s="782">
        <v>2788</v>
      </c>
      <c r="Y2792" s="782" t="s">
        <v>2248</v>
      </c>
      <c r="Z2792" s="782" t="s">
        <v>3619</v>
      </c>
      <c r="AA2792" s="781">
        <f>$S$1*P!AA2792</f>
        <v>8.2258064516129034E-2</v>
      </c>
      <c r="AB2792" s="780"/>
      <c r="AC2792" s="782">
        <v>2788</v>
      </c>
      <c r="AD2792" s="782" t="s">
        <v>4573</v>
      </c>
      <c r="AE2792" s="782" t="s">
        <v>2297</v>
      </c>
      <c r="AF2792" s="781">
        <f>$S$1*P!AF2792</f>
        <v>15.697580645161292</v>
      </c>
    </row>
    <row r="2793" spans="19:32" x14ac:dyDescent="0.35">
      <c r="S2793" s="782">
        <v>2789</v>
      </c>
      <c r="T2793" s="782" t="s">
        <v>4284</v>
      </c>
      <c r="U2793" s="782" t="s">
        <v>2806</v>
      </c>
      <c r="V2793" s="797">
        <f>$S$1*P!V2793</f>
        <v>5.6209677419354846E-3</v>
      </c>
      <c r="W2793" s="780"/>
      <c r="X2793" s="782">
        <v>2789</v>
      </c>
      <c r="Y2793" s="782" t="s">
        <v>2248</v>
      </c>
      <c r="Z2793" s="782" t="s">
        <v>4911</v>
      </c>
      <c r="AA2793" s="781">
        <f>$S$1*P!AA2793</f>
        <v>9.5967741935483873E-5</v>
      </c>
      <c r="AB2793" s="780"/>
      <c r="AC2793" s="782">
        <v>2789</v>
      </c>
      <c r="AD2793" s="782" t="s">
        <v>4573</v>
      </c>
      <c r="AE2793" s="782" t="s">
        <v>2295</v>
      </c>
      <c r="AF2793" s="781">
        <f>$S$1*P!AF2793</f>
        <v>32.183467741935488</v>
      </c>
    </row>
    <row r="2794" spans="19:32" x14ac:dyDescent="0.35">
      <c r="S2794" s="782">
        <v>2790</v>
      </c>
      <c r="T2794" s="782" t="s">
        <v>4284</v>
      </c>
      <c r="U2794" s="782" t="s">
        <v>2793</v>
      </c>
      <c r="V2794" s="797">
        <f>$S$1*P!V2794</f>
        <v>1.5114919354838711E-3</v>
      </c>
      <c r="W2794" s="780"/>
      <c r="X2794" s="881">
        <v>2790</v>
      </c>
      <c r="Y2794" s="881" t="s">
        <v>2248</v>
      </c>
      <c r="Z2794" s="881" t="s">
        <v>3010</v>
      </c>
      <c r="AA2794" s="882">
        <f>$S$1*P!AA2794</f>
        <v>0</v>
      </c>
      <c r="AB2794" s="780"/>
      <c r="AC2794" s="782">
        <v>2790</v>
      </c>
      <c r="AD2794" s="782" t="s">
        <v>4573</v>
      </c>
      <c r="AE2794" s="782" t="s">
        <v>2292</v>
      </c>
      <c r="AF2794" s="781">
        <f>$S$1*P!AF2794</f>
        <v>11.00201612903226</v>
      </c>
    </row>
    <row r="2795" spans="19:32" x14ac:dyDescent="0.35">
      <c r="S2795" s="881">
        <v>2791</v>
      </c>
      <c r="T2795" s="881" t="s">
        <v>4284</v>
      </c>
      <c r="U2795" s="881" t="s">
        <v>2793</v>
      </c>
      <c r="V2795" s="883">
        <f>$S$1*P!V2795</f>
        <v>0</v>
      </c>
      <c r="W2795" s="780"/>
      <c r="X2795" s="782">
        <v>2791</v>
      </c>
      <c r="Y2795" s="782" t="s">
        <v>2248</v>
      </c>
      <c r="Z2795" s="782" t="s">
        <v>3010</v>
      </c>
      <c r="AA2795" s="781">
        <f>$S$1*P!AA2795</f>
        <v>472.98387096774195</v>
      </c>
      <c r="AB2795" s="780"/>
      <c r="AC2795" s="782">
        <v>2791</v>
      </c>
      <c r="AD2795" s="782" t="s">
        <v>4573</v>
      </c>
      <c r="AE2795" s="782" t="s">
        <v>2289</v>
      </c>
      <c r="AF2795" s="781">
        <f>$S$1*P!AF2795</f>
        <v>1.6348790322580646</v>
      </c>
    </row>
    <row r="2796" spans="19:32" x14ac:dyDescent="0.35">
      <c r="S2796" s="782">
        <v>2792</v>
      </c>
      <c r="T2796" s="782" t="s">
        <v>4284</v>
      </c>
      <c r="U2796" s="782" t="s">
        <v>2801</v>
      </c>
      <c r="V2796" s="797">
        <f>$S$1*P!V2796</f>
        <v>1.192741935483871E-4</v>
      </c>
      <c r="W2796" s="780"/>
      <c r="X2796" s="782">
        <v>2792</v>
      </c>
      <c r="Y2796" s="782" t="s">
        <v>2248</v>
      </c>
      <c r="Z2796" s="782" t="s">
        <v>4910</v>
      </c>
      <c r="AA2796" s="781">
        <f>$S$1*P!AA2796</f>
        <v>9.425403225806452E-4</v>
      </c>
      <c r="AB2796" s="780"/>
      <c r="AC2796" s="782">
        <v>2792</v>
      </c>
      <c r="AD2796" s="782" t="s">
        <v>4573</v>
      </c>
      <c r="AE2796" s="782" t="s">
        <v>2286</v>
      </c>
      <c r="AF2796" s="781">
        <f>$S$1*P!AF2796</f>
        <v>4.7983870967741939</v>
      </c>
    </row>
    <row r="2797" spans="19:32" x14ac:dyDescent="0.35">
      <c r="S2797" s="782">
        <v>2793</v>
      </c>
      <c r="T2797" s="782" t="s">
        <v>4284</v>
      </c>
      <c r="U2797" s="782" t="s">
        <v>2799</v>
      </c>
      <c r="V2797" s="797">
        <f>$S$1*P!V2797</f>
        <v>1.206451612903226E-2</v>
      </c>
      <c r="W2797" s="780"/>
      <c r="X2797" s="782">
        <v>2793</v>
      </c>
      <c r="Y2797" s="782" t="s">
        <v>2248</v>
      </c>
      <c r="Z2797" s="782" t="s">
        <v>3614</v>
      </c>
      <c r="AA2797" s="781">
        <f>$S$1*P!AA2797</f>
        <v>4.0443548387096779</v>
      </c>
      <c r="AB2797" s="780"/>
      <c r="AC2797" s="782">
        <v>2793</v>
      </c>
      <c r="AD2797" s="782" t="s">
        <v>4573</v>
      </c>
      <c r="AE2797" s="782" t="s">
        <v>2284</v>
      </c>
      <c r="AF2797" s="781">
        <f>$S$1*P!AF2797</f>
        <v>101.45161290322581</v>
      </c>
    </row>
    <row r="2798" spans="19:32" x14ac:dyDescent="0.35">
      <c r="S2798" s="782">
        <v>2794</v>
      </c>
      <c r="T2798" s="782" t="s">
        <v>4284</v>
      </c>
      <c r="U2798" s="782" t="s">
        <v>2792</v>
      </c>
      <c r="V2798" s="797">
        <f>$S$1*P!V2798</f>
        <v>8.4657258064516137E-4</v>
      </c>
      <c r="W2798" s="780"/>
      <c r="X2798" s="881">
        <v>2794</v>
      </c>
      <c r="Y2798" s="881" t="s">
        <v>2248</v>
      </c>
      <c r="Z2798" s="881" t="s">
        <v>3009</v>
      </c>
      <c r="AA2798" s="882">
        <f>$S$1*P!AA2798</f>
        <v>0</v>
      </c>
      <c r="AB2798" s="780"/>
      <c r="AC2798" s="782">
        <v>2794</v>
      </c>
      <c r="AD2798" s="782" t="s">
        <v>4573</v>
      </c>
      <c r="AE2798" s="782" t="s">
        <v>2281</v>
      </c>
      <c r="AF2798" s="781">
        <f>$S$1*P!AF2798</f>
        <v>1.0522177419354839E-5</v>
      </c>
    </row>
    <row r="2799" spans="19:32" x14ac:dyDescent="0.35">
      <c r="S2799" s="881">
        <v>2795</v>
      </c>
      <c r="T2799" s="881" t="s">
        <v>4284</v>
      </c>
      <c r="U2799" s="881" t="s">
        <v>2792</v>
      </c>
      <c r="V2799" s="883">
        <f>$S$1*P!V2799</f>
        <v>0.47011999999999998</v>
      </c>
      <c r="W2799" s="780"/>
      <c r="X2799" s="782">
        <v>2795</v>
      </c>
      <c r="Y2799" s="782" t="s">
        <v>2248</v>
      </c>
      <c r="Z2799" s="782" t="s">
        <v>3009</v>
      </c>
      <c r="AA2799" s="781">
        <f>$S$1*P!AA2799</f>
        <v>42.5</v>
      </c>
      <c r="AB2799" s="780"/>
      <c r="AC2799" s="782">
        <v>2795</v>
      </c>
      <c r="AD2799" s="782" t="s">
        <v>4573</v>
      </c>
      <c r="AE2799" s="782" t="s">
        <v>2278</v>
      </c>
      <c r="AF2799" s="781">
        <f>$S$1*P!AF2799</f>
        <v>2.597983870967742E-9</v>
      </c>
    </row>
    <row r="2800" spans="19:32" x14ac:dyDescent="0.35">
      <c r="S2800" s="782">
        <v>2796</v>
      </c>
      <c r="T2800" s="782" t="s">
        <v>4284</v>
      </c>
      <c r="U2800" s="782" t="s">
        <v>2794</v>
      </c>
      <c r="V2800" s="797">
        <f>$S$1*P!V2800</f>
        <v>3.7016129032258066E-2</v>
      </c>
      <c r="W2800" s="780"/>
      <c r="X2800" s="782">
        <v>2796</v>
      </c>
      <c r="Y2800" s="782" t="s">
        <v>2248</v>
      </c>
      <c r="Z2800" s="782" t="s">
        <v>4909</v>
      </c>
      <c r="AA2800" s="781">
        <f>$S$1*P!AA2800</f>
        <v>1.3778225806451614E-2</v>
      </c>
      <c r="AB2800" s="780"/>
      <c r="AC2800" s="782">
        <v>2796</v>
      </c>
      <c r="AD2800" s="782" t="s">
        <v>4573</v>
      </c>
      <c r="AE2800" s="782" t="s">
        <v>2275</v>
      </c>
      <c r="AF2800" s="781">
        <f>$S$1*P!AF2800</f>
        <v>8.5685483870967752E-5</v>
      </c>
    </row>
    <row r="2801" spans="19:32" x14ac:dyDescent="0.35">
      <c r="S2801" s="782">
        <v>2797</v>
      </c>
      <c r="T2801" s="782" t="s">
        <v>4284</v>
      </c>
      <c r="U2801" s="782" t="s">
        <v>2791</v>
      </c>
      <c r="V2801" s="797">
        <f>$S$1*P!V2801</f>
        <v>0.12372983870967742</v>
      </c>
      <c r="W2801" s="780"/>
      <c r="X2801" s="782">
        <v>2797</v>
      </c>
      <c r="Y2801" s="782" t="s">
        <v>2248</v>
      </c>
      <c r="Z2801" s="782" t="s">
        <v>3608</v>
      </c>
      <c r="AA2801" s="781">
        <f>$S$1*P!AA2801</f>
        <v>2.3546370967741936E-2</v>
      </c>
      <c r="AB2801" s="780"/>
      <c r="AC2801" s="881">
        <v>2797</v>
      </c>
      <c r="AD2801" s="881" t="s">
        <v>4573</v>
      </c>
      <c r="AE2801" s="881" t="s">
        <v>2275</v>
      </c>
      <c r="AF2801" s="890">
        <f>$S$1*P!AF2801</f>
        <v>0</v>
      </c>
    </row>
    <row r="2802" spans="19:32" x14ac:dyDescent="0.35">
      <c r="S2802" s="782">
        <v>2798</v>
      </c>
      <c r="T2802" s="782" t="s">
        <v>4284</v>
      </c>
      <c r="U2802" s="782" t="s">
        <v>2790</v>
      </c>
      <c r="V2802" s="797">
        <f>$S$1*P!V2802</f>
        <v>1.960483870967742E-2</v>
      </c>
      <c r="W2802" s="780"/>
      <c r="X2802" s="881">
        <v>2798</v>
      </c>
      <c r="Y2802" s="881" t="s">
        <v>2248</v>
      </c>
      <c r="Z2802" s="881" t="s">
        <v>3007</v>
      </c>
      <c r="AA2802" s="882">
        <f>$S$1*P!AA2802</f>
        <v>0</v>
      </c>
      <c r="AB2802" s="780"/>
      <c r="AC2802" s="782">
        <v>2798</v>
      </c>
      <c r="AD2802" s="782" t="s">
        <v>4573</v>
      </c>
      <c r="AE2802" s="782" t="s">
        <v>2272</v>
      </c>
      <c r="AF2802" s="781">
        <f>$S$1*P!AF2802</f>
        <v>0.12304435483870969</v>
      </c>
    </row>
    <row r="2803" spans="19:32" x14ac:dyDescent="0.35">
      <c r="S2803" s="881">
        <v>2799</v>
      </c>
      <c r="T2803" s="881" t="s">
        <v>4284</v>
      </c>
      <c r="U2803" s="881" t="s">
        <v>2790</v>
      </c>
      <c r="V2803" s="883">
        <f>$S$1*P!V2803</f>
        <v>0</v>
      </c>
      <c r="W2803" s="780"/>
      <c r="X2803" s="782">
        <v>2799</v>
      </c>
      <c r="Y2803" s="782" t="s">
        <v>2248</v>
      </c>
      <c r="Z2803" s="782" t="s">
        <v>3007</v>
      </c>
      <c r="AA2803" s="781">
        <f>$S$1*P!AA2803</f>
        <v>2.1832661290322584</v>
      </c>
      <c r="AB2803" s="780"/>
      <c r="AC2803" s="782">
        <v>2799</v>
      </c>
      <c r="AD2803" s="782" t="s">
        <v>4573</v>
      </c>
      <c r="AE2803" s="782" t="s">
        <v>2270</v>
      </c>
      <c r="AF2803" s="781">
        <f>$S$1*P!AF2803</f>
        <v>2.0633064516129035E-2</v>
      </c>
    </row>
    <row r="2804" spans="19:32" x14ac:dyDescent="0.35">
      <c r="S2804" s="782">
        <v>2800</v>
      </c>
      <c r="T2804" s="782" t="s">
        <v>4284</v>
      </c>
      <c r="U2804" s="782" t="s">
        <v>2788</v>
      </c>
      <c r="V2804" s="797">
        <f>$S$1*P!V2804</f>
        <v>1.0659274193548387E-5</v>
      </c>
      <c r="W2804" s="780"/>
      <c r="X2804" s="782">
        <v>2800</v>
      </c>
      <c r="Y2804" s="782" t="s">
        <v>2248</v>
      </c>
      <c r="Z2804" s="782" t="s">
        <v>4908</v>
      </c>
      <c r="AA2804" s="781">
        <f>$S$1*P!AA2804</f>
        <v>7.9173387096774202E-4</v>
      </c>
      <c r="AB2804" s="780"/>
      <c r="AC2804" s="782">
        <v>2800</v>
      </c>
      <c r="AD2804" s="782" t="s">
        <v>4573</v>
      </c>
      <c r="AE2804" s="782" t="s">
        <v>2267</v>
      </c>
      <c r="AF2804" s="781">
        <f>$S$1*P!AF2804</f>
        <v>6.5463709677419366E-2</v>
      </c>
    </row>
    <row r="2805" spans="19:32" x14ac:dyDescent="0.35">
      <c r="S2805" s="782">
        <v>2801</v>
      </c>
      <c r="T2805" s="782" t="s">
        <v>4284</v>
      </c>
      <c r="U2805" s="782" t="s">
        <v>2785</v>
      </c>
      <c r="V2805" s="797">
        <f>$S$1*P!V2805</f>
        <v>5.1411290322580649E-4</v>
      </c>
      <c r="W2805" s="780"/>
      <c r="X2805" s="881">
        <v>2801</v>
      </c>
      <c r="Y2805" s="881" t="s">
        <v>2248</v>
      </c>
      <c r="Z2805" s="881" t="s">
        <v>3006</v>
      </c>
      <c r="AA2805" s="882">
        <f>$S$1*P!AA2805</f>
        <v>0</v>
      </c>
      <c r="AB2805" s="780"/>
      <c r="AC2805" s="782">
        <v>2801</v>
      </c>
      <c r="AD2805" s="782" t="s">
        <v>4573</v>
      </c>
      <c r="AE2805" s="782" t="s">
        <v>2264</v>
      </c>
      <c r="AF2805" s="781">
        <f>$S$1*P!AF2805</f>
        <v>1.1241935483870969E-2</v>
      </c>
    </row>
    <row r="2806" spans="19:32" x14ac:dyDescent="0.35">
      <c r="S2806" s="782">
        <v>2802</v>
      </c>
      <c r="T2806" s="782" t="s">
        <v>4284</v>
      </c>
      <c r="U2806" s="782" t="s">
        <v>2782</v>
      </c>
      <c r="V2806" s="797">
        <f>$S$1*P!V2806</f>
        <v>5.2439516129032266E-4</v>
      </c>
      <c r="W2806" s="780"/>
      <c r="X2806" s="782">
        <v>2802</v>
      </c>
      <c r="Y2806" s="782" t="s">
        <v>2248</v>
      </c>
      <c r="Z2806" s="782" t="s">
        <v>3006</v>
      </c>
      <c r="AA2806" s="781">
        <f>$S$1*P!AA2806</f>
        <v>3.9072580645161294</v>
      </c>
      <c r="AB2806" s="780"/>
      <c r="AC2806" s="881">
        <v>2802</v>
      </c>
      <c r="AD2806" s="881" t="s">
        <v>4573</v>
      </c>
      <c r="AE2806" s="881" t="s">
        <v>2634</v>
      </c>
      <c r="AF2806" s="890">
        <f>$S$1*P!AF2806</f>
        <v>14.719999999999999</v>
      </c>
    </row>
    <row r="2807" spans="19:32" x14ac:dyDescent="0.35">
      <c r="S2807" s="881">
        <v>2803</v>
      </c>
      <c r="T2807" s="881" t="s">
        <v>4284</v>
      </c>
      <c r="U2807" s="881" t="s">
        <v>2782</v>
      </c>
      <c r="V2807" s="883">
        <f>$S$1*P!V2807</f>
        <v>1380</v>
      </c>
      <c r="W2807" s="780"/>
      <c r="X2807" s="782">
        <v>2803</v>
      </c>
      <c r="Y2807" s="782" t="s">
        <v>2248</v>
      </c>
      <c r="Z2807" s="782" t="s">
        <v>4907</v>
      </c>
      <c r="AA2807" s="781">
        <f>$S$1*P!AA2807</f>
        <v>9.7338709677419362E-4</v>
      </c>
      <c r="AB2807" s="780"/>
      <c r="AC2807" s="782">
        <v>2803</v>
      </c>
      <c r="AD2807" s="782" t="s">
        <v>4573</v>
      </c>
      <c r="AE2807" s="782" t="s">
        <v>2261</v>
      </c>
      <c r="AF2807" s="781">
        <f>$S$1*P!AF2807</f>
        <v>0.11344758064516131</v>
      </c>
    </row>
    <row r="2808" spans="19:32" x14ac:dyDescent="0.35">
      <c r="S2808" s="881">
        <v>2804</v>
      </c>
      <c r="T2808" s="881" t="s">
        <v>4284</v>
      </c>
      <c r="U2808" s="881" t="s">
        <v>2789</v>
      </c>
      <c r="V2808" s="883">
        <f>$S$1*P!V2808</f>
        <v>938.40000000000009</v>
      </c>
      <c r="W2808" s="780"/>
      <c r="X2808" s="782">
        <v>2804</v>
      </c>
      <c r="Y2808" s="782" t="s">
        <v>2248</v>
      </c>
      <c r="Z2808" s="782" t="s">
        <v>3599</v>
      </c>
      <c r="AA2808" s="781">
        <f>$S$1*P!AA2808</f>
        <v>7.5060483870967754E-2</v>
      </c>
      <c r="AB2808" s="780"/>
      <c r="AC2808" s="782">
        <v>2804</v>
      </c>
      <c r="AD2808" s="782" t="s">
        <v>4573</v>
      </c>
      <c r="AE2808" s="782" t="s">
        <v>2259</v>
      </c>
      <c r="AF2808" s="781">
        <f>$S$1*P!AF2808</f>
        <v>0.24300403225806452</v>
      </c>
    </row>
    <row r="2809" spans="19:32" x14ac:dyDescent="0.35">
      <c r="S2809" s="881">
        <v>2805</v>
      </c>
      <c r="T2809" s="881" t="s">
        <v>4284</v>
      </c>
      <c r="U2809" s="881" t="s">
        <v>2787</v>
      </c>
      <c r="V2809" s="883">
        <f>$S$1*P!V2809</f>
        <v>0</v>
      </c>
      <c r="W2809" s="780"/>
      <c r="X2809" s="861">
        <v>2805</v>
      </c>
      <c r="Y2809" s="861" t="s">
        <v>2248</v>
      </c>
      <c r="Z2809" s="861" t="s">
        <v>4906</v>
      </c>
      <c r="AA2809" s="904">
        <f>$S$1*P!AA2809</f>
        <v>0.76140000000000008</v>
      </c>
      <c r="AB2809" s="780"/>
      <c r="AC2809" s="782">
        <v>2805</v>
      </c>
      <c r="AD2809" s="782" t="s">
        <v>4573</v>
      </c>
      <c r="AE2809" s="782" t="s">
        <v>2256</v>
      </c>
      <c r="AF2809" s="781">
        <f>$S$1*P!AF2809</f>
        <v>2.7899193548387097E-5</v>
      </c>
    </row>
    <row r="2810" spans="19:32" x14ac:dyDescent="0.35">
      <c r="S2810" s="782">
        <v>2806</v>
      </c>
      <c r="T2810" s="782" t="s">
        <v>4284</v>
      </c>
      <c r="U2810" s="782" t="s">
        <v>2780</v>
      </c>
      <c r="V2810" s="797">
        <f>$S$1*P!V2810</f>
        <v>2.7522177419354841E-2</v>
      </c>
      <c r="W2810" s="780"/>
      <c r="X2810" s="782">
        <v>2806</v>
      </c>
      <c r="Y2810" s="782" t="s">
        <v>2248</v>
      </c>
      <c r="Z2810" s="782" t="s">
        <v>3595</v>
      </c>
      <c r="AA2810" s="781">
        <f>$S$1*P!AA2810</f>
        <v>0.58266129032258074</v>
      </c>
      <c r="AB2810" s="780"/>
      <c r="AC2810" s="782">
        <v>2806</v>
      </c>
      <c r="AD2810" s="782" t="s">
        <v>4573</v>
      </c>
      <c r="AE2810" s="782" t="s">
        <v>2253</v>
      </c>
      <c r="AF2810" s="781">
        <f>$S$1*P!AF2810</f>
        <v>6.6491935483870973E-2</v>
      </c>
    </row>
    <row r="2811" spans="19:32" x14ac:dyDescent="0.35">
      <c r="S2811" s="782">
        <v>2807</v>
      </c>
      <c r="T2811" s="782" t="s">
        <v>4284</v>
      </c>
      <c r="U2811" s="782" t="s">
        <v>2779</v>
      </c>
      <c r="V2811" s="797">
        <f>$S$1*P!V2811</f>
        <v>1.6314516129032258E-4</v>
      </c>
      <c r="W2811" s="780"/>
      <c r="X2811" s="782">
        <v>2807</v>
      </c>
      <c r="Y2811" s="782" t="s">
        <v>2248</v>
      </c>
      <c r="Z2811" s="782" t="s">
        <v>4905</v>
      </c>
      <c r="AA2811" s="781">
        <f>$S$1*P!AA2811</f>
        <v>4.8669354838709681E-4</v>
      </c>
      <c r="AB2811" s="780"/>
      <c r="AC2811" s="782">
        <v>2807</v>
      </c>
      <c r="AD2811" s="782" t="s">
        <v>4573</v>
      </c>
      <c r="AE2811" s="782" t="s">
        <v>2250</v>
      </c>
      <c r="AF2811" s="781">
        <f>$S$1*P!AF2811</f>
        <v>3.838709677419355E-3</v>
      </c>
    </row>
    <row r="2812" spans="19:32" x14ac:dyDescent="0.35">
      <c r="S2812" s="782">
        <v>2808</v>
      </c>
      <c r="T2812" s="782" t="s">
        <v>4284</v>
      </c>
      <c r="U2812" s="782" t="s">
        <v>2776</v>
      </c>
      <c r="V2812" s="797">
        <f>$S$1*P!V2812</f>
        <v>5.9637096774193552E-3</v>
      </c>
      <c r="W2812" s="780"/>
      <c r="X2812" s="782">
        <v>2808</v>
      </c>
      <c r="Y2812" s="782" t="s">
        <v>2248</v>
      </c>
      <c r="Z2812" s="782" t="s">
        <v>3590</v>
      </c>
      <c r="AA2812" s="781">
        <f>$S$1*P!AA2812</f>
        <v>2.6322580645161291E-2</v>
      </c>
      <c r="AB2812" s="780"/>
      <c r="AC2812" s="782">
        <v>2808</v>
      </c>
      <c r="AD2812" s="782" t="s">
        <v>4573</v>
      </c>
      <c r="AE2812" s="782" t="s">
        <v>4389</v>
      </c>
      <c r="AF2812" s="781">
        <f>$S$1*P!AF2812</f>
        <v>6.8548387096774202E-4</v>
      </c>
    </row>
    <row r="2813" spans="19:32" x14ac:dyDescent="0.35">
      <c r="S2813" s="782">
        <v>2809</v>
      </c>
      <c r="T2813" s="782" t="s">
        <v>4284</v>
      </c>
      <c r="U2813" s="782" t="s">
        <v>2774</v>
      </c>
      <c r="V2813" s="797">
        <f>$S$1*P!V2813</f>
        <v>1.134475806451613E-3</v>
      </c>
      <c r="W2813" s="780"/>
      <c r="X2813" s="881">
        <v>2809</v>
      </c>
      <c r="Y2813" s="881" t="s">
        <v>2248</v>
      </c>
      <c r="Z2813" s="881" t="s">
        <v>3004</v>
      </c>
      <c r="AA2813" s="882">
        <f>$S$1*P!AA2813</f>
        <v>0.95679999999999998</v>
      </c>
      <c r="AB2813" s="780"/>
      <c r="AC2813" s="782">
        <v>2809</v>
      </c>
      <c r="AD2813" s="782" t="s">
        <v>4573</v>
      </c>
      <c r="AE2813" s="782" t="s">
        <v>4387</v>
      </c>
      <c r="AF2813" s="781">
        <f>$S$1*P!AF2813</f>
        <v>6.7862903225806464E-4</v>
      </c>
    </row>
    <row r="2814" spans="19:32" x14ac:dyDescent="0.35">
      <c r="S2814" s="782">
        <v>2810</v>
      </c>
      <c r="T2814" s="782" t="s">
        <v>4284</v>
      </c>
      <c r="U2814" s="782" t="s">
        <v>2772</v>
      </c>
      <c r="V2814" s="797">
        <f>$S$1*P!V2814</f>
        <v>3.5302419354838713E-3</v>
      </c>
      <c r="W2814" s="780"/>
      <c r="X2814" s="782">
        <v>2810</v>
      </c>
      <c r="Y2814" s="782" t="s">
        <v>2248</v>
      </c>
      <c r="Z2814" s="782" t="s">
        <v>4904</v>
      </c>
      <c r="AA2814" s="781">
        <f>$S$1*P!AA2814</f>
        <v>2.5671370967741938E-2</v>
      </c>
      <c r="AB2814" s="780"/>
      <c r="AC2814" s="782">
        <v>2810</v>
      </c>
      <c r="AD2814" s="782" t="s">
        <v>4573</v>
      </c>
      <c r="AE2814" s="782" t="s">
        <v>4386</v>
      </c>
      <c r="AF2814" s="781">
        <f>$S$1*P!AF2814</f>
        <v>2.7145161290322583E-2</v>
      </c>
    </row>
    <row r="2815" spans="19:32" x14ac:dyDescent="0.35">
      <c r="S2815" s="881">
        <v>2811</v>
      </c>
      <c r="T2815" s="881" t="s">
        <v>4284</v>
      </c>
      <c r="U2815" s="881" t="s">
        <v>2786</v>
      </c>
      <c r="V2815" s="883">
        <f>$S$1*P!V2815</f>
        <v>207</v>
      </c>
      <c r="W2815" s="780"/>
      <c r="X2815" s="782">
        <v>2811</v>
      </c>
      <c r="Y2815" s="782" t="s">
        <v>2248</v>
      </c>
      <c r="Z2815" s="782" t="s">
        <v>3584</v>
      </c>
      <c r="AA2815" s="781">
        <f>$S$1*P!AA2815</f>
        <v>7.3004032258064521E-3</v>
      </c>
      <c r="AB2815" s="780"/>
      <c r="AC2815" s="782">
        <v>2811</v>
      </c>
      <c r="AD2815" s="782" t="s">
        <v>4573</v>
      </c>
      <c r="AE2815" s="782" t="s">
        <v>4384</v>
      </c>
      <c r="AF2815" s="781">
        <f>$S$1*P!AF2815</f>
        <v>7.4717741935483874E-4</v>
      </c>
    </row>
    <row r="2816" spans="19:32" x14ac:dyDescent="0.35">
      <c r="S2816" s="782">
        <v>2812</v>
      </c>
      <c r="T2816" s="782" t="s">
        <v>4284</v>
      </c>
      <c r="U2816" s="782" t="s">
        <v>2770</v>
      </c>
      <c r="V2816" s="797">
        <f>$S$1*P!V2816</f>
        <v>6.9576612903225815E-3</v>
      </c>
      <c r="W2816" s="780"/>
      <c r="X2816" s="782">
        <v>2812</v>
      </c>
      <c r="Y2816" s="782" t="s">
        <v>2248</v>
      </c>
      <c r="Z2816" s="782" t="s">
        <v>3580</v>
      </c>
      <c r="AA2816" s="781">
        <f>$S$1*P!AA2816</f>
        <v>6.8205645161290322E-4</v>
      </c>
      <c r="AB2816" s="780"/>
      <c r="AC2816" s="782">
        <v>2812</v>
      </c>
      <c r="AD2816" s="782" t="s">
        <v>4573</v>
      </c>
      <c r="AE2816" s="782" t="s">
        <v>4383</v>
      </c>
      <c r="AF2816" s="781">
        <f>$S$1*P!AF2816</f>
        <v>8.3286290322580656E-2</v>
      </c>
    </row>
    <row r="2817" spans="19:32" x14ac:dyDescent="0.35">
      <c r="S2817" s="782">
        <v>2813</v>
      </c>
      <c r="T2817" s="782" t="s">
        <v>4284</v>
      </c>
      <c r="U2817" s="782" t="s">
        <v>2767</v>
      </c>
      <c r="V2817" s="797">
        <f>$S$1*P!V2817</f>
        <v>3.701612903225807E-5</v>
      </c>
      <c r="W2817" s="780"/>
      <c r="X2817" s="782">
        <v>2813</v>
      </c>
      <c r="Y2817" s="782" t="s">
        <v>2248</v>
      </c>
      <c r="Z2817" s="782" t="s">
        <v>4903</v>
      </c>
      <c r="AA2817" s="781">
        <f>$S$1*P!AA2817</f>
        <v>8.6028225806451614E-2</v>
      </c>
      <c r="AB2817" s="780"/>
      <c r="AC2817" s="782">
        <v>2813</v>
      </c>
      <c r="AD2817" s="782" t="s">
        <v>4573</v>
      </c>
      <c r="AE2817" s="782" t="s">
        <v>4381</v>
      </c>
      <c r="AF2817" s="781">
        <f>$S$1*P!AF2817</f>
        <v>3.8729838709677424E-2</v>
      </c>
    </row>
    <row r="2818" spans="19:32" x14ac:dyDescent="0.35">
      <c r="S2818" s="782">
        <v>2814</v>
      </c>
      <c r="T2818" s="782" t="s">
        <v>4284</v>
      </c>
      <c r="U2818" s="782" t="s">
        <v>2764</v>
      </c>
      <c r="V2818" s="797">
        <f>$S$1*P!V2818</f>
        <v>3.1052419354838712E-2</v>
      </c>
      <c r="W2818" s="780"/>
      <c r="X2818" s="782">
        <v>2814</v>
      </c>
      <c r="Y2818" s="782" t="s">
        <v>2248</v>
      </c>
      <c r="Z2818" s="782" t="s">
        <v>3575</v>
      </c>
      <c r="AA2818" s="781">
        <f>$S$1*P!AA2818</f>
        <v>3.9072580645161292E-4</v>
      </c>
      <c r="AB2818" s="780"/>
      <c r="AC2818" s="782">
        <v>2814</v>
      </c>
      <c r="AD2818" s="782" t="s">
        <v>4573</v>
      </c>
      <c r="AE2818" s="782" t="s">
        <v>4380</v>
      </c>
      <c r="AF2818" s="781">
        <f>$S$1*P!AF2818</f>
        <v>40.443548387096776</v>
      </c>
    </row>
    <row r="2819" spans="19:32" x14ac:dyDescent="0.35">
      <c r="S2819" s="782">
        <v>2815</v>
      </c>
      <c r="T2819" s="782" t="s">
        <v>4284</v>
      </c>
      <c r="U2819" s="782" t="s">
        <v>2762</v>
      </c>
      <c r="V2819" s="797">
        <f>$S$1*P!V2819</f>
        <v>1.7171370967741938E-3</v>
      </c>
      <c r="W2819" s="780"/>
      <c r="X2819" s="782">
        <v>2815</v>
      </c>
      <c r="Y2819" s="782" t="s">
        <v>2248</v>
      </c>
      <c r="Z2819" s="782" t="s">
        <v>3571</v>
      </c>
      <c r="AA2819" s="781">
        <f>$S$1*P!AA2819</f>
        <v>6.6834677419354846E-3</v>
      </c>
      <c r="AB2819" s="780"/>
      <c r="AC2819" s="881">
        <v>2815</v>
      </c>
      <c r="AD2819" s="881" t="s">
        <v>4573</v>
      </c>
      <c r="AE2819" s="881" t="s">
        <v>2632</v>
      </c>
      <c r="AF2819" s="890">
        <f>$S$1*P!AF2819</f>
        <v>0</v>
      </c>
    </row>
    <row r="2820" spans="19:32" x14ac:dyDescent="0.35">
      <c r="S2820" s="782">
        <v>2816</v>
      </c>
      <c r="T2820" s="782" t="s">
        <v>4284</v>
      </c>
      <c r="U2820" s="782" t="s">
        <v>2759</v>
      </c>
      <c r="V2820" s="797">
        <f>$S$1*P!V2820</f>
        <v>4.7983870967741937E-5</v>
      </c>
      <c r="W2820" s="780"/>
      <c r="X2820" s="782">
        <v>2816</v>
      </c>
      <c r="Y2820" s="782" t="s">
        <v>2248</v>
      </c>
      <c r="Z2820" s="782" t="s">
        <v>3568</v>
      </c>
      <c r="AA2820" s="781">
        <f>$S$1*P!AA2820</f>
        <v>0.14635080645161291</v>
      </c>
      <c r="AB2820" s="780"/>
      <c r="AC2820" s="881">
        <v>2816</v>
      </c>
      <c r="AD2820" s="881" t="s">
        <v>4573</v>
      </c>
      <c r="AE2820" s="881" t="s">
        <v>2631</v>
      </c>
      <c r="AF2820" s="890">
        <f>$S$1*P!AF2820</f>
        <v>127.88</v>
      </c>
    </row>
    <row r="2821" spans="19:32" x14ac:dyDescent="0.35">
      <c r="S2821" s="782">
        <v>2817</v>
      </c>
      <c r="T2821" s="782" t="s">
        <v>4284</v>
      </c>
      <c r="U2821" s="782" t="s">
        <v>2758</v>
      </c>
      <c r="V2821" s="797">
        <f>$S$1*P!V2821</f>
        <v>1.7068548387096776E-5</v>
      </c>
      <c r="W2821" s="780"/>
      <c r="X2821" s="782">
        <v>2817</v>
      </c>
      <c r="Y2821" s="782" t="s">
        <v>2248</v>
      </c>
      <c r="Z2821" s="782" t="s">
        <v>4902</v>
      </c>
      <c r="AA2821" s="781">
        <f>$S$1*P!AA2821</f>
        <v>1.477217741935484E-4</v>
      </c>
      <c r="AB2821" s="780"/>
      <c r="AC2821" s="782">
        <v>2817</v>
      </c>
      <c r="AD2821" s="782" t="s">
        <v>4573</v>
      </c>
      <c r="AE2821" s="782" t="s">
        <v>4378</v>
      </c>
      <c r="AF2821" s="781">
        <f>$S$1*P!AF2821</f>
        <v>3.9758064516129038E-2</v>
      </c>
    </row>
    <row r="2822" spans="19:32" x14ac:dyDescent="0.35">
      <c r="S2822" s="881">
        <v>2818</v>
      </c>
      <c r="T2822" s="881" t="s">
        <v>4284</v>
      </c>
      <c r="U2822" s="881" t="s">
        <v>2784</v>
      </c>
      <c r="V2822" s="883">
        <f>$S$1*P!V2822</f>
        <v>0</v>
      </c>
      <c r="W2822" s="780"/>
      <c r="X2822" s="782">
        <v>2818</v>
      </c>
      <c r="Y2822" s="782" t="s">
        <v>2248</v>
      </c>
      <c r="Z2822" s="782" t="s">
        <v>3565</v>
      </c>
      <c r="AA2822" s="781">
        <f>$S$1*P!AA2822</f>
        <v>0.75745967741935494</v>
      </c>
      <c r="AB2822" s="780"/>
      <c r="AC2822" s="782">
        <v>2818</v>
      </c>
      <c r="AD2822" s="782" t="s">
        <v>4573</v>
      </c>
      <c r="AE2822" s="782" t="s">
        <v>4376</v>
      </c>
      <c r="AF2822" s="781">
        <f>$S$1*P!AF2822</f>
        <v>3.3622983870967744E-2</v>
      </c>
    </row>
    <row r="2823" spans="19:32" x14ac:dyDescent="0.35">
      <c r="S2823" s="881">
        <v>2819</v>
      </c>
      <c r="T2823" s="881" t="s">
        <v>4284</v>
      </c>
      <c r="U2823" s="881" t="s">
        <v>2783</v>
      </c>
      <c r="V2823" s="883">
        <f>$S$1*P!V2823</f>
        <v>0.2024</v>
      </c>
      <c r="W2823" s="780"/>
      <c r="X2823" s="782">
        <v>2819</v>
      </c>
      <c r="Y2823" s="782" t="s">
        <v>2248</v>
      </c>
      <c r="Z2823" s="782" t="s">
        <v>3562</v>
      </c>
      <c r="AA2823" s="781">
        <f>$S$1*P!AA2823</f>
        <v>0.25397177419354838</v>
      </c>
      <c r="AB2823" s="780"/>
      <c r="AC2823" s="782">
        <v>2819</v>
      </c>
      <c r="AD2823" s="782" t="s">
        <v>4573</v>
      </c>
      <c r="AE2823" s="782" t="s">
        <v>4375</v>
      </c>
      <c r="AF2823" s="781">
        <f>$S$1*P!AF2823</f>
        <v>1.1379032258064517E-2</v>
      </c>
    </row>
    <row r="2824" spans="19:32" x14ac:dyDescent="0.35">
      <c r="S2824" s="782">
        <v>2820</v>
      </c>
      <c r="T2824" s="782" t="s">
        <v>4284</v>
      </c>
      <c r="U2824" s="782" t="s">
        <v>2757</v>
      </c>
      <c r="V2824" s="797">
        <f>$S$1*P!V2824</f>
        <v>4.7641129032258069E-4</v>
      </c>
      <c r="W2824" s="780"/>
      <c r="X2824" s="782">
        <v>2820</v>
      </c>
      <c r="Y2824" s="782" t="s">
        <v>2248</v>
      </c>
      <c r="Z2824" s="782" t="s">
        <v>4901</v>
      </c>
      <c r="AA2824" s="781">
        <f>$S$1*P!AA2824</f>
        <v>5.792338709677419E-4</v>
      </c>
      <c r="AB2824" s="780"/>
      <c r="AC2824" s="881">
        <v>2820</v>
      </c>
      <c r="AD2824" s="881" t="s">
        <v>4573</v>
      </c>
      <c r="AE2824" s="881" t="s">
        <v>2629</v>
      </c>
      <c r="AF2824" s="890">
        <f>$S$1*P!AF2824</f>
        <v>8.8319999999999996E-2</v>
      </c>
    </row>
    <row r="2825" spans="19:32" x14ac:dyDescent="0.35">
      <c r="S2825" s="782">
        <v>2821</v>
      </c>
      <c r="T2825" s="782" t="s">
        <v>4284</v>
      </c>
      <c r="U2825" s="782" t="s">
        <v>2755</v>
      </c>
      <c r="V2825" s="797">
        <f>$S$1*P!V2825</f>
        <v>4.2500000000000003E-4</v>
      </c>
      <c r="W2825" s="780"/>
      <c r="X2825" s="782">
        <v>2821</v>
      </c>
      <c r="Y2825" s="782" t="s">
        <v>2248</v>
      </c>
      <c r="Z2825" s="782" t="s">
        <v>3559</v>
      </c>
      <c r="AA2825" s="781">
        <f>$S$1*P!AA2825</f>
        <v>8.5342741935483871E-3</v>
      </c>
      <c r="AB2825" s="780"/>
      <c r="AC2825" s="782">
        <v>2821</v>
      </c>
      <c r="AD2825" s="782" t="s">
        <v>4573</v>
      </c>
      <c r="AE2825" s="782" t="s">
        <v>2627</v>
      </c>
      <c r="AF2825" s="781">
        <f>$S$1*P!AF2825</f>
        <v>0.56209677419354842</v>
      </c>
    </row>
    <row r="2826" spans="19:32" x14ac:dyDescent="0.35">
      <c r="S2826" s="881">
        <v>2822</v>
      </c>
      <c r="T2826" s="881" t="s">
        <v>4284</v>
      </c>
      <c r="U2826" s="881" t="s">
        <v>2755</v>
      </c>
      <c r="V2826" s="883">
        <f>$S$1*P!V2826</f>
        <v>0</v>
      </c>
      <c r="W2826" s="780"/>
      <c r="X2826" s="782">
        <v>2822</v>
      </c>
      <c r="Y2826" s="782" t="s">
        <v>2248</v>
      </c>
      <c r="Z2826" s="782" t="s">
        <v>3556</v>
      </c>
      <c r="AA2826" s="781">
        <f>$S$1*P!AA2826</f>
        <v>0.12201612903225807</v>
      </c>
      <c r="AB2826" s="780"/>
      <c r="AC2826" s="881">
        <v>2822</v>
      </c>
      <c r="AD2826" s="881" t="s">
        <v>4573</v>
      </c>
      <c r="AE2826" s="881" t="s">
        <v>2627</v>
      </c>
      <c r="AF2826" s="890">
        <f>$S$1*P!AF2826</f>
        <v>31.28</v>
      </c>
    </row>
    <row r="2827" spans="19:32" x14ac:dyDescent="0.35">
      <c r="S2827" s="881">
        <v>2823</v>
      </c>
      <c r="T2827" s="881" t="s">
        <v>4284</v>
      </c>
      <c r="U2827" s="881" t="s">
        <v>2781</v>
      </c>
      <c r="V2827" s="883">
        <f>$S$1*P!V2827</f>
        <v>0</v>
      </c>
      <c r="W2827" s="780"/>
      <c r="X2827" s="782">
        <v>2823</v>
      </c>
      <c r="Y2827" s="782" t="s">
        <v>2248</v>
      </c>
      <c r="Z2827" s="782" t="s">
        <v>4900</v>
      </c>
      <c r="AA2827" s="781">
        <f>$S$1*P!AA2827</f>
        <v>1.6485887096774196E-3</v>
      </c>
      <c r="AB2827" s="780"/>
      <c r="AC2827" s="782">
        <v>2823</v>
      </c>
      <c r="AD2827" s="782" t="s">
        <v>4573</v>
      </c>
      <c r="AE2827" s="782" t="s">
        <v>4372</v>
      </c>
      <c r="AF2827" s="781">
        <f>$S$1*P!AF2827</f>
        <v>0.3495967741935484</v>
      </c>
    </row>
    <row r="2828" spans="19:32" x14ac:dyDescent="0.35">
      <c r="S2828" s="782">
        <v>2824</v>
      </c>
      <c r="T2828" s="782" t="s">
        <v>4284</v>
      </c>
      <c r="U2828" s="782" t="s">
        <v>2753</v>
      </c>
      <c r="V2828" s="797">
        <f>$S$1*P!V2828</f>
        <v>6.0322580645161305E-4</v>
      </c>
      <c r="W2828" s="780"/>
      <c r="X2828" s="782">
        <v>2824</v>
      </c>
      <c r="Y2828" s="782" t="s">
        <v>2248</v>
      </c>
      <c r="Z2828" s="782" t="s">
        <v>3551</v>
      </c>
      <c r="AA2828" s="781">
        <f>$S$1*P!AA2828</f>
        <v>7.4032258064516132E-2</v>
      </c>
      <c r="AB2828" s="780"/>
      <c r="AC2828" s="782">
        <v>2824</v>
      </c>
      <c r="AD2828" s="782" t="s">
        <v>4573</v>
      </c>
      <c r="AE2828" s="782" t="s">
        <v>4371</v>
      </c>
      <c r="AF2828" s="781">
        <f>$S$1*P!AF2828</f>
        <v>0.49697580645161293</v>
      </c>
    </row>
    <row r="2829" spans="19:32" x14ac:dyDescent="0.35">
      <c r="S2829" s="782">
        <v>2825</v>
      </c>
      <c r="T2829" s="782" t="s">
        <v>4284</v>
      </c>
      <c r="U2829" s="782" t="s">
        <v>2752</v>
      </c>
      <c r="V2829" s="797">
        <f>$S$1*P!V2829</f>
        <v>2.128427419354839E-4</v>
      </c>
      <c r="W2829" s="780"/>
      <c r="X2829" s="782">
        <v>2825</v>
      </c>
      <c r="Y2829" s="782" t="s">
        <v>2248</v>
      </c>
      <c r="Z2829" s="782" t="s">
        <v>3547</v>
      </c>
      <c r="AA2829" s="781">
        <f>$S$1*P!AA2829</f>
        <v>3.8044354838709681E-3</v>
      </c>
      <c r="AB2829" s="780"/>
      <c r="AC2829" s="782">
        <v>2825</v>
      </c>
      <c r="AD2829" s="782" t="s">
        <v>4573</v>
      </c>
      <c r="AE2829" s="782" t="s">
        <v>4369</v>
      </c>
      <c r="AF2829" s="781">
        <f>$S$1*P!AF2829</f>
        <v>3.1943548387096773E-2</v>
      </c>
    </row>
    <row r="2830" spans="19:32" x14ac:dyDescent="0.35">
      <c r="S2830" s="782">
        <v>2826</v>
      </c>
      <c r="T2830" s="782" t="s">
        <v>4284</v>
      </c>
      <c r="U2830" s="782" t="s">
        <v>2751</v>
      </c>
      <c r="V2830" s="797">
        <f>$S$1*P!V2830</f>
        <v>1.0693548387096775E-4</v>
      </c>
      <c r="W2830" s="780"/>
      <c r="X2830" s="782">
        <v>2826</v>
      </c>
      <c r="Y2830" s="782" t="s">
        <v>2248</v>
      </c>
      <c r="Z2830" s="782" t="s">
        <v>3544</v>
      </c>
      <c r="AA2830" s="781">
        <f>$S$1*P!AA2830</f>
        <v>0.10213709677419355</v>
      </c>
      <c r="AB2830" s="780"/>
      <c r="AC2830" s="881">
        <v>2826</v>
      </c>
      <c r="AD2830" s="881" t="s">
        <v>4573</v>
      </c>
      <c r="AE2830" s="881" t="s">
        <v>2626</v>
      </c>
      <c r="AF2830" s="890">
        <f>$S$1*P!AF2830</f>
        <v>2.9624000000000001</v>
      </c>
    </row>
    <row r="2831" spans="19:32" x14ac:dyDescent="0.35">
      <c r="S2831" s="782">
        <v>2827</v>
      </c>
      <c r="T2831" s="782" t="s">
        <v>4284</v>
      </c>
      <c r="U2831" s="782" t="s">
        <v>2748</v>
      </c>
      <c r="V2831" s="797">
        <f>$S$1*P!V2831</f>
        <v>5.9637096774193545E-4</v>
      </c>
      <c r="W2831" s="780"/>
      <c r="X2831" s="782">
        <v>2827</v>
      </c>
      <c r="Y2831" s="782" t="s">
        <v>2248</v>
      </c>
      <c r="Z2831" s="782" t="s">
        <v>4899</v>
      </c>
      <c r="AA2831" s="781">
        <f>$S$1*P!AA2831</f>
        <v>4.8326612903225813E-3</v>
      </c>
      <c r="AB2831" s="780"/>
      <c r="AC2831" s="782">
        <v>2827</v>
      </c>
      <c r="AD2831" s="782" t="s">
        <v>4573</v>
      </c>
      <c r="AE2831" s="782" t="s">
        <v>2624</v>
      </c>
      <c r="AF2831" s="781">
        <f>$S$1*P!AF2831</f>
        <v>2.5842741935483873</v>
      </c>
    </row>
    <row r="2832" spans="19:32" x14ac:dyDescent="0.35">
      <c r="S2832" s="881">
        <v>2828</v>
      </c>
      <c r="T2832" s="881" t="s">
        <v>4284</v>
      </c>
      <c r="U2832" s="881" t="s">
        <v>2748</v>
      </c>
      <c r="V2832" s="883">
        <f>$S$1*P!V2832</f>
        <v>0</v>
      </c>
      <c r="W2832" s="780"/>
      <c r="X2832" s="782">
        <v>2828</v>
      </c>
      <c r="Y2832" s="782" t="s">
        <v>2248</v>
      </c>
      <c r="Z2832" s="782" t="s">
        <v>3541</v>
      </c>
      <c r="AA2832" s="781">
        <f>$S$1*P!AA2832</f>
        <v>3.2354838709677418E-4</v>
      </c>
      <c r="AB2832" s="780"/>
      <c r="AC2832" s="881">
        <v>2828</v>
      </c>
      <c r="AD2832" s="881" t="s">
        <v>4573</v>
      </c>
      <c r="AE2832" s="881" t="s">
        <v>2624</v>
      </c>
      <c r="AF2832" s="890">
        <f>$S$1*P!AF2832</f>
        <v>0</v>
      </c>
    </row>
    <row r="2833" spans="19:32" x14ac:dyDescent="0.35">
      <c r="S2833" s="861">
        <v>2829</v>
      </c>
      <c r="T2833" s="861" t="s">
        <v>4284</v>
      </c>
      <c r="U2833" s="861" t="s">
        <v>2745</v>
      </c>
      <c r="V2833" s="862">
        <f>$S$1*P!V2833</f>
        <v>10.0045</v>
      </c>
      <c r="W2833" s="780"/>
      <c r="X2833" s="782">
        <v>2829</v>
      </c>
      <c r="Y2833" s="782" t="s">
        <v>2248</v>
      </c>
      <c r="Z2833" s="782" t="s">
        <v>3538</v>
      </c>
      <c r="AA2833" s="781">
        <f>$S$1*P!AA2833</f>
        <v>0.50725806451612909</v>
      </c>
      <c r="AB2833" s="780"/>
      <c r="AC2833" s="881">
        <v>2829</v>
      </c>
      <c r="AD2833" s="881" t="s">
        <v>4573</v>
      </c>
      <c r="AE2833" s="881" t="s">
        <v>2623</v>
      </c>
      <c r="AF2833" s="890">
        <f>$S$1*P!AF2833</f>
        <v>0</v>
      </c>
    </row>
    <row r="2834" spans="19:32" x14ac:dyDescent="0.35">
      <c r="S2834" s="782">
        <v>2830</v>
      </c>
      <c r="T2834" s="782" t="s">
        <v>4284</v>
      </c>
      <c r="U2834" s="782" t="s">
        <v>2745</v>
      </c>
      <c r="V2834" s="797">
        <f>$S$1*P!V2834</f>
        <v>6.1693548387096771E-7</v>
      </c>
      <c r="W2834" s="780"/>
      <c r="X2834" s="782">
        <v>2830</v>
      </c>
      <c r="Y2834" s="782" t="s">
        <v>2248</v>
      </c>
      <c r="Z2834" s="782" t="s">
        <v>4898</v>
      </c>
      <c r="AA2834" s="781">
        <f>$S$1*P!AA2834</f>
        <v>4.3528225806451615E-4</v>
      </c>
      <c r="AB2834" s="780"/>
      <c r="AC2834" s="782">
        <v>2830</v>
      </c>
      <c r="AD2834" s="782" t="s">
        <v>4573</v>
      </c>
      <c r="AE2834" s="782" t="s">
        <v>4366</v>
      </c>
      <c r="AF2834" s="781">
        <f>$S$1*P!AF2834</f>
        <v>0.19981854838709678</v>
      </c>
    </row>
    <row r="2835" spans="19:32" x14ac:dyDescent="0.35">
      <c r="S2835" s="782">
        <v>2831</v>
      </c>
      <c r="T2835" s="782" t="s">
        <v>4284</v>
      </c>
      <c r="U2835" s="782" t="s">
        <v>2744</v>
      </c>
      <c r="V2835" s="797">
        <f>$S$1*P!V2835</f>
        <v>3.3520161290322585E-2</v>
      </c>
      <c r="W2835" s="780"/>
      <c r="X2835" s="881">
        <v>2831</v>
      </c>
      <c r="Y2835" s="881" t="s">
        <v>2248</v>
      </c>
      <c r="Z2835" s="881" t="s">
        <v>3003</v>
      </c>
      <c r="AA2835" s="882">
        <f>$S$1*P!AA2835</f>
        <v>0</v>
      </c>
      <c r="AB2835" s="780"/>
      <c r="AC2835" s="782">
        <v>2831</v>
      </c>
      <c r="AD2835" s="782" t="s">
        <v>4573</v>
      </c>
      <c r="AE2835" s="782" t="s">
        <v>4365</v>
      </c>
      <c r="AF2835" s="781">
        <f>$S$1*P!AF2835</f>
        <v>1.4429435483870969</v>
      </c>
    </row>
    <row r="2836" spans="19:32" x14ac:dyDescent="0.35">
      <c r="S2836" s="881">
        <v>2832</v>
      </c>
      <c r="T2836" s="881" t="s">
        <v>4284</v>
      </c>
      <c r="U2836" s="881" t="s">
        <v>2778</v>
      </c>
      <c r="V2836" s="883">
        <f>$S$1*P!V2836</f>
        <v>0</v>
      </c>
      <c r="W2836" s="780"/>
      <c r="X2836" s="782">
        <v>2832</v>
      </c>
      <c r="Y2836" s="782" t="s">
        <v>2248</v>
      </c>
      <c r="Z2836" s="782" t="s">
        <v>3003</v>
      </c>
      <c r="AA2836" s="781">
        <f>$S$1*P!AA2836</f>
        <v>0.23991935483870969</v>
      </c>
      <c r="AB2836" s="780"/>
      <c r="AC2836" s="782">
        <v>2832</v>
      </c>
      <c r="AD2836" s="782" t="s">
        <v>4573</v>
      </c>
      <c r="AE2836" s="782" t="s">
        <v>2621</v>
      </c>
      <c r="AF2836" s="781">
        <f>$S$1*P!AF2836</f>
        <v>2.7693548387096776E-3</v>
      </c>
    </row>
    <row r="2837" spans="19:32" x14ac:dyDescent="0.35">
      <c r="S2837" s="782">
        <v>2833</v>
      </c>
      <c r="T2837" s="782" t="s">
        <v>4284</v>
      </c>
      <c r="U2837" s="782" t="s">
        <v>2742</v>
      </c>
      <c r="V2837" s="797">
        <f>$S$1*P!V2837</f>
        <v>2.3889112903225807E-3</v>
      </c>
      <c r="W2837" s="780"/>
      <c r="X2837" s="782">
        <v>2833</v>
      </c>
      <c r="Y2837" s="782" t="s">
        <v>2248</v>
      </c>
      <c r="Z2837" s="782" t="s">
        <v>4897</v>
      </c>
      <c r="AA2837" s="781">
        <f>$S$1*P!AA2837</f>
        <v>4.7983870967741938E-4</v>
      </c>
      <c r="AB2837" s="780"/>
      <c r="AC2837" s="881">
        <v>2833</v>
      </c>
      <c r="AD2837" s="881" t="s">
        <v>4573</v>
      </c>
      <c r="AE2837" s="881" t="s">
        <v>2621</v>
      </c>
      <c r="AF2837" s="890">
        <f>$S$1*P!AF2837</f>
        <v>20.884</v>
      </c>
    </row>
    <row r="2838" spans="19:32" x14ac:dyDescent="0.35">
      <c r="S2838" s="881">
        <v>2834</v>
      </c>
      <c r="T2838" s="881" t="s">
        <v>4284</v>
      </c>
      <c r="U2838" s="881" t="s">
        <v>2777</v>
      </c>
      <c r="V2838" s="883">
        <f>$S$1*P!V2838</f>
        <v>7.1484000000000005</v>
      </c>
      <c r="W2838" s="780"/>
      <c r="X2838" s="881">
        <v>2834</v>
      </c>
      <c r="Y2838" s="881" t="s">
        <v>2248</v>
      </c>
      <c r="Z2838" s="881" t="s">
        <v>3002</v>
      </c>
      <c r="AA2838" s="882">
        <f>$S$1*P!AA2838</f>
        <v>0.49036000000000002</v>
      </c>
      <c r="AB2838" s="780"/>
      <c r="AC2838" s="782">
        <v>2834</v>
      </c>
      <c r="AD2838" s="782" t="s">
        <v>4573</v>
      </c>
      <c r="AE2838" s="782" t="s">
        <v>2620</v>
      </c>
      <c r="AF2838" s="781">
        <f>$S$1*P!AF2838</f>
        <v>3.1943548387096773E-2</v>
      </c>
    </row>
    <row r="2839" spans="19:32" x14ac:dyDescent="0.35">
      <c r="S2839" s="782">
        <v>2835</v>
      </c>
      <c r="T2839" s="782" t="s">
        <v>4284</v>
      </c>
      <c r="U2839" s="782" t="s">
        <v>2741</v>
      </c>
      <c r="V2839" s="797">
        <f>$S$1*P!V2839</f>
        <v>0.17377016129032261</v>
      </c>
      <c r="W2839" s="780"/>
      <c r="X2839" s="782">
        <v>2835</v>
      </c>
      <c r="Y2839" s="782" t="s">
        <v>2248</v>
      </c>
      <c r="Z2839" s="782" t="s">
        <v>3002</v>
      </c>
      <c r="AA2839" s="781">
        <f>$S$1*P!AA2839</f>
        <v>1.0727822580645162E-2</v>
      </c>
      <c r="AB2839" s="780"/>
      <c r="AC2839" s="881">
        <v>2835</v>
      </c>
      <c r="AD2839" s="881" t="s">
        <v>4573</v>
      </c>
      <c r="AE2839" s="881" t="s">
        <v>2620</v>
      </c>
      <c r="AF2839" s="890">
        <f>$S$1*P!AF2839</f>
        <v>0</v>
      </c>
    </row>
    <row r="2840" spans="19:32" x14ac:dyDescent="0.35">
      <c r="S2840" s="881">
        <v>2836</v>
      </c>
      <c r="T2840" s="881" t="s">
        <v>4284</v>
      </c>
      <c r="U2840" s="881" t="s">
        <v>2741</v>
      </c>
      <c r="V2840" s="883">
        <f>$S$1*P!V2840</f>
        <v>0.88412000000000002</v>
      </c>
      <c r="W2840" s="780"/>
      <c r="X2840" s="881">
        <v>2836</v>
      </c>
      <c r="Y2840" s="881" t="s">
        <v>2248</v>
      </c>
      <c r="Z2840" s="881" t="s">
        <v>3001</v>
      </c>
      <c r="AA2840" s="882">
        <f>$S$1*P!AA2840</f>
        <v>0.10672000000000001</v>
      </c>
      <c r="AB2840" s="780"/>
      <c r="AC2840" s="782">
        <v>2836</v>
      </c>
      <c r="AD2840" s="782" t="s">
        <v>4573</v>
      </c>
      <c r="AE2840" s="782" t="s">
        <v>4358</v>
      </c>
      <c r="AF2840" s="781">
        <f>$S$1*P!AF2840</f>
        <v>2.9921370967741938E-2</v>
      </c>
    </row>
    <row r="2841" spans="19:32" x14ac:dyDescent="0.35">
      <c r="S2841" s="782">
        <v>2837</v>
      </c>
      <c r="T2841" s="782" t="s">
        <v>4284</v>
      </c>
      <c r="U2841" s="782" t="s">
        <v>2739</v>
      </c>
      <c r="V2841" s="797">
        <f>$S$1*P!V2841</f>
        <v>9.4939516129032271E-6</v>
      </c>
      <c r="W2841" s="780"/>
      <c r="X2841" s="782">
        <v>2837</v>
      </c>
      <c r="Y2841" s="782" t="s">
        <v>2248</v>
      </c>
      <c r="Z2841" s="782" t="s">
        <v>3001</v>
      </c>
      <c r="AA2841" s="781">
        <f>$S$1*P!AA2841</f>
        <v>5.6895161290322594E-4</v>
      </c>
      <c r="AB2841" s="780"/>
      <c r="AC2841" s="881">
        <v>2837</v>
      </c>
      <c r="AD2841" s="881" t="s">
        <v>4573</v>
      </c>
      <c r="AE2841" s="881" t="s">
        <v>2618</v>
      </c>
      <c r="AF2841" s="890">
        <f>$S$1*P!AF2841</f>
        <v>0</v>
      </c>
    </row>
    <row r="2842" spans="19:32" x14ac:dyDescent="0.35">
      <c r="S2842" s="782">
        <v>2838</v>
      </c>
      <c r="T2842" s="782" t="s">
        <v>4284</v>
      </c>
      <c r="U2842" s="782" t="s">
        <v>2737</v>
      </c>
      <c r="V2842" s="797">
        <f>$S$1*P!V2842</f>
        <v>2.6219758064516133E-4</v>
      </c>
      <c r="W2842" s="780"/>
      <c r="X2842" s="782">
        <v>2838</v>
      </c>
      <c r="Y2842" s="782" t="s">
        <v>2248</v>
      </c>
      <c r="Z2842" s="782" t="s">
        <v>4896</v>
      </c>
      <c r="AA2842" s="781">
        <f>$S$1*P!AA2842</f>
        <v>7.1633064516129033E-4</v>
      </c>
      <c r="AB2842" s="780"/>
      <c r="AC2842" s="782">
        <v>2838</v>
      </c>
      <c r="AD2842" s="782" t="s">
        <v>4573</v>
      </c>
      <c r="AE2842" s="782" t="s">
        <v>4357</v>
      </c>
      <c r="AF2842" s="781">
        <f>$S$1*P!AF2842</f>
        <v>1.2887096774193549</v>
      </c>
    </row>
    <row r="2843" spans="19:32" x14ac:dyDescent="0.35">
      <c r="S2843" s="881">
        <v>2839</v>
      </c>
      <c r="T2843" s="881" t="s">
        <v>4284</v>
      </c>
      <c r="U2843" s="881" t="s">
        <v>2775</v>
      </c>
      <c r="V2843" s="883">
        <f>$S$1*P!V2843</f>
        <v>12.879999999999999</v>
      </c>
      <c r="W2843" s="780"/>
      <c r="X2843" s="782">
        <v>2839</v>
      </c>
      <c r="Y2843" s="782" t="s">
        <v>2248</v>
      </c>
      <c r="Z2843" s="782" t="s">
        <v>3530</v>
      </c>
      <c r="AA2843" s="781">
        <f>$S$1*P!AA2843</f>
        <v>7.643145161290323E-4</v>
      </c>
      <c r="AB2843" s="780"/>
      <c r="AC2843" s="782">
        <v>2839</v>
      </c>
      <c r="AD2843" s="782" t="s">
        <v>4573</v>
      </c>
      <c r="AE2843" s="782" t="s">
        <v>4354</v>
      </c>
      <c r="AF2843" s="781">
        <f>$S$1*P!AF2843</f>
        <v>1.6211693548387098</v>
      </c>
    </row>
    <row r="2844" spans="19:32" x14ac:dyDescent="0.35">
      <c r="S2844" s="782">
        <v>2840</v>
      </c>
      <c r="T2844" s="782" t="s">
        <v>4284</v>
      </c>
      <c r="U2844" s="782" t="s">
        <v>2736</v>
      </c>
      <c r="V2844" s="797">
        <f>$S$1*P!V2844</f>
        <v>3.1429435483870969E-4</v>
      </c>
      <c r="W2844" s="780"/>
      <c r="X2844" s="782">
        <v>2840</v>
      </c>
      <c r="Y2844" s="782" t="s">
        <v>2248</v>
      </c>
      <c r="Z2844" s="782" t="s">
        <v>3432</v>
      </c>
      <c r="AA2844" s="781">
        <f>$S$1*P!AA2844</f>
        <v>3.9758064516129035E-3</v>
      </c>
      <c r="AB2844" s="780"/>
      <c r="AC2844" s="782">
        <v>2840</v>
      </c>
      <c r="AD2844" s="782" t="s">
        <v>4573</v>
      </c>
      <c r="AE2844" s="782" t="s">
        <v>2617</v>
      </c>
      <c r="AF2844" s="781">
        <f>$S$1*P!AF2844</f>
        <v>0.72318548387096782</v>
      </c>
    </row>
    <row r="2845" spans="19:32" x14ac:dyDescent="0.35">
      <c r="S2845" s="782">
        <v>2841</v>
      </c>
      <c r="T2845" s="782" t="s">
        <v>4284</v>
      </c>
      <c r="U2845" s="782" t="s">
        <v>2734</v>
      </c>
      <c r="V2845" s="797">
        <f>$S$1*P!V2845</f>
        <v>1.1310483870967743E-5</v>
      </c>
      <c r="W2845" s="780"/>
      <c r="X2845" s="782">
        <v>2841</v>
      </c>
      <c r="Y2845" s="782" t="s">
        <v>2248</v>
      </c>
      <c r="Z2845" s="782" t="s">
        <v>3527</v>
      </c>
      <c r="AA2845" s="781">
        <f>$S$1*P!AA2845</f>
        <v>3.0949596774193549E-4</v>
      </c>
      <c r="AB2845" s="780"/>
      <c r="AC2845" s="881">
        <v>2841</v>
      </c>
      <c r="AD2845" s="881" t="s">
        <v>4573</v>
      </c>
      <c r="AE2845" s="881" t="s">
        <v>2617</v>
      </c>
      <c r="AF2845" s="890">
        <f>$S$1*P!AF2845</f>
        <v>0.49588000000000004</v>
      </c>
    </row>
    <row r="2846" spans="19:32" x14ac:dyDescent="0.35">
      <c r="S2846" s="881">
        <v>2842</v>
      </c>
      <c r="T2846" s="881" t="s">
        <v>4284</v>
      </c>
      <c r="U2846" s="881" t="s">
        <v>2773</v>
      </c>
      <c r="V2846" s="883">
        <f>$S$1*P!V2846</f>
        <v>0</v>
      </c>
      <c r="W2846" s="780"/>
      <c r="X2846" s="782">
        <v>2842</v>
      </c>
      <c r="Y2846" s="782" t="s">
        <v>2248</v>
      </c>
      <c r="Z2846" s="782" t="s">
        <v>3525</v>
      </c>
      <c r="AA2846" s="781">
        <f>$S$1*P!AA2846</f>
        <v>2.7385080645161292E-4</v>
      </c>
      <c r="AB2846" s="780"/>
      <c r="AC2846" s="782">
        <v>2842</v>
      </c>
      <c r="AD2846" s="782" t="s">
        <v>4573</v>
      </c>
      <c r="AE2846" s="782" t="s">
        <v>4352</v>
      </c>
      <c r="AF2846" s="781">
        <f>$S$1*P!AF2846</f>
        <v>1.984475806451613E-12</v>
      </c>
    </row>
    <row r="2847" spans="19:32" x14ac:dyDescent="0.35">
      <c r="S2847" s="782">
        <v>2843</v>
      </c>
      <c r="T2847" s="782" t="s">
        <v>4284</v>
      </c>
      <c r="U2847" s="782" t="s">
        <v>2731</v>
      </c>
      <c r="V2847" s="797">
        <f>$S$1*P!V2847</f>
        <v>1.9330645161290324E-4</v>
      </c>
      <c r="W2847" s="780"/>
      <c r="X2847" s="782">
        <v>2843</v>
      </c>
      <c r="Y2847" s="782" t="s">
        <v>2248</v>
      </c>
      <c r="Z2847" s="782" t="s">
        <v>4895</v>
      </c>
      <c r="AA2847" s="781">
        <f>$S$1*P!AA2847</f>
        <v>6.7520161290322584E-3</v>
      </c>
      <c r="AB2847" s="780"/>
      <c r="AC2847" s="881">
        <v>2843</v>
      </c>
      <c r="AD2847" s="881" t="s">
        <v>4573</v>
      </c>
      <c r="AE2847" s="881" t="s">
        <v>2615</v>
      </c>
      <c r="AF2847" s="890">
        <f>$S$1*P!AF2847</f>
        <v>0.51336000000000004</v>
      </c>
    </row>
    <row r="2848" spans="19:32" x14ac:dyDescent="0.35">
      <c r="S2848" s="881">
        <v>2844</v>
      </c>
      <c r="T2848" s="881" t="s">
        <v>4284</v>
      </c>
      <c r="U2848" s="881" t="s">
        <v>2731</v>
      </c>
      <c r="V2848" s="883">
        <f>$S$1*P!V2848</f>
        <v>0</v>
      </c>
      <c r="W2848" s="780"/>
      <c r="X2848" s="782">
        <v>2844</v>
      </c>
      <c r="Y2848" s="782" t="s">
        <v>2248</v>
      </c>
      <c r="Z2848" s="782" t="s">
        <v>3522</v>
      </c>
      <c r="AA2848" s="781">
        <f>$S$1*P!AA2848</f>
        <v>5.3467741935483873E-4</v>
      </c>
      <c r="AB2848" s="780"/>
      <c r="AC2848" s="782">
        <v>2844</v>
      </c>
      <c r="AD2848" s="782" t="s">
        <v>4573</v>
      </c>
      <c r="AE2848" s="782" t="s">
        <v>2613</v>
      </c>
      <c r="AF2848" s="781">
        <f>$S$1*P!AF2848</f>
        <v>0.82943548387096777</v>
      </c>
    </row>
    <row r="2849" spans="19:32" x14ac:dyDescent="0.35">
      <c r="S2849" s="782">
        <v>2845</v>
      </c>
      <c r="T2849" s="782" t="s">
        <v>4284</v>
      </c>
      <c r="U2849" s="782" t="s">
        <v>2728</v>
      </c>
      <c r="V2849" s="797">
        <f>$S$1*P!V2849</f>
        <v>3.1360887096774199E-4</v>
      </c>
      <c r="W2849" s="780"/>
      <c r="X2849" s="868">
        <v>2845</v>
      </c>
      <c r="Y2849" s="868" t="s">
        <v>2248</v>
      </c>
      <c r="Z2849" s="868" t="s">
        <v>3519</v>
      </c>
      <c r="AA2849" s="869">
        <f>$S$1*P!AA2849</f>
        <v>3.2389112903225811E-2</v>
      </c>
      <c r="AB2849" s="780"/>
      <c r="AC2849" s="881">
        <v>2845</v>
      </c>
      <c r="AD2849" s="881" t="s">
        <v>4573</v>
      </c>
      <c r="AE2849" s="881" t="s">
        <v>2613</v>
      </c>
      <c r="AF2849" s="890">
        <f>$S$1*P!AF2849</f>
        <v>0</v>
      </c>
    </row>
    <row r="2850" spans="19:32" x14ac:dyDescent="0.35">
      <c r="S2850" s="782">
        <v>2846</v>
      </c>
      <c r="T2850" s="782" t="s">
        <v>4284</v>
      </c>
      <c r="U2850" s="782" t="s">
        <v>2725</v>
      </c>
      <c r="V2850" s="797">
        <f>$S$1*P!V2850</f>
        <v>6.2721774193548394E-3</v>
      </c>
      <c r="W2850" s="780"/>
      <c r="X2850" s="782">
        <v>2846</v>
      </c>
      <c r="Y2850" s="782" t="s">
        <v>2248</v>
      </c>
      <c r="Z2850" s="782" t="s">
        <v>4894</v>
      </c>
      <c r="AA2850" s="781">
        <f>$S$1*P!AA2850</f>
        <v>4.4213709677419358E-4</v>
      </c>
      <c r="AB2850" s="780"/>
      <c r="AC2850" s="782">
        <v>2846</v>
      </c>
      <c r="AD2850" s="782" t="s">
        <v>4573</v>
      </c>
      <c r="AE2850" s="782" t="s">
        <v>4349</v>
      </c>
      <c r="AF2850" s="781">
        <f>$S$1*P!AF2850</f>
        <v>0.83629032258064517</v>
      </c>
    </row>
    <row r="2851" spans="19:32" x14ac:dyDescent="0.35">
      <c r="S2851" s="881">
        <v>2847</v>
      </c>
      <c r="T2851" s="881" t="s">
        <v>4284</v>
      </c>
      <c r="U2851" s="881" t="s">
        <v>2771</v>
      </c>
      <c r="V2851" s="883">
        <f>$S$1*P!V2851</f>
        <v>0</v>
      </c>
      <c r="W2851" s="780"/>
      <c r="X2851" s="782">
        <v>2847</v>
      </c>
      <c r="Y2851" s="782" t="s">
        <v>2248</v>
      </c>
      <c r="Z2851" s="782" t="s">
        <v>3516</v>
      </c>
      <c r="AA2851" s="781">
        <f>$S$1*P!AA2851</f>
        <v>3.7358870967741937E-4</v>
      </c>
      <c r="AB2851" s="780"/>
      <c r="AC2851" s="782">
        <v>2847</v>
      </c>
      <c r="AD2851" s="782" t="s">
        <v>4573</v>
      </c>
      <c r="AE2851" s="782" t="s">
        <v>4348</v>
      </c>
      <c r="AF2851" s="781">
        <f>$S$1*P!AF2851</f>
        <v>4.3870967741935489E-2</v>
      </c>
    </row>
    <row r="2852" spans="19:32" x14ac:dyDescent="0.35">
      <c r="S2852" s="782">
        <v>2848</v>
      </c>
      <c r="T2852" s="782" t="s">
        <v>4284</v>
      </c>
      <c r="U2852" s="782" t="s">
        <v>2723</v>
      </c>
      <c r="V2852" s="797">
        <f>$S$1*P!V2852</f>
        <v>5.2096774193548386E-4</v>
      </c>
      <c r="W2852" s="780"/>
      <c r="X2852" s="782">
        <v>2848</v>
      </c>
      <c r="Y2852" s="782" t="s">
        <v>2248</v>
      </c>
      <c r="Z2852" s="782" t="s">
        <v>3513</v>
      </c>
      <c r="AA2852" s="781">
        <f>$S$1*P!AA2852</f>
        <v>5.8951612903225814E-3</v>
      </c>
      <c r="AB2852" s="780"/>
      <c r="AC2852" s="782">
        <v>2848</v>
      </c>
      <c r="AD2852" s="782" t="s">
        <v>4573</v>
      </c>
      <c r="AE2852" s="782" t="s">
        <v>2612</v>
      </c>
      <c r="AF2852" s="781">
        <f>$S$1*P!AF2852</f>
        <v>0.1240725806451613</v>
      </c>
    </row>
    <row r="2853" spans="19:32" x14ac:dyDescent="0.35">
      <c r="S2853" s="782">
        <v>2849</v>
      </c>
      <c r="T2853" s="782" t="s">
        <v>4284</v>
      </c>
      <c r="U2853" s="782" t="s">
        <v>2720</v>
      </c>
      <c r="V2853" s="797">
        <f>$S$1*P!V2853</f>
        <v>1.2578629032258066E-3</v>
      </c>
      <c r="W2853" s="780"/>
      <c r="X2853" s="782">
        <v>2849</v>
      </c>
      <c r="Y2853" s="782" t="s">
        <v>2248</v>
      </c>
      <c r="Z2853" s="782" t="s">
        <v>3511</v>
      </c>
      <c r="AA2853" s="781">
        <f>$S$1*P!AA2853</f>
        <v>1.1241935483870969E-2</v>
      </c>
      <c r="AB2853" s="780"/>
      <c r="AC2853" s="881">
        <v>2849</v>
      </c>
      <c r="AD2853" s="881" t="s">
        <v>4573</v>
      </c>
      <c r="AE2853" s="881" t="s">
        <v>2612</v>
      </c>
      <c r="AF2853" s="890">
        <f>$S$1*P!AF2853</f>
        <v>0</v>
      </c>
    </row>
    <row r="2854" spans="19:32" x14ac:dyDescent="0.35">
      <c r="S2854" s="881">
        <v>2850</v>
      </c>
      <c r="T2854" s="881" t="s">
        <v>4284</v>
      </c>
      <c r="U2854" s="881" t="s">
        <v>2769</v>
      </c>
      <c r="V2854" s="883">
        <f>$S$1*P!V2854</f>
        <v>0</v>
      </c>
      <c r="W2854" s="780"/>
      <c r="X2854" s="782">
        <v>2850</v>
      </c>
      <c r="Y2854" s="782" t="s">
        <v>2248</v>
      </c>
      <c r="Z2854" s="782" t="s">
        <v>4893</v>
      </c>
      <c r="AA2854" s="781">
        <f>$S$1*P!AA2854</f>
        <v>8.2943548387096782E-4</v>
      </c>
      <c r="AB2854" s="780"/>
      <c r="AC2854" s="782">
        <v>2850</v>
      </c>
      <c r="AD2854" s="782" t="s">
        <v>4573</v>
      </c>
      <c r="AE2854" s="782" t="s">
        <v>4345</v>
      </c>
      <c r="AF2854" s="781">
        <f>$S$1*P!AF2854</f>
        <v>3.4959677419354844E-2</v>
      </c>
    </row>
    <row r="2855" spans="19:32" x14ac:dyDescent="0.35">
      <c r="S2855" s="881">
        <v>2851</v>
      </c>
      <c r="T2855" s="881" t="s">
        <v>4284</v>
      </c>
      <c r="U2855" s="881" t="s">
        <v>2768</v>
      </c>
      <c r="V2855" s="883">
        <f>$S$1*P!V2855</f>
        <v>27.876000000000001</v>
      </c>
      <c r="W2855" s="780"/>
      <c r="X2855" s="782">
        <v>2851</v>
      </c>
      <c r="Y2855" s="782" t="s">
        <v>2248</v>
      </c>
      <c r="Z2855" s="782" t="s">
        <v>3508</v>
      </c>
      <c r="AA2855" s="781">
        <f>$S$1*P!AA2855</f>
        <v>1.6622983870967743E-2</v>
      </c>
      <c r="AB2855" s="780"/>
      <c r="AC2855" s="782">
        <v>2851</v>
      </c>
      <c r="AD2855" s="782" t="s">
        <v>4573</v>
      </c>
      <c r="AE2855" s="782" t="s">
        <v>2610</v>
      </c>
      <c r="AF2855" s="781">
        <f>$S$1*P!AF2855</f>
        <v>6.0665322580645165E-2</v>
      </c>
    </row>
    <row r="2856" spans="19:32" x14ac:dyDescent="0.35">
      <c r="S2856" s="881">
        <v>2852</v>
      </c>
      <c r="T2856" s="881" t="s">
        <v>4284</v>
      </c>
      <c r="U2856" s="881" t="s">
        <v>2766</v>
      </c>
      <c r="V2856" s="883">
        <f>$S$1*P!V2856</f>
        <v>33.763999999999996</v>
      </c>
      <c r="W2856" s="780"/>
      <c r="X2856" s="782">
        <v>2852</v>
      </c>
      <c r="Y2856" s="782" t="s">
        <v>2248</v>
      </c>
      <c r="Z2856" s="782" t="s">
        <v>3505</v>
      </c>
      <c r="AA2856" s="781">
        <f>$S$1*P!AA2856</f>
        <v>1.5903225806451614E-3</v>
      </c>
      <c r="AB2856" s="780"/>
      <c r="AC2856" s="881">
        <v>2852</v>
      </c>
      <c r="AD2856" s="881" t="s">
        <v>4573</v>
      </c>
      <c r="AE2856" s="881" t="s">
        <v>2610</v>
      </c>
      <c r="AF2856" s="890">
        <f>$S$1*P!AF2856</f>
        <v>0.31187999999999999</v>
      </c>
    </row>
    <row r="2857" spans="19:32" x14ac:dyDescent="0.35">
      <c r="S2857" s="881">
        <v>2853</v>
      </c>
      <c r="T2857" s="881" t="s">
        <v>4284</v>
      </c>
      <c r="U2857" s="881" t="s">
        <v>2765</v>
      </c>
      <c r="V2857" s="883">
        <f>$S$1*P!V2857</f>
        <v>1.4352</v>
      </c>
      <c r="W2857" s="780"/>
      <c r="X2857" s="782">
        <v>2853</v>
      </c>
      <c r="Y2857" s="782" t="s">
        <v>2248</v>
      </c>
      <c r="Z2857" s="782" t="s">
        <v>4892</v>
      </c>
      <c r="AA2857" s="781">
        <f>$S$1*P!AA2857</f>
        <v>2.2552419354838712E-4</v>
      </c>
      <c r="AB2857" s="780"/>
      <c r="AC2857" s="782">
        <v>2853</v>
      </c>
      <c r="AD2857" s="782" t="s">
        <v>4573</v>
      </c>
      <c r="AE2857" s="782" t="s">
        <v>4343</v>
      </c>
      <c r="AF2857" s="781">
        <f>$S$1*P!AF2857</f>
        <v>3.7358870967741938E-2</v>
      </c>
    </row>
    <row r="2858" spans="19:32" x14ac:dyDescent="0.35">
      <c r="S2858" s="881">
        <v>2854</v>
      </c>
      <c r="T2858" s="881" t="s">
        <v>4284</v>
      </c>
      <c r="U2858" s="881" t="s">
        <v>2763</v>
      </c>
      <c r="V2858" s="883">
        <f>$S$1*P!V2858</f>
        <v>0</v>
      </c>
      <c r="W2858" s="780"/>
      <c r="X2858" s="782">
        <v>2854</v>
      </c>
      <c r="Y2858" s="782" t="s">
        <v>2248</v>
      </c>
      <c r="Z2858" s="782" t="s">
        <v>3502</v>
      </c>
      <c r="AA2858" s="781">
        <f>$S$1*P!AA2858</f>
        <v>0.16520161290322583</v>
      </c>
      <c r="AB2858" s="780"/>
      <c r="AC2858" s="782">
        <v>2854</v>
      </c>
      <c r="AD2858" s="782" t="s">
        <v>4573</v>
      </c>
      <c r="AE2858" s="782" t="s">
        <v>4342</v>
      </c>
      <c r="AF2858" s="781">
        <f>$S$1*P!AF2858</f>
        <v>0.14360887096774194</v>
      </c>
    </row>
    <row r="2859" spans="19:32" x14ac:dyDescent="0.35">
      <c r="S2859" s="782">
        <v>2855</v>
      </c>
      <c r="T2859" s="782" t="s">
        <v>4284</v>
      </c>
      <c r="U2859" s="782" t="s">
        <v>2717</v>
      </c>
      <c r="V2859" s="797">
        <f>$S$1*P!V2859</f>
        <v>1.134475806451613E-2</v>
      </c>
      <c r="W2859" s="780"/>
      <c r="X2859" s="782">
        <v>2855</v>
      </c>
      <c r="Y2859" s="782" t="s">
        <v>2248</v>
      </c>
      <c r="Z2859" s="782" t="s">
        <v>3500</v>
      </c>
      <c r="AA2859" s="781">
        <f>$S$1*P!AA2859</f>
        <v>1.1858870967741936E-2</v>
      </c>
      <c r="AB2859" s="780"/>
      <c r="AC2859" s="881">
        <v>2855</v>
      </c>
      <c r="AD2859" s="881" t="s">
        <v>4573</v>
      </c>
      <c r="AE2859" s="881" t="s">
        <v>2609</v>
      </c>
      <c r="AF2859" s="890">
        <f>$S$1*P!AF2859</f>
        <v>0.10303999999999999</v>
      </c>
    </row>
    <row r="2860" spans="19:32" x14ac:dyDescent="0.35">
      <c r="S2860" s="881">
        <v>2856</v>
      </c>
      <c r="T2860" s="881" t="s">
        <v>4284</v>
      </c>
      <c r="U2860" s="881" t="s">
        <v>2717</v>
      </c>
      <c r="V2860" s="883">
        <f>$S$1*P!V2860</f>
        <v>0</v>
      </c>
      <c r="W2860" s="780"/>
      <c r="X2860" s="782">
        <v>2856</v>
      </c>
      <c r="Y2860" s="782" t="s">
        <v>2248</v>
      </c>
      <c r="Z2860" s="782" t="s">
        <v>4891</v>
      </c>
      <c r="AA2860" s="781">
        <f>$S$1*P!AA2860</f>
        <v>1.9536290322580646E-4</v>
      </c>
      <c r="AB2860" s="780"/>
      <c r="AC2860" s="881">
        <v>2856</v>
      </c>
      <c r="AD2860" s="881" t="s">
        <v>4573</v>
      </c>
      <c r="AE2860" s="881" t="s">
        <v>2607</v>
      </c>
      <c r="AF2860" s="890">
        <f>$S$1*P!AF2860</f>
        <v>0.77739999999999998</v>
      </c>
    </row>
    <row r="2861" spans="19:32" x14ac:dyDescent="0.35">
      <c r="S2861" s="881">
        <v>2857</v>
      </c>
      <c r="T2861" s="881" t="s">
        <v>4284</v>
      </c>
      <c r="U2861" s="881" t="s">
        <v>2761</v>
      </c>
      <c r="V2861" s="883">
        <f>$S$1*P!V2861</f>
        <v>39.467999999999996</v>
      </c>
      <c r="W2861" s="780"/>
      <c r="X2861" s="782">
        <v>2857</v>
      </c>
      <c r="Y2861" s="782" t="s">
        <v>2248</v>
      </c>
      <c r="Z2861" s="782" t="s">
        <v>3497</v>
      </c>
      <c r="AA2861" s="781">
        <f>$S$1*P!AA2861</f>
        <v>2.5431451612903228E-3</v>
      </c>
      <c r="AB2861" s="780"/>
      <c r="AC2861" s="782">
        <v>2857</v>
      </c>
      <c r="AD2861" s="782" t="s">
        <v>4573</v>
      </c>
      <c r="AE2861" s="782" t="s">
        <v>4339</v>
      </c>
      <c r="AF2861" s="781">
        <f>$S$1*P!AF2861</f>
        <v>3.4616935483870973E-2</v>
      </c>
    </row>
    <row r="2862" spans="19:32" x14ac:dyDescent="0.35">
      <c r="S2862" s="782">
        <v>2858</v>
      </c>
      <c r="T2862" s="782" t="s">
        <v>4284</v>
      </c>
      <c r="U2862" s="782" t="s">
        <v>2714</v>
      </c>
      <c r="V2862" s="797">
        <f>$S$1*P!V2862</f>
        <v>1.3949596774193549E-2</v>
      </c>
      <c r="W2862" s="780"/>
      <c r="X2862" s="881">
        <v>2858</v>
      </c>
      <c r="Y2862" s="881" t="s">
        <v>2248</v>
      </c>
      <c r="Z2862" s="881" t="s">
        <v>2999</v>
      </c>
      <c r="AA2862" s="882">
        <f>$S$1*P!AA2862</f>
        <v>0.65964</v>
      </c>
      <c r="AB2862" s="780"/>
      <c r="AC2862" s="782">
        <v>2858</v>
      </c>
      <c r="AD2862" s="782" t="s">
        <v>4573</v>
      </c>
      <c r="AE2862" s="782" t="s">
        <v>4890</v>
      </c>
      <c r="AF2862" s="781">
        <f>$S$1*P!AF2862</f>
        <v>2.090725806451613E-2</v>
      </c>
    </row>
    <row r="2863" spans="19:32" x14ac:dyDescent="0.35">
      <c r="S2863" s="881">
        <v>2859</v>
      </c>
      <c r="T2863" s="881" t="s">
        <v>4284</v>
      </c>
      <c r="U2863" s="881" t="s">
        <v>2760</v>
      </c>
      <c r="V2863" s="883">
        <f>$S$1*P!V2863</f>
        <v>0.43976000000000004</v>
      </c>
      <c r="W2863" s="780"/>
      <c r="X2863" s="782">
        <v>2859</v>
      </c>
      <c r="Y2863" s="782" t="s">
        <v>2248</v>
      </c>
      <c r="Z2863" s="782" t="s">
        <v>3431</v>
      </c>
      <c r="AA2863" s="781">
        <f>$S$1*P!AA2863</f>
        <v>7.0604838709677423E-5</v>
      </c>
      <c r="AB2863" s="780"/>
      <c r="AC2863" s="782">
        <v>2859</v>
      </c>
      <c r="AD2863" s="782" t="s">
        <v>4573</v>
      </c>
      <c r="AE2863" s="782" t="s">
        <v>4338</v>
      </c>
      <c r="AF2863" s="781">
        <f>$S$1*P!AF2863</f>
        <v>0.20735887096774194</v>
      </c>
    </row>
    <row r="2864" spans="19:32" x14ac:dyDescent="0.35">
      <c r="S2864" s="782">
        <v>2860</v>
      </c>
      <c r="T2864" s="782" t="s">
        <v>4284</v>
      </c>
      <c r="U2864" s="782" t="s">
        <v>2712</v>
      </c>
      <c r="V2864" s="797">
        <f>$S$1*P!V2864</f>
        <v>1.1002016129032259E-5</v>
      </c>
      <c r="W2864" s="780"/>
      <c r="X2864" s="881">
        <v>2860</v>
      </c>
      <c r="Y2864" s="881" t="s">
        <v>2248</v>
      </c>
      <c r="Z2864" s="881" t="s">
        <v>2997</v>
      </c>
      <c r="AA2864" s="882">
        <f>$S$1*P!AA2864</f>
        <v>6.6516000000000004E-4</v>
      </c>
      <c r="AB2864" s="780"/>
      <c r="AC2864" s="782">
        <v>2860</v>
      </c>
      <c r="AD2864" s="782" t="s">
        <v>4573</v>
      </c>
      <c r="AE2864" s="782" t="s">
        <v>4337</v>
      </c>
      <c r="AF2864" s="781">
        <f>$S$1*P!AF2864</f>
        <v>0.15663306451612904</v>
      </c>
    </row>
    <row r="2865" spans="19:32" x14ac:dyDescent="0.35">
      <c r="S2865" s="782">
        <v>2861</v>
      </c>
      <c r="T2865" s="782" t="s">
        <v>4284</v>
      </c>
      <c r="U2865" s="782" t="s">
        <v>2709</v>
      </c>
      <c r="V2865" s="797">
        <f>$S$1*P!V2865</f>
        <v>2.810483870967742E-5</v>
      </c>
      <c r="W2865" s="780"/>
      <c r="X2865" s="782">
        <v>2861</v>
      </c>
      <c r="Y2865" s="782" t="s">
        <v>2248</v>
      </c>
      <c r="Z2865" s="782" t="s">
        <v>2997</v>
      </c>
      <c r="AA2865" s="781">
        <f>$S$1*P!AA2865</f>
        <v>0.11550403225806452</v>
      </c>
      <c r="AB2865" s="780"/>
      <c r="AC2865" s="782">
        <v>2861</v>
      </c>
      <c r="AD2865" s="782" t="s">
        <v>4573</v>
      </c>
      <c r="AE2865" s="782" t="s">
        <v>4335</v>
      </c>
      <c r="AF2865" s="781">
        <f>$S$1*P!AF2865</f>
        <v>5.79233870967742E-2</v>
      </c>
    </row>
    <row r="2866" spans="19:32" x14ac:dyDescent="0.35">
      <c r="S2866" s="881">
        <v>2862</v>
      </c>
      <c r="T2866" s="881" t="s">
        <v>4284</v>
      </c>
      <c r="U2866" s="881" t="s">
        <v>2709</v>
      </c>
      <c r="V2866" s="883">
        <f>$S$1*P!V2866</f>
        <v>0.82431999999999994</v>
      </c>
      <c r="W2866" s="780"/>
      <c r="X2866" s="881">
        <v>2862</v>
      </c>
      <c r="Y2866" s="881" t="s">
        <v>2248</v>
      </c>
      <c r="Z2866" s="881" t="s">
        <v>2996</v>
      </c>
      <c r="AA2866" s="882">
        <f>$S$1*P!AA2866</f>
        <v>3.2476000000000003</v>
      </c>
      <c r="AB2866" s="780"/>
      <c r="AC2866" s="782">
        <v>2862</v>
      </c>
      <c r="AD2866" s="782" t="s">
        <v>4573</v>
      </c>
      <c r="AE2866" s="782" t="s">
        <v>4334</v>
      </c>
      <c r="AF2866" s="781">
        <f>$S$1*P!AF2866</f>
        <v>0.31258064516129036</v>
      </c>
    </row>
    <row r="2867" spans="19:32" x14ac:dyDescent="0.35">
      <c r="S2867" s="782">
        <v>2863</v>
      </c>
      <c r="T2867" s="782" t="s">
        <v>4284</v>
      </c>
      <c r="U2867" s="782" t="s">
        <v>2706</v>
      </c>
      <c r="V2867" s="797">
        <f>$S$1*P!V2867</f>
        <v>2.998991935483871E-6</v>
      </c>
      <c r="W2867" s="780"/>
      <c r="X2867" s="782">
        <v>2863</v>
      </c>
      <c r="Y2867" s="782" t="s">
        <v>2248</v>
      </c>
      <c r="Z2867" s="782" t="s">
        <v>4889</v>
      </c>
      <c r="AA2867" s="781">
        <f>$S$1*P!AA2867</f>
        <v>6.4778225806451616E-3</v>
      </c>
      <c r="AB2867" s="780"/>
      <c r="AC2867" s="782">
        <v>2863</v>
      </c>
      <c r="AD2867" s="782" t="s">
        <v>4573</v>
      </c>
      <c r="AE2867" s="782" t="s">
        <v>4332</v>
      </c>
      <c r="AF2867" s="781">
        <f>$S$1*P!AF2867</f>
        <v>0.15868951612903226</v>
      </c>
    </row>
    <row r="2868" spans="19:32" x14ac:dyDescent="0.35">
      <c r="S2868" s="782">
        <v>2864</v>
      </c>
      <c r="T2868" s="782" t="s">
        <v>4284</v>
      </c>
      <c r="U2868" s="782" t="s">
        <v>2703</v>
      </c>
      <c r="V2868" s="797">
        <f>$S$1*P!V2868</f>
        <v>1.4909274193548388E-3</v>
      </c>
      <c r="W2868" s="780"/>
      <c r="X2868" s="782">
        <v>2864</v>
      </c>
      <c r="Y2868" s="782" t="s">
        <v>2248</v>
      </c>
      <c r="Z2868" s="782" t="s">
        <v>2996</v>
      </c>
      <c r="AA2868" s="781">
        <f>$S$1*P!AA2868</f>
        <v>2.3889112903225807E-3</v>
      </c>
      <c r="AB2868" s="780"/>
      <c r="AC2868" s="782">
        <v>2864</v>
      </c>
      <c r="AD2868" s="782" t="s">
        <v>4573</v>
      </c>
      <c r="AE2868" s="782" t="s">
        <v>4331</v>
      </c>
      <c r="AF2868" s="781">
        <f>$S$1*P!AF2868</f>
        <v>1.2784274193548388</v>
      </c>
    </row>
    <row r="2869" spans="19:32" x14ac:dyDescent="0.35">
      <c r="S2869" s="881">
        <v>2865</v>
      </c>
      <c r="T2869" s="881" t="s">
        <v>4284</v>
      </c>
      <c r="U2869" s="881" t="s">
        <v>2703</v>
      </c>
      <c r="V2869" s="883">
        <f>$S$1*P!V2869</f>
        <v>0.24656000000000003</v>
      </c>
      <c r="W2869" s="780"/>
      <c r="X2869" s="782">
        <v>2865</v>
      </c>
      <c r="Y2869" s="782" t="s">
        <v>2248</v>
      </c>
      <c r="Z2869" s="782" t="s">
        <v>3490</v>
      </c>
      <c r="AA2869" s="781">
        <f>$S$1*P!AA2869</f>
        <v>1.1721774193548389</v>
      </c>
      <c r="AB2869" s="780"/>
      <c r="AC2869" s="881">
        <v>2865</v>
      </c>
      <c r="AD2869" s="881" t="s">
        <v>4573</v>
      </c>
      <c r="AE2869" s="881" t="s">
        <v>2606</v>
      </c>
      <c r="AF2869" s="890">
        <f>$S$1*P!AF2869</f>
        <v>0</v>
      </c>
    </row>
    <row r="2870" spans="19:32" x14ac:dyDescent="0.35">
      <c r="S2870" s="782">
        <v>2866</v>
      </c>
      <c r="T2870" s="782" t="s">
        <v>4284</v>
      </c>
      <c r="U2870" s="782" t="s">
        <v>2700</v>
      </c>
      <c r="V2870" s="797">
        <f>$S$1*P!V2870</f>
        <v>1.4326612903225807E-4</v>
      </c>
      <c r="W2870" s="780"/>
      <c r="X2870" s="782">
        <v>2866</v>
      </c>
      <c r="Y2870" s="782" t="s">
        <v>2248</v>
      </c>
      <c r="Z2870" s="782" t="s">
        <v>3430</v>
      </c>
      <c r="AA2870" s="781">
        <f>$S$1*P!AA2870</f>
        <v>2.8036290322580645E-3</v>
      </c>
      <c r="AB2870" s="780"/>
      <c r="AC2870" s="782">
        <v>2866</v>
      </c>
      <c r="AD2870" s="782" t="s">
        <v>4573</v>
      </c>
      <c r="AE2870" s="782" t="s">
        <v>4329</v>
      </c>
      <c r="AF2870" s="781">
        <f>$S$1*P!AF2870</f>
        <v>1.298991935483871</v>
      </c>
    </row>
    <row r="2871" spans="19:32" x14ac:dyDescent="0.35">
      <c r="S2871" s="782">
        <v>2867</v>
      </c>
      <c r="T2871" s="782" t="s">
        <v>4284</v>
      </c>
      <c r="U2871" s="782" t="s">
        <v>2698</v>
      </c>
      <c r="V2871" s="797">
        <f>$S$1*P!V2871</f>
        <v>3.7358870967741943E-5</v>
      </c>
      <c r="W2871" s="780"/>
      <c r="X2871" s="881">
        <v>2867</v>
      </c>
      <c r="Y2871" s="881" t="s">
        <v>2248</v>
      </c>
      <c r="Z2871" s="881" t="s">
        <v>2994</v>
      </c>
      <c r="AA2871" s="882">
        <f>$S$1*P!AA2871</f>
        <v>0.10947999999999999</v>
      </c>
      <c r="AB2871" s="780"/>
      <c r="AC2871" s="782">
        <v>2867</v>
      </c>
      <c r="AD2871" s="782" t="s">
        <v>4573</v>
      </c>
      <c r="AE2871" s="782" t="s">
        <v>4328</v>
      </c>
      <c r="AF2871" s="781">
        <f>$S$1*P!AF2871</f>
        <v>7.7116935483870969E-2</v>
      </c>
    </row>
    <row r="2872" spans="19:32" x14ac:dyDescent="0.35">
      <c r="S2872" s="881">
        <v>2868</v>
      </c>
      <c r="T2872" s="881" t="s">
        <v>4284</v>
      </c>
      <c r="U2872" s="881" t="s">
        <v>2698</v>
      </c>
      <c r="V2872" s="883">
        <f>$S$1*P!V2872</f>
        <v>0</v>
      </c>
      <c r="W2872" s="780"/>
      <c r="X2872" s="782">
        <v>2868</v>
      </c>
      <c r="Y2872" s="782" t="s">
        <v>2248</v>
      </c>
      <c r="Z2872" s="782" t="s">
        <v>2994</v>
      </c>
      <c r="AA2872" s="781">
        <f>$S$1*P!AA2872</f>
        <v>1.1550403225806453E-3</v>
      </c>
      <c r="AB2872" s="780"/>
      <c r="AC2872" s="881">
        <v>2868</v>
      </c>
      <c r="AD2872" s="881" t="s">
        <v>4573</v>
      </c>
      <c r="AE2872" s="881" t="s">
        <v>2604</v>
      </c>
      <c r="AF2872" s="890">
        <f>$S$1*P!AF2872</f>
        <v>0.24196000000000001</v>
      </c>
    </row>
    <row r="2873" spans="19:32" x14ac:dyDescent="0.35">
      <c r="S2873" s="782">
        <v>2869</v>
      </c>
      <c r="T2873" s="782" t="s">
        <v>4284</v>
      </c>
      <c r="U2873" s="782" t="s">
        <v>2695</v>
      </c>
      <c r="V2873" s="797">
        <f>$S$1*P!V2873</f>
        <v>2.4643145161290324E-4</v>
      </c>
      <c r="W2873" s="780"/>
      <c r="X2873" s="782">
        <v>2869</v>
      </c>
      <c r="Y2873" s="782" t="s">
        <v>2248</v>
      </c>
      <c r="Z2873" s="782" t="s">
        <v>4888</v>
      </c>
      <c r="AA2873" s="781">
        <f>$S$1*P!AA2873</f>
        <v>2.4848790322580649E-2</v>
      </c>
      <c r="AB2873" s="780"/>
      <c r="AC2873" s="782">
        <v>2869</v>
      </c>
      <c r="AD2873" s="782" t="s">
        <v>4573</v>
      </c>
      <c r="AE2873" s="782" t="s">
        <v>4325</v>
      </c>
      <c r="AF2873" s="781">
        <f>$S$1*P!AF2873</f>
        <v>0.25294354838709682</v>
      </c>
    </row>
    <row r="2874" spans="19:32" x14ac:dyDescent="0.35">
      <c r="S2874" s="782">
        <v>2870</v>
      </c>
      <c r="T2874" s="782" t="s">
        <v>4284</v>
      </c>
      <c r="U2874" s="782" t="s">
        <v>2692</v>
      </c>
      <c r="V2874" s="797">
        <f>$S$1*P!V2874</f>
        <v>3.7701612903225811E-4</v>
      </c>
      <c r="W2874" s="780"/>
      <c r="X2874" s="782">
        <v>2870</v>
      </c>
      <c r="Y2874" s="782" t="s">
        <v>2248</v>
      </c>
      <c r="Z2874" s="782" t="s">
        <v>3486</v>
      </c>
      <c r="AA2874" s="781">
        <f>$S$1*P!AA2874</f>
        <v>7.5060483870967751E-5</v>
      </c>
      <c r="AB2874" s="780"/>
      <c r="AC2874" s="782">
        <v>2870</v>
      </c>
      <c r="AD2874" s="782" t="s">
        <v>4573</v>
      </c>
      <c r="AE2874" s="782" t="s">
        <v>4323</v>
      </c>
      <c r="AF2874" s="781">
        <f>$S$1*P!AF2874</f>
        <v>5.6895161290322585E-2</v>
      </c>
    </row>
    <row r="2875" spans="19:32" x14ac:dyDescent="0.35">
      <c r="S2875" s="881">
        <v>2871</v>
      </c>
      <c r="T2875" s="881" t="s">
        <v>4284</v>
      </c>
      <c r="U2875" s="881" t="s">
        <v>2756</v>
      </c>
      <c r="V2875" s="883">
        <f>$S$1*P!V2875</f>
        <v>0.17663999999999999</v>
      </c>
      <c r="W2875" s="780"/>
      <c r="X2875" s="782">
        <v>2871</v>
      </c>
      <c r="Y2875" s="782" t="s">
        <v>2248</v>
      </c>
      <c r="Z2875" s="782" t="s">
        <v>3483</v>
      </c>
      <c r="AA2875" s="781">
        <f>$S$1*P!AA2875</f>
        <v>2.4608870967741938E-3</v>
      </c>
      <c r="AB2875" s="780"/>
      <c r="AC2875" s="782">
        <v>2871</v>
      </c>
      <c r="AD2875" s="782" t="s">
        <v>4573</v>
      </c>
      <c r="AE2875" s="782" t="s">
        <v>4320</v>
      </c>
      <c r="AF2875" s="781">
        <f>$S$1*P!AF2875</f>
        <v>0.1275</v>
      </c>
    </row>
    <row r="2876" spans="19:32" x14ac:dyDescent="0.35">
      <c r="S2876" s="782">
        <v>2872</v>
      </c>
      <c r="T2876" s="782" t="s">
        <v>4284</v>
      </c>
      <c r="U2876" s="782" t="s">
        <v>2691</v>
      </c>
      <c r="V2876" s="797">
        <f>$S$1*P!V2876</f>
        <v>1.5731854838709678E-3</v>
      </c>
      <c r="W2876" s="780"/>
      <c r="X2876" s="782">
        <v>2872</v>
      </c>
      <c r="Y2876" s="782" t="s">
        <v>2248</v>
      </c>
      <c r="Z2876" s="782" t="s">
        <v>4887</v>
      </c>
      <c r="AA2876" s="781">
        <f>$S$1*P!AA2876</f>
        <v>1.1824596774193548E-3</v>
      </c>
      <c r="AB2876" s="780"/>
      <c r="AC2876" s="782">
        <v>2872</v>
      </c>
      <c r="AD2876" s="782" t="s">
        <v>4573</v>
      </c>
      <c r="AE2876" s="782" t="s">
        <v>2602</v>
      </c>
      <c r="AF2876" s="781">
        <f>$S$1*P!AF2876</f>
        <v>3.1052419354838712</v>
      </c>
    </row>
    <row r="2877" spans="19:32" x14ac:dyDescent="0.35">
      <c r="S2877" s="782">
        <v>2873</v>
      </c>
      <c r="T2877" s="782" t="s">
        <v>4284</v>
      </c>
      <c r="U2877" s="782" t="s">
        <v>2690</v>
      </c>
      <c r="V2877" s="797">
        <f>$S$1*P!V2877</f>
        <v>1.4120967741935485E-6</v>
      </c>
      <c r="W2877" s="780"/>
      <c r="X2877" s="782">
        <v>2873</v>
      </c>
      <c r="Y2877" s="782" t="s">
        <v>2248</v>
      </c>
      <c r="Z2877" s="782" t="s">
        <v>3480</v>
      </c>
      <c r="AA2877" s="781">
        <f>$S$1*P!AA2877</f>
        <v>4.010080645161291E-2</v>
      </c>
      <c r="AB2877" s="780"/>
      <c r="AC2877" s="881">
        <v>2873</v>
      </c>
      <c r="AD2877" s="881" t="s">
        <v>4573</v>
      </c>
      <c r="AE2877" s="881" t="s">
        <v>2602</v>
      </c>
      <c r="AF2877" s="890">
        <f>$S$1*P!AF2877</f>
        <v>19.963999999999999</v>
      </c>
    </row>
    <row r="2878" spans="19:32" x14ac:dyDescent="0.35">
      <c r="S2878" s="782">
        <v>2874</v>
      </c>
      <c r="T2878" s="782" t="s">
        <v>4284</v>
      </c>
      <c r="U2878" s="782" t="s">
        <v>2687</v>
      </c>
      <c r="V2878" s="797">
        <f>$S$1*P!V2878</f>
        <v>4.2842741935483876E-5</v>
      </c>
      <c r="W2878" s="780"/>
      <c r="X2878" s="782">
        <v>2874</v>
      </c>
      <c r="Y2878" s="782" t="s">
        <v>2248</v>
      </c>
      <c r="Z2878" s="782" t="s">
        <v>4886</v>
      </c>
      <c r="AA2878" s="781">
        <f>$S$1*P!AA2878</f>
        <v>3.3657258064516134E-3</v>
      </c>
      <c r="AB2878" s="780"/>
      <c r="AC2878" s="782">
        <v>2874</v>
      </c>
      <c r="AD2878" s="782" t="s">
        <v>4573</v>
      </c>
      <c r="AE2878" s="782" t="s">
        <v>4318</v>
      </c>
      <c r="AF2878" s="781">
        <f>$S$1*P!AF2878</f>
        <v>1.0933467741935485E-7</v>
      </c>
    </row>
    <row r="2879" spans="19:32" x14ac:dyDescent="0.35">
      <c r="S2879" s="782">
        <v>2875</v>
      </c>
      <c r="T2879" s="782" t="s">
        <v>4284</v>
      </c>
      <c r="U2879" s="782" t="s">
        <v>2684</v>
      </c>
      <c r="V2879" s="797">
        <f>$S$1*P!V2879</f>
        <v>1.038508064516129E-3</v>
      </c>
      <c r="W2879" s="780"/>
      <c r="X2879" s="782">
        <v>2875</v>
      </c>
      <c r="Y2879" s="782" t="s">
        <v>2248</v>
      </c>
      <c r="Z2879" s="782" t="s">
        <v>3478</v>
      </c>
      <c r="AA2879" s="781">
        <f>$S$1*P!AA2879</f>
        <v>1.4875000000000001E-5</v>
      </c>
      <c r="AB2879" s="780"/>
      <c r="AC2879" s="782">
        <v>2875</v>
      </c>
      <c r="AD2879" s="782" t="s">
        <v>4573</v>
      </c>
      <c r="AE2879" s="782" t="s">
        <v>4316</v>
      </c>
      <c r="AF2879" s="781">
        <f>$S$1*P!AF2879</f>
        <v>2.0701612903225808</v>
      </c>
    </row>
    <row r="2880" spans="19:32" x14ac:dyDescent="0.35">
      <c r="S2880" s="881">
        <v>2876</v>
      </c>
      <c r="T2880" s="881" t="s">
        <v>4284</v>
      </c>
      <c r="U2880" s="881" t="s">
        <v>2684</v>
      </c>
      <c r="V2880" s="883">
        <f>$S$1*P!V2880</f>
        <v>0</v>
      </c>
      <c r="W2880" s="780"/>
      <c r="X2880" s="881">
        <v>2876</v>
      </c>
      <c r="Y2880" s="881" t="s">
        <v>2248</v>
      </c>
      <c r="Z2880" s="881" t="s">
        <v>2993</v>
      </c>
      <c r="AA2880" s="882">
        <f>$S$1*P!AA2880</f>
        <v>0.50507999999999997</v>
      </c>
      <c r="AB2880" s="780"/>
      <c r="AC2880" s="881">
        <v>2876</v>
      </c>
      <c r="AD2880" s="881" t="s">
        <v>4573</v>
      </c>
      <c r="AE2880" s="881" t="s">
        <v>2601</v>
      </c>
      <c r="AF2880" s="890">
        <f>$S$1*P!AF2880</f>
        <v>0.16008</v>
      </c>
    </row>
    <row r="2881" spans="19:32" x14ac:dyDescent="0.35">
      <c r="S2881" s="782">
        <v>2877</v>
      </c>
      <c r="T2881" s="782" t="s">
        <v>4284</v>
      </c>
      <c r="U2881" s="782" t="s">
        <v>2681</v>
      </c>
      <c r="V2881" s="797">
        <f>$S$1*P!V2881</f>
        <v>7.4717741935483879E-3</v>
      </c>
      <c r="W2881" s="780"/>
      <c r="X2881" s="782">
        <v>2877</v>
      </c>
      <c r="Y2881" s="782" t="s">
        <v>2248</v>
      </c>
      <c r="Z2881" s="782" t="s">
        <v>4885</v>
      </c>
      <c r="AA2881" s="781">
        <f>$S$1*P!AA2881</f>
        <v>7.5745967741935484E-5</v>
      </c>
      <c r="AB2881" s="780"/>
      <c r="AC2881" s="782">
        <v>2877</v>
      </c>
      <c r="AD2881" s="782" t="s">
        <v>4573</v>
      </c>
      <c r="AE2881" s="782" t="s">
        <v>4315</v>
      </c>
      <c r="AF2881" s="781">
        <f>$S$1*P!AF2881</f>
        <v>9.2883064516129044E-2</v>
      </c>
    </row>
    <row r="2882" spans="19:32" x14ac:dyDescent="0.35">
      <c r="S2882" s="782">
        <v>2878</v>
      </c>
      <c r="T2882" s="782" t="s">
        <v>4284</v>
      </c>
      <c r="U2882" s="782" t="s">
        <v>2679</v>
      </c>
      <c r="V2882" s="797">
        <f>$S$1*P!V2882</f>
        <v>8.5685483870967749E-2</v>
      </c>
      <c r="W2882" s="780"/>
      <c r="X2882" s="782">
        <v>2878</v>
      </c>
      <c r="Y2882" s="782" t="s">
        <v>2248</v>
      </c>
      <c r="Z2882" s="782" t="s">
        <v>3475</v>
      </c>
      <c r="AA2882" s="781">
        <f>$S$1*P!AA2882</f>
        <v>2.7042338709677423E-3</v>
      </c>
      <c r="AB2882" s="780"/>
      <c r="AC2882" s="881">
        <v>2878</v>
      </c>
      <c r="AD2882" s="881" t="s">
        <v>4573</v>
      </c>
      <c r="AE2882" s="881" t="s">
        <v>2599</v>
      </c>
      <c r="AF2882" s="890">
        <f>$S$1*P!AF2882</f>
        <v>0</v>
      </c>
    </row>
    <row r="2883" spans="19:32" x14ac:dyDescent="0.35">
      <c r="S2883" s="782">
        <v>2879</v>
      </c>
      <c r="T2883" s="782" t="s">
        <v>4284</v>
      </c>
      <c r="U2883" s="782" t="s">
        <v>2677</v>
      </c>
      <c r="V2883" s="797">
        <f>$S$1*P!V2883</f>
        <v>3.2834677419354842E-2</v>
      </c>
      <c r="W2883" s="780"/>
      <c r="X2883" s="782">
        <v>2879</v>
      </c>
      <c r="Y2883" s="782" t="s">
        <v>2248</v>
      </c>
      <c r="Z2883" s="782" t="s">
        <v>3472</v>
      </c>
      <c r="AA2883" s="781">
        <f>$S$1*P!AA2883</f>
        <v>7.1975806451612912E-4</v>
      </c>
      <c r="AB2883" s="780"/>
      <c r="AC2883" s="782">
        <v>2879</v>
      </c>
      <c r="AD2883" s="782" t="s">
        <v>4573</v>
      </c>
      <c r="AE2883" s="782" t="s">
        <v>4313</v>
      </c>
      <c r="AF2883" s="781">
        <f>$S$1*P!AF2883</f>
        <v>0.5346774193548387</v>
      </c>
    </row>
    <row r="2884" spans="19:32" x14ac:dyDescent="0.35">
      <c r="S2884" s="782">
        <v>2880</v>
      </c>
      <c r="T2884" s="782" t="s">
        <v>4284</v>
      </c>
      <c r="U2884" s="782" t="s">
        <v>2674</v>
      </c>
      <c r="V2884" s="797">
        <f>$S$1*P!V2884</f>
        <v>2.3306451612903231E-6</v>
      </c>
      <c r="W2884" s="780"/>
      <c r="X2884" s="782">
        <v>2880</v>
      </c>
      <c r="Y2884" s="782" t="s">
        <v>2248</v>
      </c>
      <c r="Z2884" s="782" t="s">
        <v>4884</v>
      </c>
      <c r="AA2884" s="781">
        <f>$S$1*P!AA2884</f>
        <v>2.906451612903226E-3</v>
      </c>
      <c r="AB2884" s="780"/>
      <c r="AC2884" s="782">
        <v>2880</v>
      </c>
      <c r="AD2884" s="782" t="s">
        <v>4573</v>
      </c>
      <c r="AE2884" s="782" t="s">
        <v>4312</v>
      </c>
      <c r="AF2884" s="781">
        <f>$S$1*P!AF2884</f>
        <v>0.5278225806451613</v>
      </c>
    </row>
    <row r="2885" spans="19:32" x14ac:dyDescent="0.35">
      <c r="S2885" s="782">
        <v>2881</v>
      </c>
      <c r="T2885" s="782" t="s">
        <v>4284</v>
      </c>
      <c r="U2885" s="782" t="s">
        <v>2671</v>
      </c>
      <c r="V2885" s="797">
        <f>$S$1*P!V2885</f>
        <v>2.6459677419354838E-4</v>
      </c>
      <c r="W2885" s="780"/>
      <c r="X2885" s="881">
        <v>2881</v>
      </c>
      <c r="Y2885" s="881" t="s">
        <v>2248</v>
      </c>
      <c r="Z2885" s="881" t="s">
        <v>2992</v>
      </c>
      <c r="AA2885" s="882">
        <f>$S$1*P!AA2885</f>
        <v>3.2384E-5</v>
      </c>
      <c r="AB2885" s="780"/>
      <c r="AC2885" s="782">
        <v>2881</v>
      </c>
      <c r="AD2885" s="782" t="s">
        <v>4573</v>
      </c>
      <c r="AE2885" s="782" t="s">
        <v>4311</v>
      </c>
      <c r="AF2885" s="781">
        <f>$S$1*P!AF2885</f>
        <v>5.9637096774193552E-3</v>
      </c>
    </row>
    <row r="2886" spans="19:32" x14ac:dyDescent="0.35">
      <c r="S2886" s="782">
        <v>2882</v>
      </c>
      <c r="T2886" s="782" t="s">
        <v>4284</v>
      </c>
      <c r="U2886" s="782" t="s">
        <v>2670</v>
      </c>
      <c r="V2886" s="797">
        <f>$S$1*P!V2886</f>
        <v>3.0538306451612904E-5</v>
      </c>
      <c r="W2886" s="780"/>
      <c r="X2886" s="782">
        <v>2882</v>
      </c>
      <c r="Y2886" s="782" t="s">
        <v>2248</v>
      </c>
      <c r="Z2886" s="782" t="s">
        <v>2992</v>
      </c>
      <c r="AA2886" s="781">
        <f>$S$1*P!AA2886</f>
        <v>7.0262096774193543E-5</v>
      </c>
      <c r="AB2886" s="780"/>
      <c r="AC2886" s="782">
        <v>2882</v>
      </c>
      <c r="AD2886" s="782" t="s">
        <v>4573</v>
      </c>
      <c r="AE2886" s="782" t="s">
        <v>4309</v>
      </c>
      <c r="AF2886" s="781">
        <f>$S$1*P!AF2886</f>
        <v>0.27110887096774194</v>
      </c>
    </row>
    <row r="2887" spans="19:32" x14ac:dyDescent="0.35">
      <c r="S2887" s="782">
        <v>2883</v>
      </c>
      <c r="T2887" s="782" t="s">
        <v>4284</v>
      </c>
      <c r="U2887" s="782" t="s">
        <v>2668</v>
      </c>
      <c r="V2887" s="797">
        <f>$S$1*P!V2887</f>
        <v>1.4018145161290323E-4</v>
      </c>
      <c r="W2887" s="780"/>
      <c r="X2887" s="782">
        <v>2883</v>
      </c>
      <c r="Y2887" s="782" t="s">
        <v>2248</v>
      </c>
      <c r="Z2887" s="782" t="s">
        <v>4883</v>
      </c>
      <c r="AA2887" s="781">
        <f>$S$1*P!AA2887</f>
        <v>9.2197580645161296E-4</v>
      </c>
      <c r="AB2887" s="780"/>
      <c r="AC2887" s="782">
        <v>2883</v>
      </c>
      <c r="AD2887" s="782" t="s">
        <v>4573</v>
      </c>
      <c r="AE2887" s="782" t="s">
        <v>2598</v>
      </c>
      <c r="AF2887" s="781">
        <f>$S$1*P!AF2887</f>
        <v>3.4959677419354844E-2</v>
      </c>
    </row>
    <row r="2888" spans="19:32" x14ac:dyDescent="0.35">
      <c r="S2888" s="782">
        <v>2884</v>
      </c>
      <c r="T2888" s="782" t="s">
        <v>4284</v>
      </c>
      <c r="U2888" s="782" t="s">
        <v>2666</v>
      </c>
      <c r="V2888" s="797">
        <f>$S$1*P!V2888</f>
        <v>5.620967741935484E-5</v>
      </c>
      <c r="W2888" s="780"/>
      <c r="X2888" s="782">
        <v>2884</v>
      </c>
      <c r="Y2888" s="782" t="s">
        <v>2248</v>
      </c>
      <c r="Z2888" s="782" t="s">
        <v>3468</v>
      </c>
      <c r="AA2888" s="781">
        <f>$S$1*P!AA2888</f>
        <v>193.30645161290323</v>
      </c>
      <c r="AB2888" s="780"/>
      <c r="AC2888" s="881">
        <v>2884</v>
      </c>
      <c r="AD2888" s="881" t="s">
        <v>4573</v>
      </c>
      <c r="AE2888" s="881" t="s">
        <v>2598</v>
      </c>
      <c r="AF2888" s="890">
        <f>$S$1*P!AF2888</f>
        <v>0</v>
      </c>
    </row>
    <row r="2889" spans="19:32" x14ac:dyDescent="0.35">
      <c r="S2889" s="782">
        <v>2885</v>
      </c>
      <c r="T2889" s="782" t="s">
        <v>4284</v>
      </c>
      <c r="U2889" s="782" t="s">
        <v>2664</v>
      </c>
      <c r="V2889" s="797">
        <f>$S$1*P!V2889</f>
        <v>6.0665322580645163E-4</v>
      </c>
      <c r="W2889" s="780"/>
      <c r="X2889" s="782">
        <v>2885</v>
      </c>
      <c r="Y2889" s="782" t="s">
        <v>2248</v>
      </c>
      <c r="Z2889" s="782" t="s">
        <v>3465</v>
      </c>
      <c r="AA2889" s="781">
        <f>$S$1*P!AA2889</f>
        <v>5.449596774193549E-4</v>
      </c>
      <c r="AB2889" s="780"/>
      <c r="AC2889" s="782">
        <v>2885</v>
      </c>
      <c r="AD2889" s="782" t="s">
        <v>4573</v>
      </c>
      <c r="AE2889" s="782" t="s">
        <v>4308</v>
      </c>
      <c r="AF2889" s="781">
        <f>$S$1*P!AF2889</f>
        <v>5.5181451612903226E-3</v>
      </c>
    </row>
    <row r="2890" spans="19:32" x14ac:dyDescent="0.35">
      <c r="S2890" s="782">
        <v>2886</v>
      </c>
      <c r="T2890" s="782" t="s">
        <v>4284</v>
      </c>
      <c r="U2890" s="782" t="s">
        <v>2661</v>
      </c>
      <c r="V2890" s="797">
        <f>$S$1*P!V2890</f>
        <v>0.89455645161290331</v>
      </c>
      <c r="W2890" s="780"/>
      <c r="X2890" s="782">
        <v>2886</v>
      </c>
      <c r="Y2890" s="782" t="s">
        <v>2248</v>
      </c>
      <c r="Z2890" s="782" t="s">
        <v>3462</v>
      </c>
      <c r="AA2890" s="781">
        <f>$S$1*P!AA2890</f>
        <v>6.5806451612903227E-3</v>
      </c>
      <c r="AB2890" s="780"/>
      <c r="AC2890" s="782">
        <v>2886</v>
      </c>
      <c r="AD2890" s="782" t="s">
        <v>4573</v>
      </c>
      <c r="AE2890" s="782" t="s">
        <v>4307</v>
      </c>
      <c r="AF2890" s="781">
        <f>$S$1*P!AF2890</f>
        <v>0.13366935483870968</v>
      </c>
    </row>
    <row r="2891" spans="19:32" x14ac:dyDescent="0.35">
      <c r="S2891" s="782">
        <v>2887</v>
      </c>
      <c r="T2891" s="782" t="s">
        <v>4284</v>
      </c>
      <c r="U2891" s="782" t="s">
        <v>2658</v>
      </c>
      <c r="V2891" s="797">
        <f>$S$1*P!V2891</f>
        <v>4.5927419354838719E-5</v>
      </c>
      <c r="W2891" s="780"/>
      <c r="X2891" s="782">
        <v>2887</v>
      </c>
      <c r="Y2891" s="782" t="s">
        <v>2248</v>
      </c>
      <c r="Z2891" s="782" t="s">
        <v>4882</v>
      </c>
      <c r="AA2891" s="781">
        <f>$S$1*P!AA2891</f>
        <v>2.8687500000000002E-3</v>
      </c>
      <c r="AB2891" s="780"/>
      <c r="AC2891" s="782">
        <v>2887</v>
      </c>
      <c r="AD2891" s="782" t="s">
        <v>4573</v>
      </c>
      <c r="AE2891" s="782" t="s">
        <v>4305</v>
      </c>
      <c r="AF2891" s="781">
        <f>$S$1*P!AF2891</f>
        <v>1.1721774193548388E-2</v>
      </c>
    </row>
    <row r="2892" spans="19:32" x14ac:dyDescent="0.35">
      <c r="S2892" s="782">
        <v>2888</v>
      </c>
      <c r="T2892" s="782" t="s">
        <v>4284</v>
      </c>
      <c r="U2892" s="782" t="s">
        <v>2656</v>
      </c>
      <c r="V2892" s="797">
        <f>$S$1*P!V2892</f>
        <v>1.6657258064516132E-4</v>
      </c>
      <c r="W2892" s="780"/>
      <c r="X2892" s="782">
        <v>2888</v>
      </c>
      <c r="Y2892" s="782" t="s">
        <v>2248</v>
      </c>
      <c r="Z2892" s="782" t="s">
        <v>3459</v>
      </c>
      <c r="AA2892" s="781">
        <f>$S$1*P!AA2892</f>
        <v>2.7110887096774199E-4</v>
      </c>
      <c r="AB2892" s="780"/>
      <c r="AC2892" s="881">
        <v>2888</v>
      </c>
      <c r="AD2892" s="881" t="s">
        <v>4573</v>
      </c>
      <c r="AE2892" s="881" t="s">
        <v>2596</v>
      </c>
      <c r="AF2892" s="890">
        <f>$S$1*P!AF2892</f>
        <v>783.84</v>
      </c>
    </row>
    <row r="2893" spans="19:32" x14ac:dyDescent="0.35">
      <c r="S2893" s="881">
        <v>2889</v>
      </c>
      <c r="T2893" s="881" t="s">
        <v>4284</v>
      </c>
      <c r="U2893" s="881" t="s">
        <v>2754</v>
      </c>
      <c r="V2893" s="883">
        <f>$S$1*P!V2893</f>
        <v>79.671999999999997</v>
      </c>
      <c r="W2893" s="780"/>
      <c r="X2893" s="782">
        <v>2889</v>
      </c>
      <c r="Y2893" s="782" t="s">
        <v>2248</v>
      </c>
      <c r="Z2893" s="782" t="s">
        <v>3456</v>
      </c>
      <c r="AA2893" s="781">
        <f>$S$1*P!AA2893</f>
        <v>1.8473790322580646E-3</v>
      </c>
      <c r="AB2893" s="780"/>
      <c r="AC2893" s="782">
        <v>2889</v>
      </c>
      <c r="AD2893" s="782" t="s">
        <v>4573</v>
      </c>
      <c r="AE2893" s="782" t="s">
        <v>4303</v>
      </c>
      <c r="AF2893" s="781">
        <f>$S$1*P!AF2893</f>
        <v>9.6995967741935493E-4</v>
      </c>
    </row>
    <row r="2894" spans="19:32" x14ac:dyDescent="0.35">
      <c r="S2894" s="782">
        <v>2890</v>
      </c>
      <c r="T2894" s="782" t="s">
        <v>4284</v>
      </c>
      <c r="U2894" s="782" t="s">
        <v>2653</v>
      </c>
      <c r="V2894" s="797">
        <f>$S$1*P!V2894</f>
        <v>3.6673387096774195</v>
      </c>
      <c r="W2894" s="780"/>
      <c r="X2894" s="782">
        <v>2890</v>
      </c>
      <c r="Y2894" s="782" t="s">
        <v>2248</v>
      </c>
      <c r="Z2894" s="782" t="s">
        <v>4881</v>
      </c>
      <c r="AA2894" s="781">
        <f>$S$1*P!AA2894</f>
        <v>2.5122983870967745E-4</v>
      </c>
      <c r="AB2894" s="780"/>
      <c r="AC2894" s="881">
        <v>2890</v>
      </c>
      <c r="AD2894" s="881" t="s">
        <v>4573</v>
      </c>
      <c r="AE2894" s="881" t="s">
        <v>2595</v>
      </c>
      <c r="AF2894" s="890">
        <f>$S$1*P!AF2894</f>
        <v>0.33948</v>
      </c>
    </row>
    <row r="2895" spans="19:32" x14ac:dyDescent="0.35">
      <c r="S2895" s="881">
        <v>2891</v>
      </c>
      <c r="T2895" s="881" t="s">
        <v>4284</v>
      </c>
      <c r="U2895" s="881" t="s">
        <v>2653</v>
      </c>
      <c r="V2895" s="883">
        <f>$S$1*P!V2895</f>
        <v>103.03999999999999</v>
      </c>
      <c r="W2895" s="780"/>
      <c r="X2895" s="782">
        <v>2891</v>
      </c>
      <c r="Y2895" s="782" t="s">
        <v>2248</v>
      </c>
      <c r="Z2895" s="782" t="s">
        <v>3454</v>
      </c>
      <c r="AA2895" s="781">
        <f>$S$1*P!AA2895</f>
        <v>2.0461693548387101E-3</v>
      </c>
      <c r="AB2895" s="780"/>
      <c r="AC2895" s="782">
        <v>2891</v>
      </c>
      <c r="AD2895" s="782" t="s">
        <v>4573</v>
      </c>
      <c r="AE2895" s="782" t="s">
        <v>4301</v>
      </c>
      <c r="AF2895" s="781">
        <f>$S$1*P!AF2895</f>
        <v>8.7399193548387099E-4</v>
      </c>
    </row>
    <row r="2896" spans="19:32" x14ac:dyDescent="0.35">
      <c r="S2896" s="782">
        <v>2892</v>
      </c>
      <c r="T2896" s="782" t="s">
        <v>4284</v>
      </c>
      <c r="U2896" s="782" t="s">
        <v>2650</v>
      </c>
      <c r="V2896" s="797">
        <f>$S$1*P!V2896</f>
        <v>0.55866935483870972</v>
      </c>
      <c r="W2896" s="780"/>
      <c r="X2896" s="881">
        <v>2892</v>
      </c>
      <c r="Y2896" s="881" t="s">
        <v>2248</v>
      </c>
      <c r="Z2896" s="881" t="s">
        <v>2991</v>
      </c>
      <c r="AA2896" s="882">
        <f>$S$1*P!AA2896</f>
        <v>1.7296</v>
      </c>
      <c r="AB2896" s="780"/>
      <c r="AC2896" s="881">
        <v>2892</v>
      </c>
      <c r="AD2896" s="881" t="s">
        <v>4573</v>
      </c>
      <c r="AE2896" s="881" t="s">
        <v>2593</v>
      </c>
      <c r="AF2896" s="890">
        <f>$S$1*P!AF2896</f>
        <v>0</v>
      </c>
    </row>
    <row r="2897" spans="19:32" x14ac:dyDescent="0.35">
      <c r="S2897" s="782">
        <v>2893</v>
      </c>
      <c r="T2897" s="782" t="s">
        <v>4284</v>
      </c>
      <c r="U2897" s="782" t="s">
        <v>2648</v>
      </c>
      <c r="V2897" s="797">
        <f>$S$1*P!V2897</f>
        <v>1.5868951612903226</v>
      </c>
      <c r="W2897" s="780"/>
      <c r="X2897" s="782">
        <v>2893</v>
      </c>
      <c r="Y2897" s="782" t="s">
        <v>2248</v>
      </c>
      <c r="Z2897" s="782" t="s">
        <v>2991</v>
      </c>
      <c r="AA2897" s="781">
        <f>$S$1*P!AA2897</f>
        <v>5.0725806451612907E-5</v>
      </c>
      <c r="AB2897" s="780"/>
      <c r="AC2897" s="782">
        <v>2893</v>
      </c>
      <c r="AD2897" s="782" t="s">
        <v>4573</v>
      </c>
      <c r="AE2897" s="782" t="s">
        <v>2592</v>
      </c>
      <c r="AF2897" s="781">
        <f>$S$1*P!AF2897</f>
        <v>0.51411290322580649</v>
      </c>
    </row>
    <row r="2898" spans="19:32" x14ac:dyDescent="0.35">
      <c r="S2898" s="881">
        <v>2894</v>
      </c>
      <c r="T2898" s="881" t="s">
        <v>4284</v>
      </c>
      <c r="U2898" s="881" t="s">
        <v>2648</v>
      </c>
      <c r="V2898" s="883">
        <f>$S$1*P!V2898</f>
        <v>0</v>
      </c>
      <c r="W2898" s="780"/>
      <c r="X2898" s="782">
        <v>2894</v>
      </c>
      <c r="Y2898" s="782" t="s">
        <v>2248</v>
      </c>
      <c r="Z2898" s="782" t="s">
        <v>4880</v>
      </c>
      <c r="AA2898" s="781">
        <f>$S$1*P!AA2898</f>
        <v>1.0796370967741937E-3</v>
      </c>
      <c r="AB2898" s="780"/>
      <c r="AC2898" s="881">
        <v>2894</v>
      </c>
      <c r="AD2898" s="881" t="s">
        <v>4573</v>
      </c>
      <c r="AE2898" s="881" t="s">
        <v>2592</v>
      </c>
      <c r="AF2898" s="890">
        <f>$S$1*P!AF2898</f>
        <v>0</v>
      </c>
    </row>
    <row r="2899" spans="19:32" x14ac:dyDescent="0.35">
      <c r="S2899" s="782">
        <v>2895</v>
      </c>
      <c r="T2899" s="782" t="s">
        <v>4284</v>
      </c>
      <c r="U2899" s="782" t="s">
        <v>2646</v>
      </c>
      <c r="V2899" s="797">
        <f>$S$1*P!V2899</f>
        <v>6.546370967741936E-4</v>
      </c>
      <c r="W2899" s="780"/>
      <c r="X2899" s="782">
        <v>2895</v>
      </c>
      <c r="Y2899" s="782" t="s">
        <v>2248</v>
      </c>
      <c r="Z2899" s="782" t="s">
        <v>3449</v>
      </c>
      <c r="AA2899" s="781">
        <f>$S$1*P!AA2899</f>
        <v>3.4616935483870972E-5</v>
      </c>
      <c r="AB2899" s="780"/>
      <c r="AC2899" s="782">
        <v>2895</v>
      </c>
      <c r="AD2899" s="782" t="s">
        <v>4573</v>
      </c>
      <c r="AE2899" s="782" t="s">
        <v>2590</v>
      </c>
      <c r="AF2899" s="781">
        <f>$S$1*P!AF2899</f>
        <v>13.12701612903226</v>
      </c>
    </row>
    <row r="2900" spans="19:32" x14ac:dyDescent="0.35">
      <c r="S2900" s="782">
        <v>2896</v>
      </c>
      <c r="T2900" s="782" t="s">
        <v>4284</v>
      </c>
      <c r="U2900" s="782" t="s">
        <v>2644</v>
      </c>
      <c r="V2900" s="797">
        <f>$S$1*P!V2900</f>
        <v>0.65463709677419357</v>
      </c>
      <c r="W2900" s="780"/>
      <c r="X2900" s="782">
        <v>2896</v>
      </c>
      <c r="Y2900" s="782" t="s">
        <v>2248</v>
      </c>
      <c r="Z2900" s="782" t="s">
        <v>3427</v>
      </c>
      <c r="AA2900" s="781">
        <f>$S$1*P!AA2900</f>
        <v>1.5149193548387097E-4</v>
      </c>
      <c r="AB2900" s="780"/>
      <c r="AC2900" s="881">
        <v>2896</v>
      </c>
      <c r="AD2900" s="881" t="s">
        <v>4573</v>
      </c>
      <c r="AE2900" s="881" t="s">
        <v>2590</v>
      </c>
      <c r="AF2900" s="890">
        <f>$S$1*P!AF2900</f>
        <v>0</v>
      </c>
    </row>
    <row r="2901" spans="19:32" x14ac:dyDescent="0.35">
      <c r="S2901" s="881">
        <v>2897</v>
      </c>
      <c r="T2901" s="881" t="s">
        <v>4284</v>
      </c>
      <c r="U2901" s="881" t="s">
        <v>2644</v>
      </c>
      <c r="V2901" s="883">
        <f>$S$1*P!V2901</f>
        <v>0</v>
      </c>
      <c r="W2901" s="780"/>
      <c r="X2901" s="881">
        <v>2897</v>
      </c>
      <c r="Y2901" s="881" t="s">
        <v>2248</v>
      </c>
      <c r="Z2901" s="881" t="s">
        <v>2989</v>
      </c>
      <c r="AA2901" s="882">
        <f>$S$1*P!AA2901</f>
        <v>6.8171999999999998E-3</v>
      </c>
      <c r="AB2901" s="780"/>
      <c r="AC2901" s="782">
        <v>2897</v>
      </c>
      <c r="AD2901" s="782" t="s">
        <v>4573</v>
      </c>
      <c r="AE2901" s="782" t="s">
        <v>4298</v>
      </c>
      <c r="AF2901" s="781">
        <f>$S$1*P!AF2901</f>
        <v>20.256048387096776</v>
      </c>
    </row>
    <row r="2902" spans="19:32" x14ac:dyDescent="0.35">
      <c r="S2902" s="782">
        <v>2898</v>
      </c>
      <c r="T2902" s="782" t="s">
        <v>4284</v>
      </c>
      <c r="U2902" s="782" t="s">
        <v>2643</v>
      </c>
      <c r="V2902" s="797">
        <f>$S$1*P!V2902</f>
        <v>1.3846774193548388E-3</v>
      </c>
      <c r="W2902" s="780"/>
      <c r="X2902" s="782">
        <v>2898</v>
      </c>
      <c r="Y2902" s="782" t="s">
        <v>2248</v>
      </c>
      <c r="Z2902" s="782" t="s">
        <v>2989</v>
      </c>
      <c r="AA2902" s="781">
        <f>$S$1*P!AA2902</f>
        <v>1.0076612903225806E-5</v>
      </c>
      <c r="AB2902" s="780"/>
      <c r="AC2902" s="782">
        <v>2898</v>
      </c>
      <c r="AD2902" s="782" t="s">
        <v>4573</v>
      </c>
      <c r="AE2902" s="782" t="s">
        <v>4296</v>
      </c>
      <c r="AF2902" s="781">
        <f>$S$1*P!AF2902</f>
        <v>5.6209677419354835E-4</v>
      </c>
    </row>
    <row r="2903" spans="19:32" x14ac:dyDescent="0.35">
      <c r="S2903" s="782">
        <v>2899</v>
      </c>
      <c r="T2903" s="782" t="s">
        <v>4284</v>
      </c>
      <c r="U2903" s="782" t="s">
        <v>2640</v>
      </c>
      <c r="V2903" s="797">
        <f>$S$1*P!V2903</f>
        <v>3.6673387096774195E-2</v>
      </c>
      <c r="W2903" s="780"/>
      <c r="X2903" s="782">
        <v>2899</v>
      </c>
      <c r="Y2903" s="782" t="s">
        <v>2248</v>
      </c>
      <c r="Z2903" s="782" t="s">
        <v>3445</v>
      </c>
      <c r="AA2903" s="781">
        <f>$S$1*P!AA2903</f>
        <v>1.1481854838709677</v>
      </c>
      <c r="AB2903" s="780"/>
      <c r="AC2903" s="881">
        <v>2899</v>
      </c>
      <c r="AD2903" s="881" t="s">
        <v>4573</v>
      </c>
      <c r="AE2903" s="881" t="s">
        <v>2588</v>
      </c>
      <c r="AF2903" s="890">
        <f>$S$1*P!AF2903</f>
        <v>2.6312000000000002</v>
      </c>
    </row>
    <row r="2904" spans="19:32" x14ac:dyDescent="0.35">
      <c r="S2904" s="782">
        <v>2900</v>
      </c>
      <c r="T2904" s="782" t="s">
        <v>4284</v>
      </c>
      <c r="U2904" s="782" t="s">
        <v>2639</v>
      </c>
      <c r="V2904" s="797">
        <f>$S$1*P!V2904</f>
        <v>3.7016129032258068E-4</v>
      </c>
      <c r="W2904" s="780"/>
      <c r="X2904" s="782">
        <v>2900</v>
      </c>
      <c r="Y2904" s="782" t="s">
        <v>2248</v>
      </c>
      <c r="Z2904" s="782" t="s">
        <v>3425</v>
      </c>
      <c r="AA2904" s="781">
        <f>$S$1*P!AA2904</f>
        <v>4.2157258064516134E-4</v>
      </c>
      <c r="AB2904" s="780"/>
      <c r="AC2904" s="782">
        <v>2900</v>
      </c>
      <c r="AD2904" s="782" t="s">
        <v>4573</v>
      </c>
      <c r="AE2904" s="782" t="s">
        <v>4294</v>
      </c>
      <c r="AF2904" s="781">
        <f>$S$1*P!AF2904</f>
        <v>14.497983870967744</v>
      </c>
    </row>
    <row r="2905" spans="19:32" x14ac:dyDescent="0.35">
      <c r="S2905" s="881">
        <v>2901</v>
      </c>
      <c r="T2905" s="881" t="s">
        <v>4284</v>
      </c>
      <c r="U2905" s="881" t="s">
        <v>2639</v>
      </c>
      <c r="V2905" s="883">
        <f>$S$1*P!V2905</f>
        <v>0</v>
      </c>
      <c r="W2905" s="780"/>
      <c r="X2905" s="881">
        <v>2901</v>
      </c>
      <c r="Y2905" s="881" t="s">
        <v>2248</v>
      </c>
      <c r="Z2905" s="881" t="s">
        <v>2987</v>
      </c>
      <c r="AA2905" s="882">
        <f>$S$1*P!AA2905</f>
        <v>7.1300000000000001E-3</v>
      </c>
      <c r="AB2905" s="780"/>
      <c r="AC2905" s="782">
        <v>2901</v>
      </c>
      <c r="AD2905" s="782" t="s">
        <v>4573</v>
      </c>
      <c r="AE2905" s="782" t="s">
        <v>4292</v>
      </c>
      <c r="AF2905" s="781">
        <f>$S$1*P!AF2905</f>
        <v>3.252620967741936E-3</v>
      </c>
    </row>
    <row r="2906" spans="19:32" x14ac:dyDescent="0.35">
      <c r="S2906" s="881">
        <v>2902</v>
      </c>
      <c r="T2906" s="881" t="s">
        <v>4284</v>
      </c>
      <c r="U2906" s="881" t="s">
        <v>2750</v>
      </c>
      <c r="V2906" s="883">
        <f>$S$1*P!V2906</f>
        <v>1.1867999999999999</v>
      </c>
      <c r="W2906" s="780"/>
      <c r="X2906" s="782">
        <v>2902</v>
      </c>
      <c r="Y2906" s="782" t="s">
        <v>2248</v>
      </c>
      <c r="Z2906" s="782" t="s">
        <v>2987</v>
      </c>
      <c r="AA2906" s="781">
        <f>$S$1*P!AA2906</f>
        <v>3.0504032258064521E-4</v>
      </c>
      <c r="AB2906" s="780"/>
      <c r="AC2906" s="782">
        <v>2902</v>
      </c>
      <c r="AD2906" s="782" t="s">
        <v>4573</v>
      </c>
      <c r="AE2906" s="782" t="s">
        <v>4291</v>
      </c>
      <c r="AF2906" s="781">
        <f>$S$1*P!AF2906</f>
        <v>2.5294354838709681</v>
      </c>
    </row>
    <row r="2907" spans="19:32" x14ac:dyDescent="0.35">
      <c r="S2907" s="881">
        <v>2903</v>
      </c>
      <c r="T2907" s="881" t="s">
        <v>4284</v>
      </c>
      <c r="U2907" s="881" t="s">
        <v>2749</v>
      </c>
      <c r="V2907" s="883">
        <f>$S$1*P!V2907</f>
        <v>16.559999999999999</v>
      </c>
      <c r="W2907" s="780"/>
      <c r="X2907" s="881">
        <v>2903</v>
      </c>
      <c r="Y2907" s="881" t="s">
        <v>2248</v>
      </c>
      <c r="Z2907" s="881" t="s">
        <v>2986</v>
      </c>
      <c r="AA2907" s="882">
        <f>$S$1*P!AA2907</f>
        <v>7.3324E-2</v>
      </c>
      <c r="AB2907" s="780"/>
      <c r="AC2907" s="782">
        <v>2903</v>
      </c>
      <c r="AD2907" s="782" t="s">
        <v>4573</v>
      </c>
      <c r="AE2907" s="782" t="s">
        <v>4289</v>
      </c>
      <c r="AF2907" s="781">
        <f>$S$1*P!AF2907</f>
        <v>47.298387096774199</v>
      </c>
    </row>
    <row r="2908" spans="19:32" x14ac:dyDescent="0.35">
      <c r="S2908" s="881">
        <v>2904</v>
      </c>
      <c r="T2908" s="881" t="s">
        <v>4284</v>
      </c>
      <c r="U2908" s="881" t="s">
        <v>2747</v>
      </c>
      <c r="V2908" s="883">
        <f>$S$1*P!V2908</f>
        <v>20.423999999999999</v>
      </c>
      <c r="W2908" s="780"/>
      <c r="X2908" s="782">
        <v>2904</v>
      </c>
      <c r="Y2908" s="782" t="s">
        <v>2248</v>
      </c>
      <c r="Z2908" s="782" t="s">
        <v>4879</v>
      </c>
      <c r="AA2908" s="781">
        <f>$S$1*P!AA2908</f>
        <v>3.1497983870967744E-3</v>
      </c>
      <c r="AB2908" s="780"/>
      <c r="AC2908" s="782">
        <v>2904</v>
      </c>
      <c r="AD2908" s="782" t="s">
        <v>4573</v>
      </c>
      <c r="AE2908" s="782" t="s">
        <v>2587</v>
      </c>
      <c r="AF2908" s="781">
        <f>$S$1*P!AF2908</f>
        <v>6.8891129032258069</v>
      </c>
    </row>
    <row r="2909" spans="19:32" x14ac:dyDescent="0.35">
      <c r="S2909" s="881">
        <v>2905</v>
      </c>
      <c r="T2909" s="881" t="s">
        <v>4284</v>
      </c>
      <c r="U2909" s="881" t="s">
        <v>2746</v>
      </c>
      <c r="V2909" s="883">
        <f>$S$1*P!V2909</f>
        <v>1.1776</v>
      </c>
      <c r="W2909" s="780"/>
      <c r="X2909" s="782">
        <v>2905</v>
      </c>
      <c r="Y2909" s="782" t="s">
        <v>2248</v>
      </c>
      <c r="Z2909" s="782" t="s">
        <v>3440</v>
      </c>
      <c r="AA2909" s="781">
        <f>$S$1*P!AA2909</f>
        <v>3.4616935483870972E-5</v>
      </c>
      <c r="AB2909" s="780"/>
      <c r="AC2909" s="881">
        <v>2905</v>
      </c>
      <c r="AD2909" s="881" t="s">
        <v>4573</v>
      </c>
      <c r="AE2909" s="881" t="s">
        <v>2587</v>
      </c>
      <c r="AF2909" s="890">
        <f>$S$1*P!AF2909</f>
        <v>0</v>
      </c>
    </row>
    <row r="2910" spans="19:32" x14ac:dyDescent="0.35">
      <c r="S2910" s="782">
        <v>2906</v>
      </c>
      <c r="T2910" s="782" t="s">
        <v>4284</v>
      </c>
      <c r="U2910" s="782" t="s">
        <v>2637</v>
      </c>
      <c r="V2910" s="797">
        <f>$S$1*P!V2910</f>
        <v>1.8610887096774196E-2</v>
      </c>
      <c r="W2910" s="780"/>
      <c r="X2910" s="881">
        <v>2906</v>
      </c>
      <c r="Y2910" s="881" t="s">
        <v>2248</v>
      </c>
      <c r="Z2910" s="881" t="s">
        <v>2984</v>
      </c>
      <c r="AA2910" s="882">
        <f>$S$1*P!AA2910</f>
        <v>0.11684000000000001</v>
      </c>
      <c r="AB2910" s="780"/>
      <c r="AC2910" s="861">
        <v>2906</v>
      </c>
      <c r="AD2910" s="861" t="s">
        <v>4573</v>
      </c>
      <c r="AE2910" s="861" t="s">
        <v>4287</v>
      </c>
      <c r="AF2910" s="904">
        <f>$S$1*P!AF2910</f>
        <v>4.7</v>
      </c>
    </row>
    <row r="2911" spans="19:32" x14ac:dyDescent="0.35">
      <c r="S2911" s="782">
        <v>2907</v>
      </c>
      <c r="T2911" s="782" t="s">
        <v>4284</v>
      </c>
      <c r="U2911" s="782" t="s">
        <v>2635</v>
      </c>
      <c r="V2911" s="797">
        <f>$S$1*P!V2911</f>
        <v>1.0145161290322582E-2</v>
      </c>
      <c r="W2911" s="780"/>
      <c r="X2911" s="782">
        <v>2907</v>
      </c>
      <c r="Y2911" s="782" t="s">
        <v>2248</v>
      </c>
      <c r="Z2911" s="782" t="s">
        <v>4878</v>
      </c>
      <c r="AA2911" s="781">
        <f>$S$1*P!AA2911</f>
        <v>4.1129032258064518E-5</v>
      </c>
      <c r="AB2911" s="780"/>
      <c r="AC2911" s="782">
        <v>2907</v>
      </c>
      <c r="AD2911" s="782" t="s">
        <v>4573</v>
      </c>
      <c r="AE2911" s="782" t="s">
        <v>2585</v>
      </c>
      <c r="AF2911" s="781">
        <f>$S$1*P!AF2911</f>
        <v>9.1854838709677438E-5</v>
      </c>
    </row>
    <row r="2912" spans="19:32" x14ac:dyDescent="0.35">
      <c r="S2912" s="870">
        <v>2908</v>
      </c>
      <c r="T2912" s="870" t="s">
        <v>4284</v>
      </c>
      <c r="U2912" s="870" t="s">
        <v>4877</v>
      </c>
      <c r="V2912" s="871">
        <f>$S$1*P!V2912</f>
        <v>4.7</v>
      </c>
      <c r="W2912" s="780"/>
      <c r="X2912" s="881">
        <v>2908</v>
      </c>
      <c r="Y2912" s="881" t="s">
        <v>2248</v>
      </c>
      <c r="Z2912" s="881" t="s">
        <v>2983</v>
      </c>
      <c r="AA2912" s="882">
        <f>$S$1*P!AA2912</f>
        <v>0</v>
      </c>
      <c r="AB2912" s="780"/>
      <c r="AC2912" s="881">
        <v>2908</v>
      </c>
      <c r="AD2912" s="881" t="s">
        <v>4573</v>
      </c>
      <c r="AE2912" s="881" t="s">
        <v>2585</v>
      </c>
      <c r="AF2912" s="890">
        <f>$S$1*P!AF2912</f>
        <v>0.21988000000000002</v>
      </c>
    </row>
    <row r="2913" spans="19:32" x14ac:dyDescent="0.35">
      <c r="S2913" s="870">
        <v>2909</v>
      </c>
      <c r="T2913" s="870" t="s">
        <v>4284</v>
      </c>
      <c r="U2913" s="870" t="s">
        <v>4876</v>
      </c>
      <c r="V2913" s="871">
        <f>$S$1*P!V2913</f>
        <v>4.6059999999999999</v>
      </c>
      <c r="W2913" s="780"/>
      <c r="X2913" s="782">
        <v>2909</v>
      </c>
      <c r="Y2913" s="782" t="s">
        <v>2248</v>
      </c>
      <c r="Z2913" s="782" t="s">
        <v>3437</v>
      </c>
      <c r="AA2913" s="781">
        <f>$S$1*P!AA2913</f>
        <v>8.4657258064516137E-4</v>
      </c>
      <c r="AB2913" s="780"/>
      <c r="AC2913" s="782">
        <v>2909</v>
      </c>
      <c r="AD2913" s="782" t="s">
        <v>4573</v>
      </c>
      <c r="AE2913" s="782" t="s">
        <v>2584</v>
      </c>
      <c r="AF2913" s="781">
        <f>$S$1*P!AF2913</f>
        <v>1.501209677419355E-2</v>
      </c>
    </row>
    <row r="2914" spans="19:32" x14ac:dyDescent="0.35">
      <c r="S2914" s="782">
        <v>2910</v>
      </c>
      <c r="T2914" s="782" t="s">
        <v>4284</v>
      </c>
      <c r="U2914" s="782" t="s">
        <v>2633</v>
      </c>
      <c r="V2914" s="797">
        <f>$S$1*P!V2914</f>
        <v>1.0110887096774195E-4</v>
      </c>
      <c r="W2914" s="780"/>
      <c r="X2914" s="782">
        <v>2910</v>
      </c>
      <c r="Y2914" s="782" t="s">
        <v>2248</v>
      </c>
      <c r="Z2914" s="782" t="s">
        <v>4875</v>
      </c>
      <c r="AA2914" s="781">
        <f>$S$1*P!AA2914</f>
        <v>0.14395161290322581</v>
      </c>
      <c r="AB2914" s="780"/>
      <c r="AC2914" s="881">
        <v>2910</v>
      </c>
      <c r="AD2914" s="881" t="s">
        <v>4573</v>
      </c>
      <c r="AE2914" s="881" t="s">
        <v>2584</v>
      </c>
      <c r="AF2914" s="890">
        <f>$S$1*P!AF2914</f>
        <v>0.97520000000000007</v>
      </c>
    </row>
    <row r="2915" spans="19:32" x14ac:dyDescent="0.35">
      <c r="S2915" s="881">
        <v>2911</v>
      </c>
      <c r="T2915" s="881" t="s">
        <v>4284</v>
      </c>
      <c r="U2915" s="881" t="s">
        <v>2633</v>
      </c>
      <c r="V2915" s="883">
        <f>$S$1*P!V2915</f>
        <v>1.9872000000000001E-2</v>
      </c>
      <c r="W2915" s="780"/>
      <c r="X2915" s="881">
        <v>2911</v>
      </c>
      <c r="Y2915" s="881" t="s">
        <v>2248</v>
      </c>
      <c r="Z2915" s="881" t="s">
        <v>2981</v>
      </c>
      <c r="AA2915" s="882">
        <f>$S$1*P!AA2915</f>
        <v>0</v>
      </c>
      <c r="AB2915" s="780"/>
      <c r="AC2915" s="782">
        <v>2911</v>
      </c>
      <c r="AD2915" s="782" t="s">
        <v>4573</v>
      </c>
      <c r="AE2915" s="782" t="s">
        <v>4281</v>
      </c>
      <c r="AF2915" s="781">
        <f>$S$1*P!AF2915</f>
        <v>1.878225806451613E-3</v>
      </c>
    </row>
    <row r="2916" spans="19:32" x14ac:dyDescent="0.35">
      <c r="S2916" s="870">
        <v>2912</v>
      </c>
      <c r="T2916" s="870" t="s">
        <v>4284</v>
      </c>
      <c r="U2916" s="870" t="s">
        <v>4874</v>
      </c>
      <c r="V2916" s="871">
        <f>$S$1*P!V2916</f>
        <v>6.3638000000000003</v>
      </c>
      <c r="W2916" s="780"/>
      <c r="X2916" s="782">
        <v>2912</v>
      </c>
      <c r="Y2916" s="782" t="s">
        <v>2248</v>
      </c>
      <c r="Z2916" s="782" t="s">
        <v>3434</v>
      </c>
      <c r="AA2916" s="781">
        <f>$S$1*P!AA2916</f>
        <v>1.4052419354838709E-4</v>
      </c>
      <c r="AB2916" s="780"/>
      <c r="AC2916" s="782">
        <v>2912</v>
      </c>
      <c r="AD2916" s="782" t="s">
        <v>4573</v>
      </c>
      <c r="AE2916" s="782" t="s">
        <v>4280</v>
      </c>
      <c r="AF2916" s="781">
        <f>$S$1*P!AF2916</f>
        <v>4.8669354838709678E-3</v>
      </c>
    </row>
    <row r="2917" spans="19:32" x14ac:dyDescent="0.35">
      <c r="S2917" s="782">
        <v>2913</v>
      </c>
      <c r="T2917" s="782" t="s">
        <v>4284</v>
      </c>
      <c r="U2917" s="782" t="s">
        <v>2630</v>
      </c>
      <c r="V2917" s="797">
        <f>$S$1*P!V2917</f>
        <v>1.5868951612903225E-3</v>
      </c>
      <c r="W2917" s="780"/>
      <c r="X2917" s="881">
        <v>2913</v>
      </c>
      <c r="Y2917" s="881" t="s">
        <v>2248</v>
      </c>
      <c r="Z2917" s="881" t="s">
        <v>2980</v>
      </c>
      <c r="AA2917" s="882">
        <f>$S$1*P!AA2917</f>
        <v>1.5824</v>
      </c>
      <c r="AB2917" s="780"/>
      <c r="AC2917" s="782">
        <v>2913</v>
      </c>
      <c r="AD2917" s="782" t="s">
        <v>4573</v>
      </c>
      <c r="AE2917" s="782" t="s">
        <v>4279</v>
      </c>
      <c r="AF2917" s="781">
        <f>$S$1*P!AF2917</f>
        <v>1.3949596774193549E-2</v>
      </c>
    </row>
    <row r="2918" spans="19:32" x14ac:dyDescent="0.35">
      <c r="S2918" s="881">
        <v>2914</v>
      </c>
      <c r="T2918" s="881" t="s">
        <v>4284</v>
      </c>
      <c r="U2918" s="881" t="s">
        <v>2630</v>
      </c>
      <c r="V2918" s="883">
        <f>$S$1*P!V2918</f>
        <v>3.0175999999999998</v>
      </c>
      <c r="W2918" s="780"/>
      <c r="X2918" s="782">
        <v>2914</v>
      </c>
      <c r="Y2918" s="782" t="s">
        <v>2248</v>
      </c>
      <c r="Z2918" s="782" t="s">
        <v>4873</v>
      </c>
      <c r="AA2918" s="781">
        <f>$S$1*P!AA2918</f>
        <v>1.1139112903225806E-3</v>
      </c>
      <c r="AB2918" s="780"/>
      <c r="AC2918" s="881">
        <v>2914</v>
      </c>
      <c r="AD2918" s="881" t="s">
        <v>4573</v>
      </c>
      <c r="AE2918" s="881" t="s">
        <v>2582</v>
      </c>
      <c r="AF2918" s="890">
        <f>$S$1*P!AF2918</f>
        <v>0</v>
      </c>
    </row>
    <row r="2919" spans="19:32" x14ac:dyDescent="0.35">
      <c r="S2919" s="881">
        <v>2915</v>
      </c>
      <c r="T2919" s="881" t="s">
        <v>4284</v>
      </c>
      <c r="U2919" s="881" t="s">
        <v>2743</v>
      </c>
      <c r="V2919" s="883">
        <f>$S$1*P!V2919</f>
        <v>205.16</v>
      </c>
      <c r="W2919" s="780"/>
      <c r="X2919" s="881">
        <v>2915</v>
      </c>
      <c r="Y2919" s="881" t="s">
        <v>2248</v>
      </c>
      <c r="Z2919" s="881" t="s">
        <v>2978</v>
      </c>
      <c r="AA2919" s="882">
        <f>$S$1*P!AA2919</f>
        <v>0.56672</v>
      </c>
      <c r="AB2919" s="780"/>
      <c r="AC2919" s="861">
        <v>2915</v>
      </c>
      <c r="AD2919" s="861" t="s">
        <v>4573</v>
      </c>
      <c r="AE2919" s="861" t="s">
        <v>4278</v>
      </c>
      <c r="AF2919" s="904">
        <f>$S$1*P!AF2919</f>
        <v>4.5590000000000002</v>
      </c>
    </row>
    <row r="2920" spans="19:32" x14ac:dyDescent="0.35">
      <c r="S2920" s="782">
        <v>2916</v>
      </c>
      <c r="T2920" s="782" t="s">
        <v>4284</v>
      </c>
      <c r="U2920" s="782" t="s">
        <v>2628</v>
      </c>
      <c r="V2920" s="797">
        <f>$S$1*P!V2920</f>
        <v>2.3717741935483873E-4</v>
      </c>
      <c r="W2920" s="780"/>
      <c r="X2920" s="881">
        <v>2916</v>
      </c>
      <c r="Y2920" s="881" t="s">
        <v>2248</v>
      </c>
      <c r="Z2920" s="881" t="s">
        <v>2977</v>
      </c>
      <c r="AA2920" s="882">
        <f>$S$1*P!AA2920</f>
        <v>0</v>
      </c>
      <c r="AB2920" s="780"/>
      <c r="AC2920" s="782">
        <v>2916</v>
      </c>
      <c r="AD2920" s="782" t="s">
        <v>4573</v>
      </c>
      <c r="AE2920" s="782" t="s">
        <v>4276</v>
      </c>
      <c r="AF2920" s="781">
        <f>$S$1*P!AF2920</f>
        <v>9.973790322580646E-3</v>
      </c>
    </row>
    <row r="2921" spans="19:32" x14ac:dyDescent="0.35">
      <c r="S2921" s="881">
        <v>2917</v>
      </c>
      <c r="T2921" s="881" t="s">
        <v>4284</v>
      </c>
      <c r="U2921" s="881" t="s">
        <v>2628</v>
      </c>
      <c r="V2921" s="883">
        <f>$S$1*P!V2921</f>
        <v>0.79947999999999997</v>
      </c>
      <c r="W2921" s="780"/>
      <c r="X2921" s="782">
        <v>2917</v>
      </c>
      <c r="Y2921" s="782" t="s">
        <v>2248</v>
      </c>
      <c r="Z2921" s="782" t="s">
        <v>4872</v>
      </c>
      <c r="AA2921" s="781">
        <f>$S$1*P!AA2921</f>
        <v>7.6774193548387109E-5</v>
      </c>
      <c r="AB2921" s="780"/>
      <c r="AC2921" s="782">
        <v>2917</v>
      </c>
      <c r="AD2921" s="782" t="s">
        <v>4573</v>
      </c>
      <c r="AE2921" s="782" t="s">
        <v>4275</v>
      </c>
      <c r="AF2921" s="781">
        <f>$S$1*P!AF2921</f>
        <v>3.564516129032258E-2</v>
      </c>
    </row>
    <row r="2922" spans="19:32" x14ac:dyDescent="0.35">
      <c r="S2922" s="782">
        <v>2918</v>
      </c>
      <c r="T2922" s="782" t="s">
        <v>4284</v>
      </c>
      <c r="U2922" s="782" t="s">
        <v>2625</v>
      </c>
      <c r="V2922" s="797">
        <f>$S$1*P!V2922</f>
        <v>2.7556451612903228E-3</v>
      </c>
      <c r="W2922" s="780"/>
      <c r="X2922" s="782">
        <v>2918</v>
      </c>
      <c r="Y2922" s="782" t="s">
        <v>2248</v>
      </c>
      <c r="Z2922" s="782" t="s">
        <v>2977</v>
      </c>
      <c r="AA2922" s="781">
        <f>$S$1*P!AA2922</f>
        <v>1.0556451612903226E-2</v>
      </c>
      <c r="AB2922" s="780"/>
      <c r="AC2922" s="782">
        <v>2918</v>
      </c>
      <c r="AD2922" s="782" t="s">
        <v>4573</v>
      </c>
      <c r="AE2922" s="782" t="s">
        <v>4273</v>
      </c>
      <c r="AF2922" s="781">
        <f>$S$1*P!AF2922</f>
        <v>9.0826612903225808E-3</v>
      </c>
    </row>
    <row r="2923" spans="19:32" x14ac:dyDescent="0.35">
      <c r="S2923" s="881">
        <v>2919</v>
      </c>
      <c r="T2923" s="881" t="s">
        <v>4284</v>
      </c>
      <c r="U2923" s="881" t="s">
        <v>2625</v>
      </c>
      <c r="V2923" s="883">
        <f>$S$1*P!V2923</f>
        <v>0.84087999999999996</v>
      </c>
      <c r="W2923" s="780"/>
      <c r="X2923" s="881">
        <v>2919</v>
      </c>
      <c r="Y2923" s="881" t="s">
        <v>2248</v>
      </c>
      <c r="Z2923" s="881" t="s">
        <v>2975</v>
      </c>
      <c r="AA2923" s="882">
        <f>$S$1*P!AA2923</f>
        <v>0</v>
      </c>
      <c r="AB2923" s="780"/>
      <c r="AC2923" s="782">
        <v>2919</v>
      </c>
      <c r="AD2923" s="782" t="s">
        <v>4573</v>
      </c>
      <c r="AE2923" s="782" t="s">
        <v>4272</v>
      </c>
      <c r="AF2923" s="781">
        <f>$S$1*P!AF2923</f>
        <v>0.14155241935483873</v>
      </c>
    </row>
    <row r="2924" spans="19:32" x14ac:dyDescent="0.35">
      <c r="S2924" s="881">
        <v>2920</v>
      </c>
      <c r="T2924" s="881" t="s">
        <v>4284</v>
      </c>
      <c r="U2924" s="881" t="s">
        <v>2740</v>
      </c>
      <c r="V2924" s="883">
        <f>$S$1*P!V2924</f>
        <v>0.59155999999999997</v>
      </c>
      <c r="W2924" s="780"/>
      <c r="X2924" s="782">
        <v>2920</v>
      </c>
      <c r="Y2924" s="782" t="s">
        <v>2248</v>
      </c>
      <c r="Z2924" s="782" t="s">
        <v>2975</v>
      </c>
      <c r="AA2924" s="781">
        <f>$S$1*P!AA2924</f>
        <v>1.9570564516129033E-6</v>
      </c>
      <c r="AB2924" s="780"/>
      <c r="AC2924" s="782">
        <v>2920</v>
      </c>
      <c r="AD2924" s="782" t="s">
        <v>4573</v>
      </c>
      <c r="AE2924" s="782" t="s">
        <v>4270</v>
      </c>
      <c r="AF2924" s="781">
        <f>$S$1*P!AF2924</f>
        <v>0.55181451612903232</v>
      </c>
    </row>
    <row r="2925" spans="19:32" x14ac:dyDescent="0.35">
      <c r="S2925" s="782">
        <v>2921</v>
      </c>
      <c r="T2925" s="782" t="s">
        <v>4284</v>
      </c>
      <c r="U2925" s="782" t="s">
        <v>2622</v>
      </c>
      <c r="V2925" s="797">
        <f>$S$1*P!V2925</f>
        <v>5.792338709677419E-4</v>
      </c>
      <c r="W2925" s="780"/>
      <c r="X2925" s="782">
        <v>2921</v>
      </c>
      <c r="Y2925" s="782" t="s">
        <v>2248</v>
      </c>
      <c r="Z2925" s="782" t="s">
        <v>4871</v>
      </c>
      <c r="AA2925" s="781">
        <f>$S$1*P!AA2925</f>
        <v>3.0332661290322581E-4</v>
      </c>
      <c r="AB2925" s="780"/>
      <c r="AC2925" s="782">
        <v>2921</v>
      </c>
      <c r="AD2925" s="782" t="s">
        <v>4573</v>
      </c>
      <c r="AE2925" s="782" t="s">
        <v>4269</v>
      </c>
      <c r="AF2925" s="781">
        <f>$S$1*P!AF2925</f>
        <v>2.5088709677419357E-2</v>
      </c>
    </row>
    <row r="2926" spans="19:32" x14ac:dyDescent="0.35">
      <c r="S2926" s="881">
        <v>2922</v>
      </c>
      <c r="T2926" s="881" t="s">
        <v>4284</v>
      </c>
      <c r="U2926" s="881" t="s">
        <v>2622</v>
      </c>
      <c r="V2926" s="883">
        <f>$S$1*P!V2926</f>
        <v>12.696</v>
      </c>
      <c r="W2926" s="780"/>
      <c r="X2926" s="881">
        <v>2922</v>
      </c>
      <c r="Y2926" s="881" t="s">
        <v>2248</v>
      </c>
      <c r="Z2926" s="881" t="s">
        <v>2973</v>
      </c>
      <c r="AA2926" s="882">
        <f>$S$1*P!AA2926</f>
        <v>3.1463999999999999</v>
      </c>
      <c r="AB2926" s="780"/>
      <c r="AC2926" s="782">
        <v>2922</v>
      </c>
      <c r="AD2926" s="782" t="s">
        <v>4573</v>
      </c>
      <c r="AE2926" s="782" t="s">
        <v>4268</v>
      </c>
      <c r="AF2926" s="781">
        <f>$S$1*P!AF2926</f>
        <v>0.28447580645161291</v>
      </c>
    </row>
    <row r="2927" spans="19:32" x14ac:dyDescent="0.35">
      <c r="S2927" s="879">
        <v>2923</v>
      </c>
      <c r="T2927" s="879" t="s">
        <v>4284</v>
      </c>
      <c r="U2927" s="879" t="s">
        <v>4869</v>
      </c>
      <c r="V2927" s="880">
        <f>$S$1*P!V2927</f>
        <v>0</v>
      </c>
      <c r="W2927" s="780"/>
      <c r="X2927" s="782">
        <v>2923</v>
      </c>
      <c r="Y2927" s="782" t="s">
        <v>2248</v>
      </c>
      <c r="Z2927" s="782" t="s">
        <v>2973</v>
      </c>
      <c r="AA2927" s="781">
        <f>$S$1*P!AA2927</f>
        <v>2.0118951612903228E-3</v>
      </c>
      <c r="AB2927" s="780"/>
      <c r="AC2927" s="782">
        <v>2923</v>
      </c>
      <c r="AD2927" s="782" t="s">
        <v>4573</v>
      </c>
      <c r="AE2927" s="782" t="s">
        <v>4266</v>
      </c>
      <c r="AF2927" s="781">
        <f>$S$1*P!AF2927</f>
        <v>8.6370967741935492E-2</v>
      </c>
    </row>
    <row r="2928" spans="19:32" x14ac:dyDescent="0.35">
      <c r="S2928" s="870">
        <v>2924</v>
      </c>
      <c r="T2928" s="870" t="s">
        <v>4284</v>
      </c>
      <c r="U2928" s="870" t="s">
        <v>4869</v>
      </c>
      <c r="V2928" s="871">
        <f>$S$1*P!V2928</f>
        <v>6.3638000000000003</v>
      </c>
      <c r="W2928" s="780"/>
      <c r="X2928" s="782">
        <v>2924</v>
      </c>
      <c r="Y2928" s="782" t="s">
        <v>2248</v>
      </c>
      <c r="Z2928" s="782" t="s">
        <v>4870</v>
      </c>
      <c r="AA2928" s="781">
        <f>$S$1*P!AA2928</f>
        <v>2.7659274193548391E-3</v>
      </c>
      <c r="AB2928" s="780"/>
      <c r="AC2928" s="782">
        <v>2924</v>
      </c>
      <c r="AD2928" s="782" t="s">
        <v>4573</v>
      </c>
      <c r="AE2928" s="782" t="s">
        <v>4265</v>
      </c>
      <c r="AF2928" s="781">
        <f>$S$1*P!AF2928</f>
        <v>0.17959677419354841</v>
      </c>
    </row>
    <row r="2929" spans="19:32" x14ac:dyDescent="0.35">
      <c r="S2929" s="897">
        <v>2925</v>
      </c>
      <c r="T2929" s="897" t="s">
        <v>4284</v>
      </c>
      <c r="U2929" s="861" t="s">
        <v>4869</v>
      </c>
      <c r="V2929" s="862">
        <f>$S$1*P!V2929</f>
        <v>5.35</v>
      </c>
      <c r="W2929" s="780"/>
      <c r="X2929" s="881">
        <v>2925</v>
      </c>
      <c r="Y2929" s="881" t="s">
        <v>2248</v>
      </c>
      <c r="Z2929" s="881" t="s">
        <v>2972</v>
      </c>
      <c r="AA2929" s="882">
        <f>$S$1*P!AA2929</f>
        <v>0</v>
      </c>
      <c r="AB2929" s="780"/>
      <c r="AC2929" s="861">
        <v>2925</v>
      </c>
      <c r="AD2929" s="861" t="s">
        <v>4573</v>
      </c>
      <c r="AE2929" s="861" t="s">
        <v>4263</v>
      </c>
      <c r="AF2929" s="904">
        <f>$S$1*P!AF2929</f>
        <v>14.382000000000001</v>
      </c>
    </row>
    <row r="2930" spans="19:32" x14ac:dyDescent="0.35">
      <c r="S2930" s="879">
        <v>2926</v>
      </c>
      <c r="T2930" s="879" t="s">
        <v>4284</v>
      </c>
      <c r="U2930" s="879" t="s">
        <v>4868</v>
      </c>
      <c r="V2930" s="880">
        <f>$S$1*P!V2930</f>
        <v>0</v>
      </c>
      <c r="W2930" s="780"/>
      <c r="X2930" s="881">
        <v>2926</v>
      </c>
      <c r="Y2930" s="881" t="s">
        <v>2248</v>
      </c>
      <c r="Z2930" s="881" t="s">
        <v>2970</v>
      </c>
      <c r="AA2930" s="882">
        <f>$S$1*P!AA2930</f>
        <v>2.6404E-4</v>
      </c>
      <c r="AB2930" s="780"/>
      <c r="AC2930" s="861">
        <v>2926</v>
      </c>
      <c r="AD2930" s="861" t="s">
        <v>4573</v>
      </c>
      <c r="AE2930" s="861" t="s">
        <v>4262</v>
      </c>
      <c r="AF2930" s="904">
        <f>$S$1*P!AF2930</f>
        <v>14.382000000000001</v>
      </c>
    </row>
    <row r="2931" spans="19:32" x14ac:dyDescent="0.35">
      <c r="S2931" s="870">
        <v>2927</v>
      </c>
      <c r="T2931" s="870" t="s">
        <v>4284</v>
      </c>
      <c r="U2931" s="870" t="s">
        <v>4868</v>
      </c>
      <c r="V2931" s="871">
        <f>$S$1*P!V2931</f>
        <v>1.4523000000000001</v>
      </c>
      <c r="W2931" s="780"/>
      <c r="X2931" s="782">
        <v>2927</v>
      </c>
      <c r="Y2931" s="782" t="s">
        <v>2248</v>
      </c>
      <c r="Z2931" s="782" t="s">
        <v>4867</v>
      </c>
      <c r="AA2931" s="781">
        <f>$S$1*P!AA2931</f>
        <v>1.1618951612903227E-2</v>
      </c>
      <c r="AB2931" s="780"/>
      <c r="AC2931" s="782">
        <v>2927</v>
      </c>
      <c r="AD2931" s="782" t="s">
        <v>4573</v>
      </c>
      <c r="AE2931" s="782" t="s">
        <v>4261</v>
      </c>
      <c r="AF2931" s="781">
        <f>$S$1*P!AF2931</f>
        <v>4.935483870967742</v>
      </c>
    </row>
    <row r="2932" spans="19:32" x14ac:dyDescent="0.35">
      <c r="S2932" s="879">
        <v>2928</v>
      </c>
      <c r="T2932" s="879" t="s">
        <v>4284</v>
      </c>
      <c r="U2932" s="879" t="s">
        <v>4866</v>
      </c>
      <c r="V2932" s="880">
        <f>$S$1*P!V2932</f>
        <v>0</v>
      </c>
      <c r="W2932" s="780"/>
      <c r="X2932" s="782">
        <v>2928</v>
      </c>
      <c r="Y2932" s="782" t="s">
        <v>2248</v>
      </c>
      <c r="Z2932" s="782" t="s">
        <v>3426</v>
      </c>
      <c r="AA2932" s="781">
        <f>$S$1*P!AA2932</f>
        <v>1.3229838709677419E-4</v>
      </c>
      <c r="AB2932" s="780"/>
      <c r="AC2932" s="782">
        <v>2928</v>
      </c>
      <c r="AD2932" s="782" t="s">
        <v>4573</v>
      </c>
      <c r="AE2932" s="782" t="s">
        <v>2581</v>
      </c>
      <c r="AF2932" s="781">
        <f>$S$1*P!AF2932</f>
        <v>0.19399193548387098</v>
      </c>
    </row>
    <row r="2933" spans="19:32" x14ac:dyDescent="0.35">
      <c r="S2933" s="870">
        <v>2929</v>
      </c>
      <c r="T2933" s="870" t="s">
        <v>4284</v>
      </c>
      <c r="U2933" s="870" t="s">
        <v>4866</v>
      </c>
      <c r="V2933" s="871">
        <f>$S$1*P!V2933</f>
        <v>3.2852999999999999</v>
      </c>
      <c r="W2933" s="780"/>
      <c r="X2933" s="782">
        <v>2929</v>
      </c>
      <c r="Y2933" s="782" t="s">
        <v>2248</v>
      </c>
      <c r="Z2933" s="782" t="s">
        <v>3424</v>
      </c>
      <c r="AA2933" s="781">
        <f>$S$1*P!AA2933</f>
        <v>4.5927419354838719E-5</v>
      </c>
      <c r="AB2933" s="780"/>
      <c r="AC2933" s="881">
        <v>2929</v>
      </c>
      <c r="AD2933" s="881" t="s">
        <v>4573</v>
      </c>
      <c r="AE2933" s="881" t="s">
        <v>2581</v>
      </c>
      <c r="AF2933" s="890">
        <f>$S$1*P!AF2933</f>
        <v>4.5999999999999999E-2</v>
      </c>
    </row>
    <row r="2934" spans="19:32" x14ac:dyDescent="0.35">
      <c r="S2934" s="879">
        <v>2930</v>
      </c>
      <c r="T2934" s="879" t="s">
        <v>4284</v>
      </c>
      <c r="U2934" s="879" t="s">
        <v>4864</v>
      </c>
      <c r="V2934" s="880">
        <f>$S$1*P!V2934</f>
        <v>0</v>
      </c>
      <c r="W2934" s="780"/>
      <c r="X2934" s="782">
        <v>2930</v>
      </c>
      <c r="Y2934" s="782" t="s">
        <v>2248</v>
      </c>
      <c r="Z2934" s="782" t="s">
        <v>4865</v>
      </c>
      <c r="AA2934" s="781">
        <f>$S$1*P!AA2934</f>
        <v>0.1240725806451613</v>
      </c>
      <c r="AB2934" s="780"/>
      <c r="AC2934" s="782">
        <v>2930</v>
      </c>
      <c r="AD2934" s="782" t="s">
        <v>4573</v>
      </c>
      <c r="AE2934" s="782" t="s">
        <v>4259</v>
      </c>
      <c r="AF2934" s="781">
        <f>$S$1*P!AF2934</f>
        <v>0.21661290322580648</v>
      </c>
    </row>
    <row r="2935" spans="19:32" x14ac:dyDescent="0.35">
      <c r="S2935" s="870">
        <v>2931</v>
      </c>
      <c r="T2935" s="870" t="s">
        <v>4284</v>
      </c>
      <c r="U2935" s="870" t="s">
        <v>4864</v>
      </c>
      <c r="V2935" s="871">
        <f>$S$1*P!V2935</f>
        <v>1.5369000000000002</v>
      </c>
      <c r="W2935" s="780"/>
      <c r="X2935" s="782">
        <v>2931</v>
      </c>
      <c r="Y2935" s="782" t="s">
        <v>2248</v>
      </c>
      <c r="Z2935" s="782" t="s">
        <v>3421</v>
      </c>
      <c r="AA2935" s="781">
        <f>$S$1*P!AA2935</f>
        <v>1.5217741935483873E-4</v>
      </c>
      <c r="AB2935" s="780"/>
      <c r="AC2935" s="782">
        <v>2931</v>
      </c>
      <c r="AD2935" s="782" t="s">
        <v>4573</v>
      </c>
      <c r="AE2935" s="782" t="s">
        <v>4258</v>
      </c>
      <c r="AF2935" s="781">
        <f>$S$1*P!AF2935</f>
        <v>1.4497983870967743E-2</v>
      </c>
    </row>
    <row r="2936" spans="19:32" x14ac:dyDescent="0.35">
      <c r="S2936" s="879">
        <v>2932</v>
      </c>
      <c r="T2936" s="879" t="s">
        <v>4284</v>
      </c>
      <c r="U2936" s="879" t="s">
        <v>4863</v>
      </c>
      <c r="V2936" s="880">
        <f>$S$1*P!V2936</f>
        <v>0</v>
      </c>
      <c r="W2936" s="780"/>
      <c r="X2936" s="782">
        <v>2932</v>
      </c>
      <c r="Y2936" s="782" t="s">
        <v>2248</v>
      </c>
      <c r="Z2936" s="782" t="s">
        <v>3418</v>
      </c>
      <c r="AA2936" s="781">
        <f>$S$1*P!AA2936</f>
        <v>4.5584677419354845E-4</v>
      </c>
      <c r="AB2936" s="780"/>
      <c r="AC2936" s="782">
        <v>2932</v>
      </c>
      <c r="AD2936" s="782" t="s">
        <v>4573</v>
      </c>
      <c r="AE2936" s="782" t="s">
        <v>4257</v>
      </c>
      <c r="AF2936" s="781">
        <f>$S$1*P!AF2936</f>
        <v>0.25911290322580649</v>
      </c>
    </row>
    <row r="2937" spans="19:32" x14ac:dyDescent="0.35">
      <c r="S2937" s="870">
        <v>2933</v>
      </c>
      <c r="T2937" s="870" t="s">
        <v>4284</v>
      </c>
      <c r="U2937" s="870" t="s">
        <v>4863</v>
      </c>
      <c r="V2937" s="871">
        <f>$S$1*P!V2937</f>
        <v>4.0608000000000004</v>
      </c>
      <c r="W2937" s="780"/>
      <c r="X2937" s="782">
        <v>2933</v>
      </c>
      <c r="Y2937" s="782" t="s">
        <v>2248</v>
      </c>
      <c r="Z2937" s="782" t="s">
        <v>3415</v>
      </c>
      <c r="AA2937" s="781">
        <f>$S$1*P!AA2937</f>
        <v>4.0786290322580648E-4</v>
      </c>
      <c r="AB2937" s="780"/>
      <c r="AC2937" s="782">
        <v>2933</v>
      </c>
      <c r="AD2937" s="782" t="s">
        <v>4573</v>
      </c>
      <c r="AE2937" s="782" t="s">
        <v>4255</v>
      </c>
      <c r="AF2937" s="781">
        <f>$S$1*P!AF2937</f>
        <v>8.7399193548387096E-5</v>
      </c>
    </row>
    <row r="2938" spans="19:32" x14ac:dyDescent="0.35">
      <c r="S2938" s="879">
        <v>2934</v>
      </c>
      <c r="T2938" s="879" t="s">
        <v>4284</v>
      </c>
      <c r="U2938" s="879" t="s">
        <v>4861</v>
      </c>
      <c r="V2938" s="880">
        <f>$S$1*P!V2938</f>
        <v>0</v>
      </c>
      <c r="W2938" s="780"/>
      <c r="X2938" s="782">
        <v>2934</v>
      </c>
      <c r="Y2938" s="782" t="s">
        <v>2248</v>
      </c>
      <c r="Z2938" s="782" t="s">
        <v>4862</v>
      </c>
      <c r="AA2938" s="781">
        <f>$S$1*P!AA2938</f>
        <v>0.13504032258064516</v>
      </c>
      <c r="AB2938" s="780"/>
      <c r="AC2938" s="782">
        <v>2934</v>
      </c>
      <c r="AD2938" s="782" t="s">
        <v>4573</v>
      </c>
      <c r="AE2938" s="782" t="s">
        <v>4254</v>
      </c>
      <c r="AF2938" s="781">
        <f>$S$1*P!AF2938</f>
        <v>5.7237903225806457E-3</v>
      </c>
    </row>
    <row r="2939" spans="19:32" x14ac:dyDescent="0.35">
      <c r="S2939" s="870">
        <v>2935</v>
      </c>
      <c r="T2939" s="870" t="s">
        <v>4284</v>
      </c>
      <c r="U2939" s="870" t="s">
        <v>4861</v>
      </c>
      <c r="V2939" s="871">
        <f>$S$1*P!V2939</f>
        <v>0.68620000000000003</v>
      </c>
      <c r="W2939" s="780"/>
      <c r="X2939" s="782">
        <v>2935</v>
      </c>
      <c r="Y2939" s="782" t="s">
        <v>2248</v>
      </c>
      <c r="Z2939" s="782" t="s">
        <v>3412</v>
      </c>
      <c r="AA2939" s="781">
        <f>$S$1*P!AA2939</f>
        <v>2.4574596774193549E-3</v>
      </c>
      <c r="AB2939" s="780"/>
      <c r="AC2939" s="782">
        <v>2935</v>
      </c>
      <c r="AD2939" s="782" t="s">
        <v>4573</v>
      </c>
      <c r="AE2939" s="782" t="s">
        <v>2579</v>
      </c>
      <c r="AF2939" s="781">
        <f>$S$1*P!AF2939</f>
        <v>1.1036290322580645E-2</v>
      </c>
    </row>
    <row r="2940" spans="19:32" x14ac:dyDescent="0.35">
      <c r="S2940" s="879">
        <v>2936</v>
      </c>
      <c r="T2940" s="879" t="s">
        <v>4284</v>
      </c>
      <c r="U2940" s="879" t="s">
        <v>4860</v>
      </c>
      <c r="V2940" s="880">
        <f>$S$1*P!V2940</f>
        <v>0</v>
      </c>
      <c r="W2940" s="780"/>
      <c r="X2940" s="881">
        <v>2936</v>
      </c>
      <c r="Y2940" s="881" t="s">
        <v>2248</v>
      </c>
      <c r="Z2940" s="881" t="s">
        <v>2969</v>
      </c>
      <c r="AA2940" s="882">
        <f>$S$1*P!AA2940</f>
        <v>3.7719999999999998</v>
      </c>
      <c r="AB2940" s="780"/>
      <c r="AC2940" s="881">
        <v>2936</v>
      </c>
      <c r="AD2940" s="881" t="s">
        <v>4573</v>
      </c>
      <c r="AE2940" s="881" t="s">
        <v>2579</v>
      </c>
      <c r="AF2940" s="890">
        <f>$S$1*P!AF2940</f>
        <v>7.6544000000000001E-2</v>
      </c>
    </row>
    <row r="2941" spans="19:32" x14ac:dyDescent="0.35">
      <c r="S2941" s="870">
        <v>2937</v>
      </c>
      <c r="T2941" s="870" t="s">
        <v>4284</v>
      </c>
      <c r="U2941" s="870" t="s">
        <v>4860</v>
      </c>
      <c r="V2941" s="871">
        <f>$S$1*P!V2941</f>
        <v>2.1855000000000002</v>
      </c>
      <c r="W2941" s="780"/>
      <c r="X2941" s="782">
        <v>2937</v>
      </c>
      <c r="Y2941" s="782" t="s">
        <v>2248</v>
      </c>
      <c r="Z2941" s="782" t="s">
        <v>3423</v>
      </c>
      <c r="AA2941" s="781">
        <f>$S$1*P!AA2941</f>
        <v>5.9294354838709687E-4</v>
      </c>
      <c r="AB2941" s="780"/>
      <c r="AC2941" s="782">
        <v>2937</v>
      </c>
      <c r="AD2941" s="782" t="s">
        <v>4573</v>
      </c>
      <c r="AE2941" s="782" t="s">
        <v>4253</v>
      </c>
      <c r="AF2941" s="781">
        <f>$S$1*P!AF2941</f>
        <v>1.0316532258064517E-3</v>
      </c>
    </row>
    <row r="2942" spans="19:32" x14ac:dyDescent="0.35">
      <c r="S2942" s="879">
        <v>2938</v>
      </c>
      <c r="T2942" s="879" t="s">
        <v>4284</v>
      </c>
      <c r="U2942" s="879" t="s">
        <v>4859</v>
      </c>
      <c r="V2942" s="880">
        <f>$S$1*P!V2942</f>
        <v>0</v>
      </c>
      <c r="W2942" s="780"/>
      <c r="X2942" s="782">
        <v>2938</v>
      </c>
      <c r="Y2942" s="782" t="s">
        <v>2248</v>
      </c>
      <c r="Z2942" s="782" t="s">
        <v>3410</v>
      </c>
      <c r="AA2942" s="781">
        <f>$S$1*P!AA2942</f>
        <v>2.6699596774193554E-3</v>
      </c>
      <c r="AB2942" s="780"/>
      <c r="AC2942" s="782">
        <v>2938</v>
      </c>
      <c r="AD2942" s="782" t="s">
        <v>4573</v>
      </c>
      <c r="AE2942" s="782" t="s">
        <v>4252</v>
      </c>
      <c r="AF2942" s="781">
        <f>$S$1*P!AF2942</f>
        <v>2.6219758064516133E-3</v>
      </c>
    </row>
    <row r="2943" spans="19:32" x14ac:dyDescent="0.35">
      <c r="S2943" s="870">
        <v>2939</v>
      </c>
      <c r="T2943" s="870" t="s">
        <v>4284</v>
      </c>
      <c r="U2943" s="870" t="s">
        <v>4859</v>
      </c>
      <c r="V2943" s="871">
        <f>$S$1*P!V2943</f>
        <v>4.8269000000000002</v>
      </c>
      <c r="W2943" s="780"/>
      <c r="X2943" s="782">
        <v>2939</v>
      </c>
      <c r="Y2943" s="782" t="s">
        <v>2248</v>
      </c>
      <c r="Z2943" s="782" t="s">
        <v>3407</v>
      </c>
      <c r="AA2943" s="781">
        <f>$S$1*P!AA2943</f>
        <v>5.2782258064516135E-4</v>
      </c>
      <c r="AB2943" s="780"/>
      <c r="AC2943" s="782">
        <v>2939</v>
      </c>
      <c r="AD2943" s="782" t="s">
        <v>4573</v>
      </c>
      <c r="AE2943" s="782" t="s">
        <v>4251</v>
      </c>
      <c r="AF2943" s="781">
        <f>$S$1*P!AF2943</f>
        <v>5.106854838709678E-4</v>
      </c>
    </row>
    <row r="2944" spans="19:32" x14ac:dyDescent="0.35">
      <c r="S2944" s="879">
        <v>2940</v>
      </c>
      <c r="T2944" s="879" t="s">
        <v>4284</v>
      </c>
      <c r="U2944" s="879" t="s">
        <v>4857</v>
      </c>
      <c r="V2944" s="880">
        <f>$S$1*P!V2944</f>
        <v>0</v>
      </c>
      <c r="W2944" s="780"/>
      <c r="X2944" s="782">
        <v>2940</v>
      </c>
      <c r="Y2944" s="782" t="s">
        <v>2248</v>
      </c>
      <c r="Z2944" s="782" t="s">
        <v>4858</v>
      </c>
      <c r="AA2944" s="781">
        <f>$S$1*P!AA2944</f>
        <v>8.8427419354838721E-3</v>
      </c>
      <c r="AB2944" s="780"/>
      <c r="AC2944" s="782">
        <v>2940</v>
      </c>
      <c r="AD2944" s="782" t="s">
        <v>4573</v>
      </c>
      <c r="AE2944" s="782" t="s">
        <v>2577</v>
      </c>
      <c r="AF2944" s="781">
        <f>$S$1*P!AF2944</f>
        <v>1.110483870967742E-2</v>
      </c>
    </row>
    <row r="2945" spans="19:32" x14ac:dyDescent="0.35">
      <c r="S2945" s="870">
        <v>2941</v>
      </c>
      <c r="T2945" s="870" t="s">
        <v>4284</v>
      </c>
      <c r="U2945" s="870" t="s">
        <v>4857</v>
      </c>
      <c r="V2945" s="871">
        <f>$S$1*P!V2945</f>
        <v>1.8142</v>
      </c>
      <c r="W2945" s="780"/>
      <c r="X2945" s="782">
        <v>2941</v>
      </c>
      <c r="Y2945" s="782" t="s">
        <v>2248</v>
      </c>
      <c r="Z2945" s="782" t="s">
        <v>3404</v>
      </c>
      <c r="AA2945" s="781">
        <f>$S$1*P!AA2945</f>
        <v>7.3346774193548394E-3</v>
      </c>
      <c r="AB2945" s="780"/>
      <c r="AC2945" s="881">
        <v>2941</v>
      </c>
      <c r="AD2945" s="881" t="s">
        <v>4573</v>
      </c>
      <c r="AE2945" s="881" t="s">
        <v>2577</v>
      </c>
      <c r="AF2945" s="890">
        <f>$S$1*P!AF2945</f>
        <v>0</v>
      </c>
    </row>
    <row r="2946" spans="19:32" x14ac:dyDescent="0.35">
      <c r="S2946" s="879">
        <v>2942</v>
      </c>
      <c r="T2946" s="879" t="s">
        <v>4284</v>
      </c>
      <c r="U2946" s="879" t="s">
        <v>4856</v>
      </c>
      <c r="V2946" s="880">
        <f>$S$1*P!V2946</f>
        <v>0</v>
      </c>
      <c r="W2946" s="780"/>
      <c r="X2946" s="881">
        <v>2942</v>
      </c>
      <c r="Y2946" s="881" t="s">
        <v>2248</v>
      </c>
      <c r="Z2946" s="881" t="s">
        <v>2967</v>
      </c>
      <c r="AA2946" s="882">
        <f>$S$1*P!AA2946</f>
        <v>3.91</v>
      </c>
      <c r="AB2946" s="780"/>
      <c r="AC2946" s="782">
        <v>2942</v>
      </c>
      <c r="AD2946" s="782" t="s">
        <v>4573</v>
      </c>
      <c r="AE2946" s="782" t="s">
        <v>4249</v>
      </c>
      <c r="AF2946" s="781">
        <f>$S$1*P!AF2946</f>
        <v>2.8858870967741937E-2</v>
      </c>
    </row>
    <row r="2947" spans="19:32" x14ac:dyDescent="0.35">
      <c r="S2947" s="870">
        <v>2943</v>
      </c>
      <c r="T2947" s="870" t="s">
        <v>4284</v>
      </c>
      <c r="U2947" s="870" t="s">
        <v>4856</v>
      </c>
      <c r="V2947" s="871">
        <f>$S$1*P!V2947</f>
        <v>3.7647000000000004</v>
      </c>
      <c r="W2947" s="780"/>
      <c r="X2947" s="782">
        <v>2943</v>
      </c>
      <c r="Y2947" s="782" t="s">
        <v>2248</v>
      </c>
      <c r="Z2947" s="782" t="s">
        <v>3401</v>
      </c>
      <c r="AA2947" s="781">
        <f>$S$1*P!AA2947</f>
        <v>0.11481854838709678</v>
      </c>
      <c r="AB2947" s="780"/>
      <c r="AC2947" s="881">
        <v>2943</v>
      </c>
      <c r="AD2947" s="881" t="s">
        <v>4573</v>
      </c>
      <c r="AE2947" s="881" t="s">
        <v>2576</v>
      </c>
      <c r="AF2947" s="890">
        <f>$S$1*P!AF2947</f>
        <v>0.13156000000000001</v>
      </c>
    </row>
    <row r="2948" spans="19:32" x14ac:dyDescent="0.35">
      <c r="S2948" s="879">
        <v>2944</v>
      </c>
      <c r="T2948" s="879" t="s">
        <v>4284</v>
      </c>
      <c r="U2948" s="879" t="s">
        <v>4854</v>
      </c>
      <c r="V2948" s="880">
        <f>$S$1*P!V2948</f>
        <v>0</v>
      </c>
      <c r="W2948" s="780"/>
      <c r="X2948" s="782">
        <v>2944</v>
      </c>
      <c r="Y2948" s="782" t="s">
        <v>2248</v>
      </c>
      <c r="Z2948" s="782" t="s">
        <v>4855</v>
      </c>
      <c r="AA2948" s="781">
        <f>$S$1*P!AA2948</f>
        <v>0.18268145161290325</v>
      </c>
      <c r="AB2948" s="780"/>
      <c r="AC2948" s="881">
        <v>2944</v>
      </c>
      <c r="AD2948" s="881" t="s">
        <v>4573</v>
      </c>
      <c r="AE2948" s="881" t="s">
        <v>2574</v>
      </c>
      <c r="AF2948" s="890">
        <f>$S$1*P!AF2948</f>
        <v>0</v>
      </c>
    </row>
    <row r="2949" spans="19:32" x14ac:dyDescent="0.35">
      <c r="S2949" s="870">
        <v>2945</v>
      </c>
      <c r="T2949" s="870" t="s">
        <v>4284</v>
      </c>
      <c r="U2949" s="870" t="s">
        <v>4854</v>
      </c>
      <c r="V2949" s="871">
        <f>$S$1*P!V2949</f>
        <v>4.3052000000000001</v>
      </c>
      <c r="W2949" s="780"/>
      <c r="X2949" s="782">
        <v>2945</v>
      </c>
      <c r="Y2949" s="782" t="s">
        <v>2248</v>
      </c>
      <c r="Z2949" s="782" t="s">
        <v>3399</v>
      </c>
      <c r="AA2949" s="781">
        <f>$S$1*P!AA2949</f>
        <v>0.38044354838709682</v>
      </c>
      <c r="AB2949" s="780"/>
      <c r="AC2949" s="782">
        <v>2945</v>
      </c>
      <c r="AD2949" s="782" t="s">
        <v>4573</v>
      </c>
      <c r="AE2949" s="782" t="s">
        <v>4247</v>
      </c>
      <c r="AF2949" s="781">
        <f>$S$1*P!AF2949</f>
        <v>3.3897177419354844E-3</v>
      </c>
    </row>
    <row r="2950" spans="19:32" x14ac:dyDescent="0.35">
      <c r="S2950" s="879">
        <v>2946</v>
      </c>
      <c r="T2950" s="879" t="s">
        <v>4284</v>
      </c>
      <c r="U2950" s="879" t="s">
        <v>4853</v>
      </c>
      <c r="V2950" s="880">
        <f>$S$1*P!V2950</f>
        <v>0</v>
      </c>
      <c r="W2950" s="780"/>
      <c r="X2950" s="782">
        <v>2946</v>
      </c>
      <c r="Y2950" s="782" t="s">
        <v>2248</v>
      </c>
      <c r="Z2950" s="782" t="s">
        <v>3396</v>
      </c>
      <c r="AA2950" s="781">
        <f>$S$1*P!AA2950</f>
        <v>6.5463709677419363E-5</v>
      </c>
      <c r="AB2950" s="780"/>
      <c r="AC2950" s="782">
        <v>2946</v>
      </c>
      <c r="AD2950" s="782" t="s">
        <v>4573</v>
      </c>
      <c r="AE2950" s="782" t="s">
        <v>4246</v>
      </c>
      <c r="AF2950" s="781">
        <f>$S$1*P!AF2950</f>
        <v>7.3689516129032268E-3</v>
      </c>
    </row>
    <row r="2951" spans="19:32" x14ac:dyDescent="0.35">
      <c r="S2951" s="870">
        <v>2947</v>
      </c>
      <c r="T2951" s="870" t="s">
        <v>4284</v>
      </c>
      <c r="U2951" s="870" t="s">
        <v>4853</v>
      </c>
      <c r="V2951" s="871">
        <f>$S$1*P!V2951</f>
        <v>2.4769000000000001</v>
      </c>
      <c r="W2951" s="780"/>
      <c r="X2951" s="782">
        <v>2947</v>
      </c>
      <c r="Y2951" s="782" t="s">
        <v>2248</v>
      </c>
      <c r="Z2951" s="782" t="s">
        <v>4852</v>
      </c>
      <c r="AA2951" s="781">
        <f>$S$1*P!AA2951</f>
        <v>2.0838709677419356</v>
      </c>
      <c r="AB2951" s="780"/>
      <c r="AC2951" s="782">
        <v>2947</v>
      </c>
      <c r="AD2951" s="782" t="s">
        <v>4573</v>
      </c>
      <c r="AE2951" s="782" t="s">
        <v>4244</v>
      </c>
      <c r="AF2951" s="781">
        <f>$S$1*P!AF2951</f>
        <v>6.1350806451612914E-5</v>
      </c>
    </row>
    <row r="2952" spans="19:32" x14ac:dyDescent="0.35">
      <c r="S2952" s="879">
        <v>2948</v>
      </c>
      <c r="T2952" s="879" t="s">
        <v>4284</v>
      </c>
      <c r="U2952" s="879" t="s">
        <v>4851</v>
      </c>
      <c r="V2952" s="880">
        <f>$S$1*P!V2952</f>
        <v>0</v>
      </c>
      <c r="W2952" s="780"/>
      <c r="X2952" s="782">
        <v>2948</v>
      </c>
      <c r="Y2952" s="782" t="s">
        <v>2248</v>
      </c>
      <c r="Z2952" s="782" t="s">
        <v>3393</v>
      </c>
      <c r="AA2952" s="781">
        <f>$S$1*P!AA2952</f>
        <v>2.8756048387096776E-5</v>
      </c>
      <c r="AB2952" s="780"/>
      <c r="AC2952" s="782">
        <v>2948</v>
      </c>
      <c r="AD2952" s="782" t="s">
        <v>4573</v>
      </c>
      <c r="AE2952" s="782" t="s">
        <v>2573</v>
      </c>
      <c r="AF2952" s="781">
        <f>$S$1*P!AF2952</f>
        <v>0.10933467741935485</v>
      </c>
    </row>
    <row r="2953" spans="19:32" x14ac:dyDescent="0.35">
      <c r="S2953" s="870">
        <v>2949</v>
      </c>
      <c r="T2953" s="870" t="s">
        <v>4284</v>
      </c>
      <c r="U2953" s="870" t="s">
        <v>4851</v>
      </c>
      <c r="V2953" s="871">
        <f>$S$1*P!V2953</f>
        <v>2.2136999999999998</v>
      </c>
      <c r="W2953" s="780"/>
      <c r="X2953" s="782">
        <v>2949</v>
      </c>
      <c r="Y2953" s="782" t="s">
        <v>2248</v>
      </c>
      <c r="Z2953" s="782" t="s">
        <v>3390</v>
      </c>
      <c r="AA2953" s="781">
        <f>$S$1*P!AA2953</f>
        <v>4.5927419354838719E-5</v>
      </c>
      <c r="AB2953" s="780"/>
      <c r="AC2953" s="881">
        <v>2949</v>
      </c>
      <c r="AD2953" s="881" t="s">
        <v>4573</v>
      </c>
      <c r="AE2953" s="881" t="s">
        <v>2573</v>
      </c>
      <c r="AF2953" s="890">
        <f>$S$1*P!AF2953</f>
        <v>0</v>
      </c>
    </row>
    <row r="2954" spans="19:32" x14ac:dyDescent="0.35">
      <c r="S2954" s="879">
        <v>2950</v>
      </c>
      <c r="T2954" s="879" t="s">
        <v>4284</v>
      </c>
      <c r="U2954" s="879" t="s">
        <v>4849</v>
      </c>
      <c r="V2954" s="880">
        <f>$S$1*P!V2954</f>
        <v>0</v>
      </c>
      <c r="W2954" s="780"/>
      <c r="X2954" s="782">
        <v>2950</v>
      </c>
      <c r="Y2954" s="782" t="s">
        <v>2248</v>
      </c>
      <c r="Z2954" s="782" t="s">
        <v>4850</v>
      </c>
      <c r="AA2954" s="781">
        <f>$S$1*P!AA2954</f>
        <v>8.7741935483870979E-4</v>
      </c>
      <c r="AB2954" s="780"/>
      <c r="AC2954" s="782">
        <v>2950</v>
      </c>
      <c r="AD2954" s="782" t="s">
        <v>4573</v>
      </c>
      <c r="AE2954" s="782" t="s">
        <v>4242</v>
      </c>
      <c r="AF2954" s="781">
        <f>$S$1*P!AF2954</f>
        <v>3.7016129032258066E-2</v>
      </c>
    </row>
    <row r="2955" spans="19:32" x14ac:dyDescent="0.35">
      <c r="S2955" s="870">
        <v>2951</v>
      </c>
      <c r="T2955" s="870" t="s">
        <v>4284</v>
      </c>
      <c r="U2955" s="870" t="s">
        <v>4849</v>
      </c>
      <c r="V2955" s="871">
        <f>$S$1*P!V2955</f>
        <v>1.3113000000000001</v>
      </c>
      <c r="W2955" s="780"/>
      <c r="X2955" s="881">
        <v>2951</v>
      </c>
      <c r="Y2955" s="881" t="s">
        <v>2248</v>
      </c>
      <c r="Z2955" s="881" t="s">
        <v>2966</v>
      </c>
      <c r="AA2955" s="882">
        <f>$S$1*P!AA2955</f>
        <v>0.26128000000000001</v>
      </c>
      <c r="AB2955" s="780"/>
      <c r="AC2955" s="782">
        <v>2951</v>
      </c>
      <c r="AD2955" s="782" t="s">
        <v>4573</v>
      </c>
      <c r="AE2955" s="782" t="s">
        <v>4240</v>
      </c>
      <c r="AF2955" s="781">
        <f>$S$1*P!AF2955</f>
        <v>6.1350806451612909E-3</v>
      </c>
    </row>
    <row r="2956" spans="19:32" x14ac:dyDescent="0.35">
      <c r="S2956" s="879">
        <v>2952</v>
      </c>
      <c r="T2956" s="879" t="s">
        <v>4284</v>
      </c>
      <c r="U2956" s="879" t="s">
        <v>4848</v>
      </c>
      <c r="V2956" s="880">
        <f>$S$1*P!V2956</f>
        <v>0</v>
      </c>
      <c r="W2956" s="780"/>
      <c r="X2956" s="881">
        <v>2952</v>
      </c>
      <c r="Y2956" s="881" t="s">
        <v>2248</v>
      </c>
      <c r="Z2956" s="881" t="s">
        <v>2964</v>
      </c>
      <c r="AA2956" s="882">
        <f>$S$1*P!AA2956</f>
        <v>0</v>
      </c>
      <c r="AB2956" s="780"/>
      <c r="AC2956" s="782">
        <v>2952</v>
      </c>
      <c r="AD2956" s="782" t="s">
        <v>4573</v>
      </c>
      <c r="AE2956" s="782" t="s">
        <v>4239</v>
      </c>
      <c r="AF2956" s="781">
        <f>$S$1*P!AF2956</f>
        <v>1.3606854838709678E-2</v>
      </c>
    </row>
    <row r="2957" spans="19:32" x14ac:dyDescent="0.35">
      <c r="S2957" s="870">
        <v>2953</v>
      </c>
      <c r="T2957" s="870" t="s">
        <v>4284</v>
      </c>
      <c r="U2957" s="870" t="s">
        <v>4848</v>
      </c>
      <c r="V2957" s="871">
        <f>$S$1*P!V2957</f>
        <v>2.1055999999999999</v>
      </c>
      <c r="W2957" s="780"/>
      <c r="X2957" s="881">
        <v>2953</v>
      </c>
      <c r="Y2957" s="881" t="s">
        <v>2248</v>
      </c>
      <c r="Z2957" s="881" t="s">
        <v>2962</v>
      </c>
      <c r="AA2957" s="882">
        <f>$S$1*P!AA2957</f>
        <v>2.1804E-2</v>
      </c>
      <c r="AB2957" s="780"/>
      <c r="AC2957" s="782">
        <v>2953</v>
      </c>
      <c r="AD2957" s="782" t="s">
        <v>4573</v>
      </c>
      <c r="AE2957" s="782" t="s">
        <v>4238</v>
      </c>
      <c r="AF2957" s="781">
        <f>$S$1*P!AF2957</f>
        <v>8.0201612903225819E-2</v>
      </c>
    </row>
    <row r="2958" spans="19:32" x14ac:dyDescent="0.35">
      <c r="S2958" s="879">
        <v>2954</v>
      </c>
      <c r="T2958" s="879" t="s">
        <v>4284</v>
      </c>
      <c r="U2958" s="879" t="s">
        <v>4847</v>
      </c>
      <c r="V2958" s="880">
        <f>$S$1*P!V2958</f>
        <v>0</v>
      </c>
      <c r="W2958" s="780"/>
      <c r="X2958" s="782">
        <v>2954</v>
      </c>
      <c r="Y2958" s="782" t="s">
        <v>2248</v>
      </c>
      <c r="Z2958" s="782" t="s">
        <v>3422</v>
      </c>
      <c r="AA2958" s="781">
        <f>$S$1*P!AA2958</f>
        <v>4.3528225806451614E-3</v>
      </c>
      <c r="AB2958" s="780"/>
      <c r="AC2958" s="782">
        <v>2954</v>
      </c>
      <c r="AD2958" s="782" t="s">
        <v>4573</v>
      </c>
      <c r="AE2958" s="782" t="s">
        <v>4236</v>
      </c>
      <c r="AF2958" s="781">
        <f>$S$1*P!AF2958</f>
        <v>3.8729838709677424</v>
      </c>
    </row>
    <row r="2959" spans="19:32" x14ac:dyDescent="0.35">
      <c r="S2959" s="870">
        <v>2955</v>
      </c>
      <c r="T2959" s="870" t="s">
        <v>4284</v>
      </c>
      <c r="U2959" s="870" t="s">
        <v>4847</v>
      </c>
      <c r="V2959" s="871">
        <f>$S$1*P!V2959</f>
        <v>4.1501000000000001</v>
      </c>
      <c r="W2959" s="780"/>
      <c r="X2959" s="881">
        <v>2955</v>
      </c>
      <c r="Y2959" s="881" t="s">
        <v>2248</v>
      </c>
      <c r="Z2959" s="881" t="s">
        <v>2961</v>
      </c>
      <c r="AA2959" s="882">
        <f>$S$1*P!AA2959</f>
        <v>6.7619999999999996</v>
      </c>
      <c r="AB2959" s="780"/>
      <c r="AC2959" s="881">
        <v>2955</v>
      </c>
      <c r="AD2959" s="881" t="s">
        <v>4573</v>
      </c>
      <c r="AE2959" s="881" t="s">
        <v>2571</v>
      </c>
      <c r="AF2959" s="890">
        <f>$S$1*P!AF2959</f>
        <v>0</v>
      </c>
    </row>
    <row r="2960" spans="19:32" x14ac:dyDescent="0.35">
      <c r="S2960" s="879">
        <v>2956</v>
      </c>
      <c r="T2960" s="879" t="s">
        <v>4284</v>
      </c>
      <c r="U2960" s="879" t="s">
        <v>4846</v>
      </c>
      <c r="V2960" s="880">
        <f>$S$1*P!V2960</f>
        <v>0</v>
      </c>
      <c r="W2960" s="780"/>
      <c r="X2960" s="782">
        <v>2956</v>
      </c>
      <c r="Y2960" s="782" t="s">
        <v>2248</v>
      </c>
      <c r="Z2960" s="782" t="s">
        <v>2961</v>
      </c>
      <c r="AA2960" s="781">
        <f>$S$1*P!AA2960</f>
        <v>1.192741935483871E-2</v>
      </c>
      <c r="AB2960" s="780"/>
      <c r="AC2960" s="782">
        <v>2956</v>
      </c>
      <c r="AD2960" s="782" t="s">
        <v>4573</v>
      </c>
      <c r="AE2960" s="782" t="s">
        <v>4234</v>
      </c>
      <c r="AF2960" s="781">
        <f>$S$1*P!AF2960</f>
        <v>4.8669354838709683E-2</v>
      </c>
    </row>
    <row r="2961" spans="19:32" x14ac:dyDescent="0.35">
      <c r="S2961" s="870">
        <v>2957</v>
      </c>
      <c r="T2961" s="870" t="s">
        <v>4284</v>
      </c>
      <c r="U2961" s="870" t="s">
        <v>4846</v>
      </c>
      <c r="V2961" s="871">
        <f>$S$1*P!V2961</f>
        <v>1.6168</v>
      </c>
      <c r="W2961" s="780"/>
      <c r="X2961" s="782">
        <v>2957</v>
      </c>
      <c r="Y2961" s="782" t="s">
        <v>2248</v>
      </c>
      <c r="Z2961" s="782" t="s">
        <v>4845</v>
      </c>
      <c r="AA2961" s="781">
        <f>$S$1*P!AA2961</f>
        <v>1.227016129032258E-3</v>
      </c>
      <c r="AB2961" s="780"/>
      <c r="AC2961" s="782">
        <v>2957</v>
      </c>
      <c r="AD2961" s="782" t="s">
        <v>4573</v>
      </c>
      <c r="AE2961" s="782" t="s">
        <v>4233</v>
      </c>
      <c r="AF2961" s="781">
        <f>$S$1*P!AF2961</f>
        <v>0.59979838709677424</v>
      </c>
    </row>
    <row r="2962" spans="19:32" x14ac:dyDescent="0.35">
      <c r="S2962" s="879">
        <v>2958</v>
      </c>
      <c r="T2962" s="879" t="s">
        <v>4284</v>
      </c>
      <c r="U2962" s="879" t="s">
        <v>4844</v>
      </c>
      <c r="V2962" s="880">
        <f>$S$1*P!V2962</f>
        <v>0</v>
      </c>
      <c r="W2962" s="780"/>
      <c r="X2962" s="881">
        <v>2958</v>
      </c>
      <c r="Y2962" s="881" t="s">
        <v>2248</v>
      </c>
      <c r="Z2962" s="881" t="s">
        <v>2959</v>
      </c>
      <c r="AA2962" s="882">
        <f>$S$1*P!AA2962</f>
        <v>681.72</v>
      </c>
      <c r="AB2962" s="780"/>
      <c r="AC2962" s="881">
        <v>2958</v>
      </c>
      <c r="AD2962" s="881" t="s">
        <v>4573</v>
      </c>
      <c r="AE2962" s="881" t="s">
        <v>2570</v>
      </c>
      <c r="AF2962" s="890">
        <f>$S$1*P!AF2962</f>
        <v>0</v>
      </c>
    </row>
    <row r="2963" spans="19:32" x14ac:dyDescent="0.35">
      <c r="S2963" s="870">
        <v>2959</v>
      </c>
      <c r="T2963" s="870" t="s">
        <v>4284</v>
      </c>
      <c r="U2963" s="870" t="s">
        <v>4844</v>
      </c>
      <c r="V2963" s="871">
        <f>$S$1*P!V2963</f>
        <v>0.44650000000000001</v>
      </c>
      <c r="W2963" s="780"/>
      <c r="X2963" s="782">
        <v>2959</v>
      </c>
      <c r="Y2963" s="782" t="s">
        <v>2248</v>
      </c>
      <c r="Z2963" s="782" t="s">
        <v>2959</v>
      </c>
      <c r="AA2963" s="781">
        <f>$S$1*P!AA2963</f>
        <v>0.20975806451612905</v>
      </c>
      <c r="AB2963" s="780"/>
      <c r="AC2963" s="782">
        <v>2959</v>
      </c>
      <c r="AD2963" s="782" t="s">
        <v>4573</v>
      </c>
      <c r="AE2963" s="782" t="s">
        <v>4231</v>
      </c>
      <c r="AF2963" s="781">
        <f>$S$1*P!AF2963</f>
        <v>5.4838709677419359E-4</v>
      </c>
    </row>
    <row r="2964" spans="19:32" x14ac:dyDescent="0.35">
      <c r="S2964" s="879">
        <v>2960</v>
      </c>
      <c r="T2964" s="879" t="s">
        <v>4284</v>
      </c>
      <c r="U2964" s="879" t="s">
        <v>4843</v>
      </c>
      <c r="V2964" s="880">
        <f>$S$1*P!V2964</f>
        <v>0</v>
      </c>
      <c r="W2964" s="780"/>
      <c r="X2964" s="782">
        <v>2960</v>
      </c>
      <c r="Y2964" s="782" t="s">
        <v>2248</v>
      </c>
      <c r="Z2964" s="782" t="s">
        <v>3420</v>
      </c>
      <c r="AA2964" s="781">
        <f>$S$1*P!AA2964</f>
        <v>1.1207661290322581E-2</v>
      </c>
      <c r="AB2964" s="780"/>
      <c r="AC2964" s="782">
        <v>2960</v>
      </c>
      <c r="AD2964" s="782" t="s">
        <v>4573</v>
      </c>
      <c r="AE2964" s="782" t="s">
        <v>4230</v>
      </c>
      <c r="AF2964" s="781">
        <f>$S$1*P!AF2964</f>
        <v>2.6870967741935483E-4</v>
      </c>
    </row>
    <row r="2965" spans="19:32" x14ac:dyDescent="0.35">
      <c r="S2965" s="870">
        <v>2961</v>
      </c>
      <c r="T2965" s="870" t="s">
        <v>4284</v>
      </c>
      <c r="U2965" s="870" t="s">
        <v>4843</v>
      </c>
      <c r="V2965" s="871">
        <f>$S$1*P!V2965</f>
        <v>1.8706000000000003</v>
      </c>
      <c r="W2965" s="780"/>
      <c r="X2965" s="782">
        <v>2961</v>
      </c>
      <c r="Y2965" s="782" t="s">
        <v>2248</v>
      </c>
      <c r="Z2965" s="782" t="s">
        <v>3384</v>
      </c>
      <c r="AA2965" s="781">
        <f>$S$1*P!AA2965</f>
        <v>4.5241935483870972E-3</v>
      </c>
      <c r="AB2965" s="780"/>
      <c r="AC2965" s="881">
        <v>2961</v>
      </c>
      <c r="AD2965" s="881" t="s">
        <v>4573</v>
      </c>
      <c r="AE2965" s="881" t="s">
        <v>2568</v>
      </c>
      <c r="AF2965" s="890">
        <f>$S$1*P!AF2965</f>
        <v>0</v>
      </c>
    </row>
    <row r="2966" spans="19:32" x14ac:dyDescent="0.35">
      <c r="S2966" s="879">
        <v>2962</v>
      </c>
      <c r="T2966" s="879" t="s">
        <v>4284</v>
      </c>
      <c r="U2966" s="879" t="s">
        <v>4842</v>
      </c>
      <c r="V2966" s="880">
        <f>$S$1*P!V2966</f>
        <v>0</v>
      </c>
      <c r="W2966" s="780"/>
      <c r="X2966" s="782">
        <v>2962</v>
      </c>
      <c r="Y2966" s="782" t="s">
        <v>2248</v>
      </c>
      <c r="Z2966" s="782" t="s">
        <v>3381</v>
      </c>
      <c r="AA2966" s="781">
        <f>$S$1*P!AA2966</f>
        <v>1.4909274193548388E-8</v>
      </c>
      <c r="AB2966" s="780"/>
      <c r="AC2966" s="881">
        <v>2962</v>
      </c>
      <c r="AD2966" s="881" t="s">
        <v>4573</v>
      </c>
      <c r="AE2966" s="881" t="s">
        <v>2567</v>
      </c>
      <c r="AF2966" s="890">
        <f>$S$1*P!AF2966</f>
        <v>0</v>
      </c>
    </row>
    <row r="2967" spans="19:32" x14ac:dyDescent="0.35">
      <c r="S2967" s="870">
        <v>2963</v>
      </c>
      <c r="T2967" s="870" t="s">
        <v>4284</v>
      </c>
      <c r="U2967" s="870" t="s">
        <v>4842</v>
      </c>
      <c r="V2967" s="871">
        <f>$S$1*P!V2967</f>
        <v>2.5192000000000001</v>
      </c>
      <c r="W2967" s="780"/>
      <c r="X2967" s="782">
        <v>2963</v>
      </c>
      <c r="Y2967" s="782" t="s">
        <v>2248</v>
      </c>
      <c r="Z2967" s="782" t="s">
        <v>3378</v>
      </c>
      <c r="AA2967" s="781">
        <f>$S$1*P!AA2967</f>
        <v>1.3504032258064517E-4</v>
      </c>
      <c r="AB2967" s="780"/>
      <c r="AC2967" s="782">
        <v>2963</v>
      </c>
      <c r="AD2967" s="782" t="s">
        <v>4573</v>
      </c>
      <c r="AE2967" s="782" t="s">
        <v>2565</v>
      </c>
      <c r="AF2967" s="781">
        <f>$S$1*P!AF2967</f>
        <v>1.4120967741935484</v>
      </c>
    </row>
    <row r="2968" spans="19:32" x14ac:dyDescent="0.35">
      <c r="S2968" s="879">
        <v>2964</v>
      </c>
      <c r="T2968" s="879" t="s">
        <v>4284</v>
      </c>
      <c r="U2968" s="879" t="s">
        <v>4841</v>
      </c>
      <c r="V2968" s="880">
        <f>$S$1*P!V2968</f>
        <v>0</v>
      </c>
      <c r="W2968" s="780"/>
      <c r="X2968" s="782">
        <v>2964</v>
      </c>
      <c r="Y2968" s="782" t="s">
        <v>2248</v>
      </c>
      <c r="Z2968" s="782" t="s">
        <v>3417</v>
      </c>
      <c r="AA2968" s="781">
        <f>$S$1*P!AA2968</f>
        <v>2.1147177419354843E-3</v>
      </c>
      <c r="AB2968" s="780"/>
      <c r="AC2968" s="881">
        <v>2964</v>
      </c>
      <c r="AD2968" s="881" t="s">
        <v>4573</v>
      </c>
      <c r="AE2968" s="881" t="s">
        <v>2565</v>
      </c>
      <c r="AF2968" s="890">
        <f>$S$1*P!AF2968</f>
        <v>1.3248</v>
      </c>
    </row>
    <row r="2969" spans="19:32" x14ac:dyDescent="0.35">
      <c r="S2969" s="870">
        <v>2965</v>
      </c>
      <c r="T2969" s="870" t="s">
        <v>4284</v>
      </c>
      <c r="U2969" s="870" t="s">
        <v>4841</v>
      </c>
      <c r="V2969" s="871">
        <f>$S$1*P!V2969</f>
        <v>0.93060000000000009</v>
      </c>
      <c r="W2969" s="780"/>
      <c r="X2969" s="782">
        <v>2965</v>
      </c>
      <c r="Y2969" s="782" t="s">
        <v>2248</v>
      </c>
      <c r="Z2969" s="782" t="s">
        <v>3376</v>
      </c>
      <c r="AA2969" s="781">
        <f>$S$1*P!AA2969</f>
        <v>2.419758064516129E-6</v>
      </c>
      <c r="AB2969" s="780"/>
      <c r="AC2969" s="782">
        <v>2965</v>
      </c>
      <c r="AD2969" s="782" t="s">
        <v>4573</v>
      </c>
      <c r="AE2969" s="782" t="s">
        <v>2563</v>
      </c>
      <c r="AF2969" s="781">
        <f>$S$1*P!AF2969</f>
        <v>1.4635080645161291</v>
      </c>
    </row>
    <row r="2970" spans="19:32" x14ac:dyDescent="0.35">
      <c r="S2970" s="879">
        <v>2966</v>
      </c>
      <c r="T2970" s="879" t="s">
        <v>4284</v>
      </c>
      <c r="U2970" s="879" t="s">
        <v>4840</v>
      </c>
      <c r="V2970" s="880">
        <f>$S$1*P!V2970</f>
        <v>0</v>
      </c>
      <c r="W2970" s="780"/>
      <c r="X2970" s="782">
        <v>2966</v>
      </c>
      <c r="Y2970" s="782" t="s">
        <v>2248</v>
      </c>
      <c r="Z2970" s="782" t="s">
        <v>3373</v>
      </c>
      <c r="AA2970" s="781">
        <f>$S$1*P!AA2970</f>
        <v>8.8427419354838721E-3</v>
      </c>
      <c r="AB2970" s="780"/>
      <c r="AC2970" s="881">
        <v>2966</v>
      </c>
      <c r="AD2970" s="881" t="s">
        <v>4573</v>
      </c>
      <c r="AE2970" s="881" t="s">
        <v>2563</v>
      </c>
      <c r="AF2970" s="890">
        <f>$S$1*P!AF2970</f>
        <v>14.26</v>
      </c>
    </row>
    <row r="2971" spans="19:32" x14ac:dyDescent="0.35">
      <c r="S2971" s="870">
        <v>2967</v>
      </c>
      <c r="T2971" s="870" t="s">
        <v>4284</v>
      </c>
      <c r="U2971" s="870" t="s">
        <v>4840</v>
      </c>
      <c r="V2971" s="871">
        <f>$S$1*P!V2971</f>
        <v>2.2090000000000001</v>
      </c>
      <c r="W2971" s="780"/>
      <c r="X2971" s="782">
        <v>2967</v>
      </c>
      <c r="Y2971" s="782" t="s">
        <v>2248</v>
      </c>
      <c r="Z2971" s="782" t="s">
        <v>4839</v>
      </c>
      <c r="AA2971" s="781">
        <f>$S$1*P!AA2971</f>
        <v>3.7358870967741939E-3</v>
      </c>
      <c r="AB2971" s="780"/>
      <c r="AC2971" s="782">
        <v>2967</v>
      </c>
      <c r="AD2971" s="782" t="s">
        <v>4573</v>
      </c>
      <c r="AE2971" s="782" t="s">
        <v>4226</v>
      </c>
      <c r="AF2971" s="781">
        <f>$S$1*P!AF2971</f>
        <v>0.18816532258064517</v>
      </c>
    </row>
    <row r="2972" spans="19:32" x14ac:dyDescent="0.35">
      <c r="S2972" s="879">
        <v>2968</v>
      </c>
      <c r="T2972" s="879" t="s">
        <v>4284</v>
      </c>
      <c r="U2972" s="879" t="s">
        <v>4838</v>
      </c>
      <c r="V2972" s="880">
        <f>$S$1*P!V2972</f>
        <v>0</v>
      </c>
      <c r="W2972" s="780"/>
      <c r="X2972" s="881">
        <v>2968</v>
      </c>
      <c r="Y2972" s="881" t="s">
        <v>2248</v>
      </c>
      <c r="Z2972" s="881" t="s">
        <v>2958</v>
      </c>
      <c r="AA2972" s="882">
        <f>$S$1*P!AA2972</f>
        <v>0</v>
      </c>
      <c r="AB2972" s="780"/>
      <c r="AC2972" s="782">
        <v>2968</v>
      </c>
      <c r="AD2972" s="782" t="s">
        <v>4573</v>
      </c>
      <c r="AE2972" s="782" t="s">
        <v>4224</v>
      </c>
      <c r="AF2972" s="781">
        <f>$S$1*P!AF2972</f>
        <v>5.6552419354838714E-2</v>
      </c>
    </row>
    <row r="2973" spans="19:32" x14ac:dyDescent="0.35">
      <c r="S2973" s="870">
        <v>2969</v>
      </c>
      <c r="T2973" s="870" t="s">
        <v>4284</v>
      </c>
      <c r="U2973" s="870" t="s">
        <v>4838</v>
      </c>
      <c r="V2973" s="871">
        <f>$S$1*P!V2973</f>
        <v>2.3641000000000001</v>
      </c>
      <c r="W2973" s="780"/>
      <c r="X2973" s="782">
        <v>2969</v>
      </c>
      <c r="Y2973" s="782" t="s">
        <v>2248</v>
      </c>
      <c r="Z2973" s="782" t="s">
        <v>2958</v>
      </c>
      <c r="AA2973" s="781">
        <f>$S$1*P!AA2973</f>
        <v>3.1909274193548389E-6</v>
      </c>
      <c r="AB2973" s="780"/>
      <c r="AC2973" s="782">
        <v>2969</v>
      </c>
      <c r="AD2973" s="782" t="s">
        <v>4573</v>
      </c>
      <c r="AE2973" s="782" t="s">
        <v>4223</v>
      </c>
      <c r="AF2973" s="781">
        <f>$S$1*P!AF2973</f>
        <v>9.2883064516129039</v>
      </c>
    </row>
    <row r="2974" spans="19:32" x14ac:dyDescent="0.35">
      <c r="S2974" s="879">
        <v>2970</v>
      </c>
      <c r="T2974" s="879" t="s">
        <v>4284</v>
      </c>
      <c r="U2974" s="879" t="s">
        <v>4836</v>
      </c>
      <c r="V2974" s="880">
        <f>$S$1*P!V2974</f>
        <v>0</v>
      </c>
      <c r="W2974" s="780"/>
      <c r="X2974" s="782">
        <v>2970</v>
      </c>
      <c r="Y2974" s="782" t="s">
        <v>2248</v>
      </c>
      <c r="Z2974" s="782" t="s">
        <v>4837</v>
      </c>
      <c r="AA2974" s="781">
        <f>$S$1*P!AA2974</f>
        <v>1.6588709677419357E-5</v>
      </c>
      <c r="AB2974" s="780"/>
      <c r="AC2974" s="881">
        <v>2970</v>
      </c>
      <c r="AD2974" s="881" t="s">
        <v>4573</v>
      </c>
      <c r="AE2974" s="881" t="s">
        <v>2562</v>
      </c>
      <c r="AF2974" s="890">
        <f>$S$1*P!AF2974</f>
        <v>0</v>
      </c>
    </row>
    <row r="2975" spans="19:32" x14ac:dyDescent="0.35">
      <c r="S2975" s="870">
        <v>2971</v>
      </c>
      <c r="T2975" s="870" t="s">
        <v>4284</v>
      </c>
      <c r="U2975" s="870" t="s">
        <v>4836</v>
      </c>
      <c r="V2975" s="871">
        <f>$S$1*P!V2975</f>
        <v>5.2968999999999999</v>
      </c>
      <c r="W2975" s="780"/>
      <c r="X2975" s="881">
        <v>2971</v>
      </c>
      <c r="Y2975" s="881" t="s">
        <v>2248</v>
      </c>
      <c r="Z2975" s="881" t="s">
        <v>2956</v>
      </c>
      <c r="AA2975" s="882">
        <f>$S$1*P!AA2975</f>
        <v>3.4775999999999998</v>
      </c>
      <c r="AB2975" s="780"/>
      <c r="AC2975" s="782">
        <v>2971</v>
      </c>
      <c r="AD2975" s="782" t="s">
        <v>4573</v>
      </c>
      <c r="AE2975" s="782" t="s">
        <v>4221</v>
      </c>
      <c r="AF2975" s="781">
        <f>$S$1*P!AF2975</f>
        <v>1.0008064516129032E-2</v>
      </c>
    </row>
    <row r="2976" spans="19:32" x14ac:dyDescent="0.35">
      <c r="S2976" s="879">
        <v>2972</v>
      </c>
      <c r="T2976" s="879" t="s">
        <v>4284</v>
      </c>
      <c r="U2976" s="879" t="s">
        <v>4835</v>
      </c>
      <c r="V2976" s="880">
        <f>$S$1*P!V2976</f>
        <v>0</v>
      </c>
      <c r="W2976" s="780"/>
      <c r="X2976" s="881">
        <v>2972</v>
      </c>
      <c r="Y2976" s="881" t="s">
        <v>2248</v>
      </c>
      <c r="Z2976" s="881" t="s">
        <v>2955</v>
      </c>
      <c r="AA2976" s="882">
        <f>$S$1*P!AA2976</f>
        <v>8.831999999999999</v>
      </c>
      <c r="AB2976" s="780"/>
      <c r="AC2976" s="881">
        <v>2972</v>
      </c>
      <c r="AD2976" s="881" t="s">
        <v>4573</v>
      </c>
      <c r="AE2976" s="881" t="s">
        <v>2560</v>
      </c>
      <c r="AF2976" s="890">
        <f>$S$1*P!AF2976</f>
        <v>0.18492</v>
      </c>
    </row>
    <row r="2977" spans="19:32" x14ac:dyDescent="0.35">
      <c r="S2977" s="870">
        <v>2973</v>
      </c>
      <c r="T2977" s="870" t="s">
        <v>4284</v>
      </c>
      <c r="U2977" s="870" t="s">
        <v>4835</v>
      </c>
      <c r="V2977" s="871">
        <f>$S$1*P!V2977</f>
        <v>2.1573000000000002</v>
      </c>
      <c r="W2977" s="780"/>
      <c r="X2977" s="782">
        <v>2973</v>
      </c>
      <c r="Y2977" s="782" t="s">
        <v>2248</v>
      </c>
      <c r="Z2977" s="782" t="s">
        <v>2955</v>
      </c>
      <c r="AA2977" s="781">
        <f>$S$1*P!AA2977</f>
        <v>0.32834677419354841</v>
      </c>
      <c r="AB2977" s="780"/>
      <c r="AC2977" s="782">
        <v>2973</v>
      </c>
      <c r="AD2977" s="782" t="s">
        <v>4573</v>
      </c>
      <c r="AE2977" s="782" t="s">
        <v>2559</v>
      </c>
      <c r="AF2977" s="781">
        <f>$S$1*P!AF2977</f>
        <v>1.9947580645161292E-2</v>
      </c>
    </row>
    <row r="2978" spans="19:32" x14ac:dyDescent="0.35">
      <c r="S2978" s="879">
        <v>2974</v>
      </c>
      <c r="T2978" s="879" t="s">
        <v>4284</v>
      </c>
      <c r="U2978" s="879" t="s">
        <v>4834</v>
      </c>
      <c r="V2978" s="880">
        <f>$S$1*P!V2978</f>
        <v>0</v>
      </c>
      <c r="W2978" s="780"/>
      <c r="X2978" s="782">
        <v>2974</v>
      </c>
      <c r="Y2978" s="782" t="s">
        <v>2248</v>
      </c>
      <c r="Z2978" s="782" t="s">
        <v>3416</v>
      </c>
      <c r="AA2978" s="781">
        <f>$S$1*P!AA2978</f>
        <v>2.4745967741935483E-4</v>
      </c>
      <c r="AB2978" s="780"/>
      <c r="AC2978" s="881">
        <v>2974</v>
      </c>
      <c r="AD2978" s="881" t="s">
        <v>4573</v>
      </c>
      <c r="AE2978" s="881" t="s">
        <v>2559</v>
      </c>
      <c r="AF2978" s="890">
        <f>$S$1*P!AF2978</f>
        <v>6.3939999999999997E-2</v>
      </c>
    </row>
    <row r="2979" spans="19:32" x14ac:dyDescent="0.35">
      <c r="S2979" s="870">
        <v>2975</v>
      </c>
      <c r="T2979" s="870" t="s">
        <v>4284</v>
      </c>
      <c r="U2979" s="870" t="s">
        <v>4834</v>
      </c>
      <c r="V2979" s="871">
        <f>$S$1*P!V2979</f>
        <v>1.1186</v>
      </c>
      <c r="W2979" s="780"/>
      <c r="X2979" s="881">
        <v>2975</v>
      </c>
      <c r="Y2979" s="881" t="s">
        <v>2248</v>
      </c>
      <c r="Z2979" s="881" t="s">
        <v>2953</v>
      </c>
      <c r="AA2979" s="882">
        <f>$S$1*P!AA2979</f>
        <v>0</v>
      </c>
      <c r="AB2979" s="780"/>
      <c r="AC2979" s="782">
        <v>2975</v>
      </c>
      <c r="AD2979" s="782" t="s">
        <v>4573</v>
      </c>
      <c r="AE2979" s="782" t="s">
        <v>4218</v>
      </c>
      <c r="AF2979" s="781">
        <f>$S$1*P!AF2979</f>
        <v>1.6691532258064519E-3</v>
      </c>
    </row>
    <row r="2980" spans="19:32" x14ac:dyDescent="0.35">
      <c r="S2980" s="879">
        <v>2976</v>
      </c>
      <c r="T2980" s="879" t="s">
        <v>4284</v>
      </c>
      <c r="U2980" s="879" t="s">
        <v>4833</v>
      </c>
      <c r="V2980" s="880">
        <f>$S$1*P!V2980</f>
        <v>0</v>
      </c>
      <c r="W2980" s="780"/>
      <c r="X2980" s="782">
        <v>2976</v>
      </c>
      <c r="Y2980" s="782" t="s">
        <v>2248</v>
      </c>
      <c r="Z2980" s="782" t="s">
        <v>2953</v>
      </c>
      <c r="AA2980" s="781">
        <f>$S$1*P!AA2980</f>
        <v>0.10899193548387098</v>
      </c>
      <c r="AB2980" s="780"/>
      <c r="AC2980" s="782">
        <v>2976</v>
      </c>
      <c r="AD2980" s="782" t="s">
        <v>4573</v>
      </c>
      <c r="AE2980" s="782" t="s">
        <v>4217</v>
      </c>
      <c r="AF2980" s="781">
        <f>$S$1*P!AF2980</f>
        <v>1.7000000000000001E-3</v>
      </c>
    </row>
    <row r="2981" spans="19:32" x14ac:dyDescent="0.35">
      <c r="S2981" s="870">
        <v>2977</v>
      </c>
      <c r="T2981" s="870" t="s">
        <v>4284</v>
      </c>
      <c r="U2981" s="870" t="s">
        <v>4833</v>
      </c>
      <c r="V2981" s="871">
        <f>$S$1*P!V2981</f>
        <v>1.4899</v>
      </c>
      <c r="W2981" s="780"/>
      <c r="X2981" s="782">
        <v>2977</v>
      </c>
      <c r="Y2981" s="782" t="s">
        <v>2248</v>
      </c>
      <c r="Z2981" s="782" t="s">
        <v>4832</v>
      </c>
      <c r="AA2981" s="781">
        <f>$S$1*P!AA2981</f>
        <v>1.6485887096774196E-3</v>
      </c>
      <c r="AB2981" s="780"/>
      <c r="AC2981" s="881">
        <v>2977</v>
      </c>
      <c r="AD2981" s="881" t="s">
        <v>4573</v>
      </c>
      <c r="AE2981" s="881" t="s">
        <v>2557</v>
      </c>
      <c r="AF2981" s="890">
        <f>$S$1*P!AF2981</f>
        <v>0</v>
      </c>
    </row>
    <row r="2982" spans="19:32" x14ac:dyDescent="0.35">
      <c r="S2982" s="879">
        <v>2978</v>
      </c>
      <c r="T2982" s="879" t="s">
        <v>4284</v>
      </c>
      <c r="U2982" s="879" t="s">
        <v>4831</v>
      </c>
      <c r="V2982" s="880">
        <f>$S$1*P!V2982</f>
        <v>0</v>
      </c>
      <c r="W2982" s="780"/>
      <c r="X2982" s="782">
        <v>2978</v>
      </c>
      <c r="Y2982" s="782" t="s">
        <v>2248</v>
      </c>
      <c r="Z2982" s="782" t="s">
        <v>3365</v>
      </c>
      <c r="AA2982" s="781">
        <f>$S$1*P!AA2982</f>
        <v>1.7582661290322581E-2</v>
      </c>
      <c r="AB2982" s="780"/>
      <c r="AC2982" s="782">
        <v>2978</v>
      </c>
      <c r="AD2982" s="782" t="s">
        <v>4573</v>
      </c>
      <c r="AE2982" s="782" t="s">
        <v>2556</v>
      </c>
      <c r="AF2982" s="781">
        <f>$S$1*P!AF2982</f>
        <v>0.13229838709677422</v>
      </c>
    </row>
    <row r="2983" spans="19:32" x14ac:dyDescent="0.35">
      <c r="S2983" s="870">
        <v>2979</v>
      </c>
      <c r="T2983" s="870" t="s">
        <v>4284</v>
      </c>
      <c r="U2983" s="870" t="s">
        <v>4831</v>
      </c>
      <c r="V2983" s="871">
        <f>$S$1*P!V2983</f>
        <v>3.1490000000000005</v>
      </c>
      <c r="W2983" s="780"/>
      <c r="X2983" s="782">
        <v>2979</v>
      </c>
      <c r="Y2983" s="782" t="s">
        <v>2248</v>
      </c>
      <c r="Z2983" s="782" t="s">
        <v>3362</v>
      </c>
      <c r="AA2983" s="781">
        <f>$S$1*P!AA2983</f>
        <v>1.9467741935483874E-6</v>
      </c>
      <c r="AB2983" s="780"/>
      <c r="AC2983" s="881">
        <v>2979</v>
      </c>
      <c r="AD2983" s="881" t="s">
        <v>4573</v>
      </c>
      <c r="AE2983" s="881" t="s">
        <v>2556</v>
      </c>
      <c r="AF2983" s="890">
        <f>$S$1*P!AF2983</f>
        <v>0</v>
      </c>
    </row>
    <row r="2984" spans="19:32" x14ac:dyDescent="0.35">
      <c r="S2984" s="879">
        <v>2980</v>
      </c>
      <c r="T2984" s="879" t="s">
        <v>4284</v>
      </c>
      <c r="U2984" s="879" t="s">
        <v>4829</v>
      </c>
      <c r="V2984" s="880">
        <f>$S$1*P!V2984</f>
        <v>0</v>
      </c>
      <c r="W2984" s="780"/>
      <c r="X2984" s="782">
        <v>2980</v>
      </c>
      <c r="Y2984" s="782" t="s">
        <v>2248</v>
      </c>
      <c r="Z2984" s="782" t="s">
        <v>4830</v>
      </c>
      <c r="AA2984" s="781">
        <f>$S$1*P!AA2984</f>
        <v>4.3185483870967746E-4</v>
      </c>
      <c r="AB2984" s="780"/>
      <c r="AC2984" s="782">
        <v>2980</v>
      </c>
      <c r="AD2984" s="782" t="s">
        <v>4573</v>
      </c>
      <c r="AE2984" s="782" t="s">
        <v>4214</v>
      </c>
      <c r="AF2984" s="781">
        <f>$S$1*P!AF2984</f>
        <v>3.1806451612903228E-2</v>
      </c>
    </row>
    <row r="2985" spans="19:32" x14ac:dyDescent="0.35">
      <c r="S2985" s="870">
        <v>2981</v>
      </c>
      <c r="T2985" s="870" t="s">
        <v>4284</v>
      </c>
      <c r="U2985" s="870" t="s">
        <v>4829</v>
      </c>
      <c r="V2985" s="871">
        <f>$S$1*P!V2985</f>
        <v>1.0058</v>
      </c>
      <c r="W2985" s="780"/>
      <c r="X2985" s="881">
        <v>2981</v>
      </c>
      <c r="Y2985" s="881" t="s">
        <v>2248</v>
      </c>
      <c r="Z2985" s="881" t="s">
        <v>2952</v>
      </c>
      <c r="AA2985" s="882">
        <f>$S$1*P!AA2985</f>
        <v>0</v>
      </c>
      <c r="AB2985" s="780"/>
      <c r="AC2985" s="782">
        <v>2981</v>
      </c>
      <c r="AD2985" s="782" t="s">
        <v>4573</v>
      </c>
      <c r="AE2985" s="782" t="s">
        <v>4213</v>
      </c>
      <c r="AF2985" s="781">
        <f>$S$1*P!AF2985</f>
        <v>5.4495967741935492E-2</v>
      </c>
    </row>
    <row r="2986" spans="19:32" x14ac:dyDescent="0.35">
      <c r="S2986" s="879">
        <v>2982</v>
      </c>
      <c r="T2986" s="879" t="s">
        <v>4284</v>
      </c>
      <c r="U2986" s="879" t="s">
        <v>4828</v>
      </c>
      <c r="V2986" s="880">
        <f>$S$1*P!V2986</f>
        <v>0</v>
      </c>
      <c r="W2986" s="780"/>
      <c r="X2986" s="782">
        <v>2982</v>
      </c>
      <c r="Y2986" s="782" t="s">
        <v>2248</v>
      </c>
      <c r="Z2986" s="782" t="s">
        <v>2952</v>
      </c>
      <c r="AA2986" s="781">
        <f>$S$1*P!AA2986</f>
        <v>1.2715725806451613E-5</v>
      </c>
      <c r="AB2986" s="780"/>
      <c r="AC2986" s="881">
        <v>2982</v>
      </c>
      <c r="AD2986" s="881" t="s">
        <v>4573</v>
      </c>
      <c r="AE2986" s="881" t="s">
        <v>2554</v>
      </c>
      <c r="AF2986" s="890">
        <f>$S$1*P!AF2986</f>
        <v>0.68079999999999996</v>
      </c>
    </row>
    <row r="2987" spans="19:32" x14ac:dyDescent="0.35">
      <c r="S2987" s="870">
        <v>2983</v>
      </c>
      <c r="T2987" s="870" t="s">
        <v>4284</v>
      </c>
      <c r="U2987" s="870" t="s">
        <v>4828</v>
      </c>
      <c r="V2987" s="871">
        <f>$S$1*P!V2987</f>
        <v>3.1443000000000003</v>
      </c>
      <c r="W2987" s="780"/>
      <c r="X2987" s="782">
        <v>2983</v>
      </c>
      <c r="Y2987" s="782" t="s">
        <v>2248</v>
      </c>
      <c r="Z2987" s="782" t="s">
        <v>3411</v>
      </c>
      <c r="AA2987" s="781">
        <f>$S$1*P!AA2987</f>
        <v>2.2175403225806452E-4</v>
      </c>
      <c r="AB2987" s="780"/>
      <c r="AC2987" s="782">
        <v>2983</v>
      </c>
      <c r="AD2987" s="782" t="s">
        <v>4573</v>
      </c>
      <c r="AE2987" s="782" t="s">
        <v>4212</v>
      </c>
      <c r="AF2987" s="781">
        <f>$S$1*P!AF2987</f>
        <v>2.2209677419354841</v>
      </c>
    </row>
    <row r="2988" spans="19:32" x14ac:dyDescent="0.35">
      <c r="S2988" s="879">
        <v>2984</v>
      </c>
      <c r="T2988" s="879" t="s">
        <v>4284</v>
      </c>
      <c r="U2988" s="879" t="s">
        <v>4827</v>
      </c>
      <c r="V2988" s="880">
        <f>$S$1*P!V2988</f>
        <v>0</v>
      </c>
      <c r="W2988" s="780"/>
      <c r="X2988" s="881">
        <v>2984</v>
      </c>
      <c r="Y2988" s="881" t="s">
        <v>2248</v>
      </c>
      <c r="Z2988" s="881" t="s">
        <v>2950</v>
      </c>
      <c r="AA2988" s="882">
        <f>$S$1*P!AA2988</f>
        <v>110.4</v>
      </c>
      <c r="AB2988" s="780"/>
      <c r="AC2988" s="782">
        <v>2984</v>
      </c>
      <c r="AD2988" s="782" t="s">
        <v>4573</v>
      </c>
      <c r="AE2988" s="782" t="s">
        <v>2552</v>
      </c>
      <c r="AF2988" s="781">
        <f>$S$1*P!AF2988</f>
        <v>1.5971774193548389</v>
      </c>
    </row>
    <row r="2989" spans="19:32" x14ac:dyDescent="0.35">
      <c r="S2989" s="870">
        <v>2985</v>
      </c>
      <c r="T2989" s="870" t="s">
        <v>4284</v>
      </c>
      <c r="U2989" s="870" t="s">
        <v>4827</v>
      </c>
      <c r="V2989" s="871">
        <f>$S$1*P!V2989</f>
        <v>0.83660000000000001</v>
      </c>
      <c r="W2989" s="780"/>
      <c r="X2989" s="782">
        <v>2985</v>
      </c>
      <c r="Y2989" s="782" t="s">
        <v>2248</v>
      </c>
      <c r="Z2989" s="782" t="s">
        <v>2950</v>
      </c>
      <c r="AA2989" s="781">
        <f>$S$1*P!AA2989</f>
        <v>9.5967741935483887E-6</v>
      </c>
      <c r="AB2989" s="780"/>
      <c r="AC2989" s="881">
        <v>2985</v>
      </c>
      <c r="AD2989" s="881" t="s">
        <v>4573</v>
      </c>
      <c r="AE2989" s="881" t="s">
        <v>2552</v>
      </c>
      <c r="AF2989" s="890">
        <f>$S$1*P!AF2989</f>
        <v>472.88</v>
      </c>
    </row>
    <row r="2990" spans="19:32" x14ac:dyDescent="0.35">
      <c r="S2990" s="879">
        <v>2986</v>
      </c>
      <c r="T2990" s="879" t="s">
        <v>4284</v>
      </c>
      <c r="U2990" s="879" t="s">
        <v>4826</v>
      </c>
      <c r="V2990" s="880">
        <f>$S$1*P!V2990</f>
        <v>0</v>
      </c>
      <c r="W2990" s="780"/>
      <c r="X2990" s="782">
        <v>2986</v>
      </c>
      <c r="Y2990" s="782" t="s">
        <v>2248</v>
      </c>
      <c r="Z2990" s="782" t="s">
        <v>3356</v>
      </c>
      <c r="AA2990" s="781">
        <f>$S$1*P!AA2990</f>
        <v>3.2046370967741937E-4</v>
      </c>
      <c r="AB2990" s="780"/>
      <c r="AC2990" s="782">
        <v>2986</v>
      </c>
      <c r="AD2990" s="782" t="s">
        <v>4573</v>
      </c>
      <c r="AE2990" s="782" t="s">
        <v>2551</v>
      </c>
      <c r="AF2990" s="781">
        <f>$S$1*P!AF2990</f>
        <v>6.3750000000000009</v>
      </c>
    </row>
    <row r="2991" spans="19:32" x14ac:dyDescent="0.35">
      <c r="S2991" s="870">
        <v>2987</v>
      </c>
      <c r="T2991" s="870" t="s">
        <v>4284</v>
      </c>
      <c r="U2991" s="870" t="s">
        <v>4826</v>
      </c>
      <c r="V2991" s="871">
        <f>$S$1*P!V2991</f>
        <v>1.4240999999999999</v>
      </c>
      <c r="W2991" s="780"/>
      <c r="X2991" s="782">
        <v>2987</v>
      </c>
      <c r="Y2991" s="782" t="s">
        <v>2248</v>
      </c>
      <c r="Z2991" s="782" t="s">
        <v>4825</v>
      </c>
      <c r="AA2991" s="781">
        <f>$S$1*P!AA2991</f>
        <v>3.6330645161290325E-4</v>
      </c>
      <c r="AB2991" s="780"/>
      <c r="AC2991" s="881">
        <v>2987</v>
      </c>
      <c r="AD2991" s="881" t="s">
        <v>4573</v>
      </c>
      <c r="AE2991" s="881" t="s">
        <v>2551</v>
      </c>
      <c r="AF2991" s="890">
        <f>$S$1*P!AF2991</f>
        <v>39652</v>
      </c>
    </row>
    <row r="2992" spans="19:32" x14ac:dyDescent="0.35">
      <c r="S2992" s="879">
        <v>2988</v>
      </c>
      <c r="T2992" s="879" t="s">
        <v>4284</v>
      </c>
      <c r="U2992" s="879" t="s">
        <v>4824</v>
      </c>
      <c r="V2992" s="880">
        <f>$S$1*P!V2992</f>
        <v>0</v>
      </c>
      <c r="W2992" s="780"/>
      <c r="X2992" s="881">
        <v>2988</v>
      </c>
      <c r="Y2992" s="881" t="s">
        <v>2248</v>
      </c>
      <c r="Z2992" s="881" t="s">
        <v>2948</v>
      </c>
      <c r="AA2992" s="882">
        <f>$S$1*P!AA2992</f>
        <v>1.1408E-2</v>
      </c>
      <c r="AB2992" s="780"/>
      <c r="AC2992" s="782">
        <v>2988</v>
      </c>
      <c r="AD2992" s="782" t="s">
        <v>4573</v>
      </c>
      <c r="AE2992" s="782" t="s">
        <v>2549</v>
      </c>
      <c r="AF2992" s="781">
        <f>$S$1*P!AF2992</f>
        <v>0.14909274193548389</v>
      </c>
    </row>
    <row r="2993" spans="19:32" x14ac:dyDescent="0.35">
      <c r="S2993" s="870">
        <v>2989</v>
      </c>
      <c r="T2993" s="870" t="s">
        <v>4284</v>
      </c>
      <c r="U2993" s="870" t="s">
        <v>4824</v>
      </c>
      <c r="V2993" s="871">
        <f>$S$1*P!V2993</f>
        <v>0.9447000000000001</v>
      </c>
      <c r="W2993" s="780"/>
      <c r="X2993" s="782">
        <v>2989</v>
      </c>
      <c r="Y2993" s="782" t="s">
        <v>2248</v>
      </c>
      <c r="Z2993" s="782" t="s">
        <v>3408</v>
      </c>
      <c r="AA2993" s="781">
        <f>$S$1*P!AA2993</f>
        <v>5.895161290322581E-5</v>
      </c>
      <c r="AB2993" s="780"/>
      <c r="AC2993" s="881">
        <v>2989</v>
      </c>
      <c r="AD2993" s="881" t="s">
        <v>4573</v>
      </c>
      <c r="AE2993" s="881" t="s">
        <v>2549</v>
      </c>
      <c r="AF2993" s="890">
        <f>$S$1*P!AF2993</f>
        <v>23644</v>
      </c>
    </row>
    <row r="2994" spans="19:32" x14ac:dyDescent="0.35">
      <c r="S2994" s="879">
        <v>2990</v>
      </c>
      <c r="T2994" s="879" t="s">
        <v>4284</v>
      </c>
      <c r="U2994" s="879" t="s">
        <v>4823</v>
      </c>
      <c r="V2994" s="880">
        <f>$S$1*P!V2994</f>
        <v>0</v>
      </c>
      <c r="W2994" s="780"/>
      <c r="X2994" s="881">
        <v>2990</v>
      </c>
      <c r="Y2994" s="881" t="s">
        <v>2248</v>
      </c>
      <c r="Z2994" s="881" t="s">
        <v>2947</v>
      </c>
      <c r="AA2994" s="882">
        <f>$S$1*P!AA2994</f>
        <v>1.3432E-4</v>
      </c>
      <c r="AB2994" s="780"/>
      <c r="AC2994" s="782">
        <v>2990</v>
      </c>
      <c r="AD2994" s="782" t="s">
        <v>4573</v>
      </c>
      <c r="AE2994" s="782" t="s">
        <v>2548</v>
      </c>
      <c r="AF2994" s="781">
        <f>$S$1*P!AF2994</f>
        <v>0.45927419354838711</v>
      </c>
    </row>
    <row r="2995" spans="19:32" x14ac:dyDescent="0.35">
      <c r="S2995" s="870">
        <v>2991</v>
      </c>
      <c r="T2995" s="870" t="s">
        <v>4284</v>
      </c>
      <c r="U2995" s="870" t="s">
        <v>4823</v>
      </c>
      <c r="V2995" s="871">
        <f>$S$1*P!V2995</f>
        <v>1.9975000000000001</v>
      </c>
      <c r="W2995" s="780"/>
      <c r="X2995" s="782">
        <v>2991</v>
      </c>
      <c r="Y2995" s="782" t="s">
        <v>2248</v>
      </c>
      <c r="Z2995" s="782" t="s">
        <v>2947</v>
      </c>
      <c r="AA2995" s="781">
        <f>$S$1*P!AA2995</f>
        <v>3.6673387096774193E-7</v>
      </c>
      <c r="AB2995" s="780"/>
      <c r="AC2995" s="881">
        <v>2991</v>
      </c>
      <c r="AD2995" s="881" t="s">
        <v>4573</v>
      </c>
      <c r="AE2995" s="881" t="s">
        <v>2548</v>
      </c>
      <c r="AF2995" s="890">
        <f>$S$1*P!AF2995</f>
        <v>2438</v>
      </c>
    </row>
    <row r="2996" spans="19:32" x14ac:dyDescent="0.35">
      <c r="S2996" s="879">
        <v>2992</v>
      </c>
      <c r="T2996" s="879" t="s">
        <v>4284</v>
      </c>
      <c r="U2996" s="879" t="s">
        <v>4821</v>
      </c>
      <c r="V2996" s="880">
        <f>$S$1*P!V2996</f>
        <v>0</v>
      </c>
      <c r="W2996" s="780"/>
      <c r="X2996" s="782">
        <v>2992</v>
      </c>
      <c r="Y2996" s="782" t="s">
        <v>2248</v>
      </c>
      <c r="Z2996" s="782" t="s">
        <v>4822</v>
      </c>
      <c r="AA2996" s="781">
        <f>$S$1*P!AA2996</f>
        <v>5.4495967741935489E-5</v>
      </c>
      <c r="AB2996" s="780"/>
      <c r="AC2996" s="881">
        <v>2992</v>
      </c>
      <c r="AD2996" s="881" t="s">
        <v>4573</v>
      </c>
      <c r="AE2996" s="881" t="s">
        <v>2546</v>
      </c>
      <c r="AF2996" s="890">
        <f>$S$1*P!AF2996</f>
        <v>1.9504000000000001</v>
      </c>
    </row>
    <row r="2997" spans="19:32" x14ac:dyDescent="0.35">
      <c r="S2997" s="870">
        <v>2993</v>
      </c>
      <c r="T2997" s="870" t="s">
        <v>4284</v>
      </c>
      <c r="U2997" s="870" t="s">
        <v>4821</v>
      </c>
      <c r="V2997" s="871">
        <f>$S$1*P!V2997</f>
        <v>2.6696</v>
      </c>
      <c r="W2997" s="780"/>
      <c r="X2997" s="881">
        <v>2993</v>
      </c>
      <c r="Y2997" s="881" t="s">
        <v>2248</v>
      </c>
      <c r="Z2997" s="881" t="s">
        <v>2946</v>
      </c>
      <c r="AA2997" s="882">
        <f>$S$1*P!AA2997</f>
        <v>0</v>
      </c>
      <c r="AB2997" s="780"/>
      <c r="AC2997" s="782">
        <v>2993</v>
      </c>
      <c r="AD2997" s="782" t="s">
        <v>4573</v>
      </c>
      <c r="AE2997" s="782" t="s">
        <v>4210</v>
      </c>
      <c r="AF2997" s="781">
        <f>$S$1*P!AF2997</f>
        <v>0.68891129032258069</v>
      </c>
    </row>
    <row r="2998" spans="19:32" x14ac:dyDescent="0.35">
      <c r="S2998" s="879">
        <v>2994</v>
      </c>
      <c r="T2998" s="879" t="s">
        <v>4284</v>
      </c>
      <c r="U2998" s="879" t="s">
        <v>4820</v>
      </c>
      <c r="V2998" s="880">
        <f>$S$1*P!V2998</f>
        <v>0</v>
      </c>
      <c r="W2998" s="780"/>
      <c r="X2998" s="782">
        <v>2994</v>
      </c>
      <c r="Y2998" s="782" t="s">
        <v>2248</v>
      </c>
      <c r="Z2998" s="782" t="s">
        <v>3351</v>
      </c>
      <c r="AA2998" s="781">
        <f>$S$1*P!AA2998</f>
        <v>7.7116935483870975E-5</v>
      </c>
      <c r="AB2998" s="780"/>
      <c r="AC2998" s="782">
        <v>2994</v>
      </c>
      <c r="AD2998" s="782" t="s">
        <v>4573</v>
      </c>
      <c r="AE2998" s="782" t="s">
        <v>4208</v>
      </c>
      <c r="AF2998" s="781">
        <f>$S$1*P!AF2998</f>
        <v>1.8782258064516132E-2</v>
      </c>
    </row>
    <row r="2999" spans="19:32" x14ac:dyDescent="0.35">
      <c r="S2999" s="870">
        <v>2995</v>
      </c>
      <c r="T2999" s="870" t="s">
        <v>4284</v>
      </c>
      <c r="U2999" s="870" t="s">
        <v>4820</v>
      </c>
      <c r="V2999" s="871">
        <f>$S$1*P!V2999</f>
        <v>2.7401</v>
      </c>
      <c r="W2999" s="780"/>
      <c r="X2999" s="782">
        <v>2995</v>
      </c>
      <c r="Y2999" s="782" t="s">
        <v>2248</v>
      </c>
      <c r="Z2999" s="782" t="s">
        <v>3348</v>
      </c>
      <c r="AA2999" s="781">
        <f>$S$1*P!AA2999</f>
        <v>3.3383064516129034E-5</v>
      </c>
      <c r="AB2999" s="780"/>
      <c r="AC2999" s="782">
        <v>2995</v>
      </c>
      <c r="AD2999" s="782" t="s">
        <v>4573</v>
      </c>
      <c r="AE2999" s="782" t="s">
        <v>4207</v>
      </c>
      <c r="AF2999" s="781">
        <f>$S$1*P!AF2999</f>
        <v>9.8366935483870974E-2</v>
      </c>
    </row>
    <row r="3000" spans="19:32" x14ac:dyDescent="0.35">
      <c r="S3000" s="879">
        <v>2996</v>
      </c>
      <c r="T3000" s="879" t="s">
        <v>4284</v>
      </c>
      <c r="U3000" s="879" t="s">
        <v>4819</v>
      </c>
      <c r="V3000" s="880">
        <f>$S$1*P!V3000</f>
        <v>0</v>
      </c>
      <c r="W3000" s="780"/>
      <c r="X3000" s="782">
        <v>2996</v>
      </c>
      <c r="Y3000" s="782" t="s">
        <v>2248</v>
      </c>
      <c r="Z3000" s="782" t="s">
        <v>3406</v>
      </c>
      <c r="AA3000" s="781">
        <f>$S$1*P!AA3000</f>
        <v>0.12030241935483872</v>
      </c>
      <c r="AB3000" s="780"/>
      <c r="AC3000" s="782">
        <v>2996</v>
      </c>
      <c r="AD3000" s="782" t="s">
        <v>4573</v>
      </c>
      <c r="AE3000" s="782" t="s">
        <v>4206</v>
      </c>
      <c r="AF3000" s="781">
        <f>$S$1*P!AF3000</f>
        <v>1.0453629032258065</v>
      </c>
    </row>
    <row r="3001" spans="19:32" x14ac:dyDescent="0.35">
      <c r="S3001" s="870">
        <v>2997</v>
      </c>
      <c r="T3001" s="870" t="s">
        <v>4284</v>
      </c>
      <c r="U3001" s="870" t="s">
        <v>4819</v>
      </c>
      <c r="V3001" s="871">
        <f>$S$1*P!V3001</f>
        <v>1.1609</v>
      </c>
      <c r="W3001" s="780"/>
      <c r="X3001" s="782">
        <v>2997</v>
      </c>
      <c r="Y3001" s="782" t="s">
        <v>2248</v>
      </c>
      <c r="Z3001" s="782" t="s">
        <v>3346</v>
      </c>
      <c r="AA3001" s="781">
        <f>$S$1*P!AA3001</f>
        <v>1.3366935483870968E-4</v>
      </c>
      <c r="AB3001" s="780"/>
      <c r="AC3001" s="782">
        <v>2997</v>
      </c>
      <c r="AD3001" s="782" t="s">
        <v>4573</v>
      </c>
      <c r="AE3001" s="782" t="s">
        <v>2545</v>
      </c>
      <c r="AF3001" s="781">
        <f>$S$1*P!AF3001</f>
        <v>1.1893145161290324</v>
      </c>
    </row>
    <row r="3002" spans="19:32" x14ac:dyDescent="0.35">
      <c r="S3002" s="789">
        <v>2998</v>
      </c>
      <c r="T3002" s="789" t="s">
        <v>4284</v>
      </c>
      <c r="U3002" s="789" t="s">
        <v>4818</v>
      </c>
      <c r="V3002" s="790">
        <f>$S$1*P!V3002</f>
        <v>1867.6000000000001</v>
      </c>
      <c r="W3002" s="780"/>
      <c r="X3002" s="782">
        <v>2998</v>
      </c>
      <c r="Y3002" s="782" t="s">
        <v>2248</v>
      </c>
      <c r="Z3002" s="782" t="s">
        <v>3343</v>
      </c>
      <c r="AA3002" s="781">
        <f>$S$1*P!AA3002</f>
        <v>1.0899193548387098E-4</v>
      </c>
      <c r="AB3002" s="780"/>
      <c r="AC3002" s="881">
        <v>2998</v>
      </c>
      <c r="AD3002" s="881" t="s">
        <v>4573</v>
      </c>
      <c r="AE3002" s="881" t="s">
        <v>2545</v>
      </c>
      <c r="AF3002" s="890">
        <f>$S$1*P!AF3002</f>
        <v>0</v>
      </c>
    </row>
    <row r="3003" spans="19:32" x14ac:dyDescent="0.35">
      <c r="S3003" s="879">
        <v>2999</v>
      </c>
      <c r="T3003" s="879" t="s">
        <v>4284</v>
      </c>
      <c r="U3003" s="879" t="s">
        <v>4816</v>
      </c>
      <c r="V3003" s="880">
        <f>$S$1*P!V3003</f>
        <v>0</v>
      </c>
      <c r="W3003" s="780"/>
      <c r="X3003" s="782">
        <v>2999</v>
      </c>
      <c r="Y3003" s="782" t="s">
        <v>2248</v>
      </c>
      <c r="Z3003" s="782" t="s">
        <v>4817</v>
      </c>
      <c r="AA3003" s="781">
        <f>$S$1*P!AA3003</f>
        <v>1.1516129032258066E-2</v>
      </c>
      <c r="AB3003" s="780"/>
      <c r="AC3003" s="881">
        <v>2999</v>
      </c>
      <c r="AD3003" s="881" t="s">
        <v>4573</v>
      </c>
      <c r="AE3003" s="881" t="s">
        <v>2543</v>
      </c>
      <c r="AF3003" s="890">
        <f>$S$1*P!AF3003</f>
        <v>0</v>
      </c>
    </row>
    <row r="3004" spans="19:32" x14ac:dyDescent="0.35">
      <c r="S3004" s="870">
        <v>3000</v>
      </c>
      <c r="T3004" s="870" t="s">
        <v>4284</v>
      </c>
      <c r="U3004" s="870" t="s">
        <v>4816</v>
      </c>
      <c r="V3004" s="871">
        <f>$S$1*P!V3004</f>
        <v>9.7525000000000013</v>
      </c>
      <c r="W3004" s="780"/>
      <c r="X3004" s="881">
        <v>3000</v>
      </c>
      <c r="Y3004" s="881" t="s">
        <v>2248</v>
      </c>
      <c r="Z3004" s="881" t="s">
        <v>2945</v>
      </c>
      <c r="AA3004" s="882">
        <f>$S$1*P!AA3004</f>
        <v>7.4428000000000005E-4</v>
      </c>
      <c r="AB3004" s="780"/>
      <c r="AC3004" s="782">
        <v>3000</v>
      </c>
      <c r="AD3004" s="782" t="s">
        <v>4573</v>
      </c>
      <c r="AE3004" s="782" t="s">
        <v>2542</v>
      </c>
      <c r="AF3004" s="781">
        <f>$S$1*P!AF3004</f>
        <v>0.12441532258064517</v>
      </c>
    </row>
    <row r="3005" spans="19:32" x14ac:dyDescent="0.35">
      <c r="S3005" s="898">
        <v>3001</v>
      </c>
      <c r="T3005" s="898" t="s">
        <v>4284</v>
      </c>
      <c r="U3005" s="898" t="s">
        <v>4816</v>
      </c>
      <c r="V3005" s="899">
        <f>$S$1*P!V3005</f>
        <v>5.35</v>
      </c>
      <c r="W3005" s="780"/>
      <c r="X3005" s="782">
        <v>3001</v>
      </c>
      <c r="Y3005" s="782" t="s">
        <v>2248</v>
      </c>
      <c r="Z3005" s="782" t="s">
        <v>2945</v>
      </c>
      <c r="AA3005" s="781">
        <f>$S$1*P!AA3005</f>
        <v>1.771975806451613E-4</v>
      </c>
      <c r="AB3005" s="780"/>
      <c r="AC3005" s="881">
        <v>3001</v>
      </c>
      <c r="AD3005" s="881" t="s">
        <v>4573</v>
      </c>
      <c r="AE3005" s="881" t="s">
        <v>2542</v>
      </c>
      <c r="AF3005" s="890">
        <f>$S$1*P!AF3005</f>
        <v>0</v>
      </c>
    </row>
    <row r="3006" spans="19:32" x14ac:dyDescent="0.35">
      <c r="S3006" s="879">
        <v>3002</v>
      </c>
      <c r="T3006" s="879" t="s">
        <v>4284</v>
      </c>
      <c r="U3006" s="879" t="s">
        <v>4815</v>
      </c>
      <c r="V3006" s="880">
        <f>$S$1*P!V3006</f>
        <v>0</v>
      </c>
      <c r="W3006" s="780"/>
      <c r="X3006" s="782">
        <v>3002</v>
      </c>
      <c r="Y3006" s="782" t="s">
        <v>2248</v>
      </c>
      <c r="Z3006" s="782" t="s">
        <v>3405</v>
      </c>
      <c r="AA3006" s="781">
        <f>$S$1*P!AA3006</f>
        <v>1.7754032258064517E-2</v>
      </c>
      <c r="AB3006" s="780"/>
      <c r="AC3006" s="881">
        <v>3002</v>
      </c>
      <c r="AD3006" s="881" t="s">
        <v>4573</v>
      </c>
      <c r="AE3006" s="881" t="s">
        <v>2540</v>
      </c>
      <c r="AF3006" s="890">
        <f>$S$1*P!AF3006</f>
        <v>0.32844000000000001</v>
      </c>
    </row>
    <row r="3007" spans="19:32" x14ac:dyDescent="0.35">
      <c r="S3007" s="870">
        <v>3003</v>
      </c>
      <c r="T3007" s="870" t="s">
        <v>4284</v>
      </c>
      <c r="U3007" s="870" t="s">
        <v>4815</v>
      </c>
      <c r="V3007" s="871">
        <f>$S$1*P!V3007</f>
        <v>6.3638000000000003</v>
      </c>
      <c r="W3007" s="780"/>
      <c r="X3007" s="782">
        <v>3003</v>
      </c>
      <c r="Y3007" s="782" t="s">
        <v>2248</v>
      </c>
      <c r="Z3007" s="782" t="s">
        <v>3338</v>
      </c>
      <c r="AA3007" s="781">
        <f>$S$1*P!AA3007</f>
        <v>0.22483870967741937</v>
      </c>
      <c r="AB3007" s="780"/>
      <c r="AC3007" s="881">
        <v>3003</v>
      </c>
      <c r="AD3007" s="881" t="s">
        <v>4573</v>
      </c>
      <c r="AE3007" s="881" t="s">
        <v>2538</v>
      </c>
      <c r="AF3007" s="890">
        <f>$S$1*P!AF3007</f>
        <v>0</v>
      </c>
    </row>
    <row r="3008" spans="19:32" x14ac:dyDescent="0.35">
      <c r="S3008" s="907">
        <v>3004</v>
      </c>
      <c r="T3008" s="907" t="s">
        <v>4284</v>
      </c>
      <c r="U3008" s="907" t="s">
        <v>4815</v>
      </c>
      <c r="V3008" s="908">
        <f>$S$1*P!V3008</f>
        <v>5.35</v>
      </c>
      <c r="W3008" s="780"/>
      <c r="X3008" s="782">
        <v>3004</v>
      </c>
      <c r="Y3008" s="782" t="s">
        <v>2248</v>
      </c>
      <c r="Z3008" s="782" t="s">
        <v>3335</v>
      </c>
      <c r="AA3008" s="781">
        <f>$S$1*P!AA3008</f>
        <v>1.0899193548387098E-6</v>
      </c>
      <c r="AB3008" s="780"/>
      <c r="AC3008" s="782">
        <v>3004</v>
      </c>
      <c r="AD3008" s="782" t="s">
        <v>4573</v>
      </c>
      <c r="AE3008" s="782" t="s">
        <v>4202</v>
      </c>
      <c r="AF3008" s="781">
        <f>$S$1*P!AF3008</f>
        <v>342.74193548387098</v>
      </c>
    </row>
    <row r="3009" spans="19:32" x14ac:dyDescent="0.35">
      <c r="S3009" s="879">
        <v>3005</v>
      </c>
      <c r="T3009" s="879" t="s">
        <v>4284</v>
      </c>
      <c r="U3009" s="879" t="s">
        <v>4814</v>
      </c>
      <c r="V3009" s="880">
        <f>$S$1*P!V3009</f>
        <v>0</v>
      </c>
      <c r="W3009" s="780"/>
      <c r="X3009" s="782">
        <v>3005</v>
      </c>
      <c r="Y3009" s="782" t="s">
        <v>2248</v>
      </c>
      <c r="Z3009" s="782" t="s">
        <v>3333</v>
      </c>
      <c r="AA3009" s="781">
        <f>$S$1*P!AA3009</f>
        <v>3.2354838709677418E-4</v>
      </c>
      <c r="AB3009" s="780"/>
      <c r="AC3009" s="881">
        <v>3005</v>
      </c>
      <c r="AD3009" s="881" t="s">
        <v>4573</v>
      </c>
      <c r="AE3009" s="881" t="s">
        <v>2537</v>
      </c>
      <c r="AF3009" s="890">
        <f>$S$1*P!AF3009</f>
        <v>2.1436000000000002</v>
      </c>
    </row>
    <row r="3010" spans="19:32" x14ac:dyDescent="0.35">
      <c r="S3010" s="870">
        <v>3006</v>
      </c>
      <c r="T3010" s="870" t="s">
        <v>4284</v>
      </c>
      <c r="U3010" s="870" t="s">
        <v>4814</v>
      </c>
      <c r="V3010" s="871">
        <f>$S$1*P!V3010</f>
        <v>1.4523000000000001</v>
      </c>
      <c r="W3010" s="780"/>
      <c r="X3010" s="782">
        <v>3006</v>
      </c>
      <c r="Y3010" s="782" t="s">
        <v>2248</v>
      </c>
      <c r="Z3010" s="782" t="s">
        <v>3403</v>
      </c>
      <c r="AA3010" s="781">
        <f>$S$1*P!AA3010</f>
        <v>0.48326612903225813</v>
      </c>
      <c r="AB3010" s="780"/>
      <c r="AC3010" s="881">
        <v>3006</v>
      </c>
      <c r="AD3010" s="881" t="s">
        <v>4573</v>
      </c>
      <c r="AE3010" s="881" t="s">
        <v>2535</v>
      </c>
      <c r="AF3010" s="890">
        <f>$S$1*P!AF3010</f>
        <v>0</v>
      </c>
    </row>
    <row r="3011" spans="19:32" x14ac:dyDescent="0.35">
      <c r="S3011" s="879">
        <v>3007</v>
      </c>
      <c r="T3011" s="879" t="s">
        <v>4284</v>
      </c>
      <c r="U3011" s="879" t="s">
        <v>4812</v>
      </c>
      <c r="V3011" s="880">
        <f>$S$1*P!V3011</f>
        <v>0</v>
      </c>
      <c r="W3011" s="780"/>
      <c r="X3011" s="782">
        <v>3007</v>
      </c>
      <c r="Y3011" s="782" t="s">
        <v>2248</v>
      </c>
      <c r="Z3011" s="782" t="s">
        <v>4813</v>
      </c>
      <c r="AA3011" s="781">
        <f>$S$1*P!AA3011</f>
        <v>6.3064516129032272E-5</v>
      </c>
      <c r="AB3011" s="780"/>
      <c r="AC3011" s="782">
        <v>3007</v>
      </c>
      <c r="AD3011" s="782" t="s">
        <v>4573</v>
      </c>
      <c r="AE3011" s="782" t="s">
        <v>2534</v>
      </c>
      <c r="AF3011" s="781">
        <f>$S$1*P!AF3011</f>
        <v>9.973790322580646E-2</v>
      </c>
    </row>
    <row r="3012" spans="19:32" x14ac:dyDescent="0.35">
      <c r="S3012" s="870">
        <v>3008</v>
      </c>
      <c r="T3012" s="870" t="s">
        <v>4284</v>
      </c>
      <c r="U3012" s="870" t="s">
        <v>4812</v>
      </c>
      <c r="V3012" s="871">
        <f>$S$1*P!V3012</f>
        <v>3.2852999999999999</v>
      </c>
      <c r="W3012" s="780"/>
      <c r="X3012" s="782">
        <v>3008</v>
      </c>
      <c r="Y3012" s="782" t="s">
        <v>2248</v>
      </c>
      <c r="Z3012" s="782" t="s">
        <v>3330</v>
      </c>
      <c r="AA3012" s="781">
        <f>$S$1*P!AA3012</f>
        <v>6.5120967741935483E-5</v>
      </c>
      <c r="AB3012" s="780"/>
      <c r="AC3012" s="881">
        <v>3008</v>
      </c>
      <c r="AD3012" s="881" t="s">
        <v>4573</v>
      </c>
      <c r="AE3012" s="881" t="s">
        <v>2534</v>
      </c>
      <c r="AF3012" s="890">
        <f>$S$1*P!AF3012</f>
        <v>0</v>
      </c>
    </row>
    <row r="3013" spans="19:32" x14ac:dyDescent="0.35">
      <c r="S3013" s="879">
        <v>3009</v>
      </c>
      <c r="T3013" s="879" t="s">
        <v>4284</v>
      </c>
      <c r="U3013" s="879" t="s">
        <v>4811</v>
      </c>
      <c r="V3013" s="880">
        <f>$S$1*P!V3013</f>
        <v>0</v>
      </c>
      <c r="W3013" s="780"/>
      <c r="X3013" s="782">
        <v>3009</v>
      </c>
      <c r="Y3013" s="782" t="s">
        <v>2248</v>
      </c>
      <c r="Z3013" s="782" t="s">
        <v>3327</v>
      </c>
      <c r="AA3013" s="781">
        <f>$S$1*P!AA3013</f>
        <v>1.4600806451612904E-5</v>
      </c>
      <c r="AB3013" s="780"/>
      <c r="AC3013" s="881">
        <v>3009</v>
      </c>
      <c r="AD3013" s="881" t="s">
        <v>4573</v>
      </c>
      <c r="AE3013" s="881" t="s">
        <v>2532</v>
      </c>
      <c r="AF3013" s="890">
        <f>$S$1*P!AF3013</f>
        <v>10.212</v>
      </c>
    </row>
    <row r="3014" spans="19:32" x14ac:dyDescent="0.35">
      <c r="S3014" s="870">
        <v>3010</v>
      </c>
      <c r="T3014" s="870" t="s">
        <v>4284</v>
      </c>
      <c r="U3014" s="870" t="s">
        <v>4811</v>
      </c>
      <c r="V3014" s="871">
        <f>$S$1*P!V3014</f>
        <v>1.5369000000000002</v>
      </c>
      <c r="W3014" s="780"/>
      <c r="X3014" s="782">
        <v>3010</v>
      </c>
      <c r="Y3014" s="782" t="s">
        <v>2248</v>
      </c>
      <c r="Z3014" s="782" t="s">
        <v>4810</v>
      </c>
      <c r="AA3014" s="781">
        <f>$S$1*P!AA3014</f>
        <v>4.7641129032258069E-6</v>
      </c>
      <c r="AB3014" s="780"/>
      <c r="AC3014" s="881">
        <v>3010</v>
      </c>
      <c r="AD3014" s="881" t="s">
        <v>4573</v>
      </c>
      <c r="AE3014" s="881" t="s">
        <v>2531</v>
      </c>
      <c r="AF3014" s="890">
        <f>$S$1*P!AF3014</f>
        <v>79.304000000000002</v>
      </c>
    </row>
    <row r="3015" spans="19:32" x14ac:dyDescent="0.35">
      <c r="S3015" s="879">
        <v>3011</v>
      </c>
      <c r="T3015" s="879" t="s">
        <v>4284</v>
      </c>
      <c r="U3015" s="879" t="s">
        <v>4809</v>
      </c>
      <c r="V3015" s="880">
        <f>$S$1*P!V3015</f>
        <v>0</v>
      </c>
      <c r="W3015" s="780"/>
      <c r="X3015" s="881">
        <v>3011</v>
      </c>
      <c r="Y3015" s="881" t="s">
        <v>2248</v>
      </c>
      <c r="Z3015" s="881" t="s">
        <v>2944</v>
      </c>
      <c r="AA3015" s="882">
        <f>$S$1*P!AA3015</f>
        <v>1.748</v>
      </c>
      <c r="AB3015" s="780"/>
      <c r="AC3015" s="881">
        <v>3011</v>
      </c>
      <c r="AD3015" s="881" t="s">
        <v>4573</v>
      </c>
      <c r="AE3015" s="881" t="s">
        <v>2529</v>
      </c>
      <c r="AF3015" s="890">
        <f>$S$1*P!AF3015</f>
        <v>0</v>
      </c>
    </row>
    <row r="3016" spans="19:32" x14ac:dyDescent="0.35">
      <c r="S3016" s="870">
        <v>3012</v>
      </c>
      <c r="T3016" s="870" t="s">
        <v>4284</v>
      </c>
      <c r="U3016" s="870" t="s">
        <v>4809</v>
      </c>
      <c r="V3016" s="871">
        <f>$S$1*P!V3016</f>
        <v>4.0608000000000004</v>
      </c>
      <c r="W3016" s="780"/>
      <c r="X3016" s="782">
        <v>3012</v>
      </c>
      <c r="Y3016" s="782" t="s">
        <v>2248</v>
      </c>
      <c r="Z3016" s="782" t="s">
        <v>2944</v>
      </c>
      <c r="AA3016" s="781">
        <f>$S$1*P!AA3016</f>
        <v>6.6834677419354838E-2</v>
      </c>
      <c r="AB3016" s="780"/>
      <c r="AC3016" s="782">
        <v>3012</v>
      </c>
      <c r="AD3016" s="782" t="s">
        <v>4573</v>
      </c>
      <c r="AE3016" s="782" t="s">
        <v>4199</v>
      </c>
      <c r="AF3016" s="781">
        <f>$S$1*P!AF3016</f>
        <v>26.665322580645164</v>
      </c>
    </row>
    <row r="3017" spans="19:32" x14ac:dyDescent="0.35">
      <c r="S3017" s="879">
        <v>3013</v>
      </c>
      <c r="T3017" s="879" t="s">
        <v>4284</v>
      </c>
      <c r="U3017" s="879" t="s">
        <v>4807</v>
      </c>
      <c r="V3017" s="880">
        <f>$S$1*P!V3017</f>
        <v>0</v>
      </c>
      <c r="W3017" s="780"/>
      <c r="X3017" s="782">
        <v>3013</v>
      </c>
      <c r="Y3017" s="782" t="s">
        <v>2248</v>
      </c>
      <c r="Z3017" s="782" t="s">
        <v>4808</v>
      </c>
      <c r="AA3017" s="781">
        <f>$S$1*P!AA3017</f>
        <v>2.9544354838709681E-6</v>
      </c>
      <c r="AB3017" s="780"/>
      <c r="AC3017" s="881">
        <v>3013</v>
      </c>
      <c r="AD3017" s="881" t="s">
        <v>4573</v>
      </c>
      <c r="AE3017" s="881" t="s">
        <v>2527</v>
      </c>
      <c r="AF3017" s="890">
        <f>$S$1*P!AF3017</f>
        <v>5.8788</v>
      </c>
    </row>
    <row r="3018" spans="19:32" x14ac:dyDescent="0.35">
      <c r="S3018" s="870">
        <v>3014</v>
      </c>
      <c r="T3018" s="870" t="s">
        <v>4284</v>
      </c>
      <c r="U3018" s="870" t="s">
        <v>4807</v>
      </c>
      <c r="V3018" s="871">
        <f>$S$1*P!V3018</f>
        <v>0.68620000000000003</v>
      </c>
      <c r="W3018" s="780"/>
      <c r="X3018" s="881">
        <v>3014</v>
      </c>
      <c r="Y3018" s="881" t="s">
        <v>2248</v>
      </c>
      <c r="Z3018" s="881" t="s">
        <v>2943</v>
      </c>
      <c r="AA3018" s="882">
        <f>$S$1*P!AA3018</f>
        <v>3.1372</v>
      </c>
      <c r="AB3018" s="780"/>
      <c r="AC3018" s="782">
        <v>3014</v>
      </c>
      <c r="AD3018" s="782" t="s">
        <v>4573</v>
      </c>
      <c r="AE3018" s="782" t="s">
        <v>4197</v>
      </c>
      <c r="AF3018" s="781">
        <f>$S$1*P!AF3018</f>
        <v>6.61491935483871</v>
      </c>
    </row>
    <row r="3019" spans="19:32" x14ac:dyDescent="0.35">
      <c r="S3019" s="879">
        <v>3015</v>
      </c>
      <c r="T3019" s="879" t="s">
        <v>4284</v>
      </c>
      <c r="U3019" s="879" t="s">
        <v>4806</v>
      </c>
      <c r="V3019" s="880">
        <f>$S$1*P!V3019</f>
        <v>0</v>
      </c>
      <c r="W3019" s="780"/>
      <c r="X3019" s="881">
        <v>3015</v>
      </c>
      <c r="Y3019" s="881" t="s">
        <v>2248</v>
      </c>
      <c r="Z3019" s="881" t="s">
        <v>2942</v>
      </c>
      <c r="AA3019" s="882">
        <f>$S$1*P!AA3019</f>
        <v>0.35327999999999998</v>
      </c>
      <c r="AB3019" s="780"/>
      <c r="AC3019" s="881">
        <v>3015</v>
      </c>
      <c r="AD3019" s="881" t="s">
        <v>4573</v>
      </c>
      <c r="AE3019" s="881" t="s">
        <v>2526</v>
      </c>
      <c r="AF3019" s="890">
        <f>$S$1*P!AF3019</f>
        <v>0.54923999999999995</v>
      </c>
    </row>
    <row r="3020" spans="19:32" x14ac:dyDescent="0.35">
      <c r="S3020" s="870">
        <v>3016</v>
      </c>
      <c r="T3020" s="870" t="s">
        <v>4284</v>
      </c>
      <c r="U3020" s="870" t="s">
        <v>4806</v>
      </c>
      <c r="V3020" s="871">
        <f>$S$1*P!V3020</f>
        <v>2.1855000000000002</v>
      </c>
      <c r="W3020" s="780"/>
      <c r="X3020" s="782">
        <v>3016</v>
      </c>
      <c r="Y3020" s="782" t="s">
        <v>2248</v>
      </c>
      <c r="Z3020" s="782" t="s">
        <v>4805</v>
      </c>
      <c r="AA3020" s="781">
        <f>$S$1*P!AA3020</f>
        <v>2.7385080645161296E-3</v>
      </c>
      <c r="AB3020" s="780"/>
      <c r="AC3020" s="782">
        <v>3016</v>
      </c>
      <c r="AD3020" s="782" t="s">
        <v>4573</v>
      </c>
      <c r="AE3020" s="782" t="s">
        <v>2524</v>
      </c>
      <c r="AF3020" s="781">
        <f>$S$1*P!AF3020</f>
        <v>13.401209677419356</v>
      </c>
    </row>
    <row r="3021" spans="19:32" x14ac:dyDescent="0.35">
      <c r="S3021" s="879">
        <v>3017</v>
      </c>
      <c r="T3021" s="879" t="s">
        <v>4284</v>
      </c>
      <c r="U3021" s="879" t="s">
        <v>4804</v>
      </c>
      <c r="V3021" s="880">
        <f>$S$1*P!V3021</f>
        <v>0</v>
      </c>
      <c r="W3021" s="780"/>
      <c r="X3021" s="782">
        <v>3017</v>
      </c>
      <c r="Y3021" s="782" t="s">
        <v>2248</v>
      </c>
      <c r="Z3021" s="782" t="s">
        <v>2942</v>
      </c>
      <c r="AA3021" s="781">
        <f>$S$1*P!AA3021</f>
        <v>1.2372983870967743E-3</v>
      </c>
      <c r="AB3021" s="780"/>
      <c r="AC3021" s="881">
        <v>3017</v>
      </c>
      <c r="AD3021" s="881" t="s">
        <v>4573</v>
      </c>
      <c r="AE3021" s="881" t="s">
        <v>2524</v>
      </c>
      <c r="AF3021" s="890">
        <f>$S$1*P!AF3021</f>
        <v>149.04000000000002</v>
      </c>
    </row>
    <row r="3022" spans="19:32" x14ac:dyDescent="0.35">
      <c r="S3022" s="870">
        <v>3018</v>
      </c>
      <c r="T3022" s="870" t="s">
        <v>4284</v>
      </c>
      <c r="U3022" s="870" t="s">
        <v>4804</v>
      </c>
      <c r="V3022" s="871">
        <f>$S$1*P!V3022</f>
        <v>4.8269000000000002</v>
      </c>
      <c r="W3022" s="780"/>
      <c r="X3022" s="881">
        <v>3018</v>
      </c>
      <c r="Y3022" s="881" t="s">
        <v>2248</v>
      </c>
      <c r="Z3022" s="881" t="s">
        <v>2941</v>
      </c>
      <c r="AA3022" s="882">
        <f>$S$1*P!AA3022</f>
        <v>7.4428000000000005E-4</v>
      </c>
      <c r="AB3022" s="780"/>
      <c r="AC3022" s="782">
        <v>3018</v>
      </c>
      <c r="AD3022" s="782" t="s">
        <v>4573</v>
      </c>
      <c r="AE3022" s="782" t="s">
        <v>4194</v>
      </c>
      <c r="AF3022" s="781">
        <f>$S$1*P!AF3022</f>
        <v>0.63064516129032266</v>
      </c>
    </row>
    <row r="3023" spans="19:32" x14ac:dyDescent="0.35">
      <c r="S3023" s="879">
        <v>3019</v>
      </c>
      <c r="T3023" s="879" t="s">
        <v>4284</v>
      </c>
      <c r="U3023" s="879" t="s">
        <v>4803</v>
      </c>
      <c r="V3023" s="880">
        <f>$S$1*P!V3023</f>
        <v>0</v>
      </c>
      <c r="W3023" s="780"/>
      <c r="X3023" s="881">
        <v>3019</v>
      </c>
      <c r="Y3023" s="881" t="s">
        <v>2248</v>
      </c>
      <c r="Z3023" s="881" t="s">
        <v>2940</v>
      </c>
      <c r="AA3023" s="882">
        <f>$S$1*P!AA3023</f>
        <v>3.542E-2</v>
      </c>
      <c r="AB3023" s="780"/>
      <c r="AC3023" s="782">
        <v>3019</v>
      </c>
      <c r="AD3023" s="782" t="s">
        <v>4573</v>
      </c>
      <c r="AE3023" s="782" t="s">
        <v>4193</v>
      </c>
      <c r="AF3023" s="781">
        <f>$S$1*P!AF3023</f>
        <v>3.0915322580645162E-2</v>
      </c>
    </row>
    <row r="3024" spans="19:32" x14ac:dyDescent="0.35">
      <c r="S3024" s="870">
        <v>3020</v>
      </c>
      <c r="T3024" s="870" t="s">
        <v>4284</v>
      </c>
      <c r="U3024" s="870" t="s">
        <v>4803</v>
      </c>
      <c r="V3024" s="871">
        <f>$S$1*P!V3024</f>
        <v>1.8142</v>
      </c>
      <c r="W3024" s="780"/>
      <c r="X3024" s="782">
        <v>3020</v>
      </c>
      <c r="Y3024" s="782" t="s">
        <v>2248</v>
      </c>
      <c r="Z3024" s="782" t="s">
        <v>4802</v>
      </c>
      <c r="AA3024" s="781">
        <f>$S$1*P!AA3024</f>
        <v>2.553427419354839E-4</v>
      </c>
      <c r="AB3024" s="780"/>
      <c r="AC3024" s="782">
        <v>3020</v>
      </c>
      <c r="AD3024" s="782" t="s">
        <v>4573</v>
      </c>
      <c r="AE3024" s="782" t="s">
        <v>4191</v>
      </c>
      <c r="AF3024" s="781">
        <f>$S$1*P!AF3024</f>
        <v>1.9056451612903227</v>
      </c>
    </row>
    <row r="3025" spans="19:32" x14ac:dyDescent="0.35">
      <c r="S3025" s="879">
        <v>3021</v>
      </c>
      <c r="T3025" s="879" t="s">
        <v>4284</v>
      </c>
      <c r="U3025" s="879" t="s">
        <v>4801</v>
      </c>
      <c r="V3025" s="880">
        <f>$S$1*P!V3025</f>
        <v>0</v>
      </c>
      <c r="W3025" s="780"/>
      <c r="X3025" s="881">
        <v>3021</v>
      </c>
      <c r="Y3025" s="881" t="s">
        <v>2248</v>
      </c>
      <c r="Z3025" s="881" t="s">
        <v>2938</v>
      </c>
      <c r="AA3025" s="882">
        <f>$S$1*P!AA3025</f>
        <v>217.12</v>
      </c>
      <c r="AB3025" s="780"/>
      <c r="AC3025" s="782">
        <v>3021</v>
      </c>
      <c r="AD3025" s="782" t="s">
        <v>4573</v>
      </c>
      <c r="AE3025" s="782" t="s">
        <v>4190</v>
      </c>
      <c r="AF3025" s="781">
        <f>$S$1*P!AF3025</f>
        <v>551.81451612903231</v>
      </c>
    </row>
    <row r="3026" spans="19:32" x14ac:dyDescent="0.35">
      <c r="S3026" s="870">
        <v>3022</v>
      </c>
      <c r="T3026" s="870" t="s">
        <v>4284</v>
      </c>
      <c r="U3026" s="870" t="s">
        <v>4801</v>
      </c>
      <c r="V3026" s="871">
        <f>$S$1*P!V3026</f>
        <v>3.7647000000000004</v>
      </c>
      <c r="W3026" s="780"/>
      <c r="X3026" s="881">
        <v>3022</v>
      </c>
      <c r="Y3026" s="881" t="s">
        <v>2248</v>
      </c>
      <c r="Z3026" s="881" t="s">
        <v>2937</v>
      </c>
      <c r="AA3026" s="882">
        <f>$S$1*P!AA3026</f>
        <v>0.16467999999999999</v>
      </c>
      <c r="AB3026" s="780"/>
      <c r="AC3026" s="782">
        <v>3022</v>
      </c>
      <c r="AD3026" s="782" t="s">
        <v>4573</v>
      </c>
      <c r="AE3026" s="782" t="s">
        <v>4189</v>
      </c>
      <c r="AF3026" s="781">
        <f>$S$1*P!AF3026</f>
        <v>9.7338709677419366E-2</v>
      </c>
    </row>
    <row r="3027" spans="19:32" x14ac:dyDescent="0.35">
      <c r="S3027" s="879">
        <v>3023</v>
      </c>
      <c r="T3027" s="879" t="s">
        <v>4284</v>
      </c>
      <c r="U3027" s="879" t="s">
        <v>4799</v>
      </c>
      <c r="V3027" s="880">
        <f>$S$1*P!V3027</f>
        <v>0</v>
      </c>
      <c r="W3027" s="780"/>
      <c r="X3027" s="782">
        <v>3023</v>
      </c>
      <c r="Y3027" s="782" t="s">
        <v>2248</v>
      </c>
      <c r="Z3027" s="782" t="s">
        <v>4800</v>
      </c>
      <c r="AA3027" s="781">
        <f>$S$1*P!AA3027</f>
        <v>1.0110887096774195E-3</v>
      </c>
      <c r="AB3027" s="780"/>
      <c r="AC3027" s="782">
        <v>3023</v>
      </c>
      <c r="AD3027" s="782" t="s">
        <v>4573</v>
      </c>
      <c r="AE3027" s="782" t="s">
        <v>4188</v>
      </c>
      <c r="AF3027" s="781">
        <f>$S$1*P!AF3027</f>
        <v>20.08467741935484</v>
      </c>
    </row>
    <row r="3028" spans="19:32" x14ac:dyDescent="0.35">
      <c r="S3028" s="870">
        <v>3024</v>
      </c>
      <c r="T3028" s="870" t="s">
        <v>4284</v>
      </c>
      <c r="U3028" s="870" t="s">
        <v>4799</v>
      </c>
      <c r="V3028" s="871">
        <f>$S$1*P!V3028</f>
        <v>4.3052000000000001</v>
      </c>
      <c r="W3028" s="780"/>
      <c r="X3028" s="782">
        <v>3024</v>
      </c>
      <c r="Y3028" s="782" t="s">
        <v>2248</v>
      </c>
      <c r="Z3028" s="782" t="s">
        <v>2937</v>
      </c>
      <c r="AA3028" s="781">
        <f>$S$1*P!AA3028</f>
        <v>3.4274193548387098E-3</v>
      </c>
      <c r="AB3028" s="780"/>
      <c r="AC3028" s="782">
        <v>3024</v>
      </c>
      <c r="AD3028" s="782" t="s">
        <v>4573</v>
      </c>
      <c r="AE3028" s="782" t="s">
        <v>2523</v>
      </c>
      <c r="AF3028" s="781">
        <f>$S$1*P!AF3028</f>
        <v>0.14703629032258064</v>
      </c>
    </row>
    <row r="3029" spans="19:32" x14ac:dyDescent="0.35">
      <c r="S3029" s="879">
        <v>3025</v>
      </c>
      <c r="T3029" s="879" t="s">
        <v>4284</v>
      </c>
      <c r="U3029" s="879" t="s">
        <v>4798</v>
      </c>
      <c r="V3029" s="880">
        <f>$S$1*P!V3029</f>
        <v>0</v>
      </c>
      <c r="W3029" s="780"/>
      <c r="X3029" s="881">
        <v>3025</v>
      </c>
      <c r="Y3029" s="881" t="s">
        <v>2248</v>
      </c>
      <c r="Z3029" s="881" t="s">
        <v>2935</v>
      </c>
      <c r="AA3029" s="882">
        <f>$S$1*P!AA3029</f>
        <v>0.17480000000000001</v>
      </c>
      <c r="AB3029" s="780"/>
      <c r="AC3029" s="881">
        <v>3025</v>
      </c>
      <c r="AD3029" s="881" t="s">
        <v>4573</v>
      </c>
      <c r="AE3029" s="881" t="s">
        <v>2523</v>
      </c>
      <c r="AF3029" s="890">
        <f>$S$1*P!AF3029</f>
        <v>2.7324000000000002</v>
      </c>
    </row>
    <row r="3030" spans="19:32" x14ac:dyDescent="0.35">
      <c r="S3030" s="870">
        <v>3026</v>
      </c>
      <c r="T3030" s="870" t="s">
        <v>4284</v>
      </c>
      <c r="U3030" s="870" t="s">
        <v>4798</v>
      </c>
      <c r="V3030" s="871">
        <f>$S$1*P!V3030</f>
        <v>2.4769000000000001</v>
      </c>
      <c r="W3030" s="780"/>
      <c r="X3030" s="782">
        <v>3026</v>
      </c>
      <c r="Y3030" s="782" t="s">
        <v>2248</v>
      </c>
      <c r="Z3030" s="782" t="s">
        <v>4797</v>
      </c>
      <c r="AA3030" s="781">
        <f>$S$1*P!AA3030</f>
        <v>2.9338709677419357E-4</v>
      </c>
      <c r="AB3030" s="780"/>
      <c r="AC3030" s="881">
        <v>3026</v>
      </c>
      <c r="AD3030" s="881" t="s">
        <v>4573</v>
      </c>
      <c r="AE3030" s="881" t="s">
        <v>2521</v>
      </c>
      <c r="AF3030" s="890">
        <f>$S$1*P!AF3030</f>
        <v>0</v>
      </c>
    </row>
    <row r="3031" spans="19:32" x14ac:dyDescent="0.35">
      <c r="S3031" s="879">
        <v>3027</v>
      </c>
      <c r="T3031" s="879" t="s">
        <v>4284</v>
      </c>
      <c r="U3031" s="879" t="s">
        <v>4796</v>
      </c>
      <c r="V3031" s="880">
        <f>$S$1*P!V3031</f>
        <v>0</v>
      </c>
      <c r="W3031" s="780"/>
      <c r="X3031" s="881">
        <v>3027</v>
      </c>
      <c r="Y3031" s="881" t="s">
        <v>2248</v>
      </c>
      <c r="Z3031" s="881" t="s">
        <v>2934</v>
      </c>
      <c r="AA3031" s="882">
        <f>$S$1*P!AA3031</f>
        <v>0.20516000000000001</v>
      </c>
      <c r="AB3031" s="780"/>
      <c r="AC3031" s="782">
        <v>3027</v>
      </c>
      <c r="AD3031" s="782" t="s">
        <v>4573</v>
      </c>
      <c r="AE3031" s="782" t="s">
        <v>4185</v>
      </c>
      <c r="AF3031" s="781">
        <f>$S$1*P!AF3031</f>
        <v>2.5500000000000003</v>
      </c>
    </row>
    <row r="3032" spans="19:32" x14ac:dyDescent="0.35">
      <c r="S3032" s="870">
        <v>3028</v>
      </c>
      <c r="T3032" s="870" t="s">
        <v>4284</v>
      </c>
      <c r="U3032" s="870" t="s">
        <v>4796</v>
      </c>
      <c r="V3032" s="871">
        <f>$S$1*P!V3032</f>
        <v>2.2136999999999998</v>
      </c>
      <c r="W3032" s="780"/>
      <c r="X3032" s="881">
        <v>3028</v>
      </c>
      <c r="Y3032" s="881" t="s">
        <v>2248</v>
      </c>
      <c r="Z3032" s="881" t="s">
        <v>2932</v>
      </c>
      <c r="AA3032" s="882">
        <f>$S$1*P!AA3032</f>
        <v>12.052</v>
      </c>
      <c r="AB3032" s="780"/>
      <c r="AC3032" s="782">
        <v>3028</v>
      </c>
      <c r="AD3032" s="782" t="s">
        <v>4573</v>
      </c>
      <c r="AE3032" s="782" t="s">
        <v>4184</v>
      </c>
      <c r="AF3032" s="781">
        <f>$S$1*P!AF3032</f>
        <v>5.655241935483871E-3</v>
      </c>
    </row>
    <row r="3033" spans="19:32" x14ac:dyDescent="0.35">
      <c r="S3033" s="879">
        <v>3029</v>
      </c>
      <c r="T3033" s="879" t="s">
        <v>4284</v>
      </c>
      <c r="U3033" s="879" t="s">
        <v>4794</v>
      </c>
      <c r="V3033" s="880">
        <f>$S$1*P!V3033</f>
        <v>0</v>
      </c>
      <c r="W3033" s="780"/>
      <c r="X3033" s="782">
        <v>3029</v>
      </c>
      <c r="Y3033" s="782" t="s">
        <v>2248</v>
      </c>
      <c r="Z3033" s="782" t="s">
        <v>4795</v>
      </c>
      <c r="AA3033" s="781">
        <f>$S$1*P!AA3033</f>
        <v>1.2133064516129033E-3</v>
      </c>
      <c r="AB3033" s="780"/>
      <c r="AC3033" s="782">
        <v>3029</v>
      </c>
      <c r="AD3033" s="782" t="s">
        <v>4573</v>
      </c>
      <c r="AE3033" s="782" t="s">
        <v>4610</v>
      </c>
      <c r="AF3033" s="781">
        <f>$S$1*P!AF3033</f>
        <v>3.838709677419355E-3</v>
      </c>
    </row>
    <row r="3034" spans="19:32" x14ac:dyDescent="0.35">
      <c r="S3034" s="870">
        <v>3030</v>
      </c>
      <c r="T3034" s="870" t="s">
        <v>4284</v>
      </c>
      <c r="U3034" s="870" t="s">
        <v>4794</v>
      </c>
      <c r="V3034" s="871">
        <f>$S$1*P!V3034</f>
        <v>1.3113000000000001</v>
      </c>
      <c r="W3034" s="780"/>
      <c r="X3034" s="881">
        <v>3030</v>
      </c>
      <c r="Y3034" s="881" t="s">
        <v>2248</v>
      </c>
      <c r="Z3034" s="881" t="s">
        <v>2931</v>
      </c>
      <c r="AA3034" s="882">
        <f>$S$1*P!AA3034</f>
        <v>0.11224000000000001</v>
      </c>
      <c r="AB3034" s="780"/>
      <c r="AC3034" s="782">
        <v>3030</v>
      </c>
      <c r="AD3034" s="782" t="s">
        <v>4573</v>
      </c>
      <c r="AE3034" s="782" t="s">
        <v>4181</v>
      </c>
      <c r="AF3034" s="781">
        <f>$S$1*P!AF3034</f>
        <v>2.9544354838709681E-3</v>
      </c>
    </row>
    <row r="3035" spans="19:32" x14ac:dyDescent="0.35">
      <c r="S3035" s="879">
        <v>3031</v>
      </c>
      <c r="T3035" s="879" t="s">
        <v>4284</v>
      </c>
      <c r="U3035" s="879" t="s">
        <v>4793</v>
      </c>
      <c r="V3035" s="880">
        <f>$S$1*P!V3035</f>
        <v>0</v>
      </c>
      <c r="W3035" s="780"/>
      <c r="X3035" s="782">
        <v>3031</v>
      </c>
      <c r="Y3035" s="782" t="s">
        <v>2248</v>
      </c>
      <c r="Z3035" s="782" t="s">
        <v>2931</v>
      </c>
      <c r="AA3035" s="781">
        <f>$S$1*P!AA3035</f>
        <v>8.5000000000000006E-4</v>
      </c>
      <c r="AB3035" s="780"/>
      <c r="AC3035" s="782">
        <v>3031</v>
      </c>
      <c r="AD3035" s="782" t="s">
        <v>4573</v>
      </c>
      <c r="AE3035" s="782" t="s">
        <v>4180</v>
      </c>
      <c r="AF3035" s="781">
        <f>$S$1*P!AF3035</f>
        <v>4.0443548387096774E-2</v>
      </c>
    </row>
    <row r="3036" spans="19:32" x14ac:dyDescent="0.35">
      <c r="S3036" s="870">
        <v>3032</v>
      </c>
      <c r="T3036" s="870" t="s">
        <v>4284</v>
      </c>
      <c r="U3036" s="870" t="s">
        <v>4793</v>
      </c>
      <c r="V3036" s="871">
        <f>$S$1*P!V3036</f>
        <v>2.1055999999999999</v>
      </c>
      <c r="W3036" s="780"/>
      <c r="X3036" s="881">
        <v>3032</v>
      </c>
      <c r="Y3036" s="881" t="s">
        <v>2248</v>
      </c>
      <c r="Z3036" s="881" t="s">
        <v>2930</v>
      </c>
      <c r="AA3036" s="882">
        <f>$S$1*P!AA3036</f>
        <v>0.65411999999999992</v>
      </c>
      <c r="AB3036" s="780"/>
      <c r="AC3036" s="782">
        <v>3032</v>
      </c>
      <c r="AD3036" s="782" t="s">
        <v>4573</v>
      </c>
      <c r="AE3036" s="782" t="s">
        <v>4178</v>
      </c>
      <c r="AF3036" s="781">
        <f>$S$1*P!AF3036</f>
        <v>1.1173387096774194</v>
      </c>
    </row>
    <row r="3037" spans="19:32" x14ac:dyDescent="0.35">
      <c r="S3037" s="879">
        <v>3033</v>
      </c>
      <c r="T3037" s="879" t="s">
        <v>4284</v>
      </c>
      <c r="U3037" s="879" t="s">
        <v>4791</v>
      </c>
      <c r="V3037" s="880">
        <f>$S$1*P!V3037</f>
        <v>0</v>
      </c>
      <c r="W3037" s="780"/>
      <c r="X3037" s="782">
        <v>3033</v>
      </c>
      <c r="Y3037" s="782" t="s">
        <v>2248</v>
      </c>
      <c r="Z3037" s="782" t="s">
        <v>4792</v>
      </c>
      <c r="AA3037" s="781">
        <f>$S$1*P!AA3037</f>
        <v>8.0201612903225809E-4</v>
      </c>
      <c r="AB3037" s="780"/>
      <c r="AC3037" s="881">
        <v>3033</v>
      </c>
      <c r="AD3037" s="881" t="s">
        <v>4573</v>
      </c>
      <c r="AE3037" s="881" t="s">
        <v>2520</v>
      </c>
      <c r="AF3037" s="890">
        <f>$S$1*P!AF3037</f>
        <v>10.672000000000001</v>
      </c>
    </row>
    <row r="3038" spans="19:32" x14ac:dyDescent="0.35">
      <c r="S3038" s="870">
        <v>3034</v>
      </c>
      <c r="T3038" s="870" t="s">
        <v>4284</v>
      </c>
      <c r="U3038" s="870" t="s">
        <v>4791</v>
      </c>
      <c r="V3038" s="871">
        <f>$S$1*P!V3038</f>
        <v>4.1501000000000001</v>
      </c>
      <c r="W3038" s="780"/>
      <c r="X3038" s="881">
        <v>3034</v>
      </c>
      <c r="Y3038" s="881" t="s">
        <v>2248</v>
      </c>
      <c r="Z3038" s="881" t="s">
        <v>2928</v>
      </c>
      <c r="AA3038" s="882">
        <f>$S$1*P!AA3038</f>
        <v>0.12603999999999999</v>
      </c>
      <c r="AB3038" s="780"/>
      <c r="AC3038" s="782">
        <v>3034</v>
      </c>
      <c r="AD3038" s="782" t="s">
        <v>4573</v>
      </c>
      <c r="AE3038" s="782" t="s">
        <v>2518</v>
      </c>
      <c r="AF3038" s="781">
        <f>$S$1*P!AF3038</f>
        <v>1.782258064516129E-2</v>
      </c>
    </row>
    <row r="3039" spans="19:32" x14ac:dyDescent="0.35">
      <c r="S3039" s="879">
        <v>3035</v>
      </c>
      <c r="T3039" s="879" t="s">
        <v>4284</v>
      </c>
      <c r="U3039" s="879" t="s">
        <v>4790</v>
      </c>
      <c r="V3039" s="880">
        <f>$S$1*P!V3039</f>
        <v>0</v>
      </c>
      <c r="W3039" s="780"/>
      <c r="X3039" s="782">
        <v>3035</v>
      </c>
      <c r="Y3039" s="782" t="s">
        <v>2248</v>
      </c>
      <c r="Z3039" s="782" t="s">
        <v>2928</v>
      </c>
      <c r="AA3039" s="781">
        <f>$S$1*P!AA3039</f>
        <v>5.2096774193548393E-3</v>
      </c>
      <c r="AB3039" s="780"/>
      <c r="AC3039" s="881">
        <v>3035</v>
      </c>
      <c r="AD3039" s="881" t="s">
        <v>4573</v>
      </c>
      <c r="AE3039" s="881" t="s">
        <v>2518</v>
      </c>
      <c r="AF3039" s="890">
        <f>$S$1*P!AF3039</f>
        <v>42.136000000000003</v>
      </c>
    </row>
    <row r="3040" spans="19:32" x14ac:dyDescent="0.35">
      <c r="S3040" s="870">
        <v>3036</v>
      </c>
      <c r="T3040" s="870" t="s">
        <v>4284</v>
      </c>
      <c r="U3040" s="870" t="s">
        <v>4790</v>
      </c>
      <c r="V3040" s="871">
        <f>$S$1*P!V3040</f>
        <v>1.6168</v>
      </c>
      <c r="W3040" s="780"/>
      <c r="X3040" s="782">
        <v>3036</v>
      </c>
      <c r="Y3040" s="782" t="s">
        <v>2248</v>
      </c>
      <c r="Z3040" s="782" t="s">
        <v>4789</v>
      </c>
      <c r="AA3040" s="781">
        <f>$S$1*P!AA3040</f>
        <v>9.425403225806452E-4</v>
      </c>
      <c r="AB3040" s="780"/>
      <c r="AC3040" s="782">
        <v>3036</v>
      </c>
      <c r="AD3040" s="782" t="s">
        <v>4573</v>
      </c>
      <c r="AE3040" s="782" t="s">
        <v>2517</v>
      </c>
      <c r="AF3040" s="781">
        <f>$S$1*P!AF3040</f>
        <v>1.0316532258064517E-2</v>
      </c>
    </row>
    <row r="3041" spans="19:32" x14ac:dyDescent="0.35">
      <c r="S3041" s="879">
        <v>3037</v>
      </c>
      <c r="T3041" s="879" t="s">
        <v>4284</v>
      </c>
      <c r="U3041" s="879" t="s">
        <v>4788</v>
      </c>
      <c r="V3041" s="880">
        <f>$S$1*P!V3041</f>
        <v>0</v>
      </c>
      <c r="W3041" s="780"/>
      <c r="X3041" s="881">
        <v>3037</v>
      </c>
      <c r="Y3041" s="881" t="s">
        <v>2248</v>
      </c>
      <c r="Z3041" s="881" t="s">
        <v>2927</v>
      </c>
      <c r="AA3041" s="882">
        <f>$S$1*P!AA3041</f>
        <v>2.5207999999999999</v>
      </c>
      <c r="AB3041" s="780"/>
      <c r="AC3041" s="881">
        <v>3037</v>
      </c>
      <c r="AD3041" s="881" t="s">
        <v>4573</v>
      </c>
      <c r="AE3041" s="881" t="s">
        <v>2517</v>
      </c>
      <c r="AF3041" s="890">
        <f>$S$1*P!AF3041</f>
        <v>57.775999999999996</v>
      </c>
    </row>
    <row r="3042" spans="19:32" x14ac:dyDescent="0.35">
      <c r="S3042" s="870">
        <v>3038</v>
      </c>
      <c r="T3042" s="870" t="s">
        <v>4284</v>
      </c>
      <c r="U3042" s="870" t="s">
        <v>4788</v>
      </c>
      <c r="V3042" s="871">
        <f>$S$1*P!V3042</f>
        <v>0.44650000000000001</v>
      </c>
      <c r="W3042" s="780"/>
      <c r="X3042" s="881">
        <v>3038</v>
      </c>
      <c r="Y3042" s="881" t="s">
        <v>2248</v>
      </c>
      <c r="Z3042" s="881" t="s">
        <v>2925</v>
      </c>
      <c r="AA3042" s="882">
        <f>$S$1*P!AA3042</f>
        <v>0.36892000000000003</v>
      </c>
      <c r="AB3042" s="780"/>
      <c r="AC3042" s="782">
        <v>3038</v>
      </c>
      <c r="AD3042" s="782" t="s">
        <v>4573</v>
      </c>
      <c r="AE3042" s="782" t="s">
        <v>2515</v>
      </c>
      <c r="AF3042" s="781">
        <f>$S$1*P!AF3042</f>
        <v>1.5663306451612906E-3</v>
      </c>
    </row>
    <row r="3043" spans="19:32" x14ac:dyDescent="0.35">
      <c r="S3043" s="879">
        <v>3039</v>
      </c>
      <c r="T3043" s="879" t="s">
        <v>4284</v>
      </c>
      <c r="U3043" s="879" t="s">
        <v>4787</v>
      </c>
      <c r="V3043" s="880">
        <f>$S$1*P!V3043</f>
        <v>0</v>
      </c>
      <c r="W3043" s="780"/>
      <c r="X3043" s="881">
        <v>3039</v>
      </c>
      <c r="Y3043" s="881" t="s">
        <v>2248</v>
      </c>
      <c r="Z3043" s="881" t="s">
        <v>2924</v>
      </c>
      <c r="AA3043" s="882">
        <f>$S$1*P!AA3043</f>
        <v>12.879999999999999</v>
      </c>
      <c r="AB3043" s="780"/>
      <c r="AC3043" s="881">
        <v>3039</v>
      </c>
      <c r="AD3043" s="881" t="s">
        <v>4573</v>
      </c>
      <c r="AE3043" s="881" t="s">
        <v>2515</v>
      </c>
      <c r="AF3043" s="890">
        <f>$S$1*P!AF3043</f>
        <v>0.12787999999999999</v>
      </c>
    </row>
    <row r="3044" spans="19:32" x14ac:dyDescent="0.35">
      <c r="S3044" s="870">
        <v>3040</v>
      </c>
      <c r="T3044" s="870" t="s">
        <v>4284</v>
      </c>
      <c r="U3044" s="870" t="s">
        <v>4787</v>
      </c>
      <c r="V3044" s="871">
        <f>$S$1*P!V3044</f>
        <v>1.8706000000000003</v>
      </c>
      <c r="W3044" s="780"/>
      <c r="X3044" s="782">
        <v>3040</v>
      </c>
      <c r="Y3044" s="782" t="s">
        <v>2248</v>
      </c>
      <c r="Z3044" s="782" t="s">
        <v>4786</v>
      </c>
      <c r="AA3044" s="781">
        <f>$S$1*P!AA3044</f>
        <v>6.7520161290322587E-6</v>
      </c>
      <c r="AB3044" s="780"/>
      <c r="AC3044" s="782">
        <v>3040</v>
      </c>
      <c r="AD3044" s="782" t="s">
        <v>4573</v>
      </c>
      <c r="AE3044" s="782" t="s">
        <v>4173</v>
      </c>
      <c r="AF3044" s="781">
        <f>$S$1*P!AF3044</f>
        <v>3.5302419354838713E-3</v>
      </c>
    </row>
    <row r="3045" spans="19:32" x14ac:dyDescent="0.35">
      <c r="S3045" s="879">
        <v>3041</v>
      </c>
      <c r="T3045" s="879" t="s">
        <v>4284</v>
      </c>
      <c r="U3045" s="879" t="s">
        <v>4785</v>
      </c>
      <c r="V3045" s="880">
        <f>$S$1*P!V3045</f>
        <v>0</v>
      </c>
      <c r="W3045" s="780"/>
      <c r="X3045" s="881">
        <v>3041</v>
      </c>
      <c r="Y3045" s="881" t="s">
        <v>2248</v>
      </c>
      <c r="Z3045" s="881" t="s">
        <v>2922</v>
      </c>
      <c r="AA3045" s="882">
        <f>$S$1*P!AA3045</f>
        <v>4.4435999999999998E-3</v>
      </c>
      <c r="AB3045" s="780"/>
      <c r="AC3045" s="782">
        <v>3041</v>
      </c>
      <c r="AD3045" s="782" t="s">
        <v>4573</v>
      </c>
      <c r="AE3045" s="782" t="s">
        <v>4171</v>
      </c>
      <c r="AF3045" s="781">
        <f>$S$1*P!AF3045</f>
        <v>5.758064516129033E-3</v>
      </c>
    </row>
    <row r="3046" spans="19:32" x14ac:dyDescent="0.35">
      <c r="S3046" s="870">
        <v>3042</v>
      </c>
      <c r="T3046" s="870" t="s">
        <v>4284</v>
      </c>
      <c r="U3046" s="870" t="s">
        <v>4785</v>
      </c>
      <c r="V3046" s="871">
        <f>$S$1*P!V3046</f>
        <v>2.5192000000000001</v>
      </c>
      <c r="W3046" s="780"/>
      <c r="X3046" s="881">
        <v>3042</v>
      </c>
      <c r="Y3046" s="881" t="s">
        <v>2248</v>
      </c>
      <c r="Z3046" s="881" t="s">
        <v>2921</v>
      </c>
      <c r="AA3046" s="882">
        <f>$S$1*P!AA3046</f>
        <v>0.34776000000000001</v>
      </c>
      <c r="AB3046" s="780"/>
      <c r="AC3046" s="782">
        <v>3042</v>
      </c>
      <c r="AD3046" s="782" t="s">
        <v>4573</v>
      </c>
      <c r="AE3046" s="782" t="s">
        <v>4170</v>
      </c>
      <c r="AF3046" s="781">
        <f>$S$1*P!AF3046</f>
        <v>0.42842741935483875</v>
      </c>
    </row>
    <row r="3047" spans="19:32" x14ac:dyDescent="0.35">
      <c r="S3047" s="879">
        <v>3043</v>
      </c>
      <c r="T3047" s="879" t="s">
        <v>4284</v>
      </c>
      <c r="U3047" s="879" t="s">
        <v>4783</v>
      </c>
      <c r="V3047" s="880">
        <f>$S$1*P!V3047</f>
        <v>0</v>
      </c>
      <c r="W3047" s="780"/>
      <c r="X3047" s="782">
        <v>3043</v>
      </c>
      <c r="Y3047" s="782" t="s">
        <v>2248</v>
      </c>
      <c r="Z3047" s="782" t="s">
        <v>4784</v>
      </c>
      <c r="AA3047" s="781">
        <f>$S$1*P!AA3047</f>
        <v>1.5183467741935485E-4</v>
      </c>
      <c r="AB3047" s="780"/>
      <c r="AC3047" s="782">
        <v>3043</v>
      </c>
      <c r="AD3047" s="782" t="s">
        <v>4573</v>
      </c>
      <c r="AE3047" s="782" t="s">
        <v>2513</v>
      </c>
      <c r="AF3047" s="781">
        <f>$S$1*P!AF3047</f>
        <v>3.8387096774193549E-4</v>
      </c>
    </row>
    <row r="3048" spans="19:32" x14ac:dyDescent="0.35">
      <c r="S3048" s="870">
        <v>3044</v>
      </c>
      <c r="T3048" s="870" t="s">
        <v>4284</v>
      </c>
      <c r="U3048" s="870" t="s">
        <v>4783</v>
      </c>
      <c r="V3048" s="871">
        <f>$S$1*P!V3048</f>
        <v>0.93060000000000009</v>
      </c>
      <c r="W3048" s="780"/>
      <c r="X3048" s="881">
        <v>3044</v>
      </c>
      <c r="Y3048" s="881" t="s">
        <v>2248</v>
      </c>
      <c r="Z3048" s="881" t="s">
        <v>2919</v>
      </c>
      <c r="AA3048" s="882">
        <f>$S$1*P!AA3048</f>
        <v>4.4067999999999996</v>
      </c>
      <c r="AB3048" s="780"/>
      <c r="AC3048" s="881">
        <v>3044</v>
      </c>
      <c r="AD3048" s="881" t="s">
        <v>4573</v>
      </c>
      <c r="AE3048" s="881" t="s">
        <v>2513</v>
      </c>
      <c r="AF3048" s="890">
        <f>$S$1*P!AF3048</f>
        <v>0</v>
      </c>
    </row>
    <row r="3049" spans="19:32" x14ac:dyDescent="0.35">
      <c r="S3049" s="879">
        <v>3045</v>
      </c>
      <c r="T3049" s="879" t="s">
        <v>4284</v>
      </c>
      <c r="U3049" s="879" t="s">
        <v>4782</v>
      </c>
      <c r="V3049" s="880">
        <f>$S$1*P!V3049</f>
        <v>0</v>
      </c>
      <c r="W3049" s="780"/>
      <c r="X3049" s="881">
        <v>3045</v>
      </c>
      <c r="Y3049" s="881" t="s">
        <v>2248</v>
      </c>
      <c r="Z3049" s="881" t="s">
        <v>2918</v>
      </c>
      <c r="AA3049" s="882">
        <f>$S$1*P!AA3049</f>
        <v>9.1999999999999998E-2</v>
      </c>
      <c r="AB3049" s="780"/>
      <c r="AC3049" s="782">
        <v>3045</v>
      </c>
      <c r="AD3049" s="782" t="s">
        <v>4573</v>
      </c>
      <c r="AE3049" s="782" t="s">
        <v>4168</v>
      </c>
      <c r="AF3049" s="781">
        <f>$S$1*P!AF3049</f>
        <v>8.2600806451612902E-3</v>
      </c>
    </row>
    <row r="3050" spans="19:32" x14ac:dyDescent="0.35">
      <c r="S3050" s="870">
        <v>3046</v>
      </c>
      <c r="T3050" s="870" t="s">
        <v>4284</v>
      </c>
      <c r="U3050" s="870" t="s">
        <v>4782</v>
      </c>
      <c r="V3050" s="871">
        <f>$S$1*P!V3050</f>
        <v>2.2090000000000001</v>
      </c>
      <c r="W3050" s="780"/>
      <c r="X3050" s="782">
        <v>3046</v>
      </c>
      <c r="Y3050" s="782" t="s">
        <v>2248</v>
      </c>
      <c r="Z3050" s="782" t="s">
        <v>4781</v>
      </c>
      <c r="AA3050" s="781">
        <f>$S$1*P!AA3050</f>
        <v>9.1854838709677427E-4</v>
      </c>
      <c r="AB3050" s="780"/>
      <c r="AC3050" s="782">
        <v>3046</v>
      </c>
      <c r="AD3050" s="782" t="s">
        <v>4573</v>
      </c>
      <c r="AE3050" s="782" t="s">
        <v>4166</v>
      </c>
      <c r="AF3050" s="781">
        <f>$S$1*P!AF3050</f>
        <v>1.8370967741935484E-2</v>
      </c>
    </row>
    <row r="3051" spans="19:32" x14ac:dyDescent="0.35">
      <c r="S3051" s="879">
        <v>3047</v>
      </c>
      <c r="T3051" s="879" t="s">
        <v>4284</v>
      </c>
      <c r="U3051" s="879" t="s">
        <v>4780</v>
      </c>
      <c r="V3051" s="880">
        <f>$S$1*P!V3051</f>
        <v>0</v>
      </c>
      <c r="W3051" s="780"/>
      <c r="X3051" s="881">
        <v>3047</v>
      </c>
      <c r="Y3051" s="881" t="s">
        <v>2248</v>
      </c>
      <c r="Z3051" s="881" t="s">
        <v>2917</v>
      </c>
      <c r="AA3051" s="882">
        <f>$S$1*P!AA3051</f>
        <v>0</v>
      </c>
      <c r="AB3051" s="780"/>
      <c r="AC3051" s="782">
        <v>3047</v>
      </c>
      <c r="AD3051" s="782" t="s">
        <v>4573</v>
      </c>
      <c r="AE3051" s="782" t="s">
        <v>4165</v>
      </c>
      <c r="AF3051" s="781">
        <f>$S$1*P!AF3051</f>
        <v>0.40443548387096778</v>
      </c>
    </row>
    <row r="3052" spans="19:32" x14ac:dyDescent="0.35">
      <c r="S3052" s="870">
        <v>3048</v>
      </c>
      <c r="T3052" s="870" t="s">
        <v>4284</v>
      </c>
      <c r="U3052" s="870" t="s">
        <v>4780</v>
      </c>
      <c r="V3052" s="871">
        <f>$S$1*P!V3052</f>
        <v>2.3641000000000001</v>
      </c>
      <c r="W3052" s="780"/>
      <c r="X3052" s="881">
        <v>3048</v>
      </c>
      <c r="Y3052" s="881" t="s">
        <v>2248</v>
      </c>
      <c r="Z3052" s="881" t="s">
        <v>2915</v>
      </c>
      <c r="AA3052" s="882">
        <f>$S$1*P!AA3052</f>
        <v>0</v>
      </c>
      <c r="AB3052" s="780"/>
      <c r="AC3052" s="782">
        <v>3048</v>
      </c>
      <c r="AD3052" s="782" t="s">
        <v>4573</v>
      </c>
      <c r="AE3052" s="782" t="s">
        <v>4164</v>
      </c>
      <c r="AF3052" s="781">
        <f>$S$1*P!AF3052</f>
        <v>3.6330645161290324E-3</v>
      </c>
    </row>
    <row r="3053" spans="19:32" x14ac:dyDescent="0.35">
      <c r="S3053" s="879">
        <v>3049</v>
      </c>
      <c r="T3053" s="879" t="s">
        <v>4284</v>
      </c>
      <c r="U3053" s="879" t="s">
        <v>4779</v>
      </c>
      <c r="V3053" s="880">
        <f>$S$1*P!V3053</f>
        <v>0</v>
      </c>
      <c r="W3053" s="780"/>
      <c r="X3053" s="881">
        <v>3049</v>
      </c>
      <c r="Y3053" s="881" t="s">
        <v>2248</v>
      </c>
      <c r="Z3053" s="881" t="s">
        <v>2914</v>
      </c>
      <c r="AA3053" s="882">
        <f>$S$1*P!AA3053</f>
        <v>0</v>
      </c>
      <c r="AB3053" s="780"/>
      <c r="AC3053" s="782">
        <v>3049</v>
      </c>
      <c r="AD3053" s="782" t="s">
        <v>4573</v>
      </c>
      <c r="AE3053" s="782" t="s">
        <v>4162</v>
      </c>
      <c r="AF3053" s="781">
        <f>$S$1*P!AF3053</f>
        <v>4.3185483870967746E-2</v>
      </c>
    </row>
    <row r="3054" spans="19:32" x14ac:dyDescent="0.35">
      <c r="S3054" s="870">
        <v>3050</v>
      </c>
      <c r="T3054" s="870" t="s">
        <v>4284</v>
      </c>
      <c r="U3054" s="870" t="s">
        <v>4779</v>
      </c>
      <c r="V3054" s="871">
        <f>$S$1*P!V3054</f>
        <v>5.2968999999999999</v>
      </c>
      <c r="W3054" s="780"/>
      <c r="X3054" s="782">
        <v>3050</v>
      </c>
      <c r="Y3054" s="782" t="s">
        <v>2248</v>
      </c>
      <c r="Z3054" s="782" t="s">
        <v>4778</v>
      </c>
      <c r="AA3054" s="781">
        <f>$S$1*P!AA3054</f>
        <v>2.9030241935483872E-5</v>
      </c>
      <c r="AB3054" s="780"/>
      <c r="AC3054" s="782">
        <v>3050</v>
      </c>
      <c r="AD3054" s="782" t="s">
        <v>4573</v>
      </c>
      <c r="AE3054" s="782" t="s">
        <v>4161</v>
      </c>
      <c r="AF3054" s="781">
        <f>$S$1*P!AF3054</f>
        <v>14.155241935483872</v>
      </c>
    </row>
    <row r="3055" spans="19:32" x14ac:dyDescent="0.35">
      <c r="S3055" s="879">
        <v>3051</v>
      </c>
      <c r="T3055" s="879" t="s">
        <v>4284</v>
      </c>
      <c r="U3055" s="879" t="s">
        <v>4777</v>
      </c>
      <c r="V3055" s="880">
        <f>$S$1*P!V3055</f>
        <v>0</v>
      </c>
      <c r="W3055" s="780"/>
      <c r="X3055" s="881">
        <v>3051</v>
      </c>
      <c r="Y3055" s="881" t="s">
        <v>2248</v>
      </c>
      <c r="Z3055" s="881" t="s">
        <v>2912</v>
      </c>
      <c r="AA3055" s="882">
        <f>$S$1*P!AA3055</f>
        <v>7.8844000000000011E-2</v>
      </c>
      <c r="AB3055" s="780"/>
      <c r="AC3055" s="782">
        <v>3051</v>
      </c>
      <c r="AD3055" s="782" t="s">
        <v>4573</v>
      </c>
      <c r="AE3055" s="782" t="s">
        <v>4159</v>
      </c>
      <c r="AF3055" s="781">
        <f>$S$1*P!AF3055</f>
        <v>4.1814516129032265E-3</v>
      </c>
    </row>
    <row r="3056" spans="19:32" x14ac:dyDescent="0.35">
      <c r="S3056" s="870">
        <v>3052</v>
      </c>
      <c r="T3056" s="870" t="s">
        <v>4284</v>
      </c>
      <c r="U3056" s="870" t="s">
        <v>4777</v>
      </c>
      <c r="V3056" s="871">
        <f>$S$1*P!V3056</f>
        <v>2.1573000000000002</v>
      </c>
      <c r="W3056" s="780"/>
      <c r="X3056" s="782">
        <v>3052</v>
      </c>
      <c r="Y3056" s="782" t="s">
        <v>2248</v>
      </c>
      <c r="Z3056" s="782" t="s">
        <v>2912</v>
      </c>
      <c r="AA3056" s="781">
        <f>$S$1*P!AA3056</f>
        <v>0.20701612903225808</v>
      </c>
      <c r="AB3056" s="780"/>
      <c r="AC3056" s="782">
        <v>3052</v>
      </c>
      <c r="AD3056" s="782" t="s">
        <v>4573</v>
      </c>
      <c r="AE3056" s="782" t="s">
        <v>4158</v>
      </c>
      <c r="AF3056" s="781">
        <f>$S$1*P!AF3056</f>
        <v>1.8610887096774196E-2</v>
      </c>
    </row>
    <row r="3057" spans="19:32" x14ac:dyDescent="0.35">
      <c r="S3057" s="879">
        <v>3053</v>
      </c>
      <c r="T3057" s="879" t="s">
        <v>4284</v>
      </c>
      <c r="U3057" s="879" t="s">
        <v>4775</v>
      </c>
      <c r="V3057" s="880">
        <f>$S$1*P!V3057</f>
        <v>0</v>
      </c>
      <c r="W3057" s="780"/>
      <c r="X3057" s="782">
        <v>3053</v>
      </c>
      <c r="Y3057" s="782" t="s">
        <v>2248</v>
      </c>
      <c r="Z3057" s="782" t="s">
        <v>4776</v>
      </c>
      <c r="AA3057" s="781">
        <f>$S$1*P!AA3057</f>
        <v>2.704233870967742E-2</v>
      </c>
      <c r="AB3057" s="780"/>
      <c r="AC3057" s="782">
        <v>3053</v>
      </c>
      <c r="AD3057" s="782" t="s">
        <v>4573</v>
      </c>
      <c r="AE3057" s="782" t="s">
        <v>4156</v>
      </c>
      <c r="AF3057" s="781">
        <f>$S$1*P!AF3057</f>
        <v>8.3971774193548395E-3</v>
      </c>
    </row>
    <row r="3058" spans="19:32" x14ac:dyDescent="0.35">
      <c r="S3058" s="870">
        <v>3054</v>
      </c>
      <c r="T3058" s="870" t="s">
        <v>4284</v>
      </c>
      <c r="U3058" s="870" t="s">
        <v>4775</v>
      </c>
      <c r="V3058" s="871">
        <f>$S$1*P!V3058</f>
        <v>1.1186</v>
      </c>
      <c r="W3058" s="780"/>
      <c r="X3058" s="782">
        <v>3054</v>
      </c>
      <c r="Y3058" s="782" t="s">
        <v>2248</v>
      </c>
      <c r="Z3058" s="782" t="s">
        <v>3314</v>
      </c>
      <c r="AA3058" s="781">
        <f>$S$1*P!AA3058</f>
        <v>5.5524193548387097E-4</v>
      </c>
      <c r="AB3058" s="780"/>
      <c r="AC3058" s="782">
        <v>3054</v>
      </c>
      <c r="AD3058" s="782" t="s">
        <v>4573</v>
      </c>
      <c r="AE3058" s="782" t="s">
        <v>4155</v>
      </c>
      <c r="AF3058" s="781">
        <f>$S$1*P!AF3058</f>
        <v>1.7034274193548389E-12</v>
      </c>
    </row>
    <row r="3059" spans="19:32" x14ac:dyDescent="0.35">
      <c r="S3059" s="879">
        <v>3055</v>
      </c>
      <c r="T3059" s="879" t="s">
        <v>4284</v>
      </c>
      <c r="U3059" s="879" t="s">
        <v>4774</v>
      </c>
      <c r="V3059" s="880">
        <f>$S$1*P!V3059</f>
        <v>0</v>
      </c>
      <c r="W3059" s="780"/>
      <c r="X3059" s="782">
        <v>3055</v>
      </c>
      <c r="Y3059" s="782" t="s">
        <v>2248</v>
      </c>
      <c r="Z3059" s="782" t="s">
        <v>3311</v>
      </c>
      <c r="AA3059" s="781">
        <f>$S$1*P!AA3059</f>
        <v>1.1207661290322582E-3</v>
      </c>
      <c r="AB3059" s="780"/>
      <c r="AC3059" s="782">
        <v>3055</v>
      </c>
      <c r="AD3059" s="782" t="s">
        <v>4573</v>
      </c>
      <c r="AE3059" s="782" t="s">
        <v>4154</v>
      </c>
      <c r="AF3059" s="781">
        <f>$S$1*P!AF3059</f>
        <v>5.0725806451612911E-4</v>
      </c>
    </row>
    <row r="3060" spans="19:32" x14ac:dyDescent="0.35">
      <c r="S3060" s="870">
        <v>3056</v>
      </c>
      <c r="T3060" s="870" t="s">
        <v>4284</v>
      </c>
      <c r="U3060" s="870" t="s">
        <v>4774</v>
      </c>
      <c r="V3060" s="871">
        <f>$S$1*P!V3060</f>
        <v>1.4899</v>
      </c>
      <c r="W3060" s="780"/>
      <c r="X3060" s="782">
        <v>3056</v>
      </c>
      <c r="Y3060" s="782" t="s">
        <v>2248</v>
      </c>
      <c r="Z3060" s="782" t="s">
        <v>4773</v>
      </c>
      <c r="AA3060" s="781">
        <f>$S$1*P!AA3060</f>
        <v>1.8576612903225809E-3</v>
      </c>
      <c r="AB3060" s="780"/>
      <c r="AC3060" s="782">
        <v>3056</v>
      </c>
      <c r="AD3060" s="782" t="s">
        <v>4573</v>
      </c>
      <c r="AE3060" s="782" t="s">
        <v>4152</v>
      </c>
      <c r="AF3060" s="781">
        <f>$S$1*P!AF3060</f>
        <v>9.8709677419354852E-2</v>
      </c>
    </row>
    <row r="3061" spans="19:32" x14ac:dyDescent="0.35">
      <c r="S3061" s="879">
        <v>3057</v>
      </c>
      <c r="T3061" s="879" t="s">
        <v>4284</v>
      </c>
      <c r="U3061" s="879" t="s">
        <v>4772</v>
      </c>
      <c r="V3061" s="880">
        <f>$S$1*P!V3061</f>
        <v>0</v>
      </c>
      <c r="W3061" s="780"/>
      <c r="X3061" s="782">
        <v>3057</v>
      </c>
      <c r="Y3061" s="782" t="s">
        <v>2248</v>
      </c>
      <c r="Z3061" s="782" t="s">
        <v>3308</v>
      </c>
      <c r="AA3061" s="781">
        <f>$S$1*P!AA3061</f>
        <v>2.930443548387097E-3</v>
      </c>
      <c r="AB3061" s="780"/>
      <c r="AC3061" s="782">
        <v>3057</v>
      </c>
      <c r="AD3061" s="782" t="s">
        <v>4573</v>
      </c>
      <c r="AE3061" s="782" t="s">
        <v>4150</v>
      </c>
      <c r="AF3061" s="781">
        <f>$S$1*P!AF3061</f>
        <v>4.592741935483871</v>
      </c>
    </row>
    <row r="3062" spans="19:32" x14ac:dyDescent="0.35">
      <c r="S3062" s="870">
        <v>3058</v>
      </c>
      <c r="T3062" s="870" t="s">
        <v>4284</v>
      </c>
      <c r="U3062" s="870" t="s">
        <v>4772</v>
      </c>
      <c r="V3062" s="871">
        <f>$S$1*P!V3062</f>
        <v>3.1490000000000005</v>
      </c>
      <c r="W3062" s="780"/>
      <c r="X3062" s="881">
        <v>3058</v>
      </c>
      <c r="Y3062" s="881" t="s">
        <v>2248</v>
      </c>
      <c r="Z3062" s="881" t="s">
        <v>2911</v>
      </c>
      <c r="AA3062" s="882">
        <f>$S$1*P!AA3062</f>
        <v>0</v>
      </c>
      <c r="AB3062" s="780"/>
      <c r="AC3062" s="782">
        <v>3058</v>
      </c>
      <c r="AD3062" s="782" t="s">
        <v>4573</v>
      </c>
      <c r="AE3062" s="782" t="s">
        <v>4149</v>
      </c>
      <c r="AF3062" s="781">
        <f>$S$1*P!AF3062</f>
        <v>4.935483870967742</v>
      </c>
    </row>
    <row r="3063" spans="19:32" x14ac:dyDescent="0.35">
      <c r="S3063" s="879">
        <v>3059</v>
      </c>
      <c r="T3063" s="879" t="s">
        <v>4284</v>
      </c>
      <c r="U3063" s="879" t="s">
        <v>4771</v>
      </c>
      <c r="V3063" s="880">
        <f>$S$1*P!V3063</f>
        <v>0</v>
      </c>
      <c r="W3063" s="780"/>
      <c r="X3063" s="782">
        <v>3059</v>
      </c>
      <c r="Y3063" s="782" t="s">
        <v>2248</v>
      </c>
      <c r="Z3063" s="782" t="s">
        <v>2911</v>
      </c>
      <c r="AA3063" s="781">
        <f>$S$1*P!AA3063</f>
        <v>2.5157258064516133E-4</v>
      </c>
      <c r="AB3063" s="780"/>
      <c r="AC3063" s="782">
        <v>3059</v>
      </c>
      <c r="AD3063" s="782" t="s">
        <v>4573</v>
      </c>
      <c r="AE3063" s="782" t="s">
        <v>4148</v>
      </c>
      <c r="AF3063" s="781">
        <f>$S$1*P!AF3063</f>
        <v>0.15594758064516132</v>
      </c>
    </row>
    <row r="3064" spans="19:32" x14ac:dyDescent="0.35">
      <c r="S3064" s="870">
        <v>3060</v>
      </c>
      <c r="T3064" s="870" t="s">
        <v>4284</v>
      </c>
      <c r="U3064" s="870" t="s">
        <v>4771</v>
      </c>
      <c r="V3064" s="871">
        <f>$S$1*P!V3064</f>
        <v>1.0058</v>
      </c>
      <c r="W3064" s="780"/>
      <c r="X3064" s="782">
        <v>3060</v>
      </c>
      <c r="Y3064" s="782" t="s">
        <v>2248</v>
      </c>
      <c r="Z3064" s="782" t="s">
        <v>4770</v>
      </c>
      <c r="AA3064" s="781">
        <f>$S$1*P!AA3064</f>
        <v>1.9707661290322583E-2</v>
      </c>
      <c r="AB3064" s="780"/>
      <c r="AC3064" s="782">
        <v>3060</v>
      </c>
      <c r="AD3064" s="782" t="s">
        <v>4573</v>
      </c>
      <c r="AE3064" s="782" t="s">
        <v>2512</v>
      </c>
      <c r="AF3064" s="781">
        <f>$S$1*P!AF3064</f>
        <v>8.7741935483870979</v>
      </c>
    </row>
    <row r="3065" spans="19:32" x14ac:dyDescent="0.35">
      <c r="S3065" s="879">
        <v>3061</v>
      </c>
      <c r="T3065" s="879" t="s">
        <v>4284</v>
      </c>
      <c r="U3065" s="879" t="s">
        <v>4769</v>
      </c>
      <c r="V3065" s="880">
        <f>$S$1*P!V3065</f>
        <v>0</v>
      </c>
      <c r="W3065" s="780"/>
      <c r="X3065" s="782">
        <v>3061</v>
      </c>
      <c r="Y3065" s="782" t="s">
        <v>2248</v>
      </c>
      <c r="Z3065" s="782" t="s">
        <v>3304</v>
      </c>
      <c r="AA3065" s="781">
        <f>$S$1*P!AA3065</f>
        <v>4.7641129032258069E-4</v>
      </c>
      <c r="AB3065" s="780"/>
      <c r="AC3065" s="881">
        <v>3061</v>
      </c>
      <c r="AD3065" s="881" t="s">
        <v>4573</v>
      </c>
      <c r="AE3065" s="881" t="s">
        <v>2512</v>
      </c>
      <c r="AF3065" s="890">
        <f>$S$1*P!AF3065</f>
        <v>0</v>
      </c>
    </row>
    <row r="3066" spans="19:32" x14ac:dyDescent="0.35">
      <c r="S3066" s="870">
        <v>3062</v>
      </c>
      <c r="T3066" s="870" t="s">
        <v>4284</v>
      </c>
      <c r="U3066" s="870" t="s">
        <v>4769</v>
      </c>
      <c r="V3066" s="871">
        <f>$S$1*P!V3066</f>
        <v>3.1443000000000003</v>
      </c>
      <c r="W3066" s="780"/>
      <c r="X3066" s="782">
        <v>3062</v>
      </c>
      <c r="Y3066" s="782" t="s">
        <v>2248</v>
      </c>
      <c r="Z3066" s="782" t="s">
        <v>3301</v>
      </c>
      <c r="AA3066" s="781">
        <f>$S$1*P!AA3066</f>
        <v>1.2098790322580646E-4</v>
      </c>
      <c r="AB3066" s="780"/>
      <c r="AC3066" s="881">
        <v>3062</v>
      </c>
      <c r="AD3066" s="881" t="s">
        <v>4573</v>
      </c>
      <c r="AE3066" s="881" t="s">
        <v>2510</v>
      </c>
      <c r="AF3066" s="890">
        <f>$S$1*P!AF3066</f>
        <v>0</v>
      </c>
    </row>
    <row r="3067" spans="19:32" x14ac:dyDescent="0.35">
      <c r="S3067" s="879">
        <v>3063</v>
      </c>
      <c r="T3067" s="879" t="s">
        <v>4284</v>
      </c>
      <c r="U3067" s="879" t="s">
        <v>4768</v>
      </c>
      <c r="V3067" s="880">
        <f>$S$1*P!V3067</f>
        <v>0</v>
      </c>
      <c r="W3067" s="780"/>
      <c r="X3067" s="782">
        <v>3063</v>
      </c>
      <c r="Y3067" s="782" t="s">
        <v>2248</v>
      </c>
      <c r="Z3067" s="782" t="s">
        <v>3395</v>
      </c>
      <c r="AA3067" s="781">
        <f>$S$1*P!AA3067</f>
        <v>2.5054435483870966E-3</v>
      </c>
      <c r="AB3067" s="780"/>
      <c r="AC3067" s="782">
        <v>3063</v>
      </c>
      <c r="AD3067" s="782" t="s">
        <v>4573</v>
      </c>
      <c r="AE3067" s="782" t="s">
        <v>2509</v>
      </c>
      <c r="AF3067" s="781">
        <f>$S$1*P!AF3067</f>
        <v>6.7862903225806459E-2</v>
      </c>
    </row>
    <row r="3068" spans="19:32" x14ac:dyDescent="0.35">
      <c r="S3068" s="870">
        <v>3064</v>
      </c>
      <c r="T3068" s="870" t="s">
        <v>4284</v>
      </c>
      <c r="U3068" s="870" t="s">
        <v>4768</v>
      </c>
      <c r="V3068" s="871">
        <f>$S$1*P!V3068</f>
        <v>0.83660000000000001</v>
      </c>
      <c r="W3068" s="780"/>
      <c r="X3068" s="782">
        <v>3064</v>
      </c>
      <c r="Y3068" s="782" t="s">
        <v>2248</v>
      </c>
      <c r="Z3068" s="782" t="s">
        <v>3298</v>
      </c>
      <c r="AA3068" s="781">
        <f>$S$1*P!AA3068</f>
        <v>1.8542338709677419E-2</v>
      </c>
      <c r="AB3068" s="780"/>
      <c r="AC3068" s="881">
        <v>3064</v>
      </c>
      <c r="AD3068" s="881" t="s">
        <v>4573</v>
      </c>
      <c r="AE3068" s="881" t="s">
        <v>2509</v>
      </c>
      <c r="AF3068" s="890">
        <f>$S$1*P!AF3068</f>
        <v>0.437</v>
      </c>
    </row>
    <row r="3069" spans="19:32" x14ac:dyDescent="0.35">
      <c r="S3069" s="879">
        <v>3065</v>
      </c>
      <c r="T3069" s="879" t="s">
        <v>4284</v>
      </c>
      <c r="U3069" s="879" t="s">
        <v>4767</v>
      </c>
      <c r="V3069" s="880">
        <f>$S$1*P!V3069</f>
        <v>0</v>
      </c>
      <c r="W3069" s="780"/>
      <c r="X3069" s="782">
        <v>3065</v>
      </c>
      <c r="Y3069" s="782" t="s">
        <v>2248</v>
      </c>
      <c r="Z3069" s="782" t="s">
        <v>3295</v>
      </c>
      <c r="AA3069" s="781">
        <f>$S$1*P!AA3069</f>
        <v>2.5911290322580646E-5</v>
      </c>
      <c r="AB3069" s="780"/>
      <c r="AC3069" s="782">
        <v>3065</v>
      </c>
      <c r="AD3069" s="782" t="s">
        <v>4573</v>
      </c>
      <c r="AE3069" s="782" t="s">
        <v>4144</v>
      </c>
      <c r="AF3069" s="781">
        <f>$S$1*P!AF3069</f>
        <v>2.4403225806451614E-2</v>
      </c>
    </row>
    <row r="3070" spans="19:32" x14ac:dyDescent="0.35">
      <c r="S3070" s="870">
        <v>3066</v>
      </c>
      <c r="T3070" s="870" t="s">
        <v>4284</v>
      </c>
      <c r="U3070" s="870" t="s">
        <v>4767</v>
      </c>
      <c r="V3070" s="871">
        <f>$S$1*P!V3070</f>
        <v>1.4240999999999999</v>
      </c>
      <c r="W3070" s="780"/>
      <c r="X3070" s="782">
        <v>3066</v>
      </c>
      <c r="Y3070" s="782" t="s">
        <v>2248</v>
      </c>
      <c r="Z3070" s="782" t="s">
        <v>3292</v>
      </c>
      <c r="AA3070" s="781">
        <f>$S$1*P!AA3070</f>
        <v>0.20153225806451613</v>
      </c>
      <c r="AB3070" s="780"/>
      <c r="AC3070" s="881">
        <v>3066</v>
      </c>
      <c r="AD3070" s="881" t="s">
        <v>4573</v>
      </c>
      <c r="AE3070" s="881" t="s">
        <v>2507</v>
      </c>
      <c r="AF3070" s="890">
        <f>$S$1*P!AF3070</f>
        <v>3.5788000000000002</v>
      </c>
    </row>
    <row r="3071" spans="19:32" x14ac:dyDescent="0.35">
      <c r="S3071" s="879">
        <v>3067</v>
      </c>
      <c r="T3071" s="879" t="s">
        <v>4284</v>
      </c>
      <c r="U3071" s="879" t="s">
        <v>4766</v>
      </c>
      <c r="V3071" s="880">
        <f>$S$1*P!V3071</f>
        <v>0</v>
      </c>
      <c r="W3071" s="780"/>
      <c r="X3071" s="782">
        <v>3067</v>
      </c>
      <c r="Y3071" s="782" t="s">
        <v>2248</v>
      </c>
      <c r="Z3071" s="782" t="s">
        <v>3391</v>
      </c>
      <c r="AA3071" s="781">
        <f>$S$1*P!AA3071</f>
        <v>8.705645161290323E-4</v>
      </c>
      <c r="AB3071" s="780"/>
      <c r="AC3071" s="881">
        <v>3067</v>
      </c>
      <c r="AD3071" s="881" t="s">
        <v>4573</v>
      </c>
      <c r="AE3071" s="881" t="s">
        <v>2506</v>
      </c>
      <c r="AF3071" s="890">
        <f>$S$1*P!AF3071</f>
        <v>1.4168000000000001</v>
      </c>
    </row>
    <row r="3072" spans="19:32" x14ac:dyDescent="0.35">
      <c r="S3072" s="870">
        <v>3068</v>
      </c>
      <c r="T3072" s="870" t="s">
        <v>4284</v>
      </c>
      <c r="U3072" s="870" t="s">
        <v>4766</v>
      </c>
      <c r="V3072" s="871">
        <f>$S$1*P!V3072</f>
        <v>0.9447000000000001</v>
      </c>
      <c r="W3072" s="780"/>
      <c r="X3072" s="782">
        <v>3068</v>
      </c>
      <c r="Y3072" s="782" t="s">
        <v>2248</v>
      </c>
      <c r="Z3072" s="782" t="s">
        <v>3290</v>
      </c>
      <c r="AA3072" s="781">
        <f>$S$1*P!AA3072</f>
        <v>3.8044354838709681E-3</v>
      </c>
      <c r="AB3072" s="780"/>
      <c r="AC3072" s="782">
        <v>3068</v>
      </c>
      <c r="AD3072" s="782" t="s">
        <v>4573</v>
      </c>
      <c r="AE3072" s="782" t="s">
        <v>4142</v>
      </c>
      <c r="AF3072" s="781">
        <f>$S$1*P!AF3072</f>
        <v>1.3949596774193551E-3</v>
      </c>
    </row>
    <row r="3073" spans="19:32" x14ac:dyDescent="0.35">
      <c r="S3073" s="879">
        <v>3069</v>
      </c>
      <c r="T3073" s="879" t="s">
        <v>4284</v>
      </c>
      <c r="U3073" s="879" t="s">
        <v>4765</v>
      </c>
      <c r="V3073" s="880">
        <f>$S$1*P!V3073</f>
        <v>0</v>
      </c>
      <c r="W3073" s="780"/>
      <c r="X3073" s="782">
        <v>3069</v>
      </c>
      <c r="Y3073" s="782" t="s">
        <v>2248</v>
      </c>
      <c r="Z3073" s="782" t="s">
        <v>3287</v>
      </c>
      <c r="AA3073" s="781">
        <f>$S$1*P!AA3073</f>
        <v>4.181451612903226E-2</v>
      </c>
      <c r="AB3073" s="780"/>
      <c r="AC3073" s="782">
        <v>3069</v>
      </c>
      <c r="AD3073" s="782" t="s">
        <v>4573</v>
      </c>
      <c r="AE3073" s="782" t="s">
        <v>2504</v>
      </c>
      <c r="AF3073" s="781">
        <f>$S$1*P!AF3073</f>
        <v>1.1379032258064517E-2</v>
      </c>
    </row>
    <row r="3074" spans="19:32" x14ac:dyDescent="0.35">
      <c r="S3074" s="870">
        <v>3070</v>
      </c>
      <c r="T3074" s="870" t="s">
        <v>4284</v>
      </c>
      <c r="U3074" s="870" t="s">
        <v>4765</v>
      </c>
      <c r="V3074" s="871">
        <f>$S$1*P!V3074</f>
        <v>1.9975000000000001</v>
      </c>
      <c r="W3074" s="780"/>
      <c r="X3074" s="782">
        <v>3070</v>
      </c>
      <c r="Y3074" s="782" t="s">
        <v>2248</v>
      </c>
      <c r="Z3074" s="782" t="s">
        <v>3389</v>
      </c>
      <c r="AA3074" s="781">
        <f>$S$1*P!AA3074</f>
        <v>0.25362903225806455</v>
      </c>
      <c r="AB3074" s="780"/>
      <c r="AC3074" s="881">
        <v>3070</v>
      </c>
      <c r="AD3074" s="881" t="s">
        <v>4573</v>
      </c>
      <c r="AE3074" s="881" t="s">
        <v>2504</v>
      </c>
      <c r="AF3074" s="890">
        <f>$S$1*P!AF3074</f>
        <v>1.9504000000000001E-2</v>
      </c>
    </row>
    <row r="3075" spans="19:32" x14ac:dyDescent="0.35">
      <c r="S3075" s="879">
        <v>3071</v>
      </c>
      <c r="T3075" s="879" t="s">
        <v>4284</v>
      </c>
      <c r="U3075" s="879" t="s">
        <v>4764</v>
      </c>
      <c r="V3075" s="880">
        <f>$S$1*P!V3075</f>
        <v>0</v>
      </c>
      <c r="W3075" s="780"/>
      <c r="X3075" s="782">
        <v>3071</v>
      </c>
      <c r="Y3075" s="782" t="s">
        <v>2248</v>
      </c>
      <c r="Z3075" s="782" t="s">
        <v>3284</v>
      </c>
      <c r="AA3075" s="781">
        <f>$S$1*P!AA3075</f>
        <v>3.941532258064516E-5</v>
      </c>
      <c r="AB3075" s="780"/>
      <c r="AC3075" s="782">
        <v>3071</v>
      </c>
      <c r="AD3075" s="782" t="s">
        <v>4573</v>
      </c>
      <c r="AE3075" s="782" t="s">
        <v>4140</v>
      </c>
      <c r="AF3075" s="781">
        <f>$S$1*P!AF3075</f>
        <v>4.6955645161290329</v>
      </c>
    </row>
    <row r="3076" spans="19:32" x14ac:dyDescent="0.35">
      <c r="S3076" s="870">
        <v>3072</v>
      </c>
      <c r="T3076" s="870" t="s">
        <v>4284</v>
      </c>
      <c r="U3076" s="870" t="s">
        <v>4764</v>
      </c>
      <c r="V3076" s="871">
        <f>$S$1*P!V3076</f>
        <v>2.6696</v>
      </c>
      <c r="W3076" s="780"/>
      <c r="X3076" s="782">
        <v>3072</v>
      </c>
      <c r="Y3076" s="782" t="s">
        <v>2248</v>
      </c>
      <c r="Z3076" s="782" t="s">
        <v>3281</v>
      </c>
      <c r="AA3076" s="781">
        <f>$S$1*P!AA3076</f>
        <v>1.2750000000000001E-4</v>
      </c>
      <c r="AB3076" s="780"/>
      <c r="AC3076" s="782">
        <v>3072</v>
      </c>
      <c r="AD3076" s="782" t="s">
        <v>4573</v>
      </c>
      <c r="AE3076" s="782" t="s">
        <v>2502</v>
      </c>
      <c r="AF3076" s="781">
        <f>$S$1*P!AF3076</f>
        <v>3.5987903225806452E-2</v>
      </c>
    </row>
    <row r="3077" spans="19:32" x14ac:dyDescent="0.35">
      <c r="S3077" s="879">
        <v>3073</v>
      </c>
      <c r="T3077" s="879" t="s">
        <v>4284</v>
      </c>
      <c r="U3077" s="879" t="s">
        <v>4762</v>
      </c>
      <c r="V3077" s="880">
        <f>$S$1*P!V3077</f>
        <v>0</v>
      </c>
      <c r="W3077" s="780"/>
      <c r="X3077" s="782">
        <v>3073</v>
      </c>
      <c r="Y3077" s="782" t="s">
        <v>2248</v>
      </c>
      <c r="Z3077" s="782" t="s">
        <v>4763</v>
      </c>
      <c r="AA3077" s="781">
        <f>$S$1*P!AA3077</f>
        <v>1.9776209677419356E-2</v>
      </c>
      <c r="AB3077" s="780"/>
      <c r="AC3077" s="881">
        <v>3073</v>
      </c>
      <c r="AD3077" s="881" t="s">
        <v>4573</v>
      </c>
      <c r="AE3077" s="881" t="s">
        <v>2502</v>
      </c>
      <c r="AF3077" s="890">
        <f>$S$1*P!AF3077</f>
        <v>0</v>
      </c>
    </row>
    <row r="3078" spans="19:32" x14ac:dyDescent="0.35">
      <c r="S3078" s="870">
        <v>3074</v>
      </c>
      <c r="T3078" s="870" t="s">
        <v>4284</v>
      </c>
      <c r="U3078" s="870" t="s">
        <v>4762</v>
      </c>
      <c r="V3078" s="871">
        <f>$S$1*P!V3078</f>
        <v>2.7401</v>
      </c>
      <c r="W3078" s="780"/>
      <c r="X3078" s="782">
        <v>3074</v>
      </c>
      <c r="Y3078" s="782" t="s">
        <v>2248</v>
      </c>
      <c r="Z3078" s="782" t="s">
        <v>3279</v>
      </c>
      <c r="AA3078" s="781">
        <f>$S$1*P!AA3078</f>
        <v>2.4437500000000002E-4</v>
      </c>
      <c r="AB3078" s="780"/>
      <c r="AC3078" s="782">
        <v>3074</v>
      </c>
      <c r="AD3078" s="782" t="s">
        <v>4573</v>
      </c>
      <c r="AE3078" s="782" t="s">
        <v>4138</v>
      </c>
      <c r="AF3078" s="781">
        <f>$S$1*P!AF3078</f>
        <v>0.76088709677419364</v>
      </c>
    </row>
    <row r="3079" spans="19:32" x14ac:dyDescent="0.35">
      <c r="S3079" s="879">
        <v>3075</v>
      </c>
      <c r="T3079" s="879" t="s">
        <v>4284</v>
      </c>
      <c r="U3079" s="879" t="s">
        <v>4761</v>
      </c>
      <c r="V3079" s="880">
        <f>$S$1*P!V3079</f>
        <v>0</v>
      </c>
      <c r="W3079" s="780"/>
      <c r="X3079" s="881">
        <v>3075</v>
      </c>
      <c r="Y3079" s="881" t="s">
        <v>2248</v>
      </c>
      <c r="Z3079" s="881" t="s">
        <v>2909</v>
      </c>
      <c r="AA3079" s="882">
        <f>$S$1*P!AA3079</f>
        <v>5.3452000000000002</v>
      </c>
      <c r="AB3079" s="780"/>
      <c r="AC3079" s="782">
        <v>3075</v>
      </c>
      <c r="AD3079" s="782" t="s">
        <v>4573</v>
      </c>
      <c r="AE3079" s="782" t="s">
        <v>4137</v>
      </c>
      <c r="AF3079" s="781">
        <f>$S$1*P!AF3079</f>
        <v>0.16965725806451615</v>
      </c>
    </row>
    <row r="3080" spans="19:32" x14ac:dyDescent="0.35">
      <c r="S3080" s="870">
        <v>3076</v>
      </c>
      <c r="T3080" s="870" t="s">
        <v>4284</v>
      </c>
      <c r="U3080" s="870" t="s">
        <v>4761</v>
      </c>
      <c r="V3080" s="871">
        <f>$S$1*P!V3080</f>
        <v>1.1609</v>
      </c>
      <c r="W3080" s="780"/>
      <c r="X3080" s="782">
        <v>3076</v>
      </c>
      <c r="Y3080" s="782" t="s">
        <v>2248</v>
      </c>
      <c r="Z3080" s="782" t="s">
        <v>3386</v>
      </c>
      <c r="AA3080" s="781">
        <f>$S$1*P!AA3080</f>
        <v>6.2379032258064522E-2</v>
      </c>
      <c r="AB3080" s="780"/>
      <c r="AC3080" s="881">
        <v>3076</v>
      </c>
      <c r="AD3080" s="881" t="s">
        <v>4573</v>
      </c>
      <c r="AE3080" s="881" t="s">
        <v>2501</v>
      </c>
      <c r="AF3080" s="890">
        <f>$S$1*P!AF3080</f>
        <v>57.96</v>
      </c>
    </row>
    <row r="3081" spans="19:32" x14ac:dyDescent="0.35">
      <c r="S3081" s="870">
        <v>3077</v>
      </c>
      <c r="T3081" s="870" t="s">
        <v>4284</v>
      </c>
      <c r="U3081" s="870" t="s">
        <v>4760</v>
      </c>
      <c r="V3081" s="871">
        <f>$S$1*P!V3081</f>
        <v>20.87</v>
      </c>
      <c r="W3081" s="780"/>
      <c r="X3081" s="881">
        <v>3077</v>
      </c>
      <c r="Y3081" s="881" t="s">
        <v>2248</v>
      </c>
      <c r="Z3081" s="881" t="s">
        <v>2908</v>
      </c>
      <c r="AA3081" s="882">
        <f>$S$1*P!AA3081</f>
        <v>0</v>
      </c>
      <c r="AB3081" s="780"/>
      <c r="AC3081" s="782">
        <v>3077</v>
      </c>
      <c r="AD3081" s="782" t="s">
        <v>4573</v>
      </c>
      <c r="AE3081" s="782" t="s">
        <v>4135</v>
      </c>
      <c r="AF3081" s="781">
        <f>$S$1*P!AF3081</f>
        <v>2.454032258064516E-3</v>
      </c>
    </row>
    <row r="3082" spans="19:32" x14ac:dyDescent="0.35">
      <c r="S3082" s="782">
        <v>3078</v>
      </c>
      <c r="T3082" s="782" t="s">
        <v>4284</v>
      </c>
      <c r="U3082" s="782" t="s">
        <v>2619</v>
      </c>
      <c r="V3082" s="797">
        <f>$S$1*P!V3082</f>
        <v>2.7316532258064519E-2</v>
      </c>
      <c r="W3082" s="780"/>
      <c r="X3082" s="782">
        <v>3078</v>
      </c>
      <c r="Y3082" s="782" t="s">
        <v>2248</v>
      </c>
      <c r="Z3082" s="782" t="s">
        <v>2908</v>
      </c>
      <c r="AA3082" s="781">
        <f>$S$1*P!AA3082</f>
        <v>1.6211693548387099E-2</v>
      </c>
      <c r="AB3082" s="780"/>
      <c r="AC3082" s="782">
        <v>3078</v>
      </c>
      <c r="AD3082" s="782" t="s">
        <v>4573</v>
      </c>
      <c r="AE3082" s="782" t="s">
        <v>2499</v>
      </c>
      <c r="AF3082" s="781">
        <f>$S$1*P!AF3082</f>
        <v>0.10625000000000001</v>
      </c>
    </row>
    <row r="3083" spans="19:32" x14ac:dyDescent="0.35">
      <c r="S3083" s="881">
        <v>3079</v>
      </c>
      <c r="T3083" s="881" t="s">
        <v>4284</v>
      </c>
      <c r="U3083" s="881" t="s">
        <v>2619</v>
      </c>
      <c r="V3083" s="883">
        <f>$S$1*P!V3083</f>
        <v>0.51427999999999996</v>
      </c>
      <c r="W3083" s="780"/>
      <c r="X3083" s="782">
        <v>3079</v>
      </c>
      <c r="Y3083" s="782" t="s">
        <v>2248</v>
      </c>
      <c r="Z3083" s="782" t="s">
        <v>3274</v>
      </c>
      <c r="AA3083" s="781">
        <f>$S$1*P!AA3083</f>
        <v>1.0350806451612904E-2</v>
      </c>
      <c r="AB3083" s="780"/>
      <c r="AC3083" s="881">
        <v>3079</v>
      </c>
      <c r="AD3083" s="881" t="s">
        <v>4573</v>
      </c>
      <c r="AE3083" s="881" t="s">
        <v>2499</v>
      </c>
      <c r="AF3083" s="890">
        <f>$S$1*P!AF3083</f>
        <v>0</v>
      </c>
    </row>
    <row r="3084" spans="19:32" x14ac:dyDescent="0.35">
      <c r="S3084" s="881">
        <v>3080</v>
      </c>
      <c r="T3084" s="881" t="s">
        <v>4284</v>
      </c>
      <c r="U3084" s="881" t="s">
        <v>2738</v>
      </c>
      <c r="V3084" s="883">
        <f>$S$1*P!V3084</f>
        <v>8.5928000000000004</v>
      </c>
      <c r="W3084" s="780"/>
      <c r="X3084" s="782">
        <v>3080</v>
      </c>
      <c r="Y3084" s="782" t="s">
        <v>2248</v>
      </c>
      <c r="Z3084" s="782" t="s">
        <v>3385</v>
      </c>
      <c r="AA3084" s="781">
        <f>$S$1*P!AA3084</f>
        <v>2.9887096774193554E-4</v>
      </c>
      <c r="AB3084" s="780"/>
      <c r="AC3084" s="782">
        <v>3080</v>
      </c>
      <c r="AD3084" s="782" t="s">
        <v>4573</v>
      </c>
      <c r="AE3084" s="782" t="s">
        <v>4132</v>
      </c>
      <c r="AF3084" s="781">
        <f>$S$1*P!AF3084</f>
        <v>3.7358870967741939E-3</v>
      </c>
    </row>
    <row r="3085" spans="19:32" x14ac:dyDescent="0.35">
      <c r="S3085" s="782">
        <v>3081</v>
      </c>
      <c r="T3085" s="782" t="s">
        <v>4284</v>
      </c>
      <c r="U3085" s="782" t="s">
        <v>2616</v>
      </c>
      <c r="V3085" s="797">
        <f>$S$1*P!V3085</f>
        <v>5.2782258064516138E-5</v>
      </c>
      <c r="W3085" s="780"/>
      <c r="X3085" s="881">
        <v>3081</v>
      </c>
      <c r="Y3085" s="881" t="s">
        <v>2248</v>
      </c>
      <c r="Z3085" s="881" t="s">
        <v>2906</v>
      </c>
      <c r="AA3085" s="882">
        <f>$S$1*P!AA3085</f>
        <v>0</v>
      </c>
      <c r="AB3085" s="780"/>
      <c r="AC3085" s="782">
        <v>3081</v>
      </c>
      <c r="AD3085" s="782" t="s">
        <v>4573</v>
      </c>
      <c r="AE3085" s="782" t="s">
        <v>4131</v>
      </c>
      <c r="AF3085" s="781">
        <f>$S$1*P!AF3085</f>
        <v>8.8770161290322586E-4</v>
      </c>
    </row>
    <row r="3086" spans="19:32" x14ac:dyDescent="0.35">
      <c r="S3086" s="881">
        <v>3082</v>
      </c>
      <c r="T3086" s="881" t="s">
        <v>4284</v>
      </c>
      <c r="U3086" s="881" t="s">
        <v>2616</v>
      </c>
      <c r="V3086" s="883">
        <f>$S$1*P!V3086</f>
        <v>0.47931999999999997</v>
      </c>
      <c r="W3086" s="780"/>
      <c r="X3086" s="782">
        <v>3082</v>
      </c>
      <c r="Y3086" s="782" t="s">
        <v>2248</v>
      </c>
      <c r="Z3086" s="782" t="s">
        <v>2906</v>
      </c>
      <c r="AA3086" s="781">
        <f>$S$1*P!AA3086</f>
        <v>3.3211693548387102E-3</v>
      </c>
      <c r="AB3086" s="780"/>
      <c r="AC3086" s="782">
        <v>3082</v>
      </c>
      <c r="AD3086" s="782" t="s">
        <v>4573</v>
      </c>
      <c r="AE3086" s="782" t="s">
        <v>4129</v>
      </c>
      <c r="AF3086" s="781">
        <f>$S$1*P!AF3086</f>
        <v>1.8268145161290324E-4</v>
      </c>
    </row>
    <row r="3087" spans="19:32" x14ac:dyDescent="0.35">
      <c r="S3087" s="782">
        <v>3083</v>
      </c>
      <c r="T3087" s="782" t="s">
        <v>4284</v>
      </c>
      <c r="U3087" s="782" t="s">
        <v>2614</v>
      </c>
      <c r="V3087" s="797">
        <f>$S$1*P!V3087</f>
        <v>4.9012096774193551E-3</v>
      </c>
      <c r="W3087" s="780"/>
      <c r="X3087" s="881">
        <v>3083</v>
      </c>
      <c r="Y3087" s="881" t="s">
        <v>2248</v>
      </c>
      <c r="Z3087" s="881" t="s">
        <v>2904</v>
      </c>
      <c r="AA3087" s="882">
        <f>$S$1*P!AA3087</f>
        <v>29.9</v>
      </c>
      <c r="AB3087" s="780"/>
      <c r="AC3087" s="782">
        <v>3083</v>
      </c>
      <c r="AD3087" s="782" t="s">
        <v>4573</v>
      </c>
      <c r="AE3087" s="782" t="s">
        <v>4128</v>
      </c>
      <c r="AF3087" s="781">
        <f>$S$1*P!AF3087</f>
        <v>1.5663306451612905E-4</v>
      </c>
    </row>
    <row r="3088" spans="19:32" x14ac:dyDescent="0.35">
      <c r="S3088" s="881">
        <v>3084</v>
      </c>
      <c r="T3088" s="881" t="s">
        <v>4284</v>
      </c>
      <c r="U3088" s="881" t="s">
        <v>2614</v>
      </c>
      <c r="V3088" s="883">
        <f>$S$1*P!V3088</f>
        <v>0.47287999999999997</v>
      </c>
      <c r="W3088" s="780"/>
      <c r="X3088" s="782">
        <v>3084</v>
      </c>
      <c r="Y3088" s="782" t="s">
        <v>2248</v>
      </c>
      <c r="Z3088" s="782" t="s">
        <v>4759</v>
      </c>
      <c r="AA3088" s="781">
        <f>$S$1*P!AA3088</f>
        <v>9.3911290322580658E-3</v>
      </c>
      <c r="AB3088" s="780"/>
      <c r="AC3088" s="782">
        <v>3084</v>
      </c>
      <c r="AD3088" s="782" t="s">
        <v>4573</v>
      </c>
      <c r="AE3088" s="782" t="s">
        <v>4127</v>
      </c>
      <c r="AF3088" s="781">
        <f>$S$1*P!AF3088</f>
        <v>0.45241935483870971</v>
      </c>
    </row>
    <row r="3089" spans="19:32" x14ac:dyDescent="0.35">
      <c r="S3089" s="881">
        <v>3085</v>
      </c>
      <c r="T3089" s="881" t="s">
        <v>4284</v>
      </c>
      <c r="U3089" s="881" t="s">
        <v>2735</v>
      </c>
      <c r="V3089" s="883">
        <f>$S$1*P!V3089</f>
        <v>10.212</v>
      </c>
      <c r="W3089" s="780"/>
      <c r="X3089" s="782">
        <v>3085</v>
      </c>
      <c r="Y3089" s="782" t="s">
        <v>2248</v>
      </c>
      <c r="Z3089" s="782" t="s">
        <v>3269</v>
      </c>
      <c r="AA3089" s="781">
        <f>$S$1*P!AA3089</f>
        <v>1.4840725806451612E-3</v>
      </c>
      <c r="AB3089" s="780"/>
      <c r="AC3089" s="782">
        <v>3085</v>
      </c>
      <c r="AD3089" s="782" t="s">
        <v>4573</v>
      </c>
      <c r="AE3089" s="782" t="s">
        <v>4125</v>
      </c>
      <c r="AF3089" s="781">
        <f>$S$1*P!AF3089</f>
        <v>5.3467741935483873E-4</v>
      </c>
    </row>
    <row r="3090" spans="19:32" x14ac:dyDescent="0.35">
      <c r="S3090" s="881">
        <v>3086</v>
      </c>
      <c r="T3090" s="881" t="s">
        <v>4284</v>
      </c>
      <c r="U3090" s="881" t="s">
        <v>2733</v>
      </c>
      <c r="V3090" s="883">
        <f>$S$1*P!V3090</f>
        <v>3.2751999999999999</v>
      </c>
      <c r="W3090" s="780"/>
      <c r="X3090" s="782">
        <v>3086</v>
      </c>
      <c r="Y3090" s="782" t="s">
        <v>2248</v>
      </c>
      <c r="Z3090" s="782" t="s">
        <v>4758</v>
      </c>
      <c r="AA3090" s="781">
        <f>$S$1*P!AA3090</f>
        <v>2.2243951612903227E-5</v>
      </c>
      <c r="AB3090" s="780"/>
      <c r="AC3090" s="782">
        <v>3086</v>
      </c>
      <c r="AD3090" s="782" t="s">
        <v>4573</v>
      </c>
      <c r="AE3090" s="782" t="s">
        <v>2498</v>
      </c>
      <c r="AF3090" s="781">
        <f>$S$1*P!AF3090</f>
        <v>3.5987903225806452E-2</v>
      </c>
    </row>
    <row r="3091" spans="19:32" x14ac:dyDescent="0.35">
      <c r="S3091" s="881">
        <v>3087</v>
      </c>
      <c r="T3091" s="881" t="s">
        <v>4284</v>
      </c>
      <c r="U3091" s="881" t="s">
        <v>2732</v>
      </c>
      <c r="V3091" s="883">
        <f>$S$1*P!V3091</f>
        <v>5.4648000000000003</v>
      </c>
      <c r="W3091" s="780"/>
      <c r="X3091" s="881">
        <v>3087</v>
      </c>
      <c r="Y3091" s="881" t="s">
        <v>2248</v>
      </c>
      <c r="Z3091" s="881" t="s">
        <v>2903</v>
      </c>
      <c r="AA3091" s="882">
        <f>$S$1*P!AA3091</f>
        <v>0</v>
      </c>
      <c r="AB3091" s="780"/>
      <c r="AC3091" s="881">
        <v>3087</v>
      </c>
      <c r="AD3091" s="881" t="s">
        <v>4573</v>
      </c>
      <c r="AE3091" s="881" t="s">
        <v>2498</v>
      </c>
      <c r="AF3091" s="890">
        <f>$S$1*P!AF3091</f>
        <v>0</v>
      </c>
    </row>
    <row r="3092" spans="19:32" x14ac:dyDescent="0.35">
      <c r="S3092" s="881">
        <v>3088</v>
      </c>
      <c r="T3092" s="881" t="s">
        <v>4284</v>
      </c>
      <c r="U3092" s="881" t="s">
        <v>2730</v>
      </c>
      <c r="V3092" s="883">
        <f>$S$1*P!V3092</f>
        <v>5.1059999999999999</v>
      </c>
      <c r="W3092" s="780"/>
      <c r="X3092" s="782">
        <v>3088</v>
      </c>
      <c r="Y3092" s="782" t="s">
        <v>2248</v>
      </c>
      <c r="Z3092" s="782" t="s">
        <v>2903</v>
      </c>
      <c r="AA3092" s="781">
        <f>$S$1*P!AA3092</f>
        <v>2.0975806451612906E-4</v>
      </c>
      <c r="AB3092" s="780"/>
      <c r="AC3092" s="782">
        <v>3088</v>
      </c>
      <c r="AD3092" s="782" t="s">
        <v>4573</v>
      </c>
      <c r="AE3092" s="782" t="s">
        <v>2496</v>
      </c>
      <c r="AF3092" s="781">
        <f>$S$1*P!AF3092</f>
        <v>34.616935483870968</v>
      </c>
    </row>
    <row r="3093" spans="19:32" x14ac:dyDescent="0.35">
      <c r="S3093" s="881">
        <v>3089</v>
      </c>
      <c r="T3093" s="881" t="s">
        <v>4284</v>
      </c>
      <c r="U3093" s="881" t="s">
        <v>2729</v>
      </c>
      <c r="V3093" s="883">
        <f>$S$1*P!V3093</f>
        <v>4.2136000000000005</v>
      </c>
      <c r="W3093" s="780"/>
      <c r="X3093" s="782">
        <v>3089</v>
      </c>
      <c r="Y3093" s="782" t="s">
        <v>2248</v>
      </c>
      <c r="Z3093" s="782" t="s">
        <v>3265</v>
      </c>
      <c r="AA3093" s="781">
        <f>$S$1*P!AA3093</f>
        <v>3.5302419354838712E-5</v>
      </c>
      <c r="AB3093" s="780"/>
      <c r="AC3093" s="881">
        <v>3089</v>
      </c>
      <c r="AD3093" s="881" t="s">
        <v>4573</v>
      </c>
      <c r="AE3093" s="881" t="s">
        <v>2496</v>
      </c>
      <c r="AF3093" s="890">
        <f>$S$1*P!AF3093</f>
        <v>0</v>
      </c>
    </row>
    <row r="3094" spans="19:32" x14ac:dyDescent="0.35">
      <c r="S3094" s="881">
        <v>3090</v>
      </c>
      <c r="T3094" s="881" t="s">
        <v>4284</v>
      </c>
      <c r="U3094" s="881" t="s">
        <v>2727</v>
      </c>
      <c r="V3094" s="883">
        <f>$S$1*P!V3094</f>
        <v>188.6</v>
      </c>
      <c r="W3094" s="780"/>
      <c r="X3094" s="782">
        <v>3090</v>
      </c>
      <c r="Y3094" s="782" t="s">
        <v>2248</v>
      </c>
      <c r="Z3094" s="782" t="s">
        <v>4757</v>
      </c>
      <c r="AA3094" s="781">
        <f>$S$1*P!AA3094</f>
        <v>1.1961693548387099E-2</v>
      </c>
      <c r="AB3094" s="780"/>
      <c r="AC3094" s="782">
        <v>3090</v>
      </c>
      <c r="AD3094" s="782" t="s">
        <v>4573</v>
      </c>
      <c r="AE3094" s="782" t="s">
        <v>4122</v>
      </c>
      <c r="AF3094" s="781">
        <f>$S$1*P!AF3094</f>
        <v>9.1512096774193558E-4</v>
      </c>
    </row>
    <row r="3095" spans="19:32" x14ac:dyDescent="0.35">
      <c r="S3095" s="881">
        <v>3091</v>
      </c>
      <c r="T3095" s="881" t="s">
        <v>4284</v>
      </c>
      <c r="U3095" s="881" t="s">
        <v>2726</v>
      </c>
      <c r="V3095" s="883">
        <f>$S$1*P!V3095</f>
        <v>72.036000000000001</v>
      </c>
      <c r="W3095" s="780"/>
      <c r="X3095" s="881">
        <v>3091</v>
      </c>
      <c r="Y3095" s="881" t="s">
        <v>2248</v>
      </c>
      <c r="Z3095" s="881" t="s">
        <v>2901</v>
      </c>
      <c r="AA3095" s="882">
        <f>$S$1*P!AA3095</f>
        <v>0.12787999999999999</v>
      </c>
      <c r="AB3095" s="780"/>
      <c r="AC3095" s="782">
        <v>3091</v>
      </c>
      <c r="AD3095" s="782" t="s">
        <v>4573</v>
      </c>
      <c r="AE3095" s="782" t="s">
        <v>2495</v>
      </c>
      <c r="AF3095" s="781">
        <f>$S$1*P!AF3095</f>
        <v>3.1600806451612909E-5</v>
      </c>
    </row>
    <row r="3096" spans="19:32" x14ac:dyDescent="0.35">
      <c r="S3096" s="881">
        <v>3092</v>
      </c>
      <c r="T3096" s="881" t="s">
        <v>4284</v>
      </c>
      <c r="U3096" s="881" t="s">
        <v>2724</v>
      </c>
      <c r="V3096" s="883">
        <f>$S$1*P!V3096</f>
        <v>196.88</v>
      </c>
      <c r="W3096" s="780"/>
      <c r="X3096" s="881">
        <v>3092</v>
      </c>
      <c r="Y3096" s="881" t="s">
        <v>2248</v>
      </c>
      <c r="Z3096" s="881" t="s">
        <v>2900</v>
      </c>
      <c r="AA3096" s="882">
        <f>$S$1*P!AA3096</f>
        <v>0</v>
      </c>
      <c r="AB3096" s="780"/>
      <c r="AC3096" s="881">
        <v>3092</v>
      </c>
      <c r="AD3096" s="881" t="s">
        <v>4573</v>
      </c>
      <c r="AE3096" s="881" t="s">
        <v>2495</v>
      </c>
      <c r="AF3096" s="890">
        <f>$S$1*P!AF3096</f>
        <v>0</v>
      </c>
    </row>
    <row r="3097" spans="19:32" x14ac:dyDescent="0.35">
      <c r="S3097" s="881">
        <v>3093</v>
      </c>
      <c r="T3097" s="881" t="s">
        <v>4284</v>
      </c>
      <c r="U3097" s="881" t="s">
        <v>2722</v>
      </c>
      <c r="V3097" s="883">
        <f>$S$1*P!V3097</f>
        <v>458.15999999999997</v>
      </c>
      <c r="W3097" s="780"/>
      <c r="X3097" s="782">
        <v>3093</v>
      </c>
      <c r="Y3097" s="782" t="s">
        <v>2248</v>
      </c>
      <c r="Z3097" s="782" t="s">
        <v>3262</v>
      </c>
      <c r="AA3097" s="781">
        <f>$S$1*P!AA3097</f>
        <v>3.1806451612903229E-3</v>
      </c>
      <c r="AB3097" s="780"/>
      <c r="AC3097" s="782">
        <v>3093</v>
      </c>
      <c r="AD3097" s="782" t="s">
        <v>4573</v>
      </c>
      <c r="AE3097" s="782" t="s">
        <v>4119</v>
      </c>
      <c r="AF3097" s="781">
        <f>$S$1*P!AF3097</f>
        <v>1.5903225806451613E-4</v>
      </c>
    </row>
    <row r="3098" spans="19:32" x14ac:dyDescent="0.35">
      <c r="S3098" s="881">
        <v>3094</v>
      </c>
      <c r="T3098" s="881" t="s">
        <v>4284</v>
      </c>
      <c r="U3098" s="881" t="s">
        <v>2721</v>
      </c>
      <c r="V3098" s="883">
        <f>$S$1*P!V3098</f>
        <v>3.6707999999999998</v>
      </c>
      <c r="W3098" s="780"/>
      <c r="X3098" s="782">
        <v>3094</v>
      </c>
      <c r="Y3098" s="782" t="s">
        <v>2248</v>
      </c>
      <c r="Z3098" s="782" t="s">
        <v>4756</v>
      </c>
      <c r="AA3098" s="781">
        <f>$S$1*P!AA3098</f>
        <v>6.3407258064516138E-5</v>
      </c>
      <c r="AB3098" s="780"/>
      <c r="AC3098" s="782">
        <v>3094</v>
      </c>
      <c r="AD3098" s="782" t="s">
        <v>4573</v>
      </c>
      <c r="AE3098" s="782" t="s">
        <v>2493</v>
      </c>
      <c r="AF3098" s="781">
        <f>$S$1*P!AF3098</f>
        <v>9.9052419354838717E-4</v>
      </c>
    </row>
    <row r="3099" spans="19:32" x14ac:dyDescent="0.35">
      <c r="S3099" s="881">
        <v>3095</v>
      </c>
      <c r="T3099" s="881" t="s">
        <v>4284</v>
      </c>
      <c r="U3099" s="881" t="s">
        <v>2719</v>
      </c>
      <c r="V3099" s="883">
        <f>$S$1*P!V3099</f>
        <v>185.84</v>
      </c>
      <c r="W3099" s="780"/>
      <c r="X3099" s="881">
        <v>3095</v>
      </c>
      <c r="Y3099" s="881" t="s">
        <v>2248</v>
      </c>
      <c r="Z3099" s="881" t="s">
        <v>2898</v>
      </c>
      <c r="AA3099" s="882">
        <f>$S$1*P!AA3099</f>
        <v>0</v>
      </c>
      <c r="AB3099" s="780"/>
      <c r="AC3099" s="881">
        <v>3095</v>
      </c>
      <c r="AD3099" s="881" t="s">
        <v>4573</v>
      </c>
      <c r="AE3099" s="881" t="s">
        <v>2493</v>
      </c>
      <c r="AF3099" s="890">
        <f>$S$1*P!AF3099</f>
        <v>0.35604000000000002</v>
      </c>
    </row>
    <row r="3100" spans="19:32" x14ac:dyDescent="0.35">
      <c r="S3100" s="881">
        <v>3096</v>
      </c>
      <c r="T3100" s="881" t="s">
        <v>4284</v>
      </c>
      <c r="U3100" s="881" t="s">
        <v>2718</v>
      </c>
      <c r="V3100" s="883">
        <f>$S$1*P!V3100</f>
        <v>434.24</v>
      </c>
      <c r="W3100" s="780"/>
      <c r="X3100" s="782">
        <v>3096</v>
      </c>
      <c r="Y3100" s="782" t="s">
        <v>2248</v>
      </c>
      <c r="Z3100" s="782" t="s">
        <v>2898</v>
      </c>
      <c r="AA3100" s="781">
        <f>$S$1*P!AA3100</f>
        <v>4.1471774193548392E-3</v>
      </c>
      <c r="AB3100" s="780"/>
      <c r="AC3100" s="782">
        <v>3096</v>
      </c>
      <c r="AD3100" s="782" t="s">
        <v>4573</v>
      </c>
      <c r="AE3100" s="782" t="s">
        <v>2492</v>
      </c>
      <c r="AF3100" s="781">
        <f>$S$1*P!AF3100</f>
        <v>3.1189516129032261E-2</v>
      </c>
    </row>
    <row r="3101" spans="19:32" x14ac:dyDescent="0.35">
      <c r="S3101" s="881">
        <v>3097</v>
      </c>
      <c r="T3101" s="881" t="s">
        <v>4284</v>
      </c>
      <c r="U3101" s="881" t="s">
        <v>2716</v>
      </c>
      <c r="V3101" s="883">
        <f>$S$1*P!V3101</f>
        <v>4968</v>
      </c>
      <c r="W3101" s="780"/>
      <c r="X3101" s="782">
        <v>3097</v>
      </c>
      <c r="Y3101" s="782" t="s">
        <v>2248</v>
      </c>
      <c r="Z3101" s="782" t="s">
        <v>4755</v>
      </c>
      <c r="AA3101" s="781">
        <f>$S$1*P!AA3101</f>
        <v>6.8891129032258065E-5</v>
      </c>
      <c r="AB3101" s="780"/>
      <c r="AC3101" s="881">
        <v>3097</v>
      </c>
      <c r="AD3101" s="881" t="s">
        <v>4573</v>
      </c>
      <c r="AE3101" s="881" t="s">
        <v>2492</v>
      </c>
      <c r="AF3101" s="890">
        <f>$S$1*P!AF3101</f>
        <v>6.2927999999999997</v>
      </c>
    </row>
    <row r="3102" spans="19:32" x14ac:dyDescent="0.35">
      <c r="S3102" s="881">
        <v>3098</v>
      </c>
      <c r="T3102" s="881" t="s">
        <v>4284</v>
      </c>
      <c r="U3102" s="881" t="s">
        <v>2715</v>
      </c>
      <c r="V3102" s="883">
        <f>$S$1*P!V3102</f>
        <v>487.59999999999997</v>
      </c>
      <c r="W3102" s="780"/>
      <c r="X3102" s="881">
        <v>3098</v>
      </c>
      <c r="Y3102" s="881" t="s">
        <v>2248</v>
      </c>
      <c r="Z3102" s="881" t="s">
        <v>2897</v>
      </c>
      <c r="AA3102" s="882">
        <f>$S$1*P!AA3102</f>
        <v>0</v>
      </c>
      <c r="AB3102" s="780"/>
      <c r="AC3102" s="881">
        <v>3098</v>
      </c>
      <c r="AD3102" s="881" t="s">
        <v>4573</v>
      </c>
      <c r="AE3102" s="881" t="s">
        <v>2490</v>
      </c>
      <c r="AF3102" s="890">
        <f>$S$1*P!AF3102</f>
        <v>0</v>
      </c>
    </row>
    <row r="3103" spans="19:32" x14ac:dyDescent="0.35">
      <c r="S3103" s="881">
        <v>3099</v>
      </c>
      <c r="T3103" s="881" t="s">
        <v>4284</v>
      </c>
      <c r="U3103" s="881" t="s">
        <v>2713</v>
      </c>
      <c r="V3103" s="883">
        <f>$S$1*P!V3103</f>
        <v>16.283999999999999</v>
      </c>
      <c r="W3103" s="780"/>
      <c r="X3103" s="782">
        <v>3099</v>
      </c>
      <c r="Y3103" s="782" t="s">
        <v>2248</v>
      </c>
      <c r="Z3103" s="782" t="s">
        <v>2897</v>
      </c>
      <c r="AA3103" s="781">
        <f>$S$1*P!AA3103</f>
        <v>3.5645161290322587E-4</v>
      </c>
      <c r="AB3103" s="780"/>
      <c r="AC3103" s="881">
        <v>3099</v>
      </c>
      <c r="AD3103" s="881" t="s">
        <v>4573</v>
      </c>
      <c r="AE3103" s="881" t="s">
        <v>2488</v>
      </c>
      <c r="AF3103" s="890">
        <f>$S$1*P!AF3103</f>
        <v>1.4996</v>
      </c>
    </row>
    <row r="3104" spans="19:32" x14ac:dyDescent="0.35">
      <c r="S3104" s="881">
        <v>3100</v>
      </c>
      <c r="T3104" s="881" t="s">
        <v>4284</v>
      </c>
      <c r="U3104" s="881" t="s">
        <v>2711</v>
      </c>
      <c r="V3104" s="883">
        <f>$S$1*P!V3104</f>
        <v>86.02</v>
      </c>
      <c r="W3104" s="780"/>
      <c r="X3104" s="782">
        <v>3100</v>
      </c>
      <c r="Y3104" s="782" t="s">
        <v>2248</v>
      </c>
      <c r="Z3104" s="782" t="s">
        <v>3256</v>
      </c>
      <c r="AA3104" s="781">
        <f>$S$1*P!AA3104</f>
        <v>4.9354838709677424E-3</v>
      </c>
      <c r="AB3104" s="780"/>
      <c r="AC3104" s="782">
        <v>3100</v>
      </c>
      <c r="AD3104" s="782" t="s">
        <v>4573</v>
      </c>
      <c r="AE3104" s="782" t="s">
        <v>4117</v>
      </c>
      <c r="AF3104" s="781">
        <f>$S$1*P!AF3104</f>
        <v>1.0625</v>
      </c>
    </row>
    <row r="3105" spans="19:32" x14ac:dyDescent="0.35">
      <c r="S3105" s="881">
        <v>3101</v>
      </c>
      <c r="T3105" s="881" t="s">
        <v>4284</v>
      </c>
      <c r="U3105" s="881" t="s">
        <v>2710</v>
      </c>
      <c r="V3105" s="883">
        <f>$S$1*P!V3105</f>
        <v>5.3267999999999995</v>
      </c>
      <c r="W3105" s="780"/>
      <c r="X3105" s="782">
        <v>3101</v>
      </c>
      <c r="Y3105" s="782" t="s">
        <v>2248</v>
      </c>
      <c r="Z3105" s="782" t="s">
        <v>4754</v>
      </c>
      <c r="AA3105" s="781">
        <f>$S$1*P!AA3105</f>
        <v>1.3881048387096774E-4</v>
      </c>
      <c r="AB3105" s="780"/>
      <c r="AC3105" s="782">
        <v>3101</v>
      </c>
      <c r="AD3105" s="782" t="s">
        <v>4573</v>
      </c>
      <c r="AE3105" s="782" t="s">
        <v>4116</v>
      </c>
      <c r="AF3105" s="781">
        <f>$S$1*P!AF3105</f>
        <v>6.2036290322580649</v>
      </c>
    </row>
    <row r="3106" spans="19:32" x14ac:dyDescent="0.35">
      <c r="S3106" s="782">
        <v>3102</v>
      </c>
      <c r="T3106" s="782" t="s">
        <v>4284</v>
      </c>
      <c r="U3106" s="782" t="s">
        <v>2611</v>
      </c>
      <c r="V3106" s="797">
        <f>$S$1*P!V3106</f>
        <v>8.3629032258064531E-3</v>
      </c>
      <c r="W3106" s="780"/>
      <c r="X3106" s="782">
        <v>3102</v>
      </c>
      <c r="Y3106" s="782" t="s">
        <v>2248</v>
      </c>
      <c r="Z3106" s="782" t="s">
        <v>3253</v>
      </c>
      <c r="AA3106" s="781">
        <f>$S$1*P!AA3106</f>
        <v>3.2766129032258069E-2</v>
      </c>
      <c r="AB3106" s="780"/>
      <c r="AC3106" s="782">
        <v>3102</v>
      </c>
      <c r="AD3106" s="782" t="s">
        <v>4573</v>
      </c>
      <c r="AE3106" s="782" t="s">
        <v>4114</v>
      </c>
      <c r="AF3106" s="781">
        <f>$S$1*P!AF3106</f>
        <v>0.15354838709677421</v>
      </c>
    </row>
    <row r="3107" spans="19:32" x14ac:dyDescent="0.35">
      <c r="S3107" s="881">
        <v>3103</v>
      </c>
      <c r="T3107" s="881" t="s">
        <v>4284</v>
      </c>
      <c r="U3107" s="881" t="s">
        <v>2708</v>
      </c>
      <c r="V3107" s="883">
        <f>$S$1*P!V3107</f>
        <v>0.30084</v>
      </c>
      <c r="W3107" s="780"/>
      <c r="X3107" s="782">
        <v>3103</v>
      </c>
      <c r="Y3107" s="782" t="s">
        <v>2248</v>
      </c>
      <c r="Z3107" s="782" t="s">
        <v>3250</v>
      </c>
      <c r="AA3107" s="781">
        <f>$S$1*P!AA3107</f>
        <v>8.1229838709677427E-2</v>
      </c>
      <c r="AB3107" s="780"/>
      <c r="AC3107" s="782">
        <v>3103</v>
      </c>
      <c r="AD3107" s="782" t="s">
        <v>4573</v>
      </c>
      <c r="AE3107" s="782" t="s">
        <v>4113</v>
      </c>
      <c r="AF3107" s="781">
        <f>$S$1*P!AF3107</f>
        <v>4.5927419354838711E-2</v>
      </c>
    </row>
    <row r="3108" spans="19:32" x14ac:dyDescent="0.35">
      <c r="S3108" s="881">
        <v>3104</v>
      </c>
      <c r="T3108" s="881" t="s">
        <v>4284</v>
      </c>
      <c r="U3108" s="881" t="s">
        <v>2707</v>
      </c>
      <c r="V3108" s="883">
        <f>$S$1*P!V3108</f>
        <v>0</v>
      </c>
      <c r="W3108" s="780"/>
      <c r="X3108" s="782">
        <v>3104</v>
      </c>
      <c r="Y3108" s="782" t="s">
        <v>2248</v>
      </c>
      <c r="Z3108" s="782" t="s">
        <v>3379</v>
      </c>
      <c r="AA3108" s="781">
        <f>$S$1*P!AA3108</f>
        <v>3.6673387096774194E-4</v>
      </c>
      <c r="AB3108" s="780"/>
      <c r="AC3108" s="782">
        <v>3104</v>
      </c>
      <c r="AD3108" s="782" t="s">
        <v>4573</v>
      </c>
      <c r="AE3108" s="782" t="s">
        <v>2487</v>
      </c>
      <c r="AF3108" s="781">
        <f>$S$1*P!AF3108</f>
        <v>0.15868951612903226</v>
      </c>
    </row>
    <row r="3109" spans="19:32" x14ac:dyDescent="0.35">
      <c r="S3109" s="782">
        <v>3105</v>
      </c>
      <c r="T3109" s="782" t="s">
        <v>4284</v>
      </c>
      <c r="U3109" s="782" t="s">
        <v>2608</v>
      </c>
      <c r="V3109" s="797">
        <f>$S$1*P!V3109</f>
        <v>9.2883064516129047E-3</v>
      </c>
      <c r="W3109" s="780"/>
      <c r="X3109" s="782">
        <v>3105</v>
      </c>
      <c r="Y3109" s="782" t="s">
        <v>2248</v>
      </c>
      <c r="Z3109" s="782" t="s">
        <v>3247</v>
      </c>
      <c r="AA3109" s="781">
        <f>$S$1*P!AA3109</f>
        <v>5.9294354838709687E-4</v>
      </c>
      <c r="AB3109" s="780"/>
      <c r="AC3109" s="881">
        <v>3105</v>
      </c>
      <c r="AD3109" s="881" t="s">
        <v>4573</v>
      </c>
      <c r="AE3109" s="881" t="s">
        <v>2487</v>
      </c>
      <c r="AF3109" s="890">
        <f>$S$1*P!AF3109</f>
        <v>0</v>
      </c>
    </row>
    <row r="3110" spans="19:32" x14ac:dyDescent="0.35">
      <c r="S3110" s="782">
        <v>3106</v>
      </c>
      <c r="T3110" s="782" t="s">
        <v>4284</v>
      </c>
      <c r="U3110" s="782" t="s">
        <v>2605</v>
      </c>
      <c r="V3110" s="797">
        <f>$S$1*P!V3110</f>
        <v>3.804435483870968E-4</v>
      </c>
      <c r="W3110" s="780"/>
      <c r="X3110" s="782">
        <v>3106</v>
      </c>
      <c r="Y3110" s="782" t="s">
        <v>2248</v>
      </c>
      <c r="Z3110" s="782" t="s">
        <v>3245</v>
      </c>
      <c r="AA3110" s="781">
        <f>$S$1*P!AA3110</f>
        <v>1.3846774193548388</v>
      </c>
      <c r="AB3110" s="780"/>
      <c r="AC3110" s="782">
        <v>3106</v>
      </c>
      <c r="AD3110" s="782" t="s">
        <v>4573</v>
      </c>
      <c r="AE3110" s="782" t="s">
        <v>4111</v>
      </c>
      <c r="AF3110" s="781">
        <f>$S$1*P!AF3110</f>
        <v>0.89798387096774201</v>
      </c>
    </row>
    <row r="3111" spans="19:32" x14ac:dyDescent="0.35">
      <c r="S3111" s="782">
        <v>3107</v>
      </c>
      <c r="T3111" s="782" t="s">
        <v>4284</v>
      </c>
      <c r="U3111" s="782" t="s">
        <v>2603</v>
      </c>
      <c r="V3111" s="797">
        <f>$S$1*P!V3111</f>
        <v>0.13435483870967743</v>
      </c>
      <c r="W3111" s="780"/>
      <c r="X3111" s="782">
        <v>3107</v>
      </c>
      <c r="Y3111" s="782" t="s">
        <v>2248</v>
      </c>
      <c r="Z3111" s="782" t="s">
        <v>3375</v>
      </c>
      <c r="AA3111" s="781">
        <f>$S$1*P!AA3111</f>
        <v>2.0153225806451613E-4</v>
      </c>
      <c r="AB3111" s="780"/>
      <c r="AC3111" s="782">
        <v>3107</v>
      </c>
      <c r="AD3111" s="782" t="s">
        <v>4573</v>
      </c>
      <c r="AE3111" s="782" t="s">
        <v>4109</v>
      </c>
      <c r="AF3111" s="781">
        <f>$S$1*P!AF3111</f>
        <v>2.6082661290322581E-3</v>
      </c>
    </row>
    <row r="3112" spans="19:32" x14ac:dyDescent="0.35">
      <c r="S3112" s="782">
        <v>3108</v>
      </c>
      <c r="T3112" s="782" t="s">
        <v>4284</v>
      </c>
      <c r="U3112" s="782" t="s">
        <v>2600</v>
      </c>
      <c r="V3112" s="797">
        <f>$S$1*P!V3112</f>
        <v>1.4977822580645162E-2</v>
      </c>
      <c r="W3112" s="780"/>
      <c r="X3112" s="782">
        <v>3108</v>
      </c>
      <c r="Y3112" s="782" t="s">
        <v>2248</v>
      </c>
      <c r="Z3112" s="782" t="s">
        <v>3242</v>
      </c>
      <c r="AA3112" s="781">
        <f>$S$1*P!AA3112</f>
        <v>6.4435483870967749</v>
      </c>
      <c r="AB3112" s="780"/>
      <c r="AC3112" s="881">
        <v>3108</v>
      </c>
      <c r="AD3112" s="881" t="s">
        <v>4573</v>
      </c>
      <c r="AE3112" s="881" t="s">
        <v>2485</v>
      </c>
      <c r="AF3112" s="890">
        <f>$S$1*P!AF3112</f>
        <v>0.35604000000000002</v>
      </c>
    </row>
    <row r="3113" spans="19:32" x14ac:dyDescent="0.35">
      <c r="S3113" s="782">
        <v>3109</v>
      </c>
      <c r="T3113" s="782" t="s">
        <v>4284</v>
      </c>
      <c r="U3113" s="782" t="s">
        <v>2597</v>
      </c>
      <c r="V3113" s="797">
        <f>$S$1*P!V3113</f>
        <v>6.7177419354838707E-5</v>
      </c>
      <c r="W3113" s="780"/>
      <c r="X3113" s="782">
        <v>3109</v>
      </c>
      <c r="Y3113" s="782" t="s">
        <v>2248</v>
      </c>
      <c r="Z3113" s="782" t="s">
        <v>3239</v>
      </c>
      <c r="AA3113" s="781">
        <f>$S$1*P!AA3113</f>
        <v>0.25088709677419357</v>
      </c>
      <c r="AB3113" s="780"/>
      <c r="AC3113" s="782">
        <v>3109</v>
      </c>
      <c r="AD3113" s="782" t="s">
        <v>4573</v>
      </c>
      <c r="AE3113" s="782" t="s">
        <v>4108</v>
      </c>
      <c r="AF3113" s="781">
        <f>$S$1*P!AF3113</f>
        <v>7.7802419354838712E-3</v>
      </c>
    </row>
    <row r="3114" spans="19:32" x14ac:dyDescent="0.35">
      <c r="S3114" s="782">
        <v>3110</v>
      </c>
      <c r="T3114" s="782" t="s">
        <v>4284</v>
      </c>
      <c r="U3114" s="782" t="s">
        <v>2594</v>
      </c>
      <c r="V3114" s="797">
        <f>$S$1*P!V3114</f>
        <v>2.2004032258064517E-5</v>
      </c>
      <c r="W3114" s="780"/>
      <c r="X3114" s="782">
        <v>3110</v>
      </c>
      <c r="Y3114" s="782" t="s">
        <v>2248</v>
      </c>
      <c r="Z3114" s="782" t="s">
        <v>3236</v>
      </c>
      <c r="AA3114" s="781">
        <f>$S$1*P!AA3114</f>
        <v>6.4435483870967749</v>
      </c>
      <c r="AB3114" s="780"/>
      <c r="AC3114" s="782">
        <v>3110</v>
      </c>
      <c r="AD3114" s="782" t="s">
        <v>4573</v>
      </c>
      <c r="AE3114" s="782" t="s">
        <v>2484</v>
      </c>
      <c r="AF3114" s="781">
        <f>$S$1*P!AF3114</f>
        <v>0.14943548387096775</v>
      </c>
    </row>
    <row r="3115" spans="19:32" x14ac:dyDescent="0.35">
      <c r="S3115" s="782">
        <v>3111</v>
      </c>
      <c r="T3115" s="782" t="s">
        <v>4284</v>
      </c>
      <c r="U3115" s="782" t="s">
        <v>2591</v>
      </c>
      <c r="V3115" s="797">
        <f>$S$1*P!V3115</f>
        <v>6.2036290322580647E-3</v>
      </c>
      <c r="W3115" s="780"/>
      <c r="X3115" s="782">
        <v>3111</v>
      </c>
      <c r="Y3115" s="782" t="s">
        <v>2248</v>
      </c>
      <c r="Z3115" s="782" t="s">
        <v>4753</v>
      </c>
      <c r="AA3115" s="781">
        <f>$S$1*P!AA3115</f>
        <v>1.1036290322580648E-3</v>
      </c>
      <c r="AB3115" s="780"/>
      <c r="AC3115" s="881">
        <v>3111</v>
      </c>
      <c r="AD3115" s="881" t="s">
        <v>4573</v>
      </c>
      <c r="AE3115" s="881" t="s">
        <v>2484</v>
      </c>
      <c r="AF3115" s="890">
        <f>$S$1*P!AF3115</f>
        <v>6.2651999999999999E-2</v>
      </c>
    </row>
    <row r="3116" spans="19:32" x14ac:dyDescent="0.35">
      <c r="S3116" s="881">
        <v>3112</v>
      </c>
      <c r="T3116" s="881" t="s">
        <v>4284</v>
      </c>
      <c r="U3116" s="881" t="s">
        <v>2705</v>
      </c>
      <c r="V3116" s="883">
        <f>$S$1*P!V3116</f>
        <v>10.119999999999999</v>
      </c>
      <c r="W3116" s="780"/>
      <c r="X3116" s="782">
        <v>3112</v>
      </c>
      <c r="Y3116" s="782" t="s">
        <v>2248</v>
      </c>
      <c r="Z3116" s="782" t="s">
        <v>3234</v>
      </c>
      <c r="AA3116" s="781">
        <f>$S$1*P!AA3116</f>
        <v>4.6955645161290331E-5</v>
      </c>
      <c r="AB3116" s="780"/>
      <c r="AC3116" s="782">
        <v>3112</v>
      </c>
      <c r="AD3116" s="782" t="s">
        <v>4573</v>
      </c>
      <c r="AE3116" s="782" t="s">
        <v>4105</v>
      </c>
      <c r="AF3116" s="781">
        <f>$S$1*P!AF3116</f>
        <v>9.116935483870969E-3</v>
      </c>
    </row>
    <row r="3117" spans="19:32" x14ac:dyDescent="0.35">
      <c r="S3117" s="881">
        <v>3113</v>
      </c>
      <c r="T3117" s="881" t="s">
        <v>4284</v>
      </c>
      <c r="U3117" s="881" t="s">
        <v>2704</v>
      </c>
      <c r="V3117" s="883">
        <f>$S$1*P!V3117</f>
        <v>4.6828000000000003</v>
      </c>
      <c r="W3117" s="780"/>
      <c r="X3117" s="881">
        <v>3113</v>
      </c>
      <c r="Y3117" s="881" t="s">
        <v>2248</v>
      </c>
      <c r="Z3117" s="881" t="s">
        <v>2896</v>
      </c>
      <c r="AA3117" s="882">
        <f>$S$1*P!AA3117</f>
        <v>0</v>
      </c>
      <c r="AB3117" s="780"/>
      <c r="AC3117" s="782">
        <v>3113</v>
      </c>
      <c r="AD3117" s="782" t="s">
        <v>4573</v>
      </c>
      <c r="AE3117" s="782" t="s">
        <v>4104</v>
      </c>
      <c r="AF3117" s="781">
        <f>$S$1*P!AF3117</f>
        <v>2.765927419354839E-2</v>
      </c>
    </row>
    <row r="3118" spans="19:32" x14ac:dyDescent="0.35">
      <c r="S3118" s="782">
        <v>3114</v>
      </c>
      <c r="T3118" s="782" t="s">
        <v>4284</v>
      </c>
      <c r="U3118" s="782" t="s">
        <v>2589</v>
      </c>
      <c r="V3118" s="797">
        <f>$S$1*P!V3118</f>
        <v>1.0933467741935485E-3</v>
      </c>
      <c r="W3118" s="780"/>
      <c r="X3118" s="782">
        <v>3114</v>
      </c>
      <c r="Y3118" s="782" t="s">
        <v>2248</v>
      </c>
      <c r="Z3118" s="782" t="s">
        <v>4752</v>
      </c>
      <c r="AA3118" s="781">
        <f>$S$1*P!AA3118</f>
        <v>9.082661290322581E-4</v>
      </c>
      <c r="AB3118" s="780"/>
      <c r="AC3118" s="782">
        <v>3114</v>
      </c>
      <c r="AD3118" s="782" t="s">
        <v>4573</v>
      </c>
      <c r="AE3118" s="782" t="s">
        <v>4103</v>
      </c>
      <c r="AF3118" s="781">
        <f>$S$1*P!AF3118</f>
        <v>15.35483870967742</v>
      </c>
    </row>
    <row r="3119" spans="19:32" x14ac:dyDescent="0.35">
      <c r="S3119" s="897">
        <v>3115</v>
      </c>
      <c r="T3119" s="897" t="s">
        <v>4284</v>
      </c>
      <c r="U3119" s="861" t="s">
        <v>4751</v>
      </c>
      <c r="V3119" s="862">
        <f>$S$1*P!V3119</f>
        <v>5.35</v>
      </c>
      <c r="W3119" s="780"/>
      <c r="X3119" s="782">
        <v>3115</v>
      </c>
      <c r="Y3119" s="782" t="s">
        <v>2248</v>
      </c>
      <c r="Z3119" s="782" t="s">
        <v>2896</v>
      </c>
      <c r="AA3119" s="781">
        <f>$S$1*P!AA3119</f>
        <v>0.35987903225806456</v>
      </c>
      <c r="AB3119" s="780"/>
      <c r="AC3119" s="782">
        <v>3115</v>
      </c>
      <c r="AD3119" s="782" t="s">
        <v>4573</v>
      </c>
      <c r="AE3119" s="782" t="s">
        <v>4102</v>
      </c>
      <c r="AF3119" s="781">
        <f>$S$1*P!AF3119</f>
        <v>1.9090725806451614</v>
      </c>
    </row>
    <row r="3120" spans="19:32" x14ac:dyDescent="0.35">
      <c r="S3120" s="881">
        <v>3116</v>
      </c>
      <c r="T3120" s="881" t="s">
        <v>4284</v>
      </c>
      <c r="U3120" s="881" t="s">
        <v>2702</v>
      </c>
      <c r="V3120" s="883">
        <f>$S$1*P!V3120</f>
        <v>65.688000000000002</v>
      </c>
      <c r="W3120" s="780"/>
      <c r="X3120" s="782">
        <v>3116</v>
      </c>
      <c r="Y3120" s="782" t="s">
        <v>2248</v>
      </c>
      <c r="Z3120" s="782" t="s">
        <v>4750</v>
      </c>
      <c r="AA3120" s="781">
        <f>$S$1*P!AA3120</f>
        <v>6.5806451612903227E-3</v>
      </c>
      <c r="AB3120" s="780"/>
      <c r="AC3120" s="782">
        <v>3116</v>
      </c>
      <c r="AD3120" s="782" t="s">
        <v>4573</v>
      </c>
      <c r="AE3120" s="782" t="s">
        <v>4101</v>
      </c>
      <c r="AF3120" s="781">
        <f>$S$1*P!AF3120</f>
        <v>6.8548387096774199</v>
      </c>
    </row>
    <row r="3121" spans="19:32" x14ac:dyDescent="0.35">
      <c r="S3121" s="881">
        <v>3117</v>
      </c>
      <c r="T3121" s="881" t="s">
        <v>4284</v>
      </c>
      <c r="U3121" s="881" t="s">
        <v>2701</v>
      </c>
      <c r="V3121" s="883">
        <f>$S$1*P!V3121</f>
        <v>20.515999999999998</v>
      </c>
      <c r="W3121" s="780"/>
      <c r="X3121" s="881">
        <v>3117</v>
      </c>
      <c r="Y3121" s="881" t="s">
        <v>2248</v>
      </c>
      <c r="Z3121" s="881" t="s">
        <v>2894</v>
      </c>
      <c r="AA3121" s="882">
        <f>$S$1*P!AA3121</f>
        <v>1.104E-4</v>
      </c>
      <c r="AB3121" s="780"/>
      <c r="AC3121" s="782">
        <v>3117</v>
      </c>
      <c r="AD3121" s="782" t="s">
        <v>4573</v>
      </c>
      <c r="AE3121" s="782" t="s">
        <v>2482</v>
      </c>
      <c r="AF3121" s="781">
        <f>$S$1*P!AF3121</f>
        <v>44.213709677419359</v>
      </c>
    </row>
    <row r="3122" spans="19:32" x14ac:dyDescent="0.35">
      <c r="S3122" s="881">
        <v>3118</v>
      </c>
      <c r="T3122" s="881" t="s">
        <v>4284</v>
      </c>
      <c r="U3122" s="881" t="s">
        <v>2699</v>
      </c>
      <c r="V3122" s="883">
        <f>$S$1*P!V3122</f>
        <v>0</v>
      </c>
      <c r="W3122" s="780"/>
      <c r="X3122" s="782">
        <v>3118</v>
      </c>
      <c r="Y3122" s="782" t="s">
        <v>2248</v>
      </c>
      <c r="Z3122" s="782" t="s">
        <v>3229</v>
      </c>
      <c r="AA3122" s="781">
        <f>$S$1*P!AA3122</f>
        <v>2.2997983870967746E-5</v>
      </c>
      <c r="AB3122" s="780"/>
      <c r="AC3122" s="881">
        <v>3118</v>
      </c>
      <c r="AD3122" s="881" t="s">
        <v>4573</v>
      </c>
      <c r="AE3122" s="881" t="s">
        <v>2482</v>
      </c>
      <c r="AF3122" s="890">
        <f>$S$1*P!AF3122</f>
        <v>36.984000000000002</v>
      </c>
    </row>
    <row r="3123" spans="19:32" x14ac:dyDescent="0.35">
      <c r="S3123" s="881">
        <v>3119</v>
      </c>
      <c r="T3123" s="881" t="s">
        <v>4284</v>
      </c>
      <c r="U3123" s="881" t="s">
        <v>2697</v>
      </c>
      <c r="V3123" s="883">
        <f>$S$1*P!V3123</f>
        <v>68.724000000000004</v>
      </c>
      <c r="W3123" s="780"/>
      <c r="X3123" s="782">
        <v>3119</v>
      </c>
      <c r="Y3123" s="782" t="s">
        <v>2248</v>
      </c>
      <c r="Z3123" s="782" t="s">
        <v>3226</v>
      </c>
      <c r="AA3123" s="781">
        <f>$S$1*P!AA3123</f>
        <v>2.268951612903226E-3</v>
      </c>
      <c r="AB3123" s="780"/>
      <c r="AC3123" s="881">
        <v>3119</v>
      </c>
      <c r="AD3123" s="881" t="s">
        <v>4573</v>
      </c>
      <c r="AE3123" s="881" t="s">
        <v>2481</v>
      </c>
      <c r="AF3123" s="890">
        <f>$S$1*P!AF3123</f>
        <v>77.004000000000005</v>
      </c>
    </row>
    <row r="3124" spans="19:32" x14ac:dyDescent="0.35">
      <c r="S3124" s="881">
        <v>3120</v>
      </c>
      <c r="T3124" s="881" t="s">
        <v>4284</v>
      </c>
      <c r="U3124" s="881" t="s">
        <v>2696</v>
      </c>
      <c r="V3124" s="883">
        <f>$S$1*P!V3124</f>
        <v>215.28</v>
      </c>
      <c r="W3124" s="780"/>
      <c r="X3124" s="782">
        <v>3120</v>
      </c>
      <c r="Y3124" s="782" t="s">
        <v>2248</v>
      </c>
      <c r="Z3124" s="782" t="s">
        <v>4749</v>
      </c>
      <c r="AA3124" s="781">
        <f>$S$1*P!AA3124</f>
        <v>1.1893145161290324E-2</v>
      </c>
      <c r="AB3124" s="780"/>
      <c r="AC3124" s="782">
        <v>3120</v>
      </c>
      <c r="AD3124" s="782" t="s">
        <v>4573</v>
      </c>
      <c r="AE3124" s="782" t="s">
        <v>4099</v>
      </c>
      <c r="AF3124" s="781">
        <f>$S$1*P!AF3124</f>
        <v>161.7741935483871</v>
      </c>
    </row>
    <row r="3125" spans="19:32" x14ac:dyDescent="0.35">
      <c r="S3125" s="881">
        <v>3121</v>
      </c>
      <c r="T3125" s="881" t="s">
        <v>4284</v>
      </c>
      <c r="U3125" s="881" t="s">
        <v>2694</v>
      </c>
      <c r="V3125" s="883">
        <f>$S$1*P!V3125</f>
        <v>22.263999999999999</v>
      </c>
      <c r="W3125" s="780"/>
      <c r="X3125" s="782">
        <v>3121</v>
      </c>
      <c r="Y3125" s="782" t="s">
        <v>2248</v>
      </c>
      <c r="Z3125" s="782" t="s">
        <v>3223</v>
      </c>
      <c r="AA3125" s="781">
        <f>$S$1*P!AA3125</f>
        <v>9.0826612903225826E-6</v>
      </c>
      <c r="AB3125" s="780"/>
      <c r="AC3125" s="782">
        <v>3121</v>
      </c>
      <c r="AD3125" s="782" t="s">
        <v>4573</v>
      </c>
      <c r="AE3125" s="782" t="s">
        <v>4097</v>
      </c>
      <c r="AF3125" s="781">
        <f>$S$1*P!AF3125</f>
        <v>1.6211693548387098</v>
      </c>
    </row>
    <row r="3126" spans="19:32" x14ac:dyDescent="0.35">
      <c r="S3126" s="881">
        <v>3122</v>
      </c>
      <c r="T3126" s="881" t="s">
        <v>4284</v>
      </c>
      <c r="U3126" s="881" t="s">
        <v>2693</v>
      </c>
      <c r="V3126" s="883">
        <f>$S$1*P!V3126</f>
        <v>21.527999999999999</v>
      </c>
      <c r="W3126" s="780"/>
      <c r="X3126" s="881">
        <v>3122</v>
      </c>
      <c r="Y3126" s="881" t="s">
        <v>2248</v>
      </c>
      <c r="Z3126" s="881" t="s">
        <v>2893</v>
      </c>
      <c r="AA3126" s="882">
        <f>$S$1*P!AA3126</f>
        <v>0</v>
      </c>
      <c r="AB3126" s="780"/>
      <c r="AC3126" s="782">
        <v>3122</v>
      </c>
      <c r="AD3126" s="782" t="s">
        <v>4573</v>
      </c>
      <c r="AE3126" s="782" t="s">
        <v>4096</v>
      </c>
      <c r="AF3126" s="781">
        <f>$S$1*P!AF3126</f>
        <v>13.743951612903228</v>
      </c>
    </row>
    <row r="3127" spans="19:32" x14ac:dyDescent="0.35">
      <c r="S3127" s="782">
        <v>3123</v>
      </c>
      <c r="T3127" s="782" t="s">
        <v>4284</v>
      </c>
      <c r="U3127" s="782" t="s">
        <v>2586</v>
      </c>
      <c r="V3127" s="797">
        <f>$S$1*P!V3127</f>
        <v>1.5080645161290324E-5</v>
      </c>
      <c r="W3127" s="780"/>
      <c r="X3127" s="782">
        <v>3123</v>
      </c>
      <c r="Y3127" s="782" t="s">
        <v>2248</v>
      </c>
      <c r="Z3127" s="782" t="s">
        <v>4748</v>
      </c>
      <c r="AA3127" s="781">
        <f>$S$1*P!AA3127</f>
        <v>2.4643145161290324E-4</v>
      </c>
      <c r="AB3127" s="780"/>
      <c r="AC3127" s="782">
        <v>3123</v>
      </c>
      <c r="AD3127" s="782" t="s">
        <v>4573</v>
      </c>
      <c r="AE3127" s="782" t="s">
        <v>4094</v>
      </c>
      <c r="AF3127" s="781">
        <f>$S$1*P!AF3127</f>
        <v>24.266129032258068</v>
      </c>
    </row>
    <row r="3128" spans="19:32" x14ac:dyDescent="0.35">
      <c r="S3128" s="881">
        <v>3124</v>
      </c>
      <c r="T3128" s="881" t="s">
        <v>4284</v>
      </c>
      <c r="U3128" s="881" t="s">
        <v>2586</v>
      </c>
      <c r="V3128" s="883">
        <f>$S$1*P!V3128</f>
        <v>549.24</v>
      </c>
      <c r="W3128" s="780"/>
      <c r="X3128" s="782">
        <v>3124</v>
      </c>
      <c r="Y3128" s="782" t="s">
        <v>2248</v>
      </c>
      <c r="Z3128" s="782" t="s">
        <v>2893</v>
      </c>
      <c r="AA3128" s="781">
        <f>$S$1*P!AA3128</f>
        <v>2.3580645161290324E-4</v>
      </c>
      <c r="AB3128" s="780"/>
      <c r="AC3128" s="782">
        <v>3124</v>
      </c>
      <c r="AD3128" s="782" t="s">
        <v>4573</v>
      </c>
      <c r="AE3128" s="782" t="s">
        <v>4093</v>
      </c>
      <c r="AF3128" s="781">
        <f>$S$1*P!AF3128</f>
        <v>0.68891129032258069</v>
      </c>
    </row>
    <row r="3129" spans="19:32" x14ac:dyDescent="0.35">
      <c r="S3129" s="782">
        <v>3125</v>
      </c>
      <c r="T3129" s="782" t="s">
        <v>4284</v>
      </c>
      <c r="U3129" s="782" t="s">
        <v>2583</v>
      </c>
      <c r="V3129" s="797">
        <f>$S$1*P!V3129</f>
        <v>5.1754032258064519E-5</v>
      </c>
      <c r="W3129" s="780"/>
      <c r="X3129" s="782">
        <v>3125</v>
      </c>
      <c r="Y3129" s="782" t="s">
        <v>2248</v>
      </c>
      <c r="Z3129" s="782" t="s">
        <v>3219</v>
      </c>
      <c r="AA3129" s="781">
        <f>$S$1*P!AA3129</f>
        <v>1.0590725806451613E-4</v>
      </c>
      <c r="AB3129" s="780"/>
      <c r="AC3129" s="782">
        <v>3125</v>
      </c>
      <c r="AD3129" s="782" t="s">
        <v>4573</v>
      </c>
      <c r="AE3129" s="782" t="s">
        <v>4092</v>
      </c>
      <c r="AF3129" s="781">
        <f>$S$1*P!AF3129</f>
        <v>0.16725806451612904</v>
      </c>
    </row>
    <row r="3130" spans="19:32" x14ac:dyDescent="0.35">
      <c r="S3130" s="881">
        <v>3126</v>
      </c>
      <c r="T3130" s="881" t="s">
        <v>4284</v>
      </c>
      <c r="U3130" s="881" t="s">
        <v>2583</v>
      </c>
      <c r="V3130" s="883">
        <f>$S$1*P!V3130</f>
        <v>243.79999999999998</v>
      </c>
      <c r="W3130" s="780"/>
      <c r="X3130" s="782">
        <v>3126</v>
      </c>
      <c r="Y3130" s="782" t="s">
        <v>2248</v>
      </c>
      <c r="Z3130" s="782" t="s">
        <v>4747</v>
      </c>
      <c r="AA3130" s="781">
        <f>$S$1*P!AA3130</f>
        <v>3.1977822580645161E-3</v>
      </c>
      <c r="AB3130" s="780"/>
      <c r="AC3130" s="782">
        <v>3126</v>
      </c>
      <c r="AD3130" s="782" t="s">
        <v>4573</v>
      </c>
      <c r="AE3130" s="782" t="s">
        <v>2479</v>
      </c>
      <c r="AF3130" s="781">
        <f>$S$1*P!AF3130</f>
        <v>1.9296370967741936E-3</v>
      </c>
    </row>
    <row r="3131" spans="19:32" x14ac:dyDescent="0.35">
      <c r="S3131" s="782">
        <v>3127</v>
      </c>
      <c r="T3131" s="782" t="s">
        <v>4284</v>
      </c>
      <c r="U3131" s="782" t="s">
        <v>2580</v>
      </c>
      <c r="V3131" s="797">
        <f>$S$1*P!V3131</f>
        <v>1.5903225806451614E-3</v>
      </c>
      <c r="W3131" s="780"/>
      <c r="X3131" s="782">
        <v>3127</v>
      </c>
      <c r="Y3131" s="782" t="s">
        <v>2248</v>
      </c>
      <c r="Z3131" s="782" t="s">
        <v>3216</v>
      </c>
      <c r="AA3131" s="781">
        <f>$S$1*P!AA3131</f>
        <v>3.4959677419354839E-4</v>
      </c>
      <c r="AB3131" s="780"/>
      <c r="AC3131" s="881">
        <v>3127</v>
      </c>
      <c r="AD3131" s="881" t="s">
        <v>4573</v>
      </c>
      <c r="AE3131" s="881" t="s">
        <v>2479</v>
      </c>
      <c r="AF3131" s="890">
        <f>$S$1*P!AF3131</f>
        <v>2.0148000000000001</v>
      </c>
    </row>
    <row r="3132" spans="19:32" x14ac:dyDescent="0.35">
      <c r="S3132" s="881">
        <v>3128</v>
      </c>
      <c r="T3132" s="881" t="s">
        <v>4284</v>
      </c>
      <c r="U3132" s="881" t="s">
        <v>2580</v>
      </c>
      <c r="V3132" s="883">
        <f>$S$1*P!V3132</f>
        <v>0.32383999999999996</v>
      </c>
      <c r="W3132" s="780"/>
      <c r="X3132" s="782">
        <v>3128</v>
      </c>
      <c r="Y3132" s="782" t="s">
        <v>2248</v>
      </c>
      <c r="Z3132" s="782" t="s">
        <v>3213</v>
      </c>
      <c r="AA3132" s="781">
        <f>$S$1*P!AA3132</f>
        <v>4.1129032258064518E-5</v>
      </c>
      <c r="AB3132" s="780"/>
      <c r="AC3132" s="881">
        <v>3128</v>
      </c>
      <c r="AD3132" s="881" t="s">
        <v>4573</v>
      </c>
      <c r="AE3132" s="881" t="s">
        <v>2477</v>
      </c>
      <c r="AF3132" s="890">
        <f>$S$1*P!AF3132</f>
        <v>0.62744</v>
      </c>
    </row>
    <row r="3133" spans="19:32" x14ac:dyDescent="0.35">
      <c r="S3133" s="881">
        <v>3129</v>
      </c>
      <c r="T3133" s="881" t="s">
        <v>4284</v>
      </c>
      <c r="U3133" s="881" t="s">
        <v>2689</v>
      </c>
      <c r="V3133" s="883">
        <f>$S$1*P!V3133</f>
        <v>72.587999999999994</v>
      </c>
      <c r="W3133" s="780"/>
      <c r="X3133" s="782">
        <v>3129</v>
      </c>
      <c r="Y3133" s="782" t="s">
        <v>2248</v>
      </c>
      <c r="Z3133" s="782" t="s">
        <v>3211</v>
      </c>
      <c r="AA3133" s="781">
        <f>$S$1*P!AA3133</f>
        <v>9.2197580645161301E-2</v>
      </c>
      <c r="AB3133" s="780"/>
      <c r="AC3133" s="782">
        <v>3129</v>
      </c>
      <c r="AD3133" s="782" t="s">
        <v>4573</v>
      </c>
      <c r="AE3133" s="782" t="s">
        <v>4089</v>
      </c>
      <c r="AF3133" s="781">
        <f>$S$1*P!AF3133</f>
        <v>6.6834677419354846E-4</v>
      </c>
    </row>
    <row r="3134" spans="19:32" x14ac:dyDescent="0.35">
      <c r="S3134" s="881">
        <v>3130</v>
      </c>
      <c r="T3134" s="881" t="s">
        <v>4284</v>
      </c>
      <c r="U3134" s="881" t="s">
        <v>2688</v>
      </c>
      <c r="V3134" s="883">
        <f>$S$1*P!V3134</f>
        <v>0.67068000000000005</v>
      </c>
      <c r="W3134" s="780"/>
      <c r="X3134" s="782">
        <v>3130</v>
      </c>
      <c r="Y3134" s="782" t="s">
        <v>2248</v>
      </c>
      <c r="Z3134" s="782" t="s">
        <v>4746</v>
      </c>
      <c r="AA3134" s="781">
        <f>$S$1*P!AA3134</f>
        <v>6.6491935483870967E-4</v>
      </c>
      <c r="AB3134" s="780"/>
      <c r="AC3134" s="881">
        <v>3130</v>
      </c>
      <c r="AD3134" s="881" t="s">
        <v>4573</v>
      </c>
      <c r="AE3134" s="881" t="s">
        <v>2476</v>
      </c>
      <c r="AF3134" s="890">
        <f>$S$1*P!AF3134</f>
        <v>1205.2</v>
      </c>
    </row>
    <row r="3135" spans="19:32" x14ac:dyDescent="0.35">
      <c r="S3135" s="881">
        <v>3131</v>
      </c>
      <c r="T3135" s="881" t="s">
        <v>4284</v>
      </c>
      <c r="U3135" s="881" t="s">
        <v>2686</v>
      </c>
      <c r="V3135" s="883">
        <f>$S$1*P!V3135</f>
        <v>59.8</v>
      </c>
      <c r="W3135" s="780"/>
      <c r="X3135" s="782">
        <v>3131</v>
      </c>
      <c r="Y3135" s="782" t="s">
        <v>2248</v>
      </c>
      <c r="Z3135" s="782" t="s">
        <v>3208</v>
      </c>
      <c r="AA3135" s="781">
        <f>$S$1*P!AA3135</f>
        <v>0.79858870967741946</v>
      </c>
      <c r="AB3135" s="780"/>
      <c r="AC3135" s="782">
        <v>3131</v>
      </c>
      <c r="AD3135" s="782" t="s">
        <v>4573</v>
      </c>
      <c r="AE3135" s="782" t="s">
        <v>4087</v>
      </c>
      <c r="AF3135" s="781">
        <f>$S$1*P!AF3135</f>
        <v>1.9947580645161291E-3</v>
      </c>
    </row>
    <row r="3136" spans="19:32" x14ac:dyDescent="0.35">
      <c r="S3136" s="881">
        <v>3132</v>
      </c>
      <c r="T3136" s="881" t="s">
        <v>4284</v>
      </c>
      <c r="U3136" s="881" t="s">
        <v>2685</v>
      </c>
      <c r="V3136" s="883">
        <f>$S$1*P!V3136</f>
        <v>163.76</v>
      </c>
      <c r="W3136" s="780"/>
      <c r="X3136" s="782">
        <v>3132</v>
      </c>
      <c r="Y3136" s="782" t="s">
        <v>2248</v>
      </c>
      <c r="Z3136" s="782" t="s">
        <v>3205</v>
      </c>
      <c r="AA3136" s="781">
        <f>$S$1*P!AA3136</f>
        <v>6.4092741935483878E-3</v>
      </c>
      <c r="AB3136" s="780"/>
      <c r="AC3136" s="782">
        <v>3132</v>
      </c>
      <c r="AD3136" s="782" t="s">
        <v>4573</v>
      </c>
      <c r="AE3136" s="782" t="s">
        <v>4086</v>
      </c>
      <c r="AF3136" s="781">
        <f>$S$1*P!AF3136</f>
        <v>1.5766129032258065</v>
      </c>
    </row>
    <row r="3137" spans="19:32" x14ac:dyDescent="0.35">
      <c r="S3137" s="881">
        <v>3133</v>
      </c>
      <c r="T3137" s="881" t="s">
        <v>4284</v>
      </c>
      <c r="U3137" s="881" t="s">
        <v>2683</v>
      </c>
      <c r="V3137" s="883">
        <f>$S$1*P!V3137</f>
        <v>37.167999999999999</v>
      </c>
      <c r="W3137" s="780"/>
      <c r="X3137" s="782">
        <v>3133</v>
      </c>
      <c r="Y3137" s="782" t="s">
        <v>2248</v>
      </c>
      <c r="Z3137" s="782" t="s">
        <v>4745</v>
      </c>
      <c r="AA3137" s="781">
        <f>$S$1*P!AA3137</f>
        <v>2.5774193548387095E-4</v>
      </c>
      <c r="AB3137" s="780"/>
      <c r="AC3137" s="782">
        <v>3133</v>
      </c>
      <c r="AD3137" s="782" t="s">
        <v>4573</v>
      </c>
      <c r="AE3137" s="782" t="s">
        <v>4084</v>
      </c>
      <c r="AF3137" s="781">
        <f>$S$1*P!AF3137</f>
        <v>1.6177419354838711</v>
      </c>
    </row>
    <row r="3138" spans="19:32" x14ac:dyDescent="0.35">
      <c r="S3138" s="881">
        <v>3134</v>
      </c>
      <c r="T3138" s="881" t="s">
        <v>4284</v>
      </c>
      <c r="U3138" s="881" t="s">
        <v>2682</v>
      </c>
      <c r="V3138" s="883">
        <f>$S$1*P!V3138</f>
        <v>7.1484000000000005</v>
      </c>
      <c r="W3138" s="780"/>
      <c r="X3138" s="881">
        <v>3134</v>
      </c>
      <c r="Y3138" s="881" t="s">
        <v>2248</v>
      </c>
      <c r="Z3138" s="881" t="s">
        <v>2891</v>
      </c>
      <c r="AA3138" s="882">
        <f>$S$1*P!AA3138</f>
        <v>0</v>
      </c>
      <c r="AB3138" s="780"/>
      <c r="AC3138" s="881">
        <v>3134</v>
      </c>
      <c r="AD3138" s="881" t="s">
        <v>4573</v>
      </c>
      <c r="AE3138" s="881" t="s">
        <v>2474</v>
      </c>
      <c r="AF3138" s="890">
        <f>$S$1*P!AF3138</f>
        <v>0.43147999999999997</v>
      </c>
    </row>
    <row r="3139" spans="19:32" x14ac:dyDescent="0.35">
      <c r="S3139" s="881">
        <v>3135</v>
      </c>
      <c r="T3139" s="881" t="s">
        <v>4284</v>
      </c>
      <c r="U3139" s="881" t="s">
        <v>2680</v>
      </c>
      <c r="V3139" s="883">
        <f>$S$1*P!V3139</f>
        <v>114.08</v>
      </c>
      <c r="W3139" s="780"/>
      <c r="X3139" s="782">
        <v>3135</v>
      </c>
      <c r="Y3139" s="782" t="s">
        <v>2248</v>
      </c>
      <c r="Z3139" s="782" t="s">
        <v>2891</v>
      </c>
      <c r="AA3139" s="781">
        <f>$S$1*P!AA3139</f>
        <v>0.19125</v>
      </c>
      <c r="AB3139" s="780"/>
      <c r="AC3139" s="782">
        <v>3135</v>
      </c>
      <c r="AD3139" s="782" t="s">
        <v>4573</v>
      </c>
      <c r="AE3139" s="782" t="s">
        <v>2473</v>
      </c>
      <c r="AF3139" s="781">
        <f>$S$1*P!AF3139</f>
        <v>0.20393145161290324</v>
      </c>
    </row>
    <row r="3140" spans="19:32" x14ac:dyDescent="0.35">
      <c r="S3140" s="782">
        <v>3136</v>
      </c>
      <c r="T3140" s="782" t="s">
        <v>4284</v>
      </c>
      <c r="U3140" s="782" t="s">
        <v>2578</v>
      </c>
      <c r="V3140" s="797">
        <f>$S$1*P!V3140</f>
        <v>9.0483870967741941E-4</v>
      </c>
      <c r="W3140" s="780"/>
      <c r="X3140" s="782">
        <v>3136</v>
      </c>
      <c r="Y3140" s="782" t="s">
        <v>2248</v>
      </c>
      <c r="Z3140" s="782" t="s">
        <v>4744</v>
      </c>
      <c r="AA3140" s="781">
        <f>$S$1*P!AA3140</f>
        <v>3.2046370967741939E-3</v>
      </c>
      <c r="AB3140" s="780"/>
      <c r="AC3140" s="881">
        <v>3136</v>
      </c>
      <c r="AD3140" s="881" t="s">
        <v>4573</v>
      </c>
      <c r="AE3140" s="881" t="s">
        <v>2473</v>
      </c>
      <c r="AF3140" s="890">
        <f>$S$1*P!AF3140</f>
        <v>0</v>
      </c>
    </row>
    <row r="3141" spans="19:32" x14ac:dyDescent="0.35">
      <c r="S3141" s="881">
        <v>3137</v>
      </c>
      <c r="T3141" s="881" t="s">
        <v>4284</v>
      </c>
      <c r="U3141" s="881" t="s">
        <v>2578</v>
      </c>
      <c r="V3141" s="883">
        <f>$S$1*P!V3141</f>
        <v>440.68</v>
      </c>
      <c r="W3141" s="780"/>
      <c r="X3141" s="881">
        <v>3137</v>
      </c>
      <c r="Y3141" s="881" t="s">
        <v>2248</v>
      </c>
      <c r="Z3141" s="881" t="s">
        <v>2890</v>
      </c>
      <c r="AA3141" s="882">
        <f>$S$1*P!AA3141</f>
        <v>0.40848000000000001</v>
      </c>
      <c r="AB3141" s="780"/>
      <c r="AC3141" s="782">
        <v>3137</v>
      </c>
      <c r="AD3141" s="782" t="s">
        <v>4573</v>
      </c>
      <c r="AE3141" s="782" t="s">
        <v>4082</v>
      </c>
      <c r="AF3141" s="781">
        <f>$S$1*P!AF3141</f>
        <v>0.11687500000000001</v>
      </c>
    </row>
    <row r="3142" spans="19:32" x14ac:dyDescent="0.35">
      <c r="S3142" s="881">
        <v>3138</v>
      </c>
      <c r="T3142" s="881" t="s">
        <v>4284</v>
      </c>
      <c r="U3142" s="881" t="s">
        <v>2678</v>
      </c>
      <c r="V3142" s="883">
        <f>$S$1*P!V3142</f>
        <v>2.5023999999999997</v>
      </c>
      <c r="W3142" s="780"/>
      <c r="X3142" s="881">
        <v>3138</v>
      </c>
      <c r="Y3142" s="881" t="s">
        <v>2248</v>
      </c>
      <c r="Z3142" s="881" t="s">
        <v>2888</v>
      </c>
      <c r="AA3142" s="882">
        <f>$S$1*P!AA3142</f>
        <v>1.7756000000000001</v>
      </c>
      <c r="AB3142" s="780"/>
      <c r="AC3142" s="782">
        <v>3138</v>
      </c>
      <c r="AD3142" s="782" t="s">
        <v>4573</v>
      </c>
      <c r="AE3142" s="782" t="s">
        <v>4080</v>
      </c>
      <c r="AF3142" s="781">
        <f>$S$1*P!AF3142</f>
        <v>0.25774193548387098</v>
      </c>
    </row>
    <row r="3143" spans="19:32" x14ac:dyDescent="0.35">
      <c r="S3143" s="881">
        <v>3139</v>
      </c>
      <c r="T3143" s="881" t="s">
        <v>4284</v>
      </c>
      <c r="U3143" s="881" t="s">
        <v>2676</v>
      </c>
      <c r="V3143" s="883">
        <f>$S$1*P!V3143</f>
        <v>22.263999999999999</v>
      </c>
      <c r="W3143" s="780"/>
      <c r="X3143" s="782">
        <v>3139</v>
      </c>
      <c r="Y3143" s="782" t="s">
        <v>2248</v>
      </c>
      <c r="Z3143" s="782" t="s">
        <v>2888</v>
      </c>
      <c r="AA3143" s="781">
        <f>$S$1*P!AA3143</f>
        <v>4.4213709677419358E-4</v>
      </c>
      <c r="AB3143" s="780"/>
      <c r="AC3143" s="782">
        <v>3139</v>
      </c>
      <c r="AD3143" s="782" t="s">
        <v>4573</v>
      </c>
      <c r="AE3143" s="782" t="s">
        <v>4079</v>
      </c>
      <c r="AF3143" s="781">
        <f>$S$1*P!AF3143</f>
        <v>6.5120967741935489</v>
      </c>
    </row>
    <row r="3144" spans="19:32" x14ac:dyDescent="0.35">
      <c r="S3144" s="881">
        <v>3140</v>
      </c>
      <c r="T3144" s="881" t="s">
        <v>4284</v>
      </c>
      <c r="U3144" s="881" t="s">
        <v>2675</v>
      </c>
      <c r="V3144" s="883">
        <f>$S$1*P!V3144</f>
        <v>5.2164000000000001</v>
      </c>
      <c r="W3144" s="780"/>
      <c r="X3144" s="782">
        <v>3140</v>
      </c>
      <c r="Y3144" s="782" t="s">
        <v>2248</v>
      </c>
      <c r="Z3144" s="782" t="s">
        <v>4743</v>
      </c>
      <c r="AA3144" s="781">
        <f>$S$1*P!AA3144</f>
        <v>2.196975806451613E-4</v>
      </c>
      <c r="AB3144" s="780"/>
      <c r="AC3144" s="782">
        <v>3140</v>
      </c>
      <c r="AD3144" s="782" t="s">
        <v>4573</v>
      </c>
      <c r="AE3144" s="782" t="s">
        <v>4077</v>
      </c>
      <c r="AF3144" s="781">
        <f>$S$1*P!AF3144</f>
        <v>0.13024193548387097</v>
      </c>
    </row>
    <row r="3145" spans="19:32" x14ac:dyDescent="0.35">
      <c r="S3145" s="782">
        <v>3141</v>
      </c>
      <c r="T3145" s="782" t="s">
        <v>4284</v>
      </c>
      <c r="U3145" s="782" t="s">
        <v>2575</v>
      </c>
      <c r="V3145" s="797">
        <f>$S$1*P!V3145</f>
        <v>2.875604838709678E-3</v>
      </c>
      <c r="W3145" s="780"/>
      <c r="X3145" s="881">
        <v>3141</v>
      </c>
      <c r="Y3145" s="881" t="s">
        <v>2248</v>
      </c>
      <c r="Z3145" s="881" t="s">
        <v>2887</v>
      </c>
      <c r="AA3145" s="882">
        <f>$S$1*P!AA3145</f>
        <v>0</v>
      </c>
      <c r="AB3145" s="780"/>
      <c r="AC3145" s="782">
        <v>3141</v>
      </c>
      <c r="AD3145" s="782" t="s">
        <v>4573</v>
      </c>
      <c r="AE3145" s="782" t="s">
        <v>4076</v>
      </c>
      <c r="AF3145" s="781">
        <f>$S$1*P!AF3145</f>
        <v>3.9415322580645167E-2</v>
      </c>
    </row>
    <row r="3146" spans="19:32" x14ac:dyDescent="0.35">
      <c r="S3146" s="782">
        <v>3142</v>
      </c>
      <c r="T3146" s="782" t="s">
        <v>4284</v>
      </c>
      <c r="U3146" s="782" t="s">
        <v>2572</v>
      </c>
      <c r="V3146" s="797">
        <f>$S$1*P!V3146</f>
        <v>1.5731854838709678E-2</v>
      </c>
      <c r="W3146" s="780"/>
      <c r="X3146" s="782">
        <v>3142</v>
      </c>
      <c r="Y3146" s="782" t="s">
        <v>2248</v>
      </c>
      <c r="Z3146" s="782" t="s">
        <v>2887</v>
      </c>
      <c r="AA3146" s="781">
        <f>$S$1*P!AA3146</f>
        <v>3.417137096774194E-5</v>
      </c>
      <c r="AB3146" s="780"/>
      <c r="AC3146" s="782">
        <v>3142</v>
      </c>
      <c r="AD3146" s="782" t="s">
        <v>4573</v>
      </c>
      <c r="AE3146" s="782" t="s">
        <v>4075</v>
      </c>
      <c r="AF3146" s="781">
        <f>$S$1*P!AF3146</f>
        <v>1.5080645161290325E-3</v>
      </c>
    </row>
    <row r="3147" spans="19:32" x14ac:dyDescent="0.35">
      <c r="S3147" s="897">
        <v>3143</v>
      </c>
      <c r="T3147" s="897" t="s">
        <v>4284</v>
      </c>
      <c r="U3147" s="861" t="s">
        <v>2569</v>
      </c>
      <c r="V3147" s="862">
        <f>$S$1*P!V3147</f>
        <v>4.0927499999999997</v>
      </c>
      <c r="W3147" s="780"/>
      <c r="X3147" s="782">
        <v>3143</v>
      </c>
      <c r="Y3147" s="782" t="s">
        <v>2248</v>
      </c>
      <c r="Z3147" s="782" t="s">
        <v>3372</v>
      </c>
      <c r="AA3147" s="781">
        <f>$S$1*P!AA3147</f>
        <v>4.0443548387096772E-5</v>
      </c>
      <c r="AB3147" s="780"/>
      <c r="AC3147" s="881">
        <v>3143</v>
      </c>
      <c r="AD3147" s="881" t="s">
        <v>4573</v>
      </c>
      <c r="AE3147" s="881" t="s">
        <v>2471</v>
      </c>
      <c r="AF3147" s="890">
        <f>$S$1*P!AF3147</f>
        <v>225.4</v>
      </c>
    </row>
    <row r="3148" spans="19:32" x14ac:dyDescent="0.35">
      <c r="S3148" s="782">
        <v>3144</v>
      </c>
      <c r="T3148" s="782" t="s">
        <v>4284</v>
      </c>
      <c r="U3148" s="782" t="s">
        <v>2569</v>
      </c>
      <c r="V3148" s="797">
        <f>$S$1*P!V3148</f>
        <v>6.3750000000000005E-5</v>
      </c>
      <c r="W3148" s="780"/>
      <c r="X3148" s="782">
        <v>3144</v>
      </c>
      <c r="Y3148" s="782" t="s">
        <v>2248</v>
      </c>
      <c r="Z3148" s="782" t="s">
        <v>3197</v>
      </c>
      <c r="AA3148" s="781">
        <f>$S$1*P!AA3148</f>
        <v>5.2439516129032266E-4</v>
      </c>
      <c r="AB3148" s="780"/>
      <c r="AC3148" s="782">
        <v>3144</v>
      </c>
      <c r="AD3148" s="782" t="s">
        <v>4573</v>
      </c>
      <c r="AE3148" s="782" t="s">
        <v>4073</v>
      </c>
      <c r="AF3148" s="781">
        <f>$S$1*P!AF3148</f>
        <v>2.3717741935483875E-3</v>
      </c>
    </row>
    <row r="3149" spans="19:32" x14ac:dyDescent="0.35">
      <c r="S3149" s="782">
        <v>3145</v>
      </c>
      <c r="T3149" s="782" t="s">
        <v>4284</v>
      </c>
      <c r="U3149" s="782" t="s">
        <v>2566</v>
      </c>
      <c r="V3149" s="797">
        <f>$S$1*P!V3149</f>
        <v>5.8951612903225814E-3</v>
      </c>
      <c r="W3149" s="780"/>
      <c r="X3149" s="782">
        <v>3145</v>
      </c>
      <c r="Y3149" s="782" t="s">
        <v>2248</v>
      </c>
      <c r="Z3149" s="782" t="s">
        <v>3194</v>
      </c>
      <c r="AA3149" s="781">
        <f>$S$1*P!AA3149</f>
        <v>3.0778225806451617E-5</v>
      </c>
      <c r="AB3149" s="780"/>
      <c r="AC3149" s="881">
        <v>3145</v>
      </c>
      <c r="AD3149" s="881" t="s">
        <v>4573</v>
      </c>
      <c r="AE3149" s="881" t="s">
        <v>2470</v>
      </c>
      <c r="AF3149" s="890">
        <f>$S$1*P!AF3149</f>
        <v>4.0939999999999994</v>
      </c>
    </row>
    <row r="3150" spans="19:32" x14ac:dyDescent="0.35">
      <c r="S3150" s="861">
        <v>3146</v>
      </c>
      <c r="T3150" s="861" t="s">
        <v>4284</v>
      </c>
      <c r="U3150" s="861" t="s">
        <v>4742</v>
      </c>
      <c r="V3150" s="862">
        <f>$S$1*P!V3150</f>
        <v>3.7396499999999997</v>
      </c>
      <c r="W3150" s="780"/>
      <c r="X3150" s="782">
        <v>3146</v>
      </c>
      <c r="Y3150" s="782" t="s">
        <v>2248</v>
      </c>
      <c r="Z3150" s="782" t="s">
        <v>4741</v>
      </c>
      <c r="AA3150" s="781">
        <f>$S$1*P!AA3150</f>
        <v>4.4213709677419358E-4</v>
      </c>
      <c r="AB3150" s="780"/>
      <c r="AC3150" s="782">
        <v>3146</v>
      </c>
      <c r="AD3150" s="782" t="s">
        <v>4573</v>
      </c>
      <c r="AE3150" s="782" t="s">
        <v>4071</v>
      </c>
      <c r="AF3150" s="781">
        <f>$S$1*P!AF3150</f>
        <v>2.1866935483870968E-2</v>
      </c>
    </row>
    <row r="3151" spans="19:32" x14ac:dyDescent="0.35">
      <c r="S3151" s="782">
        <v>3147</v>
      </c>
      <c r="T3151" s="782" t="s">
        <v>4284</v>
      </c>
      <c r="U3151" s="782" t="s">
        <v>2564</v>
      </c>
      <c r="V3151" s="797">
        <f>$S$1*P!V3151</f>
        <v>2.7967741935483876E-4</v>
      </c>
      <c r="W3151" s="780"/>
      <c r="X3151" s="782">
        <v>3147</v>
      </c>
      <c r="Y3151" s="782" t="s">
        <v>2248</v>
      </c>
      <c r="Z3151" s="782" t="s">
        <v>3191</v>
      </c>
      <c r="AA3151" s="781">
        <f>$S$1*P!AA3151</f>
        <v>1.2715725806451613E-4</v>
      </c>
      <c r="AB3151" s="780"/>
      <c r="AC3151" s="782">
        <v>3147</v>
      </c>
      <c r="AD3151" s="782" t="s">
        <v>4573</v>
      </c>
      <c r="AE3151" s="782" t="s">
        <v>4069</v>
      </c>
      <c r="AF3151" s="781">
        <f>$S$1*P!AF3151</f>
        <v>8.1572580645161291E-2</v>
      </c>
    </row>
    <row r="3152" spans="19:32" x14ac:dyDescent="0.35">
      <c r="S3152" s="789">
        <v>3148</v>
      </c>
      <c r="T3152" s="789" t="s">
        <v>4284</v>
      </c>
      <c r="U3152" s="789" t="s">
        <v>4740</v>
      </c>
      <c r="V3152" s="790">
        <f>$S$1*P!V3152</f>
        <v>3.7932E-2</v>
      </c>
      <c r="W3152" s="780"/>
      <c r="X3152" s="881">
        <v>3148</v>
      </c>
      <c r="Y3152" s="881" t="s">
        <v>2248</v>
      </c>
      <c r="Z3152" s="881" t="s">
        <v>2885</v>
      </c>
      <c r="AA3152" s="882">
        <f>$S$1*P!AA3152</f>
        <v>7.9304000000000006E-3</v>
      </c>
      <c r="AB3152" s="780"/>
      <c r="AC3152" s="782">
        <v>3148</v>
      </c>
      <c r="AD3152" s="782" t="s">
        <v>4573</v>
      </c>
      <c r="AE3152" s="782" t="s">
        <v>4068</v>
      </c>
      <c r="AF3152" s="781">
        <f>$S$1*P!AF3152</f>
        <v>2.1524193548387101</v>
      </c>
    </row>
    <row r="3153" spans="19:32" x14ac:dyDescent="0.35">
      <c r="S3153" s="782">
        <v>3149</v>
      </c>
      <c r="T3153" s="782" t="s">
        <v>4284</v>
      </c>
      <c r="U3153" s="782" t="s">
        <v>2561</v>
      </c>
      <c r="V3153" s="797">
        <f>$S$1*P!V3153</f>
        <v>7.2661290322580661E-5</v>
      </c>
      <c r="W3153" s="780"/>
      <c r="X3153" s="782">
        <v>3149</v>
      </c>
      <c r="Y3153" s="782" t="s">
        <v>2248</v>
      </c>
      <c r="Z3153" s="782" t="s">
        <v>2885</v>
      </c>
      <c r="AA3153" s="781">
        <f>$S$1*P!AA3153</f>
        <v>6.7520161290322584E-4</v>
      </c>
      <c r="AB3153" s="780"/>
      <c r="AC3153" s="782">
        <v>3149</v>
      </c>
      <c r="AD3153" s="782" t="s">
        <v>4573</v>
      </c>
      <c r="AE3153" s="782" t="s">
        <v>4067</v>
      </c>
      <c r="AF3153" s="781">
        <f>$S$1*P!AF3153</f>
        <v>0.1275</v>
      </c>
    </row>
    <row r="3154" spans="19:32" x14ac:dyDescent="0.35">
      <c r="S3154" s="782">
        <v>3150</v>
      </c>
      <c r="T3154" s="782" t="s">
        <v>4284</v>
      </c>
      <c r="U3154" s="782" t="s">
        <v>2558</v>
      </c>
      <c r="V3154" s="797">
        <f>$S$1*P!V3154</f>
        <v>1.6622983870967743E-3</v>
      </c>
      <c r="W3154" s="780"/>
      <c r="X3154" s="782">
        <v>3150</v>
      </c>
      <c r="Y3154" s="782" t="s">
        <v>2248</v>
      </c>
      <c r="Z3154" s="782" t="s">
        <v>4739</v>
      </c>
      <c r="AA3154" s="781">
        <f>$S$1*P!AA3154</f>
        <v>3.5302419354838713E-3</v>
      </c>
      <c r="AB3154" s="780"/>
      <c r="AC3154" s="782">
        <v>3150</v>
      </c>
      <c r="AD3154" s="782" t="s">
        <v>4573</v>
      </c>
      <c r="AE3154" s="782" t="s">
        <v>4066</v>
      </c>
      <c r="AF3154" s="781">
        <f>$S$1*P!AF3154</f>
        <v>1.7068548387096774E-2</v>
      </c>
    </row>
    <row r="3155" spans="19:32" x14ac:dyDescent="0.35">
      <c r="S3155" s="782">
        <v>3151</v>
      </c>
      <c r="T3155" s="782" t="s">
        <v>4284</v>
      </c>
      <c r="U3155" s="782" t="s">
        <v>2555</v>
      </c>
      <c r="V3155" s="797">
        <f>$S$1*P!V3155</f>
        <v>2.9235887096774197E-3</v>
      </c>
      <c r="W3155" s="780"/>
      <c r="X3155" s="782">
        <v>3151</v>
      </c>
      <c r="Y3155" s="782" t="s">
        <v>2248</v>
      </c>
      <c r="Z3155" s="782" t="s">
        <v>3187</v>
      </c>
      <c r="AA3155" s="781">
        <f>$S$1*P!AA3155</f>
        <v>8.5685483870967749E-6</v>
      </c>
      <c r="AB3155" s="780"/>
      <c r="AC3155" s="782">
        <v>3151</v>
      </c>
      <c r="AD3155" s="782" t="s">
        <v>4573</v>
      </c>
      <c r="AE3155" s="782" t="s">
        <v>2468</v>
      </c>
      <c r="AF3155" s="781">
        <f>$S$1*P!AF3155</f>
        <v>1.0625000000000001E-2</v>
      </c>
    </row>
    <row r="3156" spans="19:32" x14ac:dyDescent="0.35">
      <c r="S3156" s="881">
        <v>3152</v>
      </c>
      <c r="T3156" s="881" t="s">
        <v>4284</v>
      </c>
      <c r="U3156" s="881" t="s">
        <v>2673</v>
      </c>
      <c r="V3156" s="883">
        <f>$S$1*P!V3156</f>
        <v>0</v>
      </c>
      <c r="W3156" s="780"/>
      <c r="X3156" s="782">
        <v>3152</v>
      </c>
      <c r="Y3156" s="782" t="s">
        <v>2248</v>
      </c>
      <c r="Z3156" s="782" t="s">
        <v>3184</v>
      </c>
      <c r="AA3156" s="781">
        <f>$S$1*P!AA3156</f>
        <v>4.1814516129032263E-9</v>
      </c>
      <c r="AB3156" s="780"/>
      <c r="AC3156" s="881">
        <v>3152</v>
      </c>
      <c r="AD3156" s="881" t="s">
        <v>4573</v>
      </c>
      <c r="AE3156" s="881" t="s">
        <v>2468</v>
      </c>
      <c r="AF3156" s="890">
        <f>$S$1*P!AF3156</f>
        <v>34.96</v>
      </c>
    </row>
    <row r="3157" spans="19:32" x14ac:dyDescent="0.35">
      <c r="S3157" s="782">
        <v>3153</v>
      </c>
      <c r="T3157" s="782" t="s">
        <v>4284</v>
      </c>
      <c r="U3157" s="782" t="s">
        <v>2553</v>
      </c>
      <c r="V3157" s="797">
        <f>$S$1*P!V3157</f>
        <v>5.8266129032258071E-2</v>
      </c>
      <c r="W3157" s="780"/>
      <c r="X3157" s="782">
        <v>3153</v>
      </c>
      <c r="Y3157" s="782" t="s">
        <v>2248</v>
      </c>
      <c r="Z3157" s="782" t="s">
        <v>4738</v>
      </c>
      <c r="AA3157" s="781">
        <f>$S$1*P!AA3157</f>
        <v>5.4153225806451621E-4</v>
      </c>
      <c r="AB3157" s="780"/>
      <c r="AC3157" s="881">
        <v>3153</v>
      </c>
      <c r="AD3157" s="881" t="s">
        <v>4573</v>
      </c>
      <c r="AE3157" s="881" t="s">
        <v>2467</v>
      </c>
      <c r="AF3157" s="890">
        <f>$S$1*P!AF3157</f>
        <v>107.64</v>
      </c>
    </row>
    <row r="3158" spans="19:32" x14ac:dyDescent="0.35">
      <c r="S3158" s="881">
        <v>3154</v>
      </c>
      <c r="T3158" s="881" t="s">
        <v>4284</v>
      </c>
      <c r="U3158" s="881" t="s">
        <v>2672</v>
      </c>
      <c r="V3158" s="883">
        <f>$S$1*P!V3158</f>
        <v>0</v>
      </c>
      <c r="W3158" s="780"/>
      <c r="X3158" s="782">
        <v>3154</v>
      </c>
      <c r="Y3158" s="782" t="s">
        <v>2248</v>
      </c>
      <c r="Z3158" s="782" t="s">
        <v>3181</v>
      </c>
      <c r="AA3158" s="781">
        <f>$S$1*P!AA3158</f>
        <v>1.0110887096774194E-2</v>
      </c>
      <c r="AB3158" s="780"/>
      <c r="AC3158" s="881">
        <v>3154</v>
      </c>
      <c r="AD3158" s="881" t="s">
        <v>4573</v>
      </c>
      <c r="AE3158" s="881" t="s">
        <v>2465</v>
      </c>
      <c r="AF3158" s="890">
        <f>$S$1*P!AF3158</f>
        <v>678.96</v>
      </c>
    </row>
    <row r="3159" spans="19:32" x14ac:dyDescent="0.35">
      <c r="S3159" s="782">
        <v>3155</v>
      </c>
      <c r="T3159" s="782" t="s">
        <v>4284</v>
      </c>
      <c r="U3159" s="782" t="s">
        <v>2550</v>
      </c>
      <c r="V3159" s="797">
        <f>$S$1*P!V3159</f>
        <v>3.4616935483870972E-5</v>
      </c>
      <c r="W3159" s="780"/>
      <c r="X3159" s="881">
        <v>3155</v>
      </c>
      <c r="Y3159" s="881" t="s">
        <v>2248</v>
      </c>
      <c r="Z3159" s="881" t="s">
        <v>2884</v>
      </c>
      <c r="AA3159" s="882">
        <f>$S$1*P!AA3159</f>
        <v>1.4628E-3</v>
      </c>
      <c r="AB3159" s="780"/>
      <c r="AC3159" s="782">
        <v>3155</v>
      </c>
      <c r="AD3159" s="782" t="s">
        <v>4573</v>
      </c>
      <c r="AE3159" s="782" t="s">
        <v>4063</v>
      </c>
      <c r="AF3159" s="781">
        <f>$S$1*P!AF3159</f>
        <v>1.7239919354838711</v>
      </c>
    </row>
    <row r="3160" spans="19:32" x14ac:dyDescent="0.35">
      <c r="S3160" s="782">
        <v>3156</v>
      </c>
      <c r="T3160" s="782" t="s">
        <v>4284</v>
      </c>
      <c r="U3160" s="782" t="s">
        <v>2547</v>
      </c>
      <c r="V3160" s="797">
        <f>$S$1*P!V3160</f>
        <v>2.4026209677419356E-2</v>
      </c>
      <c r="W3160" s="780"/>
      <c r="X3160" s="782">
        <v>3156</v>
      </c>
      <c r="Y3160" s="782" t="s">
        <v>2248</v>
      </c>
      <c r="Z3160" s="782" t="s">
        <v>4737</v>
      </c>
      <c r="AA3160" s="781">
        <f>$S$1*P!AA3160</f>
        <v>5.175403225806452E-2</v>
      </c>
      <c r="AB3160" s="780"/>
      <c r="AC3160" s="782">
        <v>3156</v>
      </c>
      <c r="AD3160" s="782" t="s">
        <v>4573</v>
      </c>
      <c r="AE3160" s="782" t="s">
        <v>2463</v>
      </c>
      <c r="AF3160" s="781">
        <f>$S$1*P!AF3160</f>
        <v>1.9536290322580647</v>
      </c>
    </row>
    <row r="3161" spans="19:32" x14ac:dyDescent="0.35">
      <c r="S3161" s="881">
        <v>3157</v>
      </c>
      <c r="T3161" s="881" t="s">
        <v>4284</v>
      </c>
      <c r="U3161" s="881" t="s">
        <v>2547</v>
      </c>
      <c r="V3161" s="883">
        <f>$S$1*P!V3161</f>
        <v>0</v>
      </c>
      <c r="W3161" s="780"/>
      <c r="X3161" s="782">
        <v>3157</v>
      </c>
      <c r="Y3161" s="782" t="s">
        <v>2248</v>
      </c>
      <c r="Z3161" s="782" t="s">
        <v>2884</v>
      </c>
      <c r="AA3161" s="781">
        <f>$S$1*P!AA3161</f>
        <v>2.704233870967742E-6</v>
      </c>
      <c r="AB3161" s="780"/>
      <c r="AC3161" s="881">
        <v>3157</v>
      </c>
      <c r="AD3161" s="881" t="s">
        <v>4573</v>
      </c>
      <c r="AE3161" s="881" t="s">
        <v>2463</v>
      </c>
      <c r="AF3161" s="890">
        <f>$S$1*P!AF3161</f>
        <v>4.1584000000000003</v>
      </c>
    </row>
    <row r="3162" spans="19:32" x14ac:dyDescent="0.35">
      <c r="S3162" s="782">
        <v>3158</v>
      </c>
      <c r="T3162" s="782" t="s">
        <v>4284</v>
      </c>
      <c r="U3162" s="782" t="s">
        <v>2544</v>
      </c>
      <c r="V3162" s="797">
        <f>$S$1*P!V3162</f>
        <v>4.5927419354838714E-4</v>
      </c>
      <c r="W3162" s="780"/>
      <c r="X3162" s="782">
        <v>3158</v>
      </c>
      <c r="Y3162" s="782" t="s">
        <v>2248</v>
      </c>
      <c r="Z3162" s="782" t="s">
        <v>3177</v>
      </c>
      <c r="AA3162" s="781">
        <f>$S$1*P!AA3162</f>
        <v>5.3125000000000004E-3</v>
      </c>
      <c r="AB3162" s="780"/>
      <c r="AC3162" s="881">
        <v>3158</v>
      </c>
      <c r="AD3162" s="881" t="s">
        <v>4573</v>
      </c>
      <c r="AE3162" s="881" t="s">
        <v>2462</v>
      </c>
      <c r="AF3162" s="890">
        <f>$S$1*P!AF3162</f>
        <v>1.8491999999999997</v>
      </c>
    </row>
    <row r="3163" spans="19:32" x14ac:dyDescent="0.35">
      <c r="S3163" s="881">
        <v>3159</v>
      </c>
      <c r="T3163" s="881" t="s">
        <v>4284</v>
      </c>
      <c r="U3163" s="881" t="s">
        <v>2544</v>
      </c>
      <c r="V3163" s="883">
        <f>$S$1*P!V3163</f>
        <v>0</v>
      </c>
      <c r="W3163" s="780"/>
      <c r="X3163" s="782">
        <v>3159</v>
      </c>
      <c r="Y3163" s="782" t="s">
        <v>2248</v>
      </c>
      <c r="Z3163" s="782" t="s">
        <v>3174</v>
      </c>
      <c r="AA3163" s="781">
        <f>$S$1*P!AA3163</f>
        <v>9.9395161290322586E-4</v>
      </c>
      <c r="AB3163" s="780"/>
      <c r="AC3163" s="881">
        <v>3159</v>
      </c>
      <c r="AD3163" s="881" t="s">
        <v>4573</v>
      </c>
      <c r="AE3163" s="881" t="s">
        <v>2460</v>
      </c>
      <c r="AF3163" s="890">
        <f>$S$1*P!AF3163</f>
        <v>2.1896</v>
      </c>
    </row>
    <row r="3164" spans="19:32" x14ac:dyDescent="0.35">
      <c r="S3164" s="897">
        <v>3160</v>
      </c>
      <c r="T3164" s="897" t="s">
        <v>4284</v>
      </c>
      <c r="U3164" s="897" t="s">
        <v>2541</v>
      </c>
      <c r="V3164" s="909">
        <f>$S$1*P!V3164</f>
        <v>5.7244999999999999</v>
      </c>
      <c r="W3164" s="780"/>
      <c r="X3164" s="782">
        <v>3160</v>
      </c>
      <c r="Y3164" s="782" t="s">
        <v>2248</v>
      </c>
      <c r="Z3164" s="782" t="s">
        <v>4736</v>
      </c>
      <c r="AA3164" s="781">
        <f>$S$1*P!AA3164</f>
        <v>1.2407258064516129E-2</v>
      </c>
      <c r="AB3164" s="780"/>
      <c r="AC3164" s="782">
        <v>3160</v>
      </c>
      <c r="AD3164" s="782" t="s">
        <v>4573</v>
      </c>
      <c r="AE3164" s="782" t="s">
        <v>4061</v>
      </c>
      <c r="AF3164" s="781">
        <f>$S$1*P!AF3164</f>
        <v>4.0100806451612909</v>
      </c>
    </row>
    <row r="3165" spans="19:32" x14ac:dyDescent="0.35">
      <c r="S3165" s="782">
        <v>3161</v>
      </c>
      <c r="T3165" s="782" t="s">
        <v>4284</v>
      </c>
      <c r="U3165" s="782" t="s">
        <v>2541</v>
      </c>
      <c r="V3165" s="797">
        <f>$S$1*P!V3165</f>
        <v>3.5987903225806453E-6</v>
      </c>
      <c r="W3165" s="780"/>
      <c r="X3165" s="782">
        <v>3161</v>
      </c>
      <c r="Y3165" s="782" t="s">
        <v>2248</v>
      </c>
      <c r="Z3165" s="782" t="s">
        <v>3171</v>
      </c>
      <c r="AA3165" s="781">
        <f>$S$1*P!AA3165</f>
        <v>1.8336693548387099E-3</v>
      </c>
      <c r="AB3165" s="780"/>
      <c r="AC3165" s="881">
        <v>3161</v>
      </c>
      <c r="AD3165" s="881" t="s">
        <v>4573</v>
      </c>
      <c r="AE3165" s="881" t="s">
        <v>2459</v>
      </c>
      <c r="AF3165" s="890">
        <f>$S$1*P!AF3165</f>
        <v>4.0111999999999997</v>
      </c>
    </row>
    <row r="3166" spans="19:32" x14ac:dyDescent="0.35">
      <c r="S3166" s="881">
        <v>3162</v>
      </c>
      <c r="T3166" s="881" t="s">
        <v>4284</v>
      </c>
      <c r="U3166" s="881" t="s">
        <v>2669</v>
      </c>
      <c r="V3166" s="883">
        <f>$S$1*P!V3166</f>
        <v>78.384</v>
      </c>
      <c r="W3166" s="780"/>
      <c r="X3166" s="782">
        <v>3162</v>
      </c>
      <c r="Y3166" s="782" t="s">
        <v>2248</v>
      </c>
      <c r="Z3166" s="782" t="s">
        <v>4735</v>
      </c>
      <c r="AA3166" s="781">
        <f>$S$1*P!AA3166</f>
        <v>1.9570564516129034E-4</v>
      </c>
      <c r="AB3166" s="780"/>
      <c r="AC3166" s="782">
        <v>3162</v>
      </c>
      <c r="AD3166" s="782" t="s">
        <v>4573</v>
      </c>
      <c r="AE3166" s="782" t="s">
        <v>4059</v>
      </c>
      <c r="AF3166" s="781">
        <f>$S$1*P!AF3166</f>
        <v>90.826612903225808</v>
      </c>
    </row>
    <row r="3167" spans="19:32" x14ac:dyDescent="0.35">
      <c r="S3167" s="782">
        <v>3163</v>
      </c>
      <c r="T3167" s="782" t="s">
        <v>4284</v>
      </c>
      <c r="U3167" s="782" t="s">
        <v>2539</v>
      </c>
      <c r="V3167" s="797">
        <f>$S$1*P!V3167</f>
        <v>1.4635080645161291E-2</v>
      </c>
      <c r="W3167" s="780"/>
      <c r="X3167" s="782">
        <v>3163</v>
      </c>
      <c r="Y3167" s="782" t="s">
        <v>2248</v>
      </c>
      <c r="Z3167" s="782" t="s">
        <v>3168</v>
      </c>
      <c r="AA3167" s="781">
        <f>$S$1*P!AA3167</f>
        <v>3.1429435483870969E-5</v>
      </c>
      <c r="AB3167" s="780"/>
      <c r="AC3167" s="782">
        <v>3163</v>
      </c>
      <c r="AD3167" s="782" t="s">
        <v>4573</v>
      </c>
      <c r="AE3167" s="782" t="s">
        <v>2456</v>
      </c>
      <c r="AF3167" s="781">
        <f>$S$1*P!AF3167</f>
        <v>1.2955645161290323E-2</v>
      </c>
    </row>
    <row r="3168" spans="19:32" x14ac:dyDescent="0.35">
      <c r="S3168" s="782">
        <v>3164</v>
      </c>
      <c r="T3168" s="782" t="s">
        <v>4284</v>
      </c>
      <c r="U3168" s="782" t="s">
        <v>2536</v>
      </c>
      <c r="V3168" s="797">
        <f>$S$1*P!V3168</f>
        <v>4.0786290322580645E-5</v>
      </c>
      <c r="W3168" s="780"/>
      <c r="X3168" s="782">
        <v>3164</v>
      </c>
      <c r="Y3168" s="782" t="s">
        <v>2248</v>
      </c>
      <c r="Z3168" s="782" t="s">
        <v>3166</v>
      </c>
      <c r="AA3168" s="781">
        <f>$S$1*P!AA3168</f>
        <v>6.1350806451612914E-5</v>
      </c>
      <c r="AB3168" s="780"/>
      <c r="AC3168" s="881">
        <v>3164</v>
      </c>
      <c r="AD3168" s="881" t="s">
        <v>4573</v>
      </c>
      <c r="AE3168" s="881" t="s">
        <v>2456</v>
      </c>
      <c r="AF3168" s="890">
        <f>$S$1*P!AF3168</f>
        <v>0</v>
      </c>
    </row>
    <row r="3169" spans="19:32" x14ac:dyDescent="0.35">
      <c r="S3169" s="881">
        <v>3165</v>
      </c>
      <c r="T3169" s="881" t="s">
        <v>4284</v>
      </c>
      <c r="U3169" s="881" t="s">
        <v>2536</v>
      </c>
      <c r="V3169" s="883">
        <f>$S$1*P!V3169</f>
        <v>1.2695999999999998</v>
      </c>
      <c r="W3169" s="780"/>
      <c r="X3169" s="782">
        <v>3165</v>
      </c>
      <c r="Y3169" s="782" t="s">
        <v>2248</v>
      </c>
      <c r="Z3169" s="782" t="s">
        <v>3163</v>
      </c>
      <c r="AA3169" s="781">
        <f>$S$1*P!AA3169</f>
        <v>9.6653225806451619E-5</v>
      </c>
      <c r="AB3169" s="780"/>
      <c r="AC3169" s="881">
        <v>3165</v>
      </c>
      <c r="AD3169" s="881" t="s">
        <v>4573</v>
      </c>
      <c r="AE3169" s="881" t="s">
        <v>2454</v>
      </c>
      <c r="AF3169" s="890">
        <f>$S$1*P!AF3169</f>
        <v>597.07999999999993</v>
      </c>
    </row>
    <row r="3170" spans="19:32" x14ac:dyDescent="0.35">
      <c r="S3170" s="881">
        <v>3166</v>
      </c>
      <c r="T3170" s="881" t="s">
        <v>4284</v>
      </c>
      <c r="U3170" s="881" t="s">
        <v>2667</v>
      </c>
      <c r="V3170" s="883">
        <f>$S$1*P!V3170</f>
        <v>0</v>
      </c>
      <c r="W3170" s="780"/>
      <c r="X3170" s="782">
        <v>3166</v>
      </c>
      <c r="Y3170" s="782" t="s">
        <v>2248</v>
      </c>
      <c r="Z3170" s="782" t="s">
        <v>3369</v>
      </c>
      <c r="AA3170" s="781">
        <f>$S$1*P!AA3170</f>
        <v>9.4596774193548387E-3</v>
      </c>
      <c r="AB3170" s="780"/>
      <c r="AC3170" s="782">
        <v>3166</v>
      </c>
      <c r="AD3170" s="782" t="s">
        <v>4573</v>
      </c>
      <c r="AE3170" s="782" t="s">
        <v>2453</v>
      </c>
      <c r="AF3170" s="781">
        <f>$S$1*P!AF3170</f>
        <v>116.53225806451614</v>
      </c>
    </row>
    <row r="3171" spans="19:32" x14ac:dyDescent="0.35">
      <c r="S3171" s="782">
        <v>3167</v>
      </c>
      <c r="T3171" s="782" t="s">
        <v>4284</v>
      </c>
      <c r="U3171" s="782" t="s">
        <v>2533</v>
      </c>
      <c r="V3171" s="797">
        <f>$S$1*P!V3171</f>
        <v>0.12338709677419356</v>
      </c>
      <c r="W3171" s="780"/>
      <c r="X3171" s="782">
        <v>3167</v>
      </c>
      <c r="Y3171" s="782" t="s">
        <v>2248</v>
      </c>
      <c r="Z3171" s="782" t="s">
        <v>3160</v>
      </c>
      <c r="AA3171" s="781">
        <f>$S$1*P!AA3171</f>
        <v>3.8044354838709677E-9</v>
      </c>
      <c r="AB3171" s="780"/>
      <c r="AC3171" s="881">
        <v>3167</v>
      </c>
      <c r="AD3171" s="881" t="s">
        <v>4573</v>
      </c>
      <c r="AE3171" s="881" t="s">
        <v>2453</v>
      </c>
      <c r="AF3171" s="890">
        <f>$S$1*P!AF3171</f>
        <v>0</v>
      </c>
    </row>
    <row r="3172" spans="19:32" x14ac:dyDescent="0.35">
      <c r="S3172" s="782">
        <v>3168</v>
      </c>
      <c r="T3172" s="782" t="s">
        <v>4284</v>
      </c>
      <c r="U3172" s="782" t="s">
        <v>2530</v>
      </c>
      <c r="V3172" s="797">
        <f>$S$1*P!V3172</f>
        <v>7.5745967741935492E-4</v>
      </c>
      <c r="W3172" s="780"/>
      <c r="X3172" s="782">
        <v>3168</v>
      </c>
      <c r="Y3172" s="782" t="s">
        <v>2248</v>
      </c>
      <c r="Z3172" s="782" t="s">
        <v>3157</v>
      </c>
      <c r="AA3172" s="781">
        <f>$S$1*P!AA3172</f>
        <v>2.3477822580645163E-4</v>
      </c>
      <c r="AB3172" s="780"/>
      <c r="AC3172" s="881">
        <v>3168</v>
      </c>
      <c r="AD3172" s="881" t="s">
        <v>4573</v>
      </c>
      <c r="AE3172" s="881" t="s">
        <v>2451</v>
      </c>
      <c r="AF3172" s="890">
        <f>$S$1*P!AF3172</f>
        <v>3.7168000000000001</v>
      </c>
    </row>
    <row r="3173" spans="19:32" x14ac:dyDescent="0.35">
      <c r="S3173" s="782">
        <v>3169</v>
      </c>
      <c r="T3173" s="782" t="s">
        <v>4284</v>
      </c>
      <c r="U3173" s="782" t="s">
        <v>2528</v>
      </c>
      <c r="V3173" s="797">
        <f>$S$1*P!V3173</f>
        <v>8.5685483870967752E-5</v>
      </c>
      <c r="W3173" s="780"/>
      <c r="X3173" s="782">
        <v>3169</v>
      </c>
      <c r="Y3173" s="782" t="s">
        <v>2248</v>
      </c>
      <c r="Z3173" s="782" t="s">
        <v>3368</v>
      </c>
      <c r="AA3173" s="781">
        <f>$S$1*P!AA3173</f>
        <v>1.346975806451613E-3</v>
      </c>
      <c r="AB3173" s="780"/>
      <c r="AC3173" s="881">
        <v>3169</v>
      </c>
      <c r="AD3173" s="881" t="s">
        <v>4573</v>
      </c>
      <c r="AE3173" s="881" t="s">
        <v>2450</v>
      </c>
      <c r="AF3173" s="890">
        <f>$S$1*P!AF3173</f>
        <v>98.44</v>
      </c>
    </row>
    <row r="3174" spans="19:32" x14ac:dyDescent="0.35">
      <c r="S3174" s="782">
        <v>3170</v>
      </c>
      <c r="T3174" s="782" t="s">
        <v>4284</v>
      </c>
      <c r="U3174" s="782" t="s">
        <v>2525</v>
      </c>
      <c r="V3174" s="797">
        <f>$S$1*P!V3174</f>
        <v>3.5302419354838713E-4</v>
      </c>
      <c r="W3174" s="780"/>
      <c r="X3174" s="782">
        <v>3170</v>
      </c>
      <c r="Y3174" s="782" t="s">
        <v>2248</v>
      </c>
      <c r="Z3174" s="782" t="s">
        <v>3154</v>
      </c>
      <c r="AA3174" s="781">
        <f>$S$1*P!AA3174</f>
        <v>2.3066532258064519E-6</v>
      </c>
      <c r="AB3174" s="780"/>
      <c r="AC3174" s="782">
        <v>3170</v>
      </c>
      <c r="AD3174" s="782" t="s">
        <v>4573</v>
      </c>
      <c r="AE3174" s="782" t="s">
        <v>4055</v>
      </c>
      <c r="AF3174" s="781">
        <f>$S$1*P!AF3174</f>
        <v>1.8576612903225809E-2</v>
      </c>
    </row>
    <row r="3175" spans="19:32" x14ac:dyDescent="0.35">
      <c r="S3175" s="782">
        <v>3171</v>
      </c>
      <c r="T3175" s="782" t="s">
        <v>4284</v>
      </c>
      <c r="U3175" s="782" t="s">
        <v>2522</v>
      </c>
      <c r="V3175" s="797">
        <f>$S$1*P!V3175</f>
        <v>2.1489919354838709E-4</v>
      </c>
      <c r="W3175" s="780"/>
      <c r="X3175" s="782">
        <v>3171</v>
      </c>
      <c r="Y3175" s="782" t="s">
        <v>2248</v>
      </c>
      <c r="Z3175" s="782" t="s">
        <v>3152</v>
      </c>
      <c r="AA3175" s="781">
        <f>$S$1*P!AA3175</f>
        <v>7.6431451612903236E-3</v>
      </c>
      <c r="AB3175" s="780"/>
      <c r="AC3175" s="881">
        <v>3171</v>
      </c>
      <c r="AD3175" s="881" t="s">
        <v>4573</v>
      </c>
      <c r="AE3175" s="881" t="s">
        <v>2448</v>
      </c>
      <c r="AF3175" s="890">
        <f>$S$1*P!AF3175</f>
        <v>10.948</v>
      </c>
    </row>
    <row r="3176" spans="19:32" x14ac:dyDescent="0.35">
      <c r="S3176" s="782">
        <v>3172</v>
      </c>
      <c r="T3176" s="782" t="s">
        <v>4284</v>
      </c>
      <c r="U3176" s="782" t="s">
        <v>2519</v>
      </c>
      <c r="V3176" s="797">
        <f>$S$1*P!V3176</f>
        <v>2.1010080645161291E-4</v>
      </c>
      <c r="W3176" s="780"/>
      <c r="X3176" s="782">
        <v>3172</v>
      </c>
      <c r="Y3176" s="782" t="s">
        <v>2248</v>
      </c>
      <c r="Z3176" s="782" t="s">
        <v>3149</v>
      </c>
      <c r="AA3176" s="781">
        <f>$S$1*P!AA3176</f>
        <v>4.0786290322580646E-2</v>
      </c>
      <c r="AB3176" s="780"/>
      <c r="AC3176" s="782">
        <v>3172</v>
      </c>
      <c r="AD3176" s="782" t="s">
        <v>4573</v>
      </c>
      <c r="AE3176" s="782" t="s">
        <v>4053</v>
      </c>
      <c r="AF3176" s="781">
        <f>$S$1*P!AF3176</f>
        <v>0.48669354838709683</v>
      </c>
    </row>
    <row r="3177" spans="19:32" x14ac:dyDescent="0.35">
      <c r="S3177" s="782">
        <v>3173</v>
      </c>
      <c r="T3177" s="782" t="s">
        <v>4284</v>
      </c>
      <c r="U3177" s="782" t="s">
        <v>2516</v>
      </c>
      <c r="V3177" s="797">
        <f>$S$1*P!V3177</f>
        <v>1.477217741935484E-2</v>
      </c>
      <c r="W3177" s="780"/>
      <c r="X3177" s="782">
        <v>3173</v>
      </c>
      <c r="Y3177" s="782" t="s">
        <v>2248</v>
      </c>
      <c r="Z3177" s="782" t="s">
        <v>4734</v>
      </c>
      <c r="AA3177" s="781">
        <f>$S$1*P!AA3177</f>
        <v>3.1600806451612909E-4</v>
      </c>
      <c r="AB3177" s="780"/>
      <c r="AC3177" s="782">
        <v>3173</v>
      </c>
      <c r="AD3177" s="782" t="s">
        <v>4573</v>
      </c>
      <c r="AE3177" s="782" t="s">
        <v>4052</v>
      </c>
      <c r="AF3177" s="781">
        <f>$S$1*P!AF3177</f>
        <v>9.939516129032258</v>
      </c>
    </row>
    <row r="3178" spans="19:32" x14ac:dyDescent="0.35">
      <c r="S3178" s="881">
        <v>3174</v>
      </c>
      <c r="T3178" s="881" t="s">
        <v>4284</v>
      </c>
      <c r="U3178" s="881" t="s">
        <v>2516</v>
      </c>
      <c r="V3178" s="883">
        <f>$S$1*P!V3178</f>
        <v>0</v>
      </c>
      <c r="W3178" s="780"/>
      <c r="X3178" s="782">
        <v>3174</v>
      </c>
      <c r="Y3178" s="782" t="s">
        <v>2248</v>
      </c>
      <c r="Z3178" s="782" t="s">
        <v>3146</v>
      </c>
      <c r="AA3178" s="781">
        <f>$S$1*P!AA3178</f>
        <v>1.8268145161290324E-4</v>
      </c>
      <c r="AB3178" s="780"/>
      <c r="AC3178" s="782">
        <v>3174</v>
      </c>
      <c r="AD3178" s="782" t="s">
        <v>4573</v>
      </c>
      <c r="AE3178" s="782" t="s">
        <v>4051</v>
      </c>
      <c r="AF3178" s="781">
        <f>$S$1*P!AF3178</f>
        <v>2.0461693548387099</v>
      </c>
    </row>
    <row r="3179" spans="19:32" x14ac:dyDescent="0.35">
      <c r="S3179" s="881">
        <v>3175</v>
      </c>
      <c r="T3179" s="881" t="s">
        <v>4284</v>
      </c>
      <c r="U3179" s="881" t="s">
        <v>2665</v>
      </c>
      <c r="V3179" s="883">
        <f>$S$1*P!V3179</f>
        <v>4158.3999999999996</v>
      </c>
      <c r="W3179" s="780"/>
      <c r="X3179" s="881">
        <v>3175</v>
      </c>
      <c r="Y3179" s="881" t="s">
        <v>2248</v>
      </c>
      <c r="Z3179" s="881" t="s">
        <v>2882</v>
      </c>
      <c r="AA3179" s="882">
        <f>$S$1*P!AA3179</f>
        <v>0</v>
      </c>
      <c r="AB3179" s="780"/>
      <c r="AC3179" s="782">
        <v>3175</v>
      </c>
      <c r="AD3179" s="782" t="s">
        <v>4573</v>
      </c>
      <c r="AE3179" s="782" t="s">
        <v>2446</v>
      </c>
      <c r="AF3179" s="781">
        <f>$S$1*P!AF3179</f>
        <v>0.33862903225806457</v>
      </c>
    </row>
    <row r="3180" spans="19:32" x14ac:dyDescent="0.35">
      <c r="S3180" s="782">
        <v>3176</v>
      </c>
      <c r="T3180" s="782" t="s">
        <v>4284</v>
      </c>
      <c r="U3180" s="782" t="s">
        <v>2514</v>
      </c>
      <c r="V3180" s="797">
        <f>$S$1*P!V3180</f>
        <v>1.5731854838709679E-4</v>
      </c>
      <c r="W3180" s="780"/>
      <c r="X3180" s="782">
        <v>3176</v>
      </c>
      <c r="Y3180" s="782" t="s">
        <v>2248</v>
      </c>
      <c r="Z3180" s="782" t="s">
        <v>3367</v>
      </c>
      <c r="AA3180" s="781">
        <f>$S$1*P!AA3180</f>
        <v>1.0693548387096775E-3</v>
      </c>
      <c r="AB3180" s="780"/>
      <c r="AC3180" s="881">
        <v>3176</v>
      </c>
      <c r="AD3180" s="881" t="s">
        <v>4573</v>
      </c>
      <c r="AE3180" s="881" t="s">
        <v>2446</v>
      </c>
      <c r="AF3180" s="890">
        <f>$S$1*P!AF3180</f>
        <v>0</v>
      </c>
    </row>
    <row r="3181" spans="19:32" x14ac:dyDescent="0.35">
      <c r="S3181" s="782">
        <v>3177</v>
      </c>
      <c r="T3181" s="782" t="s">
        <v>4284</v>
      </c>
      <c r="U3181" s="782" t="s">
        <v>2511</v>
      </c>
      <c r="V3181" s="797">
        <f>$S$1*P!V3181</f>
        <v>5.9294354838709683E-5</v>
      </c>
      <c r="W3181" s="780"/>
      <c r="X3181" s="782">
        <v>3177</v>
      </c>
      <c r="Y3181" s="782" t="s">
        <v>2248</v>
      </c>
      <c r="Z3181" s="782" t="s">
        <v>3143</v>
      </c>
      <c r="AA3181" s="781">
        <f>$S$1*P!AA3181</f>
        <v>9.2883064516129045E-4</v>
      </c>
      <c r="AB3181" s="780"/>
      <c r="AC3181" s="881">
        <v>3177</v>
      </c>
      <c r="AD3181" s="881" t="s">
        <v>4573</v>
      </c>
      <c r="AE3181" s="881" t="s">
        <v>2445</v>
      </c>
      <c r="AF3181" s="890">
        <f>$S$1*P!AF3181</f>
        <v>4.0939999999999994</v>
      </c>
    </row>
    <row r="3182" spans="19:32" x14ac:dyDescent="0.35">
      <c r="S3182" s="789">
        <v>3178</v>
      </c>
      <c r="T3182" s="789" t="s">
        <v>4284</v>
      </c>
      <c r="U3182" s="789" t="s">
        <v>4733</v>
      </c>
      <c r="V3182" s="790">
        <f>$S$1*P!V3182</f>
        <v>883.92000000000007</v>
      </c>
      <c r="W3182" s="780"/>
      <c r="X3182" s="782">
        <v>3178</v>
      </c>
      <c r="Y3182" s="782" t="s">
        <v>2248</v>
      </c>
      <c r="Z3182" s="782" t="s">
        <v>3141</v>
      </c>
      <c r="AA3182" s="781">
        <f>$S$1*P!AA3182</f>
        <v>1.5046370967741936E-4</v>
      </c>
      <c r="AB3182" s="780"/>
      <c r="AC3182" s="782">
        <v>3178</v>
      </c>
      <c r="AD3182" s="782" t="s">
        <v>4573</v>
      </c>
      <c r="AE3182" s="782" t="s">
        <v>2443</v>
      </c>
      <c r="AF3182" s="781">
        <f>$S$1*P!AF3182</f>
        <v>14.840725806451614</v>
      </c>
    </row>
    <row r="3183" spans="19:32" x14ac:dyDescent="0.35">
      <c r="S3183" s="782">
        <v>3179</v>
      </c>
      <c r="T3183" s="782" t="s">
        <v>4284</v>
      </c>
      <c r="U3183" s="782" t="s">
        <v>2508</v>
      </c>
      <c r="V3183" s="797">
        <f>$S$1*P!V3183</f>
        <v>1.8336693548387097E-7</v>
      </c>
      <c r="W3183" s="780"/>
      <c r="X3183" s="782">
        <v>3179</v>
      </c>
      <c r="Y3183" s="782" t="s">
        <v>2248</v>
      </c>
      <c r="Z3183" s="782" t="s">
        <v>4732</v>
      </c>
      <c r="AA3183" s="781">
        <f>$S$1*P!AA3183</f>
        <v>3.1292338709677419E-3</v>
      </c>
      <c r="AB3183" s="780"/>
      <c r="AC3183" s="881">
        <v>3179</v>
      </c>
      <c r="AD3183" s="881" t="s">
        <v>4573</v>
      </c>
      <c r="AE3183" s="881" t="s">
        <v>2443</v>
      </c>
      <c r="AF3183" s="890">
        <f>$S$1*P!AF3183</f>
        <v>0</v>
      </c>
    </row>
    <row r="3184" spans="19:32" x14ac:dyDescent="0.35">
      <c r="S3184" s="881">
        <v>3180</v>
      </c>
      <c r="T3184" s="881" t="s">
        <v>4284</v>
      </c>
      <c r="U3184" s="881" t="s">
        <v>2663</v>
      </c>
      <c r="V3184" s="883">
        <f>$S$1*P!V3184</f>
        <v>0</v>
      </c>
      <c r="W3184" s="780"/>
      <c r="X3184" s="782">
        <v>3180</v>
      </c>
      <c r="Y3184" s="782" t="s">
        <v>2248</v>
      </c>
      <c r="Z3184" s="782" t="s">
        <v>3138</v>
      </c>
      <c r="AA3184" s="781">
        <f>$S$1*P!AA3184</f>
        <v>1.4497983870967743E-5</v>
      </c>
      <c r="AB3184" s="780"/>
      <c r="AC3184" s="782">
        <v>3180</v>
      </c>
      <c r="AD3184" s="782" t="s">
        <v>4573</v>
      </c>
      <c r="AE3184" s="782" t="s">
        <v>4047</v>
      </c>
      <c r="AF3184" s="781">
        <f>$S$1*P!AF3184</f>
        <v>1.8713709677419355E-2</v>
      </c>
    </row>
    <row r="3185" spans="19:32" x14ac:dyDescent="0.35">
      <c r="S3185" s="782">
        <v>3181</v>
      </c>
      <c r="T3185" s="782" t="s">
        <v>4284</v>
      </c>
      <c r="U3185" s="782" t="s">
        <v>2505</v>
      </c>
      <c r="V3185" s="797">
        <f>$S$1*P!V3185</f>
        <v>7.9173387096774194E-8</v>
      </c>
      <c r="W3185" s="780"/>
      <c r="X3185" s="782">
        <v>3181</v>
      </c>
      <c r="Y3185" s="782" t="s">
        <v>2248</v>
      </c>
      <c r="Z3185" s="782" t="s">
        <v>3135</v>
      </c>
      <c r="AA3185" s="781">
        <f>$S$1*P!AA3185</f>
        <v>4.1471774193548389E-2</v>
      </c>
      <c r="AB3185" s="780"/>
      <c r="AC3185" s="881">
        <v>3181</v>
      </c>
      <c r="AD3185" s="881" t="s">
        <v>4573</v>
      </c>
      <c r="AE3185" s="881" t="s">
        <v>2442</v>
      </c>
      <c r="AF3185" s="890">
        <f>$S$1*P!AF3185</f>
        <v>0</v>
      </c>
    </row>
    <row r="3186" spans="19:32" x14ac:dyDescent="0.35">
      <c r="S3186" s="782">
        <v>3182</v>
      </c>
      <c r="T3186" s="782" t="s">
        <v>4284</v>
      </c>
      <c r="U3186" s="782" t="s">
        <v>2503</v>
      </c>
      <c r="V3186" s="797">
        <f>$S$1*P!V3186</f>
        <v>2.9818548387096776E-3</v>
      </c>
      <c r="W3186" s="780"/>
      <c r="X3186" s="782">
        <v>3182</v>
      </c>
      <c r="Y3186" s="782" t="s">
        <v>2248</v>
      </c>
      <c r="Z3186" s="782" t="s">
        <v>3132</v>
      </c>
      <c r="AA3186" s="781">
        <f>$S$1*P!AA3186</f>
        <v>5.6895161290322583E-3</v>
      </c>
      <c r="AB3186" s="780"/>
      <c r="AC3186" s="881">
        <v>3182</v>
      </c>
      <c r="AD3186" s="881" t="s">
        <v>4573</v>
      </c>
      <c r="AE3186" s="881" t="s">
        <v>2440</v>
      </c>
      <c r="AF3186" s="890">
        <f>$S$1*P!AF3186</f>
        <v>0</v>
      </c>
    </row>
    <row r="3187" spans="19:32" x14ac:dyDescent="0.35">
      <c r="S3187" s="782">
        <v>3183</v>
      </c>
      <c r="T3187" s="782" t="s">
        <v>4284</v>
      </c>
      <c r="U3187" s="782" t="s">
        <v>2500</v>
      </c>
      <c r="V3187" s="797">
        <f>$S$1*P!V3187</f>
        <v>1.0316532258064516E-4</v>
      </c>
      <c r="W3187" s="780"/>
      <c r="X3187" s="782">
        <v>3183</v>
      </c>
      <c r="Y3187" s="782" t="s">
        <v>2248</v>
      </c>
      <c r="Z3187" s="782" t="s">
        <v>4731</v>
      </c>
      <c r="AA3187" s="781">
        <f>$S$1*P!AA3187</f>
        <v>2.0016129032258065E-2</v>
      </c>
      <c r="AB3187" s="780"/>
      <c r="AC3187" s="881">
        <v>3183</v>
      </c>
      <c r="AD3187" s="881" t="s">
        <v>4573</v>
      </c>
      <c r="AE3187" s="881" t="s">
        <v>2439</v>
      </c>
      <c r="AF3187" s="890">
        <f>$S$1*P!AF3187</f>
        <v>0</v>
      </c>
    </row>
    <row r="3188" spans="19:32" x14ac:dyDescent="0.35">
      <c r="S3188" s="782">
        <v>3184</v>
      </c>
      <c r="T3188" s="782" t="s">
        <v>4284</v>
      </c>
      <c r="U3188" s="782" t="s">
        <v>2497</v>
      </c>
      <c r="V3188" s="797">
        <f>$S$1*P!V3188</f>
        <v>7.8145161290322585E-4</v>
      </c>
      <c r="W3188" s="780"/>
      <c r="X3188" s="782">
        <v>3184</v>
      </c>
      <c r="Y3188" s="782" t="s">
        <v>2248</v>
      </c>
      <c r="Z3188" s="782" t="s">
        <v>3129</v>
      </c>
      <c r="AA3188" s="781">
        <f>$S$1*P!AA3188</f>
        <v>6.1008064516129043E-4</v>
      </c>
      <c r="AB3188" s="780"/>
      <c r="AC3188" s="782">
        <v>3184</v>
      </c>
      <c r="AD3188" s="782" t="s">
        <v>4573</v>
      </c>
      <c r="AE3188" s="782" t="s">
        <v>4046</v>
      </c>
      <c r="AF3188" s="781">
        <f>$S$1*P!AF3188</f>
        <v>0.27625</v>
      </c>
    </row>
    <row r="3189" spans="19:32" x14ac:dyDescent="0.35">
      <c r="S3189" s="782">
        <v>3185</v>
      </c>
      <c r="T3189" s="782" t="s">
        <v>4284</v>
      </c>
      <c r="U3189" s="782" t="s">
        <v>2494</v>
      </c>
      <c r="V3189" s="797">
        <f>$S$1*P!V3189</f>
        <v>5.449596774193549E-4</v>
      </c>
      <c r="W3189" s="780"/>
      <c r="X3189" s="881">
        <v>3185</v>
      </c>
      <c r="Y3189" s="881" t="s">
        <v>2248</v>
      </c>
      <c r="Z3189" s="881" t="s">
        <v>2880</v>
      </c>
      <c r="AA3189" s="882">
        <f>$S$1*P!AA3189</f>
        <v>0</v>
      </c>
      <c r="AB3189" s="780"/>
      <c r="AC3189" s="881">
        <v>3185</v>
      </c>
      <c r="AD3189" s="881" t="s">
        <v>4573</v>
      </c>
      <c r="AE3189" s="881" t="s">
        <v>2437</v>
      </c>
      <c r="AF3189" s="890">
        <f>$S$1*P!AF3189</f>
        <v>6.2008000000000001</v>
      </c>
    </row>
    <row r="3190" spans="19:32" x14ac:dyDescent="0.35">
      <c r="S3190" s="782">
        <v>3186</v>
      </c>
      <c r="T3190" s="782" t="s">
        <v>4284</v>
      </c>
      <c r="U3190" s="782" t="s">
        <v>2491</v>
      </c>
      <c r="V3190" s="797">
        <f>$S$1*P!V3190</f>
        <v>1.7925403225806452E-3</v>
      </c>
      <c r="W3190" s="780"/>
      <c r="X3190" s="782">
        <v>3186</v>
      </c>
      <c r="Y3190" s="782" t="s">
        <v>2248</v>
      </c>
      <c r="Z3190" s="782" t="s">
        <v>4730</v>
      </c>
      <c r="AA3190" s="781">
        <f>$S$1*P!AA3190</f>
        <v>2.447177419354839E-6</v>
      </c>
      <c r="AB3190" s="780"/>
      <c r="AC3190" s="782">
        <v>3186</v>
      </c>
      <c r="AD3190" s="782" t="s">
        <v>4573</v>
      </c>
      <c r="AE3190" s="782" t="s">
        <v>4044</v>
      </c>
      <c r="AF3190" s="781">
        <f>$S$1*P!AF3190</f>
        <v>1.0008064516129034</v>
      </c>
    </row>
    <row r="3191" spans="19:32" x14ac:dyDescent="0.35">
      <c r="S3191" s="782">
        <v>3187</v>
      </c>
      <c r="T3191" s="782" t="s">
        <v>4284</v>
      </c>
      <c r="U3191" s="782" t="s">
        <v>2489</v>
      </c>
      <c r="V3191" s="797">
        <f>$S$1*P!V3191</f>
        <v>8.7399193548387096E-5</v>
      </c>
      <c r="W3191" s="780"/>
      <c r="X3191" s="881">
        <v>3187</v>
      </c>
      <c r="Y3191" s="881" t="s">
        <v>2248</v>
      </c>
      <c r="Z3191" s="881" t="s">
        <v>2879</v>
      </c>
      <c r="AA3191" s="882">
        <f>$S$1*P!AA3191</f>
        <v>0</v>
      </c>
      <c r="AB3191" s="780"/>
      <c r="AC3191" s="782">
        <v>3187</v>
      </c>
      <c r="AD3191" s="782" t="s">
        <v>4573</v>
      </c>
      <c r="AE3191" s="782" t="s">
        <v>2435</v>
      </c>
      <c r="AF3191" s="781">
        <f>$S$1*P!AF3191</f>
        <v>4.0443548387096772E-5</v>
      </c>
    </row>
    <row r="3192" spans="19:32" x14ac:dyDescent="0.35">
      <c r="S3192" s="782">
        <v>3188</v>
      </c>
      <c r="T3192" s="782" t="s">
        <v>4284</v>
      </c>
      <c r="U3192" s="782" t="s">
        <v>2486</v>
      </c>
      <c r="V3192" s="797">
        <f>$S$1*P!V3192</f>
        <v>6.8548387096774199E-5</v>
      </c>
      <c r="W3192" s="780"/>
      <c r="X3192" s="881">
        <v>3188</v>
      </c>
      <c r="Y3192" s="881" t="s">
        <v>2248</v>
      </c>
      <c r="Z3192" s="881" t="s">
        <v>2877</v>
      </c>
      <c r="AA3192" s="882">
        <f>$S$1*P!AA3192</f>
        <v>18.492000000000001</v>
      </c>
      <c r="AB3192" s="780"/>
      <c r="AC3192" s="881">
        <v>3188</v>
      </c>
      <c r="AD3192" s="881" t="s">
        <v>4573</v>
      </c>
      <c r="AE3192" s="881" t="s">
        <v>2435</v>
      </c>
      <c r="AF3192" s="890">
        <f>$S$1*P!AF3192</f>
        <v>0</v>
      </c>
    </row>
    <row r="3193" spans="19:32" x14ac:dyDescent="0.35">
      <c r="S3193" s="782">
        <v>3189</v>
      </c>
      <c r="T3193" s="782" t="s">
        <v>4284</v>
      </c>
      <c r="U3193" s="782" t="s">
        <v>2483</v>
      </c>
      <c r="V3193" s="797">
        <f>$S$1*P!V3193</f>
        <v>9.6310483870967754E-8</v>
      </c>
      <c r="W3193" s="780"/>
      <c r="X3193" s="782">
        <v>3189</v>
      </c>
      <c r="Y3193" s="782" t="s">
        <v>2248</v>
      </c>
      <c r="Z3193" s="782" t="s">
        <v>2877</v>
      </c>
      <c r="AA3193" s="781">
        <f>$S$1*P!AA3193</f>
        <v>0.2186693548387097</v>
      </c>
      <c r="AB3193" s="780"/>
      <c r="AC3193" s="881">
        <v>3189</v>
      </c>
      <c r="AD3193" s="881" t="s">
        <v>4573</v>
      </c>
      <c r="AE3193" s="881" t="s">
        <v>2434</v>
      </c>
      <c r="AF3193" s="890">
        <f>$S$1*P!AF3193</f>
        <v>1.2144000000000001</v>
      </c>
    </row>
    <row r="3194" spans="19:32" x14ac:dyDescent="0.35">
      <c r="S3194" s="782">
        <v>3190</v>
      </c>
      <c r="T3194" s="782" t="s">
        <v>4284</v>
      </c>
      <c r="U3194" s="782" t="s">
        <v>2480</v>
      </c>
      <c r="V3194" s="797">
        <f>$S$1*P!V3194</f>
        <v>3.8044354838709684E-8</v>
      </c>
      <c r="W3194" s="780"/>
      <c r="X3194" s="782">
        <v>3190</v>
      </c>
      <c r="Y3194" s="782" t="s">
        <v>2248</v>
      </c>
      <c r="Z3194" s="782" t="s">
        <v>3366</v>
      </c>
      <c r="AA3194" s="781">
        <f>$S$1*P!AA3194</f>
        <v>0.11550403225806452</v>
      </c>
      <c r="AB3194" s="780"/>
      <c r="AC3194" s="881">
        <v>3190</v>
      </c>
      <c r="AD3194" s="881" t="s">
        <v>4573</v>
      </c>
      <c r="AE3194" s="881" t="s">
        <v>2432</v>
      </c>
      <c r="AF3194" s="890">
        <f>$S$1*P!AF3194</f>
        <v>0.75992000000000004</v>
      </c>
    </row>
    <row r="3195" spans="19:32" x14ac:dyDescent="0.35">
      <c r="S3195" s="782">
        <v>3191</v>
      </c>
      <c r="T3195" s="782" t="s">
        <v>4284</v>
      </c>
      <c r="U3195" s="782" t="s">
        <v>2478</v>
      </c>
      <c r="V3195" s="797">
        <f>$S$1*P!V3195</f>
        <v>1.2475806451612904E-3</v>
      </c>
      <c r="W3195" s="780"/>
      <c r="X3195" s="881">
        <v>3191</v>
      </c>
      <c r="Y3195" s="881" t="s">
        <v>2248</v>
      </c>
      <c r="Z3195" s="881" t="s">
        <v>2876</v>
      </c>
      <c r="AA3195" s="882">
        <f>$S$1*P!AA3195</f>
        <v>0</v>
      </c>
      <c r="AB3195" s="780"/>
      <c r="AC3195" s="782">
        <v>3191</v>
      </c>
      <c r="AD3195" s="782" t="s">
        <v>4573</v>
      </c>
      <c r="AE3195" s="782" t="s">
        <v>4041</v>
      </c>
      <c r="AF3195" s="781">
        <f>$S$1*P!AF3195</f>
        <v>1.525201612903226</v>
      </c>
    </row>
    <row r="3196" spans="19:32" x14ac:dyDescent="0.35">
      <c r="S3196" s="782">
        <v>3192</v>
      </c>
      <c r="T3196" s="782" t="s">
        <v>4284</v>
      </c>
      <c r="U3196" s="782" t="s">
        <v>2475</v>
      </c>
      <c r="V3196" s="797">
        <f>$S$1*P!V3196</f>
        <v>5.5866935483870977E-4</v>
      </c>
      <c r="W3196" s="780"/>
      <c r="X3196" s="782">
        <v>3192</v>
      </c>
      <c r="Y3196" s="782" t="s">
        <v>2248</v>
      </c>
      <c r="Z3196" s="782" t="s">
        <v>4729</v>
      </c>
      <c r="AA3196" s="781">
        <f>$S$1*P!AA3196</f>
        <v>2.8721774193548387E-3</v>
      </c>
      <c r="AB3196" s="780"/>
      <c r="AC3196" s="782">
        <v>3192</v>
      </c>
      <c r="AD3196" s="782" t="s">
        <v>4573</v>
      </c>
      <c r="AE3196" s="782" t="s">
        <v>4040</v>
      </c>
      <c r="AF3196" s="781">
        <f>$S$1*P!AF3196</f>
        <v>5.5181451612903226E-3</v>
      </c>
    </row>
    <row r="3197" spans="19:32" x14ac:dyDescent="0.35">
      <c r="S3197" s="782">
        <v>3193</v>
      </c>
      <c r="T3197" s="782" t="s">
        <v>4284</v>
      </c>
      <c r="U3197" s="782" t="s">
        <v>2472</v>
      </c>
      <c r="V3197" s="797">
        <f>$S$1*P!V3197</f>
        <v>1.7411290322580645E-6</v>
      </c>
      <c r="W3197" s="780"/>
      <c r="X3197" s="782">
        <v>3193</v>
      </c>
      <c r="Y3197" s="782" t="s">
        <v>2248</v>
      </c>
      <c r="Z3197" s="782" t="s">
        <v>3125</v>
      </c>
      <c r="AA3197" s="781">
        <f>$S$1*P!AA3197</f>
        <v>3.2731854838709683E-2</v>
      </c>
      <c r="AB3197" s="780"/>
      <c r="AC3197" s="782">
        <v>3193</v>
      </c>
      <c r="AD3197" s="782" t="s">
        <v>4573</v>
      </c>
      <c r="AE3197" s="782" t="s">
        <v>4038</v>
      </c>
      <c r="AF3197" s="781">
        <f>$S$1*P!AF3197</f>
        <v>9.0826612903225815E-2</v>
      </c>
    </row>
    <row r="3198" spans="19:32" x14ac:dyDescent="0.35">
      <c r="S3198" s="881">
        <v>3194</v>
      </c>
      <c r="T3198" s="881" t="s">
        <v>4284</v>
      </c>
      <c r="U3198" s="881" t="s">
        <v>2662</v>
      </c>
      <c r="V3198" s="883">
        <f>$S$1*P!V3198</f>
        <v>0.24931999999999999</v>
      </c>
      <c r="W3198" s="780"/>
      <c r="X3198" s="782">
        <v>3194</v>
      </c>
      <c r="Y3198" s="782" t="s">
        <v>2248</v>
      </c>
      <c r="Z3198" s="782" t="s">
        <v>3122</v>
      </c>
      <c r="AA3198" s="781">
        <f>$S$1*P!AA3198</f>
        <v>8.191532258064517E-5</v>
      </c>
      <c r="AB3198" s="780"/>
      <c r="AC3198" s="782">
        <v>3194</v>
      </c>
      <c r="AD3198" s="782" t="s">
        <v>4573</v>
      </c>
      <c r="AE3198" s="782" t="s">
        <v>4037</v>
      </c>
      <c r="AF3198" s="781">
        <f>$S$1*P!AF3198</f>
        <v>5.7237903225806452E-4</v>
      </c>
    </row>
    <row r="3199" spans="19:32" x14ac:dyDescent="0.35">
      <c r="S3199" s="782">
        <v>3195</v>
      </c>
      <c r="T3199" s="782" t="s">
        <v>4284</v>
      </c>
      <c r="U3199" s="782" t="s">
        <v>2469</v>
      </c>
      <c r="V3199" s="797">
        <f>$S$1*P!V3199</f>
        <v>0.33965725806451613</v>
      </c>
      <c r="W3199" s="780"/>
      <c r="X3199" s="782">
        <v>3195</v>
      </c>
      <c r="Y3199" s="782" t="s">
        <v>2248</v>
      </c>
      <c r="Z3199" s="782" t="s">
        <v>3363</v>
      </c>
      <c r="AA3199" s="781">
        <f>$S$1*P!AA3199</f>
        <v>0.26048387096774195</v>
      </c>
      <c r="AB3199" s="780"/>
      <c r="AC3199" s="782">
        <v>3195</v>
      </c>
      <c r="AD3199" s="782" t="s">
        <v>4573</v>
      </c>
      <c r="AE3199" s="782" t="s">
        <v>4035</v>
      </c>
      <c r="AF3199" s="781">
        <f>$S$1*P!AF3199</f>
        <v>6.1350806451612908E-2</v>
      </c>
    </row>
    <row r="3200" spans="19:32" x14ac:dyDescent="0.35">
      <c r="S3200" s="782">
        <v>3196</v>
      </c>
      <c r="T3200" s="782" t="s">
        <v>4284</v>
      </c>
      <c r="U3200" s="782" t="s">
        <v>2466</v>
      </c>
      <c r="V3200" s="797">
        <f>$S$1*P!V3200</f>
        <v>3.3040322580645161E-5</v>
      </c>
      <c r="W3200" s="780"/>
      <c r="X3200" s="881">
        <v>3196</v>
      </c>
      <c r="Y3200" s="881" t="s">
        <v>2248</v>
      </c>
      <c r="Z3200" s="881" t="s">
        <v>2874</v>
      </c>
      <c r="AA3200" s="882">
        <f>$S$1*P!AA3200</f>
        <v>2.3552</v>
      </c>
      <c r="AB3200" s="780"/>
      <c r="AC3200" s="782">
        <v>3196</v>
      </c>
      <c r="AD3200" s="782" t="s">
        <v>4573</v>
      </c>
      <c r="AE3200" s="782" t="s">
        <v>4034</v>
      </c>
      <c r="AF3200" s="781">
        <f>$S$1*P!AF3200</f>
        <v>5.6895161290322585E-2</v>
      </c>
    </row>
    <row r="3201" spans="19:32" x14ac:dyDescent="0.35">
      <c r="S3201" s="782">
        <v>3197</v>
      </c>
      <c r="T3201" s="782" t="s">
        <v>4284</v>
      </c>
      <c r="U3201" s="782" t="s">
        <v>2464</v>
      </c>
      <c r="V3201" s="797">
        <f>$S$1*P!V3201</f>
        <v>2.491733870967742E-6</v>
      </c>
      <c r="W3201" s="780"/>
      <c r="X3201" s="782">
        <v>3197</v>
      </c>
      <c r="Y3201" s="782" t="s">
        <v>2248</v>
      </c>
      <c r="Z3201" s="782" t="s">
        <v>3119</v>
      </c>
      <c r="AA3201" s="781">
        <f>$S$1*P!AA3201</f>
        <v>2.5362903225806455E-4</v>
      </c>
      <c r="AB3201" s="780"/>
      <c r="AC3201" s="782">
        <v>3197</v>
      </c>
      <c r="AD3201" s="782" t="s">
        <v>4573</v>
      </c>
      <c r="AE3201" s="782" t="s">
        <v>2431</v>
      </c>
      <c r="AF3201" s="781">
        <f>$S$1*P!AF3201</f>
        <v>0.25088709677419357</v>
      </c>
    </row>
    <row r="3202" spans="19:32" x14ac:dyDescent="0.35">
      <c r="S3202" s="782">
        <v>3198</v>
      </c>
      <c r="T3202" s="782" t="s">
        <v>4284</v>
      </c>
      <c r="U3202" s="782" t="s">
        <v>2461</v>
      </c>
      <c r="V3202" s="797">
        <f>$S$1*P!V3202</f>
        <v>3.1155241935483875E-3</v>
      </c>
      <c r="W3202" s="780"/>
      <c r="X3202" s="782">
        <v>3198</v>
      </c>
      <c r="Y3202" s="782" t="s">
        <v>2248</v>
      </c>
      <c r="Z3202" s="782" t="s">
        <v>4728</v>
      </c>
      <c r="AA3202" s="781">
        <f>$S$1*P!AA3202</f>
        <v>2.7385080645161293</v>
      </c>
      <c r="AB3202" s="780"/>
      <c r="AC3202" s="881">
        <v>3198</v>
      </c>
      <c r="AD3202" s="881" t="s">
        <v>4573</v>
      </c>
      <c r="AE3202" s="881" t="s">
        <v>2431</v>
      </c>
      <c r="AF3202" s="890">
        <f>$S$1*P!AF3202</f>
        <v>0</v>
      </c>
    </row>
    <row r="3203" spans="19:32" x14ac:dyDescent="0.35">
      <c r="S3203" s="782">
        <v>3199</v>
      </c>
      <c r="T3203" s="782" t="s">
        <v>4284</v>
      </c>
      <c r="U3203" s="782" t="s">
        <v>2458</v>
      </c>
      <c r="V3203" s="797">
        <f>$S$1*P!V3203</f>
        <v>8.5685483870967744E-4</v>
      </c>
      <c r="W3203" s="780"/>
      <c r="X3203" s="782">
        <v>3199</v>
      </c>
      <c r="Y3203" s="782" t="s">
        <v>2248</v>
      </c>
      <c r="Z3203" s="782" t="s">
        <v>3117</v>
      </c>
      <c r="AA3203" s="781">
        <f>$S$1*P!AA3203</f>
        <v>0.31840725806451614</v>
      </c>
      <c r="AB3203" s="780"/>
      <c r="AC3203" s="881">
        <v>3199</v>
      </c>
      <c r="AD3203" s="881" t="s">
        <v>4573</v>
      </c>
      <c r="AE3203" s="881" t="s">
        <v>2429</v>
      </c>
      <c r="AF3203" s="890">
        <f>$S$1*P!AF3203</f>
        <v>530.84</v>
      </c>
    </row>
    <row r="3204" spans="19:32" x14ac:dyDescent="0.35">
      <c r="S3204" s="782">
        <v>3200</v>
      </c>
      <c r="T3204" s="782" t="s">
        <v>4284</v>
      </c>
      <c r="U3204" s="782" t="s">
        <v>2455</v>
      </c>
      <c r="V3204" s="797">
        <f>$S$1*P!V3204</f>
        <v>4.3870967741935489E-4</v>
      </c>
      <c r="W3204" s="780"/>
      <c r="X3204" s="782">
        <v>3200</v>
      </c>
      <c r="Y3204" s="782" t="s">
        <v>2248</v>
      </c>
      <c r="Z3204" s="782" t="s">
        <v>3114</v>
      </c>
      <c r="AA3204" s="781">
        <f>$S$1*P!AA3204</f>
        <v>2.7967741935483877E-6</v>
      </c>
      <c r="AB3204" s="780"/>
      <c r="AC3204" s="881">
        <v>3200</v>
      </c>
      <c r="AD3204" s="881" t="s">
        <v>4573</v>
      </c>
      <c r="AE3204" s="881" t="s">
        <v>2428</v>
      </c>
      <c r="AF3204" s="890">
        <f>$S$1*P!AF3204</f>
        <v>3.1003999999999997E-2</v>
      </c>
    </row>
    <row r="3205" spans="19:32" x14ac:dyDescent="0.35">
      <c r="S3205" s="782">
        <v>3201</v>
      </c>
      <c r="T3205" s="782" t="s">
        <v>4284</v>
      </c>
      <c r="U3205" s="782" t="s">
        <v>2452</v>
      </c>
      <c r="V3205" s="797">
        <f>$S$1*P!V3205</f>
        <v>4.0100806451612906E-5</v>
      </c>
      <c r="W3205" s="780"/>
      <c r="X3205" s="881">
        <v>3201</v>
      </c>
      <c r="Y3205" s="881" t="s">
        <v>2248</v>
      </c>
      <c r="Z3205" s="881" t="s">
        <v>2873</v>
      </c>
      <c r="AA3205" s="882">
        <f>$S$1*P!AA3205</f>
        <v>2.5299999999999998</v>
      </c>
      <c r="AB3205" s="780"/>
      <c r="AC3205" s="782">
        <v>3201</v>
      </c>
      <c r="AD3205" s="782" t="s">
        <v>4573</v>
      </c>
      <c r="AE3205" s="782" t="s">
        <v>4031</v>
      </c>
      <c r="AF3205" s="781">
        <f>$S$1*P!AF3205</f>
        <v>0.37016129032258066</v>
      </c>
    </row>
    <row r="3206" spans="19:32" x14ac:dyDescent="0.35">
      <c r="S3206" s="782">
        <v>3202</v>
      </c>
      <c r="T3206" s="782" t="s">
        <v>4284</v>
      </c>
      <c r="U3206" s="782" t="s">
        <v>2449</v>
      </c>
      <c r="V3206" s="797">
        <f>$S$1*P!V3206</f>
        <v>6.580645161290323E-6</v>
      </c>
      <c r="W3206" s="780"/>
      <c r="X3206" s="782">
        <v>3202</v>
      </c>
      <c r="Y3206" s="782" t="s">
        <v>2248</v>
      </c>
      <c r="Z3206" s="782" t="s">
        <v>4727</v>
      </c>
      <c r="AA3206" s="781">
        <f>$S$1*P!AA3206</f>
        <v>7.8830645161290329</v>
      </c>
      <c r="AB3206" s="780"/>
      <c r="AC3206" s="782">
        <v>3202</v>
      </c>
      <c r="AD3206" s="782" t="s">
        <v>4573</v>
      </c>
      <c r="AE3206" s="782" t="s">
        <v>4030</v>
      </c>
      <c r="AF3206" s="781">
        <f>$S$1*P!AF3206</f>
        <v>0.28447580645161291</v>
      </c>
    </row>
    <row r="3207" spans="19:32" x14ac:dyDescent="0.35">
      <c r="S3207" s="881">
        <v>3203</v>
      </c>
      <c r="T3207" s="881" t="s">
        <v>4284</v>
      </c>
      <c r="U3207" s="881" t="s">
        <v>2660</v>
      </c>
      <c r="V3207" s="883">
        <f>$S$1*P!V3207</f>
        <v>1.2236</v>
      </c>
      <c r="W3207" s="780"/>
      <c r="X3207" s="881">
        <v>3203</v>
      </c>
      <c r="Y3207" s="881" t="s">
        <v>2248</v>
      </c>
      <c r="Z3207" s="881" t="s">
        <v>2871</v>
      </c>
      <c r="AA3207" s="882">
        <f>$S$1*P!AA3207</f>
        <v>0</v>
      </c>
      <c r="AB3207" s="780"/>
      <c r="AC3207" s="782">
        <v>3203</v>
      </c>
      <c r="AD3207" s="782" t="s">
        <v>4573</v>
      </c>
      <c r="AE3207" s="782" t="s">
        <v>4028</v>
      </c>
      <c r="AF3207" s="781">
        <f>$S$1*P!AF3207</f>
        <v>6.649193548387097</v>
      </c>
    </row>
    <row r="3208" spans="19:32" x14ac:dyDescent="0.35">
      <c r="S3208" s="782">
        <v>3204</v>
      </c>
      <c r="T3208" s="782" t="s">
        <v>4284</v>
      </c>
      <c r="U3208" s="782" t="s">
        <v>2447</v>
      </c>
      <c r="V3208" s="797">
        <f>$S$1*P!V3208</f>
        <v>1.1824596774193548E-3</v>
      </c>
      <c r="W3208" s="780"/>
      <c r="X3208" s="782">
        <v>3204</v>
      </c>
      <c r="Y3208" s="782" t="s">
        <v>2248</v>
      </c>
      <c r="Z3208" s="782" t="s">
        <v>4726</v>
      </c>
      <c r="AA3208" s="781">
        <f>$S$1*P!AA3208</f>
        <v>2.0016129032258064E-4</v>
      </c>
      <c r="AB3208" s="780"/>
      <c r="AC3208" s="782">
        <v>3204</v>
      </c>
      <c r="AD3208" s="782" t="s">
        <v>4573</v>
      </c>
      <c r="AE3208" s="782" t="s">
        <v>2426</v>
      </c>
      <c r="AF3208" s="781">
        <f>$S$1*P!AF3208</f>
        <v>2.6699596774193552</v>
      </c>
    </row>
    <row r="3209" spans="19:32" x14ac:dyDescent="0.35">
      <c r="S3209" s="782">
        <v>3205</v>
      </c>
      <c r="T3209" s="782" t="s">
        <v>4284</v>
      </c>
      <c r="U3209" s="782" t="s">
        <v>2444</v>
      </c>
      <c r="V3209" s="797">
        <f>$S$1*P!V3209</f>
        <v>3.6330645161290324E-3</v>
      </c>
      <c r="W3209" s="780"/>
      <c r="X3209" s="881">
        <v>3205</v>
      </c>
      <c r="Y3209" s="881" t="s">
        <v>2248</v>
      </c>
      <c r="Z3209" s="881" t="s">
        <v>2869</v>
      </c>
      <c r="AA3209" s="882">
        <f>$S$1*P!AA3209</f>
        <v>7.8107999999999997E-2</v>
      </c>
      <c r="AB3209" s="780"/>
      <c r="AC3209" s="881">
        <v>3205</v>
      </c>
      <c r="AD3209" s="881" t="s">
        <v>4573</v>
      </c>
      <c r="AE3209" s="881" t="s">
        <v>2426</v>
      </c>
      <c r="AF3209" s="890">
        <f>$S$1*P!AF3209</f>
        <v>0</v>
      </c>
    </row>
    <row r="3210" spans="19:32" x14ac:dyDescent="0.35">
      <c r="S3210" s="881">
        <v>3206</v>
      </c>
      <c r="T3210" s="881" t="s">
        <v>4284</v>
      </c>
      <c r="U3210" s="881" t="s">
        <v>2659</v>
      </c>
      <c r="V3210" s="883">
        <f>$S$1*P!V3210</f>
        <v>7.7280000000000001E-2</v>
      </c>
      <c r="W3210" s="780"/>
      <c r="X3210" s="782">
        <v>3206</v>
      </c>
      <c r="Y3210" s="782" t="s">
        <v>2248</v>
      </c>
      <c r="Z3210" s="782" t="s">
        <v>2869</v>
      </c>
      <c r="AA3210" s="781">
        <f>$S$1*P!AA3210</f>
        <v>1.3949596774193549E-2</v>
      </c>
      <c r="AB3210" s="780"/>
      <c r="AC3210" s="782">
        <v>3206</v>
      </c>
      <c r="AD3210" s="782" t="s">
        <v>4573</v>
      </c>
      <c r="AE3210" s="782" t="s">
        <v>4026</v>
      </c>
      <c r="AF3210" s="781">
        <f>$S$1*P!AF3210</f>
        <v>1.1036290322580646</v>
      </c>
    </row>
    <row r="3211" spans="19:32" x14ac:dyDescent="0.35">
      <c r="S3211" s="782">
        <v>3207</v>
      </c>
      <c r="T3211" s="782" t="s">
        <v>4284</v>
      </c>
      <c r="U3211" s="782" t="s">
        <v>2441</v>
      </c>
      <c r="V3211" s="797">
        <f>$S$1*P!V3211</f>
        <v>7.266129032258065E-4</v>
      </c>
      <c r="W3211" s="780"/>
      <c r="X3211" s="881">
        <v>3207</v>
      </c>
      <c r="Y3211" s="881" t="s">
        <v>2248</v>
      </c>
      <c r="Z3211" s="881" t="s">
        <v>2868</v>
      </c>
      <c r="AA3211" s="882">
        <f>$S$1*P!AA3211</f>
        <v>0</v>
      </c>
      <c r="AB3211" s="780"/>
      <c r="AC3211" s="782">
        <v>3207</v>
      </c>
      <c r="AD3211" s="782" t="s">
        <v>4573</v>
      </c>
      <c r="AE3211" s="782" t="s">
        <v>4024</v>
      </c>
      <c r="AF3211" s="781">
        <f>$S$1*P!AF3211</f>
        <v>1.2304435483870968E-4</v>
      </c>
    </row>
    <row r="3212" spans="19:32" x14ac:dyDescent="0.35">
      <c r="S3212" s="782">
        <v>3208</v>
      </c>
      <c r="T3212" s="782" t="s">
        <v>4284</v>
      </c>
      <c r="U3212" s="782" t="s">
        <v>2438</v>
      </c>
      <c r="V3212" s="797">
        <f>$S$1*P!V3212</f>
        <v>3.495967741935484E-3</v>
      </c>
      <c r="W3212" s="780"/>
      <c r="X3212" s="782">
        <v>3208</v>
      </c>
      <c r="Y3212" s="782" t="s">
        <v>2248</v>
      </c>
      <c r="Z3212" s="782" t="s">
        <v>3359</v>
      </c>
      <c r="AA3212" s="781">
        <f>$S$1*P!AA3212</f>
        <v>1.038508064516129E-2</v>
      </c>
      <c r="AB3212" s="780"/>
      <c r="AC3212" s="782">
        <v>3208</v>
      </c>
      <c r="AD3212" s="782" t="s">
        <v>4573</v>
      </c>
      <c r="AE3212" s="782" t="s">
        <v>4023</v>
      </c>
      <c r="AF3212" s="781">
        <f>$S$1*P!AF3212</f>
        <v>8.3286290322580651E-4</v>
      </c>
    </row>
    <row r="3213" spans="19:32" x14ac:dyDescent="0.35">
      <c r="S3213" s="782">
        <v>3209</v>
      </c>
      <c r="T3213" s="782" t="s">
        <v>4284</v>
      </c>
      <c r="U3213" s="782" t="s">
        <v>2436</v>
      </c>
      <c r="V3213" s="797">
        <f>$S$1*P!V3213</f>
        <v>0.19193548387096776</v>
      </c>
      <c r="W3213" s="780"/>
      <c r="X3213" s="782">
        <v>3209</v>
      </c>
      <c r="Y3213" s="782" t="s">
        <v>2248</v>
      </c>
      <c r="Z3213" s="782" t="s">
        <v>3109</v>
      </c>
      <c r="AA3213" s="781">
        <f>$S$1*P!AA3213</f>
        <v>0.13024193548387097</v>
      </c>
      <c r="AB3213" s="780"/>
      <c r="AC3213" s="782">
        <v>3209</v>
      </c>
      <c r="AD3213" s="782" t="s">
        <v>4573</v>
      </c>
      <c r="AE3213" s="782" t="s">
        <v>4022</v>
      </c>
      <c r="AF3213" s="781">
        <f>$S$1*P!AF3213</f>
        <v>6.5120967741935489E-3</v>
      </c>
    </row>
    <row r="3214" spans="19:32" x14ac:dyDescent="0.35">
      <c r="S3214" s="782">
        <v>3210</v>
      </c>
      <c r="T3214" s="782" t="s">
        <v>4284</v>
      </c>
      <c r="U3214" s="782" t="s">
        <v>2433</v>
      </c>
      <c r="V3214" s="797">
        <f>$S$1*P!V3214</f>
        <v>8.362903225806452E-4</v>
      </c>
      <c r="W3214" s="780"/>
      <c r="X3214" s="782">
        <v>3210</v>
      </c>
      <c r="Y3214" s="782" t="s">
        <v>2248</v>
      </c>
      <c r="Z3214" s="782" t="s">
        <v>3106</v>
      </c>
      <c r="AA3214" s="781">
        <f>$S$1*P!AA3214</f>
        <v>1.3229838709677422E-3</v>
      </c>
      <c r="AB3214" s="780"/>
      <c r="AC3214" s="881">
        <v>3210</v>
      </c>
      <c r="AD3214" s="881" t="s">
        <v>4573</v>
      </c>
      <c r="AE3214" s="881" t="s">
        <v>2425</v>
      </c>
      <c r="AF3214" s="890">
        <f>$S$1*P!AF3214</f>
        <v>0</v>
      </c>
    </row>
    <row r="3215" spans="19:32" x14ac:dyDescent="0.35">
      <c r="S3215" s="782">
        <v>3211</v>
      </c>
      <c r="T3215" s="782" t="s">
        <v>4284</v>
      </c>
      <c r="U3215" s="782" t="s">
        <v>2430</v>
      </c>
      <c r="V3215" s="797">
        <f>$S$1*P!V3215</f>
        <v>4.8669354838709681E-4</v>
      </c>
      <c r="W3215" s="780"/>
      <c r="X3215" s="782">
        <v>3211</v>
      </c>
      <c r="Y3215" s="782" t="s">
        <v>2248</v>
      </c>
      <c r="Z3215" s="782" t="s">
        <v>3104</v>
      </c>
      <c r="AA3215" s="781">
        <f>$S$1*P!AA3215</f>
        <v>1.3675403225806454E-5</v>
      </c>
      <c r="AB3215" s="780"/>
      <c r="AC3215" s="782">
        <v>3211</v>
      </c>
      <c r="AD3215" s="782" t="s">
        <v>4573</v>
      </c>
      <c r="AE3215" s="782" t="s">
        <v>2423</v>
      </c>
      <c r="AF3215" s="781">
        <f>$S$1*P!AF3215</f>
        <v>7.9858870967741941E-2</v>
      </c>
    </row>
    <row r="3216" spans="19:32" x14ac:dyDescent="0.35">
      <c r="S3216" s="881">
        <v>3212</v>
      </c>
      <c r="T3216" s="881" t="s">
        <v>4284</v>
      </c>
      <c r="U3216" s="881" t="s">
        <v>2657</v>
      </c>
      <c r="V3216" s="883">
        <f>$S$1*P!V3216</f>
        <v>3.7168E-2</v>
      </c>
      <c r="W3216" s="780"/>
      <c r="X3216" s="782">
        <v>3212</v>
      </c>
      <c r="Y3216" s="782" t="s">
        <v>2248</v>
      </c>
      <c r="Z3216" s="782" t="s">
        <v>4725</v>
      </c>
      <c r="AA3216" s="781">
        <f>$S$1*P!AA3216</f>
        <v>0.3461693548387097</v>
      </c>
      <c r="AB3216" s="780"/>
      <c r="AC3216" s="881">
        <v>3212</v>
      </c>
      <c r="AD3216" s="881" t="s">
        <v>4573</v>
      </c>
      <c r="AE3216" s="881" t="s">
        <v>2423</v>
      </c>
      <c r="AF3216" s="890">
        <f>$S$1*P!AF3216</f>
        <v>0</v>
      </c>
    </row>
    <row r="3217" spans="19:32" x14ac:dyDescent="0.35">
      <c r="S3217" s="782">
        <v>3213</v>
      </c>
      <c r="T3217" s="782" t="s">
        <v>4284</v>
      </c>
      <c r="U3217" s="782" t="s">
        <v>2427</v>
      </c>
      <c r="V3217" s="797">
        <f>$S$1*P!V3217</f>
        <v>7.2318548387096781E-5</v>
      </c>
      <c r="W3217" s="780"/>
      <c r="X3217" s="782">
        <v>3213</v>
      </c>
      <c r="Y3217" s="782" t="s">
        <v>2248</v>
      </c>
      <c r="Z3217" s="782" t="s">
        <v>3101</v>
      </c>
      <c r="AA3217" s="781">
        <f>$S$1*P!AA3217</f>
        <v>0.21729838709677421</v>
      </c>
      <c r="AB3217" s="780"/>
      <c r="AC3217" s="782">
        <v>3213</v>
      </c>
      <c r="AD3217" s="782" t="s">
        <v>4573</v>
      </c>
      <c r="AE3217" s="782" t="s">
        <v>2421</v>
      </c>
      <c r="AF3217" s="781">
        <f>$S$1*P!AF3217</f>
        <v>5.0040322580645162E-3</v>
      </c>
    </row>
    <row r="3218" spans="19:32" x14ac:dyDescent="0.35">
      <c r="S3218" s="881">
        <v>3214</v>
      </c>
      <c r="T3218" s="881" t="s">
        <v>4284</v>
      </c>
      <c r="U3218" s="881" t="s">
        <v>2655</v>
      </c>
      <c r="V3218" s="883">
        <f>$S$1*P!V3218</f>
        <v>0.21068000000000001</v>
      </c>
      <c r="W3218" s="780"/>
      <c r="X3218" s="782">
        <v>3214</v>
      </c>
      <c r="Y3218" s="782" t="s">
        <v>2248</v>
      </c>
      <c r="Z3218" s="782" t="s">
        <v>3098</v>
      </c>
      <c r="AA3218" s="781">
        <f>$S$1*P!AA3218</f>
        <v>4.1471774193548392E-3</v>
      </c>
      <c r="AB3218" s="780"/>
      <c r="AC3218" s="881">
        <v>3214</v>
      </c>
      <c r="AD3218" s="881" t="s">
        <v>4573</v>
      </c>
      <c r="AE3218" s="881" t="s">
        <v>2421</v>
      </c>
      <c r="AF3218" s="890">
        <f>$S$1*P!AF3218</f>
        <v>0</v>
      </c>
    </row>
    <row r="3219" spans="19:32" x14ac:dyDescent="0.35">
      <c r="S3219" s="881">
        <v>3215</v>
      </c>
      <c r="T3219" s="881" t="s">
        <v>4284</v>
      </c>
      <c r="U3219" s="881" t="s">
        <v>2654</v>
      </c>
      <c r="V3219" s="883">
        <f>$S$1*P!V3219</f>
        <v>0.89056000000000013</v>
      </c>
      <c r="W3219" s="780"/>
      <c r="X3219" s="782">
        <v>3215</v>
      </c>
      <c r="Y3219" s="782" t="s">
        <v>2248</v>
      </c>
      <c r="Z3219" s="782" t="s">
        <v>4724</v>
      </c>
      <c r="AA3219" s="781">
        <f>$S$1*P!AA3219</f>
        <v>1.2921370967741936E-5</v>
      </c>
      <c r="AB3219" s="780"/>
      <c r="AC3219" s="782">
        <v>3215</v>
      </c>
      <c r="AD3219" s="782" t="s">
        <v>4573</v>
      </c>
      <c r="AE3219" s="782" t="s">
        <v>4018</v>
      </c>
      <c r="AF3219" s="781">
        <f>$S$1*P!AF3219</f>
        <v>1.6177419354838712E-2</v>
      </c>
    </row>
    <row r="3220" spans="19:32" x14ac:dyDescent="0.35">
      <c r="S3220" s="782">
        <v>3216</v>
      </c>
      <c r="T3220" s="782" t="s">
        <v>4284</v>
      </c>
      <c r="U3220" s="782" t="s">
        <v>2424</v>
      </c>
      <c r="V3220" s="797">
        <f>$S$1*P!V3220</f>
        <v>4.5927419354838709E-3</v>
      </c>
      <c r="W3220" s="780"/>
      <c r="X3220" s="782">
        <v>3216</v>
      </c>
      <c r="Y3220" s="782" t="s">
        <v>2248</v>
      </c>
      <c r="Z3220" s="782" t="s">
        <v>3095</v>
      </c>
      <c r="AA3220" s="781">
        <f>$S$1*P!AA3220</f>
        <v>2.5739919354838713E-6</v>
      </c>
      <c r="AB3220" s="780"/>
      <c r="AC3220" s="782">
        <v>3216</v>
      </c>
      <c r="AD3220" s="782" t="s">
        <v>4573</v>
      </c>
      <c r="AE3220" s="782" t="s">
        <v>4017</v>
      </c>
      <c r="AF3220" s="781">
        <f>$S$1*P!AF3220</f>
        <v>8.9112903225806468E-5</v>
      </c>
    </row>
    <row r="3221" spans="19:32" x14ac:dyDescent="0.35">
      <c r="S3221" s="881">
        <v>3217</v>
      </c>
      <c r="T3221" s="881" t="s">
        <v>4284</v>
      </c>
      <c r="U3221" s="881" t="s">
        <v>2652</v>
      </c>
      <c r="V3221" s="883">
        <f>$S$1*P!V3221</f>
        <v>32.015999999999998</v>
      </c>
      <c r="W3221" s="780"/>
      <c r="X3221" s="782">
        <v>3217</v>
      </c>
      <c r="Y3221" s="782" t="s">
        <v>2248</v>
      </c>
      <c r="Z3221" s="782" t="s">
        <v>3093</v>
      </c>
      <c r="AA3221" s="781">
        <f>$S$1*P!AA3221</f>
        <v>5.0383064516129031E-4</v>
      </c>
      <c r="AB3221" s="780"/>
      <c r="AC3221" s="782">
        <v>3217</v>
      </c>
      <c r="AD3221" s="782" t="s">
        <v>4573</v>
      </c>
      <c r="AE3221" s="782" t="s">
        <v>2420</v>
      </c>
      <c r="AF3221" s="781">
        <f>$S$1*P!AF3221</f>
        <v>44.213709677419359</v>
      </c>
    </row>
    <row r="3222" spans="19:32" x14ac:dyDescent="0.35">
      <c r="S3222" s="881">
        <v>3218</v>
      </c>
      <c r="T3222" s="881" t="s">
        <v>4284</v>
      </c>
      <c r="U3222" s="881" t="s">
        <v>2651</v>
      </c>
      <c r="V3222" s="883">
        <f>$S$1*P!V3222</f>
        <v>12.972000000000001</v>
      </c>
      <c r="W3222" s="780"/>
      <c r="X3222" s="782">
        <v>3218</v>
      </c>
      <c r="Y3222" s="782" t="s">
        <v>2248</v>
      </c>
      <c r="Z3222" s="782" t="s">
        <v>4723</v>
      </c>
      <c r="AA3222" s="781">
        <f>$S$1*P!AA3222</f>
        <v>3.4616935483870972E-5</v>
      </c>
      <c r="AB3222" s="780"/>
      <c r="AC3222" s="881">
        <v>3218</v>
      </c>
      <c r="AD3222" s="881" t="s">
        <v>4573</v>
      </c>
      <c r="AE3222" s="881" t="s">
        <v>2420</v>
      </c>
      <c r="AF3222" s="890">
        <f>$S$1*P!AF3222</f>
        <v>0.11039999999999998</v>
      </c>
    </row>
    <row r="3223" spans="19:32" x14ac:dyDescent="0.35">
      <c r="S3223" s="782">
        <v>3219</v>
      </c>
      <c r="T3223" s="782" t="s">
        <v>4284</v>
      </c>
      <c r="U3223" s="782" t="s">
        <v>2422</v>
      </c>
      <c r="V3223" s="797">
        <f>$S$1*P!V3223</f>
        <v>4.1471774193548391E-4</v>
      </c>
      <c r="W3223" s="780"/>
      <c r="X3223" s="881">
        <v>3219</v>
      </c>
      <c r="Y3223" s="881" t="s">
        <v>2248</v>
      </c>
      <c r="Z3223" s="881" t="s">
        <v>2866</v>
      </c>
      <c r="AA3223" s="882">
        <f>$S$1*P!AA3223</f>
        <v>1.6468</v>
      </c>
      <c r="AB3223" s="780"/>
      <c r="AC3223" s="782">
        <v>3219</v>
      </c>
      <c r="AD3223" s="782" t="s">
        <v>4573</v>
      </c>
      <c r="AE3223" s="782" t="s">
        <v>4014</v>
      </c>
      <c r="AF3223" s="781">
        <f>$S$1*P!AF3223</f>
        <v>3.3348790322580646E-2</v>
      </c>
    </row>
    <row r="3224" spans="19:32" x14ac:dyDescent="0.35">
      <c r="S3224" s="782">
        <v>3220</v>
      </c>
      <c r="T3224" s="782" t="s">
        <v>4284</v>
      </c>
      <c r="U3224" s="782" t="s">
        <v>2419</v>
      </c>
      <c r="V3224" s="797">
        <f>$S$1*P!V3224</f>
        <v>5.381048387096775E-5</v>
      </c>
      <c r="W3224" s="780"/>
      <c r="X3224" s="782">
        <v>3220</v>
      </c>
      <c r="Y3224" s="782" t="s">
        <v>2248</v>
      </c>
      <c r="Z3224" s="782" t="s">
        <v>2866</v>
      </c>
      <c r="AA3224" s="781">
        <f>$S$1*P!AA3224</f>
        <v>0.33622983870967743</v>
      </c>
      <c r="AB3224" s="780"/>
      <c r="AC3224" s="782">
        <v>3220</v>
      </c>
      <c r="AD3224" s="782" t="s">
        <v>4573</v>
      </c>
      <c r="AE3224" s="782" t="s">
        <v>4013</v>
      </c>
      <c r="AF3224" s="781">
        <f>$S$1*P!AF3224</f>
        <v>3.7016129032258066E-2</v>
      </c>
    </row>
    <row r="3225" spans="19:32" x14ac:dyDescent="0.35">
      <c r="S3225" s="782">
        <v>3221</v>
      </c>
      <c r="T3225" s="782" t="s">
        <v>4284</v>
      </c>
      <c r="U3225" s="782" t="s">
        <v>2416</v>
      </c>
      <c r="V3225" s="797">
        <f>$S$1*P!V3225</f>
        <v>2.8516129032258066E-5</v>
      </c>
      <c r="W3225" s="780"/>
      <c r="X3225" s="782">
        <v>3221</v>
      </c>
      <c r="Y3225" s="782" t="s">
        <v>2248</v>
      </c>
      <c r="Z3225" s="782" t="s">
        <v>4722</v>
      </c>
      <c r="AA3225" s="781">
        <f>$S$1*P!AA3225</f>
        <v>2.57741935483871E-5</v>
      </c>
      <c r="AB3225" s="780"/>
      <c r="AC3225" s="782">
        <v>3221</v>
      </c>
      <c r="AD3225" s="782" t="s">
        <v>4573</v>
      </c>
      <c r="AE3225" s="782" t="s">
        <v>4011</v>
      </c>
      <c r="AF3225" s="781">
        <f>$S$1*P!AF3225</f>
        <v>2.3580645161290326</v>
      </c>
    </row>
    <row r="3226" spans="19:32" x14ac:dyDescent="0.35">
      <c r="S3226" s="782">
        <v>3222</v>
      </c>
      <c r="T3226" s="782" t="s">
        <v>4284</v>
      </c>
      <c r="U3226" s="782" t="s">
        <v>2413</v>
      </c>
      <c r="V3226" s="797">
        <f>$S$1*P!V3226</f>
        <v>2.4677419354838713E-2</v>
      </c>
      <c r="W3226" s="780"/>
      <c r="X3226" s="881">
        <v>3222</v>
      </c>
      <c r="Y3226" s="881" t="s">
        <v>2248</v>
      </c>
      <c r="Z3226" s="881" t="s">
        <v>2865</v>
      </c>
      <c r="AA3226" s="882">
        <f>$S$1*P!AA3226</f>
        <v>12.696</v>
      </c>
      <c r="AB3226" s="780"/>
      <c r="AC3226" s="782">
        <v>3222</v>
      </c>
      <c r="AD3226" s="782" t="s">
        <v>4573</v>
      </c>
      <c r="AE3226" s="782" t="s">
        <v>4010</v>
      </c>
      <c r="AF3226" s="781">
        <f>$S$1*P!AF3226</f>
        <v>7.7802419354838712E-2</v>
      </c>
    </row>
    <row r="3227" spans="19:32" x14ac:dyDescent="0.35">
      <c r="S3227" s="881">
        <v>3223</v>
      </c>
      <c r="T3227" s="881" t="s">
        <v>4284</v>
      </c>
      <c r="U3227" s="881" t="s">
        <v>2413</v>
      </c>
      <c r="V3227" s="883">
        <f>$S$1*P!V3227</f>
        <v>0</v>
      </c>
      <c r="W3227" s="780"/>
      <c r="X3227" s="782">
        <v>3223</v>
      </c>
      <c r="Y3227" s="782" t="s">
        <v>2248</v>
      </c>
      <c r="Z3227" s="782" t="s">
        <v>2865</v>
      </c>
      <c r="AA3227" s="781">
        <f>$S$1*P!AA3227</f>
        <v>2.2038306451612904E-2</v>
      </c>
      <c r="AB3227" s="780"/>
      <c r="AC3227" s="881">
        <v>3223</v>
      </c>
      <c r="AD3227" s="881" t="s">
        <v>4573</v>
      </c>
      <c r="AE3227" s="881" t="s">
        <v>2418</v>
      </c>
      <c r="AF3227" s="890">
        <f>$S$1*P!AF3227</f>
        <v>0</v>
      </c>
    </row>
    <row r="3228" spans="19:32" x14ac:dyDescent="0.35">
      <c r="S3228" s="881">
        <v>3224</v>
      </c>
      <c r="T3228" s="881" t="s">
        <v>4284</v>
      </c>
      <c r="U3228" s="881" t="s">
        <v>2649</v>
      </c>
      <c r="V3228" s="883">
        <f>$S$1*P!V3228</f>
        <v>9.9359999999999999</v>
      </c>
      <c r="W3228" s="780"/>
      <c r="X3228" s="881">
        <v>3224</v>
      </c>
      <c r="Y3228" s="881" t="s">
        <v>2248</v>
      </c>
      <c r="Z3228" s="881" t="s">
        <v>2863</v>
      </c>
      <c r="AA3228" s="882">
        <f>$S$1*P!AA3228</f>
        <v>4.6276000000000002</v>
      </c>
      <c r="AB3228" s="780"/>
      <c r="AC3228" s="782">
        <v>3224</v>
      </c>
      <c r="AD3228" s="782" t="s">
        <v>4573</v>
      </c>
      <c r="AE3228" s="782" t="s">
        <v>4008</v>
      </c>
      <c r="AF3228" s="781">
        <f>$S$1*P!AF3228</f>
        <v>7.883064516129032E-5</v>
      </c>
    </row>
    <row r="3229" spans="19:32" x14ac:dyDescent="0.35">
      <c r="S3229" s="881">
        <v>3225</v>
      </c>
      <c r="T3229" s="881" t="s">
        <v>4284</v>
      </c>
      <c r="U3229" s="881" t="s">
        <v>2647</v>
      </c>
      <c r="V3229" s="883">
        <f>$S$1*P!V3229</f>
        <v>0.15547999999999998</v>
      </c>
      <c r="W3229" s="780"/>
      <c r="X3229" s="782">
        <v>3225</v>
      </c>
      <c r="Y3229" s="782" t="s">
        <v>2248</v>
      </c>
      <c r="Z3229" s="782" t="s">
        <v>4721</v>
      </c>
      <c r="AA3229" s="781">
        <f>$S$1*P!AA3229</f>
        <v>1.9741935483870969E-4</v>
      </c>
      <c r="AB3229" s="780"/>
      <c r="AC3229" s="782">
        <v>3225</v>
      </c>
      <c r="AD3229" s="782" t="s">
        <v>4573</v>
      </c>
      <c r="AE3229" s="782" t="s">
        <v>4007</v>
      </c>
      <c r="AF3229" s="781">
        <f>$S$1*P!AF3229</f>
        <v>7.6774193548387104E-2</v>
      </c>
    </row>
    <row r="3230" spans="19:32" x14ac:dyDescent="0.35">
      <c r="S3230" s="881">
        <v>3226</v>
      </c>
      <c r="T3230" s="881" t="s">
        <v>4284</v>
      </c>
      <c r="U3230" s="881" t="s">
        <v>2645</v>
      </c>
      <c r="V3230" s="883">
        <f>$S$1*P!V3230</f>
        <v>0.89332000000000011</v>
      </c>
      <c r="W3230" s="780"/>
      <c r="X3230" s="782">
        <v>3226</v>
      </c>
      <c r="Y3230" s="782" t="s">
        <v>2248</v>
      </c>
      <c r="Z3230" s="782" t="s">
        <v>2863</v>
      </c>
      <c r="AA3230" s="781">
        <f>$S$1*P!AA3230</f>
        <v>6.2379032258064522E-2</v>
      </c>
      <c r="AB3230" s="780"/>
      <c r="AC3230" s="782">
        <v>3226</v>
      </c>
      <c r="AD3230" s="782" t="s">
        <v>4573</v>
      </c>
      <c r="AE3230" s="782" t="s">
        <v>4005</v>
      </c>
      <c r="AF3230" s="781">
        <f>$S$1*P!AF3230</f>
        <v>1.62116935483871E-4</v>
      </c>
    </row>
    <row r="3231" spans="19:32" x14ac:dyDescent="0.35">
      <c r="S3231" s="782">
        <v>3227</v>
      </c>
      <c r="T3231" s="782" t="s">
        <v>4284</v>
      </c>
      <c r="U3231" s="782" t="s">
        <v>2411</v>
      </c>
      <c r="V3231" s="797">
        <f>$S$1*P!V3231</f>
        <v>1.9947580645161294E-4</v>
      </c>
      <c r="W3231" s="780"/>
      <c r="X3231" s="782">
        <v>3227</v>
      </c>
      <c r="Y3231" s="782" t="s">
        <v>2248</v>
      </c>
      <c r="Z3231" s="782" t="s">
        <v>3084</v>
      </c>
      <c r="AA3231" s="781">
        <f>$S$1*P!AA3231</f>
        <v>0.16280241935483872</v>
      </c>
      <c r="AB3231" s="780"/>
      <c r="AC3231" s="881">
        <v>3227</v>
      </c>
      <c r="AD3231" s="881" t="s">
        <v>4573</v>
      </c>
      <c r="AE3231" s="881" t="s">
        <v>2417</v>
      </c>
      <c r="AF3231" s="890">
        <f>$S$1*P!AF3231</f>
        <v>0</v>
      </c>
    </row>
    <row r="3232" spans="19:32" x14ac:dyDescent="0.35">
      <c r="S3232" s="782">
        <v>3228</v>
      </c>
      <c r="T3232" s="782" t="s">
        <v>4284</v>
      </c>
      <c r="U3232" s="782" t="s">
        <v>2408</v>
      </c>
      <c r="V3232" s="797">
        <f>$S$1*P!V3232</f>
        <v>1.0076612903225806E-5</v>
      </c>
      <c r="W3232" s="780"/>
      <c r="X3232" s="881">
        <v>3228</v>
      </c>
      <c r="Y3232" s="881" t="s">
        <v>2248</v>
      </c>
      <c r="Z3232" s="881" t="s">
        <v>2862</v>
      </c>
      <c r="AA3232" s="882">
        <f>$S$1*P!AA3232</f>
        <v>0</v>
      </c>
      <c r="AB3232" s="780"/>
      <c r="AC3232" s="782">
        <v>3228</v>
      </c>
      <c r="AD3232" s="782" t="s">
        <v>4573</v>
      </c>
      <c r="AE3232" s="782" t="s">
        <v>2415</v>
      </c>
      <c r="AF3232" s="781">
        <f>$S$1*P!AF3232</f>
        <v>0.11516129032258066</v>
      </c>
    </row>
    <row r="3233" spans="19:32" x14ac:dyDescent="0.35">
      <c r="S3233" s="782">
        <v>3229</v>
      </c>
      <c r="T3233" s="782" t="s">
        <v>4284</v>
      </c>
      <c r="U3233" s="782" t="s">
        <v>2405</v>
      </c>
      <c r="V3233" s="797">
        <f>$S$1*P!V3233</f>
        <v>2.8961693548387099E-5</v>
      </c>
      <c r="W3233" s="780"/>
      <c r="X3233" s="782">
        <v>3229</v>
      </c>
      <c r="Y3233" s="782" t="s">
        <v>2248</v>
      </c>
      <c r="Z3233" s="782" t="s">
        <v>4720</v>
      </c>
      <c r="AA3233" s="781">
        <f>$S$1*P!AA3233</f>
        <v>3.6673387096774197E-3</v>
      </c>
      <c r="AB3233" s="780"/>
      <c r="AC3233" s="881">
        <v>3229</v>
      </c>
      <c r="AD3233" s="881" t="s">
        <v>4573</v>
      </c>
      <c r="AE3233" s="881" t="s">
        <v>2415</v>
      </c>
      <c r="AF3233" s="890">
        <f>$S$1*P!AF3233</f>
        <v>0.11408</v>
      </c>
    </row>
    <row r="3234" spans="19:32" x14ac:dyDescent="0.35">
      <c r="S3234" s="881">
        <v>3230</v>
      </c>
      <c r="T3234" s="881" t="s">
        <v>4284</v>
      </c>
      <c r="U3234" s="881" t="s">
        <v>2405</v>
      </c>
      <c r="V3234" s="883">
        <f>$S$1*P!V3234</f>
        <v>0.11592</v>
      </c>
      <c r="W3234" s="780"/>
      <c r="X3234" s="782">
        <v>3230</v>
      </c>
      <c r="Y3234" s="782" t="s">
        <v>2248</v>
      </c>
      <c r="Z3234" s="782" t="s">
        <v>3082</v>
      </c>
      <c r="AA3234" s="781">
        <f>$S$1*P!AA3234</f>
        <v>1.0110887096774195E-4</v>
      </c>
      <c r="AB3234" s="780"/>
      <c r="AC3234" s="782">
        <v>3230</v>
      </c>
      <c r="AD3234" s="782" t="s">
        <v>4573</v>
      </c>
      <c r="AE3234" s="782" t="s">
        <v>4003</v>
      </c>
      <c r="AF3234" s="781">
        <f>$S$1*P!AF3234</f>
        <v>2.6185483870967745E-4</v>
      </c>
    </row>
    <row r="3235" spans="19:32" x14ac:dyDescent="0.35">
      <c r="S3235" s="782">
        <v>3231</v>
      </c>
      <c r="T3235" s="782" t="s">
        <v>4284</v>
      </c>
      <c r="U3235" s="782" t="s">
        <v>2402</v>
      </c>
      <c r="V3235" s="797">
        <f>$S$1*P!V3235</f>
        <v>1.7205645161290324E-4</v>
      </c>
      <c r="W3235" s="780"/>
      <c r="X3235" s="782">
        <v>3231</v>
      </c>
      <c r="Y3235" s="782" t="s">
        <v>2248</v>
      </c>
      <c r="Z3235" s="782" t="s">
        <v>3079</v>
      </c>
      <c r="AA3235" s="781">
        <f>$S$1*P!AA3235</f>
        <v>1.1516129032258065E-4</v>
      </c>
      <c r="AB3235" s="780"/>
      <c r="AC3235" s="881">
        <v>3231</v>
      </c>
      <c r="AD3235" s="881" t="s">
        <v>4573</v>
      </c>
      <c r="AE3235" s="881" t="s">
        <v>2414</v>
      </c>
      <c r="AF3235" s="890">
        <f>$S$1*P!AF3235</f>
        <v>5.1704000000000008</v>
      </c>
    </row>
    <row r="3236" spans="19:32" x14ac:dyDescent="0.35">
      <c r="S3236" s="881">
        <v>3232</v>
      </c>
      <c r="T3236" s="881" t="s">
        <v>4284</v>
      </c>
      <c r="U3236" s="881" t="s">
        <v>2402</v>
      </c>
      <c r="V3236" s="883">
        <f>$S$1*P!V3236</f>
        <v>0.36064000000000002</v>
      </c>
      <c r="W3236" s="780"/>
      <c r="X3236" s="782">
        <v>3232</v>
      </c>
      <c r="Y3236" s="782" t="s">
        <v>2248</v>
      </c>
      <c r="Z3236" s="782" t="s">
        <v>3358</v>
      </c>
      <c r="AA3236" s="781">
        <f>$S$1*P!AA3236</f>
        <v>4.7298387096774197E-2</v>
      </c>
      <c r="AB3236" s="780"/>
      <c r="AC3236" s="782">
        <v>3232</v>
      </c>
      <c r="AD3236" s="782" t="s">
        <v>4573</v>
      </c>
      <c r="AE3236" s="782" t="s">
        <v>4002</v>
      </c>
      <c r="AF3236" s="781">
        <f>$S$1*P!AF3236</f>
        <v>9.8024193548387097E-5</v>
      </c>
    </row>
    <row r="3237" spans="19:32" x14ac:dyDescent="0.35">
      <c r="S3237" s="782">
        <v>3233</v>
      </c>
      <c r="T3237" s="782" t="s">
        <v>4284</v>
      </c>
      <c r="U3237" s="782" t="s">
        <v>2399</v>
      </c>
      <c r="V3237" s="797">
        <f>$S$1*P!V3237</f>
        <v>9.9737903225806455E-4</v>
      </c>
      <c r="W3237" s="780"/>
      <c r="X3237" s="881">
        <v>3233</v>
      </c>
      <c r="Y3237" s="881" t="s">
        <v>2248</v>
      </c>
      <c r="Z3237" s="881" t="s">
        <v>2860</v>
      </c>
      <c r="AA3237" s="882">
        <f>$S$1*P!AA3237</f>
        <v>0</v>
      </c>
      <c r="AB3237" s="780"/>
      <c r="AC3237" s="782">
        <v>3233</v>
      </c>
      <c r="AD3237" s="782" t="s">
        <v>4573</v>
      </c>
      <c r="AE3237" s="782" t="s">
        <v>2412</v>
      </c>
      <c r="AF3237" s="781">
        <f>$S$1*P!AF3237</f>
        <v>3.5302419354838712E-5</v>
      </c>
    </row>
    <row r="3238" spans="19:32" x14ac:dyDescent="0.35">
      <c r="S3238" s="782">
        <v>3234</v>
      </c>
      <c r="T3238" s="782" t="s">
        <v>4284</v>
      </c>
      <c r="U3238" s="782" t="s">
        <v>2397</v>
      </c>
      <c r="V3238" s="797">
        <f>$S$1*P!V3238</f>
        <v>0.3180645161290323</v>
      </c>
      <c r="W3238" s="780"/>
      <c r="X3238" s="881">
        <v>3234</v>
      </c>
      <c r="Y3238" s="881" t="s">
        <v>2248</v>
      </c>
      <c r="Z3238" s="881" t="s">
        <v>2858</v>
      </c>
      <c r="AA3238" s="882">
        <f>$S$1*P!AA3238</f>
        <v>2.6588000000000002E-3</v>
      </c>
      <c r="AB3238" s="780"/>
      <c r="AC3238" s="881">
        <v>3234</v>
      </c>
      <c r="AD3238" s="881" t="s">
        <v>4573</v>
      </c>
      <c r="AE3238" s="881" t="s">
        <v>2412</v>
      </c>
      <c r="AF3238" s="890">
        <f>$S$1*P!AF3238</f>
        <v>1.9411999999999999E-2</v>
      </c>
    </row>
    <row r="3239" spans="19:32" x14ac:dyDescent="0.35">
      <c r="S3239" s="881">
        <v>3235</v>
      </c>
      <c r="T3239" s="881" t="s">
        <v>4284</v>
      </c>
      <c r="U3239" s="881" t="s">
        <v>2397</v>
      </c>
      <c r="V3239" s="883">
        <f>$S$1*P!V3239</f>
        <v>0.17572000000000002</v>
      </c>
      <c r="W3239" s="780"/>
      <c r="X3239" s="782">
        <v>3235</v>
      </c>
      <c r="Y3239" s="782" t="s">
        <v>2248</v>
      </c>
      <c r="Z3239" s="782" t="s">
        <v>4719</v>
      </c>
      <c r="AA3239" s="781">
        <f>$S$1*P!AA3239</f>
        <v>2.6939516129032261E-2</v>
      </c>
      <c r="AB3239" s="780"/>
      <c r="AC3239" s="782">
        <v>3235</v>
      </c>
      <c r="AD3239" s="782" t="s">
        <v>4573</v>
      </c>
      <c r="AE3239" s="782" t="s">
        <v>3999</v>
      </c>
      <c r="AF3239" s="781">
        <f>$S$1*P!AF3239</f>
        <v>3.7358870967741937E-4</v>
      </c>
    </row>
    <row r="3240" spans="19:32" x14ac:dyDescent="0.35">
      <c r="S3240" s="782">
        <v>3236</v>
      </c>
      <c r="T3240" s="782" t="s">
        <v>4284</v>
      </c>
      <c r="U3240" s="782" t="s">
        <v>2394</v>
      </c>
      <c r="V3240" s="797">
        <f>$S$1*P!V3240</f>
        <v>1.0762096774193548E-3</v>
      </c>
      <c r="W3240" s="780"/>
      <c r="X3240" s="881">
        <v>3236</v>
      </c>
      <c r="Y3240" s="881" t="s">
        <v>2248</v>
      </c>
      <c r="Z3240" s="881" t="s">
        <v>2857</v>
      </c>
      <c r="AA3240" s="882">
        <f>$S$1*P!AA3240</f>
        <v>3.2751999999999999</v>
      </c>
      <c r="AB3240" s="780"/>
      <c r="AC3240" s="782">
        <v>3236</v>
      </c>
      <c r="AD3240" s="782" t="s">
        <v>4573</v>
      </c>
      <c r="AE3240" s="782" t="s">
        <v>3998</v>
      </c>
      <c r="AF3240" s="781">
        <f>$S$1*P!AF3240</f>
        <v>5.6209677419354842E-2</v>
      </c>
    </row>
    <row r="3241" spans="19:32" x14ac:dyDescent="0.35">
      <c r="S3241" s="782">
        <v>3237</v>
      </c>
      <c r="T3241" s="782" t="s">
        <v>4284</v>
      </c>
      <c r="U3241" s="782" t="s">
        <v>2391</v>
      </c>
      <c r="V3241" s="797">
        <f>$S$1*P!V3241</f>
        <v>3.4959677419354844E-2</v>
      </c>
      <c r="W3241" s="780"/>
      <c r="X3241" s="782">
        <v>3237</v>
      </c>
      <c r="Y3241" s="782" t="s">
        <v>2248</v>
      </c>
      <c r="Z3241" s="782" t="s">
        <v>3076</v>
      </c>
      <c r="AA3241" s="781">
        <f>$S$1*P!AA3241</f>
        <v>9.4939516129032269E-3</v>
      </c>
      <c r="AB3241" s="780"/>
      <c r="AC3241" s="782">
        <v>3237</v>
      </c>
      <c r="AD3241" s="782" t="s">
        <v>4573</v>
      </c>
      <c r="AE3241" s="782" t="s">
        <v>2410</v>
      </c>
      <c r="AF3241" s="781">
        <f>$S$1*P!AF3241</f>
        <v>2.6391129032258067E-4</v>
      </c>
    </row>
    <row r="3242" spans="19:32" x14ac:dyDescent="0.35">
      <c r="S3242" s="782">
        <v>3238</v>
      </c>
      <c r="T3242" s="782" t="s">
        <v>4284</v>
      </c>
      <c r="U3242" s="782" t="s">
        <v>2388</v>
      </c>
      <c r="V3242" s="797">
        <f>$S$1*P!V3242</f>
        <v>3.3245967741935487E-3</v>
      </c>
      <c r="W3242" s="780"/>
      <c r="X3242" s="782">
        <v>3238</v>
      </c>
      <c r="Y3242" s="782" t="s">
        <v>2248</v>
      </c>
      <c r="Z3242" s="782" t="s">
        <v>4718</v>
      </c>
      <c r="AA3242" s="781">
        <f>$S$1*P!AA3242</f>
        <v>2.1764112903225809E-2</v>
      </c>
      <c r="AB3242" s="780"/>
      <c r="AC3242" s="881">
        <v>3238</v>
      </c>
      <c r="AD3242" s="881" t="s">
        <v>4573</v>
      </c>
      <c r="AE3242" s="881" t="s">
        <v>2410</v>
      </c>
      <c r="AF3242" s="890">
        <f>$S$1*P!AF3242</f>
        <v>0</v>
      </c>
    </row>
    <row r="3243" spans="19:32" x14ac:dyDescent="0.35">
      <c r="S3243" s="782">
        <v>3239</v>
      </c>
      <c r="T3243" s="782" t="s">
        <v>4284</v>
      </c>
      <c r="U3243" s="782" t="s">
        <v>2386</v>
      </c>
      <c r="V3243" s="797">
        <f>$S$1*P!V3243</f>
        <v>0.38387096774193552</v>
      </c>
      <c r="W3243" s="780"/>
      <c r="X3243" s="881">
        <v>3239</v>
      </c>
      <c r="Y3243" s="881" t="s">
        <v>2248</v>
      </c>
      <c r="Z3243" s="881" t="s">
        <v>2855</v>
      </c>
      <c r="AA3243" s="882">
        <f>$S$1*P!AA3243</f>
        <v>0</v>
      </c>
      <c r="AB3243" s="780"/>
      <c r="AC3243" s="881">
        <v>3239</v>
      </c>
      <c r="AD3243" s="881" t="s">
        <v>4573</v>
      </c>
      <c r="AE3243" s="881" t="s">
        <v>2409</v>
      </c>
      <c r="AF3243" s="890">
        <f>$S$1*P!AF3243</f>
        <v>0</v>
      </c>
    </row>
    <row r="3244" spans="19:32" x14ac:dyDescent="0.35">
      <c r="S3244" s="782">
        <v>3240</v>
      </c>
      <c r="T3244" s="782" t="s">
        <v>4284</v>
      </c>
      <c r="U3244" s="782" t="s">
        <v>2383</v>
      </c>
      <c r="V3244" s="797">
        <f>$S$1*P!V3244</f>
        <v>3.1018145161290325E-2</v>
      </c>
      <c r="W3244" s="780"/>
      <c r="X3244" s="782">
        <v>3240</v>
      </c>
      <c r="Y3244" s="782" t="s">
        <v>2248</v>
      </c>
      <c r="Z3244" s="782" t="s">
        <v>2855</v>
      </c>
      <c r="AA3244" s="781">
        <f>$S$1*P!AA3244</f>
        <v>4.3528225806451619</v>
      </c>
      <c r="AB3244" s="780"/>
      <c r="AC3244" s="782">
        <v>3240</v>
      </c>
      <c r="AD3244" s="782" t="s">
        <v>4573</v>
      </c>
      <c r="AE3244" s="782" t="s">
        <v>3995</v>
      </c>
      <c r="AF3244" s="781">
        <f>$S$1*P!AF3244</f>
        <v>1.1173387096774195E-3</v>
      </c>
    </row>
    <row r="3245" spans="19:32" x14ac:dyDescent="0.35">
      <c r="S3245" s="861">
        <v>3241</v>
      </c>
      <c r="T3245" s="861" t="s">
        <v>4284</v>
      </c>
      <c r="U3245" s="861" t="s">
        <v>2380</v>
      </c>
      <c r="V3245" s="862">
        <f>$S$1*P!V3245</f>
        <v>9.5229999999999997</v>
      </c>
      <c r="W3245" s="780"/>
      <c r="X3245" s="881">
        <v>3241</v>
      </c>
      <c r="Y3245" s="881" t="s">
        <v>2248</v>
      </c>
      <c r="Z3245" s="881" t="s">
        <v>2854</v>
      </c>
      <c r="AA3245" s="882">
        <f>$S$1*P!AA3245</f>
        <v>0</v>
      </c>
      <c r="AB3245" s="780"/>
      <c r="AC3245" s="782">
        <v>3241</v>
      </c>
      <c r="AD3245" s="782" t="s">
        <v>4573</v>
      </c>
      <c r="AE3245" s="782" t="s">
        <v>3994</v>
      </c>
      <c r="AF3245" s="781">
        <f>$S$1*P!AF3245</f>
        <v>2.2312500000000002E-3</v>
      </c>
    </row>
    <row r="3246" spans="19:32" x14ac:dyDescent="0.35">
      <c r="S3246" s="782">
        <v>3242</v>
      </c>
      <c r="T3246" s="782" t="s">
        <v>4284</v>
      </c>
      <c r="U3246" s="782" t="s">
        <v>2380</v>
      </c>
      <c r="V3246" s="797">
        <f>$S$1*P!V3246</f>
        <v>9.836693548387098E-7</v>
      </c>
      <c r="W3246" s="780"/>
      <c r="X3246" s="782">
        <v>3242</v>
      </c>
      <c r="Y3246" s="782" t="s">
        <v>2248</v>
      </c>
      <c r="Z3246" s="782" t="s">
        <v>4717</v>
      </c>
      <c r="AA3246" s="781">
        <f>$S$1*P!AA3246</f>
        <v>5.826612903225807E-4</v>
      </c>
      <c r="AB3246" s="780"/>
      <c r="AC3246" s="782">
        <v>3242</v>
      </c>
      <c r="AD3246" s="782" t="s">
        <v>4573</v>
      </c>
      <c r="AE3246" s="782" t="s">
        <v>3992</v>
      </c>
      <c r="AF3246" s="781">
        <f>$S$1*P!AF3246</f>
        <v>3.9072580645161295E-2</v>
      </c>
    </row>
    <row r="3247" spans="19:32" x14ac:dyDescent="0.35">
      <c r="S3247" s="881">
        <v>3243</v>
      </c>
      <c r="T3247" s="881" t="s">
        <v>4284</v>
      </c>
      <c r="U3247" s="881" t="s">
        <v>2642</v>
      </c>
      <c r="V3247" s="883">
        <f>$S$1*P!V3247</f>
        <v>2.3000000000000003</v>
      </c>
      <c r="W3247" s="780"/>
      <c r="X3247" s="782">
        <v>3243</v>
      </c>
      <c r="Y3247" s="782" t="s">
        <v>2248</v>
      </c>
      <c r="Z3247" s="782" t="s">
        <v>2854</v>
      </c>
      <c r="AA3247" s="781">
        <f>$S$1*P!AA3247</f>
        <v>2.3923387096774196E-3</v>
      </c>
      <c r="AB3247" s="780"/>
      <c r="AC3247" s="782">
        <v>3243</v>
      </c>
      <c r="AD3247" s="782" t="s">
        <v>4573</v>
      </c>
      <c r="AE3247" s="782" t="s">
        <v>3991</v>
      </c>
      <c r="AF3247" s="781">
        <f>$S$1*P!AF3247</f>
        <v>11.10483870967742</v>
      </c>
    </row>
    <row r="3248" spans="19:32" x14ac:dyDescent="0.35">
      <c r="S3248" s="782">
        <v>3244</v>
      </c>
      <c r="T3248" s="782" t="s">
        <v>4284</v>
      </c>
      <c r="U3248" s="782" t="s">
        <v>2377</v>
      </c>
      <c r="V3248" s="797">
        <f>$S$1*P!V3248</f>
        <v>8.0887096774193548E-2</v>
      </c>
      <c r="W3248" s="780"/>
      <c r="X3248" s="782">
        <v>3244</v>
      </c>
      <c r="Y3248" s="782" t="s">
        <v>2248</v>
      </c>
      <c r="Z3248" s="782" t="s">
        <v>3070</v>
      </c>
      <c r="AA3248" s="781">
        <f>$S$1*P!AA3248</f>
        <v>5.3125000000000004E-4</v>
      </c>
      <c r="AB3248" s="780"/>
      <c r="AC3248" s="782">
        <v>3244</v>
      </c>
      <c r="AD3248" s="782" t="s">
        <v>4573</v>
      </c>
      <c r="AE3248" s="782" t="s">
        <v>3990</v>
      </c>
      <c r="AF3248" s="781">
        <f>$S$1*P!AF3248</f>
        <v>39.072580645161295</v>
      </c>
    </row>
    <row r="3249" spans="19:32" x14ac:dyDescent="0.35">
      <c r="S3249" s="782">
        <v>3245</v>
      </c>
      <c r="T3249" s="782" t="s">
        <v>4284</v>
      </c>
      <c r="U3249" s="782" t="s">
        <v>2374</v>
      </c>
      <c r="V3249" s="797">
        <f>$S$1*P!V3249</f>
        <v>2.587701612903226</v>
      </c>
      <c r="W3249" s="780"/>
      <c r="X3249" s="782">
        <v>3245</v>
      </c>
      <c r="Y3249" s="782" t="s">
        <v>2248</v>
      </c>
      <c r="Z3249" s="782" t="s">
        <v>3357</v>
      </c>
      <c r="AA3249" s="781">
        <f>$S$1*P!AA3249</f>
        <v>4.1471774193548391E-5</v>
      </c>
      <c r="AB3249" s="780"/>
      <c r="AC3249" s="782">
        <v>3245</v>
      </c>
      <c r="AD3249" s="782" t="s">
        <v>4573</v>
      </c>
      <c r="AE3249" s="782" t="s">
        <v>3989</v>
      </c>
      <c r="AF3249" s="781">
        <f>$S$1*P!AF3249</f>
        <v>2.4745967741935484</v>
      </c>
    </row>
    <row r="3250" spans="19:32" x14ac:dyDescent="0.35">
      <c r="S3250" s="782">
        <v>3246</v>
      </c>
      <c r="T3250" s="782" t="s">
        <v>4284</v>
      </c>
      <c r="U3250" s="782" t="s">
        <v>2372</v>
      </c>
      <c r="V3250" s="797">
        <f>$S$1*P!V3250</f>
        <v>3.6673387096774197E-3</v>
      </c>
      <c r="W3250" s="780"/>
      <c r="X3250" s="782">
        <v>3246</v>
      </c>
      <c r="Y3250" s="782" t="s">
        <v>2248</v>
      </c>
      <c r="Z3250" s="782" t="s">
        <v>3067</v>
      </c>
      <c r="AA3250" s="781">
        <f>$S$1*P!AA3250</f>
        <v>2.7590725806451619E-4</v>
      </c>
      <c r="AB3250" s="780"/>
      <c r="AC3250" s="881">
        <v>3246</v>
      </c>
      <c r="AD3250" s="881" t="s">
        <v>4573</v>
      </c>
      <c r="AE3250" s="881" t="s">
        <v>2407</v>
      </c>
      <c r="AF3250" s="890">
        <f>$S$1*P!AF3250</f>
        <v>574.08000000000004</v>
      </c>
    </row>
    <row r="3251" spans="19:32" x14ac:dyDescent="0.35">
      <c r="S3251" s="881">
        <v>3247</v>
      </c>
      <c r="T3251" s="881" t="s">
        <v>4284</v>
      </c>
      <c r="U3251" s="881" t="s">
        <v>2641</v>
      </c>
      <c r="V3251" s="883">
        <f>$S$1*P!V3251</f>
        <v>0</v>
      </c>
      <c r="W3251" s="780"/>
      <c r="X3251" s="881">
        <v>3247</v>
      </c>
      <c r="Y3251" s="881" t="s">
        <v>2248</v>
      </c>
      <c r="Z3251" s="881" t="s">
        <v>2853</v>
      </c>
      <c r="AA3251" s="882">
        <f>$S$1*P!AA3251</f>
        <v>0</v>
      </c>
      <c r="AB3251" s="780"/>
      <c r="AC3251" s="881">
        <v>3247</v>
      </c>
      <c r="AD3251" s="881" t="s">
        <v>4573</v>
      </c>
      <c r="AE3251" s="881" t="s">
        <v>2406</v>
      </c>
      <c r="AF3251" s="890">
        <f>$S$1*P!AF3251</f>
        <v>0</v>
      </c>
    </row>
    <row r="3252" spans="19:32" x14ac:dyDescent="0.35">
      <c r="S3252" s="782">
        <v>3248</v>
      </c>
      <c r="T3252" s="782" t="s">
        <v>4284</v>
      </c>
      <c r="U3252" s="782" t="s">
        <v>2369</v>
      </c>
      <c r="V3252" s="797">
        <f>$S$1*P!V3252</f>
        <v>1.5012096774193549E-3</v>
      </c>
      <c r="W3252" s="780"/>
      <c r="X3252" s="782">
        <v>3248</v>
      </c>
      <c r="Y3252" s="782" t="s">
        <v>2248</v>
      </c>
      <c r="Z3252" s="782" t="s">
        <v>2853</v>
      </c>
      <c r="AA3252" s="781">
        <f>$S$1*P!AA3252</f>
        <v>3.5302419354838713E-4</v>
      </c>
      <c r="AB3252" s="780"/>
      <c r="AC3252" s="782">
        <v>3248</v>
      </c>
      <c r="AD3252" s="782" t="s">
        <v>4573</v>
      </c>
      <c r="AE3252" s="782" t="s">
        <v>3988</v>
      </c>
      <c r="AF3252" s="781">
        <f>$S$1*P!AF3252</f>
        <v>9.1854838709677419E-3</v>
      </c>
    </row>
    <row r="3253" spans="19:32" x14ac:dyDescent="0.35">
      <c r="S3253" s="782">
        <v>3249</v>
      </c>
      <c r="T3253" s="782" t="s">
        <v>4284</v>
      </c>
      <c r="U3253" s="782" t="s">
        <v>2366</v>
      </c>
      <c r="V3253" s="797">
        <f>$S$1*P!V3253</f>
        <v>1.3469758064516131E-6</v>
      </c>
      <c r="W3253" s="780"/>
      <c r="X3253" s="782">
        <v>3249</v>
      </c>
      <c r="Y3253" s="782" t="s">
        <v>2248</v>
      </c>
      <c r="Z3253" s="782" t="s">
        <v>4716</v>
      </c>
      <c r="AA3253" s="781">
        <f>$S$1*P!AA3253</f>
        <v>2.7350806451612908E-5</v>
      </c>
      <c r="AB3253" s="780"/>
      <c r="AC3253" s="782">
        <v>3249</v>
      </c>
      <c r="AD3253" s="782" t="s">
        <v>4573</v>
      </c>
      <c r="AE3253" s="782" t="s">
        <v>3986</v>
      </c>
      <c r="AF3253" s="781">
        <f>$S$1*P!AF3253</f>
        <v>5.278225806451613</v>
      </c>
    </row>
    <row r="3254" spans="19:32" x14ac:dyDescent="0.35">
      <c r="S3254" s="782">
        <v>3250</v>
      </c>
      <c r="T3254" s="782" t="s">
        <v>4284</v>
      </c>
      <c r="U3254" s="782" t="s">
        <v>2364</v>
      </c>
      <c r="V3254" s="797">
        <f>$S$1*P!V3254</f>
        <v>0.20084677419354841</v>
      </c>
      <c r="W3254" s="780"/>
      <c r="X3254" s="881">
        <v>3250</v>
      </c>
      <c r="Y3254" s="881" t="s">
        <v>2248</v>
      </c>
      <c r="Z3254" s="881" t="s">
        <v>2852</v>
      </c>
      <c r="AA3254" s="882">
        <f>$S$1*P!AA3254</f>
        <v>1.7571999999999999</v>
      </c>
      <c r="AB3254" s="780"/>
      <c r="AC3254" s="782">
        <v>3250</v>
      </c>
      <c r="AD3254" s="782" t="s">
        <v>4573</v>
      </c>
      <c r="AE3254" s="782" t="s">
        <v>3985</v>
      </c>
      <c r="AF3254" s="781">
        <f>$S$1*P!AF3254</f>
        <v>1.7034274193548389</v>
      </c>
    </row>
    <row r="3255" spans="19:32" x14ac:dyDescent="0.35">
      <c r="S3255" s="782">
        <v>3251</v>
      </c>
      <c r="T3255" s="782" t="s">
        <v>4284</v>
      </c>
      <c r="U3255" s="782" t="s">
        <v>2361</v>
      </c>
      <c r="V3255" s="797">
        <f>$S$1*P!V3255</f>
        <v>2.0598790322580648E-3</v>
      </c>
      <c r="W3255" s="780"/>
      <c r="X3255" s="782">
        <v>3251</v>
      </c>
      <c r="Y3255" s="782" t="s">
        <v>2248</v>
      </c>
      <c r="Z3255" s="782" t="s">
        <v>3062</v>
      </c>
      <c r="AA3255" s="781">
        <f>$S$1*P!AA3255</f>
        <v>1.9810483870967745E-4</v>
      </c>
      <c r="AB3255" s="780"/>
      <c r="AC3255" s="782">
        <v>3251</v>
      </c>
      <c r="AD3255" s="782" t="s">
        <v>4573</v>
      </c>
      <c r="AE3255" s="782" t="s">
        <v>2404</v>
      </c>
      <c r="AF3255" s="781">
        <f>$S$1*P!AF3255</f>
        <v>6.3407258064516131E-3</v>
      </c>
    </row>
    <row r="3256" spans="19:32" x14ac:dyDescent="0.35">
      <c r="S3256" s="782">
        <v>3252</v>
      </c>
      <c r="T3256" s="782" t="s">
        <v>4284</v>
      </c>
      <c r="U3256" s="782" t="s">
        <v>2358</v>
      </c>
      <c r="V3256" s="797">
        <f>$S$1*P!V3256</f>
        <v>5.3125000000000004E-3</v>
      </c>
      <c r="W3256" s="780"/>
      <c r="X3256" s="782">
        <v>3252</v>
      </c>
      <c r="Y3256" s="782" t="s">
        <v>2248</v>
      </c>
      <c r="Z3256" s="782" t="s">
        <v>3353</v>
      </c>
      <c r="AA3256" s="781">
        <f>$S$1*P!AA3256</f>
        <v>2.5911290322580647E-4</v>
      </c>
      <c r="AB3256" s="780"/>
      <c r="AC3256" s="881">
        <v>3252</v>
      </c>
      <c r="AD3256" s="881" t="s">
        <v>4573</v>
      </c>
      <c r="AE3256" s="881" t="s">
        <v>2404</v>
      </c>
      <c r="AF3256" s="890">
        <f>$S$1*P!AF3256</f>
        <v>1.1592E-2</v>
      </c>
    </row>
    <row r="3257" spans="19:32" x14ac:dyDescent="0.35">
      <c r="S3257" s="782">
        <v>3253</v>
      </c>
      <c r="T3257" s="782" t="s">
        <v>4284</v>
      </c>
      <c r="U3257" s="782" t="s">
        <v>2355</v>
      </c>
      <c r="V3257" s="797">
        <f>$S$1*P!V3257</f>
        <v>4.0100806451612905E-4</v>
      </c>
      <c r="W3257" s="780"/>
      <c r="X3257" s="782">
        <v>3253</v>
      </c>
      <c r="Y3257" s="782" t="s">
        <v>2248</v>
      </c>
      <c r="Z3257" s="782" t="s">
        <v>3060</v>
      </c>
      <c r="AA3257" s="781">
        <f>$S$1*P!AA3257</f>
        <v>0.11618951612903226</v>
      </c>
      <c r="AB3257" s="780"/>
      <c r="AC3257" s="881">
        <v>3253</v>
      </c>
      <c r="AD3257" s="881" t="s">
        <v>4573</v>
      </c>
      <c r="AE3257" s="881" t="s">
        <v>2403</v>
      </c>
      <c r="AF3257" s="890">
        <f>$S$1*P!AF3257</f>
        <v>0</v>
      </c>
    </row>
    <row r="3258" spans="19:32" x14ac:dyDescent="0.35">
      <c r="S3258" s="782">
        <v>3254</v>
      </c>
      <c r="T3258" s="782" t="s">
        <v>4284</v>
      </c>
      <c r="U3258" s="782" t="s">
        <v>2353</v>
      </c>
      <c r="V3258" s="797">
        <f>$S$1*P!V3258</f>
        <v>2.5568548387096776E-3</v>
      </c>
      <c r="W3258" s="780"/>
      <c r="X3258" s="782">
        <v>3254</v>
      </c>
      <c r="Y3258" s="782" t="s">
        <v>2248</v>
      </c>
      <c r="Z3258" s="782" t="s">
        <v>3057</v>
      </c>
      <c r="AA3258" s="781">
        <f>$S$1*P!AA3258</f>
        <v>6.7177419354838716E-2</v>
      </c>
      <c r="AB3258" s="780"/>
      <c r="AC3258" s="881">
        <v>3254</v>
      </c>
      <c r="AD3258" s="881" t="s">
        <v>4573</v>
      </c>
      <c r="AE3258" s="881" t="s">
        <v>2401</v>
      </c>
      <c r="AF3258" s="890">
        <f>$S$1*P!AF3258</f>
        <v>0</v>
      </c>
    </row>
    <row r="3259" spans="19:32" x14ac:dyDescent="0.35">
      <c r="S3259" s="782">
        <v>3255</v>
      </c>
      <c r="T3259" s="782" t="s">
        <v>4284</v>
      </c>
      <c r="U3259" s="782" t="s">
        <v>2350</v>
      </c>
      <c r="V3259" s="797">
        <f>$S$1*P!V3259</f>
        <v>2.0016129032258068</v>
      </c>
      <c r="W3259" s="780"/>
      <c r="X3259" s="782">
        <v>3255</v>
      </c>
      <c r="Y3259" s="782" t="s">
        <v>2248</v>
      </c>
      <c r="Z3259" s="782" t="s">
        <v>4715</v>
      </c>
      <c r="AA3259" s="781">
        <f>$S$1*P!AA3259</f>
        <v>3.1772177419354842E-5</v>
      </c>
      <c r="AB3259" s="780"/>
      <c r="AC3259" s="881">
        <v>3255</v>
      </c>
      <c r="AD3259" s="881" t="s">
        <v>4573</v>
      </c>
      <c r="AE3259" s="881" t="s">
        <v>2400</v>
      </c>
      <c r="AF3259" s="890">
        <f>$S$1*P!AF3259</f>
        <v>0</v>
      </c>
    </row>
    <row r="3260" spans="19:32" x14ac:dyDescent="0.35">
      <c r="S3260" s="782">
        <v>3256</v>
      </c>
      <c r="T3260" s="782" t="s">
        <v>4284</v>
      </c>
      <c r="U3260" s="782" t="s">
        <v>2347</v>
      </c>
      <c r="V3260" s="797">
        <f>$S$1*P!V3260</f>
        <v>0.11173387096774194</v>
      </c>
      <c r="W3260" s="780"/>
      <c r="X3260" s="881">
        <v>3256</v>
      </c>
      <c r="Y3260" s="881" t="s">
        <v>2248</v>
      </c>
      <c r="Z3260" s="881" t="s">
        <v>2850</v>
      </c>
      <c r="AA3260" s="882">
        <f>$S$1*P!AA3260</f>
        <v>8.3076000000000001E-3</v>
      </c>
      <c r="AB3260" s="780"/>
      <c r="AC3260" s="881">
        <v>3256</v>
      </c>
      <c r="AD3260" s="881" t="s">
        <v>4573</v>
      </c>
      <c r="AE3260" s="881" t="s">
        <v>2398</v>
      </c>
      <c r="AF3260" s="890">
        <f>$S$1*P!AF3260</f>
        <v>0</v>
      </c>
    </row>
    <row r="3261" spans="19:32" x14ac:dyDescent="0.35">
      <c r="S3261" s="782">
        <v>3257</v>
      </c>
      <c r="T3261" s="782" t="s">
        <v>4284</v>
      </c>
      <c r="U3261" s="782" t="s">
        <v>2344</v>
      </c>
      <c r="V3261" s="797">
        <f>$S$1*P!V3261</f>
        <v>3.3451612903225808E-3</v>
      </c>
      <c r="W3261" s="780"/>
      <c r="X3261" s="782">
        <v>3257</v>
      </c>
      <c r="Y3261" s="782" t="s">
        <v>2248</v>
      </c>
      <c r="Z3261" s="782" t="s">
        <v>2850</v>
      </c>
      <c r="AA3261" s="781">
        <f>$S$1*P!AA3261</f>
        <v>3.5987903225806452E-2</v>
      </c>
      <c r="AB3261" s="780"/>
      <c r="AC3261" s="782">
        <v>3257</v>
      </c>
      <c r="AD3261" s="782" t="s">
        <v>4573</v>
      </c>
      <c r="AE3261" s="782" t="s">
        <v>3981</v>
      </c>
      <c r="AF3261" s="781">
        <f>$S$1*P!AF3261</f>
        <v>0.39758064516129038</v>
      </c>
    </row>
    <row r="3262" spans="19:32" x14ac:dyDescent="0.35">
      <c r="S3262" s="782">
        <v>3258</v>
      </c>
      <c r="T3262" s="782" t="s">
        <v>4284</v>
      </c>
      <c r="U3262" s="782" t="s">
        <v>2341</v>
      </c>
      <c r="V3262" s="797">
        <f>$S$1*P!V3262</f>
        <v>1.6931451612903228</v>
      </c>
      <c r="W3262" s="780"/>
      <c r="X3262" s="782">
        <v>3258</v>
      </c>
      <c r="Y3262" s="782" t="s">
        <v>2248</v>
      </c>
      <c r="Z3262" s="782" t="s">
        <v>3052</v>
      </c>
      <c r="AA3262" s="781">
        <f>$S$1*P!AA3262</f>
        <v>0.31429435483870971</v>
      </c>
      <c r="AB3262" s="780"/>
      <c r="AC3262" s="782">
        <v>3258</v>
      </c>
      <c r="AD3262" s="782" t="s">
        <v>4573</v>
      </c>
      <c r="AE3262" s="782" t="s">
        <v>3980</v>
      </c>
      <c r="AF3262" s="781">
        <f>$S$1*P!AF3262</f>
        <v>0.40100806451612908</v>
      </c>
    </row>
    <row r="3263" spans="19:32" x14ac:dyDescent="0.35">
      <c r="S3263" s="881">
        <v>3259</v>
      </c>
      <c r="T3263" s="881" t="s">
        <v>4284</v>
      </c>
      <c r="U3263" s="881" t="s">
        <v>2341</v>
      </c>
      <c r="V3263" s="883">
        <f>$S$1*P!V3263</f>
        <v>0</v>
      </c>
      <c r="W3263" s="780"/>
      <c r="X3263" s="782">
        <v>3259</v>
      </c>
      <c r="Y3263" s="782" t="s">
        <v>2248</v>
      </c>
      <c r="Z3263" s="782" t="s">
        <v>4714</v>
      </c>
      <c r="AA3263" s="781">
        <f>$S$1*P!AA3263</f>
        <v>5.6552419354838714E-4</v>
      </c>
      <c r="AB3263" s="780"/>
      <c r="AC3263" s="782">
        <v>3259</v>
      </c>
      <c r="AD3263" s="782" t="s">
        <v>4573</v>
      </c>
      <c r="AE3263" s="782" t="s">
        <v>2396</v>
      </c>
      <c r="AF3263" s="781">
        <f>$S$1*P!AF3263</f>
        <v>0.39758064516129038</v>
      </c>
    </row>
    <row r="3264" spans="19:32" x14ac:dyDescent="0.35">
      <c r="S3264" s="782">
        <v>3260</v>
      </c>
      <c r="T3264" s="782" t="s">
        <v>4284</v>
      </c>
      <c r="U3264" s="782" t="s">
        <v>2339</v>
      </c>
      <c r="V3264" s="797">
        <f>$S$1*P!V3264</f>
        <v>2.3717741935483871E-2</v>
      </c>
      <c r="W3264" s="780"/>
      <c r="X3264" s="881">
        <v>3260</v>
      </c>
      <c r="Y3264" s="881" t="s">
        <v>2248</v>
      </c>
      <c r="Z3264" s="881" t="s">
        <v>2849</v>
      </c>
      <c r="AA3264" s="882">
        <f>$S$1*P!AA3264</f>
        <v>0</v>
      </c>
      <c r="AB3264" s="780"/>
      <c r="AC3264" s="881">
        <v>3260</v>
      </c>
      <c r="AD3264" s="881" t="s">
        <v>4573</v>
      </c>
      <c r="AE3264" s="881" t="s">
        <v>2396</v>
      </c>
      <c r="AF3264" s="890">
        <f>$S$1*P!AF3264</f>
        <v>3.0636000000000001</v>
      </c>
    </row>
    <row r="3265" spans="19:32" x14ac:dyDescent="0.35">
      <c r="S3265" s="881">
        <v>3261</v>
      </c>
      <c r="T3265" s="881" t="s">
        <v>4284</v>
      </c>
      <c r="U3265" s="881" t="s">
        <v>2339</v>
      </c>
      <c r="V3265" s="883">
        <f>$S$1*P!V3265</f>
        <v>0</v>
      </c>
      <c r="W3265" s="780"/>
      <c r="X3265" s="861">
        <v>3261</v>
      </c>
      <c r="Y3265" s="861" t="s">
        <v>2248</v>
      </c>
      <c r="Z3265" s="861" t="s">
        <v>4713</v>
      </c>
      <c r="AA3265" s="904">
        <f>$S$1*P!AA3265</f>
        <v>0.71909999999999996</v>
      </c>
      <c r="AB3265" s="780"/>
      <c r="AC3265" s="881">
        <v>3261</v>
      </c>
      <c r="AD3265" s="881" t="s">
        <v>4573</v>
      </c>
      <c r="AE3265" s="881" t="s">
        <v>2395</v>
      </c>
      <c r="AF3265" s="890">
        <f>$S$1*P!AF3265</f>
        <v>9.9360000000000004E-2</v>
      </c>
    </row>
    <row r="3266" spans="19:32" x14ac:dyDescent="0.35">
      <c r="S3266" s="782">
        <v>3262</v>
      </c>
      <c r="T3266" s="782" t="s">
        <v>4284</v>
      </c>
      <c r="U3266" s="782" t="s">
        <v>2334</v>
      </c>
      <c r="V3266" s="797">
        <f>$S$1*P!V3266</f>
        <v>0.91854838709677422</v>
      </c>
      <c r="W3266" s="780"/>
      <c r="X3266" s="782">
        <v>3262</v>
      </c>
      <c r="Y3266" s="782" t="s">
        <v>2248</v>
      </c>
      <c r="Z3266" s="782" t="s">
        <v>3049</v>
      </c>
      <c r="AA3266" s="781">
        <f>$S$1*P!AA3266</f>
        <v>1.1173387096774195E-3</v>
      </c>
      <c r="AB3266" s="780"/>
      <c r="AC3266" s="782">
        <v>3262</v>
      </c>
      <c r="AD3266" s="782" t="s">
        <v>4573</v>
      </c>
      <c r="AE3266" s="782" t="s">
        <v>2393</v>
      </c>
      <c r="AF3266" s="781">
        <f>$S$1*P!AF3266</f>
        <v>0.16108870967741937</v>
      </c>
    </row>
    <row r="3267" spans="19:32" x14ac:dyDescent="0.35">
      <c r="S3267" s="910">
        <v>3263</v>
      </c>
      <c r="T3267" s="910" t="s">
        <v>4284</v>
      </c>
      <c r="U3267" s="910" t="s">
        <v>4712</v>
      </c>
      <c r="V3267" s="911">
        <f>$S$1*P!V3267</f>
        <v>0</v>
      </c>
      <c r="W3267" s="780"/>
      <c r="X3267" s="782">
        <v>3263</v>
      </c>
      <c r="Y3267" s="782" t="s">
        <v>2248</v>
      </c>
      <c r="Z3267" s="782" t="s">
        <v>4711</v>
      </c>
      <c r="AA3267" s="781">
        <f>$S$1*P!AA3267</f>
        <v>1.5903225806451615E-5</v>
      </c>
      <c r="AB3267" s="780"/>
      <c r="AC3267" s="881">
        <v>3263</v>
      </c>
      <c r="AD3267" s="881" t="s">
        <v>4573</v>
      </c>
      <c r="AE3267" s="881" t="s">
        <v>2393</v>
      </c>
      <c r="AF3267" s="890">
        <f>$S$1*P!AF3267</f>
        <v>0</v>
      </c>
    </row>
    <row r="3268" spans="19:32" x14ac:dyDescent="0.35">
      <c r="S3268" s="910">
        <v>3264</v>
      </c>
      <c r="T3268" s="910" t="s">
        <v>4284</v>
      </c>
      <c r="U3268" s="910" t="s">
        <v>4710</v>
      </c>
      <c r="V3268" s="911">
        <f>$S$1*P!V3268</f>
        <v>7.98</v>
      </c>
      <c r="W3268" s="780"/>
      <c r="X3268" s="782">
        <v>3264</v>
      </c>
      <c r="Y3268" s="782" t="s">
        <v>2248</v>
      </c>
      <c r="Z3268" s="782" t="s">
        <v>3047</v>
      </c>
      <c r="AA3268" s="781">
        <f>$S$1*P!AA3268</f>
        <v>8.8084677419354848E-4</v>
      </c>
      <c r="AB3268" s="780"/>
      <c r="AC3268" s="782">
        <v>3264</v>
      </c>
      <c r="AD3268" s="782" t="s">
        <v>4573</v>
      </c>
      <c r="AE3268" s="782" t="s">
        <v>3976</v>
      </c>
      <c r="AF3268" s="781">
        <f>$S$1*P!AF3268</f>
        <v>2.0358870967741936E-2</v>
      </c>
    </row>
    <row r="3269" spans="19:32" x14ac:dyDescent="0.35">
      <c r="S3269" s="910">
        <v>3265</v>
      </c>
      <c r="T3269" s="910" t="s">
        <v>4284</v>
      </c>
      <c r="U3269" s="910" t="s">
        <v>4709</v>
      </c>
      <c r="V3269" s="911">
        <f>$S$1*P!V3269</f>
        <v>7.98</v>
      </c>
      <c r="W3269" s="780"/>
      <c r="X3269" s="782">
        <v>3265</v>
      </c>
      <c r="Y3269" s="782" t="s">
        <v>2248</v>
      </c>
      <c r="Z3269" s="782" t="s">
        <v>3044</v>
      </c>
      <c r="AA3269" s="781">
        <f>$S$1*P!AA3269</f>
        <v>3.8729838709677424E-3</v>
      </c>
      <c r="AB3269" s="780"/>
      <c r="AC3269" s="782">
        <v>3265</v>
      </c>
      <c r="AD3269" s="782" t="s">
        <v>4573</v>
      </c>
      <c r="AE3269" s="782" t="s">
        <v>3975</v>
      </c>
      <c r="AF3269" s="781">
        <f>$S$1*P!AF3269</f>
        <v>7.6088709677419361E-4</v>
      </c>
    </row>
    <row r="3270" spans="19:32" x14ac:dyDescent="0.35">
      <c r="S3270" s="910">
        <v>3266</v>
      </c>
      <c r="T3270" s="910" t="s">
        <v>4284</v>
      </c>
      <c r="U3270" s="910" t="s">
        <v>4708</v>
      </c>
      <c r="V3270" s="911">
        <f>$S$1*P!V3270</f>
        <v>7.98</v>
      </c>
      <c r="W3270" s="780"/>
      <c r="X3270" s="782">
        <v>3266</v>
      </c>
      <c r="Y3270" s="782" t="s">
        <v>2248</v>
      </c>
      <c r="Z3270" s="782" t="s">
        <v>3352</v>
      </c>
      <c r="AA3270" s="781">
        <f>$S$1*P!AA3270</f>
        <v>8.808467741935484</v>
      </c>
      <c r="AB3270" s="780"/>
      <c r="AC3270" s="881">
        <v>3266</v>
      </c>
      <c r="AD3270" s="881" t="s">
        <v>4573</v>
      </c>
      <c r="AE3270" s="881" t="s">
        <v>2392</v>
      </c>
      <c r="AF3270" s="890">
        <f>$S$1*P!AF3270</f>
        <v>0.26679999999999998</v>
      </c>
    </row>
    <row r="3271" spans="19:32" x14ac:dyDescent="0.35">
      <c r="S3271" s="910">
        <v>3267</v>
      </c>
      <c r="T3271" s="910" t="s">
        <v>4284</v>
      </c>
      <c r="U3271" s="912" t="s">
        <v>4707</v>
      </c>
      <c r="V3271" s="913">
        <f>$S$1*P!V3271</f>
        <v>35</v>
      </c>
      <c r="W3271" s="780"/>
      <c r="X3271" s="782">
        <v>3267</v>
      </c>
      <c r="Y3271" s="782" t="s">
        <v>2248</v>
      </c>
      <c r="Z3271" s="782" t="s">
        <v>3041</v>
      </c>
      <c r="AA3271" s="781">
        <f>$S$1*P!AA3271</f>
        <v>1.370967741935484E-3</v>
      </c>
      <c r="AB3271" s="780"/>
      <c r="AC3271" s="782">
        <v>3267</v>
      </c>
      <c r="AD3271" s="782" t="s">
        <v>4573</v>
      </c>
      <c r="AE3271" s="782" t="s">
        <v>3973</v>
      </c>
      <c r="AF3271" s="781">
        <f>$S$1*P!AF3271</f>
        <v>1.5354838709677421</v>
      </c>
    </row>
    <row r="3272" spans="19:32" x14ac:dyDescent="0.35">
      <c r="S3272" s="914">
        <v>3268</v>
      </c>
      <c r="T3272" s="914" t="s">
        <v>4284</v>
      </c>
      <c r="U3272" s="914" t="s">
        <v>4706</v>
      </c>
      <c r="V3272" s="915">
        <f>$S$1*P!V3272</f>
        <v>9.2750000000000004</v>
      </c>
      <c r="W3272" s="780"/>
      <c r="X3272" s="782">
        <v>3268</v>
      </c>
      <c r="Y3272" s="782" t="s">
        <v>2248</v>
      </c>
      <c r="Z3272" s="782" t="s">
        <v>3038</v>
      </c>
      <c r="AA3272" s="781">
        <f>$S$1*P!AA3272</f>
        <v>1.0727822580645161E-3</v>
      </c>
      <c r="AB3272" s="780"/>
      <c r="AC3272" s="881">
        <v>3268</v>
      </c>
      <c r="AD3272" s="881" t="s">
        <v>4573</v>
      </c>
      <c r="AE3272" s="881" t="s">
        <v>2390</v>
      </c>
      <c r="AF3272" s="890">
        <f>$S$1*P!AF3272</f>
        <v>0</v>
      </c>
    </row>
    <row r="3273" spans="19:32" x14ac:dyDescent="0.35">
      <c r="S3273" s="914">
        <v>3269</v>
      </c>
      <c r="T3273" s="914" t="s">
        <v>4284</v>
      </c>
      <c r="U3273" s="914" t="s">
        <v>4705</v>
      </c>
      <c r="V3273" s="915">
        <f>$S$1*P!V3273</f>
        <v>35</v>
      </c>
      <c r="W3273" s="780"/>
      <c r="X3273" s="782">
        <v>3269</v>
      </c>
      <c r="Y3273" s="782" t="s">
        <v>2248</v>
      </c>
      <c r="Z3273" s="782" t="s">
        <v>3036</v>
      </c>
      <c r="AA3273" s="781">
        <f>$S$1*P!AA3273</f>
        <v>3.0264112903225808E-3</v>
      </c>
      <c r="AB3273" s="780"/>
      <c r="AC3273" s="782">
        <v>3269</v>
      </c>
      <c r="AD3273" s="782" t="s">
        <v>4573</v>
      </c>
      <c r="AE3273" s="782" t="s">
        <v>3971</v>
      </c>
      <c r="AF3273" s="781">
        <f>$S$1*P!AF3273</f>
        <v>5.278225806451613</v>
      </c>
    </row>
    <row r="3274" spans="19:32" x14ac:dyDescent="0.35">
      <c r="S3274" s="881">
        <v>3270</v>
      </c>
      <c r="T3274" s="881" t="s">
        <v>4284</v>
      </c>
      <c r="U3274" s="881" t="s">
        <v>2638</v>
      </c>
      <c r="V3274" s="883">
        <f>$S$1*P!V3274</f>
        <v>0</v>
      </c>
      <c r="W3274" s="780"/>
      <c r="X3274" s="782">
        <v>3270</v>
      </c>
      <c r="Y3274" s="782" t="s">
        <v>2248</v>
      </c>
      <c r="Z3274" s="782" t="s">
        <v>3347</v>
      </c>
      <c r="AA3274" s="781">
        <f>$S$1*P!AA3274</f>
        <v>6.7520161290322584E-3</v>
      </c>
      <c r="AB3274" s="780"/>
      <c r="AC3274" s="782">
        <v>3270</v>
      </c>
      <c r="AD3274" s="782" t="s">
        <v>4573</v>
      </c>
      <c r="AE3274" s="782" t="s">
        <v>3969</v>
      </c>
      <c r="AF3274" s="781">
        <f>$S$1*P!AF3274</f>
        <v>0.17788306451612904</v>
      </c>
    </row>
    <row r="3275" spans="19:32" x14ac:dyDescent="0.35">
      <c r="S3275" s="782">
        <v>3271</v>
      </c>
      <c r="T3275" s="782" t="s">
        <v>4284</v>
      </c>
      <c r="U3275" s="782" t="s">
        <v>2331</v>
      </c>
      <c r="V3275" s="797">
        <f>$S$1*P!V3275</f>
        <v>7.1290322580645169E-5</v>
      </c>
      <c r="W3275" s="780"/>
      <c r="X3275" s="782">
        <v>3271</v>
      </c>
      <c r="Y3275" s="782" t="s">
        <v>2248</v>
      </c>
      <c r="Z3275" s="782" t="s">
        <v>3033</v>
      </c>
      <c r="AA3275" s="781">
        <f>$S$1*P!AA3275</f>
        <v>5.0725806451612907E-5</v>
      </c>
      <c r="AB3275" s="780"/>
      <c r="AC3275" s="782">
        <v>3271</v>
      </c>
      <c r="AD3275" s="782" t="s">
        <v>4573</v>
      </c>
      <c r="AE3275" s="782" t="s">
        <v>3968</v>
      </c>
      <c r="AF3275" s="781">
        <f>$S$1*P!AF3275</f>
        <v>46.612903225806456</v>
      </c>
    </row>
    <row r="3276" spans="19:32" x14ac:dyDescent="0.35">
      <c r="S3276" s="782">
        <v>3272</v>
      </c>
      <c r="T3276" s="782" t="s">
        <v>4284</v>
      </c>
      <c r="U3276" s="782" t="s">
        <v>2328</v>
      </c>
      <c r="V3276" s="797">
        <f>$S$1*P!V3276</f>
        <v>3.6673387096774197E-3</v>
      </c>
      <c r="W3276" s="780"/>
      <c r="X3276" s="782">
        <v>3272</v>
      </c>
      <c r="Y3276" s="782" t="s">
        <v>2248</v>
      </c>
      <c r="Z3276" s="782" t="s">
        <v>3030</v>
      </c>
      <c r="AA3276" s="781">
        <f>$S$1*P!AA3276</f>
        <v>7.8487903225806454E-4</v>
      </c>
      <c r="AB3276" s="780"/>
      <c r="AC3276" s="782">
        <v>3272</v>
      </c>
      <c r="AD3276" s="782" t="s">
        <v>4573</v>
      </c>
      <c r="AE3276" s="782" t="s">
        <v>3958</v>
      </c>
      <c r="AF3276" s="781">
        <f>$S$1*P!AF3276</f>
        <v>1.0247983870967743E-2</v>
      </c>
    </row>
    <row r="3277" spans="19:32" x14ac:dyDescent="0.35">
      <c r="S3277" s="782">
        <v>3273</v>
      </c>
      <c r="T3277" s="782" t="s">
        <v>4284</v>
      </c>
      <c r="U3277" s="782" t="s">
        <v>2325</v>
      </c>
      <c r="V3277" s="797">
        <f>$S$1*P!V3277</f>
        <v>5.2782258064516135E-4</v>
      </c>
      <c r="W3277" s="780"/>
      <c r="X3277" s="782">
        <v>3273</v>
      </c>
      <c r="Y3277" s="782" t="s">
        <v>2248</v>
      </c>
      <c r="Z3277" s="782" t="s">
        <v>4704</v>
      </c>
      <c r="AA3277" s="781">
        <f>$S$1*P!AA3277</f>
        <v>3.2149193548387099E-2</v>
      </c>
      <c r="AB3277" s="780"/>
      <c r="AC3277" s="782">
        <v>3273</v>
      </c>
      <c r="AD3277" s="782" t="s">
        <v>4573</v>
      </c>
      <c r="AE3277" s="782" t="s">
        <v>3957</v>
      </c>
      <c r="AF3277" s="781">
        <f>$S$1*P!AF3277</f>
        <v>4.9697580645161298E-2</v>
      </c>
    </row>
    <row r="3278" spans="19:32" x14ac:dyDescent="0.35">
      <c r="S3278" s="782">
        <v>3274</v>
      </c>
      <c r="T3278" s="782" t="s">
        <v>4284</v>
      </c>
      <c r="U3278" s="782" t="s">
        <v>2322</v>
      </c>
      <c r="V3278" s="797">
        <f>$S$1*P!V3278</f>
        <v>2.3169354838709679E-4</v>
      </c>
      <c r="W3278" s="780"/>
      <c r="X3278" s="782">
        <v>3274</v>
      </c>
      <c r="Y3278" s="782" t="s">
        <v>2248</v>
      </c>
      <c r="Z3278" s="782" t="s">
        <v>3027</v>
      </c>
      <c r="AA3278" s="781">
        <f>$S$1*P!AA3278</f>
        <v>1.4018145161290322E-3</v>
      </c>
      <c r="AB3278" s="780"/>
      <c r="AC3278" s="782">
        <v>3274</v>
      </c>
      <c r="AD3278" s="782" t="s">
        <v>4573</v>
      </c>
      <c r="AE3278" s="782" t="s">
        <v>3956</v>
      </c>
      <c r="AF3278" s="781">
        <f>$S$1*P!AF3278</f>
        <v>3.4616935483870973E-2</v>
      </c>
    </row>
    <row r="3279" spans="19:32" x14ac:dyDescent="0.35">
      <c r="S3279" s="782">
        <v>3275</v>
      </c>
      <c r="T3279" s="782" t="s">
        <v>4284</v>
      </c>
      <c r="U3279" s="782" t="s">
        <v>2320</v>
      </c>
      <c r="V3279" s="797">
        <f>$S$1*P!V3279</f>
        <v>1.4737903225806454E-3</v>
      </c>
      <c r="W3279" s="780"/>
      <c r="X3279" s="782">
        <v>3275</v>
      </c>
      <c r="Y3279" s="782" t="s">
        <v>2248</v>
      </c>
      <c r="Z3279" s="782" t="s">
        <v>3024</v>
      </c>
      <c r="AA3279" s="781">
        <f>$S$1*P!AA3279</f>
        <v>7.3689516129032268E-2</v>
      </c>
      <c r="AB3279" s="780"/>
      <c r="AC3279" s="782">
        <v>3275</v>
      </c>
      <c r="AD3279" s="782" t="s">
        <v>4573</v>
      </c>
      <c r="AE3279" s="782" t="s">
        <v>3954</v>
      </c>
      <c r="AF3279" s="781">
        <f>$S$1*P!AF3279</f>
        <v>3.0504032258064518E-3</v>
      </c>
    </row>
    <row r="3280" spans="19:32" x14ac:dyDescent="0.35">
      <c r="S3280" s="881">
        <v>3276</v>
      </c>
      <c r="T3280" s="881" t="s">
        <v>4284</v>
      </c>
      <c r="U3280" s="881" t="s">
        <v>2636</v>
      </c>
      <c r="V3280" s="883">
        <f>$S$1*P!V3280</f>
        <v>0.25944</v>
      </c>
      <c r="W3280" s="780"/>
      <c r="X3280" s="782">
        <v>3276</v>
      </c>
      <c r="Y3280" s="782" t="s">
        <v>2248</v>
      </c>
      <c r="Z3280" s="782" t="s">
        <v>4703</v>
      </c>
      <c r="AA3280" s="781">
        <f>$S$1*P!AA3280</f>
        <v>1.9536290322580648E-3</v>
      </c>
      <c r="AB3280" s="780"/>
      <c r="AC3280" s="782">
        <v>3276</v>
      </c>
      <c r="AD3280" s="782" t="s">
        <v>4573</v>
      </c>
      <c r="AE3280" s="782" t="s">
        <v>3953</v>
      </c>
      <c r="AF3280" s="781">
        <f>$S$1*P!AF3280</f>
        <v>2.2141129032258067E-2</v>
      </c>
    </row>
    <row r="3281" spans="19:32" x14ac:dyDescent="0.35">
      <c r="S3281" s="782">
        <v>3277</v>
      </c>
      <c r="T3281" s="782" t="s">
        <v>4284</v>
      </c>
      <c r="U3281" s="782" t="s">
        <v>2317</v>
      </c>
      <c r="V3281" s="797">
        <f>$S$1*P!V3281</f>
        <v>2.8070564516129035E-4</v>
      </c>
      <c r="W3281" s="780"/>
      <c r="X3281" s="782">
        <v>3277</v>
      </c>
      <c r="Y3281" s="782" t="s">
        <v>2248</v>
      </c>
      <c r="Z3281" s="782" t="s">
        <v>3022</v>
      </c>
      <c r="AA3281" s="781">
        <f>$S$1*P!AA3281</f>
        <v>1.1481854838709677E-3</v>
      </c>
      <c r="AB3281" s="780"/>
      <c r="AC3281" s="782">
        <v>3277</v>
      </c>
      <c r="AD3281" s="782" t="s">
        <v>4573</v>
      </c>
      <c r="AE3281" s="782" t="s">
        <v>3951</v>
      </c>
      <c r="AF3281" s="781">
        <f>$S$1*P!AF3281</f>
        <v>0.3461693548387097</v>
      </c>
    </row>
    <row r="3282" spans="19:32" x14ac:dyDescent="0.35">
      <c r="S3282" s="782">
        <v>3278</v>
      </c>
      <c r="T3282" s="782" t="s">
        <v>4284</v>
      </c>
      <c r="U3282" s="782" t="s">
        <v>2314</v>
      </c>
      <c r="V3282" s="797">
        <f>$S$1*P!V3282</f>
        <v>7.1633064516129033E-4</v>
      </c>
      <c r="W3282" s="780"/>
      <c r="X3282" s="782">
        <v>3278</v>
      </c>
      <c r="Y3282" s="782" t="s">
        <v>2248</v>
      </c>
      <c r="Z3282" s="782" t="s">
        <v>3019</v>
      </c>
      <c r="AA3282" s="781">
        <f>$S$1*P!AA3282</f>
        <v>2.9201612903225809E-5</v>
      </c>
      <c r="AB3282" s="780"/>
      <c r="AC3282" s="782">
        <v>3278</v>
      </c>
      <c r="AD3282" s="782" t="s">
        <v>4573</v>
      </c>
      <c r="AE3282" s="782" t="s">
        <v>3950</v>
      </c>
      <c r="AF3282" s="781">
        <f>$S$1*P!AF3282</f>
        <v>0.22552419354838713</v>
      </c>
    </row>
    <row r="3283" spans="19:32" x14ac:dyDescent="0.35">
      <c r="S3283" s="782">
        <v>3279</v>
      </c>
      <c r="T3283" s="782" t="s">
        <v>4284</v>
      </c>
      <c r="U3283" s="782" t="s">
        <v>2311</v>
      </c>
      <c r="V3283" s="797">
        <f>$S$1*P!V3283</f>
        <v>2.292943548387097E-5</v>
      </c>
      <c r="W3283" s="780"/>
      <c r="X3283" s="782">
        <v>3279</v>
      </c>
      <c r="Y3283" s="782" t="s">
        <v>2248</v>
      </c>
      <c r="Z3283" s="782" t="s">
        <v>3016</v>
      </c>
      <c r="AA3283" s="781">
        <f>$S$1*P!AA3283</f>
        <v>2.1044354838709679E-4</v>
      </c>
      <c r="AB3283" s="780"/>
      <c r="AC3283" s="782">
        <v>3279</v>
      </c>
      <c r="AD3283" s="782" t="s">
        <v>4573</v>
      </c>
      <c r="AE3283" s="782" t="s">
        <v>2389</v>
      </c>
      <c r="AF3283" s="781">
        <f>$S$1*P!AF3283</f>
        <v>14.223790322580646</v>
      </c>
    </row>
    <row r="3284" spans="19:32" x14ac:dyDescent="0.35">
      <c r="S3284" s="782">
        <v>3280</v>
      </c>
      <c r="T3284" s="782" t="s">
        <v>4284</v>
      </c>
      <c r="U3284" s="782" t="s">
        <v>2309</v>
      </c>
      <c r="V3284" s="797">
        <f>$S$1*P!V3284</f>
        <v>5.0040322580645169</v>
      </c>
      <c r="W3284" s="780"/>
      <c r="X3284" s="782">
        <v>3280</v>
      </c>
      <c r="Y3284" s="782" t="s">
        <v>2248</v>
      </c>
      <c r="Z3284" s="782" t="s">
        <v>4702</v>
      </c>
      <c r="AA3284" s="781">
        <f>$S$1*P!AA3284</f>
        <v>3.3622983870967745E-6</v>
      </c>
      <c r="AB3284" s="780"/>
      <c r="AC3284" s="881">
        <v>3280</v>
      </c>
      <c r="AD3284" s="881" t="s">
        <v>4573</v>
      </c>
      <c r="AE3284" s="881" t="s">
        <v>2389</v>
      </c>
      <c r="AF3284" s="890">
        <f>$S$1*P!AF3284</f>
        <v>241.96</v>
      </c>
    </row>
    <row r="3285" spans="19:32" x14ac:dyDescent="0.35">
      <c r="S3285" s="782">
        <v>3281</v>
      </c>
      <c r="T3285" s="782" t="s">
        <v>4284</v>
      </c>
      <c r="U3285" s="782" t="s">
        <v>2306</v>
      </c>
      <c r="V3285" s="797">
        <f>$S$1*P!V3285</f>
        <v>3.132661290322581E-5</v>
      </c>
      <c r="W3285" s="780"/>
      <c r="X3285" s="782">
        <v>3281</v>
      </c>
      <c r="Y3285" s="782" t="s">
        <v>2248</v>
      </c>
      <c r="Z3285" s="782" t="s">
        <v>3013</v>
      </c>
      <c r="AA3285" s="781">
        <f>$S$1*P!AA3285</f>
        <v>4.5927419354838711E-2</v>
      </c>
      <c r="AB3285" s="780"/>
      <c r="AC3285" s="782">
        <v>3281</v>
      </c>
      <c r="AD3285" s="782" t="s">
        <v>4573</v>
      </c>
      <c r="AE3285" s="782" t="s">
        <v>3948</v>
      </c>
      <c r="AF3285" s="781">
        <f>$S$1*P!AF3285</f>
        <v>30.161290322580648</v>
      </c>
    </row>
    <row r="3286" spans="19:32" x14ac:dyDescent="0.35">
      <c r="S3286" s="881">
        <v>3282</v>
      </c>
      <c r="T3286" s="881" t="s">
        <v>4284</v>
      </c>
      <c r="U3286" s="881" t="s">
        <v>2306</v>
      </c>
      <c r="V3286" s="883">
        <f>$S$1*P!V3286</f>
        <v>0</v>
      </c>
      <c r="W3286" s="780"/>
      <c r="X3286" s="782">
        <v>3282</v>
      </c>
      <c r="Y3286" s="782" t="s">
        <v>2248</v>
      </c>
      <c r="Z3286" s="782" t="s">
        <v>3011</v>
      </c>
      <c r="AA3286" s="781">
        <f>$S$1*P!AA3286</f>
        <v>5.5866935483870972E-3</v>
      </c>
      <c r="AB3286" s="780"/>
      <c r="AC3286" s="782">
        <v>3282</v>
      </c>
      <c r="AD3286" s="782" t="s">
        <v>4573</v>
      </c>
      <c r="AE3286" s="782" t="s">
        <v>2387</v>
      </c>
      <c r="AF3286" s="781">
        <f>$S$1*P!AF3286</f>
        <v>0.11002016129032259</v>
      </c>
    </row>
    <row r="3287" spans="19:32" x14ac:dyDescent="0.35">
      <c r="S3287" s="782">
        <v>3283</v>
      </c>
      <c r="T3287" s="782" t="s">
        <v>4284</v>
      </c>
      <c r="U3287" s="782" t="s">
        <v>2303</v>
      </c>
      <c r="V3287" s="797">
        <f>$S$1*P!V3287</f>
        <v>1.6006048387096777E-2</v>
      </c>
      <c r="W3287" s="780"/>
      <c r="X3287" s="782">
        <v>3283</v>
      </c>
      <c r="Y3287" s="782" t="s">
        <v>2248</v>
      </c>
      <c r="Z3287" s="782" t="s">
        <v>4701</v>
      </c>
      <c r="AA3287" s="781">
        <f>$S$1*P!AA3287</f>
        <v>2.1250000000000002E-2</v>
      </c>
      <c r="AB3287" s="780"/>
      <c r="AC3287" s="881">
        <v>3283</v>
      </c>
      <c r="AD3287" s="881" t="s">
        <v>4573</v>
      </c>
      <c r="AE3287" s="881" t="s">
        <v>2387</v>
      </c>
      <c r="AF3287" s="890">
        <f>$S$1*P!AF3287</f>
        <v>0</v>
      </c>
    </row>
    <row r="3288" spans="19:32" x14ac:dyDescent="0.35">
      <c r="S3288" s="782">
        <v>3284</v>
      </c>
      <c r="T3288" s="782" t="s">
        <v>4284</v>
      </c>
      <c r="U3288" s="782" t="s">
        <v>2300</v>
      </c>
      <c r="V3288" s="797">
        <f>$S$1*P!V3288</f>
        <v>3.4034274193548387E-3</v>
      </c>
      <c r="W3288" s="780"/>
      <c r="X3288" s="782">
        <v>3284</v>
      </c>
      <c r="Y3288" s="782" t="s">
        <v>2248</v>
      </c>
      <c r="Z3288" s="782" t="s">
        <v>3008</v>
      </c>
      <c r="AA3288" s="781">
        <f>$S$1*P!AA3288</f>
        <v>8.3971774193548389E-4</v>
      </c>
      <c r="AB3288" s="780"/>
      <c r="AC3288" s="782">
        <v>3284</v>
      </c>
      <c r="AD3288" s="782" t="s">
        <v>4573</v>
      </c>
      <c r="AE3288" s="782" t="s">
        <v>3946</v>
      </c>
      <c r="AF3288" s="781">
        <f>$S$1*P!AF3288</f>
        <v>6.0665322580645163E-4</v>
      </c>
    </row>
    <row r="3289" spans="19:32" x14ac:dyDescent="0.35">
      <c r="S3289" s="782">
        <v>3285</v>
      </c>
      <c r="T3289" s="782" t="s">
        <v>4284</v>
      </c>
      <c r="U3289" s="782" t="s">
        <v>2297</v>
      </c>
      <c r="V3289" s="797">
        <f>$S$1*P!V3289</f>
        <v>0.14292338709677421</v>
      </c>
      <c r="W3289" s="780"/>
      <c r="X3289" s="782">
        <v>3285</v>
      </c>
      <c r="Y3289" s="782" t="s">
        <v>2248</v>
      </c>
      <c r="Z3289" s="782" t="s">
        <v>3005</v>
      </c>
      <c r="AA3289" s="781">
        <f>$S$1*P!AA3289</f>
        <v>1.3504032258064517E-2</v>
      </c>
      <c r="AB3289" s="780"/>
      <c r="AC3289" s="782">
        <v>3285</v>
      </c>
      <c r="AD3289" s="782" t="s">
        <v>4573</v>
      </c>
      <c r="AE3289" s="782" t="s">
        <v>2385</v>
      </c>
      <c r="AF3289" s="781">
        <f>$S$1*P!AF3289</f>
        <v>2.3546370967741939E-4</v>
      </c>
    </row>
    <row r="3290" spans="19:32" x14ac:dyDescent="0.35">
      <c r="S3290" s="782">
        <v>3286</v>
      </c>
      <c r="T3290" s="782" t="s">
        <v>4284</v>
      </c>
      <c r="U3290" s="782" t="s">
        <v>2295</v>
      </c>
      <c r="V3290" s="797">
        <f>$S$1*P!V3290</f>
        <v>2.090725806451613</v>
      </c>
      <c r="W3290" s="780"/>
      <c r="X3290" s="782">
        <v>3286</v>
      </c>
      <c r="Y3290" s="782" t="s">
        <v>2248</v>
      </c>
      <c r="Z3290" s="782" t="s">
        <v>4700</v>
      </c>
      <c r="AA3290" s="781">
        <f>$S$1*P!AA3290</f>
        <v>0.65806451612903227</v>
      </c>
      <c r="AB3290" s="780"/>
      <c r="AC3290" s="881">
        <v>3286</v>
      </c>
      <c r="AD3290" s="881" t="s">
        <v>4573</v>
      </c>
      <c r="AE3290" s="881" t="s">
        <v>2385</v>
      </c>
      <c r="AF3290" s="890">
        <f>$S$1*P!AF3290</f>
        <v>0</v>
      </c>
    </row>
    <row r="3291" spans="19:32" x14ac:dyDescent="0.35">
      <c r="S3291" s="782">
        <v>3287</v>
      </c>
      <c r="T3291" s="782" t="s">
        <v>4284</v>
      </c>
      <c r="U3291" s="782" t="s">
        <v>2292</v>
      </c>
      <c r="V3291" s="797">
        <f>$S$1*P!V3291</f>
        <v>0.33314516129032262</v>
      </c>
      <c r="W3291" s="780"/>
      <c r="X3291" s="881">
        <v>3287</v>
      </c>
      <c r="Y3291" s="881" t="s">
        <v>2248</v>
      </c>
      <c r="Z3291" s="881" t="s">
        <v>2847</v>
      </c>
      <c r="AA3291" s="882">
        <f>$S$1*P!AA3291</f>
        <v>4.5172000000000004E-2</v>
      </c>
      <c r="AB3291" s="780"/>
      <c r="AC3291" s="782">
        <v>3287</v>
      </c>
      <c r="AD3291" s="782" t="s">
        <v>4573</v>
      </c>
      <c r="AE3291" s="782" t="s">
        <v>3944</v>
      </c>
      <c r="AF3291" s="781">
        <f>$S$1*P!AF3291</f>
        <v>29.304435483870972</v>
      </c>
    </row>
    <row r="3292" spans="19:32" x14ac:dyDescent="0.35">
      <c r="S3292" s="782">
        <v>3288</v>
      </c>
      <c r="T3292" s="782" t="s">
        <v>4284</v>
      </c>
      <c r="U3292" s="782" t="s">
        <v>2289</v>
      </c>
      <c r="V3292" s="797">
        <f>$S$1*P!V3292</f>
        <v>6.1350806451612908E-2</v>
      </c>
      <c r="W3292" s="780"/>
      <c r="X3292" s="782">
        <v>3288</v>
      </c>
      <c r="Y3292" s="782" t="s">
        <v>2248</v>
      </c>
      <c r="Z3292" s="782" t="s">
        <v>2847</v>
      </c>
      <c r="AA3292" s="781">
        <f>$S$1*P!AA3292</f>
        <v>3.3725806451612904E-4</v>
      </c>
      <c r="AB3292" s="780"/>
      <c r="AC3292" s="881">
        <v>3288</v>
      </c>
      <c r="AD3292" s="881" t="s">
        <v>4573</v>
      </c>
      <c r="AE3292" s="881" t="s">
        <v>2384</v>
      </c>
      <c r="AF3292" s="890">
        <f>$S$1*P!AF3292</f>
        <v>0</v>
      </c>
    </row>
    <row r="3293" spans="19:32" x14ac:dyDescent="0.35">
      <c r="S3293" s="782">
        <v>3289</v>
      </c>
      <c r="T3293" s="782" t="s">
        <v>4284</v>
      </c>
      <c r="U3293" s="782" t="s">
        <v>2286</v>
      </c>
      <c r="V3293" s="797">
        <f>$S$1*P!V3293</f>
        <v>1.2852822580645162</v>
      </c>
      <c r="W3293" s="780"/>
      <c r="X3293" s="881">
        <v>3289</v>
      </c>
      <c r="Y3293" s="881" t="s">
        <v>2248</v>
      </c>
      <c r="Z3293" s="881" t="s">
        <v>2845</v>
      </c>
      <c r="AA3293" s="882">
        <f>$S$1*P!AA3293</f>
        <v>0</v>
      </c>
      <c r="AB3293" s="780"/>
      <c r="AC3293" s="782">
        <v>3289</v>
      </c>
      <c r="AD3293" s="782" t="s">
        <v>4573</v>
      </c>
      <c r="AE3293" s="782" t="s">
        <v>3943</v>
      </c>
      <c r="AF3293" s="781">
        <f>$S$1*P!AF3293</f>
        <v>1.4977822580645162E-4</v>
      </c>
    </row>
    <row r="3294" spans="19:32" x14ac:dyDescent="0.35">
      <c r="S3294" s="782">
        <v>3290</v>
      </c>
      <c r="T3294" s="782" t="s">
        <v>4284</v>
      </c>
      <c r="U3294" s="782" t="s">
        <v>2284</v>
      </c>
      <c r="V3294" s="797">
        <f>$S$1*P!V3294</f>
        <v>1.2784274193548388</v>
      </c>
      <c r="W3294" s="780"/>
      <c r="X3294" s="782">
        <v>3290</v>
      </c>
      <c r="Y3294" s="782" t="s">
        <v>2248</v>
      </c>
      <c r="Z3294" s="782" t="s">
        <v>4699</v>
      </c>
      <c r="AA3294" s="781">
        <f>$S$1*P!AA3294</f>
        <v>4.0100806451612905E-4</v>
      </c>
      <c r="AB3294" s="780"/>
      <c r="AC3294" s="782">
        <v>3290</v>
      </c>
      <c r="AD3294" s="782" t="s">
        <v>4573</v>
      </c>
      <c r="AE3294" s="782" t="s">
        <v>2382</v>
      </c>
      <c r="AF3294" s="781">
        <f>$S$1*P!AF3294</f>
        <v>1.0453629032258065E-4</v>
      </c>
    </row>
    <row r="3295" spans="19:32" x14ac:dyDescent="0.35">
      <c r="S3295" s="782">
        <v>3291</v>
      </c>
      <c r="T3295" s="782" t="s">
        <v>4284</v>
      </c>
      <c r="U3295" s="782" t="s">
        <v>2281</v>
      </c>
      <c r="V3295" s="797">
        <f>$S$1*P!V3295</f>
        <v>9.836693548387098E-7</v>
      </c>
      <c r="W3295" s="780"/>
      <c r="X3295" s="881">
        <v>3291</v>
      </c>
      <c r="Y3295" s="881" t="s">
        <v>2248</v>
      </c>
      <c r="Z3295" s="881" t="s">
        <v>2844</v>
      </c>
      <c r="AA3295" s="882">
        <f>$S$1*P!AA3295</f>
        <v>0</v>
      </c>
      <c r="AB3295" s="780"/>
      <c r="AC3295" s="881">
        <v>3291</v>
      </c>
      <c r="AD3295" s="881" t="s">
        <v>4573</v>
      </c>
      <c r="AE3295" s="881" t="s">
        <v>2382</v>
      </c>
      <c r="AF3295" s="890">
        <f>$S$1*P!AF3295</f>
        <v>0.45540000000000003</v>
      </c>
    </row>
    <row r="3296" spans="19:32" x14ac:dyDescent="0.35">
      <c r="S3296" s="782">
        <v>3292</v>
      </c>
      <c r="T3296" s="782" t="s">
        <v>4284</v>
      </c>
      <c r="U3296" s="782" t="s">
        <v>2278</v>
      </c>
      <c r="V3296" s="797">
        <f>$S$1*P!V3296</f>
        <v>6.9919354838709679E-11</v>
      </c>
      <c r="W3296" s="780"/>
      <c r="X3296" s="782">
        <v>3292</v>
      </c>
      <c r="Y3296" s="782" t="s">
        <v>2248</v>
      </c>
      <c r="Z3296" s="782" t="s">
        <v>3000</v>
      </c>
      <c r="AA3296" s="781">
        <f>$S$1*P!AA3296</f>
        <v>1.6760080645161291E-4</v>
      </c>
      <c r="AB3296" s="780"/>
      <c r="AC3296" s="782">
        <v>3292</v>
      </c>
      <c r="AD3296" s="782" t="s">
        <v>4573</v>
      </c>
      <c r="AE3296" s="782" t="s">
        <v>2381</v>
      </c>
      <c r="AF3296" s="781">
        <f>$S$1*P!AF3296</f>
        <v>2.2758064516129032E-4</v>
      </c>
    </row>
    <row r="3297" spans="19:32" x14ac:dyDescent="0.35">
      <c r="S3297" s="782">
        <v>3293</v>
      </c>
      <c r="T3297" s="782" t="s">
        <v>4284</v>
      </c>
      <c r="U3297" s="782" t="s">
        <v>2275</v>
      </c>
      <c r="V3297" s="797">
        <f>$S$1*P!V3297</f>
        <v>9.4596774193548405E-6</v>
      </c>
      <c r="W3297" s="780"/>
      <c r="X3297" s="782">
        <v>3293</v>
      </c>
      <c r="Y3297" s="782" t="s">
        <v>2248</v>
      </c>
      <c r="Z3297" s="782" t="s">
        <v>4698</v>
      </c>
      <c r="AA3297" s="781">
        <f>$S$1*P!AA3297</f>
        <v>2.6665322580645165E-5</v>
      </c>
      <c r="AB3297" s="780"/>
      <c r="AC3297" s="881">
        <v>3293</v>
      </c>
      <c r="AD3297" s="881" t="s">
        <v>4573</v>
      </c>
      <c r="AE3297" s="881" t="s">
        <v>2381</v>
      </c>
      <c r="AF3297" s="890">
        <f>$S$1*P!AF3297</f>
        <v>1.3708E-2</v>
      </c>
    </row>
    <row r="3298" spans="19:32" x14ac:dyDescent="0.35">
      <c r="S3298" s="881">
        <v>3294</v>
      </c>
      <c r="T3298" s="881" t="s">
        <v>4284</v>
      </c>
      <c r="U3298" s="881" t="s">
        <v>2275</v>
      </c>
      <c r="V3298" s="883">
        <f>$S$1*P!V3298</f>
        <v>0</v>
      </c>
      <c r="W3298" s="780"/>
      <c r="X3298" s="782">
        <v>3294</v>
      </c>
      <c r="Y3298" s="782" t="s">
        <v>2248</v>
      </c>
      <c r="Z3298" s="782" t="s">
        <v>2998</v>
      </c>
      <c r="AA3298" s="781">
        <f>$S$1*P!AA3298</f>
        <v>1.0316532258064517E-6</v>
      </c>
      <c r="AB3298" s="780"/>
      <c r="AC3298" s="782">
        <v>3294</v>
      </c>
      <c r="AD3298" s="782" t="s">
        <v>4573</v>
      </c>
      <c r="AE3298" s="782" t="s">
        <v>4407</v>
      </c>
      <c r="AF3298" s="781">
        <f>$S$1*P!AF3298</f>
        <v>8.9798387096774197E-3</v>
      </c>
    </row>
    <row r="3299" spans="19:32" x14ac:dyDescent="0.35">
      <c r="S3299" s="782">
        <v>3295</v>
      </c>
      <c r="T3299" s="782" t="s">
        <v>4284</v>
      </c>
      <c r="U3299" s="782" t="s">
        <v>2272</v>
      </c>
      <c r="V3299" s="797">
        <f>$S$1*P!V3299</f>
        <v>2.6014112903225809E-5</v>
      </c>
      <c r="W3299" s="780"/>
      <c r="X3299" s="782">
        <v>3295</v>
      </c>
      <c r="Y3299" s="782" t="s">
        <v>2248</v>
      </c>
      <c r="Z3299" s="782" t="s">
        <v>2995</v>
      </c>
      <c r="AA3299" s="781">
        <f>$S$1*P!AA3299</f>
        <v>1.1618951612903227E-3</v>
      </c>
      <c r="AB3299" s="780"/>
      <c r="AC3299" s="782">
        <v>3295</v>
      </c>
      <c r="AD3299" s="782" t="s">
        <v>4573</v>
      </c>
      <c r="AE3299" s="782" t="s">
        <v>3938</v>
      </c>
      <c r="AF3299" s="781">
        <f>$S$1*P!AF3299</f>
        <v>2.8447580645161292E-3</v>
      </c>
    </row>
    <row r="3300" spans="19:32" x14ac:dyDescent="0.35">
      <c r="S3300" s="789">
        <v>3296</v>
      </c>
      <c r="T3300" s="789" t="s">
        <v>4284</v>
      </c>
      <c r="U3300" s="789" t="s">
        <v>4697</v>
      </c>
      <c r="V3300" s="790">
        <f>$S$1*P!V3300</f>
        <v>1.4616000000000001E-2</v>
      </c>
      <c r="W3300" s="780"/>
      <c r="X3300" s="782">
        <v>3296</v>
      </c>
      <c r="Y3300" s="782" t="s">
        <v>2248</v>
      </c>
      <c r="Z3300" s="782" t="s">
        <v>4696</v>
      </c>
      <c r="AA3300" s="781">
        <f>$S$1*P!AA3300</f>
        <v>2.6870967741935484E-2</v>
      </c>
      <c r="AB3300" s="780"/>
      <c r="AC3300" s="782">
        <v>3296</v>
      </c>
      <c r="AD3300" s="782" t="s">
        <v>4573</v>
      </c>
      <c r="AE3300" s="782" t="s">
        <v>3937</v>
      </c>
      <c r="AF3300" s="781">
        <f>$S$1*P!AF3300</f>
        <v>0.83629032258064517</v>
      </c>
    </row>
    <row r="3301" spans="19:32" x14ac:dyDescent="0.35">
      <c r="S3301" s="782">
        <v>3297</v>
      </c>
      <c r="T3301" s="782" t="s">
        <v>4284</v>
      </c>
      <c r="U3301" s="782" t="s">
        <v>2270</v>
      </c>
      <c r="V3301" s="797">
        <f>$S$1*P!V3301</f>
        <v>6.7862903225806453E-5</v>
      </c>
      <c r="W3301" s="780"/>
      <c r="X3301" s="881">
        <v>3297</v>
      </c>
      <c r="Y3301" s="881" t="s">
        <v>2248</v>
      </c>
      <c r="Z3301" s="881" t="s">
        <v>2842</v>
      </c>
      <c r="AA3301" s="882">
        <f>$S$1*P!AA3301</f>
        <v>98.44</v>
      </c>
      <c r="AB3301" s="780"/>
      <c r="AC3301" s="782">
        <v>3297</v>
      </c>
      <c r="AD3301" s="782" t="s">
        <v>4573</v>
      </c>
      <c r="AE3301" s="782" t="s">
        <v>3936</v>
      </c>
      <c r="AF3301" s="781">
        <f>$S$1*P!AF3301</f>
        <v>2.3512096774193552</v>
      </c>
    </row>
    <row r="3302" spans="19:32" x14ac:dyDescent="0.35">
      <c r="S3302" s="782">
        <v>3298</v>
      </c>
      <c r="T3302" s="782" t="s">
        <v>4284</v>
      </c>
      <c r="U3302" s="782" t="s">
        <v>2267</v>
      </c>
      <c r="V3302" s="797">
        <f>$S$1*P!V3302</f>
        <v>1.9913306451612906E-3</v>
      </c>
      <c r="W3302" s="780"/>
      <c r="X3302" s="782">
        <v>3298</v>
      </c>
      <c r="Y3302" s="782" t="s">
        <v>2248</v>
      </c>
      <c r="Z3302" s="782" t="s">
        <v>2842</v>
      </c>
      <c r="AA3302" s="781">
        <f>$S$1*P!AA3302</f>
        <v>0.5346774193548387</v>
      </c>
      <c r="AB3302" s="780"/>
      <c r="AC3302" s="782">
        <v>3298</v>
      </c>
      <c r="AD3302" s="782" t="s">
        <v>4573</v>
      </c>
      <c r="AE3302" s="782" t="s">
        <v>3935</v>
      </c>
      <c r="AF3302" s="781">
        <f>$S$1*P!AF3302</f>
        <v>1.5491935483870969</v>
      </c>
    </row>
    <row r="3303" spans="19:32" x14ac:dyDescent="0.35">
      <c r="S3303" s="861">
        <v>3299</v>
      </c>
      <c r="T3303" s="861" t="s">
        <v>4284</v>
      </c>
      <c r="U3303" s="861" t="s">
        <v>2264</v>
      </c>
      <c r="V3303" s="862">
        <f>$S$1*P!V3303</f>
        <v>6.9014999999999995</v>
      </c>
      <c r="W3303" s="780"/>
      <c r="X3303" s="782">
        <v>3299</v>
      </c>
      <c r="Y3303" s="782" t="s">
        <v>2248</v>
      </c>
      <c r="Z3303" s="782" t="s">
        <v>2990</v>
      </c>
      <c r="AA3303" s="781">
        <f>$S$1*P!AA3303</f>
        <v>2.5020161290322581E-8</v>
      </c>
      <c r="AB3303" s="780"/>
      <c r="AC3303" s="782">
        <v>3299</v>
      </c>
      <c r="AD3303" s="782" t="s">
        <v>4573</v>
      </c>
      <c r="AE3303" s="782" t="s">
        <v>3933</v>
      </c>
      <c r="AF3303" s="781">
        <f>$S$1*P!AF3303</f>
        <v>25.500000000000004</v>
      </c>
    </row>
    <row r="3304" spans="19:32" x14ac:dyDescent="0.35">
      <c r="S3304" s="782">
        <v>3300</v>
      </c>
      <c r="T3304" s="782" t="s">
        <v>4284</v>
      </c>
      <c r="U3304" s="782" t="s">
        <v>2264</v>
      </c>
      <c r="V3304" s="797">
        <f>$S$1*P!V3304</f>
        <v>1.9056451612903227E-5</v>
      </c>
      <c r="W3304" s="780"/>
      <c r="X3304" s="782">
        <v>3300</v>
      </c>
      <c r="Y3304" s="782" t="s">
        <v>2248</v>
      </c>
      <c r="Z3304" s="782" t="s">
        <v>4695</v>
      </c>
      <c r="AA3304" s="781">
        <f>$S$1*P!AA3304</f>
        <v>5.5181451612903226E-3</v>
      </c>
      <c r="AB3304" s="780"/>
      <c r="AC3304" s="782">
        <v>3300</v>
      </c>
      <c r="AD3304" s="782" t="s">
        <v>4573</v>
      </c>
      <c r="AE3304" s="782" t="s">
        <v>3932</v>
      </c>
      <c r="AF3304" s="781">
        <f>$S$1*P!AF3304</f>
        <v>0.43528225806451615</v>
      </c>
    </row>
    <row r="3305" spans="19:32" x14ac:dyDescent="0.35">
      <c r="S3305" s="881">
        <v>3301</v>
      </c>
      <c r="T3305" s="881" t="s">
        <v>4284</v>
      </c>
      <c r="U3305" s="881" t="s">
        <v>2634</v>
      </c>
      <c r="V3305" s="883">
        <f>$S$1*P!V3305</f>
        <v>9.4759999999999991</v>
      </c>
      <c r="W3305" s="780"/>
      <c r="X3305" s="881">
        <v>3301</v>
      </c>
      <c r="Y3305" s="881" t="s">
        <v>2248</v>
      </c>
      <c r="Z3305" s="881" t="s">
        <v>2841</v>
      </c>
      <c r="AA3305" s="882">
        <f>$S$1*P!AA3305</f>
        <v>0</v>
      </c>
      <c r="AB3305" s="780"/>
      <c r="AC3305" s="782">
        <v>3301</v>
      </c>
      <c r="AD3305" s="782" t="s">
        <v>4573</v>
      </c>
      <c r="AE3305" s="782" t="s">
        <v>3931</v>
      </c>
      <c r="AF3305" s="781">
        <f>$S$1*P!AF3305</f>
        <v>32.012096774193552</v>
      </c>
    </row>
    <row r="3306" spans="19:32" x14ac:dyDescent="0.35">
      <c r="S3306" s="861">
        <v>3302</v>
      </c>
      <c r="T3306" s="861" t="s">
        <v>4284</v>
      </c>
      <c r="U3306" s="861" t="s">
        <v>2261</v>
      </c>
      <c r="V3306" s="862">
        <f>$S$1*P!V3306</f>
        <v>3.5684499999999999</v>
      </c>
      <c r="W3306" s="780"/>
      <c r="X3306" s="881">
        <v>3302</v>
      </c>
      <c r="Y3306" s="881" t="s">
        <v>2248</v>
      </c>
      <c r="Z3306" s="881" t="s">
        <v>2839</v>
      </c>
      <c r="AA3306" s="882">
        <f>$S$1*P!AA3306</f>
        <v>8.3168000000000009E-3</v>
      </c>
      <c r="AB3306" s="780"/>
      <c r="AC3306" s="782">
        <v>3302</v>
      </c>
      <c r="AD3306" s="782" t="s">
        <v>4573</v>
      </c>
      <c r="AE3306" s="782" t="s">
        <v>3930</v>
      </c>
      <c r="AF3306" s="781">
        <f>$S$1*P!AF3306</f>
        <v>359.87903225806457</v>
      </c>
    </row>
    <row r="3307" spans="19:32" x14ac:dyDescent="0.35">
      <c r="S3307" s="782">
        <v>3303</v>
      </c>
      <c r="T3307" s="782" t="s">
        <v>4284</v>
      </c>
      <c r="U3307" s="782" t="s">
        <v>2261</v>
      </c>
      <c r="V3307" s="797">
        <f>$S$1*P!V3307</f>
        <v>4.2500000000000001E-7</v>
      </c>
      <c r="W3307" s="780"/>
      <c r="X3307" s="782">
        <v>3303</v>
      </c>
      <c r="Y3307" s="782" t="s">
        <v>2248</v>
      </c>
      <c r="Z3307" s="782" t="s">
        <v>4694</v>
      </c>
      <c r="AA3307" s="781">
        <f>$S$1*P!AA3307</f>
        <v>9.5625000000000007E-4</v>
      </c>
      <c r="AB3307" s="780"/>
      <c r="AC3307" s="881">
        <v>3303</v>
      </c>
      <c r="AD3307" s="881" t="s">
        <v>4573</v>
      </c>
      <c r="AE3307" s="881" t="s">
        <v>2379</v>
      </c>
      <c r="AF3307" s="890">
        <f>$S$1*P!AF3307</f>
        <v>0</v>
      </c>
    </row>
    <row r="3308" spans="19:32" x14ac:dyDescent="0.35">
      <c r="S3308" s="789">
        <v>3304</v>
      </c>
      <c r="T3308" s="789" t="s">
        <v>4284</v>
      </c>
      <c r="U3308" s="789" t="s">
        <v>4693</v>
      </c>
      <c r="V3308" s="790">
        <f>$S$1*P!V3308</f>
        <v>191.4</v>
      </c>
      <c r="W3308" s="780"/>
      <c r="X3308" s="782">
        <v>3304</v>
      </c>
      <c r="Y3308" s="782" t="s">
        <v>2248</v>
      </c>
      <c r="Z3308" s="782" t="s">
        <v>2988</v>
      </c>
      <c r="AA3308" s="781">
        <f>$S$1*P!AA3308</f>
        <v>5.5524193548387099E-3</v>
      </c>
      <c r="AB3308" s="780"/>
      <c r="AC3308" s="881">
        <v>3304</v>
      </c>
      <c r="AD3308" s="881" t="s">
        <v>4573</v>
      </c>
      <c r="AE3308" s="881" t="s">
        <v>2378</v>
      </c>
      <c r="AF3308" s="890">
        <f>$S$1*P!AF3308</f>
        <v>0</v>
      </c>
    </row>
    <row r="3309" spans="19:32" x14ac:dyDescent="0.35">
      <c r="S3309" s="861">
        <v>3305</v>
      </c>
      <c r="T3309" s="861" t="s">
        <v>4284</v>
      </c>
      <c r="U3309" s="861" t="s">
        <v>4692</v>
      </c>
      <c r="V3309" s="862">
        <f>$S$1*P!V3309</f>
        <v>3.7931499999999994</v>
      </c>
      <c r="W3309" s="780"/>
      <c r="X3309" s="782">
        <v>3305</v>
      </c>
      <c r="Y3309" s="782" t="s">
        <v>2248</v>
      </c>
      <c r="Z3309" s="782" t="s">
        <v>2985</v>
      </c>
      <c r="AA3309" s="781">
        <f>$S$1*P!AA3309</f>
        <v>5.7923387096774194E-3</v>
      </c>
      <c r="AB3309" s="780"/>
      <c r="AC3309" s="782">
        <v>3305</v>
      </c>
      <c r="AD3309" s="782" t="s">
        <v>4573</v>
      </c>
      <c r="AE3309" s="782" t="s">
        <v>3928</v>
      </c>
      <c r="AF3309" s="781">
        <f>$S$1*P!AF3309</f>
        <v>5.620967741935484</v>
      </c>
    </row>
    <row r="3310" spans="19:32" x14ac:dyDescent="0.35">
      <c r="S3310" s="861">
        <v>3306</v>
      </c>
      <c r="T3310" s="861" t="s">
        <v>4284</v>
      </c>
      <c r="U3310" s="861" t="s">
        <v>4691</v>
      </c>
      <c r="V3310" s="862">
        <f>$S$1*P!V3310</f>
        <v>4.3281499999999999</v>
      </c>
      <c r="W3310" s="780"/>
      <c r="X3310" s="782">
        <v>3306</v>
      </c>
      <c r="Y3310" s="782" t="s">
        <v>2248</v>
      </c>
      <c r="Z3310" s="782" t="s">
        <v>2982</v>
      </c>
      <c r="AA3310" s="781">
        <f>$S$1*P!AA3310</f>
        <v>1.1687500000000002E-2</v>
      </c>
      <c r="AB3310" s="780"/>
      <c r="AC3310" s="782">
        <v>3306</v>
      </c>
      <c r="AD3310" s="782" t="s">
        <v>4573</v>
      </c>
      <c r="AE3310" s="782" t="s">
        <v>3926</v>
      </c>
      <c r="AF3310" s="781">
        <f>$S$1*P!AF3310</f>
        <v>1.3812500000000002E-2</v>
      </c>
    </row>
    <row r="3311" spans="19:32" x14ac:dyDescent="0.35">
      <c r="S3311" s="789">
        <v>3307</v>
      </c>
      <c r="T3311" s="789" t="s">
        <v>4284</v>
      </c>
      <c r="U3311" s="789" t="s">
        <v>4690</v>
      </c>
      <c r="V3311" s="790">
        <f>$S$1*P!V3311</f>
        <v>991.80000000000007</v>
      </c>
      <c r="W3311" s="780"/>
      <c r="X3311" s="782">
        <v>3307</v>
      </c>
      <c r="Y3311" s="782" t="s">
        <v>2248</v>
      </c>
      <c r="Z3311" s="782" t="s">
        <v>4689</v>
      </c>
      <c r="AA3311" s="781">
        <f>$S$1*P!AA3311</f>
        <v>1.4120967741935485E-4</v>
      </c>
      <c r="AB3311" s="780"/>
      <c r="AC3311" s="782">
        <v>3307</v>
      </c>
      <c r="AD3311" s="782" t="s">
        <v>4573</v>
      </c>
      <c r="AE3311" s="782" t="s">
        <v>3925</v>
      </c>
      <c r="AF3311" s="781">
        <f>$S$1*P!AF3311</f>
        <v>0.40443548387096778</v>
      </c>
    </row>
    <row r="3312" spans="19:32" x14ac:dyDescent="0.35">
      <c r="S3312" s="782">
        <v>3308</v>
      </c>
      <c r="T3312" s="782" t="s">
        <v>4284</v>
      </c>
      <c r="U3312" s="782" t="s">
        <v>2259</v>
      </c>
      <c r="V3312" s="797">
        <f>$S$1*P!V3312</f>
        <v>4.2842741935483875E-2</v>
      </c>
      <c r="W3312" s="780"/>
      <c r="X3312" s="782">
        <v>3308</v>
      </c>
      <c r="Y3312" s="782" t="s">
        <v>2248</v>
      </c>
      <c r="Z3312" s="782" t="s">
        <v>2979</v>
      </c>
      <c r="AA3312" s="781">
        <f>$S$1*P!AA3312</f>
        <v>8.6370967741935493E-4</v>
      </c>
      <c r="AB3312" s="780"/>
      <c r="AC3312" s="782">
        <v>3308</v>
      </c>
      <c r="AD3312" s="782" t="s">
        <v>4573</v>
      </c>
      <c r="AE3312" s="782" t="s">
        <v>3924</v>
      </c>
      <c r="AF3312" s="781">
        <f>$S$1*P!AF3312</f>
        <v>76.431451612903231</v>
      </c>
    </row>
    <row r="3313" spans="19:32" x14ac:dyDescent="0.35">
      <c r="S3313" s="782">
        <v>3309</v>
      </c>
      <c r="T3313" s="782" t="s">
        <v>4284</v>
      </c>
      <c r="U3313" s="782" t="s">
        <v>2256</v>
      </c>
      <c r="V3313" s="797">
        <f>$S$1*P!V3313</f>
        <v>2.0941532258064519E-6</v>
      </c>
      <c r="W3313" s="780"/>
      <c r="X3313" s="782">
        <v>3309</v>
      </c>
      <c r="Y3313" s="782" t="s">
        <v>2248</v>
      </c>
      <c r="Z3313" s="782" t="s">
        <v>2976</v>
      </c>
      <c r="AA3313" s="781">
        <f>$S$1*P!AA3313</f>
        <v>3.1155241935483871E-4</v>
      </c>
      <c r="AB3313" s="780"/>
      <c r="AC3313" s="782">
        <v>3309</v>
      </c>
      <c r="AD3313" s="782" t="s">
        <v>4573</v>
      </c>
      <c r="AE3313" s="782" t="s">
        <v>3922</v>
      </c>
      <c r="AF3313" s="781">
        <f>$S$1*P!AF3313</f>
        <v>0.1028225806451613</v>
      </c>
    </row>
    <row r="3314" spans="19:32" x14ac:dyDescent="0.35">
      <c r="S3314" s="782">
        <v>3310</v>
      </c>
      <c r="T3314" s="782" t="s">
        <v>4284</v>
      </c>
      <c r="U3314" s="782" t="s">
        <v>2253</v>
      </c>
      <c r="V3314" s="797">
        <f>$S$1*P!V3314</f>
        <v>9.6310483870967755E-4</v>
      </c>
      <c r="W3314" s="780"/>
      <c r="X3314" s="881">
        <v>3310</v>
      </c>
      <c r="Y3314" s="881" t="s">
        <v>2248</v>
      </c>
      <c r="Z3314" s="881" t="s">
        <v>4688</v>
      </c>
      <c r="AA3314" s="882">
        <f>$S$1*P!AA3314</f>
        <v>2.9304435483870975E-4</v>
      </c>
      <c r="AB3314" s="780"/>
      <c r="AC3314" s="881">
        <v>3310</v>
      </c>
      <c r="AD3314" s="881" t="s">
        <v>4573</v>
      </c>
      <c r="AE3314" s="881" t="s">
        <v>2376</v>
      </c>
      <c r="AF3314" s="890">
        <f>$S$1*P!AF3314</f>
        <v>7.7647999999999995E-2</v>
      </c>
    </row>
    <row r="3315" spans="19:32" x14ac:dyDescent="0.35">
      <c r="S3315" s="782">
        <v>3311</v>
      </c>
      <c r="T3315" s="782" t="s">
        <v>4284</v>
      </c>
      <c r="U3315" s="782" t="s">
        <v>2250</v>
      </c>
      <c r="V3315" s="797">
        <f>$S$1*P!V3315</f>
        <v>2.4197580645161291E-4</v>
      </c>
      <c r="W3315" s="780"/>
      <c r="X3315" s="782">
        <v>3311</v>
      </c>
      <c r="Y3315" s="782" t="s">
        <v>2248</v>
      </c>
      <c r="Z3315" s="782" t="s">
        <v>2974</v>
      </c>
      <c r="AA3315" s="781">
        <f>$S$1*P!AA3315</f>
        <v>0.31052419354838712</v>
      </c>
      <c r="AB3315" s="780"/>
      <c r="AC3315" s="782">
        <v>3311</v>
      </c>
      <c r="AD3315" s="782" t="s">
        <v>4573</v>
      </c>
      <c r="AE3315" s="782" t="s">
        <v>3920</v>
      </c>
      <c r="AF3315" s="781">
        <f>$S$1*P!AF3315</f>
        <v>16.2116935483871</v>
      </c>
    </row>
    <row r="3316" spans="19:32" x14ac:dyDescent="0.35">
      <c r="S3316" s="782">
        <v>3312</v>
      </c>
      <c r="T3316" s="782" t="s">
        <v>4284</v>
      </c>
      <c r="U3316" s="782" t="s">
        <v>4389</v>
      </c>
      <c r="V3316" s="797">
        <f>$S$1*P!V3316</f>
        <v>2.6802419354838712E-5</v>
      </c>
      <c r="W3316" s="780"/>
      <c r="X3316" s="782">
        <v>3312</v>
      </c>
      <c r="Y3316" s="782" t="s">
        <v>2248</v>
      </c>
      <c r="Z3316" s="782" t="s">
        <v>2971</v>
      </c>
      <c r="AA3316" s="781">
        <f>$S$1*P!AA3316</f>
        <v>1.4497983870967743E-3</v>
      </c>
      <c r="AB3316" s="780"/>
      <c r="AC3316" s="782">
        <v>3312</v>
      </c>
      <c r="AD3316" s="782" t="s">
        <v>4573</v>
      </c>
      <c r="AE3316" s="782" t="s">
        <v>3919</v>
      </c>
      <c r="AF3316" s="781">
        <f>$S$1*P!AF3316</f>
        <v>2.2072580645161293</v>
      </c>
    </row>
    <row r="3317" spans="19:32" x14ac:dyDescent="0.35">
      <c r="S3317" s="782">
        <v>3313</v>
      </c>
      <c r="T3317" s="782" t="s">
        <v>4284</v>
      </c>
      <c r="U3317" s="782" t="s">
        <v>4387</v>
      </c>
      <c r="V3317" s="797">
        <f>$S$1*P!V3317</f>
        <v>7.7459677419354842E-6</v>
      </c>
      <c r="W3317" s="780"/>
      <c r="X3317" s="881">
        <v>3313</v>
      </c>
      <c r="Y3317" s="881" t="s">
        <v>2248</v>
      </c>
      <c r="Z3317" s="881" t="s">
        <v>4687</v>
      </c>
      <c r="AA3317" s="882">
        <f>$S$1*P!AA3317</f>
        <v>0.13195564516129032</v>
      </c>
      <c r="AB3317" s="780"/>
      <c r="AC3317" s="782">
        <v>3313</v>
      </c>
      <c r="AD3317" s="782" t="s">
        <v>4573</v>
      </c>
      <c r="AE3317" s="782" t="s">
        <v>2375</v>
      </c>
      <c r="AF3317" s="781">
        <f>$S$1*P!AF3317</f>
        <v>7.2318548387096783E-3</v>
      </c>
    </row>
    <row r="3318" spans="19:32" x14ac:dyDescent="0.35">
      <c r="S3318" s="789">
        <v>3314</v>
      </c>
      <c r="T3318" s="789" t="s">
        <v>4284</v>
      </c>
      <c r="U3318" s="789" t="s">
        <v>4686</v>
      </c>
      <c r="V3318" s="790">
        <f>$S$1*P!V3318</f>
        <v>1.508</v>
      </c>
      <c r="W3318" s="780"/>
      <c r="X3318" s="881">
        <v>3314</v>
      </c>
      <c r="Y3318" s="881" t="s">
        <v>2248</v>
      </c>
      <c r="Z3318" s="881" t="s">
        <v>2838</v>
      </c>
      <c r="AA3318" s="882">
        <f>$S$1*P!AA3318</f>
        <v>7.3507999999999996</v>
      </c>
      <c r="AB3318" s="780"/>
      <c r="AC3318" s="881">
        <v>3314</v>
      </c>
      <c r="AD3318" s="881" t="s">
        <v>4573</v>
      </c>
      <c r="AE3318" s="881" t="s">
        <v>2375</v>
      </c>
      <c r="AF3318" s="890">
        <f>$S$1*P!AF3318</f>
        <v>0</v>
      </c>
    </row>
    <row r="3319" spans="19:32" x14ac:dyDescent="0.35">
      <c r="S3319" s="789">
        <v>3315</v>
      </c>
      <c r="T3319" s="789" t="s">
        <v>4284</v>
      </c>
      <c r="U3319" s="789" t="s">
        <v>4685</v>
      </c>
      <c r="V3319" s="790">
        <f>$S$1*P!V3319</f>
        <v>1.1565199999999999E-2</v>
      </c>
      <c r="W3319" s="780"/>
      <c r="X3319" s="782">
        <v>3315</v>
      </c>
      <c r="Y3319" s="782" t="s">
        <v>2248</v>
      </c>
      <c r="Z3319" s="782" t="s">
        <v>2968</v>
      </c>
      <c r="AA3319" s="781">
        <f>$S$1*P!AA3319</f>
        <v>2.6973790322580647E-2</v>
      </c>
      <c r="AB3319" s="780"/>
      <c r="AC3319" s="782">
        <v>3315</v>
      </c>
      <c r="AD3319" s="782" t="s">
        <v>4573</v>
      </c>
      <c r="AE3319" s="782" t="s">
        <v>3918</v>
      </c>
      <c r="AF3319" s="781">
        <f>$S$1*P!AF3319</f>
        <v>0.12201612903225807</v>
      </c>
    </row>
    <row r="3320" spans="19:32" x14ac:dyDescent="0.35">
      <c r="S3320" s="782">
        <v>3316</v>
      </c>
      <c r="T3320" s="782" t="s">
        <v>4284</v>
      </c>
      <c r="U3320" s="782" t="s">
        <v>4386</v>
      </c>
      <c r="V3320" s="797">
        <f>$S$1*P!V3320</f>
        <v>7.4375000000000005E-3</v>
      </c>
      <c r="W3320" s="780"/>
      <c r="X3320" s="782">
        <v>3316</v>
      </c>
      <c r="Y3320" s="782" t="s">
        <v>2248</v>
      </c>
      <c r="Z3320" s="782" t="s">
        <v>2965</v>
      </c>
      <c r="AA3320" s="781">
        <f>$S$1*P!AA3320</f>
        <v>6.7520161290322584E-4</v>
      </c>
      <c r="AB3320" s="780"/>
      <c r="AC3320" s="782">
        <v>3316</v>
      </c>
      <c r="AD3320" s="782" t="s">
        <v>4573</v>
      </c>
      <c r="AE3320" s="782" t="s">
        <v>3917</v>
      </c>
      <c r="AF3320" s="781">
        <f>$S$1*P!AF3320</f>
        <v>4.3185483870967746E-4</v>
      </c>
    </row>
    <row r="3321" spans="19:32" x14ac:dyDescent="0.35">
      <c r="S3321" s="782">
        <v>3317</v>
      </c>
      <c r="T3321" s="782" t="s">
        <v>4284</v>
      </c>
      <c r="U3321" s="782" t="s">
        <v>4384</v>
      </c>
      <c r="V3321" s="797">
        <f>$S$1*P!V3321</f>
        <v>1.6554435483870971E-6</v>
      </c>
      <c r="W3321" s="780"/>
      <c r="X3321" s="881">
        <v>3317</v>
      </c>
      <c r="Y3321" s="881" t="s">
        <v>2248</v>
      </c>
      <c r="Z3321" s="881" t="s">
        <v>3345</v>
      </c>
      <c r="AA3321" s="882">
        <f>$S$1*P!AA3321</f>
        <v>4.3185483870967746E-4</v>
      </c>
      <c r="AB3321" s="780"/>
      <c r="AC3321" s="782">
        <v>3317</v>
      </c>
      <c r="AD3321" s="782" t="s">
        <v>4573</v>
      </c>
      <c r="AE3321" s="782" t="s">
        <v>3916</v>
      </c>
      <c r="AF3321" s="781">
        <f>$S$1*P!AF3321</f>
        <v>5.0040322580645169</v>
      </c>
    </row>
    <row r="3322" spans="19:32" x14ac:dyDescent="0.35">
      <c r="S3322" s="782">
        <v>3318</v>
      </c>
      <c r="T3322" s="782" t="s">
        <v>4284</v>
      </c>
      <c r="U3322" s="782" t="s">
        <v>4383</v>
      </c>
      <c r="V3322" s="797">
        <f>$S$1*P!V3322</f>
        <v>5.3125000000000004E-6</v>
      </c>
      <c r="W3322" s="780"/>
      <c r="X3322" s="782">
        <v>3318</v>
      </c>
      <c r="Y3322" s="782" t="s">
        <v>2248</v>
      </c>
      <c r="Z3322" s="782" t="s">
        <v>2963</v>
      </c>
      <c r="AA3322" s="781">
        <f>$S$1*P!AA3322</f>
        <v>2.9167338709677422E-5</v>
      </c>
      <c r="AB3322" s="780"/>
      <c r="AC3322" s="782">
        <v>3318</v>
      </c>
      <c r="AD3322" s="782" t="s">
        <v>4573</v>
      </c>
      <c r="AE3322" s="782" t="s">
        <v>3915</v>
      </c>
      <c r="AF3322" s="781">
        <f>$S$1*P!AF3322</f>
        <v>1.4258064516129033E-2</v>
      </c>
    </row>
    <row r="3323" spans="19:32" x14ac:dyDescent="0.35">
      <c r="S3323" s="782">
        <v>3319</v>
      </c>
      <c r="T3323" s="782" t="s">
        <v>4284</v>
      </c>
      <c r="U3323" s="782" t="s">
        <v>4381</v>
      </c>
      <c r="V3323" s="797">
        <f>$S$1*P!V3323</f>
        <v>1.7891129032258067E-3</v>
      </c>
      <c r="W3323" s="780"/>
      <c r="X3323" s="916">
        <v>3319</v>
      </c>
      <c r="Y3323" s="916" t="s">
        <v>2248</v>
      </c>
      <c r="Z3323" s="916" t="s">
        <v>2960</v>
      </c>
      <c r="AA3323" s="917">
        <f>$S$1*P!AA3323</f>
        <v>2.7693548387096778E-4</v>
      </c>
      <c r="AB3323" s="780"/>
      <c r="AC3323" s="782">
        <v>3319</v>
      </c>
      <c r="AD3323" s="782" t="s">
        <v>4573</v>
      </c>
      <c r="AE3323" s="782" t="s">
        <v>3914</v>
      </c>
      <c r="AF3323" s="781">
        <f>$S$1*P!AF3323</f>
        <v>0.45584677419354841</v>
      </c>
    </row>
    <row r="3324" spans="19:32" x14ac:dyDescent="0.35">
      <c r="S3324" s="789">
        <v>3320</v>
      </c>
      <c r="T3324" s="789" t="s">
        <v>4284</v>
      </c>
      <c r="U3324" s="789" t="s">
        <v>4684</v>
      </c>
      <c r="V3324" s="790">
        <f>$S$1*P!V3324</f>
        <v>1.06024E-2</v>
      </c>
      <c r="W3324" s="780"/>
      <c r="X3324" s="782">
        <v>3320</v>
      </c>
      <c r="Y3324" s="782" t="s">
        <v>2248</v>
      </c>
      <c r="Z3324" s="782" t="s">
        <v>4683</v>
      </c>
      <c r="AA3324" s="781">
        <f>$S$1*P!AA3324</f>
        <v>4.8326612903225813E-3</v>
      </c>
      <c r="AB3324" s="780"/>
      <c r="AC3324" s="782">
        <v>3320</v>
      </c>
      <c r="AD3324" s="782" t="s">
        <v>4573</v>
      </c>
      <c r="AE3324" s="782" t="s">
        <v>3913</v>
      </c>
      <c r="AF3324" s="781">
        <f>$S$1*P!AF3324</f>
        <v>6.7520161290322584E-3</v>
      </c>
    </row>
    <row r="3325" spans="19:32" x14ac:dyDescent="0.35">
      <c r="S3325" s="789">
        <v>3321</v>
      </c>
      <c r="T3325" s="789" t="s">
        <v>4284</v>
      </c>
      <c r="U3325" s="789" t="s">
        <v>4682</v>
      </c>
      <c r="V3325" s="790">
        <f>$S$1*P!V3325</f>
        <v>0.23200000000000001</v>
      </c>
      <c r="W3325" s="780"/>
      <c r="X3325" s="782">
        <v>3321</v>
      </c>
      <c r="Y3325" s="782" t="s">
        <v>2248</v>
      </c>
      <c r="Z3325" s="782" t="s">
        <v>2957</v>
      </c>
      <c r="AA3325" s="781">
        <f>$S$1*P!AA3325</f>
        <v>2.6768145161290325E-5</v>
      </c>
      <c r="AB3325" s="780"/>
      <c r="AC3325" s="782">
        <v>3321</v>
      </c>
      <c r="AD3325" s="782" t="s">
        <v>4573</v>
      </c>
      <c r="AE3325" s="782" t="s">
        <v>3912</v>
      </c>
      <c r="AF3325" s="781">
        <f>$S$1*P!AF3325</f>
        <v>2.8790322580645165</v>
      </c>
    </row>
    <row r="3326" spans="19:32" x14ac:dyDescent="0.35">
      <c r="S3326" s="789">
        <v>3322</v>
      </c>
      <c r="T3326" s="789" t="s">
        <v>4284</v>
      </c>
      <c r="U3326" s="789" t="s">
        <v>4681</v>
      </c>
      <c r="V3326" s="790">
        <f>$S$1*P!V3326</f>
        <v>4.1644000000000002E-4</v>
      </c>
      <c r="W3326" s="780"/>
      <c r="X3326" s="881">
        <v>3322</v>
      </c>
      <c r="Y3326" s="881" t="s">
        <v>2248</v>
      </c>
      <c r="Z3326" s="881" t="s">
        <v>2836</v>
      </c>
      <c r="AA3326" s="882">
        <f>$S$1*P!AA3326</f>
        <v>0</v>
      </c>
      <c r="AB3326" s="780"/>
      <c r="AC3326" s="782">
        <v>3322</v>
      </c>
      <c r="AD3326" s="782" t="s">
        <v>4573</v>
      </c>
      <c r="AE3326" s="782" t="s">
        <v>3911</v>
      </c>
      <c r="AF3326" s="781">
        <f>$S$1*P!AF3326</f>
        <v>2.2278225806451615</v>
      </c>
    </row>
    <row r="3327" spans="19:32" x14ac:dyDescent="0.35">
      <c r="S3327" s="789">
        <v>3323</v>
      </c>
      <c r="T3327" s="789" t="s">
        <v>4284</v>
      </c>
      <c r="U3327" s="789" t="s">
        <v>4680</v>
      </c>
      <c r="V3327" s="790">
        <f>$S$1*P!V3327</f>
        <v>0.23200000000000001</v>
      </c>
      <c r="W3327" s="780"/>
      <c r="X3327" s="782">
        <v>3323</v>
      </c>
      <c r="Y3327" s="782" t="s">
        <v>2248</v>
      </c>
      <c r="Z3327" s="782" t="s">
        <v>2954</v>
      </c>
      <c r="AA3327" s="781">
        <f>$S$1*P!AA3327</f>
        <v>8.6370967741935492E-2</v>
      </c>
      <c r="AB3327" s="780"/>
      <c r="AC3327" s="782">
        <v>3323</v>
      </c>
      <c r="AD3327" s="782" t="s">
        <v>4573</v>
      </c>
      <c r="AE3327" s="782" t="s">
        <v>3910</v>
      </c>
      <c r="AF3327" s="781">
        <f>$S$1*P!AF3327</f>
        <v>5.7923387096774199</v>
      </c>
    </row>
    <row r="3328" spans="19:32" x14ac:dyDescent="0.35">
      <c r="S3328" s="789">
        <v>3324</v>
      </c>
      <c r="T3328" s="789" t="s">
        <v>4284</v>
      </c>
      <c r="U3328" s="789" t="s">
        <v>4679</v>
      </c>
      <c r="V3328" s="790">
        <f>$S$1*P!V3328</f>
        <v>834.04000000000008</v>
      </c>
      <c r="W3328" s="780"/>
      <c r="X3328" s="881">
        <v>3324</v>
      </c>
      <c r="Y3328" s="881" t="s">
        <v>2248</v>
      </c>
      <c r="Z3328" s="881" t="s">
        <v>4678</v>
      </c>
      <c r="AA3328" s="882">
        <f>$S$1*P!AA3328</f>
        <v>2.7179435483870971E-5</v>
      </c>
      <c r="AB3328" s="780"/>
      <c r="AC3328" s="782">
        <v>3324</v>
      </c>
      <c r="AD3328" s="782" t="s">
        <v>4573</v>
      </c>
      <c r="AE3328" s="782" t="s">
        <v>3909</v>
      </c>
      <c r="AF3328" s="781">
        <f>$S$1*P!AF3328</f>
        <v>7.7116935483870974E-3</v>
      </c>
    </row>
    <row r="3329" spans="19:32" x14ac:dyDescent="0.35">
      <c r="S3329" s="789">
        <v>3325</v>
      </c>
      <c r="T3329" s="789" t="s">
        <v>4284</v>
      </c>
      <c r="U3329" s="789" t="s">
        <v>4677</v>
      </c>
      <c r="V3329" s="790">
        <f>$S$1*P!V3329</f>
        <v>729.64</v>
      </c>
      <c r="W3329" s="780"/>
      <c r="X3329" s="782">
        <v>3325</v>
      </c>
      <c r="Y3329" s="782" t="s">
        <v>2248</v>
      </c>
      <c r="Z3329" s="782" t="s">
        <v>2951</v>
      </c>
      <c r="AA3329" s="781">
        <f>$S$1*P!AA3329</f>
        <v>2.4437500000000001E-2</v>
      </c>
      <c r="AB3329" s="780"/>
      <c r="AC3329" s="782">
        <v>3325</v>
      </c>
      <c r="AD3329" s="782" t="s">
        <v>4573</v>
      </c>
      <c r="AE3329" s="782" t="s">
        <v>4672</v>
      </c>
      <c r="AF3329" s="781">
        <f>$S$1*P!AF3329</f>
        <v>4.181451612903226</v>
      </c>
    </row>
    <row r="3330" spans="19:32" x14ac:dyDescent="0.35">
      <c r="S3330" s="789">
        <v>3326</v>
      </c>
      <c r="T3330" s="789" t="s">
        <v>4284</v>
      </c>
      <c r="U3330" s="789" t="s">
        <v>4676</v>
      </c>
      <c r="V3330" s="790">
        <f>$S$1*P!V3330</f>
        <v>907.12</v>
      </c>
      <c r="W3330" s="780"/>
      <c r="X3330" s="782">
        <v>3326</v>
      </c>
      <c r="Y3330" s="782" t="s">
        <v>2248</v>
      </c>
      <c r="Z3330" s="782" t="s">
        <v>4675</v>
      </c>
      <c r="AA3330" s="781">
        <f>$S$1*P!AA3330</f>
        <v>6.6491935483870973E-3</v>
      </c>
      <c r="AB3330" s="780"/>
      <c r="AC3330" s="881">
        <v>3326</v>
      </c>
      <c r="AD3330" s="881" t="s">
        <v>4573</v>
      </c>
      <c r="AE3330" s="881" t="s">
        <v>4672</v>
      </c>
      <c r="AF3330" s="890">
        <f>$S$1*P!AF3330</f>
        <v>1.1867999999999999</v>
      </c>
    </row>
    <row r="3331" spans="19:32" x14ac:dyDescent="0.35">
      <c r="S3331" s="789">
        <v>3327</v>
      </c>
      <c r="T3331" s="789" t="s">
        <v>4284</v>
      </c>
      <c r="U3331" s="789" t="s">
        <v>4674</v>
      </c>
      <c r="V3331" s="790">
        <f>$S$1*P!V3331</f>
        <v>8.1200000000000005E-3</v>
      </c>
      <c r="W3331" s="780"/>
      <c r="X3331" s="881">
        <v>3327</v>
      </c>
      <c r="Y3331" s="881" t="s">
        <v>2248</v>
      </c>
      <c r="Z3331" s="881" t="s">
        <v>2834</v>
      </c>
      <c r="AA3331" s="882">
        <f>$S$1*P!AA3331</f>
        <v>0</v>
      </c>
      <c r="AB3331" s="780"/>
      <c r="AC3331" s="782">
        <v>3327</v>
      </c>
      <c r="AD3331" s="782" t="s">
        <v>4573</v>
      </c>
      <c r="AE3331" s="782" t="s">
        <v>3908</v>
      </c>
      <c r="AF3331" s="781">
        <f>$S$1*P!AF3331</f>
        <v>5.1411290322580649</v>
      </c>
    </row>
    <row r="3332" spans="19:32" x14ac:dyDescent="0.35">
      <c r="S3332" s="782">
        <v>3328</v>
      </c>
      <c r="T3332" s="782" t="s">
        <v>4284</v>
      </c>
      <c r="U3332" s="782" t="s">
        <v>4380</v>
      </c>
      <c r="V3332" s="797">
        <f>$S$1*P!V3332</f>
        <v>0.3530241935483871</v>
      </c>
      <c r="W3332" s="780"/>
      <c r="X3332" s="782">
        <v>3328</v>
      </c>
      <c r="Y3332" s="782" t="s">
        <v>2248</v>
      </c>
      <c r="Z3332" s="782" t="s">
        <v>2949</v>
      </c>
      <c r="AA3332" s="781">
        <f>$S$1*P!AA3332</f>
        <v>1.1995967741935485E-3</v>
      </c>
      <c r="AB3332" s="780"/>
      <c r="AC3332" s="782">
        <v>3328</v>
      </c>
      <c r="AD3332" s="782" t="s">
        <v>4573</v>
      </c>
      <c r="AE3332" s="782" t="s">
        <v>3907</v>
      </c>
      <c r="AF3332" s="781">
        <f>$S$1*P!AF3332</f>
        <v>8.5342741935483871E-3</v>
      </c>
    </row>
    <row r="3333" spans="19:32" x14ac:dyDescent="0.35">
      <c r="S3333" s="881">
        <v>3329</v>
      </c>
      <c r="T3333" s="881" t="s">
        <v>4284</v>
      </c>
      <c r="U3333" s="881" t="s">
        <v>2632</v>
      </c>
      <c r="V3333" s="883">
        <f>$S$1*P!V3333</f>
        <v>0</v>
      </c>
      <c r="W3333" s="780"/>
      <c r="X3333" s="881">
        <v>3329</v>
      </c>
      <c r="Y3333" s="881" t="s">
        <v>2248</v>
      </c>
      <c r="Z3333" s="881" t="s">
        <v>4673</v>
      </c>
      <c r="AA3333" s="882">
        <f>$S$1*P!AA3333</f>
        <v>1.501209677419355E-4</v>
      </c>
      <c r="AB3333" s="780"/>
      <c r="AC3333" s="782">
        <v>3329</v>
      </c>
      <c r="AD3333" s="782" t="s">
        <v>4573</v>
      </c>
      <c r="AE3333" s="782" t="s">
        <v>2373</v>
      </c>
      <c r="AF3333" s="781">
        <f>$S$1*P!AF3333</f>
        <v>0.44899193548387101</v>
      </c>
    </row>
    <row r="3334" spans="19:32" x14ac:dyDescent="0.35">
      <c r="S3334" s="881">
        <v>3330</v>
      </c>
      <c r="T3334" s="881" t="s">
        <v>4284</v>
      </c>
      <c r="U3334" s="881" t="s">
        <v>2631</v>
      </c>
      <c r="V3334" s="883">
        <f>$S$1*P!V3334</f>
        <v>206.07999999999998</v>
      </c>
      <c r="W3334" s="780"/>
      <c r="X3334" s="881">
        <v>3330</v>
      </c>
      <c r="Y3334" s="881" t="s">
        <v>2248</v>
      </c>
      <c r="Z3334" s="881" t="s">
        <v>2833</v>
      </c>
      <c r="AA3334" s="882">
        <f>$S$1*P!AA3334</f>
        <v>0</v>
      </c>
      <c r="AB3334" s="780"/>
      <c r="AC3334" s="881">
        <v>3330</v>
      </c>
      <c r="AD3334" s="881" t="s">
        <v>4573</v>
      </c>
      <c r="AE3334" s="881" t="s">
        <v>2373</v>
      </c>
      <c r="AF3334" s="890">
        <f>$S$1*P!AF3334</f>
        <v>0</v>
      </c>
    </row>
    <row r="3335" spans="19:32" x14ac:dyDescent="0.35">
      <c r="S3335" s="782">
        <v>3331</v>
      </c>
      <c r="T3335" s="782" t="s">
        <v>4284</v>
      </c>
      <c r="U3335" s="782" t="s">
        <v>4378</v>
      </c>
      <c r="V3335" s="797">
        <f>$S$1*P!V3335</f>
        <v>6.8205645161290333E-5</v>
      </c>
      <c r="W3335" s="780"/>
      <c r="X3335" s="782">
        <v>3331</v>
      </c>
      <c r="Y3335" s="782" t="s">
        <v>2248</v>
      </c>
      <c r="Z3335" s="782" t="s">
        <v>2833</v>
      </c>
      <c r="AA3335" s="781">
        <f>$S$1*P!AA3335</f>
        <v>2.2209677419354839E-3</v>
      </c>
      <c r="AB3335" s="780"/>
      <c r="AC3335" s="782">
        <v>3331</v>
      </c>
      <c r="AD3335" s="782" t="s">
        <v>4573</v>
      </c>
      <c r="AE3335" s="782" t="s">
        <v>2371</v>
      </c>
      <c r="AF3335" s="781">
        <f>$S$1*P!AF3335</f>
        <v>1.8850806451612905</v>
      </c>
    </row>
    <row r="3336" spans="19:32" x14ac:dyDescent="0.35">
      <c r="S3336" s="782">
        <v>3332</v>
      </c>
      <c r="T3336" s="782" t="s">
        <v>4284</v>
      </c>
      <c r="U3336" s="782" t="s">
        <v>4376</v>
      </c>
      <c r="V3336" s="797">
        <f>$S$1*P!V3336</f>
        <v>2.9098790322580647E-4</v>
      </c>
      <c r="W3336" s="780"/>
      <c r="X3336" s="782">
        <v>3332</v>
      </c>
      <c r="Y3336" s="782" t="s">
        <v>2248</v>
      </c>
      <c r="Z3336" s="782" t="s">
        <v>4671</v>
      </c>
      <c r="AA3336" s="781">
        <f>$S$1*P!AA3336</f>
        <v>2.0564516129032259E-3</v>
      </c>
      <c r="AB3336" s="780"/>
      <c r="AC3336" s="881">
        <v>3332</v>
      </c>
      <c r="AD3336" s="881" t="s">
        <v>4573</v>
      </c>
      <c r="AE3336" s="881" t="s">
        <v>2371</v>
      </c>
      <c r="AF3336" s="890">
        <f>$S$1*P!AF3336</f>
        <v>0</v>
      </c>
    </row>
    <row r="3337" spans="19:32" x14ac:dyDescent="0.35">
      <c r="S3337" s="782">
        <v>3333</v>
      </c>
      <c r="T3337" s="782" t="s">
        <v>4284</v>
      </c>
      <c r="U3337" s="782" t="s">
        <v>4375</v>
      </c>
      <c r="V3337" s="797">
        <f>$S$1*P!V3337</f>
        <v>3.3760080645161292E-4</v>
      </c>
      <c r="W3337" s="780"/>
      <c r="X3337" s="881">
        <v>3333</v>
      </c>
      <c r="Y3337" s="881" t="s">
        <v>2248</v>
      </c>
      <c r="Z3337" s="881" t="s">
        <v>2831</v>
      </c>
      <c r="AA3337" s="882">
        <f>$S$1*P!AA3337</f>
        <v>0.67619999999999991</v>
      </c>
      <c r="AB3337" s="780"/>
      <c r="AC3337" s="782">
        <v>3333</v>
      </c>
      <c r="AD3337" s="782" t="s">
        <v>4573</v>
      </c>
      <c r="AE3337" s="782" t="s">
        <v>3905</v>
      </c>
      <c r="AF3337" s="781">
        <f>$S$1*P!AF3337</f>
        <v>4.5927419354838714E-4</v>
      </c>
    </row>
    <row r="3338" spans="19:32" x14ac:dyDescent="0.35">
      <c r="S3338" s="789">
        <v>3334</v>
      </c>
      <c r="T3338" s="789" t="s">
        <v>4284</v>
      </c>
      <c r="U3338" s="789" t="s">
        <v>4670</v>
      </c>
      <c r="V3338" s="790">
        <f>$S$1*P!V3338</f>
        <v>1126.3600000000001</v>
      </c>
      <c r="W3338" s="780"/>
      <c r="X3338" s="782">
        <v>3334</v>
      </c>
      <c r="Y3338" s="782" t="s">
        <v>2248</v>
      </c>
      <c r="Z3338" s="782" t="s">
        <v>2831</v>
      </c>
      <c r="AA3338" s="781">
        <f>$S$1*P!AA3338</f>
        <v>4.1129032258064518E-5</v>
      </c>
      <c r="AB3338" s="780"/>
      <c r="AC3338" s="782">
        <v>3334</v>
      </c>
      <c r="AD3338" s="782" t="s">
        <v>4573</v>
      </c>
      <c r="AE3338" s="782" t="s">
        <v>3904</v>
      </c>
      <c r="AF3338" s="781">
        <f>$S$1*P!AF3338</f>
        <v>1.2030241935483872</v>
      </c>
    </row>
    <row r="3339" spans="19:32" x14ac:dyDescent="0.35">
      <c r="S3339" s="881">
        <v>3335</v>
      </c>
      <c r="T3339" s="881" t="s">
        <v>4284</v>
      </c>
      <c r="U3339" s="881" t="s">
        <v>2629</v>
      </c>
      <c r="V3339" s="883">
        <f>$S$1*P!V3339</f>
        <v>8.2248000000000002E-2</v>
      </c>
      <c r="W3339" s="780"/>
      <c r="X3339" s="881">
        <v>3335</v>
      </c>
      <c r="Y3339" s="881" t="s">
        <v>2248</v>
      </c>
      <c r="Z3339" s="881" t="s">
        <v>4669</v>
      </c>
      <c r="AA3339" s="882">
        <f>$S$1*P!AA3339</f>
        <v>0.13572580645161292</v>
      </c>
      <c r="AB3339" s="780"/>
      <c r="AC3339" s="782">
        <v>3335</v>
      </c>
      <c r="AD3339" s="782" t="s">
        <v>4573</v>
      </c>
      <c r="AE3339" s="782" t="s">
        <v>3903</v>
      </c>
      <c r="AF3339" s="781">
        <f>$S$1*P!AF3339</f>
        <v>0.60665322580645165</v>
      </c>
    </row>
    <row r="3340" spans="19:32" x14ac:dyDescent="0.35">
      <c r="S3340" s="782">
        <v>3336</v>
      </c>
      <c r="T3340" s="782" t="s">
        <v>4284</v>
      </c>
      <c r="U3340" s="782" t="s">
        <v>2627</v>
      </c>
      <c r="V3340" s="797">
        <f>$S$1*P!V3340</f>
        <v>3.6673387096774197E-3</v>
      </c>
      <c r="W3340" s="780"/>
      <c r="X3340" s="881">
        <v>3336</v>
      </c>
      <c r="Y3340" s="881" t="s">
        <v>2248</v>
      </c>
      <c r="Z3340" s="881" t="s">
        <v>2830</v>
      </c>
      <c r="AA3340" s="882">
        <f>$S$1*P!AA3340</f>
        <v>0</v>
      </c>
      <c r="AB3340" s="780"/>
      <c r="AC3340" s="782">
        <v>3336</v>
      </c>
      <c r="AD3340" s="782" t="s">
        <v>4573</v>
      </c>
      <c r="AE3340" s="782" t="s">
        <v>3902</v>
      </c>
      <c r="AF3340" s="781">
        <f>$S$1*P!AF3340</f>
        <v>2.9064516129032261</v>
      </c>
    </row>
    <row r="3341" spans="19:32" x14ac:dyDescent="0.35">
      <c r="S3341" s="881">
        <v>3337</v>
      </c>
      <c r="T3341" s="881" t="s">
        <v>4284</v>
      </c>
      <c r="U3341" s="881" t="s">
        <v>2627</v>
      </c>
      <c r="V3341" s="883">
        <f>$S$1*P!V3341</f>
        <v>3.1556000000000002</v>
      </c>
      <c r="W3341" s="780"/>
      <c r="X3341" s="881">
        <v>3337</v>
      </c>
      <c r="Y3341" s="881" t="s">
        <v>2248</v>
      </c>
      <c r="Z3341" s="881" t="s">
        <v>4668</v>
      </c>
      <c r="AA3341" s="882">
        <f>$S$1*P!AA3341</f>
        <v>6.8205645161290322E-4</v>
      </c>
      <c r="AB3341" s="780"/>
      <c r="AC3341" s="782">
        <v>3337</v>
      </c>
      <c r="AD3341" s="782" t="s">
        <v>4573</v>
      </c>
      <c r="AE3341" s="782" t="s">
        <v>3901</v>
      </c>
      <c r="AF3341" s="781">
        <f>$S$1*P!AF3341</f>
        <v>3.4274193548387101E-4</v>
      </c>
    </row>
    <row r="3342" spans="19:32" x14ac:dyDescent="0.35">
      <c r="S3342" s="782">
        <v>3338</v>
      </c>
      <c r="T3342" s="782" t="s">
        <v>4284</v>
      </c>
      <c r="U3342" s="782" t="s">
        <v>4372</v>
      </c>
      <c r="V3342" s="797">
        <f>$S$1*P!V3342</f>
        <v>1.1070564516129032E-3</v>
      </c>
      <c r="W3342" s="780"/>
      <c r="X3342" s="881">
        <v>3338</v>
      </c>
      <c r="Y3342" s="881" t="s">
        <v>2248</v>
      </c>
      <c r="Z3342" s="881" t="s">
        <v>2829</v>
      </c>
      <c r="AA3342" s="882">
        <f>$S$1*P!AA3342</f>
        <v>1.3248</v>
      </c>
      <c r="AB3342" s="780"/>
      <c r="AC3342" s="782">
        <v>3338</v>
      </c>
      <c r="AD3342" s="782" t="s">
        <v>4573</v>
      </c>
      <c r="AE3342" s="782" t="s">
        <v>3899</v>
      </c>
      <c r="AF3342" s="781">
        <f>$S$1*P!AF3342</f>
        <v>1.8131048387096775E-2</v>
      </c>
    </row>
    <row r="3343" spans="19:32" x14ac:dyDescent="0.35">
      <c r="S3343" s="782">
        <v>3339</v>
      </c>
      <c r="T3343" s="782" t="s">
        <v>4284</v>
      </c>
      <c r="U3343" s="782" t="s">
        <v>4371</v>
      </c>
      <c r="V3343" s="797">
        <f>$S$1*P!V3343</f>
        <v>1.3606854838709678E-2</v>
      </c>
      <c r="W3343" s="780"/>
      <c r="X3343" s="881">
        <v>3339</v>
      </c>
      <c r="Y3343" s="881" t="s">
        <v>2248</v>
      </c>
      <c r="Z3343" s="881" t="s">
        <v>4667</v>
      </c>
      <c r="AA3343" s="882">
        <f>$S$1*P!AA3343</f>
        <v>0.92197580645161292</v>
      </c>
      <c r="AB3343" s="780"/>
      <c r="AC3343" s="881">
        <v>3339</v>
      </c>
      <c r="AD3343" s="881" t="s">
        <v>4573</v>
      </c>
      <c r="AE3343" s="881" t="s">
        <v>2370</v>
      </c>
      <c r="AF3343" s="890">
        <f>$S$1*P!AF3343</f>
        <v>0.58511999999999997</v>
      </c>
    </row>
    <row r="3344" spans="19:32" x14ac:dyDescent="0.35">
      <c r="S3344" s="782">
        <v>3340</v>
      </c>
      <c r="T3344" s="782" t="s">
        <v>4284</v>
      </c>
      <c r="U3344" s="782" t="s">
        <v>4369</v>
      </c>
      <c r="V3344" s="797">
        <f>$S$1*P!V3344</f>
        <v>8.362903225806452E-4</v>
      </c>
      <c r="W3344" s="780"/>
      <c r="X3344" s="881">
        <v>3340</v>
      </c>
      <c r="Y3344" s="881" t="s">
        <v>2248</v>
      </c>
      <c r="Z3344" s="881" t="s">
        <v>2828</v>
      </c>
      <c r="AA3344" s="882">
        <f>$S$1*P!AA3344</f>
        <v>0.14351999999999998</v>
      </c>
      <c r="AB3344" s="780"/>
      <c r="AC3344" s="881">
        <v>3340</v>
      </c>
      <c r="AD3344" s="881" t="s">
        <v>4573</v>
      </c>
      <c r="AE3344" s="881" t="s">
        <v>2368</v>
      </c>
      <c r="AF3344" s="890">
        <f>$S$1*P!AF3344</f>
        <v>3.9008000000000003</v>
      </c>
    </row>
    <row r="3345" spans="19:32" x14ac:dyDescent="0.35">
      <c r="S3345" s="881">
        <v>3341</v>
      </c>
      <c r="T3345" s="881" t="s">
        <v>4284</v>
      </c>
      <c r="U3345" s="881" t="s">
        <v>2626</v>
      </c>
      <c r="V3345" s="883">
        <f>$S$1*P!V3345</f>
        <v>4.6000000000000005</v>
      </c>
      <c r="W3345" s="780"/>
      <c r="X3345" s="782">
        <v>3341</v>
      </c>
      <c r="Y3345" s="782" t="s">
        <v>2248</v>
      </c>
      <c r="Z3345" s="782" t="s">
        <v>2828</v>
      </c>
      <c r="AA3345" s="781">
        <f>$S$1*P!AA3345</f>
        <v>2.5637096774193554E-4</v>
      </c>
      <c r="AB3345" s="780"/>
      <c r="AC3345" s="782">
        <v>3341</v>
      </c>
      <c r="AD3345" s="782" t="s">
        <v>4573</v>
      </c>
      <c r="AE3345" s="782" t="s">
        <v>3898</v>
      </c>
      <c r="AF3345" s="781">
        <f>$S$1*P!AF3345</f>
        <v>3.0469758064516133</v>
      </c>
    </row>
    <row r="3346" spans="19:32" x14ac:dyDescent="0.35">
      <c r="S3346" s="782">
        <v>3342</v>
      </c>
      <c r="T3346" s="782" t="s">
        <v>4284</v>
      </c>
      <c r="U3346" s="782" t="s">
        <v>2624</v>
      </c>
      <c r="V3346" s="797">
        <f>$S$1*P!V3346</f>
        <v>2.9681451612903229E-2</v>
      </c>
      <c r="W3346" s="780"/>
      <c r="X3346" s="881">
        <v>3342</v>
      </c>
      <c r="Y3346" s="881" t="s">
        <v>2248</v>
      </c>
      <c r="Z3346" s="881" t="s">
        <v>4666</v>
      </c>
      <c r="AA3346" s="882">
        <f>$S$1*P!AA3346</f>
        <v>9.9395161290322595E-3</v>
      </c>
      <c r="AB3346" s="780"/>
      <c r="AC3346" s="782">
        <v>3342</v>
      </c>
      <c r="AD3346" s="782" t="s">
        <v>4573</v>
      </c>
      <c r="AE3346" s="782" t="s">
        <v>3897</v>
      </c>
      <c r="AF3346" s="781">
        <f>$S$1*P!AF3346</f>
        <v>1.7788306451612906E-4</v>
      </c>
    </row>
    <row r="3347" spans="19:32" x14ac:dyDescent="0.35">
      <c r="S3347" s="881">
        <v>3343</v>
      </c>
      <c r="T3347" s="881" t="s">
        <v>4284</v>
      </c>
      <c r="U3347" s="881" t="s">
        <v>2624</v>
      </c>
      <c r="V3347" s="883">
        <f>$S$1*P!V3347</f>
        <v>0</v>
      </c>
      <c r="W3347" s="780"/>
      <c r="X3347" s="881">
        <v>3343</v>
      </c>
      <c r="Y3347" s="881" t="s">
        <v>2248</v>
      </c>
      <c r="Z3347" s="881" t="s">
        <v>2826</v>
      </c>
      <c r="AA3347" s="882">
        <f>$S$1*P!AA3347</f>
        <v>2.7508000000000001E-2</v>
      </c>
      <c r="AB3347" s="780"/>
      <c r="AC3347" s="782">
        <v>3343</v>
      </c>
      <c r="AD3347" s="782" t="s">
        <v>4573</v>
      </c>
      <c r="AE3347" s="782" t="s">
        <v>3895</v>
      </c>
      <c r="AF3347" s="781">
        <f>$S$1*P!AF3347</f>
        <v>1.0076612903225807E-2</v>
      </c>
    </row>
    <row r="3348" spans="19:32" x14ac:dyDescent="0.35">
      <c r="S3348" s="881">
        <v>3344</v>
      </c>
      <c r="T3348" s="881" t="s">
        <v>4284</v>
      </c>
      <c r="U3348" s="881" t="s">
        <v>2623</v>
      </c>
      <c r="V3348" s="883">
        <f>$S$1*P!V3348</f>
        <v>0</v>
      </c>
      <c r="W3348" s="780"/>
      <c r="X3348" s="782">
        <v>3344</v>
      </c>
      <c r="Y3348" s="782" t="s">
        <v>2248</v>
      </c>
      <c r="Z3348" s="782" t="s">
        <v>2826</v>
      </c>
      <c r="AA3348" s="781">
        <f>$S$1*P!AA3348</f>
        <v>2.8139112903225807E-5</v>
      </c>
      <c r="AB3348" s="780"/>
      <c r="AC3348" s="782">
        <v>3344</v>
      </c>
      <c r="AD3348" s="782" t="s">
        <v>4573</v>
      </c>
      <c r="AE3348" s="782" t="s">
        <v>3894</v>
      </c>
      <c r="AF3348" s="781">
        <f>$S$1*P!AF3348</f>
        <v>1.5080645161290325E-3</v>
      </c>
    </row>
    <row r="3349" spans="19:32" x14ac:dyDescent="0.35">
      <c r="S3349" s="782">
        <v>3345</v>
      </c>
      <c r="T3349" s="782" t="s">
        <v>4284</v>
      </c>
      <c r="U3349" s="782" t="s">
        <v>4366</v>
      </c>
      <c r="V3349" s="797">
        <f>$S$1*P!V3349</f>
        <v>4.181451612903226E-4</v>
      </c>
      <c r="W3349" s="780"/>
      <c r="X3349" s="782">
        <v>3345</v>
      </c>
      <c r="Y3349" s="782" t="s">
        <v>2248</v>
      </c>
      <c r="Z3349" s="782" t="s">
        <v>4665</v>
      </c>
      <c r="AA3349" s="781">
        <f>$S$1*P!AA3349</f>
        <v>1.7034274193548386E-4</v>
      </c>
      <c r="AB3349" s="780"/>
      <c r="AC3349" s="881">
        <v>3345</v>
      </c>
      <c r="AD3349" s="881" t="s">
        <v>4573</v>
      </c>
      <c r="AE3349" s="881" t="s">
        <v>2367</v>
      </c>
      <c r="AF3349" s="890">
        <f>$S$1*P!AF3349</f>
        <v>0</v>
      </c>
    </row>
    <row r="3350" spans="19:32" x14ac:dyDescent="0.35">
      <c r="S3350" s="782">
        <v>3346</v>
      </c>
      <c r="T3350" s="782" t="s">
        <v>4284</v>
      </c>
      <c r="U3350" s="782" t="s">
        <v>4365</v>
      </c>
      <c r="V3350" s="797">
        <f>$S$1*P!V3350</f>
        <v>3.5987903225806452E-2</v>
      </c>
      <c r="W3350" s="780"/>
      <c r="X3350" s="881">
        <v>3346</v>
      </c>
      <c r="Y3350" s="881" t="s">
        <v>2248</v>
      </c>
      <c r="Z3350" s="881" t="s">
        <v>2825</v>
      </c>
      <c r="AA3350" s="882">
        <f>$S$1*P!AA3350</f>
        <v>0</v>
      </c>
      <c r="AB3350" s="780"/>
      <c r="AC3350" s="782">
        <v>3346</v>
      </c>
      <c r="AD3350" s="782" t="s">
        <v>4573</v>
      </c>
      <c r="AE3350" s="782" t="s">
        <v>3892</v>
      </c>
      <c r="AF3350" s="781">
        <f>$S$1*P!AF3350</f>
        <v>1.3024193548387097</v>
      </c>
    </row>
    <row r="3351" spans="19:32" x14ac:dyDescent="0.35">
      <c r="S3351" s="782">
        <v>3347</v>
      </c>
      <c r="T3351" s="782" t="s">
        <v>4284</v>
      </c>
      <c r="U3351" s="782" t="s">
        <v>2621</v>
      </c>
      <c r="V3351" s="797">
        <f>$S$1*P!V3351</f>
        <v>3.7701612903225811E-4</v>
      </c>
      <c r="W3351" s="780"/>
      <c r="X3351" s="881">
        <v>3347</v>
      </c>
      <c r="Y3351" s="881" t="s">
        <v>2248</v>
      </c>
      <c r="Z3351" s="881" t="s">
        <v>4664</v>
      </c>
      <c r="AA3351" s="882">
        <f>$S$1*P!AA3351</f>
        <v>8.1572580645161291E-3</v>
      </c>
      <c r="AB3351" s="780"/>
      <c r="AC3351" s="782">
        <v>3347</v>
      </c>
      <c r="AD3351" s="782" t="s">
        <v>4573</v>
      </c>
      <c r="AE3351" s="782" t="s">
        <v>3890</v>
      </c>
      <c r="AF3351" s="781">
        <f>$S$1*P!AF3351</f>
        <v>0.27830645161290324</v>
      </c>
    </row>
    <row r="3352" spans="19:32" x14ac:dyDescent="0.35">
      <c r="S3352" s="881">
        <v>3348</v>
      </c>
      <c r="T3352" s="881" t="s">
        <v>4284</v>
      </c>
      <c r="U3352" s="881" t="s">
        <v>2621</v>
      </c>
      <c r="V3352" s="883">
        <f>$S$1*P!V3352</f>
        <v>40.388000000000005</v>
      </c>
      <c r="W3352" s="780"/>
      <c r="X3352" s="782">
        <v>3348</v>
      </c>
      <c r="Y3352" s="782" t="s">
        <v>2248</v>
      </c>
      <c r="Z3352" s="782" t="s">
        <v>2939</v>
      </c>
      <c r="AA3352" s="781">
        <f>$S$1*P!AA3352</f>
        <v>3.5987903225806453E-6</v>
      </c>
      <c r="AB3352" s="780"/>
      <c r="AC3352" s="782">
        <v>3348</v>
      </c>
      <c r="AD3352" s="782" t="s">
        <v>4573</v>
      </c>
      <c r="AE3352" s="782" t="s">
        <v>3889</v>
      </c>
      <c r="AF3352" s="781">
        <f>$S$1*P!AF3352</f>
        <v>3.8044354838709681E-3</v>
      </c>
    </row>
    <row r="3353" spans="19:32" x14ac:dyDescent="0.35">
      <c r="S3353" s="782">
        <v>3349</v>
      </c>
      <c r="T3353" s="782" t="s">
        <v>4284</v>
      </c>
      <c r="U3353" s="782" t="s">
        <v>2620</v>
      </c>
      <c r="V3353" s="797">
        <f>$S$1*P!V3353</f>
        <v>6.4435483870967753E-4</v>
      </c>
      <c r="W3353" s="780"/>
      <c r="X3353" s="782">
        <v>3349</v>
      </c>
      <c r="Y3353" s="782" t="s">
        <v>2248</v>
      </c>
      <c r="Z3353" s="782" t="s">
        <v>3341</v>
      </c>
      <c r="AA3353" s="781">
        <f>$S$1*P!AA3353</f>
        <v>2.0393145161290323E-3</v>
      </c>
      <c r="AB3353" s="780"/>
      <c r="AC3353" s="881">
        <v>3349</v>
      </c>
      <c r="AD3353" s="881" t="s">
        <v>4573</v>
      </c>
      <c r="AE3353" s="881" t="s">
        <v>2365</v>
      </c>
      <c r="AF3353" s="890">
        <f>$S$1*P!AF3353</f>
        <v>24.748000000000001</v>
      </c>
    </row>
    <row r="3354" spans="19:32" x14ac:dyDescent="0.35">
      <c r="S3354" s="881">
        <v>3350</v>
      </c>
      <c r="T3354" s="881" t="s">
        <v>4284</v>
      </c>
      <c r="U3354" s="881" t="s">
        <v>2620</v>
      </c>
      <c r="V3354" s="883">
        <f>$S$1*P!V3354</f>
        <v>0</v>
      </c>
      <c r="W3354" s="780"/>
      <c r="X3354" s="782">
        <v>3350</v>
      </c>
      <c r="Y3354" s="782" t="s">
        <v>2248</v>
      </c>
      <c r="Z3354" s="782" t="s">
        <v>2936</v>
      </c>
      <c r="AA3354" s="781">
        <f>$S$1*P!AA3354</f>
        <v>1.0830645161290324E-5</v>
      </c>
      <c r="AB3354" s="780"/>
      <c r="AC3354" s="782">
        <v>3350</v>
      </c>
      <c r="AD3354" s="782" t="s">
        <v>4573</v>
      </c>
      <c r="AE3354" s="782" t="s">
        <v>3887</v>
      </c>
      <c r="AF3354" s="781">
        <f>$S$1*P!AF3354</f>
        <v>25.39717741935484</v>
      </c>
    </row>
    <row r="3355" spans="19:32" x14ac:dyDescent="0.35">
      <c r="S3355" s="782">
        <v>3351</v>
      </c>
      <c r="T3355" s="782" t="s">
        <v>4284</v>
      </c>
      <c r="U3355" s="782" t="s">
        <v>4358</v>
      </c>
      <c r="V3355" s="797">
        <f>$S$1*P!V3355</f>
        <v>7.4375000000000005E-5</v>
      </c>
      <c r="W3355" s="780"/>
      <c r="X3355" s="881">
        <v>3351</v>
      </c>
      <c r="Y3355" s="881" t="s">
        <v>2248</v>
      </c>
      <c r="Z3355" s="881" t="s">
        <v>4663</v>
      </c>
      <c r="AA3355" s="882">
        <f>$S$1*P!AA3355</f>
        <v>1.7548387096774196E-3</v>
      </c>
      <c r="AB3355" s="780"/>
      <c r="AC3355" s="782">
        <v>3351</v>
      </c>
      <c r="AD3355" s="782" t="s">
        <v>4573</v>
      </c>
      <c r="AE3355" s="782" t="s">
        <v>3886</v>
      </c>
      <c r="AF3355" s="781">
        <f>$S$1*P!AF3355</f>
        <v>1.5731854838709678E-3</v>
      </c>
    </row>
    <row r="3356" spans="19:32" x14ac:dyDescent="0.35">
      <c r="S3356" s="881">
        <v>3352</v>
      </c>
      <c r="T3356" s="881" t="s">
        <v>4284</v>
      </c>
      <c r="U3356" s="881" t="s">
        <v>2618</v>
      </c>
      <c r="V3356" s="883">
        <f>$S$1*P!V3356</f>
        <v>0</v>
      </c>
      <c r="W3356" s="780"/>
      <c r="X3356" s="782">
        <v>3352</v>
      </c>
      <c r="Y3356" s="782" t="s">
        <v>2248</v>
      </c>
      <c r="Z3356" s="782" t="s">
        <v>2933</v>
      </c>
      <c r="AA3356" s="781">
        <f>$S$1*P!AA3356</f>
        <v>0.89798387096774201</v>
      </c>
      <c r="AB3356" s="780"/>
      <c r="AC3356" s="782">
        <v>3352</v>
      </c>
      <c r="AD3356" s="782" t="s">
        <v>4573</v>
      </c>
      <c r="AE3356" s="782" t="s">
        <v>2363</v>
      </c>
      <c r="AF3356" s="781">
        <f>$S$1*P!AF3356</f>
        <v>3.9072580645161294</v>
      </c>
    </row>
    <row r="3357" spans="19:32" x14ac:dyDescent="0.35">
      <c r="S3357" s="782">
        <v>3353</v>
      </c>
      <c r="T3357" s="782" t="s">
        <v>4284</v>
      </c>
      <c r="U3357" s="782" t="s">
        <v>4357</v>
      </c>
      <c r="V3357" s="797">
        <f>$S$1*P!V3357</f>
        <v>5.3810483870967749E-2</v>
      </c>
      <c r="W3357" s="780"/>
      <c r="X3357" s="782">
        <v>3353</v>
      </c>
      <c r="Y3357" s="782" t="s">
        <v>2248</v>
      </c>
      <c r="Z3357" s="782" t="s">
        <v>4662</v>
      </c>
      <c r="AA3357" s="781">
        <f>$S$1*P!AA3357</f>
        <v>2.2004032258064518E-4</v>
      </c>
      <c r="AB3357" s="780"/>
      <c r="AC3357" s="881">
        <v>3353</v>
      </c>
      <c r="AD3357" s="881" t="s">
        <v>4573</v>
      </c>
      <c r="AE3357" s="881" t="s">
        <v>2363</v>
      </c>
      <c r="AF3357" s="890">
        <f>$S$1*P!AF3357</f>
        <v>0</v>
      </c>
    </row>
    <row r="3358" spans="19:32" x14ac:dyDescent="0.35">
      <c r="S3358" s="782">
        <v>3354</v>
      </c>
      <c r="T3358" s="782" t="s">
        <v>4284</v>
      </c>
      <c r="U3358" s="782" t="s">
        <v>4354</v>
      </c>
      <c r="V3358" s="797">
        <f>$S$1*P!V3358</f>
        <v>4.9012096774193555E-2</v>
      </c>
      <c r="W3358" s="780"/>
      <c r="X3358" s="881">
        <v>3354</v>
      </c>
      <c r="Y3358" s="881" t="s">
        <v>2248</v>
      </c>
      <c r="Z3358" s="881" t="s">
        <v>2823</v>
      </c>
      <c r="AA3358" s="882">
        <f>$S$1*P!AA3358</f>
        <v>1.5364</v>
      </c>
      <c r="AB3358" s="780"/>
      <c r="AC3358" s="782">
        <v>3354</v>
      </c>
      <c r="AD3358" s="782" t="s">
        <v>4573</v>
      </c>
      <c r="AE3358" s="782" t="s">
        <v>3884</v>
      </c>
      <c r="AF3358" s="781">
        <f>$S$1*P!AF3358</f>
        <v>5.0040322580645162E-4</v>
      </c>
    </row>
    <row r="3359" spans="19:32" x14ac:dyDescent="0.35">
      <c r="S3359" s="782">
        <v>3355</v>
      </c>
      <c r="T3359" s="782" t="s">
        <v>4284</v>
      </c>
      <c r="U3359" s="782" t="s">
        <v>2617</v>
      </c>
      <c r="V3359" s="797">
        <f>$S$1*P!V3359</f>
        <v>3.0024193548387101E-2</v>
      </c>
      <c r="W3359" s="780"/>
      <c r="X3359" s="782">
        <v>3355</v>
      </c>
      <c r="Y3359" s="782" t="s">
        <v>2248</v>
      </c>
      <c r="Z3359" s="782" t="s">
        <v>2823</v>
      </c>
      <c r="AA3359" s="781">
        <f>$S$1*P!AA3359</f>
        <v>8.9455645161290327E-6</v>
      </c>
      <c r="AB3359" s="780"/>
      <c r="AC3359" s="782">
        <v>3355</v>
      </c>
      <c r="AD3359" s="782" t="s">
        <v>4573</v>
      </c>
      <c r="AE3359" s="782" t="s">
        <v>3882</v>
      </c>
      <c r="AF3359" s="781">
        <f>$S$1*P!AF3359</f>
        <v>18.473790322580648</v>
      </c>
    </row>
    <row r="3360" spans="19:32" x14ac:dyDescent="0.35">
      <c r="S3360" s="881">
        <v>3356</v>
      </c>
      <c r="T3360" s="881" t="s">
        <v>4284</v>
      </c>
      <c r="U3360" s="881" t="s">
        <v>2617</v>
      </c>
      <c r="V3360" s="883">
        <f>$S$1*P!V3360</f>
        <v>0.54464000000000001</v>
      </c>
      <c r="W3360" s="780"/>
      <c r="X3360" s="881">
        <v>3356</v>
      </c>
      <c r="Y3360" s="881" t="s">
        <v>2248</v>
      </c>
      <c r="Z3360" s="881" t="s">
        <v>2821</v>
      </c>
      <c r="AA3360" s="882">
        <f>$S$1*P!AA3360</f>
        <v>17.48</v>
      </c>
      <c r="AB3360" s="780"/>
      <c r="AC3360" s="782">
        <v>3356</v>
      </c>
      <c r="AD3360" s="782" t="s">
        <v>4573</v>
      </c>
      <c r="AE3360" s="782" t="s">
        <v>3881</v>
      </c>
      <c r="AF3360" s="781">
        <f>$S$1*P!AF3360</f>
        <v>2.9304435483870971E-2</v>
      </c>
    </row>
    <row r="3361" spans="19:32" x14ac:dyDescent="0.35">
      <c r="S3361" s="782">
        <v>3357</v>
      </c>
      <c r="T3361" s="782" t="s">
        <v>4284</v>
      </c>
      <c r="U3361" s="782" t="s">
        <v>4352</v>
      </c>
      <c r="V3361" s="797">
        <f>$S$1*P!V3361</f>
        <v>5.3467741935483876E-14</v>
      </c>
      <c r="W3361" s="780"/>
      <c r="X3361" s="881">
        <v>3357</v>
      </c>
      <c r="Y3361" s="881" t="s">
        <v>2248</v>
      </c>
      <c r="Z3361" s="881" t="s">
        <v>4661</v>
      </c>
      <c r="AA3361" s="882">
        <f>$S$1*P!AA3361</f>
        <v>2.2929435483870972E-4</v>
      </c>
      <c r="AB3361" s="780"/>
      <c r="AC3361" s="782">
        <v>3357</v>
      </c>
      <c r="AD3361" s="782" t="s">
        <v>4573</v>
      </c>
      <c r="AE3361" s="782" t="s">
        <v>3879</v>
      </c>
      <c r="AF3361" s="781">
        <f>$S$1*P!AF3361</f>
        <v>1.0899193548387098E-2</v>
      </c>
    </row>
    <row r="3362" spans="19:32" x14ac:dyDescent="0.35">
      <c r="S3362" s="881">
        <v>3358</v>
      </c>
      <c r="T3362" s="881" t="s">
        <v>4284</v>
      </c>
      <c r="U3362" s="881" t="s">
        <v>2615</v>
      </c>
      <c r="V3362" s="883">
        <f>$S$1*P!V3362</f>
        <v>2.2171999999999996</v>
      </c>
      <c r="W3362" s="780"/>
      <c r="X3362" s="881">
        <v>3358</v>
      </c>
      <c r="Y3362" s="881" t="s">
        <v>2248</v>
      </c>
      <c r="Z3362" s="881" t="s">
        <v>2820</v>
      </c>
      <c r="AA3362" s="882">
        <f>$S$1*P!AA3362</f>
        <v>0</v>
      </c>
      <c r="AB3362" s="780"/>
      <c r="AC3362" s="782">
        <v>3358</v>
      </c>
      <c r="AD3362" s="782" t="s">
        <v>4573</v>
      </c>
      <c r="AE3362" s="782" t="s">
        <v>2362</v>
      </c>
      <c r="AF3362" s="781">
        <f>$S$1*P!AF3362</f>
        <v>5.2096774193548393E-3</v>
      </c>
    </row>
    <row r="3363" spans="19:32" x14ac:dyDescent="0.35">
      <c r="S3363" s="782">
        <v>3359</v>
      </c>
      <c r="T3363" s="782" t="s">
        <v>4284</v>
      </c>
      <c r="U3363" s="782" t="s">
        <v>2613</v>
      </c>
      <c r="V3363" s="797">
        <f>$S$1*P!V3363</f>
        <v>2.9441532258064517E-2</v>
      </c>
      <c r="W3363" s="780"/>
      <c r="X3363" s="881">
        <v>3359</v>
      </c>
      <c r="Y3363" s="881" t="s">
        <v>2248</v>
      </c>
      <c r="Z3363" s="881" t="s">
        <v>3340</v>
      </c>
      <c r="AA3363" s="882">
        <f>$S$1*P!AA3363</f>
        <v>1.1379032258064516E-4</v>
      </c>
      <c r="AB3363" s="780"/>
      <c r="AC3363" s="881">
        <v>3359</v>
      </c>
      <c r="AD3363" s="881" t="s">
        <v>4573</v>
      </c>
      <c r="AE3363" s="881" t="s">
        <v>2362</v>
      </c>
      <c r="AF3363" s="890">
        <f>$S$1*P!AF3363</f>
        <v>0</v>
      </c>
    </row>
    <row r="3364" spans="19:32" x14ac:dyDescent="0.35">
      <c r="S3364" s="881">
        <v>3360</v>
      </c>
      <c r="T3364" s="881" t="s">
        <v>4284</v>
      </c>
      <c r="U3364" s="881" t="s">
        <v>2613</v>
      </c>
      <c r="V3364" s="883">
        <f>$S$1*P!V3364</f>
        <v>0</v>
      </c>
      <c r="W3364" s="780"/>
      <c r="X3364" s="782">
        <v>3360</v>
      </c>
      <c r="Y3364" s="782" t="s">
        <v>2248</v>
      </c>
      <c r="Z3364" s="782" t="s">
        <v>2929</v>
      </c>
      <c r="AA3364" s="781">
        <f>$S$1*P!AA3364</f>
        <v>7.4717741935483874E-4</v>
      </c>
      <c r="AB3364" s="780"/>
      <c r="AC3364" s="782">
        <v>3360</v>
      </c>
      <c r="AD3364" s="782" t="s">
        <v>4573</v>
      </c>
      <c r="AE3364" s="782" t="s">
        <v>3877</v>
      </c>
      <c r="AF3364" s="781">
        <f>$S$1*P!AF3364</f>
        <v>6.9233870967741945E-2</v>
      </c>
    </row>
    <row r="3365" spans="19:32" x14ac:dyDescent="0.35">
      <c r="S3365" s="782">
        <v>3361</v>
      </c>
      <c r="T3365" s="782" t="s">
        <v>4284</v>
      </c>
      <c r="U3365" s="782" t="s">
        <v>4349</v>
      </c>
      <c r="V3365" s="797">
        <f>$S$1*P!V3365</f>
        <v>8.4314516129032263E-2</v>
      </c>
      <c r="W3365" s="780"/>
      <c r="X3365" s="881">
        <v>3361</v>
      </c>
      <c r="Y3365" s="881" t="s">
        <v>2248</v>
      </c>
      <c r="Z3365" s="881" t="s">
        <v>2818</v>
      </c>
      <c r="AA3365" s="882">
        <f>$S$1*P!AA3365</f>
        <v>0.86295999999999995</v>
      </c>
      <c r="AB3365" s="780"/>
      <c r="AC3365" s="782">
        <v>3361</v>
      </c>
      <c r="AD3365" s="782" t="s">
        <v>4573</v>
      </c>
      <c r="AE3365" s="782" t="s">
        <v>3876</v>
      </c>
      <c r="AF3365" s="781">
        <f>$S$1*P!AF3365</f>
        <v>1.2098790322580646</v>
      </c>
    </row>
    <row r="3366" spans="19:32" x14ac:dyDescent="0.35">
      <c r="S3366" s="782">
        <v>3362</v>
      </c>
      <c r="T3366" s="782" t="s">
        <v>4284</v>
      </c>
      <c r="U3366" s="782" t="s">
        <v>4348</v>
      </c>
      <c r="V3366" s="797">
        <f>$S$1*P!V3366</f>
        <v>2.5637096774193554E-4</v>
      </c>
      <c r="W3366" s="780"/>
      <c r="X3366" s="881">
        <v>3362</v>
      </c>
      <c r="Y3366" s="881" t="s">
        <v>2248</v>
      </c>
      <c r="Z3366" s="881" t="s">
        <v>4660</v>
      </c>
      <c r="AA3366" s="882">
        <f>$S$1*P!AA3366</f>
        <v>2.3854838709677419E-6</v>
      </c>
      <c r="AB3366" s="780"/>
      <c r="AC3366" s="782">
        <v>3362</v>
      </c>
      <c r="AD3366" s="782" t="s">
        <v>4573</v>
      </c>
      <c r="AE3366" s="782" t="s">
        <v>3874</v>
      </c>
      <c r="AF3366" s="781">
        <f>$S$1*P!AF3366</f>
        <v>1.4086693548387097</v>
      </c>
    </row>
    <row r="3367" spans="19:32" x14ac:dyDescent="0.35">
      <c r="S3367" s="782">
        <v>3363</v>
      </c>
      <c r="T3367" s="782" t="s">
        <v>4284</v>
      </c>
      <c r="U3367" s="782" t="s">
        <v>2612</v>
      </c>
      <c r="V3367" s="797">
        <f>$S$1*P!V3367</f>
        <v>1.9913306451612905E-2</v>
      </c>
      <c r="W3367" s="780"/>
      <c r="X3367" s="782">
        <v>3363</v>
      </c>
      <c r="Y3367" s="782" t="s">
        <v>2248</v>
      </c>
      <c r="Z3367" s="782" t="s">
        <v>2926</v>
      </c>
      <c r="AA3367" s="781">
        <f>$S$1*P!AA3367</f>
        <v>1.689717741935484E-5</v>
      </c>
      <c r="AB3367" s="780"/>
      <c r="AC3367" s="881">
        <v>3363</v>
      </c>
      <c r="AD3367" s="881" t="s">
        <v>4573</v>
      </c>
      <c r="AE3367" s="881" t="s">
        <v>2360</v>
      </c>
      <c r="AF3367" s="890">
        <f>$S$1*P!AF3367</f>
        <v>0</v>
      </c>
    </row>
    <row r="3368" spans="19:32" x14ac:dyDescent="0.35">
      <c r="S3368" s="881">
        <v>3364</v>
      </c>
      <c r="T3368" s="881" t="s">
        <v>4284</v>
      </c>
      <c r="U3368" s="881" t="s">
        <v>2612</v>
      </c>
      <c r="V3368" s="883">
        <f>$S$1*P!V3368</f>
        <v>0</v>
      </c>
      <c r="W3368" s="780"/>
      <c r="X3368" s="782">
        <v>3364</v>
      </c>
      <c r="Y3368" s="782" t="s">
        <v>2248</v>
      </c>
      <c r="Z3368" s="782" t="s">
        <v>2923</v>
      </c>
      <c r="AA3368" s="781">
        <f>$S$1*P!AA3368</f>
        <v>3.382862903225807E-3</v>
      </c>
      <c r="AB3368" s="780"/>
      <c r="AC3368" s="881">
        <v>3364</v>
      </c>
      <c r="AD3368" s="881" t="s">
        <v>4573</v>
      </c>
      <c r="AE3368" s="881" t="s">
        <v>2359</v>
      </c>
      <c r="AF3368" s="890">
        <f>$S$1*P!AF3368</f>
        <v>0</v>
      </c>
    </row>
    <row r="3369" spans="19:32" x14ac:dyDescent="0.35">
      <c r="S3369" s="782">
        <v>3365</v>
      </c>
      <c r="T3369" s="782" t="s">
        <v>4284</v>
      </c>
      <c r="U3369" s="782" t="s">
        <v>4345</v>
      </c>
      <c r="V3369" s="797">
        <f>$S$1*P!V3369</f>
        <v>1.7616935483870968E-4</v>
      </c>
      <c r="W3369" s="780"/>
      <c r="X3369" s="881">
        <v>3365</v>
      </c>
      <c r="Y3369" s="881" t="s">
        <v>2248</v>
      </c>
      <c r="Z3369" s="881" t="s">
        <v>3339</v>
      </c>
      <c r="AA3369" s="882">
        <f>$S$1*P!AA3369</f>
        <v>1.1995967741935486E-6</v>
      </c>
      <c r="AB3369" s="780"/>
      <c r="AC3369" s="782">
        <v>3365</v>
      </c>
      <c r="AD3369" s="782" t="s">
        <v>4573</v>
      </c>
      <c r="AE3369" s="782" t="s">
        <v>2357</v>
      </c>
      <c r="AF3369" s="781">
        <f>$S$1*P!AF3369</f>
        <v>1.1653225806451615</v>
      </c>
    </row>
    <row r="3370" spans="19:32" x14ac:dyDescent="0.35">
      <c r="S3370" s="782">
        <v>3366</v>
      </c>
      <c r="T3370" s="782" t="s">
        <v>4284</v>
      </c>
      <c r="U3370" s="782" t="s">
        <v>2610</v>
      </c>
      <c r="V3370" s="797">
        <f>$S$1*P!V3370</f>
        <v>1.2475806451612904E-5</v>
      </c>
      <c r="W3370" s="780"/>
      <c r="X3370" s="782">
        <v>3366</v>
      </c>
      <c r="Y3370" s="782" t="s">
        <v>2248</v>
      </c>
      <c r="Z3370" s="782" t="s">
        <v>2920</v>
      </c>
      <c r="AA3370" s="781">
        <f>$S$1*P!AA3370</f>
        <v>2.008467741935484E-7</v>
      </c>
      <c r="AB3370" s="780"/>
      <c r="AC3370" s="881">
        <v>3366</v>
      </c>
      <c r="AD3370" s="881" t="s">
        <v>4573</v>
      </c>
      <c r="AE3370" s="881" t="s">
        <v>2357</v>
      </c>
      <c r="AF3370" s="890">
        <f>$S$1*P!AF3370</f>
        <v>0</v>
      </c>
    </row>
    <row r="3371" spans="19:32" x14ac:dyDescent="0.35">
      <c r="S3371" s="881">
        <v>3367</v>
      </c>
      <c r="T3371" s="881" t="s">
        <v>4284</v>
      </c>
      <c r="U3371" s="881" t="s">
        <v>2610</v>
      </c>
      <c r="V3371" s="883">
        <f>$S$1*P!V3371</f>
        <v>4.1859999999999994E-2</v>
      </c>
      <c r="W3371" s="780"/>
      <c r="X3371" s="881">
        <v>3367</v>
      </c>
      <c r="Y3371" s="881" t="s">
        <v>2248</v>
      </c>
      <c r="Z3371" s="881" t="s">
        <v>2817</v>
      </c>
      <c r="AA3371" s="882">
        <f>$S$1*P!AA3371</f>
        <v>0</v>
      </c>
      <c r="AB3371" s="780"/>
      <c r="AC3371" s="881">
        <v>3367</v>
      </c>
      <c r="AD3371" s="881" t="s">
        <v>4573</v>
      </c>
      <c r="AE3371" s="881" t="s">
        <v>2356</v>
      </c>
      <c r="AF3371" s="890">
        <f>$S$1*P!AF3371</f>
        <v>129.72</v>
      </c>
    </row>
    <row r="3372" spans="19:32" x14ac:dyDescent="0.35">
      <c r="S3372" s="782">
        <v>3368</v>
      </c>
      <c r="T3372" s="782" t="s">
        <v>4284</v>
      </c>
      <c r="U3372" s="782" t="s">
        <v>4343</v>
      </c>
      <c r="V3372" s="797">
        <f>$S$1*P!V3372</f>
        <v>1.076209677419355E-4</v>
      </c>
      <c r="W3372" s="780"/>
      <c r="X3372" s="881">
        <v>3368</v>
      </c>
      <c r="Y3372" s="881" t="s">
        <v>2248</v>
      </c>
      <c r="Z3372" s="881" t="s">
        <v>2816</v>
      </c>
      <c r="AA3372" s="882">
        <f>$S$1*P!AA3372</f>
        <v>5.6856</v>
      </c>
      <c r="AB3372" s="780"/>
      <c r="AC3372" s="881">
        <v>3368</v>
      </c>
      <c r="AD3372" s="881" t="s">
        <v>4573</v>
      </c>
      <c r="AE3372" s="881" t="s">
        <v>2354</v>
      </c>
      <c r="AF3372" s="890">
        <f>$S$1*P!AF3372</f>
        <v>0</v>
      </c>
    </row>
    <row r="3373" spans="19:32" x14ac:dyDescent="0.35">
      <c r="S3373" s="782">
        <v>3369</v>
      </c>
      <c r="T3373" s="782" t="s">
        <v>4284</v>
      </c>
      <c r="U3373" s="782" t="s">
        <v>4342</v>
      </c>
      <c r="V3373" s="797">
        <f>$S$1*P!V3373</f>
        <v>1.867943548387097E-3</v>
      </c>
      <c r="W3373" s="780"/>
      <c r="X3373" s="782">
        <v>3369</v>
      </c>
      <c r="Y3373" s="782" t="s">
        <v>2248</v>
      </c>
      <c r="Z3373" s="782" t="s">
        <v>4659</v>
      </c>
      <c r="AA3373" s="781">
        <f>$S$1*P!AA3373</f>
        <v>4.3870967741935488E-5</v>
      </c>
      <c r="AB3373" s="780"/>
      <c r="AC3373" s="782">
        <v>3369</v>
      </c>
      <c r="AD3373" s="782" t="s">
        <v>4573</v>
      </c>
      <c r="AE3373" s="782" t="s">
        <v>3871</v>
      </c>
      <c r="AF3373" s="781">
        <f>$S$1*P!AF3373</f>
        <v>2.4848790322580649E-2</v>
      </c>
    </row>
    <row r="3374" spans="19:32" x14ac:dyDescent="0.35">
      <c r="S3374" s="881">
        <v>3370</v>
      </c>
      <c r="T3374" s="881" t="s">
        <v>4284</v>
      </c>
      <c r="U3374" s="881" t="s">
        <v>2609</v>
      </c>
      <c r="V3374" s="883">
        <f>$S$1*P!V3374</f>
        <v>0.16008</v>
      </c>
      <c r="W3374" s="780"/>
      <c r="X3374" s="881">
        <v>3370</v>
      </c>
      <c r="Y3374" s="881" t="s">
        <v>2248</v>
      </c>
      <c r="Z3374" s="881" t="s">
        <v>2815</v>
      </c>
      <c r="AA3374" s="882">
        <f>$S$1*P!AA3374</f>
        <v>1.0764</v>
      </c>
      <c r="AB3374" s="780"/>
      <c r="AC3374" s="782">
        <v>3370</v>
      </c>
      <c r="AD3374" s="782" t="s">
        <v>4573</v>
      </c>
      <c r="AE3374" s="782" t="s">
        <v>3870</v>
      </c>
      <c r="AF3374" s="781">
        <f>$S$1*P!AF3374</f>
        <v>27.625000000000004</v>
      </c>
    </row>
    <row r="3375" spans="19:32" x14ac:dyDescent="0.35">
      <c r="S3375" s="881">
        <v>3371</v>
      </c>
      <c r="T3375" s="881" t="s">
        <v>4284</v>
      </c>
      <c r="U3375" s="881" t="s">
        <v>2607</v>
      </c>
      <c r="V3375" s="883">
        <f>$S$1*P!V3375</f>
        <v>1.2144000000000001</v>
      </c>
      <c r="W3375" s="780"/>
      <c r="X3375" s="782">
        <v>3371</v>
      </c>
      <c r="Y3375" s="782" t="s">
        <v>2248</v>
      </c>
      <c r="Z3375" s="782" t="s">
        <v>2815</v>
      </c>
      <c r="AA3375" s="781">
        <f>$S$1*P!AA3375</f>
        <v>0.22518145161290323</v>
      </c>
      <c r="AB3375" s="780"/>
      <c r="AC3375" s="881">
        <v>3371</v>
      </c>
      <c r="AD3375" s="881" t="s">
        <v>4573</v>
      </c>
      <c r="AE3375" s="881" t="s">
        <v>2352</v>
      </c>
      <c r="AF3375" s="890">
        <f>$S$1*P!AF3375</f>
        <v>19.596</v>
      </c>
    </row>
    <row r="3376" spans="19:32" x14ac:dyDescent="0.35">
      <c r="S3376" s="782">
        <v>3372</v>
      </c>
      <c r="T3376" s="782" t="s">
        <v>4284</v>
      </c>
      <c r="U3376" s="782" t="s">
        <v>4339</v>
      </c>
      <c r="V3376" s="797">
        <f>$S$1*P!V3376</f>
        <v>4.0100806451612905E-4</v>
      </c>
      <c r="W3376" s="780"/>
      <c r="X3376" s="881">
        <v>3372</v>
      </c>
      <c r="Y3376" s="881" t="s">
        <v>2248</v>
      </c>
      <c r="Z3376" s="881" t="s">
        <v>4658</v>
      </c>
      <c r="AA3376" s="882">
        <f>$S$1*P!AA3376</f>
        <v>4.6955645161290329E-3</v>
      </c>
      <c r="AB3376" s="780"/>
      <c r="AC3376" s="881">
        <v>3372</v>
      </c>
      <c r="AD3376" s="881" t="s">
        <v>4573</v>
      </c>
      <c r="AE3376" s="881" t="s">
        <v>2351</v>
      </c>
      <c r="AF3376" s="890">
        <f>$S$1*P!AF3376</f>
        <v>1.9319999999999997</v>
      </c>
    </row>
    <row r="3377" spans="19:32" x14ac:dyDescent="0.35">
      <c r="S3377" s="782">
        <v>3373</v>
      </c>
      <c r="T3377" s="782" t="s">
        <v>4284</v>
      </c>
      <c r="U3377" s="782" t="s">
        <v>4338</v>
      </c>
      <c r="V3377" s="797">
        <f>$S$1*P!V3377</f>
        <v>8.7741935483870979E-4</v>
      </c>
      <c r="W3377" s="780"/>
      <c r="X3377" s="881">
        <v>3373</v>
      </c>
      <c r="Y3377" s="881" t="s">
        <v>2248</v>
      </c>
      <c r="Z3377" s="881" t="s">
        <v>2813</v>
      </c>
      <c r="AA3377" s="882">
        <f>$S$1*P!AA3377</f>
        <v>4.7195999999999998</v>
      </c>
      <c r="AB3377" s="780"/>
      <c r="AC3377" s="881">
        <v>3373</v>
      </c>
      <c r="AD3377" s="881" t="s">
        <v>4573</v>
      </c>
      <c r="AE3377" s="881" t="s">
        <v>2349</v>
      </c>
      <c r="AF3377" s="890">
        <f>$S$1*P!AF3377</f>
        <v>27.14</v>
      </c>
    </row>
    <row r="3378" spans="19:32" x14ac:dyDescent="0.35">
      <c r="S3378" s="782">
        <v>3374</v>
      </c>
      <c r="T3378" s="782" t="s">
        <v>4284</v>
      </c>
      <c r="U3378" s="782" t="s">
        <v>4337</v>
      </c>
      <c r="V3378" s="797">
        <f>$S$1*P!V3378</f>
        <v>1.1995967741935485E-3</v>
      </c>
      <c r="W3378" s="780"/>
      <c r="X3378" s="782">
        <v>3374</v>
      </c>
      <c r="Y3378" s="782" t="s">
        <v>2248</v>
      </c>
      <c r="Z3378" s="782" t="s">
        <v>2916</v>
      </c>
      <c r="AA3378" s="781">
        <f>$S$1*P!AA3378</f>
        <v>0.24540322580645163</v>
      </c>
      <c r="AB3378" s="780"/>
      <c r="AC3378" s="881">
        <v>3374</v>
      </c>
      <c r="AD3378" s="881" t="s">
        <v>4573</v>
      </c>
      <c r="AE3378" s="881" t="s">
        <v>2348</v>
      </c>
      <c r="AF3378" s="890">
        <f>$S$1*P!AF3378</f>
        <v>84.087999999999994</v>
      </c>
    </row>
    <row r="3379" spans="19:32" x14ac:dyDescent="0.35">
      <c r="S3379" s="782">
        <v>3375</v>
      </c>
      <c r="T3379" s="782" t="s">
        <v>4284</v>
      </c>
      <c r="U3379" s="782" t="s">
        <v>4335</v>
      </c>
      <c r="V3379" s="797">
        <f>$S$1*P!V3379</f>
        <v>4.4899193548387102E-4</v>
      </c>
      <c r="W3379" s="780"/>
      <c r="X3379" s="782">
        <v>3375</v>
      </c>
      <c r="Y3379" s="782" t="s">
        <v>2248</v>
      </c>
      <c r="Z3379" s="782" t="s">
        <v>4657</v>
      </c>
      <c r="AA3379" s="781">
        <f>$S$1*P!AA3379</f>
        <v>1.0487903225806453E-4</v>
      </c>
      <c r="AB3379" s="780"/>
      <c r="AC3379" s="881">
        <v>3375</v>
      </c>
      <c r="AD3379" s="881" t="s">
        <v>4573</v>
      </c>
      <c r="AE3379" s="881" t="s">
        <v>2346</v>
      </c>
      <c r="AF3379" s="890">
        <f>$S$1*P!AF3379</f>
        <v>28.427999999999997</v>
      </c>
    </row>
    <row r="3380" spans="19:32" x14ac:dyDescent="0.35">
      <c r="S3380" s="782">
        <v>3376</v>
      </c>
      <c r="T3380" s="782" t="s">
        <v>4284</v>
      </c>
      <c r="U3380" s="782" t="s">
        <v>4334</v>
      </c>
      <c r="V3380" s="797">
        <f>$S$1*P!V3380</f>
        <v>6.6491935483870973E-3</v>
      </c>
      <c r="W3380" s="780"/>
      <c r="X3380" s="782">
        <v>3376</v>
      </c>
      <c r="Y3380" s="782" t="s">
        <v>2248</v>
      </c>
      <c r="Z3380" s="782" t="s">
        <v>2913</v>
      </c>
      <c r="AA3380" s="781">
        <f>$S$1*P!AA3380</f>
        <v>2.2346774193548387E-4</v>
      </c>
      <c r="AB3380" s="780"/>
      <c r="AC3380" s="782">
        <v>3376</v>
      </c>
      <c r="AD3380" s="782" t="s">
        <v>4573</v>
      </c>
      <c r="AE3380" s="782" t="s">
        <v>3866</v>
      </c>
      <c r="AF3380" s="781">
        <f>$S$1*P!AF3380</f>
        <v>4.3870967741935489</v>
      </c>
    </row>
    <row r="3381" spans="19:32" x14ac:dyDescent="0.35">
      <c r="S3381" s="782">
        <v>3377</v>
      </c>
      <c r="T3381" s="782" t="s">
        <v>4284</v>
      </c>
      <c r="U3381" s="782" t="s">
        <v>4332</v>
      </c>
      <c r="V3381" s="797">
        <f>$S$1*P!V3381</f>
        <v>1.2338709677419357E-2</v>
      </c>
      <c r="W3381" s="780"/>
      <c r="X3381" s="782">
        <v>3377</v>
      </c>
      <c r="Y3381" s="782" t="s">
        <v>2248</v>
      </c>
      <c r="Z3381" s="782" t="s">
        <v>2910</v>
      </c>
      <c r="AA3381" s="781">
        <f>$S$1*P!AA3381</f>
        <v>5.8951612903225814E-2</v>
      </c>
      <c r="AB3381" s="780"/>
      <c r="AC3381" s="782">
        <v>3377</v>
      </c>
      <c r="AD3381" s="782" t="s">
        <v>4573</v>
      </c>
      <c r="AE3381" s="782" t="s">
        <v>3865</v>
      </c>
      <c r="AF3381" s="781">
        <f>$S$1*P!AF3381</f>
        <v>0.23237903225806453</v>
      </c>
    </row>
    <row r="3382" spans="19:32" x14ac:dyDescent="0.35">
      <c r="S3382" s="782">
        <v>3378</v>
      </c>
      <c r="T3382" s="782" t="s">
        <v>4284</v>
      </c>
      <c r="U3382" s="782" t="s">
        <v>4331</v>
      </c>
      <c r="V3382" s="797">
        <f>$S$1*P!V3382</f>
        <v>3.9415322580645167E-2</v>
      </c>
      <c r="W3382" s="780"/>
      <c r="X3382" s="782">
        <v>3378</v>
      </c>
      <c r="Y3382" s="782" t="s">
        <v>2248</v>
      </c>
      <c r="Z3382" s="782" t="s">
        <v>2907</v>
      </c>
      <c r="AA3382" s="781">
        <f>$S$1*P!AA3382</f>
        <v>2.4266129032258065E-5</v>
      </c>
      <c r="AB3382" s="780"/>
      <c r="AC3382" s="782">
        <v>3378</v>
      </c>
      <c r="AD3382" s="782" t="s">
        <v>4573</v>
      </c>
      <c r="AE3382" s="782" t="s">
        <v>3864</v>
      </c>
      <c r="AF3382" s="781">
        <f>$S$1*P!AF3382</f>
        <v>4.4213709677419359</v>
      </c>
    </row>
    <row r="3383" spans="19:32" x14ac:dyDescent="0.35">
      <c r="S3383" s="881">
        <v>3379</v>
      </c>
      <c r="T3383" s="881" t="s">
        <v>4284</v>
      </c>
      <c r="U3383" s="881" t="s">
        <v>2606</v>
      </c>
      <c r="V3383" s="883">
        <f>$S$1*P!V3383</f>
        <v>0</v>
      </c>
      <c r="W3383" s="780"/>
      <c r="X3383" s="881">
        <v>3379</v>
      </c>
      <c r="Y3383" s="881" t="s">
        <v>2248</v>
      </c>
      <c r="Z3383" s="881" t="s">
        <v>4656</v>
      </c>
      <c r="AA3383" s="882">
        <f>$S$1*P!AA3383</f>
        <v>2.9475806451612905E-5</v>
      </c>
      <c r="AB3383" s="780"/>
      <c r="AC3383" s="782">
        <v>3379</v>
      </c>
      <c r="AD3383" s="782" t="s">
        <v>4573</v>
      </c>
      <c r="AE3383" s="782" t="s">
        <v>3863</v>
      </c>
      <c r="AF3383" s="781">
        <f>$S$1*P!AF3383</f>
        <v>5.175403225806452E-2</v>
      </c>
    </row>
    <row r="3384" spans="19:32" x14ac:dyDescent="0.35">
      <c r="S3384" s="782">
        <v>3380</v>
      </c>
      <c r="T3384" s="782" t="s">
        <v>4284</v>
      </c>
      <c r="U3384" s="782" t="s">
        <v>4329</v>
      </c>
      <c r="V3384" s="797">
        <f>$S$1*P!V3384</f>
        <v>3.2217741935483872E-2</v>
      </c>
      <c r="W3384" s="780"/>
      <c r="X3384" s="782">
        <v>3380</v>
      </c>
      <c r="Y3384" s="782" t="s">
        <v>2248</v>
      </c>
      <c r="Z3384" s="782" t="s">
        <v>2905</v>
      </c>
      <c r="AA3384" s="781">
        <f>$S$1*P!AA3384</f>
        <v>4.3870967741935487E-3</v>
      </c>
      <c r="AB3384" s="780"/>
      <c r="AC3384" s="782">
        <v>3380</v>
      </c>
      <c r="AD3384" s="782" t="s">
        <v>4573</v>
      </c>
      <c r="AE3384" s="782" t="s">
        <v>2345</v>
      </c>
      <c r="AF3384" s="781">
        <f>$S$1*P!AF3384</f>
        <v>8.7056451612903228E-3</v>
      </c>
    </row>
    <row r="3385" spans="19:32" x14ac:dyDescent="0.35">
      <c r="S3385" s="782">
        <v>3381</v>
      </c>
      <c r="T3385" s="782" t="s">
        <v>4284</v>
      </c>
      <c r="U3385" s="782" t="s">
        <v>4328</v>
      </c>
      <c r="V3385" s="797">
        <f>$S$1*P!V3385</f>
        <v>1.7308467741935485E-3</v>
      </c>
      <c r="W3385" s="780"/>
      <c r="X3385" s="881">
        <v>3381</v>
      </c>
      <c r="Y3385" s="881" t="s">
        <v>2248</v>
      </c>
      <c r="Z3385" s="881" t="s">
        <v>2811</v>
      </c>
      <c r="AA3385" s="882">
        <f>$S$1*P!AA3385</f>
        <v>0</v>
      </c>
      <c r="AB3385" s="780"/>
      <c r="AC3385" s="881">
        <v>3381</v>
      </c>
      <c r="AD3385" s="881" t="s">
        <v>4573</v>
      </c>
      <c r="AE3385" s="881" t="s">
        <v>2345</v>
      </c>
      <c r="AF3385" s="890">
        <f>$S$1*P!AF3385</f>
        <v>7.774</v>
      </c>
    </row>
    <row r="3386" spans="19:32" x14ac:dyDescent="0.35">
      <c r="S3386" s="881">
        <v>3382</v>
      </c>
      <c r="T3386" s="881" t="s">
        <v>4284</v>
      </c>
      <c r="U3386" s="881" t="s">
        <v>2604</v>
      </c>
      <c r="V3386" s="883">
        <f>$S$1*P!V3386</f>
        <v>0.13432000000000002</v>
      </c>
      <c r="W3386" s="780"/>
      <c r="X3386" s="782">
        <v>3382</v>
      </c>
      <c r="Y3386" s="782" t="s">
        <v>2248</v>
      </c>
      <c r="Z3386" s="782" t="s">
        <v>4655</v>
      </c>
      <c r="AA3386" s="781">
        <f>$S$1*P!AA3386</f>
        <v>4.8669354838709681E-4</v>
      </c>
      <c r="AB3386" s="780"/>
      <c r="AC3386" s="782">
        <v>3382</v>
      </c>
      <c r="AD3386" s="782" t="s">
        <v>4573</v>
      </c>
      <c r="AE3386" s="782" t="s">
        <v>3861</v>
      </c>
      <c r="AF3386" s="781">
        <f>$S$1*P!AF3386</f>
        <v>5.9979838709677422E-2</v>
      </c>
    </row>
    <row r="3387" spans="19:32" x14ac:dyDescent="0.35">
      <c r="S3387" s="782">
        <v>3383</v>
      </c>
      <c r="T3387" s="782" t="s">
        <v>4284</v>
      </c>
      <c r="U3387" s="782" t="s">
        <v>4325</v>
      </c>
      <c r="V3387" s="797">
        <f>$S$1*P!V3387</f>
        <v>9.3911290322580652E-4</v>
      </c>
      <c r="W3387" s="780"/>
      <c r="X3387" s="782">
        <v>3383</v>
      </c>
      <c r="Y3387" s="782" t="s">
        <v>2248</v>
      </c>
      <c r="Z3387" s="782" t="s">
        <v>2902</v>
      </c>
      <c r="AA3387" s="781">
        <f>$S$1*P!AA3387</f>
        <v>7.8145161290322574E-5</v>
      </c>
      <c r="AB3387" s="780"/>
      <c r="AC3387" s="782">
        <v>3383</v>
      </c>
      <c r="AD3387" s="782" t="s">
        <v>4573</v>
      </c>
      <c r="AE3387" s="782" t="s">
        <v>3859</v>
      </c>
      <c r="AF3387" s="781">
        <f>$S$1*P!AF3387</f>
        <v>3.3348790322580646</v>
      </c>
    </row>
    <row r="3388" spans="19:32" x14ac:dyDescent="0.35">
      <c r="S3388" s="782">
        <v>3384</v>
      </c>
      <c r="T3388" s="782" t="s">
        <v>4284</v>
      </c>
      <c r="U3388" s="782" t="s">
        <v>4323</v>
      </c>
      <c r="V3388" s="797">
        <f>$S$1*P!V3388</f>
        <v>2.6322580645161292E-3</v>
      </c>
      <c r="W3388" s="780"/>
      <c r="X3388" s="782">
        <v>3384</v>
      </c>
      <c r="Y3388" s="782" t="s">
        <v>2248</v>
      </c>
      <c r="Z3388" s="782" t="s">
        <v>2899</v>
      </c>
      <c r="AA3388" s="781">
        <f>$S$1*P!AA3388</f>
        <v>1.3435483870967741E-4</v>
      </c>
      <c r="AB3388" s="780"/>
      <c r="AC3388" s="782">
        <v>3384</v>
      </c>
      <c r="AD3388" s="782" t="s">
        <v>4573</v>
      </c>
      <c r="AE3388" s="782" t="s">
        <v>3858</v>
      </c>
      <c r="AF3388" s="781">
        <f>$S$1*P!AF3388</f>
        <v>3.7358870967741938E-2</v>
      </c>
    </row>
    <row r="3389" spans="19:32" x14ac:dyDescent="0.35">
      <c r="S3389" s="782">
        <v>3385</v>
      </c>
      <c r="T3389" s="782" t="s">
        <v>4284</v>
      </c>
      <c r="U3389" s="782" t="s">
        <v>4320</v>
      </c>
      <c r="V3389" s="797">
        <f>$S$1*P!V3389</f>
        <v>1.8062500000000003E-3</v>
      </c>
      <c r="W3389" s="780"/>
      <c r="X3389" s="881">
        <v>3385</v>
      </c>
      <c r="Y3389" s="881" t="s">
        <v>2248</v>
      </c>
      <c r="Z3389" s="881" t="s">
        <v>4654</v>
      </c>
      <c r="AA3389" s="882">
        <f>$S$1*P!AA3389</f>
        <v>2.7522177419354838E-4</v>
      </c>
      <c r="AB3389" s="780"/>
      <c r="AC3389" s="782">
        <v>3385</v>
      </c>
      <c r="AD3389" s="782" t="s">
        <v>4573</v>
      </c>
      <c r="AE3389" s="782" t="s">
        <v>3857</v>
      </c>
      <c r="AF3389" s="781">
        <f>$S$1*P!AF3389</f>
        <v>2.4368951612903228E-2</v>
      </c>
    </row>
    <row r="3390" spans="19:32" x14ac:dyDescent="0.35">
      <c r="S3390" s="782">
        <v>3386</v>
      </c>
      <c r="T3390" s="782" t="s">
        <v>4284</v>
      </c>
      <c r="U3390" s="782" t="s">
        <v>2602</v>
      </c>
      <c r="V3390" s="797">
        <f>$S$1*P!V3390</f>
        <v>0.17445564516129033</v>
      </c>
      <c r="W3390" s="780"/>
      <c r="X3390" s="881">
        <v>3386</v>
      </c>
      <c r="Y3390" s="881" t="s">
        <v>2248</v>
      </c>
      <c r="Z3390" s="881" t="s">
        <v>2810</v>
      </c>
      <c r="AA3390" s="882">
        <f>$S$1*P!AA3390</f>
        <v>0</v>
      </c>
      <c r="AB3390" s="780"/>
      <c r="AC3390" s="782">
        <v>3386</v>
      </c>
      <c r="AD3390" s="782" t="s">
        <v>4573</v>
      </c>
      <c r="AE3390" s="782" t="s">
        <v>3856</v>
      </c>
      <c r="AF3390" s="781">
        <f>$S$1*P!AF3390</f>
        <v>9.0141129032258072E-2</v>
      </c>
    </row>
    <row r="3391" spans="19:32" x14ac:dyDescent="0.35">
      <c r="S3391" s="881">
        <v>3387</v>
      </c>
      <c r="T3391" s="881" t="s">
        <v>4284</v>
      </c>
      <c r="U3391" s="881" t="s">
        <v>2602</v>
      </c>
      <c r="V3391" s="883">
        <f>$S$1*P!V3391</f>
        <v>7.6727999999999996</v>
      </c>
      <c r="W3391" s="780"/>
      <c r="X3391" s="782">
        <v>3387</v>
      </c>
      <c r="Y3391" s="782" t="s">
        <v>2248</v>
      </c>
      <c r="Z3391" s="782" t="s">
        <v>2810</v>
      </c>
      <c r="AA3391" s="781">
        <f>$S$1*P!AA3391</f>
        <v>2.3203629032258068E-2</v>
      </c>
      <c r="AB3391" s="780"/>
      <c r="AC3391" s="782">
        <v>3387</v>
      </c>
      <c r="AD3391" s="782" t="s">
        <v>4573</v>
      </c>
      <c r="AE3391" s="782" t="s">
        <v>3855</v>
      </c>
      <c r="AF3391" s="781">
        <f>$S$1*P!AF3391</f>
        <v>3.1018145161290325</v>
      </c>
    </row>
    <row r="3392" spans="19:32" x14ac:dyDescent="0.35">
      <c r="S3392" s="782">
        <v>3388</v>
      </c>
      <c r="T3392" s="782" t="s">
        <v>4284</v>
      </c>
      <c r="U3392" s="782" t="s">
        <v>4318</v>
      </c>
      <c r="V3392" s="797">
        <f>$S$1*P!V3392</f>
        <v>2.9201612903225807E-9</v>
      </c>
      <c r="W3392" s="780"/>
      <c r="X3392" s="782">
        <v>3388</v>
      </c>
      <c r="Y3392" s="782" t="s">
        <v>2248</v>
      </c>
      <c r="Z3392" s="782" t="s">
        <v>2895</v>
      </c>
      <c r="AA3392" s="781">
        <f>$S$1*P!AA3392</f>
        <v>3.393145161290323E-2</v>
      </c>
      <c r="AB3392" s="780"/>
      <c r="AC3392" s="782">
        <v>3388</v>
      </c>
      <c r="AD3392" s="782" t="s">
        <v>4573</v>
      </c>
      <c r="AE3392" s="782" t="s">
        <v>3853</v>
      </c>
      <c r="AF3392" s="781">
        <f>$S$1*P!AF3392</f>
        <v>6.4092741935483879</v>
      </c>
    </row>
    <row r="3393" spans="19:32" x14ac:dyDescent="0.35">
      <c r="S3393" s="782">
        <v>3389</v>
      </c>
      <c r="T3393" s="782" t="s">
        <v>4284</v>
      </c>
      <c r="U3393" s="782" t="s">
        <v>4316</v>
      </c>
      <c r="V3393" s="797">
        <f>$S$1*P!V3393</f>
        <v>5.8951612903225814E-2</v>
      </c>
      <c r="W3393" s="780"/>
      <c r="X3393" s="881">
        <v>3389</v>
      </c>
      <c r="Y3393" s="881" t="s">
        <v>2248</v>
      </c>
      <c r="Z3393" s="881" t="s">
        <v>4653</v>
      </c>
      <c r="AA3393" s="882">
        <f>$S$1*P!AA3393</f>
        <v>5.7237903225806455E-7</v>
      </c>
      <c r="AB3393" s="780"/>
      <c r="AC3393" s="782">
        <v>3389</v>
      </c>
      <c r="AD3393" s="782" t="s">
        <v>4573</v>
      </c>
      <c r="AE3393" s="782" t="s">
        <v>3852</v>
      </c>
      <c r="AF3393" s="781">
        <f>$S$1*P!AF3393</f>
        <v>0.19056451612903227</v>
      </c>
    </row>
    <row r="3394" spans="19:32" x14ac:dyDescent="0.35">
      <c r="S3394" s="881">
        <v>3390</v>
      </c>
      <c r="T3394" s="881" t="s">
        <v>4284</v>
      </c>
      <c r="U3394" s="881" t="s">
        <v>2601</v>
      </c>
      <c r="V3394" s="883">
        <f>$S$1*P!V3394</f>
        <v>0.31372</v>
      </c>
      <c r="W3394" s="780"/>
      <c r="X3394" s="782">
        <v>3390</v>
      </c>
      <c r="Y3394" s="782" t="s">
        <v>2248</v>
      </c>
      <c r="Z3394" s="782" t="s">
        <v>2892</v>
      </c>
      <c r="AA3394" s="781">
        <f>$S$1*P!AA3394</f>
        <v>1.6177419354838709E-4</v>
      </c>
      <c r="AB3394" s="780"/>
      <c r="AC3394" s="782">
        <v>3390</v>
      </c>
      <c r="AD3394" s="782" t="s">
        <v>4573</v>
      </c>
      <c r="AE3394" s="782" t="s">
        <v>3850</v>
      </c>
      <c r="AF3394" s="781">
        <f>$S$1*P!AF3394</f>
        <v>6.1693548387096779</v>
      </c>
    </row>
    <row r="3395" spans="19:32" x14ac:dyDescent="0.35">
      <c r="S3395" s="782">
        <v>3391</v>
      </c>
      <c r="T3395" s="782" t="s">
        <v>4284</v>
      </c>
      <c r="U3395" s="782" t="s">
        <v>4315</v>
      </c>
      <c r="V3395" s="797">
        <f>$S$1*P!V3395</f>
        <v>8.8427419354838717E-4</v>
      </c>
      <c r="W3395" s="780"/>
      <c r="X3395" s="782">
        <v>3391</v>
      </c>
      <c r="Y3395" s="782" t="s">
        <v>2248</v>
      </c>
      <c r="Z3395" s="782" t="s">
        <v>2889</v>
      </c>
      <c r="AA3395" s="781">
        <f>$S$1*P!AA3395</f>
        <v>4.215725806451613E-3</v>
      </c>
      <c r="AB3395" s="780"/>
      <c r="AC3395" s="782">
        <v>3391</v>
      </c>
      <c r="AD3395" s="782" t="s">
        <v>4573</v>
      </c>
      <c r="AE3395" s="782" t="s">
        <v>3849</v>
      </c>
      <c r="AF3395" s="781">
        <f>$S$1*P!AF3395</f>
        <v>5.1411290322580648E-2</v>
      </c>
    </row>
    <row r="3396" spans="19:32" x14ac:dyDescent="0.35">
      <c r="S3396" s="881">
        <v>3392</v>
      </c>
      <c r="T3396" s="881" t="s">
        <v>4284</v>
      </c>
      <c r="U3396" s="881" t="s">
        <v>2599</v>
      </c>
      <c r="V3396" s="883">
        <f>$S$1*P!V3396</f>
        <v>0</v>
      </c>
      <c r="W3396" s="780"/>
      <c r="X3396" s="881">
        <v>3392</v>
      </c>
      <c r="Y3396" s="881" t="s">
        <v>2248</v>
      </c>
      <c r="Z3396" s="881" t="s">
        <v>4652</v>
      </c>
      <c r="AA3396" s="882">
        <f>$S$1*P!AA3396</f>
        <v>8.1572580645161287E-6</v>
      </c>
      <c r="AB3396" s="780"/>
      <c r="AC3396" s="782">
        <v>3392</v>
      </c>
      <c r="AD3396" s="782" t="s">
        <v>4573</v>
      </c>
      <c r="AE3396" s="782" t="s">
        <v>3846</v>
      </c>
      <c r="AF3396" s="781">
        <f>$S$1*P!AF3396</f>
        <v>3.8729838709677424E-3</v>
      </c>
    </row>
    <row r="3397" spans="19:32" x14ac:dyDescent="0.35">
      <c r="S3397" s="782">
        <v>3393</v>
      </c>
      <c r="T3397" s="782" t="s">
        <v>4284</v>
      </c>
      <c r="U3397" s="782" t="s">
        <v>4313</v>
      </c>
      <c r="V3397" s="797">
        <f>$S$1*P!V3397</f>
        <v>2.1215725806451612E-3</v>
      </c>
      <c r="W3397" s="780"/>
      <c r="X3397" s="881">
        <v>3393</v>
      </c>
      <c r="Y3397" s="881" t="s">
        <v>2248</v>
      </c>
      <c r="Z3397" s="881" t="s">
        <v>2808</v>
      </c>
      <c r="AA3397" s="882">
        <f>$S$1*P!AA3397</f>
        <v>0</v>
      </c>
      <c r="AB3397" s="780"/>
      <c r="AC3397" s="782">
        <v>3393</v>
      </c>
      <c r="AD3397" s="782" t="s">
        <v>4573</v>
      </c>
      <c r="AE3397" s="782" t="s">
        <v>3844</v>
      </c>
      <c r="AF3397" s="781">
        <f>$S$1*P!AF3397</f>
        <v>0.24951612903225809</v>
      </c>
    </row>
    <row r="3398" spans="19:32" x14ac:dyDescent="0.35">
      <c r="S3398" s="782">
        <v>3394</v>
      </c>
      <c r="T3398" s="782" t="s">
        <v>4284</v>
      </c>
      <c r="U3398" s="782" t="s">
        <v>4312</v>
      </c>
      <c r="V3398" s="797">
        <f>$S$1*P!V3398</f>
        <v>8.1572580645161291E-3</v>
      </c>
      <c r="W3398" s="780"/>
      <c r="X3398" s="782">
        <v>3394</v>
      </c>
      <c r="Y3398" s="782" t="s">
        <v>2248</v>
      </c>
      <c r="Z3398" s="782" t="s">
        <v>2886</v>
      </c>
      <c r="AA3398" s="781">
        <f>$S$1*P!AA3398</f>
        <v>6.2721774193548398E-4</v>
      </c>
      <c r="AB3398" s="780"/>
      <c r="AC3398" s="782">
        <v>3394</v>
      </c>
      <c r="AD3398" s="782" t="s">
        <v>4573</v>
      </c>
      <c r="AE3398" s="782" t="s">
        <v>3842</v>
      </c>
      <c r="AF3398" s="781">
        <f>$S$1*P!AF3398</f>
        <v>4.2157258064516134E-4</v>
      </c>
    </row>
    <row r="3399" spans="19:32" x14ac:dyDescent="0.35">
      <c r="S3399" s="782">
        <v>3395</v>
      </c>
      <c r="T3399" s="782" t="s">
        <v>4284</v>
      </c>
      <c r="U3399" s="782" t="s">
        <v>4311</v>
      </c>
      <c r="V3399" s="797">
        <f>$S$1*P!V3399</f>
        <v>1.6725806451612903E-4</v>
      </c>
      <c r="W3399" s="780"/>
      <c r="X3399" s="782">
        <v>3395</v>
      </c>
      <c r="Y3399" s="782" t="s">
        <v>2248</v>
      </c>
      <c r="Z3399" s="782" t="s">
        <v>2883</v>
      </c>
      <c r="AA3399" s="781">
        <f>$S$1*P!AA3399</f>
        <v>1.0076612903225806E-3</v>
      </c>
      <c r="AB3399" s="780"/>
      <c r="AC3399" s="782">
        <v>3395</v>
      </c>
      <c r="AD3399" s="782" t="s">
        <v>4573</v>
      </c>
      <c r="AE3399" s="782" t="s">
        <v>2343</v>
      </c>
      <c r="AF3399" s="781">
        <f>$S$1*P!AF3399</f>
        <v>4.0443548387096774E-2</v>
      </c>
    </row>
    <row r="3400" spans="19:32" x14ac:dyDescent="0.35">
      <c r="S3400" s="782">
        <v>3396</v>
      </c>
      <c r="T3400" s="782" t="s">
        <v>4284</v>
      </c>
      <c r="U3400" s="782" t="s">
        <v>4309</v>
      </c>
      <c r="V3400" s="797">
        <f>$S$1*P!V3400</f>
        <v>1.2030241935483871E-4</v>
      </c>
      <c r="W3400" s="780"/>
      <c r="X3400" s="881">
        <v>3396</v>
      </c>
      <c r="Y3400" s="881" t="s">
        <v>2248</v>
      </c>
      <c r="Z3400" s="881" t="s">
        <v>4651</v>
      </c>
      <c r="AA3400" s="882">
        <f>$S$1*P!AA3400</f>
        <v>1.7856854838709679E-5</v>
      </c>
      <c r="AB3400" s="780"/>
      <c r="AC3400" s="881">
        <v>3396</v>
      </c>
      <c r="AD3400" s="881" t="s">
        <v>4573</v>
      </c>
      <c r="AE3400" s="881" t="s">
        <v>2343</v>
      </c>
      <c r="AF3400" s="890">
        <f>$S$1*P!AF3400</f>
        <v>0</v>
      </c>
    </row>
    <row r="3401" spans="19:32" x14ac:dyDescent="0.35">
      <c r="S3401" s="782">
        <v>3397</v>
      </c>
      <c r="T3401" s="782" t="s">
        <v>4284</v>
      </c>
      <c r="U3401" s="782" t="s">
        <v>2598</v>
      </c>
      <c r="V3401" s="797">
        <f>$S$1*P!V3401</f>
        <v>6.3407258064516136E-4</v>
      </c>
      <c r="W3401" s="780"/>
      <c r="X3401" s="782">
        <v>3397</v>
      </c>
      <c r="Y3401" s="782" t="s">
        <v>2248</v>
      </c>
      <c r="Z3401" s="782" t="s">
        <v>2881</v>
      </c>
      <c r="AA3401" s="781">
        <f>$S$1*P!AA3401</f>
        <v>5.4153225806451615E-3</v>
      </c>
      <c r="AB3401" s="780"/>
      <c r="AC3401" s="782">
        <v>3397</v>
      </c>
      <c r="AD3401" s="782" t="s">
        <v>4573</v>
      </c>
      <c r="AE3401" s="782" t="s">
        <v>2342</v>
      </c>
      <c r="AF3401" s="781">
        <f>$S$1*P!AF3401</f>
        <v>2.1387096774193551E-2</v>
      </c>
    </row>
    <row r="3402" spans="19:32" x14ac:dyDescent="0.35">
      <c r="S3402" s="881">
        <v>3398</v>
      </c>
      <c r="T3402" s="881" t="s">
        <v>4284</v>
      </c>
      <c r="U3402" s="881" t="s">
        <v>2598</v>
      </c>
      <c r="V3402" s="883">
        <f>$S$1*P!V3402</f>
        <v>0</v>
      </c>
      <c r="W3402" s="780"/>
      <c r="X3402" s="782">
        <v>3398</v>
      </c>
      <c r="Y3402" s="782" t="s">
        <v>2248</v>
      </c>
      <c r="Z3402" s="782" t="s">
        <v>2878</v>
      </c>
      <c r="AA3402" s="781">
        <f>$S$1*P!AA3402</f>
        <v>9.1512096774193558E-5</v>
      </c>
      <c r="AB3402" s="780"/>
      <c r="AC3402" s="881">
        <v>3398</v>
      </c>
      <c r="AD3402" s="881" t="s">
        <v>4573</v>
      </c>
      <c r="AE3402" s="881" t="s">
        <v>2342</v>
      </c>
      <c r="AF3402" s="890">
        <f>$S$1*P!AF3402</f>
        <v>1.1592</v>
      </c>
    </row>
    <row r="3403" spans="19:32" x14ac:dyDescent="0.35">
      <c r="S3403" s="782">
        <v>3399</v>
      </c>
      <c r="T3403" s="782" t="s">
        <v>4284</v>
      </c>
      <c r="U3403" s="782" t="s">
        <v>4308</v>
      </c>
      <c r="V3403" s="797">
        <f>$S$1*P!V3403</f>
        <v>1.3298387096774193E-3</v>
      </c>
      <c r="W3403" s="780"/>
      <c r="X3403" s="782">
        <v>3399</v>
      </c>
      <c r="Y3403" s="782" t="s">
        <v>2248</v>
      </c>
      <c r="Z3403" s="782" t="s">
        <v>4650</v>
      </c>
      <c r="AA3403" s="781">
        <f>$S$1*P!AA3403</f>
        <v>3.4274193548387099E-5</v>
      </c>
      <c r="AB3403" s="780"/>
      <c r="AC3403" s="782">
        <v>3399</v>
      </c>
      <c r="AD3403" s="782" t="s">
        <v>4573</v>
      </c>
      <c r="AE3403" s="782" t="s">
        <v>2340</v>
      </c>
      <c r="AF3403" s="781">
        <f>$S$1*P!AF3403</f>
        <v>7.4375000000000005E-3</v>
      </c>
    </row>
    <row r="3404" spans="19:32" x14ac:dyDescent="0.35">
      <c r="S3404" s="782">
        <v>3400</v>
      </c>
      <c r="T3404" s="782" t="s">
        <v>4284</v>
      </c>
      <c r="U3404" s="782" t="s">
        <v>4307</v>
      </c>
      <c r="V3404" s="797">
        <f>$S$1*P!V3404</f>
        <v>1.4258064516129035E-3</v>
      </c>
      <c r="W3404" s="780"/>
      <c r="X3404" s="782">
        <v>3400</v>
      </c>
      <c r="Y3404" s="782" t="s">
        <v>2248</v>
      </c>
      <c r="Z3404" s="782" t="s">
        <v>2875</v>
      </c>
      <c r="AA3404" s="781">
        <f>$S$1*P!AA3404</f>
        <v>3.0058467741935486E-3</v>
      </c>
      <c r="AB3404" s="780"/>
      <c r="AC3404" s="881">
        <v>3400</v>
      </c>
      <c r="AD3404" s="881" t="s">
        <v>4573</v>
      </c>
      <c r="AE3404" s="881" t="s">
        <v>2340</v>
      </c>
      <c r="AF3404" s="890">
        <f>$S$1*P!AF3404</f>
        <v>0.44528000000000006</v>
      </c>
    </row>
    <row r="3405" spans="19:32" x14ac:dyDescent="0.35">
      <c r="S3405" s="782">
        <v>3401</v>
      </c>
      <c r="T3405" s="782" t="s">
        <v>4284</v>
      </c>
      <c r="U3405" s="782" t="s">
        <v>4305</v>
      </c>
      <c r="V3405" s="797">
        <f>$S$1*P!V3405</f>
        <v>9.8709677419354849E-4</v>
      </c>
      <c r="W3405" s="780"/>
      <c r="X3405" s="782">
        <v>3401</v>
      </c>
      <c r="Y3405" s="782" t="s">
        <v>2248</v>
      </c>
      <c r="Z3405" s="782" t="s">
        <v>2872</v>
      </c>
      <c r="AA3405" s="781">
        <f>$S$1*P!AA3405</f>
        <v>8.1572580645161295E-4</v>
      </c>
      <c r="AB3405" s="780"/>
      <c r="AC3405" s="881">
        <v>3401</v>
      </c>
      <c r="AD3405" s="881" t="s">
        <v>4573</v>
      </c>
      <c r="AE3405" s="881" t="s">
        <v>2338</v>
      </c>
      <c r="AF3405" s="890">
        <f>$S$1*P!AF3405</f>
        <v>0</v>
      </c>
    </row>
    <row r="3406" spans="19:32" x14ac:dyDescent="0.35">
      <c r="S3406" s="881">
        <v>3402</v>
      </c>
      <c r="T3406" s="881" t="s">
        <v>4284</v>
      </c>
      <c r="U3406" s="881" t="s">
        <v>2596</v>
      </c>
      <c r="V3406" s="883">
        <f>$S$1*P!V3406</f>
        <v>127.88</v>
      </c>
      <c r="W3406" s="780"/>
      <c r="X3406" s="881">
        <v>3402</v>
      </c>
      <c r="Y3406" s="881" t="s">
        <v>2248</v>
      </c>
      <c r="Z3406" s="881" t="s">
        <v>4649</v>
      </c>
      <c r="AA3406" s="882">
        <f>$S$1*P!AA3406</f>
        <v>4.72983870967742E-4</v>
      </c>
      <c r="AB3406" s="780"/>
      <c r="AC3406" s="782">
        <v>3402</v>
      </c>
      <c r="AD3406" s="782" t="s">
        <v>4573</v>
      </c>
      <c r="AE3406" s="782" t="s">
        <v>2337</v>
      </c>
      <c r="AF3406" s="781">
        <f>$S$1*P!AF3406</f>
        <v>3.0812500000000002E-3</v>
      </c>
    </row>
    <row r="3407" spans="19:32" x14ac:dyDescent="0.35">
      <c r="S3407" s="782">
        <v>3403</v>
      </c>
      <c r="T3407" s="782" t="s">
        <v>4284</v>
      </c>
      <c r="U3407" s="782" t="s">
        <v>4303</v>
      </c>
      <c r="V3407" s="797">
        <f>$S$1*P!V3407</f>
        <v>1.0693548387096775E-4</v>
      </c>
      <c r="W3407" s="780"/>
      <c r="X3407" s="881">
        <v>3403</v>
      </c>
      <c r="Y3407" s="881" t="s">
        <v>2248</v>
      </c>
      <c r="Z3407" s="881" t="s">
        <v>2807</v>
      </c>
      <c r="AA3407" s="882">
        <f>$S$1*P!AA3407</f>
        <v>0.21251999999999999</v>
      </c>
      <c r="AB3407" s="780"/>
      <c r="AC3407" s="881">
        <v>3403</v>
      </c>
      <c r="AD3407" s="881" t="s">
        <v>4573</v>
      </c>
      <c r="AE3407" s="881" t="s">
        <v>2337</v>
      </c>
      <c r="AF3407" s="890">
        <f>$S$1*P!AF3407</f>
        <v>0.98439999999999994</v>
      </c>
    </row>
    <row r="3408" spans="19:32" x14ac:dyDescent="0.35">
      <c r="S3408" s="881">
        <v>3404</v>
      </c>
      <c r="T3408" s="881" t="s">
        <v>4284</v>
      </c>
      <c r="U3408" s="881" t="s">
        <v>2595</v>
      </c>
      <c r="V3408" s="883">
        <f>$S$1*P!V3408</f>
        <v>0.34776000000000001</v>
      </c>
      <c r="W3408" s="780"/>
      <c r="X3408" s="782">
        <v>3404</v>
      </c>
      <c r="Y3408" s="782" t="s">
        <v>2248</v>
      </c>
      <c r="Z3408" s="782" t="s">
        <v>2870</v>
      </c>
      <c r="AA3408" s="781">
        <f>$S$1*P!AA3408</f>
        <v>7.6774193548387098E-4</v>
      </c>
      <c r="AB3408" s="780"/>
      <c r="AC3408" s="782">
        <v>3404</v>
      </c>
      <c r="AD3408" s="782" t="s">
        <v>4573</v>
      </c>
      <c r="AE3408" s="782" t="s">
        <v>3830</v>
      </c>
      <c r="AF3408" s="781">
        <f>$S$1*P!AF3408</f>
        <v>1.3504032258064517E-2</v>
      </c>
    </row>
    <row r="3409" spans="19:32" x14ac:dyDescent="0.35">
      <c r="S3409" s="782">
        <v>3405</v>
      </c>
      <c r="T3409" s="782" t="s">
        <v>4284</v>
      </c>
      <c r="U3409" s="782" t="s">
        <v>4301</v>
      </c>
      <c r="V3409" s="797">
        <f>$S$1*P!V3409</f>
        <v>1.2338709677419355E-5</v>
      </c>
      <c r="W3409" s="780"/>
      <c r="X3409" s="782">
        <v>3405</v>
      </c>
      <c r="Y3409" s="782" t="s">
        <v>2248</v>
      </c>
      <c r="Z3409" s="782" t="s">
        <v>4648</v>
      </c>
      <c r="AA3409" s="781">
        <f>$S$1*P!AA3409</f>
        <v>0.12441532258064517</v>
      </c>
      <c r="AB3409" s="780"/>
      <c r="AC3409" s="782">
        <v>3405</v>
      </c>
      <c r="AD3409" s="782" t="s">
        <v>4573</v>
      </c>
      <c r="AE3409" s="782" t="s">
        <v>2335</v>
      </c>
      <c r="AF3409" s="781">
        <f>$S$1*P!AF3409</f>
        <v>6.203629032258066E-4</v>
      </c>
    </row>
    <row r="3410" spans="19:32" x14ac:dyDescent="0.35">
      <c r="S3410" s="881">
        <v>3406</v>
      </c>
      <c r="T3410" s="881" t="s">
        <v>4284</v>
      </c>
      <c r="U3410" s="881" t="s">
        <v>2593</v>
      </c>
      <c r="V3410" s="883">
        <f>$S$1*P!V3410</f>
        <v>0</v>
      </c>
      <c r="W3410" s="780"/>
      <c r="X3410" s="782">
        <v>3406</v>
      </c>
      <c r="Y3410" s="782" t="s">
        <v>2248</v>
      </c>
      <c r="Z3410" s="782" t="s">
        <v>2867</v>
      </c>
      <c r="AA3410" s="781">
        <f>$S$1*P!AA3410</f>
        <v>3.4959677419354839E-4</v>
      </c>
      <c r="AB3410" s="780"/>
      <c r="AC3410" s="881">
        <v>3406</v>
      </c>
      <c r="AD3410" s="881" t="s">
        <v>4573</v>
      </c>
      <c r="AE3410" s="881" t="s">
        <v>2335</v>
      </c>
      <c r="AF3410" s="890">
        <f>$S$1*P!AF3410</f>
        <v>1.1867999999999999</v>
      </c>
    </row>
    <row r="3411" spans="19:32" x14ac:dyDescent="0.35">
      <c r="S3411" s="782">
        <v>3407</v>
      </c>
      <c r="T3411" s="782" t="s">
        <v>4284</v>
      </c>
      <c r="U3411" s="782" t="s">
        <v>2592</v>
      </c>
      <c r="V3411" s="797">
        <f>$S$1*P!V3411</f>
        <v>4.4213709677419358E-4</v>
      </c>
      <c r="W3411" s="780"/>
      <c r="X3411" s="782">
        <v>3407</v>
      </c>
      <c r="Y3411" s="782" t="s">
        <v>2248</v>
      </c>
      <c r="Z3411" s="782" t="s">
        <v>2864</v>
      </c>
      <c r="AA3411" s="781">
        <f>$S$1*P!AA3411</f>
        <v>1.0247983870967743E-5</v>
      </c>
      <c r="AB3411" s="780"/>
      <c r="AC3411" s="782">
        <v>3407</v>
      </c>
      <c r="AD3411" s="782" t="s">
        <v>4573</v>
      </c>
      <c r="AE3411" s="782" t="s">
        <v>2333</v>
      </c>
      <c r="AF3411" s="781">
        <f>$S$1*P!AF3411</f>
        <v>19.844758064516132</v>
      </c>
    </row>
    <row r="3412" spans="19:32" x14ac:dyDescent="0.35">
      <c r="S3412" s="881">
        <v>3408</v>
      </c>
      <c r="T3412" s="881" t="s">
        <v>4284</v>
      </c>
      <c r="U3412" s="881" t="s">
        <v>2592</v>
      </c>
      <c r="V3412" s="883">
        <f>$S$1*P!V3412</f>
        <v>0</v>
      </c>
      <c r="W3412" s="780"/>
      <c r="X3412" s="881">
        <v>3408</v>
      </c>
      <c r="Y3412" s="881" t="s">
        <v>2248</v>
      </c>
      <c r="Z3412" s="881" t="s">
        <v>4647</v>
      </c>
      <c r="AA3412" s="882">
        <f>$S$1*P!AA3412</f>
        <v>8.1572580645161291E-3</v>
      </c>
      <c r="AB3412" s="780"/>
      <c r="AC3412" s="881">
        <v>3408</v>
      </c>
      <c r="AD3412" s="881" t="s">
        <v>4573</v>
      </c>
      <c r="AE3412" s="881" t="s">
        <v>2333</v>
      </c>
      <c r="AF3412" s="890">
        <f>$S$1*P!AF3412</f>
        <v>0</v>
      </c>
    </row>
    <row r="3413" spans="19:32" x14ac:dyDescent="0.35">
      <c r="S3413" s="782">
        <v>3409</v>
      </c>
      <c r="T3413" s="782" t="s">
        <v>4284</v>
      </c>
      <c r="U3413" s="782" t="s">
        <v>2590</v>
      </c>
      <c r="V3413" s="797">
        <f>$S$1*P!V3413</f>
        <v>3.3554435483870972</v>
      </c>
      <c r="W3413" s="780"/>
      <c r="X3413" s="782">
        <v>3409</v>
      </c>
      <c r="Y3413" s="782" t="s">
        <v>2248</v>
      </c>
      <c r="Z3413" s="782" t="s">
        <v>2861</v>
      </c>
      <c r="AA3413" s="781">
        <f>$S$1*P!AA3413</f>
        <v>9.1512096774193558E-5</v>
      </c>
      <c r="AB3413" s="780"/>
      <c r="AC3413" s="881">
        <v>3409</v>
      </c>
      <c r="AD3413" s="881" t="s">
        <v>4573</v>
      </c>
      <c r="AE3413" s="881" t="s">
        <v>2332</v>
      </c>
      <c r="AF3413" s="890">
        <f>$S$1*P!AF3413</f>
        <v>0.24840000000000001</v>
      </c>
    </row>
    <row r="3414" spans="19:32" x14ac:dyDescent="0.35">
      <c r="S3414" s="881">
        <v>3410</v>
      </c>
      <c r="T3414" s="881" t="s">
        <v>4284</v>
      </c>
      <c r="U3414" s="881" t="s">
        <v>2590</v>
      </c>
      <c r="V3414" s="883">
        <f>$S$1*P!V3414</f>
        <v>0</v>
      </c>
      <c r="W3414" s="780"/>
      <c r="X3414" s="782">
        <v>3410</v>
      </c>
      <c r="Y3414" s="782" t="s">
        <v>2248</v>
      </c>
      <c r="Z3414" s="782" t="s">
        <v>2859</v>
      </c>
      <c r="AA3414" s="781">
        <f>$S$1*P!AA3414</f>
        <v>6.1008064516129036E-2</v>
      </c>
      <c r="AB3414" s="780"/>
      <c r="AC3414" s="782">
        <v>3410</v>
      </c>
      <c r="AD3414" s="782" t="s">
        <v>4573</v>
      </c>
      <c r="AE3414" s="782" t="s">
        <v>3822</v>
      </c>
      <c r="AF3414" s="781">
        <f>$S$1*P!AF3414</f>
        <v>9.1854838709677422E-2</v>
      </c>
    </row>
    <row r="3415" spans="19:32" x14ac:dyDescent="0.35">
      <c r="S3415" s="782">
        <v>3411</v>
      </c>
      <c r="T3415" s="782" t="s">
        <v>4284</v>
      </c>
      <c r="U3415" s="782" t="s">
        <v>4298</v>
      </c>
      <c r="V3415" s="797">
        <f>$S$1*P!V3415</f>
        <v>0.68891129032258069</v>
      </c>
      <c r="W3415" s="780"/>
      <c r="X3415" s="782">
        <v>3411</v>
      </c>
      <c r="Y3415" s="782" t="s">
        <v>2248</v>
      </c>
      <c r="Z3415" s="782" t="s">
        <v>2856</v>
      </c>
      <c r="AA3415" s="781">
        <f>$S$1*P!AA3415</f>
        <v>1.2750000000000001E-4</v>
      </c>
      <c r="AB3415" s="780"/>
      <c r="AC3415" s="782">
        <v>3411</v>
      </c>
      <c r="AD3415" s="782" t="s">
        <v>4573</v>
      </c>
      <c r="AE3415" s="782" t="s">
        <v>2330</v>
      </c>
      <c r="AF3415" s="781">
        <f>$S$1*P!AF3415</f>
        <v>0.10213709677419355</v>
      </c>
    </row>
    <row r="3416" spans="19:32" x14ac:dyDescent="0.35">
      <c r="S3416" s="782">
        <v>3412</v>
      </c>
      <c r="T3416" s="782" t="s">
        <v>4284</v>
      </c>
      <c r="U3416" s="782" t="s">
        <v>4296</v>
      </c>
      <c r="V3416" s="797">
        <f>$S$1*P!V3416</f>
        <v>3.7016129032258069E-7</v>
      </c>
      <c r="W3416" s="780"/>
      <c r="X3416" s="782">
        <v>3412</v>
      </c>
      <c r="Y3416" s="782" t="s">
        <v>2248</v>
      </c>
      <c r="Z3416" s="782" t="s">
        <v>4646</v>
      </c>
      <c r="AA3416" s="781">
        <f>$S$1*P!AA3416</f>
        <v>2.0838709677419357E-2</v>
      </c>
      <c r="AB3416" s="780"/>
      <c r="AC3416" s="881">
        <v>3412</v>
      </c>
      <c r="AD3416" s="881" t="s">
        <v>4573</v>
      </c>
      <c r="AE3416" s="881" t="s">
        <v>2330</v>
      </c>
      <c r="AF3416" s="890">
        <f>$S$1*P!AF3416</f>
        <v>0</v>
      </c>
    </row>
    <row r="3417" spans="19:32" x14ac:dyDescent="0.35">
      <c r="S3417" s="881">
        <v>3413</v>
      </c>
      <c r="T3417" s="881" t="s">
        <v>4284</v>
      </c>
      <c r="U3417" s="881" t="s">
        <v>2588</v>
      </c>
      <c r="V3417" s="883">
        <f>$S$1*P!V3417</f>
        <v>4.5356000000000005</v>
      </c>
      <c r="W3417" s="780"/>
      <c r="X3417" s="881">
        <v>3413</v>
      </c>
      <c r="Y3417" s="881" t="s">
        <v>2248</v>
      </c>
      <c r="Z3417" s="881" t="s">
        <v>2805</v>
      </c>
      <c r="AA3417" s="882">
        <f>$S$1*P!AA3417</f>
        <v>37.72</v>
      </c>
      <c r="AB3417" s="780"/>
      <c r="AC3417" s="782">
        <v>3413</v>
      </c>
      <c r="AD3417" s="782" t="s">
        <v>4573</v>
      </c>
      <c r="AE3417" s="782" t="s">
        <v>3818</v>
      </c>
      <c r="AF3417" s="781">
        <f>$S$1*P!AF3417</f>
        <v>4.0786290322580646E-2</v>
      </c>
    </row>
    <row r="3418" spans="19:32" x14ac:dyDescent="0.35">
      <c r="S3418" s="782">
        <v>3414</v>
      </c>
      <c r="T3418" s="782" t="s">
        <v>4284</v>
      </c>
      <c r="U3418" s="782" t="s">
        <v>4294</v>
      </c>
      <c r="V3418" s="797">
        <f>$S$1*P!V3418</f>
        <v>1.5697580645161292E-2</v>
      </c>
      <c r="W3418" s="780"/>
      <c r="X3418" s="881">
        <v>3414</v>
      </c>
      <c r="Y3418" s="881" t="s">
        <v>2248</v>
      </c>
      <c r="Z3418" s="881" t="s">
        <v>2804</v>
      </c>
      <c r="AA3418" s="882">
        <f>$S$1*P!AA3418</f>
        <v>0</v>
      </c>
      <c r="AB3418" s="780"/>
      <c r="AC3418" s="881">
        <v>3414</v>
      </c>
      <c r="AD3418" s="881" t="s">
        <v>4573</v>
      </c>
      <c r="AE3418" s="881" t="s">
        <v>2329</v>
      </c>
      <c r="AF3418" s="890">
        <f>$S$1*P!AF3418</f>
        <v>0</v>
      </c>
    </row>
    <row r="3419" spans="19:32" x14ac:dyDescent="0.35">
      <c r="S3419" s="782">
        <v>3415</v>
      </c>
      <c r="T3419" s="782" t="s">
        <v>4284</v>
      </c>
      <c r="U3419" s="782" t="s">
        <v>4292</v>
      </c>
      <c r="V3419" s="797">
        <f>$S$1*P!V3419</f>
        <v>2.8104838709677421E-6</v>
      </c>
      <c r="W3419" s="780"/>
      <c r="X3419" s="881">
        <v>3415</v>
      </c>
      <c r="Y3419" s="881" t="s">
        <v>2248</v>
      </c>
      <c r="Z3419" s="881" t="s">
        <v>4645</v>
      </c>
      <c r="AA3419" s="882">
        <f>$S$1*P!AA3419</f>
        <v>4.8326612903225809E-5</v>
      </c>
      <c r="AB3419" s="780"/>
      <c r="AC3419" s="881">
        <v>3415</v>
      </c>
      <c r="AD3419" s="881" t="s">
        <v>4573</v>
      </c>
      <c r="AE3419" s="881" t="s">
        <v>2327</v>
      </c>
      <c r="AF3419" s="890">
        <f>$S$1*P!AF3419</f>
        <v>0</v>
      </c>
    </row>
    <row r="3420" spans="19:32" x14ac:dyDescent="0.35">
      <c r="S3420" s="782">
        <v>3416</v>
      </c>
      <c r="T3420" s="782" t="s">
        <v>4284</v>
      </c>
      <c r="U3420" s="782" t="s">
        <v>4291</v>
      </c>
      <c r="V3420" s="797">
        <f>$S$1*P!V3420</f>
        <v>2.340927419354839E-2</v>
      </c>
      <c r="W3420" s="780"/>
      <c r="X3420" s="782">
        <v>3416</v>
      </c>
      <c r="Y3420" s="782" t="s">
        <v>2248</v>
      </c>
      <c r="Z3420" s="782" t="s">
        <v>2804</v>
      </c>
      <c r="AA3420" s="781">
        <f>$S$1*P!AA3420</f>
        <v>4.215725806451613E-5</v>
      </c>
      <c r="AB3420" s="780"/>
      <c r="AC3420" s="881">
        <v>3416</v>
      </c>
      <c r="AD3420" s="881" t="s">
        <v>4573</v>
      </c>
      <c r="AE3420" s="881" t="s">
        <v>2326</v>
      </c>
      <c r="AF3420" s="890">
        <f>$S$1*P!AF3420</f>
        <v>0</v>
      </c>
    </row>
    <row r="3421" spans="19:32" x14ac:dyDescent="0.35">
      <c r="S3421" s="782">
        <v>3417</v>
      </c>
      <c r="T3421" s="782" t="s">
        <v>4284</v>
      </c>
      <c r="U3421" s="782" t="s">
        <v>4289</v>
      </c>
      <c r="V3421" s="797">
        <f>$S$1*P!V3421</f>
        <v>0.49354838709677423</v>
      </c>
      <c r="W3421" s="780"/>
      <c r="X3421" s="782">
        <v>3417</v>
      </c>
      <c r="Y3421" s="782" t="s">
        <v>2248</v>
      </c>
      <c r="Z3421" s="782" t="s">
        <v>2851</v>
      </c>
      <c r="AA3421" s="781">
        <f>$S$1*P!AA3421</f>
        <v>1.5629032258064515E-4</v>
      </c>
      <c r="AB3421" s="780"/>
      <c r="AC3421" s="782">
        <v>3417</v>
      </c>
      <c r="AD3421" s="782" t="s">
        <v>4573</v>
      </c>
      <c r="AE3421" s="782" t="s">
        <v>3813</v>
      </c>
      <c r="AF3421" s="781">
        <f>$S$1*P!AF3421</f>
        <v>0.12372983870967742</v>
      </c>
    </row>
    <row r="3422" spans="19:32" x14ac:dyDescent="0.35">
      <c r="S3422" s="782">
        <v>3418</v>
      </c>
      <c r="T3422" s="782" t="s">
        <v>4284</v>
      </c>
      <c r="U3422" s="782" t="s">
        <v>2587</v>
      </c>
      <c r="V3422" s="797">
        <f>$S$1*P!V3422</f>
        <v>0.17034274193548388</v>
      </c>
      <c r="W3422" s="780"/>
      <c r="X3422" s="782">
        <v>3418</v>
      </c>
      <c r="Y3422" s="782" t="s">
        <v>2248</v>
      </c>
      <c r="Z3422" s="782" t="s">
        <v>2848</v>
      </c>
      <c r="AA3422" s="781">
        <f>$S$1*P!AA3422</f>
        <v>2.0256048387096777</v>
      </c>
      <c r="AB3422" s="780"/>
      <c r="AC3422" s="782">
        <v>3418</v>
      </c>
      <c r="AD3422" s="782" t="s">
        <v>4573</v>
      </c>
      <c r="AE3422" s="782" t="s">
        <v>2324</v>
      </c>
      <c r="AF3422" s="781">
        <f>$S$1*P!AF3422</f>
        <v>1.9159274193548388E-3</v>
      </c>
    </row>
    <row r="3423" spans="19:32" x14ac:dyDescent="0.35">
      <c r="S3423" s="881">
        <v>3419</v>
      </c>
      <c r="T3423" s="881" t="s">
        <v>4284</v>
      </c>
      <c r="U3423" s="881" t="s">
        <v>2587</v>
      </c>
      <c r="V3423" s="883">
        <f>$S$1*P!V3423</f>
        <v>0</v>
      </c>
      <c r="W3423" s="780"/>
      <c r="X3423" s="881">
        <v>3419</v>
      </c>
      <c r="Y3423" s="881" t="s">
        <v>2248</v>
      </c>
      <c r="Z3423" s="881" t="s">
        <v>4644</v>
      </c>
      <c r="AA3423" s="882">
        <f>$S$1*P!AA3423</f>
        <v>2.7967741935483876E-4</v>
      </c>
      <c r="AB3423" s="780"/>
      <c r="AC3423" s="881">
        <v>3419</v>
      </c>
      <c r="AD3423" s="881" t="s">
        <v>4573</v>
      </c>
      <c r="AE3423" s="881" t="s">
        <v>2324</v>
      </c>
      <c r="AF3423" s="890">
        <f>$S$1*P!AF3423</f>
        <v>2.9992E-3</v>
      </c>
    </row>
    <row r="3424" spans="19:32" x14ac:dyDescent="0.35">
      <c r="S3424" s="782">
        <v>3420</v>
      </c>
      <c r="T3424" s="782" t="s">
        <v>4284</v>
      </c>
      <c r="U3424" s="782" t="s">
        <v>2585</v>
      </c>
      <c r="V3424" s="797">
        <f>$S$1*P!V3424</f>
        <v>1.4840725806451614E-5</v>
      </c>
      <c r="W3424" s="780"/>
      <c r="X3424" s="782">
        <v>3420</v>
      </c>
      <c r="Y3424" s="782" t="s">
        <v>2248</v>
      </c>
      <c r="Z3424" s="782" t="s">
        <v>2846</v>
      </c>
      <c r="AA3424" s="781">
        <f>$S$1*P!AA3424</f>
        <v>5.3467741935483873E-4</v>
      </c>
      <c r="AB3424" s="780"/>
      <c r="AC3424" s="782">
        <v>3420</v>
      </c>
      <c r="AD3424" s="782" t="s">
        <v>4573</v>
      </c>
      <c r="AE3424" s="782" t="s">
        <v>2323</v>
      </c>
      <c r="AF3424" s="781">
        <f>$S$1*P!AF3424</f>
        <v>5.0725806451612911E-4</v>
      </c>
    </row>
    <row r="3425" spans="19:32" x14ac:dyDescent="0.35">
      <c r="S3425" s="881">
        <v>3421</v>
      </c>
      <c r="T3425" s="881" t="s">
        <v>4284</v>
      </c>
      <c r="U3425" s="881" t="s">
        <v>2585</v>
      </c>
      <c r="V3425" s="883">
        <f>$S$1*P!V3425</f>
        <v>0.19136</v>
      </c>
      <c r="W3425" s="780"/>
      <c r="X3425" s="782">
        <v>3421</v>
      </c>
      <c r="Y3425" s="782" t="s">
        <v>2248</v>
      </c>
      <c r="Z3425" s="782" t="s">
        <v>2843</v>
      </c>
      <c r="AA3425" s="781">
        <f>$S$1*P!AA3425</f>
        <v>7.3346774193548393E-5</v>
      </c>
      <c r="AB3425" s="780"/>
      <c r="AC3425" s="881">
        <v>3421</v>
      </c>
      <c r="AD3425" s="881" t="s">
        <v>4573</v>
      </c>
      <c r="AE3425" s="881" t="s">
        <v>2323</v>
      </c>
      <c r="AF3425" s="890">
        <f>$S$1*P!AF3425</f>
        <v>1.0211999999999999</v>
      </c>
    </row>
    <row r="3426" spans="19:32" x14ac:dyDescent="0.35">
      <c r="S3426" s="782">
        <v>3422</v>
      </c>
      <c r="T3426" s="782" t="s">
        <v>4284</v>
      </c>
      <c r="U3426" s="782" t="s">
        <v>2584</v>
      </c>
      <c r="V3426" s="797">
        <f>$S$1*P!V3426</f>
        <v>1.5868951612903228E-4</v>
      </c>
      <c r="W3426" s="780"/>
      <c r="X3426" s="881">
        <v>3422</v>
      </c>
      <c r="Y3426" s="881" t="s">
        <v>2248</v>
      </c>
      <c r="Z3426" s="881" t="s">
        <v>4643</v>
      </c>
      <c r="AA3426" s="882">
        <f>$S$1*P!AA3426</f>
        <v>6.7520161290322587E-6</v>
      </c>
      <c r="AB3426" s="780"/>
      <c r="AC3426" s="782">
        <v>3422</v>
      </c>
      <c r="AD3426" s="782" t="s">
        <v>4573</v>
      </c>
      <c r="AE3426" s="782" t="s">
        <v>2321</v>
      </c>
      <c r="AF3426" s="781">
        <f>$S$1*P!AF3426</f>
        <v>0.34068548387096775</v>
      </c>
    </row>
    <row r="3427" spans="19:32" x14ac:dyDescent="0.35">
      <c r="S3427" s="881">
        <v>3423</v>
      </c>
      <c r="T3427" s="881" t="s">
        <v>4284</v>
      </c>
      <c r="U3427" s="881" t="s">
        <v>2584</v>
      </c>
      <c r="V3427" s="883">
        <f>$S$1*P!V3427</f>
        <v>0.16836000000000001</v>
      </c>
      <c r="W3427" s="780"/>
      <c r="X3427" s="782">
        <v>3423</v>
      </c>
      <c r="Y3427" s="782" t="s">
        <v>2248</v>
      </c>
      <c r="Z3427" s="782" t="s">
        <v>2840</v>
      </c>
      <c r="AA3427" s="781">
        <f>$S$1*P!AA3427</f>
        <v>3.0915322580645165E-3</v>
      </c>
      <c r="AB3427" s="780"/>
      <c r="AC3427" s="881">
        <v>3423</v>
      </c>
      <c r="AD3427" s="881" t="s">
        <v>4573</v>
      </c>
      <c r="AE3427" s="881" t="s">
        <v>2321</v>
      </c>
      <c r="AF3427" s="890">
        <f>$S$1*P!AF3427</f>
        <v>1.1592</v>
      </c>
    </row>
    <row r="3428" spans="19:32" x14ac:dyDescent="0.35">
      <c r="S3428" s="782">
        <v>3424</v>
      </c>
      <c r="T3428" s="782" t="s">
        <v>4284</v>
      </c>
      <c r="U3428" s="782" t="s">
        <v>4281</v>
      </c>
      <c r="V3428" s="797">
        <f>$S$1*P!V3428</f>
        <v>1.4635080645161291E-4</v>
      </c>
      <c r="W3428" s="780"/>
      <c r="X3428" s="881">
        <v>3424</v>
      </c>
      <c r="Y3428" s="881" t="s">
        <v>2248</v>
      </c>
      <c r="Z3428" s="881" t="s">
        <v>2803</v>
      </c>
      <c r="AA3428" s="882">
        <f>$S$1*P!AA3428</f>
        <v>0</v>
      </c>
      <c r="AB3428" s="780"/>
      <c r="AC3428" s="782">
        <v>3424</v>
      </c>
      <c r="AD3428" s="782" t="s">
        <v>4573</v>
      </c>
      <c r="AE3428" s="782" t="s">
        <v>2319</v>
      </c>
      <c r="AF3428" s="781">
        <f>$S$1*P!AF3428</f>
        <v>7.5060483870967752E-3</v>
      </c>
    </row>
    <row r="3429" spans="19:32" x14ac:dyDescent="0.35">
      <c r="S3429" s="782">
        <v>3425</v>
      </c>
      <c r="T3429" s="782" t="s">
        <v>4284</v>
      </c>
      <c r="U3429" s="782" t="s">
        <v>4280</v>
      </c>
      <c r="V3429" s="797">
        <f>$S$1*P!V3429</f>
        <v>1.6725806451612903E-4</v>
      </c>
      <c r="W3429" s="780"/>
      <c r="X3429" s="881">
        <v>3425</v>
      </c>
      <c r="Y3429" s="881" t="s">
        <v>2248</v>
      </c>
      <c r="Z3429" s="881" t="s">
        <v>4642</v>
      </c>
      <c r="AA3429" s="882">
        <f>$S$1*P!AA3429</f>
        <v>1.9330645161290324E-4</v>
      </c>
      <c r="AB3429" s="780"/>
      <c r="AC3429" s="881">
        <v>3425</v>
      </c>
      <c r="AD3429" s="881" t="s">
        <v>4573</v>
      </c>
      <c r="AE3429" s="881" t="s">
        <v>2319</v>
      </c>
      <c r="AF3429" s="890">
        <f>$S$1*P!AF3429</f>
        <v>48.576000000000001</v>
      </c>
    </row>
    <row r="3430" spans="19:32" x14ac:dyDescent="0.35">
      <c r="S3430" s="782">
        <v>3426</v>
      </c>
      <c r="T3430" s="782" t="s">
        <v>4284</v>
      </c>
      <c r="U3430" s="782" t="s">
        <v>4279</v>
      </c>
      <c r="V3430" s="797">
        <f>$S$1*P!V3430</f>
        <v>1.8747983870967743E-3</v>
      </c>
      <c r="W3430" s="780"/>
      <c r="X3430" s="782">
        <v>3426</v>
      </c>
      <c r="Y3430" s="782" t="s">
        <v>2248</v>
      </c>
      <c r="Z3430" s="782" t="s">
        <v>2837</v>
      </c>
      <c r="AA3430" s="781">
        <f>$S$1*P!AA3430</f>
        <v>4.6612903225806462E-6</v>
      </c>
      <c r="AB3430" s="780"/>
      <c r="AC3430" s="881">
        <v>3426</v>
      </c>
      <c r="AD3430" s="881" t="s">
        <v>4573</v>
      </c>
      <c r="AE3430" s="881" t="s">
        <v>2318</v>
      </c>
      <c r="AF3430" s="890">
        <f>$S$1*P!AF3430</f>
        <v>27.232000000000003</v>
      </c>
    </row>
    <row r="3431" spans="19:32" x14ac:dyDescent="0.35">
      <c r="S3431" s="881">
        <v>3427</v>
      </c>
      <c r="T3431" s="881" t="s">
        <v>4284</v>
      </c>
      <c r="U3431" s="881" t="s">
        <v>2582</v>
      </c>
      <c r="V3431" s="883">
        <f>$S$1*P!V3431</f>
        <v>0</v>
      </c>
      <c r="W3431" s="780"/>
      <c r="X3431" s="881">
        <v>3427</v>
      </c>
      <c r="Y3431" s="881" t="s">
        <v>2248</v>
      </c>
      <c r="Z3431" s="881" t="s">
        <v>2802</v>
      </c>
      <c r="AA3431" s="882">
        <f>$S$1*P!AA3431</f>
        <v>9.7520000000000003E-3</v>
      </c>
      <c r="AB3431" s="780"/>
      <c r="AC3431" s="782">
        <v>3427</v>
      </c>
      <c r="AD3431" s="782" t="s">
        <v>4573</v>
      </c>
      <c r="AE3431" s="782" t="s">
        <v>3801</v>
      </c>
      <c r="AF3431" s="781">
        <f>$S$1*P!AF3431</f>
        <v>1.3298387096774193E-3</v>
      </c>
    </row>
    <row r="3432" spans="19:32" x14ac:dyDescent="0.35">
      <c r="S3432" s="782">
        <v>3428</v>
      </c>
      <c r="T3432" s="782" t="s">
        <v>4284</v>
      </c>
      <c r="U3432" s="782" t="s">
        <v>4276</v>
      </c>
      <c r="V3432" s="797">
        <f>$S$1*P!V3432</f>
        <v>3.4137096774193554E-4</v>
      </c>
      <c r="W3432" s="780"/>
      <c r="X3432" s="782">
        <v>3428</v>
      </c>
      <c r="Y3432" s="782" t="s">
        <v>2248</v>
      </c>
      <c r="Z3432" s="782" t="s">
        <v>4641</v>
      </c>
      <c r="AA3432" s="781">
        <f>$S$1*P!AA3432</f>
        <v>2.8310483870967745E-4</v>
      </c>
      <c r="AB3432" s="780"/>
      <c r="AC3432" s="782">
        <v>3428</v>
      </c>
      <c r="AD3432" s="782" t="s">
        <v>4573</v>
      </c>
      <c r="AE3432" s="782" t="s">
        <v>2316</v>
      </c>
      <c r="AF3432" s="781">
        <f>$S$1*P!AF3432</f>
        <v>0.37701612903225812</v>
      </c>
    </row>
    <row r="3433" spans="19:32" x14ac:dyDescent="0.35">
      <c r="S3433" s="782">
        <v>3429</v>
      </c>
      <c r="T3433" s="782" t="s">
        <v>4284</v>
      </c>
      <c r="U3433" s="782" t="s">
        <v>4275</v>
      </c>
      <c r="V3433" s="797">
        <f>$S$1*P!V3433</f>
        <v>3.4616935483870971E-3</v>
      </c>
      <c r="W3433" s="780"/>
      <c r="X3433" s="782">
        <v>3429</v>
      </c>
      <c r="Y3433" s="782" t="s">
        <v>2248</v>
      </c>
      <c r="Z3433" s="782" t="s">
        <v>2835</v>
      </c>
      <c r="AA3433" s="781">
        <f>$S$1*P!AA3433</f>
        <v>1.9159274193548388E-6</v>
      </c>
      <c r="AB3433" s="780"/>
      <c r="AC3433" s="881">
        <v>3429</v>
      </c>
      <c r="AD3433" s="881" t="s">
        <v>4573</v>
      </c>
      <c r="AE3433" s="881" t="s">
        <v>2316</v>
      </c>
      <c r="AF3433" s="890">
        <f>$S$1*P!AF3433</f>
        <v>0</v>
      </c>
    </row>
    <row r="3434" spans="19:32" x14ac:dyDescent="0.35">
      <c r="S3434" s="782">
        <v>3430</v>
      </c>
      <c r="T3434" s="782" t="s">
        <v>4284</v>
      </c>
      <c r="U3434" s="782" t="s">
        <v>4273</v>
      </c>
      <c r="V3434" s="797">
        <f>$S$1*P!V3434</f>
        <v>3.0881048387096778E-6</v>
      </c>
      <c r="W3434" s="780"/>
      <c r="X3434" s="782">
        <v>3430</v>
      </c>
      <c r="Y3434" s="782" t="s">
        <v>2248</v>
      </c>
      <c r="Z3434" s="782" t="s">
        <v>2832</v>
      </c>
      <c r="AA3434" s="781">
        <f>$S$1*P!AA3434</f>
        <v>2.1352822580645161</v>
      </c>
      <c r="AB3434" s="780"/>
      <c r="AC3434" s="782">
        <v>3430</v>
      </c>
      <c r="AD3434" s="782" t="s">
        <v>4573</v>
      </c>
      <c r="AE3434" s="782" t="s">
        <v>2315</v>
      </c>
      <c r="AF3434" s="781">
        <f>$S$1*P!AF3434</f>
        <v>4.2157258064516132E-2</v>
      </c>
    </row>
    <row r="3435" spans="19:32" x14ac:dyDescent="0.35">
      <c r="S3435" s="782">
        <v>3431</v>
      </c>
      <c r="T3435" s="782" t="s">
        <v>4284</v>
      </c>
      <c r="U3435" s="782" t="s">
        <v>4272</v>
      </c>
      <c r="V3435" s="797">
        <f>$S$1*P!V3435</f>
        <v>2.8173387096774197E-3</v>
      </c>
      <c r="W3435" s="780"/>
      <c r="X3435" s="881">
        <v>3431</v>
      </c>
      <c r="Y3435" s="881" t="s">
        <v>2248</v>
      </c>
      <c r="Z3435" s="881" t="s">
        <v>4640</v>
      </c>
      <c r="AA3435" s="882">
        <f>$S$1*P!AA3435</f>
        <v>1.3264112903225806</v>
      </c>
      <c r="AB3435" s="780"/>
      <c r="AC3435" s="881">
        <v>3431</v>
      </c>
      <c r="AD3435" s="881" t="s">
        <v>4573</v>
      </c>
      <c r="AE3435" s="881" t="s">
        <v>2315</v>
      </c>
      <c r="AF3435" s="890">
        <f>$S$1*P!AF3435</f>
        <v>332.12</v>
      </c>
    </row>
    <row r="3436" spans="19:32" x14ac:dyDescent="0.35">
      <c r="S3436" s="782">
        <v>3432</v>
      </c>
      <c r="T3436" s="782" t="s">
        <v>4284</v>
      </c>
      <c r="U3436" s="782" t="s">
        <v>4639</v>
      </c>
      <c r="V3436" s="797">
        <f>$S$1*P!V3436</f>
        <v>1.5114919354838711E-3</v>
      </c>
      <c r="W3436" s="780"/>
      <c r="X3436" s="881">
        <v>3432</v>
      </c>
      <c r="Y3436" s="881" t="s">
        <v>2248</v>
      </c>
      <c r="Z3436" s="881" t="s">
        <v>2800</v>
      </c>
      <c r="AA3436" s="882">
        <f>$S$1*P!AA3436</f>
        <v>0.38547999999999999</v>
      </c>
      <c r="AB3436" s="780"/>
      <c r="AC3436" s="782">
        <v>3432</v>
      </c>
      <c r="AD3436" s="782" t="s">
        <v>4573</v>
      </c>
      <c r="AE3436" s="782" t="s">
        <v>3794</v>
      </c>
      <c r="AF3436" s="781">
        <f>$S$1*P!AF3436</f>
        <v>6.4778225806451616E-3</v>
      </c>
    </row>
    <row r="3437" spans="19:32" x14ac:dyDescent="0.35">
      <c r="S3437" s="782">
        <v>3433</v>
      </c>
      <c r="T3437" s="782" t="s">
        <v>4284</v>
      </c>
      <c r="U3437" s="782" t="s">
        <v>4638</v>
      </c>
      <c r="V3437" s="797">
        <f>$S$1*P!V3437</f>
        <v>6.3750000000000005E-4</v>
      </c>
      <c r="W3437" s="780"/>
      <c r="X3437" s="782">
        <v>3433</v>
      </c>
      <c r="Y3437" s="782" t="s">
        <v>2248</v>
      </c>
      <c r="Z3437" s="782" t="s">
        <v>2800</v>
      </c>
      <c r="AA3437" s="781">
        <f>$S$1*P!AA3437</f>
        <v>4.9697580645161298E-3</v>
      </c>
      <c r="AB3437" s="780"/>
      <c r="AC3437" s="782">
        <v>3433</v>
      </c>
      <c r="AD3437" s="782" t="s">
        <v>4573</v>
      </c>
      <c r="AE3437" s="782" t="s">
        <v>3791</v>
      </c>
      <c r="AF3437" s="781">
        <f>$S$1*P!AF3437</f>
        <v>1.5320564516129034E-2</v>
      </c>
    </row>
    <row r="3438" spans="19:32" x14ac:dyDescent="0.35">
      <c r="S3438" s="782">
        <v>3434</v>
      </c>
      <c r="T3438" s="782" t="s">
        <v>4284</v>
      </c>
      <c r="U3438" s="782" t="s">
        <v>4268</v>
      </c>
      <c r="V3438" s="797">
        <f>$S$1*P!V3438</f>
        <v>8.1572580645161291E-3</v>
      </c>
      <c r="W3438" s="780"/>
      <c r="X3438" s="881">
        <v>3434</v>
      </c>
      <c r="Y3438" s="881" t="s">
        <v>2248</v>
      </c>
      <c r="Z3438" s="881" t="s">
        <v>2798</v>
      </c>
      <c r="AA3438" s="882">
        <f>$S$1*P!AA3438</f>
        <v>0</v>
      </c>
      <c r="AB3438" s="780"/>
      <c r="AC3438" s="881">
        <v>3434</v>
      </c>
      <c r="AD3438" s="881" t="s">
        <v>4573</v>
      </c>
      <c r="AE3438" s="881" t="s">
        <v>2313</v>
      </c>
      <c r="AF3438" s="890">
        <f>$S$1*P!AF3438</f>
        <v>10.396000000000001</v>
      </c>
    </row>
    <row r="3439" spans="19:32" x14ac:dyDescent="0.35">
      <c r="S3439" s="782">
        <v>3435</v>
      </c>
      <c r="T3439" s="782" t="s">
        <v>4284</v>
      </c>
      <c r="U3439" s="782" t="s">
        <v>4266</v>
      </c>
      <c r="V3439" s="797">
        <f>$S$1*P!V3439</f>
        <v>3.1600806451612907E-3</v>
      </c>
      <c r="W3439" s="780"/>
      <c r="X3439" s="782">
        <v>3435</v>
      </c>
      <c r="Y3439" s="782" t="s">
        <v>2248</v>
      </c>
      <c r="Z3439" s="782" t="s">
        <v>4637</v>
      </c>
      <c r="AA3439" s="781">
        <f>$S$1*P!AA3439</f>
        <v>1.038508064516129E-2</v>
      </c>
      <c r="AB3439" s="780"/>
      <c r="AC3439" s="881">
        <v>3435</v>
      </c>
      <c r="AD3439" s="881" t="s">
        <v>4573</v>
      </c>
      <c r="AE3439" s="881" t="s">
        <v>2312</v>
      </c>
      <c r="AF3439" s="890">
        <f>$S$1*P!AF3439</f>
        <v>0.24656000000000003</v>
      </c>
    </row>
    <row r="3440" spans="19:32" x14ac:dyDescent="0.35">
      <c r="S3440" s="782">
        <v>3436</v>
      </c>
      <c r="T3440" s="782" t="s">
        <v>4284</v>
      </c>
      <c r="U3440" s="782" t="s">
        <v>4636</v>
      </c>
      <c r="V3440" s="797">
        <f>$S$1*P!V3440</f>
        <v>5.5866935483870977E-4</v>
      </c>
      <c r="W3440" s="780"/>
      <c r="X3440" s="782">
        <v>3436</v>
      </c>
      <c r="Y3440" s="782" t="s">
        <v>2248</v>
      </c>
      <c r="Z3440" s="782" t="s">
        <v>2827</v>
      </c>
      <c r="AA3440" s="781">
        <f>$S$1*P!AA3440</f>
        <v>8.4314516129032263E-2</v>
      </c>
      <c r="AB3440" s="780"/>
      <c r="AC3440" s="881">
        <v>3436</v>
      </c>
      <c r="AD3440" s="881" t="s">
        <v>4573</v>
      </c>
      <c r="AE3440" s="881" t="s">
        <v>2310</v>
      </c>
      <c r="AF3440" s="890">
        <f>$S$1*P!AF3440</f>
        <v>4.6920000000000003E-2</v>
      </c>
    </row>
    <row r="3441" spans="19:32" x14ac:dyDescent="0.35">
      <c r="S3441" s="782">
        <v>3437</v>
      </c>
      <c r="T3441" s="782" t="s">
        <v>4284</v>
      </c>
      <c r="U3441" s="782" t="s">
        <v>4265</v>
      </c>
      <c r="V3441" s="797">
        <f>$S$1*P!V3441</f>
        <v>2.1078629032258067E-4</v>
      </c>
      <c r="W3441" s="780"/>
      <c r="X3441" s="782">
        <v>3437</v>
      </c>
      <c r="Y3441" s="782" t="s">
        <v>2248</v>
      </c>
      <c r="Z3441" s="782" t="s">
        <v>2824</v>
      </c>
      <c r="AA3441" s="781">
        <f>$S$1*P!AA3441</f>
        <v>6.957661290322581</v>
      </c>
      <c r="AB3441" s="780"/>
      <c r="AC3441" s="881">
        <v>3437</v>
      </c>
      <c r="AD3441" s="881" t="s">
        <v>4573</v>
      </c>
      <c r="AE3441" s="881" t="s">
        <v>2308</v>
      </c>
      <c r="AF3441" s="890">
        <f>$S$1*P!AF3441</f>
        <v>0.79212000000000005</v>
      </c>
    </row>
    <row r="3442" spans="19:32" x14ac:dyDescent="0.35">
      <c r="S3442" s="782">
        <v>3438</v>
      </c>
      <c r="T3442" s="782" t="s">
        <v>4284</v>
      </c>
      <c r="U3442" s="782" t="s">
        <v>4261</v>
      </c>
      <c r="V3442" s="797">
        <f>$S$1*P!V3442</f>
        <v>2.2620967741935484E-2</v>
      </c>
      <c r="W3442" s="780"/>
      <c r="X3442" s="881">
        <v>3438</v>
      </c>
      <c r="Y3442" s="881" t="s">
        <v>2248</v>
      </c>
      <c r="Z3442" s="881" t="s">
        <v>4635</v>
      </c>
      <c r="AA3442" s="882">
        <f>$S$1*P!AA3442</f>
        <v>5.9979838709677425E-4</v>
      </c>
      <c r="AB3442" s="780"/>
      <c r="AC3442" s="881">
        <v>3438</v>
      </c>
      <c r="AD3442" s="881" t="s">
        <v>4573</v>
      </c>
      <c r="AE3442" s="881" t="s">
        <v>2307</v>
      </c>
      <c r="AF3442" s="890">
        <f>$S$1*P!AF3442</f>
        <v>0.44896000000000003</v>
      </c>
    </row>
    <row r="3443" spans="19:32" x14ac:dyDescent="0.35">
      <c r="S3443" s="782">
        <v>3439</v>
      </c>
      <c r="T3443" s="782" t="s">
        <v>4284</v>
      </c>
      <c r="U3443" s="782" t="s">
        <v>2581</v>
      </c>
      <c r="V3443" s="797">
        <f>$S$1*P!V3443</f>
        <v>2.6288306451612907E-3</v>
      </c>
      <c r="W3443" s="780"/>
      <c r="X3443" s="881">
        <v>3439</v>
      </c>
      <c r="Y3443" s="881" t="s">
        <v>2248</v>
      </c>
      <c r="Z3443" s="881" t="s">
        <v>2797</v>
      </c>
      <c r="AA3443" s="882">
        <f>$S$1*P!AA3443</f>
        <v>0.57316</v>
      </c>
      <c r="AB3443" s="780"/>
      <c r="AC3443" s="782">
        <v>3439</v>
      </c>
      <c r="AD3443" s="782" t="s">
        <v>4573</v>
      </c>
      <c r="AE3443" s="782" t="s">
        <v>3782</v>
      </c>
      <c r="AF3443" s="781">
        <f>$S$1*P!AF3443</f>
        <v>12.304435483870968</v>
      </c>
    </row>
    <row r="3444" spans="19:32" x14ac:dyDescent="0.35">
      <c r="S3444" s="881">
        <v>3440</v>
      </c>
      <c r="T3444" s="881" t="s">
        <v>4284</v>
      </c>
      <c r="U3444" s="881" t="s">
        <v>2581</v>
      </c>
      <c r="V3444" s="883">
        <f>$S$1*P!V3444</f>
        <v>0.14351999999999998</v>
      </c>
      <c r="W3444" s="780"/>
      <c r="X3444" s="782">
        <v>3440</v>
      </c>
      <c r="Y3444" s="782" t="s">
        <v>2248</v>
      </c>
      <c r="Z3444" s="782" t="s">
        <v>2822</v>
      </c>
      <c r="AA3444" s="781">
        <f>$S$1*P!AA3444</f>
        <v>3.0298387096774197E-3</v>
      </c>
      <c r="AB3444" s="780"/>
      <c r="AC3444" s="782">
        <v>3440</v>
      </c>
      <c r="AD3444" s="782" t="s">
        <v>4573</v>
      </c>
      <c r="AE3444" s="782" t="s">
        <v>2305</v>
      </c>
      <c r="AF3444" s="781">
        <f>$S$1*P!AF3444</f>
        <v>35.987903225806456</v>
      </c>
    </row>
    <row r="3445" spans="19:32" x14ac:dyDescent="0.35">
      <c r="S3445" s="782">
        <v>3441</v>
      </c>
      <c r="T3445" s="782" t="s">
        <v>4284</v>
      </c>
      <c r="U3445" s="782" t="s">
        <v>4259</v>
      </c>
      <c r="V3445" s="797">
        <f>$S$1*P!V3445</f>
        <v>3.0229838709677423E-3</v>
      </c>
      <c r="W3445" s="780"/>
      <c r="X3445" s="881">
        <v>3441</v>
      </c>
      <c r="Y3445" s="881" t="s">
        <v>2248</v>
      </c>
      <c r="Z3445" s="881" t="s">
        <v>2796</v>
      </c>
      <c r="AA3445" s="882">
        <f>$S$1*P!AA3445</f>
        <v>8.4363999999999999E-4</v>
      </c>
      <c r="AB3445" s="780"/>
      <c r="AC3445" s="881">
        <v>3441</v>
      </c>
      <c r="AD3445" s="881" t="s">
        <v>4573</v>
      </c>
      <c r="AE3445" s="881" t="s">
        <v>2305</v>
      </c>
      <c r="AF3445" s="890">
        <f>$S$1*P!AF3445</f>
        <v>18124</v>
      </c>
    </row>
    <row r="3446" spans="19:32" x14ac:dyDescent="0.35">
      <c r="S3446" s="782">
        <v>3442</v>
      </c>
      <c r="T3446" s="782" t="s">
        <v>4284</v>
      </c>
      <c r="U3446" s="782" t="s">
        <v>4258</v>
      </c>
      <c r="V3446" s="797">
        <f>$S$1*P!V3446</f>
        <v>6.7177419354838715E-4</v>
      </c>
      <c r="W3446" s="780"/>
      <c r="X3446" s="782">
        <v>3442</v>
      </c>
      <c r="Y3446" s="782" t="s">
        <v>2248</v>
      </c>
      <c r="Z3446" s="782" t="s">
        <v>3334</v>
      </c>
      <c r="AA3446" s="781">
        <f>$S$1*P!AA3446</f>
        <v>5.4838709677419361E-3</v>
      </c>
      <c r="AB3446" s="780"/>
      <c r="AC3446" s="782">
        <v>3442</v>
      </c>
      <c r="AD3446" s="782" t="s">
        <v>4573</v>
      </c>
      <c r="AE3446" s="782" t="s">
        <v>3778</v>
      </c>
      <c r="AF3446" s="781">
        <f>$S$1*P!AF3446</f>
        <v>104.19354838709678</v>
      </c>
    </row>
    <row r="3447" spans="19:32" x14ac:dyDescent="0.35">
      <c r="S3447" s="782">
        <v>3443</v>
      </c>
      <c r="T3447" s="782" t="s">
        <v>4284</v>
      </c>
      <c r="U3447" s="782" t="s">
        <v>4257</v>
      </c>
      <c r="V3447" s="797">
        <f>$S$1*P!V3447</f>
        <v>1.891935483870968E-3</v>
      </c>
      <c r="W3447" s="780"/>
      <c r="X3447" s="782">
        <v>3443</v>
      </c>
      <c r="Y3447" s="782" t="s">
        <v>2248</v>
      </c>
      <c r="Z3447" s="782" t="s">
        <v>2819</v>
      </c>
      <c r="AA3447" s="781">
        <f>$S$1*P!AA3447</f>
        <v>0.32731854838709679</v>
      </c>
      <c r="AB3447" s="780"/>
      <c r="AC3447" s="782">
        <v>3443</v>
      </c>
      <c r="AD3447" s="782" t="s">
        <v>4573</v>
      </c>
      <c r="AE3447" s="782" t="s">
        <v>3775</v>
      </c>
      <c r="AF3447" s="781">
        <f>$S$1*P!AF3447</f>
        <v>0.77459677419354844</v>
      </c>
    </row>
    <row r="3448" spans="19:32" x14ac:dyDescent="0.35">
      <c r="S3448" s="782">
        <v>3444</v>
      </c>
      <c r="T3448" s="782" t="s">
        <v>4284</v>
      </c>
      <c r="U3448" s="782" t="s">
        <v>4255</v>
      </c>
      <c r="V3448" s="797">
        <f>$S$1*P!V3448</f>
        <v>2.3135080645161293E-6</v>
      </c>
      <c r="W3448" s="780"/>
      <c r="X3448" s="881">
        <v>3444</v>
      </c>
      <c r="Y3448" s="881" t="s">
        <v>2248</v>
      </c>
      <c r="Z3448" s="881" t="s">
        <v>2795</v>
      </c>
      <c r="AA3448" s="882">
        <f>$S$1*P!AA3448</f>
        <v>0</v>
      </c>
      <c r="AB3448" s="780"/>
      <c r="AC3448" s="782">
        <v>3444</v>
      </c>
      <c r="AD3448" s="782" t="s">
        <v>4573</v>
      </c>
      <c r="AE3448" s="782" t="s">
        <v>3774</v>
      </c>
      <c r="AF3448" s="781">
        <f>$S$1*P!AF3448</f>
        <v>49.697580645161295</v>
      </c>
    </row>
    <row r="3449" spans="19:32" x14ac:dyDescent="0.35">
      <c r="S3449" s="782">
        <v>3445</v>
      </c>
      <c r="T3449" s="782" t="s">
        <v>4284</v>
      </c>
      <c r="U3449" s="782" t="s">
        <v>4254</v>
      </c>
      <c r="V3449" s="797">
        <f>$S$1*P!V3449</f>
        <v>5.9637096774193545E-4</v>
      </c>
      <c r="W3449" s="780"/>
      <c r="X3449" s="881">
        <v>3445</v>
      </c>
      <c r="Y3449" s="881" t="s">
        <v>2248</v>
      </c>
      <c r="Z3449" s="881" t="s">
        <v>4634</v>
      </c>
      <c r="AA3449" s="882">
        <f>$S$1*P!AA3449</f>
        <v>1.6143145161290324E-5</v>
      </c>
      <c r="AB3449" s="780"/>
      <c r="AC3449" s="881">
        <v>3445</v>
      </c>
      <c r="AD3449" s="881" t="s">
        <v>4573</v>
      </c>
      <c r="AE3449" s="881" t="s">
        <v>2304</v>
      </c>
      <c r="AF3449" s="890">
        <f>$S$1*P!AF3449</f>
        <v>0</v>
      </c>
    </row>
    <row r="3450" spans="19:32" x14ac:dyDescent="0.35">
      <c r="S3450" s="782">
        <v>3446</v>
      </c>
      <c r="T3450" s="782" t="s">
        <v>4284</v>
      </c>
      <c r="U3450" s="782" t="s">
        <v>2579</v>
      </c>
      <c r="V3450" s="797">
        <f>$S$1*P!V3450</f>
        <v>1.9159274193548389E-4</v>
      </c>
      <c r="W3450" s="780"/>
      <c r="X3450" s="782">
        <v>3446</v>
      </c>
      <c r="Y3450" s="782" t="s">
        <v>2248</v>
      </c>
      <c r="Z3450" s="782" t="s">
        <v>2795</v>
      </c>
      <c r="AA3450" s="781">
        <f>$S$1*P!AA3450</f>
        <v>8.4657258064516131E-7</v>
      </c>
      <c r="AB3450" s="780"/>
      <c r="AC3450" s="881">
        <v>3446</v>
      </c>
      <c r="AD3450" s="881" t="s">
        <v>4573</v>
      </c>
      <c r="AE3450" s="881" t="s">
        <v>2302</v>
      </c>
      <c r="AF3450" s="890">
        <f>$S$1*P!AF3450</f>
        <v>5.0232000000000001</v>
      </c>
    </row>
    <row r="3451" spans="19:32" x14ac:dyDescent="0.35">
      <c r="S3451" s="881">
        <v>3447</v>
      </c>
      <c r="T3451" s="881" t="s">
        <v>4284</v>
      </c>
      <c r="U3451" s="881" t="s">
        <v>2579</v>
      </c>
      <c r="V3451" s="883">
        <f>$S$1*P!V3451</f>
        <v>0.44711999999999996</v>
      </c>
      <c r="W3451" s="780"/>
      <c r="X3451" s="782">
        <v>3447</v>
      </c>
      <c r="Y3451" s="782" t="s">
        <v>2248</v>
      </c>
      <c r="Z3451" s="782" t="s">
        <v>2814</v>
      </c>
      <c r="AA3451" s="781">
        <f>$S$1*P!AA3451</f>
        <v>2.7487903225806454E-3</v>
      </c>
      <c r="AB3451" s="780"/>
      <c r="AC3451" s="782">
        <v>3447</v>
      </c>
      <c r="AD3451" s="782" t="s">
        <v>4573</v>
      </c>
      <c r="AE3451" s="782" t="s">
        <v>3768</v>
      </c>
      <c r="AF3451" s="781">
        <f>$S$1*P!AF3451</f>
        <v>3.8387096774193552E-2</v>
      </c>
    </row>
    <row r="3452" spans="19:32" x14ac:dyDescent="0.35">
      <c r="S3452" s="782">
        <v>3448</v>
      </c>
      <c r="T3452" s="782" t="s">
        <v>4284</v>
      </c>
      <c r="U3452" s="782" t="s">
        <v>4253</v>
      </c>
      <c r="V3452" s="797">
        <f>$S$1*P!V3452</f>
        <v>1.288709677419355E-5</v>
      </c>
      <c r="W3452" s="780"/>
      <c r="X3452" s="782">
        <v>3448</v>
      </c>
      <c r="Y3452" s="782" t="s">
        <v>2248</v>
      </c>
      <c r="Z3452" s="782" t="s">
        <v>2812</v>
      </c>
      <c r="AA3452" s="781">
        <f>$S$1*P!AA3452</f>
        <v>4.181451612903226E-2</v>
      </c>
      <c r="AB3452" s="780"/>
      <c r="AC3452" s="881">
        <v>3448</v>
      </c>
      <c r="AD3452" s="881" t="s">
        <v>4573</v>
      </c>
      <c r="AE3452" s="881" t="s">
        <v>2301</v>
      </c>
      <c r="AF3452" s="890">
        <f>$S$1*P!AF3452</f>
        <v>0</v>
      </c>
    </row>
    <row r="3453" spans="19:32" x14ac:dyDescent="0.35">
      <c r="S3453" s="782">
        <v>3449</v>
      </c>
      <c r="T3453" s="782" t="s">
        <v>4284</v>
      </c>
      <c r="U3453" s="782" t="s">
        <v>4252</v>
      </c>
      <c r="V3453" s="797">
        <f>$S$1*P!V3453</f>
        <v>1.9947580645161294E-4</v>
      </c>
      <c r="W3453" s="780"/>
      <c r="X3453" s="881">
        <v>3449</v>
      </c>
      <c r="Y3453" s="881" t="s">
        <v>2248</v>
      </c>
      <c r="Z3453" s="881" t="s">
        <v>4633</v>
      </c>
      <c r="AA3453" s="882">
        <f>$S$1*P!AA3453</f>
        <v>1.3983870967741938E-4</v>
      </c>
      <c r="AB3453" s="780"/>
      <c r="AC3453" s="782">
        <v>3449</v>
      </c>
      <c r="AD3453" s="782" t="s">
        <v>4573</v>
      </c>
      <c r="AE3453" s="782" t="s">
        <v>3766</v>
      </c>
      <c r="AF3453" s="781">
        <f>$S$1*P!AF3453</f>
        <v>8.6028225806451619</v>
      </c>
    </row>
    <row r="3454" spans="19:32" x14ac:dyDescent="0.35">
      <c r="S3454" s="782">
        <v>3450</v>
      </c>
      <c r="T3454" s="782" t="s">
        <v>4284</v>
      </c>
      <c r="U3454" s="782" t="s">
        <v>4251</v>
      </c>
      <c r="V3454" s="797">
        <f>$S$1*P!V3454</f>
        <v>1.5491935483870968E-6</v>
      </c>
      <c r="W3454" s="780"/>
      <c r="X3454" s="782">
        <v>3450</v>
      </c>
      <c r="Y3454" s="782" t="s">
        <v>2248</v>
      </c>
      <c r="Z3454" s="782" t="s">
        <v>2809</v>
      </c>
      <c r="AA3454" s="781">
        <f>$S$1*P!AA3454</f>
        <v>7.129032258064516E-2</v>
      </c>
      <c r="AB3454" s="780"/>
      <c r="AC3454" s="782">
        <v>3450</v>
      </c>
      <c r="AD3454" s="782" t="s">
        <v>4573</v>
      </c>
      <c r="AE3454" s="782" t="s">
        <v>3764</v>
      </c>
      <c r="AF3454" s="781">
        <f>$S$1*P!AF3454</f>
        <v>35.302419354838712</v>
      </c>
    </row>
    <row r="3455" spans="19:32" x14ac:dyDescent="0.35">
      <c r="S3455" s="782">
        <v>3451</v>
      </c>
      <c r="T3455" s="782" t="s">
        <v>4284</v>
      </c>
      <c r="U3455" s="782" t="s">
        <v>2577</v>
      </c>
      <c r="V3455" s="797">
        <f>$S$1*P!V3455</f>
        <v>1.5423387096774196E-3</v>
      </c>
      <c r="W3455" s="780"/>
      <c r="X3455" s="782">
        <v>3451</v>
      </c>
      <c r="Y3455" s="782" t="s">
        <v>2248</v>
      </c>
      <c r="Z3455" s="782" t="s">
        <v>2806</v>
      </c>
      <c r="AA3455" s="781">
        <f>$S$1*P!AA3455</f>
        <v>4.2842741935483876E-3</v>
      </c>
      <c r="AB3455" s="780"/>
      <c r="AC3455" s="782">
        <v>3451</v>
      </c>
      <c r="AD3455" s="782" t="s">
        <v>4573</v>
      </c>
      <c r="AE3455" s="782" t="s">
        <v>3762</v>
      </c>
      <c r="AF3455" s="781">
        <f>$S$1*P!AF3455</f>
        <v>2.5534274193548388E-2</v>
      </c>
    </row>
    <row r="3456" spans="19:32" x14ac:dyDescent="0.35">
      <c r="S3456" s="881">
        <v>3452</v>
      </c>
      <c r="T3456" s="881" t="s">
        <v>4284</v>
      </c>
      <c r="U3456" s="881" t="s">
        <v>2577</v>
      </c>
      <c r="V3456" s="883">
        <f>$S$1*P!V3456</f>
        <v>0</v>
      </c>
      <c r="W3456" s="780"/>
      <c r="X3456" s="881">
        <v>3452</v>
      </c>
      <c r="Y3456" s="881" t="s">
        <v>2248</v>
      </c>
      <c r="Z3456" s="881" t="s">
        <v>4632</v>
      </c>
      <c r="AA3456" s="882">
        <f>$S$1*P!AA3456</f>
        <v>1.1550403225806453E-3</v>
      </c>
      <c r="AB3456" s="780"/>
      <c r="AC3456" s="782">
        <v>3452</v>
      </c>
      <c r="AD3456" s="782" t="s">
        <v>4573</v>
      </c>
      <c r="AE3456" s="782" t="s">
        <v>3759</v>
      </c>
      <c r="AF3456" s="781">
        <f>$S$1*P!AF3456</f>
        <v>1.453225806451613E-2</v>
      </c>
    </row>
    <row r="3457" spans="19:32" x14ac:dyDescent="0.35">
      <c r="S3457" s="782">
        <v>3453</v>
      </c>
      <c r="T3457" s="782" t="s">
        <v>4284</v>
      </c>
      <c r="U3457" s="782" t="s">
        <v>4249</v>
      </c>
      <c r="V3457" s="797">
        <f>$S$1*P!V3457</f>
        <v>9.1854838709677427E-4</v>
      </c>
      <c r="W3457" s="780"/>
      <c r="X3457" s="881">
        <v>3453</v>
      </c>
      <c r="Y3457" s="881" t="s">
        <v>2248</v>
      </c>
      <c r="Z3457" s="881" t="s">
        <v>2793</v>
      </c>
      <c r="AA3457" s="882">
        <f>$S$1*P!AA3457</f>
        <v>0</v>
      </c>
      <c r="AB3457" s="780"/>
      <c r="AC3457" s="782">
        <v>3453</v>
      </c>
      <c r="AD3457" s="782" t="s">
        <v>4573</v>
      </c>
      <c r="AE3457" s="782" t="s">
        <v>3758</v>
      </c>
      <c r="AF3457" s="781">
        <f>$S$1*P!AF3457</f>
        <v>0.1984475806451613</v>
      </c>
    </row>
    <row r="3458" spans="19:32" x14ac:dyDescent="0.35">
      <c r="S3458" s="881">
        <v>3454</v>
      </c>
      <c r="T3458" s="881" t="s">
        <v>4284</v>
      </c>
      <c r="U3458" s="881" t="s">
        <v>2576</v>
      </c>
      <c r="V3458" s="883">
        <f>$S$1*P!V3458</f>
        <v>0.31095999999999996</v>
      </c>
      <c r="W3458" s="780"/>
      <c r="X3458" s="782">
        <v>3454</v>
      </c>
      <c r="Y3458" s="782" t="s">
        <v>2248</v>
      </c>
      <c r="Z3458" s="782" t="s">
        <v>2793</v>
      </c>
      <c r="AA3458" s="781">
        <f>$S$1*P!AA3458</f>
        <v>1.7788306451612906E-4</v>
      </c>
      <c r="AB3458" s="780"/>
      <c r="AC3458" s="782">
        <v>3454</v>
      </c>
      <c r="AD3458" s="782" t="s">
        <v>4573</v>
      </c>
      <c r="AE3458" s="782" t="s">
        <v>3755</v>
      </c>
      <c r="AF3458" s="781">
        <f>$S$1*P!AF3458</f>
        <v>0.19536290322580646</v>
      </c>
    </row>
    <row r="3459" spans="19:32" x14ac:dyDescent="0.35">
      <c r="S3459" s="881">
        <v>3455</v>
      </c>
      <c r="T3459" s="881" t="s">
        <v>4284</v>
      </c>
      <c r="U3459" s="881" t="s">
        <v>2574</v>
      </c>
      <c r="V3459" s="883">
        <f>$S$1*P!V3459</f>
        <v>0</v>
      </c>
      <c r="W3459" s="780"/>
      <c r="X3459" s="881">
        <v>3455</v>
      </c>
      <c r="Y3459" s="881" t="s">
        <v>2248</v>
      </c>
      <c r="Z3459" s="881" t="s">
        <v>4631</v>
      </c>
      <c r="AA3459" s="882">
        <f>$S$1*P!AA3459</f>
        <v>1.3195564516129034E-4</v>
      </c>
      <c r="AB3459" s="780"/>
      <c r="AC3459" s="782">
        <v>3455</v>
      </c>
      <c r="AD3459" s="782" t="s">
        <v>4573</v>
      </c>
      <c r="AE3459" s="782" t="s">
        <v>3753</v>
      </c>
      <c r="AF3459" s="781">
        <f>$S$1*P!AF3459</f>
        <v>0.64092741935483877</v>
      </c>
    </row>
    <row r="3460" spans="19:32" x14ac:dyDescent="0.35">
      <c r="S3460" s="782">
        <v>3456</v>
      </c>
      <c r="T3460" s="782" t="s">
        <v>4284</v>
      </c>
      <c r="U3460" s="782" t="s">
        <v>4247</v>
      </c>
      <c r="V3460" s="797">
        <f>$S$1*P!V3460</f>
        <v>9.9052419354838723E-5</v>
      </c>
      <c r="W3460" s="780"/>
      <c r="X3460" s="782">
        <v>3456</v>
      </c>
      <c r="Y3460" s="782" t="s">
        <v>2248</v>
      </c>
      <c r="Z3460" s="782" t="s">
        <v>2801</v>
      </c>
      <c r="AA3460" s="781">
        <f>$S$1*P!AA3460</f>
        <v>3.0024193548387101E-4</v>
      </c>
      <c r="AB3460" s="780"/>
      <c r="AC3460" s="881">
        <v>3456</v>
      </c>
      <c r="AD3460" s="881" t="s">
        <v>4573</v>
      </c>
      <c r="AE3460" s="881" t="s">
        <v>2299</v>
      </c>
      <c r="AF3460" s="890">
        <f>$S$1*P!AF3460</f>
        <v>4692</v>
      </c>
    </row>
    <row r="3461" spans="19:32" x14ac:dyDescent="0.35">
      <c r="S3461" s="782">
        <v>3457</v>
      </c>
      <c r="T3461" s="782" t="s">
        <v>4284</v>
      </c>
      <c r="U3461" s="782" t="s">
        <v>4246</v>
      </c>
      <c r="V3461" s="797">
        <f>$S$1*P!V3461</f>
        <v>4.0786290322580648E-4</v>
      </c>
      <c r="W3461" s="780"/>
      <c r="X3461" s="782">
        <v>3457</v>
      </c>
      <c r="Y3461" s="782" t="s">
        <v>2248</v>
      </c>
      <c r="Z3461" s="782" t="s">
        <v>2799</v>
      </c>
      <c r="AA3461" s="781">
        <f>$S$1*P!AA3461</f>
        <v>2.3752016129032261E-2</v>
      </c>
      <c r="AB3461" s="780"/>
      <c r="AC3461" s="782">
        <v>3457</v>
      </c>
      <c r="AD3461" s="782" t="s">
        <v>4573</v>
      </c>
      <c r="AE3461" s="782" t="s">
        <v>3751</v>
      </c>
      <c r="AF3461" s="781">
        <f>$S$1*P!AF3461</f>
        <v>0.65463709677419357</v>
      </c>
    </row>
    <row r="3462" spans="19:32" x14ac:dyDescent="0.35">
      <c r="S3462" s="782">
        <v>3458</v>
      </c>
      <c r="T3462" s="782" t="s">
        <v>4284</v>
      </c>
      <c r="U3462" s="782" t="s">
        <v>4244</v>
      </c>
      <c r="V3462" s="797">
        <f>$S$1*P!V3462</f>
        <v>2.4643145161290328E-6</v>
      </c>
      <c r="W3462" s="780"/>
      <c r="X3462" s="782">
        <v>3458</v>
      </c>
      <c r="Y3462" s="782" t="s">
        <v>2248</v>
      </c>
      <c r="Z3462" s="782" t="s">
        <v>4630</v>
      </c>
      <c r="AA3462" s="781">
        <f>$S$1*P!AA3462</f>
        <v>2.4129032258064518E-5</v>
      </c>
      <c r="AB3462" s="780"/>
      <c r="AC3462" s="881">
        <v>3458</v>
      </c>
      <c r="AD3462" s="881" t="s">
        <v>4573</v>
      </c>
      <c r="AE3462" s="881" t="s">
        <v>2298</v>
      </c>
      <c r="AF3462" s="890">
        <f>$S$1*P!AF3462</f>
        <v>69.091999999999999</v>
      </c>
    </row>
    <row r="3463" spans="19:32" x14ac:dyDescent="0.35">
      <c r="S3463" s="782">
        <v>3459</v>
      </c>
      <c r="T3463" s="782" t="s">
        <v>4284</v>
      </c>
      <c r="U3463" s="782" t="s">
        <v>2573</v>
      </c>
      <c r="V3463" s="797">
        <f>$S$1*P!V3463</f>
        <v>1.192741935483871E-2</v>
      </c>
      <c r="W3463" s="780"/>
      <c r="X3463" s="881">
        <v>3459</v>
      </c>
      <c r="Y3463" s="881" t="s">
        <v>2248</v>
      </c>
      <c r="Z3463" s="881" t="s">
        <v>2792</v>
      </c>
      <c r="AA3463" s="882">
        <f>$S$1*P!AA3463</f>
        <v>0.10488</v>
      </c>
      <c r="AB3463" s="780"/>
      <c r="AC3463" s="782">
        <v>3459</v>
      </c>
      <c r="AD3463" s="782" t="s">
        <v>4573</v>
      </c>
      <c r="AE3463" s="782" t="s">
        <v>3747</v>
      </c>
      <c r="AF3463" s="781">
        <f>$S$1*P!AF3463</f>
        <v>4.4213709677419359</v>
      </c>
    </row>
    <row r="3464" spans="19:32" x14ac:dyDescent="0.35">
      <c r="S3464" s="881">
        <v>3460</v>
      </c>
      <c r="T3464" s="881" t="s">
        <v>4284</v>
      </c>
      <c r="U3464" s="881" t="s">
        <v>2573</v>
      </c>
      <c r="V3464" s="883">
        <f>$S$1*P!V3464</f>
        <v>0</v>
      </c>
      <c r="W3464" s="780"/>
      <c r="X3464" s="782">
        <v>3460</v>
      </c>
      <c r="Y3464" s="782" t="s">
        <v>2248</v>
      </c>
      <c r="Z3464" s="782" t="s">
        <v>2792</v>
      </c>
      <c r="AA3464" s="781">
        <f>$S$1*P!AA3464</f>
        <v>1.9056451612903228E-3</v>
      </c>
      <c r="AB3464" s="780"/>
      <c r="AC3464" s="782">
        <v>3460</v>
      </c>
      <c r="AD3464" s="782" t="s">
        <v>4573</v>
      </c>
      <c r="AE3464" s="782" t="s">
        <v>3745</v>
      </c>
      <c r="AF3464" s="781">
        <f>$S$1*P!AF3464</f>
        <v>2.3237903225806454E-2</v>
      </c>
    </row>
    <row r="3465" spans="19:32" x14ac:dyDescent="0.35">
      <c r="S3465" s="782">
        <v>3461</v>
      </c>
      <c r="T3465" s="782" t="s">
        <v>4284</v>
      </c>
      <c r="U3465" s="782" t="s">
        <v>4242</v>
      </c>
      <c r="V3465" s="797">
        <f>$S$1*P!V3465</f>
        <v>1.2750000000000001E-2</v>
      </c>
      <c r="W3465" s="780"/>
      <c r="X3465" s="782">
        <v>3461</v>
      </c>
      <c r="Y3465" s="782" t="s">
        <v>2248</v>
      </c>
      <c r="Z3465" s="782" t="s">
        <v>2794</v>
      </c>
      <c r="AA3465" s="781">
        <f>$S$1*P!AA3465</f>
        <v>2.645967741935484E-2</v>
      </c>
      <c r="AB3465" s="780"/>
      <c r="AC3465" s="782">
        <v>3461</v>
      </c>
      <c r="AD3465" s="782" t="s">
        <v>4573</v>
      </c>
      <c r="AE3465" s="782" t="s">
        <v>3743</v>
      </c>
      <c r="AF3465" s="781">
        <f>$S$1*P!AF3465</f>
        <v>1.4018145161290323</v>
      </c>
    </row>
    <row r="3466" spans="19:32" x14ac:dyDescent="0.35">
      <c r="S3466" s="782">
        <v>3462</v>
      </c>
      <c r="T3466" s="782" t="s">
        <v>4284</v>
      </c>
      <c r="U3466" s="782" t="s">
        <v>4240</v>
      </c>
      <c r="V3466" s="797">
        <f>$S$1*P!V3466</f>
        <v>7.4032258064516136E-4</v>
      </c>
      <c r="W3466" s="780"/>
      <c r="X3466" s="881">
        <v>3462</v>
      </c>
      <c r="Y3466" s="881" t="s">
        <v>2248</v>
      </c>
      <c r="Z3466" s="881" t="s">
        <v>3331</v>
      </c>
      <c r="AA3466" s="882">
        <f>$S$1*P!AA3466</f>
        <v>1.7239919354838709E-3</v>
      </c>
      <c r="AB3466" s="780"/>
      <c r="AC3466" s="782">
        <v>3462</v>
      </c>
      <c r="AD3466" s="782" t="s">
        <v>4573</v>
      </c>
      <c r="AE3466" s="782" t="s">
        <v>3741</v>
      </c>
      <c r="AF3466" s="781">
        <f>$S$1*P!AF3466</f>
        <v>28.927419354838712</v>
      </c>
    </row>
    <row r="3467" spans="19:32" x14ac:dyDescent="0.35">
      <c r="S3467" s="782">
        <v>3463</v>
      </c>
      <c r="T3467" s="782" t="s">
        <v>4284</v>
      </c>
      <c r="U3467" s="782" t="s">
        <v>4239</v>
      </c>
      <c r="V3467" s="797">
        <f>$S$1*P!V3467</f>
        <v>2.9030241935483875E-3</v>
      </c>
      <c r="W3467" s="780"/>
      <c r="X3467" s="782">
        <v>3463</v>
      </c>
      <c r="Y3467" s="782" t="s">
        <v>2248</v>
      </c>
      <c r="Z3467" s="782" t="s">
        <v>2791</v>
      </c>
      <c r="AA3467" s="781">
        <f>$S$1*P!AA3467</f>
        <v>5.0725806451612905E-2</v>
      </c>
      <c r="AB3467" s="780"/>
      <c r="AC3467" s="782">
        <v>3463</v>
      </c>
      <c r="AD3467" s="782" t="s">
        <v>4573</v>
      </c>
      <c r="AE3467" s="782" t="s">
        <v>3739</v>
      </c>
      <c r="AF3467" s="781">
        <f>$S$1*P!AF3467</f>
        <v>1.3435483870967744</v>
      </c>
    </row>
    <row r="3468" spans="19:32" x14ac:dyDescent="0.35">
      <c r="S3468" s="782">
        <v>3464</v>
      </c>
      <c r="T3468" s="782" t="s">
        <v>4284</v>
      </c>
      <c r="U3468" s="782" t="s">
        <v>4238</v>
      </c>
      <c r="V3468" s="797">
        <f>$S$1*P!V3468</f>
        <v>1.0213709677419356E-2</v>
      </c>
      <c r="W3468" s="780"/>
      <c r="X3468" s="881">
        <v>3464</v>
      </c>
      <c r="Y3468" s="881" t="s">
        <v>2248</v>
      </c>
      <c r="Z3468" s="881" t="s">
        <v>2790</v>
      </c>
      <c r="AA3468" s="890">
        <f>$S$1*P!AA3468</f>
        <v>0</v>
      </c>
      <c r="AB3468" s="780"/>
      <c r="AC3468" s="782">
        <v>3464</v>
      </c>
      <c r="AD3468" s="782" t="s">
        <v>4573</v>
      </c>
      <c r="AE3468" s="782" t="s">
        <v>3737</v>
      </c>
      <c r="AF3468" s="781">
        <f>$S$1*P!AF3468</f>
        <v>126.81451612903227</v>
      </c>
    </row>
    <row r="3469" spans="19:32" x14ac:dyDescent="0.35">
      <c r="S3469" s="782">
        <v>3465</v>
      </c>
      <c r="T3469" s="782" t="s">
        <v>4284</v>
      </c>
      <c r="U3469" s="782" t="s">
        <v>4236</v>
      </c>
      <c r="V3469" s="797">
        <f>$S$1*P!V3469</f>
        <v>3.6330645161290323E-2</v>
      </c>
      <c r="W3469" s="780"/>
      <c r="X3469" s="782">
        <v>3465</v>
      </c>
      <c r="Y3469" s="782" t="s">
        <v>2248</v>
      </c>
      <c r="Z3469" s="782" t="s">
        <v>4629</v>
      </c>
      <c r="AA3469" s="781">
        <f>$S$1*P!AA3469</f>
        <v>8.3971774193548399E-2</v>
      </c>
      <c r="AB3469" s="780"/>
      <c r="AC3469" s="782">
        <v>3465</v>
      </c>
      <c r="AD3469" s="782" t="s">
        <v>4573</v>
      </c>
      <c r="AE3469" s="782" t="s">
        <v>2296</v>
      </c>
      <c r="AF3469" s="781">
        <f>$S$1*P!AF3469</f>
        <v>3.9072580645161295E-2</v>
      </c>
    </row>
    <row r="3470" spans="19:32" x14ac:dyDescent="0.35">
      <c r="S3470" s="881">
        <v>3466</v>
      </c>
      <c r="T3470" s="881" t="s">
        <v>4284</v>
      </c>
      <c r="U3470" s="881" t="s">
        <v>2571</v>
      </c>
      <c r="V3470" s="883">
        <f>$S$1*P!V3470</f>
        <v>0</v>
      </c>
      <c r="W3470" s="780"/>
      <c r="X3470" s="782">
        <v>3466</v>
      </c>
      <c r="Y3470" s="782" t="s">
        <v>2248</v>
      </c>
      <c r="Z3470" s="782" t="s">
        <v>2790</v>
      </c>
      <c r="AA3470" s="781">
        <f>$S$1*P!AA3470</f>
        <v>5.175403225806452E-3</v>
      </c>
      <c r="AB3470" s="780"/>
      <c r="AC3470" s="881">
        <v>3466</v>
      </c>
      <c r="AD3470" s="881" t="s">
        <v>4573</v>
      </c>
      <c r="AE3470" s="881" t="s">
        <v>2296</v>
      </c>
      <c r="AF3470" s="890">
        <f>$S$1*P!AF3470</f>
        <v>0.15732000000000002</v>
      </c>
    </row>
    <row r="3471" spans="19:32" x14ac:dyDescent="0.35">
      <c r="S3471" s="782">
        <v>3467</v>
      </c>
      <c r="T3471" s="782" t="s">
        <v>4284</v>
      </c>
      <c r="U3471" s="782" t="s">
        <v>4234</v>
      </c>
      <c r="V3471" s="797">
        <f>$S$1*P!V3471</f>
        <v>7.0262096774193552E-7</v>
      </c>
      <c r="W3471" s="780"/>
      <c r="X3471" s="782">
        <v>3467</v>
      </c>
      <c r="Y3471" s="782" t="s">
        <v>2248</v>
      </c>
      <c r="Z3471" s="782" t="s">
        <v>2788</v>
      </c>
      <c r="AA3471" s="781">
        <f>$S$1*P!AA3471</f>
        <v>8.157258064516129E-5</v>
      </c>
      <c r="AB3471" s="780"/>
      <c r="AC3471" s="782">
        <v>3467</v>
      </c>
      <c r="AD3471" s="782" t="s">
        <v>4573</v>
      </c>
      <c r="AE3471" s="782" t="s">
        <v>3734</v>
      </c>
      <c r="AF3471" s="781">
        <f>$S$1*P!AF3471</f>
        <v>4.6612903225806459</v>
      </c>
    </row>
    <row r="3472" spans="19:32" x14ac:dyDescent="0.35">
      <c r="S3472" s="782">
        <v>3468</v>
      </c>
      <c r="T3472" s="782" t="s">
        <v>4284</v>
      </c>
      <c r="U3472" s="782" t="s">
        <v>4233</v>
      </c>
      <c r="V3472" s="797">
        <f>$S$1*P!V3472</f>
        <v>6.3064516129032267E-3</v>
      </c>
      <c r="W3472" s="780"/>
      <c r="X3472" s="782">
        <v>3468</v>
      </c>
      <c r="Y3472" s="782" t="s">
        <v>2248</v>
      </c>
      <c r="Z3472" s="782" t="s">
        <v>2785</v>
      </c>
      <c r="AA3472" s="781">
        <f>$S$1*P!AA3472</f>
        <v>8.705645161290323E-4</v>
      </c>
      <c r="AB3472" s="780"/>
      <c r="AC3472" s="782">
        <v>3468</v>
      </c>
      <c r="AD3472" s="782" t="s">
        <v>4573</v>
      </c>
      <c r="AE3472" s="782" t="s">
        <v>3732</v>
      </c>
      <c r="AF3472" s="781">
        <f>$S$1*P!AF3472</f>
        <v>500.40322580645164</v>
      </c>
    </row>
    <row r="3473" spans="19:32" x14ac:dyDescent="0.35">
      <c r="S3473" s="881">
        <v>3469</v>
      </c>
      <c r="T3473" s="881" t="s">
        <v>4284</v>
      </c>
      <c r="U3473" s="881" t="s">
        <v>2570</v>
      </c>
      <c r="V3473" s="883">
        <f>$S$1*P!V3473</f>
        <v>0</v>
      </c>
      <c r="W3473" s="780"/>
      <c r="X3473" s="881">
        <v>3469</v>
      </c>
      <c r="Y3473" s="881" t="s">
        <v>2248</v>
      </c>
      <c r="Z3473" s="881" t="s">
        <v>4628</v>
      </c>
      <c r="AA3473" s="882">
        <f>$S$1*P!AA3473</f>
        <v>9.9052419354838717E-2</v>
      </c>
      <c r="AB3473" s="780"/>
      <c r="AC3473" s="782">
        <v>3469</v>
      </c>
      <c r="AD3473" s="782" t="s">
        <v>4573</v>
      </c>
      <c r="AE3473" s="782" t="s">
        <v>3731</v>
      </c>
      <c r="AF3473" s="781">
        <f>$S$1*P!AF3473</f>
        <v>2.8276209677419355</v>
      </c>
    </row>
    <row r="3474" spans="19:32" x14ac:dyDescent="0.35">
      <c r="S3474" s="782">
        <v>3470</v>
      </c>
      <c r="T3474" s="782" t="s">
        <v>4284</v>
      </c>
      <c r="U3474" s="782" t="s">
        <v>4231</v>
      </c>
      <c r="V3474" s="797">
        <f>$S$1*P!V3474</f>
        <v>5.929435483870968E-6</v>
      </c>
      <c r="W3474" s="780"/>
      <c r="X3474" s="881">
        <v>3470</v>
      </c>
      <c r="Y3474" s="881" t="s">
        <v>2248</v>
      </c>
      <c r="Z3474" s="881" t="s">
        <v>2782</v>
      </c>
      <c r="AA3474" s="890">
        <f>$S$1*P!AA3474</f>
        <v>138</v>
      </c>
      <c r="AB3474" s="780"/>
      <c r="AC3474" s="782">
        <v>3470</v>
      </c>
      <c r="AD3474" s="782" t="s">
        <v>4573</v>
      </c>
      <c r="AE3474" s="782" t="s">
        <v>2294</v>
      </c>
      <c r="AF3474" s="781">
        <f>$S$1*P!AF3474</f>
        <v>58.608870967741943</v>
      </c>
    </row>
    <row r="3475" spans="19:32" x14ac:dyDescent="0.35">
      <c r="S3475" s="782">
        <v>3471</v>
      </c>
      <c r="T3475" s="782" t="s">
        <v>4284</v>
      </c>
      <c r="U3475" s="782" t="s">
        <v>4230</v>
      </c>
      <c r="V3475" s="797">
        <f>$S$1*P!V3475</f>
        <v>2.8070564516129036E-6</v>
      </c>
      <c r="W3475" s="780"/>
      <c r="X3475" s="782">
        <v>3471</v>
      </c>
      <c r="Y3475" s="782" t="s">
        <v>2248</v>
      </c>
      <c r="Z3475" s="782" t="s">
        <v>2782</v>
      </c>
      <c r="AA3475" s="781">
        <f>$S$1*P!AA3475</f>
        <v>6.6834677419354841E-5</v>
      </c>
      <c r="AB3475" s="780"/>
      <c r="AC3475" s="881">
        <v>3471</v>
      </c>
      <c r="AD3475" s="881" t="s">
        <v>4573</v>
      </c>
      <c r="AE3475" s="881" t="s">
        <v>2294</v>
      </c>
      <c r="AF3475" s="890">
        <f>$S$1*P!AF3475</f>
        <v>0</v>
      </c>
    </row>
    <row r="3476" spans="19:32" x14ac:dyDescent="0.35">
      <c r="S3476" s="881">
        <v>3472</v>
      </c>
      <c r="T3476" s="881" t="s">
        <v>4284</v>
      </c>
      <c r="U3476" s="881" t="s">
        <v>2568</v>
      </c>
      <c r="V3476" s="883">
        <f>$S$1*P!V3476</f>
        <v>0</v>
      </c>
      <c r="W3476" s="780"/>
      <c r="X3476" s="782">
        <v>3472</v>
      </c>
      <c r="Y3476" s="782" t="s">
        <v>2248</v>
      </c>
      <c r="Z3476" s="782" t="s">
        <v>4627</v>
      </c>
      <c r="AA3476" s="781">
        <f>$S$1*P!AA3476</f>
        <v>3.1840725806451614E-2</v>
      </c>
      <c r="AB3476" s="780"/>
      <c r="AC3476" s="782">
        <v>3472</v>
      </c>
      <c r="AD3476" s="782" t="s">
        <v>4573</v>
      </c>
      <c r="AE3476" s="782" t="s">
        <v>3726</v>
      </c>
      <c r="AF3476" s="781">
        <f>$S$1*P!AF3476</f>
        <v>1.0590725806451614E-2</v>
      </c>
    </row>
    <row r="3477" spans="19:32" x14ac:dyDescent="0.35">
      <c r="S3477" s="881">
        <v>3473</v>
      </c>
      <c r="T3477" s="881" t="s">
        <v>4284</v>
      </c>
      <c r="U3477" s="881" t="s">
        <v>2567</v>
      </c>
      <c r="V3477" s="883">
        <f>$S$1*P!V3477</f>
        <v>0</v>
      </c>
      <c r="W3477" s="780"/>
      <c r="X3477" s="881">
        <v>3473</v>
      </c>
      <c r="Y3477" s="881" t="s">
        <v>2248</v>
      </c>
      <c r="Z3477" s="881" t="s">
        <v>2789</v>
      </c>
      <c r="AA3477" s="890">
        <f>$S$1*P!AA3477</f>
        <v>244.72000000000003</v>
      </c>
      <c r="AB3477" s="780"/>
      <c r="AC3477" s="782">
        <v>3473</v>
      </c>
      <c r="AD3477" s="782" t="s">
        <v>4573</v>
      </c>
      <c r="AE3477" s="782" t="s">
        <v>2293</v>
      </c>
      <c r="AF3477" s="781">
        <f>$S$1*P!AF3477</f>
        <v>8.5</v>
      </c>
    </row>
    <row r="3478" spans="19:32" x14ac:dyDescent="0.35">
      <c r="S3478" s="782">
        <v>3474</v>
      </c>
      <c r="T3478" s="782" t="s">
        <v>4284</v>
      </c>
      <c r="U3478" s="782" t="s">
        <v>2565</v>
      </c>
      <c r="V3478" s="797">
        <f>$S$1*P!V3478</f>
        <v>1.1207661290322581E-2</v>
      </c>
      <c r="W3478" s="780"/>
      <c r="X3478" s="881">
        <v>3474</v>
      </c>
      <c r="Y3478" s="881" t="s">
        <v>2248</v>
      </c>
      <c r="Z3478" s="881" t="s">
        <v>2787</v>
      </c>
      <c r="AA3478" s="890">
        <f>$S$1*P!AA3478</f>
        <v>0</v>
      </c>
      <c r="AB3478" s="780"/>
      <c r="AC3478" s="881">
        <v>3474</v>
      </c>
      <c r="AD3478" s="881" t="s">
        <v>4573</v>
      </c>
      <c r="AE3478" s="881" t="s">
        <v>2293</v>
      </c>
      <c r="AF3478" s="890">
        <f>$S$1*P!AF3478</f>
        <v>0</v>
      </c>
    </row>
    <row r="3479" spans="19:32" x14ac:dyDescent="0.35">
      <c r="S3479" s="881">
        <v>3475</v>
      </c>
      <c r="T3479" s="881" t="s">
        <v>4284</v>
      </c>
      <c r="U3479" s="881" t="s">
        <v>2565</v>
      </c>
      <c r="V3479" s="883">
        <f>$S$1*P!V3479</f>
        <v>0.13432000000000002</v>
      </c>
      <c r="W3479" s="780"/>
      <c r="X3479" s="881">
        <v>3475</v>
      </c>
      <c r="Y3479" s="881" t="s">
        <v>2248</v>
      </c>
      <c r="Z3479" s="881" t="s">
        <v>4626</v>
      </c>
      <c r="AA3479" s="882">
        <f>$S$1*P!AA3479</f>
        <v>0.19879032258064519</v>
      </c>
      <c r="AB3479" s="780"/>
      <c r="AC3479" s="782">
        <v>3475</v>
      </c>
      <c r="AD3479" s="782" t="s">
        <v>4573</v>
      </c>
      <c r="AE3479" s="782" t="s">
        <v>2291</v>
      </c>
      <c r="AF3479" s="781">
        <f>$S$1*P!AF3479</f>
        <v>1.1481854838709677E-3</v>
      </c>
    </row>
    <row r="3480" spans="19:32" x14ac:dyDescent="0.35">
      <c r="S3480" s="782">
        <v>3476</v>
      </c>
      <c r="T3480" s="782" t="s">
        <v>4284</v>
      </c>
      <c r="U3480" s="782" t="s">
        <v>2563</v>
      </c>
      <c r="V3480" s="797">
        <f>$S$1*P!V3480</f>
        <v>1.3092741935483872E-2</v>
      </c>
      <c r="W3480" s="780"/>
      <c r="X3480" s="782">
        <v>3476</v>
      </c>
      <c r="Y3480" s="782" t="s">
        <v>2248</v>
      </c>
      <c r="Z3480" s="782" t="s">
        <v>2780</v>
      </c>
      <c r="AA3480" s="781">
        <f>$S$1*P!AA3480</f>
        <v>0.60665322580645165</v>
      </c>
      <c r="AB3480" s="780"/>
      <c r="AC3480" s="881">
        <v>3476</v>
      </c>
      <c r="AD3480" s="881" t="s">
        <v>4573</v>
      </c>
      <c r="AE3480" s="881" t="s">
        <v>2291</v>
      </c>
      <c r="AF3480" s="890">
        <f>$S$1*P!AF3480</f>
        <v>0.26404</v>
      </c>
    </row>
    <row r="3481" spans="19:32" x14ac:dyDescent="0.35">
      <c r="S3481" s="881">
        <v>3477</v>
      </c>
      <c r="T3481" s="881" t="s">
        <v>4284</v>
      </c>
      <c r="U3481" s="881" t="s">
        <v>2563</v>
      </c>
      <c r="V3481" s="883">
        <f>$S$1*P!V3481</f>
        <v>0.75900000000000001</v>
      </c>
      <c r="W3481" s="780"/>
      <c r="X3481" s="782">
        <v>3477</v>
      </c>
      <c r="Y3481" s="782" t="s">
        <v>2248</v>
      </c>
      <c r="Z3481" s="782" t="s">
        <v>2779</v>
      </c>
      <c r="AA3481" s="781">
        <f>$S$1*P!AA3481</f>
        <v>1.6965725806451614E-3</v>
      </c>
      <c r="AB3481" s="780"/>
      <c r="AC3481" s="782">
        <v>3477</v>
      </c>
      <c r="AD3481" s="782" t="s">
        <v>4573</v>
      </c>
      <c r="AE3481" s="782" t="s">
        <v>3720</v>
      </c>
      <c r="AF3481" s="781">
        <f>$S$1*P!AF3481</f>
        <v>3.9072580645161295E-2</v>
      </c>
    </row>
    <row r="3482" spans="19:32" x14ac:dyDescent="0.35">
      <c r="S3482" s="782">
        <v>3478</v>
      </c>
      <c r="T3482" s="782" t="s">
        <v>4284</v>
      </c>
      <c r="U3482" s="782" t="s">
        <v>4226</v>
      </c>
      <c r="V3482" s="797">
        <f>$S$1*P!V3482</f>
        <v>1.9296370967741936E-3</v>
      </c>
      <c r="W3482" s="780"/>
      <c r="X3482" s="782">
        <v>3478</v>
      </c>
      <c r="Y3482" s="782" t="s">
        <v>2248</v>
      </c>
      <c r="Z3482" s="782" t="s">
        <v>2776</v>
      </c>
      <c r="AA3482" s="781">
        <f>$S$1*P!AA3482</f>
        <v>5.0383064516129034E-2</v>
      </c>
      <c r="AB3482" s="780"/>
      <c r="AC3482" s="782">
        <v>3478</v>
      </c>
      <c r="AD3482" s="782" t="s">
        <v>4573</v>
      </c>
      <c r="AE3482" s="782" t="s">
        <v>3717</v>
      </c>
      <c r="AF3482" s="781">
        <f>$S$1*P!AF3482</f>
        <v>1.1139112903225808E-2</v>
      </c>
    </row>
    <row r="3483" spans="19:32" x14ac:dyDescent="0.35">
      <c r="S3483" s="782">
        <v>3479</v>
      </c>
      <c r="T3483" s="782" t="s">
        <v>4284</v>
      </c>
      <c r="U3483" s="782" t="s">
        <v>4224</v>
      </c>
      <c r="V3483" s="797">
        <f>$S$1*P!V3483</f>
        <v>6.3750000000000005E-4</v>
      </c>
      <c r="W3483" s="780"/>
      <c r="X3483" s="881">
        <v>3479</v>
      </c>
      <c r="Y3483" s="881" t="s">
        <v>2248</v>
      </c>
      <c r="Z3483" s="881" t="s">
        <v>4625</v>
      </c>
      <c r="AA3483" s="882">
        <f>$S$1*P!AA3483</f>
        <v>5.5181451612903239E-4</v>
      </c>
      <c r="AB3483" s="780"/>
      <c r="AC3483" s="782">
        <v>3479</v>
      </c>
      <c r="AD3483" s="782" t="s">
        <v>4573</v>
      </c>
      <c r="AE3483" s="782" t="s">
        <v>3715</v>
      </c>
      <c r="AF3483" s="781">
        <f>$S$1*P!AF3483</f>
        <v>0.11173387096774194</v>
      </c>
    </row>
    <row r="3484" spans="19:32" x14ac:dyDescent="0.35">
      <c r="S3484" s="782">
        <v>3480</v>
      </c>
      <c r="T3484" s="782" t="s">
        <v>4284</v>
      </c>
      <c r="U3484" s="782" t="s">
        <v>4223</v>
      </c>
      <c r="V3484" s="797">
        <f>$S$1*P!V3484</f>
        <v>4.3870967741935489E-2</v>
      </c>
      <c r="W3484" s="780"/>
      <c r="X3484" s="782">
        <v>3480</v>
      </c>
      <c r="Y3484" s="782" t="s">
        <v>2248</v>
      </c>
      <c r="Z3484" s="782" t="s">
        <v>2774</v>
      </c>
      <c r="AA3484" s="781">
        <f>$S$1*P!AA3484</f>
        <v>6.5120967741935489E-3</v>
      </c>
      <c r="AB3484" s="780"/>
      <c r="AC3484" s="782">
        <v>3480</v>
      </c>
      <c r="AD3484" s="782" t="s">
        <v>4573</v>
      </c>
      <c r="AE3484" s="782" t="s">
        <v>3713</v>
      </c>
      <c r="AF3484" s="781">
        <f>$S$1*P!AF3484</f>
        <v>18.782258064516132</v>
      </c>
    </row>
    <row r="3485" spans="19:32" x14ac:dyDescent="0.35">
      <c r="S3485" s="881">
        <v>3481</v>
      </c>
      <c r="T3485" s="881" t="s">
        <v>4284</v>
      </c>
      <c r="U3485" s="881" t="s">
        <v>2562</v>
      </c>
      <c r="V3485" s="883">
        <f>$S$1*P!V3485</f>
        <v>0</v>
      </c>
      <c r="W3485" s="780"/>
      <c r="X3485" s="782">
        <v>3481</v>
      </c>
      <c r="Y3485" s="782" t="s">
        <v>2248</v>
      </c>
      <c r="Z3485" s="782" t="s">
        <v>2772</v>
      </c>
      <c r="AA3485" s="781">
        <f>$S$1*P!AA3485</f>
        <v>5.0725806451612909E-3</v>
      </c>
      <c r="AB3485" s="780"/>
      <c r="AC3485" s="782">
        <v>3481</v>
      </c>
      <c r="AD3485" s="782" t="s">
        <v>4573</v>
      </c>
      <c r="AE3485" s="782" t="s">
        <v>3711</v>
      </c>
      <c r="AF3485" s="781">
        <f>$S$1*P!AF3485</f>
        <v>6.957661290322581E-2</v>
      </c>
    </row>
    <row r="3486" spans="19:32" x14ac:dyDescent="0.35">
      <c r="S3486" s="782">
        <v>3482</v>
      </c>
      <c r="T3486" s="782" t="s">
        <v>4284</v>
      </c>
      <c r="U3486" s="782" t="s">
        <v>4221</v>
      </c>
      <c r="V3486" s="797">
        <f>$S$1*P!V3486</f>
        <v>4.0100806451612906E-5</v>
      </c>
      <c r="W3486" s="780"/>
      <c r="X3486" s="881">
        <v>3482</v>
      </c>
      <c r="Y3486" s="881" t="s">
        <v>2248</v>
      </c>
      <c r="Z3486" s="881" t="s">
        <v>4624</v>
      </c>
      <c r="AA3486" s="882">
        <f>$S$1*P!AA3486</f>
        <v>3.2971774193548391E-3</v>
      </c>
      <c r="AB3486" s="780"/>
      <c r="AC3486" s="782">
        <v>3482</v>
      </c>
      <c r="AD3486" s="782" t="s">
        <v>4573</v>
      </c>
      <c r="AE3486" s="782" t="s">
        <v>3709</v>
      </c>
      <c r="AF3486" s="781">
        <f>$S$1*P!AF3486</f>
        <v>46.612903225806456</v>
      </c>
    </row>
    <row r="3487" spans="19:32" x14ac:dyDescent="0.35">
      <c r="S3487" s="881">
        <v>3483</v>
      </c>
      <c r="T3487" s="881" t="s">
        <v>4284</v>
      </c>
      <c r="U3487" s="881" t="s">
        <v>2560</v>
      </c>
      <c r="V3487" s="883">
        <f>$S$1*P!V3487</f>
        <v>0.12603999999999999</v>
      </c>
      <c r="W3487" s="780"/>
      <c r="X3487" s="881">
        <v>3483</v>
      </c>
      <c r="Y3487" s="881" t="s">
        <v>2248</v>
      </c>
      <c r="Z3487" s="881" t="s">
        <v>2786</v>
      </c>
      <c r="AA3487" s="890">
        <f>$S$1*P!AA3487</f>
        <v>12.972000000000001</v>
      </c>
      <c r="AB3487" s="780"/>
      <c r="AC3487" s="782">
        <v>3483</v>
      </c>
      <c r="AD3487" s="782" t="s">
        <v>4573</v>
      </c>
      <c r="AE3487" s="782" t="s">
        <v>3707</v>
      </c>
      <c r="AF3487" s="781">
        <f>$S$1*P!AF3487</f>
        <v>0.16657258064516131</v>
      </c>
    </row>
    <row r="3488" spans="19:32" x14ac:dyDescent="0.35">
      <c r="S3488" s="782">
        <v>3484</v>
      </c>
      <c r="T3488" s="782" t="s">
        <v>4284</v>
      </c>
      <c r="U3488" s="782" t="s">
        <v>2559</v>
      </c>
      <c r="V3488" s="797">
        <f>$S$1*P!V3488</f>
        <v>5.3810483870967742E-4</v>
      </c>
      <c r="W3488" s="780"/>
      <c r="X3488" s="782">
        <v>3484</v>
      </c>
      <c r="Y3488" s="782" t="s">
        <v>2248</v>
      </c>
      <c r="Z3488" s="782" t="s">
        <v>2770</v>
      </c>
      <c r="AA3488" s="781">
        <f>$S$1*P!AA3488</f>
        <v>2.6973790322580647E-2</v>
      </c>
      <c r="AB3488" s="780"/>
      <c r="AC3488" s="782">
        <v>3484</v>
      </c>
      <c r="AD3488" s="782" t="s">
        <v>4573</v>
      </c>
      <c r="AE3488" s="782" t="s">
        <v>3705</v>
      </c>
      <c r="AF3488" s="781">
        <f>$S$1*P!AF3488</f>
        <v>2.7967741935483872E-2</v>
      </c>
    </row>
    <row r="3489" spans="19:32" x14ac:dyDescent="0.35">
      <c r="S3489" s="881">
        <v>3485</v>
      </c>
      <c r="T3489" s="881" t="s">
        <v>4284</v>
      </c>
      <c r="U3489" s="881" t="s">
        <v>2559</v>
      </c>
      <c r="V3489" s="883">
        <f>$S$1*P!V3489</f>
        <v>6.0443999999999998E-2</v>
      </c>
      <c r="W3489" s="780"/>
      <c r="X3489" s="881">
        <v>3485</v>
      </c>
      <c r="Y3489" s="881" t="s">
        <v>2248</v>
      </c>
      <c r="Z3489" s="881" t="s">
        <v>3321</v>
      </c>
      <c r="AA3489" s="882">
        <f>$S$1*P!AA3489</f>
        <v>1.7822580645161291E-3</v>
      </c>
      <c r="AB3489" s="780"/>
      <c r="AC3489" s="782">
        <v>3485</v>
      </c>
      <c r="AD3489" s="782" t="s">
        <v>4573</v>
      </c>
      <c r="AE3489" s="782" t="s">
        <v>3703</v>
      </c>
      <c r="AF3489" s="781">
        <f>$S$1*P!AF3489</f>
        <v>1.559475806451613</v>
      </c>
    </row>
    <row r="3490" spans="19:32" x14ac:dyDescent="0.35">
      <c r="S3490" s="782">
        <v>3486</v>
      </c>
      <c r="T3490" s="782" t="s">
        <v>4284</v>
      </c>
      <c r="U3490" s="782" t="s">
        <v>4218</v>
      </c>
      <c r="V3490" s="797">
        <f>$S$1*P!V3490</f>
        <v>1.0247983870967744E-4</v>
      </c>
      <c r="W3490" s="780"/>
      <c r="X3490" s="782">
        <v>3486</v>
      </c>
      <c r="Y3490" s="782" t="s">
        <v>2248</v>
      </c>
      <c r="Z3490" s="782" t="s">
        <v>2767</v>
      </c>
      <c r="AA3490" s="781">
        <f>$S$1*P!AA3490</f>
        <v>2.2278225806451617E-5</v>
      </c>
      <c r="AB3490" s="780"/>
      <c r="AC3490" s="782">
        <v>3486</v>
      </c>
      <c r="AD3490" s="782" t="s">
        <v>4573</v>
      </c>
      <c r="AE3490" s="782" t="s">
        <v>2290</v>
      </c>
      <c r="AF3490" s="781">
        <f>$S$1*P!AF3490</f>
        <v>9.2883064516129044E-2</v>
      </c>
    </row>
    <row r="3491" spans="19:32" x14ac:dyDescent="0.35">
      <c r="S3491" s="782">
        <v>3487</v>
      </c>
      <c r="T3491" s="782" t="s">
        <v>4284</v>
      </c>
      <c r="U3491" s="782" t="s">
        <v>4217</v>
      </c>
      <c r="V3491" s="797">
        <f>$S$1*P!V3491</f>
        <v>1.336693548387097E-6</v>
      </c>
      <c r="W3491" s="780"/>
      <c r="X3491" s="782">
        <v>3487</v>
      </c>
      <c r="Y3491" s="782" t="s">
        <v>2248</v>
      </c>
      <c r="Z3491" s="782" t="s">
        <v>2764</v>
      </c>
      <c r="AA3491" s="781">
        <f>$S$1*P!AA3491</f>
        <v>6.3407258064516137E-2</v>
      </c>
      <c r="AB3491" s="780"/>
      <c r="AC3491" s="881">
        <v>3487</v>
      </c>
      <c r="AD3491" s="881" t="s">
        <v>4573</v>
      </c>
      <c r="AE3491" s="881" t="s">
        <v>2290</v>
      </c>
      <c r="AF3491" s="890">
        <f>$S$1*P!AF3491</f>
        <v>0</v>
      </c>
    </row>
    <row r="3492" spans="19:32" x14ac:dyDescent="0.35">
      <c r="S3492" s="881">
        <v>3488</v>
      </c>
      <c r="T3492" s="881" t="s">
        <v>4284</v>
      </c>
      <c r="U3492" s="881" t="s">
        <v>2557</v>
      </c>
      <c r="V3492" s="883">
        <f>$S$1*P!V3492</f>
        <v>0</v>
      </c>
      <c r="W3492" s="780"/>
      <c r="X3492" s="782">
        <v>3488</v>
      </c>
      <c r="Y3492" s="782" t="s">
        <v>2248</v>
      </c>
      <c r="Z3492" s="782" t="s">
        <v>2762</v>
      </c>
      <c r="AA3492" s="781">
        <f>$S$1*P!AA3492</f>
        <v>2.3477822580645165E-3</v>
      </c>
      <c r="AB3492" s="780"/>
      <c r="AC3492" s="782">
        <v>3488</v>
      </c>
      <c r="AD3492" s="782" t="s">
        <v>4573</v>
      </c>
      <c r="AE3492" s="782" t="s">
        <v>3698</v>
      </c>
      <c r="AF3492" s="781">
        <f>$S$1*P!AF3492</f>
        <v>0.10487903225806453</v>
      </c>
    </row>
    <row r="3493" spans="19:32" x14ac:dyDescent="0.35">
      <c r="S3493" s="782">
        <v>3489</v>
      </c>
      <c r="T3493" s="782" t="s">
        <v>4284</v>
      </c>
      <c r="U3493" s="782" t="s">
        <v>2556</v>
      </c>
      <c r="V3493" s="797">
        <f>$S$1*P!V3493</f>
        <v>9.3911290322580658E-3</v>
      </c>
      <c r="W3493" s="780"/>
      <c r="X3493" s="782">
        <v>3489</v>
      </c>
      <c r="Y3493" s="782" t="s">
        <v>2248</v>
      </c>
      <c r="Z3493" s="782" t="s">
        <v>4623</v>
      </c>
      <c r="AA3493" s="781">
        <f>$S$1*P!AA3493</f>
        <v>1.0110887096774195</v>
      </c>
      <c r="AB3493" s="780"/>
      <c r="AC3493" s="782">
        <v>3489</v>
      </c>
      <c r="AD3493" s="782" t="s">
        <v>4573</v>
      </c>
      <c r="AE3493" s="782" t="s">
        <v>3697</v>
      </c>
      <c r="AF3493" s="781">
        <f>$S$1*P!AF3493</f>
        <v>0.11687500000000001</v>
      </c>
    </row>
    <row r="3494" spans="19:32" x14ac:dyDescent="0.35">
      <c r="S3494" s="881">
        <v>3490</v>
      </c>
      <c r="T3494" s="881" t="s">
        <v>4284</v>
      </c>
      <c r="U3494" s="881" t="s">
        <v>2556</v>
      </c>
      <c r="V3494" s="883">
        <f>$S$1*P!V3494</f>
        <v>0</v>
      </c>
      <c r="W3494" s="780"/>
      <c r="X3494" s="782">
        <v>3490</v>
      </c>
      <c r="Y3494" s="782" t="s">
        <v>2248</v>
      </c>
      <c r="Z3494" s="782" t="s">
        <v>2759</v>
      </c>
      <c r="AA3494" s="781">
        <f>$S$1*P!AA3494</f>
        <v>3.8387096774193555E-5</v>
      </c>
      <c r="AB3494" s="780"/>
      <c r="AC3494" s="782">
        <v>3490</v>
      </c>
      <c r="AD3494" s="782" t="s">
        <v>4573</v>
      </c>
      <c r="AE3494" s="782" t="s">
        <v>3695</v>
      </c>
      <c r="AF3494" s="781">
        <f>$S$1*P!AF3494</f>
        <v>0.5346774193548387</v>
      </c>
    </row>
    <row r="3495" spans="19:32" x14ac:dyDescent="0.35">
      <c r="S3495" s="782">
        <v>3491</v>
      </c>
      <c r="T3495" s="782" t="s">
        <v>4284</v>
      </c>
      <c r="U3495" s="782" t="s">
        <v>4214</v>
      </c>
      <c r="V3495" s="797">
        <f>$S$1*P!V3495</f>
        <v>1.7239919354838709E-3</v>
      </c>
      <c r="W3495" s="780"/>
      <c r="X3495" s="782">
        <v>3491</v>
      </c>
      <c r="Y3495" s="782" t="s">
        <v>2248</v>
      </c>
      <c r="Z3495" s="782" t="s">
        <v>2758</v>
      </c>
      <c r="AA3495" s="781">
        <f>$S$1*P!AA3495</f>
        <v>2.4368951612903227E-6</v>
      </c>
      <c r="AB3495" s="780"/>
      <c r="AC3495" s="782">
        <v>3491</v>
      </c>
      <c r="AD3495" s="782" t="s">
        <v>4573</v>
      </c>
      <c r="AE3495" s="782" t="s">
        <v>3693</v>
      </c>
      <c r="AF3495" s="781">
        <f>$S$1*P!AF3495</f>
        <v>0.19536290322580646</v>
      </c>
    </row>
    <row r="3496" spans="19:32" x14ac:dyDescent="0.35">
      <c r="S3496" s="782">
        <v>3492</v>
      </c>
      <c r="T3496" s="782" t="s">
        <v>4284</v>
      </c>
      <c r="U3496" s="782" t="s">
        <v>4213</v>
      </c>
      <c r="V3496" s="797">
        <f>$S$1*P!V3496</f>
        <v>9.836693548387098E-4</v>
      </c>
      <c r="W3496" s="780"/>
      <c r="X3496" s="881">
        <v>3492</v>
      </c>
      <c r="Y3496" s="881" t="s">
        <v>2248</v>
      </c>
      <c r="Z3496" s="881" t="s">
        <v>4622</v>
      </c>
      <c r="AA3496" s="882">
        <f>$S$1*P!AA3496</f>
        <v>1.0008064516129032E-2</v>
      </c>
      <c r="AB3496" s="780"/>
      <c r="AC3496" s="782">
        <v>3492</v>
      </c>
      <c r="AD3496" s="782" t="s">
        <v>4573</v>
      </c>
      <c r="AE3496" s="782" t="s">
        <v>3691</v>
      </c>
      <c r="AF3496" s="781">
        <f>$S$1*P!AF3496</f>
        <v>1.8199596774193549</v>
      </c>
    </row>
    <row r="3497" spans="19:32" x14ac:dyDescent="0.35">
      <c r="S3497" s="881">
        <v>3493</v>
      </c>
      <c r="T3497" s="881" t="s">
        <v>4284</v>
      </c>
      <c r="U3497" s="881" t="s">
        <v>2554</v>
      </c>
      <c r="V3497" s="883">
        <f>$S$1*P!V3497</f>
        <v>6.9092000000000001E-2</v>
      </c>
      <c r="W3497" s="780"/>
      <c r="X3497" s="881">
        <v>3493</v>
      </c>
      <c r="Y3497" s="881" t="s">
        <v>2248</v>
      </c>
      <c r="Z3497" s="881" t="s">
        <v>2784</v>
      </c>
      <c r="AA3497" s="890">
        <f>$S$1*P!AA3497</f>
        <v>0</v>
      </c>
      <c r="AB3497" s="780"/>
      <c r="AC3497" s="782">
        <v>3493</v>
      </c>
      <c r="AD3497" s="782" t="s">
        <v>4573</v>
      </c>
      <c r="AE3497" s="782" t="s">
        <v>3690</v>
      </c>
      <c r="AF3497" s="781">
        <f>$S$1*P!AF3497</f>
        <v>0.51411290322580649</v>
      </c>
    </row>
    <row r="3498" spans="19:32" x14ac:dyDescent="0.35">
      <c r="S3498" s="782">
        <v>3494</v>
      </c>
      <c r="T3498" s="782" t="s">
        <v>4284</v>
      </c>
      <c r="U3498" s="782" t="s">
        <v>4212</v>
      </c>
      <c r="V3498" s="797">
        <f>$S$1*P!V3498</f>
        <v>6.7177419354838711E-3</v>
      </c>
      <c r="W3498" s="780"/>
      <c r="X3498" s="881">
        <v>3494</v>
      </c>
      <c r="Y3498" s="881" t="s">
        <v>2248</v>
      </c>
      <c r="Z3498" s="881" t="s">
        <v>2783</v>
      </c>
      <c r="AA3498" s="890">
        <f>$S$1*P!AA3498</f>
        <v>0.39560000000000001</v>
      </c>
      <c r="AB3498" s="780"/>
      <c r="AC3498" s="782">
        <v>3494</v>
      </c>
      <c r="AD3498" s="782" t="s">
        <v>4573</v>
      </c>
      <c r="AE3498" s="782" t="s">
        <v>2288</v>
      </c>
      <c r="AF3498" s="781">
        <f>$S$1*P!AF3498</f>
        <v>4.7983870967741938E-4</v>
      </c>
    </row>
    <row r="3499" spans="19:32" x14ac:dyDescent="0.35">
      <c r="S3499" s="782">
        <v>3495</v>
      </c>
      <c r="T3499" s="782" t="s">
        <v>4284</v>
      </c>
      <c r="U3499" s="782" t="s">
        <v>2552</v>
      </c>
      <c r="V3499" s="797">
        <f>$S$1*P!V3499</f>
        <v>1.6897177419354838E-2</v>
      </c>
      <c r="W3499" s="780"/>
      <c r="X3499" s="782">
        <v>3495</v>
      </c>
      <c r="Y3499" s="782" t="s">
        <v>2248</v>
      </c>
      <c r="Z3499" s="782" t="s">
        <v>3319</v>
      </c>
      <c r="AA3499" s="781">
        <f>$S$1*P!AA3499</f>
        <v>5.55241935483871</v>
      </c>
      <c r="AB3499" s="780"/>
      <c r="AC3499" s="881">
        <v>3495</v>
      </c>
      <c r="AD3499" s="881" t="s">
        <v>4573</v>
      </c>
      <c r="AE3499" s="881" t="s">
        <v>2288</v>
      </c>
      <c r="AF3499" s="890">
        <f>$S$1*P!AF3499</f>
        <v>0.74428000000000005</v>
      </c>
    </row>
    <row r="3500" spans="19:32" x14ac:dyDescent="0.35">
      <c r="S3500" s="881">
        <v>3496</v>
      </c>
      <c r="T3500" s="881" t="s">
        <v>4284</v>
      </c>
      <c r="U3500" s="881" t="s">
        <v>2552</v>
      </c>
      <c r="V3500" s="883">
        <f>$S$1*P!V3500</f>
        <v>12.052</v>
      </c>
      <c r="W3500" s="780"/>
      <c r="X3500" s="782">
        <v>3496</v>
      </c>
      <c r="Y3500" s="782" t="s">
        <v>2248</v>
      </c>
      <c r="Z3500" s="782" t="s">
        <v>2757</v>
      </c>
      <c r="AA3500" s="781">
        <f>$S$1*P!AA3500</f>
        <v>1.4943548387096777E-4</v>
      </c>
      <c r="AB3500" s="780"/>
      <c r="AC3500" s="782">
        <v>3496</v>
      </c>
      <c r="AD3500" s="782" t="s">
        <v>4573</v>
      </c>
      <c r="AE3500" s="782" t="s">
        <v>3685</v>
      </c>
      <c r="AF3500" s="781">
        <f>$S$1*P!AF3500</f>
        <v>3.9072580645161297E-3</v>
      </c>
    </row>
    <row r="3501" spans="19:32" x14ac:dyDescent="0.35">
      <c r="S3501" s="782">
        <v>3497</v>
      </c>
      <c r="T3501" s="782" t="s">
        <v>4284</v>
      </c>
      <c r="U3501" s="782" t="s">
        <v>2551</v>
      </c>
      <c r="V3501" s="797">
        <f>$S$1*P!V3501</f>
        <v>8.2600806451612913E-2</v>
      </c>
      <c r="W3501" s="780"/>
      <c r="X3501" s="881">
        <v>3497</v>
      </c>
      <c r="Y3501" s="881" t="s">
        <v>2248</v>
      </c>
      <c r="Z3501" s="881" t="s">
        <v>2755</v>
      </c>
      <c r="AA3501" s="890">
        <f>$S$1*P!AA3501</f>
        <v>0</v>
      </c>
      <c r="AB3501" s="780"/>
      <c r="AC3501" s="782">
        <v>3497</v>
      </c>
      <c r="AD3501" s="782" t="s">
        <v>4573</v>
      </c>
      <c r="AE3501" s="782" t="s">
        <v>3684</v>
      </c>
      <c r="AF3501" s="781">
        <f>$S$1*P!AF3501</f>
        <v>5.792338709677419E-4</v>
      </c>
    </row>
    <row r="3502" spans="19:32" x14ac:dyDescent="0.35">
      <c r="S3502" s="881">
        <v>3498</v>
      </c>
      <c r="T3502" s="881" t="s">
        <v>4284</v>
      </c>
      <c r="U3502" s="881" t="s">
        <v>2551</v>
      </c>
      <c r="V3502" s="883">
        <f>$S$1*P!V3502</f>
        <v>938.40000000000009</v>
      </c>
      <c r="W3502" s="780"/>
      <c r="X3502" s="782">
        <v>3498</v>
      </c>
      <c r="Y3502" s="782" t="s">
        <v>2248</v>
      </c>
      <c r="Z3502" s="782" t="s">
        <v>2755</v>
      </c>
      <c r="AA3502" s="781">
        <f>$S$1*P!AA3502</f>
        <v>1.9056451612903228E-3</v>
      </c>
      <c r="AB3502" s="780"/>
      <c r="AC3502" s="782">
        <v>3498</v>
      </c>
      <c r="AD3502" s="782" t="s">
        <v>4573</v>
      </c>
      <c r="AE3502" s="782" t="s">
        <v>3682</v>
      </c>
      <c r="AF3502" s="781">
        <f>$S$1*P!AF3502</f>
        <v>0.86028225806451619</v>
      </c>
    </row>
    <row r="3503" spans="19:32" x14ac:dyDescent="0.35">
      <c r="S3503" s="782">
        <v>3499</v>
      </c>
      <c r="T3503" s="782" t="s">
        <v>4284</v>
      </c>
      <c r="U3503" s="782" t="s">
        <v>2549</v>
      </c>
      <c r="V3503" s="797">
        <f>$S$1*P!V3503</f>
        <v>1.703427419354839E-3</v>
      </c>
      <c r="W3503" s="780"/>
      <c r="X3503" s="881">
        <v>3499</v>
      </c>
      <c r="Y3503" s="881" t="s">
        <v>2248</v>
      </c>
      <c r="Z3503" s="881" t="s">
        <v>4621</v>
      </c>
      <c r="AA3503" s="882">
        <f>$S$1*P!AA3503</f>
        <v>1.9981854838709678</v>
      </c>
      <c r="AB3503" s="780"/>
      <c r="AC3503" s="782">
        <v>3499</v>
      </c>
      <c r="AD3503" s="782" t="s">
        <v>4573</v>
      </c>
      <c r="AE3503" s="782" t="s">
        <v>2287</v>
      </c>
      <c r="AF3503" s="781">
        <f>$S$1*P!AF3503</f>
        <v>1.3264112903225808E-5</v>
      </c>
    </row>
    <row r="3504" spans="19:32" x14ac:dyDescent="0.35">
      <c r="S3504" s="881">
        <v>3500</v>
      </c>
      <c r="T3504" s="881" t="s">
        <v>4284</v>
      </c>
      <c r="U3504" s="881" t="s">
        <v>2549</v>
      </c>
      <c r="V3504" s="883">
        <f>$S$1*P!V3504</f>
        <v>854.68000000000006</v>
      </c>
      <c r="W3504" s="780"/>
      <c r="X3504" s="881">
        <v>3500</v>
      </c>
      <c r="Y3504" s="881" t="s">
        <v>2248</v>
      </c>
      <c r="Z3504" s="881" t="s">
        <v>2781</v>
      </c>
      <c r="AA3504" s="890">
        <f>$S$1*P!AA3504</f>
        <v>0</v>
      </c>
      <c r="AB3504" s="780"/>
      <c r="AC3504" s="881">
        <v>3500</v>
      </c>
      <c r="AD3504" s="881" t="s">
        <v>4573</v>
      </c>
      <c r="AE3504" s="881" t="s">
        <v>2287</v>
      </c>
      <c r="AF3504" s="890">
        <f>$S$1*P!AF3504</f>
        <v>0</v>
      </c>
    </row>
    <row r="3505" spans="19:32" x14ac:dyDescent="0.35">
      <c r="S3505" s="782">
        <v>3501</v>
      </c>
      <c r="T3505" s="782" t="s">
        <v>4284</v>
      </c>
      <c r="U3505" s="782" t="s">
        <v>2548</v>
      </c>
      <c r="V3505" s="797">
        <f>$S$1*P!V3505</f>
        <v>5.4153225806451615E-3</v>
      </c>
      <c r="W3505" s="780"/>
      <c r="X3505" s="782">
        <v>3501</v>
      </c>
      <c r="Y3505" s="782" t="s">
        <v>2248</v>
      </c>
      <c r="Z3505" s="782" t="s">
        <v>2753</v>
      </c>
      <c r="AA3505" s="781">
        <f>$S$1*P!AA3505</f>
        <v>1.4737903225806454E-3</v>
      </c>
      <c r="AB3505" s="780"/>
      <c r="AC3505" s="782">
        <v>3501</v>
      </c>
      <c r="AD3505" s="782" t="s">
        <v>4573</v>
      </c>
      <c r="AE3505" s="782" t="s">
        <v>3678</v>
      </c>
      <c r="AF3505" s="781">
        <f>$S$1*P!AF3505</f>
        <v>7.0262096774193557E-4</v>
      </c>
    </row>
    <row r="3506" spans="19:32" x14ac:dyDescent="0.35">
      <c r="S3506" s="881">
        <v>3502</v>
      </c>
      <c r="T3506" s="881" t="s">
        <v>4284</v>
      </c>
      <c r="U3506" s="881" t="s">
        <v>2548</v>
      </c>
      <c r="V3506" s="883">
        <f>$S$1*P!V3506</f>
        <v>53.636000000000003</v>
      </c>
      <c r="W3506" s="780"/>
      <c r="X3506" s="782">
        <v>3502</v>
      </c>
      <c r="Y3506" s="782" t="s">
        <v>2248</v>
      </c>
      <c r="Z3506" s="782" t="s">
        <v>3318</v>
      </c>
      <c r="AA3506" s="781">
        <f>$S$1*P!AA3506</f>
        <v>3.0812500000000002E-3</v>
      </c>
      <c r="AB3506" s="780"/>
      <c r="AC3506" s="782">
        <v>3502</v>
      </c>
      <c r="AD3506" s="782" t="s">
        <v>4573</v>
      </c>
      <c r="AE3506" s="782" t="s">
        <v>3675</v>
      </c>
      <c r="AF3506" s="781">
        <f>$S$1*P!AF3506</f>
        <v>1.0179435483870968E-2</v>
      </c>
    </row>
    <row r="3507" spans="19:32" x14ac:dyDescent="0.35">
      <c r="S3507" s="881">
        <v>3503</v>
      </c>
      <c r="T3507" s="881" t="s">
        <v>4284</v>
      </c>
      <c r="U3507" s="881" t="s">
        <v>2546</v>
      </c>
      <c r="V3507" s="883">
        <f>$S$1*P!V3507</f>
        <v>8.9976000000000003</v>
      </c>
      <c r="W3507" s="780"/>
      <c r="X3507" s="782">
        <v>3503</v>
      </c>
      <c r="Y3507" s="782" t="s">
        <v>2248</v>
      </c>
      <c r="Z3507" s="782" t="s">
        <v>2752</v>
      </c>
      <c r="AA3507" s="781">
        <f>$S$1*P!AA3507</f>
        <v>1.8473790322580646E-3</v>
      </c>
      <c r="AB3507" s="780"/>
      <c r="AC3507" s="782">
        <v>3503</v>
      </c>
      <c r="AD3507" s="782" t="s">
        <v>4573</v>
      </c>
      <c r="AE3507" s="782" t="s">
        <v>3673</v>
      </c>
      <c r="AF3507" s="781">
        <f>$S$1*P!AF3507</f>
        <v>4.7298387096774199</v>
      </c>
    </row>
    <row r="3508" spans="19:32" x14ac:dyDescent="0.35">
      <c r="S3508" s="782">
        <v>3504</v>
      </c>
      <c r="T3508" s="782" t="s">
        <v>4284</v>
      </c>
      <c r="U3508" s="782" t="s">
        <v>4210</v>
      </c>
      <c r="V3508" s="797">
        <f>$S$1*P!V3508</f>
        <v>5.6209677419354842E-2</v>
      </c>
      <c r="W3508" s="780"/>
      <c r="X3508" s="782">
        <v>3504</v>
      </c>
      <c r="Y3508" s="782" t="s">
        <v>2248</v>
      </c>
      <c r="Z3508" s="782" t="s">
        <v>2751</v>
      </c>
      <c r="AA3508" s="781">
        <f>$S$1*P!AA3508</f>
        <v>5.3810483870967742E-4</v>
      </c>
      <c r="AB3508" s="780"/>
      <c r="AC3508" s="782">
        <v>3504</v>
      </c>
      <c r="AD3508" s="782" t="s">
        <v>4573</v>
      </c>
      <c r="AE3508" s="782" t="s">
        <v>3670</v>
      </c>
      <c r="AF3508" s="781">
        <f>$S$1*P!AF3508</f>
        <v>9.870967741935484</v>
      </c>
    </row>
    <row r="3509" spans="19:32" x14ac:dyDescent="0.35">
      <c r="S3509" s="782">
        <v>3505</v>
      </c>
      <c r="T3509" s="782" t="s">
        <v>4284</v>
      </c>
      <c r="U3509" s="782" t="s">
        <v>4208</v>
      </c>
      <c r="V3509" s="797">
        <f>$S$1*P!V3509</f>
        <v>3.4616935483870971E-3</v>
      </c>
      <c r="W3509" s="780"/>
      <c r="X3509" s="881">
        <v>3505</v>
      </c>
      <c r="Y3509" s="881" t="s">
        <v>2248</v>
      </c>
      <c r="Z3509" s="881" t="s">
        <v>4620</v>
      </c>
      <c r="AA3509" s="882">
        <f>$S$1*P!AA3509</f>
        <v>8.1229838709677427E-4</v>
      </c>
      <c r="AB3509" s="780"/>
      <c r="AC3509" s="782">
        <v>3505</v>
      </c>
      <c r="AD3509" s="782" t="s">
        <v>4573</v>
      </c>
      <c r="AE3509" s="782" t="s">
        <v>3669</v>
      </c>
      <c r="AF3509" s="781">
        <f>$S$1*P!AF3509</f>
        <v>1.1790322580645163</v>
      </c>
    </row>
    <row r="3510" spans="19:32" x14ac:dyDescent="0.35">
      <c r="S3510" s="782">
        <v>3506</v>
      </c>
      <c r="T3510" s="782" t="s">
        <v>4284</v>
      </c>
      <c r="U3510" s="782" t="s">
        <v>4207</v>
      </c>
      <c r="V3510" s="797">
        <f>$S$1*P!V3510</f>
        <v>1.5971774193548388E-3</v>
      </c>
      <c r="W3510" s="780"/>
      <c r="X3510" s="881">
        <v>3506</v>
      </c>
      <c r="Y3510" s="881" t="s">
        <v>2248</v>
      </c>
      <c r="Z3510" s="881" t="s">
        <v>2748</v>
      </c>
      <c r="AA3510" s="890">
        <f>$S$1*P!AA3510</f>
        <v>0</v>
      </c>
      <c r="AB3510" s="780"/>
      <c r="AC3510" s="782">
        <v>3506</v>
      </c>
      <c r="AD3510" s="782" t="s">
        <v>4573</v>
      </c>
      <c r="AE3510" s="782" t="s">
        <v>3667</v>
      </c>
      <c r="AF3510" s="781">
        <f>$S$1*P!AF3510</f>
        <v>271.10887096774195</v>
      </c>
    </row>
    <row r="3511" spans="19:32" x14ac:dyDescent="0.35">
      <c r="S3511" s="782">
        <v>3507</v>
      </c>
      <c r="T3511" s="782" t="s">
        <v>4284</v>
      </c>
      <c r="U3511" s="782" t="s">
        <v>4206</v>
      </c>
      <c r="V3511" s="797">
        <f>$S$1*P!V3511</f>
        <v>2.6973790322580647E-2</v>
      </c>
      <c r="W3511" s="780"/>
      <c r="X3511" s="782">
        <v>3507</v>
      </c>
      <c r="Y3511" s="782" t="s">
        <v>2248</v>
      </c>
      <c r="Z3511" s="782" t="s">
        <v>2748</v>
      </c>
      <c r="AA3511" s="781">
        <f>$S$1*P!AA3511</f>
        <v>1.3881048387096775E-3</v>
      </c>
      <c r="AB3511" s="780"/>
      <c r="AC3511" s="782">
        <v>3507</v>
      </c>
      <c r="AD3511" s="782" t="s">
        <v>4573</v>
      </c>
      <c r="AE3511" s="782" t="s">
        <v>3664</v>
      </c>
      <c r="AF3511" s="781">
        <f>$S$1*P!AF3511</f>
        <v>1.6794354838709677E-5</v>
      </c>
    </row>
    <row r="3512" spans="19:32" x14ac:dyDescent="0.35">
      <c r="S3512" s="782">
        <v>3508</v>
      </c>
      <c r="T3512" s="782" t="s">
        <v>4284</v>
      </c>
      <c r="U3512" s="782" t="s">
        <v>2545</v>
      </c>
      <c r="V3512" s="797">
        <f>$S$1*P!V3512</f>
        <v>2.0530241935483872E-2</v>
      </c>
      <c r="W3512" s="780"/>
      <c r="X3512" s="782">
        <v>3508</v>
      </c>
      <c r="Y3512" s="782" t="s">
        <v>2248</v>
      </c>
      <c r="Z3512" s="782" t="s">
        <v>2745</v>
      </c>
      <c r="AA3512" s="781">
        <f>$S$1*P!AA3512</f>
        <v>9.9052419354838723E-5</v>
      </c>
      <c r="AB3512" s="780"/>
      <c r="AC3512" s="782">
        <v>3508</v>
      </c>
      <c r="AD3512" s="782" t="s">
        <v>4573</v>
      </c>
      <c r="AE3512" s="782" t="s">
        <v>2285</v>
      </c>
      <c r="AF3512" s="781">
        <f>$S$1*P!AF3512</f>
        <v>3.7016129032258069</v>
      </c>
    </row>
    <row r="3513" spans="19:32" x14ac:dyDescent="0.35">
      <c r="S3513" s="881">
        <v>3509</v>
      </c>
      <c r="T3513" s="881" t="s">
        <v>4284</v>
      </c>
      <c r="U3513" s="881" t="s">
        <v>2545</v>
      </c>
      <c r="V3513" s="883">
        <f>$S$1*P!V3513</f>
        <v>0</v>
      </c>
      <c r="W3513" s="780"/>
      <c r="X3513" s="881">
        <v>3509</v>
      </c>
      <c r="Y3513" s="881" t="s">
        <v>2248</v>
      </c>
      <c r="Z3513" s="881" t="s">
        <v>4619</v>
      </c>
      <c r="AA3513" s="882">
        <f>$S$1*P!AA3513</f>
        <v>3.0435483870967745E-2</v>
      </c>
      <c r="AB3513" s="780"/>
      <c r="AC3513" s="881">
        <v>3509</v>
      </c>
      <c r="AD3513" s="881" t="s">
        <v>4573</v>
      </c>
      <c r="AE3513" s="881" t="s">
        <v>2285</v>
      </c>
      <c r="AF3513" s="890">
        <f>$S$1*P!AF3513</f>
        <v>2.2448000000000001</v>
      </c>
    </row>
    <row r="3514" spans="19:32" x14ac:dyDescent="0.35">
      <c r="S3514" s="881">
        <v>3510</v>
      </c>
      <c r="T3514" s="881" t="s">
        <v>4284</v>
      </c>
      <c r="U3514" s="881" t="s">
        <v>2543</v>
      </c>
      <c r="V3514" s="883">
        <f>$S$1*P!V3514</f>
        <v>0</v>
      </c>
      <c r="W3514" s="780"/>
      <c r="X3514" s="782">
        <v>3510</v>
      </c>
      <c r="Y3514" s="782" t="s">
        <v>2248</v>
      </c>
      <c r="Z3514" s="782" t="s">
        <v>2744</v>
      </c>
      <c r="AA3514" s="781">
        <f>$S$1*P!AA3514</f>
        <v>1.8131048387096775E-2</v>
      </c>
      <c r="AB3514" s="780"/>
      <c r="AC3514" s="782">
        <v>3510</v>
      </c>
      <c r="AD3514" s="782" t="s">
        <v>4573</v>
      </c>
      <c r="AE3514" s="782" t="s">
        <v>3658</v>
      </c>
      <c r="AF3514" s="781">
        <f>$S$1*P!AF3514</f>
        <v>1.3949596774193549</v>
      </c>
    </row>
    <row r="3515" spans="19:32" x14ac:dyDescent="0.35">
      <c r="S3515" s="782">
        <v>3511</v>
      </c>
      <c r="T3515" s="782" t="s">
        <v>4284</v>
      </c>
      <c r="U3515" s="782" t="s">
        <v>2542</v>
      </c>
      <c r="V3515" s="797">
        <f>$S$1*P!V3515</f>
        <v>2.104435483870968E-3</v>
      </c>
      <c r="W3515" s="780"/>
      <c r="X3515" s="881">
        <v>3511</v>
      </c>
      <c r="Y3515" s="881" t="s">
        <v>2248</v>
      </c>
      <c r="Z3515" s="881" t="s">
        <v>2778</v>
      </c>
      <c r="AA3515" s="890">
        <f>$S$1*P!AA3515</f>
        <v>0</v>
      </c>
      <c r="AB3515" s="780"/>
      <c r="AC3515" s="782">
        <v>3511</v>
      </c>
      <c r="AD3515" s="782" t="s">
        <v>4573</v>
      </c>
      <c r="AE3515" s="782" t="s">
        <v>3656</v>
      </c>
      <c r="AF3515" s="781">
        <f>$S$1*P!AF3515</f>
        <v>0.17</v>
      </c>
    </row>
    <row r="3516" spans="19:32" x14ac:dyDescent="0.35">
      <c r="S3516" s="881">
        <v>3512</v>
      </c>
      <c r="T3516" s="881" t="s">
        <v>4284</v>
      </c>
      <c r="U3516" s="881" t="s">
        <v>2542</v>
      </c>
      <c r="V3516" s="883">
        <f>$S$1*P!V3516</f>
        <v>0</v>
      </c>
      <c r="W3516" s="780"/>
      <c r="X3516" s="881">
        <v>3512</v>
      </c>
      <c r="Y3516" s="881" t="s">
        <v>2248</v>
      </c>
      <c r="Z3516" s="881" t="s">
        <v>4618</v>
      </c>
      <c r="AA3516" s="882">
        <f>$S$1*P!AA3516</f>
        <v>8.3286290322580651E-6</v>
      </c>
      <c r="AB3516" s="780"/>
      <c r="AC3516" s="782">
        <v>3512</v>
      </c>
      <c r="AD3516" s="782" t="s">
        <v>4573</v>
      </c>
      <c r="AE3516" s="782" t="s">
        <v>3654</v>
      </c>
      <c r="AF3516" s="781">
        <f>$S$1*P!AF3516</f>
        <v>4.0786290322580646E-2</v>
      </c>
    </row>
    <row r="3517" spans="19:32" x14ac:dyDescent="0.35">
      <c r="S3517" s="881">
        <v>3513</v>
      </c>
      <c r="T3517" s="881" t="s">
        <v>4284</v>
      </c>
      <c r="U3517" s="881" t="s">
        <v>2540</v>
      </c>
      <c r="V3517" s="883">
        <f>$S$1*P!V3517</f>
        <v>0.44988</v>
      </c>
      <c r="W3517" s="780"/>
      <c r="X3517" s="782">
        <v>3513</v>
      </c>
      <c r="Y3517" s="782" t="s">
        <v>2248</v>
      </c>
      <c r="Z3517" s="782" t="s">
        <v>2742</v>
      </c>
      <c r="AA3517" s="781">
        <f>$S$1*P!AA3517</f>
        <v>2.4437500000000002E-3</v>
      </c>
      <c r="AB3517" s="780"/>
      <c r="AC3517" s="782">
        <v>3513</v>
      </c>
      <c r="AD3517" s="782" t="s">
        <v>4573</v>
      </c>
      <c r="AE3517" s="782" t="s">
        <v>3652</v>
      </c>
      <c r="AF3517" s="781">
        <f>$S$1*P!AF3517</f>
        <v>1.4943548387096776E-2</v>
      </c>
    </row>
    <row r="3518" spans="19:32" x14ac:dyDescent="0.35">
      <c r="S3518" s="881">
        <v>3514</v>
      </c>
      <c r="T3518" s="881" t="s">
        <v>4284</v>
      </c>
      <c r="U3518" s="881" t="s">
        <v>2538</v>
      </c>
      <c r="V3518" s="883">
        <f>$S$1*P!V3518</f>
        <v>0</v>
      </c>
      <c r="W3518" s="780"/>
      <c r="X3518" s="881">
        <v>3514</v>
      </c>
      <c r="Y3518" s="881" t="s">
        <v>2248</v>
      </c>
      <c r="Z3518" s="881" t="s">
        <v>2777</v>
      </c>
      <c r="AA3518" s="890">
        <f>$S$1*P!AA3518</f>
        <v>0.70655999999999997</v>
      </c>
      <c r="AB3518" s="780"/>
      <c r="AC3518" s="881">
        <v>3514</v>
      </c>
      <c r="AD3518" s="881" t="s">
        <v>4573</v>
      </c>
      <c r="AE3518" s="881" t="s">
        <v>2283</v>
      </c>
      <c r="AF3518" s="890">
        <f>$S$1*P!AF3518</f>
        <v>0</v>
      </c>
    </row>
    <row r="3519" spans="19:32" x14ac:dyDescent="0.35">
      <c r="S3519" s="782">
        <v>3515</v>
      </c>
      <c r="T3519" s="782" t="s">
        <v>4284</v>
      </c>
      <c r="U3519" s="782" t="s">
        <v>4202</v>
      </c>
      <c r="V3519" s="797">
        <f>$S$1*P!V3519</f>
        <v>1.0830645161290324</v>
      </c>
      <c r="W3519" s="780"/>
      <c r="X3519" s="881">
        <v>3515</v>
      </c>
      <c r="Y3519" s="881" t="s">
        <v>2248</v>
      </c>
      <c r="Z3519" s="881" t="s">
        <v>4617</v>
      </c>
      <c r="AA3519" s="882">
        <f>$S$1*P!AA3519</f>
        <v>0.10830645161290324</v>
      </c>
      <c r="AB3519" s="780"/>
      <c r="AC3519" s="782">
        <v>3515</v>
      </c>
      <c r="AD3519" s="782" t="s">
        <v>4573</v>
      </c>
      <c r="AE3519" s="782" t="s">
        <v>2282</v>
      </c>
      <c r="AF3519" s="781">
        <f>$S$1*P!AF3519</f>
        <v>3.4102822580645162E-2</v>
      </c>
    </row>
    <row r="3520" spans="19:32" x14ac:dyDescent="0.35">
      <c r="S3520" s="881">
        <v>3516</v>
      </c>
      <c r="T3520" s="881" t="s">
        <v>4284</v>
      </c>
      <c r="U3520" s="881" t="s">
        <v>2537</v>
      </c>
      <c r="V3520" s="883">
        <f>$S$1*P!V3520</f>
        <v>0.33856000000000003</v>
      </c>
      <c r="W3520" s="780"/>
      <c r="X3520" s="881">
        <v>3516</v>
      </c>
      <c r="Y3520" s="881" t="s">
        <v>2248</v>
      </c>
      <c r="Z3520" s="881" t="s">
        <v>2741</v>
      </c>
      <c r="AA3520" s="890">
        <f>$S$1*P!AA3520</f>
        <v>0.1656</v>
      </c>
      <c r="AB3520" s="780"/>
      <c r="AC3520" s="881">
        <v>3516</v>
      </c>
      <c r="AD3520" s="881" t="s">
        <v>4573</v>
      </c>
      <c r="AE3520" s="881" t="s">
        <v>2282</v>
      </c>
      <c r="AF3520" s="890">
        <f>$S$1*P!AF3520</f>
        <v>0</v>
      </c>
    </row>
    <row r="3521" spans="19:32" x14ac:dyDescent="0.35">
      <c r="S3521" s="881">
        <v>3517</v>
      </c>
      <c r="T3521" s="881" t="s">
        <v>4284</v>
      </c>
      <c r="U3521" s="881" t="s">
        <v>2535</v>
      </c>
      <c r="V3521" s="883">
        <f>$S$1*P!V3521</f>
        <v>0</v>
      </c>
      <c r="W3521" s="780"/>
      <c r="X3521" s="782">
        <v>3517</v>
      </c>
      <c r="Y3521" s="782" t="s">
        <v>2248</v>
      </c>
      <c r="Z3521" s="782" t="s">
        <v>2741</v>
      </c>
      <c r="AA3521" s="781">
        <f>$S$1*P!AA3521</f>
        <v>0.45927419354838711</v>
      </c>
      <c r="AB3521" s="780"/>
      <c r="AC3521" s="782">
        <v>3517</v>
      </c>
      <c r="AD3521" s="782" t="s">
        <v>4573</v>
      </c>
      <c r="AE3521" s="782" t="s">
        <v>3646</v>
      </c>
      <c r="AF3521" s="781">
        <f>$S$1*P!AF3521</f>
        <v>0.60665322580645165</v>
      </c>
    </row>
    <row r="3522" spans="19:32" x14ac:dyDescent="0.35">
      <c r="S3522" s="782">
        <v>3518</v>
      </c>
      <c r="T3522" s="782" t="s">
        <v>4284</v>
      </c>
      <c r="U3522" s="782" t="s">
        <v>2534</v>
      </c>
      <c r="V3522" s="797">
        <f>$S$1*P!V3522</f>
        <v>2.8927419354838712E-3</v>
      </c>
      <c r="W3522" s="780"/>
      <c r="X3522" s="782">
        <v>3518</v>
      </c>
      <c r="Y3522" s="782" t="s">
        <v>2248</v>
      </c>
      <c r="Z3522" s="782" t="s">
        <v>2739</v>
      </c>
      <c r="AA3522" s="781">
        <f>$S$1*P!AA3522</f>
        <v>1.1002016129032259E-4</v>
      </c>
      <c r="AB3522" s="780"/>
      <c r="AC3522" s="782">
        <v>3518</v>
      </c>
      <c r="AD3522" s="782" t="s">
        <v>4573</v>
      </c>
      <c r="AE3522" s="782" t="s">
        <v>3644</v>
      </c>
      <c r="AF3522" s="781">
        <f>$S$1*P!AF3522</f>
        <v>5.8266129032258071E-2</v>
      </c>
    </row>
    <row r="3523" spans="19:32" x14ac:dyDescent="0.35">
      <c r="S3523" s="881">
        <v>3519</v>
      </c>
      <c r="T3523" s="881" t="s">
        <v>4284</v>
      </c>
      <c r="U3523" s="881" t="s">
        <v>2534</v>
      </c>
      <c r="V3523" s="883">
        <f>$S$1*P!V3523</f>
        <v>0</v>
      </c>
      <c r="W3523" s="780"/>
      <c r="X3523" s="782">
        <v>3519</v>
      </c>
      <c r="Y3523" s="782" t="s">
        <v>2248</v>
      </c>
      <c r="Z3523" s="782" t="s">
        <v>4616</v>
      </c>
      <c r="AA3523" s="781">
        <f>$S$1*P!AA3523</f>
        <v>5.929435483870968E-6</v>
      </c>
      <c r="AB3523" s="780"/>
      <c r="AC3523" s="782">
        <v>3519</v>
      </c>
      <c r="AD3523" s="782" t="s">
        <v>4573</v>
      </c>
      <c r="AE3523" s="782" t="s">
        <v>3642</v>
      </c>
      <c r="AF3523" s="781">
        <f>$S$1*P!AF3523</f>
        <v>2.2449596774193549E-3</v>
      </c>
    </row>
    <row r="3524" spans="19:32" x14ac:dyDescent="0.35">
      <c r="S3524" s="881">
        <v>3520</v>
      </c>
      <c r="T3524" s="881" t="s">
        <v>4284</v>
      </c>
      <c r="U3524" s="881" t="s">
        <v>2532</v>
      </c>
      <c r="V3524" s="883">
        <f>$S$1*P!V3524</f>
        <v>15.548</v>
      </c>
      <c r="W3524" s="780"/>
      <c r="X3524" s="782">
        <v>3520</v>
      </c>
      <c r="Y3524" s="782" t="s">
        <v>2248</v>
      </c>
      <c r="Z3524" s="782" t="s">
        <v>2737</v>
      </c>
      <c r="AA3524" s="781">
        <f>$S$1*P!AA3524</f>
        <v>4.6955645161290326E-4</v>
      </c>
      <c r="AB3524" s="780"/>
      <c r="AC3524" s="782">
        <v>3520</v>
      </c>
      <c r="AD3524" s="782" t="s">
        <v>4573</v>
      </c>
      <c r="AE3524" s="782" t="s">
        <v>3639</v>
      </c>
      <c r="AF3524" s="781">
        <f>$S$1*P!AF3524</f>
        <v>4.5241935483870968E-2</v>
      </c>
    </row>
    <row r="3525" spans="19:32" x14ac:dyDescent="0.35">
      <c r="S3525" s="881">
        <v>3521</v>
      </c>
      <c r="T3525" s="881" t="s">
        <v>4284</v>
      </c>
      <c r="U3525" s="881" t="s">
        <v>2531</v>
      </c>
      <c r="V3525" s="883">
        <f>$S$1*P!V3525</f>
        <v>156.4</v>
      </c>
      <c r="W3525" s="780"/>
      <c r="X3525" s="881">
        <v>3521</v>
      </c>
      <c r="Y3525" s="881" t="s">
        <v>2248</v>
      </c>
      <c r="Z3525" s="881" t="s">
        <v>2775</v>
      </c>
      <c r="AA3525" s="890">
        <f>$S$1*P!AA3525</f>
        <v>2.7416</v>
      </c>
      <c r="AB3525" s="780"/>
      <c r="AC3525" s="881">
        <v>3521</v>
      </c>
      <c r="AD3525" s="881" t="s">
        <v>4573</v>
      </c>
      <c r="AE3525" s="881" t="s">
        <v>2280</v>
      </c>
      <c r="AF3525" s="890">
        <f>$S$1*P!AF3525</f>
        <v>2.8151999999999999</v>
      </c>
    </row>
    <row r="3526" spans="19:32" x14ac:dyDescent="0.35">
      <c r="S3526" s="881">
        <v>3522</v>
      </c>
      <c r="T3526" s="881" t="s">
        <v>4284</v>
      </c>
      <c r="U3526" s="881" t="s">
        <v>2529</v>
      </c>
      <c r="V3526" s="883">
        <f>$S$1*P!V3526</f>
        <v>0</v>
      </c>
      <c r="W3526" s="780"/>
      <c r="X3526" s="881">
        <v>3522</v>
      </c>
      <c r="Y3526" s="881" t="s">
        <v>2248</v>
      </c>
      <c r="Z3526" s="881" t="s">
        <v>4615</v>
      </c>
      <c r="AA3526" s="882">
        <f>$S$1*P!AA3526</f>
        <v>2.268951612903226E-2</v>
      </c>
      <c r="AB3526" s="780"/>
      <c r="AC3526" s="881">
        <v>3522</v>
      </c>
      <c r="AD3526" s="881" t="s">
        <v>4573</v>
      </c>
      <c r="AE3526" s="881" t="s">
        <v>2279</v>
      </c>
      <c r="AF3526" s="890">
        <f>$S$1*P!AF3526</f>
        <v>20.792000000000002</v>
      </c>
    </row>
    <row r="3527" spans="19:32" x14ac:dyDescent="0.35">
      <c r="S3527" s="782">
        <v>3523</v>
      </c>
      <c r="T3527" s="782" t="s">
        <v>4284</v>
      </c>
      <c r="U3527" s="782" t="s">
        <v>4199</v>
      </c>
      <c r="V3527" s="797">
        <f>$S$1*P!V3527</f>
        <v>0.33588709677419359</v>
      </c>
      <c r="W3527" s="780"/>
      <c r="X3527" s="782">
        <v>3523</v>
      </c>
      <c r="Y3527" s="782" t="s">
        <v>2248</v>
      </c>
      <c r="Z3527" s="782" t="s">
        <v>2736</v>
      </c>
      <c r="AA3527" s="781">
        <f>$S$1*P!AA3527</f>
        <v>4.2842741935483872E-4</v>
      </c>
      <c r="AB3527" s="780"/>
      <c r="AC3527" s="782">
        <v>3523</v>
      </c>
      <c r="AD3527" s="782" t="s">
        <v>4573</v>
      </c>
      <c r="AE3527" s="782" t="s">
        <v>3635</v>
      </c>
      <c r="AF3527" s="781">
        <f>$S$1*P!AF3527</f>
        <v>2.6939516129032261E-2</v>
      </c>
    </row>
    <row r="3528" spans="19:32" x14ac:dyDescent="0.35">
      <c r="S3528" s="881">
        <v>3524</v>
      </c>
      <c r="T3528" s="881" t="s">
        <v>4284</v>
      </c>
      <c r="U3528" s="881" t="s">
        <v>2527</v>
      </c>
      <c r="V3528" s="883">
        <f>$S$1*P!V3528</f>
        <v>5.4279999999999999</v>
      </c>
      <c r="W3528" s="780"/>
      <c r="X3528" s="782">
        <v>3524</v>
      </c>
      <c r="Y3528" s="782" t="s">
        <v>2248</v>
      </c>
      <c r="Z3528" s="782" t="s">
        <v>2734</v>
      </c>
      <c r="AA3528" s="781">
        <f>$S$1*P!AA3528</f>
        <v>2.7967741935483876E-4</v>
      </c>
      <c r="AB3528" s="780"/>
      <c r="AC3528" s="782">
        <v>3524</v>
      </c>
      <c r="AD3528" s="782" t="s">
        <v>4573</v>
      </c>
      <c r="AE3528" s="782" t="s">
        <v>3632</v>
      </c>
      <c r="AF3528" s="781">
        <f>$S$1*P!AF3528</f>
        <v>58.266129032258071</v>
      </c>
    </row>
    <row r="3529" spans="19:32" x14ac:dyDescent="0.35">
      <c r="S3529" s="782">
        <v>3525</v>
      </c>
      <c r="T3529" s="782" t="s">
        <v>4284</v>
      </c>
      <c r="U3529" s="782" t="s">
        <v>4197</v>
      </c>
      <c r="V3529" s="797">
        <f>$S$1*P!V3529</f>
        <v>0.1028225806451613</v>
      </c>
      <c r="W3529" s="780"/>
      <c r="X3529" s="782">
        <v>3525</v>
      </c>
      <c r="Y3529" s="782" t="s">
        <v>2248</v>
      </c>
      <c r="Z3529" s="782" t="s">
        <v>4614</v>
      </c>
      <c r="AA3529" s="781">
        <f>$S$1*P!AA3529</f>
        <v>1.6245967741935485E-2</v>
      </c>
      <c r="AB3529" s="780"/>
      <c r="AC3529" s="782">
        <v>3525</v>
      </c>
      <c r="AD3529" s="782" t="s">
        <v>4573</v>
      </c>
      <c r="AE3529" s="782" t="s">
        <v>3631</v>
      </c>
      <c r="AF3529" s="781">
        <f>$S$1*P!AF3529</f>
        <v>4.6270161290322583E-2</v>
      </c>
    </row>
    <row r="3530" spans="19:32" x14ac:dyDescent="0.35">
      <c r="S3530" s="881">
        <v>3526</v>
      </c>
      <c r="T3530" s="881" t="s">
        <v>4284</v>
      </c>
      <c r="U3530" s="881" t="s">
        <v>2526</v>
      </c>
      <c r="V3530" s="883">
        <f>$S$1*P!V3530</f>
        <v>0.32568000000000003</v>
      </c>
      <c r="W3530" s="780"/>
      <c r="X3530" s="881">
        <v>3526</v>
      </c>
      <c r="Y3530" s="881" t="s">
        <v>2248</v>
      </c>
      <c r="Z3530" s="881" t="s">
        <v>2773</v>
      </c>
      <c r="AA3530" s="890">
        <f>$S$1*P!AA3530</f>
        <v>0</v>
      </c>
      <c r="AB3530" s="780"/>
      <c r="AC3530" s="782">
        <v>3526</v>
      </c>
      <c r="AD3530" s="782" t="s">
        <v>4573</v>
      </c>
      <c r="AE3530" s="782" t="s">
        <v>3629</v>
      </c>
      <c r="AF3530" s="781">
        <f>$S$1*P!AF3530</f>
        <v>0.10522177419354839</v>
      </c>
    </row>
    <row r="3531" spans="19:32" x14ac:dyDescent="0.35">
      <c r="S3531" s="782">
        <v>3527</v>
      </c>
      <c r="T3531" s="782" t="s">
        <v>4284</v>
      </c>
      <c r="U3531" s="782" t="s">
        <v>2524</v>
      </c>
      <c r="V3531" s="797">
        <f>$S$1*P!V3531</f>
        <v>0.1477217741935484</v>
      </c>
      <c r="W3531" s="780"/>
      <c r="X3531" s="881">
        <v>3527</v>
      </c>
      <c r="Y3531" s="881" t="s">
        <v>2248</v>
      </c>
      <c r="Z3531" s="881" t="s">
        <v>2731</v>
      </c>
      <c r="AA3531" s="890">
        <f>$S$1*P!AA3531</f>
        <v>0</v>
      </c>
      <c r="AB3531" s="780"/>
      <c r="AC3531" s="881">
        <v>3527</v>
      </c>
      <c r="AD3531" s="881" t="s">
        <v>4573</v>
      </c>
      <c r="AE3531" s="881" t="s">
        <v>2277</v>
      </c>
      <c r="AF3531" s="890">
        <f>$S$1*P!AF3531</f>
        <v>4.9036000000000001E-4</v>
      </c>
    </row>
    <row r="3532" spans="19:32" x14ac:dyDescent="0.35">
      <c r="S3532" s="881">
        <v>3528</v>
      </c>
      <c r="T3532" s="881" t="s">
        <v>4284</v>
      </c>
      <c r="U3532" s="881" t="s">
        <v>2524</v>
      </c>
      <c r="V3532" s="883">
        <f>$S$1*P!V3532</f>
        <v>2.6128</v>
      </c>
      <c r="W3532" s="780"/>
      <c r="X3532" s="782">
        <v>3528</v>
      </c>
      <c r="Y3532" s="782" t="s">
        <v>2248</v>
      </c>
      <c r="Z3532" s="782" t="s">
        <v>2731</v>
      </c>
      <c r="AA3532" s="781">
        <f>$S$1*P!AA3532</f>
        <v>5.3125000000000004E-4</v>
      </c>
      <c r="AB3532" s="780"/>
      <c r="AC3532" s="782">
        <v>3528</v>
      </c>
      <c r="AD3532" s="782" t="s">
        <v>4573</v>
      </c>
      <c r="AE3532" s="782" t="s">
        <v>3625</v>
      </c>
      <c r="AF3532" s="781">
        <f>$S$1*P!AF3532</f>
        <v>0.80544354838709686</v>
      </c>
    </row>
    <row r="3533" spans="19:32" x14ac:dyDescent="0.35">
      <c r="S3533" s="782">
        <v>3529</v>
      </c>
      <c r="T3533" s="782" t="s">
        <v>4284</v>
      </c>
      <c r="U3533" s="782" t="s">
        <v>4194</v>
      </c>
      <c r="V3533" s="797">
        <f>$S$1*P!V3533</f>
        <v>1.8713709677419355E-2</v>
      </c>
      <c r="W3533" s="780"/>
      <c r="X3533" s="881">
        <v>3529</v>
      </c>
      <c r="Y3533" s="881" t="s">
        <v>2248</v>
      </c>
      <c r="Z3533" s="881" t="s">
        <v>4613</v>
      </c>
      <c r="AA3533" s="882">
        <f>$S$1*P!AA3533</f>
        <v>8.3286290322580651E-4</v>
      </c>
      <c r="AB3533" s="780"/>
      <c r="AC3533" s="782">
        <v>3529</v>
      </c>
      <c r="AD3533" s="782" t="s">
        <v>4573</v>
      </c>
      <c r="AE3533" s="782" t="s">
        <v>3624</v>
      </c>
      <c r="AF3533" s="781">
        <f>$S$1*P!AF3533</f>
        <v>3.2423387096774198E-2</v>
      </c>
    </row>
    <row r="3534" spans="19:32" x14ac:dyDescent="0.35">
      <c r="S3534" s="782">
        <v>3530</v>
      </c>
      <c r="T3534" s="782" t="s">
        <v>4284</v>
      </c>
      <c r="U3534" s="782" t="s">
        <v>4193</v>
      </c>
      <c r="V3534" s="797">
        <f>$S$1*P!V3534</f>
        <v>3.5645161290322587E-4</v>
      </c>
      <c r="W3534" s="780"/>
      <c r="X3534" s="782">
        <v>3530</v>
      </c>
      <c r="Y3534" s="782" t="s">
        <v>2248</v>
      </c>
      <c r="Z3534" s="782" t="s">
        <v>2728</v>
      </c>
      <c r="AA3534" s="781">
        <f>$S$1*P!AA3534</f>
        <v>3.4959677419354845E-5</v>
      </c>
      <c r="AB3534" s="780"/>
      <c r="AC3534" s="782">
        <v>3530</v>
      </c>
      <c r="AD3534" s="782" t="s">
        <v>4573</v>
      </c>
      <c r="AE3534" s="782" t="s">
        <v>3622</v>
      </c>
      <c r="AF3534" s="781">
        <f>$S$1*P!AF3534</f>
        <v>23.75201612903226</v>
      </c>
    </row>
    <row r="3535" spans="19:32" x14ac:dyDescent="0.35">
      <c r="S3535" s="782">
        <v>3531</v>
      </c>
      <c r="T3535" s="782" t="s">
        <v>4284</v>
      </c>
      <c r="U3535" s="782" t="s">
        <v>4191</v>
      </c>
      <c r="V3535" s="797">
        <f>$S$1*P!V3535</f>
        <v>1.8782258064516132E-2</v>
      </c>
      <c r="W3535" s="780"/>
      <c r="X3535" s="782">
        <v>3531</v>
      </c>
      <c r="Y3535" s="782" t="s">
        <v>2248</v>
      </c>
      <c r="Z3535" s="782" t="s">
        <v>2725</v>
      </c>
      <c r="AA3535" s="781">
        <f>$S$1*P!AA3535</f>
        <v>3.2286290322580649E-3</v>
      </c>
      <c r="AB3535" s="780"/>
      <c r="AC3535" s="782">
        <v>3531</v>
      </c>
      <c r="AD3535" s="782" t="s">
        <v>4573</v>
      </c>
      <c r="AE3535" s="782" t="s">
        <v>3620</v>
      </c>
      <c r="AF3535" s="781">
        <f>$S$1*P!AF3535</f>
        <v>1.6417338709677421E-2</v>
      </c>
    </row>
    <row r="3536" spans="19:32" x14ac:dyDescent="0.35">
      <c r="S3536" s="782">
        <v>3532</v>
      </c>
      <c r="T3536" s="782" t="s">
        <v>4284</v>
      </c>
      <c r="U3536" s="782" t="s">
        <v>4190</v>
      </c>
      <c r="V3536" s="797">
        <f>$S$1*P!V3536</f>
        <v>6.991935483870968</v>
      </c>
      <c r="W3536" s="780"/>
      <c r="X3536" s="782">
        <v>3532</v>
      </c>
      <c r="Y3536" s="782" t="s">
        <v>2248</v>
      </c>
      <c r="Z3536" s="782" t="s">
        <v>4612</v>
      </c>
      <c r="AA3536" s="781">
        <f>$S$1*P!AA3536</f>
        <v>5.6209677419354835E-4</v>
      </c>
      <c r="AB3536" s="780"/>
      <c r="AC3536" s="782">
        <v>3532</v>
      </c>
      <c r="AD3536" s="782" t="s">
        <v>4573</v>
      </c>
      <c r="AE3536" s="782" t="s">
        <v>3617</v>
      </c>
      <c r="AF3536" s="781">
        <f>$S$1*P!AF3536</f>
        <v>3.4000000000000002E-3</v>
      </c>
    </row>
    <row r="3537" spans="19:32" x14ac:dyDescent="0.35">
      <c r="S3537" s="782">
        <v>3533</v>
      </c>
      <c r="T3537" s="782" t="s">
        <v>4284</v>
      </c>
      <c r="U3537" s="782" t="s">
        <v>4189</v>
      </c>
      <c r="V3537" s="797">
        <f>$S$1*P!V3537</f>
        <v>5.2439516129032266E-3</v>
      </c>
      <c r="W3537" s="780"/>
      <c r="X3537" s="881">
        <v>3533</v>
      </c>
      <c r="Y3537" s="881" t="s">
        <v>2248</v>
      </c>
      <c r="Z3537" s="881" t="s">
        <v>2771</v>
      </c>
      <c r="AA3537" s="890">
        <f>$S$1*P!AA3537</f>
        <v>0</v>
      </c>
      <c r="AB3537" s="780"/>
      <c r="AC3537" s="782">
        <v>3533</v>
      </c>
      <c r="AD3537" s="782" t="s">
        <v>4573</v>
      </c>
      <c r="AE3537" s="782" t="s">
        <v>2276</v>
      </c>
      <c r="AF3537" s="781">
        <f>$S$1*P!AF3537</f>
        <v>0.77459677419354844</v>
      </c>
    </row>
    <row r="3538" spans="19:32" x14ac:dyDescent="0.35">
      <c r="S3538" s="782">
        <v>3534</v>
      </c>
      <c r="T3538" s="782" t="s">
        <v>4284</v>
      </c>
      <c r="U3538" s="782" t="s">
        <v>4188</v>
      </c>
      <c r="V3538" s="797">
        <f>$S$1*P!V3538</f>
        <v>0.3180645161290323</v>
      </c>
      <c r="W3538" s="780"/>
      <c r="X3538" s="782">
        <v>3534</v>
      </c>
      <c r="Y3538" s="782" t="s">
        <v>2248</v>
      </c>
      <c r="Z3538" s="782" t="s">
        <v>2723</v>
      </c>
      <c r="AA3538" s="781">
        <f>$S$1*P!AA3538</f>
        <v>4.6270161290322583E-3</v>
      </c>
      <c r="AB3538" s="780"/>
      <c r="AC3538" s="881">
        <v>3534</v>
      </c>
      <c r="AD3538" s="881" t="s">
        <v>4573</v>
      </c>
      <c r="AE3538" s="881" t="s">
        <v>2276</v>
      </c>
      <c r="AF3538" s="890">
        <f>$S$1*P!AF3538</f>
        <v>4.6459999999999999</v>
      </c>
    </row>
    <row r="3539" spans="19:32" x14ac:dyDescent="0.35">
      <c r="S3539" s="782">
        <v>3535</v>
      </c>
      <c r="T3539" s="782" t="s">
        <v>4284</v>
      </c>
      <c r="U3539" s="782" t="s">
        <v>2523</v>
      </c>
      <c r="V3539" s="797">
        <f>$S$1*P!V3539</f>
        <v>5.8266129032258068E-3</v>
      </c>
      <c r="W3539" s="780"/>
      <c r="X3539" s="782">
        <v>3535</v>
      </c>
      <c r="Y3539" s="782" t="s">
        <v>2248</v>
      </c>
      <c r="Z3539" s="782" t="s">
        <v>2720</v>
      </c>
      <c r="AA3539" s="781">
        <f>$S$1*P!AA3539</f>
        <v>1.004233870967742E-4</v>
      </c>
      <c r="AB3539" s="780"/>
      <c r="AC3539" s="782">
        <v>3535</v>
      </c>
      <c r="AD3539" s="782" t="s">
        <v>4573</v>
      </c>
      <c r="AE3539" s="782" t="s">
        <v>2274</v>
      </c>
      <c r="AF3539" s="781">
        <f>$S$1*P!AF3539</f>
        <v>0.50383064516129039</v>
      </c>
    </row>
    <row r="3540" spans="19:32" x14ac:dyDescent="0.35">
      <c r="S3540" s="881">
        <v>3536</v>
      </c>
      <c r="T3540" s="881" t="s">
        <v>4284</v>
      </c>
      <c r="U3540" s="881" t="s">
        <v>2523</v>
      </c>
      <c r="V3540" s="883">
        <f>$S$1*P!V3540</f>
        <v>1.5824</v>
      </c>
      <c r="W3540" s="780"/>
      <c r="X3540" s="881">
        <v>3536</v>
      </c>
      <c r="Y3540" s="881" t="s">
        <v>2248</v>
      </c>
      <c r="Z3540" s="881" t="s">
        <v>4611</v>
      </c>
      <c r="AA3540" s="882">
        <f>$S$1*P!AA3540</f>
        <v>1.2887096774193551E-3</v>
      </c>
      <c r="AB3540" s="780"/>
      <c r="AC3540" s="881">
        <v>3536</v>
      </c>
      <c r="AD3540" s="881" t="s">
        <v>4573</v>
      </c>
      <c r="AE3540" s="881" t="s">
        <v>2274</v>
      </c>
      <c r="AF3540" s="890">
        <f>$S$1*P!AF3540</f>
        <v>14.904</v>
      </c>
    </row>
    <row r="3541" spans="19:32" x14ac:dyDescent="0.35">
      <c r="S3541" s="881">
        <v>3537</v>
      </c>
      <c r="T3541" s="881" t="s">
        <v>4284</v>
      </c>
      <c r="U3541" s="881" t="s">
        <v>2521</v>
      </c>
      <c r="V3541" s="883">
        <f>$S$1*P!V3541</f>
        <v>0</v>
      </c>
      <c r="W3541" s="780"/>
      <c r="X3541" s="881">
        <v>3537</v>
      </c>
      <c r="Y3541" s="881" t="s">
        <v>2248</v>
      </c>
      <c r="Z3541" s="881" t="s">
        <v>2769</v>
      </c>
      <c r="AA3541" s="890">
        <f>$S$1*P!AA3541</f>
        <v>0</v>
      </c>
      <c r="AB3541" s="780"/>
      <c r="AC3541" s="782">
        <v>3537</v>
      </c>
      <c r="AD3541" s="782" t="s">
        <v>4573</v>
      </c>
      <c r="AE3541" s="782" t="s">
        <v>2273</v>
      </c>
      <c r="AF3541" s="781">
        <f>$S$1*P!AF3541</f>
        <v>6.2036290322580647E-5</v>
      </c>
    </row>
    <row r="3542" spans="19:32" x14ac:dyDescent="0.35">
      <c r="S3542" s="782">
        <v>3538</v>
      </c>
      <c r="T3542" s="782" t="s">
        <v>4284</v>
      </c>
      <c r="U3542" s="782" t="s">
        <v>4185</v>
      </c>
      <c r="V3542" s="797">
        <f>$S$1*P!V3542</f>
        <v>3.5302419354838716E-2</v>
      </c>
      <c r="W3542" s="780"/>
      <c r="X3542" s="881">
        <v>3538</v>
      </c>
      <c r="Y3542" s="881" t="s">
        <v>2248</v>
      </c>
      <c r="Z3542" s="881" t="s">
        <v>2768</v>
      </c>
      <c r="AA3542" s="890">
        <f>$S$1*P!AA3542</f>
        <v>2.9716</v>
      </c>
      <c r="AB3542" s="780"/>
      <c r="AC3542" s="881">
        <v>3538</v>
      </c>
      <c r="AD3542" s="881" t="s">
        <v>4573</v>
      </c>
      <c r="AE3542" s="881" t="s">
        <v>2273</v>
      </c>
      <c r="AF3542" s="890">
        <f>$S$1*P!AF3542</f>
        <v>1.4996E-3</v>
      </c>
    </row>
    <row r="3543" spans="19:32" x14ac:dyDescent="0.35">
      <c r="S3543" s="782">
        <v>3539</v>
      </c>
      <c r="T3543" s="782" t="s">
        <v>4284</v>
      </c>
      <c r="U3543" s="782" t="s">
        <v>4184</v>
      </c>
      <c r="V3543" s="797">
        <f>$S$1*P!V3543</f>
        <v>6.2036290322580647E-5</v>
      </c>
      <c r="W3543" s="780"/>
      <c r="X3543" s="881">
        <v>3539</v>
      </c>
      <c r="Y3543" s="881" t="s">
        <v>2248</v>
      </c>
      <c r="Z3543" s="881" t="s">
        <v>3300</v>
      </c>
      <c r="AA3543" s="882">
        <f>$S$1*P!AA3543</f>
        <v>8.3971774193548389E-4</v>
      </c>
      <c r="AB3543" s="780"/>
      <c r="AC3543" s="782">
        <v>3539</v>
      </c>
      <c r="AD3543" s="782" t="s">
        <v>4573</v>
      </c>
      <c r="AE3543" s="782" t="s">
        <v>3610</v>
      </c>
      <c r="AF3543" s="781">
        <f>$S$1*P!AF3543</f>
        <v>9.6653225806451614E-4</v>
      </c>
    </row>
    <row r="3544" spans="19:32" x14ac:dyDescent="0.35">
      <c r="S3544" s="782">
        <v>3540</v>
      </c>
      <c r="T3544" s="782" t="s">
        <v>4284</v>
      </c>
      <c r="U3544" s="782" t="s">
        <v>4610</v>
      </c>
      <c r="V3544" s="797">
        <f>$S$1*P!V3544</f>
        <v>6.7520161290322587E-5</v>
      </c>
      <c r="W3544" s="780"/>
      <c r="X3544" s="881">
        <v>3540</v>
      </c>
      <c r="Y3544" s="881" t="s">
        <v>2248</v>
      </c>
      <c r="Z3544" s="881" t="s">
        <v>2766</v>
      </c>
      <c r="AA3544" s="890">
        <f>$S$1*P!AA3544</f>
        <v>6.8540000000000001</v>
      </c>
      <c r="AB3544" s="780"/>
      <c r="AC3544" s="881">
        <v>3540</v>
      </c>
      <c r="AD3544" s="881" t="s">
        <v>4573</v>
      </c>
      <c r="AE3544" s="881" t="s">
        <v>2271</v>
      </c>
      <c r="AF3544" s="890">
        <f>$S$1*P!AF3544</f>
        <v>6.8264000000000005E-2</v>
      </c>
    </row>
    <row r="3545" spans="19:32" x14ac:dyDescent="0.35">
      <c r="S3545" s="861">
        <v>3541</v>
      </c>
      <c r="T3545" s="861" t="s">
        <v>4284</v>
      </c>
      <c r="U3545" s="861" t="s">
        <v>4181</v>
      </c>
      <c r="V3545" s="862">
        <f>$S$1*P!V3545</f>
        <v>7.2225000000000001</v>
      </c>
      <c r="W3545" s="780"/>
      <c r="X3545" s="881">
        <v>3541</v>
      </c>
      <c r="Y3545" s="881" t="s">
        <v>2248</v>
      </c>
      <c r="Z3545" s="881" t="s">
        <v>2765</v>
      </c>
      <c r="AA3545" s="890">
        <f>$S$1*P!AA3545</f>
        <v>0.51151999999999997</v>
      </c>
      <c r="AB3545" s="780"/>
      <c r="AC3545" s="881">
        <v>3541</v>
      </c>
      <c r="AD3545" s="881" t="s">
        <v>4573</v>
      </c>
      <c r="AE3545" s="881" t="s">
        <v>2269</v>
      </c>
      <c r="AF3545" s="890">
        <f>$S$1*P!AF3545</f>
        <v>0</v>
      </c>
    </row>
    <row r="3546" spans="19:32" x14ac:dyDescent="0.35">
      <c r="S3546" s="782">
        <v>3542</v>
      </c>
      <c r="T3546" s="782" t="s">
        <v>4284</v>
      </c>
      <c r="U3546" s="782" t="s">
        <v>4181</v>
      </c>
      <c r="V3546" s="797">
        <f>$S$1*P!V3546</f>
        <v>1.2475806451612904E-5</v>
      </c>
      <c r="W3546" s="780"/>
      <c r="X3546" s="881">
        <v>3542</v>
      </c>
      <c r="Y3546" s="881" t="s">
        <v>2248</v>
      </c>
      <c r="Z3546" s="881" t="s">
        <v>4609</v>
      </c>
      <c r="AA3546" s="882">
        <f>$S$1*P!AA3546</f>
        <v>3.1566532258064521E-4</v>
      </c>
      <c r="AB3546" s="780"/>
      <c r="AC3546" s="782">
        <v>3542</v>
      </c>
      <c r="AD3546" s="782" t="s">
        <v>4573</v>
      </c>
      <c r="AE3546" s="782" t="s">
        <v>3605</v>
      </c>
      <c r="AF3546" s="781">
        <f>$S$1*P!AF3546</f>
        <v>2.1729838709677422E-2</v>
      </c>
    </row>
    <row r="3547" spans="19:32" x14ac:dyDescent="0.35">
      <c r="S3547" s="782">
        <v>3543</v>
      </c>
      <c r="T3547" s="782" t="s">
        <v>4284</v>
      </c>
      <c r="U3547" s="782" t="s">
        <v>4180</v>
      </c>
      <c r="V3547" s="797">
        <f>$S$1*P!V3547</f>
        <v>1.7856854838709679E-4</v>
      </c>
      <c r="W3547" s="780"/>
      <c r="X3547" s="881">
        <v>3543</v>
      </c>
      <c r="Y3547" s="881" t="s">
        <v>2248</v>
      </c>
      <c r="Z3547" s="881" t="s">
        <v>2763</v>
      </c>
      <c r="AA3547" s="890">
        <f>$S$1*P!AA3547</f>
        <v>0</v>
      </c>
      <c r="AB3547" s="780"/>
      <c r="AC3547" s="782">
        <v>3543</v>
      </c>
      <c r="AD3547" s="782" t="s">
        <v>4573</v>
      </c>
      <c r="AE3547" s="782" t="s">
        <v>3604</v>
      </c>
      <c r="AF3547" s="781">
        <f>$S$1*P!AF3547</f>
        <v>0.15697580645161291</v>
      </c>
    </row>
    <row r="3548" spans="19:32" x14ac:dyDescent="0.35">
      <c r="S3548" s="789">
        <v>3544</v>
      </c>
      <c r="T3548" s="789" t="s">
        <v>4284</v>
      </c>
      <c r="U3548" s="789" t="s">
        <v>4608</v>
      </c>
      <c r="V3548" s="790">
        <f>$S$1*P!V3548</f>
        <v>1.2528000000000001E-3</v>
      </c>
      <c r="W3548" s="780"/>
      <c r="X3548" s="881">
        <v>3544</v>
      </c>
      <c r="Y3548" s="881" t="s">
        <v>2248</v>
      </c>
      <c r="Z3548" s="881" t="s">
        <v>2717</v>
      </c>
      <c r="AA3548" s="890">
        <f>$S$1*P!AA3548</f>
        <v>0</v>
      </c>
      <c r="AB3548" s="780"/>
      <c r="AC3548" s="782">
        <v>3544</v>
      </c>
      <c r="AD3548" s="782" t="s">
        <v>4573</v>
      </c>
      <c r="AE3548" s="782" t="s">
        <v>3602</v>
      </c>
      <c r="AF3548" s="781">
        <f>$S$1*P!AF3548</f>
        <v>1.8370967741935484E-2</v>
      </c>
    </row>
    <row r="3549" spans="19:32" x14ac:dyDescent="0.35">
      <c r="S3549" s="782">
        <v>3545</v>
      </c>
      <c r="T3549" s="782" t="s">
        <v>4284</v>
      </c>
      <c r="U3549" s="782" t="s">
        <v>4178</v>
      </c>
      <c r="V3549" s="797">
        <f>$S$1*P!V3549</f>
        <v>5.5866935483870971E-2</v>
      </c>
      <c r="W3549" s="780"/>
      <c r="X3549" s="782">
        <v>3545</v>
      </c>
      <c r="Y3549" s="782" t="s">
        <v>2248</v>
      </c>
      <c r="Z3549" s="782" t="s">
        <v>2717</v>
      </c>
      <c r="AA3549" s="781">
        <f>$S$1*P!AA3549</f>
        <v>2.9030241935483873E-2</v>
      </c>
      <c r="AB3549" s="780"/>
      <c r="AC3549" s="881">
        <v>3545</v>
      </c>
      <c r="AD3549" s="881" t="s">
        <v>4573</v>
      </c>
      <c r="AE3549" s="881" t="s">
        <v>2268</v>
      </c>
      <c r="AF3549" s="890">
        <f>$S$1*P!AF3549</f>
        <v>6.1456000000000004E-2</v>
      </c>
    </row>
    <row r="3550" spans="19:32" x14ac:dyDescent="0.35">
      <c r="S3550" s="861">
        <v>3546</v>
      </c>
      <c r="T3550" s="861" t="s">
        <v>4284</v>
      </c>
      <c r="U3550" s="861" t="s">
        <v>4607</v>
      </c>
      <c r="V3550" s="862">
        <f>$S$1*P!V3550</f>
        <v>1.5889499999999999</v>
      </c>
      <c r="W3550" s="780"/>
      <c r="X3550" s="881">
        <v>3546</v>
      </c>
      <c r="Y3550" s="881" t="s">
        <v>2248</v>
      </c>
      <c r="Z3550" s="881" t="s">
        <v>4606</v>
      </c>
      <c r="AA3550" s="882">
        <f>$S$1*P!AA3550</f>
        <v>1.1241935483870969E-2</v>
      </c>
      <c r="AB3550" s="780"/>
      <c r="AC3550" s="881">
        <v>3546</v>
      </c>
      <c r="AD3550" s="881" t="s">
        <v>4573</v>
      </c>
      <c r="AE3550" s="881" t="s">
        <v>2266</v>
      </c>
      <c r="AF3550" s="890">
        <f>$S$1*P!AF3550</f>
        <v>0</v>
      </c>
    </row>
    <row r="3551" spans="19:32" x14ac:dyDescent="0.35">
      <c r="S3551" s="881">
        <v>3547</v>
      </c>
      <c r="T3551" s="881" t="s">
        <v>4284</v>
      </c>
      <c r="U3551" s="881" t="s">
        <v>2520</v>
      </c>
      <c r="V3551" s="883">
        <f>$S$1*P!V3551</f>
        <v>9.3840000000000003</v>
      </c>
      <c r="W3551" s="780"/>
      <c r="X3551" s="881">
        <v>3547</v>
      </c>
      <c r="Y3551" s="881" t="s">
        <v>2248</v>
      </c>
      <c r="Z3551" s="881" t="s">
        <v>2761</v>
      </c>
      <c r="AA3551" s="890">
        <f>$S$1*P!AA3551</f>
        <v>66.975999999999999</v>
      </c>
      <c r="AB3551" s="780"/>
      <c r="AC3551" s="782">
        <v>3547</v>
      </c>
      <c r="AD3551" s="782" t="s">
        <v>4573</v>
      </c>
      <c r="AE3551" s="782" t="s">
        <v>3598</v>
      </c>
      <c r="AF3551" s="781">
        <f>$S$1*P!AF3551</f>
        <v>0.12475806451612904</v>
      </c>
    </row>
    <row r="3552" spans="19:32" x14ac:dyDescent="0.35">
      <c r="S3552" s="789">
        <v>3548</v>
      </c>
      <c r="T3552" s="789" t="s">
        <v>4284</v>
      </c>
      <c r="U3552" s="789" t="s">
        <v>4605</v>
      </c>
      <c r="V3552" s="790">
        <f>$S$1*P!V3552</f>
        <v>306.24</v>
      </c>
      <c r="W3552" s="780"/>
      <c r="X3552" s="782">
        <v>3548</v>
      </c>
      <c r="Y3552" s="782" t="s">
        <v>2248</v>
      </c>
      <c r="Z3552" s="782" t="s">
        <v>2714</v>
      </c>
      <c r="AA3552" s="781">
        <f>$S$1*P!AA3552</f>
        <v>3.3177419354838713E-3</v>
      </c>
      <c r="AB3552" s="780"/>
      <c r="AC3552" s="782">
        <v>3548</v>
      </c>
      <c r="AD3552" s="782" t="s">
        <v>4573</v>
      </c>
      <c r="AE3552" s="782" t="s">
        <v>2265</v>
      </c>
      <c r="AF3552" s="781">
        <f>$S$1*P!AF3552</f>
        <v>3.4959677419354839E-4</v>
      </c>
    </row>
    <row r="3553" spans="19:32" x14ac:dyDescent="0.35">
      <c r="S3553" s="789">
        <v>3549</v>
      </c>
      <c r="T3553" s="789" t="s">
        <v>4284</v>
      </c>
      <c r="U3553" s="789" t="s">
        <v>4604</v>
      </c>
      <c r="V3553" s="790">
        <f>$S$1*P!V3553</f>
        <v>752.84</v>
      </c>
      <c r="W3553" s="780"/>
      <c r="X3553" s="782">
        <v>3549</v>
      </c>
      <c r="Y3553" s="782" t="s">
        <v>2248</v>
      </c>
      <c r="Z3553" s="782" t="s">
        <v>4603</v>
      </c>
      <c r="AA3553" s="781">
        <f>$S$1*P!AA3553</f>
        <v>8.2600806451612898E-8</v>
      </c>
      <c r="AB3553" s="780"/>
      <c r="AC3553" s="881">
        <v>3549</v>
      </c>
      <c r="AD3553" s="881" t="s">
        <v>4573</v>
      </c>
      <c r="AE3553" s="881" t="s">
        <v>2265</v>
      </c>
      <c r="AF3553" s="890">
        <f>$S$1*P!AF3553</f>
        <v>0</v>
      </c>
    </row>
    <row r="3554" spans="19:32" x14ac:dyDescent="0.35">
      <c r="S3554" s="789">
        <v>3550</v>
      </c>
      <c r="T3554" s="789" t="s">
        <v>4284</v>
      </c>
      <c r="U3554" s="789" t="s">
        <v>4602</v>
      </c>
      <c r="V3554" s="790">
        <f>$S$1*P!V3554</f>
        <v>140.36000000000001</v>
      </c>
      <c r="W3554" s="780"/>
      <c r="X3554" s="881">
        <v>3550</v>
      </c>
      <c r="Y3554" s="881" t="s">
        <v>2248</v>
      </c>
      <c r="Z3554" s="881" t="s">
        <v>2760</v>
      </c>
      <c r="AA3554" s="890">
        <f>$S$1*P!AA3554</f>
        <v>8.0776000000000001E-2</v>
      </c>
      <c r="AB3554" s="780"/>
      <c r="AC3554" s="782">
        <v>3550</v>
      </c>
      <c r="AD3554" s="782" t="s">
        <v>4573</v>
      </c>
      <c r="AE3554" s="782" t="s">
        <v>3593</v>
      </c>
      <c r="AF3554" s="781">
        <f>$S$1*P!AF3554</f>
        <v>9.6995967741935493E-4</v>
      </c>
    </row>
    <row r="3555" spans="19:32" x14ac:dyDescent="0.35">
      <c r="S3555" s="789">
        <v>3551</v>
      </c>
      <c r="T3555" s="789" t="s">
        <v>4284</v>
      </c>
      <c r="U3555" s="789" t="s">
        <v>4601</v>
      </c>
      <c r="V3555" s="790">
        <f>$S$1*P!V3555</f>
        <v>535.92000000000007</v>
      </c>
      <c r="W3555" s="780"/>
      <c r="X3555" s="782">
        <v>3551</v>
      </c>
      <c r="Y3555" s="782" t="s">
        <v>2248</v>
      </c>
      <c r="Z3555" s="782" t="s">
        <v>2712</v>
      </c>
      <c r="AA3555" s="781">
        <f>$S$1*P!AA3555</f>
        <v>1.2544354838709678E-4</v>
      </c>
      <c r="AB3555" s="780"/>
      <c r="AC3555" s="782">
        <v>3551</v>
      </c>
      <c r="AD3555" s="782" t="s">
        <v>4573</v>
      </c>
      <c r="AE3555" s="782" t="s">
        <v>3592</v>
      </c>
      <c r="AF3555" s="781">
        <f>$S$1*P!AF3555</f>
        <v>6.6834677419354846E-3</v>
      </c>
    </row>
    <row r="3556" spans="19:32" x14ac:dyDescent="0.35">
      <c r="S3556" s="789">
        <v>3552</v>
      </c>
      <c r="T3556" s="789" t="s">
        <v>4284</v>
      </c>
      <c r="U3556" s="789" t="s">
        <v>4600</v>
      </c>
      <c r="V3556" s="790">
        <f>$S$1*P!V3556</f>
        <v>388.6</v>
      </c>
      <c r="W3556" s="780"/>
      <c r="X3556" s="881">
        <v>3552</v>
      </c>
      <c r="Y3556" s="881" t="s">
        <v>2248</v>
      </c>
      <c r="Z3556" s="881" t="s">
        <v>4599</v>
      </c>
      <c r="AA3556" s="882">
        <f>$S$1*P!AA3556</f>
        <v>2.1078629032258066E-2</v>
      </c>
      <c r="AB3556" s="780"/>
      <c r="AC3556" s="782">
        <v>3552</v>
      </c>
      <c r="AD3556" s="782" t="s">
        <v>4573</v>
      </c>
      <c r="AE3556" s="782" t="s">
        <v>3589</v>
      </c>
      <c r="AF3556" s="781">
        <f>$S$1*P!AF3556</f>
        <v>1.1241935483870969E-2</v>
      </c>
    </row>
    <row r="3557" spans="19:32" x14ac:dyDescent="0.35">
      <c r="S3557" s="789">
        <v>3553</v>
      </c>
      <c r="T3557" s="789" t="s">
        <v>4284</v>
      </c>
      <c r="U3557" s="789" t="s">
        <v>4598</v>
      </c>
      <c r="V3557" s="790">
        <f>$S$1*P!V3557</f>
        <v>154.28</v>
      </c>
      <c r="W3557" s="780"/>
      <c r="X3557" s="881">
        <v>3553</v>
      </c>
      <c r="Y3557" s="881" t="s">
        <v>2248</v>
      </c>
      <c r="Z3557" s="881" t="s">
        <v>2709</v>
      </c>
      <c r="AA3557" s="890">
        <f>$S$1*P!AA3557</f>
        <v>1.0396000000000001E-2</v>
      </c>
      <c r="AB3557" s="780"/>
      <c r="AC3557" s="782">
        <v>3553</v>
      </c>
      <c r="AD3557" s="782" t="s">
        <v>4573</v>
      </c>
      <c r="AE3557" s="782" t="s">
        <v>3587</v>
      </c>
      <c r="AF3557" s="781">
        <f>$S$1*P!AF3557</f>
        <v>5.5866935483870972E-3</v>
      </c>
    </row>
    <row r="3558" spans="19:32" x14ac:dyDescent="0.35">
      <c r="S3558" s="789">
        <v>3554</v>
      </c>
      <c r="T3558" s="789" t="s">
        <v>4284</v>
      </c>
      <c r="U3558" s="789" t="s">
        <v>4597</v>
      </c>
      <c r="V3558" s="790">
        <f>$S$1*P!V3558</f>
        <v>527.80000000000007</v>
      </c>
      <c r="W3558" s="780"/>
      <c r="X3558" s="782">
        <v>3554</v>
      </c>
      <c r="Y3558" s="782" t="s">
        <v>2248</v>
      </c>
      <c r="Z3558" s="782" t="s">
        <v>2709</v>
      </c>
      <c r="AA3558" s="781">
        <f>$S$1*P!AA3558</f>
        <v>5.2439516129032265E-5</v>
      </c>
      <c r="AB3558" s="780"/>
      <c r="AC3558" s="782">
        <v>3554</v>
      </c>
      <c r="AD3558" s="782" t="s">
        <v>4573</v>
      </c>
      <c r="AE3558" s="782" t="s">
        <v>3585</v>
      </c>
      <c r="AF3558" s="781">
        <f>$S$1*P!AF3558</f>
        <v>7.9516129032258069E-3</v>
      </c>
    </row>
    <row r="3559" spans="19:32" x14ac:dyDescent="0.35">
      <c r="S3559" s="789">
        <v>3555</v>
      </c>
      <c r="T3559" s="789" t="s">
        <v>4284</v>
      </c>
      <c r="U3559" s="789" t="s">
        <v>4596</v>
      </c>
      <c r="V3559" s="790">
        <f>$S$1*P!V3559</f>
        <v>33.64</v>
      </c>
      <c r="W3559" s="780"/>
      <c r="X3559" s="782">
        <v>3555</v>
      </c>
      <c r="Y3559" s="782" t="s">
        <v>2248</v>
      </c>
      <c r="Z3559" s="782" t="s">
        <v>2706</v>
      </c>
      <c r="AA3559" s="781">
        <f>$S$1*P!AA3559</f>
        <v>8.0544354838709692E-5</v>
      </c>
      <c r="AB3559" s="780"/>
      <c r="AC3559" s="782">
        <v>3555</v>
      </c>
      <c r="AD3559" s="782" t="s">
        <v>4573</v>
      </c>
      <c r="AE3559" s="782" t="s">
        <v>3583</v>
      </c>
      <c r="AF3559" s="781">
        <f>$S$1*P!AF3559</f>
        <v>3.8729838709677424</v>
      </c>
    </row>
    <row r="3560" spans="19:32" x14ac:dyDescent="0.35">
      <c r="S3560" s="789">
        <v>3556</v>
      </c>
      <c r="T3560" s="789" t="s">
        <v>4284</v>
      </c>
      <c r="U3560" s="789" t="s">
        <v>4595</v>
      </c>
      <c r="V3560" s="790">
        <f>$S$1*P!V3560</f>
        <v>934.96</v>
      </c>
      <c r="W3560" s="780"/>
      <c r="X3560" s="782">
        <v>3556</v>
      </c>
      <c r="Y3560" s="782" t="s">
        <v>2248</v>
      </c>
      <c r="Z3560" s="782" t="s">
        <v>3294</v>
      </c>
      <c r="AA3560" s="781">
        <f>$S$1*P!AA3560</f>
        <v>1.6485887096774196E-3</v>
      </c>
      <c r="AB3560" s="780"/>
      <c r="AC3560" s="782">
        <v>3556</v>
      </c>
      <c r="AD3560" s="782" t="s">
        <v>4573</v>
      </c>
      <c r="AE3560" s="782" t="s">
        <v>3581</v>
      </c>
      <c r="AF3560" s="781">
        <f>$S$1*P!AF3560</f>
        <v>1.7925403225806453E-2</v>
      </c>
    </row>
    <row r="3561" spans="19:32" x14ac:dyDescent="0.35">
      <c r="S3561" s="789">
        <v>3557</v>
      </c>
      <c r="T3561" s="789" t="s">
        <v>4284</v>
      </c>
      <c r="U3561" s="789" t="s">
        <v>4594</v>
      </c>
      <c r="V3561" s="790">
        <f>$S$1*P!V3561</f>
        <v>303.92</v>
      </c>
      <c r="W3561" s="780"/>
      <c r="X3561" s="881">
        <v>3557</v>
      </c>
      <c r="Y3561" s="881" t="s">
        <v>2248</v>
      </c>
      <c r="Z3561" s="881" t="s">
        <v>2703</v>
      </c>
      <c r="AA3561" s="890">
        <f>$S$1*P!AA3561</f>
        <v>5.6671999999999993E-2</v>
      </c>
      <c r="AB3561" s="780"/>
      <c r="AC3561" s="782">
        <v>3557</v>
      </c>
      <c r="AD3561" s="782" t="s">
        <v>4573</v>
      </c>
      <c r="AE3561" s="782" t="s">
        <v>3578</v>
      </c>
      <c r="AF3561" s="781">
        <f>$S$1*P!AF3561</f>
        <v>0.15080645161290324</v>
      </c>
    </row>
    <row r="3562" spans="19:32" x14ac:dyDescent="0.35">
      <c r="S3562" s="789">
        <v>3558</v>
      </c>
      <c r="T3562" s="789" t="s">
        <v>4284</v>
      </c>
      <c r="U3562" s="789" t="s">
        <v>4593</v>
      </c>
      <c r="V3562" s="790">
        <f>$S$1*P!V3562</f>
        <v>25.056000000000001</v>
      </c>
      <c r="W3562" s="780"/>
      <c r="X3562" s="782">
        <v>3558</v>
      </c>
      <c r="Y3562" s="782" t="s">
        <v>2248</v>
      </c>
      <c r="Z3562" s="782" t="s">
        <v>2703</v>
      </c>
      <c r="AA3562" s="781">
        <f>$S$1*P!AA3562</f>
        <v>4.4213709677419361E-3</v>
      </c>
      <c r="AB3562" s="780"/>
      <c r="AC3562" s="782">
        <v>3558</v>
      </c>
      <c r="AD3562" s="782" t="s">
        <v>4573</v>
      </c>
      <c r="AE3562" s="782" t="s">
        <v>3576</v>
      </c>
      <c r="AF3562" s="781">
        <f>$S$1*P!AF3562</f>
        <v>0.64778225806451617</v>
      </c>
    </row>
    <row r="3563" spans="19:32" x14ac:dyDescent="0.35">
      <c r="S3563" s="789">
        <v>3559</v>
      </c>
      <c r="T3563" s="789" t="s">
        <v>4284</v>
      </c>
      <c r="U3563" s="789" t="s">
        <v>4592</v>
      </c>
      <c r="V3563" s="790">
        <f>$S$1*P!V3563</f>
        <v>1.6240000000000001</v>
      </c>
      <c r="W3563" s="780"/>
      <c r="X3563" s="881">
        <v>3559</v>
      </c>
      <c r="Y3563" s="881" t="s">
        <v>2248</v>
      </c>
      <c r="Z3563" s="881" t="s">
        <v>3293</v>
      </c>
      <c r="AA3563" s="882">
        <f>$S$1*P!AA3563</f>
        <v>39.758064516129032</v>
      </c>
      <c r="AB3563" s="780"/>
      <c r="AC3563" s="782">
        <v>3559</v>
      </c>
      <c r="AD3563" s="782" t="s">
        <v>4573</v>
      </c>
      <c r="AE3563" s="782" t="s">
        <v>2263</v>
      </c>
      <c r="AF3563" s="781">
        <f>$S$1*P!AF3563</f>
        <v>3.3348790322580645E-3</v>
      </c>
    </row>
    <row r="3564" spans="19:32" x14ac:dyDescent="0.35">
      <c r="S3564" s="789">
        <v>3560</v>
      </c>
      <c r="T3564" s="789" t="s">
        <v>4284</v>
      </c>
      <c r="U3564" s="789" t="s">
        <v>4591</v>
      </c>
      <c r="V3564" s="790">
        <f>$S$1*P!V3564</f>
        <v>99.528000000000006</v>
      </c>
      <c r="W3564" s="780"/>
      <c r="X3564" s="782">
        <v>3560</v>
      </c>
      <c r="Y3564" s="782" t="s">
        <v>2248</v>
      </c>
      <c r="Z3564" s="782" t="s">
        <v>2700</v>
      </c>
      <c r="AA3564" s="781">
        <f>$S$1*P!AA3564</f>
        <v>1.0316532258064517E-3</v>
      </c>
      <c r="AB3564" s="780"/>
      <c r="AC3564" s="881">
        <v>3560</v>
      </c>
      <c r="AD3564" s="881" t="s">
        <v>4573</v>
      </c>
      <c r="AE3564" s="881" t="s">
        <v>2263</v>
      </c>
      <c r="AF3564" s="890">
        <f>$S$1*P!AF3564</f>
        <v>4.6460000000000001E-2</v>
      </c>
    </row>
    <row r="3565" spans="19:32" x14ac:dyDescent="0.35">
      <c r="S3565" s="789">
        <v>3561</v>
      </c>
      <c r="T3565" s="789" t="s">
        <v>4284</v>
      </c>
      <c r="U3565" s="789" t="s">
        <v>4590</v>
      </c>
      <c r="V3565" s="790">
        <f>$S$1*P!V3565</f>
        <v>8.8160000000000007</v>
      </c>
      <c r="W3565" s="780"/>
      <c r="X3565" s="881">
        <v>3561</v>
      </c>
      <c r="Y3565" s="881" t="s">
        <v>2248</v>
      </c>
      <c r="Z3565" s="881" t="s">
        <v>2698</v>
      </c>
      <c r="AA3565" s="890">
        <f>$S$1*P!AA3565</f>
        <v>0</v>
      </c>
      <c r="AB3565" s="780"/>
      <c r="AC3565" s="782">
        <v>3561</v>
      </c>
      <c r="AD3565" s="782" t="s">
        <v>4573</v>
      </c>
      <c r="AE3565" s="782" t="s">
        <v>3572</v>
      </c>
      <c r="AF3565" s="781">
        <f>$S$1*P!AF3565</f>
        <v>2.3306451612903228E-3</v>
      </c>
    </row>
    <row r="3566" spans="19:32" x14ac:dyDescent="0.35">
      <c r="S3566" s="789">
        <v>3562</v>
      </c>
      <c r="T3566" s="789" t="s">
        <v>4284</v>
      </c>
      <c r="U3566" s="789" t="s">
        <v>4589</v>
      </c>
      <c r="V3566" s="790">
        <f>$S$1*P!V3566</f>
        <v>83.055999999999997</v>
      </c>
      <c r="W3566" s="780"/>
      <c r="X3566" s="782">
        <v>3562</v>
      </c>
      <c r="Y3566" s="782" t="s">
        <v>2248</v>
      </c>
      <c r="Z3566" s="782" t="s">
        <v>2698</v>
      </c>
      <c r="AA3566" s="781">
        <f>$S$1*P!AA3566</f>
        <v>1.6177419354838709E-4</v>
      </c>
      <c r="AB3566" s="780"/>
      <c r="AC3566" s="881">
        <v>3562</v>
      </c>
      <c r="AD3566" s="881" t="s">
        <v>4573</v>
      </c>
      <c r="AE3566" s="881" t="s">
        <v>2262</v>
      </c>
      <c r="AF3566" s="890">
        <f>$S$1*P!AF3566</f>
        <v>2.1068000000000002</v>
      </c>
    </row>
    <row r="3567" spans="19:32" x14ac:dyDescent="0.35">
      <c r="S3567" s="789">
        <v>3563</v>
      </c>
      <c r="T3567" s="789" t="s">
        <v>4284</v>
      </c>
      <c r="U3567" s="789" t="s">
        <v>4588</v>
      </c>
      <c r="V3567" s="790">
        <f>$S$1*P!V3567</f>
        <v>6.0900000000000003E-2</v>
      </c>
      <c r="W3567" s="780"/>
      <c r="X3567" s="782">
        <v>3563</v>
      </c>
      <c r="Y3567" s="782" t="s">
        <v>2248</v>
      </c>
      <c r="Z3567" s="782" t="s">
        <v>4587</v>
      </c>
      <c r="AA3567" s="781">
        <f>$S$1*P!AA3567</f>
        <v>6.8891129032258071E-4</v>
      </c>
      <c r="AB3567" s="780"/>
      <c r="AC3567" s="881">
        <v>3563</v>
      </c>
      <c r="AD3567" s="881" t="s">
        <v>4573</v>
      </c>
      <c r="AE3567" s="881" t="s">
        <v>2260</v>
      </c>
      <c r="AF3567" s="890">
        <f>$S$1*P!AF3567</f>
        <v>0</v>
      </c>
    </row>
    <row r="3568" spans="19:32" x14ac:dyDescent="0.35">
      <c r="S3568" s="789">
        <v>3564</v>
      </c>
      <c r="T3568" s="789" t="s">
        <v>4284</v>
      </c>
      <c r="U3568" s="789" t="s">
        <v>4586</v>
      </c>
      <c r="V3568" s="790">
        <f>$S$1*P!V3568</f>
        <v>27.26</v>
      </c>
      <c r="W3568" s="780"/>
      <c r="X3568" s="782">
        <v>3564</v>
      </c>
      <c r="Y3568" s="782" t="s">
        <v>2248</v>
      </c>
      <c r="Z3568" s="782" t="s">
        <v>2695</v>
      </c>
      <c r="AA3568" s="781">
        <f>$S$1*P!AA3568</f>
        <v>3.4274193548387101E-4</v>
      </c>
      <c r="AB3568" s="780"/>
      <c r="AC3568" s="881">
        <v>3564</v>
      </c>
      <c r="AD3568" s="881" t="s">
        <v>4573</v>
      </c>
      <c r="AE3568" s="881" t="s">
        <v>2258</v>
      </c>
      <c r="AF3568" s="890">
        <f>$S$1*P!AF3568</f>
        <v>0</v>
      </c>
    </row>
    <row r="3569" spans="19:32" x14ac:dyDescent="0.35">
      <c r="S3569" s="782">
        <v>3565</v>
      </c>
      <c r="T3569" s="782" t="s">
        <v>4284</v>
      </c>
      <c r="U3569" s="782" t="s">
        <v>2518</v>
      </c>
      <c r="V3569" s="797">
        <f>$S$1*P!V3569</f>
        <v>2.327217741935484E-4</v>
      </c>
      <c r="W3569" s="780"/>
      <c r="X3569" s="782">
        <v>3565</v>
      </c>
      <c r="Y3569" s="782" t="s">
        <v>2248</v>
      </c>
      <c r="Z3569" s="782" t="s">
        <v>2692</v>
      </c>
      <c r="AA3569" s="781">
        <f>$S$1*P!AA3569</f>
        <v>5.449596774193549E-4</v>
      </c>
      <c r="AB3569" s="780"/>
      <c r="AC3569" s="881">
        <v>3565</v>
      </c>
      <c r="AD3569" s="881" t="s">
        <v>4573</v>
      </c>
      <c r="AE3569" s="881" t="s">
        <v>2257</v>
      </c>
      <c r="AF3569" s="890">
        <f>$S$1*P!AF3569</f>
        <v>0</v>
      </c>
    </row>
    <row r="3570" spans="19:32" x14ac:dyDescent="0.35">
      <c r="S3570" s="881">
        <v>3566</v>
      </c>
      <c r="T3570" s="881" t="s">
        <v>4284</v>
      </c>
      <c r="U3570" s="881" t="s">
        <v>2518</v>
      </c>
      <c r="V3570" s="883">
        <f>$S$1*P!V3570</f>
        <v>43.055999999999997</v>
      </c>
      <c r="W3570" s="780"/>
      <c r="X3570" s="881">
        <v>3566</v>
      </c>
      <c r="Y3570" s="881" t="s">
        <v>2248</v>
      </c>
      <c r="Z3570" s="881" t="s">
        <v>3289</v>
      </c>
      <c r="AA3570" s="882">
        <f>$S$1*P!AA3570</f>
        <v>0.26939516129032259</v>
      </c>
      <c r="AB3570" s="780"/>
      <c r="AC3570" s="782">
        <v>3566</v>
      </c>
      <c r="AD3570" s="782" t="s">
        <v>4573</v>
      </c>
      <c r="AE3570" s="782" t="s">
        <v>3564</v>
      </c>
      <c r="AF3570" s="781">
        <f>$S$1*P!AF3570</f>
        <v>1.8508064516129033E-2</v>
      </c>
    </row>
    <row r="3571" spans="19:32" x14ac:dyDescent="0.35">
      <c r="S3571" s="782">
        <v>3567</v>
      </c>
      <c r="T3571" s="782" t="s">
        <v>4284</v>
      </c>
      <c r="U3571" s="782" t="s">
        <v>2517</v>
      </c>
      <c r="V3571" s="797">
        <f>$S$1*P!V3571</f>
        <v>1.8850806451612906E-4</v>
      </c>
      <c r="W3571" s="780"/>
      <c r="X3571" s="881">
        <v>3567</v>
      </c>
      <c r="Y3571" s="881" t="s">
        <v>2248</v>
      </c>
      <c r="Z3571" s="881" t="s">
        <v>2756</v>
      </c>
      <c r="AA3571" s="890">
        <f>$S$1*P!AA3571</f>
        <v>5.5199999999999997E-4</v>
      </c>
      <c r="AB3571" s="780"/>
      <c r="AC3571" s="782">
        <v>3567</v>
      </c>
      <c r="AD3571" s="782" t="s">
        <v>4573</v>
      </c>
      <c r="AE3571" s="782" t="s">
        <v>2255</v>
      </c>
      <c r="AF3571" s="781">
        <f>$S$1*P!AF3571</f>
        <v>2.6528225806451617E-3</v>
      </c>
    </row>
    <row r="3572" spans="19:32" x14ac:dyDescent="0.35">
      <c r="S3572" s="881">
        <v>3568</v>
      </c>
      <c r="T3572" s="881" t="s">
        <v>4284</v>
      </c>
      <c r="U3572" s="881" t="s">
        <v>2517</v>
      </c>
      <c r="V3572" s="883">
        <f>$S$1*P!V3572</f>
        <v>133.4</v>
      </c>
      <c r="W3572" s="780"/>
      <c r="X3572" s="782">
        <v>3568</v>
      </c>
      <c r="Y3572" s="782" t="s">
        <v>2248</v>
      </c>
      <c r="Z3572" s="782" t="s">
        <v>2691</v>
      </c>
      <c r="AA3572" s="781">
        <f>$S$1*P!AA3572</f>
        <v>4.1471774193548392E-3</v>
      </c>
      <c r="AB3572" s="780"/>
      <c r="AC3572" s="881">
        <v>3568</v>
      </c>
      <c r="AD3572" s="881" t="s">
        <v>4573</v>
      </c>
      <c r="AE3572" s="881" t="s">
        <v>2255</v>
      </c>
      <c r="AF3572" s="890">
        <f>$S$1*P!AF3572</f>
        <v>3.496E-3</v>
      </c>
    </row>
    <row r="3573" spans="19:32" x14ac:dyDescent="0.35">
      <c r="S3573" s="782">
        <v>3569</v>
      </c>
      <c r="T3573" s="782" t="s">
        <v>4284</v>
      </c>
      <c r="U3573" s="782" t="s">
        <v>2515</v>
      </c>
      <c r="V3573" s="797">
        <f>$S$1*P!V3573</f>
        <v>4.4556451612903231E-6</v>
      </c>
      <c r="W3573" s="780"/>
      <c r="X3573" s="782">
        <v>3569</v>
      </c>
      <c r="Y3573" s="782" t="s">
        <v>2248</v>
      </c>
      <c r="Z3573" s="782" t="s">
        <v>2690</v>
      </c>
      <c r="AA3573" s="781">
        <f>$S$1*P!AA3573</f>
        <v>1.3778225806451615E-5</v>
      </c>
      <c r="AB3573" s="780"/>
      <c r="AC3573" s="881">
        <v>3569</v>
      </c>
      <c r="AD3573" s="881" t="s">
        <v>4573</v>
      </c>
      <c r="AE3573" s="881" t="s">
        <v>2254</v>
      </c>
      <c r="AF3573" s="890">
        <f>$S$1*P!AF3573</f>
        <v>4.2320000000000002</v>
      </c>
    </row>
    <row r="3574" spans="19:32" x14ac:dyDescent="0.35">
      <c r="S3574" s="881">
        <v>3570</v>
      </c>
      <c r="T3574" s="881" t="s">
        <v>4284</v>
      </c>
      <c r="U3574" s="881" t="s">
        <v>2515</v>
      </c>
      <c r="V3574" s="883">
        <f>$S$1*P!V3574</f>
        <v>0.14812</v>
      </c>
      <c r="W3574" s="780"/>
      <c r="X3574" s="881">
        <v>3570</v>
      </c>
      <c r="Y3574" s="881" t="s">
        <v>2248</v>
      </c>
      <c r="Z3574" s="881" t="s">
        <v>4585</v>
      </c>
      <c r="AA3574" s="882">
        <f>$S$1*P!AA3574</f>
        <v>2.8516129032258068E-4</v>
      </c>
      <c r="AB3574" s="780"/>
      <c r="AC3574" s="881">
        <v>3570</v>
      </c>
      <c r="AD3574" s="881" t="s">
        <v>4573</v>
      </c>
      <c r="AE3574" s="881" t="s">
        <v>2252</v>
      </c>
      <c r="AF3574" s="890">
        <f>$S$1*P!AF3574</f>
        <v>0</v>
      </c>
    </row>
    <row r="3575" spans="19:32" x14ac:dyDescent="0.35">
      <c r="S3575" s="789">
        <v>3571</v>
      </c>
      <c r="T3575" s="789" t="s">
        <v>4284</v>
      </c>
      <c r="U3575" s="789" t="s">
        <v>4584</v>
      </c>
      <c r="V3575" s="790">
        <f>$S$1*P!V3575</f>
        <v>60.900000000000006</v>
      </c>
      <c r="W3575" s="780"/>
      <c r="X3575" s="782">
        <v>3571</v>
      </c>
      <c r="Y3575" s="782" t="s">
        <v>2248</v>
      </c>
      <c r="Z3575" s="782" t="s">
        <v>2687</v>
      </c>
      <c r="AA3575" s="781">
        <f>$S$1*P!AA3575</f>
        <v>4.4213709677419358E-7</v>
      </c>
      <c r="AB3575" s="780"/>
      <c r="AC3575" s="782">
        <v>3571</v>
      </c>
      <c r="AD3575" s="782" t="s">
        <v>4573</v>
      </c>
      <c r="AE3575" s="782" t="s">
        <v>2251</v>
      </c>
      <c r="AF3575" s="781">
        <f>$S$1*P!AF3575</f>
        <v>4.558467741935484</v>
      </c>
    </row>
    <row r="3576" spans="19:32" x14ac:dyDescent="0.35">
      <c r="S3576" s="789">
        <v>3572</v>
      </c>
      <c r="T3576" s="789" t="s">
        <v>4284</v>
      </c>
      <c r="U3576" s="789" t="s">
        <v>4583</v>
      </c>
      <c r="V3576" s="790">
        <f>$S$1*P!V3576</f>
        <v>7.0760000000000005</v>
      </c>
      <c r="W3576" s="780"/>
      <c r="X3576" s="881">
        <v>3572</v>
      </c>
      <c r="Y3576" s="881" t="s">
        <v>2248</v>
      </c>
      <c r="Z3576" s="881" t="s">
        <v>4582</v>
      </c>
      <c r="AA3576" s="882">
        <f>$S$1*P!AA3576</f>
        <v>1.8919354838709681E-5</v>
      </c>
      <c r="AB3576" s="780"/>
      <c r="AC3576" s="881">
        <v>3572</v>
      </c>
      <c r="AD3576" s="881" t="s">
        <v>4573</v>
      </c>
      <c r="AE3576" s="881" t="s">
        <v>2251</v>
      </c>
      <c r="AF3576" s="890">
        <f>$S$1*P!AF3576</f>
        <v>0</v>
      </c>
    </row>
    <row r="3577" spans="19:32" x14ac:dyDescent="0.35">
      <c r="S3577" s="789">
        <v>3573</v>
      </c>
      <c r="T3577" s="789" t="s">
        <v>4284</v>
      </c>
      <c r="U3577" s="789" t="s">
        <v>4581</v>
      </c>
      <c r="V3577" s="790">
        <f>$S$1*P!V3577</f>
        <v>2.6680000000000001</v>
      </c>
      <c r="W3577" s="780"/>
      <c r="X3577" s="881">
        <v>3573</v>
      </c>
      <c r="Y3577" s="881" t="s">
        <v>2248</v>
      </c>
      <c r="Z3577" s="881" t="s">
        <v>2684</v>
      </c>
      <c r="AA3577" s="890">
        <f>$S$1*P!AA3577</f>
        <v>0</v>
      </c>
      <c r="AB3577" s="780"/>
      <c r="AC3577" s="782">
        <v>3573</v>
      </c>
      <c r="AD3577" s="782" t="s">
        <v>4573</v>
      </c>
      <c r="AE3577" s="782" t="s">
        <v>3555</v>
      </c>
      <c r="AF3577" s="781">
        <f>$S$1*P!AF3577</f>
        <v>49.697580645161295</v>
      </c>
    </row>
    <row r="3578" spans="19:32" x14ac:dyDescent="0.35">
      <c r="S3578" s="782">
        <v>3574</v>
      </c>
      <c r="T3578" s="782" t="s">
        <v>4284</v>
      </c>
      <c r="U3578" s="782" t="s">
        <v>4173</v>
      </c>
      <c r="V3578" s="797">
        <f>$S$1*P!V3578</f>
        <v>2.9235887096774195E-6</v>
      </c>
      <c r="W3578" s="780"/>
      <c r="X3578" s="782">
        <v>3574</v>
      </c>
      <c r="Y3578" s="782" t="s">
        <v>2248</v>
      </c>
      <c r="Z3578" s="782" t="s">
        <v>2684</v>
      </c>
      <c r="AA3578" s="781">
        <f>$S$1*P!AA3578</f>
        <v>1.6725806451612904E-3</v>
      </c>
      <c r="AB3578" s="780"/>
      <c r="AC3578" s="782">
        <v>3574</v>
      </c>
      <c r="AD3578" s="782" t="s">
        <v>4573</v>
      </c>
      <c r="AE3578" s="782" t="s">
        <v>3553</v>
      </c>
      <c r="AF3578" s="781">
        <f>$S$1*P!AF3578</f>
        <v>1.6211693548387096E-3</v>
      </c>
    </row>
    <row r="3579" spans="19:32" x14ac:dyDescent="0.35">
      <c r="S3579" s="789">
        <v>3575</v>
      </c>
      <c r="T3579" s="789" t="s">
        <v>4284</v>
      </c>
      <c r="U3579" s="789" t="s">
        <v>4580</v>
      </c>
      <c r="V3579" s="790">
        <f>$S$1*P!V3579</f>
        <v>16.704000000000001</v>
      </c>
      <c r="W3579" s="780"/>
      <c r="X3579" s="782">
        <v>3575</v>
      </c>
      <c r="Y3579" s="782" t="s">
        <v>2248</v>
      </c>
      <c r="Z3579" s="782" t="s">
        <v>2681</v>
      </c>
      <c r="AA3579" s="781">
        <f>$S$1*P!AA3579</f>
        <v>1.3504032258064517E-4</v>
      </c>
      <c r="AB3579" s="780"/>
      <c r="AC3579" s="782">
        <v>3575</v>
      </c>
      <c r="AD3579" s="782" t="s">
        <v>4573</v>
      </c>
      <c r="AE3579" s="782" t="s">
        <v>3550</v>
      </c>
      <c r="AF3579" s="781">
        <f>$S$1*P!AF3579</f>
        <v>1.5663306451612905E-2</v>
      </c>
    </row>
    <row r="3580" spans="19:32" x14ac:dyDescent="0.35">
      <c r="S3580" s="861">
        <v>3576</v>
      </c>
      <c r="T3580" s="861" t="s">
        <v>4284</v>
      </c>
      <c r="U3580" s="861" t="s">
        <v>4579</v>
      </c>
      <c r="V3580" s="862">
        <f>$S$1*P!V3580</f>
        <v>1.5621999999999998</v>
      </c>
      <c r="W3580" s="780"/>
      <c r="X3580" s="881">
        <v>3576</v>
      </c>
      <c r="Y3580" s="881" t="s">
        <v>2248</v>
      </c>
      <c r="Z3580" s="881" t="s">
        <v>3286</v>
      </c>
      <c r="AA3580" s="882">
        <f>$S$1*P!AA3580</f>
        <v>1.0008064516129032E-4</v>
      </c>
      <c r="AB3580" s="780"/>
      <c r="AC3580" s="782">
        <v>3576</v>
      </c>
      <c r="AD3580" s="782" t="s">
        <v>4573</v>
      </c>
      <c r="AE3580" s="782" t="s">
        <v>3548</v>
      </c>
      <c r="AF3580" s="781">
        <f>$S$1*P!AF3580</f>
        <v>2.2518145161290327E-3</v>
      </c>
    </row>
    <row r="3581" spans="19:32" x14ac:dyDescent="0.35">
      <c r="S3581" s="782">
        <v>3577</v>
      </c>
      <c r="T3581" s="782" t="s">
        <v>4284</v>
      </c>
      <c r="U3581" s="782" t="s">
        <v>4171</v>
      </c>
      <c r="V3581" s="797">
        <f>$S$1*P!V3581</f>
        <v>9.6995967741935477E-7</v>
      </c>
      <c r="W3581" s="780"/>
      <c r="X3581" s="782">
        <v>3577</v>
      </c>
      <c r="Y3581" s="782" t="s">
        <v>2248</v>
      </c>
      <c r="Z3581" s="782" t="s">
        <v>2679</v>
      </c>
      <c r="AA3581" s="781">
        <f>$S$1*P!AA3581</f>
        <v>1.5903225806451614E-3</v>
      </c>
      <c r="AB3581" s="780"/>
      <c r="AC3581" s="782">
        <v>3577</v>
      </c>
      <c r="AD3581" s="782" t="s">
        <v>4573</v>
      </c>
      <c r="AE3581" s="782" t="s">
        <v>2249</v>
      </c>
      <c r="AF3581" s="781">
        <f>$S$1*P!AF3581</f>
        <v>2.2758064516129033</v>
      </c>
    </row>
    <row r="3582" spans="19:32" x14ac:dyDescent="0.35">
      <c r="S3582" s="782">
        <v>3578</v>
      </c>
      <c r="T3582" s="782" t="s">
        <v>4284</v>
      </c>
      <c r="U3582" s="782" t="s">
        <v>4170</v>
      </c>
      <c r="V3582" s="797">
        <f>$S$1*P!V3582</f>
        <v>5.7237903225806452E-5</v>
      </c>
      <c r="W3582" s="780"/>
      <c r="X3582" s="782">
        <v>3578</v>
      </c>
      <c r="Y3582" s="782" t="s">
        <v>2248</v>
      </c>
      <c r="Z3582" s="782" t="s">
        <v>2677</v>
      </c>
      <c r="AA3582" s="781">
        <f>$S$1*P!AA3582</f>
        <v>2.2997983870967745E-2</v>
      </c>
      <c r="AB3582" s="780"/>
      <c r="AC3582" s="881">
        <v>3578</v>
      </c>
      <c r="AD3582" s="881" t="s">
        <v>4573</v>
      </c>
      <c r="AE3582" s="881" t="s">
        <v>2249</v>
      </c>
      <c r="AF3582" s="890">
        <f>$S$1*P!AF3582</f>
        <v>0.33028000000000002</v>
      </c>
    </row>
    <row r="3583" spans="19:32" x14ac:dyDescent="0.35">
      <c r="S3583" s="782">
        <v>3579</v>
      </c>
      <c r="T3583" s="782" t="s">
        <v>4284</v>
      </c>
      <c r="U3583" s="782" t="s">
        <v>2513</v>
      </c>
      <c r="V3583" s="797">
        <f>$S$1*P!V3583</f>
        <v>9.3911290322580656E-6</v>
      </c>
      <c r="W3583" s="780"/>
      <c r="X3583" s="782">
        <v>3579</v>
      </c>
      <c r="Y3583" s="782" t="s">
        <v>2248</v>
      </c>
      <c r="Z3583" s="782" t="s">
        <v>2674</v>
      </c>
      <c r="AA3583" s="781">
        <f>$S$1*P!AA3583</f>
        <v>5.2096774193548392E-5</v>
      </c>
      <c r="AB3583" s="780"/>
      <c r="AC3583" s="782">
        <v>3579</v>
      </c>
      <c r="AD3583" s="782" t="s">
        <v>4573</v>
      </c>
      <c r="AE3583" s="782" t="s">
        <v>2247</v>
      </c>
      <c r="AF3583" s="781">
        <f>$S$1*P!AF3583</f>
        <v>11.173387096774194</v>
      </c>
    </row>
    <row r="3584" spans="19:32" x14ac:dyDescent="0.35">
      <c r="S3584" s="881">
        <v>3580</v>
      </c>
      <c r="T3584" s="881" t="s">
        <v>4284</v>
      </c>
      <c r="U3584" s="881" t="s">
        <v>2513</v>
      </c>
      <c r="V3584" s="883">
        <f>$S$1*P!V3584</f>
        <v>0</v>
      </c>
      <c r="W3584" s="780"/>
      <c r="X3584" s="782">
        <v>3580</v>
      </c>
      <c r="Y3584" s="782" t="s">
        <v>2248</v>
      </c>
      <c r="Z3584" s="782" t="s">
        <v>3285</v>
      </c>
      <c r="AA3584" s="781">
        <f>$S$1*P!AA3584</f>
        <v>1.8850806451612906E-4</v>
      </c>
      <c r="AB3584" s="780"/>
      <c r="AC3584" s="881">
        <v>3580</v>
      </c>
      <c r="AD3584" s="881" t="s">
        <v>4573</v>
      </c>
      <c r="AE3584" s="881" t="s">
        <v>2247</v>
      </c>
      <c r="AF3584" s="890">
        <f>$S$1*P!AF3584</f>
        <v>2.1160000000000001</v>
      </c>
    </row>
    <row r="3585" spans="19:32" x14ac:dyDescent="0.35">
      <c r="S3585" s="789">
        <v>3581</v>
      </c>
      <c r="T3585" s="789" t="s">
        <v>4284</v>
      </c>
      <c r="U3585" s="789" t="s">
        <v>4578</v>
      </c>
      <c r="V3585" s="790">
        <f>$S$1*P!V3585</f>
        <v>14.732000000000001</v>
      </c>
      <c r="W3585" s="780"/>
      <c r="X3585" s="782">
        <v>3581</v>
      </c>
      <c r="Y3585" s="782" t="s">
        <v>2248</v>
      </c>
      <c r="Z3585" s="782" t="s">
        <v>2671</v>
      </c>
      <c r="AA3585" s="781">
        <f>$S$1*P!AA3585</f>
        <v>3.0161290322580652E-4</v>
      </c>
      <c r="AB3585" s="780"/>
      <c r="AC3585" s="782">
        <v>3581</v>
      </c>
      <c r="AD3585" s="782" t="s">
        <v>4573</v>
      </c>
      <c r="AE3585" s="782" t="s">
        <v>4286</v>
      </c>
      <c r="AF3585" s="781">
        <f>$S$1*P!AF3585</f>
        <v>2.7282258064516132E-2</v>
      </c>
    </row>
    <row r="3586" spans="19:32" x14ac:dyDescent="0.35">
      <c r="S3586" s="789">
        <v>3582</v>
      </c>
      <c r="T3586" s="789" t="s">
        <v>4284</v>
      </c>
      <c r="U3586" s="789" t="s">
        <v>4577</v>
      </c>
      <c r="V3586" s="790">
        <f>$S$1*P!V3586</f>
        <v>1032.4000000000001</v>
      </c>
      <c r="W3586" s="780"/>
      <c r="X3586" s="782">
        <v>3582</v>
      </c>
      <c r="Y3586" s="782" t="s">
        <v>2248</v>
      </c>
      <c r="Z3586" s="782" t="s">
        <v>2670</v>
      </c>
      <c r="AA3586" s="781">
        <f>$S$1*P!AA3586</f>
        <v>1.1550403225806453E-5</v>
      </c>
      <c r="AB3586" s="780"/>
      <c r="AC3586" s="918">
        <v>3582</v>
      </c>
      <c r="AD3586" s="918" t="s">
        <v>4573</v>
      </c>
      <c r="AE3586" s="918" t="s">
        <v>4285</v>
      </c>
      <c r="AF3586" s="919">
        <f>$S$1*P!AF3586</f>
        <v>2.268951612903226E-3</v>
      </c>
    </row>
    <row r="3587" spans="19:32" x14ac:dyDescent="0.35">
      <c r="S3587" s="789">
        <v>3583</v>
      </c>
      <c r="T3587" s="789" t="s">
        <v>4284</v>
      </c>
      <c r="U3587" s="789" t="s">
        <v>4576</v>
      </c>
      <c r="V3587" s="790">
        <f>$S$1*P!V3587</f>
        <v>1067.2</v>
      </c>
      <c r="W3587" s="780"/>
      <c r="X3587" s="881">
        <v>3583</v>
      </c>
      <c r="Y3587" s="881" t="s">
        <v>2248</v>
      </c>
      <c r="Z3587" s="881" t="s">
        <v>4575</v>
      </c>
      <c r="AA3587" s="882">
        <f>$S$1*P!AA3587</f>
        <v>5.7237903225806457E-3</v>
      </c>
      <c r="AB3587" s="780"/>
      <c r="AC3587" s="920">
        <v>3583</v>
      </c>
      <c r="AD3587" s="920" t="s">
        <v>4284</v>
      </c>
      <c r="AE3587" s="920" t="s">
        <v>5857</v>
      </c>
      <c r="AF3587" s="921">
        <f>$S$1*P!AF3587</f>
        <v>32660000</v>
      </c>
    </row>
    <row r="3588" spans="19:32" x14ac:dyDescent="0.35">
      <c r="S3588" s="789">
        <v>3584</v>
      </c>
      <c r="T3588" s="789" t="s">
        <v>4284</v>
      </c>
      <c r="U3588" s="789" t="s">
        <v>4574</v>
      </c>
      <c r="V3588" s="790">
        <f>$S$1*P!V3588</f>
        <v>61.480000000000004</v>
      </c>
      <c r="W3588" s="780"/>
      <c r="X3588" s="782">
        <v>3584</v>
      </c>
      <c r="Y3588" s="782" t="s">
        <v>2248</v>
      </c>
      <c r="Z3588" s="782" t="s">
        <v>2668</v>
      </c>
      <c r="AA3588" s="781">
        <f>$S$1*P!AA3588</f>
        <v>7.0947580645161289E-5</v>
      </c>
      <c r="AB3588" s="780"/>
      <c r="AC3588" s="780"/>
    </row>
    <row r="3589" spans="19:32" x14ac:dyDescent="0.35">
      <c r="S3589" s="782">
        <v>3585</v>
      </c>
      <c r="T3589" s="782" t="s">
        <v>4284</v>
      </c>
      <c r="U3589" s="782" t="s">
        <v>4168</v>
      </c>
      <c r="V3589" s="797">
        <f>$S$1*P!V3589</f>
        <v>1.5766129032258064E-4</v>
      </c>
      <c r="W3589" s="780"/>
      <c r="X3589" s="782">
        <v>3585</v>
      </c>
      <c r="Y3589" s="782" t="s">
        <v>2248</v>
      </c>
      <c r="Z3589" s="782" t="s">
        <v>2666</v>
      </c>
      <c r="AA3589" s="781">
        <f>$S$1*P!AA3589</f>
        <v>1.7788306451612906E-4</v>
      </c>
      <c r="AB3589" s="780"/>
      <c r="AC3589" s="780"/>
    </row>
    <row r="3590" spans="19:32" x14ac:dyDescent="0.35">
      <c r="S3590" s="782">
        <v>3586</v>
      </c>
      <c r="T3590" s="782" t="s">
        <v>4284</v>
      </c>
      <c r="U3590" s="782" t="s">
        <v>4166</v>
      </c>
      <c r="V3590" s="797">
        <f>$S$1*P!V3590</f>
        <v>4.4899193548387102E-4</v>
      </c>
      <c r="W3590" s="780"/>
      <c r="X3590" s="782">
        <v>3586</v>
      </c>
      <c r="Y3590" s="782" t="s">
        <v>2248</v>
      </c>
      <c r="Z3590" s="782" t="s">
        <v>3283</v>
      </c>
      <c r="AA3590" s="781">
        <f>$S$1*P!AA3590</f>
        <v>1.3709677419354839E-2</v>
      </c>
      <c r="AB3590" s="780"/>
      <c r="AC3590" s="780"/>
      <c r="AD3590" s="780"/>
      <c r="AE3590" s="780"/>
      <c r="AF3590" s="780"/>
    </row>
    <row r="3591" spans="19:32" x14ac:dyDescent="0.35">
      <c r="S3591" s="782">
        <v>3587</v>
      </c>
      <c r="T3591" s="782" t="s">
        <v>4284</v>
      </c>
      <c r="U3591" s="782" t="s">
        <v>4165</v>
      </c>
      <c r="V3591" s="797">
        <f>$S$1*P!V3591</f>
        <v>1.2235887096774194E-2</v>
      </c>
      <c r="W3591" s="780"/>
      <c r="X3591" s="782">
        <v>3587</v>
      </c>
      <c r="Y3591" s="782" t="s">
        <v>2248</v>
      </c>
      <c r="Z3591" s="782" t="s">
        <v>2664</v>
      </c>
      <c r="AA3591" s="781">
        <f>$S$1*P!AA3591</f>
        <v>5.175403225806452E-3</v>
      </c>
      <c r="AB3591" s="780"/>
      <c r="AC3591" s="780"/>
      <c r="AD3591" s="780"/>
      <c r="AE3591" s="780"/>
      <c r="AF3591" s="780"/>
    </row>
    <row r="3592" spans="19:32" x14ac:dyDescent="0.35">
      <c r="S3592" s="782">
        <v>3588</v>
      </c>
      <c r="T3592" s="782" t="s">
        <v>4284</v>
      </c>
      <c r="U3592" s="782" t="s">
        <v>4164</v>
      </c>
      <c r="V3592" s="797">
        <f>$S$1*P!V3592</f>
        <v>1.5183467741935485E-4</v>
      </c>
      <c r="W3592" s="780"/>
      <c r="X3592" s="782">
        <v>3588</v>
      </c>
      <c r="Y3592" s="782" t="s">
        <v>2248</v>
      </c>
      <c r="Z3592" s="782" t="s">
        <v>2661</v>
      </c>
      <c r="AA3592" s="781">
        <f>$S$1*P!AA3592</f>
        <v>1.7514112903225808E-2</v>
      </c>
      <c r="AB3592" s="780"/>
      <c r="AC3592" s="780"/>
      <c r="AD3592" s="780"/>
      <c r="AE3592" s="780"/>
      <c r="AF3592" s="780"/>
    </row>
    <row r="3593" spans="19:32" x14ac:dyDescent="0.35">
      <c r="S3593" s="782">
        <v>3589</v>
      </c>
      <c r="T3593" s="782" t="s">
        <v>4284</v>
      </c>
      <c r="U3593" s="782" t="s">
        <v>4162</v>
      </c>
      <c r="V3593" s="797">
        <f>$S$1*P!V3593</f>
        <v>1.1173387096774195E-3</v>
      </c>
      <c r="W3593" s="780"/>
      <c r="X3593" s="782">
        <v>3589</v>
      </c>
      <c r="Y3593" s="782" t="s">
        <v>2248</v>
      </c>
      <c r="Z3593" s="782" t="s">
        <v>2658</v>
      </c>
      <c r="AA3593" s="781">
        <f>$S$1*P!AA3593</f>
        <v>3.3108870967741937E-4</v>
      </c>
      <c r="AB3593" s="780"/>
      <c r="AC3593" s="780"/>
      <c r="AD3593" s="780"/>
      <c r="AE3593" s="780"/>
      <c r="AF3593" s="780"/>
    </row>
    <row r="3594" spans="19:32" x14ac:dyDescent="0.35">
      <c r="S3594" s="782">
        <v>3590</v>
      </c>
      <c r="T3594" s="782" t="s">
        <v>4284</v>
      </c>
      <c r="U3594" s="782" t="s">
        <v>4161</v>
      </c>
      <c r="V3594" s="797">
        <f>$S$1*P!V3594</f>
        <v>0.42500000000000004</v>
      </c>
      <c r="W3594" s="780"/>
      <c r="X3594" s="881">
        <v>3590</v>
      </c>
      <c r="Y3594" s="881" t="s">
        <v>2248</v>
      </c>
      <c r="Z3594" s="881" t="s">
        <v>3282</v>
      </c>
      <c r="AA3594" s="882">
        <f>$S$1*P!AA3594</f>
        <v>3.1977822580645161E-3</v>
      </c>
      <c r="AB3594" s="780"/>
      <c r="AC3594" s="780"/>
      <c r="AD3594" s="780"/>
      <c r="AE3594" s="780"/>
      <c r="AF3594" s="780"/>
    </row>
    <row r="3595" spans="19:32" x14ac:dyDescent="0.35">
      <c r="S3595" s="782">
        <v>3591</v>
      </c>
      <c r="T3595" s="782" t="s">
        <v>4284</v>
      </c>
      <c r="U3595" s="782" t="s">
        <v>4159</v>
      </c>
      <c r="V3595" s="797">
        <f>$S$1*P!V3595</f>
        <v>1.9570564516129034E-4</v>
      </c>
      <c r="W3595" s="780"/>
      <c r="X3595" s="782">
        <v>3591</v>
      </c>
      <c r="Y3595" s="782" t="s">
        <v>2248</v>
      </c>
      <c r="Z3595" s="782" t="s">
        <v>2656</v>
      </c>
      <c r="AA3595" s="781">
        <f>$S$1*P!AA3595</f>
        <v>1.6211693548387098E-6</v>
      </c>
      <c r="AB3595" s="780"/>
      <c r="AC3595" s="780"/>
      <c r="AD3595" s="780"/>
      <c r="AE3595" s="780"/>
      <c r="AF3595" s="780"/>
    </row>
    <row r="3596" spans="19:32" x14ac:dyDescent="0.35">
      <c r="S3596" s="782">
        <v>3592</v>
      </c>
      <c r="T3596" s="782" t="s">
        <v>4284</v>
      </c>
      <c r="U3596" s="782" t="s">
        <v>4158</v>
      </c>
      <c r="V3596" s="797">
        <f>$S$1*P!V3596</f>
        <v>5.106854838709678E-4</v>
      </c>
      <c r="W3596" s="780"/>
      <c r="X3596" s="881">
        <v>3592</v>
      </c>
      <c r="Y3596" s="881" t="s">
        <v>2248</v>
      </c>
      <c r="Z3596" s="881" t="s">
        <v>2754</v>
      </c>
      <c r="AA3596" s="890">
        <f>$S$1*P!AA3596</f>
        <v>6.9184000000000001</v>
      </c>
      <c r="AB3596" s="780"/>
      <c r="AC3596" s="780"/>
      <c r="AD3596" s="780"/>
      <c r="AE3596" s="780"/>
      <c r="AF3596" s="780"/>
    </row>
    <row r="3597" spans="19:32" x14ac:dyDescent="0.35">
      <c r="S3597" s="782">
        <v>3593</v>
      </c>
      <c r="T3597" s="782" t="s">
        <v>4284</v>
      </c>
      <c r="U3597" s="782" t="s">
        <v>4156</v>
      </c>
      <c r="V3597" s="797">
        <f>$S$1*P!V3597</f>
        <v>6.1008064516129041E-5</v>
      </c>
      <c r="W3597" s="780"/>
      <c r="X3597" s="782">
        <v>3593</v>
      </c>
      <c r="Y3597" s="782" t="s">
        <v>2248</v>
      </c>
      <c r="Z3597" s="782" t="s">
        <v>4572</v>
      </c>
      <c r="AA3597" s="781">
        <f>$S$1*P!AA3597</f>
        <v>6.4778225806451611E-4</v>
      </c>
      <c r="AB3597" s="780"/>
      <c r="AC3597" s="780"/>
      <c r="AD3597" s="780"/>
      <c r="AE3597" s="780"/>
      <c r="AF3597" s="780"/>
    </row>
    <row r="3598" spans="19:32" x14ac:dyDescent="0.35">
      <c r="S3598" s="782">
        <v>3594</v>
      </c>
      <c r="T3598" s="782" t="s">
        <v>4284</v>
      </c>
      <c r="U3598" s="782" t="s">
        <v>4155</v>
      </c>
      <c r="V3598" s="797">
        <f>$S$1*P!V3598</f>
        <v>4.4213709677419361E-14</v>
      </c>
      <c r="W3598" s="780"/>
      <c r="X3598" s="881">
        <v>3594</v>
      </c>
      <c r="Y3598" s="881" t="s">
        <v>2248</v>
      </c>
      <c r="Z3598" s="881" t="s">
        <v>2653</v>
      </c>
      <c r="AA3598" s="890">
        <f>$S$1*P!AA3598</f>
        <v>56.396000000000001</v>
      </c>
      <c r="AB3598" s="780"/>
      <c r="AC3598" s="780"/>
      <c r="AD3598" s="780"/>
      <c r="AE3598" s="780"/>
      <c r="AF3598" s="780"/>
    </row>
    <row r="3599" spans="19:32" x14ac:dyDescent="0.35">
      <c r="S3599" s="782">
        <v>3595</v>
      </c>
      <c r="T3599" s="782" t="s">
        <v>4284</v>
      </c>
      <c r="U3599" s="782" t="s">
        <v>4154</v>
      </c>
      <c r="V3599" s="797">
        <f>$S$1*P!V3599</f>
        <v>5.381048387096775E-5</v>
      </c>
      <c r="W3599" s="780"/>
      <c r="X3599" s="782">
        <v>3595</v>
      </c>
      <c r="Y3599" s="782" t="s">
        <v>2248</v>
      </c>
      <c r="Z3599" s="782" t="s">
        <v>2653</v>
      </c>
      <c r="AA3599" s="781">
        <f>$S$1*P!AA3599</f>
        <v>5.278225806451613</v>
      </c>
      <c r="AB3599" s="780"/>
      <c r="AC3599" s="780"/>
      <c r="AD3599" s="780"/>
      <c r="AE3599" s="780"/>
      <c r="AF3599" s="780"/>
    </row>
    <row r="3600" spans="19:32" x14ac:dyDescent="0.35">
      <c r="S3600" s="789">
        <v>3596</v>
      </c>
      <c r="T3600" s="789" t="s">
        <v>4284</v>
      </c>
      <c r="U3600" s="789" t="s">
        <v>4571</v>
      </c>
      <c r="V3600" s="790">
        <f>$S$1*P!V3600</f>
        <v>1.508</v>
      </c>
      <c r="W3600" s="780"/>
      <c r="X3600" s="881">
        <v>3596</v>
      </c>
      <c r="Y3600" s="881" t="s">
        <v>2248</v>
      </c>
      <c r="Z3600" s="881" t="s">
        <v>4570</v>
      </c>
      <c r="AA3600" s="882">
        <f>$S$1*P!AA3600</f>
        <v>4.0100806451612908E-3</v>
      </c>
      <c r="AB3600" s="780"/>
      <c r="AC3600" s="780"/>
      <c r="AD3600" s="780"/>
      <c r="AE3600" s="780"/>
      <c r="AF3600" s="780"/>
    </row>
    <row r="3601" spans="19:32" x14ac:dyDescent="0.35">
      <c r="S3601" s="789">
        <v>3597</v>
      </c>
      <c r="T3601" s="789" t="s">
        <v>4284</v>
      </c>
      <c r="U3601" s="789" t="s">
        <v>4569</v>
      </c>
      <c r="V3601" s="790">
        <f>$S$1*P!V3601</f>
        <v>4.5240000000000002E-2</v>
      </c>
      <c r="W3601" s="780"/>
      <c r="X3601" s="782">
        <v>3597</v>
      </c>
      <c r="Y3601" s="782" t="s">
        <v>2248</v>
      </c>
      <c r="Z3601" s="782" t="s">
        <v>2650</v>
      </c>
      <c r="AA3601" s="781">
        <f>$S$1*P!AA3601</f>
        <v>0.2080443548387097</v>
      </c>
      <c r="AB3601" s="780"/>
      <c r="AC3601" s="780"/>
      <c r="AD3601" s="780"/>
      <c r="AE3601" s="780"/>
      <c r="AF3601" s="780"/>
    </row>
    <row r="3602" spans="19:32" x14ac:dyDescent="0.35">
      <c r="S3602" s="789">
        <v>3598</v>
      </c>
      <c r="T3602" s="789" t="s">
        <v>4284</v>
      </c>
      <c r="U3602" s="789" t="s">
        <v>4568</v>
      </c>
      <c r="V3602" s="790">
        <f>$S$1*P!V3602</f>
        <v>2.2040000000000002</v>
      </c>
      <c r="W3602" s="780"/>
      <c r="X3602" s="881">
        <v>3598</v>
      </c>
      <c r="Y3602" s="881" t="s">
        <v>2248</v>
      </c>
      <c r="Z3602" s="881" t="s">
        <v>2648</v>
      </c>
      <c r="AA3602" s="890">
        <f>$S$1*P!AA3602</f>
        <v>0</v>
      </c>
      <c r="AB3602" s="780"/>
      <c r="AC3602" s="780"/>
      <c r="AD3602" s="780"/>
      <c r="AE3602" s="780"/>
      <c r="AF3602" s="780"/>
    </row>
    <row r="3603" spans="19:32" x14ac:dyDescent="0.35">
      <c r="S3603" s="782">
        <v>3599</v>
      </c>
      <c r="T3603" s="782" t="s">
        <v>4284</v>
      </c>
      <c r="U3603" s="782" t="s">
        <v>4152</v>
      </c>
      <c r="V3603" s="797">
        <f>$S$1*P!V3603</f>
        <v>1.3572580645161293E-3</v>
      </c>
      <c r="W3603" s="780"/>
      <c r="X3603" s="782">
        <v>3599</v>
      </c>
      <c r="Y3603" s="782" t="s">
        <v>2248</v>
      </c>
      <c r="Z3603" s="782" t="s">
        <v>2648</v>
      </c>
      <c r="AA3603" s="781">
        <f>$S$1*P!AA3603</f>
        <v>2.244959677419355</v>
      </c>
      <c r="AB3603" s="780"/>
      <c r="AC3603" s="780"/>
      <c r="AD3603" s="780"/>
      <c r="AE3603" s="780"/>
      <c r="AF3603" s="780"/>
    </row>
    <row r="3604" spans="19:32" x14ac:dyDescent="0.35">
      <c r="S3604" s="782">
        <v>3600</v>
      </c>
      <c r="T3604" s="782" t="s">
        <v>4284</v>
      </c>
      <c r="U3604" s="782" t="s">
        <v>4150</v>
      </c>
      <c r="V3604" s="797">
        <f>$S$1*P!V3604</f>
        <v>0.15389112903225807</v>
      </c>
      <c r="W3604" s="780"/>
      <c r="X3604" s="881">
        <v>3600</v>
      </c>
      <c r="Y3604" s="881" t="s">
        <v>2248</v>
      </c>
      <c r="Z3604" s="881" t="s">
        <v>4567</v>
      </c>
      <c r="AA3604" s="882">
        <f>$S$1*P!AA3604</f>
        <v>8.191532258064517E-2</v>
      </c>
      <c r="AB3604" s="780"/>
      <c r="AC3604" s="780"/>
      <c r="AD3604" s="780"/>
      <c r="AE3604" s="780"/>
      <c r="AF3604" s="780"/>
    </row>
    <row r="3605" spans="19:32" x14ac:dyDescent="0.35">
      <c r="S3605" s="782">
        <v>3601</v>
      </c>
      <c r="T3605" s="782" t="s">
        <v>4284</v>
      </c>
      <c r="U3605" s="782" t="s">
        <v>4149</v>
      </c>
      <c r="V3605" s="797">
        <f>$S$1*P!V3605</f>
        <v>3.4616935483870973E-2</v>
      </c>
      <c r="W3605" s="780"/>
      <c r="X3605" s="782">
        <v>3601</v>
      </c>
      <c r="Y3605" s="782" t="s">
        <v>2248</v>
      </c>
      <c r="Z3605" s="782" t="s">
        <v>2646</v>
      </c>
      <c r="AA3605" s="781">
        <f>$S$1*P!AA3605</f>
        <v>2.210685483870968E-3</v>
      </c>
      <c r="AB3605" s="780"/>
      <c r="AC3605" s="780"/>
      <c r="AD3605" s="780"/>
      <c r="AE3605" s="780"/>
      <c r="AF3605" s="780"/>
    </row>
    <row r="3606" spans="19:32" x14ac:dyDescent="0.35">
      <c r="S3606" s="782">
        <v>3602</v>
      </c>
      <c r="T3606" s="782" t="s">
        <v>4284</v>
      </c>
      <c r="U3606" s="782" t="s">
        <v>4148</v>
      </c>
      <c r="V3606" s="797">
        <f>$S$1*P!V3606</f>
        <v>6.1350806451612909E-3</v>
      </c>
      <c r="W3606" s="780"/>
      <c r="X3606" s="881">
        <v>3602</v>
      </c>
      <c r="Y3606" s="881" t="s">
        <v>2248</v>
      </c>
      <c r="Z3606" s="881" t="s">
        <v>2644</v>
      </c>
      <c r="AA3606" s="890">
        <f>$S$1*P!AA3606</f>
        <v>0</v>
      </c>
      <c r="AB3606" s="780"/>
      <c r="AC3606" s="780"/>
      <c r="AD3606" s="780"/>
      <c r="AE3606" s="780"/>
      <c r="AF3606" s="780"/>
    </row>
    <row r="3607" spans="19:32" x14ac:dyDescent="0.35">
      <c r="S3607" s="782">
        <v>3603</v>
      </c>
      <c r="T3607" s="782" t="s">
        <v>4284</v>
      </c>
      <c r="U3607" s="782" t="s">
        <v>2512</v>
      </c>
      <c r="V3607" s="797">
        <f>$S$1*P!V3607</f>
        <v>0.26905241935483876</v>
      </c>
      <c r="W3607" s="780"/>
      <c r="X3607" s="881">
        <v>3603</v>
      </c>
      <c r="Y3607" s="881" t="s">
        <v>2248</v>
      </c>
      <c r="Z3607" s="881" t="s">
        <v>3280</v>
      </c>
      <c r="AA3607" s="882">
        <f>$S$1*P!AA3607</f>
        <v>6.3407258064516138E-5</v>
      </c>
      <c r="AB3607" s="780"/>
      <c r="AC3607" s="780"/>
      <c r="AD3607" s="780"/>
      <c r="AE3607" s="780"/>
      <c r="AF3607" s="780"/>
    </row>
    <row r="3608" spans="19:32" x14ac:dyDescent="0.35">
      <c r="S3608" s="881">
        <v>3604</v>
      </c>
      <c r="T3608" s="881" t="s">
        <v>4284</v>
      </c>
      <c r="U3608" s="881" t="s">
        <v>2512</v>
      </c>
      <c r="V3608" s="883">
        <f>$S$1*P!V3608</f>
        <v>0</v>
      </c>
      <c r="W3608" s="780"/>
      <c r="X3608" s="782">
        <v>3604</v>
      </c>
      <c r="Y3608" s="782" t="s">
        <v>2248</v>
      </c>
      <c r="Z3608" s="782" t="s">
        <v>2644</v>
      </c>
      <c r="AA3608" s="781">
        <f>$S$1*P!AA3608</f>
        <v>0.92883064516129044</v>
      </c>
      <c r="AB3608" s="780"/>
      <c r="AC3608" s="780"/>
      <c r="AD3608" s="780"/>
      <c r="AE3608" s="780"/>
      <c r="AF3608" s="780"/>
    </row>
    <row r="3609" spans="19:32" x14ac:dyDescent="0.35">
      <c r="S3609" s="861">
        <v>3605</v>
      </c>
      <c r="T3609" s="861" t="s">
        <v>4284</v>
      </c>
      <c r="U3609" s="861" t="s">
        <v>2510</v>
      </c>
      <c r="V3609" s="862">
        <f>$S$1*P!V3609</f>
        <v>10.164999999999999</v>
      </c>
      <c r="W3609" s="780"/>
      <c r="X3609" s="782">
        <v>3605</v>
      </c>
      <c r="Y3609" s="782" t="s">
        <v>2248</v>
      </c>
      <c r="Z3609" s="782" t="s">
        <v>2643</v>
      </c>
      <c r="AA3609" s="781">
        <f>$S$1*P!AA3609</f>
        <v>1.1139112903225809E-5</v>
      </c>
      <c r="AB3609" s="780"/>
      <c r="AC3609" s="780"/>
      <c r="AD3609" s="780"/>
      <c r="AE3609" s="780"/>
      <c r="AF3609" s="780"/>
    </row>
    <row r="3610" spans="19:32" x14ac:dyDescent="0.35">
      <c r="S3610" s="881">
        <v>3606</v>
      </c>
      <c r="T3610" s="881" t="s">
        <v>4284</v>
      </c>
      <c r="U3610" s="881" t="s">
        <v>2510</v>
      </c>
      <c r="V3610" s="883">
        <f>$S$1*P!V3610</f>
        <v>0</v>
      </c>
      <c r="W3610" s="780"/>
      <c r="X3610" s="881">
        <v>3606</v>
      </c>
      <c r="Y3610" s="881" t="s">
        <v>2248</v>
      </c>
      <c r="Z3610" s="881" t="s">
        <v>3277</v>
      </c>
      <c r="AA3610" s="882">
        <f>$S$1*P!AA3610</f>
        <v>2.5054435483870971E-2</v>
      </c>
      <c r="AB3610" s="780"/>
      <c r="AC3610" s="780"/>
      <c r="AD3610" s="780"/>
      <c r="AE3610" s="780"/>
      <c r="AF3610" s="780"/>
    </row>
    <row r="3611" spans="19:32" x14ac:dyDescent="0.35">
      <c r="S3611" s="782">
        <v>3607</v>
      </c>
      <c r="T3611" s="782" t="s">
        <v>4284</v>
      </c>
      <c r="U3611" s="782" t="s">
        <v>2509</v>
      </c>
      <c r="V3611" s="797">
        <f>$S$1*P!V3611</f>
        <v>1.1961693548387098E-5</v>
      </c>
      <c r="W3611" s="780"/>
      <c r="X3611" s="782">
        <v>3607</v>
      </c>
      <c r="Y3611" s="782" t="s">
        <v>2248</v>
      </c>
      <c r="Z3611" s="782" t="s">
        <v>2640</v>
      </c>
      <c r="AA3611" s="781">
        <f>$S$1*P!AA3611</f>
        <v>7.7459677419354847E-2</v>
      </c>
      <c r="AB3611" s="780"/>
      <c r="AC3611" s="780"/>
      <c r="AD3611" s="780"/>
      <c r="AE3611" s="780"/>
      <c r="AF3611" s="780"/>
    </row>
    <row r="3612" spans="19:32" x14ac:dyDescent="0.35">
      <c r="S3612" s="881">
        <v>3608</v>
      </c>
      <c r="T3612" s="881" t="s">
        <v>4284</v>
      </c>
      <c r="U3612" s="881" t="s">
        <v>2509</v>
      </c>
      <c r="V3612" s="883">
        <f>$S$1*P!V3612</f>
        <v>0.48116000000000003</v>
      </c>
      <c r="W3612" s="780"/>
      <c r="X3612" s="881">
        <v>3608</v>
      </c>
      <c r="Y3612" s="881" t="s">
        <v>2248</v>
      </c>
      <c r="Z3612" s="881" t="s">
        <v>2639</v>
      </c>
      <c r="AA3612" s="890">
        <f>$S$1*P!AA3612</f>
        <v>0</v>
      </c>
      <c r="AB3612" s="780"/>
      <c r="AC3612" s="780"/>
      <c r="AD3612" s="780"/>
      <c r="AE3612" s="780"/>
      <c r="AF3612" s="780"/>
    </row>
    <row r="3613" spans="19:32" x14ac:dyDescent="0.35">
      <c r="S3613" s="782">
        <v>3609</v>
      </c>
      <c r="T3613" s="782" t="s">
        <v>4284</v>
      </c>
      <c r="U3613" s="782" t="s">
        <v>4144</v>
      </c>
      <c r="V3613" s="797">
        <f>$S$1*P!V3613</f>
        <v>6.512096774193549E-6</v>
      </c>
      <c r="W3613" s="780"/>
      <c r="X3613" s="782">
        <v>3609</v>
      </c>
      <c r="Y3613" s="782" t="s">
        <v>2248</v>
      </c>
      <c r="Z3613" s="782" t="s">
        <v>2639</v>
      </c>
      <c r="AA3613" s="781">
        <f>$S$1*P!AA3613</f>
        <v>4.524193548387097E-4</v>
      </c>
      <c r="AB3613" s="780"/>
      <c r="AC3613" s="780"/>
      <c r="AD3613" s="780"/>
      <c r="AE3613" s="780"/>
      <c r="AF3613" s="780"/>
    </row>
    <row r="3614" spans="19:32" x14ac:dyDescent="0.35">
      <c r="S3614" s="881">
        <v>3610</v>
      </c>
      <c r="T3614" s="881" t="s">
        <v>4284</v>
      </c>
      <c r="U3614" s="881" t="s">
        <v>2507</v>
      </c>
      <c r="V3614" s="883">
        <f>$S$1*P!V3614</f>
        <v>4.8208000000000002</v>
      </c>
      <c r="W3614" s="780"/>
      <c r="X3614" s="782">
        <v>3610</v>
      </c>
      <c r="Y3614" s="782" t="s">
        <v>2248</v>
      </c>
      <c r="Z3614" s="782" t="s">
        <v>3276</v>
      </c>
      <c r="AA3614" s="781">
        <f>$S$1*P!AA3614</f>
        <v>3.3897177419354844E-4</v>
      </c>
      <c r="AB3614" s="780"/>
      <c r="AC3614" s="780"/>
      <c r="AD3614" s="780"/>
      <c r="AE3614" s="780"/>
      <c r="AF3614" s="780"/>
    </row>
    <row r="3615" spans="19:32" x14ac:dyDescent="0.35">
      <c r="S3615" s="881">
        <v>3611</v>
      </c>
      <c r="T3615" s="881" t="s">
        <v>4284</v>
      </c>
      <c r="U3615" s="881" t="s">
        <v>2506</v>
      </c>
      <c r="V3615" s="883">
        <f>$S$1*P!V3615</f>
        <v>1.5456000000000001</v>
      </c>
      <c r="W3615" s="780"/>
      <c r="X3615" s="881">
        <v>3611</v>
      </c>
      <c r="Y3615" s="881" t="s">
        <v>2248</v>
      </c>
      <c r="Z3615" s="881" t="s">
        <v>2750</v>
      </c>
      <c r="AA3615" s="890">
        <f>$S$1*P!AA3615</f>
        <v>0.25484000000000001</v>
      </c>
      <c r="AB3615" s="780"/>
      <c r="AC3615" s="780"/>
      <c r="AD3615" s="780"/>
      <c r="AE3615" s="780"/>
      <c r="AF3615" s="780"/>
    </row>
    <row r="3616" spans="19:32" x14ac:dyDescent="0.35">
      <c r="S3616" s="782">
        <v>3612</v>
      </c>
      <c r="T3616" s="782" t="s">
        <v>4284</v>
      </c>
      <c r="U3616" s="782" t="s">
        <v>4142</v>
      </c>
      <c r="V3616" s="797">
        <f>$S$1*P!V3616</f>
        <v>3.1635080645161294E-7</v>
      </c>
      <c r="W3616" s="780"/>
      <c r="X3616" s="881">
        <v>3612</v>
      </c>
      <c r="Y3616" s="881" t="s">
        <v>2248</v>
      </c>
      <c r="Z3616" s="881" t="s">
        <v>2749</v>
      </c>
      <c r="AA3616" s="890">
        <f>$S$1*P!AA3616</f>
        <v>5.0324</v>
      </c>
      <c r="AB3616" s="780"/>
      <c r="AC3616" s="780"/>
      <c r="AD3616" s="780"/>
      <c r="AE3616" s="780"/>
      <c r="AF3616" s="780"/>
    </row>
    <row r="3617" spans="19:32" x14ac:dyDescent="0.35">
      <c r="S3617" s="782">
        <v>3613</v>
      </c>
      <c r="T3617" s="782" t="s">
        <v>4284</v>
      </c>
      <c r="U3617" s="782" t="s">
        <v>2504</v>
      </c>
      <c r="V3617" s="797">
        <f>$S$1*P!V3617</f>
        <v>3.8729838709677421E-7</v>
      </c>
      <c r="W3617" s="780"/>
      <c r="X3617" s="881">
        <v>3613</v>
      </c>
      <c r="Y3617" s="881" t="s">
        <v>2248</v>
      </c>
      <c r="Z3617" s="881" t="s">
        <v>4566</v>
      </c>
      <c r="AA3617" s="882">
        <f>$S$1*P!AA3617</f>
        <v>0.61350806451612905</v>
      </c>
      <c r="AB3617" s="780"/>
      <c r="AC3617" s="780"/>
      <c r="AD3617" s="780"/>
      <c r="AE3617" s="780"/>
      <c r="AF3617" s="780"/>
    </row>
    <row r="3618" spans="19:32" x14ac:dyDescent="0.35">
      <c r="S3618" s="881">
        <v>3614</v>
      </c>
      <c r="T3618" s="881" t="s">
        <v>4284</v>
      </c>
      <c r="U3618" s="881" t="s">
        <v>2504</v>
      </c>
      <c r="V3618" s="883">
        <f>$S$1*P!V3618</f>
        <v>2.0884E-2</v>
      </c>
      <c r="W3618" s="780"/>
      <c r="X3618" s="881">
        <v>3614</v>
      </c>
      <c r="Y3618" s="881" t="s">
        <v>2248</v>
      </c>
      <c r="Z3618" s="881" t="s">
        <v>2747</v>
      </c>
      <c r="AA3618" s="890">
        <f>$S$1*P!AA3618</f>
        <v>4.1399999999999997</v>
      </c>
      <c r="AB3618" s="780"/>
      <c r="AC3618" s="780"/>
      <c r="AD3618" s="780"/>
      <c r="AE3618" s="780"/>
      <c r="AF3618" s="780"/>
    </row>
    <row r="3619" spans="19:32" x14ac:dyDescent="0.35">
      <c r="S3619" s="782">
        <v>3615</v>
      </c>
      <c r="T3619" s="782" t="s">
        <v>4284</v>
      </c>
      <c r="U3619" s="782" t="s">
        <v>4140</v>
      </c>
      <c r="V3619" s="797">
        <f>$S$1*P!V3619</f>
        <v>3.8387096774193552E-2</v>
      </c>
      <c r="W3619" s="780"/>
      <c r="X3619" s="881">
        <v>3615</v>
      </c>
      <c r="Y3619" s="881" t="s">
        <v>2248</v>
      </c>
      <c r="Z3619" s="881" t="s">
        <v>2746</v>
      </c>
      <c r="AA3619" s="890">
        <f>$S$1*P!AA3619</f>
        <v>0.13156000000000001</v>
      </c>
      <c r="AB3619" s="780"/>
      <c r="AC3619" s="780"/>
      <c r="AD3619" s="780"/>
      <c r="AE3619" s="780"/>
      <c r="AF3619" s="780"/>
    </row>
    <row r="3620" spans="19:32" x14ac:dyDescent="0.35">
      <c r="S3620" s="782">
        <v>3616</v>
      </c>
      <c r="T3620" s="782" t="s">
        <v>4284</v>
      </c>
      <c r="U3620" s="782" t="s">
        <v>2502</v>
      </c>
      <c r="V3620" s="797">
        <f>$S$1*P!V3620</f>
        <v>4.4899193548387102E-4</v>
      </c>
      <c r="W3620" s="780"/>
      <c r="X3620" s="782">
        <v>3616</v>
      </c>
      <c r="Y3620" s="782" t="s">
        <v>2248</v>
      </c>
      <c r="Z3620" s="782" t="s">
        <v>4565</v>
      </c>
      <c r="AA3620" s="781">
        <f>$S$1*P!AA3620</f>
        <v>1.4395161290322582E-3</v>
      </c>
      <c r="AB3620" s="780"/>
      <c r="AC3620" s="780"/>
      <c r="AD3620" s="780"/>
      <c r="AE3620" s="780"/>
      <c r="AF3620" s="780"/>
    </row>
    <row r="3621" spans="19:32" x14ac:dyDescent="0.35">
      <c r="S3621" s="881">
        <v>3617</v>
      </c>
      <c r="T3621" s="881" t="s">
        <v>4284</v>
      </c>
      <c r="U3621" s="881" t="s">
        <v>2502</v>
      </c>
      <c r="V3621" s="883">
        <f>$S$1*P!V3621</f>
        <v>0</v>
      </c>
      <c r="W3621" s="780"/>
      <c r="X3621" s="782">
        <v>3617</v>
      </c>
      <c r="Y3621" s="782" t="s">
        <v>2248</v>
      </c>
      <c r="Z3621" s="782" t="s">
        <v>2637</v>
      </c>
      <c r="AA3621" s="781">
        <f>$S$1*P!AA3621</f>
        <v>2.1421370967741937E-2</v>
      </c>
      <c r="AB3621" s="780"/>
      <c r="AC3621" s="780"/>
      <c r="AD3621" s="780"/>
      <c r="AE3621" s="780"/>
      <c r="AF3621" s="780"/>
    </row>
    <row r="3622" spans="19:32" x14ac:dyDescent="0.35">
      <c r="S3622" s="782">
        <v>3618</v>
      </c>
      <c r="T3622" s="782" t="s">
        <v>4284</v>
      </c>
      <c r="U3622" s="782" t="s">
        <v>4138</v>
      </c>
      <c r="V3622" s="797">
        <f>$S$1*P!V3622</f>
        <v>1.6211693548387099E-2</v>
      </c>
      <c r="W3622" s="780"/>
      <c r="X3622" s="782">
        <v>3618</v>
      </c>
      <c r="Y3622" s="782" t="s">
        <v>2248</v>
      </c>
      <c r="Z3622" s="782" t="s">
        <v>2635</v>
      </c>
      <c r="AA3622" s="781">
        <f>$S$1*P!AA3622</f>
        <v>1.5491935483870969E-3</v>
      </c>
      <c r="AB3622" s="780"/>
      <c r="AC3622" s="780"/>
      <c r="AD3622" s="780"/>
      <c r="AE3622" s="780"/>
      <c r="AF3622" s="780"/>
    </row>
    <row r="3623" spans="19:32" x14ac:dyDescent="0.35">
      <c r="S3623" s="782">
        <v>3619</v>
      </c>
      <c r="T3623" s="782" t="s">
        <v>4284</v>
      </c>
      <c r="U3623" s="782" t="s">
        <v>4137</v>
      </c>
      <c r="V3623" s="797">
        <f>$S$1*P!V3623</f>
        <v>2.1764112903225807E-3</v>
      </c>
      <c r="W3623" s="780"/>
      <c r="X3623" s="881">
        <v>3619</v>
      </c>
      <c r="Y3623" s="881" t="s">
        <v>2248</v>
      </c>
      <c r="Z3623" s="881" t="s">
        <v>3275</v>
      </c>
      <c r="AA3623" s="882">
        <f>$S$1*P!AA3623</f>
        <v>0.20050403225806454</v>
      </c>
      <c r="AB3623" s="780"/>
      <c r="AC3623" s="780"/>
      <c r="AD3623" s="780"/>
      <c r="AE3623" s="780"/>
      <c r="AF3623" s="780"/>
    </row>
    <row r="3624" spans="19:32" x14ac:dyDescent="0.35">
      <c r="S3624" s="881">
        <v>3620</v>
      </c>
      <c r="T3624" s="881" t="s">
        <v>4284</v>
      </c>
      <c r="U3624" s="881" t="s">
        <v>2501</v>
      </c>
      <c r="V3624" s="883">
        <f>$S$1*P!V3624</f>
        <v>47.288000000000004</v>
      </c>
      <c r="W3624" s="780"/>
      <c r="X3624" s="881">
        <v>3620</v>
      </c>
      <c r="Y3624" s="881" t="s">
        <v>2248</v>
      </c>
      <c r="Z3624" s="881" t="s">
        <v>2633</v>
      </c>
      <c r="AA3624" s="890">
        <f>$S$1*P!AA3624</f>
        <v>4.5723999999999999E-3</v>
      </c>
      <c r="AB3624" s="780"/>
      <c r="AC3624" s="780"/>
      <c r="AD3624" s="780"/>
      <c r="AE3624" s="780"/>
      <c r="AF3624" s="780"/>
    </row>
    <row r="3625" spans="19:32" x14ac:dyDescent="0.35">
      <c r="S3625" s="861">
        <v>3621</v>
      </c>
      <c r="T3625" s="861" t="s">
        <v>4284</v>
      </c>
      <c r="U3625" s="861" t="s">
        <v>4135</v>
      </c>
      <c r="V3625" s="862">
        <f>$S$1*P!V3625</f>
        <v>1.35355</v>
      </c>
      <c r="W3625" s="780"/>
      <c r="X3625" s="782">
        <v>3621</v>
      </c>
      <c r="Y3625" s="782" t="s">
        <v>2248</v>
      </c>
      <c r="Z3625" s="782" t="s">
        <v>2633</v>
      </c>
      <c r="AA3625" s="781">
        <f>$S$1*P!AA3625</f>
        <v>7.5403225806451623E-4</v>
      </c>
      <c r="AB3625" s="780"/>
      <c r="AC3625" s="780"/>
      <c r="AD3625" s="780"/>
      <c r="AE3625" s="780"/>
      <c r="AF3625" s="780"/>
    </row>
    <row r="3626" spans="19:32" x14ac:dyDescent="0.35">
      <c r="S3626" s="782">
        <v>3622</v>
      </c>
      <c r="T3626" s="782" t="s">
        <v>4284</v>
      </c>
      <c r="U3626" s="782" t="s">
        <v>4135</v>
      </c>
      <c r="V3626" s="797">
        <f>$S$1*P!V3626</f>
        <v>2.1798387096774196E-4</v>
      </c>
      <c r="W3626" s="780"/>
      <c r="X3626" s="782">
        <v>3622</v>
      </c>
      <c r="Y3626" s="782" t="s">
        <v>2248</v>
      </c>
      <c r="Z3626" s="782" t="s">
        <v>4564</v>
      </c>
      <c r="AA3626" s="781">
        <f>$S$1*P!AA3626</f>
        <v>7.883064516129032E-5</v>
      </c>
      <c r="AB3626" s="780"/>
      <c r="AC3626" s="780"/>
      <c r="AD3626" s="780"/>
      <c r="AE3626" s="780"/>
      <c r="AF3626" s="780"/>
    </row>
    <row r="3627" spans="19:32" x14ac:dyDescent="0.35">
      <c r="S3627" s="782">
        <v>3623</v>
      </c>
      <c r="T3627" s="782" t="s">
        <v>4284</v>
      </c>
      <c r="U3627" s="782" t="s">
        <v>2499</v>
      </c>
      <c r="V3627" s="797">
        <f>$S$1*P!V3627</f>
        <v>3.6330645161290324E-3</v>
      </c>
      <c r="W3627" s="780"/>
      <c r="X3627" s="881">
        <v>3623</v>
      </c>
      <c r="Y3627" s="881" t="s">
        <v>2248</v>
      </c>
      <c r="Z3627" s="881" t="s">
        <v>2630</v>
      </c>
      <c r="AA3627" s="890">
        <f>$S$1*P!AA3627</f>
        <v>1.5271999999999999</v>
      </c>
      <c r="AB3627" s="780"/>
      <c r="AC3627" s="780"/>
      <c r="AD3627" s="780"/>
      <c r="AE3627" s="780"/>
      <c r="AF3627" s="780"/>
    </row>
    <row r="3628" spans="19:32" x14ac:dyDescent="0.35">
      <c r="S3628" s="881">
        <v>3624</v>
      </c>
      <c r="T3628" s="881" t="s">
        <v>4284</v>
      </c>
      <c r="U3628" s="881" t="s">
        <v>2499</v>
      </c>
      <c r="V3628" s="883">
        <f>$S$1*P!V3628</f>
        <v>0</v>
      </c>
      <c r="W3628" s="780"/>
      <c r="X3628" s="782">
        <v>3624</v>
      </c>
      <c r="Y3628" s="782" t="s">
        <v>2248</v>
      </c>
      <c r="Z3628" s="782" t="s">
        <v>2630</v>
      </c>
      <c r="AA3628" s="781">
        <f>$S$1*P!AA3628</f>
        <v>3.7701612903225808E-3</v>
      </c>
      <c r="AB3628" s="780"/>
      <c r="AC3628" s="780"/>
      <c r="AD3628" s="780"/>
      <c r="AE3628" s="780"/>
      <c r="AF3628" s="780"/>
    </row>
    <row r="3629" spans="19:32" x14ac:dyDescent="0.35">
      <c r="S3629" s="782">
        <v>3625</v>
      </c>
      <c r="T3629" s="782" t="s">
        <v>4284</v>
      </c>
      <c r="U3629" s="782" t="s">
        <v>4132</v>
      </c>
      <c r="V3629" s="797">
        <f>$S$1*P!V3629</f>
        <v>4.1471774193548391E-4</v>
      </c>
      <c r="W3629" s="780"/>
      <c r="X3629" s="881">
        <v>3625</v>
      </c>
      <c r="Y3629" s="881" t="s">
        <v>2248</v>
      </c>
      <c r="Z3629" s="881" t="s">
        <v>4563</v>
      </c>
      <c r="AA3629" s="882">
        <f>$S$1*P!AA3629</f>
        <v>7.1975806451612915E-5</v>
      </c>
      <c r="AB3629" s="780"/>
      <c r="AC3629" s="780"/>
      <c r="AD3629" s="780"/>
      <c r="AE3629" s="780"/>
      <c r="AF3629" s="780"/>
    </row>
    <row r="3630" spans="19:32" x14ac:dyDescent="0.35">
      <c r="S3630" s="782">
        <v>3626</v>
      </c>
      <c r="T3630" s="782" t="s">
        <v>4284</v>
      </c>
      <c r="U3630" s="782" t="s">
        <v>4131</v>
      </c>
      <c r="V3630" s="797">
        <f>$S$1*P!V3630</f>
        <v>7.0604838709677425E-6</v>
      </c>
      <c r="W3630" s="780"/>
      <c r="X3630" s="881">
        <v>3626</v>
      </c>
      <c r="Y3630" s="881" t="s">
        <v>2248</v>
      </c>
      <c r="Z3630" s="881" t="s">
        <v>2743</v>
      </c>
      <c r="AA3630" s="890">
        <f>$S$1*P!AA3630</f>
        <v>2.0055999999999998</v>
      </c>
      <c r="AB3630" s="780"/>
      <c r="AC3630" s="780"/>
      <c r="AD3630" s="780"/>
      <c r="AE3630" s="780"/>
      <c r="AF3630" s="780"/>
    </row>
    <row r="3631" spans="19:32" x14ac:dyDescent="0.35">
      <c r="S3631" s="782">
        <v>3627</v>
      </c>
      <c r="T3631" s="782" t="s">
        <v>4284</v>
      </c>
      <c r="U3631" s="782" t="s">
        <v>4129</v>
      </c>
      <c r="V3631" s="797">
        <f>$S$1*P!V3631</f>
        <v>2.7625000000000002E-6</v>
      </c>
      <c r="W3631" s="780"/>
      <c r="X3631" s="881">
        <v>3627</v>
      </c>
      <c r="Y3631" s="881" t="s">
        <v>2248</v>
      </c>
      <c r="Z3631" s="881" t="s">
        <v>2628</v>
      </c>
      <c r="AA3631" s="890">
        <f>$S$1*P!AA3631</f>
        <v>0.11868000000000001</v>
      </c>
      <c r="AB3631" s="780"/>
      <c r="AC3631" s="780"/>
      <c r="AD3631" s="780"/>
      <c r="AE3631" s="780"/>
      <c r="AF3631" s="780"/>
    </row>
    <row r="3632" spans="19:32" x14ac:dyDescent="0.35">
      <c r="S3632" s="782">
        <v>3628</v>
      </c>
      <c r="T3632" s="782" t="s">
        <v>4284</v>
      </c>
      <c r="U3632" s="782" t="s">
        <v>4128</v>
      </c>
      <c r="V3632" s="797">
        <f>$S$1*P!V3632</f>
        <v>6.5463709677419364E-6</v>
      </c>
      <c r="W3632" s="780"/>
      <c r="X3632" s="782">
        <v>3628</v>
      </c>
      <c r="Y3632" s="782" t="s">
        <v>2248</v>
      </c>
      <c r="Z3632" s="782" t="s">
        <v>2628</v>
      </c>
      <c r="AA3632" s="781">
        <f>$S$1*P!AA3632</f>
        <v>3.9758064516129036E-4</v>
      </c>
      <c r="AB3632" s="780"/>
      <c r="AC3632" s="780"/>
      <c r="AD3632" s="780"/>
      <c r="AE3632" s="780"/>
      <c r="AF3632" s="780"/>
    </row>
    <row r="3633" spans="19:32" x14ac:dyDescent="0.35">
      <c r="S3633" s="782">
        <v>3629</v>
      </c>
      <c r="T3633" s="782" t="s">
        <v>4284</v>
      </c>
      <c r="U3633" s="782" t="s">
        <v>4127</v>
      </c>
      <c r="V3633" s="797">
        <f>$S$1*P!V3633</f>
        <v>1.5320564516129034E-2</v>
      </c>
      <c r="W3633" s="780"/>
      <c r="X3633" s="881">
        <v>3629</v>
      </c>
      <c r="Y3633" s="881" t="s">
        <v>2248</v>
      </c>
      <c r="Z3633" s="881" t="s">
        <v>4562</v>
      </c>
      <c r="AA3633" s="882">
        <f>$S$1*P!AA3633</f>
        <v>2.0872983870967742E-4</v>
      </c>
      <c r="AB3633" s="780"/>
      <c r="AC3633" s="780"/>
      <c r="AD3633" s="780"/>
      <c r="AE3633" s="780"/>
      <c r="AF3633" s="780"/>
    </row>
    <row r="3634" spans="19:32" x14ac:dyDescent="0.35">
      <c r="S3634" s="861">
        <v>3630</v>
      </c>
      <c r="T3634" s="861" t="s">
        <v>4284</v>
      </c>
      <c r="U3634" s="861" t="s">
        <v>4125</v>
      </c>
      <c r="V3634" s="862">
        <f>$S$1*P!V3634</f>
        <v>2.5465999999999998</v>
      </c>
      <c r="W3634" s="780"/>
      <c r="X3634" s="881">
        <v>3630</v>
      </c>
      <c r="Y3634" s="881" t="s">
        <v>2248</v>
      </c>
      <c r="Z3634" s="881" t="s">
        <v>2625</v>
      </c>
      <c r="AA3634" s="890">
        <f>$S$1*P!AA3634</f>
        <v>0.12236000000000001</v>
      </c>
      <c r="AB3634" s="780"/>
      <c r="AC3634" s="780"/>
      <c r="AD3634" s="780"/>
      <c r="AE3634" s="780"/>
      <c r="AF3634" s="780"/>
    </row>
    <row r="3635" spans="19:32" x14ac:dyDescent="0.35">
      <c r="S3635" s="782">
        <v>3631</v>
      </c>
      <c r="T3635" s="782" t="s">
        <v>4284</v>
      </c>
      <c r="U3635" s="782" t="s">
        <v>4125</v>
      </c>
      <c r="V3635" s="797">
        <f>$S$1*P!V3635</f>
        <v>3.5645161290322583E-6</v>
      </c>
      <c r="W3635" s="780"/>
      <c r="X3635" s="782">
        <v>3631</v>
      </c>
      <c r="Y3635" s="782" t="s">
        <v>2248</v>
      </c>
      <c r="Z3635" s="782" t="s">
        <v>2625</v>
      </c>
      <c r="AA3635" s="781">
        <f>$S$1*P!AA3635</f>
        <v>4.6270161290322583E-3</v>
      </c>
      <c r="AB3635" s="780"/>
      <c r="AC3635" s="780"/>
      <c r="AD3635" s="780"/>
      <c r="AE3635" s="780"/>
      <c r="AF3635" s="780"/>
    </row>
    <row r="3636" spans="19:32" x14ac:dyDescent="0.35">
      <c r="S3636" s="782">
        <v>3632</v>
      </c>
      <c r="T3636" s="782" t="s">
        <v>4284</v>
      </c>
      <c r="U3636" s="782" t="s">
        <v>2498</v>
      </c>
      <c r="V3636" s="797">
        <f>$S$1*P!V3636</f>
        <v>5.826612903225807E-4</v>
      </c>
      <c r="W3636" s="780"/>
      <c r="X3636" s="881">
        <v>3632</v>
      </c>
      <c r="Y3636" s="881" t="s">
        <v>2248</v>
      </c>
      <c r="Z3636" s="881" t="s">
        <v>4561</v>
      </c>
      <c r="AA3636" s="882">
        <f>$S$1*P!AA3636</f>
        <v>2.1455645161290323E-3</v>
      </c>
      <c r="AB3636" s="780"/>
      <c r="AC3636" s="780"/>
      <c r="AD3636" s="780"/>
      <c r="AE3636" s="780"/>
      <c r="AF3636" s="780"/>
    </row>
    <row r="3637" spans="19:32" x14ac:dyDescent="0.35">
      <c r="S3637" s="881">
        <v>3633</v>
      </c>
      <c r="T3637" s="881" t="s">
        <v>4284</v>
      </c>
      <c r="U3637" s="881" t="s">
        <v>2498</v>
      </c>
      <c r="V3637" s="883">
        <f>$S$1*P!V3637</f>
        <v>0</v>
      </c>
      <c r="W3637" s="780"/>
      <c r="X3637" s="881">
        <v>3633</v>
      </c>
      <c r="Y3637" s="881" t="s">
        <v>2248</v>
      </c>
      <c r="Z3637" s="881" t="s">
        <v>2740</v>
      </c>
      <c r="AA3637" s="890">
        <f>$S$1*P!AA3637</f>
        <v>0.18307999999999999</v>
      </c>
      <c r="AB3637" s="780"/>
      <c r="AC3637" s="780"/>
      <c r="AD3637" s="780"/>
      <c r="AE3637" s="780"/>
      <c r="AF3637" s="780"/>
    </row>
    <row r="3638" spans="19:32" x14ac:dyDescent="0.35">
      <c r="S3638" s="782">
        <v>3634</v>
      </c>
      <c r="T3638" s="782" t="s">
        <v>4284</v>
      </c>
      <c r="U3638" s="782" t="s">
        <v>2496</v>
      </c>
      <c r="V3638" s="797">
        <f>$S$1*P!V3638</f>
        <v>0.20770161290322584</v>
      </c>
      <c r="W3638" s="780"/>
      <c r="X3638" s="881">
        <v>3634</v>
      </c>
      <c r="Y3638" s="881" t="s">
        <v>2248</v>
      </c>
      <c r="Z3638" s="881" t="s">
        <v>4560</v>
      </c>
      <c r="AA3638" s="882">
        <f>$S$1*P!AA3638</f>
        <v>6.409274193548388E-2</v>
      </c>
      <c r="AB3638" s="780"/>
      <c r="AC3638" s="780"/>
      <c r="AD3638" s="780"/>
      <c r="AE3638" s="780"/>
      <c r="AF3638" s="780"/>
    </row>
    <row r="3639" spans="19:32" x14ac:dyDescent="0.35">
      <c r="S3639" s="881">
        <v>3635</v>
      </c>
      <c r="T3639" s="881" t="s">
        <v>4284</v>
      </c>
      <c r="U3639" s="881" t="s">
        <v>2496</v>
      </c>
      <c r="V3639" s="883">
        <f>$S$1*P!V3639</f>
        <v>0</v>
      </c>
      <c r="W3639" s="780"/>
      <c r="X3639" s="881">
        <v>3635</v>
      </c>
      <c r="Y3639" s="881" t="s">
        <v>2248</v>
      </c>
      <c r="Z3639" s="881" t="s">
        <v>2622</v>
      </c>
      <c r="AA3639" s="890">
        <f>$S$1*P!AA3639</f>
        <v>1.9504000000000001E-2</v>
      </c>
      <c r="AB3639" s="780"/>
      <c r="AC3639" s="780"/>
      <c r="AD3639" s="780"/>
      <c r="AE3639" s="780"/>
      <c r="AF3639" s="780"/>
    </row>
    <row r="3640" spans="19:32" x14ac:dyDescent="0.35">
      <c r="S3640" s="782">
        <v>3636</v>
      </c>
      <c r="T3640" s="782" t="s">
        <v>4284</v>
      </c>
      <c r="U3640" s="782" t="s">
        <v>4122</v>
      </c>
      <c r="V3640" s="797">
        <f>$S$1*P!V3640</f>
        <v>1.4737903225806453E-5</v>
      </c>
      <c r="W3640" s="780"/>
      <c r="X3640" s="782">
        <v>3636</v>
      </c>
      <c r="Y3640" s="782" t="s">
        <v>2248</v>
      </c>
      <c r="Z3640" s="782" t="s">
        <v>2622</v>
      </c>
      <c r="AA3640" s="781">
        <f>$S$1*P!AA3640</f>
        <v>5.4495967741935489E-5</v>
      </c>
      <c r="AB3640" s="780"/>
      <c r="AC3640" s="780"/>
      <c r="AD3640" s="780"/>
      <c r="AE3640" s="780"/>
      <c r="AF3640" s="780"/>
    </row>
    <row r="3641" spans="19:32" x14ac:dyDescent="0.35">
      <c r="S3641" s="861">
        <v>3637</v>
      </c>
      <c r="T3641" s="861" t="s">
        <v>4284</v>
      </c>
      <c r="U3641" s="861" t="s">
        <v>2495</v>
      </c>
      <c r="V3641" s="862">
        <f>$S$1*P!V3641</f>
        <v>4.1301999999999994</v>
      </c>
      <c r="W3641" s="780"/>
      <c r="X3641" s="782">
        <v>3637</v>
      </c>
      <c r="Y3641" s="782" t="s">
        <v>2248</v>
      </c>
      <c r="Z3641" s="782" t="s">
        <v>4559</v>
      </c>
      <c r="AA3641" s="781">
        <f>$S$1*P!AA3641</f>
        <v>2.9167338709677422E-2</v>
      </c>
      <c r="AB3641" s="780"/>
      <c r="AC3641" s="780"/>
      <c r="AD3641" s="780"/>
      <c r="AE3641" s="780"/>
      <c r="AF3641" s="780"/>
    </row>
    <row r="3642" spans="19:32" x14ac:dyDescent="0.35">
      <c r="S3642" s="782">
        <v>3638</v>
      </c>
      <c r="T3642" s="782" t="s">
        <v>4284</v>
      </c>
      <c r="U3642" s="782" t="s">
        <v>2495</v>
      </c>
      <c r="V3642" s="797">
        <f>$S$1*P!V3642</f>
        <v>3.1497983870967744E-6</v>
      </c>
      <c r="W3642" s="780"/>
      <c r="X3642" s="881">
        <v>3638</v>
      </c>
      <c r="Y3642" s="881" t="s">
        <v>2248</v>
      </c>
      <c r="Z3642" s="881" t="s">
        <v>4558</v>
      </c>
      <c r="AA3642" s="882">
        <f>$S$1*P!AA3642</f>
        <v>8.5342741935483871E-3</v>
      </c>
      <c r="AB3642" s="780"/>
      <c r="AC3642" s="780"/>
      <c r="AD3642" s="780"/>
      <c r="AE3642" s="780"/>
      <c r="AF3642" s="780"/>
    </row>
    <row r="3643" spans="19:32" x14ac:dyDescent="0.35">
      <c r="S3643" s="881">
        <v>3639</v>
      </c>
      <c r="T3643" s="881" t="s">
        <v>4284</v>
      </c>
      <c r="U3643" s="881" t="s">
        <v>2495</v>
      </c>
      <c r="V3643" s="883">
        <f>$S$1*P!V3643</f>
        <v>0</v>
      </c>
      <c r="W3643" s="780"/>
      <c r="X3643" s="782">
        <v>3639</v>
      </c>
      <c r="Y3643" s="782" t="s">
        <v>2248</v>
      </c>
      <c r="Z3643" s="782" t="s">
        <v>4557</v>
      </c>
      <c r="AA3643" s="781">
        <f>$S$1*P!AA3643</f>
        <v>1.7411290322580646E-3</v>
      </c>
      <c r="AB3643" s="780"/>
      <c r="AC3643" s="780"/>
      <c r="AD3643" s="780"/>
      <c r="AE3643" s="780"/>
      <c r="AF3643" s="780"/>
    </row>
    <row r="3644" spans="19:32" x14ac:dyDescent="0.35">
      <c r="S3644" s="861">
        <v>3640</v>
      </c>
      <c r="T3644" s="861" t="s">
        <v>4284</v>
      </c>
      <c r="U3644" s="861" t="s">
        <v>4119</v>
      </c>
      <c r="V3644" s="862">
        <f>$S$1*P!V3644</f>
        <v>3.2099999999999995</v>
      </c>
      <c r="W3644" s="780"/>
      <c r="X3644" s="881">
        <v>3640</v>
      </c>
      <c r="Y3644" s="881" t="s">
        <v>2248</v>
      </c>
      <c r="Z3644" s="881" t="s">
        <v>4556</v>
      </c>
      <c r="AA3644" s="882">
        <f>$S$1*P!AA3644</f>
        <v>2.7830645161290328E-3</v>
      </c>
      <c r="AB3644" s="780"/>
      <c r="AC3644" s="780"/>
      <c r="AD3644" s="780"/>
      <c r="AE3644" s="780"/>
      <c r="AF3644" s="780"/>
    </row>
    <row r="3645" spans="19:32" x14ac:dyDescent="0.35">
      <c r="S3645" s="782">
        <v>3641</v>
      </c>
      <c r="T3645" s="782" t="s">
        <v>4284</v>
      </c>
      <c r="U3645" s="782" t="s">
        <v>4119</v>
      </c>
      <c r="V3645" s="797">
        <f>$S$1*P!V3645</f>
        <v>4.4899193548387105E-6</v>
      </c>
      <c r="W3645" s="780"/>
      <c r="X3645" s="782">
        <v>3641</v>
      </c>
      <c r="Y3645" s="782" t="s">
        <v>2248</v>
      </c>
      <c r="Z3645" s="782" t="s">
        <v>4555</v>
      </c>
      <c r="AA3645" s="781">
        <f>$S$1*P!AA3645</f>
        <v>4.1471774193548391E-4</v>
      </c>
      <c r="AB3645" s="780"/>
      <c r="AC3645" s="780"/>
      <c r="AD3645" s="780"/>
      <c r="AE3645" s="780"/>
      <c r="AF3645" s="780"/>
    </row>
    <row r="3646" spans="19:32" x14ac:dyDescent="0.35">
      <c r="S3646" s="861">
        <v>3642</v>
      </c>
      <c r="T3646" s="861" t="s">
        <v>4284</v>
      </c>
      <c r="U3646" s="861" t="s">
        <v>4554</v>
      </c>
      <c r="V3646" s="862">
        <f>$S$1*P!V3646</f>
        <v>4.1837</v>
      </c>
      <c r="W3646" s="780"/>
      <c r="X3646" s="881">
        <v>3642</v>
      </c>
      <c r="Y3646" s="881" t="s">
        <v>2248</v>
      </c>
      <c r="Z3646" s="881" t="s">
        <v>4553</v>
      </c>
      <c r="AA3646" s="882">
        <f>$S$1*P!AA3646</f>
        <v>1.5903225806451614E-3</v>
      </c>
      <c r="AB3646" s="780"/>
      <c r="AC3646" s="780"/>
      <c r="AD3646" s="780"/>
      <c r="AE3646" s="780"/>
      <c r="AF3646" s="780"/>
    </row>
    <row r="3647" spans="19:32" x14ac:dyDescent="0.35">
      <c r="S3647" s="782">
        <v>3643</v>
      </c>
      <c r="T3647" s="782" t="s">
        <v>4284</v>
      </c>
      <c r="U3647" s="782" t="s">
        <v>2493</v>
      </c>
      <c r="V3647" s="797">
        <f>$S$1*P!V3647</f>
        <v>2.9921370967741938E-5</v>
      </c>
      <c r="W3647" s="780"/>
      <c r="X3647" s="881">
        <v>3643</v>
      </c>
      <c r="Y3647" s="881" t="s">
        <v>2248</v>
      </c>
      <c r="Z3647" s="881" t="s">
        <v>4552</v>
      </c>
      <c r="AA3647" s="882">
        <f>$S$1*P!AA3647</f>
        <v>9.0483870967741943E-3</v>
      </c>
      <c r="AB3647" s="780"/>
      <c r="AC3647" s="780"/>
      <c r="AD3647" s="780"/>
      <c r="AE3647" s="780"/>
      <c r="AF3647" s="780"/>
    </row>
    <row r="3648" spans="19:32" x14ac:dyDescent="0.35">
      <c r="S3648" s="881">
        <v>3644</v>
      </c>
      <c r="T3648" s="881" t="s">
        <v>4284</v>
      </c>
      <c r="U3648" s="881" t="s">
        <v>2493</v>
      </c>
      <c r="V3648" s="883">
        <f>$S$1*P!V3648</f>
        <v>0.20424</v>
      </c>
      <c r="W3648" s="780"/>
      <c r="X3648" s="881">
        <v>3644</v>
      </c>
      <c r="Y3648" s="881" t="s">
        <v>2248</v>
      </c>
      <c r="Z3648" s="881" t="s">
        <v>3271</v>
      </c>
      <c r="AA3648" s="882">
        <f>$S$1*P!AA3648</f>
        <v>5.5866935483870972E-3</v>
      </c>
      <c r="AB3648" s="780"/>
      <c r="AC3648" s="780"/>
      <c r="AD3648" s="780"/>
      <c r="AE3648" s="780"/>
      <c r="AF3648" s="780"/>
    </row>
    <row r="3649" spans="19:32" x14ac:dyDescent="0.35">
      <c r="S3649" s="782">
        <v>3645</v>
      </c>
      <c r="T3649" s="782" t="s">
        <v>4284</v>
      </c>
      <c r="U3649" s="782" t="s">
        <v>2492</v>
      </c>
      <c r="V3649" s="797">
        <f>$S$1*P!V3649</f>
        <v>9.7681451612903242E-4</v>
      </c>
      <c r="W3649" s="780"/>
      <c r="X3649" s="881">
        <v>3645</v>
      </c>
      <c r="Y3649" s="881" t="s">
        <v>2248</v>
      </c>
      <c r="Z3649" s="881" t="s">
        <v>4551</v>
      </c>
      <c r="AA3649" s="882">
        <f>$S$1*P!AA3649</f>
        <v>1.8542338709677422E-4</v>
      </c>
      <c r="AB3649" s="780"/>
      <c r="AC3649" s="780"/>
      <c r="AD3649" s="780"/>
      <c r="AE3649" s="780"/>
      <c r="AF3649" s="780"/>
    </row>
    <row r="3650" spans="19:32" x14ac:dyDescent="0.35">
      <c r="S3650" s="881">
        <v>3646</v>
      </c>
      <c r="T3650" s="881" t="s">
        <v>4284</v>
      </c>
      <c r="U3650" s="881" t="s">
        <v>2492</v>
      </c>
      <c r="V3650" s="883">
        <f>$S$1*P!V3650</f>
        <v>2.5207999999999999</v>
      </c>
      <c r="W3650" s="780"/>
      <c r="X3650" s="782">
        <v>3646</v>
      </c>
      <c r="Y3650" s="782" t="s">
        <v>2248</v>
      </c>
      <c r="Z3650" s="782" t="s">
        <v>4550</v>
      </c>
      <c r="AA3650" s="781">
        <f>$S$1*P!AA3650</f>
        <v>0.72661290322580652</v>
      </c>
      <c r="AB3650" s="780"/>
      <c r="AC3650" s="780"/>
      <c r="AD3650" s="780"/>
      <c r="AE3650" s="780"/>
      <c r="AF3650" s="780"/>
    </row>
    <row r="3651" spans="19:32" x14ac:dyDescent="0.35">
      <c r="S3651" s="881">
        <v>3647</v>
      </c>
      <c r="T3651" s="881" t="s">
        <v>4284</v>
      </c>
      <c r="U3651" s="881" t="s">
        <v>2490</v>
      </c>
      <c r="V3651" s="883">
        <f>$S$1*P!V3651</f>
        <v>0</v>
      </c>
      <c r="W3651" s="780"/>
      <c r="X3651" s="881">
        <v>3647</v>
      </c>
      <c r="Y3651" s="881" t="s">
        <v>2248</v>
      </c>
      <c r="Z3651" s="881" t="s">
        <v>4549</v>
      </c>
      <c r="AA3651" s="882">
        <f>$S$1*P!AA3651</f>
        <v>0.10110887096774195</v>
      </c>
      <c r="AB3651" s="780"/>
      <c r="AC3651" s="780"/>
      <c r="AD3651" s="780"/>
      <c r="AE3651" s="780"/>
      <c r="AF3651" s="780"/>
    </row>
    <row r="3652" spans="19:32" x14ac:dyDescent="0.35">
      <c r="S3652" s="881">
        <v>3648</v>
      </c>
      <c r="T3652" s="881" t="s">
        <v>4284</v>
      </c>
      <c r="U3652" s="881" t="s">
        <v>2488</v>
      </c>
      <c r="V3652" s="883">
        <f>$S$1*P!V3652</f>
        <v>1.1683999999999999</v>
      </c>
      <c r="W3652" s="780"/>
      <c r="X3652" s="782">
        <v>3648</v>
      </c>
      <c r="Y3652" s="782" t="s">
        <v>2248</v>
      </c>
      <c r="Z3652" s="782" t="s">
        <v>4548</v>
      </c>
      <c r="AA3652" s="781">
        <f>$S$1*P!AA3652</f>
        <v>2.2620967741935484E-2</v>
      </c>
      <c r="AB3652" s="780"/>
      <c r="AC3652" s="780"/>
      <c r="AD3652" s="780"/>
      <c r="AE3652" s="780"/>
      <c r="AF3652" s="780"/>
    </row>
    <row r="3653" spans="19:32" x14ac:dyDescent="0.35">
      <c r="S3653" s="782">
        <v>3649</v>
      </c>
      <c r="T3653" s="782" t="s">
        <v>4284</v>
      </c>
      <c r="U3653" s="782" t="s">
        <v>4117</v>
      </c>
      <c r="V3653" s="797">
        <f>$S$1*P!V3653</f>
        <v>1.5389112903225808E-2</v>
      </c>
      <c r="W3653" s="780"/>
      <c r="X3653" s="881">
        <v>3649</v>
      </c>
      <c r="Y3653" s="881" t="s">
        <v>2248</v>
      </c>
      <c r="Z3653" s="881" t="s">
        <v>3266</v>
      </c>
      <c r="AA3653" s="882">
        <f>$S$1*P!AA3653</f>
        <v>1.5423387096774196E-3</v>
      </c>
      <c r="AB3653" s="780"/>
      <c r="AC3653" s="780"/>
      <c r="AD3653" s="780"/>
      <c r="AE3653" s="780"/>
      <c r="AF3653" s="780"/>
    </row>
    <row r="3654" spans="19:32" x14ac:dyDescent="0.35">
      <c r="S3654" s="782">
        <v>3650</v>
      </c>
      <c r="T3654" s="782" t="s">
        <v>4284</v>
      </c>
      <c r="U3654" s="782" t="s">
        <v>4116</v>
      </c>
      <c r="V3654" s="797">
        <f>$S$1*P!V3654</f>
        <v>0.31395161290322582</v>
      </c>
      <c r="W3654" s="780"/>
      <c r="X3654" s="782">
        <v>3650</v>
      </c>
      <c r="Y3654" s="782" t="s">
        <v>2248</v>
      </c>
      <c r="Z3654" s="782" t="s">
        <v>4547</v>
      </c>
      <c r="AA3654" s="781">
        <f>$S$1*P!AA3654</f>
        <v>3.5645161290322587E-4</v>
      </c>
      <c r="AB3654" s="780"/>
      <c r="AC3654" s="780"/>
      <c r="AD3654" s="780"/>
      <c r="AE3654" s="780"/>
      <c r="AF3654" s="780"/>
    </row>
    <row r="3655" spans="19:32" x14ac:dyDescent="0.35">
      <c r="S3655" s="782">
        <v>3651</v>
      </c>
      <c r="T3655" s="782" t="s">
        <v>4284</v>
      </c>
      <c r="U3655" s="782" t="s">
        <v>4114</v>
      </c>
      <c r="V3655" s="797">
        <f>$S$1*P!V3655</f>
        <v>1.0419354838709678E-4</v>
      </c>
      <c r="W3655" s="780"/>
      <c r="X3655" s="881">
        <v>3651</v>
      </c>
      <c r="Y3655" s="881" t="s">
        <v>2248</v>
      </c>
      <c r="Z3655" s="881" t="s">
        <v>4546</v>
      </c>
      <c r="AA3655" s="882">
        <f>$S$1*P!AA3655</f>
        <v>2.1627016129032259E-2</v>
      </c>
      <c r="AB3655" s="780"/>
      <c r="AC3655" s="780"/>
      <c r="AD3655" s="780"/>
      <c r="AE3655" s="780"/>
      <c r="AF3655" s="780"/>
    </row>
    <row r="3656" spans="19:32" x14ac:dyDescent="0.35">
      <c r="S3656" s="782">
        <v>3652</v>
      </c>
      <c r="T3656" s="782" t="s">
        <v>4284</v>
      </c>
      <c r="U3656" s="782" t="s">
        <v>4113</v>
      </c>
      <c r="V3656" s="797">
        <f>$S$1*P!V3656</f>
        <v>5.2782258064516129E-6</v>
      </c>
      <c r="W3656" s="780"/>
      <c r="X3656" s="881">
        <v>3652</v>
      </c>
      <c r="Y3656" s="881" t="s">
        <v>2248</v>
      </c>
      <c r="Z3656" s="881" t="s">
        <v>4545</v>
      </c>
      <c r="AA3656" s="882">
        <f>$S$1*P!AA3656</f>
        <v>0.46955645161290327</v>
      </c>
      <c r="AB3656" s="780"/>
      <c r="AC3656" s="780"/>
      <c r="AD3656" s="780"/>
      <c r="AE3656" s="780"/>
      <c r="AF3656" s="780"/>
    </row>
    <row r="3657" spans="19:32" x14ac:dyDescent="0.35">
      <c r="S3657" s="782">
        <v>3653</v>
      </c>
      <c r="T3657" s="782" t="s">
        <v>4284</v>
      </c>
      <c r="U3657" s="782" t="s">
        <v>2487</v>
      </c>
      <c r="V3657" s="797">
        <f>$S$1*P!V3657</f>
        <v>1.1858870967741937E-3</v>
      </c>
      <c r="W3657" s="780"/>
      <c r="X3657" s="881">
        <v>3653</v>
      </c>
      <c r="Y3657" s="881" t="s">
        <v>2248</v>
      </c>
      <c r="Z3657" s="881" t="s">
        <v>4544</v>
      </c>
      <c r="AA3657" s="882">
        <f>$S$1*P!AA3657</f>
        <v>1.2201612903225809E-3</v>
      </c>
      <c r="AB3657" s="780"/>
      <c r="AC3657" s="780"/>
      <c r="AD3657" s="780"/>
      <c r="AE3657" s="780"/>
      <c r="AF3657" s="780"/>
    </row>
    <row r="3658" spans="19:32" x14ac:dyDescent="0.35">
      <c r="S3658" s="881">
        <v>3654</v>
      </c>
      <c r="T3658" s="881" t="s">
        <v>4284</v>
      </c>
      <c r="U3658" s="881" t="s">
        <v>2487</v>
      </c>
      <c r="V3658" s="883">
        <f>$S$1*P!V3658</f>
        <v>0</v>
      </c>
      <c r="W3658" s="780"/>
      <c r="X3658" s="881">
        <v>3654</v>
      </c>
      <c r="Y3658" s="881" t="s">
        <v>2248</v>
      </c>
      <c r="Z3658" s="881" t="s">
        <v>4543</v>
      </c>
      <c r="AA3658" s="882">
        <f>$S$1*P!AA3658</f>
        <v>4.4899193548387104E-2</v>
      </c>
      <c r="AB3658" s="780"/>
      <c r="AC3658" s="780"/>
      <c r="AD3658" s="780"/>
      <c r="AE3658" s="780"/>
      <c r="AF3658" s="780"/>
    </row>
    <row r="3659" spans="19:32" x14ac:dyDescent="0.35">
      <c r="S3659" s="782">
        <v>3655</v>
      </c>
      <c r="T3659" s="782" t="s">
        <v>4284</v>
      </c>
      <c r="U3659" s="782" t="s">
        <v>4111</v>
      </c>
      <c r="V3659" s="797">
        <f>$S$1*P!V3659</f>
        <v>5.1068548387096782E-3</v>
      </c>
      <c r="W3659" s="780"/>
      <c r="X3659" s="782">
        <v>3655</v>
      </c>
      <c r="Y3659" s="782" t="s">
        <v>2248</v>
      </c>
      <c r="Z3659" s="782" t="s">
        <v>3261</v>
      </c>
      <c r="AA3659" s="781">
        <f>$S$1*P!AA3659</f>
        <v>3.495967741935484E-3</v>
      </c>
      <c r="AB3659" s="780"/>
      <c r="AC3659" s="780"/>
      <c r="AD3659" s="780"/>
      <c r="AE3659" s="780"/>
      <c r="AF3659" s="780"/>
    </row>
    <row r="3660" spans="19:32" x14ac:dyDescent="0.35">
      <c r="S3660" s="782">
        <v>3656</v>
      </c>
      <c r="T3660" s="782" t="s">
        <v>4284</v>
      </c>
      <c r="U3660" s="782" t="s">
        <v>4109</v>
      </c>
      <c r="V3660" s="797">
        <f>$S$1*P!V3660</f>
        <v>1.6965725806451613E-5</v>
      </c>
      <c r="W3660" s="780"/>
      <c r="X3660" s="881">
        <v>3656</v>
      </c>
      <c r="Y3660" s="881" t="s">
        <v>2248</v>
      </c>
      <c r="Z3660" s="881" t="s">
        <v>3260</v>
      </c>
      <c r="AA3660" s="882">
        <f>$S$1*P!AA3660</f>
        <v>1.9947580645161292E-2</v>
      </c>
      <c r="AB3660" s="780"/>
      <c r="AC3660" s="780"/>
      <c r="AD3660" s="780"/>
      <c r="AE3660" s="780"/>
      <c r="AF3660" s="780"/>
    </row>
    <row r="3661" spans="19:32" x14ac:dyDescent="0.35">
      <c r="S3661" s="881">
        <v>3657</v>
      </c>
      <c r="T3661" s="881" t="s">
        <v>4284</v>
      </c>
      <c r="U3661" s="881" t="s">
        <v>2485</v>
      </c>
      <c r="V3661" s="883">
        <f>$S$1*P!V3661</f>
        <v>0.30820000000000003</v>
      </c>
      <c r="W3661" s="780"/>
      <c r="X3661" s="782">
        <v>3657</v>
      </c>
      <c r="Y3661" s="782" t="s">
        <v>2248</v>
      </c>
      <c r="Z3661" s="782" t="s">
        <v>4542</v>
      </c>
      <c r="AA3661" s="781">
        <f>$S$1*P!AA3661</f>
        <v>1.0110887096774194E-2</v>
      </c>
      <c r="AB3661" s="780"/>
      <c r="AC3661" s="780"/>
      <c r="AD3661" s="780"/>
      <c r="AE3661" s="780"/>
      <c r="AF3661" s="780"/>
    </row>
    <row r="3662" spans="19:32" x14ac:dyDescent="0.35">
      <c r="S3662" s="782">
        <v>3658</v>
      </c>
      <c r="T3662" s="782" t="s">
        <v>4284</v>
      </c>
      <c r="U3662" s="782" t="s">
        <v>4108</v>
      </c>
      <c r="V3662" s="797">
        <f>$S$1*P!V3662</f>
        <v>3.3143145161290322E-6</v>
      </c>
      <c r="W3662" s="780"/>
      <c r="X3662" s="881">
        <v>3658</v>
      </c>
      <c r="Y3662" s="881" t="s">
        <v>2248</v>
      </c>
      <c r="Z3662" s="881" t="s">
        <v>4541</v>
      </c>
      <c r="AA3662" s="882">
        <f>$S$1*P!AA3662</f>
        <v>5.8951612903225814E-3</v>
      </c>
      <c r="AB3662" s="780"/>
      <c r="AC3662" s="780"/>
      <c r="AD3662" s="780"/>
      <c r="AE3662" s="780"/>
      <c r="AF3662" s="780"/>
    </row>
    <row r="3663" spans="19:32" x14ac:dyDescent="0.35">
      <c r="S3663" s="782">
        <v>3659</v>
      </c>
      <c r="T3663" s="782" t="s">
        <v>4284</v>
      </c>
      <c r="U3663" s="782" t="s">
        <v>2484</v>
      </c>
      <c r="V3663" s="797">
        <f>$S$1*P!V3663</f>
        <v>3.1086693548387102E-3</v>
      </c>
      <c r="W3663" s="780"/>
      <c r="X3663" s="881">
        <v>3659</v>
      </c>
      <c r="Y3663" s="881" t="s">
        <v>2248</v>
      </c>
      <c r="Z3663" s="881" t="s">
        <v>2619</v>
      </c>
      <c r="AA3663" s="890">
        <f>$S$1*P!AA3663</f>
        <v>0.15088000000000001</v>
      </c>
      <c r="AB3663" s="780"/>
      <c r="AC3663" s="780"/>
      <c r="AD3663" s="780"/>
      <c r="AE3663" s="780"/>
      <c r="AF3663" s="780"/>
    </row>
    <row r="3664" spans="19:32" x14ac:dyDescent="0.35">
      <c r="S3664" s="881">
        <v>3660</v>
      </c>
      <c r="T3664" s="881" t="s">
        <v>4284</v>
      </c>
      <c r="U3664" s="881" t="s">
        <v>2484</v>
      </c>
      <c r="V3664" s="883">
        <f>$S$1*P!V3664</f>
        <v>0.13616</v>
      </c>
      <c r="W3664" s="780"/>
      <c r="X3664" s="782">
        <v>3660</v>
      </c>
      <c r="Y3664" s="782" t="s">
        <v>2248</v>
      </c>
      <c r="Z3664" s="782" t="s">
        <v>2619</v>
      </c>
      <c r="AA3664" s="781">
        <f>$S$1*P!AA3664</f>
        <v>3.7701612903225809E-2</v>
      </c>
      <c r="AB3664" s="780"/>
      <c r="AC3664" s="780"/>
      <c r="AD3664" s="780"/>
      <c r="AE3664" s="780"/>
      <c r="AF3664" s="780"/>
    </row>
    <row r="3665" spans="19:32" x14ac:dyDescent="0.35">
      <c r="S3665" s="861">
        <v>3661</v>
      </c>
      <c r="T3665" s="861" t="s">
        <v>4284</v>
      </c>
      <c r="U3665" s="861" t="s">
        <v>4105</v>
      </c>
      <c r="V3665" s="862">
        <f>$S$1*P!V3665</f>
        <v>9.1484999999999985</v>
      </c>
      <c r="W3665" s="780"/>
      <c r="X3665" s="782">
        <v>3661</v>
      </c>
      <c r="Y3665" s="782" t="s">
        <v>2248</v>
      </c>
      <c r="Z3665" s="782" t="s">
        <v>3259</v>
      </c>
      <c r="AA3665" s="781">
        <f>$S$1*P!AA3665</f>
        <v>1.7205645161290323E-2</v>
      </c>
      <c r="AB3665" s="780"/>
      <c r="AC3665" s="780"/>
      <c r="AD3665" s="780"/>
      <c r="AE3665" s="780"/>
      <c r="AF3665" s="780"/>
    </row>
    <row r="3666" spans="19:32" x14ac:dyDescent="0.35">
      <c r="S3666" s="782">
        <v>3662</v>
      </c>
      <c r="T3666" s="782" t="s">
        <v>4284</v>
      </c>
      <c r="U3666" s="782" t="s">
        <v>4105</v>
      </c>
      <c r="V3666" s="797">
        <f>$S$1*P!V3666</f>
        <v>8.8770161290322587E-7</v>
      </c>
      <c r="W3666" s="780"/>
      <c r="X3666" s="881">
        <v>3662</v>
      </c>
      <c r="Y3666" s="881" t="s">
        <v>2248</v>
      </c>
      <c r="Z3666" s="881" t="s">
        <v>2738</v>
      </c>
      <c r="AA3666" s="890">
        <f>$S$1*P!AA3666</f>
        <v>0.90435999999999994</v>
      </c>
      <c r="AB3666" s="780"/>
      <c r="AC3666" s="780"/>
      <c r="AD3666" s="780"/>
      <c r="AE3666" s="780"/>
      <c r="AF3666" s="780"/>
    </row>
    <row r="3667" spans="19:32" x14ac:dyDescent="0.35">
      <c r="S3667" s="782">
        <v>3663</v>
      </c>
      <c r="T3667" s="782" t="s">
        <v>4284</v>
      </c>
      <c r="U3667" s="782" t="s">
        <v>4104</v>
      </c>
      <c r="V3667" s="797">
        <f>$S$1*P!V3667</f>
        <v>3.0538306451612903E-3</v>
      </c>
      <c r="W3667" s="780"/>
      <c r="X3667" s="881">
        <v>3663</v>
      </c>
      <c r="Y3667" s="881" t="s">
        <v>2248</v>
      </c>
      <c r="Z3667" s="881" t="s">
        <v>4540</v>
      </c>
      <c r="AA3667" s="882">
        <f>$S$1*P!AA3667</f>
        <v>8.0544354838709684E-2</v>
      </c>
      <c r="AB3667" s="780"/>
      <c r="AC3667" s="780"/>
      <c r="AD3667" s="780"/>
      <c r="AE3667" s="780"/>
      <c r="AF3667" s="780"/>
    </row>
    <row r="3668" spans="19:32" x14ac:dyDescent="0.35">
      <c r="S3668" s="782">
        <v>3664</v>
      </c>
      <c r="T3668" s="782" t="s">
        <v>4284</v>
      </c>
      <c r="U3668" s="782" t="s">
        <v>4103</v>
      </c>
      <c r="V3668" s="797">
        <f>$S$1*P!V3668</f>
        <v>0.17822580645161293</v>
      </c>
      <c r="W3668" s="780"/>
      <c r="X3668" s="881">
        <v>3664</v>
      </c>
      <c r="Y3668" s="881" t="s">
        <v>2248</v>
      </c>
      <c r="Z3668" s="881" t="s">
        <v>2616</v>
      </c>
      <c r="AA3668" s="890">
        <f>$S$1*P!AA3668</f>
        <v>0.14076</v>
      </c>
      <c r="AB3668" s="780"/>
      <c r="AC3668" s="780"/>
      <c r="AD3668" s="780"/>
      <c r="AE3668" s="780"/>
      <c r="AF3668" s="780"/>
    </row>
    <row r="3669" spans="19:32" x14ac:dyDescent="0.35">
      <c r="S3669" s="782">
        <v>3665</v>
      </c>
      <c r="T3669" s="782" t="s">
        <v>4284</v>
      </c>
      <c r="U3669" s="782" t="s">
        <v>4102</v>
      </c>
      <c r="V3669" s="797">
        <f>$S$1*P!V3669</f>
        <v>2.0187500000000001E-2</v>
      </c>
      <c r="W3669" s="780"/>
      <c r="X3669" s="782">
        <v>3665</v>
      </c>
      <c r="Y3669" s="782" t="s">
        <v>2248</v>
      </c>
      <c r="Z3669" s="782" t="s">
        <v>2616</v>
      </c>
      <c r="AA3669" s="781">
        <f>$S$1*P!AA3669</f>
        <v>2.0838709677419357E-4</v>
      </c>
      <c r="AB3669" s="780"/>
      <c r="AC3669" s="780"/>
      <c r="AD3669" s="780"/>
      <c r="AE3669" s="780"/>
      <c r="AF3669" s="780"/>
    </row>
    <row r="3670" spans="19:32" x14ac:dyDescent="0.35">
      <c r="S3670" s="782">
        <v>3666</v>
      </c>
      <c r="T3670" s="782" t="s">
        <v>4284</v>
      </c>
      <c r="U3670" s="782" t="s">
        <v>4101</v>
      </c>
      <c r="V3670" s="797">
        <f>$S$1*P!V3670</f>
        <v>9.3911290322580651E-2</v>
      </c>
      <c r="W3670" s="780"/>
      <c r="X3670" s="881">
        <v>3666</v>
      </c>
      <c r="Y3670" s="881" t="s">
        <v>2248</v>
      </c>
      <c r="Z3670" s="881" t="s">
        <v>2614</v>
      </c>
      <c r="AA3670" s="890">
        <f>$S$1*P!AA3670</f>
        <v>6.9092000000000001E-2</v>
      </c>
      <c r="AB3670" s="780"/>
      <c r="AC3670" s="780"/>
      <c r="AD3670" s="780"/>
      <c r="AE3670" s="780"/>
      <c r="AF3670" s="780"/>
    </row>
    <row r="3671" spans="19:32" x14ac:dyDescent="0.35">
      <c r="S3671" s="782">
        <v>3667</v>
      </c>
      <c r="T3671" s="782" t="s">
        <v>4284</v>
      </c>
      <c r="U3671" s="782" t="s">
        <v>2482</v>
      </c>
      <c r="V3671" s="797">
        <f>$S$1*P!V3671</f>
        <v>0.18508064516129033</v>
      </c>
      <c r="W3671" s="780"/>
      <c r="X3671" s="782">
        <v>3667</v>
      </c>
      <c r="Y3671" s="782" t="s">
        <v>2248</v>
      </c>
      <c r="Z3671" s="782" t="s">
        <v>2614</v>
      </c>
      <c r="AA3671" s="781">
        <f>$S$1*P!AA3671</f>
        <v>9.2197580645161301E-3</v>
      </c>
      <c r="AB3671" s="780"/>
      <c r="AC3671" s="780"/>
      <c r="AD3671" s="780"/>
      <c r="AE3671" s="780"/>
      <c r="AF3671" s="780"/>
    </row>
    <row r="3672" spans="19:32" x14ac:dyDescent="0.35">
      <c r="S3672" s="881">
        <v>3668</v>
      </c>
      <c r="T3672" s="881" t="s">
        <v>4284</v>
      </c>
      <c r="U3672" s="881" t="s">
        <v>2482</v>
      </c>
      <c r="V3672" s="883">
        <f>$S$1*P!V3672</f>
        <v>3.0820000000000003</v>
      </c>
      <c r="W3672" s="780"/>
      <c r="X3672" s="881">
        <v>3668</v>
      </c>
      <c r="Y3672" s="881" t="s">
        <v>2248</v>
      </c>
      <c r="Z3672" s="881" t="s">
        <v>4539</v>
      </c>
      <c r="AA3672" s="882">
        <f>$S$1*P!AA3672</f>
        <v>1.0659274193548387E-2</v>
      </c>
      <c r="AB3672" s="780"/>
      <c r="AC3672" s="780"/>
      <c r="AD3672" s="780"/>
      <c r="AE3672" s="780"/>
      <c r="AF3672" s="780"/>
    </row>
    <row r="3673" spans="19:32" x14ac:dyDescent="0.35">
      <c r="S3673" s="881">
        <v>3669</v>
      </c>
      <c r="T3673" s="881" t="s">
        <v>4284</v>
      </c>
      <c r="U3673" s="881" t="s">
        <v>2481</v>
      </c>
      <c r="V3673" s="883">
        <f>$S$1*P!V3673</f>
        <v>70.38000000000001</v>
      </c>
      <c r="W3673" s="780"/>
      <c r="X3673" s="881">
        <v>3669</v>
      </c>
      <c r="Y3673" s="881" t="s">
        <v>2248</v>
      </c>
      <c r="Z3673" s="881" t="s">
        <v>2735</v>
      </c>
      <c r="AA3673" s="890">
        <f>$S$1*P!AA3673</f>
        <v>0.91539999999999999</v>
      </c>
      <c r="AB3673" s="780"/>
      <c r="AC3673" s="780"/>
      <c r="AD3673" s="780"/>
      <c r="AE3673" s="780"/>
      <c r="AF3673" s="780"/>
    </row>
    <row r="3674" spans="19:32" x14ac:dyDescent="0.35">
      <c r="S3674" s="782">
        <v>3670</v>
      </c>
      <c r="T3674" s="782" t="s">
        <v>4284</v>
      </c>
      <c r="U3674" s="782" t="s">
        <v>4099</v>
      </c>
      <c r="V3674" s="797">
        <f>$S$1*P!V3674</f>
        <v>1.5012096774193548</v>
      </c>
      <c r="W3674" s="780"/>
      <c r="X3674" s="881">
        <v>3670</v>
      </c>
      <c r="Y3674" s="881" t="s">
        <v>2248</v>
      </c>
      <c r="Z3674" s="881" t="s">
        <v>4538</v>
      </c>
      <c r="AA3674" s="882">
        <f>$S$1*P!AA3674</f>
        <v>1.360685483870968E-3</v>
      </c>
      <c r="AB3674" s="780"/>
      <c r="AC3674" s="780"/>
      <c r="AD3674" s="780"/>
      <c r="AE3674" s="780"/>
      <c r="AF3674" s="780"/>
    </row>
    <row r="3675" spans="19:32" x14ac:dyDescent="0.35">
      <c r="S3675" s="782">
        <v>3671</v>
      </c>
      <c r="T3675" s="782" t="s">
        <v>4284</v>
      </c>
      <c r="U3675" s="782" t="s">
        <v>4097</v>
      </c>
      <c r="V3675" s="797">
        <f>$S$1*P!V3675</f>
        <v>5.3125000000000004E-3</v>
      </c>
      <c r="W3675" s="780"/>
      <c r="X3675" s="881">
        <v>3671</v>
      </c>
      <c r="Y3675" s="881" t="s">
        <v>2248</v>
      </c>
      <c r="Z3675" s="881" t="s">
        <v>2733</v>
      </c>
      <c r="AA3675" s="890">
        <f>$S$1*P!AA3675</f>
        <v>5.6120000000000001</v>
      </c>
      <c r="AB3675" s="780"/>
      <c r="AC3675" s="780"/>
      <c r="AD3675" s="780"/>
      <c r="AE3675" s="780"/>
      <c r="AF3675" s="780"/>
    </row>
    <row r="3676" spans="19:32" x14ac:dyDescent="0.35">
      <c r="S3676" s="782">
        <v>3672</v>
      </c>
      <c r="T3676" s="782" t="s">
        <v>4284</v>
      </c>
      <c r="U3676" s="782" t="s">
        <v>4096</v>
      </c>
      <c r="V3676" s="797">
        <f>$S$1*P!V3676</f>
        <v>2.5397177419354839E-2</v>
      </c>
      <c r="W3676" s="780"/>
      <c r="X3676" s="881">
        <v>3672</v>
      </c>
      <c r="Y3676" s="881" t="s">
        <v>2248</v>
      </c>
      <c r="Z3676" s="881" t="s">
        <v>2732</v>
      </c>
      <c r="AA3676" s="890">
        <f>$S$1*P!AA3676</f>
        <v>0.22631999999999999</v>
      </c>
      <c r="AB3676" s="780"/>
      <c r="AC3676" s="780"/>
      <c r="AD3676" s="780"/>
      <c r="AE3676" s="780"/>
      <c r="AF3676" s="780"/>
    </row>
    <row r="3677" spans="19:32" x14ac:dyDescent="0.35">
      <c r="S3677" s="782">
        <v>3673</v>
      </c>
      <c r="T3677" s="782" t="s">
        <v>4284</v>
      </c>
      <c r="U3677" s="782" t="s">
        <v>4094</v>
      </c>
      <c r="V3677" s="797">
        <f>$S$1*P!V3677</f>
        <v>9.8366935483870974E-2</v>
      </c>
      <c r="W3677" s="780"/>
      <c r="X3677" s="881">
        <v>3673</v>
      </c>
      <c r="Y3677" s="881" t="s">
        <v>2248</v>
      </c>
      <c r="Z3677" s="881" t="s">
        <v>2730</v>
      </c>
      <c r="AA3677" s="890">
        <f>$S$1*P!AA3677</f>
        <v>0.71760000000000002</v>
      </c>
      <c r="AB3677" s="780"/>
      <c r="AC3677" s="780"/>
      <c r="AD3677" s="780"/>
      <c r="AE3677" s="780"/>
      <c r="AF3677" s="780"/>
    </row>
    <row r="3678" spans="19:32" x14ac:dyDescent="0.35">
      <c r="S3678" s="782">
        <v>3674</v>
      </c>
      <c r="T3678" s="782" t="s">
        <v>4284</v>
      </c>
      <c r="U3678" s="782" t="s">
        <v>4093</v>
      </c>
      <c r="V3678" s="797">
        <f>$S$1*P!V3678</f>
        <v>7.8830645161290323E-3</v>
      </c>
      <c r="W3678" s="780"/>
      <c r="X3678" s="881">
        <v>3674</v>
      </c>
      <c r="Y3678" s="881" t="s">
        <v>2248</v>
      </c>
      <c r="Z3678" s="881" t="s">
        <v>4537</v>
      </c>
      <c r="AA3678" s="882">
        <f>$S$1*P!AA3678</f>
        <v>1.1618951612903228E-5</v>
      </c>
      <c r="AB3678" s="780"/>
      <c r="AC3678" s="780"/>
      <c r="AD3678" s="780"/>
      <c r="AE3678" s="780"/>
      <c r="AF3678" s="780"/>
    </row>
    <row r="3679" spans="19:32" x14ac:dyDescent="0.35">
      <c r="S3679" s="782">
        <v>3675</v>
      </c>
      <c r="T3679" s="782" t="s">
        <v>4284</v>
      </c>
      <c r="U3679" s="782" t="s">
        <v>4092</v>
      </c>
      <c r="V3679" s="797">
        <f>$S$1*P!V3679</f>
        <v>4.6955645161290329E-3</v>
      </c>
      <c r="W3679" s="780"/>
      <c r="X3679" s="881">
        <v>3675</v>
      </c>
      <c r="Y3679" s="881" t="s">
        <v>2248</v>
      </c>
      <c r="Z3679" s="881" t="s">
        <v>2729</v>
      </c>
      <c r="AA3679" s="890">
        <f>$S$1*P!AA3679</f>
        <v>0.29716000000000004</v>
      </c>
      <c r="AB3679" s="780"/>
      <c r="AC3679" s="780"/>
      <c r="AD3679" s="780"/>
      <c r="AE3679" s="780"/>
      <c r="AF3679" s="780"/>
    </row>
    <row r="3680" spans="19:32" x14ac:dyDescent="0.35">
      <c r="S3680" s="782">
        <v>3676</v>
      </c>
      <c r="T3680" s="782" t="s">
        <v>4284</v>
      </c>
      <c r="U3680" s="782" t="s">
        <v>2479</v>
      </c>
      <c r="V3680" s="797">
        <f>$S$1*P!V3680</f>
        <v>8.7399193548387096E-5</v>
      </c>
      <c r="W3680" s="780"/>
      <c r="X3680" s="881">
        <v>3676</v>
      </c>
      <c r="Y3680" s="881" t="s">
        <v>2248</v>
      </c>
      <c r="Z3680" s="881" t="s">
        <v>2727</v>
      </c>
      <c r="AA3680" s="890">
        <f>$S$1*P!AA3680</f>
        <v>62.284000000000006</v>
      </c>
      <c r="AB3680" s="780"/>
      <c r="AC3680" s="780"/>
      <c r="AD3680" s="780"/>
      <c r="AE3680" s="780"/>
      <c r="AF3680" s="780"/>
    </row>
    <row r="3681" spans="19:32" x14ac:dyDescent="0.35">
      <c r="S3681" s="881">
        <v>3677</v>
      </c>
      <c r="T3681" s="881" t="s">
        <v>4284</v>
      </c>
      <c r="U3681" s="881" t="s">
        <v>2479</v>
      </c>
      <c r="V3681" s="883">
        <f>$S$1*P!V3681</f>
        <v>1.4259999999999999</v>
      </c>
      <c r="W3681" s="780"/>
      <c r="X3681" s="782">
        <v>3677</v>
      </c>
      <c r="Y3681" s="782" t="s">
        <v>2248</v>
      </c>
      <c r="Z3681" s="782" t="s">
        <v>4536</v>
      </c>
      <c r="AA3681" s="781">
        <f>$S$1*P!AA3681</f>
        <v>0.11756048387096775</v>
      </c>
      <c r="AB3681" s="780"/>
      <c r="AC3681" s="780"/>
      <c r="AD3681" s="780"/>
      <c r="AE3681" s="780"/>
      <c r="AF3681" s="780"/>
    </row>
    <row r="3682" spans="19:32" x14ac:dyDescent="0.35">
      <c r="S3682" s="881">
        <v>3678</v>
      </c>
      <c r="T3682" s="881" t="s">
        <v>4284</v>
      </c>
      <c r="U3682" s="881" t="s">
        <v>2477</v>
      </c>
      <c r="V3682" s="883">
        <f>$S$1*P!V3682</f>
        <v>0.2898</v>
      </c>
      <c r="W3682" s="780"/>
      <c r="X3682" s="881">
        <v>3678</v>
      </c>
      <c r="Y3682" s="881" t="s">
        <v>2248</v>
      </c>
      <c r="Z3682" s="881" t="s">
        <v>2726</v>
      </c>
      <c r="AA3682" s="890">
        <f>$S$1*P!AA3682</f>
        <v>0.1656</v>
      </c>
      <c r="AB3682" s="780"/>
      <c r="AC3682" s="780"/>
      <c r="AD3682" s="780"/>
      <c r="AE3682" s="780"/>
      <c r="AF3682" s="780"/>
    </row>
    <row r="3683" spans="19:32" x14ac:dyDescent="0.35">
      <c r="S3683" s="782">
        <v>3679</v>
      </c>
      <c r="T3683" s="782" t="s">
        <v>4284</v>
      </c>
      <c r="U3683" s="782" t="s">
        <v>4089</v>
      </c>
      <c r="V3683" s="797">
        <f>$S$1*P!V3683</f>
        <v>2.6151209677419356E-5</v>
      </c>
      <c r="W3683" s="780"/>
      <c r="X3683" s="881">
        <v>3679</v>
      </c>
      <c r="Y3683" s="881" t="s">
        <v>2248</v>
      </c>
      <c r="Z3683" s="881" t="s">
        <v>2724</v>
      </c>
      <c r="AA3683" s="890">
        <f>$S$1*P!AA3683</f>
        <v>0.97520000000000007</v>
      </c>
      <c r="AB3683" s="780"/>
      <c r="AC3683" s="780"/>
      <c r="AD3683" s="780"/>
      <c r="AE3683" s="780"/>
      <c r="AF3683" s="780"/>
    </row>
    <row r="3684" spans="19:32" x14ac:dyDescent="0.35">
      <c r="S3684" s="881">
        <v>3680</v>
      </c>
      <c r="T3684" s="881" t="s">
        <v>4284</v>
      </c>
      <c r="U3684" s="881" t="s">
        <v>2476</v>
      </c>
      <c r="V3684" s="883">
        <f>$S$1*P!V3684</f>
        <v>186.76</v>
      </c>
      <c r="W3684" s="780"/>
      <c r="X3684" s="881">
        <v>3680</v>
      </c>
      <c r="Y3684" s="881" t="s">
        <v>2248</v>
      </c>
      <c r="Z3684" s="881" t="s">
        <v>2722</v>
      </c>
      <c r="AA3684" s="890">
        <f>$S$1*P!AA3684</f>
        <v>537.28</v>
      </c>
      <c r="AB3684" s="780"/>
      <c r="AC3684" s="780"/>
      <c r="AD3684" s="780"/>
      <c r="AE3684" s="780"/>
      <c r="AF3684" s="780"/>
    </row>
    <row r="3685" spans="19:32" x14ac:dyDescent="0.35">
      <c r="S3685" s="782">
        <v>3681</v>
      </c>
      <c r="T3685" s="782" t="s">
        <v>4284</v>
      </c>
      <c r="U3685" s="782" t="s">
        <v>4087</v>
      </c>
      <c r="V3685" s="797">
        <f>$S$1*P!V3685</f>
        <v>2.2415322580645163E-4</v>
      </c>
      <c r="W3685" s="780"/>
      <c r="X3685" s="881">
        <v>3681</v>
      </c>
      <c r="Y3685" s="881" t="s">
        <v>2248</v>
      </c>
      <c r="Z3685" s="881" t="s">
        <v>4535</v>
      </c>
      <c r="AA3685" s="882">
        <f>$S$1*P!AA3685</f>
        <v>1.3092741935483871</v>
      </c>
      <c r="AB3685" s="780"/>
      <c r="AC3685" s="780"/>
      <c r="AD3685" s="780"/>
      <c r="AE3685" s="780"/>
      <c r="AF3685" s="780"/>
    </row>
    <row r="3686" spans="19:32" x14ac:dyDescent="0.35">
      <c r="S3686" s="782">
        <v>3682</v>
      </c>
      <c r="T3686" s="782" t="s">
        <v>4284</v>
      </c>
      <c r="U3686" s="782" t="s">
        <v>4086</v>
      </c>
      <c r="V3686" s="797">
        <f>$S$1*P!V3686</f>
        <v>9.3568548387096787E-2</v>
      </c>
      <c r="W3686" s="780"/>
      <c r="X3686" s="881">
        <v>3682</v>
      </c>
      <c r="Y3686" s="881" t="s">
        <v>2248</v>
      </c>
      <c r="Z3686" s="881" t="s">
        <v>2721</v>
      </c>
      <c r="AA3686" s="890">
        <f>$S$1*P!AA3686</f>
        <v>0.20147999999999999</v>
      </c>
      <c r="AB3686" s="780"/>
      <c r="AC3686" s="780"/>
      <c r="AD3686" s="780"/>
      <c r="AE3686" s="780"/>
      <c r="AF3686" s="780"/>
    </row>
    <row r="3687" spans="19:32" x14ac:dyDescent="0.35">
      <c r="S3687" s="782">
        <v>3683</v>
      </c>
      <c r="T3687" s="782" t="s">
        <v>4284</v>
      </c>
      <c r="U3687" s="782" t="s">
        <v>4084</v>
      </c>
      <c r="V3687" s="797">
        <f>$S$1*P!V3687</f>
        <v>6.1693548387096779E-2</v>
      </c>
      <c r="W3687" s="780"/>
      <c r="X3687" s="881">
        <v>3683</v>
      </c>
      <c r="Y3687" s="881" t="s">
        <v>2248</v>
      </c>
      <c r="Z3687" s="881" t="s">
        <v>2719</v>
      </c>
      <c r="AA3687" s="890">
        <f>$S$1*P!AA3687</f>
        <v>160.08000000000001</v>
      </c>
      <c r="AB3687" s="780"/>
      <c r="AC3687" s="780"/>
      <c r="AD3687" s="780"/>
      <c r="AE3687" s="780"/>
      <c r="AF3687" s="780"/>
    </row>
    <row r="3688" spans="19:32" x14ac:dyDescent="0.35">
      <c r="S3688" s="881">
        <v>3684</v>
      </c>
      <c r="T3688" s="881" t="s">
        <v>4284</v>
      </c>
      <c r="U3688" s="881" t="s">
        <v>2474</v>
      </c>
      <c r="V3688" s="883">
        <f>$S$1*P!V3688</f>
        <v>0.84548000000000001</v>
      </c>
      <c r="W3688" s="780"/>
      <c r="X3688" s="782">
        <v>3684</v>
      </c>
      <c r="Y3688" s="782" t="s">
        <v>2248</v>
      </c>
      <c r="Z3688" s="782" t="s">
        <v>3257</v>
      </c>
      <c r="AA3688" s="781">
        <f>$S$1*P!AA3688</f>
        <v>1.6177419354838712E-2</v>
      </c>
      <c r="AB3688" s="780"/>
      <c r="AC3688" s="780"/>
      <c r="AD3688" s="780"/>
      <c r="AE3688" s="780"/>
      <c r="AF3688" s="780"/>
    </row>
    <row r="3689" spans="19:32" x14ac:dyDescent="0.35">
      <c r="S3689" s="782">
        <v>3685</v>
      </c>
      <c r="T3689" s="782" t="s">
        <v>4284</v>
      </c>
      <c r="U3689" s="782" t="s">
        <v>2473</v>
      </c>
      <c r="V3689" s="797">
        <f>$S$1*P!V3689</f>
        <v>2.3820564516129033E-3</v>
      </c>
      <c r="W3689" s="780"/>
      <c r="X3689" s="881">
        <v>3685</v>
      </c>
      <c r="Y3689" s="881" t="s">
        <v>2248</v>
      </c>
      <c r="Z3689" s="881" t="s">
        <v>2718</v>
      </c>
      <c r="AA3689" s="890">
        <f>$S$1*P!AA3689</f>
        <v>524.4</v>
      </c>
      <c r="AB3689" s="780"/>
      <c r="AC3689" s="780"/>
      <c r="AD3689" s="780"/>
      <c r="AE3689" s="780"/>
      <c r="AF3689" s="780"/>
    </row>
    <row r="3690" spans="19:32" x14ac:dyDescent="0.35">
      <c r="S3690" s="881">
        <v>3686</v>
      </c>
      <c r="T3690" s="881" t="s">
        <v>4284</v>
      </c>
      <c r="U3690" s="881" t="s">
        <v>2473</v>
      </c>
      <c r="V3690" s="883">
        <f>$S$1*P!V3690</f>
        <v>0</v>
      </c>
      <c r="W3690" s="780"/>
      <c r="X3690" s="881">
        <v>3686</v>
      </c>
      <c r="Y3690" s="881" t="s">
        <v>2248</v>
      </c>
      <c r="Z3690" s="881" t="s">
        <v>2716</v>
      </c>
      <c r="AA3690" s="890">
        <f>$S$1*P!AA3690</f>
        <v>2824.3999999999996</v>
      </c>
      <c r="AB3690" s="780"/>
      <c r="AC3690" s="780"/>
      <c r="AD3690" s="780"/>
      <c r="AE3690" s="780"/>
      <c r="AF3690" s="780"/>
    </row>
    <row r="3691" spans="19:32" x14ac:dyDescent="0.35">
      <c r="S3691" s="782">
        <v>3687</v>
      </c>
      <c r="T3691" s="782" t="s">
        <v>4284</v>
      </c>
      <c r="U3691" s="782" t="s">
        <v>4082</v>
      </c>
      <c r="V3691" s="797">
        <f>$S$1*P!V3691</f>
        <v>1.1104838709677419E-3</v>
      </c>
      <c r="W3691" s="780"/>
      <c r="X3691" s="881">
        <v>3687</v>
      </c>
      <c r="Y3691" s="881" t="s">
        <v>2248</v>
      </c>
      <c r="Z3691" s="881" t="s">
        <v>4534</v>
      </c>
      <c r="AA3691" s="882">
        <f>$S$1*P!AA3691</f>
        <v>0.17102822580645163</v>
      </c>
      <c r="AB3691" s="780"/>
      <c r="AC3691" s="780"/>
      <c r="AD3691" s="780"/>
      <c r="AE3691" s="780"/>
      <c r="AF3691" s="780"/>
    </row>
    <row r="3692" spans="19:32" x14ac:dyDescent="0.35">
      <c r="S3692" s="782">
        <v>3688</v>
      </c>
      <c r="T3692" s="782" t="s">
        <v>4284</v>
      </c>
      <c r="U3692" s="782" t="s">
        <v>4080</v>
      </c>
      <c r="V3692" s="797">
        <f>$S$1*P!V3692</f>
        <v>7.2318548387096781E-4</v>
      </c>
      <c r="W3692" s="780"/>
      <c r="X3692" s="881">
        <v>3688</v>
      </c>
      <c r="Y3692" s="881" t="s">
        <v>2248</v>
      </c>
      <c r="Z3692" s="881" t="s">
        <v>2715</v>
      </c>
      <c r="AA3692" s="890">
        <f>$S$1*P!AA3692</f>
        <v>56.763999999999996</v>
      </c>
      <c r="AB3692" s="780"/>
      <c r="AC3692" s="780"/>
      <c r="AD3692" s="780"/>
      <c r="AE3692" s="780"/>
      <c r="AF3692" s="780"/>
    </row>
    <row r="3693" spans="19:32" x14ac:dyDescent="0.35">
      <c r="S3693" s="782">
        <v>3689</v>
      </c>
      <c r="T3693" s="782" t="s">
        <v>4284</v>
      </c>
      <c r="U3693" s="782" t="s">
        <v>4079</v>
      </c>
      <c r="V3693" s="797">
        <f>$S$1*P!V3693</f>
        <v>3.0606854838709681E-2</v>
      </c>
      <c r="W3693" s="780"/>
      <c r="X3693" s="881">
        <v>3689</v>
      </c>
      <c r="Y3693" s="881" t="s">
        <v>2248</v>
      </c>
      <c r="Z3693" s="881" t="s">
        <v>2713</v>
      </c>
      <c r="AA3693" s="890">
        <f>$S$1*P!AA3693</f>
        <v>0.16284000000000001</v>
      </c>
      <c r="AB3693" s="780"/>
      <c r="AC3693" s="780"/>
      <c r="AD3693" s="780"/>
      <c r="AE3693" s="780"/>
      <c r="AF3693" s="780"/>
    </row>
    <row r="3694" spans="19:32" x14ac:dyDescent="0.35">
      <c r="S3694" s="782">
        <v>3690</v>
      </c>
      <c r="T3694" s="782" t="s">
        <v>4284</v>
      </c>
      <c r="U3694" s="782" t="s">
        <v>4077</v>
      </c>
      <c r="V3694" s="797">
        <f>$S$1*P!V3694</f>
        <v>3.4034274193548389E-2</v>
      </c>
      <c r="W3694" s="780"/>
      <c r="X3694" s="881">
        <v>3690</v>
      </c>
      <c r="Y3694" s="881" t="s">
        <v>2248</v>
      </c>
      <c r="Z3694" s="881" t="s">
        <v>2711</v>
      </c>
      <c r="AA3694" s="890">
        <f>$S$1*P!AA3694</f>
        <v>16.652000000000001</v>
      </c>
      <c r="AB3694" s="780"/>
      <c r="AC3694" s="780"/>
      <c r="AD3694" s="780"/>
      <c r="AE3694" s="780"/>
      <c r="AF3694" s="780"/>
    </row>
    <row r="3695" spans="19:32" x14ac:dyDescent="0.35">
      <c r="S3695" s="782">
        <v>3691</v>
      </c>
      <c r="T3695" s="782" t="s">
        <v>4284</v>
      </c>
      <c r="U3695" s="782" t="s">
        <v>4076</v>
      </c>
      <c r="V3695" s="797">
        <f>$S$1*P!V3695</f>
        <v>2.7727822580645165E-3</v>
      </c>
      <c r="W3695" s="780"/>
      <c r="X3695" s="782">
        <v>3691</v>
      </c>
      <c r="Y3695" s="782" t="s">
        <v>2248</v>
      </c>
      <c r="Z3695" s="782" t="s">
        <v>4533</v>
      </c>
      <c r="AA3695" s="781">
        <f>$S$1*P!AA3695</f>
        <v>2.0118951612903228E-2</v>
      </c>
      <c r="AB3695" s="780"/>
      <c r="AC3695" s="780"/>
      <c r="AD3695" s="780"/>
      <c r="AE3695" s="780"/>
      <c r="AF3695" s="780"/>
    </row>
    <row r="3696" spans="19:32" x14ac:dyDescent="0.35">
      <c r="S3696" s="782">
        <v>3692</v>
      </c>
      <c r="T3696" s="782" t="s">
        <v>4284</v>
      </c>
      <c r="U3696" s="782" t="s">
        <v>4075</v>
      </c>
      <c r="V3696" s="797">
        <f>$S$1*P!V3696</f>
        <v>2.2655241935483875E-6</v>
      </c>
      <c r="W3696" s="780"/>
      <c r="X3696" s="881">
        <v>3692</v>
      </c>
      <c r="Y3696" s="881" t="s">
        <v>2248</v>
      </c>
      <c r="Z3696" s="881" t="s">
        <v>2710</v>
      </c>
      <c r="AA3696" s="890">
        <f>$S$1*P!AA3696</f>
        <v>2.944</v>
      </c>
      <c r="AB3696" s="780"/>
      <c r="AC3696" s="780"/>
      <c r="AD3696" s="780"/>
      <c r="AE3696" s="780"/>
      <c r="AF3696" s="780"/>
    </row>
    <row r="3697" spans="19:32" x14ac:dyDescent="0.35">
      <c r="S3697" s="881">
        <v>3693</v>
      </c>
      <c r="T3697" s="881" t="s">
        <v>4284</v>
      </c>
      <c r="U3697" s="881" t="s">
        <v>2471</v>
      </c>
      <c r="V3697" s="883">
        <f>$S$1*P!V3697</f>
        <v>113.16000000000001</v>
      </c>
      <c r="W3697" s="780"/>
      <c r="X3697" s="782">
        <v>3693</v>
      </c>
      <c r="Y3697" s="782" t="s">
        <v>2248</v>
      </c>
      <c r="Z3697" s="782" t="s">
        <v>2611</v>
      </c>
      <c r="AA3697" s="781">
        <f>$S$1*P!AA3697</f>
        <v>1.8028225806451614E-3</v>
      </c>
      <c r="AB3697" s="780"/>
      <c r="AC3697" s="780"/>
      <c r="AD3697" s="780"/>
      <c r="AE3697" s="780"/>
      <c r="AF3697" s="780"/>
    </row>
    <row r="3698" spans="19:32" x14ac:dyDescent="0.35">
      <c r="S3698" s="782">
        <v>3694</v>
      </c>
      <c r="T3698" s="782" t="s">
        <v>4284</v>
      </c>
      <c r="U3698" s="782" t="s">
        <v>4073</v>
      </c>
      <c r="V3698" s="797">
        <f>$S$1*P!V3698</f>
        <v>2.741935483870968E-4</v>
      </c>
      <c r="W3698" s="780"/>
      <c r="X3698" s="881">
        <v>3694</v>
      </c>
      <c r="Y3698" s="881" t="s">
        <v>2248</v>
      </c>
      <c r="Z3698" s="881" t="s">
        <v>4532</v>
      </c>
      <c r="AA3698" s="882">
        <f>$S$1*P!AA3698</f>
        <v>4.8326612903225813E-3</v>
      </c>
      <c r="AB3698" s="780"/>
      <c r="AC3698" s="780"/>
      <c r="AD3698" s="780"/>
      <c r="AE3698" s="780"/>
      <c r="AF3698" s="780"/>
    </row>
    <row r="3699" spans="19:32" x14ac:dyDescent="0.35">
      <c r="S3699" s="881">
        <v>3695</v>
      </c>
      <c r="T3699" s="881" t="s">
        <v>4284</v>
      </c>
      <c r="U3699" s="881" t="s">
        <v>2470</v>
      </c>
      <c r="V3699" s="883">
        <f>$S$1*P!V3699</f>
        <v>19.504000000000001</v>
      </c>
      <c r="W3699" s="780"/>
      <c r="X3699" s="881">
        <v>3695</v>
      </c>
      <c r="Y3699" s="881" t="s">
        <v>2248</v>
      </c>
      <c r="Z3699" s="881" t="s">
        <v>2708</v>
      </c>
      <c r="AA3699" s="890">
        <f>$S$1*P!AA3699</f>
        <v>5.9615999999999995E-2</v>
      </c>
      <c r="AB3699" s="780"/>
      <c r="AC3699" s="780"/>
      <c r="AD3699" s="780"/>
      <c r="AE3699" s="780"/>
      <c r="AF3699" s="780"/>
    </row>
    <row r="3700" spans="19:32" x14ac:dyDescent="0.35">
      <c r="S3700" s="782">
        <v>3696</v>
      </c>
      <c r="T3700" s="782" t="s">
        <v>4284</v>
      </c>
      <c r="U3700" s="782" t="s">
        <v>4071</v>
      </c>
      <c r="V3700" s="797">
        <f>$S$1*P!V3700</f>
        <v>4.6955645161290326E-4</v>
      </c>
      <c r="W3700" s="780"/>
      <c r="X3700" s="881">
        <v>3696</v>
      </c>
      <c r="Y3700" s="881" t="s">
        <v>2248</v>
      </c>
      <c r="Z3700" s="881" t="s">
        <v>2707</v>
      </c>
      <c r="AA3700" s="890">
        <f>$S$1*P!AA3700</f>
        <v>0</v>
      </c>
      <c r="AB3700" s="780"/>
      <c r="AC3700" s="780"/>
      <c r="AD3700" s="780"/>
      <c r="AE3700" s="780"/>
      <c r="AF3700" s="780"/>
    </row>
    <row r="3701" spans="19:32" x14ac:dyDescent="0.35">
      <c r="S3701" s="782">
        <v>3697</v>
      </c>
      <c r="T3701" s="782" t="s">
        <v>4284</v>
      </c>
      <c r="U3701" s="782" t="s">
        <v>4069</v>
      </c>
      <c r="V3701" s="797">
        <f>$S$1*P!V3701</f>
        <v>2.6493951612903228E-3</v>
      </c>
      <c r="W3701" s="780"/>
      <c r="X3701" s="782">
        <v>3697</v>
      </c>
      <c r="Y3701" s="782" t="s">
        <v>2248</v>
      </c>
      <c r="Z3701" s="782" t="s">
        <v>2608</v>
      </c>
      <c r="AA3701" s="781">
        <f>$S$1*P!AA3701</f>
        <v>2.765927419354839E-2</v>
      </c>
      <c r="AB3701" s="780"/>
      <c r="AC3701" s="780"/>
      <c r="AD3701" s="780"/>
      <c r="AE3701" s="780"/>
      <c r="AF3701" s="780"/>
    </row>
    <row r="3702" spans="19:32" x14ac:dyDescent="0.35">
      <c r="S3702" s="782">
        <v>3698</v>
      </c>
      <c r="T3702" s="782" t="s">
        <v>4284</v>
      </c>
      <c r="U3702" s="782" t="s">
        <v>4068</v>
      </c>
      <c r="V3702" s="797">
        <f>$S$1*P!V3702</f>
        <v>2.1318548387096774E-2</v>
      </c>
      <c r="W3702" s="780"/>
      <c r="X3702" s="881">
        <v>3698</v>
      </c>
      <c r="Y3702" s="881" t="s">
        <v>2248</v>
      </c>
      <c r="Z3702" s="881" t="s">
        <v>3254</v>
      </c>
      <c r="AA3702" s="882">
        <f>$S$1*P!AA3702</f>
        <v>9.8709677419354849E-4</v>
      </c>
      <c r="AB3702" s="780"/>
      <c r="AC3702" s="780"/>
      <c r="AD3702" s="780"/>
      <c r="AE3702" s="780"/>
      <c r="AF3702" s="780"/>
    </row>
    <row r="3703" spans="19:32" x14ac:dyDescent="0.35">
      <c r="S3703" s="782">
        <v>3699</v>
      </c>
      <c r="T3703" s="782" t="s">
        <v>4284</v>
      </c>
      <c r="U3703" s="782" t="s">
        <v>4067</v>
      </c>
      <c r="V3703" s="797">
        <f>$S$1*P!V3703</f>
        <v>1.3572580645161291E-2</v>
      </c>
      <c r="W3703" s="780"/>
      <c r="X3703" s="782">
        <v>3699</v>
      </c>
      <c r="Y3703" s="782" t="s">
        <v>2248</v>
      </c>
      <c r="Z3703" s="782" t="s">
        <v>2605</v>
      </c>
      <c r="AA3703" s="781">
        <f>$S$1*P!AA3703</f>
        <v>1.4395161290322582E-2</v>
      </c>
      <c r="AB3703" s="780"/>
      <c r="AC3703" s="780"/>
      <c r="AD3703" s="780"/>
      <c r="AE3703" s="780"/>
      <c r="AF3703" s="780"/>
    </row>
    <row r="3704" spans="19:32" x14ac:dyDescent="0.35">
      <c r="S3704" s="782">
        <v>3700</v>
      </c>
      <c r="T3704" s="782" t="s">
        <v>4284</v>
      </c>
      <c r="U3704" s="782" t="s">
        <v>4066</v>
      </c>
      <c r="V3704" s="797">
        <f>$S$1*P!V3704</f>
        <v>5.2439516129032266E-4</v>
      </c>
      <c r="W3704" s="780"/>
      <c r="X3704" s="782">
        <v>3700</v>
      </c>
      <c r="Y3704" s="782" t="s">
        <v>2248</v>
      </c>
      <c r="Z3704" s="782" t="s">
        <v>2603</v>
      </c>
      <c r="AA3704" s="781">
        <f>$S$1*P!AA3704</f>
        <v>0.57923387096774193</v>
      </c>
      <c r="AB3704" s="780"/>
      <c r="AC3704" s="780"/>
      <c r="AD3704" s="780"/>
      <c r="AE3704" s="780"/>
      <c r="AF3704" s="780"/>
    </row>
    <row r="3705" spans="19:32" x14ac:dyDescent="0.35">
      <c r="S3705" s="782">
        <v>3701</v>
      </c>
      <c r="T3705" s="782" t="s">
        <v>4284</v>
      </c>
      <c r="U3705" s="782" t="s">
        <v>2468</v>
      </c>
      <c r="V3705" s="797">
        <f>$S$1*P!V3705</f>
        <v>1.6006048387096774E-4</v>
      </c>
      <c r="W3705" s="780"/>
      <c r="X3705" s="881">
        <v>3701</v>
      </c>
      <c r="Y3705" s="881" t="s">
        <v>2248</v>
      </c>
      <c r="Z3705" s="881" t="s">
        <v>4531</v>
      </c>
      <c r="AA3705" s="882">
        <f>$S$1*P!AA3705</f>
        <v>1.3915322580645163E-2</v>
      </c>
      <c r="AB3705" s="780"/>
      <c r="AC3705" s="780"/>
      <c r="AD3705" s="780"/>
      <c r="AE3705" s="780"/>
      <c r="AF3705" s="780"/>
    </row>
    <row r="3706" spans="19:32" x14ac:dyDescent="0.35">
      <c r="S3706" s="881">
        <v>3702</v>
      </c>
      <c r="T3706" s="881" t="s">
        <v>4284</v>
      </c>
      <c r="U3706" s="881" t="s">
        <v>2468</v>
      </c>
      <c r="V3706" s="883">
        <f>$S$1*P!V3706</f>
        <v>16.928000000000001</v>
      </c>
      <c r="W3706" s="780"/>
      <c r="X3706" s="782">
        <v>3702</v>
      </c>
      <c r="Y3706" s="782" t="s">
        <v>2248</v>
      </c>
      <c r="Z3706" s="782" t="s">
        <v>2600</v>
      </c>
      <c r="AA3706" s="781">
        <f>$S$1*P!AA3706</f>
        <v>2.3854838709677421E-2</v>
      </c>
      <c r="AB3706" s="780"/>
      <c r="AC3706" s="780"/>
      <c r="AD3706" s="780"/>
      <c r="AE3706" s="780"/>
      <c r="AF3706" s="780"/>
    </row>
    <row r="3707" spans="19:32" x14ac:dyDescent="0.35">
      <c r="S3707" s="881">
        <v>3703</v>
      </c>
      <c r="T3707" s="881" t="s">
        <v>4284</v>
      </c>
      <c r="U3707" s="881" t="s">
        <v>2467</v>
      </c>
      <c r="V3707" s="883">
        <f>$S$1*P!V3707</f>
        <v>91.08</v>
      </c>
      <c r="W3707" s="780"/>
      <c r="X3707" s="782">
        <v>3703</v>
      </c>
      <c r="Y3707" s="782" t="s">
        <v>2248</v>
      </c>
      <c r="Z3707" s="782" t="s">
        <v>2597</v>
      </c>
      <c r="AA3707" s="781">
        <f>$S$1*P!AA3707</f>
        <v>2.3957661290322584E-4</v>
      </c>
      <c r="AB3707" s="780"/>
      <c r="AC3707" s="780"/>
      <c r="AD3707" s="780"/>
      <c r="AE3707" s="780"/>
      <c r="AF3707" s="780"/>
    </row>
    <row r="3708" spans="19:32" x14ac:dyDescent="0.35">
      <c r="S3708" s="881">
        <v>3704</v>
      </c>
      <c r="T3708" s="881" t="s">
        <v>4284</v>
      </c>
      <c r="U3708" s="881" t="s">
        <v>2465</v>
      </c>
      <c r="V3708" s="883">
        <f>$S$1*P!V3708</f>
        <v>74.152000000000001</v>
      </c>
      <c r="W3708" s="780"/>
      <c r="X3708" s="881">
        <v>3704</v>
      </c>
      <c r="Y3708" s="881" t="s">
        <v>2248</v>
      </c>
      <c r="Z3708" s="881" t="s">
        <v>3252</v>
      </c>
      <c r="AA3708" s="882">
        <f>$S$1*P!AA3708</f>
        <v>1.3264112903225808E-2</v>
      </c>
      <c r="AB3708" s="780"/>
      <c r="AC3708" s="780"/>
      <c r="AD3708" s="780"/>
      <c r="AE3708" s="780"/>
      <c r="AF3708" s="780"/>
    </row>
    <row r="3709" spans="19:32" x14ac:dyDescent="0.35">
      <c r="S3709" s="782">
        <v>3705</v>
      </c>
      <c r="T3709" s="782" t="s">
        <v>4284</v>
      </c>
      <c r="U3709" s="782" t="s">
        <v>4063</v>
      </c>
      <c r="V3709" s="797">
        <f>$S$1*P!V3709</f>
        <v>0.19776209677419357</v>
      </c>
      <c r="W3709" s="780"/>
      <c r="X3709" s="782">
        <v>3705</v>
      </c>
      <c r="Y3709" s="782" t="s">
        <v>2248</v>
      </c>
      <c r="Z3709" s="782" t="s">
        <v>2594</v>
      </c>
      <c r="AA3709" s="781">
        <f>$S$1*P!AA3709</f>
        <v>3.9072580645161287E-5</v>
      </c>
      <c r="AB3709" s="780"/>
      <c r="AC3709" s="780"/>
      <c r="AD3709" s="780"/>
      <c r="AE3709" s="780"/>
      <c r="AF3709" s="780"/>
    </row>
    <row r="3710" spans="19:32" x14ac:dyDescent="0.35">
      <c r="S3710" s="782">
        <v>3706</v>
      </c>
      <c r="T3710" s="782" t="s">
        <v>4284</v>
      </c>
      <c r="U3710" s="782" t="s">
        <v>2463</v>
      </c>
      <c r="V3710" s="797">
        <f>$S$1*P!V3710</f>
        <v>5.5524193548387099E-3</v>
      </c>
      <c r="W3710" s="780"/>
      <c r="X3710" s="782">
        <v>3706</v>
      </c>
      <c r="Y3710" s="782" t="s">
        <v>2248</v>
      </c>
      <c r="Z3710" s="782" t="s">
        <v>2591</v>
      </c>
      <c r="AA3710" s="781">
        <f>$S$1*P!AA3710</f>
        <v>1.1790322580645163E-2</v>
      </c>
      <c r="AB3710" s="780"/>
      <c r="AC3710" s="780"/>
      <c r="AD3710" s="780"/>
      <c r="AE3710" s="780"/>
      <c r="AF3710" s="780"/>
    </row>
    <row r="3711" spans="19:32" x14ac:dyDescent="0.35">
      <c r="S3711" s="881">
        <v>3707</v>
      </c>
      <c r="T3711" s="881" t="s">
        <v>4284</v>
      </c>
      <c r="U3711" s="881" t="s">
        <v>2463</v>
      </c>
      <c r="V3711" s="883">
        <f>$S$1*P!V3711</f>
        <v>5.4003999999999994</v>
      </c>
      <c r="W3711" s="780"/>
      <c r="X3711" s="881">
        <v>3707</v>
      </c>
      <c r="Y3711" s="881" t="s">
        <v>2248</v>
      </c>
      <c r="Z3711" s="881" t="s">
        <v>2705</v>
      </c>
      <c r="AA3711" s="890">
        <f>$S$1*P!AA3711</f>
        <v>1.2604</v>
      </c>
      <c r="AB3711" s="780"/>
      <c r="AC3711" s="780"/>
      <c r="AD3711" s="780"/>
      <c r="AE3711" s="780"/>
      <c r="AF3711" s="780"/>
    </row>
    <row r="3712" spans="19:32" x14ac:dyDescent="0.35">
      <c r="S3712" s="881">
        <v>3708</v>
      </c>
      <c r="T3712" s="881" t="s">
        <v>4284</v>
      </c>
      <c r="U3712" s="881" t="s">
        <v>2462</v>
      </c>
      <c r="V3712" s="883">
        <f>$S$1*P!V3712</f>
        <v>0.85192000000000001</v>
      </c>
      <c r="W3712" s="780"/>
      <c r="X3712" s="782">
        <v>3708</v>
      </c>
      <c r="Y3712" s="782" t="s">
        <v>2248</v>
      </c>
      <c r="Z3712" s="782" t="s">
        <v>4530</v>
      </c>
      <c r="AA3712" s="781">
        <f>$S$1*P!AA3712</f>
        <v>1.6177419354838709E-4</v>
      </c>
      <c r="AB3712" s="780"/>
      <c r="AC3712" s="780"/>
      <c r="AD3712" s="780"/>
      <c r="AE3712" s="780"/>
      <c r="AF3712" s="780"/>
    </row>
    <row r="3713" spans="19:32" x14ac:dyDescent="0.35">
      <c r="S3713" s="881">
        <v>3709</v>
      </c>
      <c r="T3713" s="881" t="s">
        <v>4284</v>
      </c>
      <c r="U3713" s="881" t="s">
        <v>2460</v>
      </c>
      <c r="V3713" s="883">
        <f>$S$1*P!V3713</f>
        <v>1.1867999999999999</v>
      </c>
      <c r="W3713" s="780"/>
      <c r="X3713" s="881">
        <v>3709</v>
      </c>
      <c r="Y3713" s="881" t="s">
        <v>2248</v>
      </c>
      <c r="Z3713" s="881" t="s">
        <v>2704</v>
      </c>
      <c r="AA3713" s="890">
        <f>$S$1*P!AA3713</f>
        <v>0.88688</v>
      </c>
      <c r="AB3713" s="780"/>
      <c r="AC3713" s="780"/>
      <c r="AD3713" s="780"/>
      <c r="AE3713" s="780"/>
      <c r="AF3713" s="780"/>
    </row>
    <row r="3714" spans="19:32" x14ac:dyDescent="0.35">
      <c r="S3714" s="782">
        <v>3710</v>
      </c>
      <c r="T3714" s="782" t="s">
        <v>4284</v>
      </c>
      <c r="U3714" s="782" t="s">
        <v>4061</v>
      </c>
      <c r="V3714" s="797">
        <f>$S$1*P!V3714</f>
        <v>6.2721774193548394E-2</v>
      </c>
      <c r="W3714" s="780"/>
      <c r="X3714" s="782">
        <v>3710</v>
      </c>
      <c r="Y3714" s="782" t="s">
        <v>2248</v>
      </c>
      <c r="Z3714" s="782" t="s">
        <v>2589</v>
      </c>
      <c r="AA3714" s="781">
        <f>$S$1*P!AA3714</f>
        <v>9.0141129032258079E-3</v>
      </c>
      <c r="AB3714" s="780"/>
      <c r="AC3714" s="780"/>
      <c r="AD3714" s="780"/>
      <c r="AE3714" s="780"/>
      <c r="AF3714" s="780"/>
    </row>
    <row r="3715" spans="19:32" x14ac:dyDescent="0.35">
      <c r="S3715" s="881">
        <v>3711</v>
      </c>
      <c r="T3715" s="881" t="s">
        <v>4284</v>
      </c>
      <c r="U3715" s="881" t="s">
        <v>2459</v>
      </c>
      <c r="V3715" s="883">
        <f>$S$1*P!V3715</f>
        <v>0.81328</v>
      </c>
      <c r="W3715" s="780"/>
      <c r="X3715" s="881">
        <v>3711</v>
      </c>
      <c r="Y3715" s="881" t="s">
        <v>2248</v>
      </c>
      <c r="Z3715" s="881" t="s">
        <v>4529</v>
      </c>
      <c r="AA3715" s="882">
        <f>$S$1*P!AA3715</f>
        <v>5.7237903225806457E-2</v>
      </c>
      <c r="AB3715" s="780"/>
      <c r="AC3715" s="780"/>
      <c r="AD3715" s="780"/>
      <c r="AE3715" s="780"/>
      <c r="AF3715" s="780"/>
    </row>
    <row r="3716" spans="19:32" x14ac:dyDescent="0.35">
      <c r="S3716" s="782">
        <v>3712</v>
      </c>
      <c r="T3716" s="782" t="s">
        <v>4284</v>
      </c>
      <c r="U3716" s="782" t="s">
        <v>2457</v>
      </c>
      <c r="V3716" s="797">
        <f>$S$1*P!V3716</f>
        <v>9.0141129032258072E-2</v>
      </c>
      <c r="W3716" s="780"/>
      <c r="X3716" s="881">
        <v>3712</v>
      </c>
      <c r="Y3716" s="881" t="s">
        <v>2248</v>
      </c>
      <c r="Z3716" s="881" t="s">
        <v>2702</v>
      </c>
      <c r="AA3716" s="890">
        <f>$S$1*P!AA3716</f>
        <v>26.771999999999998</v>
      </c>
      <c r="AB3716" s="780"/>
      <c r="AC3716" s="780"/>
      <c r="AD3716" s="780"/>
      <c r="AE3716" s="780"/>
      <c r="AF3716" s="780"/>
    </row>
    <row r="3717" spans="19:32" x14ac:dyDescent="0.35">
      <c r="S3717" s="881">
        <v>3713</v>
      </c>
      <c r="T3717" s="881" t="s">
        <v>4284</v>
      </c>
      <c r="U3717" s="881" t="s">
        <v>2457</v>
      </c>
      <c r="V3717" s="883">
        <f>$S$1*P!V3717</f>
        <v>0.62835999999999992</v>
      </c>
      <c r="W3717" s="780"/>
      <c r="X3717" s="881">
        <v>3713</v>
      </c>
      <c r="Y3717" s="881" t="s">
        <v>2248</v>
      </c>
      <c r="Z3717" s="881" t="s">
        <v>2701</v>
      </c>
      <c r="AA3717" s="890">
        <f>$S$1*P!AA3717</f>
        <v>11.592000000000001</v>
      </c>
      <c r="AB3717" s="780"/>
      <c r="AC3717" s="780"/>
      <c r="AD3717" s="780"/>
      <c r="AE3717" s="780"/>
      <c r="AF3717" s="780"/>
    </row>
    <row r="3718" spans="19:32" x14ac:dyDescent="0.35">
      <c r="S3718" s="782">
        <v>3714</v>
      </c>
      <c r="T3718" s="782" t="s">
        <v>4284</v>
      </c>
      <c r="U3718" s="782" t="s">
        <v>4059</v>
      </c>
      <c r="V3718" s="797">
        <f>$S$1*P!V3718</f>
        <v>0.56895161290322582</v>
      </c>
      <c r="W3718" s="780"/>
      <c r="X3718" s="782">
        <v>3714</v>
      </c>
      <c r="Y3718" s="782" t="s">
        <v>2248</v>
      </c>
      <c r="Z3718" s="782" t="s">
        <v>3251</v>
      </c>
      <c r="AA3718" s="781">
        <f>$S$1*P!AA3718</f>
        <v>2.1078629032258065E-3</v>
      </c>
      <c r="AB3718" s="780"/>
      <c r="AC3718" s="780"/>
      <c r="AD3718" s="780"/>
      <c r="AE3718" s="780"/>
      <c r="AF3718" s="780"/>
    </row>
    <row r="3719" spans="19:32" x14ac:dyDescent="0.35">
      <c r="S3719" s="782">
        <v>3715</v>
      </c>
      <c r="T3719" s="782" t="s">
        <v>4284</v>
      </c>
      <c r="U3719" s="782" t="s">
        <v>2456</v>
      </c>
      <c r="V3719" s="797">
        <f>$S$1*P!V3719</f>
        <v>3.1806451612903226E-4</v>
      </c>
      <c r="W3719" s="780"/>
      <c r="X3719" s="881">
        <v>3715</v>
      </c>
      <c r="Y3719" s="881" t="s">
        <v>2248</v>
      </c>
      <c r="Z3719" s="881" t="s">
        <v>2699</v>
      </c>
      <c r="AA3719" s="890">
        <f>$S$1*P!AA3719</f>
        <v>0</v>
      </c>
      <c r="AB3719" s="780"/>
      <c r="AC3719" s="780"/>
      <c r="AD3719" s="780"/>
      <c r="AE3719" s="780"/>
      <c r="AF3719" s="780"/>
    </row>
    <row r="3720" spans="19:32" x14ac:dyDescent="0.35">
      <c r="S3720" s="881">
        <v>3716</v>
      </c>
      <c r="T3720" s="881" t="s">
        <v>4284</v>
      </c>
      <c r="U3720" s="881" t="s">
        <v>2456</v>
      </c>
      <c r="V3720" s="883">
        <f>$S$1*P!V3720</f>
        <v>0</v>
      </c>
      <c r="W3720" s="780"/>
      <c r="X3720" s="881">
        <v>3716</v>
      </c>
      <c r="Y3720" s="881" t="s">
        <v>2248</v>
      </c>
      <c r="Z3720" s="881" t="s">
        <v>2697</v>
      </c>
      <c r="AA3720" s="890">
        <f>$S$1*P!AA3720</f>
        <v>16.099999999999998</v>
      </c>
      <c r="AB3720" s="780"/>
      <c r="AC3720" s="780"/>
      <c r="AD3720" s="780"/>
      <c r="AE3720" s="780"/>
      <c r="AF3720" s="780"/>
    </row>
    <row r="3721" spans="19:32" x14ac:dyDescent="0.35">
      <c r="S3721" s="881">
        <v>3717</v>
      </c>
      <c r="T3721" s="881" t="s">
        <v>4284</v>
      </c>
      <c r="U3721" s="881" t="s">
        <v>2454</v>
      </c>
      <c r="V3721" s="883">
        <f>$S$1*P!V3721</f>
        <v>602.6</v>
      </c>
      <c r="W3721" s="780"/>
      <c r="X3721" s="881">
        <v>3717</v>
      </c>
      <c r="Y3721" s="881" t="s">
        <v>2248</v>
      </c>
      <c r="Z3721" s="881" t="s">
        <v>4528</v>
      </c>
      <c r="AA3721" s="882">
        <f>$S$1*P!AA3721</f>
        <v>2.2997983870967745E-4</v>
      </c>
      <c r="AB3721" s="780"/>
      <c r="AC3721" s="780"/>
      <c r="AD3721" s="780"/>
      <c r="AE3721" s="780"/>
      <c r="AF3721" s="780"/>
    </row>
    <row r="3722" spans="19:32" x14ac:dyDescent="0.35">
      <c r="S3722" s="782">
        <v>3718</v>
      </c>
      <c r="T3722" s="782" t="s">
        <v>4284</v>
      </c>
      <c r="U3722" s="782" t="s">
        <v>2453</v>
      </c>
      <c r="V3722" s="797">
        <f>$S$1*P!V3722</f>
        <v>1.0110887096774195</v>
      </c>
      <c r="W3722" s="780"/>
      <c r="X3722" s="881">
        <v>3718</v>
      </c>
      <c r="Y3722" s="881" t="s">
        <v>2248</v>
      </c>
      <c r="Z3722" s="881" t="s">
        <v>2696</v>
      </c>
      <c r="AA3722" s="890">
        <f>$S$1*P!AA3722</f>
        <v>72.496000000000009</v>
      </c>
      <c r="AB3722" s="780"/>
      <c r="AC3722" s="780"/>
      <c r="AD3722" s="780"/>
      <c r="AE3722" s="780"/>
      <c r="AF3722" s="780"/>
    </row>
    <row r="3723" spans="19:32" x14ac:dyDescent="0.35">
      <c r="S3723" s="881">
        <v>3719</v>
      </c>
      <c r="T3723" s="881" t="s">
        <v>4284</v>
      </c>
      <c r="U3723" s="881" t="s">
        <v>2453</v>
      </c>
      <c r="V3723" s="883">
        <f>$S$1*P!V3723</f>
        <v>0</v>
      </c>
      <c r="W3723" s="780"/>
      <c r="X3723" s="881">
        <v>3719</v>
      </c>
      <c r="Y3723" s="881" t="s">
        <v>2248</v>
      </c>
      <c r="Z3723" s="881" t="s">
        <v>2694</v>
      </c>
      <c r="AA3723" s="890">
        <f>$S$1*P!AA3723</f>
        <v>2.254</v>
      </c>
      <c r="AB3723" s="780"/>
      <c r="AC3723" s="780"/>
      <c r="AD3723" s="780"/>
      <c r="AE3723" s="780"/>
      <c r="AF3723" s="780"/>
    </row>
    <row r="3724" spans="19:32" x14ac:dyDescent="0.35">
      <c r="S3724" s="881">
        <v>3720</v>
      </c>
      <c r="T3724" s="881" t="s">
        <v>4284</v>
      </c>
      <c r="U3724" s="881" t="s">
        <v>2451</v>
      </c>
      <c r="V3724" s="883">
        <f>$S$1*P!V3724</f>
        <v>9.7519999999999996E-2</v>
      </c>
      <c r="W3724" s="780"/>
      <c r="X3724" s="881">
        <v>3720</v>
      </c>
      <c r="Y3724" s="881" t="s">
        <v>2248</v>
      </c>
      <c r="Z3724" s="881" t="s">
        <v>2693</v>
      </c>
      <c r="AA3724" s="890">
        <f>$S$1*P!AA3724</f>
        <v>4.37</v>
      </c>
      <c r="AB3724" s="780"/>
      <c r="AC3724" s="780"/>
      <c r="AD3724" s="780"/>
      <c r="AE3724" s="780"/>
      <c r="AF3724" s="780"/>
    </row>
    <row r="3725" spans="19:32" x14ac:dyDescent="0.35">
      <c r="S3725" s="881">
        <v>3721</v>
      </c>
      <c r="T3725" s="881" t="s">
        <v>4284</v>
      </c>
      <c r="U3725" s="881" t="s">
        <v>2450</v>
      </c>
      <c r="V3725" s="883">
        <f>$S$1*P!V3725</f>
        <v>211.6</v>
      </c>
      <c r="W3725" s="780"/>
      <c r="X3725" s="782">
        <v>3721</v>
      </c>
      <c r="Y3725" s="782" t="s">
        <v>2248</v>
      </c>
      <c r="Z3725" s="782" t="s">
        <v>3249</v>
      </c>
      <c r="AA3725" s="781">
        <f>$S$1*P!AA3725</f>
        <v>7.0947580645161289E-5</v>
      </c>
      <c r="AB3725" s="780"/>
      <c r="AC3725" s="780"/>
      <c r="AD3725" s="780"/>
      <c r="AE3725" s="780"/>
      <c r="AF3725" s="780"/>
    </row>
    <row r="3726" spans="19:32" x14ac:dyDescent="0.35">
      <c r="S3726" s="782">
        <v>3722</v>
      </c>
      <c r="T3726" s="782" t="s">
        <v>4284</v>
      </c>
      <c r="U3726" s="782" t="s">
        <v>4055</v>
      </c>
      <c r="V3726" s="797">
        <f>$S$1*P!V3726</f>
        <v>3.7016129032258066E-3</v>
      </c>
      <c r="W3726" s="780"/>
      <c r="X3726" s="881">
        <v>3722</v>
      </c>
      <c r="Y3726" s="881" t="s">
        <v>2248</v>
      </c>
      <c r="Z3726" s="881" t="s">
        <v>2586</v>
      </c>
      <c r="AA3726" s="890">
        <f>$S$1*P!AA3726</f>
        <v>651.36</v>
      </c>
      <c r="AB3726" s="780"/>
      <c r="AC3726" s="780"/>
      <c r="AD3726" s="780"/>
      <c r="AE3726" s="780"/>
      <c r="AF3726" s="780"/>
    </row>
    <row r="3727" spans="19:32" x14ac:dyDescent="0.35">
      <c r="S3727" s="881">
        <v>3723</v>
      </c>
      <c r="T3727" s="881" t="s">
        <v>4284</v>
      </c>
      <c r="U3727" s="881" t="s">
        <v>2448</v>
      </c>
      <c r="V3727" s="883">
        <f>$S$1*P!V3727</f>
        <v>11.592000000000001</v>
      </c>
      <c r="W3727" s="780"/>
      <c r="X3727" s="782">
        <v>3723</v>
      </c>
      <c r="Y3727" s="782" t="s">
        <v>2248</v>
      </c>
      <c r="Z3727" s="782" t="s">
        <v>2586</v>
      </c>
      <c r="AA3727" s="781">
        <f>$S$1*P!AA3727</f>
        <v>2.9441532258064516E-4</v>
      </c>
      <c r="AB3727" s="780"/>
      <c r="AC3727" s="780"/>
      <c r="AD3727" s="780"/>
      <c r="AE3727" s="780"/>
      <c r="AF3727" s="780"/>
    </row>
    <row r="3728" spans="19:32" x14ac:dyDescent="0.35">
      <c r="S3728" s="782">
        <v>3724</v>
      </c>
      <c r="T3728" s="782" t="s">
        <v>4284</v>
      </c>
      <c r="U3728" s="782" t="s">
        <v>4053</v>
      </c>
      <c r="V3728" s="797">
        <f>$S$1*P!V3728</f>
        <v>6.1008064516129036E-3</v>
      </c>
      <c r="W3728" s="780"/>
      <c r="X3728" s="881">
        <v>3724</v>
      </c>
      <c r="Y3728" s="881" t="s">
        <v>2248</v>
      </c>
      <c r="Z3728" s="881" t="s">
        <v>4527</v>
      </c>
      <c r="AA3728" s="882">
        <f>$S$1*P!AA3728</f>
        <v>0.25431451612903228</v>
      </c>
      <c r="AB3728" s="780"/>
      <c r="AC3728" s="780"/>
      <c r="AD3728" s="780"/>
      <c r="AE3728" s="780"/>
      <c r="AF3728" s="780"/>
    </row>
    <row r="3729" spans="19:32" x14ac:dyDescent="0.35">
      <c r="S3729" s="782">
        <v>3725</v>
      </c>
      <c r="T3729" s="782" t="s">
        <v>4284</v>
      </c>
      <c r="U3729" s="782" t="s">
        <v>4052</v>
      </c>
      <c r="V3729" s="797">
        <f>$S$1*P!V3729</f>
        <v>0.11687500000000001</v>
      </c>
      <c r="W3729" s="780"/>
      <c r="X3729" s="881">
        <v>3725</v>
      </c>
      <c r="Y3729" s="881" t="s">
        <v>2248</v>
      </c>
      <c r="Z3729" s="881" t="s">
        <v>2583</v>
      </c>
      <c r="AA3729" s="890">
        <f>$S$1*P!AA3729</f>
        <v>187.68</v>
      </c>
      <c r="AB3729" s="780"/>
      <c r="AC3729" s="780"/>
      <c r="AD3729" s="780"/>
      <c r="AE3729" s="780"/>
      <c r="AF3729" s="780"/>
    </row>
    <row r="3730" spans="19:32" x14ac:dyDescent="0.35">
      <c r="S3730" s="782">
        <v>3726</v>
      </c>
      <c r="T3730" s="782" t="s">
        <v>4284</v>
      </c>
      <c r="U3730" s="782" t="s">
        <v>4051</v>
      </c>
      <c r="V3730" s="797">
        <f>$S$1*P!V3730</f>
        <v>4.2500000000000003E-3</v>
      </c>
      <c r="W3730" s="780"/>
      <c r="X3730" s="782">
        <v>3726</v>
      </c>
      <c r="Y3730" s="782" t="s">
        <v>2248</v>
      </c>
      <c r="Z3730" s="782" t="s">
        <v>2583</v>
      </c>
      <c r="AA3730" s="781">
        <f>$S$1*P!AA3730</f>
        <v>2.0050403225806452E-4</v>
      </c>
      <c r="AB3730" s="780"/>
      <c r="AC3730" s="780"/>
      <c r="AD3730" s="780"/>
      <c r="AE3730" s="780"/>
      <c r="AF3730" s="780"/>
    </row>
    <row r="3731" spans="19:32" x14ac:dyDescent="0.35">
      <c r="S3731" s="782">
        <v>3727</v>
      </c>
      <c r="T3731" s="782" t="s">
        <v>4284</v>
      </c>
      <c r="U3731" s="782" t="s">
        <v>2446</v>
      </c>
      <c r="V3731" s="797">
        <f>$S$1*P!V3731</f>
        <v>1.915927419354839E-2</v>
      </c>
      <c r="W3731" s="780"/>
      <c r="X3731" s="881">
        <v>3727</v>
      </c>
      <c r="Y3731" s="881" t="s">
        <v>2248</v>
      </c>
      <c r="Z3731" s="881" t="s">
        <v>4526</v>
      </c>
      <c r="AA3731" s="882">
        <f>$S$1*P!AA3731</f>
        <v>1.0008064516129032E-3</v>
      </c>
      <c r="AB3731" s="780"/>
      <c r="AC3731" s="780"/>
      <c r="AD3731" s="780"/>
      <c r="AE3731" s="780"/>
      <c r="AF3731" s="780"/>
    </row>
    <row r="3732" spans="19:32" x14ac:dyDescent="0.35">
      <c r="S3732" s="881">
        <v>3728</v>
      </c>
      <c r="T3732" s="881" t="s">
        <v>4284</v>
      </c>
      <c r="U3732" s="881" t="s">
        <v>2446</v>
      </c>
      <c r="V3732" s="883">
        <f>$S$1*P!V3732</f>
        <v>0</v>
      </c>
      <c r="W3732" s="780"/>
      <c r="X3732" s="881">
        <v>3728</v>
      </c>
      <c r="Y3732" s="881" t="s">
        <v>2248</v>
      </c>
      <c r="Z3732" s="881" t="s">
        <v>2580</v>
      </c>
      <c r="AA3732" s="890">
        <f>$S$1*P!AA3732</f>
        <v>3.6063999999999999E-2</v>
      </c>
      <c r="AB3732" s="780"/>
      <c r="AC3732" s="780"/>
      <c r="AD3732" s="780"/>
      <c r="AE3732" s="780"/>
      <c r="AF3732" s="780"/>
    </row>
    <row r="3733" spans="19:32" x14ac:dyDescent="0.35">
      <c r="S3733" s="881">
        <v>3729</v>
      </c>
      <c r="T3733" s="881" t="s">
        <v>4284</v>
      </c>
      <c r="U3733" s="881" t="s">
        <v>2445</v>
      </c>
      <c r="V3733" s="883">
        <f>$S$1*P!V3733</f>
        <v>7.6819999999999995</v>
      </c>
      <c r="W3733" s="780"/>
      <c r="X3733" s="782">
        <v>3729</v>
      </c>
      <c r="Y3733" s="782" t="s">
        <v>2248</v>
      </c>
      <c r="Z3733" s="782" t="s">
        <v>2580</v>
      </c>
      <c r="AA3733" s="781">
        <f>$S$1*P!AA3733</f>
        <v>4.5241935483870972E-3</v>
      </c>
      <c r="AB3733" s="780"/>
      <c r="AC3733" s="780"/>
      <c r="AD3733" s="780"/>
      <c r="AE3733" s="780"/>
      <c r="AF3733" s="780"/>
    </row>
    <row r="3734" spans="19:32" x14ac:dyDescent="0.35">
      <c r="S3734" s="782">
        <v>3730</v>
      </c>
      <c r="T3734" s="782" t="s">
        <v>4284</v>
      </c>
      <c r="U3734" s="782" t="s">
        <v>2443</v>
      </c>
      <c r="V3734" s="797">
        <f>$S$1*P!V3734</f>
        <v>0.14600806451612905</v>
      </c>
      <c r="W3734" s="780"/>
      <c r="X3734" s="881">
        <v>3730</v>
      </c>
      <c r="Y3734" s="881" t="s">
        <v>2248</v>
      </c>
      <c r="Z3734" s="881" t="s">
        <v>2689</v>
      </c>
      <c r="AA3734" s="890">
        <f>$S$1*P!AA3734</f>
        <v>68.631999999999991</v>
      </c>
      <c r="AB3734" s="780"/>
      <c r="AC3734" s="780"/>
      <c r="AD3734" s="780"/>
      <c r="AE3734" s="780"/>
      <c r="AF3734" s="780"/>
    </row>
    <row r="3735" spans="19:32" x14ac:dyDescent="0.35">
      <c r="S3735" s="881">
        <v>3731</v>
      </c>
      <c r="T3735" s="881" t="s">
        <v>4284</v>
      </c>
      <c r="U3735" s="881" t="s">
        <v>2443</v>
      </c>
      <c r="V3735" s="883">
        <f>$S$1*P!V3735</f>
        <v>0</v>
      </c>
      <c r="W3735" s="780"/>
      <c r="X3735" s="881">
        <v>3731</v>
      </c>
      <c r="Y3735" s="881" t="s">
        <v>2248</v>
      </c>
      <c r="Z3735" s="881" t="s">
        <v>3246</v>
      </c>
      <c r="AA3735" s="882">
        <f>$S$1*P!AA3735</f>
        <v>1.9639112903225807E-2</v>
      </c>
      <c r="AB3735" s="780"/>
      <c r="AC3735" s="780"/>
      <c r="AD3735" s="780"/>
      <c r="AE3735" s="780"/>
      <c r="AF3735" s="780"/>
    </row>
    <row r="3736" spans="19:32" x14ac:dyDescent="0.35">
      <c r="S3736" s="782">
        <v>3732</v>
      </c>
      <c r="T3736" s="782" t="s">
        <v>4284</v>
      </c>
      <c r="U3736" s="782" t="s">
        <v>4047</v>
      </c>
      <c r="V3736" s="797">
        <f>$S$1*P!V3736</f>
        <v>8.2600806451612913E-4</v>
      </c>
      <c r="W3736" s="780"/>
      <c r="X3736" s="881">
        <v>3732</v>
      </c>
      <c r="Y3736" s="881" t="s">
        <v>2248</v>
      </c>
      <c r="Z3736" s="881" t="s">
        <v>2688</v>
      </c>
      <c r="AA3736" s="890">
        <f>$S$1*P!AA3736</f>
        <v>0.23368000000000003</v>
      </c>
      <c r="AB3736" s="780"/>
      <c r="AC3736" s="780"/>
      <c r="AD3736" s="780"/>
      <c r="AE3736" s="780"/>
      <c r="AF3736" s="780"/>
    </row>
    <row r="3737" spans="19:32" x14ac:dyDescent="0.35">
      <c r="S3737" s="881">
        <v>3733</v>
      </c>
      <c r="T3737" s="881" t="s">
        <v>4284</v>
      </c>
      <c r="U3737" s="881" t="s">
        <v>2442</v>
      </c>
      <c r="V3737" s="883">
        <f>$S$1*P!V3737</f>
        <v>0</v>
      </c>
      <c r="W3737" s="780"/>
      <c r="X3737" s="881">
        <v>3733</v>
      </c>
      <c r="Y3737" s="881" t="s">
        <v>2248</v>
      </c>
      <c r="Z3737" s="881" t="s">
        <v>2686</v>
      </c>
      <c r="AA3737" s="890">
        <f>$S$1*P!AA3737</f>
        <v>82.707999999999998</v>
      </c>
      <c r="AB3737" s="780"/>
      <c r="AC3737" s="780"/>
      <c r="AD3737" s="780"/>
      <c r="AE3737" s="780"/>
      <c r="AF3737" s="780"/>
    </row>
    <row r="3738" spans="19:32" x14ac:dyDescent="0.35">
      <c r="S3738" s="881">
        <v>3734</v>
      </c>
      <c r="T3738" s="881" t="s">
        <v>4284</v>
      </c>
      <c r="U3738" s="881" t="s">
        <v>2440</v>
      </c>
      <c r="V3738" s="883">
        <f>$S$1*P!V3738</f>
        <v>0</v>
      </c>
      <c r="W3738" s="780"/>
      <c r="X3738" s="881">
        <v>3734</v>
      </c>
      <c r="Y3738" s="881" t="s">
        <v>2248</v>
      </c>
      <c r="Z3738" s="881" t="s">
        <v>3244</v>
      </c>
      <c r="AA3738" s="882">
        <f>$S$1*P!AA3738</f>
        <v>2.3889112903225808E-6</v>
      </c>
      <c r="AB3738" s="780"/>
      <c r="AC3738" s="780"/>
      <c r="AD3738" s="780"/>
      <c r="AE3738" s="780"/>
      <c r="AF3738" s="780"/>
    </row>
    <row r="3739" spans="19:32" x14ac:dyDescent="0.35">
      <c r="S3739" s="881">
        <v>3735</v>
      </c>
      <c r="T3739" s="881" t="s">
        <v>4284</v>
      </c>
      <c r="U3739" s="881" t="s">
        <v>2439</v>
      </c>
      <c r="V3739" s="883">
        <f>$S$1*P!V3739</f>
        <v>0</v>
      </c>
      <c r="W3739" s="780"/>
      <c r="X3739" s="881">
        <v>3735</v>
      </c>
      <c r="Y3739" s="881" t="s">
        <v>2248</v>
      </c>
      <c r="Z3739" s="881" t="s">
        <v>2685</v>
      </c>
      <c r="AA3739" s="890">
        <f>$S$1*P!AA3739</f>
        <v>318.32</v>
      </c>
      <c r="AB3739" s="780"/>
      <c r="AC3739" s="780"/>
      <c r="AD3739" s="780"/>
      <c r="AE3739" s="780"/>
      <c r="AF3739" s="780"/>
    </row>
    <row r="3740" spans="19:32" x14ac:dyDescent="0.35">
      <c r="S3740" s="782">
        <v>3736</v>
      </c>
      <c r="T3740" s="782" t="s">
        <v>4284</v>
      </c>
      <c r="U3740" s="782" t="s">
        <v>4046</v>
      </c>
      <c r="V3740" s="797">
        <f>$S$1*P!V3740</f>
        <v>6.1693548387096779E-2</v>
      </c>
      <c r="W3740" s="780"/>
      <c r="X3740" s="881">
        <v>3736</v>
      </c>
      <c r="Y3740" s="881" t="s">
        <v>2248</v>
      </c>
      <c r="Z3740" s="881" t="s">
        <v>2683</v>
      </c>
      <c r="AA3740" s="890">
        <f>$S$1*P!AA3740</f>
        <v>15.087999999999999</v>
      </c>
      <c r="AB3740" s="780"/>
      <c r="AC3740" s="780"/>
      <c r="AD3740" s="780"/>
      <c r="AE3740" s="780"/>
      <c r="AF3740" s="780"/>
    </row>
    <row r="3741" spans="19:32" x14ac:dyDescent="0.35">
      <c r="S3741" s="881">
        <v>3737</v>
      </c>
      <c r="T3741" s="881" t="s">
        <v>4284</v>
      </c>
      <c r="U3741" s="881" t="s">
        <v>2437</v>
      </c>
      <c r="V3741" s="883">
        <f>$S$1*P!V3741</f>
        <v>1.2604</v>
      </c>
      <c r="W3741" s="780"/>
      <c r="X3741" s="881">
        <v>3737</v>
      </c>
      <c r="Y3741" s="881" t="s">
        <v>2248</v>
      </c>
      <c r="Z3741" s="881" t="s">
        <v>2682</v>
      </c>
      <c r="AA3741" s="890">
        <f>$S$1*P!AA3741</f>
        <v>2.4104000000000001</v>
      </c>
      <c r="AB3741" s="780"/>
      <c r="AC3741" s="780"/>
      <c r="AD3741" s="780"/>
      <c r="AE3741" s="780"/>
      <c r="AF3741" s="780"/>
    </row>
    <row r="3742" spans="19:32" x14ac:dyDescent="0.35">
      <c r="S3742" s="782">
        <v>3738</v>
      </c>
      <c r="T3742" s="782" t="s">
        <v>4284</v>
      </c>
      <c r="U3742" s="782" t="s">
        <v>4044</v>
      </c>
      <c r="V3742" s="797">
        <f>$S$1*P!V3742</f>
        <v>4.2842741935483875E-2</v>
      </c>
      <c r="W3742" s="780"/>
      <c r="X3742" s="782">
        <v>3738</v>
      </c>
      <c r="Y3742" s="782" t="s">
        <v>2248</v>
      </c>
      <c r="Z3742" s="782" t="s">
        <v>4525</v>
      </c>
      <c r="AA3742" s="781">
        <f>$S$1*P!AA3742</f>
        <v>2.7487903225806454E-3</v>
      </c>
      <c r="AB3742" s="780"/>
      <c r="AC3742" s="780"/>
      <c r="AD3742" s="780"/>
      <c r="AE3742" s="780"/>
      <c r="AF3742" s="780"/>
    </row>
    <row r="3743" spans="19:32" x14ac:dyDescent="0.35">
      <c r="S3743" s="782">
        <v>3739</v>
      </c>
      <c r="T3743" s="782" t="s">
        <v>4284</v>
      </c>
      <c r="U3743" s="782" t="s">
        <v>2435</v>
      </c>
      <c r="V3743" s="797">
        <f>$S$1*P!V3743</f>
        <v>5.8951612903225805E-6</v>
      </c>
      <c r="W3743" s="780"/>
      <c r="X3743" s="881">
        <v>3739</v>
      </c>
      <c r="Y3743" s="881" t="s">
        <v>2248</v>
      </c>
      <c r="Z3743" s="881" t="s">
        <v>2680</v>
      </c>
      <c r="AA3743" s="890">
        <f>$S$1*P!AA3743</f>
        <v>5.8420000000000005</v>
      </c>
      <c r="AB3743" s="780"/>
      <c r="AC3743" s="780"/>
      <c r="AD3743" s="780"/>
      <c r="AE3743" s="780"/>
      <c r="AF3743" s="780"/>
    </row>
    <row r="3744" spans="19:32" x14ac:dyDescent="0.35">
      <c r="S3744" s="881">
        <v>3740</v>
      </c>
      <c r="T3744" s="881" t="s">
        <v>4284</v>
      </c>
      <c r="U3744" s="881" t="s">
        <v>2435</v>
      </c>
      <c r="V3744" s="883">
        <f>$S$1*P!V3744</f>
        <v>0</v>
      </c>
      <c r="W3744" s="780"/>
      <c r="X3744" s="881">
        <v>3740</v>
      </c>
      <c r="Y3744" s="881" t="s">
        <v>2248</v>
      </c>
      <c r="Z3744" s="881" t="s">
        <v>2578</v>
      </c>
      <c r="AA3744" s="890">
        <f>$S$1*P!AA3744</f>
        <v>168.36</v>
      </c>
      <c r="AB3744" s="780"/>
      <c r="AC3744" s="780"/>
      <c r="AD3744" s="780"/>
      <c r="AE3744" s="780"/>
      <c r="AF3744" s="780"/>
    </row>
    <row r="3745" spans="19:32" x14ac:dyDescent="0.35">
      <c r="S3745" s="881">
        <v>3741</v>
      </c>
      <c r="T3745" s="881" t="s">
        <v>4284</v>
      </c>
      <c r="U3745" s="881" t="s">
        <v>2434</v>
      </c>
      <c r="V3745" s="883">
        <f>$S$1*P!V3745</f>
        <v>0.36708000000000002</v>
      </c>
      <c r="W3745" s="780"/>
      <c r="X3745" s="881">
        <v>3741</v>
      </c>
      <c r="Y3745" s="881" t="s">
        <v>2248</v>
      </c>
      <c r="Z3745" s="881" t="s">
        <v>3243</v>
      </c>
      <c r="AA3745" s="882">
        <f>$S$1*P!AA3745</f>
        <v>0.28310483870967745</v>
      </c>
      <c r="AB3745" s="780"/>
      <c r="AC3745" s="780"/>
      <c r="AD3745" s="780"/>
      <c r="AE3745" s="780"/>
      <c r="AF3745" s="780"/>
    </row>
    <row r="3746" spans="19:32" x14ac:dyDescent="0.35">
      <c r="S3746" s="881">
        <v>3742</v>
      </c>
      <c r="T3746" s="881" t="s">
        <v>4284</v>
      </c>
      <c r="U3746" s="881" t="s">
        <v>2432</v>
      </c>
      <c r="V3746" s="883">
        <f>$S$1*P!V3746</f>
        <v>1.7204000000000002</v>
      </c>
      <c r="W3746" s="780"/>
      <c r="X3746" s="782">
        <v>3742</v>
      </c>
      <c r="Y3746" s="782" t="s">
        <v>2248</v>
      </c>
      <c r="Z3746" s="782" t="s">
        <v>2578</v>
      </c>
      <c r="AA3746" s="781">
        <f>$S$1*P!AA3746</f>
        <v>1.6211693548387096E-3</v>
      </c>
      <c r="AB3746" s="780"/>
      <c r="AC3746" s="780"/>
      <c r="AD3746" s="780"/>
      <c r="AE3746" s="780"/>
      <c r="AF3746" s="780"/>
    </row>
    <row r="3747" spans="19:32" x14ac:dyDescent="0.35">
      <c r="S3747" s="782">
        <v>3743</v>
      </c>
      <c r="T3747" s="782" t="s">
        <v>4284</v>
      </c>
      <c r="U3747" s="782" t="s">
        <v>4041</v>
      </c>
      <c r="V3747" s="797">
        <f>$S$1*P!V3747</f>
        <v>2.3854838709677421E-2</v>
      </c>
      <c r="W3747" s="780"/>
      <c r="X3747" s="881">
        <v>3743</v>
      </c>
      <c r="Y3747" s="881" t="s">
        <v>2248</v>
      </c>
      <c r="Z3747" s="881" t="s">
        <v>2678</v>
      </c>
      <c r="AA3747" s="890">
        <f>$S$1*P!AA3747</f>
        <v>3.8179999999999999E-2</v>
      </c>
      <c r="AB3747" s="780"/>
      <c r="AC3747" s="780"/>
      <c r="AD3747" s="780"/>
      <c r="AE3747" s="780"/>
      <c r="AF3747" s="780"/>
    </row>
    <row r="3748" spans="19:32" x14ac:dyDescent="0.35">
      <c r="S3748" s="782">
        <v>3744</v>
      </c>
      <c r="T3748" s="782" t="s">
        <v>4284</v>
      </c>
      <c r="U3748" s="782" t="s">
        <v>4040</v>
      </c>
      <c r="V3748" s="797">
        <f>$S$1*P!V3748</f>
        <v>2.8036290322580647E-4</v>
      </c>
      <c r="W3748" s="780"/>
      <c r="X3748" s="782">
        <v>3744</v>
      </c>
      <c r="Y3748" s="782" t="s">
        <v>2248</v>
      </c>
      <c r="Z3748" s="782" t="s">
        <v>4524</v>
      </c>
      <c r="AA3748" s="781">
        <f>$S$1*P!AA3748</f>
        <v>1.7377016129032259E-2</v>
      </c>
      <c r="AB3748" s="780"/>
      <c r="AC3748" s="780"/>
      <c r="AD3748" s="780"/>
      <c r="AE3748" s="780"/>
      <c r="AF3748" s="780"/>
    </row>
    <row r="3749" spans="19:32" x14ac:dyDescent="0.35">
      <c r="S3749" s="782">
        <v>3745</v>
      </c>
      <c r="T3749" s="782" t="s">
        <v>4284</v>
      </c>
      <c r="U3749" s="782" t="s">
        <v>4038</v>
      </c>
      <c r="V3749" s="797">
        <f>$S$1*P!V3749</f>
        <v>1.6280241935483873E-4</v>
      </c>
      <c r="W3749" s="780"/>
      <c r="X3749" s="881">
        <v>3745</v>
      </c>
      <c r="Y3749" s="881" t="s">
        <v>2248</v>
      </c>
      <c r="Z3749" s="881" t="s">
        <v>2676</v>
      </c>
      <c r="AA3749" s="890">
        <f>$S$1*P!AA3749</f>
        <v>33.672000000000004</v>
      </c>
      <c r="AB3749" s="780"/>
      <c r="AC3749" s="780"/>
      <c r="AD3749" s="780"/>
      <c r="AE3749" s="780"/>
      <c r="AF3749" s="780"/>
    </row>
    <row r="3750" spans="19:32" x14ac:dyDescent="0.35">
      <c r="S3750" s="861">
        <v>3746</v>
      </c>
      <c r="T3750" s="861" t="s">
        <v>4284</v>
      </c>
      <c r="U3750" s="861" t="s">
        <v>4037</v>
      </c>
      <c r="V3750" s="862">
        <f>$S$1*P!V3750</f>
        <v>2.4877500000000001</v>
      </c>
      <c r="W3750" s="780"/>
      <c r="X3750" s="881">
        <v>3746</v>
      </c>
      <c r="Y3750" s="881" t="s">
        <v>2248</v>
      </c>
      <c r="Z3750" s="881" t="s">
        <v>2675</v>
      </c>
      <c r="AA3750" s="890">
        <f>$S$1*P!AA3750</f>
        <v>6.0995999999999997</v>
      </c>
      <c r="AB3750" s="780"/>
      <c r="AC3750" s="780"/>
      <c r="AD3750" s="780"/>
      <c r="AE3750" s="780"/>
      <c r="AF3750" s="780"/>
    </row>
    <row r="3751" spans="19:32" x14ac:dyDescent="0.35">
      <c r="S3751" s="782">
        <v>3747</v>
      </c>
      <c r="T3751" s="782" t="s">
        <v>4284</v>
      </c>
      <c r="U3751" s="782" t="s">
        <v>4037</v>
      </c>
      <c r="V3751" s="797">
        <f>$S$1*P!V3751</f>
        <v>1.5560483870967745E-6</v>
      </c>
      <c r="W3751" s="780"/>
      <c r="X3751" s="782">
        <v>3747</v>
      </c>
      <c r="Y3751" s="782" t="s">
        <v>2248</v>
      </c>
      <c r="Z3751" s="782" t="s">
        <v>2575</v>
      </c>
      <c r="AA3751" s="781">
        <f>$S$1*P!AA3751</f>
        <v>5.106854838709678E-5</v>
      </c>
      <c r="AB3751" s="780"/>
      <c r="AC3751" s="780"/>
      <c r="AD3751" s="780"/>
      <c r="AE3751" s="780"/>
      <c r="AF3751" s="780"/>
    </row>
    <row r="3752" spans="19:32" x14ac:dyDescent="0.35">
      <c r="S3752" s="782">
        <v>3748</v>
      </c>
      <c r="T3752" s="782" t="s">
        <v>4284</v>
      </c>
      <c r="U3752" s="782" t="s">
        <v>4035</v>
      </c>
      <c r="V3752" s="797">
        <f>$S$1*P!V3752</f>
        <v>1.4600806451612904E-3</v>
      </c>
      <c r="W3752" s="780"/>
      <c r="X3752" s="881">
        <v>3748</v>
      </c>
      <c r="Y3752" s="881" t="s">
        <v>2248</v>
      </c>
      <c r="Z3752" s="881" t="s">
        <v>4523</v>
      </c>
      <c r="AA3752" s="882">
        <f>$S$1*P!AA3752</f>
        <v>7.8487903225806459</v>
      </c>
      <c r="AB3752" s="780"/>
      <c r="AC3752" s="780"/>
      <c r="AD3752" s="780"/>
      <c r="AE3752" s="780"/>
      <c r="AF3752" s="780"/>
    </row>
    <row r="3753" spans="19:32" x14ac:dyDescent="0.35">
      <c r="S3753" s="782">
        <v>3749</v>
      </c>
      <c r="T3753" s="782" t="s">
        <v>4284</v>
      </c>
      <c r="U3753" s="782" t="s">
        <v>4034</v>
      </c>
      <c r="V3753" s="797">
        <f>$S$1*P!V3753</f>
        <v>1.4566532258064518E-2</v>
      </c>
      <c r="W3753" s="780"/>
      <c r="X3753" s="782">
        <v>3749</v>
      </c>
      <c r="Y3753" s="782" t="s">
        <v>2248</v>
      </c>
      <c r="Z3753" s="782" t="s">
        <v>2572</v>
      </c>
      <c r="AA3753" s="781">
        <f>$S$1*P!AA3753</f>
        <v>3.9758064516129035E-3</v>
      </c>
      <c r="AB3753" s="780"/>
      <c r="AC3753" s="780"/>
      <c r="AD3753" s="780"/>
      <c r="AE3753" s="780"/>
      <c r="AF3753" s="780"/>
    </row>
    <row r="3754" spans="19:32" x14ac:dyDescent="0.35">
      <c r="S3754" s="782">
        <v>3750</v>
      </c>
      <c r="T3754" s="782" t="s">
        <v>4284</v>
      </c>
      <c r="U3754" s="782" t="s">
        <v>2431</v>
      </c>
      <c r="V3754" s="797">
        <f>$S$1*P!V3754</f>
        <v>8.8084677419354843E-2</v>
      </c>
      <c r="W3754" s="780"/>
      <c r="X3754" s="782">
        <v>3750</v>
      </c>
      <c r="Y3754" s="782" t="s">
        <v>2248</v>
      </c>
      <c r="Z3754" s="782" t="s">
        <v>2569</v>
      </c>
      <c r="AA3754" s="781">
        <f>$S$1*P!AA3754</f>
        <v>4.4213709677419358E-4</v>
      </c>
      <c r="AB3754" s="780"/>
      <c r="AC3754" s="780"/>
      <c r="AD3754" s="780"/>
      <c r="AE3754" s="780"/>
      <c r="AF3754" s="780"/>
    </row>
    <row r="3755" spans="19:32" x14ac:dyDescent="0.35">
      <c r="S3755" s="881">
        <v>3751</v>
      </c>
      <c r="T3755" s="881" t="s">
        <v>4284</v>
      </c>
      <c r="U3755" s="881" t="s">
        <v>2431</v>
      </c>
      <c r="V3755" s="883">
        <f>$S$1*P!V3755</f>
        <v>0</v>
      </c>
      <c r="W3755" s="780"/>
      <c r="X3755" s="782">
        <v>3751</v>
      </c>
      <c r="Y3755" s="782" t="s">
        <v>2248</v>
      </c>
      <c r="Z3755" s="782" t="s">
        <v>4522</v>
      </c>
      <c r="AA3755" s="781">
        <f>$S$1*P!AA3755</f>
        <v>1.5697580645161292E-2</v>
      </c>
      <c r="AB3755" s="780"/>
      <c r="AC3755" s="780"/>
      <c r="AD3755" s="780"/>
      <c r="AE3755" s="780"/>
      <c r="AF3755" s="780"/>
    </row>
    <row r="3756" spans="19:32" x14ac:dyDescent="0.35">
      <c r="S3756" s="881">
        <v>3752</v>
      </c>
      <c r="T3756" s="881" t="s">
        <v>4284</v>
      </c>
      <c r="U3756" s="881" t="s">
        <v>2429</v>
      </c>
      <c r="V3756" s="883">
        <f>$S$1*P!V3756</f>
        <v>305.44</v>
      </c>
      <c r="W3756" s="780"/>
      <c r="X3756" s="782">
        <v>3752</v>
      </c>
      <c r="Y3756" s="782" t="s">
        <v>2248</v>
      </c>
      <c r="Z3756" s="782" t="s">
        <v>2566</v>
      </c>
      <c r="AA3756" s="781">
        <f>$S$1*P!AA3756</f>
        <v>1.038508064516129E-4</v>
      </c>
      <c r="AB3756" s="780"/>
      <c r="AC3756" s="780"/>
      <c r="AD3756" s="780"/>
      <c r="AE3756" s="780"/>
      <c r="AF3756" s="780"/>
    </row>
    <row r="3757" spans="19:32" x14ac:dyDescent="0.35">
      <c r="S3757" s="881">
        <v>3753</v>
      </c>
      <c r="T3757" s="881" t="s">
        <v>4284</v>
      </c>
      <c r="U3757" s="881" t="s">
        <v>2428</v>
      </c>
      <c r="V3757" s="883">
        <f>$S$1*P!V3757</f>
        <v>7.6820000000000005E-3</v>
      </c>
      <c r="W3757" s="780"/>
      <c r="X3757" s="782">
        <v>3753</v>
      </c>
      <c r="Y3757" s="782" t="s">
        <v>2248</v>
      </c>
      <c r="Z3757" s="782" t="s">
        <v>2564</v>
      </c>
      <c r="AA3757" s="781">
        <f>$S$1*P!AA3757</f>
        <v>2.3340725806451614E-4</v>
      </c>
      <c r="AB3757" s="780"/>
      <c r="AC3757" s="780"/>
      <c r="AD3757" s="780"/>
      <c r="AE3757" s="780"/>
      <c r="AF3757" s="780"/>
    </row>
    <row r="3758" spans="19:32" x14ac:dyDescent="0.35">
      <c r="S3758" s="782">
        <v>3754</v>
      </c>
      <c r="T3758" s="782" t="s">
        <v>4284</v>
      </c>
      <c r="U3758" s="782" t="s">
        <v>4031</v>
      </c>
      <c r="V3758" s="797">
        <f>$S$1*P!V3758</f>
        <v>3.7701612903225808E-3</v>
      </c>
      <c r="W3758" s="780"/>
      <c r="X3758" s="881">
        <v>3754</v>
      </c>
      <c r="Y3758" s="881" t="s">
        <v>2248</v>
      </c>
      <c r="Z3758" s="881" t="s">
        <v>4521</v>
      </c>
      <c r="AA3758" s="882">
        <f>$S$1*P!AA3758</f>
        <v>0.42842741935483875</v>
      </c>
      <c r="AB3758" s="780"/>
      <c r="AC3758" s="780"/>
      <c r="AD3758" s="780"/>
      <c r="AE3758" s="780"/>
      <c r="AF3758" s="780"/>
    </row>
    <row r="3759" spans="19:32" x14ac:dyDescent="0.35">
      <c r="S3759" s="782">
        <v>3755</v>
      </c>
      <c r="T3759" s="782" t="s">
        <v>4284</v>
      </c>
      <c r="U3759" s="782" t="s">
        <v>4030</v>
      </c>
      <c r="V3759" s="797">
        <f>$S$1*P!V3759</f>
        <v>1.0350806451612904E-2</v>
      </c>
      <c r="W3759" s="780"/>
      <c r="X3759" s="782">
        <v>3755</v>
      </c>
      <c r="Y3759" s="782" t="s">
        <v>2248</v>
      </c>
      <c r="Z3759" s="782" t="s">
        <v>2561</v>
      </c>
      <c r="AA3759" s="781">
        <f>$S$1*P!AA3759</f>
        <v>3.3383064516129035E-4</v>
      </c>
      <c r="AB3759" s="780"/>
      <c r="AC3759" s="780"/>
      <c r="AD3759" s="780"/>
      <c r="AE3759" s="780"/>
      <c r="AF3759" s="780"/>
    </row>
    <row r="3760" spans="19:32" x14ac:dyDescent="0.35">
      <c r="S3760" s="782">
        <v>3756</v>
      </c>
      <c r="T3760" s="782" t="s">
        <v>4284</v>
      </c>
      <c r="U3760" s="782" t="s">
        <v>4028</v>
      </c>
      <c r="V3760" s="797">
        <f>$S$1*P!V3760</f>
        <v>2.4060483870967744</v>
      </c>
      <c r="W3760" s="780"/>
      <c r="X3760" s="782">
        <v>3756</v>
      </c>
      <c r="Y3760" s="782" t="s">
        <v>2248</v>
      </c>
      <c r="Z3760" s="782" t="s">
        <v>2558</v>
      </c>
      <c r="AA3760" s="781">
        <f>$S$1*P!AA3760</f>
        <v>3.0264112903225811E-4</v>
      </c>
      <c r="AB3760" s="780"/>
      <c r="AC3760" s="780"/>
      <c r="AD3760" s="780"/>
      <c r="AE3760" s="780"/>
      <c r="AF3760" s="780"/>
    </row>
    <row r="3761" spans="19:32" x14ac:dyDescent="0.35">
      <c r="S3761" s="782">
        <v>3757</v>
      </c>
      <c r="T3761" s="782" t="s">
        <v>4284</v>
      </c>
      <c r="U3761" s="782" t="s">
        <v>2426</v>
      </c>
      <c r="V3761" s="797">
        <f>$S$1*P!V3761</f>
        <v>0.18096774193548387</v>
      </c>
      <c r="W3761" s="780"/>
      <c r="X3761" s="881">
        <v>3757</v>
      </c>
      <c r="Y3761" s="881" t="s">
        <v>2248</v>
      </c>
      <c r="Z3761" s="881" t="s">
        <v>3238</v>
      </c>
      <c r="AA3761" s="882">
        <f>$S$1*P!AA3761</f>
        <v>2.9441532258064522E-3</v>
      </c>
      <c r="AB3761" s="780"/>
      <c r="AC3761" s="780"/>
      <c r="AD3761" s="780"/>
      <c r="AE3761" s="780"/>
      <c r="AF3761" s="780"/>
    </row>
    <row r="3762" spans="19:32" x14ac:dyDescent="0.35">
      <c r="S3762" s="881">
        <v>3758</v>
      </c>
      <c r="T3762" s="881" t="s">
        <v>4284</v>
      </c>
      <c r="U3762" s="881" t="s">
        <v>2426</v>
      </c>
      <c r="V3762" s="883">
        <f>$S$1*P!V3762</f>
        <v>0</v>
      </c>
      <c r="W3762" s="780"/>
      <c r="X3762" s="782">
        <v>3758</v>
      </c>
      <c r="Y3762" s="782" t="s">
        <v>2248</v>
      </c>
      <c r="Z3762" s="782" t="s">
        <v>2555</v>
      </c>
      <c r="AA3762" s="781">
        <f>$S$1*P!AA3762</f>
        <v>5.0725806451612909E-3</v>
      </c>
      <c r="AB3762" s="780"/>
      <c r="AC3762" s="780"/>
      <c r="AD3762" s="780"/>
      <c r="AE3762" s="780"/>
      <c r="AF3762" s="780"/>
    </row>
    <row r="3763" spans="19:32" x14ac:dyDescent="0.35">
      <c r="S3763" s="782">
        <v>3759</v>
      </c>
      <c r="T3763" s="782" t="s">
        <v>4284</v>
      </c>
      <c r="U3763" s="782" t="s">
        <v>4026</v>
      </c>
      <c r="V3763" s="797">
        <f>$S$1*P!V3763</f>
        <v>3.1600806451612909E-2</v>
      </c>
      <c r="W3763" s="780"/>
      <c r="X3763" s="881">
        <v>3759</v>
      </c>
      <c r="Y3763" s="881" t="s">
        <v>2248</v>
      </c>
      <c r="Z3763" s="881" t="s">
        <v>2673</v>
      </c>
      <c r="AA3763" s="890">
        <f>$S$1*P!AA3763</f>
        <v>0</v>
      </c>
      <c r="AB3763" s="780"/>
      <c r="AC3763" s="780"/>
      <c r="AD3763" s="780"/>
      <c r="AE3763" s="780"/>
      <c r="AF3763" s="780"/>
    </row>
    <row r="3764" spans="19:32" x14ac:dyDescent="0.35">
      <c r="S3764" s="782">
        <v>3760</v>
      </c>
      <c r="T3764" s="782" t="s">
        <v>4284</v>
      </c>
      <c r="U3764" s="782" t="s">
        <v>4024</v>
      </c>
      <c r="V3764" s="797">
        <f>$S$1*P!V3764</f>
        <v>2.6391129032258069E-5</v>
      </c>
      <c r="W3764" s="780"/>
      <c r="X3764" s="881">
        <v>3760</v>
      </c>
      <c r="Y3764" s="881" t="s">
        <v>2248</v>
      </c>
      <c r="Z3764" s="881" t="s">
        <v>3237</v>
      </c>
      <c r="AA3764" s="882">
        <f>$S$1*P!AA3764</f>
        <v>0.24300403225806452</v>
      </c>
      <c r="AB3764" s="780"/>
      <c r="AC3764" s="780"/>
      <c r="AD3764" s="780"/>
      <c r="AE3764" s="780"/>
      <c r="AF3764" s="780"/>
    </row>
    <row r="3765" spans="19:32" x14ac:dyDescent="0.35">
      <c r="S3765" s="782">
        <v>3761</v>
      </c>
      <c r="T3765" s="782" t="s">
        <v>4284</v>
      </c>
      <c r="U3765" s="782" t="s">
        <v>4023</v>
      </c>
      <c r="V3765" s="797">
        <f>$S$1*P!V3765</f>
        <v>1.4977822580645162E-4</v>
      </c>
      <c r="W3765" s="780"/>
      <c r="X3765" s="782">
        <v>3761</v>
      </c>
      <c r="Y3765" s="782" t="s">
        <v>2248</v>
      </c>
      <c r="Z3765" s="782" t="s">
        <v>2553</v>
      </c>
      <c r="AA3765" s="781">
        <f>$S$1*P!AA3765</f>
        <v>5.175403225806452E-2</v>
      </c>
      <c r="AB3765" s="780"/>
      <c r="AC3765" s="780"/>
      <c r="AD3765" s="780"/>
      <c r="AE3765" s="780"/>
      <c r="AF3765" s="780"/>
    </row>
    <row r="3766" spans="19:32" x14ac:dyDescent="0.35">
      <c r="S3766" s="782">
        <v>3762</v>
      </c>
      <c r="T3766" s="782" t="s">
        <v>4284</v>
      </c>
      <c r="U3766" s="782" t="s">
        <v>4022</v>
      </c>
      <c r="V3766" s="797">
        <f>$S$1*P!V3766</f>
        <v>1.9296370967741936E-3</v>
      </c>
      <c r="W3766" s="780"/>
      <c r="X3766" s="881">
        <v>3762</v>
      </c>
      <c r="Y3766" s="881" t="s">
        <v>2248</v>
      </c>
      <c r="Z3766" s="881" t="s">
        <v>2672</v>
      </c>
      <c r="AA3766" s="890">
        <f>$S$1*P!AA3766</f>
        <v>0</v>
      </c>
      <c r="AB3766" s="780"/>
      <c r="AC3766" s="780"/>
      <c r="AD3766" s="780"/>
      <c r="AE3766" s="780"/>
      <c r="AF3766" s="780"/>
    </row>
    <row r="3767" spans="19:32" x14ac:dyDescent="0.35">
      <c r="S3767" s="881">
        <v>3763</v>
      </c>
      <c r="T3767" s="881" t="s">
        <v>4284</v>
      </c>
      <c r="U3767" s="881" t="s">
        <v>2425</v>
      </c>
      <c r="V3767" s="883">
        <f>$S$1*P!V3767</f>
        <v>0</v>
      </c>
      <c r="W3767" s="780"/>
      <c r="X3767" s="881">
        <v>3763</v>
      </c>
      <c r="Y3767" s="881" t="s">
        <v>2248</v>
      </c>
      <c r="Z3767" s="881" t="s">
        <v>4520</v>
      </c>
      <c r="AA3767" s="882">
        <f>$S$1*P!AA3767</f>
        <v>6.237903225806452E-3</v>
      </c>
      <c r="AB3767" s="780"/>
      <c r="AC3767" s="780"/>
      <c r="AD3767" s="780"/>
      <c r="AE3767" s="780"/>
      <c r="AF3767" s="780"/>
    </row>
    <row r="3768" spans="19:32" x14ac:dyDescent="0.35">
      <c r="S3768" s="782">
        <v>3764</v>
      </c>
      <c r="T3768" s="782" t="s">
        <v>4284</v>
      </c>
      <c r="U3768" s="782" t="s">
        <v>2423</v>
      </c>
      <c r="V3768" s="797">
        <f>$S$1*P!V3768</f>
        <v>1.8336693548387097E-2</v>
      </c>
      <c r="W3768" s="780"/>
      <c r="X3768" s="782">
        <v>3764</v>
      </c>
      <c r="Y3768" s="782" t="s">
        <v>2248</v>
      </c>
      <c r="Z3768" s="782" t="s">
        <v>2550</v>
      </c>
      <c r="AA3768" s="781">
        <f>$S$1*P!AA3768</f>
        <v>3.3897177419354841E-7</v>
      </c>
      <c r="AB3768" s="780"/>
      <c r="AC3768" s="780"/>
      <c r="AD3768" s="780"/>
      <c r="AE3768" s="780"/>
      <c r="AF3768" s="780"/>
    </row>
    <row r="3769" spans="19:32" x14ac:dyDescent="0.35">
      <c r="S3769" s="881">
        <v>3765</v>
      </c>
      <c r="T3769" s="881" t="s">
        <v>4284</v>
      </c>
      <c r="U3769" s="881" t="s">
        <v>2423</v>
      </c>
      <c r="V3769" s="883">
        <f>$S$1*P!V3769</f>
        <v>0</v>
      </c>
      <c r="W3769" s="780"/>
      <c r="X3769" s="881">
        <v>3765</v>
      </c>
      <c r="Y3769" s="881" t="s">
        <v>2248</v>
      </c>
      <c r="Z3769" s="881" t="s">
        <v>2547</v>
      </c>
      <c r="AA3769" s="890">
        <f>$S$1*P!AA3769</f>
        <v>0</v>
      </c>
      <c r="AB3769" s="780"/>
      <c r="AC3769" s="780"/>
      <c r="AD3769" s="780"/>
      <c r="AE3769" s="780"/>
      <c r="AF3769" s="780"/>
    </row>
    <row r="3770" spans="19:32" x14ac:dyDescent="0.35">
      <c r="S3770" s="782">
        <v>3766</v>
      </c>
      <c r="T3770" s="782" t="s">
        <v>4284</v>
      </c>
      <c r="U3770" s="782" t="s">
        <v>2421</v>
      </c>
      <c r="V3770" s="797">
        <f>$S$1*P!V3770</f>
        <v>1.1653225806451614E-3</v>
      </c>
      <c r="W3770" s="780"/>
      <c r="X3770" s="782">
        <v>3766</v>
      </c>
      <c r="Y3770" s="782" t="s">
        <v>2248</v>
      </c>
      <c r="Z3770" s="782" t="s">
        <v>2547</v>
      </c>
      <c r="AA3770" s="781">
        <f>$S$1*P!AA3770</f>
        <v>3.132661290322581E-2</v>
      </c>
      <c r="AB3770" s="780"/>
      <c r="AC3770" s="780"/>
      <c r="AD3770" s="780"/>
      <c r="AE3770" s="780"/>
      <c r="AF3770" s="780"/>
    </row>
    <row r="3771" spans="19:32" x14ac:dyDescent="0.35">
      <c r="S3771" s="881">
        <v>3767</v>
      </c>
      <c r="T3771" s="881" t="s">
        <v>4284</v>
      </c>
      <c r="U3771" s="881" t="s">
        <v>2421</v>
      </c>
      <c r="V3771" s="883">
        <f>$S$1*P!V3771</f>
        <v>0</v>
      </c>
      <c r="W3771" s="780"/>
      <c r="X3771" s="782">
        <v>3767</v>
      </c>
      <c r="Y3771" s="782" t="s">
        <v>2248</v>
      </c>
      <c r="Z3771" s="782" t="s">
        <v>4519</v>
      </c>
      <c r="AA3771" s="781">
        <f>$S$1*P!AA3771</f>
        <v>4.7641129032258069E-2</v>
      </c>
      <c r="AB3771" s="780"/>
      <c r="AC3771" s="780"/>
      <c r="AD3771" s="780"/>
      <c r="AE3771" s="780"/>
      <c r="AF3771" s="780"/>
    </row>
    <row r="3772" spans="19:32" x14ac:dyDescent="0.35">
      <c r="S3772" s="782">
        <v>3768</v>
      </c>
      <c r="T3772" s="782" t="s">
        <v>4284</v>
      </c>
      <c r="U3772" s="782" t="s">
        <v>4018</v>
      </c>
      <c r="V3772" s="797">
        <f>$S$1*P!V3772</f>
        <v>4.1471774193548392E-3</v>
      </c>
      <c r="W3772" s="780"/>
      <c r="X3772" s="881">
        <v>3768</v>
      </c>
      <c r="Y3772" s="881" t="s">
        <v>2248</v>
      </c>
      <c r="Z3772" s="881" t="s">
        <v>2544</v>
      </c>
      <c r="AA3772" s="890">
        <f>$S$1*P!AA3772</f>
        <v>0</v>
      </c>
      <c r="AB3772" s="780"/>
      <c r="AC3772" s="780"/>
      <c r="AD3772" s="780"/>
      <c r="AE3772" s="780"/>
      <c r="AF3772" s="780"/>
    </row>
    <row r="3773" spans="19:32" x14ac:dyDescent="0.35">
      <c r="S3773" s="782">
        <v>3769</v>
      </c>
      <c r="T3773" s="782" t="s">
        <v>4284</v>
      </c>
      <c r="U3773" s="782" t="s">
        <v>4017</v>
      </c>
      <c r="V3773" s="797">
        <f>$S$1*P!V3773</f>
        <v>1.7411290322580646E-5</v>
      </c>
      <c r="W3773" s="780"/>
      <c r="X3773" s="782">
        <v>3769</v>
      </c>
      <c r="Y3773" s="782" t="s">
        <v>2248</v>
      </c>
      <c r="Z3773" s="782" t="s">
        <v>2544</v>
      </c>
      <c r="AA3773" s="781">
        <f>$S$1*P!AA3773</f>
        <v>1.6931451612903227E-3</v>
      </c>
      <c r="AB3773" s="780"/>
      <c r="AC3773" s="780"/>
      <c r="AD3773" s="780"/>
      <c r="AE3773" s="780"/>
      <c r="AF3773" s="780"/>
    </row>
    <row r="3774" spans="19:32" x14ac:dyDescent="0.35">
      <c r="S3774" s="782">
        <v>3770</v>
      </c>
      <c r="T3774" s="782" t="s">
        <v>4284</v>
      </c>
      <c r="U3774" s="782" t="s">
        <v>2420</v>
      </c>
      <c r="V3774" s="797">
        <f>$S$1*P!V3774</f>
        <v>7.6088709677419359</v>
      </c>
      <c r="W3774" s="780"/>
      <c r="X3774" s="881">
        <v>3770</v>
      </c>
      <c r="Y3774" s="881" t="s">
        <v>2248</v>
      </c>
      <c r="Z3774" s="881" t="s">
        <v>4518</v>
      </c>
      <c r="AA3774" s="882">
        <f>$S$1*P!AA3774</f>
        <v>1.1481854838709677E-3</v>
      </c>
      <c r="AB3774" s="780"/>
      <c r="AC3774" s="780"/>
      <c r="AD3774" s="780"/>
      <c r="AE3774" s="780"/>
      <c r="AF3774" s="780"/>
    </row>
    <row r="3775" spans="19:32" x14ac:dyDescent="0.35">
      <c r="S3775" s="881">
        <v>3771</v>
      </c>
      <c r="T3775" s="881" t="s">
        <v>4284</v>
      </c>
      <c r="U3775" s="881" t="s">
        <v>2420</v>
      </c>
      <c r="V3775" s="883">
        <f>$S$1*P!V3775</f>
        <v>0.2944</v>
      </c>
      <c r="W3775" s="780"/>
      <c r="X3775" s="782">
        <v>3771</v>
      </c>
      <c r="Y3775" s="782" t="s">
        <v>2248</v>
      </c>
      <c r="Z3775" s="782" t="s">
        <v>2541</v>
      </c>
      <c r="AA3775" s="781">
        <f>$S$1*P!AA3775</f>
        <v>1.0316532258064516E-4</v>
      </c>
      <c r="AB3775" s="780"/>
      <c r="AC3775" s="780"/>
      <c r="AD3775" s="780"/>
      <c r="AE3775" s="780"/>
      <c r="AF3775" s="780"/>
    </row>
    <row r="3776" spans="19:32" x14ac:dyDescent="0.35">
      <c r="S3776" s="782">
        <v>3772</v>
      </c>
      <c r="T3776" s="782" t="s">
        <v>4284</v>
      </c>
      <c r="U3776" s="782" t="s">
        <v>4014</v>
      </c>
      <c r="V3776" s="797">
        <f>$S$1*P!V3776</f>
        <v>8.0201612903225816E-3</v>
      </c>
      <c r="W3776" s="780"/>
      <c r="X3776" s="881">
        <v>3772</v>
      </c>
      <c r="Y3776" s="881" t="s">
        <v>2248</v>
      </c>
      <c r="Z3776" s="881" t="s">
        <v>2669</v>
      </c>
      <c r="AA3776" s="890">
        <f>$S$1*P!AA3776</f>
        <v>7.7923999999999993E-2</v>
      </c>
      <c r="AB3776" s="780"/>
      <c r="AC3776" s="780"/>
      <c r="AD3776" s="780"/>
      <c r="AE3776" s="780"/>
      <c r="AF3776" s="780"/>
    </row>
    <row r="3777" spans="19:32" x14ac:dyDescent="0.35">
      <c r="S3777" s="782">
        <v>3773</v>
      </c>
      <c r="T3777" s="782" t="s">
        <v>4284</v>
      </c>
      <c r="U3777" s="782" t="s">
        <v>4013</v>
      </c>
      <c r="V3777" s="797">
        <f>$S$1*P!V3777</f>
        <v>7.5060483870967752E-3</v>
      </c>
      <c r="W3777" s="780"/>
      <c r="X3777" s="782">
        <v>3773</v>
      </c>
      <c r="Y3777" s="782" t="s">
        <v>2248</v>
      </c>
      <c r="Z3777" s="782" t="s">
        <v>4517</v>
      </c>
      <c r="AA3777" s="781">
        <f>$S$1*P!AA3777</f>
        <v>1.1584677419354839E-2</v>
      </c>
      <c r="AB3777" s="780"/>
      <c r="AC3777" s="780"/>
      <c r="AD3777" s="780"/>
      <c r="AE3777" s="780"/>
      <c r="AF3777" s="780"/>
    </row>
    <row r="3778" spans="19:32" x14ac:dyDescent="0.35">
      <c r="S3778" s="782">
        <v>3774</v>
      </c>
      <c r="T3778" s="782" t="s">
        <v>4284</v>
      </c>
      <c r="U3778" s="782" t="s">
        <v>4011</v>
      </c>
      <c r="V3778" s="797">
        <f>$S$1*P!V3778</f>
        <v>0.55181451612903232</v>
      </c>
      <c r="W3778" s="780"/>
      <c r="X3778" s="782">
        <v>3774</v>
      </c>
      <c r="Y3778" s="782" t="s">
        <v>2248</v>
      </c>
      <c r="Z3778" s="782" t="s">
        <v>2539</v>
      </c>
      <c r="AA3778" s="781">
        <f>$S$1*P!AA3778</f>
        <v>2.68366935483871E-4</v>
      </c>
      <c r="AB3778" s="780"/>
      <c r="AC3778" s="780"/>
      <c r="AD3778" s="780"/>
      <c r="AE3778" s="780"/>
      <c r="AF3778" s="780"/>
    </row>
    <row r="3779" spans="19:32" x14ac:dyDescent="0.35">
      <c r="S3779" s="782">
        <v>3775</v>
      </c>
      <c r="T3779" s="782" t="s">
        <v>4284</v>
      </c>
      <c r="U3779" s="782" t="s">
        <v>4010</v>
      </c>
      <c r="V3779" s="797">
        <f>$S$1*P!V3779</f>
        <v>2.0633064516129035E-2</v>
      </c>
      <c r="W3779" s="780"/>
      <c r="X3779" s="881">
        <v>3775</v>
      </c>
      <c r="Y3779" s="881" t="s">
        <v>2248</v>
      </c>
      <c r="Z3779" s="881" t="s">
        <v>2536</v>
      </c>
      <c r="AA3779" s="890">
        <f>$S$1*P!AA3779</f>
        <v>0.91539999999999999</v>
      </c>
      <c r="AB3779" s="780"/>
      <c r="AC3779" s="780"/>
      <c r="AD3779" s="780"/>
      <c r="AE3779" s="780"/>
      <c r="AF3779" s="780"/>
    </row>
    <row r="3780" spans="19:32" x14ac:dyDescent="0.35">
      <c r="S3780" s="881">
        <v>3776</v>
      </c>
      <c r="T3780" s="881" t="s">
        <v>4284</v>
      </c>
      <c r="U3780" s="881" t="s">
        <v>2418</v>
      </c>
      <c r="V3780" s="883">
        <f>$S$1*P!V3780</f>
        <v>0</v>
      </c>
      <c r="W3780" s="780"/>
      <c r="X3780" s="782">
        <v>3776</v>
      </c>
      <c r="Y3780" s="782" t="s">
        <v>2248</v>
      </c>
      <c r="Z3780" s="782" t="s">
        <v>2536</v>
      </c>
      <c r="AA3780" s="781">
        <f>$S$1*P!AA3780</f>
        <v>3.9072580645161292E-4</v>
      </c>
      <c r="AB3780" s="780"/>
      <c r="AC3780" s="780"/>
      <c r="AD3780" s="780"/>
      <c r="AE3780" s="780"/>
      <c r="AF3780" s="780"/>
    </row>
    <row r="3781" spans="19:32" x14ac:dyDescent="0.35">
      <c r="S3781" s="782">
        <v>3777</v>
      </c>
      <c r="T3781" s="782" t="s">
        <v>4284</v>
      </c>
      <c r="U3781" s="782" t="s">
        <v>4008</v>
      </c>
      <c r="V3781" s="797">
        <f>$S$1*P!V3781</f>
        <v>1.5766129032258068E-5</v>
      </c>
      <c r="W3781" s="780"/>
      <c r="X3781" s="881">
        <v>3777</v>
      </c>
      <c r="Y3781" s="881" t="s">
        <v>2248</v>
      </c>
      <c r="Z3781" s="881" t="s">
        <v>4516</v>
      </c>
      <c r="AA3781" s="882">
        <f>$S$1*P!AA3781</f>
        <v>6.3750000000000005E-3</v>
      </c>
      <c r="AB3781" s="780"/>
      <c r="AC3781" s="780"/>
      <c r="AD3781" s="780"/>
      <c r="AE3781" s="780"/>
      <c r="AF3781" s="780"/>
    </row>
    <row r="3782" spans="19:32" x14ac:dyDescent="0.35">
      <c r="S3782" s="782">
        <v>3778</v>
      </c>
      <c r="T3782" s="782" t="s">
        <v>4284</v>
      </c>
      <c r="U3782" s="782" t="s">
        <v>4007</v>
      </c>
      <c r="V3782" s="797">
        <f>$S$1*P!V3782</f>
        <v>1.0145161290322582E-2</v>
      </c>
      <c r="W3782" s="780"/>
      <c r="X3782" s="881">
        <v>3778</v>
      </c>
      <c r="Y3782" s="881" t="s">
        <v>2248</v>
      </c>
      <c r="Z3782" s="881" t="s">
        <v>2667</v>
      </c>
      <c r="AA3782" s="890">
        <f>$S$1*P!AA3782</f>
        <v>0</v>
      </c>
      <c r="AB3782" s="780"/>
      <c r="AC3782" s="780"/>
      <c r="AD3782" s="780"/>
      <c r="AE3782" s="780"/>
      <c r="AF3782" s="780"/>
    </row>
    <row r="3783" spans="19:32" x14ac:dyDescent="0.35">
      <c r="S3783" s="782">
        <v>3779</v>
      </c>
      <c r="T3783" s="782" t="s">
        <v>4284</v>
      </c>
      <c r="U3783" s="782" t="s">
        <v>4005</v>
      </c>
      <c r="V3783" s="797">
        <f>$S$1*P!V3783</f>
        <v>4.1129032258064518E-5</v>
      </c>
      <c r="W3783" s="780"/>
      <c r="X3783" s="782">
        <v>3779</v>
      </c>
      <c r="Y3783" s="782" t="s">
        <v>2248</v>
      </c>
      <c r="Z3783" s="782" t="s">
        <v>2533</v>
      </c>
      <c r="AA3783" s="781">
        <f>$S$1*P!AA3783</f>
        <v>5.1411290322580646E-3</v>
      </c>
      <c r="AB3783" s="780"/>
      <c r="AC3783" s="780"/>
      <c r="AD3783" s="780"/>
      <c r="AE3783" s="780"/>
      <c r="AF3783" s="780"/>
    </row>
    <row r="3784" spans="19:32" x14ac:dyDescent="0.35">
      <c r="S3784" s="881">
        <v>3780</v>
      </c>
      <c r="T3784" s="881" t="s">
        <v>4284</v>
      </c>
      <c r="U3784" s="881" t="s">
        <v>2417</v>
      </c>
      <c r="V3784" s="883">
        <f>$S$1*P!V3784</f>
        <v>0</v>
      </c>
      <c r="W3784" s="780"/>
      <c r="X3784" s="782">
        <v>3780</v>
      </c>
      <c r="Y3784" s="782" t="s">
        <v>2248</v>
      </c>
      <c r="Z3784" s="782" t="s">
        <v>3235</v>
      </c>
      <c r="AA3784" s="781">
        <f>$S$1*P!AA3784</f>
        <v>8.2943548387096782E-5</v>
      </c>
      <c r="AB3784" s="780"/>
      <c r="AC3784" s="780"/>
      <c r="AD3784" s="780"/>
      <c r="AE3784" s="780"/>
      <c r="AF3784" s="780"/>
    </row>
    <row r="3785" spans="19:32" x14ac:dyDescent="0.35">
      <c r="S3785" s="782">
        <v>3781</v>
      </c>
      <c r="T3785" s="782" t="s">
        <v>4284</v>
      </c>
      <c r="U3785" s="782" t="s">
        <v>2415</v>
      </c>
      <c r="V3785" s="797">
        <f>$S$1*P!V3785</f>
        <v>2.4677419354838713E-2</v>
      </c>
      <c r="W3785" s="780"/>
      <c r="X3785" s="782">
        <v>3781</v>
      </c>
      <c r="Y3785" s="782" t="s">
        <v>2248</v>
      </c>
      <c r="Z3785" s="782" t="s">
        <v>2530</v>
      </c>
      <c r="AA3785" s="781">
        <f>$S$1*P!AA3785</f>
        <v>1.1207661290322581E-2</v>
      </c>
      <c r="AB3785" s="780"/>
      <c r="AC3785" s="780"/>
      <c r="AD3785" s="780"/>
      <c r="AE3785" s="780"/>
      <c r="AF3785" s="780"/>
    </row>
    <row r="3786" spans="19:32" x14ac:dyDescent="0.35">
      <c r="S3786" s="881">
        <v>3782</v>
      </c>
      <c r="T3786" s="881" t="s">
        <v>4284</v>
      </c>
      <c r="U3786" s="881" t="s">
        <v>2415</v>
      </c>
      <c r="V3786" s="883">
        <f>$S$1*P!V3786</f>
        <v>0.33396000000000003</v>
      </c>
      <c r="W3786" s="780"/>
      <c r="X3786" s="782">
        <v>3782</v>
      </c>
      <c r="Y3786" s="782" t="s">
        <v>2248</v>
      </c>
      <c r="Z3786" s="782" t="s">
        <v>2528</v>
      </c>
      <c r="AA3786" s="781">
        <f>$S$1*P!AA3786</f>
        <v>1.052217741935484E-3</v>
      </c>
      <c r="AB3786" s="780"/>
      <c r="AC3786" s="780"/>
      <c r="AD3786" s="780"/>
      <c r="AE3786" s="780"/>
      <c r="AF3786" s="780"/>
    </row>
    <row r="3787" spans="19:32" x14ac:dyDescent="0.35">
      <c r="S3787" s="782">
        <v>3783</v>
      </c>
      <c r="T3787" s="782" t="s">
        <v>4284</v>
      </c>
      <c r="U3787" s="782" t="s">
        <v>4003</v>
      </c>
      <c r="V3787" s="797">
        <f>$S$1*P!V3787</f>
        <v>5.2782258064516138E-5</v>
      </c>
      <c r="W3787" s="780"/>
      <c r="X3787" s="881">
        <v>3783</v>
      </c>
      <c r="Y3787" s="881" t="s">
        <v>2248</v>
      </c>
      <c r="Z3787" s="881" t="s">
        <v>3233</v>
      </c>
      <c r="AA3787" s="882">
        <f>$S$1*P!AA3787</f>
        <v>0.13949596774193548</v>
      </c>
      <c r="AB3787" s="780"/>
      <c r="AC3787" s="780"/>
      <c r="AD3787" s="780"/>
      <c r="AE3787" s="780"/>
      <c r="AF3787" s="780"/>
    </row>
    <row r="3788" spans="19:32" x14ac:dyDescent="0.35">
      <c r="S3788" s="881">
        <v>3784</v>
      </c>
      <c r="T3788" s="881" t="s">
        <v>4284</v>
      </c>
      <c r="U3788" s="881" t="s">
        <v>2414</v>
      </c>
      <c r="V3788" s="883">
        <f>$S$1*P!V3788</f>
        <v>12.696</v>
      </c>
      <c r="W3788" s="780"/>
      <c r="X3788" s="782">
        <v>3784</v>
      </c>
      <c r="Y3788" s="782" t="s">
        <v>2248</v>
      </c>
      <c r="Z3788" s="782" t="s">
        <v>2525</v>
      </c>
      <c r="AA3788" s="781">
        <f>$S$1*P!AA3788</f>
        <v>8.9112903225806455E-4</v>
      </c>
      <c r="AB3788" s="780"/>
      <c r="AC3788" s="780"/>
      <c r="AD3788" s="780"/>
      <c r="AE3788" s="780"/>
      <c r="AF3788" s="780"/>
    </row>
    <row r="3789" spans="19:32" x14ac:dyDescent="0.35">
      <c r="S3789" s="782">
        <v>3785</v>
      </c>
      <c r="T3789" s="782" t="s">
        <v>4284</v>
      </c>
      <c r="U3789" s="782" t="s">
        <v>4002</v>
      </c>
      <c r="V3789" s="797">
        <f>$S$1*P!V3789</f>
        <v>2.0770161290322582E-5</v>
      </c>
      <c r="W3789" s="780"/>
      <c r="X3789" s="782">
        <v>3785</v>
      </c>
      <c r="Y3789" s="782" t="s">
        <v>2248</v>
      </c>
      <c r="Z3789" s="782" t="s">
        <v>2522</v>
      </c>
      <c r="AA3789" s="781">
        <f>$S$1*P!AA3789</f>
        <v>1.3846774193548388E-3</v>
      </c>
      <c r="AB3789" s="780"/>
      <c r="AC3789" s="780"/>
      <c r="AD3789" s="780"/>
      <c r="AE3789" s="780"/>
      <c r="AF3789" s="780"/>
    </row>
    <row r="3790" spans="19:32" x14ac:dyDescent="0.35">
      <c r="S3790" s="782">
        <v>3786</v>
      </c>
      <c r="T3790" s="782" t="s">
        <v>4284</v>
      </c>
      <c r="U3790" s="782" t="s">
        <v>2412</v>
      </c>
      <c r="V3790" s="797">
        <f>$S$1*P!V3790</f>
        <v>8.6370967741935498E-6</v>
      </c>
      <c r="W3790" s="780"/>
      <c r="X3790" s="782">
        <v>3786</v>
      </c>
      <c r="Y3790" s="782" t="s">
        <v>2248</v>
      </c>
      <c r="Z3790" s="782" t="s">
        <v>2519</v>
      </c>
      <c r="AA3790" s="781">
        <f>$S$1*P!AA3790</f>
        <v>1.878225806451613E-3</v>
      </c>
      <c r="AB3790" s="780"/>
      <c r="AC3790" s="780"/>
      <c r="AD3790" s="780"/>
      <c r="AE3790" s="780"/>
      <c r="AF3790" s="780"/>
    </row>
    <row r="3791" spans="19:32" x14ac:dyDescent="0.35">
      <c r="S3791" s="881">
        <v>3787</v>
      </c>
      <c r="T3791" s="881" t="s">
        <v>4284</v>
      </c>
      <c r="U3791" s="881" t="s">
        <v>2412</v>
      </c>
      <c r="V3791" s="883">
        <f>$S$1*P!V3791</f>
        <v>9.0251999999999999E-2</v>
      </c>
      <c r="W3791" s="780"/>
      <c r="X3791" s="881">
        <v>3787</v>
      </c>
      <c r="Y3791" s="881" t="s">
        <v>2248</v>
      </c>
      <c r="Z3791" s="881" t="s">
        <v>3232</v>
      </c>
      <c r="AA3791" s="882">
        <f>$S$1*P!AA3791</f>
        <v>0.13949596774193548</v>
      </c>
      <c r="AB3791" s="780"/>
      <c r="AC3791" s="780"/>
      <c r="AD3791" s="780"/>
      <c r="AE3791" s="780"/>
      <c r="AF3791" s="780"/>
    </row>
    <row r="3792" spans="19:32" x14ac:dyDescent="0.35">
      <c r="S3792" s="782">
        <v>3788</v>
      </c>
      <c r="T3792" s="782" t="s">
        <v>4284</v>
      </c>
      <c r="U3792" s="782" t="s">
        <v>3999</v>
      </c>
      <c r="V3792" s="797">
        <f>$S$1*P!V3792</f>
        <v>7.643145161290323E-5</v>
      </c>
      <c r="W3792" s="780"/>
      <c r="X3792" s="881">
        <v>3788</v>
      </c>
      <c r="Y3792" s="881" t="s">
        <v>2248</v>
      </c>
      <c r="Z3792" s="881" t="s">
        <v>2516</v>
      </c>
      <c r="AA3792" s="890">
        <f>$S$1*P!AA3792</f>
        <v>0</v>
      </c>
      <c r="AB3792" s="780"/>
      <c r="AC3792" s="780"/>
      <c r="AD3792" s="780"/>
      <c r="AE3792" s="780"/>
      <c r="AF3792" s="780"/>
    </row>
    <row r="3793" spans="19:32" x14ac:dyDescent="0.35">
      <c r="S3793" s="782">
        <v>3789</v>
      </c>
      <c r="T3793" s="782" t="s">
        <v>4284</v>
      </c>
      <c r="U3793" s="782" t="s">
        <v>3998</v>
      </c>
      <c r="V3793" s="797">
        <f>$S$1*P!V3793</f>
        <v>1.5868951612903227E-2</v>
      </c>
      <c r="W3793" s="780"/>
      <c r="X3793" s="782">
        <v>3789</v>
      </c>
      <c r="Y3793" s="782" t="s">
        <v>2248</v>
      </c>
      <c r="Z3793" s="782" t="s">
        <v>2516</v>
      </c>
      <c r="AA3793" s="781">
        <f>$S$1*P!AA3793</f>
        <v>1.6383064516129035E-2</v>
      </c>
      <c r="AB3793" s="780"/>
      <c r="AC3793" s="780"/>
      <c r="AD3793" s="780"/>
      <c r="AE3793" s="780"/>
      <c r="AF3793" s="780"/>
    </row>
    <row r="3794" spans="19:32" x14ac:dyDescent="0.35">
      <c r="S3794" s="922">
        <v>3790</v>
      </c>
      <c r="T3794" s="922" t="s">
        <v>4284</v>
      </c>
      <c r="U3794" s="922" t="s">
        <v>4515</v>
      </c>
      <c r="V3794" s="923">
        <f>$S$1*P!V3794</f>
        <v>5.4999999949999996</v>
      </c>
      <c r="W3794" s="780"/>
      <c r="X3794" s="881">
        <v>3790</v>
      </c>
      <c r="Y3794" s="881" t="s">
        <v>2248</v>
      </c>
      <c r="Z3794" s="881" t="s">
        <v>3231</v>
      </c>
      <c r="AA3794" s="882">
        <f>$S$1*P!AA3794</f>
        <v>1.795967741935484</v>
      </c>
      <c r="AB3794" s="780"/>
      <c r="AC3794" s="780"/>
      <c r="AD3794" s="780"/>
      <c r="AE3794" s="780"/>
      <c r="AF3794" s="780"/>
    </row>
    <row r="3795" spans="19:32" x14ac:dyDescent="0.35">
      <c r="S3795" s="782">
        <v>3791</v>
      </c>
      <c r="T3795" s="782" t="s">
        <v>4284</v>
      </c>
      <c r="U3795" s="782" t="s">
        <v>2410</v>
      </c>
      <c r="V3795" s="797">
        <f>$S$1*P!V3795</f>
        <v>5.3810483870967745E-6</v>
      </c>
      <c r="W3795" s="780"/>
      <c r="X3795" s="881">
        <v>3791</v>
      </c>
      <c r="Y3795" s="881" t="s">
        <v>2248</v>
      </c>
      <c r="Z3795" s="881" t="s">
        <v>2665</v>
      </c>
      <c r="AA3795" s="890">
        <f>$S$1*P!AA3795</f>
        <v>58.512</v>
      </c>
      <c r="AB3795" s="780"/>
      <c r="AC3795" s="780"/>
      <c r="AD3795" s="780"/>
      <c r="AE3795" s="780"/>
      <c r="AF3795" s="780"/>
    </row>
    <row r="3796" spans="19:32" x14ac:dyDescent="0.35">
      <c r="S3796" s="881">
        <v>3792</v>
      </c>
      <c r="T3796" s="881" t="s">
        <v>4284</v>
      </c>
      <c r="U3796" s="881" t="s">
        <v>2410</v>
      </c>
      <c r="V3796" s="883">
        <f>$S$1*P!V3796</f>
        <v>0</v>
      </c>
      <c r="W3796" s="780"/>
      <c r="X3796" s="782">
        <v>3792</v>
      </c>
      <c r="Y3796" s="782" t="s">
        <v>2248</v>
      </c>
      <c r="Z3796" s="782" t="s">
        <v>2514</v>
      </c>
      <c r="AA3796" s="781">
        <f>$S$1*P!AA3796</f>
        <v>8.9112903225806455E-4</v>
      </c>
      <c r="AB3796" s="780"/>
      <c r="AC3796" s="780"/>
      <c r="AD3796" s="780"/>
      <c r="AE3796" s="780"/>
      <c r="AF3796" s="780"/>
    </row>
    <row r="3797" spans="19:32" x14ac:dyDescent="0.35">
      <c r="S3797" s="881">
        <v>3793</v>
      </c>
      <c r="T3797" s="881" t="s">
        <v>4284</v>
      </c>
      <c r="U3797" s="881" t="s">
        <v>2409</v>
      </c>
      <c r="V3797" s="883">
        <f>$S$1*P!V3797</f>
        <v>0</v>
      </c>
      <c r="W3797" s="780"/>
      <c r="X3797" s="881">
        <v>3793</v>
      </c>
      <c r="Y3797" s="881" t="s">
        <v>2248</v>
      </c>
      <c r="Z3797" s="881" t="s">
        <v>3230</v>
      </c>
      <c r="AA3797" s="882">
        <f>$S$1*P!AA3797</f>
        <v>9.4254032258064523E-3</v>
      </c>
      <c r="AB3797" s="780"/>
      <c r="AC3797" s="780"/>
      <c r="AD3797" s="780"/>
      <c r="AE3797" s="780"/>
      <c r="AF3797" s="780"/>
    </row>
    <row r="3798" spans="19:32" x14ac:dyDescent="0.35">
      <c r="S3798" s="782">
        <v>3794</v>
      </c>
      <c r="T3798" s="782" t="s">
        <v>4284</v>
      </c>
      <c r="U3798" s="782" t="s">
        <v>3995</v>
      </c>
      <c r="V3798" s="797">
        <f>$S$1*P!V3798</f>
        <v>4.215725806451613E-5</v>
      </c>
      <c r="W3798" s="780"/>
      <c r="X3798" s="782">
        <v>3794</v>
      </c>
      <c r="Y3798" s="782" t="s">
        <v>2248</v>
      </c>
      <c r="Z3798" s="782" t="s">
        <v>2511</v>
      </c>
      <c r="AA3798" s="781">
        <f>$S$1*P!AA3798</f>
        <v>9.5625000000000007E-5</v>
      </c>
      <c r="AB3798" s="780"/>
      <c r="AC3798" s="780"/>
      <c r="AD3798" s="780"/>
      <c r="AE3798" s="780"/>
      <c r="AF3798" s="780"/>
    </row>
    <row r="3799" spans="19:32" x14ac:dyDescent="0.35">
      <c r="S3799" s="782">
        <v>3795</v>
      </c>
      <c r="T3799" s="782" t="s">
        <v>4284</v>
      </c>
      <c r="U3799" s="782" t="s">
        <v>3994</v>
      </c>
      <c r="V3799" s="797">
        <f>$S$1*P!V3799</f>
        <v>7.4717741935483874E-4</v>
      </c>
      <c r="W3799" s="780"/>
      <c r="X3799" s="782">
        <v>3795</v>
      </c>
      <c r="Y3799" s="782" t="s">
        <v>2248</v>
      </c>
      <c r="Z3799" s="782" t="s">
        <v>2508</v>
      </c>
      <c r="AA3799" s="781">
        <f>$S$1*P!AA3799</f>
        <v>1.1584677419354839E-8</v>
      </c>
      <c r="AB3799" s="780"/>
      <c r="AC3799" s="780"/>
      <c r="AD3799" s="780"/>
      <c r="AE3799" s="780"/>
      <c r="AF3799" s="780"/>
    </row>
    <row r="3800" spans="19:32" x14ac:dyDescent="0.35">
      <c r="S3800" s="782">
        <v>3796</v>
      </c>
      <c r="T3800" s="782" t="s">
        <v>4284</v>
      </c>
      <c r="U3800" s="782" t="s">
        <v>3992</v>
      </c>
      <c r="V3800" s="797">
        <f>$S$1*P!V3800</f>
        <v>1.2681451612903226E-2</v>
      </c>
      <c r="W3800" s="780"/>
      <c r="X3800" s="881">
        <v>3796</v>
      </c>
      <c r="Y3800" s="881" t="s">
        <v>2248</v>
      </c>
      <c r="Z3800" s="881" t="s">
        <v>2663</v>
      </c>
      <c r="AA3800" s="890">
        <f>$S$1*P!AA3800</f>
        <v>0</v>
      </c>
      <c r="AB3800" s="780"/>
      <c r="AC3800" s="780"/>
      <c r="AD3800" s="780"/>
      <c r="AE3800" s="780"/>
      <c r="AF3800" s="780"/>
    </row>
    <row r="3801" spans="19:32" x14ac:dyDescent="0.35">
      <c r="S3801" s="782">
        <v>3797</v>
      </c>
      <c r="T3801" s="782" t="s">
        <v>4284</v>
      </c>
      <c r="U3801" s="782" t="s">
        <v>3991</v>
      </c>
      <c r="V3801" s="797">
        <f>$S$1*P!V3801</f>
        <v>1.2133064516129033</v>
      </c>
      <c r="W3801" s="780"/>
      <c r="X3801" s="782">
        <v>3797</v>
      </c>
      <c r="Y3801" s="782" t="s">
        <v>2248</v>
      </c>
      <c r="Z3801" s="782" t="s">
        <v>4514</v>
      </c>
      <c r="AA3801" s="781">
        <f>$S$1*P!AA3801</f>
        <v>5.5181451612903235E-6</v>
      </c>
      <c r="AB3801" s="780"/>
      <c r="AC3801" s="780"/>
      <c r="AD3801" s="780"/>
      <c r="AE3801" s="780"/>
      <c r="AF3801" s="780"/>
    </row>
    <row r="3802" spans="19:32" x14ac:dyDescent="0.35">
      <c r="S3802" s="782">
        <v>3798</v>
      </c>
      <c r="T3802" s="782" t="s">
        <v>4284</v>
      </c>
      <c r="U3802" s="782" t="s">
        <v>3990</v>
      </c>
      <c r="V3802" s="797">
        <f>$S$1*P!V3802</f>
        <v>0.20667338709677421</v>
      </c>
      <c r="W3802" s="780"/>
      <c r="X3802" s="782">
        <v>3798</v>
      </c>
      <c r="Y3802" s="782" t="s">
        <v>2248</v>
      </c>
      <c r="Z3802" s="782" t="s">
        <v>2505</v>
      </c>
      <c r="AA3802" s="781">
        <f>$S$1*P!AA3802</f>
        <v>4.2500000000000003E-10</v>
      </c>
      <c r="AB3802" s="780"/>
      <c r="AC3802" s="780"/>
      <c r="AD3802" s="780"/>
      <c r="AE3802" s="780"/>
      <c r="AF3802" s="780"/>
    </row>
    <row r="3803" spans="19:32" x14ac:dyDescent="0.35">
      <c r="S3803" s="782">
        <v>3799</v>
      </c>
      <c r="T3803" s="782" t="s">
        <v>4284</v>
      </c>
      <c r="U3803" s="782" t="s">
        <v>3989</v>
      </c>
      <c r="V3803" s="797">
        <f>$S$1*P!V3803</f>
        <v>3.1806451612903228E-2</v>
      </c>
      <c r="W3803" s="780"/>
      <c r="X3803" s="782">
        <v>3799</v>
      </c>
      <c r="Y3803" s="782" t="s">
        <v>2248</v>
      </c>
      <c r="Z3803" s="782" t="s">
        <v>2503</v>
      </c>
      <c r="AA3803" s="781">
        <f>$S$1*P!AA3803</f>
        <v>6.0665322580645168E-5</v>
      </c>
      <c r="AB3803" s="780"/>
      <c r="AC3803" s="780"/>
      <c r="AD3803" s="780"/>
      <c r="AE3803" s="780"/>
      <c r="AF3803" s="780"/>
    </row>
    <row r="3804" spans="19:32" x14ac:dyDescent="0.35">
      <c r="S3804" s="881">
        <v>3800</v>
      </c>
      <c r="T3804" s="881" t="s">
        <v>4284</v>
      </c>
      <c r="U3804" s="881" t="s">
        <v>2407</v>
      </c>
      <c r="V3804" s="883">
        <f>$S$1*P!V3804</f>
        <v>162.84</v>
      </c>
      <c r="W3804" s="780"/>
      <c r="X3804" s="881">
        <v>3800</v>
      </c>
      <c r="Y3804" s="881" t="s">
        <v>2248</v>
      </c>
      <c r="Z3804" s="881" t="s">
        <v>4513</v>
      </c>
      <c r="AA3804" s="882">
        <f>$S$1*P!AA3804</f>
        <v>6.2721774193548398E-4</v>
      </c>
      <c r="AB3804" s="780"/>
      <c r="AC3804" s="780"/>
      <c r="AD3804" s="780"/>
      <c r="AE3804" s="780"/>
      <c r="AF3804" s="780"/>
    </row>
    <row r="3805" spans="19:32" x14ac:dyDescent="0.35">
      <c r="S3805" s="881">
        <v>3801</v>
      </c>
      <c r="T3805" s="881" t="s">
        <v>4284</v>
      </c>
      <c r="U3805" s="881" t="s">
        <v>2406</v>
      </c>
      <c r="V3805" s="883">
        <f>$S$1*P!V3805</f>
        <v>0</v>
      </c>
      <c r="W3805" s="780"/>
      <c r="X3805" s="782">
        <v>3801</v>
      </c>
      <c r="Y3805" s="782" t="s">
        <v>2248</v>
      </c>
      <c r="Z3805" s="782" t="s">
        <v>2500</v>
      </c>
      <c r="AA3805" s="781">
        <f>$S$1*P!AA3805</f>
        <v>9.116935483870969E-4</v>
      </c>
      <c r="AB3805" s="780"/>
      <c r="AC3805" s="780"/>
      <c r="AD3805" s="780"/>
      <c r="AE3805" s="780"/>
      <c r="AF3805" s="780"/>
    </row>
    <row r="3806" spans="19:32" x14ac:dyDescent="0.35">
      <c r="S3806" s="782">
        <v>3802</v>
      </c>
      <c r="T3806" s="782" t="s">
        <v>4284</v>
      </c>
      <c r="U3806" s="782" t="s">
        <v>3988</v>
      </c>
      <c r="V3806" s="797">
        <f>$S$1*P!V3806</f>
        <v>3.0538306451612907E-6</v>
      </c>
      <c r="W3806" s="780"/>
      <c r="X3806" s="782">
        <v>3802</v>
      </c>
      <c r="Y3806" s="782" t="s">
        <v>2248</v>
      </c>
      <c r="Z3806" s="782" t="s">
        <v>2497</v>
      </c>
      <c r="AA3806" s="781">
        <f>$S$1*P!AA3806</f>
        <v>8.9798387096774197E-3</v>
      </c>
      <c r="AB3806" s="780"/>
      <c r="AC3806" s="780"/>
      <c r="AD3806" s="780"/>
      <c r="AE3806" s="780"/>
      <c r="AF3806" s="780"/>
    </row>
    <row r="3807" spans="19:32" x14ac:dyDescent="0.35">
      <c r="S3807" s="782">
        <v>3803</v>
      </c>
      <c r="T3807" s="782" t="s">
        <v>4284</v>
      </c>
      <c r="U3807" s="782" t="s">
        <v>3986</v>
      </c>
      <c r="V3807" s="797">
        <f>$S$1*P!V3807</f>
        <v>1.8405241935483871</v>
      </c>
      <c r="W3807" s="780"/>
      <c r="X3807" s="782">
        <v>3803</v>
      </c>
      <c r="Y3807" s="782" t="s">
        <v>2248</v>
      </c>
      <c r="Z3807" s="782" t="s">
        <v>4512</v>
      </c>
      <c r="AA3807" s="781">
        <f>$S$1*P!AA3807</f>
        <v>4.5927419354838711E-2</v>
      </c>
      <c r="AB3807" s="780"/>
      <c r="AC3807" s="780"/>
      <c r="AD3807" s="780"/>
      <c r="AE3807" s="780"/>
      <c r="AF3807" s="780"/>
    </row>
    <row r="3808" spans="19:32" x14ac:dyDescent="0.35">
      <c r="S3808" s="782">
        <v>3804</v>
      </c>
      <c r="T3808" s="782" t="s">
        <v>4284</v>
      </c>
      <c r="U3808" s="782" t="s">
        <v>3985</v>
      </c>
      <c r="V3808" s="797">
        <f>$S$1*P!V3808</f>
        <v>3.8387096774193552E-2</v>
      </c>
      <c r="W3808" s="780"/>
      <c r="X3808" s="782">
        <v>3804</v>
      </c>
      <c r="Y3808" s="782" t="s">
        <v>2248</v>
      </c>
      <c r="Z3808" s="782" t="s">
        <v>2494</v>
      </c>
      <c r="AA3808" s="781">
        <f>$S$1*P!AA3808</f>
        <v>9.45967741935484E-4</v>
      </c>
      <c r="AB3808" s="780"/>
      <c r="AC3808" s="780"/>
      <c r="AD3808" s="780"/>
      <c r="AE3808" s="780"/>
      <c r="AF3808" s="780"/>
    </row>
    <row r="3809" spans="19:32" x14ac:dyDescent="0.35">
      <c r="S3809" s="861">
        <v>3805</v>
      </c>
      <c r="T3809" s="861" t="s">
        <v>4284</v>
      </c>
      <c r="U3809" s="898" t="s">
        <v>2404</v>
      </c>
      <c r="V3809" s="899">
        <f>$S$1*P!V3809</f>
        <v>1.2839999999999998</v>
      </c>
      <c r="W3809" s="780"/>
      <c r="X3809" s="782">
        <v>3805</v>
      </c>
      <c r="Y3809" s="782" t="s">
        <v>2248</v>
      </c>
      <c r="Z3809" s="782" t="s">
        <v>2491</v>
      </c>
      <c r="AA3809" s="781">
        <f>$S$1*P!AA3809</f>
        <v>3.0881048387096776E-3</v>
      </c>
      <c r="AB3809" s="780"/>
      <c r="AC3809" s="780"/>
      <c r="AD3809" s="780"/>
      <c r="AE3809" s="780"/>
      <c r="AF3809" s="780"/>
    </row>
    <row r="3810" spans="19:32" x14ac:dyDescent="0.35">
      <c r="S3810" s="782">
        <v>3806</v>
      </c>
      <c r="T3810" s="782" t="s">
        <v>4284</v>
      </c>
      <c r="U3810" s="782" t="s">
        <v>2404</v>
      </c>
      <c r="V3810" s="797">
        <f>$S$1*P!V3810</f>
        <v>5.3125E-7</v>
      </c>
      <c r="W3810" s="780"/>
      <c r="X3810" s="782">
        <v>3806</v>
      </c>
      <c r="Y3810" s="782" t="s">
        <v>2248</v>
      </c>
      <c r="Z3810" s="782" t="s">
        <v>2489</v>
      </c>
      <c r="AA3810" s="781">
        <f>$S$1*P!AA3810</f>
        <v>7.643145161290323E-5</v>
      </c>
      <c r="AB3810" s="780"/>
      <c r="AC3810" s="780"/>
      <c r="AD3810" s="780"/>
      <c r="AE3810" s="780"/>
      <c r="AF3810" s="780"/>
    </row>
    <row r="3811" spans="19:32" x14ac:dyDescent="0.35">
      <c r="S3811" s="881">
        <v>3807</v>
      </c>
      <c r="T3811" s="881" t="s">
        <v>4284</v>
      </c>
      <c r="U3811" s="881" t="s">
        <v>2404</v>
      </c>
      <c r="V3811" s="883">
        <f>$S$1*P!V3811</f>
        <v>0.47011999999999998</v>
      </c>
      <c r="W3811" s="780"/>
      <c r="X3811" s="881">
        <v>3807</v>
      </c>
      <c r="Y3811" s="881" t="s">
        <v>2248</v>
      </c>
      <c r="Z3811" s="881" t="s">
        <v>3222</v>
      </c>
      <c r="AA3811" s="882">
        <f>$S$1*P!AA3811</f>
        <v>3.804435483870968E-4</v>
      </c>
      <c r="AB3811" s="780"/>
      <c r="AC3811" s="780"/>
      <c r="AD3811" s="780"/>
      <c r="AE3811" s="780"/>
      <c r="AF3811" s="780"/>
    </row>
    <row r="3812" spans="19:32" x14ac:dyDescent="0.35">
      <c r="S3812" s="881">
        <v>3808</v>
      </c>
      <c r="T3812" s="881" t="s">
        <v>4284</v>
      </c>
      <c r="U3812" s="881" t="s">
        <v>2403</v>
      </c>
      <c r="V3812" s="883">
        <f>$S$1*P!V3812</f>
        <v>0</v>
      </c>
      <c r="W3812" s="780"/>
      <c r="X3812" s="782">
        <v>3808</v>
      </c>
      <c r="Y3812" s="782" t="s">
        <v>2248</v>
      </c>
      <c r="Z3812" s="782" t="s">
        <v>2486</v>
      </c>
      <c r="AA3812" s="781">
        <f>$S$1*P!AA3812</f>
        <v>1.1858870967741937E-4</v>
      </c>
      <c r="AB3812" s="780"/>
      <c r="AC3812" s="780"/>
      <c r="AD3812" s="780"/>
      <c r="AE3812" s="780"/>
      <c r="AF3812" s="780"/>
    </row>
    <row r="3813" spans="19:32" x14ac:dyDescent="0.35">
      <c r="S3813" s="881">
        <v>3809</v>
      </c>
      <c r="T3813" s="881" t="s">
        <v>4284</v>
      </c>
      <c r="U3813" s="881" t="s">
        <v>2401</v>
      </c>
      <c r="V3813" s="883">
        <f>$S$1*P!V3813</f>
        <v>0</v>
      </c>
      <c r="W3813" s="780"/>
      <c r="X3813" s="782">
        <v>3809</v>
      </c>
      <c r="Y3813" s="782" t="s">
        <v>2248</v>
      </c>
      <c r="Z3813" s="782" t="s">
        <v>2483</v>
      </c>
      <c r="AA3813" s="781">
        <f>$S$1*P!AA3813</f>
        <v>3.5645161290322583E-6</v>
      </c>
      <c r="AB3813" s="780"/>
      <c r="AC3813" s="780"/>
      <c r="AD3813" s="780"/>
      <c r="AE3813" s="780"/>
      <c r="AF3813" s="780"/>
    </row>
    <row r="3814" spans="19:32" x14ac:dyDescent="0.35">
      <c r="S3814" s="881">
        <v>3810</v>
      </c>
      <c r="T3814" s="881" t="s">
        <v>4284</v>
      </c>
      <c r="U3814" s="881" t="s">
        <v>2400</v>
      </c>
      <c r="V3814" s="883">
        <f>$S$1*P!V3814</f>
        <v>0</v>
      </c>
      <c r="W3814" s="780"/>
      <c r="X3814" s="782">
        <v>3810</v>
      </c>
      <c r="Y3814" s="782" t="s">
        <v>2248</v>
      </c>
      <c r="Z3814" s="782" t="s">
        <v>3221</v>
      </c>
      <c r="AA3814" s="781">
        <f>$S$1*P!AA3814</f>
        <v>9.7338709677419351E-5</v>
      </c>
      <c r="AB3814" s="780"/>
      <c r="AC3814" s="780"/>
      <c r="AD3814" s="780"/>
      <c r="AE3814" s="780"/>
      <c r="AF3814" s="780"/>
    </row>
    <row r="3815" spans="19:32" x14ac:dyDescent="0.35">
      <c r="S3815" s="881">
        <v>3811</v>
      </c>
      <c r="T3815" s="881" t="s">
        <v>4284</v>
      </c>
      <c r="U3815" s="881" t="s">
        <v>2398</v>
      </c>
      <c r="V3815" s="883">
        <f>$S$1*P!V3815</f>
        <v>0</v>
      </c>
      <c r="W3815" s="780"/>
      <c r="X3815" s="782">
        <v>3811</v>
      </c>
      <c r="Y3815" s="782" t="s">
        <v>2248</v>
      </c>
      <c r="Z3815" s="782" t="s">
        <v>2480</v>
      </c>
      <c r="AA3815" s="781">
        <f>$S$1*P!AA3815</f>
        <v>3.0469758064516133E-6</v>
      </c>
      <c r="AB3815" s="780"/>
      <c r="AC3815" s="780"/>
      <c r="AD3815" s="780"/>
      <c r="AE3815" s="780"/>
      <c r="AF3815" s="780"/>
    </row>
    <row r="3816" spans="19:32" x14ac:dyDescent="0.35">
      <c r="S3816" s="782">
        <v>3812</v>
      </c>
      <c r="T3816" s="782" t="s">
        <v>4284</v>
      </c>
      <c r="U3816" s="782" t="s">
        <v>3981</v>
      </c>
      <c r="V3816" s="797">
        <f>$S$1*P!V3816</f>
        <v>0.11550403225806452</v>
      </c>
      <c r="W3816" s="780"/>
      <c r="X3816" s="782">
        <v>3812</v>
      </c>
      <c r="Y3816" s="782" t="s">
        <v>2248</v>
      </c>
      <c r="Z3816" s="782" t="s">
        <v>2478</v>
      </c>
      <c r="AA3816" s="781">
        <f>$S$1*P!AA3816</f>
        <v>1.1036290322580645E-2</v>
      </c>
      <c r="AB3816" s="780"/>
      <c r="AC3816" s="780"/>
      <c r="AD3816" s="780"/>
      <c r="AE3816" s="780"/>
      <c r="AF3816" s="780"/>
    </row>
    <row r="3817" spans="19:32" x14ac:dyDescent="0.35">
      <c r="S3817" s="782">
        <v>3813</v>
      </c>
      <c r="T3817" s="782" t="s">
        <v>4284</v>
      </c>
      <c r="U3817" s="782" t="s">
        <v>3980</v>
      </c>
      <c r="V3817" s="797">
        <f>$S$1*P!V3817</f>
        <v>2.8995967741935486E-2</v>
      </c>
      <c r="W3817" s="780"/>
      <c r="X3817" s="881">
        <v>3813</v>
      </c>
      <c r="Y3817" s="881" t="s">
        <v>2248</v>
      </c>
      <c r="Z3817" s="881" t="s">
        <v>3220</v>
      </c>
      <c r="AA3817" s="882">
        <f>$S$1*P!AA3817</f>
        <v>7.8487903225806459</v>
      </c>
      <c r="AB3817" s="780"/>
      <c r="AC3817" s="780"/>
      <c r="AD3817" s="780"/>
      <c r="AE3817" s="780"/>
      <c r="AF3817" s="780"/>
    </row>
    <row r="3818" spans="19:32" x14ac:dyDescent="0.35">
      <c r="S3818" s="782">
        <v>3814</v>
      </c>
      <c r="T3818" s="782" t="s">
        <v>4284</v>
      </c>
      <c r="U3818" s="782" t="s">
        <v>2396</v>
      </c>
      <c r="V3818" s="797">
        <f>$S$1*P!V3818</f>
        <v>6.9919354838709677E-4</v>
      </c>
      <c r="W3818" s="780"/>
      <c r="X3818" s="782">
        <v>3814</v>
      </c>
      <c r="Y3818" s="782" t="s">
        <v>2248</v>
      </c>
      <c r="Z3818" s="782" t="s">
        <v>2475</v>
      </c>
      <c r="AA3818" s="781">
        <f>$S$1*P!AA3818</f>
        <v>7.8830645161290333E-4</v>
      </c>
      <c r="AB3818" s="780"/>
      <c r="AC3818" s="780"/>
      <c r="AD3818" s="780"/>
      <c r="AE3818" s="780"/>
      <c r="AF3818" s="780"/>
    </row>
    <row r="3819" spans="19:32" x14ac:dyDescent="0.35">
      <c r="S3819" s="881">
        <v>3815</v>
      </c>
      <c r="T3819" s="881" t="s">
        <v>4284</v>
      </c>
      <c r="U3819" s="881" t="s">
        <v>2396</v>
      </c>
      <c r="V3819" s="883">
        <f>$S$1*P!V3819</f>
        <v>0.48116000000000003</v>
      </c>
      <c r="W3819" s="780"/>
      <c r="X3819" s="782">
        <v>3815</v>
      </c>
      <c r="Y3819" s="782" t="s">
        <v>2248</v>
      </c>
      <c r="Z3819" s="782" t="s">
        <v>2472</v>
      </c>
      <c r="AA3819" s="781">
        <f>$S$1*P!AA3819</f>
        <v>1.7068548387096776E-5</v>
      </c>
      <c r="AB3819" s="780"/>
      <c r="AC3819" s="780"/>
      <c r="AD3819" s="780"/>
      <c r="AE3819" s="780"/>
      <c r="AF3819" s="780"/>
    </row>
    <row r="3820" spans="19:32" x14ac:dyDescent="0.35">
      <c r="S3820" s="881">
        <v>3816</v>
      </c>
      <c r="T3820" s="881" t="s">
        <v>4284</v>
      </c>
      <c r="U3820" s="881" t="s">
        <v>2395</v>
      </c>
      <c r="V3820" s="883">
        <f>$S$1*P!V3820</f>
        <v>5.0416000000000002E-2</v>
      </c>
      <c r="W3820" s="780"/>
      <c r="X3820" s="881">
        <v>3816</v>
      </c>
      <c r="Y3820" s="881" t="s">
        <v>2248</v>
      </c>
      <c r="Z3820" s="881" t="s">
        <v>2662</v>
      </c>
      <c r="AA3820" s="890">
        <f>$S$1*P!AA3820</f>
        <v>4.1399999999999999E-2</v>
      </c>
      <c r="AB3820" s="780"/>
      <c r="AC3820" s="780"/>
      <c r="AD3820" s="780"/>
      <c r="AE3820" s="780"/>
      <c r="AF3820" s="780"/>
    </row>
    <row r="3821" spans="19:32" x14ac:dyDescent="0.35">
      <c r="S3821" s="782">
        <v>3817</v>
      </c>
      <c r="T3821" s="782" t="s">
        <v>4284</v>
      </c>
      <c r="U3821" s="782" t="s">
        <v>2393</v>
      </c>
      <c r="V3821" s="797">
        <f>$S$1*P!V3821</f>
        <v>4.0786290322580646E-3</v>
      </c>
      <c r="W3821" s="780"/>
      <c r="X3821" s="881">
        <v>3817</v>
      </c>
      <c r="Y3821" s="881" t="s">
        <v>2248</v>
      </c>
      <c r="Z3821" s="881" t="s">
        <v>4511</v>
      </c>
      <c r="AA3821" s="882">
        <f>$S$1*P!AA3821</f>
        <v>7.0604838709677423E-5</v>
      </c>
      <c r="AB3821" s="780"/>
      <c r="AC3821" s="780"/>
      <c r="AD3821" s="780"/>
      <c r="AE3821" s="780"/>
      <c r="AF3821" s="780"/>
    </row>
    <row r="3822" spans="19:32" x14ac:dyDescent="0.35">
      <c r="S3822" s="881">
        <v>3818</v>
      </c>
      <c r="T3822" s="881" t="s">
        <v>4284</v>
      </c>
      <c r="U3822" s="881" t="s">
        <v>2393</v>
      </c>
      <c r="V3822" s="883">
        <f>$S$1*P!V3822</f>
        <v>0</v>
      </c>
      <c r="W3822" s="780"/>
      <c r="X3822" s="782">
        <v>3818</v>
      </c>
      <c r="Y3822" s="782" t="s">
        <v>2248</v>
      </c>
      <c r="Z3822" s="782" t="s">
        <v>2469</v>
      </c>
      <c r="AA3822" s="781">
        <f>$S$1*P!AA3822</f>
        <v>1.3983870967741936</v>
      </c>
      <c r="AB3822" s="780"/>
      <c r="AC3822" s="780"/>
      <c r="AD3822" s="780"/>
      <c r="AE3822" s="780"/>
      <c r="AF3822" s="780"/>
    </row>
    <row r="3823" spans="19:32" x14ac:dyDescent="0.35">
      <c r="S3823" s="782">
        <v>3819</v>
      </c>
      <c r="T3823" s="782" t="s">
        <v>4284</v>
      </c>
      <c r="U3823" s="782" t="s">
        <v>3976</v>
      </c>
      <c r="V3823" s="797">
        <f>$S$1*P!V3823</f>
        <v>3.8729838709677424E-3</v>
      </c>
      <c r="W3823" s="780"/>
      <c r="X3823" s="782">
        <v>3819</v>
      </c>
      <c r="Y3823" s="782" t="s">
        <v>2248</v>
      </c>
      <c r="Z3823" s="782" t="s">
        <v>2466</v>
      </c>
      <c r="AA3823" s="781">
        <f>$S$1*P!AA3823</f>
        <v>1.1756048387096775E-3</v>
      </c>
      <c r="AB3823" s="780"/>
      <c r="AC3823" s="780"/>
      <c r="AD3823" s="780"/>
      <c r="AE3823" s="780"/>
      <c r="AF3823" s="780"/>
    </row>
    <row r="3824" spans="19:32" x14ac:dyDescent="0.35">
      <c r="S3824" s="782">
        <v>3820</v>
      </c>
      <c r="T3824" s="782" t="s">
        <v>4284</v>
      </c>
      <c r="U3824" s="782" t="s">
        <v>3975</v>
      </c>
      <c r="V3824" s="797">
        <f>$S$1*P!V3824</f>
        <v>1.4395161290322583E-4</v>
      </c>
      <c r="W3824" s="780"/>
      <c r="X3824" s="881">
        <v>3820</v>
      </c>
      <c r="Y3824" s="881" t="s">
        <v>2248</v>
      </c>
      <c r="Z3824" s="881" t="s">
        <v>4510</v>
      </c>
      <c r="AA3824" s="882">
        <f>$S$1*P!AA3824</f>
        <v>1.1241935483870968E-4</v>
      </c>
      <c r="AB3824" s="780"/>
      <c r="AC3824" s="780"/>
      <c r="AD3824" s="780"/>
      <c r="AE3824" s="780"/>
      <c r="AF3824" s="780"/>
    </row>
    <row r="3825" spans="19:32" x14ac:dyDescent="0.35">
      <c r="S3825" s="881">
        <v>3821</v>
      </c>
      <c r="T3825" s="881" t="s">
        <v>4284</v>
      </c>
      <c r="U3825" s="881" t="s">
        <v>2392</v>
      </c>
      <c r="V3825" s="883">
        <f>$S$1*P!V3825</f>
        <v>0.32016</v>
      </c>
      <c r="W3825" s="780"/>
      <c r="X3825" s="782">
        <v>3821</v>
      </c>
      <c r="Y3825" s="782" t="s">
        <v>2248</v>
      </c>
      <c r="Z3825" s="782" t="s">
        <v>2464</v>
      </c>
      <c r="AA3825" s="781">
        <f>$S$1*P!AA3825</f>
        <v>1.3024193548387097E-4</v>
      </c>
      <c r="AB3825" s="780"/>
      <c r="AC3825" s="780"/>
      <c r="AD3825" s="780"/>
      <c r="AE3825" s="780"/>
      <c r="AF3825" s="780"/>
    </row>
    <row r="3826" spans="19:32" x14ac:dyDescent="0.35">
      <c r="S3826" s="782">
        <v>3822</v>
      </c>
      <c r="T3826" s="782" t="s">
        <v>4284</v>
      </c>
      <c r="U3826" s="782" t="s">
        <v>3973</v>
      </c>
      <c r="V3826" s="797">
        <f>$S$1*P!V3826</f>
        <v>0.17925403225806452</v>
      </c>
      <c r="W3826" s="780"/>
      <c r="X3826" s="782">
        <v>3822</v>
      </c>
      <c r="Y3826" s="782" t="s">
        <v>2248</v>
      </c>
      <c r="Z3826" s="782" t="s">
        <v>2461</v>
      </c>
      <c r="AA3826" s="781">
        <f>$S$1*P!AA3826</f>
        <v>7.1290322580645164E-3</v>
      </c>
      <c r="AB3826" s="780"/>
      <c r="AC3826" s="780"/>
      <c r="AD3826" s="780"/>
      <c r="AE3826" s="780"/>
      <c r="AF3826" s="780"/>
    </row>
    <row r="3827" spans="19:32" x14ac:dyDescent="0.35">
      <c r="S3827" s="881">
        <v>3823</v>
      </c>
      <c r="T3827" s="881" t="s">
        <v>4284</v>
      </c>
      <c r="U3827" s="881" t="s">
        <v>2390</v>
      </c>
      <c r="V3827" s="883">
        <f>$S$1*P!V3827</f>
        <v>0</v>
      </c>
      <c r="W3827" s="780"/>
      <c r="X3827" s="881">
        <v>3823</v>
      </c>
      <c r="Y3827" s="881" t="s">
        <v>2248</v>
      </c>
      <c r="Z3827" s="881" t="s">
        <v>4509</v>
      </c>
      <c r="AA3827" s="882">
        <f>$S$1*P!AA3827</f>
        <v>9.8366935483870984E-3</v>
      </c>
      <c r="AB3827" s="780"/>
      <c r="AC3827" s="780"/>
      <c r="AD3827" s="780"/>
      <c r="AE3827" s="780"/>
      <c r="AF3827" s="780"/>
    </row>
    <row r="3828" spans="19:32" x14ac:dyDescent="0.35">
      <c r="S3828" s="782">
        <v>3824</v>
      </c>
      <c r="T3828" s="782" t="s">
        <v>4284</v>
      </c>
      <c r="U3828" s="782" t="s">
        <v>3971</v>
      </c>
      <c r="V3828" s="797">
        <f>$S$1*P!V3828</f>
        <v>0.61350806451612905</v>
      </c>
      <c r="W3828" s="780"/>
      <c r="X3828" s="782">
        <v>3824</v>
      </c>
      <c r="Y3828" s="782" t="s">
        <v>2248</v>
      </c>
      <c r="Z3828" s="782" t="s">
        <v>2458</v>
      </c>
      <c r="AA3828" s="781">
        <f>$S$1*P!AA3828</f>
        <v>2.1832661290322585E-3</v>
      </c>
      <c r="AB3828" s="780"/>
      <c r="AC3828" s="780"/>
      <c r="AD3828" s="780"/>
      <c r="AE3828" s="780"/>
      <c r="AF3828" s="780"/>
    </row>
    <row r="3829" spans="19:32" x14ac:dyDescent="0.35">
      <c r="S3829" s="782">
        <v>3825</v>
      </c>
      <c r="T3829" s="782" t="s">
        <v>4284</v>
      </c>
      <c r="U3829" s="782" t="s">
        <v>3969</v>
      </c>
      <c r="V3829" s="797">
        <f>$S$1*P!V3829</f>
        <v>4.1129032258064519E-3</v>
      </c>
      <c r="W3829" s="780"/>
      <c r="X3829" s="782">
        <v>3825</v>
      </c>
      <c r="Y3829" s="782" t="s">
        <v>2248</v>
      </c>
      <c r="Z3829" s="782" t="s">
        <v>2455</v>
      </c>
      <c r="AA3829" s="781">
        <f>$S$1*P!AA3829</f>
        <v>3.4274193548387098E-3</v>
      </c>
      <c r="AB3829" s="780"/>
      <c r="AC3829" s="780"/>
      <c r="AD3829" s="780"/>
      <c r="AE3829" s="780"/>
      <c r="AF3829" s="780"/>
    </row>
    <row r="3830" spans="19:32" x14ac:dyDescent="0.35">
      <c r="S3830" s="782">
        <v>3826</v>
      </c>
      <c r="T3830" s="782" t="s">
        <v>4284</v>
      </c>
      <c r="U3830" s="782" t="s">
        <v>3968</v>
      </c>
      <c r="V3830" s="797">
        <f>$S$1*P!V3830</f>
        <v>9.0483870967741936E-2</v>
      </c>
      <c r="W3830" s="780"/>
      <c r="X3830" s="782">
        <v>3826</v>
      </c>
      <c r="Y3830" s="782" t="s">
        <v>2248</v>
      </c>
      <c r="Z3830" s="782" t="s">
        <v>2452</v>
      </c>
      <c r="AA3830" s="781">
        <f>$S$1*P!AA3830</f>
        <v>5.2439516129032266E-4</v>
      </c>
      <c r="AB3830" s="780"/>
      <c r="AC3830" s="780"/>
      <c r="AD3830" s="780"/>
      <c r="AE3830" s="780"/>
      <c r="AF3830" s="780"/>
    </row>
    <row r="3831" spans="19:32" x14ac:dyDescent="0.35">
      <c r="S3831" s="879">
        <v>3827</v>
      </c>
      <c r="T3831" s="879" t="s">
        <v>4284</v>
      </c>
      <c r="U3831" s="879" t="s">
        <v>4507</v>
      </c>
      <c r="V3831" s="880">
        <f>$S$1*P!V3831</f>
        <v>8.75</v>
      </c>
      <c r="W3831" s="780"/>
      <c r="X3831" s="782">
        <v>3827</v>
      </c>
      <c r="Y3831" s="782" t="s">
        <v>2248</v>
      </c>
      <c r="Z3831" s="782" t="s">
        <v>4508</v>
      </c>
      <c r="AA3831" s="781">
        <f>$S$1*P!AA3831</f>
        <v>1.5491935483870969E-3</v>
      </c>
      <c r="AB3831" s="780"/>
      <c r="AC3831" s="780"/>
      <c r="AD3831" s="780"/>
      <c r="AE3831" s="780"/>
      <c r="AF3831" s="780"/>
    </row>
    <row r="3832" spans="19:32" x14ac:dyDescent="0.35">
      <c r="S3832" s="861">
        <v>3828</v>
      </c>
      <c r="T3832" s="861" t="s">
        <v>4284</v>
      </c>
      <c r="U3832" s="898" t="s">
        <v>4507</v>
      </c>
      <c r="V3832" s="899">
        <f>$S$1*P!V3832</f>
        <v>0.43388500000000002</v>
      </c>
      <c r="W3832" s="780"/>
      <c r="X3832" s="782">
        <v>3828</v>
      </c>
      <c r="Y3832" s="782" t="s">
        <v>2248</v>
      </c>
      <c r="Z3832" s="782" t="s">
        <v>2449</v>
      </c>
      <c r="AA3832" s="781">
        <f>$S$1*P!AA3832</f>
        <v>6.9576612903225811E-7</v>
      </c>
      <c r="AB3832" s="780"/>
      <c r="AC3832" s="780"/>
      <c r="AD3832" s="780"/>
      <c r="AE3832" s="780"/>
      <c r="AF3832" s="780"/>
    </row>
    <row r="3833" spans="19:32" x14ac:dyDescent="0.35">
      <c r="S3833" s="879">
        <v>3829</v>
      </c>
      <c r="T3833" s="879" t="s">
        <v>4284</v>
      </c>
      <c r="U3833" s="879" t="s">
        <v>4506</v>
      </c>
      <c r="V3833" s="880">
        <f>$S$1*P!V3833</f>
        <v>0.21</v>
      </c>
      <c r="W3833" s="780"/>
      <c r="X3833" s="881">
        <v>3829</v>
      </c>
      <c r="Y3833" s="881" t="s">
        <v>2248</v>
      </c>
      <c r="Z3833" s="881" t="s">
        <v>2660</v>
      </c>
      <c r="AA3833" s="890">
        <f>$S$1*P!AA3833</f>
        <v>7.0196000000000008E-2</v>
      </c>
      <c r="AB3833" s="780"/>
      <c r="AC3833" s="780"/>
      <c r="AD3833" s="780"/>
      <c r="AE3833" s="780"/>
      <c r="AF3833" s="780"/>
    </row>
    <row r="3834" spans="19:32" x14ac:dyDescent="0.35">
      <c r="S3834" s="879">
        <v>3830</v>
      </c>
      <c r="T3834" s="879" t="s">
        <v>4284</v>
      </c>
      <c r="U3834" s="879" t="s">
        <v>4505</v>
      </c>
      <c r="V3834" s="880">
        <f>$S$1*P!V3834</f>
        <v>4.7512500000000006</v>
      </c>
      <c r="W3834" s="780"/>
      <c r="X3834" s="881">
        <v>3830</v>
      </c>
      <c r="Y3834" s="881" t="s">
        <v>2248</v>
      </c>
      <c r="Z3834" s="881" t="s">
        <v>4504</v>
      </c>
      <c r="AA3834" s="882">
        <f>$S$1*P!AA3834</f>
        <v>1.7788306451612906E-4</v>
      </c>
      <c r="AB3834" s="780"/>
      <c r="AC3834" s="780"/>
      <c r="AD3834" s="780"/>
      <c r="AE3834" s="780"/>
      <c r="AF3834" s="780"/>
    </row>
    <row r="3835" spans="19:32" x14ac:dyDescent="0.35">
      <c r="S3835" s="879">
        <v>3831</v>
      </c>
      <c r="T3835" s="879" t="s">
        <v>4284</v>
      </c>
      <c r="U3835" s="879" t="s">
        <v>4503</v>
      </c>
      <c r="V3835" s="880">
        <f>$S$1*P!V3835</f>
        <v>0.67374999999999996</v>
      </c>
      <c r="W3835" s="780"/>
      <c r="X3835" s="782">
        <v>3831</v>
      </c>
      <c r="Y3835" s="782" t="s">
        <v>2248</v>
      </c>
      <c r="Z3835" s="782" t="s">
        <v>2447</v>
      </c>
      <c r="AA3835" s="781">
        <f>$S$1*P!AA3835</f>
        <v>1.2475806451612904E-2</v>
      </c>
      <c r="AB3835" s="780"/>
      <c r="AC3835" s="780"/>
      <c r="AD3835" s="780"/>
      <c r="AE3835" s="780"/>
      <c r="AF3835" s="780"/>
    </row>
    <row r="3836" spans="19:32" x14ac:dyDescent="0.35">
      <c r="S3836" s="879">
        <v>3832</v>
      </c>
      <c r="T3836" s="879" t="s">
        <v>4284</v>
      </c>
      <c r="U3836" s="879" t="s">
        <v>4502</v>
      </c>
      <c r="V3836" s="880">
        <f>$S$1*P!V3836</f>
        <v>10.543750000000001</v>
      </c>
      <c r="W3836" s="780"/>
      <c r="X3836" s="782">
        <v>3832</v>
      </c>
      <c r="Y3836" s="782" t="s">
        <v>2248</v>
      </c>
      <c r="Z3836" s="782" t="s">
        <v>2444</v>
      </c>
      <c r="AA3836" s="781">
        <f>$S$1*P!AA3836</f>
        <v>1.7068548387096774E-2</v>
      </c>
      <c r="AB3836" s="780"/>
      <c r="AC3836" s="780"/>
      <c r="AD3836" s="780"/>
      <c r="AE3836" s="780"/>
      <c r="AF3836" s="780"/>
    </row>
    <row r="3837" spans="19:32" x14ac:dyDescent="0.35">
      <c r="S3837" s="879">
        <v>3833</v>
      </c>
      <c r="T3837" s="879" t="s">
        <v>4284</v>
      </c>
      <c r="U3837" s="879" t="s">
        <v>4501</v>
      </c>
      <c r="V3837" s="880">
        <f>$S$1*P!V3837</f>
        <v>0.27124999999999999</v>
      </c>
      <c r="W3837" s="780"/>
      <c r="X3837" s="881">
        <v>3833</v>
      </c>
      <c r="Y3837" s="881" t="s">
        <v>2248</v>
      </c>
      <c r="Z3837" s="881" t="s">
        <v>2659</v>
      </c>
      <c r="AA3837" s="890">
        <f>$S$1*P!AA3837</f>
        <v>0.13984000000000002</v>
      </c>
      <c r="AB3837" s="780"/>
      <c r="AC3837" s="780"/>
      <c r="AD3837" s="780"/>
      <c r="AE3837" s="780"/>
      <c r="AF3837" s="780"/>
    </row>
    <row r="3838" spans="19:32" x14ac:dyDescent="0.35">
      <c r="S3838" s="879">
        <v>3834</v>
      </c>
      <c r="T3838" s="879" t="s">
        <v>4284</v>
      </c>
      <c r="U3838" s="879" t="s">
        <v>4500</v>
      </c>
      <c r="V3838" s="880">
        <f>$S$1*P!V3838</f>
        <v>4.59375</v>
      </c>
      <c r="W3838" s="780"/>
      <c r="X3838" s="782">
        <v>3834</v>
      </c>
      <c r="Y3838" s="782" t="s">
        <v>2248</v>
      </c>
      <c r="Z3838" s="782" t="s">
        <v>4499</v>
      </c>
      <c r="AA3838" s="781">
        <f>$S$1*P!AA3838</f>
        <v>4.7983870967741937E-5</v>
      </c>
      <c r="AB3838" s="780"/>
      <c r="AC3838" s="780"/>
      <c r="AD3838" s="780"/>
      <c r="AE3838" s="780"/>
      <c r="AF3838" s="780"/>
    </row>
    <row r="3839" spans="19:32" x14ac:dyDescent="0.35">
      <c r="S3839" s="879">
        <v>3835</v>
      </c>
      <c r="T3839" s="879" t="s">
        <v>4284</v>
      </c>
      <c r="U3839" s="879" t="s">
        <v>4498</v>
      </c>
      <c r="V3839" s="880">
        <f>$S$1*P!V3839</f>
        <v>3.2987500000000001</v>
      </c>
      <c r="W3839" s="780"/>
      <c r="X3839" s="782">
        <v>3835</v>
      </c>
      <c r="Y3839" s="782" t="s">
        <v>2248</v>
      </c>
      <c r="Z3839" s="782" t="s">
        <v>2441</v>
      </c>
      <c r="AA3839" s="781">
        <f>$S$1*P!AA3839</f>
        <v>1.7925403225806455E-4</v>
      </c>
      <c r="AB3839" s="780"/>
      <c r="AC3839" s="780"/>
      <c r="AD3839" s="780"/>
      <c r="AE3839" s="780"/>
      <c r="AF3839" s="780"/>
    </row>
    <row r="3840" spans="19:32" x14ac:dyDescent="0.35">
      <c r="S3840" s="879">
        <v>3836</v>
      </c>
      <c r="T3840" s="879" t="s">
        <v>4284</v>
      </c>
      <c r="U3840" s="879" t="s">
        <v>4497</v>
      </c>
      <c r="V3840" s="880">
        <f>$S$1*P!V3840</f>
        <v>0.97125000000000006</v>
      </c>
      <c r="W3840" s="780"/>
      <c r="X3840" s="782">
        <v>3836</v>
      </c>
      <c r="Y3840" s="782" t="s">
        <v>2248</v>
      </c>
      <c r="Z3840" s="782" t="s">
        <v>2438</v>
      </c>
      <c r="AA3840" s="781">
        <f>$S$1*P!AA3840</f>
        <v>9.2883064516129047E-3</v>
      </c>
      <c r="AB3840" s="780"/>
      <c r="AC3840" s="780"/>
      <c r="AD3840" s="780"/>
      <c r="AE3840" s="780"/>
      <c r="AF3840" s="780"/>
    </row>
    <row r="3841" spans="19:32" x14ac:dyDescent="0.35">
      <c r="S3841" s="879">
        <v>3837</v>
      </c>
      <c r="T3841" s="879" t="s">
        <v>4284</v>
      </c>
      <c r="U3841" s="879" t="s">
        <v>4496</v>
      </c>
      <c r="V3841" s="880">
        <f>$S$1*P!V3841</f>
        <v>14.157500000000001</v>
      </c>
      <c r="W3841" s="780"/>
      <c r="X3841" s="881">
        <v>3837</v>
      </c>
      <c r="Y3841" s="881" t="s">
        <v>2248</v>
      </c>
      <c r="Z3841" s="881" t="s">
        <v>4495</v>
      </c>
      <c r="AA3841" s="882">
        <f>$S$1*P!AA3841</f>
        <v>2.4471774193548391E-3</v>
      </c>
      <c r="AB3841" s="780"/>
      <c r="AC3841" s="780"/>
      <c r="AD3841" s="780"/>
      <c r="AE3841" s="780"/>
      <c r="AF3841" s="780"/>
    </row>
    <row r="3842" spans="19:32" x14ac:dyDescent="0.35">
      <c r="S3842" s="879">
        <v>3838</v>
      </c>
      <c r="T3842" s="879" t="s">
        <v>4284</v>
      </c>
      <c r="U3842" s="879" t="s">
        <v>4494</v>
      </c>
      <c r="V3842" s="880">
        <f>$S$1*P!V3842</f>
        <v>15.233750000000001</v>
      </c>
      <c r="W3842" s="780"/>
      <c r="X3842" s="782">
        <v>3838</v>
      </c>
      <c r="Y3842" s="782" t="s">
        <v>2248</v>
      </c>
      <c r="Z3842" s="782" t="s">
        <v>2436</v>
      </c>
      <c r="AA3842" s="781">
        <f>$S$1*P!AA3842</f>
        <v>0.29818548387096777</v>
      </c>
      <c r="AB3842" s="780"/>
      <c r="AC3842" s="780"/>
      <c r="AD3842" s="780"/>
      <c r="AE3842" s="780"/>
      <c r="AF3842" s="780"/>
    </row>
    <row r="3843" spans="19:32" x14ac:dyDescent="0.35">
      <c r="S3843" s="879">
        <v>3839</v>
      </c>
      <c r="T3843" s="879" t="s">
        <v>4284</v>
      </c>
      <c r="U3843" s="879" t="s">
        <v>4493</v>
      </c>
      <c r="V3843" s="880">
        <f>$S$1*P!V3843</f>
        <v>13.65</v>
      </c>
      <c r="W3843" s="780"/>
      <c r="X3843" s="782">
        <v>3839</v>
      </c>
      <c r="Y3843" s="782" t="s">
        <v>2248</v>
      </c>
      <c r="Z3843" s="782" t="s">
        <v>2433</v>
      </c>
      <c r="AA3843" s="781">
        <f>$S$1*P!AA3843</f>
        <v>2.6870967741935486E-3</v>
      </c>
      <c r="AB3843" s="780"/>
      <c r="AC3843" s="780"/>
      <c r="AD3843" s="780"/>
      <c r="AE3843" s="780"/>
      <c r="AF3843" s="780"/>
    </row>
    <row r="3844" spans="19:32" x14ac:dyDescent="0.35">
      <c r="S3844" s="879">
        <v>3840</v>
      </c>
      <c r="T3844" s="879" t="s">
        <v>4284</v>
      </c>
      <c r="U3844" s="879" t="s">
        <v>4492</v>
      </c>
      <c r="V3844" s="880">
        <f>$S$1*P!V3844</f>
        <v>2.4674999999999998</v>
      </c>
      <c r="W3844" s="780"/>
      <c r="X3844" s="782">
        <v>3840</v>
      </c>
      <c r="Y3844" s="782" t="s">
        <v>2248</v>
      </c>
      <c r="Z3844" s="782" t="s">
        <v>4491</v>
      </c>
      <c r="AA3844" s="781">
        <f>$S$1*P!AA3844</f>
        <v>2.2175403225806454</v>
      </c>
      <c r="AB3844" s="780"/>
      <c r="AC3844" s="780"/>
      <c r="AD3844" s="780"/>
      <c r="AE3844" s="780"/>
      <c r="AF3844" s="780"/>
    </row>
    <row r="3845" spans="19:32" x14ac:dyDescent="0.35">
      <c r="S3845" s="879">
        <v>3841</v>
      </c>
      <c r="T3845" s="879" t="s">
        <v>4284</v>
      </c>
      <c r="U3845" s="879" t="s">
        <v>4490</v>
      </c>
      <c r="V3845" s="880">
        <f>$S$1*P!V3845</f>
        <v>0.71750000000000003</v>
      </c>
      <c r="W3845" s="780"/>
      <c r="X3845" s="782">
        <v>3841</v>
      </c>
      <c r="Y3845" s="782" t="s">
        <v>2248</v>
      </c>
      <c r="Z3845" s="782" t="s">
        <v>2430</v>
      </c>
      <c r="AA3845" s="781">
        <f>$S$1*P!AA3845</f>
        <v>3.7016129032258066E-3</v>
      </c>
      <c r="AB3845" s="780"/>
      <c r="AC3845" s="780"/>
      <c r="AD3845" s="780"/>
      <c r="AE3845" s="780"/>
      <c r="AF3845" s="780"/>
    </row>
    <row r="3846" spans="19:32" x14ac:dyDescent="0.35">
      <c r="S3846" s="879">
        <v>3842</v>
      </c>
      <c r="T3846" s="879" t="s">
        <v>4284</v>
      </c>
      <c r="U3846" s="879" t="s">
        <v>4489</v>
      </c>
      <c r="V3846" s="880">
        <f>$S$1*P!V3846</f>
        <v>3.0887499999999997</v>
      </c>
      <c r="W3846" s="780"/>
      <c r="X3846" s="881">
        <v>3842</v>
      </c>
      <c r="Y3846" s="881" t="s">
        <v>2248</v>
      </c>
      <c r="Z3846" s="881" t="s">
        <v>2657</v>
      </c>
      <c r="AA3846" s="890">
        <f>$S$1*P!AA3846</f>
        <v>5.4464000000000005E-3</v>
      </c>
      <c r="AB3846" s="780"/>
      <c r="AC3846" s="780"/>
      <c r="AD3846" s="780"/>
      <c r="AE3846" s="780"/>
      <c r="AF3846" s="780"/>
    </row>
    <row r="3847" spans="19:32" x14ac:dyDescent="0.35">
      <c r="S3847" s="879">
        <v>3843</v>
      </c>
      <c r="T3847" s="879" t="s">
        <v>4284</v>
      </c>
      <c r="U3847" s="879" t="s">
        <v>4488</v>
      </c>
      <c r="V3847" s="880">
        <f>$S$1*P!V3847</f>
        <v>4.7775000000000007</v>
      </c>
      <c r="W3847" s="780"/>
      <c r="X3847" s="782">
        <v>3843</v>
      </c>
      <c r="Y3847" s="782" t="s">
        <v>2248</v>
      </c>
      <c r="Z3847" s="782" t="s">
        <v>2427</v>
      </c>
      <c r="AA3847" s="781">
        <f>$S$1*P!AA3847</f>
        <v>6.7520161290322584E-4</v>
      </c>
      <c r="AB3847" s="780"/>
      <c r="AC3847" s="780"/>
      <c r="AD3847" s="780"/>
      <c r="AE3847" s="780"/>
      <c r="AF3847" s="780"/>
    </row>
    <row r="3848" spans="19:32" x14ac:dyDescent="0.35">
      <c r="S3848" s="879">
        <v>3844</v>
      </c>
      <c r="T3848" s="879" t="s">
        <v>4284</v>
      </c>
      <c r="U3848" s="879" t="s">
        <v>4487</v>
      </c>
      <c r="V3848" s="880">
        <f>$S$1*P!V3848</f>
        <v>7.9275000000000002</v>
      </c>
      <c r="W3848" s="780"/>
      <c r="X3848" s="881">
        <v>3844</v>
      </c>
      <c r="Y3848" s="881" t="s">
        <v>2248</v>
      </c>
      <c r="Z3848" s="881" t="s">
        <v>4486</v>
      </c>
      <c r="AA3848" s="882">
        <f>$S$1*P!AA3848</f>
        <v>179.59677419354841</v>
      </c>
      <c r="AB3848" s="780"/>
      <c r="AC3848" s="780"/>
      <c r="AD3848" s="780"/>
      <c r="AE3848" s="780"/>
      <c r="AF3848" s="780"/>
    </row>
    <row r="3849" spans="19:32" x14ac:dyDescent="0.35">
      <c r="S3849" s="879">
        <v>3845</v>
      </c>
      <c r="T3849" s="879" t="s">
        <v>4284</v>
      </c>
      <c r="U3849" s="879" t="s">
        <v>4485</v>
      </c>
      <c r="V3849" s="880">
        <f>$S$1*P!V3849</f>
        <v>7.8750000000000001E-2</v>
      </c>
      <c r="W3849" s="780"/>
      <c r="X3849" s="881">
        <v>3845</v>
      </c>
      <c r="Y3849" s="881" t="s">
        <v>2248</v>
      </c>
      <c r="Z3849" s="881" t="s">
        <v>2655</v>
      </c>
      <c r="AA3849" s="890">
        <f>$S$1*P!AA3849</f>
        <v>0.14351999999999998</v>
      </c>
      <c r="AB3849" s="780"/>
      <c r="AC3849" s="780"/>
      <c r="AD3849" s="780"/>
      <c r="AE3849" s="780"/>
      <c r="AF3849" s="780"/>
    </row>
    <row r="3850" spans="19:32" x14ac:dyDescent="0.35">
      <c r="S3850" s="879">
        <v>3846</v>
      </c>
      <c r="T3850" s="879" t="s">
        <v>4284</v>
      </c>
      <c r="U3850" s="879" t="s">
        <v>4484</v>
      </c>
      <c r="V3850" s="880">
        <f>$S$1*P!V3850</f>
        <v>1.25125</v>
      </c>
      <c r="W3850" s="780"/>
      <c r="X3850" s="881">
        <v>3846</v>
      </c>
      <c r="Y3850" s="881" t="s">
        <v>2248</v>
      </c>
      <c r="Z3850" s="881" t="s">
        <v>2654</v>
      </c>
      <c r="AA3850" s="890">
        <f>$S$1*P!AA3850</f>
        <v>0.5474</v>
      </c>
      <c r="AB3850" s="780"/>
      <c r="AC3850" s="780"/>
      <c r="AD3850" s="780"/>
      <c r="AE3850" s="780"/>
      <c r="AF3850" s="780"/>
    </row>
    <row r="3851" spans="19:32" x14ac:dyDescent="0.35">
      <c r="S3851" s="879">
        <v>3847</v>
      </c>
      <c r="T3851" s="879" t="s">
        <v>4284</v>
      </c>
      <c r="U3851" s="879" t="s">
        <v>4483</v>
      </c>
      <c r="V3851" s="880">
        <f>$S$1*P!V3851</f>
        <v>3.6224999999999996</v>
      </c>
      <c r="W3851" s="780"/>
      <c r="X3851" s="881">
        <v>3847</v>
      </c>
      <c r="Y3851" s="881" t="s">
        <v>2248</v>
      </c>
      <c r="Z3851" s="881" t="s">
        <v>4482</v>
      </c>
      <c r="AA3851" s="882">
        <f>$S$1*P!AA3851</f>
        <v>1.264717741935484E-4</v>
      </c>
      <c r="AB3851" s="780"/>
      <c r="AC3851" s="780"/>
      <c r="AD3851" s="780"/>
      <c r="AE3851" s="780"/>
      <c r="AF3851" s="780"/>
    </row>
    <row r="3852" spans="19:32" x14ac:dyDescent="0.35">
      <c r="S3852" s="879">
        <v>3848</v>
      </c>
      <c r="T3852" s="879" t="s">
        <v>4284</v>
      </c>
      <c r="U3852" s="879" t="s">
        <v>4481</v>
      </c>
      <c r="V3852" s="880">
        <f>$S$1*P!V3852</f>
        <v>3.7275</v>
      </c>
      <c r="W3852" s="780"/>
      <c r="X3852" s="782">
        <v>3848</v>
      </c>
      <c r="Y3852" s="782" t="s">
        <v>2248</v>
      </c>
      <c r="Z3852" s="782" t="s">
        <v>2424</v>
      </c>
      <c r="AA3852" s="781">
        <f>$S$1*P!AA3852</f>
        <v>1.4292338709677421E-2</v>
      </c>
      <c r="AB3852" s="780"/>
      <c r="AC3852" s="780"/>
      <c r="AD3852" s="780"/>
      <c r="AE3852" s="780"/>
      <c r="AF3852" s="780"/>
    </row>
    <row r="3853" spans="19:32" x14ac:dyDescent="0.35">
      <c r="S3853" s="879">
        <v>3849</v>
      </c>
      <c r="T3853" s="879" t="s">
        <v>4284</v>
      </c>
      <c r="U3853" s="879" t="s">
        <v>4480</v>
      </c>
      <c r="V3853" s="880">
        <f>$S$1*P!V3853</f>
        <v>0.7350000000000001</v>
      </c>
      <c r="W3853" s="780"/>
      <c r="X3853" s="881">
        <v>3849</v>
      </c>
      <c r="Y3853" s="881" t="s">
        <v>2248</v>
      </c>
      <c r="Z3853" s="881" t="s">
        <v>2652</v>
      </c>
      <c r="AA3853" s="890">
        <f>$S$1*P!AA3853</f>
        <v>9.7520000000000007</v>
      </c>
      <c r="AB3853" s="780"/>
      <c r="AC3853" s="780"/>
      <c r="AD3853" s="780"/>
      <c r="AE3853" s="780"/>
      <c r="AF3853" s="780"/>
    </row>
    <row r="3854" spans="19:32" x14ac:dyDescent="0.35">
      <c r="S3854" s="879">
        <v>3850</v>
      </c>
      <c r="T3854" s="879" t="s">
        <v>4284</v>
      </c>
      <c r="U3854" s="879" t="s">
        <v>4479</v>
      </c>
      <c r="V3854" s="880">
        <f>$S$1*P!V3854</f>
        <v>3.7974999999999999</v>
      </c>
      <c r="W3854" s="780"/>
      <c r="X3854" s="881">
        <v>3850</v>
      </c>
      <c r="Y3854" s="881" t="s">
        <v>2248</v>
      </c>
      <c r="Z3854" s="881" t="s">
        <v>2651</v>
      </c>
      <c r="AA3854" s="890">
        <f>$S$1*P!AA3854</f>
        <v>2.3828</v>
      </c>
      <c r="AB3854" s="780"/>
      <c r="AC3854" s="780"/>
      <c r="AD3854" s="780"/>
      <c r="AE3854" s="780"/>
      <c r="AF3854" s="780"/>
    </row>
    <row r="3855" spans="19:32" x14ac:dyDescent="0.35">
      <c r="S3855" s="879">
        <v>3851</v>
      </c>
      <c r="T3855" s="879" t="s">
        <v>4284</v>
      </c>
      <c r="U3855" s="879" t="s">
        <v>4478</v>
      </c>
      <c r="V3855" s="880">
        <f>$S$1*P!V3855</f>
        <v>8.4087499999999995</v>
      </c>
      <c r="W3855" s="780"/>
      <c r="X3855" s="881">
        <v>3851</v>
      </c>
      <c r="Y3855" s="881" t="s">
        <v>2248</v>
      </c>
      <c r="Z3855" s="881" t="s">
        <v>3212</v>
      </c>
      <c r="AA3855" s="882">
        <f>$S$1*P!AA3855</f>
        <v>0.11344758064516131</v>
      </c>
      <c r="AB3855" s="780"/>
      <c r="AC3855" s="780"/>
      <c r="AD3855" s="780"/>
      <c r="AE3855" s="780"/>
      <c r="AF3855" s="780"/>
    </row>
    <row r="3856" spans="19:32" x14ac:dyDescent="0.35">
      <c r="S3856" s="879">
        <v>3852</v>
      </c>
      <c r="T3856" s="879" t="s">
        <v>4284</v>
      </c>
      <c r="U3856" s="879" t="s">
        <v>4477</v>
      </c>
      <c r="V3856" s="880">
        <f>$S$1*P!V3856</f>
        <v>2.8787500000000001</v>
      </c>
      <c r="W3856" s="780"/>
      <c r="X3856" s="782">
        <v>3852</v>
      </c>
      <c r="Y3856" s="782" t="s">
        <v>2248</v>
      </c>
      <c r="Z3856" s="782" t="s">
        <v>2422</v>
      </c>
      <c r="AA3856" s="781">
        <f>$S$1*P!AA3856</f>
        <v>2.0393145161290323E-3</v>
      </c>
      <c r="AB3856" s="780"/>
      <c r="AC3856" s="780"/>
      <c r="AD3856" s="780"/>
      <c r="AE3856" s="780"/>
      <c r="AF3856" s="780"/>
    </row>
    <row r="3857" spans="19:32" x14ac:dyDescent="0.35">
      <c r="S3857" s="879">
        <v>3853</v>
      </c>
      <c r="T3857" s="879" t="s">
        <v>4284</v>
      </c>
      <c r="U3857" s="879" t="s">
        <v>4476</v>
      </c>
      <c r="V3857" s="880">
        <f>$S$1*P!V3857</f>
        <v>1.1725000000000001</v>
      </c>
      <c r="W3857" s="780"/>
      <c r="X3857" s="782">
        <v>3853</v>
      </c>
      <c r="Y3857" s="782" t="s">
        <v>2248</v>
      </c>
      <c r="Z3857" s="782" t="s">
        <v>2419</v>
      </c>
      <c r="AA3857" s="781">
        <f>$S$1*P!AA3857</f>
        <v>5.8266129032258064E-5</v>
      </c>
      <c r="AB3857" s="780"/>
      <c r="AC3857" s="780"/>
      <c r="AD3857" s="780"/>
      <c r="AE3857" s="780"/>
      <c r="AF3857" s="780"/>
    </row>
    <row r="3858" spans="19:32" x14ac:dyDescent="0.35">
      <c r="S3858" s="879">
        <v>3854</v>
      </c>
      <c r="T3858" s="879" t="s">
        <v>4284</v>
      </c>
      <c r="U3858" s="879" t="s">
        <v>4475</v>
      </c>
      <c r="V3858" s="880">
        <f>$S$1*P!V3858</f>
        <v>0.23624999999999999</v>
      </c>
      <c r="W3858" s="780"/>
      <c r="X3858" s="881">
        <v>3854</v>
      </c>
      <c r="Y3858" s="881" t="s">
        <v>2248</v>
      </c>
      <c r="Z3858" s="881" t="s">
        <v>3210</v>
      </c>
      <c r="AA3858" s="882">
        <f>$S$1*P!AA3858</f>
        <v>5.8608870967741941E-3</v>
      </c>
      <c r="AB3858" s="780"/>
      <c r="AC3858" s="780"/>
      <c r="AD3858" s="780"/>
      <c r="AE3858" s="780"/>
      <c r="AF3858" s="780"/>
    </row>
    <row r="3859" spans="19:32" x14ac:dyDescent="0.35">
      <c r="S3859" s="879">
        <v>3855</v>
      </c>
      <c r="T3859" s="879" t="s">
        <v>4284</v>
      </c>
      <c r="U3859" s="879" t="s">
        <v>4474</v>
      </c>
      <c r="V3859" s="880">
        <f>$S$1*P!V3859</f>
        <v>10.3775</v>
      </c>
      <c r="W3859" s="780"/>
      <c r="X3859" s="782">
        <v>3855</v>
      </c>
      <c r="Y3859" s="782" t="s">
        <v>2248</v>
      </c>
      <c r="Z3859" s="782" t="s">
        <v>2416</v>
      </c>
      <c r="AA3859" s="781">
        <f>$S$1*P!AA3859</f>
        <v>3.084677419354839E-5</v>
      </c>
      <c r="AB3859" s="780"/>
      <c r="AC3859" s="780"/>
      <c r="AD3859" s="780"/>
      <c r="AE3859" s="780"/>
      <c r="AF3859" s="780"/>
    </row>
    <row r="3860" spans="19:32" x14ac:dyDescent="0.35">
      <c r="S3860" s="879">
        <v>3856</v>
      </c>
      <c r="T3860" s="879" t="s">
        <v>4284</v>
      </c>
      <c r="U3860" s="879" t="s">
        <v>4473</v>
      </c>
      <c r="V3860" s="880">
        <f>$S$1*P!V3860</f>
        <v>30.213749999999997</v>
      </c>
      <c r="W3860" s="780"/>
      <c r="X3860" s="881">
        <v>3856</v>
      </c>
      <c r="Y3860" s="881" t="s">
        <v>2248</v>
      </c>
      <c r="Z3860" s="881" t="s">
        <v>2413</v>
      </c>
      <c r="AA3860" s="890">
        <f>$S$1*P!AA3860</f>
        <v>0</v>
      </c>
      <c r="AB3860" s="780"/>
      <c r="AC3860" s="780"/>
      <c r="AD3860" s="780"/>
      <c r="AE3860" s="780"/>
      <c r="AF3860" s="780"/>
    </row>
    <row r="3861" spans="19:32" x14ac:dyDescent="0.35">
      <c r="S3861" s="879">
        <v>3857</v>
      </c>
      <c r="T3861" s="879" t="s">
        <v>4284</v>
      </c>
      <c r="U3861" s="879" t="s">
        <v>4472</v>
      </c>
      <c r="V3861" s="880">
        <f>$S$1*P!V3861</f>
        <v>11.637500000000001</v>
      </c>
      <c r="W3861" s="780"/>
      <c r="X3861" s="782">
        <v>3857</v>
      </c>
      <c r="Y3861" s="782" t="s">
        <v>2248</v>
      </c>
      <c r="Z3861" s="782" t="s">
        <v>2413</v>
      </c>
      <c r="AA3861" s="781">
        <f>$S$1*P!AA3861</f>
        <v>6.8891129032258067E-2</v>
      </c>
      <c r="AB3861" s="780"/>
      <c r="AC3861" s="780"/>
      <c r="AD3861" s="780"/>
      <c r="AE3861" s="780"/>
      <c r="AF3861" s="780"/>
    </row>
    <row r="3862" spans="19:32" x14ac:dyDescent="0.35">
      <c r="S3862" s="879">
        <v>3858</v>
      </c>
      <c r="T3862" s="879" t="s">
        <v>4284</v>
      </c>
      <c r="U3862" s="879" t="s">
        <v>4471</v>
      </c>
      <c r="V3862" s="880">
        <f>$S$1*P!V3862</f>
        <v>0.245</v>
      </c>
      <c r="W3862" s="780"/>
      <c r="X3862" s="782">
        <v>3858</v>
      </c>
      <c r="Y3862" s="782" t="s">
        <v>2248</v>
      </c>
      <c r="Z3862" s="782" t="s">
        <v>4470</v>
      </c>
      <c r="AA3862" s="781">
        <f>$S$1*P!AA3862</f>
        <v>1.4189516129032259E-3</v>
      </c>
      <c r="AB3862" s="780"/>
      <c r="AC3862" s="780"/>
      <c r="AD3862" s="780"/>
      <c r="AE3862" s="780"/>
      <c r="AF3862" s="780"/>
    </row>
    <row r="3863" spans="19:32" x14ac:dyDescent="0.35">
      <c r="S3863" s="879">
        <v>3859</v>
      </c>
      <c r="T3863" s="879" t="s">
        <v>4284</v>
      </c>
      <c r="U3863" s="879" t="s">
        <v>4469</v>
      </c>
      <c r="V3863" s="880">
        <f>$S$1*P!V3863</f>
        <v>1.3387499999999999</v>
      </c>
      <c r="W3863" s="780"/>
      <c r="X3863" s="881">
        <v>3859</v>
      </c>
      <c r="Y3863" s="881" t="s">
        <v>2248</v>
      </c>
      <c r="Z3863" s="881" t="s">
        <v>2649</v>
      </c>
      <c r="AA3863" s="890">
        <f>$S$1*P!AA3863</f>
        <v>0.73231999999999997</v>
      </c>
      <c r="AB3863" s="780"/>
      <c r="AC3863" s="780"/>
      <c r="AD3863" s="780"/>
      <c r="AE3863" s="780"/>
      <c r="AF3863" s="780"/>
    </row>
    <row r="3864" spans="19:32" x14ac:dyDescent="0.35">
      <c r="S3864" s="879">
        <v>3860</v>
      </c>
      <c r="T3864" s="879" t="s">
        <v>4284</v>
      </c>
      <c r="U3864" s="879" t="s">
        <v>4468</v>
      </c>
      <c r="V3864" s="880">
        <f>$S$1*P!V3864</f>
        <v>0.245</v>
      </c>
      <c r="W3864" s="780"/>
      <c r="X3864" s="881">
        <v>3860</v>
      </c>
      <c r="Y3864" s="881" t="s">
        <v>2248</v>
      </c>
      <c r="Z3864" s="881" t="s">
        <v>2647</v>
      </c>
      <c r="AA3864" s="890">
        <f>$S$1*P!AA3864</f>
        <v>0.12787999999999999</v>
      </c>
      <c r="AB3864" s="780"/>
      <c r="AC3864" s="780"/>
      <c r="AD3864" s="780"/>
      <c r="AE3864" s="780"/>
      <c r="AF3864" s="780"/>
    </row>
    <row r="3865" spans="19:32" x14ac:dyDescent="0.35">
      <c r="S3865" s="879">
        <v>3861</v>
      </c>
      <c r="T3865" s="879" t="s">
        <v>4284</v>
      </c>
      <c r="U3865" s="879" t="s">
        <v>4467</v>
      </c>
      <c r="V3865" s="880">
        <f>$S$1*P!V3865</f>
        <v>13.30875</v>
      </c>
      <c r="W3865" s="780"/>
      <c r="X3865" s="881">
        <v>3861</v>
      </c>
      <c r="Y3865" s="881" t="s">
        <v>2248</v>
      </c>
      <c r="Z3865" s="881" t="s">
        <v>4466</v>
      </c>
      <c r="AA3865" s="882">
        <f>$S$1*P!AA3865</f>
        <v>1.264717741935484E-3</v>
      </c>
      <c r="AB3865" s="780"/>
      <c r="AC3865" s="780"/>
      <c r="AD3865" s="780"/>
      <c r="AE3865" s="780"/>
      <c r="AF3865" s="780"/>
    </row>
    <row r="3866" spans="19:32" x14ac:dyDescent="0.35">
      <c r="S3866" s="879">
        <v>3862</v>
      </c>
      <c r="T3866" s="879" t="s">
        <v>4284</v>
      </c>
      <c r="U3866" s="879" t="s">
        <v>4465</v>
      </c>
      <c r="V3866" s="880">
        <f>$S$1*P!V3866</f>
        <v>1.58375</v>
      </c>
      <c r="W3866" s="780"/>
      <c r="X3866" s="881">
        <v>3862</v>
      </c>
      <c r="Y3866" s="881" t="s">
        <v>2248</v>
      </c>
      <c r="Z3866" s="881" t="s">
        <v>2645</v>
      </c>
      <c r="AA3866" s="890">
        <f>$S$1*P!AA3866</f>
        <v>0.48575999999999997</v>
      </c>
      <c r="AB3866" s="780"/>
      <c r="AC3866" s="780"/>
      <c r="AD3866" s="780"/>
      <c r="AE3866" s="780"/>
      <c r="AF3866" s="780"/>
    </row>
    <row r="3867" spans="19:32" x14ac:dyDescent="0.35">
      <c r="S3867" s="879">
        <v>3863</v>
      </c>
      <c r="T3867" s="879" t="s">
        <v>4284</v>
      </c>
      <c r="U3867" s="879" t="s">
        <v>4464</v>
      </c>
      <c r="V3867" s="880">
        <f>$S$1*P!V3867</f>
        <v>5.25</v>
      </c>
      <c r="W3867" s="780"/>
      <c r="X3867" s="782">
        <v>3863</v>
      </c>
      <c r="Y3867" s="782" t="s">
        <v>2248</v>
      </c>
      <c r="Z3867" s="782" t="s">
        <v>2411</v>
      </c>
      <c r="AA3867" s="781">
        <f>$S$1*P!AA3867</f>
        <v>2.4883064516129035E-4</v>
      </c>
      <c r="AB3867" s="780"/>
      <c r="AC3867" s="780"/>
      <c r="AD3867" s="780"/>
      <c r="AE3867" s="780"/>
      <c r="AF3867" s="780"/>
    </row>
    <row r="3868" spans="19:32" x14ac:dyDescent="0.35">
      <c r="S3868" s="879">
        <v>3864</v>
      </c>
      <c r="T3868" s="879" t="s">
        <v>4284</v>
      </c>
      <c r="U3868" s="879" t="s">
        <v>4463</v>
      </c>
      <c r="V3868" s="880">
        <f>$S$1*P!V3868</f>
        <v>1.0237500000000002</v>
      </c>
      <c r="W3868" s="780"/>
      <c r="X3868" s="782">
        <v>3864</v>
      </c>
      <c r="Y3868" s="782" t="s">
        <v>2248</v>
      </c>
      <c r="Z3868" s="782" t="s">
        <v>4462</v>
      </c>
      <c r="AA3868" s="781">
        <f>$S$1*P!AA3868</f>
        <v>1.4258064516129033E-5</v>
      </c>
      <c r="AB3868" s="780"/>
      <c r="AC3868" s="780"/>
      <c r="AD3868" s="780"/>
      <c r="AE3868" s="780"/>
      <c r="AF3868" s="780"/>
    </row>
    <row r="3869" spans="19:32" x14ac:dyDescent="0.35">
      <c r="S3869" s="789">
        <v>3865</v>
      </c>
      <c r="T3869" s="789" t="s">
        <v>4284</v>
      </c>
      <c r="U3869" s="789" t="s">
        <v>4461</v>
      </c>
      <c r="V3869" s="790">
        <f>$S$1*P!V3869</f>
        <v>2726</v>
      </c>
      <c r="W3869" s="780"/>
      <c r="X3869" s="782">
        <v>3865</v>
      </c>
      <c r="Y3869" s="782" t="s">
        <v>2248</v>
      </c>
      <c r="Z3869" s="782" t="s">
        <v>2408</v>
      </c>
      <c r="AA3869" s="781">
        <f>$S$1*P!AA3869</f>
        <v>2.0872983870967742E-4</v>
      </c>
      <c r="AB3869" s="780"/>
      <c r="AC3869" s="780"/>
      <c r="AD3869" s="780"/>
      <c r="AE3869" s="780"/>
      <c r="AF3869" s="780"/>
    </row>
    <row r="3870" spans="19:32" x14ac:dyDescent="0.35">
      <c r="S3870" s="879">
        <v>3866</v>
      </c>
      <c r="T3870" s="879" t="s">
        <v>4284</v>
      </c>
      <c r="U3870" s="879" t="s">
        <v>4460</v>
      </c>
      <c r="V3870" s="880">
        <f>$S$1*P!V3870</f>
        <v>8.75</v>
      </c>
      <c r="W3870" s="780"/>
      <c r="X3870" s="881">
        <v>3866</v>
      </c>
      <c r="Y3870" s="881" t="s">
        <v>2248</v>
      </c>
      <c r="Z3870" s="881" t="s">
        <v>2405</v>
      </c>
      <c r="AA3870" s="890">
        <f>$S$1*P!AA3870</f>
        <v>4.9956E-2</v>
      </c>
      <c r="AB3870" s="780"/>
      <c r="AC3870" s="780"/>
      <c r="AD3870" s="780"/>
      <c r="AE3870" s="780"/>
      <c r="AF3870" s="780"/>
    </row>
    <row r="3871" spans="19:32" x14ac:dyDescent="0.35">
      <c r="S3871" s="891">
        <v>3867</v>
      </c>
      <c r="T3871" s="891" t="s">
        <v>4284</v>
      </c>
      <c r="U3871" s="861" t="s">
        <v>4459</v>
      </c>
      <c r="V3871" s="862">
        <f>$S$1*P!V3871</f>
        <v>0.43388500000000002</v>
      </c>
      <c r="W3871" s="780"/>
      <c r="X3871" s="782">
        <v>3867</v>
      </c>
      <c r="Y3871" s="782" t="s">
        <v>2248</v>
      </c>
      <c r="Z3871" s="782" t="s">
        <v>2405</v>
      </c>
      <c r="AA3871" s="781">
        <f>$S$1*P!AA3871</f>
        <v>1.5697580645161291E-3</v>
      </c>
      <c r="AB3871" s="780"/>
      <c r="AC3871" s="780"/>
      <c r="AD3871" s="780"/>
      <c r="AE3871" s="780"/>
      <c r="AF3871" s="780"/>
    </row>
    <row r="3872" spans="19:32" x14ac:dyDescent="0.35">
      <c r="S3872" s="879">
        <v>3868</v>
      </c>
      <c r="T3872" s="879" t="s">
        <v>4284</v>
      </c>
      <c r="U3872" s="879" t="s">
        <v>4458</v>
      </c>
      <c r="V3872" s="880">
        <f>$S$1*P!V3872</f>
        <v>0.21</v>
      </c>
      <c r="W3872" s="780"/>
      <c r="X3872" s="881">
        <v>3868</v>
      </c>
      <c r="Y3872" s="881" t="s">
        <v>2248</v>
      </c>
      <c r="Z3872" s="881" t="s">
        <v>4457</v>
      </c>
      <c r="AA3872" s="882">
        <f>$S$1*P!AA3872</f>
        <v>1.9639112903225807E-2</v>
      </c>
      <c r="AB3872" s="780"/>
      <c r="AC3872" s="780"/>
      <c r="AD3872" s="780"/>
      <c r="AE3872" s="780"/>
      <c r="AF3872" s="780"/>
    </row>
    <row r="3873" spans="19:32" x14ac:dyDescent="0.35">
      <c r="S3873" s="879">
        <v>3869</v>
      </c>
      <c r="T3873" s="879" t="s">
        <v>4284</v>
      </c>
      <c r="U3873" s="879" t="s">
        <v>4456</v>
      </c>
      <c r="V3873" s="880">
        <f>$S$1*P!V3873</f>
        <v>4.7512500000000006</v>
      </c>
      <c r="W3873" s="780"/>
      <c r="X3873" s="881">
        <v>3869</v>
      </c>
      <c r="Y3873" s="881" t="s">
        <v>2248</v>
      </c>
      <c r="Z3873" s="881" t="s">
        <v>2402</v>
      </c>
      <c r="AA3873" s="890">
        <f>$S$1*P!AA3873</f>
        <v>0.14351999999999998</v>
      </c>
      <c r="AB3873" s="780"/>
      <c r="AC3873" s="780"/>
      <c r="AD3873" s="780"/>
      <c r="AE3873" s="780"/>
      <c r="AF3873" s="780"/>
    </row>
    <row r="3874" spans="19:32" x14ac:dyDescent="0.35">
      <c r="S3874" s="879">
        <v>3870</v>
      </c>
      <c r="T3874" s="879" t="s">
        <v>4284</v>
      </c>
      <c r="U3874" s="879" t="s">
        <v>4455</v>
      </c>
      <c r="V3874" s="880">
        <f>$S$1*P!V3874</f>
        <v>0.67374999999999996</v>
      </c>
      <c r="W3874" s="780"/>
      <c r="X3874" s="782">
        <v>3870</v>
      </c>
      <c r="Y3874" s="782" t="s">
        <v>2248</v>
      </c>
      <c r="Z3874" s="782" t="s">
        <v>2402</v>
      </c>
      <c r="AA3874" s="781">
        <f>$S$1*P!AA3874</f>
        <v>1.5937500000000001E-3</v>
      </c>
      <c r="AB3874" s="780"/>
      <c r="AC3874" s="780"/>
      <c r="AD3874" s="780"/>
      <c r="AE3874" s="780"/>
      <c r="AF3874" s="780"/>
    </row>
    <row r="3875" spans="19:32" x14ac:dyDescent="0.35">
      <c r="S3875" s="879">
        <v>3871</v>
      </c>
      <c r="T3875" s="879" t="s">
        <v>4284</v>
      </c>
      <c r="U3875" s="879" t="s">
        <v>4454</v>
      </c>
      <c r="V3875" s="880">
        <f>$S$1*P!V3875</f>
        <v>10.543750000000001</v>
      </c>
      <c r="W3875" s="780"/>
      <c r="X3875" s="782">
        <v>3871</v>
      </c>
      <c r="Y3875" s="782" t="s">
        <v>2248</v>
      </c>
      <c r="Z3875" s="782" t="s">
        <v>4453</v>
      </c>
      <c r="AA3875" s="781">
        <f>$S$1*P!AA3875</f>
        <v>3.8729838709677424E-3</v>
      </c>
      <c r="AB3875" s="780"/>
      <c r="AC3875" s="780"/>
      <c r="AD3875" s="780"/>
      <c r="AE3875" s="780"/>
      <c r="AF3875" s="780"/>
    </row>
    <row r="3876" spans="19:32" x14ac:dyDescent="0.35">
      <c r="S3876" s="879">
        <v>3872</v>
      </c>
      <c r="T3876" s="879" t="s">
        <v>4284</v>
      </c>
      <c r="U3876" s="879" t="s">
        <v>4452</v>
      </c>
      <c r="V3876" s="880">
        <f>$S$1*P!V3876</f>
        <v>0.27124999999999999</v>
      </c>
      <c r="W3876" s="780"/>
      <c r="X3876" s="782">
        <v>3872</v>
      </c>
      <c r="Y3876" s="782" t="s">
        <v>2248</v>
      </c>
      <c r="Z3876" s="782" t="s">
        <v>2399</v>
      </c>
      <c r="AA3876" s="781">
        <f>$S$1*P!AA3876</f>
        <v>4.7641129032258069E-4</v>
      </c>
      <c r="AB3876" s="780"/>
      <c r="AC3876" s="780"/>
      <c r="AD3876" s="780"/>
      <c r="AE3876" s="780"/>
      <c r="AF3876" s="780"/>
    </row>
    <row r="3877" spans="19:32" x14ac:dyDescent="0.35">
      <c r="S3877" s="879">
        <v>3873</v>
      </c>
      <c r="T3877" s="879" t="s">
        <v>4284</v>
      </c>
      <c r="U3877" s="879" t="s">
        <v>4451</v>
      </c>
      <c r="V3877" s="880">
        <f>$S$1*P!V3877</f>
        <v>4.59375</v>
      </c>
      <c r="W3877" s="780"/>
      <c r="X3877" s="881">
        <v>3873</v>
      </c>
      <c r="Y3877" s="881" t="s">
        <v>2248</v>
      </c>
      <c r="Z3877" s="881" t="s">
        <v>2397</v>
      </c>
      <c r="AA3877" s="890">
        <f>$S$1*P!AA3877</f>
        <v>0.22172</v>
      </c>
      <c r="AB3877" s="780"/>
      <c r="AC3877" s="780"/>
      <c r="AD3877" s="780"/>
      <c r="AE3877" s="780"/>
      <c r="AF3877" s="780"/>
    </row>
    <row r="3878" spans="19:32" x14ac:dyDescent="0.35">
      <c r="S3878" s="879">
        <v>3874</v>
      </c>
      <c r="T3878" s="879" t="s">
        <v>4284</v>
      </c>
      <c r="U3878" s="879" t="s">
        <v>4450</v>
      </c>
      <c r="V3878" s="880">
        <f>$S$1*P!V3878</f>
        <v>3.2987500000000001</v>
      </c>
      <c r="W3878" s="780"/>
      <c r="X3878" s="881">
        <v>3874</v>
      </c>
      <c r="Y3878" s="881" t="s">
        <v>2248</v>
      </c>
      <c r="Z3878" s="881" t="s">
        <v>3207</v>
      </c>
      <c r="AA3878" s="882">
        <f>$S$1*P!AA3878</f>
        <v>0.19125</v>
      </c>
      <c r="AB3878" s="780"/>
      <c r="AC3878" s="780"/>
      <c r="AD3878" s="780"/>
      <c r="AE3878" s="780"/>
      <c r="AF3878" s="780"/>
    </row>
    <row r="3879" spans="19:32" x14ac:dyDescent="0.35">
      <c r="S3879" s="879">
        <v>3875</v>
      </c>
      <c r="T3879" s="879" t="s">
        <v>4284</v>
      </c>
      <c r="U3879" s="879" t="s">
        <v>4449</v>
      </c>
      <c r="V3879" s="880">
        <f>$S$1*P!V3879</f>
        <v>0.97125000000000006</v>
      </c>
      <c r="W3879" s="780"/>
      <c r="X3879" s="782">
        <v>3875</v>
      </c>
      <c r="Y3879" s="782" t="s">
        <v>2248</v>
      </c>
      <c r="Z3879" s="782" t="s">
        <v>2397</v>
      </c>
      <c r="AA3879" s="781">
        <f>$S$1*P!AA3879</f>
        <v>3.1840725806451617</v>
      </c>
      <c r="AB3879" s="780"/>
      <c r="AC3879" s="780"/>
      <c r="AD3879" s="780"/>
      <c r="AE3879" s="780"/>
      <c r="AF3879" s="780"/>
    </row>
    <row r="3880" spans="19:32" x14ac:dyDescent="0.35">
      <c r="S3880" s="879">
        <v>3876</v>
      </c>
      <c r="T3880" s="879" t="s">
        <v>4284</v>
      </c>
      <c r="U3880" s="879" t="s">
        <v>4448</v>
      </c>
      <c r="V3880" s="880">
        <f>$S$1*P!V3880</f>
        <v>14.157500000000001</v>
      </c>
      <c r="W3880" s="780"/>
      <c r="X3880" s="782">
        <v>3876</v>
      </c>
      <c r="Y3880" s="782" t="s">
        <v>2248</v>
      </c>
      <c r="Z3880" s="782" t="s">
        <v>4387</v>
      </c>
      <c r="AA3880" s="781">
        <f>$S$1*P!AA3880</f>
        <v>1.1002016129032259E-4</v>
      </c>
      <c r="AB3880" s="780"/>
      <c r="AC3880" s="780"/>
      <c r="AD3880" s="780"/>
      <c r="AE3880" s="780"/>
      <c r="AF3880" s="780"/>
    </row>
    <row r="3881" spans="19:32" x14ac:dyDescent="0.35">
      <c r="S3881" s="879">
        <v>3877</v>
      </c>
      <c r="T3881" s="879" t="s">
        <v>4284</v>
      </c>
      <c r="U3881" s="879" t="s">
        <v>4447</v>
      </c>
      <c r="V3881" s="880">
        <f>$S$1*P!V3881</f>
        <v>15.233750000000001</v>
      </c>
      <c r="W3881" s="780"/>
      <c r="X3881" s="782">
        <v>3877</v>
      </c>
      <c r="Y3881" s="782" t="s">
        <v>2248</v>
      </c>
      <c r="Z3881" s="782" t="s">
        <v>2394</v>
      </c>
      <c r="AA3881" s="781">
        <f>$S$1*P!AA3881</f>
        <v>5.5866935483870972E-3</v>
      </c>
      <c r="AB3881" s="780"/>
      <c r="AC3881" s="780"/>
      <c r="AD3881" s="780"/>
      <c r="AE3881" s="780"/>
      <c r="AF3881" s="780"/>
    </row>
    <row r="3882" spans="19:32" x14ac:dyDescent="0.35">
      <c r="S3882" s="879">
        <v>3878</v>
      </c>
      <c r="T3882" s="879" t="s">
        <v>4284</v>
      </c>
      <c r="U3882" s="879" t="s">
        <v>4446</v>
      </c>
      <c r="V3882" s="880">
        <f>$S$1*P!V3882</f>
        <v>13.65</v>
      </c>
      <c r="W3882" s="780"/>
      <c r="X3882" s="782">
        <v>3878</v>
      </c>
      <c r="Y3882" s="782" t="s">
        <v>2248</v>
      </c>
      <c r="Z3882" s="782" t="s">
        <v>4386</v>
      </c>
      <c r="AA3882" s="781">
        <f>$S$1*P!AA3882</f>
        <v>1.0419354838709679E-2</v>
      </c>
      <c r="AB3882" s="780"/>
      <c r="AC3882" s="780"/>
      <c r="AD3882" s="780"/>
      <c r="AE3882" s="780"/>
      <c r="AF3882" s="780"/>
    </row>
    <row r="3883" spans="19:32" x14ac:dyDescent="0.35">
      <c r="S3883" s="879">
        <v>3879</v>
      </c>
      <c r="T3883" s="879" t="s">
        <v>4284</v>
      </c>
      <c r="U3883" s="879" t="s">
        <v>4445</v>
      </c>
      <c r="V3883" s="880">
        <f>$S$1*P!V3883</f>
        <v>2.4674999999999998</v>
      </c>
      <c r="W3883" s="780"/>
      <c r="X3883" s="782">
        <v>3879</v>
      </c>
      <c r="Y3883" s="782" t="s">
        <v>2248</v>
      </c>
      <c r="Z3883" s="782" t="s">
        <v>2391</v>
      </c>
      <c r="AA3883" s="781">
        <f>$S$1*P!AA3883</f>
        <v>1.8131048387096775E-2</v>
      </c>
      <c r="AB3883" s="780"/>
      <c r="AC3883" s="780"/>
      <c r="AD3883" s="780"/>
      <c r="AE3883" s="780"/>
      <c r="AF3883" s="780"/>
    </row>
    <row r="3884" spans="19:32" x14ac:dyDescent="0.35">
      <c r="S3884" s="879">
        <v>3880</v>
      </c>
      <c r="T3884" s="879" t="s">
        <v>4284</v>
      </c>
      <c r="U3884" s="879" t="s">
        <v>4444</v>
      </c>
      <c r="V3884" s="880">
        <f>$S$1*P!V3884</f>
        <v>0.71750000000000003</v>
      </c>
      <c r="W3884" s="780"/>
      <c r="X3884" s="881">
        <v>3880</v>
      </c>
      <c r="Y3884" s="881" t="s">
        <v>2248</v>
      </c>
      <c r="Z3884" s="881" t="s">
        <v>4443</v>
      </c>
      <c r="AA3884" s="882">
        <f>$S$1*P!AA3884</f>
        <v>6.1008064516129041E-5</v>
      </c>
      <c r="AB3884" s="780"/>
      <c r="AC3884" s="780"/>
      <c r="AD3884" s="780"/>
      <c r="AE3884" s="780"/>
      <c r="AF3884" s="780"/>
    </row>
    <row r="3885" spans="19:32" x14ac:dyDescent="0.35">
      <c r="S3885" s="879">
        <v>3881</v>
      </c>
      <c r="T3885" s="879" t="s">
        <v>4284</v>
      </c>
      <c r="U3885" s="879" t="s">
        <v>4442</v>
      </c>
      <c r="V3885" s="880">
        <f>$S$1*P!V3885</f>
        <v>3.0887499999999997</v>
      </c>
      <c r="W3885" s="780"/>
      <c r="X3885" s="782">
        <v>3881</v>
      </c>
      <c r="Y3885" s="782" t="s">
        <v>2248</v>
      </c>
      <c r="Z3885" s="782" t="s">
        <v>4384</v>
      </c>
      <c r="AA3885" s="781">
        <f>$S$1*P!AA3885</f>
        <v>1.9262096774193551E-5</v>
      </c>
      <c r="AB3885" s="780"/>
      <c r="AC3885" s="780"/>
      <c r="AD3885" s="780"/>
      <c r="AE3885" s="780"/>
      <c r="AF3885" s="780"/>
    </row>
    <row r="3886" spans="19:32" x14ac:dyDescent="0.35">
      <c r="S3886" s="879">
        <v>3882</v>
      </c>
      <c r="T3886" s="879" t="s">
        <v>4284</v>
      </c>
      <c r="U3886" s="879" t="s">
        <v>4441</v>
      </c>
      <c r="V3886" s="880">
        <f>$S$1*P!V3886</f>
        <v>4.7775000000000007</v>
      </c>
      <c r="W3886" s="780"/>
      <c r="X3886" s="782">
        <v>3882</v>
      </c>
      <c r="Y3886" s="782" t="s">
        <v>2248</v>
      </c>
      <c r="Z3886" s="782" t="s">
        <v>2388</v>
      </c>
      <c r="AA3886" s="781">
        <f>$S$1*P!AA3886</f>
        <v>1.3435483870967742E-2</v>
      </c>
      <c r="AB3886" s="780"/>
      <c r="AC3886" s="780"/>
      <c r="AD3886" s="780"/>
      <c r="AE3886" s="780"/>
      <c r="AF3886" s="780"/>
    </row>
    <row r="3887" spans="19:32" x14ac:dyDescent="0.35">
      <c r="S3887" s="879">
        <v>3883</v>
      </c>
      <c r="T3887" s="879" t="s">
        <v>4284</v>
      </c>
      <c r="U3887" s="879" t="s">
        <v>4440</v>
      </c>
      <c r="V3887" s="880">
        <f>$S$1*P!V3887</f>
        <v>7.9275000000000002</v>
      </c>
      <c r="W3887" s="780"/>
      <c r="X3887" s="782">
        <v>3883</v>
      </c>
      <c r="Y3887" s="782" t="s">
        <v>2248</v>
      </c>
      <c r="Z3887" s="782" t="s">
        <v>2386</v>
      </c>
      <c r="AA3887" s="781">
        <f>$S$1*P!AA3887</f>
        <v>0.29270161290322583</v>
      </c>
      <c r="AB3887" s="780"/>
      <c r="AC3887" s="780"/>
      <c r="AD3887" s="780"/>
      <c r="AE3887" s="780"/>
      <c r="AF3887" s="780"/>
    </row>
    <row r="3888" spans="19:32" x14ac:dyDescent="0.35">
      <c r="S3888" s="879">
        <v>3884</v>
      </c>
      <c r="T3888" s="879" t="s">
        <v>4284</v>
      </c>
      <c r="U3888" s="879" t="s">
        <v>4439</v>
      </c>
      <c r="V3888" s="880">
        <f>$S$1*P!V3888</f>
        <v>7.8750000000000001E-2</v>
      </c>
      <c r="W3888" s="780"/>
      <c r="X3888" s="782">
        <v>3884</v>
      </c>
      <c r="Y3888" s="782" t="s">
        <v>2248</v>
      </c>
      <c r="Z3888" s="782" t="s">
        <v>4383</v>
      </c>
      <c r="AA3888" s="781">
        <f>$S$1*P!AA3888</f>
        <v>3.5987903225806457E-5</v>
      </c>
      <c r="AB3888" s="780"/>
      <c r="AC3888" s="780"/>
      <c r="AD3888" s="780"/>
      <c r="AE3888" s="780"/>
      <c r="AF3888" s="780"/>
    </row>
    <row r="3889" spans="19:32" x14ac:dyDescent="0.35">
      <c r="S3889" s="879">
        <v>3885</v>
      </c>
      <c r="T3889" s="879" t="s">
        <v>4284</v>
      </c>
      <c r="U3889" s="879" t="s">
        <v>4438</v>
      </c>
      <c r="V3889" s="880">
        <f>$S$1*P!V3889</f>
        <v>1.25125</v>
      </c>
      <c r="W3889" s="780"/>
      <c r="X3889" s="881">
        <v>3885</v>
      </c>
      <c r="Y3889" s="881" t="s">
        <v>2248</v>
      </c>
      <c r="Z3889" s="881" t="s">
        <v>4437</v>
      </c>
      <c r="AA3889" s="882">
        <f>$S$1*P!AA3889</f>
        <v>9.1512096774193554E-3</v>
      </c>
      <c r="AB3889" s="780"/>
      <c r="AC3889" s="780"/>
      <c r="AD3889" s="780"/>
      <c r="AE3889" s="780"/>
      <c r="AF3889" s="780"/>
    </row>
    <row r="3890" spans="19:32" x14ac:dyDescent="0.35">
      <c r="S3890" s="879">
        <v>3886</v>
      </c>
      <c r="T3890" s="879" t="s">
        <v>4284</v>
      </c>
      <c r="U3890" s="879" t="s">
        <v>4436</v>
      </c>
      <c r="V3890" s="880">
        <f>$S$1*P!V3890</f>
        <v>3.6224999999999996</v>
      </c>
      <c r="W3890" s="780"/>
      <c r="X3890" s="782">
        <v>3886</v>
      </c>
      <c r="Y3890" s="782" t="s">
        <v>2248</v>
      </c>
      <c r="Z3890" s="782" t="s">
        <v>2383</v>
      </c>
      <c r="AA3890" s="781">
        <f>$S$1*P!AA3890</f>
        <v>6.2721774193548398E-4</v>
      </c>
      <c r="AB3890" s="780"/>
      <c r="AC3890" s="780"/>
      <c r="AD3890" s="780"/>
      <c r="AE3890" s="780"/>
      <c r="AF3890" s="780"/>
    </row>
    <row r="3891" spans="19:32" x14ac:dyDescent="0.35">
      <c r="S3891" s="879">
        <v>3887</v>
      </c>
      <c r="T3891" s="879" t="s">
        <v>4284</v>
      </c>
      <c r="U3891" s="879" t="s">
        <v>4435</v>
      </c>
      <c r="V3891" s="880">
        <f>$S$1*P!V3891</f>
        <v>3.7275</v>
      </c>
      <c r="W3891" s="780"/>
      <c r="X3891" s="782">
        <v>3887</v>
      </c>
      <c r="Y3891" s="782" t="s">
        <v>2248</v>
      </c>
      <c r="Z3891" s="782" t="s">
        <v>4381</v>
      </c>
      <c r="AA3891" s="781">
        <f>$S$1*P!AA3891</f>
        <v>8.9455645161290332E-3</v>
      </c>
      <c r="AB3891" s="780"/>
      <c r="AC3891" s="780"/>
      <c r="AD3891" s="780"/>
      <c r="AE3891" s="780"/>
      <c r="AF3891" s="780"/>
    </row>
    <row r="3892" spans="19:32" x14ac:dyDescent="0.35">
      <c r="S3892" s="879">
        <v>3888</v>
      </c>
      <c r="T3892" s="879" t="s">
        <v>4284</v>
      </c>
      <c r="U3892" s="879" t="s">
        <v>4434</v>
      </c>
      <c r="V3892" s="880">
        <f>$S$1*P!V3892</f>
        <v>0.7350000000000001</v>
      </c>
      <c r="W3892" s="780"/>
      <c r="X3892" s="782">
        <v>3888</v>
      </c>
      <c r="Y3892" s="782" t="s">
        <v>2248</v>
      </c>
      <c r="Z3892" s="782" t="s">
        <v>2380</v>
      </c>
      <c r="AA3892" s="781">
        <f>$S$1*P!AA3892</f>
        <v>8.431451612903226E-5</v>
      </c>
      <c r="AB3892" s="780"/>
      <c r="AC3892" s="780"/>
      <c r="AD3892" s="780"/>
      <c r="AE3892" s="780"/>
      <c r="AF3892" s="780"/>
    </row>
    <row r="3893" spans="19:32" x14ac:dyDescent="0.35">
      <c r="S3893" s="879">
        <v>3889</v>
      </c>
      <c r="T3893" s="879" t="s">
        <v>4284</v>
      </c>
      <c r="U3893" s="879" t="s">
        <v>4433</v>
      </c>
      <c r="V3893" s="880">
        <f>$S$1*P!V3893</f>
        <v>3.7974999999999999</v>
      </c>
      <c r="W3893" s="780"/>
      <c r="X3893" s="881">
        <v>3889</v>
      </c>
      <c r="Y3893" s="881" t="s">
        <v>2248</v>
      </c>
      <c r="Z3893" s="881" t="s">
        <v>4432</v>
      </c>
      <c r="AA3893" s="882">
        <f>$S$1*P!AA3893</f>
        <v>1.3572580645161292E-6</v>
      </c>
      <c r="AB3893" s="780"/>
      <c r="AC3893" s="780"/>
      <c r="AD3893" s="780"/>
      <c r="AE3893" s="780"/>
      <c r="AF3893" s="780"/>
    </row>
    <row r="3894" spans="19:32" x14ac:dyDescent="0.35">
      <c r="S3894" s="879">
        <v>3890</v>
      </c>
      <c r="T3894" s="879" t="s">
        <v>4284</v>
      </c>
      <c r="U3894" s="879" t="s">
        <v>4431</v>
      </c>
      <c r="V3894" s="880">
        <f>$S$1*P!V3894</f>
        <v>8.4087499999999995</v>
      </c>
      <c r="W3894" s="780"/>
      <c r="X3894" s="782">
        <v>3890</v>
      </c>
      <c r="Y3894" s="782" t="s">
        <v>2248</v>
      </c>
      <c r="Z3894" s="782" t="s">
        <v>4380</v>
      </c>
      <c r="AA3894" s="781">
        <f>$S$1*P!AA3894</f>
        <v>9.3568548387096776E-3</v>
      </c>
      <c r="AB3894" s="780"/>
      <c r="AC3894" s="780"/>
      <c r="AD3894" s="780"/>
      <c r="AE3894" s="780"/>
      <c r="AF3894" s="780"/>
    </row>
    <row r="3895" spans="19:32" x14ac:dyDescent="0.35">
      <c r="S3895" s="879">
        <v>3891</v>
      </c>
      <c r="T3895" s="879" t="s">
        <v>4284</v>
      </c>
      <c r="U3895" s="879" t="s">
        <v>4430</v>
      </c>
      <c r="V3895" s="880">
        <f>$S$1*P!V3895</f>
        <v>2.8787500000000001</v>
      </c>
      <c r="W3895" s="780"/>
      <c r="X3895" s="881">
        <v>3891</v>
      </c>
      <c r="Y3895" s="881" t="s">
        <v>2248</v>
      </c>
      <c r="Z3895" s="881" t="s">
        <v>2642</v>
      </c>
      <c r="AA3895" s="890">
        <f>$S$1*P!AA3895</f>
        <v>0.13156000000000001</v>
      </c>
      <c r="AB3895" s="780"/>
      <c r="AC3895" s="780"/>
      <c r="AD3895" s="780"/>
      <c r="AE3895" s="780"/>
      <c r="AF3895" s="780"/>
    </row>
    <row r="3896" spans="19:32" x14ac:dyDescent="0.35">
      <c r="S3896" s="879">
        <v>3892</v>
      </c>
      <c r="T3896" s="879" t="s">
        <v>4284</v>
      </c>
      <c r="U3896" s="879" t="s">
        <v>4429</v>
      </c>
      <c r="V3896" s="880">
        <f>$S$1*P!V3896</f>
        <v>1.1725000000000001</v>
      </c>
      <c r="W3896" s="780"/>
      <c r="X3896" s="782">
        <v>3892</v>
      </c>
      <c r="Y3896" s="782" t="s">
        <v>2248</v>
      </c>
      <c r="Z3896" s="782" t="s">
        <v>4378</v>
      </c>
      <c r="AA3896" s="781">
        <f>$S$1*P!AA3896</f>
        <v>2.1592741935483875E-3</v>
      </c>
      <c r="AB3896" s="780"/>
      <c r="AC3896" s="780"/>
      <c r="AD3896" s="780"/>
      <c r="AE3896" s="780"/>
      <c r="AF3896" s="780"/>
    </row>
    <row r="3897" spans="19:32" x14ac:dyDescent="0.35">
      <c r="S3897" s="879">
        <v>3893</v>
      </c>
      <c r="T3897" s="879" t="s">
        <v>4284</v>
      </c>
      <c r="U3897" s="879" t="s">
        <v>4428</v>
      </c>
      <c r="V3897" s="880">
        <f>$S$1*P!V3897</f>
        <v>0.23362500000000003</v>
      </c>
      <c r="W3897" s="780"/>
      <c r="X3897" s="782">
        <v>3893</v>
      </c>
      <c r="Y3897" s="782" t="s">
        <v>2248</v>
      </c>
      <c r="Z3897" s="782" t="s">
        <v>2377</v>
      </c>
      <c r="AA3897" s="781">
        <f>$S$1*P!AA3897</f>
        <v>0.10727822580645162</v>
      </c>
      <c r="AB3897" s="780"/>
      <c r="AC3897" s="780"/>
      <c r="AD3897" s="780"/>
      <c r="AE3897" s="780"/>
      <c r="AF3897" s="780"/>
    </row>
    <row r="3898" spans="19:32" x14ac:dyDescent="0.35">
      <c r="S3898" s="879">
        <v>3894</v>
      </c>
      <c r="T3898" s="879" t="s">
        <v>4284</v>
      </c>
      <c r="U3898" s="879" t="s">
        <v>4427</v>
      </c>
      <c r="V3898" s="880">
        <f>$S$1*P!V3898</f>
        <v>10.3775</v>
      </c>
      <c r="W3898" s="780"/>
      <c r="X3898" s="782">
        <v>3894</v>
      </c>
      <c r="Y3898" s="782" t="s">
        <v>2248</v>
      </c>
      <c r="Z3898" s="782" t="s">
        <v>3204</v>
      </c>
      <c r="AA3898" s="781">
        <f>$S$1*P!AA3898</f>
        <v>1.3058467741935485E-4</v>
      </c>
      <c r="AB3898" s="780"/>
      <c r="AC3898" s="780"/>
      <c r="AD3898" s="780"/>
      <c r="AE3898" s="780"/>
      <c r="AF3898" s="780"/>
    </row>
    <row r="3899" spans="19:32" x14ac:dyDescent="0.35">
      <c r="S3899" s="879">
        <v>3895</v>
      </c>
      <c r="T3899" s="879" t="s">
        <v>4284</v>
      </c>
      <c r="U3899" s="879" t="s">
        <v>4426</v>
      </c>
      <c r="V3899" s="880">
        <f>$S$1*P!V3899</f>
        <v>30.213749999999997</v>
      </c>
      <c r="W3899" s="780"/>
      <c r="X3899" s="782">
        <v>3895</v>
      </c>
      <c r="Y3899" s="782" t="s">
        <v>2248</v>
      </c>
      <c r="Z3899" s="782" t="s">
        <v>2374</v>
      </c>
      <c r="AA3899" s="781">
        <f>$S$1*P!AA3899</f>
        <v>0.28584677419354843</v>
      </c>
      <c r="AB3899" s="780"/>
      <c r="AC3899" s="780"/>
      <c r="AD3899" s="780"/>
      <c r="AE3899" s="780"/>
      <c r="AF3899" s="780"/>
    </row>
    <row r="3900" spans="19:32" x14ac:dyDescent="0.35">
      <c r="S3900" s="879">
        <v>3896</v>
      </c>
      <c r="T3900" s="879" t="s">
        <v>4284</v>
      </c>
      <c r="U3900" s="879" t="s">
        <v>4425</v>
      </c>
      <c r="V3900" s="880">
        <f>$S$1*P!V3900</f>
        <v>11.637500000000001</v>
      </c>
      <c r="W3900" s="780"/>
      <c r="X3900" s="782">
        <v>3896</v>
      </c>
      <c r="Y3900" s="782" t="s">
        <v>2248</v>
      </c>
      <c r="Z3900" s="782" t="s">
        <v>4376</v>
      </c>
      <c r="AA3900" s="781">
        <f>$S$1*P!AA3900</f>
        <v>7.6088709677419361E-4</v>
      </c>
      <c r="AB3900" s="780"/>
      <c r="AC3900" s="780"/>
      <c r="AD3900" s="780"/>
      <c r="AE3900" s="780"/>
      <c r="AF3900" s="780"/>
    </row>
    <row r="3901" spans="19:32" x14ac:dyDescent="0.35">
      <c r="S3901" s="879">
        <v>3897</v>
      </c>
      <c r="T3901" s="879" t="s">
        <v>4284</v>
      </c>
      <c r="U3901" s="879" t="s">
        <v>4424</v>
      </c>
      <c r="V3901" s="880">
        <f>$S$1*P!V3901</f>
        <v>0.245</v>
      </c>
      <c r="W3901" s="780"/>
      <c r="X3901" s="782">
        <v>3897</v>
      </c>
      <c r="Y3901" s="782" t="s">
        <v>2248</v>
      </c>
      <c r="Z3901" s="782" t="s">
        <v>2372</v>
      </c>
      <c r="AA3901" s="781">
        <f>$S$1*P!AA3901</f>
        <v>2.6905241935483875E-3</v>
      </c>
      <c r="AB3901" s="780"/>
      <c r="AC3901" s="780"/>
      <c r="AD3901" s="780"/>
      <c r="AE3901" s="780"/>
      <c r="AF3901" s="780"/>
    </row>
    <row r="3902" spans="19:32" x14ac:dyDescent="0.35">
      <c r="S3902" s="879">
        <v>3898</v>
      </c>
      <c r="T3902" s="879" t="s">
        <v>4284</v>
      </c>
      <c r="U3902" s="879" t="s">
        <v>4423</v>
      </c>
      <c r="V3902" s="880">
        <f>$S$1*P!V3902</f>
        <v>1.3387499999999999</v>
      </c>
      <c r="W3902" s="780"/>
      <c r="X3902" s="782">
        <v>3898</v>
      </c>
      <c r="Y3902" s="782" t="s">
        <v>2248</v>
      </c>
      <c r="Z3902" s="782" t="s">
        <v>4375</v>
      </c>
      <c r="AA3902" s="781">
        <f>$S$1*P!AA3902</f>
        <v>1.2578629032258066E-3</v>
      </c>
      <c r="AB3902" s="780"/>
      <c r="AC3902" s="780"/>
      <c r="AD3902" s="780"/>
      <c r="AE3902" s="780"/>
      <c r="AF3902" s="780"/>
    </row>
    <row r="3903" spans="19:32" x14ac:dyDescent="0.35">
      <c r="S3903" s="879">
        <v>3899</v>
      </c>
      <c r="T3903" s="879" t="s">
        <v>4284</v>
      </c>
      <c r="U3903" s="879" t="s">
        <v>4422</v>
      </c>
      <c r="V3903" s="880">
        <f>$S$1*P!V3903</f>
        <v>0.245</v>
      </c>
      <c r="W3903" s="780"/>
      <c r="X3903" s="881">
        <v>3899</v>
      </c>
      <c r="Y3903" s="881" t="s">
        <v>2248</v>
      </c>
      <c r="Z3903" s="881" t="s">
        <v>2641</v>
      </c>
      <c r="AA3903" s="890">
        <f>$S$1*P!AA3903</f>
        <v>0</v>
      </c>
      <c r="AB3903" s="780"/>
      <c r="AC3903" s="780"/>
      <c r="AD3903" s="780"/>
      <c r="AE3903" s="780"/>
      <c r="AF3903" s="780"/>
    </row>
    <row r="3904" spans="19:32" x14ac:dyDescent="0.35">
      <c r="S3904" s="879">
        <v>3900</v>
      </c>
      <c r="T3904" s="879" t="s">
        <v>4284</v>
      </c>
      <c r="U3904" s="879" t="s">
        <v>4421</v>
      </c>
      <c r="V3904" s="880">
        <f>$S$1*P!V3904</f>
        <v>13.30875</v>
      </c>
      <c r="W3904" s="780"/>
      <c r="X3904" s="881">
        <v>3900</v>
      </c>
      <c r="Y3904" s="881" t="s">
        <v>2248</v>
      </c>
      <c r="Z3904" s="881" t="s">
        <v>4420</v>
      </c>
      <c r="AA3904" s="882">
        <f>$S$1*P!AA3904</f>
        <v>2.2209677419354839E-3</v>
      </c>
      <c r="AB3904" s="780"/>
      <c r="AC3904" s="780"/>
      <c r="AD3904" s="780"/>
      <c r="AE3904" s="780"/>
      <c r="AF3904" s="780"/>
    </row>
    <row r="3905" spans="19:32" x14ac:dyDescent="0.35">
      <c r="S3905" s="879">
        <v>3901</v>
      </c>
      <c r="T3905" s="879" t="s">
        <v>4284</v>
      </c>
      <c r="U3905" s="879" t="s">
        <v>4419</v>
      </c>
      <c r="V3905" s="880">
        <f>$S$1*P!V3905</f>
        <v>1.58375</v>
      </c>
      <c r="W3905" s="780"/>
      <c r="X3905" s="782">
        <v>3901</v>
      </c>
      <c r="Y3905" s="782" t="s">
        <v>2248</v>
      </c>
      <c r="Z3905" s="782" t="s">
        <v>2627</v>
      </c>
      <c r="AA3905" s="781">
        <f>$S$1*P!AA3905</f>
        <v>9.9737903225806455E-4</v>
      </c>
      <c r="AB3905" s="780"/>
      <c r="AC3905" s="780"/>
      <c r="AD3905" s="780"/>
      <c r="AE3905" s="780"/>
      <c r="AF3905" s="780"/>
    </row>
    <row r="3906" spans="19:32" x14ac:dyDescent="0.35">
      <c r="S3906" s="879">
        <v>3902</v>
      </c>
      <c r="T3906" s="879" t="s">
        <v>4284</v>
      </c>
      <c r="U3906" s="879" t="s">
        <v>4418</v>
      </c>
      <c r="V3906" s="880">
        <f>$S$1*P!V3906</f>
        <v>5.25</v>
      </c>
      <c r="W3906" s="780"/>
      <c r="X3906" s="782">
        <v>3902</v>
      </c>
      <c r="Y3906" s="782" t="s">
        <v>2248</v>
      </c>
      <c r="Z3906" s="782" t="s">
        <v>2369</v>
      </c>
      <c r="AA3906" s="781">
        <f>$S$1*P!AA3906</f>
        <v>4.8669354838709678E-3</v>
      </c>
      <c r="AB3906" s="780"/>
      <c r="AC3906" s="780"/>
      <c r="AD3906" s="780"/>
      <c r="AE3906" s="780"/>
      <c r="AF3906" s="780"/>
    </row>
    <row r="3907" spans="19:32" x14ac:dyDescent="0.35">
      <c r="S3907" s="879">
        <v>3903</v>
      </c>
      <c r="T3907" s="879" t="s">
        <v>4284</v>
      </c>
      <c r="U3907" s="879" t="s">
        <v>4417</v>
      </c>
      <c r="V3907" s="880">
        <f>$S$1*P!V3907</f>
        <v>1.0237500000000002</v>
      </c>
      <c r="W3907" s="780"/>
      <c r="X3907" s="782">
        <v>3903</v>
      </c>
      <c r="Y3907" s="782" t="s">
        <v>2248</v>
      </c>
      <c r="Z3907" s="782" t="s">
        <v>2366</v>
      </c>
      <c r="AA3907" s="781">
        <f>$S$1*P!AA3907</f>
        <v>1.970766129032258E-5</v>
      </c>
      <c r="AB3907" s="780"/>
      <c r="AC3907" s="780"/>
      <c r="AD3907" s="780"/>
      <c r="AE3907" s="780"/>
      <c r="AF3907" s="780"/>
    </row>
    <row r="3908" spans="19:32" x14ac:dyDescent="0.35">
      <c r="S3908" s="879">
        <v>3904</v>
      </c>
      <c r="T3908" s="879" t="s">
        <v>4284</v>
      </c>
      <c r="U3908" s="879" t="s">
        <v>4416</v>
      </c>
      <c r="V3908" s="880">
        <f>$S$1*P!V3908</f>
        <v>7.0175000000000001</v>
      </c>
      <c r="W3908" s="780"/>
      <c r="X3908" s="782">
        <v>3904</v>
      </c>
      <c r="Y3908" s="782" t="s">
        <v>2248</v>
      </c>
      <c r="Z3908" s="782" t="s">
        <v>4372</v>
      </c>
      <c r="AA3908" s="781">
        <f>$S$1*P!AA3908</f>
        <v>8.0544354838709692E-5</v>
      </c>
      <c r="AB3908" s="780"/>
      <c r="AC3908" s="780"/>
      <c r="AD3908" s="780"/>
      <c r="AE3908" s="780"/>
      <c r="AF3908" s="780"/>
    </row>
    <row r="3909" spans="19:32" x14ac:dyDescent="0.35">
      <c r="S3909" s="891">
        <v>3905</v>
      </c>
      <c r="T3909" s="891" t="s">
        <v>4284</v>
      </c>
      <c r="U3909" s="861" t="s">
        <v>4416</v>
      </c>
      <c r="V3909" s="862">
        <f>$S$1*P!V3909</f>
        <v>0.43388500000000002</v>
      </c>
      <c r="W3909" s="780"/>
      <c r="X3909" s="782">
        <v>3905</v>
      </c>
      <c r="Y3909" s="782" t="s">
        <v>2248</v>
      </c>
      <c r="Z3909" s="782" t="s">
        <v>3203</v>
      </c>
      <c r="AA3909" s="781">
        <f>$S$1*P!AA3909</f>
        <v>6.0322580645161293E-2</v>
      </c>
      <c r="AB3909" s="780"/>
      <c r="AC3909" s="780"/>
      <c r="AD3909" s="780"/>
      <c r="AE3909" s="780"/>
      <c r="AF3909" s="780"/>
    </row>
    <row r="3910" spans="19:32" x14ac:dyDescent="0.35">
      <c r="S3910" s="879">
        <v>3906</v>
      </c>
      <c r="T3910" s="879" t="s">
        <v>4284</v>
      </c>
      <c r="U3910" s="879" t="s">
        <v>3958</v>
      </c>
      <c r="V3910" s="880">
        <f>$S$1*P!V3910</f>
        <v>5.6875</v>
      </c>
      <c r="W3910" s="780"/>
      <c r="X3910" s="782">
        <v>3906</v>
      </c>
      <c r="Y3910" s="782" t="s">
        <v>2248</v>
      </c>
      <c r="Z3910" s="782" t="s">
        <v>2364</v>
      </c>
      <c r="AA3910" s="781">
        <f>$S$1*P!AA3910</f>
        <v>0.43528225806451615</v>
      </c>
      <c r="AB3910" s="780"/>
      <c r="AC3910" s="780"/>
      <c r="AD3910" s="780"/>
      <c r="AE3910" s="780"/>
      <c r="AF3910" s="780"/>
    </row>
    <row r="3911" spans="19:32" x14ac:dyDescent="0.35">
      <c r="S3911" s="782">
        <v>3907</v>
      </c>
      <c r="T3911" s="782" t="s">
        <v>4284</v>
      </c>
      <c r="U3911" s="782" t="s">
        <v>3958</v>
      </c>
      <c r="V3911" s="797">
        <f>$S$1*P!V3911</f>
        <v>1.6074596774193549E-3</v>
      </c>
      <c r="W3911" s="780"/>
      <c r="X3911" s="782">
        <v>3907</v>
      </c>
      <c r="Y3911" s="782" t="s">
        <v>2248</v>
      </c>
      <c r="Z3911" s="782" t="s">
        <v>4371</v>
      </c>
      <c r="AA3911" s="781">
        <f>$S$1*P!AA3911</f>
        <v>4.0100806451612908E-3</v>
      </c>
      <c r="AB3911" s="780"/>
      <c r="AC3911" s="780"/>
      <c r="AD3911" s="780"/>
      <c r="AE3911" s="780"/>
      <c r="AF3911" s="780"/>
    </row>
    <row r="3912" spans="19:32" x14ac:dyDescent="0.35">
      <c r="S3912" s="782">
        <v>3908</v>
      </c>
      <c r="T3912" s="782" t="s">
        <v>4284</v>
      </c>
      <c r="U3912" s="782" t="s">
        <v>3957</v>
      </c>
      <c r="V3912" s="797">
        <f>$S$1*P!V3912</f>
        <v>3.3177419354838713E-3</v>
      </c>
      <c r="W3912" s="780"/>
      <c r="X3912" s="782">
        <v>3908</v>
      </c>
      <c r="Y3912" s="782" t="s">
        <v>2248</v>
      </c>
      <c r="Z3912" s="782" t="s">
        <v>2361</v>
      </c>
      <c r="AA3912" s="781">
        <f>$S$1*P!AA3912</f>
        <v>1.2852822580645162E-3</v>
      </c>
      <c r="AB3912" s="780"/>
      <c r="AC3912" s="780"/>
      <c r="AD3912" s="780"/>
      <c r="AE3912" s="780"/>
      <c r="AF3912" s="780"/>
    </row>
    <row r="3913" spans="19:32" x14ac:dyDescent="0.35">
      <c r="S3913" s="782">
        <v>3909</v>
      </c>
      <c r="T3913" s="782" t="s">
        <v>4284</v>
      </c>
      <c r="U3913" s="782" t="s">
        <v>3956</v>
      </c>
      <c r="V3913" s="797">
        <f>$S$1*P!V3913</f>
        <v>1.1858870967741936E-2</v>
      </c>
      <c r="W3913" s="780"/>
      <c r="X3913" s="782">
        <v>3909</v>
      </c>
      <c r="Y3913" s="782" t="s">
        <v>2248</v>
      </c>
      <c r="Z3913" s="782" t="s">
        <v>4369</v>
      </c>
      <c r="AA3913" s="781">
        <f>$S$1*P!AA3913</f>
        <v>1.0933467741935484E-4</v>
      </c>
      <c r="AB3913" s="780"/>
      <c r="AC3913" s="780"/>
      <c r="AD3913" s="780"/>
      <c r="AE3913" s="780"/>
      <c r="AF3913" s="780"/>
    </row>
    <row r="3914" spans="19:32" x14ac:dyDescent="0.35">
      <c r="S3914" s="782">
        <v>3910</v>
      </c>
      <c r="T3914" s="782" t="s">
        <v>4284</v>
      </c>
      <c r="U3914" s="782" t="s">
        <v>3954</v>
      </c>
      <c r="V3914" s="797">
        <f>$S$1*P!V3914</f>
        <v>6.4778225806451611E-4</v>
      </c>
      <c r="W3914" s="780"/>
      <c r="X3914" s="782">
        <v>3910</v>
      </c>
      <c r="Y3914" s="782" t="s">
        <v>2248</v>
      </c>
      <c r="Z3914" s="782" t="s">
        <v>2358</v>
      </c>
      <c r="AA3914" s="781">
        <f>$S$1*P!AA3914</f>
        <v>2.8207661290322581E-3</v>
      </c>
      <c r="AB3914" s="780"/>
      <c r="AC3914" s="780"/>
      <c r="AD3914" s="780"/>
      <c r="AE3914" s="780"/>
      <c r="AF3914" s="780"/>
    </row>
    <row r="3915" spans="19:32" x14ac:dyDescent="0.35">
      <c r="S3915" s="782">
        <v>3911</v>
      </c>
      <c r="T3915" s="782" t="s">
        <v>4284</v>
      </c>
      <c r="U3915" s="782" t="s">
        <v>3953</v>
      </c>
      <c r="V3915" s="797">
        <f>$S$1*P!V3915</f>
        <v>1.0179435483870969E-3</v>
      </c>
      <c r="W3915" s="780"/>
      <c r="X3915" s="881">
        <v>3911</v>
      </c>
      <c r="Y3915" s="881" t="s">
        <v>2248</v>
      </c>
      <c r="Z3915" s="881" t="s">
        <v>4415</v>
      </c>
      <c r="AA3915" s="882">
        <f>$S$1*P!AA3915</f>
        <v>5.5524193548387099E-3</v>
      </c>
      <c r="AB3915" s="780"/>
      <c r="AC3915" s="780"/>
      <c r="AD3915" s="780"/>
      <c r="AE3915" s="780"/>
      <c r="AF3915" s="780"/>
    </row>
    <row r="3916" spans="19:32" x14ac:dyDescent="0.35">
      <c r="S3916" s="789">
        <v>3912</v>
      </c>
      <c r="T3916" s="789" t="s">
        <v>4284</v>
      </c>
      <c r="U3916" s="789" t="s">
        <v>4414</v>
      </c>
      <c r="V3916" s="790">
        <f>$S$1*P!V3916</f>
        <v>474.44</v>
      </c>
      <c r="W3916" s="780"/>
      <c r="X3916" s="782">
        <v>3912</v>
      </c>
      <c r="Y3916" s="782" t="s">
        <v>2248</v>
      </c>
      <c r="Z3916" s="782" t="s">
        <v>2355</v>
      </c>
      <c r="AA3916" s="781">
        <f>$S$1*P!AA3916</f>
        <v>6.6834677419354846E-4</v>
      </c>
      <c r="AB3916" s="780"/>
      <c r="AC3916" s="780"/>
      <c r="AD3916" s="780"/>
      <c r="AE3916" s="780"/>
      <c r="AF3916" s="780"/>
    </row>
    <row r="3917" spans="19:32" x14ac:dyDescent="0.35">
      <c r="S3917" s="782">
        <v>3913</v>
      </c>
      <c r="T3917" s="782" t="s">
        <v>4284</v>
      </c>
      <c r="U3917" s="782" t="s">
        <v>3951</v>
      </c>
      <c r="V3917" s="797">
        <f>$S$1*P!V3917</f>
        <v>1.915927419354839E-2</v>
      </c>
      <c r="W3917" s="780"/>
      <c r="X3917" s="782">
        <v>3913</v>
      </c>
      <c r="Y3917" s="782" t="s">
        <v>2248</v>
      </c>
      <c r="Z3917" s="782" t="s">
        <v>2624</v>
      </c>
      <c r="AA3917" s="781">
        <f>$S$1*P!AA3917</f>
        <v>2.5054435483870971E-2</v>
      </c>
      <c r="AB3917" s="780"/>
      <c r="AC3917" s="780"/>
      <c r="AD3917" s="780"/>
      <c r="AE3917" s="780"/>
      <c r="AF3917" s="780"/>
    </row>
    <row r="3918" spans="19:32" x14ac:dyDescent="0.35">
      <c r="S3918" s="782">
        <v>3914</v>
      </c>
      <c r="T3918" s="782" t="s">
        <v>4284</v>
      </c>
      <c r="U3918" s="782" t="s">
        <v>3950</v>
      </c>
      <c r="V3918" s="797">
        <f>$S$1*P!V3918</f>
        <v>9.3568548387096783E-4</v>
      </c>
      <c r="W3918" s="780"/>
      <c r="X3918" s="782">
        <v>3914</v>
      </c>
      <c r="Y3918" s="782" t="s">
        <v>2248</v>
      </c>
      <c r="Z3918" s="782" t="s">
        <v>2353</v>
      </c>
      <c r="AA3918" s="781">
        <f>$S$1*P!AA3918</f>
        <v>7.2318548387096783E-3</v>
      </c>
      <c r="AB3918" s="780"/>
      <c r="AC3918" s="780"/>
      <c r="AD3918" s="780"/>
      <c r="AE3918" s="780"/>
      <c r="AF3918" s="780"/>
    </row>
    <row r="3919" spans="19:32" x14ac:dyDescent="0.35">
      <c r="S3919" s="782">
        <v>3915</v>
      </c>
      <c r="T3919" s="782" t="s">
        <v>4284</v>
      </c>
      <c r="U3919" s="782" t="s">
        <v>2389</v>
      </c>
      <c r="V3919" s="797">
        <f>$S$1*P!V3919</f>
        <v>0.51068548387096779</v>
      </c>
      <c r="W3919" s="780"/>
      <c r="X3919" s="782">
        <v>3915</v>
      </c>
      <c r="Y3919" s="782" t="s">
        <v>2248</v>
      </c>
      <c r="Z3919" s="782" t="s">
        <v>4413</v>
      </c>
      <c r="AA3919" s="781">
        <f>$S$1*P!AA3919</f>
        <v>1.6862903225806454E-3</v>
      </c>
      <c r="AB3919" s="780"/>
      <c r="AC3919" s="780"/>
      <c r="AD3919" s="780"/>
      <c r="AE3919" s="780"/>
      <c r="AF3919" s="780"/>
    </row>
    <row r="3920" spans="19:32" x14ac:dyDescent="0.35">
      <c r="S3920" s="881">
        <v>3916</v>
      </c>
      <c r="T3920" s="881" t="s">
        <v>4284</v>
      </c>
      <c r="U3920" s="881" t="s">
        <v>2389</v>
      </c>
      <c r="V3920" s="883">
        <f>$S$1*P!V3920</f>
        <v>128.79999999999998</v>
      </c>
      <c r="W3920" s="780"/>
      <c r="X3920" s="782">
        <v>3916</v>
      </c>
      <c r="Y3920" s="782" t="s">
        <v>2248</v>
      </c>
      <c r="Z3920" s="782" t="s">
        <v>4366</v>
      </c>
      <c r="AA3920" s="781">
        <f>$S$1*P!AA3920</f>
        <v>1.2201612903225808E-4</v>
      </c>
      <c r="AB3920" s="780"/>
      <c r="AC3920" s="780"/>
      <c r="AD3920" s="780"/>
      <c r="AE3920" s="780"/>
      <c r="AF3920" s="780"/>
    </row>
    <row r="3921" spans="19:32" x14ac:dyDescent="0.35">
      <c r="S3921" s="782">
        <v>3917</v>
      </c>
      <c r="T3921" s="782" t="s">
        <v>4284</v>
      </c>
      <c r="U3921" s="782" t="s">
        <v>3948</v>
      </c>
      <c r="V3921" s="797">
        <f>$S$1*P!V3921</f>
        <v>0.37016129032258066</v>
      </c>
      <c r="W3921" s="780"/>
      <c r="X3921" s="782">
        <v>3917</v>
      </c>
      <c r="Y3921" s="782" t="s">
        <v>2248</v>
      </c>
      <c r="Z3921" s="782" t="s">
        <v>2350</v>
      </c>
      <c r="AA3921" s="781">
        <f>$S$1*P!AA3921</f>
        <v>9.0141129032258078</v>
      </c>
      <c r="AB3921" s="780"/>
      <c r="AC3921" s="780"/>
      <c r="AD3921" s="780"/>
      <c r="AE3921" s="780"/>
      <c r="AF3921" s="780"/>
    </row>
    <row r="3922" spans="19:32" x14ac:dyDescent="0.35">
      <c r="S3922" s="782">
        <v>3918</v>
      </c>
      <c r="T3922" s="782" t="s">
        <v>4284</v>
      </c>
      <c r="U3922" s="782" t="s">
        <v>2387</v>
      </c>
      <c r="V3922" s="797">
        <f>$S$1*P!V3922</f>
        <v>2.5945564516129033E-2</v>
      </c>
      <c r="W3922" s="780"/>
      <c r="X3922" s="782">
        <v>3918</v>
      </c>
      <c r="Y3922" s="782" t="s">
        <v>2248</v>
      </c>
      <c r="Z3922" s="782" t="s">
        <v>4365</v>
      </c>
      <c r="AA3922" s="781">
        <f>$S$1*P!AA3922</f>
        <v>2.0598790322580648E-3</v>
      </c>
      <c r="AB3922" s="780"/>
      <c r="AC3922" s="780"/>
      <c r="AD3922" s="780"/>
      <c r="AE3922" s="780"/>
      <c r="AF3922" s="780"/>
    </row>
    <row r="3923" spans="19:32" x14ac:dyDescent="0.35">
      <c r="S3923" s="881">
        <v>3919</v>
      </c>
      <c r="T3923" s="881" t="s">
        <v>4284</v>
      </c>
      <c r="U3923" s="881" t="s">
        <v>2387</v>
      </c>
      <c r="V3923" s="883">
        <f>$S$1*P!V3923</f>
        <v>0</v>
      </c>
      <c r="W3923" s="780"/>
      <c r="X3923" s="782">
        <v>3919</v>
      </c>
      <c r="Y3923" s="782" t="s">
        <v>2248</v>
      </c>
      <c r="Z3923" s="782" t="s">
        <v>2347</v>
      </c>
      <c r="AA3923" s="781">
        <f>$S$1*P!AA3923</f>
        <v>0.18268145161290325</v>
      </c>
      <c r="AB3923" s="780"/>
      <c r="AC3923" s="780"/>
      <c r="AD3923" s="780"/>
      <c r="AE3923" s="780"/>
      <c r="AF3923" s="780"/>
    </row>
    <row r="3924" spans="19:32" x14ac:dyDescent="0.35">
      <c r="S3924" s="782">
        <v>3920</v>
      </c>
      <c r="T3924" s="782" t="s">
        <v>4284</v>
      </c>
      <c r="U3924" s="782" t="s">
        <v>3946</v>
      </c>
      <c r="V3924" s="797">
        <f>$S$1*P!V3924</f>
        <v>7.5403225806451631E-5</v>
      </c>
      <c r="W3924" s="780"/>
      <c r="X3924" s="881">
        <v>3920</v>
      </c>
      <c r="Y3924" s="881" t="s">
        <v>2248</v>
      </c>
      <c r="Z3924" s="881" t="s">
        <v>4412</v>
      </c>
      <c r="AA3924" s="882">
        <f>$S$1*P!AA3924</f>
        <v>1.0350806451612904E-4</v>
      </c>
      <c r="AB3924" s="780"/>
      <c r="AC3924" s="780"/>
      <c r="AD3924" s="780"/>
      <c r="AE3924" s="780"/>
      <c r="AF3924" s="780"/>
    </row>
    <row r="3925" spans="19:32" x14ac:dyDescent="0.35">
      <c r="S3925" s="782">
        <v>3921</v>
      </c>
      <c r="T3925" s="782" t="s">
        <v>4284</v>
      </c>
      <c r="U3925" s="782" t="s">
        <v>2385</v>
      </c>
      <c r="V3925" s="797">
        <f>$S$1*P!V3925</f>
        <v>6.9919354838709691E-5</v>
      </c>
      <c r="W3925" s="780"/>
      <c r="X3925" s="782">
        <v>3921</v>
      </c>
      <c r="Y3925" s="782" t="s">
        <v>2248</v>
      </c>
      <c r="Z3925" s="782" t="s">
        <v>2344</v>
      </c>
      <c r="AA3925" s="781">
        <f>$S$1*P!AA3925</f>
        <v>1.1413306451612904E-3</v>
      </c>
      <c r="AB3925" s="780"/>
      <c r="AC3925" s="780"/>
      <c r="AD3925" s="780"/>
      <c r="AE3925" s="780"/>
      <c r="AF3925" s="780"/>
    </row>
    <row r="3926" spans="19:32" x14ac:dyDescent="0.35">
      <c r="S3926" s="881">
        <v>3922</v>
      </c>
      <c r="T3926" s="881" t="s">
        <v>4284</v>
      </c>
      <c r="U3926" s="881" t="s">
        <v>2385</v>
      </c>
      <c r="V3926" s="883">
        <f>$S$1*P!V3926</f>
        <v>0</v>
      </c>
      <c r="W3926" s="780"/>
      <c r="X3926" s="782">
        <v>3922</v>
      </c>
      <c r="Y3926" s="782" t="s">
        <v>2248</v>
      </c>
      <c r="Z3926" s="782" t="s">
        <v>2621</v>
      </c>
      <c r="AA3926" s="781">
        <f>$S$1*P!AA3926</f>
        <v>4.3528225806451615E-4</v>
      </c>
      <c r="AB3926" s="780"/>
      <c r="AC3926" s="780"/>
      <c r="AD3926" s="780"/>
      <c r="AE3926" s="780"/>
      <c r="AF3926" s="780"/>
    </row>
    <row r="3927" spans="19:32" x14ac:dyDescent="0.35">
      <c r="S3927" s="782">
        <v>3923</v>
      </c>
      <c r="T3927" s="782" t="s">
        <v>4284</v>
      </c>
      <c r="U3927" s="782" t="s">
        <v>3944</v>
      </c>
      <c r="V3927" s="797">
        <f>$S$1*P!V3927</f>
        <v>0.21078629032258067</v>
      </c>
      <c r="W3927" s="780"/>
      <c r="X3927" s="881">
        <v>3923</v>
      </c>
      <c r="Y3927" s="881" t="s">
        <v>2248</v>
      </c>
      <c r="Z3927" s="881" t="s">
        <v>2341</v>
      </c>
      <c r="AA3927" s="890">
        <f>$S$1*P!AA3927</f>
        <v>0</v>
      </c>
      <c r="AB3927" s="780"/>
      <c r="AC3927" s="780"/>
      <c r="AD3927" s="780"/>
      <c r="AE3927" s="780"/>
      <c r="AF3927" s="780"/>
    </row>
    <row r="3928" spans="19:32" x14ac:dyDescent="0.35">
      <c r="S3928" s="881">
        <v>3924</v>
      </c>
      <c r="T3928" s="881" t="s">
        <v>4284</v>
      </c>
      <c r="U3928" s="881" t="s">
        <v>2384</v>
      </c>
      <c r="V3928" s="883">
        <f>$S$1*P!V3928</f>
        <v>0</v>
      </c>
      <c r="W3928" s="780"/>
      <c r="X3928" s="782">
        <v>3924</v>
      </c>
      <c r="Y3928" s="782" t="s">
        <v>2248</v>
      </c>
      <c r="Z3928" s="782" t="s">
        <v>2620</v>
      </c>
      <c r="AA3928" s="781">
        <f>$S$1*P!AA3928</f>
        <v>2.3614919354838712E-3</v>
      </c>
      <c r="AB3928" s="780"/>
      <c r="AC3928" s="780"/>
      <c r="AD3928" s="780"/>
      <c r="AE3928" s="780"/>
      <c r="AF3928" s="780"/>
    </row>
    <row r="3929" spans="19:32" x14ac:dyDescent="0.35">
      <c r="S3929" s="861">
        <v>3925</v>
      </c>
      <c r="T3929" s="861" t="s">
        <v>4284</v>
      </c>
      <c r="U3929" s="861" t="s">
        <v>4411</v>
      </c>
      <c r="V3929" s="862">
        <f>$S$1*P!V3929</f>
        <v>0.47882499999999995</v>
      </c>
      <c r="W3929" s="780"/>
      <c r="X3929" s="782">
        <v>3925</v>
      </c>
      <c r="Y3929" s="782" t="s">
        <v>2248</v>
      </c>
      <c r="Z3929" s="782" t="s">
        <v>2341</v>
      </c>
      <c r="AA3929" s="781">
        <f>$S$1*P!AA3929</f>
        <v>0.66149193548387097</v>
      </c>
      <c r="AB3929" s="780"/>
      <c r="AC3929" s="780"/>
      <c r="AD3929" s="780"/>
      <c r="AE3929" s="780"/>
      <c r="AF3929" s="780"/>
    </row>
    <row r="3930" spans="19:32" x14ac:dyDescent="0.35">
      <c r="S3930" s="782">
        <v>3926</v>
      </c>
      <c r="T3930" s="782" t="s">
        <v>4284</v>
      </c>
      <c r="U3930" s="782" t="s">
        <v>4411</v>
      </c>
      <c r="V3930" s="797">
        <f>$S$1*P!V3930</f>
        <v>1.0556451612903228E-6</v>
      </c>
      <c r="W3930" s="780"/>
      <c r="X3930" s="881">
        <v>3926</v>
      </c>
      <c r="Y3930" s="881" t="s">
        <v>2248</v>
      </c>
      <c r="Z3930" s="881" t="s">
        <v>4410</v>
      </c>
      <c r="AA3930" s="882">
        <f>$S$1*P!AA3930</f>
        <v>6.6834677419354838E-2</v>
      </c>
      <c r="AB3930" s="780"/>
      <c r="AC3930" s="780"/>
      <c r="AD3930" s="780"/>
      <c r="AE3930" s="780"/>
      <c r="AF3930" s="780"/>
    </row>
    <row r="3931" spans="19:32" x14ac:dyDescent="0.35">
      <c r="S3931" s="861">
        <v>3927</v>
      </c>
      <c r="T3931" s="861" t="s">
        <v>4284</v>
      </c>
      <c r="U3931" s="861" t="s">
        <v>2382</v>
      </c>
      <c r="V3931" s="862">
        <f>$S$1*P!V3931</f>
        <v>0.95764999999999989</v>
      </c>
      <c r="W3931" s="780"/>
      <c r="X3931" s="782">
        <v>3927</v>
      </c>
      <c r="Y3931" s="782" t="s">
        <v>2248</v>
      </c>
      <c r="Z3931" s="782" t="s">
        <v>4358</v>
      </c>
      <c r="AA3931" s="781">
        <f>$S$1*P!AA3931</f>
        <v>4.3870967741935489E-4</v>
      </c>
      <c r="AB3931" s="780"/>
      <c r="AC3931" s="780"/>
      <c r="AD3931" s="780"/>
      <c r="AE3931" s="780"/>
      <c r="AF3931" s="780"/>
    </row>
    <row r="3932" spans="19:32" x14ac:dyDescent="0.35">
      <c r="S3932" s="782">
        <v>3928</v>
      </c>
      <c r="T3932" s="782" t="s">
        <v>4284</v>
      </c>
      <c r="U3932" s="782" t="s">
        <v>2382</v>
      </c>
      <c r="V3932" s="797">
        <f>$S$1*P!V3932</f>
        <v>4.7641129032258069E-6</v>
      </c>
      <c r="W3932" s="780"/>
      <c r="X3932" s="881">
        <v>3928</v>
      </c>
      <c r="Y3932" s="881" t="s">
        <v>2248</v>
      </c>
      <c r="Z3932" s="881" t="s">
        <v>2339</v>
      </c>
      <c r="AA3932" s="890">
        <f>$S$1*P!AA3932</f>
        <v>0</v>
      </c>
      <c r="AB3932" s="780"/>
      <c r="AC3932" s="780"/>
      <c r="AD3932" s="780"/>
      <c r="AE3932" s="780"/>
      <c r="AF3932" s="780"/>
    </row>
    <row r="3933" spans="19:32" x14ac:dyDescent="0.35">
      <c r="S3933" s="881">
        <v>3929</v>
      </c>
      <c r="T3933" s="881" t="s">
        <v>4284</v>
      </c>
      <c r="U3933" s="881" t="s">
        <v>2382</v>
      </c>
      <c r="V3933" s="883">
        <f>$S$1*P!V3933</f>
        <v>0.29716000000000004</v>
      </c>
      <c r="W3933" s="780"/>
      <c r="X3933" s="782">
        <v>3929</v>
      </c>
      <c r="Y3933" s="782" t="s">
        <v>2248</v>
      </c>
      <c r="Z3933" s="782" t="s">
        <v>2339</v>
      </c>
      <c r="AA3933" s="781">
        <f>$S$1*P!AA3933</f>
        <v>5.8951612903225814E-3</v>
      </c>
      <c r="AB3933" s="780"/>
      <c r="AC3933" s="780"/>
      <c r="AD3933" s="780"/>
      <c r="AE3933" s="780"/>
      <c r="AF3933" s="780"/>
    </row>
    <row r="3934" spans="19:32" x14ac:dyDescent="0.35">
      <c r="S3934" s="861">
        <v>3930</v>
      </c>
      <c r="T3934" s="861" t="s">
        <v>4284</v>
      </c>
      <c r="U3934" s="861" t="s">
        <v>4409</v>
      </c>
      <c r="V3934" s="862">
        <f>$S$1*P!V3934</f>
        <v>2.2041999999999997</v>
      </c>
      <c r="W3934" s="780"/>
      <c r="X3934" s="782">
        <v>3930</v>
      </c>
      <c r="Y3934" s="782" t="s">
        <v>2248</v>
      </c>
      <c r="Z3934" s="782" t="s">
        <v>4357</v>
      </c>
      <c r="AA3934" s="781">
        <f>$S$1*P!AA3934</f>
        <v>4.6612903225806454E-2</v>
      </c>
      <c r="AB3934" s="780"/>
      <c r="AC3934" s="780"/>
      <c r="AD3934" s="780"/>
      <c r="AE3934" s="780"/>
      <c r="AF3934" s="780"/>
    </row>
    <row r="3935" spans="19:32" x14ac:dyDescent="0.35">
      <c r="S3935" s="861">
        <v>3931</v>
      </c>
      <c r="T3935" s="861" t="s">
        <v>4284</v>
      </c>
      <c r="U3935" s="861" t="s">
        <v>2381</v>
      </c>
      <c r="V3935" s="862">
        <f>$S$1*P!V3935</f>
        <v>1.5835999999999999</v>
      </c>
      <c r="W3935" s="780"/>
      <c r="X3935" s="881">
        <v>3931</v>
      </c>
      <c r="Y3935" s="881" t="s">
        <v>2248</v>
      </c>
      <c r="Z3935" s="881" t="s">
        <v>4408</v>
      </c>
      <c r="AA3935" s="882">
        <f>$S$1*P!AA3935</f>
        <v>7.8145161290322585E-4</v>
      </c>
      <c r="AB3935" s="780"/>
      <c r="AC3935" s="780"/>
      <c r="AD3935" s="780"/>
      <c r="AE3935" s="780"/>
      <c r="AF3935" s="780"/>
    </row>
    <row r="3936" spans="19:32" x14ac:dyDescent="0.35">
      <c r="S3936" s="782">
        <v>3932</v>
      </c>
      <c r="T3936" s="782" t="s">
        <v>4284</v>
      </c>
      <c r="U3936" s="782" t="s">
        <v>2381</v>
      </c>
      <c r="V3936" s="797">
        <f>$S$1*P!V3936</f>
        <v>7.7459677419354842E-7</v>
      </c>
      <c r="W3936" s="780"/>
      <c r="X3936" s="782">
        <v>3932</v>
      </c>
      <c r="Y3936" s="782" t="s">
        <v>2248</v>
      </c>
      <c r="Z3936" s="782" t="s">
        <v>2336</v>
      </c>
      <c r="AA3936" s="781">
        <f>$S$1*P!AA3936</f>
        <v>2.0975806451612906E-3</v>
      </c>
      <c r="AB3936" s="780"/>
      <c r="AC3936" s="780"/>
      <c r="AD3936" s="780"/>
      <c r="AE3936" s="780"/>
      <c r="AF3936" s="780"/>
    </row>
    <row r="3937" spans="19:32" x14ac:dyDescent="0.35">
      <c r="S3937" s="881">
        <v>3933</v>
      </c>
      <c r="T3937" s="881" t="s">
        <v>4284</v>
      </c>
      <c r="U3937" s="881" t="s">
        <v>2381</v>
      </c>
      <c r="V3937" s="883">
        <f>$S$1*P!V3937</f>
        <v>5.4831999999999999E-2</v>
      </c>
      <c r="W3937" s="780"/>
      <c r="X3937" s="782">
        <v>3933</v>
      </c>
      <c r="Y3937" s="782" t="s">
        <v>2248</v>
      </c>
      <c r="Z3937" s="782" t="s">
        <v>4354</v>
      </c>
      <c r="AA3937" s="781">
        <f>$S$1*P!AA3937</f>
        <v>2.4334677419354842E-2</v>
      </c>
      <c r="AB3937" s="780"/>
      <c r="AC3937" s="780"/>
      <c r="AD3937" s="780"/>
      <c r="AE3937" s="780"/>
      <c r="AF3937" s="780"/>
    </row>
    <row r="3938" spans="19:32" x14ac:dyDescent="0.35">
      <c r="S3938" s="782">
        <v>3934</v>
      </c>
      <c r="T3938" s="782" t="s">
        <v>4284</v>
      </c>
      <c r="U3938" s="782" t="s">
        <v>4407</v>
      </c>
      <c r="V3938" s="797">
        <f>$S$1*P!V3938</f>
        <v>2.1627016129032258E-4</v>
      </c>
      <c r="W3938" s="780"/>
      <c r="X3938" s="782">
        <v>3934</v>
      </c>
      <c r="Y3938" s="782" t="s">
        <v>2248</v>
      </c>
      <c r="Z3938" s="782" t="s">
        <v>2334</v>
      </c>
      <c r="AA3938" s="781">
        <f>$S$1*P!AA3938</f>
        <v>1.2681451612903227</v>
      </c>
      <c r="AB3938" s="780"/>
      <c r="AC3938" s="780"/>
      <c r="AD3938" s="780"/>
      <c r="AE3938" s="780"/>
      <c r="AF3938" s="780"/>
    </row>
    <row r="3939" spans="19:32" x14ac:dyDescent="0.35">
      <c r="S3939" s="782">
        <v>3935</v>
      </c>
      <c r="T3939" s="782" t="s">
        <v>4284</v>
      </c>
      <c r="U3939" s="782" t="s">
        <v>3938</v>
      </c>
      <c r="V3939" s="797">
        <f>$S$1*P!V3939</f>
        <v>3.5302419354838711E-7</v>
      </c>
      <c r="W3939" s="780"/>
      <c r="X3939" s="881">
        <v>3935</v>
      </c>
      <c r="Y3939" s="881" t="s">
        <v>2248</v>
      </c>
      <c r="Z3939" s="881" t="s">
        <v>4406</v>
      </c>
      <c r="AA3939" s="882">
        <f>$S$1*P!AA3939</f>
        <v>9.116935483870969E-3</v>
      </c>
      <c r="AB3939" s="780"/>
      <c r="AC3939" s="780"/>
      <c r="AD3939" s="780"/>
      <c r="AE3939" s="780"/>
      <c r="AF3939" s="780"/>
    </row>
    <row r="3940" spans="19:32" x14ac:dyDescent="0.35">
      <c r="S3940" s="782">
        <v>3936</v>
      </c>
      <c r="T3940" s="782" t="s">
        <v>4284</v>
      </c>
      <c r="U3940" s="782" t="s">
        <v>3937</v>
      </c>
      <c r="V3940" s="797">
        <f>$S$1*P!V3940</f>
        <v>1.0350806451612904E-2</v>
      </c>
      <c r="W3940" s="780"/>
      <c r="X3940" s="782">
        <v>3936</v>
      </c>
      <c r="Y3940" s="782" t="s">
        <v>2248</v>
      </c>
      <c r="Z3940" s="782" t="s">
        <v>2617</v>
      </c>
      <c r="AA3940" s="781">
        <f>$S$1*P!AA3940</f>
        <v>2.5328629032258066E-2</v>
      </c>
      <c r="AB3940" s="780"/>
      <c r="AC3940" s="780"/>
      <c r="AD3940" s="780"/>
      <c r="AE3940" s="780"/>
      <c r="AF3940" s="780"/>
    </row>
    <row r="3941" spans="19:32" x14ac:dyDescent="0.35">
      <c r="S3941" s="782">
        <v>3937</v>
      </c>
      <c r="T3941" s="782" t="s">
        <v>4284</v>
      </c>
      <c r="U3941" s="782" t="s">
        <v>3936</v>
      </c>
      <c r="V3941" s="797">
        <f>$S$1*P!V3941</f>
        <v>6.3750000000000001E-2</v>
      </c>
      <c r="W3941" s="780"/>
      <c r="X3941" s="782">
        <v>3937</v>
      </c>
      <c r="Y3941" s="782" t="s">
        <v>2248</v>
      </c>
      <c r="Z3941" s="782" t="s">
        <v>4352</v>
      </c>
      <c r="AA3941" s="781">
        <f>$S$1*P!AA3941</f>
        <v>8.4657258064516131E-16</v>
      </c>
      <c r="AB3941" s="780"/>
      <c r="AC3941" s="780"/>
      <c r="AD3941" s="780"/>
      <c r="AE3941" s="780"/>
      <c r="AF3941" s="780"/>
    </row>
    <row r="3942" spans="19:32" x14ac:dyDescent="0.35">
      <c r="S3942" s="782">
        <v>3938</v>
      </c>
      <c r="T3942" s="782" t="s">
        <v>4284</v>
      </c>
      <c r="U3942" s="782" t="s">
        <v>3935</v>
      </c>
      <c r="V3942" s="797">
        <f>$S$1*P!V3942</f>
        <v>2.282661290322581E-2</v>
      </c>
      <c r="W3942" s="780"/>
      <c r="X3942" s="881">
        <v>3938</v>
      </c>
      <c r="Y3942" s="881" t="s">
        <v>2248</v>
      </c>
      <c r="Z3942" s="881" t="s">
        <v>2638</v>
      </c>
      <c r="AA3942" s="890">
        <f>$S$1*P!AA3942</f>
        <v>0</v>
      </c>
      <c r="AB3942" s="780"/>
      <c r="AC3942" s="780"/>
      <c r="AD3942" s="780"/>
      <c r="AE3942" s="780"/>
      <c r="AF3942" s="780"/>
    </row>
    <row r="3943" spans="19:32" x14ac:dyDescent="0.35">
      <c r="S3943" s="782">
        <v>3939</v>
      </c>
      <c r="T3943" s="782" t="s">
        <v>4284</v>
      </c>
      <c r="U3943" s="782" t="s">
        <v>3933</v>
      </c>
      <c r="V3943" s="797">
        <f>$S$1*P!V3943</f>
        <v>6.409274193548388E-2</v>
      </c>
      <c r="W3943" s="780"/>
      <c r="X3943" s="782">
        <v>3939</v>
      </c>
      <c r="Y3943" s="782" t="s">
        <v>2248</v>
      </c>
      <c r="Z3943" s="782" t="s">
        <v>4405</v>
      </c>
      <c r="AA3943" s="781">
        <f>$S$1*P!AA3943</f>
        <v>4.2842741935483876E-7</v>
      </c>
      <c r="AB3943" s="780"/>
      <c r="AC3943" s="780"/>
      <c r="AD3943" s="780"/>
      <c r="AE3943" s="780"/>
      <c r="AF3943" s="780"/>
    </row>
    <row r="3944" spans="19:32" x14ac:dyDescent="0.35">
      <c r="S3944" s="782">
        <v>3940</v>
      </c>
      <c r="T3944" s="782" t="s">
        <v>4284</v>
      </c>
      <c r="U3944" s="782" t="s">
        <v>3932</v>
      </c>
      <c r="V3944" s="797">
        <f>$S$1*P!V3944</f>
        <v>9.9052419354838717E-2</v>
      </c>
      <c r="W3944" s="780"/>
      <c r="X3944" s="782">
        <v>3940</v>
      </c>
      <c r="Y3944" s="782" t="s">
        <v>2248</v>
      </c>
      <c r="Z3944" s="782" t="s">
        <v>2613</v>
      </c>
      <c r="AA3944" s="781">
        <f>$S$1*P!AA3944</f>
        <v>2.4471774193548387E-2</v>
      </c>
      <c r="AB3944" s="780"/>
      <c r="AC3944" s="780"/>
      <c r="AD3944" s="780"/>
      <c r="AE3944" s="780"/>
      <c r="AF3944" s="780"/>
    </row>
    <row r="3945" spans="19:32" x14ac:dyDescent="0.35">
      <c r="S3945" s="782">
        <v>3941</v>
      </c>
      <c r="T3945" s="782" t="s">
        <v>4284</v>
      </c>
      <c r="U3945" s="782" t="s">
        <v>3931</v>
      </c>
      <c r="V3945" s="797">
        <f>$S$1*P!V3945</f>
        <v>0.91169354838709682</v>
      </c>
      <c r="W3945" s="780"/>
      <c r="X3945" s="782">
        <v>3941</v>
      </c>
      <c r="Y3945" s="782" t="s">
        <v>2248</v>
      </c>
      <c r="Z3945" s="782" t="s">
        <v>2331</v>
      </c>
      <c r="AA3945" s="781">
        <f>$S$1*P!AA3945</f>
        <v>1.4875000000000001E-3</v>
      </c>
      <c r="AB3945" s="780"/>
      <c r="AC3945" s="780"/>
      <c r="AD3945" s="780"/>
      <c r="AE3945" s="780"/>
      <c r="AF3945" s="780"/>
    </row>
    <row r="3946" spans="19:32" x14ac:dyDescent="0.35">
      <c r="S3946" s="782">
        <v>3942</v>
      </c>
      <c r="T3946" s="782" t="s">
        <v>4284</v>
      </c>
      <c r="U3946" s="782" t="s">
        <v>3930</v>
      </c>
      <c r="V3946" s="797">
        <f>$S$1*P!V3946</f>
        <v>0.36673387096774196</v>
      </c>
      <c r="W3946" s="780"/>
      <c r="X3946" s="782">
        <v>3942</v>
      </c>
      <c r="Y3946" s="782" t="s">
        <v>2248</v>
      </c>
      <c r="Z3946" s="782" t="s">
        <v>4349</v>
      </c>
      <c r="AA3946" s="781">
        <f>$S$1*P!AA3946</f>
        <v>8.8427419354838721E-2</v>
      </c>
      <c r="AB3946" s="780"/>
      <c r="AC3946" s="780"/>
      <c r="AD3946" s="780"/>
      <c r="AE3946" s="780"/>
      <c r="AF3946" s="780"/>
    </row>
    <row r="3947" spans="19:32" x14ac:dyDescent="0.35">
      <c r="S3947" s="881">
        <v>3943</v>
      </c>
      <c r="T3947" s="881" t="s">
        <v>4284</v>
      </c>
      <c r="U3947" s="881" t="s">
        <v>2379</v>
      </c>
      <c r="V3947" s="883">
        <f>$S$1*P!V3947</f>
        <v>0</v>
      </c>
      <c r="W3947" s="780"/>
      <c r="X3947" s="782">
        <v>3943</v>
      </c>
      <c r="Y3947" s="782" t="s">
        <v>2248</v>
      </c>
      <c r="Z3947" s="782" t="s">
        <v>2328</v>
      </c>
      <c r="AA3947" s="781">
        <f>$S$1*P!AA3947</f>
        <v>5.7923387096774194E-3</v>
      </c>
      <c r="AB3947" s="780"/>
      <c r="AC3947" s="780"/>
      <c r="AD3947" s="780"/>
      <c r="AE3947" s="780"/>
      <c r="AF3947" s="780"/>
    </row>
    <row r="3948" spans="19:32" x14ac:dyDescent="0.35">
      <c r="S3948" s="881">
        <v>3944</v>
      </c>
      <c r="T3948" s="881" t="s">
        <v>4284</v>
      </c>
      <c r="U3948" s="881" t="s">
        <v>2378</v>
      </c>
      <c r="V3948" s="883">
        <f>$S$1*P!V3948</f>
        <v>0</v>
      </c>
      <c r="W3948" s="780"/>
      <c r="X3948" s="881">
        <v>3944</v>
      </c>
      <c r="Y3948" s="881" t="s">
        <v>2248</v>
      </c>
      <c r="Z3948" s="881" t="s">
        <v>4404</v>
      </c>
      <c r="AA3948" s="882">
        <f>$S$1*P!AA3948</f>
        <v>1.370967741935484E-4</v>
      </c>
      <c r="AB3948" s="780"/>
      <c r="AC3948" s="780"/>
      <c r="AD3948" s="780"/>
      <c r="AE3948" s="780"/>
      <c r="AF3948" s="780"/>
    </row>
    <row r="3949" spans="19:32" x14ac:dyDescent="0.35">
      <c r="S3949" s="782">
        <v>3945</v>
      </c>
      <c r="T3949" s="782" t="s">
        <v>4284</v>
      </c>
      <c r="U3949" s="782" t="s">
        <v>3928</v>
      </c>
      <c r="V3949" s="797">
        <f>$S$1*P!V3949</f>
        <v>4.0443548387096774E-2</v>
      </c>
      <c r="W3949" s="780"/>
      <c r="X3949" s="782">
        <v>3945</v>
      </c>
      <c r="Y3949" s="782" t="s">
        <v>2248</v>
      </c>
      <c r="Z3949" s="782" t="s">
        <v>2325</v>
      </c>
      <c r="AA3949" s="781">
        <f>$S$1*P!AA3949</f>
        <v>8.5000000000000006E-4</v>
      </c>
      <c r="AB3949" s="780"/>
      <c r="AC3949" s="780"/>
      <c r="AD3949" s="780"/>
      <c r="AE3949" s="780"/>
      <c r="AF3949" s="780"/>
    </row>
    <row r="3950" spans="19:32" x14ac:dyDescent="0.35">
      <c r="S3950" s="782">
        <v>3946</v>
      </c>
      <c r="T3950" s="782" t="s">
        <v>4284</v>
      </c>
      <c r="U3950" s="782" t="s">
        <v>3926</v>
      </c>
      <c r="V3950" s="797">
        <f>$S$1*P!V3950</f>
        <v>1.9570564516129034E-4</v>
      </c>
      <c r="W3950" s="780"/>
      <c r="X3950" s="782">
        <v>3946</v>
      </c>
      <c r="Y3950" s="782" t="s">
        <v>2248</v>
      </c>
      <c r="Z3950" s="782" t="s">
        <v>4348</v>
      </c>
      <c r="AA3950" s="781">
        <f>$S$1*P!AA3950</f>
        <v>1.9879032258064518E-4</v>
      </c>
      <c r="AB3950" s="780"/>
      <c r="AC3950" s="780"/>
      <c r="AD3950" s="780"/>
      <c r="AE3950" s="780"/>
      <c r="AF3950" s="780"/>
    </row>
    <row r="3951" spans="19:32" x14ac:dyDescent="0.35">
      <c r="S3951" s="782">
        <v>3947</v>
      </c>
      <c r="T3951" s="782" t="s">
        <v>4284</v>
      </c>
      <c r="U3951" s="782" t="s">
        <v>3925</v>
      </c>
      <c r="V3951" s="797">
        <f>$S$1*P!V3951</f>
        <v>5.4838709677419356E-2</v>
      </c>
      <c r="W3951" s="780"/>
      <c r="X3951" s="782">
        <v>3947</v>
      </c>
      <c r="Y3951" s="782" t="s">
        <v>2248</v>
      </c>
      <c r="Z3951" s="782" t="s">
        <v>2322</v>
      </c>
      <c r="AA3951" s="781">
        <f>$S$1*P!AA3951</f>
        <v>3.9415322580645167E-4</v>
      </c>
      <c r="AB3951" s="780"/>
      <c r="AC3951" s="780"/>
      <c r="AD3951" s="780"/>
      <c r="AE3951" s="780"/>
      <c r="AF3951" s="780"/>
    </row>
    <row r="3952" spans="19:32" x14ac:dyDescent="0.35">
      <c r="S3952" s="782">
        <v>3948</v>
      </c>
      <c r="T3952" s="782" t="s">
        <v>4284</v>
      </c>
      <c r="U3952" s="782" t="s">
        <v>3924</v>
      </c>
      <c r="V3952" s="797">
        <f>$S$1*P!V3952</f>
        <v>4.558467741935484E-2</v>
      </c>
      <c r="W3952" s="780"/>
      <c r="X3952" s="782">
        <v>3948</v>
      </c>
      <c r="Y3952" s="782" t="s">
        <v>2248</v>
      </c>
      <c r="Z3952" s="782" t="s">
        <v>2612</v>
      </c>
      <c r="AA3952" s="781">
        <f>$S$1*P!AA3952</f>
        <v>2.4300403225806455E-2</v>
      </c>
      <c r="AB3952" s="780"/>
      <c r="AC3952" s="780"/>
      <c r="AD3952" s="780"/>
      <c r="AE3952" s="780"/>
      <c r="AF3952" s="780"/>
    </row>
    <row r="3953" spans="19:32" x14ac:dyDescent="0.35">
      <c r="S3953" s="782">
        <v>3949</v>
      </c>
      <c r="T3953" s="782" t="s">
        <v>4284</v>
      </c>
      <c r="U3953" s="782" t="s">
        <v>3922</v>
      </c>
      <c r="V3953" s="797">
        <f>$S$1*P!V3953</f>
        <v>5.6895161290322583E-3</v>
      </c>
      <c r="W3953" s="780"/>
      <c r="X3953" s="782">
        <v>3949</v>
      </c>
      <c r="Y3953" s="782" t="s">
        <v>2248</v>
      </c>
      <c r="Z3953" s="782" t="s">
        <v>4403</v>
      </c>
      <c r="AA3953" s="781">
        <f>$S$1*P!AA3953</f>
        <v>1.4463709677419356E-4</v>
      </c>
      <c r="AB3953" s="780"/>
      <c r="AC3953" s="780"/>
      <c r="AD3953" s="780"/>
      <c r="AE3953" s="780"/>
      <c r="AF3953" s="780"/>
    </row>
    <row r="3954" spans="19:32" x14ac:dyDescent="0.35">
      <c r="S3954" s="881">
        <v>3950</v>
      </c>
      <c r="T3954" s="881" t="s">
        <v>4284</v>
      </c>
      <c r="U3954" s="881" t="s">
        <v>2376</v>
      </c>
      <c r="V3954" s="883">
        <f>$S$1*P!V3954</f>
        <v>0.17756</v>
      </c>
      <c r="W3954" s="780"/>
      <c r="X3954" s="782">
        <v>3950</v>
      </c>
      <c r="Y3954" s="782" t="s">
        <v>2248</v>
      </c>
      <c r="Z3954" s="782" t="s">
        <v>2320</v>
      </c>
      <c r="AA3954" s="781">
        <f>$S$1*P!AA3954</f>
        <v>2.7282258064516129E-3</v>
      </c>
      <c r="AB3954" s="780"/>
      <c r="AC3954" s="780"/>
      <c r="AD3954" s="780"/>
      <c r="AE3954" s="780"/>
      <c r="AF3954" s="780"/>
    </row>
    <row r="3955" spans="19:32" x14ac:dyDescent="0.35">
      <c r="S3955" s="782">
        <v>3951</v>
      </c>
      <c r="T3955" s="782" t="s">
        <v>4284</v>
      </c>
      <c r="U3955" s="782" t="s">
        <v>3920</v>
      </c>
      <c r="V3955" s="797">
        <f>$S$1*P!V3955</f>
        <v>0.49354838709677423</v>
      </c>
      <c r="W3955" s="780"/>
      <c r="X3955" s="782">
        <v>3951</v>
      </c>
      <c r="Y3955" s="782" t="s">
        <v>2248</v>
      </c>
      <c r="Z3955" s="782" t="s">
        <v>4345</v>
      </c>
      <c r="AA3955" s="781">
        <f>$S$1*P!AA3955</f>
        <v>1.028225806451613E-3</v>
      </c>
      <c r="AB3955" s="780"/>
      <c r="AC3955" s="780"/>
      <c r="AD3955" s="780"/>
      <c r="AE3955" s="780"/>
      <c r="AF3955" s="780"/>
    </row>
    <row r="3956" spans="19:32" x14ac:dyDescent="0.35">
      <c r="S3956" s="782">
        <v>3952</v>
      </c>
      <c r="T3956" s="782" t="s">
        <v>4284</v>
      </c>
      <c r="U3956" s="782" t="s">
        <v>3919</v>
      </c>
      <c r="V3956" s="797">
        <f>$S$1*P!V3956</f>
        <v>6.3064516129032258E-2</v>
      </c>
      <c r="W3956" s="780"/>
      <c r="X3956" s="881">
        <v>3952</v>
      </c>
      <c r="Y3956" s="881" t="s">
        <v>2248</v>
      </c>
      <c r="Z3956" s="881" t="s">
        <v>2636</v>
      </c>
      <c r="AA3956" s="890">
        <f>$S$1*P!AA3956</f>
        <v>0.13432000000000002</v>
      </c>
      <c r="AB3956" s="780"/>
      <c r="AC3956" s="780"/>
      <c r="AD3956" s="780"/>
      <c r="AE3956" s="780"/>
      <c r="AF3956" s="780"/>
    </row>
    <row r="3957" spans="19:32" x14ac:dyDescent="0.35">
      <c r="S3957" s="782">
        <v>3953</v>
      </c>
      <c r="T3957" s="782" t="s">
        <v>4284</v>
      </c>
      <c r="U3957" s="782" t="s">
        <v>2375</v>
      </c>
      <c r="V3957" s="797">
        <f>$S$1*P!V3957</f>
        <v>1.264717741935484E-4</v>
      </c>
      <c r="W3957" s="780"/>
      <c r="X3957" s="782">
        <v>3953</v>
      </c>
      <c r="Y3957" s="782" t="s">
        <v>2248</v>
      </c>
      <c r="Z3957" s="782" t="s">
        <v>2317</v>
      </c>
      <c r="AA3957" s="781">
        <f>$S$1*P!AA3957</f>
        <v>5.6209677419354835E-4</v>
      </c>
      <c r="AB3957" s="780"/>
      <c r="AC3957" s="780"/>
      <c r="AD3957" s="780"/>
      <c r="AE3957" s="780"/>
      <c r="AF3957" s="780"/>
    </row>
    <row r="3958" spans="19:32" x14ac:dyDescent="0.35">
      <c r="S3958" s="881">
        <v>3954</v>
      </c>
      <c r="T3958" s="881" t="s">
        <v>4284</v>
      </c>
      <c r="U3958" s="881" t="s">
        <v>2375</v>
      </c>
      <c r="V3958" s="883">
        <f>$S$1*P!V3958</f>
        <v>0</v>
      </c>
      <c r="W3958" s="780"/>
      <c r="X3958" s="782">
        <v>3954</v>
      </c>
      <c r="Y3958" s="782" t="s">
        <v>2248</v>
      </c>
      <c r="Z3958" s="782" t="s">
        <v>2610</v>
      </c>
      <c r="AA3958" s="781">
        <f>$S$1*P!AA3958</f>
        <v>1.2338709677419356E-4</v>
      </c>
      <c r="AB3958" s="780"/>
      <c r="AC3958" s="780"/>
      <c r="AD3958" s="780"/>
      <c r="AE3958" s="780"/>
      <c r="AF3958" s="780"/>
    </row>
    <row r="3959" spans="19:32" x14ac:dyDescent="0.35">
      <c r="S3959" s="782">
        <v>3955</v>
      </c>
      <c r="T3959" s="782" t="s">
        <v>4284</v>
      </c>
      <c r="U3959" s="782" t="s">
        <v>3918</v>
      </c>
      <c r="V3959" s="797">
        <f>$S$1*P!V3959</f>
        <v>3.838709677419355E-3</v>
      </c>
      <c r="W3959" s="780"/>
      <c r="X3959" s="881">
        <v>3955</v>
      </c>
      <c r="Y3959" s="881" t="s">
        <v>2248</v>
      </c>
      <c r="Z3959" s="881" t="s">
        <v>4402</v>
      </c>
      <c r="AA3959" s="882">
        <f>$S$1*P!AA3959</f>
        <v>1.0145161290322581E-4</v>
      </c>
      <c r="AB3959" s="780"/>
      <c r="AC3959" s="780"/>
      <c r="AD3959" s="780"/>
      <c r="AE3959" s="780"/>
      <c r="AF3959" s="780"/>
    </row>
    <row r="3960" spans="19:32" x14ac:dyDescent="0.35">
      <c r="S3960" s="782">
        <v>3956</v>
      </c>
      <c r="T3960" s="782" t="s">
        <v>4284</v>
      </c>
      <c r="U3960" s="782" t="s">
        <v>3917</v>
      </c>
      <c r="V3960" s="797">
        <f>$S$1*P!V3960</f>
        <v>4.0786290322580645E-5</v>
      </c>
      <c r="W3960" s="780"/>
      <c r="X3960" s="782">
        <v>3956</v>
      </c>
      <c r="Y3960" s="782" t="s">
        <v>2248</v>
      </c>
      <c r="Z3960" s="782" t="s">
        <v>2314</v>
      </c>
      <c r="AA3960" s="781">
        <f>$S$1*P!AA3960</f>
        <v>8.4314516129032268E-4</v>
      </c>
      <c r="AB3960" s="780"/>
      <c r="AC3960" s="780"/>
      <c r="AD3960" s="780"/>
      <c r="AE3960" s="780"/>
      <c r="AF3960" s="780"/>
    </row>
    <row r="3961" spans="19:32" x14ac:dyDescent="0.35">
      <c r="S3961" s="782">
        <v>3957</v>
      </c>
      <c r="T3961" s="782" t="s">
        <v>4284</v>
      </c>
      <c r="U3961" s="782" t="s">
        <v>3916</v>
      </c>
      <c r="V3961" s="797">
        <f>$S$1*P!V3961</f>
        <v>7.5403225806451618E-2</v>
      </c>
      <c r="W3961" s="780"/>
      <c r="X3961" s="782">
        <v>3957</v>
      </c>
      <c r="Y3961" s="782" t="s">
        <v>2248</v>
      </c>
      <c r="Z3961" s="782" t="s">
        <v>4343</v>
      </c>
      <c r="AA3961" s="781">
        <f>$S$1*P!AA3961</f>
        <v>1.0179435483870969E-3</v>
      </c>
      <c r="AB3961" s="780"/>
      <c r="AC3961" s="780"/>
      <c r="AD3961" s="780"/>
      <c r="AE3961" s="780"/>
      <c r="AF3961" s="780"/>
    </row>
    <row r="3962" spans="19:32" x14ac:dyDescent="0.35">
      <c r="S3962" s="782">
        <v>3958</v>
      </c>
      <c r="T3962" s="782" t="s">
        <v>4284</v>
      </c>
      <c r="U3962" s="782" t="s">
        <v>3915</v>
      </c>
      <c r="V3962" s="797">
        <f>$S$1*P!V3962</f>
        <v>2.9235887096774193E-4</v>
      </c>
      <c r="W3962" s="780"/>
      <c r="X3962" s="782">
        <v>3958</v>
      </c>
      <c r="Y3962" s="782" t="s">
        <v>2248</v>
      </c>
      <c r="Z3962" s="782" t="s">
        <v>2311</v>
      </c>
      <c r="AA3962" s="781">
        <f>$S$1*P!AA3962</f>
        <v>2.7110887096774199E-4</v>
      </c>
      <c r="AB3962" s="780"/>
      <c r="AC3962" s="780"/>
      <c r="AD3962" s="780"/>
      <c r="AE3962" s="780"/>
      <c r="AF3962" s="780"/>
    </row>
    <row r="3963" spans="19:32" x14ac:dyDescent="0.35">
      <c r="S3963" s="782">
        <v>3959</v>
      </c>
      <c r="T3963" s="782" t="s">
        <v>4284</v>
      </c>
      <c r="U3963" s="782" t="s">
        <v>3914</v>
      </c>
      <c r="V3963" s="797">
        <f>$S$1*P!V3963</f>
        <v>6.0322580645161298E-3</v>
      </c>
      <c r="W3963" s="780"/>
      <c r="X3963" s="782">
        <v>3959</v>
      </c>
      <c r="Y3963" s="782" t="s">
        <v>2248</v>
      </c>
      <c r="Z3963" s="782" t="s">
        <v>4401</v>
      </c>
      <c r="AA3963" s="781">
        <f>$S$1*P!AA3963</f>
        <v>3.2526209677419359E-7</v>
      </c>
      <c r="AB3963" s="780"/>
      <c r="AC3963" s="780"/>
      <c r="AD3963" s="780"/>
      <c r="AE3963" s="780"/>
      <c r="AF3963" s="780"/>
    </row>
    <row r="3964" spans="19:32" x14ac:dyDescent="0.35">
      <c r="S3964" s="782">
        <v>3960</v>
      </c>
      <c r="T3964" s="782" t="s">
        <v>4284</v>
      </c>
      <c r="U3964" s="782" t="s">
        <v>3913</v>
      </c>
      <c r="V3964" s="797">
        <f>$S$1*P!V3964</f>
        <v>6.03225806451613E-7</v>
      </c>
      <c r="W3964" s="780"/>
      <c r="X3964" s="782">
        <v>3960</v>
      </c>
      <c r="Y3964" s="782" t="s">
        <v>2248</v>
      </c>
      <c r="Z3964" s="782" t="s">
        <v>4342</v>
      </c>
      <c r="AA3964" s="781">
        <f>$S$1*P!AA3964</f>
        <v>1.3058467741935484E-2</v>
      </c>
      <c r="AB3964" s="780"/>
      <c r="AC3964" s="780"/>
      <c r="AD3964" s="780"/>
      <c r="AE3964" s="780"/>
      <c r="AF3964" s="780"/>
    </row>
    <row r="3965" spans="19:32" x14ac:dyDescent="0.35">
      <c r="S3965" s="782">
        <v>3961</v>
      </c>
      <c r="T3965" s="782" t="s">
        <v>4284</v>
      </c>
      <c r="U3965" s="782" t="s">
        <v>3912</v>
      </c>
      <c r="V3965" s="797">
        <f>$S$1*P!V3965</f>
        <v>0.15217741935483872</v>
      </c>
      <c r="W3965" s="780"/>
      <c r="X3965" s="782">
        <v>3961</v>
      </c>
      <c r="Y3965" s="782" t="s">
        <v>2248</v>
      </c>
      <c r="Z3965" s="782" t="s">
        <v>2309</v>
      </c>
      <c r="AA3965" s="781">
        <f>$S$1*P!AA3965</f>
        <v>0.77459677419354844</v>
      </c>
      <c r="AB3965" s="780"/>
      <c r="AC3965" s="780"/>
      <c r="AD3965" s="780"/>
      <c r="AE3965" s="780"/>
      <c r="AF3965" s="780"/>
    </row>
    <row r="3966" spans="19:32" x14ac:dyDescent="0.35">
      <c r="S3966" s="782">
        <v>3962</v>
      </c>
      <c r="T3966" s="782" t="s">
        <v>4284</v>
      </c>
      <c r="U3966" s="782" t="s">
        <v>3911</v>
      </c>
      <c r="V3966" s="797">
        <f>$S$1*P!V3966</f>
        <v>6.0665322580645165E-2</v>
      </c>
      <c r="W3966" s="780"/>
      <c r="X3966" s="782">
        <v>3962</v>
      </c>
      <c r="Y3966" s="782" t="s">
        <v>2248</v>
      </c>
      <c r="Z3966" s="782" t="s">
        <v>4339</v>
      </c>
      <c r="AA3966" s="781">
        <f>$S$1*P!AA3966</f>
        <v>6.3064516129032256E-4</v>
      </c>
      <c r="AB3966" s="780"/>
      <c r="AC3966" s="780"/>
      <c r="AD3966" s="780"/>
      <c r="AE3966" s="780"/>
      <c r="AF3966" s="780"/>
    </row>
    <row r="3967" spans="19:32" x14ac:dyDescent="0.35">
      <c r="S3967" s="782">
        <v>3963</v>
      </c>
      <c r="T3967" s="782" t="s">
        <v>4284</v>
      </c>
      <c r="U3967" s="782" t="s">
        <v>3910</v>
      </c>
      <c r="V3967" s="797">
        <f>$S$1*P!V3967</f>
        <v>0.24231854838709679</v>
      </c>
      <c r="W3967" s="780"/>
      <c r="X3967" s="881">
        <v>3963</v>
      </c>
      <c r="Y3967" s="881" t="s">
        <v>2248</v>
      </c>
      <c r="Z3967" s="881" t="s">
        <v>2306</v>
      </c>
      <c r="AA3967" s="890">
        <f>$S$1*P!AA3967</f>
        <v>0</v>
      </c>
      <c r="AB3967" s="780"/>
      <c r="AC3967" s="780"/>
      <c r="AD3967" s="780"/>
      <c r="AE3967" s="780"/>
      <c r="AF3967" s="780"/>
    </row>
    <row r="3968" spans="19:32" x14ac:dyDescent="0.35">
      <c r="S3968" s="782">
        <v>3964</v>
      </c>
      <c r="T3968" s="782" t="s">
        <v>4284</v>
      </c>
      <c r="U3968" s="782" t="s">
        <v>3909</v>
      </c>
      <c r="V3968" s="797">
        <f>$S$1*P!V3968</f>
        <v>3.3520161290322582E-4</v>
      </c>
      <c r="W3968" s="780"/>
      <c r="X3968" s="782">
        <v>3964</v>
      </c>
      <c r="Y3968" s="782" t="s">
        <v>2248</v>
      </c>
      <c r="Z3968" s="782" t="s">
        <v>2306</v>
      </c>
      <c r="AA3968" s="781">
        <f>$S$1*P!AA3968</f>
        <v>2.0221774193548389E-4</v>
      </c>
      <c r="AB3968" s="780"/>
      <c r="AC3968" s="780"/>
      <c r="AD3968" s="780"/>
      <c r="AE3968" s="780"/>
      <c r="AF3968" s="780"/>
    </row>
    <row r="3969" spans="19:32" x14ac:dyDescent="0.35">
      <c r="S3969" s="782">
        <v>3965</v>
      </c>
      <c r="T3969" s="782" t="s">
        <v>4284</v>
      </c>
      <c r="U3969" s="782" t="s">
        <v>3908</v>
      </c>
      <c r="V3969" s="797">
        <f>$S$1*P!V3969</f>
        <v>8.2258064516129034E-2</v>
      </c>
      <c r="W3969" s="780"/>
      <c r="X3969" s="881">
        <v>3965</v>
      </c>
      <c r="Y3969" s="881" t="s">
        <v>2248</v>
      </c>
      <c r="Z3969" s="881" t="s">
        <v>4400</v>
      </c>
      <c r="AA3969" s="890">
        <f>$S$1*P!AA3969</f>
        <v>6.3064516129032272E-5</v>
      </c>
      <c r="AB3969" s="780"/>
      <c r="AC3969" s="780"/>
      <c r="AD3969" s="780"/>
      <c r="AE3969" s="780"/>
      <c r="AF3969" s="780"/>
    </row>
    <row r="3970" spans="19:32" x14ac:dyDescent="0.35">
      <c r="S3970" s="782">
        <v>3966</v>
      </c>
      <c r="T3970" s="782" t="s">
        <v>4284</v>
      </c>
      <c r="U3970" s="782" t="s">
        <v>3907</v>
      </c>
      <c r="V3970" s="797">
        <f>$S$1*P!V3970</f>
        <v>1.9193548387096775E-3</v>
      </c>
      <c r="W3970" s="780"/>
      <c r="X3970" s="782">
        <v>3966</v>
      </c>
      <c r="Y3970" s="782" t="s">
        <v>2248</v>
      </c>
      <c r="Z3970" s="782" t="s">
        <v>4338</v>
      </c>
      <c r="AA3970" s="781">
        <f>$S$1*P!AA3970</f>
        <v>4.6955645161290329E-3</v>
      </c>
      <c r="AB3970" s="780"/>
      <c r="AC3970" s="780"/>
      <c r="AD3970" s="780"/>
      <c r="AE3970" s="780"/>
      <c r="AF3970" s="780"/>
    </row>
    <row r="3971" spans="19:32" x14ac:dyDescent="0.35">
      <c r="S3971" s="782">
        <v>3967</v>
      </c>
      <c r="T3971" s="782" t="s">
        <v>4284</v>
      </c>
      <c r="U3971" s="782" t="s">
        <v>2373</v>
      </c>
      <c r="V3971" s="797">
        <f>$S$1*P!V3971</f>
        <v>0.14120967741935486</v>
      </c>
      <c r="W3971" s="780"/>
      <c r="X3971" s="782">
        <v>3967</v>
      </c>
      <c r="Y3971" s="782" t="s">
        <v>2248</v>
      </c>
      <c r="Z3971" s="782" t="s">
        <v>2303</v>
      </c>
      <c r="AA3971" s="781">
        <f>$S$1*P!AA3971</f>
        <v>5.1068548387096782E-3</v>
      </c>
      <c r="AB3971" s="780"/>
      <c r="AC3971" s="780"/>
      <c r="AD3971" s="780"/>
      <c r="AE3971" s="780"/>
      <c r="AF3971" s="780"/>
    </row>
    <row r="3972" spans="19:32" x14ac:dyDescent="0.35">
      <c r="S3972" s="881">
        <v>3968</v>
      </c>
      <c r="T3972" s="881" t="s">
        <v>4284</v>
      </c>
      <c r="U3972" s="881" t="s">
        <v>2373</v>
      </c>
      <c r="V3972" s="883">
        <f>$S$1*P!V3972</f>
        <v>0</v>
      </c>
      <c r="W3972" s="780"/>
      <c r="X3972" s="782">
        <v>3968</v>
      </c>
      <c r="Y3972" s="782" t="s">
        <v>2248</v>
      </c>
      <c r="Z3972" s="782" t="s">
        <v>2300</v>
      </c>
      <c r="AA3972" s="781">
        <f>$S$1*P!AA3972</f>
        <v>2.3683467741935485E-4</v>
      </c>
      <c r="AB3972" s="780"/>
      <c r="AC3972" s="780"/>
      <c r="AD3972" s="780"/>
      <c r="AE3972" s="780"/>
      <c r="AF3972" s="780"/>
    </row>
    <row r="3973" spans="19:32" x14ac:dyDescent="0.35">
      <c r="S3973" s="782">
        <v>3969</v>
      </c>
      <c r="T3973" s="782" t="s">
        <v>4284</v>
      </c>
      <c r="U3973" s="782" t="s">
        <v>2371</v>
      </c>
      <c r="V3973" s="797">
        <f>$S$1*P!V3973</f>
        <v>6.8205645161290324E-2</v>
      </c>
      <c r="W3973" s="780"/>
      <c r="X3973" s="782">
        <v>3969</v>
      </c>
      <c r="Y3973" s="782" t="s">
        <v>2248</v>
      </c>
      <c r="Z3973" s="782" t="s">
        <v>4337</v>
      </c>
      <c r="AA3973" s="781">
        <f>$S$1*P!AA3973</f>
        <v>1.2544354838709679E-2</v>
      </c>
      <c r="AB3973" s="780"/>
      <c r="AC3973" s="780"/>
      <c r="AD3973" s="780"/>
      <c r="AE3973" s="780"/>
      <c r="AF3973" s="780"/>
    </row>
    <row r="3974" spans="19:32" x14ac:dyDescent="0.35">
      <c r="S3974" s="881">
        <v>3970</v>
      </c>
      <c r="T3974" s="881" t="s">
        <v>4284</v>
      </c>
      <c r="U3974" s="881" t="s">
        <v>2371</v>
      </c>
      <c r="V3974" s="883">
        <f>$S$1*P!V3974</f>
        <v>0</v>
      </c>
      <c r="W3974" s="780"/>
      <c r="X3974" s="881">
        <v>3970</v>
      </c>
      <c r="Y3974" s="881" t="s">
        <v>2248</v>
      </c>
      <c r="Z3974" s="881" t="s">
        <v>4399</v>
      </c>
      <c r="AA3974" s="890">
        <f>$S$1*P!AA3974</f>
        <v>2.5294354838709679E-6</v>
      </c>
      <c r="AB3974" s="780"/>
      <c r="AC3974" s="780"/>
      <c r="AD3974" s="780"/>
      <c r="AE3974" s="780"/>
      <c r="AF3974" s="780"/>
    </row>
    <row r="3975" spans="19:32" x14ac:dyDescent="0.35">
      <c r="S3975" s="782">
        <v>3971</v>
      </c>
      <c r="T3975" s="782" t="s">
        <v>4284</v>
      </c>
      <c r="U3975" s="782" t="s">
        <v>3905</v>
      </c>
      <c r="V3975" s="797">
        <f>$S$1*P!V3975</f>
        <v>3.2149193548387095E-5</v>
      </c>
      <c r="W3975" s="780"/>
      <c r="X3975" s="782">
        <v>3971</v>
      </c>
      <c r="Y3975" s="782" t="s">
        <v>2248</v>
      </c>
      <c r="Z3975" s="782" t="s">
        <v>2297</v>
      </c>
      <c r="AA3975" s="781">
        <f>$S$1*P!AA3975</f>
        <v>7.5745967741935497E-2</v>
      </c>
      <c r="AB3975" s="780"/>
      <c r="AC3975" s="780"/>
      <c r="AD3975" s="780"/>
      <c r="AE3975" s="780"/>
      <c r="AF3975" s="780"/>
    </row>
    <row r="3976" spans="19:32" x14ac:dyDescent="0.35">
      <c r="S3976" s="782">
        <v>3972</v>
      </c>
      <c r="T3976" s="782" t="s">
        <v>4284</v>
      </c>
      <c r="U3976" s="782" t="s">
        <v>3904</v>
      </c>
      <c r="V3976" s="797">
        <f>$S$1*P!V3976</f>
        <v>2.2243951612903226E-6</v>
      </c>
      <c r="W3976" s="780"/>
      <c r="X3976" s="782">
        <v>3972</v>
      </c>
      <c r="Y3976" s="782" t="s">
        <v>2248</v>
      </c>
      <c r="Z3976" s="782" t="s">
        <v>4335</v>
      </c>
      <c r="AA3976" s="781">
        <f>$S$1*P!AA3976</f>
        <v>1.9502016129032259E-3</v>
      </c>
      <c r="AB3976" s="780"/>
      <c r="AC3976" s="780"/>
      <c r="AD3976" s="780"/>
      <c r="AE3976" s="780"/>
      <c r="AF3976" s="780"/>
    </row>
    <row r="3977" spans="19:32" x14ac:dyDescent="0.35">
      <c r="S3977" s="782">
        <v>3973</v>
      </c>
      <c r="T3977" s="782" t="s">
        <v>4284</v>
      </c>
      <c r="U3977" s="782" t="s">
        <v>3903</v>
      </c>
      <c r="V3977" s="797">
        <f>$S$1*P!V3977</f>
        <v>2.5020161290322581E-2</v>
      </c>
      <c r="W3977" s="780"/>
      <c r="X3977" s="782">
        <v>3973</v>
      </c>
      <c r="Y3977" s="782" t="s">
        <v>2248</v>
      </c>
      <c r="Z3977" s="782" t="s">
        <v>2295</v>
      </c>
      <c r="AA3977" s="781">
        <f>$S$1*P!AA3977</f>
        <v>1.6554435483870968</v>
      </c>
      <c r="AB3977" s="780"/>
      <c r="AC3977" s="780"/>
      <c r="AD3977" s="780"/>
      <c r="AE3977" s="780"/>
      <c r="AF3977" s="780"/>
    </row>
    <row r="3978" spans="19:32" x14ac:dyDescent="0.35">
      <c r="S3978" s="782">
        <v>3974</v>
      </c>
      <c r="T3978" s="782" t="s">
        <v>4284</v>
      </c>
      <c r="U3978" s="782" t="s">
        <v>3902</v>
      </c>
      <c r="V3978" s="797">
        <f>$S$1*P!V3978</f>
        <v>4.8326612903225809E-6</v>
      </c>
      <c r="W3978" s="780"/>
      <c r="X3978" s="881">
        <v>3974</v>
      </c>
      <c r="Y3978" s="881" t="s">
        <v>2248</v>
      </c>
      <c r="Z3978" s="881" t="s">
        <v>4398</v>
      </c>
      <c r="AA3978" s="890">
        <f>$S$1*P!AA3978</f>
        <v>2.9201612903225809E-5</v>
      </c>
      <c r="AB3978" s="780"/>
      <c r="AC3978" s="780"/>
      <c r="AD3978" s="780"/>
      <c r="AE3978" s="780"/>
      <c r="AF3978" s="780"/>
    </row>
    <row r="3979" spans="19:32" x14ac:dyDescent="0.35">
      <c r="S3979" s="782">
        <v>3975</v>
      </c>
      <c r="T3979" s="782" t="s">
        <v>4284</v>
      </c>
      <c r="U3979" s="782" t="s">
        <v>3901</v>
      </c>
      <c r="V3979" s="797">
        <f>$S$1*P!V3979</f>
        <v>1.9502016129032257E-5</v>
      </c>
      <c r="W3979" s="780"/>
      <c r="X3979" s="782">
        <v>3975</v>
      </c>
      <c r="Y3979" s="782" t="s">
        <v>2248</v>
      </c>
      <c r="Z3979" s="782" t="s">
        <v>4334</v>
      </c>
      <c r="AA3979" s="781">
        <f>$S$1*P!AA3979</f>
        <v>8.9112903225806464E-2</v>
      </c>
      <c r="AB3979" s="780"/>
      <c r="AC3979" s="780"/>
      <c r="AD3979" s="780"/>
      <c r="AE3979" s="780"/>
      <c r="AF3979" s="780"/>
    </row>
    <row r="3980" spans="19:32" x14ac:dyDescent="0.35">
      <c r="S3980" s="782">
        <v>3976</v>
      </c>
      <c r="T3980" s="782" t="s">
        <v>4284</v>
      </c>
      <c r="U3980" s="782" t="s">
        <v>3899</v>
      </c>
      <c r="V3980" s="797">
        <f>$S$1*P!V3980</f>
        <v>3.2320564516129035E-4</v>
      </c>
      <c r="W3980" s="780"/>
      <c r="X3980" s="782">
        <v>3976</v>
      </c>
      <c r="Y3980" s="782" t="s">
        <v>2248</v>
      </c>
      <c r="Z3980" s="782" t="s">
        <v>2292</v>
      </c>
      <c r="AA3980" s="781">
        <f>$S$1*P!AA3980</f>
        <v>3.1566532258064516E-2</v>
      </c>
      <c r="AB3980" s="780"/>
      <c r="AC3980" s="780"/>
      <c r="AD3980" s="780"/>
      <c r="AE3980" s="780"/>
      <c r="AF3980" s="780"/>
    </row>
    <row r="3981" spans="19:32" x14ac:dyDescent="0.35">
      <c r="S3981" s="789">
        <v>3977</v>
      </c>
      <c r="T3981" s="789" t="s">
        <v>4284</v>
      </c>
      <c r="U3981" s="789" t="s">
        <v>2370</v>
      </c>
      <c r="V3981" s="790">
        <f>$S$1*P!V3981</f>
        <v>3.3871999999999998E-4</v>
      </c>
      <c r="W3981" s="780"/>
      <c r="X3981" s="782">
        <v>3977</v>
      </c>
      <c r="Y3981" s="782" t="s">
        <v>2248</v>
      </c>
      <c r="Z3981" s="782" t="s">
        <v>2289</v>
      </c>
      <c r="AA3981" s="781">
        <f>$S$1*P!AA3981</f>
        <v>5.4495967741935492E-2</v>
      </c>
      <c r="AB3981" s="780"/>
      <c r="AC3981" s="780"/>
      <c r="AD3981" s="780"/>
      <c r="AE3981" s="780"/>
      <c r="AF3981" s="780"/>
    </row>
    <row r="3982" spans="19:32" x14ac:dyDescent="0.35">
      <c r="S3982" s="881">
        <v>3978</v>
      </c>
      <c r="T3982" s="881" t="s">
        <v>4284</v>
      </c>
      <c r="U3982" s="881" t="s">
        <v>2370</v>
      </c>
      <c r="V3982" s="883">
        <f>$S$1*P!V3982</f>
        <v>0.77832000000000001</v>
      </c>
      <c r="W3982" s="780"/>
      <c r="X3982" s="782">
        <v>3978</v>
      </c>
      <c r="Y3982" s="782" t="s">
        <v>2248</v>
      </c>
      <c r="Z3982" s="782" t="s">
        <v>4332</v>
      </c>
      <c r="AA3982" s="781">
        <f>$S$1*P!AA3982</f>
        <v>1.0967741935483872E-2</v>
      </c>
      <c r="AB3982" s="780"/>
      <c r="AC3982" s="780"/>
      <c r="AD3982" s="780"/>
      <c r="AE3982" s="780"/>
      <c r="AF3982" s="780"/>
    </row>
    <row r="3983" spans="19:32" x14ac:dyDescent="0.35">
      <c r="S3983" s="881">
        <v>3979</v>
      </c>
      <c r="T3983" s="881" t="s">
        <v>4284</v>
      </c>
      <c r="U3983" s="881" t="s">
        <v>2368</v>
      </c>
      <c r="V3983" s="883">
        <f>$S$1*P!V3983</f>
        <v>0.2162</v>
      </c>
      <c r="W3983" s="780"/>
      <c r="X3983" s="881">
        <v>3979</v>
      </c>
      <c r="Y3983" s="881" t="s">
        <v>2248</v>
      </c>
      <c r="Z3983" s="881" t="s">
        <v>4397</v>
      </c>
      <c r="AA3983" s="890">
        <f>$S$1*P!AA3983</f>
        <v>3.7358870967741943E-5</v>
      </c>
      <c r="AB3983" s="780"/>
      <c r="AC3983" s="780"/>
      <c r="AD3983" s="780"/>
      <c r="AE3983" s="780"/>
      <c r="AF3983" s="780"/>
    </row>
    <row r="3984" spans="19:32" x14ac:dyDescent="0.35">
      <c r="S3984" s="782">
        <v>3980</v>
      </c>
      <c r="T3984" s="782" t="s">
        <v>4284</v>
      </c>
      <c r="U3984" s="782" t="s">
        <v>3898</v>
      </c>
      <c r="V3984" s="797">
        <f>$S$1*P!V3984</f>
        <v>0.79173387096774195</v>
      </c>
      <c r="W3984" s="780"/>
      <c r="X3984" s="782">
        <v>3980</v>
      </c>
      <c r="Y3984" s="782" t="s">
        <v>2248</v>
      </c>
      <c r="Z3984" s="782" t="s">
        <v>2286</v>
      </c>
      <c r="AA3984" s="781">
        <f>$S$1*P!AA3984</f>
        <v>1.7993951612903227</v>
      </c>
      <c r="AB3984" s="780"/>
      <c r="AC3984" s="780"/>
      <c r="AD3984" s="780"/>
      <c r="AE3984" s="780"/>
      <c r="AF3984" s="780"/>
    </row>
    <row r="3985" spans="19:32" x14ac:dyDescent="0.35">
      <c r="S3985" s="782">
        <v>3981</v>
      </c>
      <c r="T3985" s="782" t="s">
        <v>4284</v>
      </c>
      <c r="U3985" s="782" t="s">
        <v>3897</v>
      </c>
      <c r="V3985" s="797">
        <f>$S$1*P!V3985</f>
        <v>1.2030241935483871E-5</v>
      </c>
      <c r="W3985" s="780"/>
      <c r="X3985" s="782">
        <v>3981</v>
      </c>
      <c r="Y3985" s="782" t="s">
        <v>2248</v>
      </c>
      <c r="Z3985" s="782" t="s">
        <v>4331</v>
      </c>
      <c r="AA3985" s="781">
        <f>$S$1*P!AA3985</f>
        <v>5.0383064516129035E-3</v>
      </c>
      <c r="AB3985" s="780"/>
      <c r="AC3985" s="780"/>
      <c r="AD3985" s="780"/>
      <c r="AE3985" s="780"/>
      <c r="AF3985" s="780"/>
    </row>
    <row r="3986" spans="19:32" x14ac:dyDescent="0.35">
      <c r="S3986" s="782">
        <v>3982</v>
      </c>
      <c r="T3986" s="782" t="s">
        <v>4284</v>
      </c>
      <c r="U3986" s="782" t="s">
        <v>3895</v>
      </c>
      <c r="V3986" s="797">
        <f>$S$1*P!V3986</f>
        <v>2.9887096774193551E-5</v>
      </c>
      <c r="W3986" s="780"/>
      <c r="X3986" s="782">
        <v>3982</v>
      </c>
      <c r="Y3986" s="782" t="s">
        <v>2248</v>
      </c>
      <c r="Z3986" s="782" t="s">
        <v>2284</v>
      </c>
      <c r="AA3986" s="781">
        <f>$S$1*P!AA3986</f>
        <v>2.4780241935483872E-2</v>
      </c>
      <c r="AB3986" s="780"/>
      <c r="AC3986" s="780"/>
      <c r="AD3986" s="780"/>
      <c r="AE3986" s="780"/>
      <c r="AF3986" s="780"/>
    </row>
    <row r="3987" spans="19:32" x14ac:dyDescent="0.35">
      <c r="S3987" s="782">
        <v>3983</v>
      </c>
      <c r="T3987" s="782" t="s">
        <v>4284</v>
      </c>
      <c r="U3987" s="782" t="s">
        <v>3894</v>
      </c>
      <c r="V3987" s="797">
        <f>$S$1*P!V3987</f>
        <v>1.8679435483870969E-4</v>
      </c>
      <c r="W3987" s="780"/>
      <c r="X3987" s="782">
        <v>3983</v>
      </c>
      <c r="Y3987" s="782" t="s">
        <v>2248</v>
      </c>
      <c r="Z3987" s="782" t="s">
        <v>4329</v>
      </c>
      <c r="AA3987" s="781">
        <f>$S$1*P!AA3987</f>
        <v>0.27693548387096778</v>
      </c>
      <c r="AB3987" s="780"/>
      <c r="AC3987" s="780"/>
      <c r="AD3987" s="780"/>
      <c r="AE3987" s="780"/>
      <c r="AF3987" s="780"/>
    </row>
    <row r="3988" spans="19:32" x14ac:dyDescent="0.35">
      <c r="S3988" s="881">
        <v>3984</v>
      </c>
      <c r="T3988" s="881" t="s">
        <v>4284</v>
      </c>
      <c r="U3988" s="881" t="s">
        <v>2367</v>
      </c>
      <c r="V3988" s="883">
        <f>$S$1*P!V3988</f>
        <v>0</v>
      </c>
      <c r="W3988" s="780"/>
      <c r="X3988" s="782">
        <v>3984</v>
      </c>
      <c r="Y3988" s="782" t="s">
        <v>2248</v>
      </c>
      <c r="Z3988" s="782" t="s">
        <v>2281</v>
      </c>
      <c r="AA3988" s="781">
        <f>$S$1*P!AA3988</f>
        <v>2.8618951612903229E-6</v>
      </c>
      <c r="AB3988" s="780"/>
      <c r="AC3988" s="780"/>
      <c r="AD3988" s="780"/>
      <c r="AE3988" s="780"/>
      <c r="AF3988" s="780"/>
    </row>
    <row r="3989" spans="19:32" x14ac:dyDescent="0.35">
      <c r="S3989" s="782">
        <v>3985</v>
      </c>
      <c r="T3989" s="782" t="s">
        <v>4284</v>
      </c>
      <c r="U3989" s="782" t="s">
        <v>3892</v>
      </c>
      <c r="V3989" s="797">
        <f>$S$1*P!V3989</f>
        <v>5.1411290322580646E-3</v>
      </c>
      <c r="W3989" s="780"/>
      <c r="X3989" s="782">
        <v>3985</v>
      </c>
      <c r="Y3989" s="782" t="s">
        <v>2248</v>
      </c>
      <c r="Z3989" s="782" t="s">
        <v>4396</v>
      </c>
      <c r="AA3989" s="781">
        <f>$S$1*P!AA3989</f>
        <v>9.6995967741935499E-5</v>
      </c>
      <c r="AB3989" s="780"/>
      <c r="AC3989" s="780"/>
      <c r="AD3989" s="780"/>
      <c r="AE3989" s="780"/>
      <c r="AF3989" s="780"/>
    </row>
    <row r="3990" spans="19:32" x14ac:dyDescent="0.35">
      <c r="S3990" s="782">
        <v>3986</v>
      </c>
      <c r="T3990" s="782" t="s">
        <v>4284</v>
      </c>
      <c r="U3990" s="782" t="s">
        <v>3890</v>
      </c>
      <c r="V3990" s="797">
        <f>$S$1*P!V3990</f>
        <v>7.7459677419354842E-7</v>
      </c>
      <c r="W3990" s="780"/>
      <c r="X3990" s="782">
        <v>3986</v>
      </c>
      <c r="Y3990" s="782" t="s">
        <v>2248</v>
      </c>
      <c r="Z3990" s="782" t="s">
        <v>2278</v>
      </c>
      <c r="AA3990" s="781">
        <f>$S$1*P!AA3990</f>
        <v>1.1070564516129033E-12</v>
      </c>
      <c r="AB3990" s="780"/>
      <c r="AC3990" s="780"/>
      <c r="AD3990" s="780"/>
      <c r="AE3990" s="780"/>
      <c r="AF3990" s="780"/>
    </row>
    <row r="3991" spans="19:32" x14ac:dyDescent="0.35">
      <c r="S3991" s="782">
        <v>3987</v>
      </c>
      <c r="T3991" s="782" t="s">
        <v>4284</v>
      </c>
      <c r="U3991" s="782" t="s">
        <v>3889</v>
      </c>
      <c r="V3991" s="797">
        <f>$S$1*P!V3991</f>
        <v>1.9125000000000001E-8</v>
      </c>
      <c r="W3991" s="780"/>
      <c r="X3991" s="782">
        <v>3987</v>
      </c>
      <c r="Y3991" s="782" t="s">
        <v>2248</v>
      </c>
      <c r="Z3991" s="782" t="s">
        <v>4328</v>
      </c>
      <c r="AA3991" s="781">
        <f>$S$1*P!AA3991</f>
        <v>2.210685483870968E-3</v>
      </c>
      <c r="AB3991" s="780"/>
      <c r="AC3991" s="780"/>
      <c r="AD3991" s="780"/>
      <c r="AE3991" s="780"/>
      <c r="AF3991" s="780"/>
    </row>
    <row r="3992" spans="19:32" x14ac:dyDescent="0.35">
      <c r="S3992" s="881">
        <v>3988</v>
      </c>
      <c r="T3992" s="881" t="s">
        <v>4284</v>
      </c>
      <c r="U3992" s="881" t="s">
        <v>2365</v>
      </c>
      <c r="V3992" s="883">
        <f>$S$1*P!V3992</f>
        <v>3.6524000000000001</v>
      </c>
      <c r="W3992" s="780"/>
      <c r="X3992" s="881">
        <v>3988</v>
      </c>
      <c r="Y3992" s="881" t="s">
        <v>2248</v>
      </c>
      <c r="Z3992" s="881" t="s">
        <v>2275</v>
      </c>
      <c r="AA3992" s="890">
        <f>$S$1*P!AA3992</f>
        <v>0</v>
      </c>
      <c r="AB3992" s="780"/>
      <c r="AC3992" s="780"/>
      <c r="AD3992" s="780"/>
      <c r="AE3992" s="780"/>
      <c r="AF3992" s="780"/>
    </row>
    <row r="3993" spans="19:32" x14ac:dyDescent="0.35">
      <c r="S3993" s="782">
        <v>3989</v>
      </c>
      <c r="T3993" s="782" t="s">
        <v>4284</v>
      </c>
      <c r="U3993" s="782" t="s">
        <v>3887</v>
      </c>
      <c r="V3993" s="797">
        <f>$S$1*P!V3993</f>
        <v>0.75403225806451624</v>
      </c>
      <c r="W3993" s="780"/>
      <c r="X3993" s="782">
        <v>3989</v>
      </c>
      <c r="Y3993" s="782" t="s">
        <v>2248</v>
      </c>
      <c r="Z3993" s="782" t="s">
        <v>4325</v>
      </c>
      <c r="AA3993" s="781">
        <f>$S$1*P!AA3993</f>
        <v>1.9262096774193551E-5</v>
      </c>
      <c r="AB3993" s="780"/>
      <c r="AC3993" s="780"/>
      <c r="AD3993" s="780"/>
      <c r="AE3993" s="780"/>
      <c r="AF3993" s="780"/>
    </row>
    <row r="3994" spans="19:32" x14ac:dyDescent="0.35">
      <c r="S3994" s="782">
        <v>3990</v>
      </c>
      <c r="T3994" s="782" t="s">
        <v>4284</v>
      </c>
      <c r="U3994" s="782" t="s">
        <v>3886</v>
      </c>
      <c r="V3994" s="797">
        <f>$S$1*P!V3994</f>
        <v>4.8669354838709676E-5</v>
      </c>
      <c r="W3994" s="780"/>
      <c r="X3994" s="782">
        <v>3990</v>
      </c>
      <c r="Y3994" s="782" t="s">
        <v>2248</v>
      </c>
      <c r="Z3994" s="782" t="s">
        <v>2275</v>
      </c>
      <c r="AA3994" s="781">
        <f>$S$1*P!AA3994</f>
        <v>1.1070564516129034E-5</v>
      </c>
      <c r="AB3994" s="780"/>
      <c r="AC3994" s="780"/>
      <c r="AD3994" s="780"/>
      <c r="AE3994" s="780"/>
      <c r="AF3994" s="780"/>
    </row>
    <row r="3995" spans="19:32" x14ac:dyDescent="0.35">
      <c r="S3995" s="782">
        <v>3991</v>
      </c>
      <c r="T3995" s="782" t="s">
        <v>4284</v>
      </c>
      <c r="U3995" s="782" t="s">
        <v>2363</v>
      </c>
      <c r="V3995" s="797">
        <f>$S$1*P!V3995</f>
        <v>0.14635080645161291</v>
      </c>
      <c r="W3995" s="780"/>
      <c r="X3995" s="881">
        <v>3991</v>
      </c>
      <c r="Y3995" s="881" t="s">
        <v>2248</v>
      </c>
      <c r="Z3995" s="881" t="s">
        <v>4395</v>
      </c>
      <c r="AA3995" s="890">
        <f>$S$1*P!AA3995</f>
        <v>1.9330645161290325E-6</v>
      </c>
      <c r="AB3995" s="780"/>
      <c r="AC3995" s="780"/>
      <c r="AD3995" s="780"/>
      <c r="AE3995" s="780"/>
      <c r="AF3995" s="780"/>
    </row>
    <row r="3996" spans="19:32" x14ac:dyDescent="0.35">
      <c r="S3996" s="881">
        <v>3992</v>
      </c>
      <c r="T3996" s="881" t="s">
        <v>4284</v>
      </c>
      <c r="U3996" s="881" t="s">
        <v>2363</v>
      </c>
      <c r="V3996" s="883">
        <f>$S$1*P!V3996</f>
        <v>0</v>
      </c>
      <c r="W3996" s="780"/>
      <c r="X3996" s="782">
        <v>3992</v>
      </c>
      <c r="Y3996" s="782" t="s">
        <v>2248</v>
      </c>
      <c r="Z3996" s="782" t="s">
        <v>4323</v>
      </c>
      <c r="AA3996" s="781">
        <f>$S$1*P!AA3996</f>
        <v>1.8610887096774194E-3</v>
      </c>
      <c r="AB3996" s="780"/>
      <c r="AC3996" s="780"/>
      <c r="AD3996" s="780"/>
      <c r="AE3996" s="780"/>
      <c r="AF3996" s="780"/>
    </row>
    <row r="3997" spans="19:32" x14ac:dyDescent="0.35">
      <c r="S3997" s="782">
        <v>3993</v>
      </c>
      <c r="T3997" s="782" t="s">
        <v>4284</v>
      </c>
      <c r="U3997" s="782" t="s">
        <v>3884</v>
      </c>
      <c r="V3997" s="797">
        <f>$S$1*P!V3997</f>
        <v>1.5697580645161291E-5</v>
      </c>
      <c r="W3997" s="780"/>
      <c r="X3997" s="782">
        <v>3993</v>
      </c>
      <c r="Y3997" s="782" t="s">
        <v>2248</v>
      </c>
      <c r="Z3997" s="782" t="s">
        <v>2272</v>
      </c>
      <c r="AA3997" s="781">
        <f>$S$1*P!AA3997</f>
        <v>8.0201612903225816E-3</v>
      </c>
      <c r="AB3997" s="780"/>
      <c r="AC3997" s="780"/>
      <c r="AD3997" s="780"/>
      <c r="AE3997" s="780"/>
      <c r="AF3997" s="780"/>
    </row>
    <row r="3998" spans="19:32" x14ac:dyDescent="0.35">
      <c r="S3998" s="782">
        <v>3994</v>
      </c>
      <c r="T3998" s="782" t="s">
        <v>4284</v>
      </c>
      <c r="U3998" s="782" t="s">
        <v>3882</v>
      </c>
      <c r="V3998" s="797">
        <f>$S$1*P!V3998</f>
        <v>0.11790322580645163</v>
      </c>
      <c r="W3998" s="780"/>
      <c r="X3998" s="782">
        <v>3994</v>
      </c>
      <c r="Y3998" s="782" t="s">
        <v>2248</v>
      </c>
      <c r="Z3998" s="782" t="s">
        <v>4394</v>
      </c>
      <c r="AA3998" s="781">
        <f>$S$1*P!AA3998</f>
        <v>5.106854838709678E-5</v>
      </c>
      <c r="AB3998" s="780"/>
      <c r="AC3998" s="780"/>
      <c r="AD3998" s="780"/>
      <c r="AE3998" s="780"/>
      <c r="AF3998" s="780"/>
    </row>
    <row r="3999" spans="19:32" x14ac:dyDescent="0.35">
      <c r="S3999" s="782">
        <v>3995</v>
      </c>
      <c r="T3999" s="782" t="s">
        <v>4284</v>
      </c>
      <c r="U3999" s="782" t="s">
        <v>3881</v>
      </c>
      <c r="V3999" s="797">
        <f>$S$1*P!V3999</f>
        <v>2.8550403225806455E-7</v>
      </c>
      <c r="W3999" s="780"/>
      <c r="X3999" s="782">
        <v>3995</v>
      </c>
      <c r="Y3999" s="782" t="s">
        <v>2248</v>
      </c>
      <c r="Z3999" s="782" t="s">
        <v>4320</v>
      </c>
      <c r="AA3999" s="781">
        <f>$S$1*P!AA3999</f>
        <v>1.1961693548387098E-3</v>
      </c>
      <c r="AB3999" s="780"/>
      <c r="AC3999" s="780"/>
      <c r="AD3999" s="780"/>
      <c r="AE3999" s="780"/>
      <c r="AF3999" s="780"/>
    </row>
    <row r="4000" spans="19:32" x14ac:dyDescent="0.35">
      <c r="S4000" s="782">
        <v>3996</v>
      </c>
      <c r="T4000" s="782" t="s">
        <v>4284</v>
      </c>
      <c r="U4000" s="782" t="s">
        <v>3879</v>
      </c>
      <c r="V4000" s="797">
        <f>$S$1*P!V4000</f>
        <v>1.2133064516129034E-4</v>
      </c>
      <c r="W4000" s="780"/>
      <c r="X4000" s="782">
        <v>3996</v>
      </c>
      <c r="Y4000" s="782" t="s">
        <v>2248</v>
      </c>
      <c r="Z4000" s="782" t="s">
        <v>2270</v>
      </c>
      <c r="AA4000" s="781">
        <f>$S$1*P!AA4000</f>
        <v>1.1824596774193548E-3</v>
      </c>
      <c r="AB4000" s="780"/>
      <c r="AC4000" s="780"/>
      <c r="AD4000" s="780"/>
      <c r="AE4000" s="780"/>
      <c r="AF4000" s="780"/>
    </row>
    <row r="4001" spans="19:32" x14ac:dyDescent="0.35">
      <c r="S4001" s="782">
        <v>3997</v>
      </c>
      <c r="T4001" s="782" t="s">
        <v>4284</v>
      </c>
      <c r="U4001" s="782" t="s">
        <v>2362</v>
      </c>
      <c r="V4001" s="797">
        <f>$S$1*P!V4001</f>
        <v>6.8548387096774199E-5</v>
      </c>
      <c r="W4001" s="780"/>
      <c r="X4001" s="782">
        <v>3997</v>
      </c>
      <c r="Y4001" s="782" t="s">
        <v>2248</v>
      </c>
      <c r="Z4001" s="782" t="s">
        <v>2267</v>
      </c>
      <c r="AA4001" s="781">
        <f>$S$1*P!AA4001</f>
        <v>3.8044354838709681E-3</v>
      </c>
      <c r="AB4001" s="780"/>
      <c r="AC4001" s="780"/>
      <c r="AD4001" s="780"/>
      <c r="AE4001" s="780"/>
      <c r="AF4001" s="780"/>
    </row>
    <row r="4002" spans="19:32" x14ac:dyDescent="0.35">
      <c r="S4002" s="881">
        <v>3998</v>
      </c>
      <c r="T4002" s="881" t="s">
        <v>4284</v>
      </c>
      <c r="U4002" s="881" t="s">
        <v>2362</v>
      </c>
      <c r="V4002" s="883">
        <f>$S$1*P!V4002</f>
        <v>0</v>
      </c>
      <c r="W4002" s="780"/>
      <c r="X4002" s="782">
        <v>3998</v>
      </c>
      <c r="Y4002" s="782" t="s">
        <v>2248</v>
      </c>
      <c r="Z4002" s="782" t="s">
        <v>2602</v>
      </c>
      <c r="AA4002" s="781">
        <f>$S$1*P!AA4002</f>
        <v>0.10419354838709678</v>
      </c>
      <c r="AB4002" s="780"/>
      <c r="AC4002" s="780"/>
      <c r="AD4002" s="780"/>
      <c r="AE4002" s="780"/>
      <c r="AF4002" s="780"/>
    </row>
    <row r="4003" spans="19:32" x14ac:dyDescent="0.35">
      <c r="S4003" s="782">
        <v>3999</v>
      </c>
      <c r="T4003" s="782" t="s">
        <v>4284</v>
      </c>
      <c r="U4003" s="782" t="s">
        <v>3877</v>
      </c>
      <c r="V4003" s="797">
        <f>$S$1*P!V4003</f>
        <v>4.6955645161290329E-3</v>
      </c>
      <c r="W4003" s="780"/>
      <c r="X4003" s="881">
        <v>3999</v>
      </c>
      <c r="Y4003" s="881" t="s">
        <v>2248</v>
      </c>
      <c r="Z4003" s="881" t="s">
        <v>4393</v>
      </c>
      <c r="AA4003" s="890">
        <f>$S$1*P!AA4003</f>
        <v>1.0419354838709678E-5</v>
      </c>
      <c r="AB4003" s="780"/>
      <c r="AC4003" s="780"/>
      <c r="AD4003" s="780"/>
      <c r="AE4003" s="780"/>
      <c r="AF4003" s="780"/>
    </row>
    <row r="4004" spans="19:32" x14ac:dyDescent="0.35">
      <c r="S4004" s="782">
        <v>4000</v>
      </c>
      <c r="T4004" s="782" t="s">
        <v>4284</v>
      </c>
      <c r="U4004" s="782" t="s">
        <v>3876</v>
      </c>
      <c r="V4004" s="797">
        <f>$S$1*P!V4004</f>
        <v>0.42157258064516134</v>
      </c>
      <c r="W4004" s="780"/>
      <c r="X4004" s="782">
        <v>4000</v>
      </c>
      <c r="Y4004" s="782" t="s">
        <v>2248</v>
      </c>
      <c r="Z4004" s="782" t="s">
        <v>2264</v>
      </c>
      <c r="AA4004" s="781">
        <f>$S$1*P!AA4004</f>
        <v>9.0141129032258072E-4</v>
      </c>
      <c r="AB4004" s="780"/>
      <c r="AC4004" s="780"/>
      <c r="AD4004" s="780"/>
      <c r="AE4004" s="780"/>
      <c r="AF4004" s="780"/>
    </row>
    <row r="4005" spans="19:32" x14ac:dyDescent="0.35">
      <c r="S4005" s="782">
        <v>4001</v>
      </c>
      <c r="T4005" s="782" t="s">
        <v>4284</v>
      </c>
      <c r="U4005" s="782" t="s">
        <v>3874</v>
      </c>
      <c r="V4005" s="797">
        <f>$S$1*P!V4005</f>
        <v>2.6733870967741939E-2</v>
      </c>
      <c r="W4005" s="780"/>
      <c r="X4005" s="782">
        <v>4001</v>
      </c>
      <c r="Y4005" s="782" t="s">
        <v>2248</v>
      </c>
      <c r="Z4005" s="782" t="s">
        <v>4318</v>
      </c>
      <c r="AA4005" s="781">
        <f>$S$1*P!AA4005</f>
        <v>9.733870967741937E-12</v>
      </c>
      <c r="AB4005" s="780"/>
      <c r="AC4005" s="780"/>
      <c r="AD4005" s="780"/>
      <c r="AE4005" s="780"/>
      <c r="AF4005" s="780"/>
    </row>
    <row r="4006" spans="19:32" x14ac:dyDescent="0.35">
      <c r="S4006" s="881">
        <v>4002</v>
      </c>
      <c r="T4006" s="881" t="s">
        <v>4284</v>
      </c>
      <c r="U4006" s="881" t="s">
        <v>2360</v>
      </c>
      <c r="V4006" s="883">
        <f>$S$1*P!V4006</f>
        <v>0</v>
      </c>
      <c r="W4006" s="780"/>
      <c r="X4006" s="881">
        <v>4002</v>
      </c>
      <c r="Y4006" s="881" t="s">
        <v>2248</v>
      </c>
      <c r="Z4006" s="881" t="s">
        <v>2634</v>
      </c>
      <c r="AA4006" s="890">
        <f>$S$1*P!AA4006</f>
        <v>3.0912000000000001E-3</v>
      </c>
      <c r="AB4006" s="780"/>
      <c r="AC4006" s="780"/>
      <c r="AD4006" s="780"/>
      <c r="AE4006" s="780"/>
      <c r="AF4006" s="780"/>
    </row>
    <row r="4007" spans="19:32" x14ac:dyDescent="0.35">
      <c r="S4007" s="881">
        <v>4003</v>
      </c>
      <c r="T4007" s="881" t="s">
        <v>4284</v>
      </c>
      <c r="U4007" s="881" t="s">
        <v>2359</v>
      </c>
      <c r="V4007" s="883">
        <f>$S$1*P!V4007</f>
        <v>0</v>
      </c>
      <c r="W4007" s="780"/>
      <c r="X4007" s="782">
        <v>4003</v>
      </c>
      <c r="Y4007" s="782" t="s">
        <v>2248</v>
      </c>
      <c r="Z4007" s="782" t="s">
        <v>4316</v>
      </c>
      <c r="AA4007" s="781">
        <f>$S$1*P!AA4007</f>
        <v>2.800201612903226E-3</v>
      </c>
      <c r="AB4007" s="780"/>
      <c r="AC4007" s="780"/>
      <c r="AD4007" s="780"/>
      <c r="AE4007" s="780"/>
      <c r="AF4007" s="780"/>
    </row>
    <row r="4008" spans="19:32" x14ac:dyDescent="0.35">
      <c r="S4008" s="782">
        <v>4004</v>
      </c>
      <c r="T4008" s="782" t="s">
        <v>4284</v>
      </c>
      <c r="U4008" s="782" t="s">
        <v>2357</v>
      </c>
      <c r="V4008" s="797">
        <f>$S$1*P!V4008</f>
        <v>3.0264112903225809E-2</v>
      </c>
      <c r="W4008" s="780"/>
      <c r="X4008" s="782">
        <v>4004</v>
      </c>
      <c r="Y4008" s="782" t="s">
        <v>2248</v>
      </c>
      <c r="Z4008" s="782" t="s">
        <v>4392</v>
      </c>
      <c r="AA4008" s="781">
        <f>$S$1*P!AA4008</f>
        <v>2.3066532258064519E-5</v>
      </c>
      <c r="AB4008" s="780"/>
      <c r="AC4008" s="780"/>
      <c r="AD4008" s="780"/>
      <c r="AE4008" s="780"/>
      <c r="AF4008" s="780"/>
    </row>
    <row r="4009" spans="19:32" x14ac:dyDescent="0.35">
      <c r="S4009" s="881">
        <v>4005</v>
      </c>
      <c r="T4009" s="881" t="s">
        <v>4284</v>
      </c>
      <c r="U4009" s="881" t="s">
        <v>2357</v>
      </c>
      <c r="V4009" s="883">
        <f>$S$1*P!V4009</f>
        <v>0</v>
      </c>
      <c r="W4009" s="780"/>
      <c r="X4009" s="782">
        <v>4005</v>
      </c>
      <c r="Y4009" s="782" t="s">
        <v>2248</v>
      </c>
      <c r="Z4009" s="782" t="s">
        <v>2261</v>
      </c>
      <c r="AA4009" s="781">
        <f>$S$1*P!AA4009</f>
        <v>3.3485887096774194E-5</v>
      </c>
      <c r="AB4009" s="780"/>
      <c r="AC4009" s="780"/>
      <c r="AD4009" s="780"/>
      <c r="AE4009" s="780"/>
      <c r="AF4009" s="780"/>
    </row>
    <row r="4010" spans="19:32" x14ac:dyDescent="0.35">
      <c r="S4010" s="881">
        <v>4006</v>
      </c>
      <c r="T4010" s="881" t="s">
        <v>4284</v>
      </c>
      <c r="U4010" s="881" t="s">
        <v>2356</v>
      </c>
      <c r="V4010" s="883">
        <f>$S$1*P!V4010</f>
        <v>199.64</v>
      </c>
      <c r="W4010" s="780"/>
      <c r="X4010" s="782">
        <v>4006</v>
      </c>
      <c r="Y4010" s="782" t="s">
        <v>2248</v>
      </c>
      <c r="Z4010" s="782" t="s">
        <v>4315</v>
      </c>
      <c r="AA4010" s="781">
        <f>$S$1*P!AA4010</f>
        <v>1.4223790322580646E-3</v>
      </c>
      <c r="AB4010" s="780"/>
      <c r="AC4010" s="780"/>
      <c r="AD4010" s="780"/>
      <c r="AE4010" s="780"/>
      <c r="AF4010" s="780"/>
    </row>
    <row r="4011" spans="19:32" x14ac:dyDescent="0.35">
      <c r="S4011" s="881">
        <v>4007</v>
      </c>
      <c r="T4011" s="881" t="s">
        <v>4284</v>
      </c>
      <c r="U4011" s="881" t="s">
        <v>2354</v>
      </c>
      <c r="V4011" s="883">
        <f>$S$1*P!V4011</f>
        <v>0</v>
      </c>
      <c r="W4011" s="780"/>
      <c r="X4011" s="782">
        <v>4007</v>
      </c>
      <c r="Y4011" s="782" t="s">
        <v>2248</v>
      </c>
      <c r="Z4011" s="782" t="s">
        <v>4313</v>
      </c>
      <c r="AA4011" s="781">
        <f>$S$1*P!AA4011</f>
        <v>7.2661290322580656E-7</v>
      </c>
      <c r="AB4011" s="780"/>
      <c r="AC4011" s="780"/>
      <c r="AD4011" s="780"/>
      <c r="AE4011" s="780"/>
      <c r="AF4011" s="780"/>
    </row>
    <row r="4012" spans="19:32" x14ac:dyDescent="0.35">
      <c r="S4012" s="782">
        <v>4008</v>
      </c>
      <c r="T4012" s="782" t="s">
        <v>4284</v>
      </c>
      <c r="U4012" s="782" t="s">
        <v>3871</v>
      </c>
      <c r="V4012" s="797">
        <f>$S$1*P!V4012</f>
        <v>3.1532258064516133E-3</v>
      </c>
      <c r="W4012" s="780"/>
      <c r="X4012" s="881">
        <v>4008</v>
      </c>
      <c r="Y4012" s="881" t="s">
        <v>2248</v>
      </c>
      <c r="Z4012" s="881" t="s">
        <v>4391</v>
      </c>
      <c r="AA4012" s="890">
        <f>$S$1*P!AA4012</f>
        <v>6.8205645161290328E-6</v>
      </c>
      <c r="AB4012" s="780"/>
      <c r="AC4012" s="780"/>
      <c r="AD4012" s="780"/>
      <c r="AE4012" s="780"/>
      <c r="AF4012" s="780"/>
    </row>
    <row r="4013" spans="19:32" x14ac:dyDescent="0.35">
      <c r="S4013" s="782">
        <v>4009</v>
      </c>
      <c r="T4013" s="782" t="s">
        <v>4284</v>
      </c>
      <c r="U4013" s="782" t="s">
        <v>3870</v>
      </c>
      <c r="V4013" s="797">
        <f>$S$1*P!V4013</f>
        <v>0.29852822580645166</v>
      </c>
      <c r="W4013" s="780"/>
      <c r="X4013" s="782">
        <v>4009</v>
      </c>
      <c r="Y4013" s="782" t="s">
        <v>2248</v>
      </c>
      <c r="Z4013" s="782" t="s">
        <v>2259</v>
      </c>
      <c r="AA4013" s="781">
        <f>$S$1*P!AA4013</f>
        <v>6.2721774193548394E-2</v>
      </c>
      <c r="AB4013" s="780"/>
      <c r="AC4013" s="780"/>
      <c r="AD4013" s="780"/>
      <c r="AE4013" s="780"/>
      <c r="AF4013" s="780"/>
    </row>
    <row r="4014" spans="19:32" x14ac:dyDescent="0.35">
      <c r="S4014" s="881">
        <v>4010</v>
      </c>
      <c r="T4014" s="881" t="s">
        <v>4284</v>
      </c>
      <c r="U4014" s="881" t="s">
        <v>2352</v>
      </c>
      <c r="V4014" s="883">
        <f>$S$1*P!V4014</f>
        <v>24.932000000000002</v>
      </c>
      <c r="W4014" s="780"/>
      <c r="X4014" s="782">
        <v>4010</v>
      </c>
      <c r="Y4014" s="782" t="s">
        <v>2248</v>
      </c>
      <c r="Z4014" s="782" t="s">
        <v>4312</v>
      </c>
      <c r="AA4014" s="781">
        <f>$S$1*P!AA4014</f>
        <v>2.8070564516129038E-3</v>
      </c>
      <c r="AB4014" s="780"/>
      <c r="AC4014" s="780"/>
      <c r="AD4014" s="780"/>
      <c r="AE4014" s="780"/>
      <c r="AF4014" s="780"/>
    </row>
    <row r="4015" spans="19:32" x14ac:dyDescent="0.35">
      <c r="S4015" s="881">
        <v>4011</v>
      </c>
      <c r="T4015" s="881" t="s">
        <v>4284</v>
      </c>
      <c r="U4015" s="881" t="s">
        <v>2351</v>
      </c>
      <c r="V4015" s="883">
        <f>$S$1*P!V4015</f>
        <v>4.3423999999999996</v>
      </c>
      <c r="W4015" s="780"/>
      <c r="X4015" s="782">
        <v>4011</v>
      </c>
      <c r="Y4015" s="782" t="s">
        <v>2248</v>
      </c>
      <c r="Z4015" s="782" t="s">
        <v>2256</v>
      </c>
      <c r="AA4015" s="781">
        <f>$S$1*P!AA4015</f>
        <v>2.2620967741935486E-6</v>
      </c>
      <c r="AB4015" s="780"/>
      <c r="AC4015" s="780"/>
      <c r="AD4015" s="780"/>
      <c r="AE4015" s="780"/>
      <c r="AF4015" s="780"/>
    </row>
    <row r="4016" spans="19:32" x14ac:dyDescent="0.35">
      <c r="S4016" s="881">
        <v>4012</v>
      </c>
      <c r="T4016" s="881" t="s">
        <v>4284</v>
      </c>
      <c r="U4016" s="881" t="s">
        <v>2349</v>
      </c>
      <c r="V4016" s="883">
        <f>$S$1*P!V4016</f>
        <v>34.868000000000002</v>
      </c>
      <c r="W4016" s="780"/>
      <c r="X4016" s="782">
        <v>4012</v>
      </c>
      <c r="Y4016" s="782" t="s">
        <v>2248</v>
      </c>
      <c r="Z4016" s="782" t="s">
        <v>2253</v>
      </c>
      <c r="AA4016" s="781">
        <f>$S$1*P!AA4016</f>
        <v>1.2235887096774195E-4</v>
      </c>
      <c r="AB4016" s="780"/>
      <c r="AC4016" s="780"/>
      <c r="AD4016" s="780"/>
      <c r="AE4016" s="780"/>
      <c r="AF4016" s="780"/>
    </row>
    <row r="4017" spans="19:32" x14ac:dyDescent="0.35">
      <c r="S4017" s="881">
        <v>4013</v>
      </c>
      <c r="T4017" s="881" t="s">
        <v>4284</v>
      </c>
      <c r="U4017" s="881" t="s">
        <v>2348</v>
      </c>
      <c r="V4017" s="883">
        <f>$S$1*P!V4017</f>
        <v>33.212000000000003</v>
      </c>
      <c r="W4017" s="780"/>
      <c r="X4017" s="782">
        <v>4013</v>
      </c>
      <c r="Y4017" s="782" t="s">
        <v>2248</v>
      </c>
      <c r="Z4017" s="782" t="s">
        <v>4311</v>
      </c>
      <c r="AA4017" s="781">
        <f>$S$1*P!AA4017</f>
        <v>8.362903225806452E-4</v>
      </c>
      <c r="AB4017" s="780"/>
      <c r="AC4017" s="780"/>
      <c r="AD4017" s="780"/>
      <c r="AE4017" s="780"/>
      <c r="AF4017" s="780"/>
    </row>
    <row r="4018" spans="19:32" x14ac:dyDescent="0.35">
      <c r="S4018" s="881">
        <v>4014</v>
      </c>
      <c r="T4018" s="881" t="s">
        <v>4284</v>
      </c>
      <c r="U4018" s="881" t="s">
        <v>2346</v>
      </c>
      <c r="V4018" s="883">
        <f>$S$1*P!V4018</f>
        <v>48.484000000000002</v>
      </c>
      <c r="W4018" s="780"/>
      <c r="X4018" s="881">
        <v>4014</v>
      </c>
      <c r="Y4018" s="881" t="s">
        <v>2248</v>
      </c>
      <c r="Z4018" s="881" t="s">
        <v>4390</v>
      </c>
      <c r="AA4018" s="890">
        <f>$S$1*P!AA4018</f>
        <v>1.0487903225806453E-4</v>
      </c>
      <c r="AB4018" s="780"/>
      <c r="AC4018" s="780"/>
      <c r="AD4018" s="780"/>
      <c r="AE4018" s="780"/>
      <c r="AF4018" s="780"/>
    </row>
    <row r="4019" spans="19:32" x14ac:dyDescent="0.35">
      <c r="S4019" s="782">
        <v>4015</v>
      </c>
      <c r="T4019" s="782" t="s">
        <v>4284</v>
      </c>
      <c r="U4019" s="782" t="s">
        <v>3866</v>
      </c>
      <c r="V4019" s="797">
        <f>$S$1*P!V4019</f>
        <v>0.12201612903225807</v>
      </c>
      <c r="W4019" s="780"/>
      <c r="X4019" s="782">
        <v>4015</v>
      </c>
      <c r="Y4019" s="782" t="s">
        <v>2248</v>
      </c>
      <c r="Z4019" s="782" t="s">
        <v>2250</v>
      </c>
      <c r="AA4019" s="781">
        <f>$S$1*P!AA4019</f>
        <v>2.5637096774193554E-4</v>
      </c>
      <c r="AB4019" s="780"/>
      <c r="AC4019" s="780"/>
      <c r="AD4019" s="780"/>
      <c r="AE4019" s="780"/>
      <c r="AF4019" s="780"/>
    </row>
    <row r="4020" spans="19:32" x14ac:dyDescent="0.35">
      <c r="S4020" s="782">
        <v>4016</v>
      </c>
      <c r="T4020" s="782" t="s">
        <v>4284</v>
      </c>
      <c r="U4020" s="782" t="s">
        <v>3865</v>
      </c>
      <c r="V4020" s="797">
        <f>$S$1*P!V4020</f>
        <v>1.1824596774193549E-2</v>
      </c>
      <c r="W4020" s="780"/>
      <c r="X4020" s="782">
        <v>4016</v>
      </c>
      <c r="Y4020" s="782" t="s">
        <v>2248</v>
      </c>
      <c r="Z4020" s="782" t="s">
        <v>4309</v>
      </c>
      <c r="AA4020" s="781">
        <f>$S$1*P!AA4020</f>
        <v>2.0461693548387097E-4</v>
      </c>
      <c r="AB4020" s="780"/>
      <c r="AC4020" s="780"/>
      <c r="AD4020" s="780"/>
      <c r="AE4020" s="780"/>
      <c r="AF4020" s="780"/>
    </row>
    <row r="4021" spans="19:32" x14ac:dyDescent="0.35">
      <c r="S4021" s="782">
        <v>4017</v>
      </c>
      <c r="T4021" s="782" t="s">
        <v>4284</v>
      </c>
      <c r="U4021" s="782" t="s">
        <v>3864</v>
      </c>
      <c r="V4021" s="797">
        <f>$S$1*P!V4021</f>
        <v>0.2385483870967742</v>
      </c>
      <c r="W4021" s="780"/>
      <c r="X4021" s="782">
        <v>4017</v>
      </c>
      <c r="Y4021" s="782" t="s">
        <v>2248</v>
      </c>
      <c r="Z4021" s="782" t="s">
        <v>4389</v>
      </c>
      <c r="AA4021" s="781">
        <f>$S$1*P!AA4021</f>
        <v>3.9072580645161287E-5</v>
      </c>
      <c r="AB4021" s="780"/>
      <c r="AC4021" s="780"/>
      <c r="AD4021" s="780"/>
      <c r="AE4021" s="780"/>
      <c r="AF4021" s="780"/>
    </row>
    <row r="4022" spans="19:32" x14ac:dyDescent="0.35">
      <c r="S4022" s="782">
        <v>4018</v>
      </c>
      <c r="T4022" s="782" t="s">
        <v>4284</v>
      </c>
      <c r="U4022" s="782" t="s">
        <v>3863</v>
      </c>
      <c r="V4022" s="797">
        <f>$S$1*P!V4022</f>
        <v>1.5457661290322581E-2</v>
      </c>
      <c r="W4022" s="780"/>
      <c r="X4022" s="881">
        <v>4018</v>
      </c>
      <c r="Y4022" s="881" t="s">
        <v>2248</v>
      </c>
      <c r="Z4022" s="881" t="s">
        <v>4388</v>
      </c>
      <c r="AA4022" s="890">
        <f>$S$1*P!AA4022</f>
        <v>1.607459677419355E-4</v>
      </c>
      <c r="AB4022" s="780"/>
      <c r="AC4022" s="780"/>
      <c r="AD4022" s="780"/>
      <c r="AE4022" s="780"/>
      <c r="AF4022" s="780"/>
    </row>
    <row r="4023" spans="19:32" x14ac:dyDescent="0.35">
      <c r="S4023" s="782">
        <v>4019</v>
      </c>
      <c r="T4023" s="782" t="s">
        <v>4284</v>
      </c>
      <c r="U4023" s="782" t="s">
        <v>2345</v>
      </c>
      <c r="V4023" s="797">
        <f>$S$1*P!V4023</f>
        <v>1.8713709677419357E-4</v>
      </c>
      <c r="W4023" s="780"/>
      <c r="X4023" s="782">
        <v>4019</v>
      </c>
      <c r="Y4023" s="782" t="s">
        <v>2248</v>
      </c>
      <c r="Z4023" s="782" t="s">
        <v>2598</v>
      </c>
      <c r="AA4023" s="781">
        <f>$S$1*P!AA4023</f>
        <v>1.559475806451613E-3</v>
      </c>
      <c r="AB4023" s="780"/>
      <c r="AC4023" s="780"/>
      <c r="AD4023" s="780"/>
      <c r="AE4023" s="780"/>
      <c r="AF4023" s="780"/>
    </row>
    <row r="4024" spans="19:32" x14ac:dyDescent="0.35">
      <c r="S4024" s="881">
        <v>4020</v>
      </c>
      <c r="T4024" s="881" t="s">
        <v>4284</v>
      </c>
      <c r="U4024" s="881" t="s">
        <v>2345</v>
      </c>
      <c r="V4024" s="883">
        <f>$S$1*P!V4024</f>
        <v>3.0451999999999999</v>
      </c>
      <c r="W4024" s="780"/>
      <c r="X4024" s="782">
        <v>4020</v>
      </c>
      <c r="Y4024" s="782" t="s">
        <v>2248</v>
      </c>
      <c r="Z4024" s="782" t="s">
        <v>4387</v>
      </c>
      <c r="AA4024" s="781">
        <f>$S$1*P!AA4024</f>
        <v>1.1002016129032259E-4</v>
      </c>
      <c r="AB4024" s="780"/>
      <c r="AC4024" s="780"/>
      <c r="AD4024" s="780"/>
      <c r="AE4024" s="780"/>
      <c r="AF4024" s="780"/>
    </row>
    <row r="4025" spans="19:32" x14ac:dyDescent="0.35">
      <c r="S4025" s="782">
        <v>4021</v>
      </c>
      <c r="T4025" s="782" t="s">
        <v>4284</v>
      </c>
      <c r="U4025" s="782" t="s">
        <v>3861</v>
      </c>
      <c r="V4025" s="797">
        <f>$S$1*P!V4025</f>
        <v>1.6965725806451616E-4</v>
      </c>
      <c r="W4025" s="780"/>
      <c r="X4025" s="782">
        <v>4021</v>
      </c>
      <c r="Y4025" s="782" t="s">
        <v>2248</v>
      </c>
      <c r="Z4025" s="782" t="s">
        <v>4308</v>
      </c>
      <c r="AA4025" s="781">
        <f>$S$1*P!AA4025</f>
        <v>2.3169354838709676E-3</v>
      </c>
      <c r="AB4025" s="780"/>
      <c r="AC4025" s="780"/>
      <c r="AD4025" s="780"/>
      <c r="AE4025" s="780"/>
      <c r="AF4025" s="780"/>
    </row>
    <row r="4026" spans="19:32" x14ac:dyDescent="0.35">
      <c r="S4026" s="782">
        <v>4022</v>
      </c>
      <c r="T4026" s="782" t="s">
        <v>4284</v>
      </c>
      <c r="U4026" s="782" t="s">
        <v>3859</v>
      </c>
      <c r="V4026" s="797">
        <f>$S$1*P!V4026</f>
        <v>4.2842741935483875E-2</v>
      </c>
      <c r="W4026" s="780"/>
      <c r="X4026" s="782">
        <v>4022</v>
      </c>
      <c r="Y4026" s="782" t="s">
        <v>2248</v>
      </c>
      <c r="Z4026" s="782" t="s">
        <v>4386</v>
      </c>
      <c r="AA4026" s="781">
        <f>$S$1*P!AA4026</f>
        <v>1.0419354838709679E-2</v>
      </c>
      <c r="AB4026" s="780"/>
      <c r="AC4026" s="780"/>
      <c r="AD4026" s="780"/>
      <c r="AE4026" s="780"/>
      <c r="AF4026" s="780"/>
    </row>
    <row r="4027" spans="19:32" x14ac:dyDescent="0.35">
      <c r="S4027" s="782">
        <v>4023</v>
      </c>
      <c r="T4027" s="782" t="s">
        <v>4284</v>
      </c>
      <c r="U4027" s="782" t="s">
        <v>3858</v>
      </c>
      <c r="V4027" s="797">
        <f>$S$1*P!V4027</f>
        <v>5.1754032258064517E-4</v>
      </c>
      <c r="W4027" s="780"/>
      <c r="X4027" s="881">
        <v>4023</v>
      </c>
      <c r="Y4027" s="881" t="s">
        <v>2248</v>
      </c>
      <c r="Z4027" s="881" t="s">
        <v>4385</v>
      </c>
      <c r="AA4027" s="890">
        <f>$S$1*P!AA4027</f>
        <v>1.8370967741935488E-4</v>
      </c>
      <c r="AB4027" s="780"/>
      <c r="AC4027" s="780"/>
      <c r="AD4027" s="780"/>
      <c r="AE4027" s="780"/>
      <c r="AF4027" s="780"/>
    </row>
    <row r="4028" spans="19:32" x14ac:dyDescent="0.35">
      <c r="S4028" s="782">
        <v>4024</v>
      </c>
      <c r="T4028" s="782" t="s">
        <v>4284</v>
      </c>
      <c r="U4028" s="782" t="s">
        <v>3857</v>
      </c>
      <c r="V4028" s="797">
        <f>$S$1*P!V4028</f>
        <v>2.8344758064516133E-3</v>
      </c>
      <c r="W4028" s="780"/>
      <c r="X4028" s="782">
        <v>4024</v>
      </c>
      <c r="Y4028" s="782" t="s">
        <v>2248</v>
      </c>
      <c r="Z4028" s="782" t="s">
        <v>4307</v>
      </c>
      <c r="AA4028" s="781">
        <f>$S$1*P!AA4028</f>
        <v>2.2312500000000002E-3</v>
      </c>
      <c r="AB4028" s="780"/>
      <c r="AC4028" s="780"/>
      <c r="AD4028" s="780"/>
      <c r="AE4028" s="780"/>
      <c r="AF4028" s="780"/>
    </row>
    <row r="4029" spans="19:32" x14ac:dyDescent="0.35">
      <c r="S4029" s="782">
        <v>4025</v>
      </c>
      <c r="T4029" s="782" t="s">
        <v>4284</v>
      </c>
      <c r="U4029" s="782" t="s">
        <v>3856</v>
      </c>
      <c r="V4029" s="797">
        <f>$S$1*P!V4029</f>
        <v>1.0487903225806453E-2</v>
      </c>
      <c r="W4029" s="780"/>
      <c r="X4029" s="782">
        <v>4025</v>
      </c>
      <c r="Y4029" s="782" t="s">
        <v>2248</v>
      </c>
      <c r="Z4029" s="782" t="s">
        <v>4384</v>
      </c>
      <c r="AA4029" s="781">
        <f>$S$1*P!AA4029</f>
        <v>1.9262096774193551E-5</v>
      </c>
      <c r="AB4029" s="780"/>
      <c r="AC4029" s="780"/>
      <c r="AD4029" s="780"/>
      <c r="AE4029" s="780"/>
      <c r="AF4029" s="780"/>
    </row>
    <row r="4030" spans="19:32" x14ac:dyDescent="0.35">
      <c r="S4030" s="782">
        <v>4026</v>
      </c>
      <c r="T4030" s="782" t="s">
        <v>4284</v>
      </c>
      <c r="U4030" s="782" t="s">
        <v>3855</v>
      </c>
      <c r="V4030" s="797">
        <f>$S$1*P!V4030</f>
        <v>4.1129032258064517E-2</v>
      </c>
      <c r="W4030" s="780"/>
      <c r="X4030" s="782">
        <v>4026</v>
      </c>
      <c r="Y4030" s="782" t="s">
        <v>2248</v>
      </c>
      <c r="Z4030" s="782" t="s">
        <v>4383</v>
      </c>
      <c r="AA4030" s="781">
        <f>$S$1*P!AA4030</f>
        <v>3.5987903225806457E-5</v>
      </c>
      <c r="AB4030" s="780"/>
      <c r="AC4030" s="780"/>
      <c r="AD4030" s="780"/>
      <c r="AE4030" s="780"/>
      <c r="AF4030" s="780"/>
    </row>
    <row r="4031" spans="19:32" x14ac:dyDescent="0.35">
      <c r="S4031" s="782">
        <v>4027</v>
      </c>
      <c r="T4031" s="782" t="s">
        <v>4284</v>
      </c>
      <c r="U4031" s="782" t="s">
        <v>3853</v>
      </c>
      <c r="V4031" s="797">
        <f>$S$1*P!V4031</f>
        <v>0.12818548387096776</v>
      </c>
      <c r="W4031" s="780"/>
      <c r="X4031" s="782">
        <v>4027</v>
      </c>
      <c r="Y4031" s="782" t="s">
        <v>2248</v>
      </c>
      <c r="Z4031" s="782" t="s">
        <v>4305</v>
      </c>
      <c r="AA4031" s="781">
        <f>$S$1*P!AA4031</f>
        <v>1.3024193548387098E-3</v>
      </c>
      <c r="AB4031" s="780"/>
      <c r="AC4031" s="780"/>
      <c r="AD4031" s="780"/>
      <c r="AE4031" s="780"/>
      <c r="AF4031" s="780"/>
    </row>
    <row r="4032" spans="19:32" x14ac:dyDescent="0.35">
      <c r="S4032" s="782">
        <v>4028</v>
      </c>
      <c r="T4032" s="782" t="s">
        <v>4284</v>
      </c>
      <c r="U4032" s="782" t="s">
        <v>3852</v>
      </c>
      <c r="V4032" s="797">
        <f>$S$1*P!V4032</f>
        <v>1.9502016129032259E-3</v>
      </c>
      <c r="W4032" s="780"/>
      <c r="X4032" s="782">
        <v>4028</v>
      </c>
      <c r="Y4032" s="782" t="s">
        <v>2248</v>
      </c>
      <c r="Z4032" s="782" t="s">
        <v>4382</v>
      </c>
      <c r="AA4032" s="781">
        <f>$S$1*P!AA4032</f>
        <v>7.7459677419354842E-5</v>
      </c>
      <c r="AB4032" s="780"/>
      <c r="AC4032" s="780"/>
      <c r="AD4032" s="780"/>
      <c r="AE4032" s="780"/>
      <c r="AF4032" s="780"/>
    </row>
    <row r="4033" spans="19:32" x14ac:dyDescent="0.35">
      <c r="S4033" s="782">
        <v>4029</v>
      </c>
      <c r="T4033" s="782" t="s">
        <v>4284</v>
      </c>
      <c r="U4033" s="782" t="s">
        <v>3850</v>
      </c>
      <c r="V4033" s="797">
        <f>$S$1*P!V4033</f>
        <v>2.9989919354838711E-2</v>
      </c>
      <c r="W4033" s="780"/>
      <c r="X4033" s="782">
        <v>4029</v>
      </c>
      <c r="Y4033" s="782" t="s">
        <v>2248</v>
      </c>
      <c r="Z4033" s="782" t="s">
        <v>4381</v>
      </c>
      <c r="AA4033" s="781">
        <f>$S$1*P!AA4033</f>
        <v>8.9455645161290332E-3</v>
      </c>
      <c r="AB4033" s="780"/>
      <c r="AC4033" s="780"/>
      <c r="AD4033" s="780"/>
      <c r="AE4033" s="780"/>
      <c r="AF4033" s="780"/>
    </row>
    <row r="4034" spans="19:32" x14ac:dyDescent="0.35">
      <c r="S4034" s="782">
        <v>4030</v>
      </c>
      <c r="T4034" s="782" t="s">
        <v>4284</v>
      </c>
      <c r="U4034" s="782" t="s">
        <v>3849</v>
      </c>
      <c r="V4034" s="797">
        <f>$S$1*P!V4034</f>
        <v>1.4497983870967743E-2</v>
      </c>
      <c r="W4034" s="780"/>
      <c r="X4034" s="782">
        <v>4030</v>
      </c>
      <c r="Y4034" s="782" t="s">
        <v>2248</v>
      </c>
      <c r="Z4034" s="782" t="s">
        <v>4303</v>
      </c>
      <c r="AA4034" s="781">
        <f>$S$1*P!AA4034</f>
        <v>1.3195564516129034E-4</v>
      </c>
      <c r="AB4034" s="780"/>
      <c r="AC4034" s="780"/>
      <c r="AD4034" s="780"/>
      <c r="AE4034" s="780"/>
      <c r="AF4034" s="780"/>
    </row>
    <row r="4035" spans="19:32" x14ac:dyDescent="0.35">
      <c r="S4035" s="782">
        <v>4031</v>
      </c>
      <c r="T4035" s="782" t="s">
        <v>4284</v>
      </c>
      <c r="U4035" s="782" t="s">
        <v>3846</v>
      </c>
      <c r="V4035" s="797">
        <f>$S$1*P!V4035</f>
        <v>9.4939516129032261E-5</v>
      </c>
      <c r="W4035" s="780"/>
      <c r="X4035" s="782">
        <v>4031</v>
      </c>
      <c r="Y4035" s="782" t="s">
        <v>2248</v>
      </c>
      <c r="Z4035" s="782" t="s">
        <v>4301</v>
      </c>
      <c r="AA4035" s="781">
        <f>$S$1*P!AA4035</f>
        <v>6.3407258064516138E-5</v>
      </c>
      <c r="AB4035" s="780"/>
      <c r="AC4035" s="780"/>
      <c r="AD4035" s="780"/>
      <c r="AE4035" s="780"/>
      <c r="AF4035" s="780"/>
    </row>
    <row r="4036" spans="19:32" x14ac:dyDescent="0.35">
      <c r="S4036" s="782">
        <v>4032</v>
      </c>
      <c r="T4036" s="782" t="s">
        <v>4284</v>
      </c>
      <c r="U4036" s="782" t="s">
        <v>3844</v>
      </c>
      <c r="V4036" s="797">
        <f>$S$1*P!V4036</f>
        <v>2.8070564516129038E-3</v>
      </c>
      <c r="W4036" s="780"/>
      <c r="X4036" s="881">
        <v>4032</v>
      </c>
      <c r="Y4036" s="881" t="s">
        <v>2248</v>
      </c>
      <c r="Z4036" s="881" t="s">
        <v>3200</v>
      </c>
      <c r="AA4036" s="890">
        <f>$S$1*P!AA4036</f>
        <v>4.524193548387097E-4</v>
      </c>
      <c r="AB4036" s="780"/>
      <c r="AC4036" s="780"/>
      <c r="AD4036" s="780"/>
      <c r="AE4036" s="780"/>
      <c r="AF4036" s="780"/>
    </row>
    <row r="4037" spans="19:32" x14ac:dyDescent="0.35">
      <c r="S4037" s="782">
        <v>4033</v>
      </c>
      <c r="T4037" s="782" t="s">
        <v>4284</v>
      </c>
      <c r="U4037" s="782" t="s">
        <v>3842</v>
      </c>
      <c r="V4037" s="797">
        <f>$S$1*P!V4037</f>
        <v>1.6897177419354842E-7</v>
      </c>
      <c r="W4037" s="780"/>
      <c r="X4037" s="782">
        <v>4033</v>
      </c>
      <c r="Y4037" s="782" t="s">
        <v>2248</v>
      </c>
      <c r="Z4037" s="782" t="s">
        <v>2592</v>
      </c>
      <c r="AA4037" s="781">
        <f>$S$1*P!AA4037</f>
        <v>3.5302419354838713E-3</v>
      </c>
      <c r="AB4037" s="780"/>
      <c r="AC4037" s="780"/>
      <c r="AD4037" s="780"/>
      <c r="AE4037" s="780"/>
      <c r="AF4037" s="780"/>
    </row>
    <row r="4038" spans="19:32" x14ac:dyDescent="0.35">
      <c r="S4038" s="782">
        <v>4034</v>
      </c>
      <c r="T4038" s="782" t="s">
        <v>4284</v>
      </c>
      <c r="U4038" s="782" t="s">
        <v>2343</v>
      </c>
      <c r="V4038" s="797">
        <f>$S$1*P!V4038</f>
        <v>8.9798387096774203E-4</v>
      </c>
      <c r="W4038" s="780"/>
      <c r="X4038" s="782">
        <v>4034</v>
      </c>
      <c r="Y4038" s="782" t="s">
        <v>2248</v>
      </c>
      <c r="Z4038" s="782" t="s">
        <v>4380</v>
      </c>
      <c r="AA4038" s="781">
        <f>$S$1*P!AA4038</f>
        <v>9.3568548387096776E-3</v>
      </c>
      <c r="AB4038" s="780"/>
      <c r="AC4038" s="780"/>
      <c r="AD4038" s="780"/>
      <c r="AE4038" s="780"/>
      <c r="AF4038" s="780"/>
    </row>
    <row r="4039" spans="19:32" x14ac:dyDescent="0.35">
      <c r="S4039" s="881">
        <v>4035</v>
      </c>
      <c r="T4039" s="881" t="s">
        <v>4284</v>
      </c>
      <c r="U4039" s="881" t="s">
        <v>2343</v>
      </c>
      <c r="V4039" s="883">
        <f>$S$1*P!V4039</f>
        <v>0</v>
      </c>
      <c r="W4039" s="780"/>
      <c r="X4039" s="782">
        <v>4035</v>
      </c>
      <c r="Y4039" s="782" t="s">
        <v>2248</v>
      </c>
      <c r="Z4039" s="782" t="s">
        <v>4379</v>
      </c>
      <c r="AA4039" s="781">
        <f>$S$1*P!AA4039</f>
        <v>4.4213709677419358E-4</v>
      </c>
      <c r="AB4039" s="780"/>
      <c r="AC4039" s="780"/>
      <c r="AD4039" s="780"/>
      <c r="AE4039" s="780"/>
      <c r="AF4039" s="780"/>
    </row>
    <row r="4040" spans="19:32" x14ac:dyDescent="0.35">
      <c r="S4040" s="782">
        <v>4036</v>
      </c>
      <c r="T4040" s="782" t="s">
        <v>4284</v>
      </c>
      <c r="U4040" s="782" t="s">
        <v>2342</v>
      </c>
      <c r="V4040" s="797">
        <f>$S$1*P!V4040</f>
        <v>3.7358870967741937E-4</v>
      </c>
      <c r="W4040" s="780"/>
      <c r="X4040" s="782">
        <v>4036</v>
      </c>
      <c r="Y4040" s="782" t="s">
        <v>2248</v>
      </c>
      <c r="Z4040" s="782" t="s">
        <v>2590</v>
      </c>
      <c r="AA4040" s="781">
        <f>$S$1*P!AA4040</f>
        <v>5.0040322580645169</v>
      </c>
      <c r="AB4040" s="780"/>
      <c r="AC4040" s="780"/>
      <c r="AD4040" s="780"/>
      <c r="AE4040" s="780"/>
      <c r="AF4040" s="780"/>
    </row>
    <row r="4041" spans="19:32" x14ac:dyDescent="0.35">
      <c r="S4041" s="881">
        <v>4037</v>
      </c>
      <c r="T4041" s="881" t="s">
        <v>4284</v>
      </c>
      <c r="U4041" s="881" t="s">
        <v>2342</v>
      </c>
      <c r="V4041" s="883">
        <f>$S$1*P!V4041</f>
        <v>1.1408</v>
      </c>
      <c r="W4041" s="780"/>
      <c r="X4041" s="881">
        <v>4037</v>
      </c>
      <c r="Y4041" s="881" t="s">
        <v>2248</v>
      </c>
      <c r="Z4041" s="881" t="s">
        <v>2632</v>
      </c>
      <c r="AA4041" s="890">
        <f>$S$1*P!AA4041</f>
        <v>0</v>
      </c>
      <c r="AB4041" s="780"/>
      <c r="AC4041" s="780"/>
      <c r="AD4041" s="780"/>
      <c r="AE4041" s="780"/>
      <c r="AF4041" s="780"/>
    </row>
    <row r="4042" spans="19:32" x14ac:dyDescent="0.35">
      <c r="S4042" s="782">
        <v>4038</v>
      </c>
      <c r="T4042" s="782" t="s">
        <v>4284</v>
      </c>
      <c r="U4042" s="782" t="s">
        <v>2340</v>
      </c>
      <c r="V4042" s="797">
        <f>$S$1*P!V4042</f>
        <v>3.8729838709677424E-4</v>
      </c>
      <c r="W4042" s="780"/>
      <c r="X4042" s="881">
        <v>4038</v>
      </c>
      <c r="Y4042" s="881" t="s">
        <v>2248</v>
      </c>
      <c r="Z4042" s="881" t="s">
        <v>2631</v>
      </c>
      <c r="AA4042" s="890">
        <f>$S$1*P!AA4042</f>
        <v>8.0776000000000003</v>
      </c>
      <c r="AB4042" s="780"/>
      <c r="AC4042" s="780"/>
      <c r="AD4042" s="780"/>
      <c r="AE4042" s="780"/>
      <c r="AF4042" s="780"/>
    </row>
    <row r="4043" spans="19:32" x14ac:dyDescent="0.35">
      <c r="S4043" s="881">
        <v>4039</v>
      </c>
      <c r="T4043" s="881" t="s">
        <v>4284</v>
      </c>
      <c r="U4043" s="881" t="s">
        <v>2340</v>
      </c>
      <c r="V4043" s="883">
        <f>$S$1*P!V4043</f>
        <v>0.52900000000000003</v>
      </c>
      <c r="W4043" s="780"/>
      <c r="X4043" s="782">
        <v>4039</v>
      </c>
      <c r="Y4043" s="782" t="s">
        <v>2248</v>
      </c>
      <c r="Z4043" s="782" t="s">
        <v>4298</v>
      </c>
      <c r="AA4043" s="781">
        <f>$S$1*P!AA4043</f>
        <v>5.963709677419355</v>
      </c>
      <c r="AB4043" s="780"/>
      <c r="AC4043" s="780"/>
      <c r="AD4043" s="780"/>
      <c r="AE4043" s="780"/>
      <c r="AF4043" s="780"/>
    </row>
    <row r="4044" spans="19:32" x14ac:dyDescent="0.35">
      <c r="S4044" s="881">
        <v>4040</v>
      </c>
      <c r="T4044" s="881" t="s">
        <v>4284</v>
      </c>
      <c r="U4044" s="881" t="s">
        <v>2338</v>
      </c>
      <c r="V4044" s="883">
        <f>$S$1*P!V4044</f>
        <v>0</v>
      </c>
      <c r="W4044" s="780"/>
      <c r="X4044" s="782">
        <v>4040</v>
      </c>
      <c r="Y4044" s="782" t="s">
        <v>2248</v>
      </c>
      <c r="Z4044" s="782" t="s">
        <v>4378</v>
      </c>
      <c r="AA4044" s="781">
        <f>$S$1*P!AA4044</f>
        <v>1.1687500000000001E-3</v>
      </c>
      <c r="AB4044" s="780"/>
      <c r="AC4044" s="780"/>
      <c r="AD4044" s="780"/>
      <c r="AE4044" s="780"/>
      <c r="AF4044" s="780"/>
    </row>
    <row r="4045" spans="19:32" x14ac:dyDescent="0.35">
      <c r="S4045" s="782">
        <v>4041</v>
      </c>
      <c r="T4045" s="782" t="s">
        <v>4284</v>
      </c>
      <c r="U4045" s="782" t="s">
        <v>2337</v>
      </c>
      <c r="V4045" s="797">
        <f>$S$1*P!V4045</f>
        <v>3.1326612903225807E-6</v>
      </c>
      <c r="W4045" s="780"/>
      <c r="X4045" s="881">
        <v>4041</v>
      </c>
      <c r="Y4045" s="881" t="s">
        <v>2248</v>
      </c>
      <c r="Z4045" s="881" t="s">
        <v>4377</v>
      </c>
      <c r="AA4045" s="890">
        <f>$S$1*P!AA4045</f>
        <v>7.7802419354838725E-6</v>
      </c>
      <c r="AB4045" s="780"/>
      <c r="AC4045" s="780"/>
      <c r="AD4045" s="780"/>
      <c r="AE4045" s="780"/>
      <c r="AF4045" s="780"/>
    </row>
    <row r="4046" spans="19:32" x14ac:dyDescent="0.35">
      <c r="S4046" s="881">
        <v>4042</v>
      </c>
      <c r="T4046" s="881" t="s">
        <v>4284</v>
      </c>
      <c r="U4046" s="881" t="s">
        <v>2337</v>
      </c>
      <c r="V4046" s="883">
        <f>$S$1*P!V4046</f>
        <v>0.36155999999999999</v>
      </c>
      <c r="W4046" s="780"/>
      <c r="X4046" s="782">
        <v>4042</v>
      </c>
      <c r="Y4046" s="782" t="s">
        <v>2248</v>
      </c>
      <c r="Z4046" s="782" t="s">
        <v>4296</v>
      </c>
      <c r="AA4046" s="781">
        <f>$S$1*P!AA4046</f>
        <v>2.4848790322580646E-6</v>
      </c>
      <c r="AB4046" s="780"/>
      <c r="AC4046" s="780"/>
      <c r="AD4046" s="780"/>
      <c r="AE4046" s="780"/>
      <c r="AF4046" s="780"/>
    </row>
    <row r="4047" spans="19:32" x14ac:dyDescent="0.35">
      <c r="S4047" s="782">
        <v>4043</v>
      </c>
      <c r="T4047" s="782" t="s">
        <v>4284</v>
      </c>
      <c r="U4047" s="782" t="s">
        <v>3830</v>
      </c>
      <c r="V4047" s="797">
        <f>$S$1*P!V4047</f>
        <v>5.2439516129032265E-5</v>
      </c>
      <c r="W4047" s="780"/>
      <c r="X4047" s="782">
        <v>4043</v>
      </c>
      <c r="Y4047" s="782" t="s">
        <v>2248</v>
      </c>
      <c r="Z4047" s="782" t="s">
        <v>4376</v>
      </c>
      <c r="AA4047" s="781">
        <f>$S$1*P!AA4047</f>
        <v>7.6088709677419361E-4</v>
      </c>
      <c r="AB4047" s="780"/>
      <c r="AC4047" s="780"/>
      <c r="AD4047" s="780"/>
      <c r="AE4047" s="780"/>
      <c r="AF4047" s="780"/>
    </row>
    <row r="4048" spans="19:32" x14ac:dyDescent="0.35">
      <c r="S4048" s="782">
        <v>4044</v>
      </c>
      <c r="T4048" s="782" t="s">
        <v>4284</v>
      </c>
      <c r="U4048" s="782" t="s">
        <v>2335</v>
      </c>
      <c r="V4048" s="797">
        <f>$S$1*P!V4048</f>
        <v>1.0145161290322581E-6</v>
      </c>
      <c r="W4048" s="780"/>
      <c r="X4048" s="782">
        <v>4044</v>
      </c>
      <c r="Y4048" s="782" t="s">
        <v>2248</v>
      </c>
      <c r="Z4048" s="782" t="s">
        <v>4294</v>
      </c>
      <c r="AA4048" s="781">
        <f>$S$1*P!AA4048</f>
        <v>0.40786290322580648</v>
      </c>
      <c r="AB4048" s="780"/>
      <c r="AC4048" s="780"/>
      <c r="AD4048" s="780"/>
      <c r="AE4048" s="780"/>
      <c r="AF4048" s="780"/>
    </row>
    <row r="4049" spans="19:32" x14ac:dyDescent="0.35">
      <c r="S4049" s="881">
        <v>4045</v>
      </c>
      <c r="T4049" s="881" t="s">
        <v>4284</v>
      </c>
      <c r="U4049" s="881" t="s">
        <v>2335</v>
      </c>
      <c r="V4049" s="883">
        <f>$S$1*P!V4049</f>
        <v>0.34683999999999998</v>
      </c>
      <c r="W4049" s="780"/>
      <c r="X4049" s="782">
        <v>4045</v>
      </c>
      <c r="Y4049" s="782" t="s">
        <v>2248</v>
      </c>
      <c r="Z4049" s="782" t="s">
        <v>4375</v>
      </c>
      <c r="AA4049" s="781">
        <f>$S$1*P!AA4049</f>
        <v>1.2578629032258066E-3</v>
      </c>
      <c r="AB4049" s="780"/>
      <c r="AC4049" s="780"/>
      <c r="AD4049" s="780"/>
      <c r="AE4049" s="780"/>
      <c r="AF4049" s="780"/>
    </row>
    <row r="4050" spans="19:32" x14ac:dyDescent="0.35">
      <c r="S4050" s="782">
        <v>4046</v>
      </c>
      <c r="T4050" s="782" t="s">
        <v>4284</v>
      </c>
      <c r="U4050" s="782" t="s">
        <v>2333</v>
      </c>
      <c r="V4050" s="797">
        <f>$S$1*P!V4050</f>
        <v>0.10247983870967743</v>
      </c>
      <c r="W4050" s="780"/>
      <c r="X4050" s="782">
        <v>4046</v>
      </c>
      <c r="Y4050" s="782" t="s">
        <v>2248</v>
      </c>
      <c r="Z4050" s="782" t="s">
        <v>4374</v>
      </c>
      <c r="AA4050" s="781">
        <f>$S$1*P!AA4050</f>
        <v>0.26151209677419357</v>
      </c>
      <c r="AB4050" s="780"/>
      <c r="AC4050" s="780"/>
      <c r="AD4050" s="780"/>
      <c r="AE4050" s="780"/>
      <c r="AF4050" s="780"/>
    </row>
    <row r="4051" spans="19:32" x14ac:dyDescent="0.35">
      <c r="S4051" s="881">
        <v>4047</v>
      </c>
      <c r="T4051" s="881" t="s">
        <v>4284</v>
      </c>
      <c r="U4051" s="881" t="s">
        <v>2333</v>
      </c>
      <c r="V4051" s="883">
        <f>$S$1*P!V4051</f>
        <v>0</v>
      </c>
      <c r="W4051" s="780"/>
      <c r="X4051" s="782">
        <v>4047</v>
      </c>
      <c r="Y4051" s="782" t="s">
        <v>2248</v>
      </c>
      <c r="Z4051" s="782" t="s">
        <v>4292</v>
      </c>
      <c r="AA4051" s="781">
        <f>$S$1*P!AA4051</f>
        <v>9.0483870967741946E-5</v>
      </c>
      <c r="AB4051" s="780"/>
      <c r="AC4051" s="780"/>
      <c r="AD4051" s="780"/>
      <c r="AE4051" s="780"/>
      <c r="AF4051" s="780"/>
    </row>
    <row r="4052" spans="19:32" x14ac:dyDescent="0.35">
      <c r="S4052" s="881">
        <v>4048</v>
      </c>
      <c r="T4052" s="881" t="s">
        <v>4284</v>
      </c>
      <c r="U4052" s="881" t="s">
        <v>2332</v>
      </c>
      <c r="V4052" s="883">
        <f>$S$1*P!V4052</f>
        <v>1.2511999999999999</v>
      </c>
      <c r="W4052" s="780"/>
      <c r="X4052" s="881">
        <v>4048</v>
      </c>
      <c r="Y4052" s="881" t="s">
        <v>2248</v>
      </c>
      <c r="Z4052" s="881" t="s">
        <v>2629</v>
      </c>
      <c r="AA4052" s="890">
        <f>$S$1*P!AA4052</f>
        <v>1.2695999999999999E-2</v>
      </c>
      <c r="AB4052" s="780"/>
      <c r="AC4052" s="780"/>
      <c r="AD4052" s="780"/>
      <c r="AE4052" s="780"/>
      <c r="AF4052" s="780"/>
    </row>
    <row r="4053" spans="19:32" x14ac:dyDescent="0.35">
      <c r="S4053" s="782">
        <v>4049</v>
      </c>
      <c r="T4053" s="782" t="s">
        <v>4284</v>
      </c>
      <c r="U4053" s="782" t="s">
        <v>3822</v>
      </c>
      <c r="V4053" s="797">
        <f>$S$1*P!V4053</f>
        <v>5.6209677419354835E-4</v>
      </c>
      <c r="W4053" s="780"/>
      <c r="X4053" s="782">
        <v>4049</v>
      </c>
      <c r="Y4053" s="782" t="s">
        <v>2248</v>
      </c>
      <c r="Z4053" s="782" t="s">
        <v>4291</v>
      </c>
      <c r="AA4053" s="781">
        <f>$S$1*P!AA4053</f>
        <v>3.094959677419355E-3</v>
      </c>
      <c r="AB4053" s="780"/>
      <c r="AC4053" s="780"/>
      <c r="AD4053" s="780"/>
      <c r="AE4053" s="780"/>
      <c r="AF4053" s="780"/>
    </row>
    <row r="4054" spans="19:32" x14ac:dyDescent="0.35">
      <c r="S4054" s="782">
        <v>4050</v>
      </c>
      <c r="T4054" s="782" t="s">
        <v>4284</v>
      </c>
      <c r="U4054" s="782" t="s">
        <v>2330</v>
      </c>
      <c r="V4054" s="797">
        <f>$S$1*P!V4054</f>
        <v>4.0443548387096774E-2</v>
      </c>
      <c r="W4054" s="780"/>
      <c r="X4054" s="881">
        <v>4050</v>
      </c>
      <c r="Y4054" s="881" t="s">
        <v>2248</v>
      </c>
      <c r="Z4054" s="881" t="s">
        <v>2627</v>
      </c>
      <c r="AA4054" s="890">
        <f>$S$1*P!AA4054</f>
        <v>0.22448000000000001</v>
      </c>
      <c r="AB4054" s="780"/>
      <c r="AC4054" s="780"/>
      <c r="AD4054" s="780"/>
      <c r="AE4054" s="780"/>
      <c r="AF4054" s="780"/>
    </row>
    <row r="4055" spans="19:32" x14ac:dyDescent="0.35">
      <c r="S4055" s="881">
        <v>4051</v>
      </c>
      <c r="T4055" s="881" t="s">
        <v>4284</v>
      </c>
      <c r="U4055" s="881" t="s">
        <v>2330</v>
      </c>
      <c r="V4055" s="883">
        <f>$S$1*P!V4055</f>
        <v>0</v>
      </c>
      <c r="W4055" s="780"/>
      <c r="X4055" s="881">
        <v>4051</v>
      </c>
      <c r="Y4055" s="881" t="s">
        <v>2248</v>
      </c>
      <c r="Z4055" s="881" t="s">
        <v>4373</v>
      </c>
      <c r="AA4055" s="890">
        <f>$S$1*P!AA4055</f>
        <v>1.3641129032258066E-5</v>
      </c>
      <c r="AB4055" s="780"/>
      <c r="AC4055" s="780"/>
      <c r="AD4055" s="780"/>
      <c r="AE4055" s="780"/>
      <c r="AF4055" s="780"/>
    </row>
    <row r="4056" spans="19:32" x14ac:dyDescent="0.35">
      <c r="S4056" s="782">
        <v>4052</v>
      </c>
      <c r="T4056" s="782" t="s">
        <v>4284</v>
      </c>
      <c r="U4056" s="782" t="s">
        <v>3818</v>
      </c>
      <c r="V4056" s="797">
        <f>$S$1*P!V4056</f>
        <v>8.054435483870968E-3</v>
      </c>
      <c r="W4056" s="780"/>
      <c r="X4056" s="782">
        <v>4052</v>
      </c>
      <c r="Y4056" s="782" t="s">
        <v>2248</v>
      </c>
      <c r="Z4056" s="782" t="s">
        <v>2627</v>
      </c>
      <c r="AA4056" s="781">
        <f>$S$1*P!AA4056</f>
        <v>9.9737903225806455E-4</v>
      </c>
      <c r="AB4056" s="780"/>
      <c r="AC4056" s="780"/>
      <c r="AD4056" s="780"/>
      <c r="AE4056" s="780"/>
      <c r="AF4056" s="780"/>
    </row>
    <row r="4057" spans="19:32" x14ac:dyDescent="0.35">
      <c r="S4057" s="881">
        <v>4053</v>
      </c>
      <c r="T4057" s="881" t="s">
        <v>4284</v>
      </c>
      <c r="U4057" s="881" t="s">
        <v>2329</v>
      </c>
      <c r="V4057" s="883">
        <f>$S$1*P!V4057</f>
        <v>0</v>
      </c>
      <c r="W4057" s="780"/>
      <c r="X4057" s="782">
        <v>4053</v>
      </c>
      <c r="Y4057" s="782" t="s">
        <v>2248</v>
      </c>
      <c r="Z4057" s="782" t="s">
        <v>4289</v>
      </c>
      <c r="AA4057" s="781">
        <f>$S$1*P!AA4057</f>
        <v>0.37358870967741936</v>
      </c>
      <c r="AB4057" s="780"/>
      <c r="AC4057" s="780"/>
      <c r="AD4057" s="780"/>
      <c r="AE4057" s="780"/>
      <c r="AF4057" s="780"/>
    </row>
    <row r="4058" spans="19:32" x14ac:dyDescent="0.35">
      <c r="S4058" s="881">
        <v>4054</v>
      </c>
      <c r="T4058" s="881" t="s">
        <v>4284</v>
      </c>
      <c r="U4058" s="881" t="s">
        <v>2327</v>
      </c>
      <c r="V4058" s="883">
        <f>$S$1*P!V4058</f>
        <v>0</v>
      </c>
      <c r="W4058" s="780"/>
      <c r="X4058" s="782">
        <v>4054</v>
      </c>
      <c r="Y4058" s="782" t="s">
        <v>2248</v>
      </c>
      <c r="Z4058" s="782" t="s">
        <v>4372</v>
      </c>
      <c r="AA4058" s="781">
        <f>$S$1*P!AA4058</f>
        <v>8.0544354838709692E-5</v>
      </c>
      <c r="AB4058" s="780"/>
      <c r="AC4058" s="780"/>
      <c r="AD4058" s="780"/>
      <c r="AE4058" s="780"/>
      <c r="AF4058" s="780"/>
    </row>
    <row r="4059" spans="19:32" x14ac:dyDescent="0.35">
      <c r="S4059" s="881">
        <v>4055</v>
      </c>
      <c r="T4059" s="881" t="s">
        <v>4284</v>
      </c>
      <c r="U4059" s="881" t="s">
        <v>2326</v>
      </c>
      <c r="V4059" s="883">
        <f>$S$1*P!V4059</f>
        <v>0</v>
      </c>
      <c r="W4059" s="780"/>
      <c r="X4059" s="782">
        <v>4055</v>
      </c>
      <c r="Y4059" s="782" t="s">
        <v>2248</v>
      </c>
      <c r="Z4059" s="782" t="s">
        <v>2587</v>
      </c>
      <c r="AA4059" s="781">
        <f>$S$1*P!AA4059</f>
        <v>0.46612903225806457</v>
      </c>
      <c r="AB4059" s="780"/>
      <c r="AC4059" s="780"/>
      <c r="AD4059" s="780"/>
      <c r="AE4059" s="780"/>
      <c r="AF4059" s="780"/>
    </row>
    <row r="4060" spans="19:32" x14ac:dyDescent="0.35">
      <c r="S4060" s="782">
        <v>4056</v>
      </c>
      <c r="T4060" s="782" t="s">
        <v>4284</v>
      </c>
      <c r="U4060" s="782" t="s">
        <v>3813</v>
      </c>
      <c r="V4060" s="797">
        <f>$S$1*P!V4060</f>
        <v>9.8024193548387097E-5</v>
      </c>
      <c r="W4060" s="780"/>
      <c r="X4060" s="782">
        <v>4056</v>
      </c>
      <c r="Y4060" s="782" t="s">
        <v>2248</v>
      </c>
      <c r="Z4060" s="782" t="s">
        <v>4371</v>
      </c>
      <c r="AA4060" s="781">
        <f>$S$1*P!AA4060</f>
        <v>4.6270161290322583E-3</v>
      </c>
      <c r="AB4060" s="780"/>
      <c r="AC4060" s="780"/>
      <c r="AD4060" s="780"/>
      <c r="AE4060" s="780"/>
      <c r="AF4060" s="780"/>
    </row>
    <row r="4061" spans="19:32" x14ac:dyDescent="0.35">
      <c r="S4061" s="861">
        <v>4057</v>
      </c>
      <c r="T4061" s="861" t="s">
        <v>4284</v>
      </c>
      <c r="U4061" s="861" t="s">
        <v>2324</v>
      </c>
      <c r="V4061" s="862">
        <f>$S$1*P!V4061</f>
        <v>5.7779999999999996</v>
      </c>
      <c r="W4061" s="780"/>
      <c r="X4061" s="881">
        <v>4057</v>
      </c>
      <c r="Y4061" s="881" t="s">
        <v>2248</v>
      </c>
      <c r="Z4061" s="881" t="s">
        <v>4370</v>
      </c>
      <c r="AA4061" s="890">
        <f>$S$1*P!AA4061</f>
        <v>1.2818548387096777E-6</v>
      </c>
      <c r="AB4061" s="780"/>
      <c r="AC4061" s="780"/>
      <c r="AD4061" s="780"/>
      <c r="AE4061" s="780"/>
      <c r="AF4061" s="780"/>
    </row>
    <row r="4062" spans="19:32" x14ac:dyDescent="0.35">
      <c r="S4062" s="782">
        <v>4058</v>
      </c>
      <c r="T4062" s="782" t="s">
        <v>4284</v>
      </c>
      <c r="U4062" s="782" t="s">
        <v>2324</v>
      </c>
      <c r="V4062" s="797">
        <f>$S$1*P!V4062</f>
        <v>3.8729838709677421E-7</v>
      </c>
      <c r="W4062" s="780"/>
      <c r="X4062" s="782">
        <v>4058</v>
      </c>
      <c r="Y4062" s="782" t="s">
        <v>2248</v>
      </c>
      <c r="Z4062" s="782" t="s">
        <v>4369</v>
      </c>
      <c r="AA4062" s="781">
        <f>$S$1*P!AA4062</f>
        <v>1.0933467741935484E-4</v>
      </c>
      <c r="AB4062" s="780"/>
      <c r="AC4062" s="780"/>
      <c r="AD4062" s="780"/>
      <c r="AE4062" s="780"/>
      <c r="AF4062" s="780"/>
    </row>
    <row r="4063" spans="19:32" x14ac:dyDescent="0.35">
      <c r="S4063" s="881">
        <v>4059</v>
      </c>
      <c r="T4063" s="881" t="s">
        <v>4284</v>
      </c>
      <c r="U4063" s="881" t="s">
        <v>2324</v>
      </c>
      <c r="V4063" s="883">
        <f>$S$1*P!V4063</f>
        <v>4.2043999999999999E-6</v>
      </c>
      <c r="W4063" s="780"/>
      <c r="X4063" s="782">
        <v>4059</v>
      </c>
      <c r="Y4063" s="782" t="s">
        <v>2248</v>
      </c>
      <c r="Z4063" s="782" t="s">
        <v>2585</v>
      </c>
      <c r="AA4063" s="781">
        <f>$S$1*P!AA4063</f>
        <v>3.0332661290322584E-5</v>
      </c>
      <c r="AB4063" s="780"/>
      <c r="AC4063" s="780"/>
      <c r="AD4063" s="780"/>
      <c r="AE4063" s="780"/>
      <c r="AF4063" s="780"/>
    </row>
    <row r="4064" spans="19:32" x14ac:dyDescent="0.35">
      <c r="S4064" s="782">
        <v>4060</v>
      </c>
      <c r="T4064" s="782" t="s">
        <v>4284</v>
      </c>
      <c r="U4064" s="782" t="s">
        <v>2323</v>
      </c>
      <c r="V4064" s="797">
        <f>$S$1*P!V4064</f>
        <v>2.4060483870967741E-6</v>
      </c>
      <c r="W4064" s="780"/>
      <c r="X4064" s="881">
        <v>4060</v>
      </c>
      <c r="Y4064" s="881" t="s">
        <v>2248</v>
      </c>
      <c r="Z4064" s="881" t="s">
        <v>2626</v>
      </c>
      <c r="AA4064" s="890">
        <f>$S$1*P!AA4064</f>
        <v>1.3064</v>
      </c>
      <c r="AB4064" s="780"/>
      <c r="AC4064" s="780"/>
      <c r="AD4064" s="780"/>
      <c r="AE4064" s="780"/>
      <c r="AF4064" s="780"/>
    </row>
    <row r="4065" spans="19:32" x14ac:dyDescent="0.35">
      <c r="S4065" s="881">
        <v>4061</v>
      </c>
      <c r="T4065" s="881" t="s">
        <v>4284</v>
      </c>
      <c r="U4065" s="881" t="s">
        <v>2323</v>
      </c>
      <c r="V4065" s="883">
        <f>$S$1*P!V4065</f>
        <v>0.11776</v>
      </c>
      <c r="W4065" s="780"/>
      <c r="X4065" s="881">
        <v>4061</v>
      </c>
      <c r="Y4065" s="881" t="s">
        <v>2248</v>
      </c>
      <c r="Z4065" s="881" t="s">
        <v>4368</v>
      </c>
      <c r="AA4065" s="890">
        <f>$S$1*P!AA4065</f>
        <v>3.2286290322580648E-6</v>
      </c>
      <c r="AB4065" s="780"/>
      <c r="AC4065" s="780"/>
      <c r="AD4065" s="780"/>
      <c r="AE4065" s="780"/>
      <c r="AF4065" s="780"/>
    </row>
    <row r="4066" spans="19:32" x14ac:dyDescent="0.35">
      <c r="S4066" s="782">
        <v>4062</v>
      </c>
      <c r="T4066" s="782" t="s">
        <v>4284</v>
      </c>
      <c r="U4066" s="782" t="s">
        <v>2321</v>
      </c>
      <c r="V4066" s="797">
        <f>$S$1*P!V4066</f>
        <v>8.6370967741935492E-2</v>
      </c>
      <c r="W4066" s="780"/>
      <c r="X4066" s="782">
        <v>4062</v>
      </c>
      <c r="Y4066" s="782" t="s">
        <v>2248</v>
      </c>
      <c r="Z4066" s="782" t="s">
        <v>2584</v>
      </c>
      <c r="AA4066" s="781">
        <f>$S$1*P!AA4066</f>
        <v>3.9415322580645161E-3</v>
      </c>
      <c r="AB4066" s="780"/>
      <c r="AC4066" s="780"/>
      <c r="AD4066" s="780"/>
      <c r="AE4066" s="780"/>
      <c r="AF4066" s="780"/>
    </row>
    <row r="4067" spans="19:32" x14ac:dyDescent="0.35">
      <c r="S4067" s="881">
        <v>4063</v>
      </c>
      <c r="T4067" s="881" t="s">
        <v>4284</v>
      </c>
      <c r="U4067" s="881" t="s">
        <v>2321</v>
      </c>
      <c r="V4067" s="883">
        <f>$S$1*P!V4067</f>
        <v>1.5640000000000001</v>
      </c>
      <c r="W4067" s="780"/>
      <c r="X4067" s="881">
        <v>4063</v>
      </c>
      <c r="Y4067" s="881" t="s">
        <v>2248</v>
      </c>
      <c r="Z4067" s="881" t="s">
        <v>2624</v>
      </c>
      <c r="AA4067" s="890">
        <f>$S$1*P!AA4067</f>
        <v>0</v>
      </c>
      <c r="AB4067" s="780"/>
      <c r="AC4067" s="780"/>
      <c r="AD4067" s="780"/>
      <c r="AE4067" s="780"/>
      <c r="AF4067" s="780"/>
    </row>
    <row r="4068" spans="19:32" x14ac:dyDescent="0.35">
      <c r="S4068" s="782">
        <v>4064</v>
      </c>
      <c r="T4068" s="782" t="s">
        <v>4284</v>
      </c>
      <c r="U4068" s="782" t="s">
        <v>2319</v>
      </c>
      <c r="V4068" s="797">
        <f>$S$1*P!V4068</f>
        <v>1.2510080645161291E-4</v>
      </c>
      <c r="W4068" s="780"/>
      <c r="X4068" s="782">
        <v>4064</v>
      </c>
      <c r="Y4068" s="782" t="s">
        <v>2248</v>
      </c>
      <c r="Z4068" s="782" t="s">
        <v>2624</v>
      </c>
      <c r="AA4068" s="781">
        <f>$S$1*P!AA4068</f>
        <v>2.5054435483870971E-2</v>
      </c>
      <c r="AB4068" s="780"/>
      <c r="AC4068" s="780"/>
      <c r="AD4068" s="780"/>
      <c r="AE4068" s="780"/>
      <c r="AF4068" s="780"/>
    </row>
    <row r="4069" spans="19:32" x14ac:dyDescent="0.35">
      <c r="S4069" s="881">
        <v>4065</v>
      </c>
      <c r="T4069" s="881" t="s">
        <v>4284</v>
      </c>
      <c r="U4069" s="881" t="s">
        <v>2319</v>
      </c>
      <c r="V4069" s="883">
        <f>$S$1*P!V4069</f>
        <v>7.1392000000000007</v>
      </c>
      <c r="W4069" s="780"/>
      <c r="X4069" s="782">
        <v>4065</v>
      </c>
      <c r="Y4069" s="782" t="s">
        <v>2248</v>
      </c>
      <c r="Z4069" s="782" t="s">
        <v>4281</v>
      </c>
      <c r="AA4069" s="781">
        <f>$S$1*P!AA4069</f>
        <v>6.2721774193548398E-4</v>
      </c>
      <c r="AB4069" s="780"/>
      <c r="AC4069" s="780"/>
      <c r="AD4069" s="780"/>
      <c r="AE4069" s="780"/>
      <c r="AF4069" s="780"/>
    </row>
    <row r="4070" spans="19:32" x14ac:dyDescent="0.35">
      <c r="S4070" s="881">
        <v>4066</v>
      </c>
      <c r="T4070" s="881" t="s">
        <v>4284</v>
      </c>
      <c r="U4070" s="881" t="s">
        <v>2318</v>
      </c>
      <c r="V4070" s="883">
        <f>$S$1*P!V4070</f>
        <v>4.6828000000000003</v>
      </c>
      <c r="W4070" s="780"/>
      <c r="X4070" s="881">
        <v>4066</v>
      </c>
      <c r="Y4070" s="881" t="s">
        <v>2248</v>
      </c>
      <c r="Z4070" s="881" t="s">
        <v>4367</v>
      </c>
      <c r="AA4070" s="890">
        <f>$S$1*P!AA4070</f>
        <v>3.633064516129033E-5</v>
      </c>
      <c r="AB4070" s="780"/>
      <c r="AC4070" s="780"/>
      <c r="AD4070" s="780"/>
      <c r="AE4070" s="780"/>
      <c r="AF4070" s="780"/>
    </row>
    <row r="4071" spans="19:32" x14ac:dyDescent="0.35">
      <c r="S4071" s="782">
        <v>4067</v>
      </c>
      <c r="T4071" s="782" t="s">
        <v>4284</v>
      </c>
      <c r="U4071" s="782" t="s">
        <v>3801</v>
      </c>
      <c r="V4071" s="797">
        <f>$S$1*P!V4071</f>
        <v>6.3064516129032259E-6</v>
      </c>
      <c r="W4071" s="780"/>
      <c r="X4071" s="881">
        <v>4067</v>
      </c>
      <c r="Y4071" s="881" t="s">
        <v>2248</v>
      </c>
      <c r="Z4071" s="881" t="s">
        <v>2623</v>
      </c>
      <c r="AA4071" s="890">
        <f>$S$1*P!AA4071</f>
        <v>0</v>
      </c>
      <c r="AB4071" s="780"/>
      <c r="AC4071" s="780"/>
      <c r="AD4071" s="780"/>
      <c r="AE4071" s="780"/>
      <c r="AF4071" s="780"/>
    </row>
    <row r="4072" spans="19:32" x14ac:dyDescent="0.35">
      <c r="S4072" s="782">
        <v>4068</v>
      </c>
      <c r="T4072" s="782" t="s">
        <v>4284</v>
      </c>
      <c r="U4072" s="782" t="s">
        <v>2316</v>
      </c>
      <c r="V4072" s="797">
        <f>$S$1*P!V4072</f>
        <v>6.2721774193548394E-2</v>
      </c>
      <c r="W4072" s="780"/>
      <c r="X4072" s="782">
        <v>4068</v>
      </c>
      <c r="Y4072" s="782" t="s">
        <v>2248</v>
      </c>
      <c r="Z4072" s="782" t="s">
        <v>4280</v>
      </c>
      <c r="AA4072" s="781">
        <f>$S$1*P!AA4072</f>
        <v>2.344354838709678E-3</v>
      </c>
      <c r="AB4072" s="780"/>
      <c r="AC4072" s="780"/>
      <c r="AD4072" s="780"/>
      <c r="AE4072" s="780"/>
      <c r="AF4072" s="780"/>
    </row>
    <row r="4073" spans="19:32" x14ac:dyDescent="0.35">
      <c r="S4073" s="881">
        <v>4069</v>
      </c>
      <c r="T4073" s="881" t="s">
        <v>4284</v>
      </c>
      <c r="U4073" s="881" t="s">
        <v>2316</v>
      </c>
      <c r="V4073" s="883">
        <f>$S$1*P!V4073</f>
        <v>0</v>
      </c>
      <c r="W4073" s="780"/>
      <c r="X4073" s="782">
        <v>4069</v>
      </c>
      <c r="Y4073" s="782" t="s">
        <v>2248</v>
      </c>
      <c r="Z4073" s="782" t="s">
        <v>4366</v>
      </c>
      <c r="AA4073" s="781">
        <f>$S$1*P!AA4073</f>
        <v>1.2201612903225808E-4</v>
      </c>
      <c r="AB4073" s="780"/>
      <c r="AC4073" s="780"/>
      <c r="AD4073" s="780"/>
      <c r="AE4073" s="780"/>
      <c r="AF4073" s="780"/>
    </row>
    <row r="4074" spans="19:32" x14ac:dyDescent="0.35">
      <c r="S4074" s="782">
        <v>4070</v>
      </c>
      <c r="T4074" s="782" t="s">
        <v>4284</v>
      </c>
      <c r="U4074" s="782" t="s">
        <v>2315</v>
      </c>
      <c r="V4074" s="797">
        <f>$S$1*P!V4074</f>
        <v>4.0443548387096781E-3</v>
      </c>
      <c r="W4074" s="780"/>
      <c r="X4074" s="782">
        <v>4070</v>
      </c>
      <c r="Y4074" s="782" t="s">
        <v>2248</v>
      </c>
      <c r="Z4074" s="782" t="s">
        <v>4279</v>
      </c>
      <c r="AA4074" s="781">
        <f>$S$1*P!AA4074</f>
        <v>2.7042338709677423E-3</v>
      </c>
      <c r="AB4074" s="780"/>
      <c r="AC4074" s="780"/>
      <c r="AD4074" s="780"/>
      <c r="AE4074" s="780"/>
      <c r="AF4074" s="780"/>
    </row>
    <row r="4075" spans="19:32" x14ac:dyDescent="0.35">
      <c r="S4075" s="881">
        <v>4071</v>
      </c>
      <c r="T4075" s="881" t="s">
        <v>4284</v>
      </c>
      <c r="U4075" s="881" t="s">
        <v>2315</v>
      </c>
      <c r="V4075" s="883">
        <f>$S$1*P!V4075</f>
        <v>221.72</v>
      </c>
      <c r="W4075" s="780"/>
      <c r="X4075" s="782">
        <v>4071</v>
      </c>
      <c r="Y4075" s="782" t="s">
        <v>2248</v>
      </c>
      <c r="Z4075" s="782" t="s">
        <v>4365</v>
      </c>
      <c r="AA4075" s="781">
        <f>$S$1*P!AA4075</f>
        <v>2.0598790322580648E-3</v>
      </c>
      <c r="AB4075" s="780"/>
      <c r="AC4075" s="780"/>
      <c r="AD4075" s="780"/>
      <c r="AE4075" s="780"/>
      <c r="AF4075" s="780"/>
    </row>
    <row r="4076" spans="19:32" x14ac:dyDescent="0.35">
      <c r="S4076" s="782">
        <v>4072</v>
      </c>
      <c r="T4076" s="782" t="s">
        <v>4284</v>
      </c>
      <c r="U4076" s="782" t="s">
        <v>3794</v>
      </c>
      <c r="V4076" s="797">
        <f>$S$1*P!V4076</f>
        <v>5.2439516129032263E-6</v>
      </c>
      <c r="W4076" s="780"/>
      <c r="X4076" s="782">
        <v>4072</v>
      </c>
      <c r="Y4076" s="782" t="s">
        <v>2248</v>
      </c>
      <c r="Z4076" s="782" t="s">
        <v>4364</v>
      </c>
      <c r="AA4076" s="781">
        <f>$S$1*P!AA4076</f>
        <v>5.1754032258064518E-7</v>
      </c>
      <c r="AB4076" s="780"/>
      <c r="AC4076" s="780"/>
      <c r="AD4076" s="780"/>
      <c r="AE4076" s="780"/>
      <c r="AF4076" s="780"/>
    </row>
    <row r="4077" spans="19:32" x14ac:dyDescent="0.35">
      <c r="S4077" s="861">
        <v>4073</v>
      </c>
      <c r="T4077" s="861" t="s">
        <v>4284</v>
      </c>
      <c r="U4077" s="861" t="s">
        <v>4363</v>
      </c>
      <c r="V4077" s="862">
        <f>$S$1*P!V4077</f>
        <v>8.1319999999999997</v>
      </c>
      <c r="W4077" s="780"/>
      <c r="X4077" s="782">
        <v>4073</v>
      </c>
      <c r="Y4077" s="782" t="s">
        <v>2248</v>
      </c>
      <c r="Z4077" s="782" t="s">
        <v>4276</v>
      </c>
      <c r="AA4077" s="781">
        <f>$S$1*P!AA4077</f>
        <v>1.2989919354838709E-3</v>
      </c>
      <c r="AB4077" s="780"/>
      <c r="AC4077" s="780"/>
      <c r="AD4077" s="780"/>
      <c r="AE4077" s="780"/>
      <c r="AF4077" s="780"/>
    </row>
    <row r="4078" spans="19:32" x14ac:dyDescent="0.35">
      <c r="S4078" s="861">
        <v>4074</v>
      </c>
      <c r="T4078" s="861" t="s">
        <v>4284</v>
      </c>
      <c r="U4078" s="861" t="s">
        <v>4362</v>
      </c>
      <c r="V4078" s="862">
        <f>$S$1*P!V4078</f>
        <v>11.716499999999998</v>
      </c>
      <c r="W4078" s="780"/>
      <c r="X4078" s="881">
        <v>4074</v>
      </c>
      <c r="Y4078" s="881" t="s">
        <v>2248</v>
      </c>
      <c r="Z4078" s="881" t="s">
        <v>2621</v>
      </c>
      <c r="AA4078" s="890">
        <f>$S$1*P!AA4078</f>
        <v>3.2844000000000002</v>
      </c>
      <c r="AB4078" s="780"/>
      <c r="AC4078" s="780"/>
      <c r="AD4078" s="780"/>
      <c r="AE4078" s="780"/>
      <c r="AF4078" s="780"/>
    </row>
    <row r="4079" spans="19:32" x14ac:dyDescent="0.35">
      <c r="S4079" s="861">
        <v>4075</v>
      </c>
      <c r="T4079" s="861" t="s">
        <v>4284</v>
      </c>
      <c r="U4079" s="861" t="s">
        <v>4361</v>
      </c>
      <c r="V4079" s="862">
        <f>$S$1*P!V4079</f>
        <v>9.202</v>
      </c>
      <c r="W4079" s="780"/>
      <c r="X4079" s="782">
        <v>4075</v>
      </c>
      <c r="Y4079" s="782" t="s">
        <v>2248</v>
      </c>
      <c r="Z4079" s="782" t="s">
        <v>2621</v>
      </c>
      <c r="AA4079" s="781">
        <f>$S$1*P!AA4079</f>
        <v>4.3528225806451615E-4</v>
      </c>
      <c r="AB4079" s="780"/>
      <c r="AC4079" s="780"/>
      <c r="AD4079" s="780"/>
      <c r="AE4079" s="780"/>
      <c r="AF4079" s="780"/>
    </row>
    <row r="4080" spans="19:32" x14ac:dyDescent="0.35">
      <c r="S4080" s="782">
        <v>4076</v>
      </c>
      <c r="T4080" s="782" t="s">
        <v>4284</v>
      </c>
      <c r="U4080" s="782" t="s">
        <v>3791</v>
      </c>
      <c r="V4080" s="797">
        <f>$S$1*P!V4080</f>
        <v>1.0213709677419355E-5</v>
      </c>
      <c r="W4080" s="780"/>
      <c r="X4080" s="782">
        <v>4076</v>
      </c>
      <c r="Y4080" s="782" t="s">
        <v>2248</v>
      </c>
      <c r="Z4080" s="782" t="s">
        <v>4275</v>
      </c>
      <c r="AA4080" s="781">
        <f>$S$1*P!AA4080</f>
        <v>5.381048387096775E-3</v>
      </c>
      <c r="AB4080" s="780"/>
      <c r="AC4080" s="780"/>
      <c r="AD4080" s="780"/>
      <c r="AE4080" s="780"/>
      <c r="AF4080" s="780"/>
    </row>
    <row r="4081" spans="19:32" x14ac:dyDescent="0.35">
      <c r="S4081" s="861">
        <v>4077</v>
      </c>
      <c r="T4081" s="861" t="s">
        <v>4284</v>
      </c>
      <c r="U4081" s="861" t="s">
        <v>4360</v>
      </c>
      <c r="V4081" s="862">
        <f>$S$1*P!V4081</f>
        <v>8.1854999999999993</v>
      </c>
      <c r="W4081" s="780"/>
      <c r="X4081" s="881">
        <v>4077</v>
      </c>
      <c r="Y4081" s="881" t="s">
        <v>2248</v>
      </c>
      <c r="Z4081" s="881" t="s">
        <v>3198</v>
      </c>
      <c r="AA4081" s="890">
        <f>$S$1*P!AA4081</f>
        <v>4.1814516129032265E-3</v>
      </c>
      <c r="AB4081" s="780"/>
      <c r="AC4081" s="780"/>
      <c r="AD4081" s="780"/>
      <c r="AE4081" s="780"/>
      <c r="AF4081" s="780"/>
    </row>
    <row r="4082" spans="19:32" x14ac:dyDescent="0.35">
      <c r="S4082" s="881">
        <v>4078</v>
      </c>
      <c r="T4082" s="881" t="s">
        <v>4284</v>
      </c>
      <c r="U4082" s="881" t="s">
        <v>2313</v>
      </c>
      <c r="V4082" s="883">
        <f>$S$1*P!V4082</f>
        <v>5.6487999999999996</v>
      </c>
      <c r="W4082" s="780"/>
      <c r="X4082" s="881">
        <v>4078</v>
      </c>
      <c r="Y4082" s="881" t="s">
        <v>2248</v>
      </c>
      <c r="Z4082" s="881" t="s">
        <v>2620</v>
      </c>
      <c r="AA4082" s="890">
        <f>$S$1*P!AA4082</f>
        <v>0</v>
      </c>
      <c r="AB4082" s="780"/>
      <c r="AC4082" s="780"/>
      <c r="AD4082" s="780"/>
      <c r="AE4082" s="780"/>
      <c r="AF4082" s="780"/>
    </row>
    <row r="4083" spans="19:32" x14ac:dyDescent="0.35">
      <c r="S4083" s="881">
        <v>4079</v>
      </c>
      <c r="T4083" s="881" t="s">
        <v>4284</v>
      </c>
      <c r="U4083" s="881" t="s">
        <v>2312</v>
      </c>
      <c r="V4083" s="883">
        <f>$S$1*P!V4083</f>
        <v>0.26220000000000004</v>
      </c>
      <c r="W4083" s="780"/>
      <c r="X4083" s="782">
        <v>4079</v>
      </c>
      <c r="Y4083" s="782" t="s">
        <v>2248</v>
      </c>
      <c r="Z4083" s="782" t="s">
        <v>4273</v>
      </c>
      <c r="AA4083" s="781">
        <f>$S$1*P!AA4083</f>
        <v>5.6552419354838713E-5</v>
      </c>
      <c r="AB4083" s="780"/>
      <c r="AC4083" s="780"/>
      <c r="AD4083" s="780"/>
      <c r="AE4083" s="780"/>
      <c r="AF4083" s="780"/>
    </row>
    <row r="4084" spans="19:32" x14ac:dyDescent="0.35">
      <c r="S4084" s="881">
        <v>4080</v>
      </c>
      <c r="T4084" s="881" t="s">
        <v>4284</v>
      </c>
      <c r="U4084" s="881" t="s">
        <v>2310</v>
      </c>
      <c r="V4084" s="883">
        <f>$S$1*P!V4084</f>
        <v>9.6600000000000002E-3</v>
      </c>
      <c r="W4084" s="780"/>
      <c r="X4084" s="782">
        <v>4080</v>
      </c>
      <c r="Y4084" s="782" t="s">
        <v>2248</v>
      </c>
      <c r="Z4084" s="782" t="s">
        <v>2620</v>
      </c>
      <c r="AA4084" s="781">
        <f>$S$1*P!AA4084</f>
        <v>2.3614919354838712E-3</v>
      </c>
      <c r="AB4084" s="780"/>
      <c r="AC4084" s="780"/>
      <c r="AD4084" s="780"/>
      <c r="AE4084" s="780"/>
      <c r="AF4084" s="780"/>
    </row>
    <row r="4085" spans="19:32" x14ac:dyDescent="0.35">
      <c r="S4085" s="881">
        <v>4081</v>
      </c>
      <c r="T4085" s="881" t="s">
        <v>4284</v>
      </c>
      <c r="U4085" s="881" t="s">
        <v>2308</v>
      </c>
      <c r="V4085" s="883">
        <f>$S$1*P!V4085</f>
        <v>0.19503999999999999</v>
      </c>
      <c r="W4085" s="780"/>
      <c r="X4085" s="782">
        <v>4081</v>
      </c>
      <c r="Y4085" s="782" t="s">
        <v>2248</v>
      </c>
      <c r="Z4085" s="782" t="s">
        <v>4359</v>
      </c>
      <c r="AA4085" s="781">
        <f>$S$1*P!AA4085</f>
        <v>2.1935483870967745E-6</v>
      </c>
      <c r="AB4085" s="780"/>
      <c r="AC4085" s="780"/>
      <c r="AD4085" s="780"/>
      <c r="AE4085" s="780"/>
      <c r="AF4085" s="780"/>
    </row>
    <row r="4086" spans="19:32" x14ac:dyDescent="0.35">
      <c r="S4086" s="881">
        <v>4082</v>
      </c>
      <c r="T4086" s="881" t="s">
        <v>4284</v>
      </c>
      <c r="U4086" s="881" t="s">
        <v>2307</v>
      </c>
      <c r="V4086" s="883">
        <f>$S$1*P!V4086</f>
        <v>9.2920000000000003E-2</v>
      </c>
      <c r="W4086" s="780"/>
      <c r="X4086" s="782">
        <v>4082</v>
      </c>
      <c r="Y4086" s="782" t="s">
        <v>2248</v>
      </c>
      <c r="Z4086" s="782" t="s">
        <v>4272</v>
      </c>
      <c r="AA4086" s="781">
        <f>$S$1*P!AA4086</f>
        <v>3.2663306451612903E-3</v>
      </c>
      <c r="AB4086" s="780"/>
      <c r="AC4086" s="780"/>
      <c r="AD4086" s="780"/>
      <c r="AE4086" s="780"/>
      <c r="AF4086" s="780"/>
    </row>
    <row r="4087" spans="19:32" x14ac:dyDescent="0.35">
      <c r="S4087" s="782">
        <v>4083</v>
      </c>
      <c r="T4087" s="782" t="s">
        <v>4284</v>
      </c>
      <c r="U4087" s="782" t="s">
        <v>3782</v>
      </c>
      <c r="V4087" s="797">
        <f>$S$1*P!V4087</f>
        <v>0.14326612903225808</v>
      </c>
      <c r="W4087" s="780"/>
      <c r="X4087" s="782">
        <v>4083</v>
      </c>
      <c r="Y4087" s="782" t="s">
        <v>2248</v>
      </c>
      <c r="Z4087" s="782" t="s">
        <v>4358</v>
      </c>
      <c r="AA4087" s="781">
        <f>$S$1*P!AA4087</f>
        <v>4.3870967741935489E-4</v>
      </c>
      <c r="AB4087" s="780"/>
      <c r="AC4087" s="780"/>
      <c r="AD4087" s="780"/>
      <c r="AE4087" s="780"/>
      <c r="AF4087" s="780"/>
    </row>
    <row r="4088" spans="19:32" x14ac:dyDescent="0.35">
      <c r="S4088" s="782">
        <v>4084</v>
      </c>
      <c r="T4088" s="782" t="s">
        <v>4284</v>
      </c>
      <c r="U4088" s="782" t="s">
        <v>2305</v>
      </c>
      <c r="V4088" s="797">
        <f>$S$1*P!V4088</f>
        <v>0.74032258064516132</v>
      </c>
      <c r="W4088" s="780"/>
      <c r="X4088" s="881">
        <v>4084</v>
      </c>
      <c r="Y4088" s="881" t="s">
        <v>2248</v>
      </c>
      <c r="Z4088" s="881" t="s">
        <v>2618</v>
      </c>
      <c r="AA4088" s="890">
        <f>$S$1*P!AA4088</f>
        <v>0</v>
      </c>
      <c r="AB4088" s="780"/>
      <c r="AC4088" s="780"/>
      <c r="AD4088" s="780"/>
      <c r="AE4088" s="780"/>
      <c r="AF4088" s="780"/>
    </row>
    <row r="4089" spans="19:32" x14ac:dyDescent="0.35">
      <c r="S4089" s="881">
        <v>4085</v>
      </c>
      <c r="T4089" s="881" t="s">
        <v>4284</v>
      </c>
      <c r="U4089" s="881" t="s">
        <v>2305</v>
      </c>
      <c r="V4089" s="883">
        <f>$S$1*P!V4089</f>
        <v>517.04</v>
      </c>
      <c r="W4089" s="780"/>
      <c r="X4089" s="782">
        <v>4085</v>
      </c>
      <c r="Y4089" s="782" t="s">
        <v>2248</v>
      </c>
      <c r="Z4089" s="782" t="s">
        <v>4270</v>
      </c>
      <c r="AA4089" s="781">
        <f>$S$1*P!AA4089</f>
        <v>5.8608870967741941E-3</v>
      </c>
      <c r="AB4089" s="780"/>
      <c r="AC4089" s="780"/>
      <c r="AD4089" s="780"/>
      <c r="AE4089" s="780"/>
      <c r="AF4089" s="780"/>
    </row>
    <row r="4090" spans="19:32" x14ac:dyDescent="0.35">
      <c r="S4090" s="782">
        <v>4086</v>
      </c>
      <c r="T4090" s="782" t="s">
        <v>4284</v>
      </c>
      <c r="U4090" s="782" t="s">
        <v>3778</v>
      </c>
      <c r="V4090" s="797">
        <f>$S$1*P!V4090</f>
        <v>2.7899193548387098</v>
      </c>
      <c r="W4090" s="780"/>
      <c r="X4090" s="782">
        <v>4086</v>
      </c>
      <c r="Y4090" s="782" t="s">
        <v>2248</v>
      </c>
      <c r="Z4090" s="782" t="s">
        <v>4357</v>
      </c>
      <c r="AA4090" s="781">
        <f>$S$1*P!AA4090</f>
        <v>4.6612903225806454E-2</v>
      </c>
      <c r="AB4090" s="780"/>
      <c r="AC4090" s="780"/>
      <c r="AD4090" s="780"/>
      <c r="AE4090" s="780"/>
      <c r="AF4090" s="780"/>
    </row>
    <row r="4091" spans="19:32" x14ac:dyDescent="0.35">
      <c r="S4091" s="782">
        <v>4087</v>
      </c>
      <c r="T4091" s="782" t="s">
        <v>4284</v>
      </c>
      <c r="U4091" s="782" t="s">
        <v>3775</v>
      </c>
      <c r="V4091" s="797">
        <f>$S$1*P!V4091</f>
        <v>8.191532258064517E-2</v>
      </c>
      <c r="W4091" s="780"/>
      <c r="X4091" s="881">
        <v>4087</v>
      </c>
      <c r="Y4091" s="881" t="s">
        <v>2248</v>
      </c>
      <c r="Z4091" s="881" t="s">
        <v>4356</v>
      </c>
      <c r="AA4091" s="890">
        <f>$S$1*P!AA4091</f>
        <v>1.2784274193548388E-5</v>
      </c>
      <c r="AB4091" s="780"/>
      <c r="AC4091" s="780"/>
      <c r="AD4091" s="780"/>
      <c r="AE4091" s="780"/>
      <c r="AF4091" s="780"/>
    </row>
    <row r="4092" spans="19:32" x14ac:dyDescent="0.35">
      <c r="S4092" s="782">
        <v>4088</v>
      </c>
      <c r="T4092" s="782" t="s">
        <v>4284</v>
      </c>
      <c r="U4092" s="782" t="s">
        <v>3774</v>
      </c>
      <c r="V4092" s="797">
        <f>$S$1*P!V4092</f>
        <v>0.35987903225806456</v>
      </c>
      <c r="W4092" s="780"/>
      <c r="X4092" s="782">
        <v>4088</v>
      </c>
      <c r="Y4092" s="782" t="s">
        <v>2248</v>
      </c>
      <c r="Z4092" s="782" t="s">
        <v>4269</v>
      </c>
      <c r="AA4092" s="781">
        <f>$S$1*P!AA4092</f>
        <v>2.8036290322580645E-3</v>
      </c>
      <c r="AB4092" s="780"/>
      <c r="AC4092" s="780"/>
      <c r="AD4092" s="780"/>
      <c r="AE4092" s="780"/>
      <c r="AF4092" s="780"/>
    </row>
    <row r="4093" spans="19:32" x14ac:dyDescent="0.35">
      <c r="S4093" s="789">
        <v>4089</v>
      </c>
      <c r="T4093" s="789" t="s">
        <v>4284</v>
      </c>
      <c r="U4093" s="789" t="s">
        <v>4355</v>
      </c>
      <c r="V4093" s="790">
        <f>$S$1*P!V4093</f>
        <v>0.11054800000000001</v>
      </c>
      <c r="W4093" s="780"/>
      <c r="X4093" s="782">
        <v>4089</v>
      </c>
      <c r="Y4093" s="782" t="s">
        <v>2248</v>
      </c>
      <c r="Z4093" s="782" t="s">
        <v>4354</v>
      </c>
      <c r="AA4093" s="781">
        <f>$S$1*P!AA4093</f>
        <v>2.4334677419354842E-2</v>
      </c>
      <c r="AB4093" s="780"/>
      <c r="AC4093" s="780"/>
      <c r="AD4093" s="780"/>
      <c r="AE4093" s="780"/>
      <c r="AF4093" s="780"/>
    </row>
    <row r="4094" spans="19:32" x14ac:dyDescent="0.35">
      <c r="S4094" s="881">
        <v>4090</v>
      </c>
      <c r="T4094" s="881" t="s">
        <v>4284</v>
      </c>
      <c r="U4094" s="881" t="s">
        <v>2304</v>
      </c>
      <c r="V4094" s="883">
        <f>$S$1*P!V4094</f>
        <v>0</v>
      </c>
      <c r="W4094" s="780"/>
      <c r="X4094" s="782">
        <v>4090</v>
      </c>
      <c r="Y4094" s="782" t="s">
        <v>2248</v>
      </c>
      <c r="Z4094" s="782" t="s">
        <v>4268</v>
      </c>
      <c r="AA4094" s="781">
        <f>$S$1*P!AA4094</f>
        <v>7.9516129032258076E-2</v>
      </c>
      <c r="AB4094" s="780"/>
      <c r="AC4094" s="780"/>
      <c r="AD4094" s="780"/>
      <c r="AE4094" s="780"/>
      <c r="AF4094" s="780"/>
    </row>
    <row r="4095" spans="19:32" x14ac:dyDescent="0.35">
      <c r="S4095" s="881">
        <v>4091</v>
      </c>
      <c r="T4095" s="881" t="s">
        <v>4284</v>
      </c>
      <c r="U4095" s="881" t="s">
        <v>2302</v>
      </c>
      <c r="V4095" s="883">
        <f>$S$1*P!V4095</f>
        <v>0.83352000000000004</v>
      </c>
      <c r="W4095" s="780"/>
      <c r="X4095" s="881">
        <v>4091</v>
      </c>
      <c r="Y4095" s="881" t="s">
        <v>2248</v>
      </c>
      <c r="Z4095" s="881" t="s">
        <v>2617</v>
      </c>
      <c r="AA4095" s="890">
        <f>$S$1*P!AA4095</f>
        <v>6.2744000000000008E-2</v>
      </c>
      <c r="AB4095" s="780"/>
      <c r="AC4095" s="780"/>
      <c r="AD4095" s="780"/>
      <c r="AE4095" s="780"/>
      <c r="AF4095" s="780"/>
    </row>
    <row r="4096" spans="19:32" x14ac:dyDescent="0.35">
      <c r="S4096" s="782">
        <v>4092</v>
      </c>
      <c r="T4096" s="782" t="s">
        <v>4284</v>
      </c>
      <c r="U4096" s="782" t="s">
        <v>3768</v>
      </c>
      <c r="V4096" s="797">
        <f>$S$1*P!V4096</f>
        <v>1.4018145161290323E-6</v>
      </c>
      <c r="W4096" s="780"/>
      <c r="X4096" s="782">
        <v>4092</v>
      </c>
      <c r="Y4096" s="782" t="s">
        <v>2248</v>
      </c>
      <c r="Z4096" s="782" t="s">
        <v>4353</v>
      </c>
      <c r="AA4096" s="781">
        <f>$S$1*P!AA4096</f>
        <v>5.6895161290322579E-5</v>
      </c>
      <c r="AB4096" s="780"/>
      <c r="AC4096" s="780"/>
      <c r="AD4096" s="780"/>
      <c r="AE4096" s="780"/>
      <c r="AF4096" s="780"/>
    </row>
    <row r="4097" spans="19:32" x14ac:dyDescent="0.35">
      <c r="S4097" s="881">
        <v>4093</v>
      </c>
      <c r="T4097" s="881" t="s">
        <v>4284</v>
      </c>
      <c r="U4097" s="881" t="s">
        <v>2301</v>
      </c>
      <c r="V4097" s="883">
        <f>$S$1*P!V4097</f>
        <v>0</v>
      </c>
      <c r="W4097" s="780"/>
      <c r="X4097" s="782">
        <v>4093</v>
      </c>
      <c r="Y4097" s="782" t="s">
        <v>2248</v>
      </c>
      <c r="Z4097" s="782" t="s">
        <v>2617</v>
      </c>
      <c r="AA4097" s="781">
        <f>$S$1*P!AA4097</f>
        <v>2.5328629032258066E-2</v>
      </c>
      <c r="AB4097" s="780"/>
      <c r="AC4097" s="780"/>
      <c r="AD4097" s="780"/>
      <c r="AE4097" s="780"/>
      <c r="AF4097" s="780"/>
    </row>
    <row r="4098" spans="19:32" x14ac:dyDescent="0.35">
      <c r="S4098" s="782">
        <v>4094</v>
      </c>
      <c r="T4098" s="782" t="s">
        <v>4284</v>
      </c>
      <c r="U4098" s="782" t="s">
        <v>3766</v>
      </c>
      <c r="V4098" s="797">
        <f>$S$1*P!V4098</f>
        <v>6.5463709677419366E-2</v>
      </c>
      <c r="W4098" s="780"/>
      <c r="X4098" s="782">
        <v>4094</v>
      </c>
      <c r="Y4098" s="782" t="s">
        <v>2248</v>
      </c>
      <c r="Z4098" s="782" t="s">
        <v>4266</v>
      </c>
      <c r="AA4098" s="781">
        <f>$S$1*P!AA4098</f>
        <v>3.1018145161290325E-2</v>
      </c>
      <c r="AB4098" s="780"/>
      <c r="AC4098" s="780"/>
      <c r="AD4098" s="780"/>
      <c r="AE4098" s="780"/>
      <c r="AF4098" s="780"/>
    </row>
    <row r="4099" spans="19:32" x14ac:dyDescent="0.35">
      <c r="S4099" s="782">
        <v>4095</v>
      </c>
      <c r="T4099" s="782" t="s">
        <v>4284</v>
      </c>
      <c r="U4099" s="782" t="s">
        <v>3764</v>
      </c>
      <c r="V4099" s="797">
        <f>$S$1*P!V4099</f>
        <v>0.30709677419354842</v>
      </c>
      <c r="W4099" s="780"/>
      <c r="X4099" s="782">
        <v>4095</v>
      </c>
      <c r="Y4099" s="782" t="s">
        <v>2248</v>
      </c>
      <c r="Z4099" s="782" t="s">
        <v>4352</v>
      </c>
      <c r="AA4099" s="781">
        <f>$S$1*P!AA4099</f>
        <v>8.4657258064516131E-16</v>
      </c>
      <c r="AB4099" s="780"/>
      <c r="AC4099" s="780"/>
      <c r="AD4099" s="780"/>
      <c r="AE4099" s="780"/>
      <c r="AF4099" s="780"/>
    </row>
    <row r="4100" spans="19:32" x14ac:dyDescent="0.35">
      <c r="S4100" s="782">
        <v>4096</v>
      </c>
      <c r="T4100" s="782" t="s">
        <v>4284</v>
      </c>
      <c r="U4100" s="782" t="s">
        <v>3762</v>
      </c>
      <c r="V4100" s="797">
        <f>$S$1*P!V4100</f>
        <v>2.7350806451612909E-4</v>
      </c>
      <c r="W4100" s="780"/>
      <c r="X4100" s="881">
        <v>4096</v>
      </c>
      <c r="Y4100" s="881" t="s">
        <v>2248</v>
      </c>
      <c r="Z4100" s="881" t="s">
        <v>4351</v>
      </c>
      <c r="AA4100" s="890">
        <f>$S$1*P!AA4100</f>
        <v>5.0040322580645161E-5</v>
      </c>
      <c r="AB4100" s="780"/>
      <c r="AC4100" s="780"/>
      <c r="AD4100" s="780"/>
      <c r="AE4100" s="780"/>
      <c r="AF4100" s="780"/>
    </row>
    <row r="4101" spans="19:32" x14ac:dyDescent="0.35">
      <c r="S4101" s="782">
        <v>4097</v>
      </c>
      <c r="T4101" s="782" t="s">
        <v>4284</v>
      </c>
      <c r="U4101" s="782" t="s">
        <v>3759</v>
      </c>
      <c r="V4101" s="797">
        <f>$S$1*P!V4101</f>
        <v>1.5354838709677422E-4</v>
      </c>
      <c r="W4101" s="780"/>
      <c r="X4101" s="782">
        <v>4097</v>
      </c>
      <c r="Y4101" s="782" t="s">
        <v>2248</v>
      </c>
      <c r="Z4101" s="782" t="s">
        <v>4265</v>
      </c>
      <c r="AA4101" s="781">
        <f>$S$1*P!AA4101</f>
        <v>3.1840725806451616E-5</v>
      </c>
      <c r="AB4101" s="780"/>
      <c r="AC4101" s="780"/>
      <c r="AD4101" s="780"/>
      <c r="AE4101" s="780"/>
      <c r="AF4101" s="780"/>
    </row>
    <row r="4102" spans="19:32" x14ac:dyDescent="0.35">
      <c r="S4102" s="782">
        <v>4098</v>
      </c>
      <c r="T4102" s="782" t="s">
        <v>4284</v>
      </c>
      <c r="U4102" s="782" t="s">
        <v>3758</v>
      </c>
      <c r="V4102" s="797">
        <f>$S$1*P!V4102</f>
        <v>4.4899193548387098E-3</v>
      </c>
      <c r="W4102" s="780"/>
      <c r="X4102" s="881">
        <v>4098</v>
      </c>
      <c r="Y4102" s="881" t="s">
        <v>2248</v>
      </c>
      <c r="Z4102" s="881" t="s">
        <v>2615</v>
      </c>
      <c r="AA4102" s="890">
        <f>$S$1*P!AA4102</f>
        <v>0.17296</v>
      </c>
      <c r="AB4102" s="780"/>
      <c r="AC4102" s="780"/>
      <c r="AD4102" s="780"/>
      <c r="AE4102" s="780"/>
      <c r="AF4102" s="780"/>
    </row>
    <row r="4103" spans="19:32" x14ac:dyDescent="0.35">
      <c r="S4103" s="782">
        <v>4099</v>
      </c>
      <c r="T4103" s="782" t="s">
        <v>4284</v>
      </c>
      <c r="U4103" s="782" t="s">
        <v>3755</v>
      </c>
      <c r="V4103" s="797">
        <f>$S$1*P!V4103</f>
        <v>8.054435483870968E-3</v>
      </c>
      <c r="W4103" s="780"/>
      <c r="X4103" s="782">
        <v>4099</v>
      </c>
      <c r="Y4103" s="782" t="s">
        <v>2248</v>
      </c>
      <c r="Z4103" s="782" t="s">
        <v>4261</v>
      </c>
      <c r="AA4103" s="781">
        <f>$S$1*P!AA4103</f>
        <v>1.785685483870968E-3</v>
      </c>
      <c r="AB4103" s="780"/>
      <c r="AC4103" s="780"/>
      <c r="AD4103" s="780"/>
      <c r="AE4103" s="780"/>
      <c r="AF4103" s="780"/>
    </row>
    <row r="4104" spans="19:32" x14ac:dyDescent="0.35">
      <c r="S4104" s="782">
        <v>4100</v>
      </c>
      <c r="T4104" s="782" t="s">
        <v>4284</v>
      </c>
      <c r="U4104" s="782" t="s">
        <v>3753</v>
      </c>
      <c r="V4104" s="797">
        <f>$S$1*P!V4104</f>
        <v>2.4437500000000002E-3</v>
      </c>
      <c r="W4104" s="780"/>
      <c r="X4104" s="881">
        <v>4100</v>
      </c>
      <c r="Y4104" s="881" t="s">
        <v>2248</v>
      </c>
      <c r="Z4104" s="881" t="s">
        <v>2613</v>
      </c>
      <c r="AA4104" s="890">
        <f>$S$1*P!AA4104</f>
        <v>0</v>
      </c>
      <c r="AB4104" s="780"/>
      <c r="AC4104" s="780"/>
      <c r="AD4104" s="780"/>
      <c r="AE4104" s="780"/>
      <c r="AF4104" s="780"/>
    </row>
    <row r="4105" spans="19:32" x14ac:dyDescent="0.35">
      <c r="S4105" s="881">
        <v>4101</v>
      </c>
      <c r="T4105" s="881" t="s">
        <v>4284</v>
      </c>
      <c r="U4105" s="881" t="s">
        <v>2299</v>
      </c>
      <c r="V4105" s="883">
        <f>$S$1*P!V4105</f>
        <v>4636.8</v>
      </c>
      <c r="W4105" s="780"/>
      <c r="X4105" s="782">
        <v>4101</v>
      </c>
      <c r="Y4105" s="782" t="s">
        <v>2248</v>
      </c>
      <c r="Z4105" s="782" t="s">
        <v>2613</v>
      </c>
      <c r="AA4105" s="781">
        <f>$S$1*P!AA4105</f>
        <v>2.4471774193548387E-2</v>
      </c>
      <c r="AB4105" s="780"/>
      <c r="AC4105" s="780"/>
      <c r="AD4105" s="780"/>
      <c r="AE4105" s="780"/>
      <c r="AF4105" s="780"/>
    </row>
    <row r="4106" spans="19:32" x14ac:dyDescent="0.35">
      <c r="S4106" s="782">
        <v>4102</v>
      </c>
      <c r="T4106" s="782" t="s">
        <v>4284</v>
      </c>
      <c r="U4106" s="782" t="s">
        <v>3751</v>
      </c>
      <c r="V4106" s="797">
        <f>$S$1*P!V4106</f>
        <v>3.7358870967741938E-2</v>
      </c>
      <c r="W4106" s="780"/>
      <c r="X4106" s="881">
        <v>4102</v>
      </c>
      <c r="Y4106" s="881" t="s">
        <v>2248</v>
      </c>
      <c r="Z4106" s="881" t="s">
        <v>4350</v>
      </c>
      <c r="AA4106" s="890">
        <f>$S$1*P!AA4106</f>
        <v>1.405241935483871E-5</v>
      </c>
      <c r="AB4106" s="780"/>
      <c r="AC4106" s="780"/>
      <c r="AD4106" s="780"/>
      <c r="AE4106" s="780"/>
      <c r="AF4106" s="780"/>
    </row>
    <row r="4107" spans="19:32" x14ac:dyDescent="0.35">
      <c r="S4107" s="881">
        <v>4103</v>
      </c>
      <c r="T4107" s="881" t="s">
        <v>4284</v>
      </c>
      <c r="U4107" s="881" t="s">
        <v>2298</v>
      </c>
      <c r="V4107" s="883">
        <f>$S$1*P!V4107</f>
        <v>77.096000000000004</v>
      </c>
      <c r="W4107" s="780"/>
      <c r="X4107" s="782">
        <v>4103</v>
      </c>
      <c r="Y4107" s="782" t="s">
        <v>2248</v>
      </c>
      <c r="Z4107" s="782" t="s">
        <v>2581</v>
      </c>
      <c r="AA4107" s="781">
        <f>$S$1*P!AA4107</f>
        <v>3.1052419354838713E-4</v>
      </c>
      <c r="AB4107" s="780"/>
      <c r="AC4107" s="780"/>
      <c r="AD4107" s="780"/>
      <c r="AE4107" s="780"/>
      <c r="AF4107" s="780"/>
    </row>
    <row r="4108" spans="19:32" x14ac:dyDescent="0.35">
      <c r="S4108" s="782">
        <v>4104</v>
      </c>
      <c r="T4108" s="782" t="s">
        <v>4284</v>
      </c>
      <c r="U4108" s="782" t="s">
        <v>3747</v>
      </c>
      <c r="V4108" s="797">
        <f>$S$1*P!V4108</f>
        <v>4.4213709677419361E-2</v>
      </c>
      <c r="W4108" s="780"/>
      <c r="X4108" s="782">
        <v>4104</v>
      </c>
      <c r="Y4108" s="782" t="s">
        <v>2248</v>
      </c>
      <c r="Z4108" s="782" t="s">
        <v>4349</v>
      </c>
      <c r="AA4108" s="781">
        <f>$S$1*P!AA4108</f>
        <v>8.8427419354838721E-2</v>
      </c>
      <c r="AB4108" s="780"/>
      <c r="AC4108" s="780"/>
      <c r="AD4108" s="780"/>
      <c r="AE4108" s="780"/>
      <c r="AF4108" s="780"/>
    </row>
    <row r="4109" spans="19:32" x14ac:dyDescent="0.35">
      <c r="S4109" s="782">
        <v>4105</v>
      </c>
      <c r="T4109" s="782" t="s">
        <v>4284</v>
      </c>
      <c r="U4109" s="782" t="s">
        <v>3745</v>
      </c>
      <c r="V4109" s="797">
        <f>$S$1*P!V4109</f>
        <v>1.1858870967741937E-3</v>
      </c>
      <c r="W4109" s="780"/>
      <c r="X4109" s="782">
        <v>4105</v>
      </c>
      <c r="Y4109" s="782" t="s">
        <v>2248</v>
      </c>
      <c r="Z4109" s="782" t="s">
        <v>4259</v>
      </c>
      <c r="AA4109" s="781">
        <f>$S$1*P!AA4109</f>
        <v>7.4717741935483874E-4</v>
      </c>
      <c r="AB4109" s="780"/>
      <c r="AC4109" s="780"/>
      <c r="AD4109" s="780"/>
      <c r="AE4109" s="780"/>
      <c r="AF4109" s="780"/>
    </row>
    <row r="4110" spans="19:32" x14ac:dyDescent="0.35">
      <c r="S4110" s="782">
        <v>4106</v>
      </c>
      <c r="T4110" s="782" t="s">
        <v>4284</v>
      </c>
      <c r="U4110" s="782" t="s">
        <v>3743</v>
      </c>
      <c r="V4110" s="797">
        <f>$S$1*P!V4110</f>
        <v>1.0864919354838711E-2</v>
      </c>
      <c r="W4110" s="780"/>
      <c r="X4110" s="782">
        <v>4106</v>
      </c>
      <c r="Y4110" s="782" t="s">
        <v>2248</v>
      </c>
      <c r="Z4110" s="782" t="s">
        <v>4348</v>
      </c>
      <c r="AA4110" s="781">
        <f>$S$1*P!AA4110</f>
        <v>1.9879032258064518E-4</v>
      </c>
      <c r="AB4110" s="780"/>
      <c r="AC4110" s="780"/>
      <c r="AD4110" s="780"/>
      <c r="AE4110" s="780"/>
      <c r="AF4110" s="780"/>
    </row>
    <row r="4111" spans="19:32" x14ac:dyDescent="0.35">
      <c r="S4111" s="782">
        <v>4107</v>
      </c>
      <c r="T4111" s="782" t="s">
        <v>4284</v>
      </c>
      <c r="U4111" s="782" t="s">
        <v>3741</v>
      </c>
      <c r="V4111" s="797">
        <f>$S$1*P!V4111</f>
        <v>6.9233870967741945E-2</v>
      </c>
      <c r="W4111" s="780"/>
      <c r="X4111" s="881">
        <v>4107</v>
      </c>
      <c r="Y4111" s="881" t="s">
        <v>2248</v>
      </c>
      <c r="Z4111" s="881" t="s">
        <v>4347</v>
      </c>
      <c r="AA4111" s="890">
        <f>$S$1*P!AA4111</f>
        <v>0.83971774193548399</v>
      </c>
      <c r="AB4111" s="780"/>
      <c r="AC4111" s="780"/>
      <c r="AD4111" s="780"/>
      <c r="AE4111" s="780"/>
      <c r="AF4111" s="780"/>
    </row>
    <row r="4112" spans="19:32" x14ac:dyDescent="0.35">
      <c r="S4112" s="782">
        <v>4108</v>
      </c>
      <c r="T4112" s="782" t="s">
        <v>4284</v>
      </c>
      <c r="U4112" s="782" t="s">
        <v>3739</v>
      </c>
      <c r="V4112" s="797">
        <f>$S$1*P!V4112</f>
        <v>8.2943548387096784E-3</v>
      </c>
      <c r="W4112" s="780"/>
      <c r="X4112" s="782">
        <v>4108</v>
      </c>
      <c r="Y4112" s="782" t="s">
        <v>2248</v>
      </c>
      <c r="Z4112" s="782" t="s">
        <v>4258</v>
      </c>
      <c r="AA4112" s="781">
        <f>$S$1*P!AA4112</f>
        <v>1.1961693548387098E-3</v>
      </c>
      <c r="AB4112" s="780"/>
      <c r="AC4112" s="780"/>
      <c r="AD4112" s="780"/>
      <c r="AE4112" s="780"/>
      <c r="AF4112" s="780"/>
    </row>
    <row r="4113" spans="19:32" x14ac:dyDescent="0.35">
      <c r="S4113" s="782">
        <v>4109</v>
      </c>
      <c r="T4113" s="782" t="s">
        <v>4284</v>
      </c>
      <c r="U4113" s="782" t="s">
        <v>3737</v>
      </c>
      <c r="V4113" s="797">
        <f>$S$1*P!V4113</f>
        <v>8.5000000000000006E-3</v>
      </c>
      <c r="W4113" s="780"/>
      <c r="X4113" s="881">
        <v>4109</v>
      </c>
      <c r="Y4113" s="881" t="s">
        <v>2248</v>
      </c>
      <c r="Z4113" s="881" t="s">
        <v>2612</v>
      </c>
      <c r="AA4113" s="890">
        <f>$S$1*P!AA4113</f>
        <v>0</v>
      </c>
      <c r="AB4113" s="780"/>
      <c r="AC4113" s="780"/>
      <c r="AD4113" s="780"/>
      <c r="AE4113" s="780"/>
      <c r="AF4113" s="780"/>
    </row>
    <row r="4114" spans="19:32" x14ac:dyDescent="0.35">
      <c r="S4114" s="782">
        <v>4110</v>
      </c>
      <c r="T4114" s="782" t="s">
        <v>4284</v>
      </c>
      <c r="U4114" s="782" t="s">
        <v>2296</v>
      </c>
      <c r="V4114" s="797">
        <f>$S$1*P!V4114</f>
        <v>1.902217741935484E-4</v>
      </c>
      <c r="W4114" s="780"/>
      <c r="X4114" s="782">
        <v>4110</v>
      </c>
      <c r="Y4114" s="782" t="s">
        <v>2248</v>
      </c>
      <c r="Z4114" s="782" t="s">
        <v>2612</v>
      </c>
      <c r="AA4114" s="781">
        <f>$S$1*P!AA4114</f>
        <v>2.4300403225806455E-2</v>
      </c>
      <c r="AB4114" s="780"/>
      <c r="AC4114" s="780"/>
      <c r="AD4114" s="780"/>
      <c r="AE4114" s="780"/>
      <c r="AF4114" s="780"/>
    </row>
    <row r="4115" spans="19:32" x14ac:dyDescent="0.35">
      <c r="S4115" s="881">
        <v>4111</v>
      </c>
      <c r="T4115" s="881" t="s">
        <v>4284</v>
      </c>
      <c r="U4115" s="881" t="s">
        <v>2296</v>
      </c>
      <c r="V4115" s="883">
        <f>$S$1*P!V4115</f>
        <v>0.15364</v>
      </c>
      <c r="W4115" s="780"/>
      <c r="X4115" s="782">
        <v>4111</v>
      </c>
      <c r="Y4115" s="782" t="s">
        <v>2248</v>
      </c>
      <c r="Z4115" s="782" t="s">
        <v>4257</v>
      </c>
      <c r="AA4115" s="781">
        <f>$S$1*P!AA4115</f>
        <v>3.6673387096774197E-5</v>
      </c>
      <c r="AB4115" s="780"/>
      <c r="AC4115" s="780"/>
      <c r="AD4115" s="780"/>
      <c r="AE4115" s="780"/>
      <c r="AF4115" s="780"/>
    </row>
    <row r="4116" spans="19:32" x14ac:dyDescent="0.35">
      <c r="S4116" s="782">
        <v>4112</v>
      </c>
      <c r="T4116" s="782" t="s">
        <v>4284</v>
      </c>
      <c r="U4116" s="782" t="s">
        <v>3734</v>
      </c>
      <c r="V4116" s="797">
        <f>$S$1*P!V4116</f>
        <v>1.7616935483870968E-4</v>
      </c>
      <c r="W4116" s="780"/>
      <c r="X4116" s="881">
        <v>4112</v>
      </c>
      <c r="Y4116" s="881" t="s">
        <v>2248</v>
      </c>
      <c r="Z4116" s="881" t="s">
        <v>4346</v>
      </c>
      <c r="AA4116" s="890">
        <f>$S$1*P!AA4116</f>
        <v>2.6905241935483874E-2</v>
      </c>
      <c r="AB4116" s="780"/>
      <c r="AC4116" s="780"/>
      <c r="AD4116" s="780"/>
      <c r="AE4116" s="780"/>
      <c r="AF4116" s="780"/>
    </row>
    <row r="4117" spans="19:32" x14ac:dyDescent="0.35">
      <c r="S4117" s="782">
        <v>4113</v>
      </c>
      <c r="T4117" s="782" t="s">
        <v>4284</v>
      </c>
      <c r="U4117" s="782" t="s">
        <v>3732</v>
      </c>
      <c r="V4117" s="797">
        <f>$S$1*P!V4117</f>
        <v>6.580645161290323</v>
      </c>
      <c r="W4117" s="780"/>
      <c r="X4117" s="782">
        <v>4113</v>
      </c>
      <c r="Y4117" s="782" t="s">
        <v>2248</v>
      </c>
      <c r="Z4117" s="782" t="s">
        <v>4345</v>
      </c>
      <c r="AA4117" s="781">
        <f>$S$1*P!AA4117</f>
        <v>1.028225806451613E-3</v>
      </c>
      <c r="AB4117" s="780"/>
      <c r="AC4117" s="780"/>
      <c r="AD4117" s="780"/>
      <c r="AE4117" s="780"/>
      <c r="AF4117" s="780"/>
    </row>
    <row r="4118" spans="19:32" x14ac:dyDescent="0.35">
      <c r="S4118" s="782">
        <v>4114</v>
      </c>
      <c r="T4118" s="782" t="s">
        <v>4284</v>
      </c>
      <c r="U4118" s="782" t="s">
        <v>3731</v>
      </c>
      <c r="V4118" s="797">
        <f>$S$1*P!V4118</f>
        <v>5.2439516129032266E-3</v>
      </c>
      <c r="W4118" s="780"/>
      <c r="X4118" s="782">
        <v>4114</v>
      </c>
      <c r="Y4118" s="782" t="s">
        <v>2248</v>
      </c>
      <c r="Z4118" s="782" t="s">
        <v>4255</v>
      </c>
      <c r="AA4118" s="781">
        <f>$S$1*P!AA4118</f>
        <v>7.7802419354838713E-9</v>
      </c>
      <c r="AB4118" s="780"/>
      <c r="AC4118" s="780"/>
      <c r="AD4118" s="780"/>
      <c r="AE4118" s="780"/>
      <c r="AF4118" s="780"/>
    </row>
    <row r="4119" spans="19:32" x14ac:dyDescent="0.35">
      <c r="S4119" s="782">
        <v>4115</v>
      </c>
      <c r="T4119" s="782" t="s">
        <v>4284</v>
      </c>
      <c r="U4119" s="782" t="s">
        <v>2294</v>
      </c>
      <c r="V4119" s="797">
        <f>$S$1*P!V4119</f>
        <v>0.42157258064516134</v>
      </c>
      <c r="W4119" s="780"/>
      <c r="X4119" s="881">
        <v>4115</v>
      </c>
      <c r="Y4119" s="881" t="s">
        <v>2248</v>
      </c>
      <c r="Z4119" s="881" t="s">
        <v>2610</v>
      </c>
      <c r="AA4119" s="890">
        <f>$S$1*P!AA4119</f>
        <v>3.3212000000000003E-3</v>
      </c>
      <c r="AB4119" s="780"/>
      <c r="AC4119" s="780"/>
      <c r="AD4119" s="780"/>
      <c r="AE4119" s="780"/>
      <c r="AF4119" s="780"/>
    </row>
    <row r="4120" spans="19:32" x14ac:dyDescent="0.35">
      <c r="S4120" s="881">
        <v>4116</v>
      </c>
      <c r="T4120" s="881" t="s">
        <v>4284</v>
      </c>
      <c r="U4120" s="881" t="s">
        <v>2294</v>
      </c>
      <c r="V4120" s="883">
        <f>$S$1*P!V4120</f>
        <v>0</v>
      </c>
      <c r="W4120" s="780"/>
      <c r="X4120" s="782">
        <v>4116</v>
      </c>
      <c r="Y4120" s="782" t="s">
        <v>2248</v>
      </c>
      <c r="Z4120" s="782" t="s">
        <v>2610</v>
      </c>
      <c r="AA4120" s="781">
        <f>$S$1*P!AA4120</f>
        <v>1.2338709677419356E-4</v>
      </c>
      <c r="AB4120" s="780"/>
      <c r="AC4120" s="780"/>
      <c r="AD4120" s="780"/>
      <c r="AE4120" s="780"/>
      <c r="AF4120" s="780"/>
    </row>
    <row r="4121" spans="19:32" x14ac:dyDescent="0.35">
      <c r="S4121" s="782">
        <v>4117</v>
      </c>
      <c r="T4121" s="782" t="s">
        <v>4284</v>
      </c>
      <c r="U4121" s="782" t="s">
        <v>3726</v>
      </c>
      <c r="V4121" s="797">
        <f>$S$1*P!V4121</f>
        <v>2.3923387096774196E-4</v>
      </c>
      <c r="W4121" s="780"/>
      <c r="X4121" s="782">
        <v>4117</v>
      </c>
      <c r="Y4121" s="782" t="s">
        <v>2248</v>
      </c>
      <c r="Z4121" s="782" t="s">
        <v>4254</v>
      </c>
      <c r="AA4121" s="781">
        <f>$S$1*P!AA4121</f>
        <v>7.0947580645161295E-4</v>
      </c>
      <c r="AB4121" s="780"/>
      <c r="AC4121" s="780"/>
      <c r="AD4121" s="780"/>
      <c r="AE4121" s="780"/>
      <c r="AF4121" s="780"/>
    </row>
    <row r="4122" spans="19:32" x14ac:dyDescent="0.35">
      <c r="S4122" s="782">
        <v>4118</v>
      </c>
      <c r="T4122" s="782" t="s">
        <v>4284</v>
      </c>
      <c r="U4122" s="782" t="s">
        <v>2293</v>
      </c>
      <c r="V4122" s="797">
        <f>$S$1*P!V4122</f>
        <v>0.41129032258064518</v>
      </c>
      <c r="W4122" s="780"/>
      <c r="X4122" s="782">
        <v>4118</v>
      </c>
      <c r="Y4122" s="782" t="s">
        <v>2248</v>
      </c>
      <c r="Z4122" s="782" t="s">
        <v>4344</v>
      </c>
      <c r="AA4122" s="781">
        <f>$S$1*P!AA4122</f>
        <v>2.0050403225806454E-3</v>
      </c>
      <c r="AB4122" s="780"/>
      <c r="AC4122" s="780"/>
      <c r="AD4122" s="780"/>
      <c r="AE4122" s="780"/>
      <c r="AF4122" s="780"/>
    </row>
    <row r="4123" spans="19:32" x14ac:dyDescent="0.35">
      <c r="S4123" s="881">
        <v>4119</v>
      </c>
      <c r="T4123" s="881" t="s">
        <v>4284</v>
      </c>
      <c r="U4123" s="881" t="s">
        <v>2293</v>
      </c>
      <c r="V4123" s="883">
        <f>$S$1*P!V4123</f>
        <v>0</v>
      </c>
      <c r="W4123" s="780"/>
      <c r="X4123" s="782">
        <v>4119</v>
      </c>
      <c r="Y4123" s="782" t="s">
        <v>2248</v>
      </c>
      <c r="Z4123" s="782" t="s">
        <v>4343</v>
      </c>
      <c r="AA4123" s="781">
        <f>$S$1*P!AA4123</f>
        <v>1.0179435483870969E-3</v>
      </c>
      <c r="AB4123" s="780"/>
      <c r="AC4123" s="780"/>
      <c r="AD4123" s="780"/>
      <c r="AE4123" s="780"/>
      <c r="AF4123" s="780"/>
    </row>
    <row r="4124" spans="19:32" x14ac:dyDescent="0.35">
      <c r="S4124" s="782">
        <v>4120</v>
      </c>
      <c r="T4124" s="782" t="s">
        <v>4284</v>
      </c>
      <c r="U4124" s="782" t="s">
        <v>2291</v>
      </c>
      <c r="V4124" s="797">
        <f>$S$1*P!V4124</f>
        <v>1.9502016129032261E-4</v>
      </c>
      <c r="W4124" s="780"/>
      <c r="X4124" s="782">
        <v>4120</v>
      </c>
      <c r="Y4124" s="782" t="s">
        <v>2248</v>
      </c>
      <c r="Z4124" s="782" t="s">
        <v>2579</v>
      </c>
      <c r="AA4124" s="781">
        <f>$S$1*P!AA4124</f>
        <v>1.4155241935483874E-6</v>
      </c>
      <c r="AB4124" s="780"/>
      <c r="AC4124" s="780"/>
      <c r="AD4124" s="780"/>
      <c r="AE4124" s="780"/>
      <c r="AF4124" s="780"/>
    </row>
    <row r="4125" spans="19:32" x14ac:dyDescent="0.35">
      <c r="S4125" s="881">
        <v>4121</v>
      </c>
      <c r="T4125" s="881" t="s">
        <v>4284</v>
      </c>
      <c r="U4125" s="881" t="s">
        <v>2291</v>
      </c>
      <c r="V4125" s="883">
        <f>$S$1*P!V4125</f>
        <v>0.25668000000000002</v>
      </c>
      <c r="W4125" s="780"/>
      <c r="X4125" s="782">
        <v>4121</v>
      </c>
      <c r="Y4125" s="782" t="s">
        <v>2248</v>
      </c>
      <c r="Z4125" s="782" t="s">
        <v>4342</v>
      </c>
      <c r="AA4125" s="781">
        <f>$S$1*P!AA4125</f>
        <v>1.641733870967742E-3</v>
      </c>
      <c r="AB4125" s="780"/>
      <c r="AC4125" s="780"/>
      <c r="AD4125" s="780"/>
      <c r="AE4125" s="780"/>
      <c r="AF4125" s="780"/>
    </row>
    <row r="4126" spans="19:32" x14ac:dyDescent="0.35">
      <c r="S4126" s="782">
        <v>4122</v>
      </c>
      <c r="T4126" s="782" t="s">
        <v>4284</v>
      </c>
      <c r="U4126" s="782" t="s">
        <v>3720</v>
      </c>
      <c r="V4126" s="797">
        <f>$S$1*P!V4126</f>
        <v>1.0487903225806453E-4</v>
      </c>
      <c r="W4126" s="780"/>
      <c r="X4126" s="881">
        <v>4122</v>
      </c>
      <c r="Y4126" s="881" t="s">
        <v>2248</v>
      </c>
      <c r="Z4126" s="881" t="s">
        <v>4341</v>
      </c>
      <c r="AA4126" s="890">
        <f>$S$1*P!AA4126</f>
        <v>2.6356854838709681E-3</v>
      </c>
      <c r="AB4126" s="780"/>
      <c r="AC4126" s="780"/>
      <c r="AD4126" s="780"/>
      <c r="AE4126" s="780"/>
      <c r="AF4126" s="780"/>
    </row>
    <row r="4127" spans="19:32" x14ac:dyDescent="0.35">
      <c r="S4127" s="782">
        <v>4123</v>
      </c>
      <c r="T4127" s="782" t="s">
        <v>4284</v>
      </c>
      <c r="U4127" s="782" t="s">
        <v>3717</v>
      </c>
      <c r="V4127" s="797">
        <f>$S$1*P!V4127</f>
        <v>1.1618951612903228E-4</v>
      </c>
      <c r="W4127" s="780"/>
      <c r="X4127" s="782">
        <v>4123</v>
      </c>
      <c r="Y4127" s="782" t="s">
        <v>2248</v>
      </c>
      <c r="Z4127" s="782" t="s">
        <v>4253</v>
      </c>
      <c r="AA4127" s="781">
        <f>$S$1*P!AA4127</f>
        <v>4.0443548387096778E-7</v>
      </c>
      <c r="AB4127" s="780"/>
      <c r="AC4127" s="780"/>
      <c r="AD4127" s="780"/>
      <c r="AE4127" s="780"/>
      <c r="AF4127" s="780"/>
    </row>
    <row r="4128" spans="19:32" x14ac:dyDescent="0.35">
      <c r="S4128" s="782">
        <v>4124</v>
      </c>
      <c r="T4128" s="782" t="s">
        <v>4284</v>
      </c>
      <c r="U4128" s="782" t="s">
        <v>3715</v>
      </c>
      <c r="V4128" s="797">
        <f>$S$1*P!V4128</f>
        <v>2.1901209677419358E-2</v>
      </c>
      <c r="W4128" s="780"/>
      <c r="X4128" s="881">
        <v>4124</v>
      </c>
      <c r="Y4128" s="881" t="s">
        <v>2248</v>
      </c>
      <c r="Z4128" s="881" t="s">
        <v>2609</v>
      </c>
      <c r="AA4128" s="890">
        <f>$S$1*P!AA4128</f>
        <v>2.1988000000000001E-2</v>
      </c>
      <c r="AB4128" s="780"/>
      <c r="AC4128" s="780"/>
      <c r="AD4128" s="780"/>
      <c r="AE4128" s="780"/>
      <c r="AF4128" s="780"/>
    </row>
    <row r="4129" spans="19:32" x14ac:dyDescent="0.35">
      <c r="S4129" s="782">
        <v>4125</v>
      </c>
      <c r="T4129" s="782" t="s">
        <v>4284</v>
      </c>
      <c r="U4129" s="782" t="s">
        <v>3713</v>
      </c>
      <c r="V4129" s="797">
        <f>$S$1*P!V4129</f>
        <v>5.9294354838709679E-2</v>
      </c>
      <c r="W4129" s="780"/>
      <c r="X4129" s="881">
        <v>4125</v>
      </c>
      <c r="Y4129" s="881" t="s">
        <v>2248</v>
      </c>
      <c r="Z4129" s="881" t="s">
        <v>2607</v>
      </c>
      <c r="AA4129" s="890">
        <f>$S$1*P!AA4129</f>
        <v>0.18951999999999999</v>
      </c>
      <c r="AB4129" s="780"/>
      <c r="AC4129" s="780"/>
      <c r="AD4129" s="780"/>
      <c r="AE4129" s="780"/>
      <c r="AF4129" s="780"/>
    </row>
    <row r="4130" spans="19:32" x14ac:dyDescent="0.35">
      <c r="S4130" s="782">
        <v>4126</v>
      </c>
      <c r="T4130" s="782" t="s">
        <v>4284</v>
      </c>
      <c r="U4130" s="782" t="s">
        <v>3711</v>
      </c>
      <c r="V4130" s="797">
        <f>$S$1*P!V4130</f>
        <v>2.8858870967741939E-3</v>
      </c>
      <c r="W4130" s="780"/>
      <c r="X4130" s="782">
        <v>4126</v>
      </c>
      <c r="Y4130" s="782" t="s">
        <v>2248</v>
      </c>
      <c r="Z4130" s="782" t="s">
        <v>4252</v>
      </c>
      <c r="AA4130" s="781">
        <f>$S$1*P!AA4130</f>
        <v>1.9913306451612903E-4</v>
      </c>
      <c r="AB4130" s="780"/>
      <c r="AC4130" s="780"/>
      <c r="AD4130" s="780"/>
      <c r="AE4130" s="780"/>
      <c r="AF4130" s="780"/>
    </row>
    <row r="4131" spans="19:32" x14ac:dyDescent="0.35">
      <c r="S4131" s="782">
        <v>4127</v>
      </c>
      <c r="T4131" s="782" t="s">
        <v>4284</v>
      </c>
      <c r="U4131" s="782" t="s">
        <v>3709</v>
      </c>
      <c r="V4131" s="797">
        <f>$S$1*P!V4131</f>
        <v>0.92197580645161292</v>
      </c>
      <c r="W4131" s="780"/>
      <c r="X4131" s="782">
        <v>4127</v>
      </c>
      <c r="Y4131" s="782" t="s">
        <v>2248</v>
      </c>
      <c r="Z4131" s="782" t="s">
        <v>4340</v>
      </c>
      <c r="AA4131" s="781">
        <f>$S$1*P!AA4131</f>
        <v>1.6931451612903228E-2</v>
      </c>
      <c r="AB4131" s="780"/>
      <c r="AC4131" s="780"/>
      <c r="AD4131" s="780"/>
      <c r="AE4131" s="780"/>
      <c r="AF4131" s="780"/>
    </row>
    <row r="4132" spans="19:32" x14ac:dyDescent="0.35">
      <c r="S4132" s="782">
        <v>4128</v>
      </c>
      <c r="T4132" s="782" t="s">
        <v>4284</v>
      </c>
      <c r="U4132" s="782" t="s">
        <v>3707</v>
      </c>
      <c r="V4132" s="797">
        <f>$S$1*P!V4132</f>
        <v>1.1858870967741936E-2</v>
      </c>
      <c r="W4132" s="780"/>
      <c r="X4132" s="782">
        <v>4128</v>
      </c>
      <c r="Y4132" s="782" t="s">
        <v>2248</v>
      </c>
      <c r="Z4132" s="782" t="s">
        <v>4339</v>
      </c>
      <c r="AA4132" s="781">
        <f>$S$1*P!AA4132</f>
        <v>6.3064516129032256E-4</v>
      </c>
      <c r="AB4132" s="780"/>
      <c r="AC4132" s="780"/>
      <c r="AD4132" s="780"/>
      <c r="AE4132" s="780"/>
      <c r="AF4132" s="780"/>
    </row>
    <row r="4133" spans="19:32" x14ac:dyDescent="0.35">
      <c r="S4133" s="782">
        <v>4129</v>
      </c>
      <c r="T4133" s="782" t="s">
        <v>4284</v>
      </c>
      <c r="U4133" s="782" t="s">
        <v>3705</v>
      </c>
      <c r="V4133" s="797">
        <f>$S$1*P!V4133</f>
        <v>7.7459677419354847E-3</v>
      </c>
      <c r="W4133" s="780"/>
      <c r="X4133" s="782">
        <v>4129</v>
      </c>
      <c r="Y4133" s="782" t="s">
        <v>2248</v>
      </c>
      <c r="Z4133" s="782" t="s">
        <v>4251</v>
      </c>
      <c r="AA4133" s="781">
        <f>$S$1*P!AA4133</f>
        <v>1.8987903225806453E-8</v>
      </c>
      <c r="AB4133" s="780"/>
      <c r="AC4133" s="780"/>
      <c r="AD4133" s="780"/>
      <c r="AE4133" s="780"/>
      <c r="AF4133" s="780"/>
    </row>
    <row r="4134" spans="19:32" x14ac:dyDescent="0.35">
      <c r="S4134" s="782">
        <v>4130</v>
      </c>
      <c r="T4134" s="782" t="s">
        <v>4284</v>
      </c>
      <c r="U4134" s="782" t="s">
        <v>3703</v>
      </c>
      <c r="V4134" s="797">
        <f>$S$1*P!V4134</f>
        <v>5.6895161290322585E-2</v>
      </c>
      <c r="W4134" s="780"/>
      <c r="X4134" s="782">
        <v>4130</v>
      </c>
      <c r="Y4134" s="782" t="s">
        <v>2248</v>
      </c>
      <c r="Z4134" s="782" t="s">
        <v>4338</v>
      </c>
      <c r="AA4134" s="781">
        <f>$S$1*P!AA4134</f>
        <v>4.6955645161290329E-3</v>
      </c>
      <c r="AB4134" s="780"/>
      <c r="AC4134" s="780"/>
      <c r="AD4134" s="780"/>
      <c r="AE4134" s="780"/>
      <c r="AF4134" s="780"/>
    </row>
    <row r="4135" spans="19:32" x14ac:dyDescent="0.35">
      <c r="S4135" s="782">
        <v>4131</v>
      </c>
      <c r="T4135" s="782" t="s">
        <v>4284</v>
      </c>
      <c r="U4135" s="782" t="s">
        <v>2290</v>
      </c>
      <c r="V4135" s="797">
        <f>$S$1*P!V4135</f>
        <v>1.2407258064516132E-3</v>
      </c>
      <c r="W4135" s="780"/>
      <c r="X4135" s="782">
        <v>4131</v>
      </c>
      <c r="Y4135" s="782" t="s">
        <v>2248</v>
      </c>
      <c r="Z4135" s="782" t="s">
        <v>2577</v>
      </c>
      <c r="AA4135" s="781">
        <f>$S$1*P!AA4135</f>
        <v>1.8233870967741938E-3</v>
      </c>
      <c r="AB4135" s="780"/>
      <c r="AC4135" s="780"/>
      <c r="AD4135" s="780"/>
      <c r="AE4135" s="780"/>
      <c r="AF4135" s="780"/>
    </row>
    <row r="4136" spans="19:32" x14ac:dyDescent="0.35">
      <c r="S4136" s="881">
        <v>4132</v>
      </c>
      <c r="T4136" s="881" t="s">
        <v>4284</v>
      </c>
      <c r="U4136" s="881" t="s">
        <v>2290</v>
      </c>
      <c r="V4136" s="883">
        <f>$S$1*P!V4136</f>
        <v>0</v>
      </c>
      <c r="W4136" s="780"/>
      <c r="X4136" s="782">
        <v>4132</v>
      </c>
      <c r="Y4136" s="782" t="s">
        <v>2248</v>
      </c>
      <c r="Z4136" s="782" t="s">
        <v>4337</v>
      </c>
      <c r="AA4136" s="781">
        <f>$S$1*P!AA4136</f>
        <v>3.7358870967741939E-3</v>
      </c>
      <c r="AB4136" s="780"/>
      <c r="AC4136" s="780"/>
      <c r="AD4136" s="780"/>
      <c r="AE4136" s="780"/>
      <c r="AF4136" s="780"/>
    </row>
    <row r="4137" spans="19:32" x14ac:dyDescent="0.35">
      <c r="S4137" s="782">
        <v>4133</v>
      </c>
      <c r="T4137" s="782" t="s">
        <v>4284</v>
      </c>
      <c r="U4137" s="782" t="s">
        <v>3698</v>
      </c>
      <c r="V4137" s="797">
        <f>$S$1*P!V4137</f>
        <v>2.5808467741935486E-3</v>
      </c>
      <c r="W4137" s="780"/>
      <c r="X4137" s="881">
        <v>4133</v>
      </c>
      <c r="Y4137" s="881" t="s">
        <v>2248</v>
      </c>
      <c r="Z4137" s="881" t="s">
        <v>4336</v>
      </c>
      <c r="AA4137" s="890">
        <f>$S$1*P!AA4137</f>
        <v>0.45927419354838711</v>
      </c>
      <c r="AB4137" s="780"/>
      <c r="AC4137" s="780"/>
      <c r="AD4137" s="780"/>
      <c r="AE4137" s="780"/>
      <c r="AF4137" s="780"/>
    </row>
    <row r="4138" spans="19:32" x14ac:dyDescent="0.35">
      <c r="S4138" s="782">
        <v>4134</v>
      </c>
      <c r="T4138" s="782" t="s">
        <v>4284</v>
      </c>
      <c r="U4138" s="782" t="s">
        <v>3697</v>
      </c>
      <c r="V4138" s="797">
        <f>$S$1*P!V4138</f>
        <v>7.026209677419355E-6</v>
      </c>
      <c r="W4138" s="780"/>
      <c r="X4138" s="782">
        <v>4134</v>
      </c>
      <c r="Y4138" s="782" t="s">
        <v>2248</v>
      </c>
      <c r="Z4138" s="782" t="s">
        <v>4249</v>
      </c>
      <c r="AA4138" s="781">
        <f>$S$1*P!AA4138</f>
        <v>2.8173387096774199E-4</v>
      </c>
      <c r="AB4138" s="780"/>
      <c r="AC4138" s="780"/>
      <c r="AD4138" s="780"/>
      <c r="AE4138" s="780"/>
      <c r="AF4138" s="780"/>
    </row>
    <row r="4139" spans="19:32" x14ac:dyDescent="0.35">
      <c r="S4139" s="782">
        <v>4135</v>
      </c>
      <c r="T4139" s="782" t="s">
        <v>4284</v>
      </c>
      <c r="U4139" s="782" t="s">
        <v>3695</v>
      </c>
      <c r="V4139" s="797">
        <f>$S$1*P!V4139</f>
        <v>3.3040322580645166E-4</v>
      </c>
      <c r="W4139" s="780"/>
      <c r="X4139" s="782">
        <v>4135</v>
      </c>
      <c r="Y4139" s="782" t="s">
        <v>2248</v>
      </c>
      <c r="Z4139" s="782" t="s">
        <v>4335</v>
      </c>
      <c r="AA4139" s="781">
        <f>$S$1*P!AA4139</f>
        <v>1.9502016129032259E-3</v>
      </c>
      <c r="AB4139" s="780"/>
      <c r="AC4139" s="780"/>
      <c r="AD4139" s="780"/>
      <c r="AE4139" s="780"/>
      <c r="AF4139" s="780"/>
    </row>
    <row r="4140" spans="19:32" x14ac:dyDescent="0.35">
      <c r="S4140" s="782">
        <v>4136</v>
      </c>
      <c r="T4140" s="782" t="s">
        <v>4284</v>
      </c>
      <c r="U4140" s="782" t="s">
        <v>3693</v>
      </c>
      <c r="V4140" s="797">
        <f>$S$1*P!V4140</f>
        <v>6.3750000000000005E-3</v>
      </c>
      <c r="W4140" s="780"/>
      <c r="X4140" s="782">
        <v>4136</v>
      </c>
      <c r="Y4140" s="782" t="s">
        <v>2248</v>
      </c>
      <c r="Z4140" s="782" t="s">
        <v>4334</v>
      </c>
      <c r="AA4140" s="781">
        <f>$S$1*P!AA4140</f>
        <v>4.1471774193548389E-2</v>
      </c>
      <c r="AB4140" s="780"/>
      <c r="AC4140" s="780"/>
      <c r="AD4140" s="780"/>
      <c r="AE4140" s="780"/>
      <c r="AF4140" s="780"/>
    </row>
    <row r="4141" spans="19:32" x14ac:dyDescent="0.35">
      <c r="S4141" s="782">
        <v>4137</v>
      </c>
      <c r="T4141" s="782" t="s">
        <v>4284</v>
      </c>
      <c r="U4141" s="782" t="s">
        <v>3691</v>
      </c>
      <c r="V4141" s="797">
        <f>$S$1*P!V4141</f>
        <v>1.6897177419354838E-3</v>
      </c>
      <c r="W4141" s="780"/>
      <c r="X4141" s="782">
        <v>4137</v>
      </c>
      <c r="Y4141" s="782" t="s">
        <v>2248</v>
      </c>
      <c r="Z4141" s="782" t="s">
        <v>4247</v>
      </c>
      <c r="AA4141" s="781">
        <f>$S$1*P!AA4141</f>
        <v>2.8995967741935488E-4</v>
      </c>
      <c r="AB4141" s="780"/>
      <c r="AC4141" s="780"/>
      <c r="AD4141" s="780"/>
      <c r="AE4141" s="780"/>
      <c r="AF4141" s="780"/>
    </row>
    <row r="4142" spans="19:32" x14ac:dyDescent="0.35">
      <c r="S4142" s="782">
        <v>4138</v>
      </c>
      <c r="T4142" s="782" t="s">
        <v>4284</v>
      </c>
      <c r="U4142" s="782" t="s">
        <v>3690</v>
      </c>
      <c r="V4142" s="797">
        <f>$S$1*P!V4142</f>
        <v>4.215725806451613E-3</v>
      </c>
      <c r="W4142" s="780"/>
      <c r="X4142" s="782">
        <v>4138</v>
      </c>
      <c r="Y4142" s="782" t="s">
        <v>2248</v>
      </c>
      <c r="Z4142" s="782" t="s">
        <v>4333</v>
      </c>
      <c r="AA4142" s="781">
        <f>$S$1*P!AA4142</f>
        <v>2.0598790322580648E-3</v>
      </c>
      <c r="AB4142" s="780"/>
      <c r="AC4142" s="780"/>
      <c r="AD4142" s="780"/>
      <c r="AE4142" s="780"/>
      <c r="AF4142" s="780"/>
    </row>
    <row r="4143" spans="19:32" x14ac:dyDescent="0.35">
      <c r="S4143" s="782">
        <v>4139</v>
      </c>
      <c r="T4143" s="782" t="s">
        <v>4284</v>
      </c>
      <c r="U4143" s="782" t="s">
        <v>2288</v>
      </c>
      <c r="V4143" s="797">
        <f>$S$1*P!V4143</f>
        <v>5.7580645161290332E-6</v>
      </c>
      <c r="W4143" s="780"/>
      <c r="X4143" s="782">
        <v>4139</v>
      </c>
      <c r="Y4143" s="782" t="s">
        <v>2248</v>
      </c>
      <c r="Z4143" s="782" t="s">
        <v>4332</v>
      </c>
      <c r="AA4143" s="781">
        <f>$S$1*P!AA4143</f>
        <v>1.0967741935483872E-2</v>
      </c>
      <c r="AB4143" s="780"/>
      <c r="AC4143" s="780"/>
      <c r="AD4143" s="780"/>
      <c r="AE4143" s="780"/>
      <c r="AF4143" s="780"/>
    </row>
    <row r="4144" spans="19:32" x14ac:dyDescent="0.35">
      <c r="S4144" s="881">
        <v>4140</v>
      </c>
      <c r="T4144" s="881" t="s">
        <v>4284</v>
      </c>
      <c r="U4144" s="881" t="s">
        <v>2288</v>
      </c>
      <c r="V4144" s="883">
        <f>$S$1*P!V4144</f>
        <v>0.45355999999999996</v>
      </c>
      <c r="W4144" s="780"/>
      <c r="X4144" s="782">
        <v>4140</v>
      </c>
      <c r="Y4144" s="782" t="s">
        <v>2248</v>
      </c>
      <c r="Z4144" s="782" t="s">
        <v>4246</v>
      </c>
      <c r="AA4144" s="781">
        <f>$S$1*P!AA4144</f>
        <v>7.8830645161290333E-4</v>
      </c>
      <c r="AB4144" s="780"/>
      <c r="AC4144" s="780"/>
      <c r="AD4144" s="780"/>
      <c r="AE4144" s="780"/>
      <c r="AF4144" s="780"/>
    </row>
    <row r="4145" spans="19:32" x14ac:dyDescent="0.35">
      <c r="S4145" s="782">
        <v>4141</v>
      </c>
      <c r="T4145" s="782" t="s">
        <v>4284</v>
      </c>
      <c r="U4145" s="782" t="s">
        <v>3685</v>
      </c>
      <c r="V4145" s="797">
        <f>$S$1*P!V4145</f>
        <v>4.3870967741935488E-5</v>
      </c>
      <c r="W4145" s="780"/>
      <c r="X4145" s="782">
        <v>4141</v>
      </c>
      <c r="Y4145" s="782" t="s">
        <v>2248</v>
      </c>
      <c r="Z4145" s="782" t="s">
        <v>4331</v>
      </c>
      <c r="AA4145" s="781">
        <f>$S$1*P!AA4145</f>
        <v>5.0383064516129035E-3</v>
      </c>
      <c r="AB4145" s="780"/>
      <c r="AC4145" s="780"/>
      <c r="AD4145" s="780"/>
      <c r="AE4145" s="780"/>
      <c r="AF4145" s="780"/>
    </row>
    <row r="4146" spans="19:32" x14ac:dyDescent="0.35">
      <c r="S4146" s="782">
        <v>4142</v>
      </c>
      <c r="T4146" s="782" t="s">
        <v>4284</v>
      </c>
      <c r="U4146" s="782" t="s">
        <v>3684</v>
      </c>
      <c r="V4146" s="797">
        <f>$S$1*P!V4146</f>
        <v>2.3409274193548392E-5</v>
      </c>
      <c r="W4146" s="780"/>
      <c r="X4146" s="881">
        <v>4142</v>
      </c>
      <c r="Y4146" s="881" t="s">
        <v>2248</v>
      </c>
      <c r="Z4146" s="881" t="s">
        <v>4330</v>
      </c>
      <c r="AA4146" s="890">
        <f>$S$1*P!AA4146</f>
        <v>1.4326612903225807E-2</v>
      </c>
      <c r="AB4146" s="780"/>
      <c r="AC4146" s="780"/>
      <c r="AD4146" s="780"/>
      <c r="AE4146" s="780"/>
      <c r="AF4146" s="780"/>
    </row>
    <row r="4147" spans="19:32" x14ac:dyDescent="0.35">
      <c r="S4147" s="782">
        <v>4143</v>
      </c>
      <c r="T4147" s="782" t="s">
        <v>4284</v>
      </c>
      <c r="U4147" s="782" t="s">
        <v>3682</v>
      </c>
      <c r="V4147" s="797">
        <f>$S$1*P!V4147</f>
        <v>1.9981854838709678E-2</v>
      </c>
      <c r="W4147" s="780"/>
      <c r="X4147" s="782">
        <v>4143</v>
      </c>
      <c r="Y4147" s="782" t="s">
        <v>2248</v>
      </c>
      <c r="Z4147" s="782" t="s">
        <v>4244</v>
      </c>
      <c r="AA4147" s="781">
        <f>$S$1*P!AA4147</f>
        <v>1.1790322580645161E-5</v>
      </c>
      <c r="AB4147" s="780"/>
      <c r="AC4147" s="780"/>
      <c r="AD4147" s="780"/>
      <c r="AE4147" s="780"/>
      <c r="AF4147" s="780"/>
    </row>
    <row r="4148" spans="19:32" x14ac:dyDescent="0.35">
      <c r="S4148" s="782">
        <v>4144</v>
      </c>
      <c r="T4148" s="782" t="s">
        <v>4284</v>
      </c>
      <c r="U4148" s="782" t="s">
        <v>2287</v>
      </c>
      <c r="V4148" s="797">
        <f>$S$1*P!V4148</f>
        <v>9.116935483870968E-7</v>
      </c>
      <c r="W4148" s="780"/>
      <c r="X4148" s="881">
        <v>4144</v>
      </c>
      <c r="Y4148" s="881" t="s">
        <v>2248</v>
      </c>
      <c r="Z4148" s="881" t="s">
        <v>2606</v>
      </c>
      <c r="AA4148" s="890">
        <f>$S$1*P!AA4148</f>
        <v>0</v>
      </c>
      <c r="AB4148" s="780"/>
      <c r="AC4148" s="780"/>
      <c r="AD4148" s="780"/>
      <c r="AE4148" s="780"/>
      <c r="AF4148" s="780"/>
    </row>
    <row r="4149" spans="19:32" x14ac:dyDescent="0.35">
      <c r="S4149" s="881">
        <v>4145</v>
      </c>
      <c r="T4149" s="881" t="s">
        <v>4284</v>
      </c>
      <c r="U4149" s="881" t="s">
        <v>2287</v>
      </c>
      <c r="V4149" s="883">
        <f>$S$1*P!V4149</f>
        <v>0</v>
      </c>
      <c r="W4149" s="780"/>
      <c r="X4149" s="782">
        <v>4145</v>
      </c>
      <c r="Y4149" s="782" t="s">
        <v>2248</v>
      </c>
      <c r="Z4149" s="782" t="s">
        <v>4329</v>
      </c>
      <c r="AA4149" s="781">
        <f>$S$1*P!AA4149</f>
        <v>5.3810483870967749E-2</v>
      </c>
      <c r="AB4149" s="780"/>
      <c r="AC4149" s="780"/>
      <c r="AD4149" s="780"/>
      <c r="AE4149" s="780"/>
      <c r="AF4149" s="780"/>
    </row>
    <row r="4150" spans="19:32" x14ac:dyDescent="0.35">
      <c r="S4150" s="782">
        <v>4146</v>
      </c>
      <c r="T4150" s="782" t="s">
        <v>4284</v>
      </c>
      <c r="U4150" s="782" t="s">
        <v>3678</v>
      </c>
      <c r="V4150" s="797">
        <f>$S$1*P!V4150</f>
        <v>3.7701612903225815E-5</v>
      </c>
      <c r="W4150" s="780"/>
      <c r="X4150" s="782">
        <v>4146</v>
      </c>
      <c r="Y4150" s="782" t="s">
        <v>2248</v>
      </c>
      <c r="Z4150" s="782" t="s">
        <v>2573</v>
      </c>
      <c r="AA4150" s="781">
        <f>$S$1*P!AA4150</f>
        <v>1.2612903225806453E-2</v>
      </c>
      <c r="AB4150" s="780"/>
      <c r="AC4150" s="780"/>
      <c r="AD4150" s="780"/>
      <c r="AE4150" s="780"/>
      <c r="AF4150" s="780"/>
    </row>
    <row r="4151" spans="19:32" x14ac:dyDescent="0.35">
      <c r="S4151" s="782">
        <v>4147</v>
      </c>
      <c r="T4151" s="782" t="s">
        <v>4284</v>
      </c>
      <c r="U4151" s="782" t="s">
        <v>3675</v>
      </c>
      <c r="V4151" s="797">
        <f>$S$1*P!V4151</f>
        <v>1.5217741935483873E-4</v>
      </c>
      <c r="W4151" s="780"/>
      <c r="X4151" s="782">
        <v>4147</v>
      </c>
      <c r="Y4151" s="782" t="s">
        <v>2248</v>
      </c>
      <c r="Z4151" s="782" t="s">
        <v>4328</v>
      </c>
      <c r="AA4151" s="781">
        <f>$S$1*P!AA4151</f>
        <v>2.210685483870968E-3</v>
      </c>
      <c r="AB4151" s="780"/>
      <c r="AC4151" s="780"/>
      <c r="AD4151" s="780"/>
      <c r="AE4151" s="780"/>
      <c r="AF4151" s="780"/>
    </row>
    <row r="4152" spans="19:32" x14ac:dyDescent="0.35">
      <c r="S4152" s="782">
        <v>4148</v>
      </c>
      <c r="T4152" s="782" t="s">
        <v>4284</v>
      </c>
      <c r="U4152" s="782" t="s">
        <v>3673</v>
      </c>
      <c r="V4152" s="797">
        <f>$S$1*P!V4152</f>
        <v>5.4838709677419361E-3</v>
      </c>
      <c r="W4152" s="780"/>
      <c r="X4152" s="881">
        <v>4148</v>
      </c>
      <c r="Y4152" s="881" t="s">
        <v>2248</v>
      </c>
      <c r="Z4152" s="881" t="s">
        <v>4327</v>
      </c>
      <c r="AA4152" s="890">
        <f>$S$1*P!AA4152</f>
        <v>8.1229838709677427E-3</v>
      </c>
      <c r="AB4152" s="780"/>
      <c r="AC4152" s="780"/>
      <c r="AD4152" s="780"/>
      <c r="AE4152" s="780"/>
      <c r="AF4152" s="780"/>
    </row>
    <row r="4153" spans="19:32" x14ac:dyDescent="0.35">
      <c r="S4153" s="782">
        <v>4149</v>
      </c>
      <c r="T4153" s="782" t="s">
        <v>4284</v>
      </c>
      <c r="U4153" s="782" t="s">
        <v>3670</v>
      </c>
      <c r="V4153" s="797">
        <f>$S$1*P!V4153</f>
        <v>6.6834677419354838E-2</v>
      </c>
      <c r="W4153" s="780"/>
      <c r="X4153" s="782">
        <v>4149</v>
      </c>
      <c r="Y4153" s="782" t="s">
        <v>2248</v>
      </c>
      <c r="Z4153" s="782" t="s">
        <v>4242</v>
      </c>
      <c r="AA4153" s="781">
        <f>$S$1*P!AA4153</f>
        <v>1.6588709677419357E-2</v>
      </c>
      <c r="AB4153" s="780"/>
      <c r="AC4153" s="780"/>
      <c r="AD4153" s="780"/>
      <c r="AE4153" s="780"/>
      <c r="AF4153" s="780"/>
    </row>
    <row r="4154" spans="19:32" x14ac:dyDescent="0.35">
      <c r="S4154" s="782">
        <v>4150</v>
      </c>
      <c r="T4154" s="782" t="s">
        <v>4284</v>
      </c>
      <c r="U4154" s="782" t="s">
        <v>3669</v>
      </c>
      <c r="V4154" s="797">
        <f>$S$1*P!V4154</f>
        <v>2.3272177419354841E-2</v>
      </c>
      <c r="W4154" s="780"/>
      <c r="X4154" s="881">
        <v>4150</v>
      </c>
      <c r="Y4154" s="881" t="s">
        <v>2248</v>
      </c>
      <c r="Z4154" s="881" t="s">
        <v>2604</v>
      </c>
      <c r="AA4154" s="890">
        <f>$S$1*P!AA4154</f>
        <v>2.0608000000000002E-3</v>
      </c>
      <c r="AB4154" s="780"/>
      <c r="AC4154" s="780"/>
      <c r="AD4154" s="780"/>
      <c r="AE4154" s="780"/>
      <c r="AF4154" s="780"/>
    </row>
    <row r="4155" spans="19:32" x14ac:dyDescent="0.35">
      <c r="S4155" s="782">
        <v>4151</v>
      </c>
      <c r="T4155" s="782" t="s">
        <v>4284</v>
      </c>
      <c r="U4155" s="782" t="s">
        <v>3667</v>
      </c>
      <c r="V4155" s="797">
        <f>$S$1*P!V4155</f>
        <v>3.770161290322581</v>
      </c>
      <c r="W4155" s="780"/>
      <c r="X4155" s="782">
        <v>4151</v>
      </c>
      <c r="Y4155" s="782" t="s">
        <v>2248</v>
      </c>
      <c r="Z4155" s="782" t="s">
        <v>4240</v>
      </c>
      <c r="AA4155" s="781">
        <f>$S$1*P!AA4155</f>
        <v>7.5403225806451623E-4</v>
      </c>
      <c r="AB4155" s="780"/>
      <c r="AC4155" s="780"/>
      <c r="AD4155" s="780"/>
      <c r="AE4155" s="780"/>
      <c r="AF4155" s="780"/>
    </row>
    <row r="4156" spans="19:32" x14ac:dyDescent="0.35">
      <c r="S4156" s="789">
        <v>4152</v>
      </c>
      <c r="T4156" s="789" t="s">
        <v>4284</v>
      </c>
      <c r="U4156" s="789" t="s">
        <v>4326</v>
      </c>
      <c r="V4156" s="790">
        <f>$S$1*P!V4156</f>
        <v>2.1924000000000002E-3</v>
      </c>
      <c r="W4156" s="780"/>
      <c r="X4156" s="782">
        <v>4152</v>
      </c>
      <c r="Y4156" s="782" t="s">
        <v>2248</v>
      </c>
      <c r="Z4156" s="782" t="s">
        <v>4325</v>
      </c>
      <c r="AA4156" s="781">
        <f>$S$1*P!AA4156</f>
        <v>1.9262096774193551E-5</v>
      </c>
      <c r="AB4156" s="780"/>
      <c r="AC4156" s="780"/>
      <c r="AD4156" s="780"/>
      <c r="AE4156" s="780"/>
      <c r="AF4156" s="780"/>
    </row>
    <row r="4157" spans="19:32" x14ac:dyDescent="0.35">
      <c r="S4157" s="789">
        <v>4153</v>
      </c>
      <c r="T4157" s="789" t="s">
        <v>4284</v>
      </c>
      <c r="U4157" s="789" t="s">
        <v>3664</v>
      </c>
      <c r="V4157" s="790">
        <f>$S$1*P!V4157</f>
        <v>0.11600000000000001</v>
      </c>
      <c r="W4157" s="780"/>
      <c r="X4157" s="881">
        <v>4153</v>
      </c>
      <c r="Y4157" s="881" t="s">
        <v>2248</v>
      </c>
      <c r="Z4157" s="881" t="s">
        <v>4324</v>
      </c>
      <c r="AA4157" s="890">
        <f>$S$1*P!AA4157</f>
        <v>7.5060483870967752E-3</v>
      </c>
      <c r="AB4157" s="780"/>
      <c r="AC4157" s="780"/>
      <c r="AD4157" s="780"/>
      <c r="AE4157" s="780"/>
      <c r="AF4157" s="780"/>
    </row>
    <row r="4158" spans="19:32" x14ac:dyDescent="0.35">
      <c r="S4158" s="782">
        <v>4154</v>
      </c>
      <c r="T4158" s="782" t="s">
        <v>4284</v>
      </c>
      <c r="U4158" s="782" t="s">
        <v>3664</v>
      </c>
      <c r="V4158" s="797">
        <f>$S$1*P!V4158</f>
        <v>2.7693548387096778E-8</v>
      </c>
      <c r="W4158" s="780"/>
      <c r="X4158" s="782">
        <v>4154</v>
      </c>
      <c r="Y4158" s="782" t="s">
        <v>2248</v>
      </c>
      <c r="Z4158" s="782" t="s">
        <v>4323</v>
      </c>
      <c r="AA4158" s="781">
        <f>$S$1*P!AA4158</f>
        <v>1.8610887096774194E-3</v>
      </c>
      <c r="AB4158" s="780"/>
      <c r="AC4158" s="780"/>
      <c r="AD4158" s="780"/>
      <c r="AE4158" s="780"/>
      <c r="AF4158" s="780"/>
    </row>
    <row r="4159" spans="19:32" x14ac:dyDescent="0.35">
      <c r="S4159" s="789">
        <v>4155</v>
      </c>
      <c r="T4159" s="789" t="s">
        <v>4284</v>
      </c>
      <c r="U4159" s="789" t="s">
        <v>4322</v>
      </c>
      <c r="V4159" s="790">
        <f>$S$1*P!V4159</f>
        <v>2018.4</v>
      </c>
      <c r="W4159" s="780"/>
      <c r="X4159" s="782">
        <v>4155</v>
      </c>
      <c r="Y4159" s="782" t="s">
        <v>2248</v>
      </c>
      <c r="Z4159" s="782" t="s">
        <v>4239</v>
      </c>
      <c r="AA4159" s="781">
        <f>$S$1*P!AA4159</f>
        <v>3.6330645161290324E-3</v>
      </c>
      <c r="AB4159" s="780"/>
      <c r="AC4159" s="780"/>
      <c r="AD4159" s="780"/>
      <c r="AE4159" s="780"/>
      <c r="AF4159" s="780"/>
    </row>
    <row r="4160" spans="19:32" x14ac:dyDescent="0.35">
      <c r="S4160" s="789">
        <v>4156</v>
      </c>
      <c r="T4160" s="789" t="s">
        <v>4284</v>
      </c>
      <c r="U4160" s="789" t="s">
        <v>4321</v>
      </c>
      <c r="V4160" s="790">
        <f>$S$1*P!V4160</f>
        <v>1.7284000000000001E-2</v>
      </c>
      <c r="W4160" s="780"/>
      <c r="X4160" s="782">
        <v>4156</v>
      </c>
      <c r="Y4160" s="782" t="s">
        <v>2248</v>
      </c>
      <c r="Z4160" s="782" t="s">
        <v>4320</v>
      </c>
      <c r="AA4160" s="781">
        <f>$S$1*P!AA4160</f>
        <v>1.1961693548387098E-3</v>
      </c>
      <c r="AB4160" s="780"/>
      <c r="AC4160" s="780"/>
      <c r="AD4160" s="780"/>
      <c r="AE4160" s="780"/>
      <c r="AF4160" s="780"/>
    </row>
    <row r="4161" spans="19:32" x14ac:dyDescent="0.35">
      <c r="S4161" s="782">
        <v>4157</v>
      </c>
      <c r="T4161" s="782" t="s">
        <v>4284</v>
      </c>
      <c r="U4161" s="782" t="s">
        <v>2285</v>
      </c>
      <c r="V4161" s="797">
        <f>$S$1*P!V4161</f>
        <v>7.7116935483870974E-3</v>
      </c>
      <c r="W4161" s="780"/>
      <c r="X4161" s="782">
        <v>4157</v>
      </c>
      <c r="Y4161" s="782" t="s">
        <v>2248</v>
      </c>
      <c r="Z4161" s="782" t="s">
        <v>4238</v>
      </c>
      <c r="AA4161" s="781">
        <f>$S$1*P!AA4161</f>
        <v>3.564516129032258E-2</v>
      </c>
      <c r="AB4161" s="780"/>
      <c r="AC4161" s="780"/>
      <c r="AD4161" s="780"/>
      <c r="AE4161" s="780"/>
      <c r="AF4161" s="780"/>
    </row>
    <row r="4162" spans="19:32" x14ac:dyDescent="0.35">
      <c r="S4162" s="881">
        <v>4158</v>
      </c>
      <c r="T4162" s="881" t="s">
        <v>4284</v>
      </c>
      <c r="U4162" s="881" t="s">
        <v>2285</v>
      </c>
      <c r="V4162" s="883">
        <f>$S$1*P!V4162</f>
        <v>0.15639999999999998</v>
      </c>
      <c r="W4162" s="780"/>
      <c r="X4162" s="881">
        <v>4158</v>
      </c>
      <c r="Y4162" s="881" t="s">
        <v>2248</v>
      </c>
      <c r="Z4162" s="881" t="s">
        <v>4319</v>
      </c>
      <c r="AA4162" s="890">
        <f>$S$1*P!AA4162</f>
        <v>7.8830645161290323E-3</v>
      </c>
      <c r="AB4162" s="780"/>
      <c r="AC4162" s="780"/>
      <c r="AD4162" s="780"/>
      <c r="AE4162" s="780"/>
      <c r="AF4162" s="780"/>
    </row>
    <row r="4163" spans="19:32" x14ac:dyDescent="0.35">
      <c r="S4163" s="782">
        <v>4159</v>
      </c>
      <c r="T4163" s="782" t="s">
        <v>4284</v>
      </c>
      <c r="U4163" s="782" t="s">
        <v>3658</v>
      </c>
      <c r="V4163" s="797">
        <f>$S$1*P!V4163</f>
        <v>5.3810483870967749E-2</v>
      </c>
      <c r="W4163" s="780"/>
      <c r="X4163" s="881">
        <v>4159</v>
      </c>
      <c r="Y4163" s="881" t="s">
        <v>2248</v>
      </c>
      <c r="Z4163" s="881" t="s">
        <v>2602</v>
      </c>
      <c r="AA4163" s="890">
        <f>$S$1*P!AA4163</f>
        <v>0.67159999999999997</v>
      </c>
      <c r="AB4163" s="780"/>
      <c r="AC4163" s="780"/>
      <c r="AD4163" s="780"/>
      <c r="AE4163" s="780"/>
      <c r="AF4163" s="780"/>
    </row>
    <row r="4164" spans="19:32" x14ac:dyDescent="0.35">
      <c r="S4164" s="782">
        <v>4160</v>
      </c>
      <c r="T4164" s="782" t="s">
        <v>4284</v>
      </c>
      <c r="U4164" s="782" t="s">
        <v>3656</v>
      </c>
      <c r="V4164" s="797">
        <f>$S$1*P!V4164</f>
        <v>2.423185483870968E-3</v>
      </c>
      <c r="W4164" s="780"/>
      <c r="X4164" s="782">
        <v>4160</v>
      </c>
      <c r="Y4164" s="782" t="s">
        <v>2248</v>
      </c>
      <c r="Z4164" s="782" t="s">
        <v>2602</v>
      </c>
      <c r="AA4164" s="781">
        <f>$S$1*P!AA4164</f>
        <v>0.10419354838709678</v>
      </c>
      <c r="AB4164" s="780"/>
      <c r="AC4164" s="780"/>
      <c r="AD4164" s="780"/>
      <c r="AE4164" s="780"/>
      <c r="AF4164" s="780"/>
    </row>
    <row r="4165" spans="19:32" x14ac:dyDescent="0.35">
      <c r="S4165" s="782">
        <v>4161</v>
      </c>
      <c r="T4165" s="782" t="s">
        <v>4284</v>
      </c>
      <c r="U4165" s="782" t="s">
        <v>3654</v>
      </c>
      <c r="V4165" s="797">
        <f>$S$1*P!V4165</f>
        <v>1.5286290322580646E-4</v>
      </c>
      <c r="W4165" s="780"/>
      <c r="X4165" s="782">
        <v>4161</v>
      </c>
      <c r="Y4165" s="782" t="s">
        <v>2248</v>
      </c>
      <c r="Z4165" s="782" t="s">
        <v>4236</v>
      </c>
      <c r="AA4165" s="781">
        <f>$S$1*P!AA4165</f>
        <v>1.9467741935483871E-2</v>
      </c>
      <c r="AB4165" s="780"/>
      <c r="AC4165" s="780"/>
      <c r="AD4165" s="780"/>
      <c r="AE4165" s="780"/>
      <c r="AF4165" s="780"/>
    </row>
    <row r="4166" spans="19:32" x14ac:dyDescent="0.35">
      <c r="S4166" s="782">
        <v>4162</v>
      </c>
      <c r="T4166" s="782" t="s">
        <v>4284</v>
      </c>
      <c r="U4166" s="782" t="s">
        <v>3652</v>
      </c>
      <c r="V4166" s="797">
        <f>$S$1*P!V4166</f>
        <v>3.0812499999999999E-8</v>
      </c>
      <c r="W4166" s="780"/>
      <c r="X4166" s="782">
        <v>4162</v>
      </c>
      <c r="Y4166" s="782" t="s">
        <v>2248</v>
      </c>
      <c r="Z4166" s="782" t="s">
        <v>4318</v>
      </c>
      <c r="AA4166" s="781">
        <f>$S$1*P!AA4166</f>
        <v>9.733870967741937E-12</v>
      </c>
      <c r="AB4166" s="780"/>
      <c r="AC4166" s="780"/>
      <c r="AD4166" s="780"/>
      <c r="AE4166" s="780"/>
      <c r="AF4166" s="780"/>
    </row>
    <row r="4167" spans="19:32" x14ac:dyDescent="0.35">
      <c r="S4167" s="881">
        <v>4163</v>
      </c>
      <c r="T4167" s="881" t="s">
        <v>4284</v>
      </c>
      <c r="U4167" s="881" t="s">
        <v>2283</v>
      </c>
      <c r="V4167" s="883">
        <f>$S$1*P!V4167</f>
        <v>0</v>
      </c>
      <c r="W4167" s="780"/>
      <c r="X4167" s="782">
        <v>4163</v>
      </c>
      <c r="Y4167" s="782" t="s">
        <v>2248</v>
      </c>
      <c r="Z4167" s="782" t="s">
        <v>4234</v>
      </c>
      <c r="AA4167" s="781">
        <f>$S$1*P!AA4167</f>
        <v>5.2439516129032265E-5</v>
      </c>
      <c r="AB4167" s="780"/>
      <c r="AC4167" s="780"/>
      <c r="AD4167" s="780"/>
      <c r="AE4167" s="780"/>
      <c r="AF4167" s="780"/>
    </row>
    <row r="4168" spans="19:32" x14ac:dyDescent="0.35">
      <c r="S4168" s="782">
        <v>4164</v>
      </c>
      <c r="T4168" s="782" t="s">
        <v>4284</v>
      </c>
      <c r="U4168" s="782" t="s">
        <v>2282</v>
      </c>
      <c r="V4168" s="797">
        <f>$S$1*P!V4168</f>
        <v>3.9758064516129036E-4</v>
      </c>
      <c r="W4168" s="780"/>
      <c r="X4168" s="782">
        <v>4164</v>
      </c>
      <c r="Y4168" s="782" t="s">
        <v>2248</v>
      </c>
      <c r="Z4168" s="782" t="s">
        <v>4317</v>
      </c>
      <c r="AA4168" s="781">
        <f>$S$1*P!AA4168</f>
        <v>1.1756048387096775E-3</v>
      </c>
      <c r="AB4168" s="780"/>
      <c r="AC4168" s="780"/>
      <c r="AD4168" s="780"/>
      <c r="AE4168" s="780"/>
      <c r="AF4168" s="780"/>
    </row>
    <row r="4169" spans="19:32" x14ac:dyDescent="0.35">
      <c r="S4169" s="881">
        <v>4165</v>
      </c>
      <c r="T4169" s="881" t="s">
        <v>4284</v>
      </c>
      <c r="U4169" s="881" t="s">
        <v>2282</v>
      </c>
      <c r="V4169" s="883">
        <f>$S$1*P!V4169</f>
        <v>0</v>
      </c>
      <c r="W4169" s="780"/>
      <c r="X4169" s="782">
        <v>4165</v>
      </c>
      <c r="Y4169" s="782" t="s">
        <v>2248</v>
      </c>
      <c r="Z4169" s="782" t="s">
        <v>4316</v>
      </c>
      <c r="AA4169" s="781">
        <f>$S$1*P!AA4169</f>
        <v>2.800201612903226E-3</v>
      </c>
      <c r="AB4169" s="780"/>
      <c r="AC4169" s="780"/>
      <c r="AD4169" s="780"/>
      <c r="AE4169" s="780"/>
      <c r="AF4169" s="780"/>
    </row>
    <row r="4170" spans="19:32" x14ac:dyDescent="0.35">
      <c r="S4170" s="782">
        <v>4166</v>
      </c>
      <c r="T4170" s="782" t="s">
        <v>4284</v>
      </c>
      <c r="U4170" s="782" t="s">
        <v>3646</v>
      </c>
      <c r="V4170" s="797">
        <f>$S$1*P!V4170</f>
        <v>4.1471774193548389E-2</v>
      </c>
      <c r="W4170" s="780"/>
      <c r="X4170" s="782">
        <v>4166</v>
      </c>
      <c r="Y4170" s="782" t="s">
        <v>2248</v>
      </c>
      <c r="Z4170" s="782" t="s">
        <v>4233</v>
      </c>
      <c r="AA4170" s="781">
        <f>$S$1*P!AA4170</f>
        <v>3.2012096774193549E-4</v>
      </c>
      <c r="AB4170" s="780"/>
      <c r="AC4170" s="780"/>
      <c r="AD4170" s="780"/>
      <c r="AE4170" s="780"/>
      <c r="AF4170" s="780"/>
    </row>
    <row r="4171" spans="19:32" x14ac:dyDescent="0.35">
      <c r="S4171" s="782">
        <v>4167</v>
      </c>
      <c r="T4171" s="782" t="s">
        <v>4284</v>
      </c>
      <c r="U4171" s="782" t="s">
        <v>3644</v>
      </c>
      <c r="V4171" s="797">
        <f>$S$1*P!V4171</f>
        <v>3.7701612903225815E-5</v>
      </c>
      <c r="W4171" s="780"/>
      <c r="X4171" s="881">
        <v>4167</v>
      </c>
      <c r="Y4171" s="881" t="s">
        <v>2248</v>
      </c>
      <c r="Z4171" s="881" t="s">
        <v>2601</v>
      </c>
      <c r="AA4171" s="890">
        <f>$S$1*P!AA4171</f>
        <v>5.1060000000000003E-3</v>
      </c>
      <c r="AB4171" s="780"/>
      <c r="AC4171" s="780"/>
      <c r="AD4171" s="780"/>
      <c r="AE4171" s="780"/>
      <c r="AF4171" s="780"/>
    </row>
    <row r="4172" spans="19:32" x14ac:dyDescent="0.35">
      <c r="S4172" s="782">
        <v>4168</v>
      </c>
      <c r="T4172" s="782" t="s">
        <v>4284</v>
      </c>
      <c r="U4172" s="782" t="s">
        <v>3642</v>
      </c>
      <c r="V4172" s="797">
        <f>$S$1*P!V4172</f>
        <v>2.8927419354838712E-5</v>
      </c>
      <c r="W4172" s="780"/>
      <c r="X4172" s="881">
        <v>4168</v>
      </c>
      <c r="Y4172" s="881" t="s">
        <v>2248</v>
      </c>
      <c r="Z4172" s="881" t="s">
        <v>3193</v>
      </c>
      <c r="AA4172" s="890">
        <f>$S$1*P!AA4172</f>
        <v>1.9879032258064516E-5</v>
      </c>
      <c r="AB4172" s="780"/>
      <c r="AC4172" s="780"/>
      <c r="AD4172" s="780"/>
      <c r="AE4172" s="780"/>
      <c r="AF4172" s="780"/>
    </row>
    <row r="4173" spans="19:32" x14ac:dyDescent="0.35">
      <c r="S4173" s="782">
        <v>4169</v>
      </c>
      <c r="T4173" s="782" t="s">
        <v>4284</v>
      </c>
      <c r="U4173" s="782" t="s">
        <v>3639</v>
      </c>
      <c r="V4173" s="797">
        <f>$S$1*P!V4173</f>
        <v>9.2197580645161301E-3</v>
      </c>
      <c r="W4173" s="780"/>
      <c r="X4173" s="782">
        <v>4169</v>
      </c>
      <c r="Y4173" s="782" t="s">
        <v>2248</v>
      </c>
      <c r="Z4173" s="782" t="s">
        <v>4231</v>
      </c>
      <c r="AA4173" s="781">
        <f>$S$1*P!AA4173</f>
        <v>3.3451612903225812E-6</v>
      </c>
      <c r="AB4173" s="780"/>
      <c r="AC4173" s="780"/>
      <c r="AD4173" s="780"/>
      <c r="AE4173" s="780"/>
      <c r="AF4173" s="780"/>
    </row>
    <row r="4174" spans="19:32" x14ac:dyDescent="0.35">
      <c r="S4174" s="881">
        <v>4170</v>
      </c>
      <c r="T4174" s="881" t="s">
        <v>4284</v>
      </c>
      <c r="U4174" s="881" t="s">
        <v>2280</v>
      </c>
      <c r="V4174" s="883">
        <f>$S$1*P!V4174</f>
        <v>0.31739999999999996</v>
      </c>
      <c r="W4174" s="780"/>
      <c r="X4174" s="782">
        <v>4170</v>
      </c>
      <c r="Y4174" s="782" t="s">
        <v>2248</v>
      </c>
      <c r="Z4174" s="782" t="s">
        <v>4315</v>
      </c>
      <c r="AA4174" s="781">
        <f>$S$1*P!AA4174</f>
        <v>1.4223790322580646E-3</v>
      </c>
      <c r="AB4174" s="780"/>
      <c r="AC4174" s="780"/>
      <c r="AD4174" s="780"/>
      <c r="AE4174" s="780"/>
      <c r="AF4174" s="780"/>
    </row>
    <row r="4175" spans="19:32" x14ac:dyDescent="0.35">
      <c r="S4175" s="881">
        <v>4171</v>
      </c>
      <c r="T4175" s="881" t="s">
        <v>4284</v>
      </c>
      <c r="U4175" s="881" t="s">
        <v>2279</v>
      </c>
      <c r="V4175" s="883">
        <f>$S$1*P!V4175</f>
        <v>2.3552</v>
      </c>
      <c r="W4175" s="780"/>
      <c r="X4175" s="881">
        <v>4171</v>
      </c>
      <c r="Y4175" s="881" t="s">
        <v>2248</v>
      </c>
      <c r="Z4175" s="881" t="s">
        <v>2599</v>
      </c>
      <c r="AA4175" s="890">
        <f>$S$1*P!AA4175</f>
        <v>0</v>
      </c>
      <c r="AB4175" s="780"/>
      <c r="AC4175" s="780"/>
      <c r="AD4175" s="780"/>
      <c r="AE4175" s="780"/>
      <c r="AF4175" s="780"/>
    </row>
    <row r="4176" spans="19:32" x14ac:dyDescent="0.35">
      <c r="S4176" s="782">
        <v>4172</v>
      </c>
      <c r="T4176" s="782" t="s">
        <v>4284</v>
      </c>
      <c r="U4176" s="782" t="s">
        <v>3635</v>
      </c>
      <c r="V4176" s="797">
        <f>$S$1*P!V4176</f>
        <v>6.8891129032258071E-7</v>
      </c>
      <c r="W4176" s="780"/>
      <c r="X4176" s="782">
        <v>4172</v>
      </c>
      <c r="Y4176" s="782" t="s">
        <v>2248</v>
      </c>
      <c r="Z4176" s="782" t="s">
        <v>4230</v>
      </c>
      <c r="AA4176" s="781">
        <f>$S$1*P!AA4176</f>
        <v>3.770161290322581E-7</v>
      </c>
      <c r="AB4176" s="780"/>
      <c r="AC4176" s="780"/>
      <c r="AD4176" s="780"/>
      <c r="AE4176" s="780"/>
      <c r="AF4176" s="780"/>
    </row>
    <row r="4177" spans="19:32" x14ac:dyDescent="0.35">
      <c r="S4177" s="782">
        <v>4173</v>
      </c>
      <c r="T4177" s="782" t="s">
        <v>4284</v>
      </c>
      <c r="U4177" s="782" t="s">
        <v>3632</v>
      </c>
      <c r="V4177" s="797">
        <f>$S$1*P!V4177</f>
        <v>0.80544354838709686</v>
      </c>
      <c r="W4177" s="780"/>
      <c r="X4177" s="782">
        <v>4173</v>
      </c>
      <c r="Y4177" s="782" t="s">
        <v>2248</v>
      </c>
      <c r="Z4177" s="782" t="s">
        <v>4314</v>
      </c>
      <c r="AA4177" s="781">
        <f>$S$1*P!AA4177</f>
        <v>2.1215725806451612E-3</v>
      </c>
      <c r="AB4177" s="780"/>
      <c r="AC4177" s="780"/>
      <c r="AD4177" s="780"/>
      <c r="AE4177" s="780"/>
      <c r="AF4177" s="780"/>
    </row>
    <row r="4178" spans="19:32" x14ac:dyDescent="0.35">
      <c r="S4178" s="782">
        <v>4174</v>
      </c>
      <c r="T4178" s="782" t="s">
        <v>4284</v>
      </c>
      <c r="U4178" s="782" t="s">
        <v>3631</v>
      </c>
      <c r="V4178" s="797">
        <f>$S$1*P!V4178</f>
        <v>1.8508064516129034E-4</v>
      </c>
      <c r="W4178" s="780"/>
      <c r="X4178" s="782">
        <v>4174</v>
      </c>
      <c r="Y4178" s="782" t="s">
        <v>2248</v>
      </c>
      <c r="Z4178" s="782" t="s">
        <v>4313</v>
      </c>
      <c r="AA4178" s="781">
        <f>$S$1*P!AA4178</f>
        <v>7.2661290322580656E-7</v>
      </c>
      <c r="AB4178" s="780"/>
      <c r="AC4178" s="780"/>
      <c r="AD4178" s="780"/>
      <c r="AE4178" s="780"/>
      <c r="AF4178" s="780"/>
    </row>
    <row r="4179" spans="19:32" x14ac:dyDescent="0.35">
      <c r="S4179" s="782">
        <v>4175</v>
      </c>
      <c r="T4179" s="782" t="s">
        <v>4284</v>
      </c>
      <c r="U4179" s="782" t="s">
        <v>3629</v>
      </c>
      <c r="V4179" s="797">
        <f>$S$1*P!V4179</f>
        <v>1.4018145161290322E-3</v>
      </c>
      <c r="W4179" s="780"/>
      <c r="X4179" s="782">
        <v>4175</v>
      </c>
      <c r="Y4179" s="782" t="s">
        <v>2248</v>
      </c>
      <c r="Z4179" s="782" t="s">
        <v>2565</v>
      </c>
      <c r="AA4179" s="781">
        <f>$S$1*P!AA4179</f>
        <v>5.7237903225806452E-4</v>
      </c>
      <c r="AB4179" s="780"/>
      <c r="AC4179" s="780"/>
      <c r="AD4179" s="780"/>
      <c r="AE4179" s="780"/>
      <c r="AF4179" s="780"/>
    </row>
    <row r="4180" spans="19:32" x14ac:dyDescent="0.35">
      <c r="S4180" s="881">
        <v>4176</v>
      </c>
      <c r="T4180" s="881" t="s">
        <v>4284</v>
      </c>
      <c r="U4180" s="881" t="s">
        <v>2277</v>
      </c>
      <c r="V4180" s="883">
        <f>$S$1*P!V4180</f>
        <v>7.3232000000000002E-3</v>
      </c>
      <c r="W4180" s="780"/>
      <c r="X4180" s="782">
        <v>4176</v>
      </c>
      <c r="Y4180" s="782" t="s">
        <v>2248</v>
      </c>
      <c r="Z4180" s="782" t="s">
        <v>4312</v>
      </c>
      <c r="AA4180" s="781">
        <f>$S$1*P!AA4180</f>
        <v>2.8070564516129038E-3</v>
      </c>
      <c r="AB4180" s="780"/>
      <c r="AC4180" s="780"/>
      <c r="AD4180" s="780"/>
      <c r="AE4180" s="780"/>
      <c r="AF4180" s="780"/>
    </row>
    <row r="4181" spans="19:32" x14ac:dyDescent="0.35">
      <c r="S4181" s="782">
        <v>4177</v>
      </c>
      <c r="T4181" s="782" t="s">
        <v>4284</v>
      </c>
      <c r="U4181" s="782" t="s">
        <v>3625</v>
      </c>
      <c r="V4181" s="797">
        <f>$S$1*P!V4181</f>
        <v>9.2197580645161301E-3</v>
      </c>
      <c r="W4181" s="780"/>
      <c r="X4181" s="782">
        <v>4177</v>
      </c>
      <c r="Y4181" s="782" t="s">
        <v>2248</v>
      </c>
      <c r="Z4181" s="782" t="s">
        <v>2563</v>
      </c>
      <c r="AA4181" s="781">
        <f>$S$1*P!AA4181</f>
        <v>2.6528225806451617E-3</v>
      </c>
      <c r="AB4181" s="780"/>
      <c r="AC4181" s="780"/>
      <c r="AD4181" s="780"/>
      <c r="AE4181" s="780"/>
      <c r="AF4181" s="780"/>
    </row>
    <row r="4182" spans="19:32" x14ac:dyDescent="0.35">
      <c r="S4182" s="782">
        <v>4178</v>
      </c>
      <c r="T4182" s="782" t="s">
        <v>4284</v>
      </c>
      <c r="U4182" s="782" t="s">
        <v>3624</v>
      </c>
      <c r="V4182" s="797">
        <f>$S$1*P!V4182</f>
        <v>2.0358870967741938E-3</v>
      </c>
      <c r="W4182" s="780"/>
      <c r="X4182" s="782">
        <v>4178</v>
      </c>
      <c r="Y4182" s="782" t="s">
        <v>2248</v>
      </c>
      <c r="Z4182" s="782" t="s">
        <v>4311</v>
      </c>
      <c r="AA4182" s="781">
        <f>$S$1*P!AA4182</f>
        <v>8.362903225806452E-4</v>
      </c>
      <c r="AB4182" s="780"/>
      <c r="AC4182" s="780"/>
      <c r="AD4182" s="780"/>
      <c r="AE4182" s="780"/>
      <c r="AF4182" s="780"/>
    </row>
    <row r="4183" spans="19:32" x14ac:dyDescent="0.35">
      <c r="S4183" s="782">
        <v>4179</v>
      </c>
      <c r="T4183" s="782" t="s">
        <v>4284</v>
      </c>
      <c r="U4183" s="782" t="s">
        <v>3622</v>
      </c>
      <c r="V4183" s="797">
        <f>$S$1*P!V4183</f>
        <v>0.98024193548387106</v>
      </c>
      <c r="W4183" s="780"/>
      <c r="X4183" s="881">
        <v>4179</v>
      </c>
      <c r="Y4183" s="881" t="s">
        <v>2248</v>
      </c>
      <c r="Z4183" s="881" t="s">
        <v>4310</v>
      </c>
      <c r="AA4183" s="890">
        <f>$S$1*P!AA4183</f>
        <v>1.9536290322580648E-3</v>
      </c>
      <c r="AB4183" s="780"/>
      <c r="AC4183" s="780"/>
      <c r="AD4183" s="780"/>
      <c r="AE4183" s="780"/>
      <c r="AF4183" s="780"/>
    </row>
    <row r="4184" spans="19:32" x14ac:dyDescent="0.35">
      <c r="S4184" s="782">
        <v>4180</v>
      </c>
      <c r="T4184" s="782" t="s">
        <v>4284</v>
      </c>
      <c r="U4184" s="782" t="s">
        <v>3620</v>
      </c>
      <c r="V4184" s="797">
        <f>$S$1*P!V4184</f>
        <v>1.7685483870967744E-4</v>
      </c>
      <c r="W4184" s="780"/>
      <c r="X4184" s="782">
        <v>4180</v>
      </c>
      <c r="Y4184" s="782" t="s">
        <v>2248</v>
      </c>
      <c r="Z4184" s="782" t="s">
        <v>4309</v>
      </c>
      <c r="AA4184" s="781">
        <f>$S$1*P!AA4184</f>
        <v>2.0461693548387097E-4</v>
      </c>
      <c r="AB4184" s="780"/>
      <c r="AC4184" s="780"/>
      <c r="AD4184" s="780"/>
      <c r="AE4184" s="780"/>
      <c r="AF4184" s="780"/>
    </row>
    <row r="4185" spans="19:32" x14ac:dyDescent="0.35">
      <c r="S4185" s="782">
        <v>4181</v>
      </c>
      <c r="T4185" s="782" t="s">
        <v>4284</v>
      </c>
      <c r="U4185" s="782" t="s">
        <v>3617</v>
      </c>
      <c r="V4185" s="797">
        <f>$S$1*P!V4185</f>
        <v>3.701612903225807E-5</v>
      </c>
      <c r="W4185" s="780"/>
      <c r="X4185" s="782">
        <v>4181</v>
      </c>
      <c r="Y4185" s="782" t="s">
        <v>2248</v>
      </c>
      <c r="Z4185" s="782" t="s">
        <v>4226</v>
      </c>
      <c r="AA4185" s="781">
        <f>$S$1*P!AA4185</f>
        <v>5.4838709677419359E-4</v>
      </c>
      <c r="AB4185" s="780"/>
      <c r="AC4185" s="780"/>
      <c r="AD4185" s="780"/>
      <c r="AE4185" s="780"/>
      <c r="AF4185" s="780"/>
    </row>
    <row r="4186" spans="19:32" x14ac:dyDescent="0.35">
      <c r="S4186" s="782">
        <v>4182</v>
      </c>
      <c r="T4186" s="782" t="s">
        <v>4284</v>
      </c>
      <c r="U4186" s="782" t="s">
        <v>2276</v>
      </c>
      <c r="V4186" s="797">
        <f>$S$1*P!V4186</f>
        <v>2.7350806451612905E-2</v>
      </c>
      <c r="W4186" s="780"/>
      <c r="X4186" s="881">
        <v>4182</v>
      </c>
      <c r="Y4186" s="881" t="s">
        <v>2248</v>
      </c>
      <c r="Z4186" s="881" t="s">
        <v>2598</v>
      </c>
      <c r="AA4186" s="890">
        <f>$S$1*P!AA4186</f>
        <v>0</v>
      </c>
      <c r="AB4186" s="780"/>
      <c r="AC4186" s="780"/>
      <c r="AD4186" s="780"/>
      <c r="AE4186" s="780"/>
      <c r="AF4186" s="780"/>
    </row>
    <row r="4187" spans="19:32" x14ac:dyDescent="0.35">
      <c r="S4187" s="881">
        <v>4183</v>
      </c>
      <c r="T4187" s="881" t="s">
        <v>4284</v>
      </c>
      <c r="U4187" s="881" t="s">
        <v>2276</v>
      </c>
      <c r="V4187" s="883">
        <f>$S$1*P!V4187</f>
        <v>2.3828</v>
      </c>
      <c r="W4187" s="780"/>
      <c r="X4187" s="782">
        <v>4183</v>
      </c>
      <c r="Y4187" s="782" t="s">
        <v>2248</v>
      </c>
      <c r="Z4187" s="782" t="s">
        <v>4224</v>
      </c>
      <c r="AA4187" s="781">
        <f>$S$1*P!AA4187</f>
        <v>1.3743951612903227E-3</v>
      </c>
      <c r="AB4187" s="780"/>
      <c r="AC4187" s="780"/>
      <c r="AD4187" s="780"/>
      <c r="AE4187" s="780"/>
      <c r="AF4187" s="780"/>
    </row>
    <row r="4188" spans="19:32" x14ac:dyDescent="0.35">
      <c r="S4188" s="782">
        <v>4184</v>
      </c>
      <c r="T4188" s="782" t="s">
        <v>4284</v>
      </c>
      <c r="U4188" s="782" t="s">
        <v>2274</v>
      </c>
      <c r="V4188" s="797">
        <f>$S$1*P!V4188</f>
        <v>1.4806451612903227E-3</v>
      </c>
      <c r="W4188" s="780"/>
      <c r="X4188" s="782">
        <v>4184</v>
      </c>
      <c r="Y4188" s="782" t="s">
        <v>2248</v>
      </c>
      <c r="Z4188" s="782" t="s">
        <v>2598</v>
      </c>
      <c r="AA4188" s="781">
        <f>$S$1*P!AA4188</f>
        <v>5.0040322580645162E-4</v>
      </c>
      <c r="AB4188" s="780"/>
      <c r="AC4188" s="780"/>
      <c r="AD4188" s="780"/>
      <c r="AE4188" s="780"/>
      <c r="AF4188" s="780"/>
    </row>
    <row r="4189" spans="19:32" x14ac:dyDescent="0.35">
      <c r="S4189" s="881">
        <v>4185</v>
      </c>
      <c r="T4189" s="881" t="s">
        <v>4284</v>
      </c>
      <c r="U4189" s="881" t="s">
        <v>2274</v>
      </c>
      <c r="V4189" s="883">
        <f>$S$1*P!V4189</f>
        <v>8.3168000000000006</v>
      </c>
      <c r="W4189" s="780"/>
      <c r="X4189" s="782">
        <v>4185</v>
      </c>
      <c r="Y4189" s="782" t="s">
        <v>2248</v>
      </c>
      <c r="Z4189" s="782" t="s">
        <v>3192</v>
      </c>
      <c r="AA4189" s="781">
        <f>$S$1*P!AA4189</f>
        <v>0.67520161290322589</v>
      </c>
      <c r="AB4189" s="780"/>
      <c r="AC4189" s="780"/>
      <c r="AD4189" s="780"/>
      <c r="AE4189" s="780"/>
      <c r="AF4189" s="780"/>
    </row>
    <row r="4190" spans="19:32" x14ac:dyDescent="0.35">
      <c r="S4190" s="782">
        <v>4186</v>
      </c>
      <c r="T4190" s="782" t="s">
        <v>4284</v>
      </c>
      <c r="U4190" s="782" t="s">
        <v>2273</v>
      </c>
      <c r="V4190" s="797">
        <f>$S$1*P!V4190</f>
        <v>1.6280241935483872E-6</v>
      </c>
      <c r="W4190" s="780"/>
      <c r="X4190" s="782">
        <v>4186</v>
      </c>
      <c r="Y4190" s="782" t="s">
        <v>2248</v>
      </c>
      <c r="Z4190" s="782" t="s">
        <v>4223</v>
      </c>
      <c r="AA4190" s="781">
        <f>$S$1*P!AA4190</f>
        <v>9.2883064516129044E-2</v>
      </c>
      <c r="AB4190" s="780"/>
      <c r="AC4190" s="780"/>
      <c r="AD4190" s="780"/>
      <c r="AE4190" s="780"/>
      <c r="AF4190" s="780"/>
    </row>
    <row r="4191" spans="19:32" x14ac:dyDescent="0.35">
      <c r="S4191" s="881">
        <v>4187</v>
      </c>
      <c r="T4191" s="881" t="s">
        <v>4284</v>
      </c>
      <c r="U4191" s="881" t="s">
        <v>2273</v>
      </c>
      <c r="V4191" s="883">
        <f>$S$1*P!V4191</f>
        <v>0.18951999999999999</v>
      </c>
      <c r="W4191" s="780"/>
      <c r="X4191" s="782">
        <v>4187</v>
      </c>
      <c r="Y4191" s="782" t="s">
        <v>2248</v>
      </c>
      <c r="Z4191" s="782" t="s">
        <v>4308</v>
      </c>
      <c r="AA4191" s="781">
        <f>$S$1*P!AA4191</f>
        <v>2.3169354838709676E-3</v>
      </c>
      <c r="AB4191" s="780"/>
      <c r="AC4191" s="780"/>
      <c r="AD4191" s="780"/>
      <c r="AE4191" s="780"/>
      <c r="AF4191" s="780"/>
    </row>
    <row r="4192" spans="19:32" x14ac:dyDescent="0.35">
      <c r="S4192" s="782">
        <v>4188</v>
      </c>
      <c r="T4192" s="782" t="s">
        <v>4284</v>
      </c>
      <c r="U4192" s="782" t="s">
        <v>3610</v>
      </c>
      <c r="V4192" s="797">
        <f>$S$1*P!V4192</f>
        <v>3.8044354838709682E-5</v>
      </c>
      <c r="W4192" s="780"/>
      <c r="X4192" s="881">
        <v>4188</v>
      </c>
      <c r="Y4192" s="881" t="s">
        <v>2248</v>
      </c>
      <c r="Z4192" s="881" t="s">
        <v>3190</v>
      </c>
      <c r="AA4192" s="890">
        <f>$S$1*P!AA4192</f>
        <v>8.8770161290322586E-3</v>
      </c>
      <c r="AB4192" s="780"/>
      <c r="AC4192" s="780"/>
      <c r="AD4192" s="780"/>
      <c r="AE4192" s="780"/>
      <c r="AF4192" s="780"/>
    </row>
    <row r="4193" spans="19:32" x14ac:dyDescent="0.35">
      <c r="S4193" s="881">
        <v>4189</v>
      </c>
      <c r="T4193" s="881" t="s">
        <v>4284</v>
      </c>
      <c r="U4193" s="881" t="s">
        <v>2271</v>
      </c>
      <c r="V4193" s="883">
        <f>$S$1*P!V4193</f>
        <v>8.0315999999999999E-2</v>
      </c>
      <c r="W4193" s="780"/>
      <c r="X4193" s="782">
        <v>4189</v>
      </c>
      <c r="Y4193" s="782" t="s">
        <v>2248</v>
      </c>
      <c r="Z4193" s="782" t="s">
        <v>4307</v>
      </c>
      <c r="AA4193" s="781">
        <f>$S$1*P!AA4193</f>
        <v>2.2312500000000002E-3</v>
      </c>
      <c r="AB4193" s="780"/>
      <c r="AC4193" s="780"/>
      <c r="AD4193" s="780"/>
      <c r="AE4193" s="780"/>
      <c r="AF4193" s="780"/>
    </row>
    <row r="4194" spans="19:32" x14ac:dyDescent="0.35">
      <c r="S4194" s="881">
        <v>4190</v>
      </c>
      <c r="T4194" s="881" t="s">
        <v>4284</v>
      </c>
      <c r="U4194" s="881" t="s">
        <v>2269</v>
      </c>
      <c r="V4194" s="883">
        <f>$S$1*P!V4194</f>
        <v>0</v>
      </c>
      <c r="W4194" s="780"/>
      <c r="X4194" s="782">
        <v>4190</v>
      </c>
      <c r="Y4194" s="782" t="s">
        <v>2248</v>
      </c>
      <c r="Z4194" s="782" t="s">
        <v>4221</v>
      </c>
      <c r="AA4194" s="781">
        <f>$S$1*P!AA4194</f>
        <v>1.5080645161290326E-4</v>
      </c>
      <c r="AB4194" s="780"/>
      <c r="AC4194" s="780"/>
      <c r="AD4194" s="780"/>
      <c r="AE4194" s="780"/>
      <c r="AF4194" s="780"/>
    </row>
    <row r="4195" spans="19:32" x14ac:dyDescent="0.35">
      <c r="S4195" s="922">
        <v>4191</v>
      </c>
      <c r="T4195" s="922" t="s">
        <v>4284</v>
      </c>
      <c r="U4195" s="922" t="s">
        <v>4306</v>
      </c>
      <c r="V4195" s="923">
        <f>$S$1*P!V4195</f>
        <v>5.4999999949999996</v>
      </c>
      <c r="W4195" s="780"/>
      <c r="X4195" s="782">
        <v>4191</v>
      </c>
      <c r="Y4195" s="782" t="s">
        <v>2248</v>
      </c>
      <c r="Z4195" s="782" t="s">
        <v>4305</v>
      </c>
      <c r="AA4195" s="781">
        <f>$S$1*P!AA4195</f>
        <v>1.3024193548387098E-3</v>
      </c>
      <c r="AB4195" s="780"/>
      <c r="AC4195" s="780"/>
      <c r="AD4195" s="780"/>
      <c r="AE4195" s="780"/>
      <c r="AF4195" s="780"/>
    </row>
    <row r="4196" spans="19:32" x14ac:dyDescent="0.35">
      <c r="S4196" s="861">
        <v>4192</v>
      </c>
      <c r="T4196" s="861" t="s">
        <v>4284</v>
      </c>
      <c r="U4196" s="861" t="s">
        <v>4304</v>
      </c>
      <c r="V4196" s="862">
        <f>$S$1*P!V4196</f>
        <v>3.4721500000000001</v>
      </c>
      <c r="W4196" s="780"/>
      <c r="X4196" s="782">
        <v>4192</v>
      </c>
      <c r="Y4196" s="782" t="s">
        <v>2248</v>
      </c>
      <c r="Z4196" s="782" t="s">
        <v>2559</v>
      </c>
      <c r="AA4196" s="781">
        <f>$S$1*P!AA4196</f>
        <v>1.370967741935484E-3</v>
      </c>
      <c r="AB4196" s="780"/>
      <c r="AC4196" s="780"/>
      <c r="AD4196" s="780"/>
      <c r="AE4196" s="780"/>
      <c r="AF4196" s="780"/>
    </row>
    <row r="4197" spans="19:32" x14ac:dyDescent="0.35">
      <c r="S4197" s="782">
        <v>4193</v>
      </c>
      <c r="T4197" s="782" t="s">
        <v>4284</v>
      </c>
      <c r="U4197" s="782" t="s">
        <v>3605</v>
      </c>
      <c r="V4197" s="797">
        <f>$S$1*P!V4197</f>
        <v>2.7076612903225811E-4</v>
      </c>
      <c r="W4197" s="780"/>
      <c r="X4197" s="881">
        <v>4193</v>
      </c>
      <c r="Y4197" s="881" t="s">
        <v>2248</v>
      </c>
      <c r="Z4197" s="881" t="s">
        <v>2596</v>
      </c>
      <c r="AA4197" s="890">
        <f>$S$1*P!AA4197</f>
        <v>283.36</v>
      </c>
      <c r="AB4197" s="780"/>
      <c r="AC4197" s="780"/>
      <c r="AD4197" s="780"/>
      <c r="AE4197" s="780"/>
      <c r="AF4197" s="780"/>
    </row>
    <row r="4198" spans="19:32" x14ac:dyDescent="0.35">
      <c r="S4198" s="782">
        <v>4194</v>
      </c>
      <c r="T4198" s="782" t="s">
        <v>4284</v>
      </c>
      <c r="U4198" s="782" t="s">
        <v>3604</v>
      </c>
      <c r="V4198" s="797">
        <f>$S$1*P!V4198</f>
        <v>9.082661290322581E-4</v>
      </c>
      <c r="W4198" s="780"/>
      <c r="X4198" s="881">
        <v>4194</v>
      </c>
      <c r="Y4198" s="881" t="s">
        <v>2248</v>
      </c>
      <c r="Z4198" s="881" t="s">
        <v>3189</v>
      </c>
      <c r="AA4198" s="890">
        <f>$S$1*P!AA4198</f>
        <v>0.14737903225806454</v>
      </c>
      <c r="AB4198" s="780"/>
      <c r="AC4198" s="780"/>
      <c r="AD4198" s="780"/>
      <c r="AE4198" s="780"/>
      <c r="AF4198" s="780"/>
    </row>
    <row r="4199" spans="19:32" x14ac:dyDescent="0.35">
      <c r="S4199" s="782">
        <v>4195</v>
      </c>
      <c r="T4199" s="782" t="s">
        <v>4284</v>
      </c>
      <c r="U4199" s="782" t="s">
        <v>3602</v>
      </c>
      <c r="V4199" s="797">
        <f>$S$1*P!V4199</f>
        <v>6.2036290322580647E-5</v>
      </c>
      <c r="W4199" s="780"/>
      <c r="X4199" s="782">
        <v>4195</v>
      </c>
      <c r="Y4199" s="782" t="s">
        <v>2248</v>
      </c>
      <c r="Z4199" s="782" t="s">
        <v>4218</v>
      </c>
      <c r="AA4199" s="781">
        <f>$S$1*P!AA4199</f>
        <v>2.6425403225806455E-4</v>
      </c>
      <c r="AB4199" s="780"/>
      <c r="AC4199" s="780"/>
      <c r="AD4199" s="780"/>
      <c r="AE4199" s="780"/>
      <c r="AF4199" s="780"/>
    </row>
    <row r="4200" spans="19:32" x14ac:dyDescent="0.35">
      <c r="S4200" s="881">
        <v>4196</v>
      </c>
      <c r="T4200" s="881" t="s">
        <v>4284</v>
      </c>
      <c r="U4200" s="881" t="s">
        <v>2268</v>
      </c>
      <c r="V4200" s="883">
        <f>$S$1*P!V4200</f>
        <v>0.17204</v>
      </c>
      <c r="W4200" s="780"/>
      <c r="X4200" s="782">
        <v>4196</v>
      </c>
      <c r="Y4200" s="782" t="s">
        <v>2248</v>
      </c>
      <c r="Z4200" s="782" t="s">
        <v>4303</v>
      </c>
      <c r="AA4200" s="781">
        <f>$S$1*P!AA4200</f>
        <v>1.3195564516129034E-4</v>
      </c>
      <c r="AB4200" s="780"/>
      <c r="AC4200" s="780"/>
      <c r="AD4200" s="780"/>
      <c r="AE4200" s="780"/>
      <c r="AF4200" s="780"/>
    </row>
    <row r="4201" spans="19:32" x14ac:dyDescent="0.35">
      <c r="S4201" s="881">
        <v>4197</v>
      </c>
      <c r="T4201" s="881" t="s">
        <v>4284</v>
      </c>
      <c r="U4201" s="881" t="s">
        <v>2266</v>
      </c>
      <c r="V4201" s="883">
        <f>$S$1*P!V4201</f>
        <v>0</v>
      </c>
      <c r="W4201" s="780"/>
      <c r="X4201" s="881">
        <v>4197</v>
      </c>
      <c r="Y4201" s="881" t="s">
        <v>2248</v>
      </c>
      <c r="Z4201" s="881" t="s">
        <v>2595</v>
      </c>
      <c r="AA4201" s="890">
        <f>$S$1*P!AA4201</f>
        <v>2.6127999999999998E-2</v>
      </c>
      <c r="AB4201" s="780"/>
      <c r="AC4201" s="780"/>
      <c r="AD4201" s="780"/>
      <c r="AE4201" s="780"/>
      <c r="AF4201" s="780"/>
    </row>
    <row r="4202" spans="19:32" x14ac:dyDescent="0.35">
      <c r="S4202" s="782">
        <v>4198</v>
      </c>
      <c r="T4202" s="782" t="s">
        <v>4284</v>
      </c>
      <c r="U4202" s="782" t="s">
        <v>3598</v>
      </c>
      <c r="V4202" s="797">
        <f>$S$1*P!V4202</f>
        <v>4.1471774193548392E-3</v>
      </c>
      <c r="W4202" s="780"/>
      <c r="X4202" s="782">
        <v>4198</v>
      </c>
      <c r="Y4202" s="782" t="s">
        <v>2248</v>
      </c>
      <c r="Z4202" s="782" t="s">
        <v>4217</v>
      </c>
      <c r="AA4202" s="781">
        <f>$S$1*P!AA4202</f>
        <v>4.0443548387096772E-5</v>
      </c>
      <c r="AB4202" s="780"/>
      <c r="AC4202" s="780"/>
      <c r="AD4202" s="780"/>
      <c r="AE4202" s="780"/>
      <c r="AF4202" s="780"/>
    </row>
    <row r="4203" spans="19:32" x14ac:dyDescent="0.35">
      <c r="S4203" s="782">
        <v>4199</v>
      </c>
      <c r="T4203" s="782" t="s">
        <v>4284</v>
      </c>
      <c r="U4203" s="782" t="s">
        <v>2265</v>
      </c>
      <c r="V4203" s="797">
        <f>$S$1*P!V4203</f>
        <v>7.1633064516129035E-5</v>
      </c>
      <c r="W4203" s="780"/>
      <c r="X4203" s="881">
        <v>4199</v>
      </c>
      <c r="Y4203" s="881" t="s">
        <v>2248</v>
      </c>
      <c r="Z4203" s="881" t="s">
        <v>4302</v>
      </c>
      <c r="AA4203" s="890">
        <f>$S$1*P!AA4203</f>
        <v>8.9112903225806461E-6</v>
      </c>
      <c r="AB4203" s="780"/>
      <c r="AC4203" s="780"/>
      <c r="AD4203" s="780"/>
      <c r="AE4203" s="780"/>
      <c r="AF4203" s="780"/>
    </row>
    <row r="4204" spans="19:32" x14ac:dyDescent="0.35">
      <c r="S4204" s="881">
        <v>4200</v>
      </c>
      <c r="T4204" s="881" t="s">
        <v>4284</v>
      </c>
      <c r="U4204" s="881" t="s">
        <v>2265</v>
      </c>
      <c r="V4204" s="883">
        <f>$S$1*P!V4204</f>
        <v>0</v>
      </c>
      <c r="W4204" s="780"/>
      <c r="X4204" s="782">
        <v>4200</v>
      </c>
      <c r="Y4204" s="782" t="s">
        <v>2248</v>
      </c>
      <c r="Z4204" s="782" t="s">
        <v>4301</v>
      </c>
      <c r="AA4204" s="781">
        <f>$S$1*P!AA4204</f>
        <v>4.4213709677419361E-5</v>
      </c>
      <c r="AB4204" s="780"/>
      <c r="AC4204" s="780"/>
      <c r="AD4204" s="780"/>
      <c r="AE4204" s="780"/>
      <c r="AF4204" s="780"/>
    </row>
    <row r="4205" spans="19:32" x14ac:dyDescent="0.35">
      <c r="S4205" s="782">
        <v>4201</v>
      </c>
      <c r="T4205" s="782" t="s">
        <v>4284</v>
      </c>
      <c r="U4205" s="782" t="s">
        <v>3593</v>
      </c>
      <c r="V4205" s="797">
        <f>$S$1*P!V4205</f>
        <v>5.7237903225806452E-5</v>
      </c>
      <c r="W4205" s="780"/>
      <c r="X4205" s="782">
        <v>4201</v>
      </c>
      <c r="Y4205" s="782" t="s">
        <v>2248</v>
      </c>
      <c r="Z4205" s="782" t="s">
        <v>2556</v>
      </c>
      <c r="AA4205" s="781">
        <f>$S$1*P!AA4205</f>
        <v>2.1421370967741937E-2</v>
      </c>
      <c r="AB4205" s="780"/>
      <c r="AC4205" s="780"/>
      <c r="AD4205" s="780"/>
      <c r="AE4205" s="780"/>
      <c r="AF4205" s="780"/>
    </row>
    <row r="4206" spans="19:32" x14ac:dyDescent="0.35">
      <c r="S4206" s="782">
        <v>4202</v>
      </c>
      <c r="T4206" s="782" t="s">
        <v>4284</v>
      </c>
      <c r="U4206" s="782" t="s">
        <v>3592</v>
      </c>
      <c r="V4206" s="797">
        <f>$S$1*P!V4206</f>
        <v>1.8028225806451613E-4</v>
      </c>
      <c r="W4206" s="780"/>
      <c r="X4206" s="881">
        <v>4202</v>
      </c>
      <c r="Y4206" s="881" t="s">
        <v>2248</v>
      </c>
      <c r="Z4206" s="881" t="s">
        <v>2593</v>
      </c>
      <c r="AA4206" s="890">
        <f>$S$1*P!AA4206</f>
        <v>0</v>
      </c>
      <c r="AB4206" s="780"/>
      <c r="AC4206" s="780"/>
      <c r="AD4206" s="780"/>
      <c r="AE4206" s="780"/>
      <c r="AF4206" s="780"/>
    </row>
    <row r="4207" spans="19:32" x14ac:dyDescent="0.35">
      <c r="S4207" s="782">
        <v>4203</v>
      </c>
      <c r="T4207" s="782" t="s">
        <v>4284</v>
      </c>
      <c r="U4207" s="782" t="s">
        <v>3589</v>
      </c>
      <c r="V4207" s="797">
        <f>$S$1*P!V4207</f>
        <v>3.4274193548387101E-4</v>
      </c>
      <c r="W4207" s="780"/>
      <c r="X4207" s="782">
        <v>4203</v>
      </c>
      <c r="Y4207" s="782" t="s">
        <v>2248</v>
      </c>
      <c r="Z4207" s="782" t="s">
        <v>4214</v>
      </c>
      <c r="AA4207" s="781">
        <f>$S$1*P!AA4207</f>
        <v>5.3467741935483877E-3</v>
      </c>
      <c r="AB4207" s="780"/>
      <c r="AC4207" s="780"/>
      <c r="AD4207" s="780"/>
      <c r="AE4207" s="780"/>
      <c r="AF4207" s="780"/>
    </row>
    <row r="4208" spans="19:32" x14ac:dyDescent="0.35">
      <c r="S4208" s="782">
        <v>4204</v>
      </c>
      <c r="T4208" s="782" t="s">
        <v>4284</v>
      </c>
      <c r="U4208" s="782" t="s">
        <v>3587</v>
      </c>
      <c r="V4208" s="797">
        <f>$S$1*P!V4208</f>
        <v>1.4429435483870968E-4</v>
      </c>
      <c r="W4208" s="780"/>
      <c r="X4208" s="881">
        <v>4204</v>
      </c>
      <c r="Y4208" s="881" t="s">
        <v>2248</v>
      </c>
      <c r="Z4208" s="881" t="s">
        <v>4300</v>
      </c>
      <c r="AA4208" s="890">
        <f>$S$1*P!AA4208</f>
        <v>1.676008064516129E-5</v>
      </c>
      <c r="AB4208" s="780"/>
      <c r="AC4208" s="780"/>
      <c r="AD4208" s="780"/>
      <c r="AE4208" s="780"/>
      <c r="AF4208" s="780"/>
    </row>
    <row r="4209" spans="19:32" x14ac:dyDescent="0.35">
      <c r="S4209" s="782">
        <v>4205</v>
      </c>
      <c r="T4209" s="782" t="s">
        <v>4284</v>
      </c>
      <c r="U4209" s="782" t="s">
        <v>3585</v>
      </c>
      <c r="V4209" s="797">
        <f>$S$1*P!V4209</f>
        <v>9.8024193548387097E-5</v>
      </c>
      <c r="W4209" s="780"/>
      <c r="X4209" s="881">
        <v>4205</v>
      </c>
      <c r="Y4209" s="881" t="s">
        <v>2248</v>
      </c>
      <c r="Z4209" s="881" t="s">
        <v>2592</v>
      </c>
      <c r="AA4209" s="890">
        <f>$S$1*P!AA4209</f>
        <v>0</v>
      </c>
      <c r="AB4209" s="780"/>
      <c r="AC4209" s="780"/>
      <c r="AD4209" s="780"/>
      <c r="AE4209" s="780"/>
      <c r="AF4209" s="780"/>
    </row>
    <row r="4210" spans="19:32" x14ac:dyDescent="0.35">
      <c r="S4210" s="782">
        <v>4206</v>
      </c>
      <c r="T4210" s="782" t="s">
        <v>4284</v>
      </c>
      <c r="U4210" s="782" t="s">
        <v>3583</v>
      </c>
      <c r="V4210" s="797">
        <f>$S$1*P!V4210</f>
        <v>1.3812500000000001</v>
      </c>
      <c r="W4210" s="780"/>
      <c r="X4210" s="782">
        <v>4206</v>
      </c>
      <c r="Y4210" s="782" t="s">
        <v>2248</v>
      </c>
      <c r="Z4210" s="782" t="s">
        <v>2592</v>
      </c>
      <c r="AA4210" s="781">
        <f>$S$1*P!AA4210</f>
        <v>3.5302419354838713E-3</v>
      </c>
      <c r="AB4210" s="780"/>
      <c r="AC4210" s="780"/>
      <c r="AD4210" s="780"/>
      <c r="AE4210" s="780"/>
      <c r="AF4210" s="780"/>
    </row>
    <row r="4211" spans="19:32" x14ac:dyDescent="0.35">
      <c r="S4211" s="782">
        <v>4207</v>
      </c>
      <c r="T4211" s="782" t="s">
        <v>4284</v>
      </c>
      <c r="U4211" s="782" t="s">
        <v>3581</v>
      </c>
      <c r="V4211" s="797">
        <f>$S$1*P!V4211</f>
        <v>6.2721774193548398E-4</v>
      </c>
      <c r="W4211" s="780"/>
      <c r="X4211" s="782">
        <v>4207</v>
      </c>
      <c r="Y4211" s="782" t="s">
        <v>2248</v>
      </c>
      <c r="Z4211" s="782" t="s">
        <v>4213</v>
      </c>
      <c r="AA4211" s="781">
        <f>$S$1*P!AA4211</f>
        <v>5.0040322580645162E-3</v>
      </c>
      <c r="AB4211" s="780"/>
      <c r="AC4211" s="780"/>
      <c r="AD4211" s="780"/>
      <c r="AE4211" s="780"/>
      <c r="AF4211" s="780"/>
    </row>
    <row r="4212" spans="19:32" x14ac:dyDescent="0.35">
      <c r="S4212" s="782">
        <v>4208</v>
      </c>
      <c r="T4212" s="782" t="s">
        <v>4284</v>
      </c>
      <c r="U4212" s="782" t="s">
        <v>3578</v>
      </c>
      <c r="V4212" s="797">
        <f>$S$1*P!V4212</f>
        <v>4.6270161290322583E-4</v>
      </c>
      <c r="W4212" s="780"/>
      <c r="X4212" s="881">
        <v>4208</v>
      </c>
      <c r="Y4212" s="881" t="s">
        <v>2248</v>
      </c>
      <c r="Z4212" s="881" t="s">
        <v>2590</v>
      </c>
      <c r="AA4212" s="890">
        <f>$S$1*P!AA4212</f>
        <v>0</v>
      </c>
      <c r="AB4212" s="780"/>
      <c r="AC4212" s="780"/>
      <c r="AD4212" s="780"/>
      <c r="AE4212" s="780"/>
      <c r="AF4212" s="780"/>
    </row>
    <row r="4213" spans="19:32" x14ac:dyDescent="0.35">
      <c r="S4213" s="782">
        <v>4209</v>
      </c>
      <c r="T4213" s="782" t="s">
        <v>4284</v>
      </c>
      <c r="U4213" s="782" t="s">
        <v>3576</v>
      </c>
      <c r="V4213" s="797">
        <f>$S$1*P!V4213</f>
        <v>1.0213709677419356E-2</v>
      </c>
      <c r="W4213" s="780"/>
      <c r="X4213" s="782">
        <v>4209</v>
      </c>
      <c r="Y4213" s="782" t="s">
        <v>2248</v>
      </c>
      <c r="Z4213" s="782" t="s">
        <v>4212</v>
      </c>
      <c r="AA4213" s="781">
        <f>$S$1*P!AA4213</f>
        <v>1.2235887096774195E-3</v>
      </c>
      <c r="AB4213" s="780"/>
      <c r="AC4213" s="780"/>
      <c r="AD4213" s="780"/>
      <c r="AE4213" s="780"/>
      <c r="AF4213" s="780"/>
    </row>
    <row r="4214" spans="19:32" x14ac:dyDescent="0.35">
      <c r="S4214" s="782">
        <v>4210</v>
      </c>
      <c r="T4214" s="782" t="s">
        <v>4284</v>
      </c>
      <c r="U4214" s="782" t="s">
        <v>2263</v>
      </c>
      <c r="V4214" s="797">
        <f>$S$1*P!V4214</f>
        <v>2.2860887096774193E-6</v>
      </c>
      <c r="W4214" s="780"/>
      <c r="X4214" s="782">
        <v>4210</v>
      </c>
      <c r="Y4214" s="782" t="s">
        <v>2248</v>
      </c>
      <c r="Z4214" s="782" t="s">
        <v>2590</v>
      </c>
      <c r="AA4214" s="781">
        <f>$S$1*P!AA4214</f>
        <v>5.0040322580645169</v>
      </c>
      <c r="AB4214" s="780"/>
      <c r="AC4214" s="780"/>
      <c r="AD4214" s="780"/>
      <c r="AE4214" s="780"/>
      <c r="AF4214" s="780"/>
    </row>
    <row r="4215" spans="19:32" x14ac:dyDescent="0.35">
      <c r="S4215" s="881">
        <v>4211</v>
      </c>
      <c r="T4215" s="881" t="s">
        <v>4284</v>
      </c>
      <c r="U4215" s="881" t="s">
        <v>2263</v>
      </c>
      <c r="V4215" s="883">
        <f>$S$1*P!V4215</f>
        <v>1.1132000000000001E-2</v>
      </c>
      <c r="W4215" s="780"/>
      <c r="X4215" s="782">
        <v>4211</v>
      </c>
      <c r="Y4215" s="782" t="s">
        <v>2248</v>
      </c>
      <c r="Z4215" s="782" t="s">
        <v>4299</v>
      </c>
      <c r="AA4215" s="781">
        <f>$S$1*P!AA4215</f>
        <v>1.7274193548387099E-6</v>
      </c>
      <c r="AB4215" s="780"/>
      <c r="AC4215" s="780"/>
      <c r="AD4215" s="780"/>
      <c r="AE4215" s="780"/>
      <c r="AF4215" s="780"/>
    </row>
    <row r="4216" spans="19:32" x14ac:dyDescent="0.35">
      <c r="S4216" s="782">
        <v>4212</v>
      </c>
      <c r="T4216" s="782" t="s">
        <v>4284</v>
      </c>
      <c r="U4216" s="782" t="s">
        <v>3572</v>
      </c>
      <c r="V4216" s="797">
        <f>$S$1*P!V4216</f>
        <v>1.1173387096774193E-6</v>
      </c>
      <c r="W4216" s="780"/>
      <c r="X4216" s="782">
        <v>4212</v>
      </c>
      <c r="Y4216" s="782" t="s">
        <v>2248</v>
      </c>
      <c r="Z4216" s="782" t="s">
        <v>2552</v>
      </c>
      <c r="AA4216" s="781">
        <f>$S$1*P!AA4216</f>
        <v>2.882459677419355E-3</v>
      </c>
      <c r="AB4216" s="780"/>
      <c r="AC4216" s="780"/>
      <c r="AD4216" s="780"/>
      <c r="AE4216" s="780"/>
      <c r="AF4216" s="780"/>
    </row>
    <row r="4217" spans="19:32" x14ac:dyDescent="0.35">
      <c r="S4217" s="789">
        <v>4213</v>
      </c>
      <c r="T4217" s="789" t="s">
        <v>4284</v>
      </c>
      <c r="U4217" s="789" t="s">
        <v>2262</v>
      </c>
      <c r="V4217" s="790">
        <f>$S$1*P!V4217</f>
        <v>1.9487999999999999E-3</v>
      </c>
      <c r="W4217" s="780"/>
      <c r="X4217" s="782">
        <v>4213</v>
      </c>
      <c r="Y4217" s="782" t="s">
        <v>2248</v>
      </c>
      <c r="Z4217" s="782" t="s">
        <v>4298</v>
      </c>
      <c r="AA4217" s="781">
        <f>$S$1*P!AA4217</f>
        <v>5.963709677419355</v>
      </c>
      <c r="AB4217" s="780"/>
      <c r="AC4217" s="780"/>
      <c r="AD4217" s="780"/>
      <c r="AE4217" s="780"/>
      <c r="AF4217" s="780"/>
    </row>
    <row r="4218" spans="19:32" x14ac:dyDescent="0.35">
      <c r="S4218" s="881">
        <v>4214</v>
      </c>
      <c r="T4218" s="881" t="s">
        <v>4284</v>
      </c>
      <c r="U4218" s="881" t="s">
        <v>2262</v>
      </c>
      <c r="V4218" s="883">
        <f>$S$1*P!V4218</f>
        <v>3.2936000000000001</v>
      </c>
      <c r="W4218" s="780"/>
      <c r="X4218" s="881">
        <v>4214</v>
      </c>
      <c r="Y4218" s="881" t="s">
        <v>2248</v>
      </c>
      <c r="Z4218" s="881" t="s">
        <v>4297</v>
      </c>
      <c r="AA4218" s="890">
        <f>$S$1*P!AA4218</f>
        <v>2.553427419354839E-4</v>
      </c>
      <c r="AB4218" s="780"/>
      <c r="AC4218" s="780"/>
      <c r="AD4218" s="780"/>
      <c r="AE4218" s="780"/>
      <c r="AF4218" s="780"/>
    </row>
    <row r="4219" spans="19:32" x14ac:dyDescent="0.35">
      <c r="S4219" s="881">
        <v>4215</v>
      </c>
      <c r="T4219" s="881" t="s">
        <v>4284</v>
      </c>
      <c r="U4219" s="881" t="s">
        <v>2260</v>
      </c>
      <c r="V4219" s="883">
        <f>$S$1*P!V4219</f>
        <v>0</v>
      </c>
      <c r="W4219" s="780"/>
      <c r="X4219" s="782">
        <v>4215</v>
      </c>
      <c r="Y4219" s="782" t="s">
        <v>2248</v>
      </c>
      <c r="Z4219" s="782" t="s">
        <v>4296</v>
      </c>
      <c r="AA4219" s="781">
        <f>$S$1*P!AA4219</f>
        <v>2.4848790322580646E-6</v>
      </c>
      <c r="AB4219" s="780"/>
      <c r="AC4219" s="780"/>
      <c r="AD4219" s="780"/>
      <c r="AE4219" s="780"/>
      <c r="AF4219" s="780"/>
    </row>
    <row r="4220" spans="19:32" x14ac:dyDescent="0.35">
      <c r="S4220" s="881">
        <v>4216</v>
      </c>
      <c r="T4220" s="881" t="s">
        <v>4284</v>
      </c>
      <c r="U4220" s="881" t="s">
        <v>2258</v>
      </c>
      <c r="V4220" s="883">
        <f>$S$1*P!V4220</f>
        <v>0</v>
      </c>
      <c r="W4220" s="780"/>
      <c r="X4220" s="782">
        <v>4216</v>
      </c>
      <c r="Y4220" s="782" t="s">
        <v>2248</v>
      </c>
      <c r="Z4220" s="782" t="s">
        <v>2551</v>
      </c>
      <c r="AA4220" s="781">
        <f>$S$1*P!AA4220</f>
        <v>1.1653225806451614E-2</v>
      </c>
      <c r="AB4220" s="780"/>
      <c r="AC4220" s="780"/>
      <c r="AD4220" s="780"/>
      <c r="AE4220" s="780"/>
      <c r="AF4220" s="780"/>
    </row>
    <row r="4221" spans="19:32" x14ac:dyDescent="0.35">
      <c r="S4221" s="861">
        <v>4217</v>
      </c>
      <c r="T4221" s="861" t="s">
        <v>4284</v>
      </c>
      <c r="U4221" s="861" t="s">
        <v>4295</v>
      </c>
      <c r="V4221" s="862">
        <f>$S$1*P!V4221</f>
        <v>1.2572499999999998</v>
      </c>
      <c r="W4221" s="780"/>
      <c r="X4221" s="881">
        <v>4217</v>
      </c>
      <c r="Y4221" s="881" t="s">
        <v>2248</v>
      </c>
      <c r="Z4221" s="881" t="s">
        <v>2588</v>
      </c>
      <c r="AA4221" s="890">
        <f>$S$1*P!AA4221</f>
        <v>0.16191999999999998</v>
      </c>
      <c r="AB4221" s="780"/>
      <c r="AC4221" s="780"/>
      <c r="AD4221" s="780"/>
      <c r="AE4221" s="780"/>
      <c r="AF4221" s="780"/>
    </row>
    <row r="4222" spans="19:32" x14ac:dyDescent="0.35">
      <c r="S4222" s="881">
        <v>4218</v>
      </c>
      <c r="T4222" s="881" t="s">
        <v>4284</v>
      </c>
      <c r="U4222" s="881" t="s">
        <v>2257</v>
      </c>
      <c r="V4222" s="883">
        <f>$S$1*P!V4222</f>
        <v>0</v>
      </c>
      <c r="W4222" s="780"/>
      <c r="X4222" s="782">
        <v>4218</v>
      </c>
      <c r="Y4222" s="782" t="s">
        <v>2248</v>
      </c>
      <c r="Z4222" s="782" t="s">
        <v>2549</v>
      </c>
      <c r="AA4222" s="781">
        <f>$S$1*P!AA4222</f>
        <v>8.705645161290323E-5</v>
      </c>
      <c r="AB4222" s="780"/>
      <c r="AC4222" s="780"/>
      <c r="AD4222" s="780"/>
      <c r="AE4222" s="780"/>
      <c r="AF4222" s="780"/>
    </row>
    <row r="4223" spans="19:32" x14ac:dyDescent="0.35">
      <c r="S4223" s="782">
        <v>4219</v>
      </c>
      <c r="T4223" s="782" t="s">
        <v>4284</v>
      </c>
      <c r="U4223" s="782" t="s">
        <v>3564</v>
      </c>
      <c r="V4223" s="797">
        <f>$S$1*P!V4223</f>
        <v>2.3820564516129034E-4</v>
      </c>
      <c r="W4223" s="780"/>
      <c r="X4223" s="782">
        <v>4219</v>
      </c>
      <c r="Y4223" s="782" t="s">
        <v>2248</v>
      </c>
      <c r="Z4223" s="782" t="s">
        <v>4294</v>
      </c>
      <c r="AA4223" s="781">
        <f>$S$1*P!AA4223</f>
        <v>0.40786290322580648</v>
      </c>
      <c r="AB4223" s="780"/>
      <c r="AC4223" s="780"/>
      <c r="AD4223" s="780"/>
      <c r="AE4223" s="780"/>
      <c r="AF4223" s="780"/>
    </row>
    <row r="4224" spans="19:32" x14ac:dyDescent="0.35">
      <c r="S4224" s="782">
        <v>4220</v>
      </c>
      <c r="T4224" s="782" t="s">
        <v>4284</v>
      </c>
      <c r="U4224" s="782" t="s">
        <v>2255</v>
      </c>
      <c r="V4224" s="797">
        <f>$S$1*P!V4224</f>
        <v>3.4616935483870971E-7</v>
      </c>
      <c r="W4224" s="780"/>
      <c r="X4224" s="782">
        <v>4220</v>
      </c>
      <c r="Y4224" s="782" t="s">
        <v>2248</v>
      </c>
      <c r="Z4224" s="782" t="s">
        <v>4293</v>
      </c>
      <c r="AA4224" s="781">
        <f>$S$1*P!AA4224</f>
        <v>1.1241935483870968E-7</v>
      </c>
      <c r="AB4224" s="780"/>
      <c r="AC4224" s="780"/>
      <c r="AD4224" s="780"/>
      <c r="AE4224" s="780"/>
      <c r="AF4224" s="780"/>
    </row>
    <row r="4225" spans="19:32" x14ac:dyDescent="0.35">
      <c r="S4225" s="881">
        <v>4221</v>
      </c>
      <c r="T4225" s="881" t="s">
        <v>4284</v>
      </c>
      <c r="U4225" s="881" t="s">
        <v>2255</v>
      </c>
      <c r="V4225" s="883">
        <f>$S$1*P!V4225</f>
        <v>4.3331999999999997E-3</v>
      </c>
      <c r="W4225" s="780"/>
      <c r="X4225" s="782">
        <v>4221</v>
      </c>
      <c r="Y4225" s="782" t="s">
        <v>2248</v>
      </c>
      <c r="Z4225" s="782" t="s">
        <v>2548</v>
      </c>
      <c r="AA4225" s="781">
        <f>$S$1*P!AA4225</f>
        <v>1.0556451612903227E-3</v>
      </c>
      <c r="AB4225" s="780"/>
      <c r="AC4225" s="780"/>
      <c r="AD4225" s="780"/>
      <c r="AE4225" s="780"/>
      <c r="AF4225" s="780"/>
    </row>
    <row r="4226" spans="19:32" x14ac:dyDescent="0.35">
      <c r="S4226" s="881">
        <v>4222</v>
      </c>
      <c r="T4226" s="881" t="s">
        <v>4284</v>
      </c>
      <c r="U4226" s="881" t="s">
        <v>2254</v>
      </c>
      <c r="V4226" s="883">
        <f>$S$1*P!V4226</f>
        <v>7.9028000000000009</v>
      </c>
      <c r="W4226" s="780"/>
      <c r="X4226" s="782">
        <v>4222</v>
      </c>
      <c r="Y4226" s="782" t="s">
        <v>2248</v>
      </c>
      <c r="Z4226" s="782" t="s">
        <v>4292</v>
      </c>
      <c r="AA4226" s="781">
        <f>$S$1*P!AA4226</f>
        <v>9.0483870967741946E-5</v>
      </c>
      <c r="AB4226" s="780"/>
      <c r="AC4226" s="780"/>
      <c r="AD4226" s="780"/>
      <c r="AE4226" s="780"/>
      <c r="AF4226" s="780"/>
    </row>
    <row r="4227" spans="19:32" x14ac:dyDescent="0.35">
      <c r="S4227" s="881">
        <v>4223</v>
      </c>
      <c r="T4227" s="881" t="s">
        <v>4284</v>
      </c>
      <c r="U4227" s="881" t="s">
        <v>2252</v>
      </c>
      <c r="V4227" s="883">
        <f>$S$1*P!V4227</f>
        <v>0</v>
      </c>
      <c r="W4227" s="780"/>
      <c r="X4227" s="782">
        <v>4223</v>
      </c>
      <c r="Y4227" s="782" t="s">
        <v>2248</v>
      </c>
      <c r="Z4227" s="782" t="s">
        <v>4291</v>
      </c>
      <c r="AA4227" s="781">
        <f>$S$1*P!AA4227</f>
        <v>3.094959677419355E-3</v>
      </c>
      <c r="AB4227" s="780"/>
      <c r="AC4227" s="780"/>
      <c r="AD4227" s="780"/>
      <c r="AE4227" s="780"/>
      <c r="AF4227" s="780"/>
    </row>
    <row r="4228" spans="19:32" x14ac:dyDescent="0.35">
      <c r="S4228" s="782">
        <v>4224</v>
      </c>
      <c r="T4228" s="782" t="s">
        <v>4284</v>
      </c>
      <c r="U4228" s="782" t="s">
        <v>2251</v>
      </c>
      <c r="V4228" s="797">
        <f>$S$1*P!V4228</f>
        <v>1.7274193548387098</v>
      </c>
      <c r="W4228" s="780"/>
      <c r="X4228" s="782">
        <v>4224</v>
      </c>
      <c r="Y4228" s="782" t="s">
        <v>2248</v>
      </c>
      <c r="Z4228" s="782" t="s">
        <v>4210</v>
      </c>
      <c r="AA4228" s="781">
        <f>$S$1*P!AA4228</f>
        <v>0.23203629032258066</v>
      </c>
      <c r="AB4228" s="780"/>
      <c r="AC4228" s="780"/>
      <c r="AD4228" s="780"/>
      <c r="AE4228" s="780"/>
      <c r="AF4228" s="780"/>
    </row>
    <row r="4229" spans="19:32" x14ac:dyDescent="0.35">
      <c r="S4229" s="881">
        <v>4225</v>
      </c>
      <c r="T4229" s="881" t="s">
        <v>4284</v>
      </c>
      <c r="U4229" s="881" t="s">
        <v>2251</v>
      </c>
      <c r="V4229" s="883">
        <f>$S$1*P!V4229</f>
        <v>0</v>
      </c>
      <c r="W4229" s="780"/>
      <c r="X4229" s="881">
        <v>4225</v>
      </c>
      <c r="Y4229" s="881" t="s">
        <v>2248</v>
      </c>
      <c r="Z4229" s="881" t="s">
        <v>4290</v>
      </c>
      <c r="AA4229" s="890">
        <f>$S$1*P!AA4229</f>
        <v>1.4909274193548388E-3</v>
      </c>
      <c r="AB4229" s="780"/>
      <c r="AC4229" s="780"/>
      <c r="AD4229" s="780"/>
      <c r="AE4229" s="780"/>
      <c r="AF4229" s="780"/>
    </row>
    <row r="4230" spans="19:32" x14ac:dyDescent="0.35">
      <c r="S4230" s="782">
        <v>4226</v>
      </c>
      <c r="T4230" s="782" t="s">
        <v>4284</v>
      </c>
      <c r="U4230" s="782" t="s">
        <v>3555</v>
      </c>
      <c r="V4230" s="797">
        <f>$S$1*P!V4230</f>
        <v>10.86491935483871</v>
      </c>
      <c r="W4230" s="780"/>
      <c r="X4230" s="782">
        <v>4226</v>
      </c>
      <c r="Y4230" s="782" t="s">
        <v>2248</v>
      </c>
      <c r="Z4230" s="782" t="s">
        <v>4289</v>
      </c>
      <c r="AA4230" s="781">
        <f>$S$1*P!AA4230</f>
        <v>0.37358870967741936</v>
      </c>
      <c r="AB4230" s="780"/>
      <c r="AC4230" s="780"/>
      <c r="AD4230" s="780"/>
      <c r="AE4230" s="780"/>
      <c r="AF4230" s="780"/>
    </row>
    <row r="4231" spans="19:32" x14ac:dyDescent="0.35">
      <c r="S4231" s="782">
        <v>4227</v>
      </c>
      <c r="T4231" s="782" t="s">
        <v>4284</v>
      </c>
      <c r="U4231" s="782" t="s">
        <v>3553</v>
      </c>
      <c r="V4231" s="797">
        <f>$S$1*P!V4231</f>
        <v>3.070967741935484E-6</v>
      </c>
      <c r="W4231" s="780"/>
      <c r="X4231" s="782">
        <v>4227</v>
      </c>
      <c r="Y4231" s="782" t="s">
        <v>2248</v>
      </c>
      <c r="Z4231" s="782" t="s">
        <v>4208</v>
      </c>
      <c r="AA4231" s="781">
        <f>$S$1*P!AA4231</f>
        <v>6.3407258064516131E-3</v>
      </c>
      <c r="AB4231" s="780"/>
      <c r="AC4231" s="780"/>
      <c r="AD4231" s="780"/>
      <c r="AE4231" s="780"/>
      <c r="AF4231" s="780"/>
    </row>
    <row r="4232" spans="19:32" x14ac:dyDescent="0.35">
      <c r="S4232" s="782">
        <v>4228</v>
      </c>
      <c r="T4232" s="782" t="s">
        <v>4284</v>
      </c>
      <c r="U4232" s="782" t="s">
        <v>3550</v>
      </c>
      <c r="V4232" s="797">
        <f>$S$1*P!V4232</f>
        <v>4.6955645161290328E-6</v>
      </c>
      <c r="W4232" s="780"/>
      <c r="X4232" s="881">
        <v>4228</v>
      </c>
      <c r="Y4232" s="881" t="s">
        <v>2248</v>
      </c>
      <c r="Z4232" s="881" t="s">
        <v>2587</v>
      </c>
      <c r="AA4232" s="890">
        <f>$S$1*P!AA4232</f>
        <v>0</v>
      </c>
      <c r="AB4232" s="780"/>
      <c r="AC4232" s="780"/>
      <c r="AD4232" s="780"/>
      <c r="AE4232" s="780"/>
      <c r="AF4232" s="780"/>
    </row>
    <row r="4233" spans="19:32" x14ac:dyDescent="0.35">
      <c r="S4233" s="782">
        <v>4229</v>
      </c>
      <c r="T4233" s="782" t="s">
        <v>4284</v>
      </c>
      <c r="U4233" s="782" t="s">
        <v>3548</v>
      </c>
      <c r="V4233" s="797">
        <f>$S$1*P!V4233</f>
        <v>4.5927419354838712E-6</v>
      </c>
      <c r="W4233" s="780"/>
      <c r="X4233" s="782">
        <v>4229</v>
      </c>
      <c r="Y4233" s="782" t="s">
        <v>2248</v>
      </c>
      <c r="Z4233" s="782" t="s">
        <v>2587</v>
      </c>
      <c r="AA4233" s="781">
        <f>$S$1*P!AA4233</f>
        <v>0.46612903225806457</v>
      </c>
      <c r="AB4233" s="780"/>
      <c r="AC4233" s="780"/>
      <c r="AD4233" s="780"/>
      <c r="AE4233" s="780"/>
      <c r="AF4233" s="780"/>
    </row>
    <row r="4234" spans="19:32" x14ac:dyDescent="0.35">
      <c r="S4234" s="782">
        <v>4230</v>
      </c>
      <c r="T4234" s="782" t="s">
        <v>4284</v>
      </c>
      <c r="U4234" s="782" t="s">
        <v>2249</v>
      </c>
      <c r="V4234" s="797">
        <f>$S$1*P!V4234</f>
        <v>2.4197580645161292E-2</v>
      </c>
      <c r="W4234" s="780"/>
      <c r="X4234" s="782">
        <v>4230</v>
      </c>
      <c r="Y4234" s="782" t="s">
        <v>2248</v>
      </c>
      <c r="Z4234" s="782" t="s">
        <v>4207</v>
      </c>
      <c r="AA4234" s="781">
        <f>$S$1*P!AA4234</f>
        <v>1.3092741935483872E-2</v>
      </c>
      <c r="AB4234" s="780"/>
      <c r="AC4234" s="780"/>
      <c r="AD4234" s="780"/>
      <c r="AE4234" s="780"/>
      <c r="AF4234" s="780"/>
    </row>
    <row r="4235" spans="19:32" x14ac:dyDescent="0.35">
      <c r="S4235" s="881">
        <v>4231</v>
      </c>
      <c r="T4235" s="881" t="s">
        <v>4284</v>
      </c>
      <c r="U4235" s="881" t="s">
        <v>2249</v>
      </c>
      <c r="V4235" s="883">
        <f>$S$1*P!V4235</f>
        <v>5.0231999999999999E-2</v>
      </c>
      <c r="W4235" s="780"/>
      <c r="X4235" s="782">
        <v>4231</v>
      </c>
      <c r="Y4235" s="782" t="s">
        <v>2248</v>
      </c>
      <c r="Z4235" s="782" t="s">
        <v>4288</v>
      </c>
      <c r="AA4235" s="781">
        <f>$S$1*P!AA4235</f>
        <v>3.42741935483871E-7</v>
      </c>
      <c r="AB4235" s="780"/>
      <c r="AC4235" s="780"/>
      <c r="AD4235" s="780"/>
      <c r="AE4235" s="780"/>
      <c r="AF4235" s="780"/>
    </row>
    <row r="4236" spans="19:32" x14ac:dyDescent="0.35">
      <c r="S4236" s="782">
        <v>4232</v>
      </c>
      <c r="T4236" s="782" t="s">
        <v>4284</v>
      </c>
      <c r="U4236" s="782" t="s">
        <v>2247</v>
      </c>
      <c r="V4236" s="797">
        <f>$S$1*P!V4236</f>
        <v>0.11858870967741936</v>
      </c>
      <c r="W4236" s="780"/>
      <c r="X4236" s="861">
        <v>4232</v>
      </c>
      <c r="Y4236" s="861" t="s">
        <v>2248</v>
      </c>
      <c r="Z4236" s="861" t="s">
        <v>4287</v>
      </c>
      <c r="AA4236" s="904">
        <f>$S$1*P!AA4236</f>
        <v>4.7</v>
      </c>
      <c r="AB4236" s="780"/>
      <c r="AC4236" s="780"/>
      <c r="AD4236" s="780"/>
      <c r="AE4236" s="780"/>
      <c r="AF4236" s="780"/>
    </row>
    <row r="4237" spans="19:32" x14ac:dyDescent="0.35">
      <c r="S4237" s="881">
        <v>4233</v>
      </c>
      <c r="T4237" s="881" t="s">
        <v>4284</v>
      </c>
      <c r="U4237" s="881" t="s">
        <v>2247</v>
      </c>
      <c r="V4237" s="883">
        <f>$S$1*P!V4237</f>
        <v>0.42043999999999998</v>
      </c>
      <c r="W4237" s="780"/>
      <c r="X4237" s="782">
        <v>4233</v>
      </c>
      <c r="Y4237" s="782" t="s">
        <v>2248</v>
      </c>
      <c r="Z4237" s="782" t="s">
        <v>4206</v>
      </c>
      <c r="AA4237" s="781">
        <f>$S$1*P!AA4237</f>
        <v>1.7137096774193551E-2</v>
      </c>
      <c r="AB4237" s="780"/>
      <c r="AC4237" s="780"/>
      <c r="AD4237" s="780"/>
      <c r="AE4237" s="780"/>
      <c r="AF4237" s="780"/>
    </row>
    <row r="4238" spans="19:32" x14ac:dyDescent="0.35">
      <c r="S4238" s="924">
        <v>4234</v>
      </c>
      <c r="T4238" s="924" t="s">
        <v>4284</v>
      </c>
      <c r="U4238" s="782" t="s">
        <v>4286</v>
      </c>
      <c r="V4238" s="797">
        <f>$S$1*P!V4238</f>
        <v>2.1078629032258065E-5</v>
      </c>
      <c r="W4238" s="780"/>
      <c r="X4238" s="881">
        <v>4234</v>
      </c>
      <c r="Y4238" s="881" t="s">
        <v>2248</v>
      </c>
      <c r="Z4238" s="881" t="s">
        <v>2585</v>
      </c>
      <c r="AA4238" s="890">
        <f>$S$1*P!AA4238</f>
        <v>7.3599999999999999E-2</v>
      </c>
      <c r="AB4238" s="780"/>
      <c r="AC4238" s="780"/>
      <c r="AD4238" s="780"/>
      <c r="AE4238" s="780"/>
      <c r="AF4238" s="780"/>
    </row>
    <row r="4239" spans="19:32" x14ac:dyDescent="0.35">
      <c r="S4239" s="782">
        <v>4235</v>
      </c>
      <c r="T4239" s="782" t="s">
        <v>4284</v>
      </c>
      <c r="U4239" s="782" t="s">
        <v>4285</v>
      </c>
      <c r="V4239" s="797">
        <f>$S$1*P!V4239</f>
        <v>1.227016129032258E-5</v>
      </c>
      <c r="W4239" s="780"/>
      <c r="X4239" s="881">
        <v>4235</v>
      </c>
      <c r="Y4239" s="881" t="s">
        <v>2248</v>
      </c>
      <c r="Z4239" s="881" t="s">
        <v>3186</v>
      </c>
      <c r="AA4239" s="890">
        <f>$S$1*P!AA4239</f>
        <v>3.9072580645161292E-4</v>
      </c>
      <c r="AB4239" s="780"/>
      <c r="AC4239" s="780"/>
      <c r="AD4239" s="780"/>
      <c r="AE4239" s="780"/>
      <c r="AF4239" s="780"/>
    </row>
    <row r="4240" spans="19:32" x14ac:dyDescent="0.35">
      <c r="S4240" s="925">
        <v>4236</v>
      </c>
      <c r="T4240" s="925" t="s">
        <v>4284</v>
      </c>
      <c r="U4240" s="925" t="s">
        <v>4283</v>
      </c>
      <c r="V4240" s="926">
        <f>$S$1*P!V4240</f>
        <v>9.1640000000000003E-3</v>
      </c>
      <c r="W4240" s="780"/>
      <c r="X4240" s="782">
        <v>4236</v>
      </c>
      <c r="Y4240" s="782" t="s">
        <v>2248</v>
      </c>
      <c r="Z4240" s="782" t="s">
        <v>2585</v>
      </c>
      <c r="AA4240" s="781">
        <f>$S$1*P!AA4240</f>
        <v>3.0332661290322584E-5</v>
      </c>
      <c r="AB4240" s="780"/>
      <c r="AC4240" s="780"/>
      <c r="AD4240" s="780"/>
      <c r="AE4240" s="780"/>
      <c r="AF4240" s="780"/>
    </row>
    <row r="4241" spans="19:32" x14ac:dyDescent="0.35">
      <c r="S4241" s="920">
        <v>4237</v>
      </c>
      <c r="T4241" s="920" t="s">
        <v>4284</v>
      </c>
      <c r="U4241" s="920" t="s">
        <v>5857</v>
      </c>
      <c r="V4241" s="927">
        <f>$S$1*P!V4241</f>
        <v>32660000</v>
      </c>
      <c r="W4241" s="780"/>
      <c r="X4241" s="782">
        <v>4237</v>
      </c>
      <c r="Y4241" s="782" t="s">
        <v>2248</v>
      </c>
      <c r="Z4241" s="782" t="s">
        <v>2545</v>
      </c>
      <c r="AA4241" s="781">
        <f>$S$1*P!AA4241</f>
        <v>0.21250000000000002</v>
      </c>
      <c r="AB4241" s="780"/>
      <c r="AC4241" s="780"/>
      <c r="AD4241" s="780"/>
      <c r="AE4241" s="780"/>
      <c r="AF4241" s="780"/>
    </row>
    <row r="4242" spans="19:32" x14ac:dyDescent="0.35">
      <c r="S4242" s="780"/>
      <c r="T4242" s="928"/>
      <c r="U4242" s="928"/>
      <c r="V4242" s="928"/>
      <c r="W4242" s="780"/>
      <c r="X4242" s="782">
        <v>4238</v>
      </c>
      <c r="Y4242" s="782" t="s">
        <v>2248</v>
      </c>
      <c r="Z4242" s="782" t="s">
        <v>2542</v>
      </c>
      <c r="AA4242" s="781">
        <f>$S$1*P!AA4242</f>
        <v>1.4018145161290322E-3</v>
      </c>
      <c r="AB4242" s="780"/>
      <c r="AC4242" s="780"/>
      <c r="AD4242" s="780"/>
      <c r="AE4242" s="780"/>
      <c r="AF4242" s="780"/>
    </row>
    <row r="4243" spans="19:32" x14ac:dyDescent="0.35">
      <c r="S4243" s="780"/>
      <c r="T4243" s="928"/>
      <c r="U4243" s="928"/>
      <c r="V4243" s="928"/>
      <c r="W4243" s="780"/>
      <c r="X4243" s="881">
        <v>4239</v>
      </c>
      <c r="Y4243" s="881" t="s">
        <v>2248</v>
      </c>
      <c r="Z4243" s="881" t="s">
        <v>2584</v>
      </c>
      <c r="AA4243" s="890">
        <f>$S$1*P!AA4243</f>
        <v>0.26035999999999998</v>
      </c>
      <c r="AB4243" s="780"/>
      <c r="AC4243" s="780"/>
      <c r="AD4243" s="780"/>
      <c r="AE4243" s="780"/>
      <c r="AF4243" s="780"/>
    </row>
    <row r="4244" spans="19:32" x14ac:dyDescent="0.35">
      <c r="S4244" s="780"/>
      <c r="T4244" s="928"/>
      <c r="U4244" s="928"/>
      <c r="V4244" s="928"/>
      <c r="W4244" s="780"/>
      <c r="X4244" s="782">
        <v>4240</v>
      </c>
      <c r="Y4244" s="782" t="s">
        <v>2248</v>
      </c>
      <c r="Z4244" s="782" t="s">
        <v>2584</v>
      </c>
      <c r="AA4244" s="781">
        <f>$S$1*P!AA4244</f>
        <v>3.9415322580645161E-3</v>
      </c>
      <c r="AB4244" s="780"/>
      <c r="AC4244" s="780"/>
      <c r="AD4244" s="780"/>
      <c r="AE4244" s="780"/>
      <c r="AF4244" s="780"/>
    </row>
    <row r="4245" spans="19:32" x14ac:dyDescent="0.35">
      <c r="S4245" s="780"/>
      <c r="T4245" s="928"/>
      <c r="U4245" s="928"/>
      <c r="V4245" s="928"/>
      <c r="W4245" s="780"/>
      <c r="X4245" s="881">
        <v>4241</v>
      </c>
      <c r="Y4245" s="881" t="s">
        <v>2248</v>
      </c>
      <c r="Z4245" s="881" t="s">
        <v>4282</v>
      </c>
      <c r="AA4245" s="890">
        <f>$S$1*P!AA4245</f>
        <v>8.362903225806452E-2</v>
      </c>
      <c r="AB4245" s="780"/>
      <c r="AC4245" s="780"/>
      <c r="AD4245" s="780"/>
      <c r="AE4245" s="780"/>
      <c r="AF4245" s="780"/>
    </row>
    <row r="4246" spans="19:32" x14ac:dyDescent="0.35">
      <c r="S4246" s="780"/>
      <c r="T4246" s="928"/>
      <c r="U4246" s="928"/>
      <c r="V4246" s="928"/>
      <c r="W4246" s="780"/>
      <c r="X4246" s="782">
        <v>4242</v>
      </c>
      <c r="Y4246" s="782" t="s">
        <v>2248</v>
      </c>
      <c r="Z4246" s="782" t="s">
        <v>4202</v>
      </c>
      <c r="AA4246" s="781">
        <f>$S$1*P!AA4246</f>
        <v>1.2612903225806453</v>
      </c>
      <c r="AB4246" s="780"/>
      <c r="AC4246" s="780"/>
      <c r="AD4246" s="780"/>
      <c r="AE4246" s="780"/>
      <c r="AF4246" s="780"/>
    </row>
    <row r="4247" spans="19:32" x14ac:dyDescent="0.35">
      <c r="S4247" s="780"/>
      <c r="T4247" s="928"/>
      <c r="U4247" s="928"/>
      <c r="V4247" s="928"/>
      <c r="W4247" s="780"/>
      <c r="X4247" s="782">
        <v>4243</v>
      </c>
      <c r="Y4247" s="782" t="s">
        <v>2248</v>
      </c>
      <c r="Z4247" s="782" t="s">
        <v>4281</v>
      </c>
      <c r="AA4247" s="781">
        <f>$S$1*P!AA4247</f>
        <v>6.2721774193548398E-4</v>
      </c>
      <c r="AB4247" s="780"/>
      <c r="AC4247" s="780"/>
      <c r="AD4247" s="780"/>
      <c r="AE4247" s="780"/>
      <c r="AF4247" s="780"/>
    </row>
    <row r="4248" spans="19:32" x14ac:dyDescent="0.35">
      <c r="S4248" s="780"/>
      <c r="T4248" s="928"/>
      <c r="U4248" s="928"/>
      <c r="V4248" s="928"/>
      <c r="W4248" s="780"/>
      <c r="X4248" s="782">
        <v>4244</v>
      </c>
      <c r="Y4248" s="782" t="s">
        <v>2248</v>
      </c>
      <c r="Z4248" s="782" t="s">
        <v>2534</v>
      </c>
      <c r="AA4248" s="781">
        <f>$S$1*P!AA4248</f>
        <v>1.2270161290322582E-2</v>
      </c>
      <c r="AB4248" s="780"/>
      <c r="AC4248" s="780"/>
      <c r="AD4248" s="780"/>
      <c r="AE4248" s="780"/>
      <c r="AF4248" s="780"/>
    </row>
    <row r="4249" spans="19:32" x14ac:dyDescent="0.35">
      <c r="S4249" s="780"/>
      <c r="T4249" s="928"/>
      <c r="U4249" s="928"/>
      <c r="V4249" s="928"/>
      <c r="W4249" s="780"/>
      <c r="X4249" s="782">
        <v>4245</v>
      </c>
      <c r="Y4249" s="782" t="s">
        <v>2248</v>
      </c>
      <c r="Z4249" s="782" t="s">
        <v>4280</v>
      </c>
      <c r="AA4249" s="781">
        <f>$S$1*P!AA4249</f>
        <v>2.344354838709678E-3</v>
      </c>
      <c r="AB4249" s="780"/>
      <c r="AC4249" s="780"/>
      <c r="AD4249" s="780"/>
      <c r="AE4249" s="780"/>
      <c r="AF4249" s="780"/>
    </row>
    <row r="4250" spans="19:32" x14ac:dyDescent="0.35">
      <c r="S4250" s="780"/>
      <c r="T4250" s="928"/>
      <c r="U4250" s="928"/>
      <c r="V4250" s="928"/>
      <c r="W4250" s="780"/>
      <c r="X4250" s="881">
        <v>4246</v>
      </c>
      <c r="Y4250" s="881" t="s">
        <v>2248</v>
      </c>
      <c r="Z4250" s="881" t="s">
        <v>3182</v>
      </c>
      <c r="AA4250" s="890">
        <f>$S$1*P!AA4250</f>
        <v>2.7282258064516132E-2</v>
      </c>
      <c r="AB4250" s="780"/>
      <c r="AC4250" s="780"/>
      <c r="AD4250" s="780"/>
      <c r="AE4250" s="780"/>
      <c r="AF4250" s="780"/>
    </row>
    <row r="4251" spans="19:32" x14ac:dyDescent="0.35">
      <c r="S4251" s="780"/>
      <c r="T4251" s="928"/>
      <c r="U4251" s="928"/>
      <c r="V4251" s="928"/>
      <c r="W4251" s="780"/>
      <c r="X4251" s="782">
        <v>4247</v>
      </c>
      <c r="Y4251" s="782" t="s">
        <v>2248</v>
      </c>
      <c r="Z4251" s="782" t="s">
        <v>4279</v>
      </c>
      <c r="AA4251" s="781">
        <f>$S$1*P!AA4251</f>
        <v>2.7042338709677423E-3</v>
      </c>
      <c r="AB4251" s="780"/>
      <c r="AC4251" s="780"/>
      <c r="AD4251" s="780"/>
      <c r="AE4251" s="780"/>
      <c r="AF4251" s="780"/>
    </row>
    <row r="4252" spans="19:32" x14ac:dyDescent="0.35">
      <c r="S4252" s="780"/>
      <c r="T4252" s="928"/>
      <c r="U4252" s="928"/>
      <c r="V4252" s="928"/>
      <c r="W4252" s="780"/>
      <c r="X4252" s="782">
        <v>4248</v>
      </c>
      <c r="Y4252" s="782" t="s">
        <v>2248</v>
      </c>
      <c r="Z4252" s="782" t="s">
        <v>4199</v>
      </c>
      <c r="AA4252" s="781">
        <f>$S$1*P!AA4252</f>
        <v>8.3971774193548399E-2</v>
      </c>
      <c r="AB4252" s="780"/>
      <c r="AC4252" s="780"/>
      <c r="AD4252" s="780"/>
      <c r="AE4252" s="780"/>
      <c r="AF4252" s="780"/>
    </row>
    <row r="4253" spans="19:32" x14ac:dyDescent="0.35">
      <c r="S4253" s="780"/>
      <c r="T4253" s="928"/>
      <c r="U4253" s="928"/>
      <c r="V4253" s="928"/>
      <c r="W4253" s="780"/>
      <c r="X4253" s="881">
        <v>4249</v>
      </c>
      <c r="Y4253" s="881" t="s">
        <v>2248</v>
      </c>
      <c r="Z4253" s="881" t="s">
        <v>2582</v>
      </c>
      <c r="AA4253" s="890">
        <f>$S$1*P!AA4253</f>
        <v>0</v>
      </c>
      <c r="AB4253" s="780"/>
      <c r="AC4253" s="780"/>
      <c r="AD4253" s="780"/>
      <c r="AE4253" s="780"/>
      <c r="AF4253" s="780"/>
    </row>
    <row r="4254" spans="19:32" x14ac:dyDescent="0.35">
      <c r="S4254" s="780"/>
      <c r="T4254" s="928"/>
      <c r="U4254" s="928"/>
      <c r="V4254" s="928"/>
      <c r="W4254" s="780"/>
      <c r="X4254" s="782">
        <v>4250</v>
      </c>
      <c r="Y4254" s="782" t="s">
        <v>2248</v>
      </c>
      <c r="Z4254" s="782" t="s">
        <v>4197</v>
      </c>
      <c r="AA4254" s="781">
        <f>$S$1*P!AA4254</f>
        <v>0.60322580645161294</v>
      </c>
      <c r="AB4254" s="780"/>
      <c r="AC4254" s="780"/>
      <c r="AD4254" s="780"/>
      <c r="AE4254" s="780"/>
      <c r="AF4254" s="780"/>
    </row>
    <row r="4255" spans="19:32" x14ac:dyDescent="0.35">
      <c r="S4255" s="780"/>
      <c r="T4255" s="928"/>
      <c r="U4255" s="928"/>
      <c r="V4255" s="928"/>
      <c r="W4255" s="780"/>
      <c r="X4255" s="861">
        <v>4251</v>
      </c>
      <c r="Y4255" s="861" t="s">
        <v>2248</v>
      </c>
      <c r="Z4255" s="861" t="s">
        <v>4278</v>
      </c>
      <c r="AA4255" s="904">
        <f>$S$1*P!AA4255</f>
        <v>4.5590000000000002</v>
      </c>
      <c r="AB4255" s="780"/>
      <c r="AC4255" s="780"/>
      <c r="AD4255" s="780"/>
      <c r="AE4255" s="780"/>
      <c r="AF4255" s="780"/>
    </row>
    <row r="4256" spans="19:32" x14ac:dyDescent="0.35">
      <c r="S4256" s="780"/>
      <c r="T4256" s="928"/>
      <c r="U4256" s="928"/>
      <c r="V4256" s="928"/>
      <c r="W4256" s="780"/>
      <c r="X4256" s="881">
        <v>4252</v>
      </c>
      <c r="Y4256" s="881" t="s">
        <v>2248</v>
      </c>
      <c r="Z4256" s="881" t="s">
        <v>4277</v>
      </c>
      <c r="AA4256" s="890">
        <f>$S$1*P!AA4256</f>
        <v>3.5645161290322587E-4</v>
      </c>
      <c r="AB4256" s="780"/>
      <c r="AC4256" s="780"/>
      <c r="AD4256" s="780"/>
      <c r="AE4256" s="780"/>
      <c r="AF4256" s="780"/>
    </row>
    <row r="4257" spans="19:32" x14ac:dyDescent="0.35">
      <c r="S4257" s="780"/>
      <c r="T4257" s="928"/>
      <c r="U4257" s="928"/>
      <c r="V4257" s="928"/>
      <c r="W4257" s="780"/>
      <c r="X4257" s="782">
        <v>4253</v>
      </c>
      <c r="Y4257" s="782" t="s">
        <v>2248</v>
      </c>
      <c r="Z4257" s="782" t="s">
        <v>4276</v>
      </c>
      <c r="AA4257" s="781">
        <f>$S$1*P!AA4257</f>
        <v>1.2989919354838709E-3</v>
      </c>
      <c r="AB4257" s="780"/>
      <c r="AC4257" s="780"/>
      <c r="AD4257" s="780"/>
      <c r="AE4257" s="780"/>
      <c r="AF4257" s="780"/>
    </row>
    <row r="4258" spans="19:32" x14ac:dyDescent="0.35">
      <c r="S4258" s="780"/>
      <c r="T4258" s="928"/>
      <c r="U4258" s="928"/>
      <c r="V4258" s="928"/>
      <c r="W4258" s="780"/>
      <c r="X4258" s="782">
        <v>4254</v>
      </c>
      <c r="Y4258" s="782" t="s">
        <v>2248</v>
      </c>
      <c r="Z4258" s="782" t="s">
        <v>2524</v>
      </c>
      <c r="AA4258" s="781">
        <f>$S$1*P!AA4258</f>
        <v>3.3485887096774199E-2</v>
      </c>
      <c r="AB4258" s="780"/>
      <c r="AC4258" s="780"/>
      <c r="AD4258" s="780"/>
      <c r="AE4258" s="780"/>
      <c r="AF4258" s="780"/>
    </row>
    <row r="4259" spans="19:32" x14ac:dyDescent="0.35">
      <c r="S4259" s="780"/>
      <c r="T4259" s="928"/>
      <c r="U4259" s="928"/>
      <c r="V4259" s="928"/>
      <c r="W4259" s="780"/>
      <c r="X4259" s="782">
        <v>4255</v>
      </c>
      <c r="Y4259" s="782" t="s">
        <v>2248</v>
      </c>
      <c r="Z4259" s="782" t="s">
        <v>4275</v>
      </c>
      <c r="AA4259" s="781">
        <f>$S$1*P!AA4259</f>
        <v>5.381048387096775E-3</v>
      </c>
      <c r="AB4259" s="780"/>
      <c r="AC4259" s="780"/>
      <c r="AD4259" s="780"/>
      <c r="AE4259" s="780"/>
      <c r="AF4259" s="780"/>
    </row>
    <row r="4260" spans="19:32" x14ac:dyDescent="0.35">
      <c r="S4260" s="780"/>
      <c r="T4260" s="928"/>
      <c r="U4260" s="928"/>
      <c r="V4260" s="928"/>
      <c r="W4260" s="780"/>
      <c r="X4260" s="782">
        <v>4256</v>
      </c>
      <c r="Y4260" s="782" t="s">
        <v>2248</v>
      </c>
      <c r="Z4260" s="782" t="s">
        <v>4194</v>
      </c>
      <c r="AA4260" s="781">
        <f>$S$1*P!AA4260</f>
        <v>6.5120967741935491E-4</v>
      </c>
      <c r="AB4260" s="780"/>
      <c r="AC4260" s="780"/>
      <c r="AD4260" s="780"/>
      <c r="AE4260" s="780"/>
      <c r="AF4260" s="780"/>
    </row>
    <row r="4261" spans="19:32" x14ac:dyDescent="0.35">
      <c r="S4261" s="780"/>
      <c r="T4261" s="928"/>
      <c r="U4261" s="928"/>
      <c r="V4261" s="928"/>
      <c r="W4261" s="780"/>
      <c r="X4261" s="782">
        <v>4257</v>
      </c>
      <c r="Y4261" s="782" t="s">
        <v>2248</v>
      </c>
      <c r="Z4261" s="782" t="s">
        <v>4274</v>
      </c>
      <c r="AA4261" s="781">
        <f>$S$1*P!AA4261</f>
        <v>1.6074596774193549E-3</v>
      </c>
      <c r="AB4261" s="780"/>
      <c r="AC4261" s="780"/>
      <c r="AD4261" s="780"/>
      <c r="AE4261" s="780"/>
      <c r="AF4261" s="780"/>
    </row>
    <row r="4262" spans="19:32" x14ac:dyDescent="0.35">
      <c r="S4262" s="780"/>
      <c r="T4262" s="928"/>
      <c r="U4262" s="928"/>
      <c r="V4262" s="928"/>
      <c r="W4262" s="780"/>
      <c r="X4262" s="782">
        <v>4258</v>
      </c>
      <c r="Y4262" s="782" t="s">
        <v>2248</v>
      </c>
      <c r="Z4262" s="782" t="s">
        <v>4273</v>
      </c>
      <c r="AA4262" s="781">
        <f>$S$1*P!AA4262</f>
        <v>5.6552419354838713E-5</v>
      </c>
      <c r="AB4262" s="780"/>
      <c r="AC4262" s="780"/>
      <c r="AD4262" s="780"/>
      <c r="AE4262" s="780"/>
      <c r="AF4262" s="780"/>
    </row>
    <row r="4263" spans="19:32" x14ac:dyDescent="0.35">
      <c r="S4263" s="780"/>
      <c r="T4263" s="928"/>
      <c r="U4263" s="928"/>
      <c r="V4263" s="928"/>
      <c r="W4263" s="780"/>
      <c r="X4263" s="782">
        <v>4259</v>
      </c>
      <c r="Y4263" s="782" t="s">
        <v>2248</v>
      </c>
      <c r="Z4263" s="782" t="s">
        <v>4193</v>
      </c>
      <c r="AA4263" s="781">
        <f>$S$1*P!AA4263</f>
        <v>9.45967741935484E-4</v>
      </c>
      <c r="AB4263" s="780"/>
      <c r="AC4263" s="780"/>
      <c r="AD4263" s="780"/>
      <c r="AE4263" s="780"/>
      <c r="AF4263" s="780"/>
    </row>
    <row r="4264" spans="19:32" x14ac:dyDescent="0.35">
      <c r="S4264" s="780"/>
      <c r="T4264" s="928"/>
      <c r="U4264" s="928"/>
      <c r="V4264" s="928"/>
      <c r="W4264" s="780"/>
      <c r="X4264" s="782">
        <v>4260</v>
      </c>
      <c r="Y4264" s="782" t="s">
        <v>2248</v>
      </c>
      <c r="Z4264" s="782" t="s">
        <v>4272</v>
      </c>
      <c r="AA4264" s="781">
        <f>$S$1*P!AA4264</f>
        <v>3.2663306451612903E-3</v>
      </c>
      <c r="AB4264" s="780"/>
      <c r="AC4264" s="780"/>
      <c r="AD4264" s="780"/>
      <c r="AE4264" s="780"/>
      <c r="AF4264" s="780"/>
    </row>
    <row r="4265" spans="19:32" x14ac:dyDescent="0.35">
      <c r="S4265" s="780"/>
      <c r="T4265" s="928"/>
      <c r="U4265" s="928"/>
      <c r="V4265" s="928"/>
      <c r="W4265" s="780"/>
      <c r="X4265" s="881">
        <v>4261</v>
      </c>
      <c r="Y4265" s="881" t="s">
        <v>2248</v>
      </c>
      <c r="Z4265" s="881" t="s">
        <v>4271</v>
      </c>
      <c r="AA4265" s="890">
        <f>$S$1*P!AA4265</f>
        <v>0.24300403225806452</v>
      </c>
      <c r="AB4265" s="780"/>
      <c r="AC4265" s="780"/>
      <c r="AD4265" s="780"/>
      <c r="AE4265" s="780"/>
      <c r="AF4265" s="780"/>
    </row>
    <row r="4266" spans="19:32" x14ac:dyDescent="0.35">
      <c r="S4266" s="780"/>
      <c r="T4266" s="928"/>
      <c r="U4266" s="928"/>
      <c r="V4266" s="928"/>
      <c r="W4266" s="780"/>
      <c r="X4266" s="782">
        <v>4262</v>
      </c>
      <c r="Y4266" s="782" t="s">
        <v>2248</v>
      </c>
      <c r="Z4266" s="782" t="s">
        <v>4270</v>
      </c>
      <c r="AA4266" s="781">
        <f>$S$1*P!AA4266</f>
        <v>5.8608870967741941E-3</v>
      </c>
      <c r="AB4266" s="780"/>
      <c r="AC4266" s="780"/>
      <c r="AD4266" s="780"/>
      <c r="AE4266" s="780"/>
      <c r="AF4266" s="780"/>
    </row>
    <row r="4267" spans="19:32" x14ac:dyDescent="0.35">
      <c r="S4267" s="780"/>
      <c r="T4267" s="928"/>
      <c r="U4267" s="928"/>
      <c r="V4267" s="928"/>
      <c r="W4267" s="780"/>
      <c r="X4267" s="782">
        <v>4263</v>
      </c>
      <c r="Y4267" s="782" t="s">
        <v>2248</v>
      </c>
      <c r="Z4267" s="782" t="s">
        <v>4191</v>
      </c>
      <c r="AA4267" s="781">
        <f>$S$1*P!AA4267</f>
        <v>2.8961693548387097E-3</v>
      </c>
      <c r="AB4267" s="780"/>
      <c r="AC4267" s="780"/>
      <c r="AD4267" s="780"/>
      <c r="AE4267" s="780"/>
      <c r="AF4267" s="780"/>
    </row>
    <row r="4268" spans="19:32" x14ac:dyDescent="0.35">
      <c r="S4268" s="780"/>
      <c r="T4268" s="928"/>
      <c r="U4268" s="928"/>
      <c r="V4268" s="928"/>
      <c r="W4268" s="780"/>
      <c r="X4268" s="782">
        <v>4264</v>
      </c>
      <c r="Y4268" s="782" t="s">
        <v>2248</v>
      </c>
      <c r="Z4268" s="782" t="s">
        <v>4269</v>
      </c>
      <c r="AA4268" s="781">
        <f>$S$1*P!AA4268</f>
        <v>2.8036290322580645E-3</v>
      </c>
      <c r="AB4268" s="780"/>
      <c r="AC4268" s="780"/>
      <c r="AD4268" s="780"/>
      <c r="AE4268" s="780"/>
      <c r="AF4268" s="780"/>
    </row>
    <row r="4269" spans="19:32" x14ac:dyDescent="0.35">
      <c r="S4269" s="780"/>
      <c r="T4269" s="928"/>
      <c r="U4269" s="928"/>
      <c r="V4269" s="928"/>
      <c r="W4269" s="780"/>
      <c r="X4269" s="782">
        <v>4265</v>
      </c>
      <c r="Y4269" s="782" t="s">
        <v>2248</v>
      </c>
      <c r="Z4269" s="782" t="s">
        <v>4190</v>
      </c>
      <c r="AA4269" s="781">
        <f>$S$1*P!AA4269</f>
        <v>0.95625000000000004</v>
      </c>
      <c r="AB4269" s="780"/>
      <c r="AC4269" s="780"/>
      <c r="AD4269" s="780"/>
      <c r="AE4269" s="780"/>
      <c r="AF4269" s="780"/>
    </row>
    <row r="4270" spans="19:32" x14ac:dyDescent="0.35">
      <c r="S4270" s="780"/>
      <c r="T4270" s="928"/>
      <c r="U4270" s="928"/>
      <c r="V4270" s="928"/>
      <c r="W4270" s="780"/>
      <c r="X4270" s="782">
        <v>4266</v>
      </c>
      <c r="Y4270" s="782" t="s">
        <v>2248</v>
      </c>
      <c r="Z4270" s="782" t="s">
        <v>4268</v>
      </c>
      <c r="AA4270" s="781">
        <f>$S$1*P!AA4270</f>
        <v>7.9516129032258076E-2</v>
      </c>
      <c r="AB4270" s="780"/>
      <c r="AC4270" s="780"/>
      <c r="AD4270" s="780"/>
      <c r="AE4270" s="780"/>
      <c r="AF4270" s="780"/>
    </row>
    <row r="4271" spans="19:32" x14ac:dyDescent="0.35">
      <c r="S4271" s="780"/>
      <c r="T4271" s="928"/>
      <c r="U4271" s="928"/>
      <c r="V4271" s="928"/>
      <c r="W4271" s="780"/>
      <c r="X4271" s="782">
        <v>4267</v>
      </c>
      <c r="Y4271" s="782" t="s">
        <v>2248</v>
      </c>
      <c r="Z4271" s="782" t="s">
        <v>4267</v>
      </c>
      <c r="AA4271" s="781">
        <f>$S$1*P!AA4271</f>
        <v>4.0786290322580646E-3</v>
      </c>
      <c r="AB4271" s="780"/>
      <c r="AC4271" s="780"/>
      <c r="AD4271" s="780"/>
      <c r="AE4271" s="780"/>
      <c r="AF4271" s="780"/>
    </row>
    <row r="4272" spans="19:32" x14ac:dyDescent="0.35">
      <c r="S4272" s="780"/>
      <c r="T4272" s="928"/>
      <c r="U4272" s="928"/>
      <c r="V4272" s="928"/>
      <c r="W4272" s="780"/>
      <c r="X4272" s="782">
        <v>4268</v>
      </c>
      <c r="Y4272" s="782" t="s">
        <v>2248</v>
      </c>
      <c r="Z4272" s="782" t="s">
        <v>4189</v>
      </c>
      <c r="AA4272" s="781">
        <f>$S$1*P!AA4272</f>
        <v>2.4643145161290323E-2</v>
      </c>
      <c r="AB4272" s="780"/>
      <c r="AC4272" s="780"/>
      <c r="AD4272" s="780"/>
      <c r="AE4272" s="780"/>
      <c r="AF4272" s="780"/>
    </row>
    <row r="4273" spans="19:32" x14ac:dyDescent="0.35">
      <c r="S4273" s="780"/>
      <c r="T4273" s="928"/>
      <c r="U4273" s="928"/>
      <c r="V4273" s="928"/>
      <c r="W4273" s="780"/>
      <c r="X4273" s="782">
        <v>4269</v>
      </c>
      <c r="Y4273" s="782" t="s">
        <v>2248</v>
      </c>
      <c r="Z4273" s="782" t="s">
        <v>4266</v>
      </c>
      <c r="AA4273" s="781">
        <f>$S$1*P!AA4273</f>
        <v>3.1018145161290325E-2</v>
      </c>
      <c r="AB4273" s="780"/>
      <c r="AC4273" s="780"/>
      <c r="AD4273" s="780"/>
      <c r="AE4273" s="780"/>
      <c r="AF4273" s="780"/>
    </row>
    <row r="4274" spans="19:32" x14ac:dyDescent="0.35">
      <c r="S4274" s="780"/>
      <c r="T4274" s="928"/>
      <c r="U4274" s="928"/>
      <c r="V4274" s="928"/>
      <c r="W4274" s="780"/>
      <c r="X4274" s="782">
        <v>4270</v>
      </c>
      <c r="Y4274" s="782" t="s">
        <v>2248</v>
      </c>
      <c r="Z4274" s="782" t="s">
        <v>4188</v>
      </c>
      <c r="AA4274" s="781">
        <f>$S$1*P!AA4274</f>
        <v>0.29784274193548388</v>
      </c>
      <c r="AB4274" s="780"/>
      <c r="AC4274" s="780"/>
      <c r="AD4274" s="780"/>
      <c r="AE4274" s="780"/>
      <c r="AF4274" s="780"/>
    </row>
    <row r="4275" spans="19:32" x14ac:dyDescent="0.35">
      <c r="S4275" s="780"/>
      <c r="T4275" s="928"/>
      <c r="U4275" s="928"/>
      <c r="V4275" s="928"/>
      <c r="W4275" s="780"/>
      <c r="X4275" s="782">
        <v>4271</v>
      </c>
      <c r="Y4275" s="782" t="s">
        <v>2248</v>
      </c>
      <c r="Z4275" s="782" t="s">
        <v>4265</v>
      </c>
      <c r="AA4275" s="781">
        <f>$S$1*P!AA4275</f>
        <v>3.1840725806451616E-5</v>
      </c>
      <c r="AB4275" s="780"/>
      <c r="AC4275" s="780"/>
      <c r="AD4275" s="780"/>
      <c r="AE4275" s="780"/>
      <c r="AF4275" s="780"/>
    </row>
    <row r="4276" spans="19:32" x14ac:dyDescent="0.35">
      <c r="S4276" s="780"/>
      <c r="T4276" s="928"/>
      <c r="U4276" s="928"/>
      <c r="V4276" s="928"/>
      <c r="W4276" s="780"/>
      <c r="X4276" s="881">
        <v>4272</v>
      </c>
      <c r="Y4276" s="881" t="s">
        <v>2248</v>
      </c>
      <c r="Z4276" s="881" t="s">
        <v>4264</v>
      </c>
      <c r="AA4276" s="890">
        <f>$S$1*P!AA4276</f>
        <v>4.0786290322580646E-3</v>
      </c>
      <c r="AB4276" s="780"/>
      <c r="AC4276" s="780"/>
      <c r="AD4276" s="780"/>
      <c r="AE4276" s="780"/>
      <c r="AF4276" s="780"/>
    </row>
    <row r="4277" spans="19:32" x14ac:dyDescent="0.35">
      <c r="S4277" s="780"/>
      <c r="T4277" s="928"/>
      <c r="U4277" s="928"/>
      <c r="V4277" s="928"/>
      <c r="W4277" s="780"/>
      <c r="X4277" s="861">
        <v>4273</v>
      </c>
      <c r="Y4277" s="861" t="s">
        <v>2248</v>
      </c>
      <c r="Z4277" s="861" t="s">
        <v>4263</v>
      </c>
      <c r="AA4277" s="904">
        <f>$S$1*P!AA4277</f>
        <v>14.382000000000001</v>
      </c>
      <c r="AB4277" s="780"/>
      <c r="AC4277" s="780"/>
      <c r="AD4277" s="780"/>
      <c r="AE4277" s="780"/>
      <c r="AF4277" s="780"/>
    </row>
    <row r="4278" spans="19:32" x14ac:dyDescent="0.35">
      <c r="S4278" s="780"/>
      <c r="T4278" s="928"/>
      <c r="U4278" s="928"/>
      <c r="V4278" s="928"/>
      <c r="W4278" s="780"/>
      <c r="X4278" s="782">
        <v>4274</v>
      </c>
      <c r="Y4278" s="782" t="s">
        <v>2248</v>
      </c>
      <c r="Z4278" s="782" t="s">
        <v>2523</v>
      </c>
      <c r="AA4278" s="781">
        <f>$S$1*P!AA4278</f>
        <v>9.0826612903225808E-3</v>
      </c>
      <c r="AB4278" s="780"/>
      <c r="AC4278" s="780"/>
      <c r="AD4278" s="780"/>
      <c r="AE4278" s="780"/>
      <c r="AF4278" s="780"/>
    </row>
    <row r="4279" spans="19:32" x14ac:dyDescent="0.35">
      <c r="S4279" s="780"/>
      <c r="T4279" s="928"/>
      <c r="U4279" s="928"/>
      <c r="V4279" s="928"/>
      <c r="W4279" s="780"/>
      <c r="X4279" s="861">
        <v>4275</v>
      </c>
      <c r="Y4279" s="861" t="s">
        <v>2248</v>
      </c>
      <c r="Z4279" s="861" t="s">
        <v>4262</v>
      </c>
      <c r="AA4279" s="904">
        <f>$S$1*P!AA4279</f>
        <v>14.382000000000001</v>
      </c>
      <c r="AB4279" s="780"/>
      <c r="AC4279" s="780"/>
      <c r="AD4279" s="780"/>
      <c r="AE4279" s="780"/>
      <c r="AF4279" s="780"/>
    </row>
    <row r="4280" spans="19:32" x14ac:dyDescent="0.35">
      <c r="S4280" s="780"/>
      <c r="T4280" s="928"/>
      <c r="U4280" s="928"/>
      <c r="V4280" s="928"/>
      <c r="W4280" s="780"/>
      <c r="X4280" s="782">
        <v>4276</v>
      </c>
      <c r="Y4280" s="782" t="s">
        <v>2248</v>
      </c>
      <c r="Z4280" s="782" t="s">
        <v>4261</v>
      </c>
      <c r="AA4280" s="781">
        <f>$S$1*P!AA4280</f>
        <v>1.785685483870968E-3</v>
      </c>
      <c r="AB4280" s="780"/>
      <c r="AC4280" s="780"/>
      <c r="AD4280" s="780"/>
      <c r="AE4280" s="780"/>
      <c r="AF4280" s="780"/>
    </row>
    <row r="4281" spans="19:32" x14ac:dyDescent="0.35">
      <c r="S4281" s="780"/>
      <c r="T4281" s="928"/>
      <c r="U4281" s="928"/>
      <c r="V4281" s="928"/>
      <c r="W4281" s="780"/>
      <c r="X4281" s="782">
        <v>4277</v>
      </c>
      <c r="Y4281" s="782" t="s">
        <v>2248</v>
      </c>
      <c r="Z4281" s="782" t="s">
        <v>4185</v>
      </c>
      <c r="AA4281" s="781">
        <f>$S$1*P!AA4281</f>
        <v>1.2475806451612904E-2</v>
      </c>
      <c r="AB4281" s="780"/>
      <c r="AC4281" s="780"/>
      <c r="AD4281" s="780"/>
      <c r="AE4281" s="780"/>
      <c r="AF4281" s="780"/>
    </row>
    <row r="4282" spans="19:32" x14ac:dyDescent="0.35">
      <c r="S4282" s="780"/>
      <c r="T4282" s="928"/>
      <c r="U4282" s="928"/>
      <c r="V4282" s="928"/>
      <c r="W4282" s="780"/>
      <c r="X4282" s="782">
        <v>4278</v>
      </c>
      <c r="Y4282" s="782" t="s">
        <v>2248</v>
      </c>
      <c r="Z4282" s="782" t="s">
        <v>4260</v>
      </c>
      <c r="AA4282" s="781">
        <f>$S$1*P!AA4282</f>
        <v>1.1584677419354838E-3</v>
      </c>
      <c r="AB4282" s="780"/>
      <c r="AC4282" s="780"/>
      <c r="AD4282" s="780"/>
      <c r="AE4282" s="780"/>
      <c r="AF4282" s="780"/>
    </row>
    <row r="4283" spans="19:32" x14ac:dyDescent="0.35">
      <c r="S4283" s="780"/>
      <c r="T4283" s="928"/>
      <c r="U4283" s="928"/>
      <c r="V4283" s="928"/>
      <c r="W4283" s="780"/>
      <c r="X4283" s="881">
        <v>4279</v>
      </c>
      <c r="Y4283" s="881" t="s">
        <v>2248</v>
      </c>
      <c r="Z4283" s="881" t="s">
        <v>2581</v>
      </c>
      <c r="AA4283" s="890">
        <f>$S$1*P!AA4283</f>
        <v>9.5679999999999995E-4</v>
      </c>
      <c r="AB4283" s="780"/>
      <c r="AC4283" s="780"/>
      <c r="AD4283" s="780"/>
      <c r="AE4283" s="780"/>
      <c r="AF4283" s="780"/>
    </row>
    <row r="4284" spans="19:32" x14ac:dyDescent="0.35">
      <c r="S4284" s="780"/>
      <c r="T4284" s="928"/>
      <c r="U4284" s="928"/>
      <c r="V4284" s="928"/>
      <c r="W4284" s="780"/>
      <c r="X4284" s="782">
        <v>4280</v>
      </c>
      <c r="Y4284" s="782" t="s">
        <v>2248</v>
      </c>
      <c r="Z4284" s="782" t="s">
        <v>4184</v>
      </c>
      <c r="AA4284" s="781">
        <f>$S$1*P!AA4284</f>
        <v>4.4213709677419358E-7</v>
      </c>
      <c r="AB4284" s="780"/>
      <c r="AC4284" s="780"/>
      <c r="AD4284" s="780"/>
      <c r="AE4284" s="780"/>
      <c r="AF4284" s="780"/>
    </row>
    <row r="4285" spans="19:32" x14ac:dyDescent="0.35">
      <c r="S4285" s="780"/>
      <c r="T4285" s="928"/>
      <c r="U4285" s="928"/>
      <c r="V4285" s="928"/>
      <c r="W4285" s="780"/>
      <c r="X4285" s="782">
        <v>4281</v>
      </c>
      <c r="Y4285" s="782" t="s">
        <v>2248</v>
      </c>
      <c r="Z4285" s="782" t="s">
        <v>2581</v>
      </c>
      <c r="AA4285" s="781">
        <f>$S$1*P!AA4285</f>
        <v>3.1052419354838713E-4</v>
      </c>
      <c r="AB4285" s="780"/>
      <c r="AC4285" s="780"/>
      <c r="AD4285" s="780"/>
      <c r="AE4285" s="780"/>
      <c r="AF4285" s="780"/>
    </row>
    <row r="4286" spans="19:32" x14ac:dyDescent="0.35">
      <c r="S4286" s="780"/>
      <c r="T4286" s="928"/>
      <c r="U4286" s="928"/>
      <c r="V4286" s="928"/>
      <c r="W4286" s="780"/>
      <c r="X4286" s="881">
        <v>4282</v>
      </c>
      <c r="Y4286" s="881" t="s">
        <v>2248</v>
      </c>
      <c r="Z4286" s="881" t="s">
        <v>3176</v>
      </c>
      <c r="AA4286" s="890">
        <f>$S$1*P!AA4286</f>
        <v>6.4092741935483873E-4</v>
      </c>
      <c r="AB4286" s="780"/>
      <c r="AC4286" s="780"/>
      <c r="AD4286" s="780"/>
      <c r="AE4286" s="780"/>
      <c r="AF4286" s="780"/>
    </row>
    <row r="4287" spans="19:32" x14ac:dyDescent="0.35">
      <c r="S4287" s="780"/>
      <c r="T4287" s="928"/>
      <c r="U4287" s="928"/>
      <c r="V4287" s="928"/>
      <c r="W4287" s="780"/>
      <c r="X4287" s="782">
        <v>4283</v>
      </c>
      <c r="Y4287" s="782" t="s">
        <v>2248</v>
      </c>
      <c r="Z4287" s="782" t="s">
        <v>4183</v>
      </c>
      <c r="AA4287" s="781">
        <f>$S$1*P!AA4287</f>
        <v>6.2379032258064526E-5</v>
      </c>
      <c r="AB4287" s="780"/>
      <c r="AC4287" s="780"/>
      <c r="AD4287" s="780"/>
      <c r="AE4287" s="780"/>
      <c r="AF4287" s="780"/>
    </row>
    <row r="4288" spans="19:32" x14ac:dyDescent="0.35">
      <c r="S4288" s="780"/>
      <c r="T4288" s="928"/>
      <c r="U4288" s="928"/>
      <c r="V4288" s="928"/>
      <c r="W4288" s="780"/>
      <c r="X4288" s="782">
        <v>4284</v>
      </c>
      <c r="Y4288" s="782" t="s">
        <v>2248</v>
      </c>
      <c r="Z4288" s="782" t="s">
        <v>4259</v>
      </c>
      <c r="AA4288" s="781">
        <f>$S$1*P!AA4288</f>
        <v>7.4717741935483874E-4</v>
      </c>
      <c r="AB4288" s="780"/>
      <c r="AC4288" s="780"/>
      <c r="AD4288" s="780"/>
      <c r="AE4288" s="780"/>
      <c r="AF4288" s="780"/>
    </row>
    <row r="4289" spans="19:32" x14ac:dyDescent="0.35">
      <c r="S4289" s="780"/>
      <c r="T4289" s="928"/>
      <c r="U4289" s="928"/>
      <c r="V4289" s="928"/>
      <c r="W4289" s="780"/>
      <c r="X4289" s="782">
        <v>4285</v>
      </c>
      <c r="Y4289" s="782" t="s">
        <v>2248</v>
      </c>
      <c r="Z4289" s="782" t="s">
        <v>4258</v>
      </c>
      <c r="AA4289" s="781">
        <f>$S$1*P!AA4289</f>
        <v>1.1961693548387098E-3</v>
      </c>
      <c r="AB4289" s="780"/>
      <c r="AC4289" s="780"/>
      <c r="AD4289" s="780"/>
      <c r="AE4289" s="780"/>
      <c r="AF4289" s="780"/>
    </row>
    <row r="4290" spans="19:32" x14ac:dyDescent="0.35">
      <c r="S4290" s="780"/>
      <c r="T4290" s="928"/>
      <c r="U4290" s="928"/>
      <c r="V4290" s="928"/>
      <c r="W4290" s="780"/>
      <c r="X4290" s="782">
        <v>4286</v>
      </c>
      <c r="Y4290" s="782" t="s">
        <v>2248</v>
      </c>
      <c r="Z4290" s="782" t="s">
        <v>4181</v>
      </c>
      <c r="AA4290" s="781">
        <f>$S$1*P!AA4290</f>
        <v>4.7641129032258069E-4</v>
      </c>
      <c r="AB4290" s="780"/>
      <c r="AC4290" s="780"/>
      <c r="AD4290" s="780"/>
      <c r="AE4290" s="780"/>
      <c r="AF4290" s="780"/>
    </row>
    <row r="4291" spans="19:32" x14ac:dyDescent="0.35">
      <c r="S4291" s="780"/>
      <c r="T4291" s="928"/>
      <c r="U4291" s="928"/>
      <c r="V4291" s="928"/>
      <c r="W4291" s="780"/>
      <c r="X4291" s="782">
        <v>4287</v>
      </c>
      <c r="Y4291" s="782" t="s">
        <v>2248</v>
      </c>
      <c r="Z4291" s="782" t="s">
        <v>4257</v>
      </c>
      <c r="AA4291" s="781">
        <f>$S$1*P!AA4291</f>
        <v>3.6673387096774197E-5</v>
      </c>
      <c r="AB4291" s="780"/>
      <c r="AC4291" s="780"/>
      <c r="AD4291" s="780"/>
      <c r="AE4291" s="780"/>
      <c r="AF4291" s="780"/>
    </row>
    <row r="4292" spans="19:32" x14ac:dyDescent="0.35">
      <c r="S4292" s="780"/>
      <c r="T4292" s="928"/>
      <c r="U4292" s="928"/>
      <c r="V4292" s="928"/>
      <c r="W4292" s="780"/>
      <c r="X4292" s="881">
        <v>4288</v>
      </c>
      <c r="Y4292" s="881" t="s">
        <v>2248</v>
      </c>
      <c r="Z4292" s="881" t="s">
        <v>4256</v>
      </c>
      <c r="AA4292" s="890">
        <f>$S$1*P!AA4292</f>
        <v>1.0625000000000001E-5</v>
      </c>
      <c r="AB4292" s="780"/>
      <c r="AC4292" s="780"/>
      <c r="AD4292" s="780"/>
      <c r="AE4292" s="780"/>
      <c r="AF4292" s="780"/>
    </row>
    <row r="4293" spans="19:32" x14ac:dyDescent="0.35">
      <c r="S4293" s="780"/>
      <c r="T4293" s="928"/>
      <c r="U4293" s="928"/>
      <c r="V4293" s="928"/>
      <c r="W4293" s="780"/>
      <c r="X4293" s="782">
        <v>4289</v>
      </c>
      <c r="Y4293" s="782" t="s">
        <v>2248</v>
      </c>
      <c r="Z4293" s="782" t="s">
        <v>4180</v>
      </c>
      <c r="AA4293" s="781">
        <f>$S$1*P!AA4293</f>
        <v>8.8770161290322586E-3</v>
      </c>
      <c r="AB4293" s="780"/>
      <c r="AC4293" s="780"/>
      <c r="AD4293" s="780"/>
      <c r="AE4293" s="780"/>
      <c r="AF4293" s="780"/>
    </row>
    <row r="4294" spans="19:32" x14ac:dyDescent="0.35">
      <c r="S4294" s="780"/>
      <c r="T4294" s="928"/>
      <c r="U4294" s="928"/>
      <c r="V4294" s="928"/>
      <c r="W4294" s="780"/>
      <c r="X4294" s="782">
        <v>4290</v>
      </c>
      <c r="Y4294" s="782" t="s">
        <v>2248</v>
      </c>
      <c r="Z4294" s="782" t="s">
        <v>4255</v>
      </c>
      <c r="AA4294" s="781">
        <f>$S$1*P!AA4294</f>
        <v>7.7802419354838713E-9</v>
      </c>
      <c r="AB4294" s="780"/>
      <c r="AC4294" s="780"/>
      <c r="AD4294" s="780"/>
      <c r="AE4294" s="780"/>
      <c r="AF4294" s="780"/>
    </row>
    <row r="4295" spans="19:32" x14ac:dyDescent="0.35">
      <c r="S4295" s="780"/>
      <c r="T4295" s="928"/>
      <c r="U4295" s="928"/>
      <c r="V4295" s="928"/>
      <c r="W4295" s="780"/>
      <c r="X4295" s="782">
        <v>4291</v>
      </c>
      <c r="Y4295" s="782" t="s">
        <v>2248</v>
      </c>
      <c r="Z4295" s="782" t="s">
        <v>4178</v>
      </c>
      <c r="AA4295" s="781">
        <f>$S$1*P!AA4295</f>
        <v>3.9758064516129038E-2</v>
      </c>
      <c r="AB4295" s="780"/>
      <c r="AC4295" s="780"/>
      <c r="AD4295" s="780"/>
      <c r="AE4295" s="780"/>
      <c r="AF4295" s="780"/>
    </row>
    <row r="4296" spans="19:32" x14ac:dyDescent="0.35">
      <c r="S4296" s="780"/>
      <c r="T4296" s="928"/>
      <c r="U4296" s="928"/>
      <c r="V4296" s="928"/>
      <c r="W4296" s="780"/>
      <c r="X4296" s="782">
        <v>4292</v>
      </c>
      <c r="Y4296" s="782" t="s">
        <v>2248</v>
      </c>
      <c r="Z4296" s="782" t="s">
        <v>4254</v>
      </c>
      <c r="AA4296" s="781">
        <f>$S$1*P!AA4296</f>
        <v>7.0947580645161295E-4</v>
      </c>
      <c r="AB4296" s="780"/>
      <c r="AC4296" s="780"/>
      <c r="AD4296" s="780"/>
      <c r="AE4296" s="780"/>
      <c r="AF4296" s="780"/>
    </row>
    <row r="4297" spans="19:32" x14ac:dyDescent="0.35">
      <c r="S4297" s="780"/>
      <c r="T4297" s="928"/>
      <c r="U4297" s="928"/>
      <c r="V4297" s="928"/>
      <c r="W4297" s="780"/>
      <c r="X4297" s="881">
        <v>4293</v>
      </c>
      <c r="Y4297" s="881" t="s">
        <v>2248</v>
      </c>
      <c r="Z4297" s="881" t="s">
        <v>3175</v>
      </c>
      <c r="AA4297" s="890">
        <f>$S$1*P!AA4297</f>
        <v>2.0427419354838712E-3</v>
      </c>
      <c r="AB4297" s="780"/>
      <c r="AC4297" s="780"/>
      <c r="AD4297" s="780"/>
      <c r="AE4297" s="780"/>
      <c r="AF4297" s="780"/>
    </row>
    <row r="4298" spans="19:32" x14ac:dyDescent="0.35">
      <c r="S4298" s="780"/>
      <c r="T4298" s="928"/>
      <c r="U4298" s="928"/>
      <c r="V4298" s="928"/>
      <c r="W4298" s="780"/>
      <c r="X4298" s="782">
        <v>4294</v>
      </c>
      <c r="Y4298" s="782" t="s">
        <v>2248</v>
      </c>
      <c r="Z4298" s="782" t="s">
        <v>2518</v>
      </c>
      <c r="AA4298" s="781">
        <f>$S$1*P!AA4298</f>
        <v>1.5423387096774195E-4</v>
      </c>
      <c r="AB4298" s="780"/>
      <c r="AC4298" s="780"/>
      <c r="AD4298" s="780"/>
      <c r="AE4298" s="780"/>
      <c r="AF4298" s="780"/>
    </row>
    <row r="4299" spans="19:32" x14ac:dyDescent="0.35">
      <c r="S4299" s="780"/>
      <c r="T4299" s="928"/>
      <c r="U4299" s="928"/>
      <c r="V4299" s="928"/>
      <c r="W4299" s="780"/>
      <c r="X4299" s="881">
        <v>4295</v>
      </c>
      <c r="Y4299" s="881" t="s">
        <v>2248</v>
      </c>
      <c r="Z4299" s="881" t="s">
        <v>2579</v>
      </c>
      <c r="AA4299" s="890">
        <f>$S$1*P!AA4299</f>
        <v>5.0599999999999997E-5</v>
      </c>
      <c r="AB4299" s="780"/>
      <c r="AC4299" s="780"/>
      <c r="AD4299" s="780"/>
      <c r="AE4299" s="780"/>
      <c r="AF4299" s="780"/>
    </row>
    <row r="4300" spans="19:32" x14ac:dyDescent="0.35">
      <c r="S4300" s="780"/>
      <c r="T4300" s="928"/>
      <c r="U4300" s="928"/>
      <c r="V4300" s="928"/>
      <c r="W4300" s="780"/>
      <c r="X4300" s="782">
        <v>4296</v>
      </c>
      <c r="Y4300" s="782" t="s">
        <v>2248</v>
      </c>
      <c r="Z4300" s="782" t="s">
        <v>2579</v>
      </c>
      <c r="AA4300" s="781">
        <f>$S$1*P!AA4300</f>
        <v>1.4155241935483874E-6</v>
      </c>
      <c r="AB4300" s="780"/>
      <c r="AC4300" s="780"/>
      <c r="AD4300" s="780"/>
      <c r="AE4300" s="780"/>
      <c r="AF4300" s="780"/>
    </row>
    <row r="4301" spans="19:32" x14ac:dyDescent="0.35">
      <c r="S4301" s="780"/>
      <c r="T4301" s="928"/>
      <c r="U4301" s="928"/>
      <c r="V4301" s="928"/>
      <c r="W4301" s="780"/>
      <c r="X4301" s="782">
        <v>4297</v>
      </c>
      <c r="Y4301" s="782" t="s">
        <v>2248</v>
      </c>
      <c r="Z4301" s="782" t="s">
        <v>2517</v>
      </c>
      <c r="AA4301" s="781">
        <f>$S$1*P!AA4301</f>
        <v>2.1112903225806454E-3</v>
      </c>
      <c r="AB4301" s="780"/>
      <c r="AC4301" s="780"/>
      <c r="AD4301" s="780"/>
      <c r="AE4301" s="780"/>
      <c r="AF4301" s="780"/>
    </row>
    <row r="4302" spans="19:32" x14ac:dyDescent="0.35">
      <c r="S4302" s="780"/>
      <c r="T4302" s="928"/>
      <c r="U4302" s="928"/>
      <c r="V4302" s="928"/>
      <c r="W4302" s="780"/>
      <c r="X4302" s="881">
        <v>4298</v>
      </c>
      <c r="Y4302" s="881" t="s">
        <v>2248</v>
      </c>
      <c r="Z4302" s="881" t="s">
        <v>3172</v>
      </c>
      <c r="AA4302" s="890">
        <f>$S$1*P!AA4302</f>
        <v>5.3810483870967749E-2</v>
      </c>
      <c r="AB4302" s="780"/>
      <c r="AC4302" s="780"/>
      <c r="AD4302" s="780"/>
      <c r="AE4302" s="780"/>
      <c r="AF4302" s="780"/>
    </row>
    <row r="4303" spans="19:32" x14ac:dyDescent="0.35">
      <c r="S4303" s="780"/>
      <c r="T4303" s="928"/>
      <c r="U4303" s="928"/>
      <c r="V4303" s="928"/>
      <c r="W4303" s="780"/>
      <c r="X4303" s="782">
        <v>4299</v>
      </c>
      <c r="Y4303" s="782" t="s">
        <v>2248</v>
      </c>
      <c r="Z4303" s="782" t="s">
        <v>4253</v>
      </c>
      <c r="AA4303" s="781">
        <f>$S$1*P!AA4303</f>
        <v>4.0443548387096778E-7</v>
      </c>
      <c r="AB4303" s="780"/>
      <c r="AC4303" s="780"/>
      <c r="AD4303" s="780"/>
      <c r="AE4303" s="780"/>
      <c r="AF4303" s="780"/>
    </row>
    <row r="4304" spans="19:32" x14ac:dyDescent="0.35">
      <c r="S4304" s="780"/>
      <c r="T4304" s="928"/>
      <c r="U4304" s="928"/>
      <c r="V4304" s="928"/>
      <c r="W4304" s="780"/>
      <c r="X4304" s="782">
        <v>4300</v>
      </c>
      <c r="Y4304" s="782" t="s">
        <v>2248</v>
      </c>
      <c r="Z4304" s="782" t="s">
        <v>2515</v>
      </c>
      <c r="AA4304" s="781">
        <f>$S$1*P!AA4304</f>
        <v>1.9604838709677419E-4</v>
      </c>
      <c r="AB4304" s="780"/>
      <c r="AC4304" s="780"/>
      <c r="AD4304" s="780"/>
      <c r="AE4304" s="780"/>
      <c r="AF4304" s="780"/>
    </row>
    <row r="4305" spans="19:32" x14ac:dyDescent="0.35">
      <c r="S4305" s="780"/>
      <c r="T4305" s="928"/>
      <c r="U4305" s="928"/>
      <c r="V4305" s="928"/>
      <c r="W4305" s="780"/>
      <c r="X4305" s="782">
        <v>4301</v>
      </c>
      <c r="Y4305" s="782" t="s">
        <v>2248</v>
      </c>
      <c r="Z4305" s="782" t="s">
        <v>4252</v>
      </c>
      <c r="AA4305" s="781">
        <f>$S$1*P!AA4305</f>
        <v>1.8473790322580646E-4</v>
      </c>
      <c r="AB4305" s="780"/>
      <c r="AC4305" s="780"/>
      <c r="AD4305" s="780"/>
      <c r="AE4305" s="780"/>
      <c r="AF4305" s="780"/>
    </row>
    <row r="4306" spans="19:32" x14ac:dyDescent="0.35">
      <c r="S4306" s="780"/>
      <c r="T4306" s="928"/>
      <c r="U4306" s="928"/>
      <c r="V4306" s="928"/>
      <c r="W4306" s="780"/>
      <c r="X4306" s="782">
        <v>4302</v>
      </c>
      <c r="Y4306" s="782" t="s">
        <v>2248</v>
      </c>
      <c r="Z4306" s="782" t="s">
        <v>4251</v>
      </c>
      <c r="AA4306" s="781">
        <f>$S$1*P!AA4306</f>
        <v>1.8987903225806453E-8</v>
      </c>
      <c r="AB4306" s="780"/>
      <c r="AC4306" s="780"/>
      <c r="AD4306" s="780"/>
      <c r="AE4306" s="780"/>
      <c r="AF4306" s="780"/>
    </row>
    <row r="4307" spans="19:32" x14ac:dyDescent="0.35">
      <c r="S4307" s="780"/>
      <c r="T4307" s="928"/>
      <c r="U4307" s="928"/>
      <c r="V4307" s="928"/>
      <c r="W4307" s="780"/>
      <c r="X4307" s="782">
        <v>4303</v>
      </c>
      <c r="Y4307" s="782" t="s">
        <v>2248</v>
      </c>
      <c r="Z4307" s="782" t="s">
        <v>4173</v>
      </c>
      <c r="AA4307" s="781">
        <f>$S$1*P!AA4307</f>
        <v>2.1044354838709678E-5</v>
      </c>
      <c r="AB4307" s="780"/>
      <c r="AC4307" s="780"/>
      <c r="AD4307" s="780"/>
      <c r="AE4307" s="780"/>
      <c r="AF4307" s="780"/>
    </row>
    <row r="4308" spans="19:32" x14ac:dyDescent="0.35">
      <c r="S4308" s="780"/>
      <c r="T4308" s="928"/>
      <c r="U4308" s="928"/>
      <c r="V4308" s="928"/>
      <c r="W4308" s="780"/>
      <c r="X4308" s="782">
        <v>4304</v>
      </c>
      <c r="Y4308" s="782" t="s">
        <v>2248</v>
      </c>
      <c r="Z4308" s="782" t="s">
        <v>4250</v>
      </c>
      <c r="AA4308" s="781">
        <f>$S$1*P!AA4308</f>
        <v>0.25671370967741935</v>
      </c>
      <c r="AB4308" s="780"/>
      <c r="AC4308" s="780"/>
      <c r="AD4308" s="780"/>
      <c r="AE4308" s="780"/>
      <c r="AF4308" s="780"/>
    </row>
    <row r="4309" spans="19:32" x14ac:dyDescent="0.35">
      <c r="S4309" s="780"/>
      <c r="T4309" s="928"/>
      <c r="U4309" s="928"/>
      <c r="V4309" s="928"/>
      <c r="W4309" s="780"/>
      <c r="X4309" s="881">
        <v>4305</v>
      </c>
      <c r="Y4309" s="881" t="s">
        <v>2248</v>
      </c>
      <c r="Z4309" s="881" t="s">
        <v>2577</v>
      </c>
      <c r="AA4309" s="890">
        <f>$S$1*P!AA4309</f>
        <v>0</v>
      </c>
      <c r="AB4309" s="780"/>
      <c r="AC4309" s="780"/>
      <c r="AD4309" s="780"/>
      <c r="AE4309" s="780"/>
      <c r="AF4309" s="780"/>
    </row>
    <row r="4310" spans="19:32" x14ac:dyDescent="0.35">
      <c r="S4310" s="780"/>
      <c r="T4310" s="928"/>
      <c r="U4310" s="928"/>
      <c r="V4310" s="928"/>
      <c r="W4310" s="780"/>
      <c r="X4310" s="782">
        <v>4306</v>
      </c>
      <c r="Y4310" s="782" t="s">
        <v>2248</v>
      </c>
      <c r="Z4310" s="782" t="s">
        <v>4171</v>
      </c>
      <c r="AA4310" s="781">
        <f>$S$1*P!AA4310</f>
        <v>2.844758064516129E-5</v>
      </c>
      <c r="AB4310" s="780"/>
      <c r="AC4310" s="780"/>
      <c r="AD4310" s="780"/>
      <c r="AE4310" s="780"/>
      <c r="AF4310" s="780"/>
    </row>
    <row r="4311" spans="19:32" x14ac:dyDescent="0.35">
      <c r="S4311" s="780"/>
      <c r="T4311" s="928"/>
      <c r="U4311" s="928"/>
      <c r="V4311" s="928"/>
      <c r="W4311" s="780"/>
      <c r="X4311" s="782">
        <v>4307</v>
      </c>
      <c r="Y4311" s="782" t="s">
        <v>2248</v>
      </c>
      <c r="Z4311" s="782" t="s">
        <v>2577</v>
      </c>
      <c r="AA4311" s="781">
        <f>$S$1*P!AA4311</f>
        <v>1.8233870967741938E-3</v>
      </c>
      <c r="AB4311" s="780"/>
      <c r="AC4311" s="780"/>
      <c r="AD4311" s="780"/>
      <c r="AE4311" s="780"/>
      <c r="AF4311" s="780"/>
    </row>
    <row r="4312" spans="19:32" x14ac:dyDescent="0.35">
      <c r="S4312" s="780"/>
      <c r="T4312" s="928"/>
      <c r="U4312" s="928"/>
      <c r="V4312" s="928"/>
      <c r="W4312" s="780"/>
      <c r="X4312" s="881">
        <v>4308</v>
      </c>
      <c r="Y4312" s="881" t="s">
        <v>2248</v>
      </c>
      <c r="Z4312" s="881" t="s">
        <v>3170</v>
      </c>
      <c r="AA4312" s="890">
        <f>$S$1*P!AA4312</f>
        <v>3.2766129032258068E-4</v>
      </c>
      <c r="AB4312" s="780"/>
      <c r="AC4312" s="780"/>
      <c r="AD4312" s="780"/>
      <c r="AE4312" s="780"/>
      <c r="AF4312" s="780"/>
    </row>
    <row r="4313" spans="19:32" x14ac:dyDescent="0.35">
      <c r="S4313" s="780"/>
      <c r="T4313" s="928"/>
      <c r="U4313" s="928"/>
      <c r="V4313" s="928"/>
      <c r="W4313" s="780"/>
      <c r="X4313" s="782">
        <v>4309</v>
      </c>
      <c r="Y4313" s="782" t="s">
        <v>2248</v>
      </c>
      <c r="Z4313" s="782" t="s">
        <v>4170</v>
      </c>
      <c r="AA4313" s="781">
        <f>$S$1*P!AA4313</f>
        <v>2.3340725806451613E-3</v>
      </c>
      <c r="AB4313" s="780"/>
      <c r="AC4313" s="780"/>
      <c r="AD4313" s="780"/>
      <c r="AE4313" s="780"/>
      <c r="AF4313" s="780"/>
    </row>
    <row r="4314" spans="19:32" x14ac:dyDescent="0.35">
      <c r="S4314" s="780"/>
      <c r="T4314" s="928"/>
      <c r="U4314" s="928"/>
      <c r="V4314" s="928"/>
      <c r="W4314" s="780"/>
      <c r="X4314" s="782">
        <v>4310</v>
      </c>
      <c r="Y4314" s="782" t="s">
        <v>2248</v>
      </c>
      <c r="Z4314" s="782" t="s">
        <v>4249</v>
      </c>
      <c r="AA4314" s="781">
        <f>$S$1*P!AA4314</f>
        <v>2.8173387096774199E-4</v>
      </c>
      <c r="AB4314" s="780"/>
      <c r="AC4314" s="780"/>
      <c r="AD4314" s="780"/>
      <c r="AE4314" s="780"/>
      <c r="AF4314" s="780"/>
    </row>
    <row r="4315" spans="19:32" x14ac:dyDescent="0.35">
      <c r="S4315" s="780"/>
      <c r="T4315" s="928"/>
      <c r="U4315" s="928"/>
      <c r="V4315" s="928"/>
      <c r="W4315" s="780"/>
      <c r="X4315" s="881">
        <v>4311</v>
      </c>
      <c r="Y4315" s="881" t="s">
        <v>2248</v>
      </c>
      <c r="Z4315" s="881" t="s">
        <v>2576</v>
      </c>
      <c r="AA4315" s="890">
        <f>$S$1*P!AA4315</f>
        <v>3.7536E-2</v>
      </c>
      <c r="AB4315" s="780"/>
      <c r="AC4315" s="780"/>
      <c r="AD4315" s="780"/>
      <c r="AE4315" s="780"/>
      <c r="AF4315" s="780"/>
    </row>
    <row r="4316" spans="19:32" x14ac:dyDescent="0.35">
      <c r="S4316" s="780"/>
      <c r="T4316" s="928"/>
      <c r="U4316" s="928"/>
      <c r="V4316" s="928"/>
      <c r="W4316" s="780"/>
      <c r="X4316" s="782">
        <v>4312</v>
      </c>
      <c r="Y4316" s="782" t="s">
        <v>2248</v>
      </c>
      <c r="Z4316" s="782" t="s">
        <v>2513</v>
      </c>
      <c r="AA4316" s="781">
        <f>$S$1*P!AA4316</f>
        <v>3.1395161290322583E-5</v>
      </c>
      <c r="AB4316" s="780"/>
      <c r="AC4316" s="780"/>
      <c r="AD4316" s="780"/>
      <c r="AE4316" s="780"/>
      <c r="AF4316" s="780"/>
    </row>
    <row r="4317" spans="19:32" x14ac:dyDescent="0.35">
      <c r="S4317" s="780"/>
      <c r="T4317" s="928"/>
      <c r="U4317" s="928"/>
      <c r="V4317" s="928"/>
      <c r="W4317" s="780"/>
      <c r="X4317" s="782">
        <v>4313</v>
      </c>
      <c r="Y4317" s="782" t="s">
        <v>2248</v>
      </c>
      <c r="Z4317" s="782" t="s">
        <v>4248</v>
      </c>
      <c r="AA4317" s="781">
        <f>$S$1*P!AA4317</f>
        <v>1.004233870967742E-4</v>
      </c>
      <c r="AB4317" s="780"/>
      <c r="AC4317" s="780"/>
      <c r="AD4317" s="780"/>
      <c r="AE4317" s="780"/>
      <c r="AF4317" s="780"/>
    </row>
    <row r="4318" spans="19:32" x14ac:dyDescent="0.35">
      <c r="S4318" s="780"/>
      <c r="T4318" s="928"/>
      <c r="U4318" s="928"/>
      <c r="V4318" s="928"/>
      <c r="W4318" s="780"/>
      <c r="X4318" s="881">
        <v>4314</v>
      </c>
      <c r="Y4318" s="881" t="s">
        <v>2248</v>
      </c>
      <c r="Z4318" s="881" t="s">
        <v>2574</v>
      </c>
      <c r="AA4318" s="890">
        <f>$S$1*P!AA4318</f>
        <v>0</v>
      </c>
      <c r="AB4318" s="780"/>
      <c r="AC4318" s="780"/>
      <c r="AD4318" s="780"/>
      <c r="AE4318" s="780"/>
      <c r="AF4318" s="780"/>
    </row>
    <row r="4319" spans="19:32" x14ac:dyDescent="0.35">
      <c r="S4319" s="780"/>
      <c r="T4319" s="928"/>
      <c r="U4319" s="928"/>
      <c r="V4319" s="928"/>
      <c r="W4319" s="780"/>
      <c r="X4319" s="782">
        <v>4315</v>
      </c>
      <c r="Y4319" s="782" t="s">
        <v>2248</v>
      </c>
      <c r="Z4319" s="782" t="s">
        <v>4168</v>
      </c>
      <c r="AA4319" s="781">
        <f>$S$1*P!AA4319</f>
        <v>1.8233870967741938E-4</v>
      </c>
      <c r="AB4319" s="780"/>
      <c r="AC4319" s="780"/>
      <c r="AD4319" s="780"/>
      <c r="AE4319" s="780"/>
      <c r="AF4319" s="780"/>
    </row>
    <row r="4320" spans="19:32" x14ac:dyDescent="0.35">
      <c r="S4320" s="780"/>
      <c r="T4320" s="928"/>
      <c r="U4320" s="928"/>
      <c r="V4320" s="928"/>
      <c r="W4320" s="780"/>
      <c r="X4320" s="782">
        <v>4316</v>
      </c>
      <c r="Y4320" s="782" t="s">
        <v>2248</v>
      </c>
      <c r="Z4320" s="782" t="s">
        <v>4247</v>
      </c>
      <c r="AA4320" s="781">
        <f>$S$1*P!AA4320</f>
        <v>2.8995967741935488E-4</v>
      </c>
      <c r="AB4320" s="780"/>
      <c r="AC4320" s="780"/>
      <c r="AD4320" s="780"/>
      <c r="AE4320" s="780"/>
      <c r="AF4320" s="780"/>
    </row>
    <row r="4321" spans="19:32" x14ac:dyDescent="0.35">
      <c r="S4321" s="780"/>
      <c r="T4321" s="928"/>
      <c r="U4321" s="928"/>
      <c r="V4321" s="928"/>
      <c r="W4321" s="780"/>
      <c r="X4321" s="782">
        <v>4317</v>
      </c>
      <c r="Y4321" s="782" t="s">
        <v>2248</v>
      </c>
      <c r="Z4321" s="782" t="s">
        <v>4166</v>
      </c>
      <c r="AA4321" s="781">
        <f>$S$1*P!AA4321</f>
        <v>3.0024193548387097E-3</v>
      </c>
      <c r="AB4321" s="780"/>
      <c r="AC4321" s="780"/>
      <c r="AD4321" s="780"/>
      <c r="AE4321" s="780"/>
      <c r="AF4321" s="780"/>
    </row>
    <row r="4322" spans="19:32" x14ac:dyDescent="0.35">
      <c r="S4322" s="780"/>
      <c r="T4322" s="928"/>
      <c r="U4322" s="928"/>
      <c r="V4322" s="928"/>
      <c r="W4322" s="780"/>
      <c r="X4322" s="782">
        <v>4318</v>
      </c>
      <c r="Y4322" s="782" t="s">
        <v>2248</v>
      </c>
      <c r="Z4322" s="782" t="s">
        <v>4246</v>
      </c>
      <c r="AA4322" s="781">
        <f>$S$1*P!AA4322</f>
        <v>7.8830645161290333E-4</v>
      </c>
      <c r="AB4322" s="780"/>
      <c r="AC4322" s="780"/>
      <c r="AD4322" s="780"/>
      <c r="AE4322" s="780"/>
      <c r="AF4322" s="780"/>
    </row>
    <row r="4323" spans="19:32" x14ac:dyDescent="0.35">
      <c r="S4323" s="780"/>
      <c r="T4323" s="928"/>
      <c r="U4323" s="928"/>
      <c r="V4323" s="928"/>
      <c r="W4323" s="780"/>
      <c r="X4323" s="881">
        <v>4319</v>
      </c>
      <c r="Y4323" s="881" t="s">
        <v>2248</v>
      </c>
      <c r="Z4323" s="881" t="s">
        <v>4245</v>
      </c>
      <c r="AA4323" s="890">
        <f>$S$1*P!AA4323</f>
        <v>1233.8709677419356</v>
      </c>
      <c r="AB4323" s="780"/>
      <c r="AC4323" s="780"/>
      <c r="AD4323" s="780"/>
      <c r="AE4323" s="780"/>
      <c r="AF4323" s="780"/>
    </row>
    <row r="4324" spans="19:32" x14ac:dyDescent="0.35">
      <c r="S4324" s="780"/>
      <c r="T4324" s="928"/>
      <c r="U4324" s="928"/>
      <c r="V4324" s="928"/>
      <c r="W4324" s="780"/>
      <c r="X4324" s="782">
        <v>4320</v>
      </c>
      <c r="Y4324" s="782" t="s">
        <v>2248</v>
      </c>
      <c r="Z4324" s="782" t="s">
        <v>4244</v>
      </c>
      <c r="AA4324" s="781">
        <f>$S$1*P!AA4324</f>
        <v>1.1790322580645161E-5</v>
      </c>
      <c r="AB4324" s="780"/>
      <c r="AC4324" s="780"/>
      <c r="AD4324" s="780"/>
      <c r="AE4324" s="780"/>
      <c r="AF4324" s="780"/>
    </row>
    <row r="4325" spans="19:32" x14ac:dyDescent="0.35">
      <c r="S4325" s="780"/>
      <c r="T4325" s="928"/>
      <c r="U4325" s="928"/>
      <c r="V4325" s="928"/>
      <c r="W4325" s="780"/>
      <c r="X4325" s="782">
        <v>4321</v>
      </c>
      <c r="Y4325" s="782" t="s">
        <v>2248</v>
      </c>
      <c r="Z4325" s="782" t="s">
        <v>4165</v>
      </c>
      <c r="AA4325" s="781">
        <f>$S$1*P!AA4325</f>
        <v>3.8729838709677424E-2</v>
      </c>
      <c r="AB4325" s="780"/>
      <c r="AC4325" s="780"/>
      <c r="AD4325" s="780"/>
      <c r="AE4325" s="780"/>
      <c r="AF4325" s="780"/>
    </row>
    <row r="4326" spans="19:32" x14ac:dyDescent="0.35">
      <c r="S4326" s="780"/>
      <c r="T4326" s="928"/>
      <c r="U4326" s="928"/>
      <c r="V4326" s="928"/>
      <c r="W4326" s="780"/>
      <c r="X4326" s="881">
        <v>4322</v>
      </c>
      <c r="Y4326" s="881" t="s">
        <v>2248</v>
      </c>
      <c r="Z4326" s="881" t="s">
        <v>2573</v>
      </c>
      <c r="AA4326" s="890">
        <f>$S$1*P!AA4326</f>
        <v>0</v>
      </c>
      <c r="AB4326" s="780"/>
      <c r="AC4326" s="780"/>
      <c r="AD4326" s="780"/>
      <c r="AE4326" s="780"/>
      <c r="AF4326" s="780"/>
    </row>
    <row r="4327" spans="19:32" x14ac:dyDescent="0.35">
      <c r="S4327" s="780"/>
      <c r="T4327" s="928"/>
      <c r="U4327" s="928"/>
      <c r="V4327" s="928"/>
      <c r="W4327" s="780"/>
      <c r="X4327" s="782">
        <v>4323</v>
      </c>
      <c r="Y4327" s="782" t="s">
        <v>2248</v>
      </c>
      <c r="Z4327" s="782" t="s">
        <v>4164</v>
      </c>
      <c r="AA4327" s="781">
        <f>$S$1*P!AA4327</f>
        <v>8.3286290322580662E-5</v>
      </c>
      <c r="AB4327" s="780"/>
      <c r="AC4327" s="780"/>
      <c r="AD4327" s="780"/>
      <c r="AE4327" s="780"/>
      <c r="AF4327" s="780"/>
    </row>
    <row r="4328" spans="19:32" x14ac:dyDescent="0.35">
      <c r="S4328" s="780"/>
      <c r="T4328" s="928"/>
      <c r="U4328" s="928"/>
      <c r="V4328" s="928"/>
      <c r="W4328" s="780"/>
      <c r="X4328" s="782">
        <v>4324</v>
      </c>
      <c r="Y4328" s="782" t="s">
        <v>2248</v>
      </c>
      <c r="Z4328" s="782" t="s">
        <v>2573</v>
      </c>
      <c r="AA4328" s="781">
        <f>$S$1*P!AA4328</f>
        <v>1.2612903225806453E-2</v>
      </c>
      <c r="AB4328" s="780"/>
      <c r="AC4328" s="780"/>
      <c r="AD4328" s="780"/>
      <c r="AE4328" s="780"/>
      <c r="AF4328" s="780"/>
    </row>
    <row r="4329" spans="19:32" x14ac:dyDescent="0.35">
      <c r="S4329" s="780"/>
      <c r="T4329" s="928"/>
      <c r="U4329" s="928"/>
      <c r="V4329" s="928"/>
      <c r="W4329" s="780"/>
      <c r="X4329" s="782">
        <v>4325</v>
      </c>
      <c r="Y4329" s="782" t="s">
        <v>2248</v>
      </c>
      <c r="Z4329" s="782" t="s">
        <v>4243</v>
      </c>
      <c r="AA4329" s="781">
        <f>$S$1*P!AA4329</f>
        <v>9.5625000000000007E-4</v>
      </c>
      <c r="AB4329" s="780"/>
      <c r="AC4329" s="780"/>
      <c r="AD4329" s="780"/>
      <c r="AE4329" s="780"/>
      <c r="AF4329" s="780"/>
    </row>
    <row r="4330" spans="19:32" x14ac:dyDescent="0.35">
      <c r="S4330" s="780"/>
      <c r="T4330" s="928"/>
      <c r="U4330" s="928"/>
      <c r="V4330" s="928"/>
      <c r="W4330" s="780"/>
      <c r="X4330" s="782">
        <v>4326</v>
      </c>
      <c r="Y4330" s="782" t="s">
        <v>2248</v>
      </c>
      <c r="Z4330" s="782" t="s">
        <v>4162</v>
      </c>
      <c r="AA4330" s="781">
        <f>$S$1*P!AA4330</f>
        <v>5.6209677419354846E-3</v>
      </c>
      <c r="AB4330" s="780"/>
      <c r="AC4330" s="780"/>
      <c r="AD4330" s="780"/>
      <c r="AE4330" s="780"/>
      <c r="AF4330" s="780"/>
    </row>
    <row r="4331" spans="19:32" x14ac:dyDescent="0.35">
      <c r="S4331" s="780"/>
      <c r="T4331" s="928"/>
      <c r="U4331" s="928"/>
      <c r="V4331" s="928"/>
      <c r="W4331" s="780"/>
      <c r="X4331" s="782">
        <v>4327</v>
      </c>
      <c r="Y4331" s="782" t="s">
        <v>2248</v>
      </c>
      <c r="Z4331" s="782" t="s">
        <v>4242</v>
      </c>
      <c r="AA4331" s="781">
        <f>$S$1*P!AA4331</f>
        <v>1.6588709677419357E-2</v>
      </c>
      <c r="AB4331" s="780"/>
      <c r="AC4331" s="780"/>
      <c r="AD4331" s="780"/>
      <c r="AE4331" s="780"/>
      <c r="AF4331" s="780"/>
    </row>
    <row r="4332" spans="19:32" x14ac:dyDescent="0.35">
      <c r="S4332" s="780"/>
      <c r="T4332" s="928"/>
      <c r="U4332" s="928"/>
      <c r="V4332" s="928"/>
      <c r="W4332" s="780"/>
      <c r="X4332" s="881">
        <v>4328</v>
      </c>
      <c r="Y4332" s="881" t="s">
        <v>2248</v>
      </c>
      <c r="Z4332" s="881" t="s">
        <v>4241</v>
      </c>
      <c r="AA4332" s="890">
        <f>$S$1*P!AA4332</f>
        <v>0.3530241935483871</v>
      </c>
      <c r="AB4332" s="780"/>
      <c r="AC4332" s="780"/>
      <c r="AD4332" s="780"/>
      <c r="AE4332" s="780"/>
      <c r="AF4332" s="780"/>
    </row>
    <row r="4333" spans="19:32" x14ac:dyDescent="0.35">
      <c r="S4333" s="780"/>
      <c r="T4333" s="928"/>
      <c r="U4333" s="928"/>
      <c r="V4333" s="928"/>
      <c r="W4333" s="780"/>
      <c r="X4333" s="782">
        <v>4329</v>
      </c>
      <c r="Y4333" s="782" t="s">
        <v>2248</v>
      </c>
      <c r="Z4333" s="782" t="s">
        <v>4240</v>
      </c>
      <c r="AA4333" s="781">
        <f>$S$1*P!AA4333</f>
        <v>8.705645161290323E-4</v>
      </c>
      <c r="AB4333" s="780"/>
      <c r="AC4333" s="780"/>
      <c r="AD4333" s="780"/>
      <c r="AE4333" s="780"/>
      <c r="AF4333" s="780"/>
    </row>
    <row r="4334" spans="19:32" x14ac:dyDescent="0.35">
      <c r="S4334" s="780"/>
      <c r="T4334" s="928"/>
      <c r="U4334" s="928"/>
      <c r="V4334" s="928"/>
      <c r="W4334" s="780"/>
      <c r="X4334" s="782">
        <v>4330</v>
      </c>
      <c r="Y4334" s="782" t="s">
        <v>2248</v>
      </c>
      <c r="Z4334" s="782" t="s">
        <v>4161</v>
      </c>
      <c r="AA4334" s="781">
        <f>$S$1*P!AA4334</f>
        <v>9.6995967741935491E-3</v>
      </c>
      <c r="AB4334" s="780"/>
      <c r="AC4334" s="780"/>
      <c r="AD4334" s="780"/>
      <c r="AE4334" s="780"/>
      <c r="AF4334" s="780"/>
    </row>
    <row r="4335" spans="19:32" x14ac:dyDescent="0.35">
      <c r="S4335" s="780"/>
      <c r="T4335" s="928"/>
      <c r="U4335" s="928"/>
      <c r="V4335" s="928"/>
      <c r="W4335" s="780"/>
      <c r="X4335" s="782">
        <v>4331</v>
      </c>
      <c r="Y4335" s="782" t="s">
        <v>2248</v>
      </c>
      <c r="Z4335" s="782" t="s">
        <v>4239</v>
      </c>
      <c r="AA4335" s="781">
        <f>$S$1*P!AA4335</f>
        <v>3.6330645161290324E-3</v>
      </c>
      <c r="AB4335" s="780"/>
      <c r="AC4335" s="780"/>
      <c r="AD4335" s="780"/>
      <c r="AE4335" s="780"/>
      <c r="AF4335" s="780"/>
    </row>
    <row r="4336" spans="19:32" x14ac:dyDescent="0.35">
      <c r="S4336" s="780"/>
      <c r="T4336" s="928"/>
      <c r="U4336" s="928"/>
      <c r="V4336" s="928"/>
      <c r="W4336" s="780"/>
      <c r="X4336" s="782">
        <v>4332</v>
      </c>
      <c r="Y4336" s="782" t="s">
        <v>2248</v>
      </c>
      <c r="Z4336" s="782" t="s">
        <v>4159</v>
      </c>
      <c r="AA4336" s="781">
        <f>$S$1*P!AA4336</f>
        <v>8.0544354838709689E-4</v>
      </c>
      <c r="AB4336" s="780"/>
      <c r="AC4336" s="780"/>
      <c r="AD4336" s="780"/>
      <c r="AE4336" s="780"/>
      <c r="AF4336" s="780"/>
    </row>
    <row r="4337" spans="19:32" x14ac:dyDescent="0.35">
      <c r="S4337" s="780"/>
      <c r="T4337" s="928"/>
      <c r="U4337" s="928"/>
      <c r="V4337" s="928"/>
      <c r="W4337" s="780"/>
      <c r="X4337" s="782">
        <v>4333</v>
      </c>
      <c r="Y4337" s="782" t="s">
        <v>2248</v>
      </c>
      <c r="Z4337" s="782" t="s">
        <v>4238</v>
      </c>
      <c r="AA4337" s="781">
        <f>$S$1*P!AA4337</f>
        <v>3.564516129032258E-2</v>
      </c>
      <c r="AB4337" s="780"/>
      <c r="AC4337" s="780"/>
      <c r="AD4337" s="780"/>
      <c r="AE4337" s="780"/>
      <c r="AF4337" s="780"/>
    </row>
    <row r="4338" spans="19:32" x14ac:dyDescent="0.35">
      <c r="S4338" s="780"/>
      <c r="T4338" s="928"/>
      <c r="U4338" s="928"/>
      <c r="V4338" s="928"/>
      <c r="W4338" s="780"/>
      <c r="X4338" s="881">
        <v>4334</v>
      </c>
      <c r="Y4338" s="881" t="s">
        <v>2248</v>
      </c>
      <c r="Z4338" s="881" t="s">
        <v>4237</v>
      </c>
      <c r="AA4338" s="890">
        <f>$S$1*P!AA4338</f>
        <v>4.8669354838709683E-2</v>
      </c>
      <c r="AB4338" s="780"/>
      <c r="AC4338" s="780"/>
      <c r="AD4338" s="780"/>
      <c r="AE4338" s="780"/>
      <c r="AF4338" s="780"/>
    </row>
    <row r="4339" spans="19:32" x14ac:dyDescent="0.35">
      <c r="S4339" s="780"/>
      <c r="T4339" s="928"/>
      <c r="U4339" s="928"/>
      <c r="V4339" s="928"/>
      <c r="W4339" s="780"/>
      <c r="X4339" s="782">
        <v>4335</v>
      </c>
      <c r="Y4339" s="782" t="s">
        <v>2248</v>
      </c>
      <c r="Z4339" s="782" t="s">
        <v>4158</v>
      </c>
      <c r="AA4339" s="781">
        <f>$S$1*P!AA4339</f>
        <v>3.6673387096774194E-4</v>
      </c>
      <c r="AB4339" s="780"/>
      <c r="AC4339" s="780"/>
      <c r="AD4339" s="780"/>
      <c r="AE4339" s="780"/>
      <c r="AF4339" s="780"/>
    </row>
    <row r="4340" spans="19:32" x14ac:dyDescent="0.35">
      <c r="S4340" s="780"/>
      <c r="T4340" s="928"/>
      <c r="U4340" s="928"/>
      <c r="V4340" s="928"/>
      <c r="W4340" s="780"/>
      <c r="X4340" s="782">
        <v>4336</v>
      </c>
      <c r="Y4340" s="782" t="s">
        <v>2248</v>
      </c>
      <c r="Z4340" s="782" t="s">
        <v>4236</v>
      </c>
      <c r="AA4340" s="781">
        <f>$S$1*P!AA4340</f>
        <v>1.9467741935483871E-2</v>
      </c>
      <c r="AB4340" s="780"/>
      <c r="AC4340" s="780"/>
      <c r="AD4340" s="780"/>
      <c r="AE4340" s="780"/>
      <c r="AF4340" s="780"/>
    </row>
    <row r="4341" spans="19:32" x14ac:dyDescent="0.35">
      <c r="S4341" s="780"/>
      <c r="T4341" s="928"/>
      <c r="U4341" s="928"/>
      <c r="V4341" s="928"/>
      <c r="W4341" s="780"/>
      <c r="X4341" s="881">
        <v>4337</v>
      </c>
      <c r="Y4341" s="881" t="s">
        <v>2248</v>
      </c>
      <c r="Z4341" s="881" t="s">
        <v>2571</v>
      </c>
      <c r="AA4341" s="890">
        <f>$S$1*P!AA4341</f>
        <v>0</v>
      </c>
      <c r="AB4341" s="780"/>
      <c r="AC4341" s="780"/>
      <c r="AD4341" s="780"/>
      <c r="AE4341" s="780"/>
      <c r="AF4341" s="780"/>
    </row>
    <row r="4342" spans="19:32" x14ac:dyDescent="0.35">
      <c r="S4342" s="780"/>
      <c r="T4342" s="928"/>
      <c r="U4342" s="928"/>
      <c r="V4342" s="928"/>
      <c r="W4342" s="780"/>
      <c r="X4342" s="782">
        <v>4338</v>
      </c>
      <c r="Y4342" s="782" t="s">
        <v>2248</v>
      </c>
      <c r="Z4342" s="782" t="s">
        <v>4156</v>
      </c>
      <c r="AA4342" s="781">
        <f>$S$1*P!AA4342</f>
        <v>1.7377016129032261E-4</v>
      </c>
      <c r="AB4342" s="780"/>
      <c r="AC4342" s="780"/>
      <c r="AD4342" s="780"/>
      <c r="AE4342" s="780"/>
      <c r="AF4342" s="780"/>
    </row>
    <row r="4343" spans="19:32" x14ac:dyDescent="0.35">
      <c r="S4343" s="780"/>
      <c r="T4343" s="928"/>
      <c r="U4343" s="928"/>
      <c r="V4343" s="928"/>
      <c r="W4343" s="780"/>
      <c r="X4343" s="881">
        <v>4339</v>
      </c>
      <c r="Y4343" s="881" t="s">
        <v>2248</v>
      </c>
      <c r="Z4343" s="881" t="s">
        <v>4235</v>
      </c>
      <c r="AA4343" s="890">
        <f>$S$1*P!AA4343</f>
        <v>8.8770161290322588E-5</v>
      </c>
      <c r="AB4343" s="780"/>
      <c r="AC4343" s="780"/>
      <c r="AD4343" s="780"/>
      <c r="AE4343" s="780"/>
      <c r="AF4343" s="780"/>
    </row>
    <row r="4344" spans="19:32" x14ac:dyDescent="0.35">
      <c r="S4344" s="780"/>
      <c r="T4344" s="928"/>
      <c r="U4344" s="928"/>
      <c r="V4344" s="928"/>
      <c r="W4344" s="780"/>
      <c r="X4344" s="782">
        <v>4340</v>
      </c>
      <c r="Y4344" s="782" t="s">
        <v>2248</v>
      </c>
      <c r="Z4344" s="782" t="s">
        <v>4234</v>
      </c>
      <c r="AA4344" s="781">
        <f>$S$1*P!AA4344</f>
        <v>5.2439516129032265E-5</v>
      </c>
      <c r="AB4344" s="780"/>
      <c r="AC4344" s="780"/>
      <c r="AD4344" s="780"/>
      <c r="AE4344" s="780"/>
      <c r="AF4344" s="780"/>
    </row>
    <row r="4345" spans="19:32" x14ac:dyDescent="0.35">
      <c r="S4345" s="780"/>
      <c r="T4345" s="928"/>
      <c r="U4345" s="928"/>
      <c r="V4345" s="928"/>
      <c r="W4345" s="780"/>
      <c r="X4345" s="782">
        <v>4341</v>
      </c>
      <c r="Y4345" s="782" t="s">
        <v>2248</v>
      </c>
      <c r="Z4345" s="782" t="s">
        <v>4155</v>
      </c>
      <c r="AA4345" s="781">
        <f>$S$1*P!AA4345</f>
        <v>1.5149193548387098E-16</v>
      </c>
      <c r="AB4345" s="780"/>
      <c r="AC4345" s="780"/>
      <c r="AD4345" s="780"/>
      <c r="AE4345" s="780"/>
      <c r="AF4345" s="780"/>
    </row>
    <row r="4346" spans="19:32" x14ac:dyDescent="0.35">
      <c r="S4346" s="780"/>
      <c r="T4346" s="928"/>
      <c r="U4346" s="928"/>
      <c r="V4346" s="928"/>
      <c r="W4346" s="780"/>
      <c r="X4346" s="782">
        <v>4342</v>
      </c>
      <c r="Y4346" s="782" t="s">
        <v>2248</v>
      </c>
      <c r="Z4346" s="782" t="s">
        <v>4233</v>
      </c>
      <c r="AA4346" s="781">
        <f>$S$1*P!AA4346</f>
        <v>3.1875000000000002E-4</v>
      </c>
      <c r="AB4346" s="780"/>
      <c r="AC4346" s="780"/>
      <c r="AD4346" s="780"/>
      <c r="AE4346" s="780"/>
      <c r="AF4346" s="780"/>
    </row>
    <row r="4347" spans="19:32" x14ac:dyDescent="0.35">
      <c r="S4347" s="780"/>
      <c r="T4347" s="928"/>
      <c r="U4347" s="928"/>
      <c r="V4347" s="928"/>
      <c r="W4347" s="780"/>
      <c r="X4347" s="782">
        <v>4343</v>
      </c>
      <c r="Y4347" s="782" t="s">
        <v>2248</v>
      </c>
      <c r="Z4347" s="782" t="s">
        <v>4154</v>
      </c>
      <c r="AA4347" s="781">
        <f>$S$1*P!AA4347</f>
        <v>1.2270161290322583E-4</v>
      </c>
      <c r="AB4347" s="780"/>
      <c r="AC4347" s="780"/>
      <c r="AD4347" s="780"/>
      <c r="AE4347" s="780"/>
      <c r="AF4347" s="780"/>
    </row>
    <row r="4348" spans="19:32" x14ac:dyDescent="0.35">
      <c r="S4348" s="780"/>
      <c r="T4348" s="928"/>
      <c r="U4348" s="928"/>
      <c r="V4348" s="928"/>
      <c r="W4348" s="780"/>
      <c r="X4348" s="881">
        <v>4344</v>
      </c>
      <c r="Y4348" s="881" t="s">
        <v>2248</v>
      </c>
      <c r="Z4348" s="881" t="s">
        <v>2570</v>
      </c>
      <c r="AA4348" s="890">
        <f>$S$1*P!AA4348</f>
        <v>0</v>
      </c>
      <c r="AB4348" s="780"/>
      <c r="AC4348" s="780"/>
      <c r="AD4348" s="780"/>
      <c r="AE4348" s="780"/>
      <c r="AF4348" s="780"/>
    </row>
    <row r="4349" spans="19:32" x14ac:dyDescent="0.35">
      <c r="S4349" s="780"/>
      <c r="T4349" s="928"/>
      <c r="U4349" s="928"/>
      <c r="V4349" s="928"/>
      <c r="W4349" s="780"/>
      <c r="X4349" s="881">
        <v>4345</v>
      </c>
      <c r="Y4349" s="881" t="s">
        <v>2248</v>
      </c>
      <c r="Z4349" s="881" t="s">
        <v>4232</v>
      </c>
      <c r="AA4349" s="890">
        <f>$S$1*P!AA4349</f>
        <v>1.7754032258064517E-3</v>
      </c>
      <c r="AB4349" s="780"/>
      <c r="AC4349" s="780"/>
      <c r="AD4349" s="780"/>
      <c r="AE4349" s="780"/>
      <c r="AF4349" s="780"/>
    </row>
    <row r="4350" spans="19:32" x14ac:dyDescent="0.35">
      <c r="S4350" s="780"/>
      <c r="T4350" s="928"/>
      <c r="U4350" s="928"/>
      <c r="V4350" s="928"/>
      <c r="W4350" s="780"/>
      <c r="X4350" s="782">
        <v>4346</v>
      </c>
      <c r="Y4350" s="782" t="s">
        <v>2248</v>
      </c>
      <c r="Z4350" s="782" t="s">
        <v>4231</v>
      </c>
      <c r="AA4350" s="781">
        <f>$S$1*P!AA4350</f>
        <v>3.3383064516129034E-6</v>
      </c>
      <c r="AB4350" s="780"/>
      <c r="AC4350" s="780"/>
      <c r="AD4350" s="780"/>
      <c r="AE4350" s="780"/>
      <c r="AF4350" s="780"/>
    </row>
    <row r="4351" spans="19:32" x14ac:dyDescent="0.35">
      <c r="S4351" s="780"/>
      <c r="T4351" s="928"/>
      <c r="U4351" s="928"/>
      <c r="V4351" s="928"/>
      <c r="W4351" s="780"/>
      <c r="X4351" s="782">
        <v>4347</v>
      </c>
      <c r="Y4351" s="782" t="s">
        <v>2248</v>
      </c>
      <c r="Z4351" s="782" t="s">
        <v>4152</v>
      </c>
      <c r="AA4351" s="781">
        <f>$S$1*P!AA4351</f>
        <v>1.6108870967741938E-3</v>
      </c>
      <c r="AB4351" s="780"/>
      <c r="AC4351" s="780"/>
      <c r="AD4351" s="780"/>
      <c r="AE4351" s="780"/>
      <c r="AF4351" s="780"/>
    </row>
    <row r="4352" spans="19:32" x14ac:dyDescent="0.35">
      <c r="S4352" s="780"/>
      <c r="T4352" s="928"/>
      <c r="U4352" s="928"/>
      <c r="V4352" s="928"/>
      <c r="W4352" s="780"/>
      <c r="X4352" s="782">
        <v>4348</v>
      </c>
      <c r="Y4352" s="782" t="s">
        <v>2248</v>
      </c>
      <c r="Z4352" s="782" t="s">
        <v>4230</v>
      </c>
      <c r="AA4352" s="781">
        <f>$S$1*P!AA4352</f>
        <v>3.770161290322581E-7</v>
      </c>
      <c r="AB4352" s="780"/>
      <c r="AC4352" s="780"/>
      <c r="AD4352" s="780"/>
      <c r="AE4352" s="780"/>
      <c r="AF4352" s="780"/>
    </row>
    <row r="4353" spans="19:32" x14ac:dyDescent="0.35">
      <c r="S4353" s="780"/>
      <c r="T4353" s="928"/>
      <c r="U4353" s="928"/>
      <c r="V4353" s="928"/>
      <c r="W4353" s="780"/>
      <c r="X4353" s="782">
        <v>4349</v>
      </c>
      <c r="Y4353" s="782" t="s">
        <v>2248</v>
      </c>
      <c r="Z4353" s="782" t="s">
        <v>4150</v>
      </c>
      <c r="AA4353" s="781">
        <f>$S$1*P!AA4353</f>
        <v>4.0786290322580646E-2</v>
      </c>
      <c r="AB4353" s="780"/>
      <c r="AC4353" s="780"/>
      <c r="AD4353" s="780"/>
      <c r="AE4353" s="780"/>
      <c r="AF4353" s="780"/>
    </row>
    <row r="4354" spans="19:32" x14ac:dyDescent="0.35">
      <c r="S4354" s="780"/>
      <c r="T4354" s="928"/>
      <c r="U4354" s="928"/>
      <c r="V4354" s="928"/>
      <c r="W4354" s="780"/>
      <c r="X4354" s="782">
        <v>4350</v>
      </c>
      <c r="Y4354" s="782" t="s">
        <v>2248</v>
      </c>
      <c r="Z4354" s="782" t="s">
        <v>4229</v>
      </c>
      <c r="AA4354" s="781">
        <f>$S$1*P!AA4354</f>
        <v>6.2036290322580647E-5</v>
      </c>
      <c r="AB4354" s="780"/>
      <c r="AC4354" s="780"/>
      <c r="AD4354" s="780"/>
      <c r="AE4354" s="780"/>
      <c r="AF4354" s="780"/>
    </row>
    <row r="4355" spans="19:32" x14ac:dyDescent="0.35">
      <c r="S4355" s="780"/>
      <c r="T4355" s="928"/>
      <c r="U4355" s="928"/>
      <c r="V4355" s="928"/>
      <c r="W4355" s="780"/>
      <c r="X4355" s="881">
        <v>4351</v>
      </c>
      <c r="Y4355" s="881" t="s">
        <v>2248</v>
      </c>
      <c r="Z4355" s="881" t="s">
        <v>2568</v>
      </c>
      <c r="AA4355" s="890">
        <f>$S$1*P!AA4355</f>
        <v>0</v>
      </c>
      <c r="AB4355" s="780"/>
      <c r="AC4355" s="780"/>
      <c r="AD4355" s="780"/>
      <c r="AE4355" s="780"/>
      <c r="AF4355" s="780"/>
    </row>
    <row r="4356" spans="19:32" x14ac:dyDescent="0.35">
      <c r="S4356" s="780"/>
      <c r="T4356" s="928"/>
      <c r="U4356" s="928"/>
      <c r="V4356" s="928"/>
      <c r="W4356" s="780"/>
      <c r="X4356" s="782">
        <v>4352</v>
      </c>
      <c r="Y4356" s="782" t="s">
        <v>2248</v>
      </c>
      <c r="Z4356" s="782" t="s">
        <v>4149</v>
      </c>
      <c r="AA4356" s="781">
        <f>$S$1*P!AA4356</f>
        <v>1.4875000000000001E-3</v>
      </c>
      <c r="AB4356" s="780"/>
      <c r="AC4356" s="780"/>
      <c r="AD4356" s="780"/>
      <c r="AE4356" s="780"/>
      <c r="AF4356" s="780"/>
    </row>
    <row r="4357" spans="19:32" x14ac:dyDescent="0.35">
      <c r="S4357" s="780"/>
      <c r="T4357" s="928"/>
      <c r="U4357" s="928"/>
      <c r="V4357" s="928"/>
      <c r="W4357" s="780"/>
      <c r="X4357" s="881">
        <v>4353</v>
      </c>
      <c r="Y4357" s="881" t="s">
        <v>2248</v>
      </c>
      <c r="Z4357" s="881" t="s">
        <v>2567</v>
      </c>
      <c r="AA4357" s="890">
        <f>$S$1*P!AA4357</f>
        <v>0</v>
      </c>
      <c r="AB4357" s="780"/>
      <c r="AC4357" s="780"/>
      <c r="AD4357" s="780"/>
      <c r="AE4357" s="780"/>
      <c r="AF4357" s="780"/>
    </row>
    <row r="4358" spans="19:32" x14ac:dyDescent="0.35">
      <c r="S4358" s="780"/>
      <c r="T4358" s="928"/>
      <c r="U4358" s="928"/>
      <c r="V4358" s="928"/>
      <c r="W4358" s="780"/>
      <c r="X4358" s="881">
        <v>4354</v>
      </c>
      <c r="Y4358" s="881" t="s">
        <v>2248</v>
      </c>
      <c r="Z4358" s="881" t="s">
        <v>4228</v>
      </c>
      <c r="AA4358" s="890">
        <f>$S$1*P!AA4358</f>
        <v>3.4137096774193549E-6</v>
      </c>
      <c r="AB4358" s="780"/>
      <c r="AC4358" s="780"/>
      <c r="AD4358" s="780"/>
      <c r="AE4358" s="780"/>
      <c r="AF4358" s="780"/>
    </row>
    <row r="4359" spans="19:32" x14ac:dyDescent="0.35">
      <c r="S4359" s="780"/>
      <c r="T4359" s="928"/>
      <c r="U4359" s="928"/>
      <c r="V4359" s="928"/>
      <c r="W4359" s="780"/>
      <c r="X4359" s="782">
        <v>4355</v>
      </c>
      <c r="Y4359" s="782" t="s">
        <v>2248</v>
      </c>
      <c r="Z4359" s="782" t="s">
        <v>4148</v>
      </c>
      <c r="AA4359" s="781">
        <f>$S$1*P!AA4359</f>
        <v>4.010080645161291E-2</v>
      </c>
      <c r="AB4359" s="780"/>
      <c r="AC4359" s="780"/>
      <c r="AD4359" s="780"/>
      <c r="AE4359" s="780"/>
      <c r="AF4359" s="780"/>
    </row>
    <row r="4360" spans="19:32" x14ac:dyDescent="0.35">
      <c r="S4360" s="780"/>
      <c r="T4360" s="928"/>
      <c r="U4360" s="928"/>
      <c r="V4360" s="928"/>
      <c r="W4360" s="780"/>
      <c r="X4360" s="881">
        <v>4356</v>
      </c>
      <c r="Y4360" s="881" t="s">
        <v>2248</v>
      </c>
      <c r="Z4360" s="881" t="s">
        <v>2565</v>
      </c>
      <c r="AA4360" s="890">
        <f>$S$1*P!AA4360</f>
        <v>5.5659999999999998E-4</v>
      </c>
      <c r="AB4360" s="780"/>
      <c r="AC4360" s="780"/>
      <c r="AD4360" s="780"/>
      <c r="AE4360" s="780"/>
      <c r="AF4360" s="780"/>
    </row>
    <row r="4361" spans="19:32" x14ac:dyDescent="0.35">
      <c r="S4361" s="780"/>
      <c r="T4361" s="928"/>
      <c r="U4361" s="928"/>
      <c r="V4361" s="928"/>
      <c r="W4361" s="780"/>
      <c r="X4361" s="782">
        <v>4357</v>
      </c>
      <c r="Y4361" s="782" t="s">
        <v>2248</v>
      </c>
      <c r="Z4361" s="782" t="s">
        <v>2565</v>
      </c>
      <c r="AA4361" s="781">
        <f>$S$1*P!AA4361</f>
        <v>5.7237903225806452E-4</v>
      </c>
      <c r="AB4361" s="780"/>
      <c r="AC4361" s="780"/>
      <c r="AD4361" s="780"/>
      <c r="AE4361" s="780"/>
      <c r="AF4361" s="780"/>
    </row>
    <row r="4362" spans="19:32" x14ac:dyDescent="0.35">
      <c r="S4362" s="780"/>
      <c r="T4362" s="928"/>
      <c r="U4362" s="928"/>
      <c r="V4362" s="928"/>
      <c r="W4362" s="780"/>
      <c r="X4362" s="782">
        <v>4358</v>
      </c>
      <c r="Y4362" s="782" t="s">
        <v>2248</v>
      </c>
      <c r="Z4362" s="782" t="s">
        <v>2512</v>
      </c>
      <c r="AA4362" s="781">
        <f>$S$1*P!AA4362</f>
        <v>0.92883064516129044</v>
      </c>
      <c r="AB4362" s="780"/>
      <c r="AC4362" s="780"/>
      <c r="AD4362" s="780"/>
      <c r="AE4362" s="780"/>
      <c r="AF4362" s="780"/>
    </row>
    <row r="4363" spans="19:32" x14ac:dyDescent="0.35">
      <c r="S4363" s="780"/>
      <c r="T4363" s="928"/>
      <c r="U4363" s="928"/>
      <c r="V4363" s="928"/>
      <c r="W4363" s="780"/>
      <c r="X4363" s="782">
        <v>4359</v>
      </c>
      <c r="Y4363" s="782" t="s">
        <v>2248</v>
      </c>
      <c r="Z4363" s="782" t="s">
        <v>4227</v>
      </c>
      <c r="AA4363" s="781">
        <f>$S$1*P!AA4363</f>
        <v>4.3870967741935482E-9</v>
      </c>
      <c r="AB4363" s="780"/>
      <c r="AC4363" s="780"/>
      <c r="AD4363" s="780"/>
      <c r="AE4363" s="780"/>
      <c r="AF4363" s="780"/>
    </row>
    <row r="4364" spans="19:32" x14ac:dyDescent="0.35">
      <c r="S4364" s="780"/>
      <c r="T4364" s="928"/>
      <c r="U4364" s="928"/>
      <c r="V4364" s="928"/>
      <c r="W4364" s="780"/>
      <c r="X4364" s="881">
        <v>4360</v>
      </c>
      <c r="Y4364" s="881" t="s">
        <v>2248</v>
      </c>
      <c r="Z4364" s="881" t="s">
        <v>2563</v>
      </c>
      <c r="AA4364" s="890">
        <f>$S$1*P!AA4364</f>
        <v>2.5944000000000002E-2</v>
      </c>
      <c r="AB4364" s="780"/>
      <c r="AC4364" s="780"/>
      <c r="AD4364" s="780"/>
      <c r="AE4364" s="780"/>
      <c r="AF4364" s="780"/>
    </row>
    <row r="4365" spans="19:32" x14ac:dyDescent="0.35">
      <c r="S4365" s="780"/>
      <c r="T4365" s="928"/>
      <c r="U4365" s="928"/>
      <c r="V4365" s="928"/>
      <c r="W4365" s="780"/>
      <c r="X4365" s="782">
        <v>4361</v>
      </c>
      <c r="Y4365" s="782" t="s">
        <v>2248</v>
      </c>
      <c r="Z4365" s="782" t="s">
        <v>2563</v>
      </c>
      <c r="AA4365" s="781">
        <f>$S$1*P!AA4365</f>
        <v>2.6528225806451617E-3</v>
      </c>
      <c r="AB4365" s="780"/>
      <c r="AC4365" s="780"/>
      <c r="AD4365" s="780"/>
      <c r="AE4365" s="780"/>
      <c r="AF4365" s="780"/>
    </row>
    <row r="4366" spans="19:32" x14ac:dyDescent="0.35">
      <c r="S4366" s="780"/>
      <c r="T4366" s="928"/>
      <c r="U4366" s="928"/>
      <c r="V4366" s="928"/>
      <c r="W4366" s="780"/>
      <c r="X4366" s="782">
        <v>4362</v>
      </c>
      <c r="Y4366" s="782" t="s">
        <v>2248</v>
      </c>
      <c r="Z4366" s="782" t="s">
        <v>2509</v>
      </c>
      <c r="AA4366" s="781">
        <f>$S$1*P!AA4366</f>
        <v>1.6931451612903227E-3</v>
      </c>
      <c r="AB4366" s="780"/>
      <c r="AC4366" s="780"/>
      <c r="AD4366" s="780"/>
      <c r="AE4366" s="780"/>
      <c r="AF4366" s="780"/>
    </row>
    <row r="4367" spans="19:32" x14ac:dyDescent="0.35">
      <c r="S4367" s="780"/>
      <c r="T4367" s="928"/>
      <c r="U4367" s="928"/>
      <c r="V4367" s="928"/>
      <c r="W4367" s="780"/>
      <c r="X4367" s="782">
        <v>4363</v>
      </c>
      <c r="Y4367" s="782" t="s">
        <v>2248</v>
      </c>
      <c r="Z4367" s="782" t="s">
        <v>4226</v>
      </c>
      <c r="AA4367" s="781">
        <f>$S$1*P!AA4367</f>
        <v>5.4838709677419359E-4</v>
      </c>
      <c r="AB4367" s="780"/>
      <c r="AC4367" s="780"/>
      <c r="AD4367" s="780"/>
      <c r="AE4367" s="780"/>
      <c r="AF4367" s="780"/>
    </row>
    <row r="4368" spans="19:32" x14ac:dyDescent="0.35">
      <c r="S4368" s="780"/>
      <c r="T4368" s="928"/>
      <c r="U4368" s="928"/>
      <c r="V4368" s="928"/>
      <c r="W4368" s="780"/>
      <c r="X4368" s="782">
        <v>4364</v>
      </c>
      <c r="Y4368" s="782" t="s">
        <v>2248</v>
      </c>
      <c r="Z4368" s="782" t="s">
        <v>4144</v>
      </c>
      <c r="AA4368" s="781">
        <f>$S$1*P!AA4368</f>
        <v>8.9455645161290334E-4</v>
      </c>
      <c r="AB4368" s="780"/>
      <c r="AC4368" s="780"/>
      <c r="AD4368" s="780"/>
      <c r="AE4368" s="780"/>
      <c r="AF4368" s="780"/>
    </row>
    <row r="4369" spans="19:32" x14ac:dyDescent="0.35">
      <c r="S4369" s="780"/>
      <c r="T4369" s="928"/>
      <c r="U4369" s="928"/>
      <c r="V4369" s="928"/>
      <c r="W4369" s="780"/>
      <c r="X4369" s="881">
        <v>4365</v>
      </c>
      <c r="Y4369" s="881" t="s">
        <v>2248</v>
      </c>
      <c r="Z4369" s="881" t="s">
        <v>4225</v>
      </c>
      <c r="AA4369" s="890">
        <f>$S$1*P!AA4369</f>
        <v>1.8953629032258068E-5</v>
      </c>
      <c r="AB4369" s="780"/>
      <c r="AC4369" s="780"/>
      <c r="AD4369" s="780"/>
      <c r="AE4369" s="780"/>
      <c r="AF4369" s="780"/>
    </row>
    <row r="4370" spans="19:32" x14ac:dyDescent="0.35">
      <c r="S4370" s="780"/>
      <c r="T4370" s="928"/>
      <c r="U4370" s="928"/>
      <c r="V4370" s="928"/>
      <c r="W4370" s="780"/>
      <c r="X4370" s="782">
        <v>4366</v>
      </c>
      <c r="Y4370" s="782" t="s">
        <v>2248</v>
      </c>
      <c r="Z4370" s="782" t="s">
        <v>4224</v>
      </c>
      <c r="AA4370" s="781">
        <f>$S$1*P!AA4370</f>
        <v>3.2766129032258068E-4</v>
      </c>
      <c r="AB4370" s="780"/>
      <c r="AC4370" s="780"/>
      <c r="AD4370" s="780"/>
      <c r="AE4370" s="780"/>
      <c r="AF4370" s="780"/>
    </row>
    <row r="4371" spans="19:32" x14ac:dyDescent="0.35">
      <c r="S4371" s="780"/>
      <c r="T4371" s="928"/>
      <c r="U4371" s="928"/>
      <c r="V4371" s="928"/>
      <c r="W4371" s="780"/>
      <c r="X4371" s="782">
        <v>4367</v>
      </c>
      <c r="Y4371" s="782" t="s">
        <v>2248</v>
      </c>
      <c r="Z4371" s="782" t="s">
        <v>4142</v>
      </c>
      <c r="AA4371" s="781">
        <f>$S$1*P!AA4371</f>
        <v>3.6673387096774197E-5</v>
      </c>
      <c r="AB4371" s="780"/>
      <c r="AC4371" s="780"/>
      <c r="AD4371" s="780"/>
      <c r="AE4371" s="780"/>
      <c r="AF4371" s="780"/>
    </row>
    <row r="4372" spans="19:32" x14ac:dyDescent="0.35">
      <c r="S4372" s="780"/>
      <c r="T4372" s="928"/>
      <c r="U4372" s="928"/>
      <c r="V4372" s="928"/>
      <c r="W4372" s="780"/>
      <c r="X4372" s="782">
        <v>4368</v>
      </c>
      <c r="Y4372" s="782" t="s">
        <v>2248</v>
      </c>
      <c r="Z4372" s="782" t="s">
        <v>4223</v>
      </c>
      <c r="AA4372" s="781">
        <f>$S$1*P!AA4372</f>
        <v>0.1086491935483871</v>
      </c>
      <c r="AB4372" s="780"/>
      <c r="AC4372" s="780"/>
      <c r="AD4372" s="780"/>
      <c r="AE4372" s="780"/>
      <c r="AF4372" s="780"/>
    </row>
    <row r="4373" spans="19:32" x14ac:dyDescent="0.35">
      <c r="S4373" s="780"/>
      <c r="T4373" s="928"/>
      <c r="U4373" s="928"/>
      <c r="V4373" s="928"/>
      <c r="W4373" s="780"/>
      <c r="X4373" s="782">
        <v>4369</v>
      </c>
      <c r="Y4373" s="782" t="s">
        <v>2248</v>
      </c>
      <c r="Z4373" s="782" t="s">
        <v>2504</v>
      </c>
      <c r="AA4373" s="781">
        <f>$S$1*P!AA4373</f>
        <v>1.2030241935483871E-4</v>
      </c>
      <c r="AB4373" s="780"/>
      <c r="AC4373" s="780"/>
      <c r="AD4373" s="780"/>
      <c r="AE4373" s="780"/>
      <c r="AF4373" s="780"/>
    </row>
    <row r="4374" spans="19:32" x14ac:dyDescent="0.35">
      <c r="S4374" s="780"/>
      <c r="T4374" s="928"/>
      <c r="U4374" s="928"/>
      <c r="V4374" s="928"/>
      <c r="W4374" s="780"/>
      <c r="X4374" s="881">
        <v>4370</v>
      </c>
      <c r="Y4374" s="881" t="s">
        <v>2248</v>
      </c>
      <c r="Z4374" s="881" t="s">
        <v>2562</v>
      </c>
      <c r="AA4374" s="890">
        <f>$S$1*P!AA4374</f>
        <v>0</v>
      </c>
      <c r="AB4374" s="780"/>
      <c r="AC4374" s="780"/>
      <c r="AD4374" s="780"/>
      <c r="AE4374" s="780"/>
      <c r="AF4374" s="780"/>
    </row>
    <row r="4375" spans="19:32" x14ac:dyDescent="0.35">
      <c r="S4375" s="780"/>
      <c r="T4375" s="928"/>
      <c r="U4375" s="928"/>
      <c r="V4375" s="928"/>
      <c r="W4375" s="780"/>
      <c r="X4375" s="782">
        <v>4371</v>
      </c>
      <c r="Y4375" s="782" t="s">
        <v>2248</v>
      </c>
      <c r="Z4375" s="782" t="s">
        <v>4222</v>
      </c>
      <c r="AA4375" s="781">
        <f>$S$1*P!AA4375</f>
        <v>9.5282258064516138E-4</v>
      </c>
      <c r="AB4375" s="780"/>
      <c r="AC4375" s="780"/>
      <c r="AD4375" s="780"/>
      <c r="AE4375" s="780"/>
      <c r="AF4375" s="780"/>
    </row>
    <row r="4376" spans="19:32" x14ac:dyDescent="0.35">
      <c r="S4376" s="780"/>
      <c r="T4376" s="928"/>
      <c r="U4376" s="928"/>
      <c r="V4376" s="928"/>
      <c r="W4376" s="780"/>
      <c r="X4376" s="782">
        <v>4372</v>
      </c>
      <c r="Y4376" s="782" t="s">
        <v>2248</v>
      </c>
      <c r="Z4376" s="782" t="s">
        <v>4221</v>
      </c>
      <c r="AA4376" s="781">
        <f>$S$1*P!AA4376</f>
        <v>1.5080645161290326E-4</v>
      </c>
      <c r="AB4376" s="780"/>
      <c r="AC4376" s="780"/>
      <c r="AD4376" s="780"/>
      <c r="AE4376" s="780"/>
      <c r="AF4376" s="780"/>
    </row>
    <row r="4377" spans="19:32" x14ac:dyDescent="0.35">
      <c r="S4377" s="780"/>
      <c r="T4377" s="928"/>
      <c r="U4377" s="928"/>
      <c r="V4377" s="928"/>
      <c r="W4377" s="780"/>
      <c r="X4377" s="782">
        <v>4373</v>
      </c>
      <c r="Y4377" s="782" t="s">
        <v>2248</v>
      </c>
      <c r="Z4377" s="782" t="s">
        <v>4140</v>
      </c>
      <c r="AA4377" s="781">
        <f>$S$1*P!AA4377</f>
        <v>1.665725806451613E-2</v>
      </c>
      <c r="AB4377" s="780"/>
      <c r="AC4377" s="780"/>
      <c r="AD4377" s="780"/>
      <c r="AE4377" s="780"/>
      <c r="AF4377" s="780"/>
    </row>
    <row r="4378" spans="19:32" x14ac:dyDescent="0.35">
      <c r="S4378" s="780"/>
      <c r="T4378" s="928"/>
      <c r="U4378" s="928"/>
      <c r="V4378" s="928"/>
      <c r="W4378" s="780"/>
      <c r="X4378" s="881">
        <v>4374</v>
      </c>
      <c r="Y4378" s="881" t="s">
        <v>2248</v>
      </c>
      <c r="Z4378" s="881" t="s">
        <v>2560</v>
      </c>
      <c r="AA4378" s="890">
        <f>$S$1*P!AA4378</f>
        <v>6.0719999999999996E-2</v>
      </c>
      <c r="AB4378" s="780"/>
      <c r="AC4378" s="780"/>
      <c r="AD4378" s="780"/>
      <c r="AE4378" s="780"/>
      <c r="AF4378" s="780"/>
    </row>
    <row r="4379" spans="19:32" x14ac:dyDescent="0.35">
      <c r="S4379" s="780"/>
      <c r="T4379" s="928"/>
      <c r="U4379" s="928"/>
      <c r="V4379" s="928"/>
      <c r="W4379" s="780"/>
      <c r="X4379" s="881">
        <v>4375</v>
      </c>
      <c r="Y4379" s="881" t="s">
        <v>2248</v>
      </c>
      <c r="Z4379" s="881" t="s">
        <v>4220</v>
      </c>
      <c r="AA4379" s="890">
        <f>$S$1*P!AA4379</f>
        <v>0.10625000000000001</v>
      </c>
      <c r="AB4379" s="780"/>
      <c r="AC4379" s="780"/>
      <c r="AD4379" s="780"/>
      <c r="AE4379" s="780"/>
      <c r="AF4379" s="780"/>
    </row>
    <row r="4380" spans="19:32" x14ac:dyDescent="0.35">
      <c r="S4380" s="780"/>
      <c r="T4380" s="928"/>
      <c r="U4380" s="928"/>
      <c r="V4380" s="928"/>
      <c r="W4380" s="780"/>
      <c r="X4380" s="782">
        <v>4376</v>
      </c>
      <c r="Y4380" s="782" t="s">
        <v>2248</v>
      </c>
      <c r="Z4380" s="782" t="s">
        <v>2502</v>
      </c>
      <c r="AA4380" s="781">
        <f>$S$1*P!AA4380</f>
        <v>1.2784274193548388E-3</v>
      </c>
      <c r="AB4380" s="780"/>
      <c r="AC4380" s="780"/>
      <c r="AD4380" s="780"/>
      <c r="AE4380" s="780"/>
      <c r="AF4380" s="780"/>
    </row>
    <row r="4381" spans="19:32" x14ac:dyDescent="0.35">
      <c r="S4381" s="780"/>
      <c r="T4381" s="928"/>
      <c r="U4381" s="928"/>
      <c r="V4381" s="928"/>
      <c r="W4381" s="780"/>
      <c r="X4381" s="881">
        <v>4377</v>
      </c>
      <c r="Y4381" s="881" t="s">
        <v>2248</v>
      </c>
      <c r="Z4381" s="881" t="s">
        <v>2559</v>
      </c>
      <c r="AA4381" s="890">
        <f>$S$1*P!AA4381</f>
        <v>4.7748000000000001E-3</v>
      </c>
      <c r="AB4381" s="780"/>
      <c r="AC4381" s="780"/>
      <c r="AD4381" s="780"/>
      <c r="AE4381" s="780"/>
      <c r="AF4381" s="780"/>
    </row>
    <row r="4382" spans="19:32" x14ac:dyDescent="0.35">
      <c r="S4382" s="780"/>
      <c r="T4382" s="928"/>
      <c r="U4382" s="928"/>
      <c r="V4382" s="928"/>
      <c r="W4382" s="780"/>
      <c r="X4382" s="782">
        <v>4378</v>
      </c>
      <c r="Y4382" s="782" t="s">
        <v>2248</v>
      </c>
      <c r="Z4382" s="782" t="s">
        <v>2559</v>
      </c>
      <c r="AA4382" s="781">
        <f>$S$1*P!AA4382</f>
        <v>1.370967741935484E-3</v>
      </c>
      <c r="AB4382" s="780"/>
      <c r="AC4382" s="780"/>
      <c r="AD4382" s="780"/>
      <c r="AE4382" s="780"/>
      <c r="AF4382" s="780"/>
    </row>
    <row r="4383" spans="19:32" x14ac:dyDescent="0.35">
      <c r="S4383" s="780"/>
      <c r="T4383" s="928"/>
      <c r="U4383" s="928"/>
      <c r="V4383" s="928"/>
      <c r="W4383" s="780"/>
      <c r="X4383" s="782">
        <v>4379</v>
      </c>
      <c r="Y4383" s="782" t="s">
        <v>2248</v>
      </c>
      <c r="Z4383" s="782" t="s">
        <v>4138</v>
      </c>
      <c r="AA4383" s="781">
        <f>$S$1*P!AA4383</f>
        <v>1.7034274193548388E-2</v>
      </c>
      <c r="AB4383" s="780"/>
      <c r="AC4383" s="780"/>
      <c r="AD4383" s="780"/>
      <c r="AE4383" s="780"/>
      <c r="AF4383" s="780"/>
    </row>
    <row r="4384" spans="19:32" x14ac:dyDescent="0.35">
      <c r="S4384" s="780"/>
      <c r="T4384" s="928"/>
      <c r="U4384" s="928"/>
      <c r="V4384" s="928"/>
      <c r="W4384" s="780"/>
      <c r="X4384" s="881">
        <v>4380</v>
      </c>
      <c r="Y4384" s="881" t="s">
        <v>2248</v>
      </c>
      <c r="Z4384" s="881" t="s">
        <v>4219</v>
      </c>
      <c r="AA4384" s="890">
        <f>$S$1*P!AA4384</f>
        <v>1.0110887096774195E-3</v>
      </c>
      <c r="AB4384" s="780"/>
      <c r="AC4384" s="780"/>
      <c r="AD4384" s="780"/>
      <c r="AE4384" s="780"/>
      <c r="AF4384" s="780"/>
    </row>
    <row r="4385" spans="19:32" x14ac:dyDescent="0.35">
      <c r="S4385" s="780"/>
      <c r="T4385" s="928"/>
      <c r="U4385" s="928"/>
      <c r="V4385" s="928"/>
      <c r="W4385" s="780"/>
      <c r="X4385" s="782">
        <v>4381</v>
      </c>
      <c r="Y4385" s="782" t="s">
        <v>2248</v>
      </c>
      <c r="Z4385" s="782" t="s">
        <v>4218</v>
      </c>
      <c r="AA4385" s="781">
        <f>$S$1*P!AA4385</f>
        <v>2.6425403225806455E-4</v>
      </c>
      <c r="AB4385" s="780"/>
      <c r="AC4385" s="780"/>
      <c r="AD4385" s="780"/>
      <c r="AE4385" s="780"/>
      <c r="AF4385" s="780"/>
    </row>
    <row r="4386" spans="19:32" x14ac:dyDescent="0.35">
      <c r="S4386" s="780"/>
      <c r="T4386" s="928"/>
      <c r="U4386" s="928"/>
      <c r="V4386" s="928"/>
      <c r="W4386" s="780"/>
      <c r="X4386" s="782">
        <v>4382</v>
      </c>
      <c r="Y4386" s="782" t="s">
        <v>2248</v>
      </c>
      <c r="Z4386" s="782" t="s">
        <v>4137</v>
      </c>
      <c r="AA4386" s="781">
        <f>$S$1*P!AA4386</f>
        <v>1.9879032258064517E-3</v>
      </c>
      <c r="AB4386" s="780"/>
      <c r="AC4386" s="780"/>
      <c r="AD4386" s="780"/>
      <c r="AE4386" s="780"/>
      <c r="AF4386" s="780"/>
    </row>
    <row r="4387" spans="19:32" x14ac:dyDescent="0.35">
      <c r="S4387" s="780"/>
      <c r="T4387" s="928"/>
      <c r="U4387" s="928"/>
      <c r="V4387" s="928"/>
      <c r="W4387" s="780"/>
      <c r="X4387" s="782">
        <v>4383</v>
      </c>
      <c r="Y4387" s="782" t="s">
        <v>2248</v>
      </c>
      <c r="Z4387" s="782" t="s">
        <v>4217</v>
      </c>
      <c r="AA4387" s="781">
        <f>$S$1*P!AA4387</f>
        <v>4.0443548387096772E-5</v>
      </c>
      <c r="AB4387" s="780"/>
      <c r="AC4387" s="780"/>
      <c r="AD4387" s="780"/>
      <c r="AE4387" s="780"/>
      <c r="AF4387" s="780"/>
    </row>
    <row r="4388" spans="19:32" x14ac:dyDescent="0.35">
      <c r="S4388" s="780"/>
      <c r="T4388" s="928"/>
      <c r="U4388" s="928"/>
      <c r="V4388" s="928"/>
      <c r="W4388" s="780"/>
      <c r="X4388" s="782">
        <v>4384</v>
      </c>
      <c r="Y4388" s="782" t="s">
        <v>2248</v>
      </c>
      <c r="Z4388" s="782" t="s">
        <v>4135</v>
      </c>
      <c r="AA4388" s="781">
        <f>$S$1*P!AA4388</f>
        <v>2.1592741935483873E-4</v>
      </c>
      <c r="AB4388" s="780"/>
      <c r="AC4388" s="780"/>
      <c r="AD4388" s="780"/>
      <c r="AE4388" s="780"/>
      <c r="AF4388" s="780"/>
    </row>
    <row r="4389" spans="19:32" x14ac:dyDescent="0.35">
      <c r="S4389" s="780"/>
      <c r="T4389" s="928"/>
      <c r="U4389" s="928"/>
      <c r="V4389" s="928"/>
      <c r="W4389" s="780"/>
      <c r="X4389" s="881">
        <v>4385</v>
      </c>
      <c r="Y4389" s="881" t="s">
        <v>2248</v>
      </c>
      <c r="Z4389" s="881" t="s">
        <v>2557</v>
      </c>
      <c r="AA4389" s="890">
        <f>$S$1*P!AA4389</f>
        <v>0</v>
      </c>
      <c r="AB4389" s="780"/>
      <c r="AC4389" s="780"/>
      <c r="AD4389" s="780"/>
      <c r="AE4389" s="780"/>
      <c r="AF4389" s="780"/>
    </row>
    <row r="4390" spans="19:32" x14ac:dyDescent="0.35">
      <c r="S4390" s="780"/>
      <c r="T4390" s="928"/>
      <c r="U4390" s="928"/>
      <c r="V4390" s="928"/>
      <c r="W4390" s="780"/>
      <c r="X4390" s="881">
        <v>4386</v>
      </c>
      <c r="Y4390" s="881" t="s">
        <v>2248</v>
      </c>
      <c r="Z4390" s="881" t="s">
        <v>4216</v>
      </c>
      <c r="AA4390" s="890">
        <f>$S$1*P!AA4390</f>
        <v>2.7590725806451617E-5</v>
      </c>
      <c r="AB4390" s="780"/>
      <c r="AC4390" s="780"/>
      <c r="AD4390" s="780"/>
      <c r="AE4390" s="780"/>
      <c r="AF4390" s="780"/>
    </row>
    <row r="4391" spans="19:32" x14ac:dyDescent="0.35">
      <c r="S4391" s="780"/>
      <c r="T4391" s="928"/>
      <c r="U4391" s="928"/>
      <c r="V4391" s="928"/>
      <c r="W4391" s="780"/>
      <c r="X4391" s="782">
        <v>4387</v>
      </c>
      <c r="Y4391" s="782" t="s">
        <v>2248</v>
      </c>
      <c r="Z4391" s="782" t="s">
        <v>2499</v>
      </c>
      <c r="AA4391" s="781">
        <f>$S$1*P!AA4391</f>
        <v>3.7358870967741939E-3</v>
      </c>
      <c r="AB4391" s="780"/>
      <c r="AC4391" s="780"/>
      <c r="AD4391" s="780"/>
      <c r="AE4391" s="780"/>
      <c r="AF4391" s="780"/>
    </row>
    <row r="4392" spans="19:32" x14ac:dyDescent="0.35">
      <c r="S4392" s="780"/>
      <c r="T4392" s="928"/>
      <c r="U4392" s="928"/>
      <c r="V4392" s="928"/>
      <c r="W4392" s="780"/>
      <c r="X4392" s="881">
        <v>4388</v>
      </c>
      <c r="Y4392" s="881" t="s">
        <v>2248</v>
      </c>
      <c r="Z4392" s="881" t="s">
        <v>2556</v>
      </c>
      <c r="AA4392" s="890">
        <f>$S$1*P!AA4392</f>
        <v>0</v>
      </c>
      <c r="AB4392" s="780"/>
      <c r="AC4392" s="780"/>
      <c r="AD4392" s="780"/>
      <c r="AE4392" s="780"/>
      <c r="AF4392" s="780"/>
    </row>
    <row r="4393" spans="19:32" x14ac:dyDescent="0.35">
      <c r="S4393" s="780"/>
      <c r="T4393" s="928"/>
      <c r="U4393" s="928"/>
      <c r="V4393" s="928"/>
      <c r="W4393" s="780"/>
      <c r="X4393" s="782">
        <v>4389</v>
      </c>
      <c r="Y4393" s="782" t="s">
        <v>2248</v>
      </c>
      <c r="Z4393" s="782" t="s">
        <v>2556</v>
      </c>
      <c r="AA4393" s="781">
        <f>$S$1*P!AA4393</f>
        <v>2.1421370967741937E-2</v>
      </c>
      <c r="AB4393" s="780"/>
      <c r="AC4393" s="780"/>
      <c r="AD4393" s="780"/>
      <c r="AE4393" s="780"/>
      <c r="AF4393" s="780"/>
    </row>
    <row r="4394" spans="19:32" x14ac:dyDescent="0.35">
      <c r="S4394" s="780"/>
      <c r="T4394" s="928"/>
      <c r="U4394" s="928"/>
      <c r="V4394" s="928"/>
      <c r="W4394" s="780"/>
      <c r="X4394" s="782">
        <v>4390</v>
      </c>
      <c r="Y4394" s="782" t="s">
        <v>2248</v>
      </c>
      <c r="Z4394" s="782" t="s">
        <v>4132</v>
      </c>
      <c r="AA4394" s="781">
        <f>$S$1*P!AA4394</f>
        <v>4.3870967741935489E-4</v>
      </c>
      <c r="AB4394" s="780"/>
      <c r="AC4394" s="780"/>
      <c r="AD4394" s="780"/>
      <c r="AE4394" s="780"/>
      <c r="AF4394" s="780"/>
    </row>
    <row r="4395" spans="19:32" x14ac:dyDescent="0.35">
      <c r="S4395" s="780"/>
      <c r="T4395" s="928"/>
      <c r="U4395" s="928"/>
      <c r="V4395" s="928"/>
      <c r="W4395" s="780"/>
      <c r="X4395" s="881">
        <v>4391</v>
      </c>
      <c r="Y4395" s="881" t="s">
        <v>2248</v>
      </c>
      <c r="Z4395" s="881" t="s">
        <v>4215</v>
      </c>
      <c r="AA4395" s="890">
        <f>$S$1*P!AA4395</f>
        <v>1.6897177419354838E-3</v>
      </c>
      <c r="AB4395" s="780"/>
      <c r="AC4395" s="780"/>
      <c r="AD4395" s="780"/>
      <c r="AE4395" s="780"/>
      <c r="AF4395" s="780"/>
    </row>
    <row r="4396" spans="19:32" x14ac:dyDescent="0.35">
      <c r="S4396" s="780"/>
      <c r="T4396" s="928"/>
      <c r="U4396" s="928"/>
      <c r="V4396" s="928"/>
      <c r="W4396" s="780"/>
      <c r="X4396" s="782">
        <v>4392</v>
      </c>
      <c r="Y4396" s="782" t="s">
        <v>2248</v>
      </c>
      <c r="Z4396" s="782" t="s">
        <v>4214</v>
      </c>
      <c r="AA4396" s="781">
        <f>$S$1*P!AA4396</f>
        <v>5.3467741935483877E-3</v>
      </c>
      <c r="AB4396" s="780"/>
      <c r="AC4396" s="780"/>
      <c r="AD4396" s="780"/>
      <c r="AE4396" s="780"/>
      <c r="AF4396" s="780"/>
    </row>
    <row r="4397" spans="19:32" x14ac:dyDescent="0.35">
      <c r="S4397" s="780"/>
      <c r="T4397" s="928"/>
      <c r="U4397" s="928"/>
      <c r="V4397" s="928"/>
      <c r="W4397" s="780"/>
      <c r="X4397" s="782">
        <v>4393</v>
      </c>
      <c r="Y4397" s="782" t="s">
        <v>2248</v>
      </c>
      <c r="Z4397" s="782" t="s">
        <v>4131</v>
      </c>
      <c r="AA4397" s="781">
        <f>$S$1*P!AA4397</f>
        <v>9.4939516129032261E-5</v>
      </c>
      <c r="AB4397" s="780"/>
      <c r="AC4397" s="780"/>
      <c r="AD4397" s="780"/>
      <c r="AE4397" s="780"/>
      <c r="AF4397" s="780"/>
    </row>
    <row r="4398" spans="19:32" x14ac:dyDescent="0.35">
      <c r="S4398" s="780"/>
      <c r="T4398" s="928"/>
      <c r="U4398" s="928"/>
      <c r="V4398" s="928"/>
      <c r="W4398" s="780"/>
      <c r="X4398" s="782">
        <v>4394</v>
      </c>
      <c r="Y4398" s="782" t="s">
        <v>2248</v>
      </c>
      <c r="Z4398" s="782" t="s">
        <v>4213</v>
      </c>
      <c r="AA4398" s="781">
        <f>$S$1*P!AA4398</f>
        <v>5.0040322580645162E-3</v>
      </c>
      <c r="AB4398" s="780"/>
      <c r="AC4398" s="780"/>
      <c r="AD4398" s="780"/>
      <c r="AE4398" s="780"/>
      <c r="AF4398" s="780"/>
    </row>
    <row r="4399" spans="19:32" x14ac:dyDescent="0.35">
      <c r="S4399" s="780"/>
      <c r="T4399" s="928"/>
      <c r="U4399" s="928"/>
      <c r="V4399" s="928"/>
      <c r="W4399" s="780"/>
      <c r="X4399" s="782">
        <v>4395</v>
      </c>
      <c r="Y4399" s="782" t="s">
        <v>2248</v>
      </c>
      <c r="Z4399" s="782" t="s">
        <v>4129</v>
      </c>
      <c r="AA4399" s="781">
        <f>$S$1*P!AA4399</f>
        <v>2.5260080645161293E-5</v>
      </c>
      <c r="AB4399" s="780"/>
      <c r="AC4399" s="780"/>
      <c r="AD4399" s="780"/>
      <c r="AE4399" s="780"/>
      <c r="AF4399" s="780"/>
    </row>
    <row r="4400" spans="19:32" x14ac:dyDescent="0.35">
      <c r="S4400" s="780"/>
      <c r="T4400" s="928"/>
      <c r="U4400" s="928"/>
      <c r="V4400" s="928"/>
      <c r="W4400" s="780"/>
      <c r="X4400" s="881">
        <v>4396</v>
      </c>
      <c r="Y4400" s="881" t="s">
        <v>2248</v>
      </c>
      <c r="Z4400" s="881" t="s">
        <v>2554</v>
      </c>
      <c r="AA4400" s="890">
        <f>$S$1*P!AA4400</f>
        <v>2.7415999999999999E-2</v>
      </c>
      <c r="AB4400" s="780"/>
      <c r="AC4400" s="780"/>
      <c r="AD4400" s="780"/>
      <c r="AE4400" s="780"/>
      <c r="AF4400" s="780"/>
    </row>
    <row r="4401" spans="19:32" x14ac:dyDescent="0.35">
      <c r="S4401" s="780"/>
      <c r="T4401" s="928"/>
      <c r="U4401" s="928"/>
      <c r="V4401" s="928"/>
      <c r="W4401" s="780"/>
      <c r="X4401" s="782">
        <v>4397</v>
      </c>
      <c r="Y4401" s="782" t="s">
        <v>2248</v>
      </c>
      <c r="Z4401" s="782" t="s">
        <v>3164</v>
      </c>
      <c r="AA4401" s="781">
        <f>$S$1*P!AA4401</f>
        <v>0.19639112903225808</v>
      </c>
      <c r="AB4401" s="780"/>
      <c r="AC4401" s="780"/>
      <c r="AD4401" s="780"/>
      <c r="AE4401" s="780"/>
      <c r="AF4401" s="780"/>
    </row>
    <row r="4402" spans="19:32" x14ac:dyDescent="0.35">
      <c r="S4402" s="780"/>
      <c r="T4402" s="928"/>
      <c r="U4402" s="928"/>
      <c r="V4402" s="928"/>
      <c r="W4402" s="780"/>
      <c r="X4402" s="782">
        <v>4398</v>
      </c>
      <c r="Y4402" s="782" t="s">
        <v>2248</v>
      </c>
      <c r="Z4402" s="782" t="s">
        <v>4212</v>
      </c>
      <c r="AA4402" s="781">
        <f>$S$1*P!AA4402</f>
        <v>1.2235887096774195E-3</v>
      </c>
      <c r="AB4402" s="780"/>
      <c r="AC4402" s="780"/>
      <c r="AD4402" s="780"/>
      <c r="AE4402" s="780"/>
      <c r="AF4402" s="780"/>
    </row>
    <row r="4403" spans="19:32" x14ac:dyDescent="0.35">
      <c r="S4403" s="780"/>
      <c r="T4403" s="928"/>
      <c r="U4403" s="928"/>
      <c r="V4403" s="928"/>
      <c r="W4403" s="780"/>
      <c r="X4403" s="782">
        <v>4399</v>
      </c>
      <c r="Y4403" s="782" t="s">
        <v>2248</v>
      </c>
      <c r="Z4403" s="782" t="s">
        <v>4128</v>
      </c>
      <c r="AA4403" s="781">
        <f>$S$1*P!AA4403</f>
        <v>3.2286290322580648E-5</v>
      </c>
      <c r="AB4403" s="780"/>
      <c r="AC4403" s="780"/>
      <c r="AD4403" s="780"/>
      <c r="AE4403" s="780"/>
      <c r="AF4403" s="780"/>
    </row>
    <row r="4404" spans="19:32" x14ac:dyDescent="0.35">
      <c r="S4404" s="780"/>
      <c r="T4404" s="928"/>
      <c r="U4404" s="928"/>
      <c r="V4404" s="928"/>
      <c r="W4404" s="780"/>
      <c r="X4404" s="881">
        <v>4400</v>
      </c>
      <c r="Y4404" s="881" t="s">
        <v>2248</v>
      </c>
      <c r="Z4404" s="881" t="s">
        <v>4211</v>
      </c>
      <c r="AA4404" s="890">
        <f>$S$1*P!AA4404</f>
        <v>7.0262096774193553E-3</v>
      </c>
      <c r="AB4404" s="780"/>
      <c r="AC4404" s="780"/>
      <c r="AD4404" s="780"/>
      <c r="AE4404" s="780"/>
      <c r="AF4404" s="780"/>
    </row>
    <row r="4405" spans="19:32" x14ac:dyDescent="0.35">
      <c r="S4405" s="780"/>
      <c r="T4405" s="928"/>
      <c r="U4405" s="928"/>
      <c r="V4405" s="928"/>
      <c r="W4405" s="780"/>
      <c r="X4405" s="881">
        <v>4401</v>
      </c>
      <c r="Y4405" s="881" t="s">
        <v>2248</v>
      </c>
      <c r="Z4405" s="881" t="s">
        <v>2552</v>
      </c>
      <c r="AA4405" s="890">
        <f>$S$1*P!AA4405</f>
        <v>1.5456000000000001</v>
      </c>
      <c r="AB4405" s="780"/>
      <c r="AC4405" s="780"/>
      <c r="AD4405" s="780"/>
      <c r="AE4405" s="780"/>
      <c r="AF4405" s="780"/>
    </row>
    <row r="4406" spans="19:32" x14ac:dyDescent="0.35">
      <c r="S4406" s="780"/>
      <c r="T4406" s="928"/>
      <c r="U4406" s="928"/>
      <c r="V4406" s="928"/>
      <c r="W4406" s="780"/>
      <c r="X4406" s="782">
        <v>4402</v>
      </c>
      <c r="Y4406" s="782" t="s">
        <v>2248</v>
      </c>
      <c r="Z4406" s="782" t="s">
        <v>4127</v>
      </c>
      <c r="AA4406" s="781">
        <f>$S$1*P!AA4406</f>
        <v>4.8669354838709683E-2</v>
      </c>
      <c r="AB4406" s="780"/>
      <c r="AC4406" s="780"/>
      <c r="AD4406" s="780"/>
      <c r="AE4406" s="780"/>
      <c r="AF4406" s="780"/>
    </row>
    <row r="4407" spans="19:32" x14ac:dyDescent="0.35">
      <c r="S4407" s="780"/>
      <c r="T4407" s="928"/>
      <c r="U4407" s="928"/>
      <c r="V4407" s="928"/>
      <c r="W4407" s="780"/>
      <c r="X4407" s="782">
        <v>4403</v>
      </c>
      <c r="Y4407" s="782" t="s">
        <v>2248</v>
      </c>
      <c r="Z4407" s="782" t="s">
        <v>2552</v>
      </c>
      <c r="AA4407" s="781">
        <f>$S$1*P!AA4407</f>
        <v>2.882459677419355E-3</v>
      </c>
      <c r="AB4407" s="780"/>
      <c r="AC4407" s="780"/>
      <c r="AD4407" s="780"/>
      <c r="AE4407" s="780"/>
      <c r="AF4407" s="780"/>
    </row>
    <row r="4408" spans="19:32" x14ac:dyDescent="0.35">
      <c r="S4408" s="780"/>
      <c r="T4408" s="928"/>
      <c r="U4408" s="928"/>
      <c r="V4408" s="928"/>
      <c r="W4408" s="780"/>
      <c r="X4408" s="782">
        <v>4404</v>
      </c>
      <c r="Y4408" s="782" t="s">
        <v>2248</v>
      </c>
      <c r="Z4408" s="782" t="s">
        <v>4125</v>
      </c>
      <c r="AA4408" s="781">
        <f>$S$1*P!AA4408</f>
        <v>5.7580645161290325E-5</v>
      </c>
      <c r="AB4408" s="780"/>
      <c r="AC4408" s="780"/>
      <c r="AD4408" s="780"/>
      <c r="AE4408" s="780"/>
      <c r="AF4408" s="780"/>
    </row>
    <row r="4409" spans="19:32" x14ac:dyDescent="0.35">
      <c r="S4409" s="780"/>
      <c r="T4409" s="928"/>
      <c r="U4409" s="928"/>
      <c r="V4409" s="928"/>
      <c r="W4409" s="780"/>
      <c r="X4409" s="881">
        <v>4405</v>
      </c>
      <c r="Y4409" s="881" t="s">
        <v>2248</v>
      </c>
      <c r="Z4409" s="881" t="s">
        <v>2551</v>
      </c>
      <c r="AA4409" s="890">
        <f>$S$1*P!AA4409</f>
        <v>118.67999999999999</v>
      </c>
      <c r="AB4409" s="780"/>
      <c r="AC4409" s="780"/>
      <c r="AD4409" s="780"/>
      <c r="AE4409" s="780"/>
      <c r="AF4409" s="780"/>
    </row>
    <row r="4410" spans="19:32" x14ac:dyDescent="0.35">
      <c r="S4410" s="780"/>
      <c r="T4410" s="928"/>
      <c r="U4410" s="928"/>
      <c r="V4410" s="928"/>
      <c r="W4410" s="780"/>
      <c r="X4410" s="782">
        <v>4406</v>
      </c>
      <c r="Y4410" s="782" t="s">
        <v>2248</v>
      </c>
      <c r="Z4410" s="782" t="s">
        <v>3162</v>
      </c>
      <c r="AA4410" s="781">
        <f>$S$1*P!AA4410</f>
        <v>3.7701612903225811E-4</v>
      </c>
      <c r="AB4410" s="780"/>
      <c r="AC4410" s="780"/>
      <c r="AD4410" s="780"/>
      <c r="AE4410" s="780"/>
      <c r="AF4410" s="780"/>
    </row>
    <row r="4411" spans="19:32" x14ac:dyDescent="0.35">
      <c r="S4411" s="780"/>
      <c r="T4411" s="928"/>
      <c r="U4411" s="928"/>
      <c r="V4411" s="928"/>
      <c r="W4411" s="780"/>
      <c r="X4411" s="782">
        <v>4407</v>
      </c>
      <c r="Y4411" s="782" t="s">
        <v>2248</v>
      </c>
      <c r="Z4411" s="782" t="s">
        <v>2551</v>
      </c>
      <c r="AA4411" s="781">
        <f>$S$1*P!AA4411</f>
        <v>1.1653225806451614E-2</v>
      </c>
      <c r="AB4411" s="780"/>
      <c r="AC4411" s="780"/>
      <c r="AD4411" s="780"/>
      <c r="AE4411" s="780"/>
      <c r="AF4411" s="780"/>
    </row>
    <row r="4412" spans="19:32" x14ac:dyDescent="0.35">
      <c r="S4412" s="780"/>
      <c r="T4412" s="928"/>
      <c r="U4412" s="928"/>
      <c r="V4412" s="928"/>
      <c r="W4412" s="780"/>
      <c r="X4412" s="782">
        <v>4408</v>
      </c>
      <c r="Y4412" s="782" t="s">
        <v>2248</v>
      </c>
      <c r="Z4412" s="782" t="s">
        <v>2498</v>
      </c>
      <c r="AA4412" s="781">
        <f>$S$1*P!AA4412</f>
        <v>2.0461693548387101E-3</v>
      </c>
      <c r="AB4412" s="780"/>
      <c r="AC4412" s="780"/>
      <c r="AD4412" s="780"/>
      <c r="AE4412" s="780"/>
      <c r="AF4412" s="780"/>
    </row>
    <row r="4413" spans="19:32" x14ac:dyDescent="0.35">
      <c r="S4413" s="780"/>
      <c r="T4413" s="928"/>
      <c r="U4413" s="928"/>
      <c r="V4413" s="928"/>
      <c r="W4413" s="780"/>
      <c r="X4413" s="881">
        <v>4409</v>
      </c>
      <c r="Y4413" s="881" t="s">
        <v>2248</v>
      </c>
      <c r="Z4413" s="881" t="s">
        <v>2549</v>
      </c>
      <c r="AA4413" s="890">
        <f>$S$1*P!AA4413</f>
        <v>24.195999999999998</v>
      </c>
      <c r="AB4413" s="780"/>
      <c r="AC4413" s="780"/>
      <c r="AD4413" s="780"/>
      <c r="AE4413" s="780"/>
      <c r="AF4413" s="780"/>
    </row>
    <row r="4414" spans="19:32" x14ac:dyDescent="0.35">
      <c r="S4414" s="780"/>
      <c r="T4414" s="928"/>
      <c r="U4414" s="928"/>
      <c r="V4414" s="928"/>
      <c r="W4414" s="780"/>
      <c r="X4414" s="782">
        <v>4410</v>
      </c>
      <c r="Y4414" s="782" t="s">
        <v>2248</v>
      </c>
      <c r="Z4414" s="782" t="s">
        <v>2496</v>
      </c>
      <c r="AA4414" s="781">
        <f>$S$1*P!AA4414</f>
        <v>2.8927419354838713E-2</v>
      </c>
      <c r="AB4414" s="780"/>
      <c r="AC4414" s="780"/>
      <c r="AD4414" s="780"/>
      <c r="AE4414" s="780"/>
      <c r="AF4414" s="780"/>
    </row>
    <row r="4415" spans="19:32" x14ac:dyDescent="0.35">
      <c r="S4415" s="780"/>
      <c r="T4415" s="928"/>
      <c r="U4415" s="928"/>
      <c r="V4415" s="928"/>
      <c r="W4415" s="780"/>
      <c r="X4415" s="782">
        <v>4411</v>
      </c>
      <c r="Y4415" s="782" t="s">
        <v>2248</v>
      </c>
      <c r="Z4415" s="782" t="s">
        <v>2549</v>
      </c>
      <c r="AA4415" s="781">
        <f>$S$1*P!AA4415</f>
        <v>8.705645161290323E-5</v>
      </c>
      <c r="AB4415" s="780"/>
      <c r="AC4415" s="780"/>
      <c r="AD4415" s="780"/>
      <c r="AE4415" s="780"/>
      <c r="AF4415" s="780"/>
    </row>
    <row r="4416" spans="19:32" x14ac:dyDescent="0.35">
      <c r="S4416" s="780"/>
      <c r="T4416" s="928"/>
      <c r="U4416" s="928"/>
      <c r="V4416" s="928"/>
      <c r="W4416" s="780"/>
      <c r="X4416" s="881">
        <v>4412</v>
      </c>
      <c r="Y4416" s="881" t="s">
        <v>2248</v>
      </c>
      <c r="Z4416" s="881" t="s">
        <v>3161</v>
      </c>
      <c r="AA4416" s="890">
        <f>$S$1*P!AA4416</f>
        <v>0.23957661290322582</v>
      </c>
      <c r="AB4416" s="780"/>
      <c r="AC4416" s="780"/>
      <c r="AD4416" s="780"/>
      <c r="AE4416" s="780"/>
      <c r="AF4416" s="780"/>
    </row>
    <row r="4417" spans="19:32" x14ac:dyDescent="0.35">
      <c r="S4417" s="780"/>
      <c r="T4417" s="928"/>
      <c r="U4417" s="928"/>
      <c r="V4417" s="928"/>
      <c r="W4417" s="780"/>
      <c r="X4417" s="782">
        <v>4413</v>
      </c>
      <c r="Y4417" s="782" t="s">
        <v>2248</v>
      </c>
      <c r="Z4417" s="782" t="s">
        <v>4122</v>
      </c>
      <c r="AA4417" s="781">
        <f>$S$1*P!AA4417</f>
        <v>3.2217741935483872E-7</v>
      </c>
      <c r="AB4417" s="780"/>
      <c r="AC4417" s="780"/>
      <c r="AD4417" s="780"/>
      <c r="AE4417" s="780"/>
      <c r="AF4417" s="780"/>
    </row>
    <row r="4418" spans="19:32" x14ac:dyDescent="0.35">
      <c r="S4418" s="780"/>
      <c r="T4418" s="928"/>
      <c r="U4418" s="928"/>
      <c r="V4418" s="928"/>
      <c r="W4418" s="780"/>
      <c r="X4418" s="881">
        <v>4414</v>
      </c>
      <c r="Y4418" s="881" t="s">
        <v>2248</v>
      </c>
      <c r="Z4418" s="881" t="s">
        <v>2548</v>
      </c>
      <c r="AA4418" s="890">
        <f>$S$1*P!AA4418</f>
        <v>8.8411999999999988</v>
      </c>
      <c r="AB4418" s="780"/>
      <c r="AC4418" s="780"/>
      <c r="AD4418" s="780"/>
      <c r="AE4418" s="780"/>
      <c r="AF4418" s="780"/>
    </row>
    <row r="4419" spans="19:32" x14ac:dyDescent="0.35">
      <c r="S4419" s="780"/>
      <c r="T4419" s="928"/>
      <c r="U4419" s="928"/>
      <c r="V4419" s="928"/>
      <c r="W4419" s="780"/>
      <c r="X4419" s="782">
        <v>4415</v>
      </c>
      <c r="Y4419" s="782" t="s">
        <v>2248</v>
      </c>
      <c r="Z4419" s="782" t="s">
        <v>2548</v>
      </c>
      <c r="AA4419" s="781">
        <f>$S$1*P!AA4419</f>
        <v>1.0556451612903227E-3</v>
      </c>
      <c r="AB4419" s="780"/>
      <c r="AC4419" s="780"/>
      <c r="AD4419" s="780"/>
      <c r="AE4419" s="780"/>
      <c r="AF4419" s="780"/>
    </row>
    <row r="4420" spans="19:32" x14ac:dyDescent="0.35">
      <c r="S4420" s="780"/>
      <c r="T4420" s="928"/>
      <c r="U4420" s="928"/>
      <c r="V4420" s="928"/>
      <c r="W4420" s="780"/>
      <c r="X4420" s="782">
        <v>4416</v>
      </c>
      <c r="Y4420" s="782" t="s">
        <v>2248</v>
      </c>
      <c r="Z4420" s="782" t="s">
        <v>2495</v>
      </c>
      <c r="AA4420" s="781">
        <f>$S$1*P!AA4420</f>
        <v>7.5403225806451619E-6</v>
      </c>
      <c r="AB4420" s="780"/>
      <c r="AC4420" s="780"/>
      <c r="AD4420" s="780"/>
      <c r="AE4420" s="780"/>
      <c r="AF4420" s="780"/>
    </row>
    <row r="4421" spans="19:32" x14ac:dyDescent="0.35">
      <c r="S4421" s="780"/>
      <c r="T4421" s="928"/>
      <c r="U4421" s="928"/>
      <c r="V4421" s="928"/>
      <c r="W4421" s="780"/>
      <c r="X4421" s="782">
        <v>4417</v>
      </c>
      <c r="Y4421" s="782" t="s">
        <v>2248</v>
      </c>
      <c r="Z4421" s="782" t="s">
        <v>3159</v>
      </c>
      <c r="AA4421" s="781">
        <f>$S$1*P!AA4421</f>
        <v>5.1411290322580646E-3</v>
      </c>
      <c r="AB4421" s="780"/>
      <c r="AC4421" s="780"/>
      <c r="AD4421" s="780"/>
      <c r="AE4421" s="780"/>
      <c r="AF4421" s="780"/>
    </row>
    <row r="4422" spans="19:32" x14ac:dyDescent="0.35">
      <c r="S4422" s="780"/>
      <c r="T4422" s="928"/>
      <c r="U4422" s="928"/>
      <c r="V4422" s="928"/>
      <c r="W4422" s="780"/>
      <c r="X4422" s="881">
        <v>4418</v>
      </c>
      <c r="Y4422" s="881" t="s">
        <v>2248</v>
      </c>
      <c r="Z4422" s="881" t="s">
        <v>2546</v>
      </c>
      <c r="AA4422" s="890">
        <f>$S$1*P!AA4422</f>
        <v>0.65780000000000005</v>
      </c>
      <c r="AB4422" s="780"/>
      <c r="AC4422" s="780"/>
      <c r="AD4422" s="780"/>
      <c r="AE4422" s="780"/>
      <c r="AF4422" s="780"/>
    </row>
    <row r="4423" spans="19:32" x14ac:dyDescent="0.35">
      <c r="S4423" s="780"/>
      <c r="T4423" s="928"/>
      <c r="U4423" s="928"/>
      <c r="V4423" s="928"/>
      <c r="W4423" s="780"/>
      <c r="X4423" s="782">
        <v>4419</v>
      </c>
      <c r="Y4423" s="782" t="s">
        <v>2248</v>
      </c>
      <c r="Z4423" s="782" t="s">
        <v>4119</v>
      </c>
      <c r="AA4423" s="781">
        <f>$S$1*P!AA4423</f>
        <v>4.1471774193548391E-5</v>
      </c>
      <c r="AB4423" s="780"/>
      <c r="AC4423" s="780"/>
      <c r="AD4423" s="780"/>
      <c r="AE4423" s="780"/>
      <c r="AF4423" s="780"/>
    </row>
    <row r="4424" spans="19:32" x14ac:dyDescent="0.35">
      <c r="S4424" s="780"/>
      <c r="T4424" s="928"/>
      <c r="U4424" s="928"/>
      <c r="V4424" s="928"/>
      <c r="W4424" s="780"/>
      <c r="X4424" s="782">
        <v>4420</v>
      </c>
      <c r="Y4424" s="782" t="s">
        <v>2248</v>
      </c>
      <c r="Z4424" s="782" t="s">
        <v>4210</v>
      </c>
      <c r="AA4424" s="781">
        <f>$S$1*P!AA4424</f>
        <v>0.23203629032258066</v>
      </c>
      <c r="AB4424" s="780"/>
      <c r="AC4424" s="780"/>
      <c r="AD4424" s="780"/>
      <c r="AE4424" s="780"/>
      <c r="AF4424" s="780"/>
    </row>
    <row r="4425" spans="19:32" x14ac:dyDescent="0.35">
      <c r="S4425" s="780"/>
      <c r="T4425" s="928"/>
      <c r="U4425" s="928"/>
      <c r="V4425" s="928"/>
      <c r="W4425" s="780"/>
      <c r="X4425" s="881">
        <v>4421</v>
      </c>
      <c r="Y4425" s="881" t="s">
        <v>2248</v>
      </c>
      <c r="Z4425" s="881" t="s">
        <v>4209</v>
      </c>
      <c r="AA4425" s="890">
        <f>$S$1*P!AA4425</f>
        <v>1.5697580645161291E-3</v>
      </c>
      <c r="AB4425" s="780"/>
      <c r="AC4425" s="780"/>
      <c r="AD4425" s="780"/>
      <c r="AE4425" s="780"/>
      <c r="AF4425" s="780"/>
    </row>
    <row r="4426" spans="19:32" x14ac:dyDescent="0.35">
      <c r="S4426" s="780"/>
      <c r="T4426" s="928"/>
      <c r="U4426" s="928"/>
      <c r="V4426" s="928"/>
      <c r="W4426" s="780"/>
      <c r="X4426" s="782">
        <v>4422</v>
      </c>
      <c r="Y4426" s="782" t="s">
        <v>2248</v>
      </c>
      <c r="Z4426" s="782" t="s">
        <v>2493</v>
      </c>
      <c r="AA4426" s="781">
        <f>$S$1*P!AA4426</f>
        <v>1.8816532258064518E-4</v>
      </c>
      <c r="AB4426" s="780"/>
      <c r="AC4426" s="780"/>
      <c r="AD4426" s="780"/>
      <c r="AE4426" s="780"/>
      <c r="AF4426" s="780"/>
    </row>
    <row r="4427" spans="19:32" x14ac:dyDescent="0.35">
      <c r="S4427" s="780"/>
      <c r="T4427" s="928"/>
      <c r="U4427" s="928"/>
      <c r="V4427" s="928"/>
      <c r="W4427" s="780"/>
      <c r="X4427" s="782">
        <v>4423</v>
      </c>
      <c r="Y4427" s="782" t="s">
        <v>2248</v>
      </c>
      <c r="Z4427" s="782" t="s">
        <v>4208</v>
      </c>
      <c r="AA4427" s="781">
        <f>$S$1*P!AA4427</f>
        <v>6.3407258064516131E-3</v>
      </c>
      <c r="AB4427" s="780"/>
      <c r="AC4427" s="780"/>
      <c r="AD4427" s="780"/>
      <c r="AE4427" s="780"/>
      <c r="AF4427" s="780"/>
    </row>
    <row r="4428" spans="19:32" x14ac:dyDescent="0.35">
      <c r="S4428" s="780"/>
      <c r="T4428" s="928"/>
      <c r="U4428" s="928"/>
      <c r="V4428" s="928"/>
      <c r="W4428" s="780"/>
      <c r="X4428" s="782">
        <v>4424</v>
      </c>
      <c r="Y4428" s="782" t="s">
        <v>2248</v>
      </c>
      <c r="Z4428" s="782" t="s">
        <v>4207</v>
      </c>
      <c r="AA4428" s="781">
        <f>$S$1*P!AA4428</f>
        <v>1.3092741935483872E-2</v>
      </c>
      <c r="AB4428" s="780"/>
      <c r="AC4428" s="780"/>
      <c r="AD4428" s="780"/>
      <c r="AE4428" s="780"/>
      <c r="AF4428" s="780"/>
    </row>
    <row r="4429" spans="19:32" x14ac:dyDescent="0.35">
      <c r="S4429" s="780"/>
      <c r="T4429" s="928"/>
      <c r="U4429" s="928"/>
      <c r="V4429" s="928"/>
      <c r="W4429" s="780"/>
      <c r="X4429" s="782">
        <v>4425</v>
      </c>
      <c r="Y4429" s="782" t="s">
        <v>2248</v>
      </c>
      <c r="Z4429" s="782" t="s">
        <v>2492</v>
      </c>
      <c r="AA4429" s="781">
        <f>$S$1*P!AA4429</f>
        <v>6.8205645161290331E-3</v>
      </c>
      <c r="AB4429" s="780"/>
      <c r="AC4429" s="780"/>
      <c r="AD4429" s="780"/>
      <c r="AE4429" s="780"/>
      <c r="AF4429" s="780"/>
    </row>
    <row r="4430" spans="19:32" x14ac:dyDescent="0.35">
      <c r="S4430" s="780"/>
      <c r="T4430" s="928"/>
      <c r="U4430" s="928"/>
      <c r="V4430" s="928"/>
      <c r="W4430" s="780"/>
      <c r="X4430" s="782">
        <v>4426</v>
      </c>
      <c r="Y4430" s="782" t="s">
        <v>2248</v>
      </c>
      <c r="Z4430" s="782" t="s">
        <v>4206</v>
      </c>
      <c r="AA4430" s="781">
        <f>$S$1*P!AA4430</f>
        <v>1.7171370967741937E-2</v>
      </c>
      <c r="AB4430" s="780"/>
      <c r="AC4430" s="780"/>
      <c r="AD4430" s="780"/>
      <c r="AE4430" s="780"/>
      <c r="AF4430" s="780"/>
    </row>
    <row r="4431" spans="19:32" x14ac:dyDescent="0.35">
      <c r="S4431" s="780"/>
      <c r="T4431" s="928"/>
      <c r="U4431" s="928"/>
      <c r="V4431" s="928"/>
      <c r="W4431" s="780"/>
      <c r="X4431" s="881">
        <v>4427</v>
      </c>
      <c r="Y4431" s="881" t="s">
        <v>2248</v>
      </c>
      <c r="Z4431" s="881" t="s">
        <v>3158</v>
      </c>
      <c r="AA4431" s="890">
        <f>$S$1*P!AA4431</f>
        <v>7.1975806451612903E-2</v>
      </c>
      <c r="AB4431" s="780"/>
      <c r="AC4431" s="780"/>
      <c r="AD4431" s="780"/>
      <c r="AE4431" s="780"/>
      <c r="AF4431" s="780"/>
    </row>
    <row r="4432" spans="19:32" x14ac:dyDescent="0.35">
      <c r="S4432" s="780"/>
      <c r="T4432" s="928"/>
      <c r="U4432" s="928"/>
      <c r="V4432" s="928"/>
      <c r="W4432" s="780"/>
      <c r="X4432" s="782">
        <v>4428</v>
      </c>
      <c r="Y4432" s="782" t="s">
        <v>2248</v>
      </c>
      <c r="Z4432" s="782" t="s">
        <v>4117</v>
      </c>
      <c r="AA4432" s="781">
        <f>$S$1*P!AA4432</f>
        <v>3.8729838709677424E-4</v>
      </c>
      <c r="AB4432" s="780"/>
      <c r="AC4432" s="780"/>
      <c r="AD4432" s="780"/>
      <c r="AE4432" s="780"/>
      <c r="AF4432" s="780"/>
    </row>
    <row r="4433" spans="19:32" x14ac:dyDescent="0.35">
      <c r="S4433" s="780"/>
      <c r="T4433" s="928"/>
      <c r="U4433" s="928"/>
      <c r="V4433" s="928"/>
      <c r="W4433" s="780"/>
      <c r="X4433" s="881">
        <v>4429</v>
      </c>
      <c r="Y4433" s="881" t="s">
        <v>2248</v>
      </c>
      <c r="Z4433" s="881" t="s">
        <v>2545</v>
      </c>
      <c r="AA4433" s="890">
        <f>$S$1*P!AA4433</f>
        <v>0</v>
      </c>
      <c r="AB4433" s="780"/>
      <c r="AC4433" s="780"/>
      <c r="AD4433" s="780"/>
      <c r="AE4433" s="780"/>
      <c r="AF4433" s="780"/>
    </row>
    <row r="4434" spans="19:32" x14ac:dyDescent="0.35">
      <c r="S4434" s="780"/>
      <c r="T4434" s="928"/>
      <c r="U4434" s="928"/>
      <c r="V4434" s="928"/>
      <c r="W4434" s="780"/>
      <c r="X4434" s="782">
        <v>4430</v>
      </c>
      <c r="Y4434" s="782" t="s">
        <v>2248</v>
      </c>
      <c r="Z4434" s="782" t="s">
        <v>2545</v>
      </c>
      <c r="AA4434" s="781">
        <f>$S$1*P!AA4434</f>
        <v>5.1068548387096777E-2</v>
      </c>
      <c r="AB4434" s="780"/>
      <c r="AC4434" s="780"/>
      <c r="AD4434" s="780"/>
      <c r="AE4434" s="780"/>
      <c r="AF4434" s="780"/>
    </row>
    <row r="4435" spans="19:32" x14ac:dyDescent="0.35">
      <c r="S4435" s="780"/>
      <c r="T4435" s="928"/>
      <c r="U4435" s="928"/>
      <c r="V4435" s="928"/>
      <c r="W4435" s="780"/>
      <c r="X4435" s="782">
        <v>4431</v>
      </c>
      <c r="Y4435" s="782" t="s">
        <v>2248</v>
      </c>
      <c r="Z4435" s="782" t="s">
        <v>4116</v>
      </c>
      <c r="AA4435" s="781">
        <f>$S$1*P!AA4435</f>
        <v>0.22552419354838713</v>
      </c>
      <c r="AB4435" s="780"/>
      <c r="AC4435" s="780"/>
      <c r="AD4435" s="780"/>
      <c r="AE4435" s="780"/>
      <c r="AF4435" s="780"/>
    </row>
    <row r="4436" spans="19:32" x14ac:dyDescent="0.35">
      <c r="S4436" s="780"/>
      <c r="T4436" s="928"/>
      <c r="U4436" s="928"/>
      <c r="V4436" s="928"/>
      <c r="W4436" s="780"/>
      <c r="X4436" s="881">
        <v>4432</v>
      </c>
      <c r="Y4436" s="881" t="s">
        <v>2248</v>
      </c>
      <c r="Z4436" s="881" t="s">
        <v>4205</v>
      </c>
      <c r="AA4436" s="890">
        <f>$S$1*P!AA4436</f>
        <v>7.6774193548387101E-3</v>
      </c>
      <c r="AB4436" s="780"/>
      <c r="AC4436" s="780"/>
      <c r="AD4436" s="780"/>
      <c r="AE4436" s="780"/>
      <c r="AF4436" s="780"/>
    </row>
    <row r="4437" spans="19:32" x14ac:dyDescent="0.35">
      <c r="S4437" s="780"/>
      <c r="T4437" s="928"/>
      <c r="U4437" s="928"/>
      <c r="V4437" s="928"/>
      <c r="W4437" s="780"/>
      <c r="X4437" s="881">
        <v>4433</v>
      </c>
      <c r="Y4437" s="881" t="s">
        <v>2248</v>
      </c>
      <c r="Z4437" s="881" t="s">
        <v>2543</v>
      </c>
      <c r="AA4437" s="890">
        <f>$S$1*P!AA4437</f>
        <v>0</v>
      </c>
      <c r="AB4437" s="780"/>
      <c r="AC4437" s="780"/>
      <c r="AD4437" s="780"/>
      <c r="AE4437" s="780"/>
      <c r="AF4437" s="780"/>
    </row>
    <row r="4438" spans="19:32" x14ac:dyDescent="0.35">
      <c r="S4438" s="780"/>
      <c r="T4438" s="928"/>
      <c r="U4438" s="928"/>
      <c r="V4438" s="928"/>
      <c r="W4438" s="780"/>
      <c r="X4438" s="782">
        <v>4434</v>
      </c>
      <c r="Y4438" s="782" t="s">
        <v>2248</v>
      </c>
      <c r="Z4438" s="782" t="s">
        <v>4114</v>
      </c>
      <c r="AA4438" s="781">
        <f>$S$1*P!AA4438</f>
        <v>4.4213709677419361E-5</v>
      </c>
      <c r="AB4438" s="780"/>
      <c r="AC4438" s="780"/>
      <c r="AD4438" s="780"/>
      <c r="AE4438" s="780"/>
      <c r="AF4438" s="780"/>
    </row>
    <row r="4439" spans="19:32" x14ac:dyDescent="0.35">
      <c r="S4439" s="780"/>
      <c r="T4439" s="928"/>
      <c r="U4439" s="928"/>
      <c r="V4439" s="928"/>
      <c r="W4439" s="780"/>
      <c r="X4439" s="881">
        <v>4435</v>
      </c>
      <c r="Y4439" s="881" t="s">
        <v>2248</v>
      </c>
      <c r="Z4439" s="881" t="s">
        <v>2542</v>
      </c>
      <c r="AA4439" s="890">
        <f>$S$1*P!AA4439</f>
        <v>0</v>
      </c>
      <c r="AB4439" s="780"/>
      <c r="AC4439" s="780"/>
      <c r="AD4439" s="780"/>
      <c r="AE4439" s="780"/>
      <c r="AF4439" s="780"/>
    </row>
    <row r="4440" spans="19:32" x14ac:dyDescent="0.35">
      <c r="S4440" s="780"/>
      <c r="T4440" s="928"/>
      <c r="U4440" s="928"/>
      <c r="V4440" s="928"/>
      <c r="W4440" s="780"/>
      <c r="X4440" s="782">
        <v>4436</v>
      </c>
      <c r="Y4440" s="782" t="s">
        <v>2248</v>
      </c>
      <c r="Z4440" s="782" t="s">
        <v>4113</v>
      </c>
      <c r="AA4440" s="781">
        <f>$S$1*P!AA4440</f>
        <v>6.5463709677419363E-5</v>
      </c>
      <c r="AB4440" s="780"/>
      <c r="AC4440" s="780"/>
      <c r="AD4440" s="780"/>
      <c r="AE4440" s="780"/>
      <c r="AF4440" s="780"/>
    </row>
    <row r="4441" spans="19:32" x14ac:dyDescent="0.35">
      <c r="S4441" s="780"/>
      <c r="T4441" s="928"/>
      <c r="U4441" s="928"/>
      <c r="V4441" s="928"/>
      <c r="W4441" s="780"/>
      <c r="X4441" s="782">
        <v>4437</v>
      </c>
      <c r="Y4441" s="782" t="s">
        <v>2248</v>
      </c>
      <c r="Z4441" s="782" t="s">
        <v>2542</v>
      </c>
      <c r="AA4441" s="781">
        <f>$S$1*P!AA4441</f>
        <v>1.4018145161290322E-3</v>
      </c>
      <c r="AB4441" s="780"/>
      <c r="AC4441" s="780"/>
      <c r="AD4441" s="780"/>
      <c r="AE4441" s="780"/>
      <c r="AF4441" s="780"/>
    </row>
    <row r="4442" spans="19:32" x14ac:dyDescent="0.35">
      <c r="S4442" s="780"/>
      <c r="T4442" s="928"/>
      <c r="U4442" s="928"/>
      <c r="V4442" s="928"/>
      <c r="W4442" s="780"/>
      <c r="X4442" s="881">
        <v>4438</v>
      </c>
      <c r="Y4442" s="881" t="s">
        <v>2248</v>
      </c>
      <c r="Z4442" s="881" t="s">
        <v>4204</v>
      </c>
      <c r="AA4442" s="890">
        <f>$S$1*P!AA4442</f>
        <v>4.9697580645161298E-2</v>
      </c>
      <c r="AB4442" s="780"/>
      <c r="AC4442" s="780"/>
      <c r="AD4442" s="780"/>
      <c r="AE4442" s="780"/>
      <c r="AF4442" s="780"/>
    </row>
    <row r="4443" spans="19:32" x14ac:dyDescent="0.35">
      <c r="S4443" s="780"/>
      <c r="T4443" s="928"/>
      <c r="U4443" s="928"/>
      <c r="V4443" s="928"/>
      <c r="W4443" s="780"/>
      <c r="X4443" s="782">
        <v>4439</v>
      </c>
      <c r="Y4443" s="782" t="s">
        <v>2248</v>
      </c>
      <c r="Z4443" s="782" t="s">
        <v>2487</v>
      </c>
      <c r="AA4443" s="781">
        <f>$S$1*P!AA4443</f>
        <v>3.6330645161290324E-3</v>
      </c>
      <c r="AB4443" s="780"/>
      <c r="AC4443" s="780"/>
      <c r="AD4443" s="780"/>
      <c r="AE4443" s="780"/>
      <c r="AF4443" s="780"/>
    </row>
    <row r="4444" spans="19:32" x14ac:dyDescent="0.35">
      <c r="S4444" s="780"/>
      <c r="T4444" s="928"/>
      <c r="U4444" s="928"/>
      <c r="V4444" s="928"/>
      <c r="W4444" s="780"/>
      <c r="X4444" s="881">
        <v>4440</v>
      </c>
      <c r="Y4444" s="881" t="s">
        <v>2248</v>
      </c>
      <c r="Z4444" s="881" t="s">
        <v>2540</v>
      </c>
      <c r="AA4444" s="890">
        <f>$S$1*P!AA4444</f>
        <v>1.4627999999999999E-4</v>
      </c>
      <c r="AB4444" s="780"/>
      <c r="AC4444" s="780"/>
      <c r="AD4444" s="780"/>
      <c r="AE4444" s="780"/>
      <c r="AF4444" s="780"/>
    </row>
    <row r="4445" spans="19:32" x14ac:dyDescent="0.35">
      <c r="S4445" s="780"/>
      <c r="T4445" s="928"/>
      <c r="U4445" s="928"/>
      <c r="V4445" s="928"/>
      <c r="W4445" s="780"/>
      <c r="X4445" s="881">
        <v>4441</v>
      </c>
      <c r="Y4445" s="881" t="s">
        <v>2248</v>
      </c>
      <c r="Z4445" s="881" t="s">
        <v>2538</v>
      </c>
      <c r="AA4445" s="890">
        <f>$S$1*P!AA4445</f>
        <v>0</v>
      </c>
      <c r="AB4445" s="780"/>
      <c r="AC4445" s="780"/>
      <c r="AD4445" s="780"/>
      <c r="AE4445" s="780"/>
      <c r="AF4445" s="780"/>
    </row>
    <row r="4446" spans="19:32" x14ac:dyDescent="0.35">
      <c r="S4446" s="780"/>
      <c r="T4446" s="928"/>
      <c r="U4446" s="928"/>
      <c r="V4446" s="928"/>
      <c r="W4446" s="780"/>
      <c r="X4446" s="782">
        <v>4442</v>
      </c>
      <c r="Y4446" s="782" t="s">
        <v>2248</v>
      </c>
      <c r="Z4446" s="782" t="s">
        <v>4111</v>
      </c>
      <c r="AA4446" s="781">
        <f>$S$1*P!AA4446</f>
        <v>1.0145161290322582E-2</v>
      </c>
      <c r="AB4446" s="780"/>
      <c r="AC4446" s="780"/>
      <c r="AD4446" s="780"/>
      <c r="AE4446" s="780"/>
      <c r="AF4446" s="780"/>
    </row>
    <row r="4447" spans="19:32" x14ac:dyDescent="0.35">
      <c r="S4447" s="780"/>
      <c r="T4447" s="928"/>
      <c r="U4447" s="928"/>
      <c r="V4447" s="928"/>
      <c r="W4447" s="780"/>
      <c r="X4447" s="782">
        <v>4443</v>
      </c>
      <c r="Y4447" s="782" t="s">
        <v>2248</v>
      </c>
      <c r="Z4447" s="782" t="s">
        <v>4203</v>
      </c>
      <c r="AA4447" s="781">
        <f>$S$1*P!AA4447</f>
        <v>3.2149193548387101E-4</v>
      </c>
      <c r="AB4447" s="780"/>
      <c r="AC4447" s="780"/>
      <c r="AD4447" s="780"/>
      <c r="AE4447" s="780"/>
      <c r="AF4447" s="780"/>
    </row>
    <row r="4448" spans="19:32" x14ac:dyDescent="0.35">
      <c r="S4448" s="780"/>
      <c r="T4448" s="928"/>
      <c r="U4448" s="928"/>
      <c r="V4448" s="928"/>
      <c r="W4448" s="780"/>
      <c r="X4448" s="782">
        <v>4444</v>
      </c>
      <c r="Y4448" s="782" t="s">
        <v>2248</v>
      </c>
      <c r="Z4448" s="782" t="s">
        <v>4202</v>
      </c>
      <c r="AA4448" s="781">
        <f>$S$1*P!AA4448</f>
        <v>1.2612903225806453</v>
      </c>
      <c r="AB4448" s="780"/>
      <c r="AC4448" s="780"/>
      <c r="AD4448" s="780"/>
      <c r="AE4448" s="780"/>
      <c r="AF4448" s="780"/>
    </row>
    <row r="4449" spans="19:32" x14ac:dyDescent="0.35">
      <c r="S4449" s="780"/>
      <c r="T4449" s="928"/>
      <c r="U4449" s="928"/>
      <c r="V4449" s="928"/>
      <c r="W4449" s="780"/>
      <c r="X4449" s="782">
        <v>4445</v>
      </c>
      <c r="Y4449" s="782" t="s">
        <v>2248</v>
      </c>
      <c r="Z4449" s="782" t="s">
        <v>4109</v>
      </c>
      <c r="AA4449" s="781">
        <f>$S$1*P!AA4449</f>
        <v>1.5663306451612905E-4</v>
      </c>
      <c r="AB4449" s="780"/>
      <c r="AC4449" s="780"/>
      <c r="AD4449" s="780"/>
      <c r="AE4449" s="780"/>
      <c r="AF4449" s="780"/>
    </row>
    <row r="4450" spans="19:32" x14ac:dyDescent="0.35">
      <c r="S4450" s="780"/>
      <c r="T4450" s="928"/>
      <c r="U4450" s="928"/>
      <c r="V4450" s="928"/>
      <c r="W4450" s="780"/>
      <c r="X4450" s="881">
        <v>4446</v>
      </c>
      <c r="Y4450" s="881" t="s">
        <v>2248</v>
      </c>
      <c r="Z4450" s="881" t="s">
        <v>2537</v>
      </c>
      <c r="AA4450" s="890">
        <f>$S$1*P!AA4450</f>
        <v>7.5440000000000007E-2</v>
      </c>
      <c r="AB4450" s="780"/>
      <c r="AC4450" s="780"/>
      <c r="AD4450" s="780"/>
      <c r="AE4450" s="780"/>
      <c r="AF4450" s="780"/>
    </row>
    <row r="4451" spans="19:32" x14ac:dyDescent="0.35">
      <c r="S4451" s="780"/>
      <c r="T4451" s="928"/>
      <c r="U4451" s="928"/>
      <c r="V4451" s="928"/>
      <c r="W4451" s="780"/>
      <c r="X4451" s="881">
        <v>4447</v>
      </c>
      <c r="Y4451" s="881" t="s">
        <v>2248</v>
      </c>
      <c r="Z4451" s="881" t="s">
        <v>4201</v>
      </c>
      <c r="AA4451" s="890">
        <f>$S$1*P!AA4451</f>
        <v>1.1070564516129034E-5</v>
      </c>
      <c r="AB4451" s="780"/>
      <c r="AC4451" s="780"/>
      <c r="AD4451" s="780"/>
      <c r="AE4451" s="780"/>
      <c r="AF4451" s="780"/>
    </row>
    <row r="4452" spans="19:32" x14ac:dyDescent="0.35">
      <c r="S4452" s="780"/>
      <c r="T4452" s="928"/>
      <c r="U4452" s="928"/>
      <c r="V4452" s="928"/>
      <c r="W4452" s="780"/>
      <c r="X4452" s="782">
        <v>4448</v>
      </c>
      <c r="Y4452" s="782" t="s">
        <v>2248</v>
      </c>
      <c r="Z4452" s="782" t="s">
        <v>4108</v>
      </c>
      <c r="AA4452" s="781">
        <f>$S$1*P!AA4452</f>
        <v>1.1653225806451613E-4</v>
      </c>
      <c r="AB4452" s="780"/>
      <c r="AC4452" s="780"/>
      <c r="AD4452" s="780"/>
      <c r="AE4452" s="780"/>
      <c r="AF4452" s="780"/>
    </row>
    <row r="4453" spans="19:32" x14ac:dyDescent="0.35">
      <c r="S4453" s="780"/>
      <c r="T4453" s="928"/>
      <c r="U4453" s="928"/>
      <c r="V4453" s="928"/>
      <c r="W4453" s="780"/>
      <c r="X4453" s="881">
        <v>4449</v>
      </c>
      <c r="Y4453" s="881" t="s">
        <v>2248</v>
      </c>
      <c r="Z4453" s="881" t="s">
        <v>2535</v>
      </c>
      <c r="AA4453" s="890">
        <f>$S$1*P!AA4453</f>
        <v>0</v>
      </c>
      <c r="AB4453" s="780"/>
      <c r="AC4453" s="780"/>
      <c r="AD4453" s="780"/>
      <c r="AE4453" s="780"/>
      <c r="AF4453" s="780"/>
    </row>
    <row r="4454" spans="19:32" x14ac:dyDescent="0.35">
      <c r="S4454" s="780"/>
      <c r="T4454" s="928"/>
      <c r="U4454" s="928"/>
      <c r="V4454" s="928"/>
      <c r="W4454" s="780"/>
      <c r="X4454" s="782">
        <v>4450</v>
      </c>
      <c r="Y4454" s="782" t="s">
        <v>2248</v>
      </c>
      <c r="Z4454" s="782" t="s">
        <v>2484</v>
      </c>
      <c r="AA4454" s="781">
        <f>$S$1*P!AA4454</f>
        <v>1.3572580645161293E-3</v>
      </c>
      <c r="AB4454" s="780"/>
      <c r="AC4454" s="780"/>
      <c r="AD4454" s="780"/>
      <c r="AE4454" s="780"/>
      <c r="AF4454" s="780"/>
    </row>
    <row r="4455" spans="19:32" x14ac:dyDescent="0.35">
      <c r="S4455" s="780"/>
      <c r="T4455" s="928"/>
      <c r="U4455" s="928"/>
      <c r="V4455" s="928"/>
      <c r="W4455" s="780"/>
      <c r="X4455" s="881">
        <v>4451</v>
      </c>
      <c r="Y4455" s="881" t="s">
        <v>2248</v>
      </c>
      <c r="Z4455" s="881" t="s">
        <v>2534</v>
      </c>
      <c r="AA4455" s="890">
        <f>$S$1*P!AA4455</f>
        <v>0</v>
      </c>
      <c r="AB4455" s="780"/>
      <c r="AC4455" s="780"/>
      <c r="AD4455" s="780"/>
      <c r="AE4455" s="780"/>
      <c r="AF4455" s="780"/>
    </row>
    <row r="4456" spans="19:32" x14ac:dyDescent="0.35">
      <c r="S4456" s="780"/>
      <c r="T4456" s="928"/>
      <c r="U4456" s="928"/>
      <c r="V4456" s="928"/>
      <c r="W4456" s="780"/>
      <c r="X4456" s="782">
        <v>4452</v>
      </c>
      <c r="Y4456" s="782" t="s">
        <v>2248</v>
      </c>
      <c r="Z4456" s="782" t="s">
        <v>2534</v>
      </c>
      <c r="AA4456" s="781">
        <f>$S$1*P!AA4456</f>
        <v>1.2270161290322582E-2</v>
      </c>
      <c r="AB4456" s="780"/>
      <c r="AC4456" s="780"/>
      <c r="AD4456" s="780"/>
      <c r="AE4456" s="780"/>
      <c r="AF4456" s="780"/>
    </row>
    <row r="4457" spans="19:32" x14ac:dyDescent="0.35">
      <c r="S4457" s="780"/>
      <c r="T4457" s="928"/>
      <c r="U4457" s="928"/>
      <c r="V4457" s="928"/>
      <c r="W4457" s="780"/>
      <c r="X4457" s="782">
        <v>4453</v>
      </c>
      <c r="Y4457" s="782" t="s">
        <v>2248</v>
      </c>
      <c r="Z4457" s="782" t="s">
        <v>4200</v>
      </c>
      <c r="AA4457" s="781">
        <f>$S$1*P!AA4457</f>
        <v>4.4213709677419358E-4</v>
      </c>
      <c r="AB4457" s="780"/>
      <c r="AC4457" s="780"/>
      <c r="AD4457" s="780"/>
      <c r="AE4457" s="780"/>
      <c r="AF4457" s="780"/>
    </row>
    <row r="4458" spans="19:32" x14ac:dyDescent="0.35">
      <c r="S4458" s="780"/>
      <c r="T4458" s="928"/>
      <c r="U4458" s="928"/>
      <c r="V4458" s="928"/>
      <c r="W4458" s="780"/>
      <c r="X4458" s="782">
        <v>4454</v>
      </c>
      <c r="Y4458" s="782" t="s">
        <v>2248</v>
      </c>
      <c r="Z4458" s="782" t="s">
        <v>4105</v>
      </c>
      <c r="AA4458" s="781">
        <f>$S$1*P!AA4458</f>
        <v>7.3689516129032259E-5</v>
      </c>
      <c r="AB4458" s="780"/>
      <c r="AC4458" s="780"/>
      <c r="AD4458" s="780"/>
      <c r="AE4458" s="780"/>
      <c r="AF4458" s="780"/>
    </row>
    <row r="4459" spans="19:32" x14ac:dyDescent="0.35">
      <c r="S4459" s="780"/>
      <c r="T4459" s="928"/>
      <c r="U4459" s="928"/>
      <c r="V4459" s="928"/>
      <c r="W4459" s="780"/>
      <c r="X4459" s="881">
        <v>4455</v>
      </c>
      <c r="Y4459" s="881" t="s">
        <v>2248</v>
      </c>
      <c r="Z4459" s="881" t="s">
        <v>2532</v>
      </c>
      <c r="AA4459" s="890">
        <f>$S$1*P!AA4459</f>
        <v>7.9764000000000002E-2</v>
      </c>
      <c r="AB4459" s="780"/>
      <c r="AC4459" s="780"/>
      <c r="AD4459" s="780"/>
      <c r="AE4459" s="780"/>
      <c r="AF4459" s="780"/>
    </row>
    <row r="4460" spans="19:32" x14ac:dyDescent="0.35">
      <c r="S4460" s="780"/>
      <c r="T4460" s="928"/>
      <c r="U4460" s="928"/>
      <c r="V4460" s="928"/>
      <c r="W4460" s="780"/>
      <c r="X4460" s="782">
        <v>4456</v>
      </c>
      <c r="Y4460" s="782" t="s">
        <v>2248</v>
      </c>
      <c r="Z4460" s="782" t="s">
        <v>4104</v>
      </c>
      <c r="AA4460" s="781">
        <f>$S$1*P!AA4460</f>
        <v>7.4375000000000005E-3</v>
      </c>
      <c r="AB4460" s="780"/>
      <c r="AC4460" s="780"/>
      <c r="AD4460" s="780"/>
      <c r="AE4460" s="780"/>
      <c r="AF4460" s="780"/>
    </row>
    <row r="4461" spans="19:32" x14ac:dyDescent="0.35">
      <c r="S4461" s="780"/>
      <c r="T4461" s="928"/>
      <c r="U4461" s="928"/>
      <c r="V4461" s="928"/>
      <c r="W4461" s="780"/>
      <c r="X4461" s="881">
        <v>4457</v>
      </c>
      <c r="Y4461" s="881" t="s">
        <v>2248</v>
      </c>
      <c r="Z4461" s="881" t="s">
        <v>2531</v>
      </c>
      <c r="AA4461" s="890">
        <f>$S$1*P!AA4461</f>
        <v>26.036000000000001</v>
      </c>
      <c r="AB4461" s="780"/>
      <c r="AC4461" s="780"/>
      <c r="AD4461" s="780"/>
      <c r="AE4461" s="780"/>
      <c r="AF4461" s="780"/>
    </row>
    <row r="4462" spans="19:32" x14ac:dyDescent="0.35">
      <c r="S4462" s="780"/>
      <c r="T4462" s="928"/>
      <c r="U4462" s="928"/>
      <c r="V4462" s="928"/>
      <c r="W4462" s="780"/>
      <c r="X4462" s="881">
        <v>4458</v>
      </c>
      <c r="Y4462" s="881" t="s">
        <v>2248</v>
      </c>
      <c r="Z4462" s="881" t="s">
        <v>3155</v>
      </c>
      <c r="AA4462" s="890">
        <f>$S$1*P!AA4462</f>
        <v>0.54153225806451621</v>
      </c>
      <c r="AB4462" s="780"/>
      <c r="AC4462" s="780"/>
      <c r="AD4462" s="780"/>
      <c r="AE4462" s="780"/>
      <c r="AF4462" s="780"/>
    </row>
    <row r="4463" spans="19:32" x14ac:dyDescent="0.35">
      <c r="S4463" s="780"/>
      <c r="T4463" s="928"/>
      <c r="U4463" s="928"/>
      <c r="V4463" s="928"/>
      <c r="W4463" s="780"/>
      <c r="X4463" s="881">
        <v>4459</v>
      </c>
      <c r="Y4463" s="881" t="s">
        <v>2248</v>
      </c>
      <c r="Z4463" s="881" t="s">
        <v>2529</v>
      </c>
      <c r="AA4463" s="890">
        <f>$S$1*P!AA4463</f>
        <v>0</v>
      </c>
      <c r="AB4463" s="780"/>
      <c r="AC4463" s="780"/>
      <c r="AD4463" s="780"/>
      <c r="AE4463" s="780"/>
      <c r="AF4463" s="780"/>
    </row>
    <row r="4464" spans="19:32" x14ac:dyDescent="0.35">
      <c r="S4464" s="780"/>
      <c r="T4464" s="928"/>
      <c r="U4464" s="928"/>
      <c r="V4464" s="928"/>
      <c r="W4464" s="780"/>
      <c r="X4464" s="782">
        <v>4460</v>
      </c>
      <c r="Y4464" s="782" t="s">
        <v>2248</v>
      </c>
      <c r="Z4464" s="782" t="s">
        <v>4103</v>
      </c>
      <c r="AA4464" s="781">
        <f>$S$1*P!AA4464</f>
        <v>0.16040322580645164</v>
      </c>
      <c r="AB4464" s="780"/>
      <c r="AC4464" s="780"/>
      <c r="AD4464" s="780"/>
      <c r="AE4464" s="780"/>
      <c r="AF4464" s="780"/>
    </row>
    <row r="4465" spans="19:32" x14ac:dyDescent="0.35">
      <c r="S4465" s="780"/>
      <c r="T4465" s="928"/>
      <c r="U4465" s="928"/>
      <c r="V4465" s="928"/>
      <c r="W4465" s="780"/>
      <c r="X4465" s="782">
        <v>4461</v>
      </c>
      <c r="Y4465" s="782" t="s">
        <v>2248</v>
      </c>
      <c r="Z4465" s="782" t="s">
        <v>4199</v>
      </c>
      <c r="AA4465" s="781">
        <f>$S$1*P!AA4465</f>
        <v>8.3971774193548399E-2</v>
      </c>
      <c r="AB4465" s="780"/>
      <c r="AC4465" s="780"/>
      <c r="AD4465" s="780"/>
      <c r="AE4465" s="780"/>
      <c r="AF4465" s="780"/>
    </row>
    <row r="4466" spans="19:32" x14ac:dyDescent="0.35">
      <c r="S4466" s="780"/>
      <c r="T4466" s="928"/>
      <c r="U4466" s="928"/>
      <c r="V4466" s="928"/>
      <c r="W4466" s="780"/>
      <c r="X4466" s="782">
        <v>4462</v>
      </c>
      <c r="Y4466" s="782" t="s">
        <v>2248</v>
      </c>
      <c r="Z4466" s="782" t="s">
        <v>4102</v>
      </c>
      <c r="AA4466" s="781">
        <f>$S$1*P!AA4466</f>
        <v>1.5320564516129034E-2</v>
      </c>
      <c r="AB4466" s="780"/>
      <c r="AC4466" s="780"/>
      <c r="AD4466" s="780"/>
      <c r="AE4466" s="780"/>
      <c r="AF4466" s="780"/>
    </row>
    <row r="4467" spans="19:32" x14ac:dyDescent="0.35">
      <c r="S4467" s="780"/>
      <c r="T4467" s="928"/>
      <c r="U4467" s="928"/>
      <c r="V4467" s="928"/>
      <c r="W4467" s="780"/>
      <c r="X4467" s="782">
        <v>4463</v>
      </c>
      <c r="Y4467" s="782" t="s">
        <v>2248</v>
      </c>
      <c r="Z4467" s="782" t="s">
        <v>4198</v>
      </c>
      <c r="AA4467" s="781">
        <f>$S$1*P!AA4467</f>
        <v>1.5423387096774196E-3</v>
      </c>
      <c r="AB4467" s="780"/>
      <c r="AC4467" s="780"/>
      <c r="AD4467" s="780"/>
      <c r="AE4467" s="780"/>
      <c r="AF4467" s="780"/>
    </row>
    <row r="4468" spans="19:32" x14ac:dyDescent="0.35">
      <c r="S4468" s="780"/>
      <c r="T4468" s="928"/>
      <c r="U4468" s="928"/>
      <c r="V4468" s="928"/>
      <c r="W4468" s="780"/>
      <c r="X4468" s="881">
        <v>4464</v>
      </c>
      <c r="Y4468" s="881" t="s">
        <v>2248</v>
      </c>
      <c r="Z4468" s="881" t="s">
        <v>2527</v>
      </c>
      <c r="AA4468" s="890">
        <f>$S$1*P!AA4468</f>
        <v>1.3431999999999999</v>
      </c>
      <c r="AB4468" s="780"/>
      <c r="AC4468" s="780"/>
      <c r="AD4468" s="780"/>
      <c r="AE4468" s="780"/>
      <c r="AF4468" s="780"/>
    </row>
    <row r="4469" spans="19:32" x14ac:dyDescent="0.35">
      <c r="S4469" s="780"/>
      <c r="T4469" s="928"/>
      <c r="U4469" s="928"/>
      <c r="V4469" s="928"/>
      <c r="W4469" s="780"/>
      <c r="X4469" s="782">
        <v>4465</v>
      </c>
      <c r="Y4469" s="782" t="s">
        <v>2248</v>
      </c>
      <c r="Z4469" s="782" t="s">
        <v>4101</v>
      </c>
      <c r="AA4469" s="781">
        <f>$S$1*P!AA4469</f>
        <v>1.5560483870967742E-2</v>
      </c>
      <c r="AB4469" s="780"/>
      <c r="AC4469" s="780"/>
      <c r="AD4469" s="780"/>
      <c r="AE4469" s="780"/>
      <c r="AF4469" s="780"/>
    </row>
    <row r="4470" spans="19:32" x14ac:dyDescent="0.35">
      <c r="S4470" s="780"/>
      <c r="T4470" s="928"/>
      <c r="U4470" s="928"/>
      <c r="V4470" s="928"/>
      <c r="W4470" s="780"/>
      <c r="X4470" s="782">
        <v>4466</v>
      </c>
      <c r="Y4470" s="782" t="s">
        <v>2248</v>
      </c>
      <c r="Z4470" s="782" t="s">
        <v>4197</v>
      </c>
      <c r="AA4470" s="781">
        <f>$S$1*P!AA4470</f>
        <v>0.60322580645161294</v>
      </c>
      <c r="AB4470" s="780"/>
      <c r="AC4470" s="780"/>
      <c r="AD4470" s="780"/>
      <c r="AE4470" s="780"/>
      <c r="AF4470" s="780"/>
    </row>
    <row r="4471" spans="19:32" x14ac:dyDescent="0.35">
      <c r="S4471" s="780"/>
      <c r="T4471" s="928"/>
      <c r="U4471" s="928"/>
      <c r="V4471" s="928"/>
      <c r="W4471" s="780"/>
      <c r="X4471" s="881">
        <v>4467</v>
      </c>
      <c r="Y4471" s="881" t="s">
        <v>2248</v>
      </c>
      <c r="Z4471" s="881" t="s">
        <v>4196</v>
      </c>
      <c r="AA4471" s="890">
        <f>$S$1*P!AA4471</f>
        <v>1.4840725806451614E-5</v>
      </c>
      <c r="AB4471" s="780"/>
      <c r="AC4471" s="780"/>
      <c r="AD4471" s="780"/>
      <c r="AE4471" s="780"/>
      <c r="AF4471" s="780"/>
    </row>
    <row r="4472" spans="19:32" x14ac:dyDescent="0.35">
      <c r="S4472" s="780"/>
      <c r="T4472" s="928"/>
      <c r="U4472" s="928"/>
      <c r="V4472" s="928"/>
      <c r="W4472" s="780"/>
      <c r="X4472" s="881">
        <v>4468</v>
      </c>
      <c r="Y4472" s="881" t="s">
        <v>2248</v>
      </c>
      <c r="Z4472" s="881" t="s">
        <v>2526</v>
      </c>
      <c r="AA4472" s="890">
        <f>$S$1*P!AA4472</f>
        <v>8.4640000000000007E-2</v>
      </c>
      <c r="AB4472" s="780"/>
      <c r="AC4472" s="780"/>
      <c r="AD4472" s="780"/>
      <c r="AE4472" s="780"/>
      <c r="AF4472" s="780"/>
    </row>
    <row r="4473" spans="19:32" x14ac:dyDescent="0.35">
      <c r="S4473" s="780"/>
      <c r="T4473" s="928"/>
      <c r="U4473" s="928"/>
      <c r="V4473" s="928"/>
      <c r="W4473" s="780"/>
      <c r="X4473" s="782">
        <v>4469</v>
      </c>
      <c r="Y4473" s="782" t="s">
        <v>2248</v>
      </c>
      <c r="Z4473" s="782" t="s">
        <v>2482</v>
      </c>
      <c r="AA4473" s="781">
        <f>$S$1*P!AA4473</f>
        <v>0.23340725806451615</v>
      </c>
      <c r="AB4473" s="780"/>
      <c r="AC4473" s="780"/>
      <c r="AD4473" s="780"/>
      <c r="AE4473" s="780"/>
      <c r="AF4473" s="780"/>
    </row>
    <row r="4474" spans="19:32" x14ac:dyDescent="0.35">
      <c r="S4474" s="780"/>
      <c r="T4474" s="928"/>
      <c r="U4474" s="928"/>
      <c r="V4474" s="928"/>
      <c r="W4474" s="780"/>
      <c r="X4474" s="881">
        <v>4470</v>
      </c>
      <c r="Y4474" s="881" t="s">
        <v>2248</v>
      </c>
      <c r="Z4474" s="881" t="s">
        <v>2524</v>
      </c>
      <c r="AA4474" s="890">
        <f>$S$1*P!AA4474</f>
        <v>0.37719999999999998</v>
      </c>
      <c r="AB4474" s="780"/>
      <c r="AC4474" s="780"/>
      <c r="AD4474" s="780"/>
      <c r="AE4474" s="780"/>
      <c r="AF4474" s="780"/>
    </row>
    <row r="4475" spans="19:32" x14ac:dyDescent="0.35">
      <c r="S4475" s="780"/>
      <c r="T4475" s="928"/>
      <c r="U4475" s="928"/>
      <c r="V4475" s="928"/>
      <c r="W4475" s="780"/>
      <c r="X4475" s="782">
        <v>4471</v>
      </c>
      <c r="Y4475" s="782" t="s">
        <v>2248</v>
      </c>
      <c r="Z4475" s="782" t="s">
        <v>4099</v>
      </c>
      <c r="AA4475" s="781">
        <f>$S$1*P!AA4475</f>
        <v>0.84657258064516139</v>
      </c>
      <c r="AB4475" s="780"/>
      <c r="AC4475" s="780"/>
      <c r="AD4475" s="780"/>
      <c r="AE4475" s="780"/>
      <c r="AF4475" s="780"/>
    </row>
    <row r="4476" spans="19:32" x14ac:dyDescent="0.35">
      <c r="S4476" s="780"/>
      <c r="T4476" s="928"/>
      <c r="U4476" s="928"/>
      <c r="V4476" s="928"/>
      <c r="W4476" s="780"/>
      <c r="X4476" s="782">
        <v>4472</v>
      </c>
      <c r="Y4476" s="782" t="s">
        <v>2248</v>
      </c>
      <c r="Z4476" s="782" t="s">
        <v>2524</v>
      </c>
      <c r="AA4476" s="781">
        <f>$S$1*P!AA4476</f>
        <v>3.3862903225806457E-2</v>
      </c>
      <c r="AB4476" s="780"/>
      <c r="AC4476" s="780"/>
      <c r="AD4476" s="780"/>
      <c r="AE4476" s="780"/>
      <c r="AF4476" s="780"/>
    </row>
    <row r="4477" spans="19:32" x14ac:dyDescent="0.35">
      <c r="S4477" s="780"/>
      <c r="T4477" s="928"/>
      <c r="U4477" s="928"/>
      <c r="V4477" s="928"/>
      <c r="W4477" s="780"/>
      <c r="X4477" s="881">
        <v>4473</v>
      </c>
      <c r="Y4477" s="881" t="s">
        <v>2248</v>
      </c>
      <c r="Z4477" s="881" t="s">
        <v>4195</v>
      </c>
      <c r="AA4477" s="890">
        <f>$S$1*P!AA4477</f>
        <v>1.182459677419355E-4</v>
      </c>
      <c r="AB4477" s="780"/>
      <c r="AC4477" s="780"/>
      <c r="AD4477" s="780"/>
      <c r="AE4477" s="780"/>
      <c r="AF4477" s="780"/>
    </row>
    <row r="4478" spans="19:32" x14ac:dyDescent="0.35">
      <c r="S4478" s="780"/>
      <c r="T4478" s="928"/>
      <c r="U4478" s="928"/>
      <c r="V4478" s="928"/>
      <c r="W4478" s="780"/>
      <c r="X4478" s="782">
        <v>4474</v>
      </c>
      <c r="Y4478" s="782" t="s">
        <v>2248</v>
      </c>
      <c r="Z4478" s="782" t="s">
        <v>4097</v>
      </c>
      <c r="AA4478" s="781">
        <f>$S$1*P!AA4478</f>
        <v>5.7237903225806452E-4</v>
      </c>
      <c r="AB4478" s="780"/>
      <c r="AC4478" s="780"/>
      <c r="AD4478" s="780"/>
      <c r="AE4478" s="780"/>
      <c r="AF4478" s="780"/>
    </row>
    <row r="4479" spans="19:32" x14ac:dyDescent="0.35">
      <c r="S4479" s="780"/>
      <c r="T4479" s="928"/>
      <c r="U4479" s="928"/>
      <c r="V4479" s="928"/>
      <c r="W4479" s="780"/>
      <c r="X4479" s="782">
        <v>4475</v>
      </c>
      <c r="Y4479" s="782" t="s">
        <v>2248</v>
      </c>
      <c r="Z4479" s="782" t="s">
        <v>4194</v>
      </c>
      <c r="AA4479" s="781">
        <f>$S$1*P!AA4479</f>
        <v>6.5120967741935491E-4</v>
      </c>
      <c r="AB4479" s="780"/>
      <c r="AC4479" s="780"/>
      <c r="AD4479" s="780"/>
      <c r="AE4479" s="780"/>
      <c r="AF4479" s="780"/>
    </row>
    <row r="4480" spans="19:32" x14ac:dyDescent="0.35">
      <c r="S4480" s="780"/>
      <c r="T4480" s="928"/>
      <c r="U4480" s="928"/>
      <c r="V4480" s="928"/>
      <c r="W4480" s="780"/>
      <c r="X4480" s="782">
        <v>4476</v>
      </c>
      <c r="Y4480" s="782" t="s">
        <v>2248</v>
      </c>
      <c r="Z4480" s="782" t="s">
        <v>4193</v>
      </c>
      <c r="AA4480" s="781">
        <f>$S$1*P!AA4480</f>
        <v>9.45967741935484E-4</v>
      </c>
      <c r="AB4480" s="780"/>
      <c r="AC4480" s="780"/>
      <c r="AD4480" s="780"/>
      <c r="AE4480" s="780"/>
      <c r="AF4480" s="780"/>
    </row>
    <row r="4481" spans="19:32" x14ac:dyDescent="0.35">
      <c r="S4481" s="780"/>
      <c r="T4481" s="928"/>
      <c r="U4481" s="928"/>
      <c r="V4481" s="928"/>
      <c r="W4481" s="780"/>
      <c r="X4481" s="782">
        <v>4477</v>
      </c>
      <c r="Y4481" s="782" t="s">
        <v>2248</v>
      </c>
      <c r="Z4481" s="782" t="s">
        <v>4096</v>
      </c>
      <c r="AA4481" s="781">
        <f>$S$1*P!AA4481</f>
        <v>5.6895161290322594E-4</v>
      </c>
      <c r="AB4481" s="780"/>
      <c r="AC4481" s="780"/>
      <c r="AD4481" s="780"/>
      <c r="AE4481" s="780"/>
      <c r="AF4481" s="780"/>
    </row>
    <row r="4482" spans="19:32" x14ac:dyDescent="0.35">
      <c r="S4482" s="780"/>
      <c r="T4482" s="928"/>
      <c r="U4482" s="928"/>
      <c r="V4482" s="928"/>
      <c r="W4482" s="780"/>
      <c r="X4482" s="881">
        <v>4478</v>
      </c>
      <c r="Y4482" s="881" t="s">
        <v>2248</v>
      </c>
      <c r="Z4482" s="881" t="s">
        <v>4192</v>
      </c>
      <c r="AA4482" s="890">
        <f>$S$1*P!AA4482</f>
        <v>7.4717741935483878E-6</v>
      </c>
      <c r="AB4482" s="780"/>
      <c r="AC4482" s="780"/>
      <c r="AD4482" s="780"/>
      <c r="AE4482" s="780"/>
      <c r="AF4482" s="780"/>
    </row>
    <row r="4483" spans="19:32" x14ac:dyDescent="0.35">
      <c r="S4483" s="780"/>
      <c r="T4483" s="928"/>
      <c r="U4483" s="928"/>
      <c r="V4483" s="928"/>
      <c r="W4483" s="780"/>
      <c r="X4483" s="782">
        <v>4479</v>
      </c>
      <c r="Y4483" s="782" t="s">
        <v>2248</v>
      </c>
      <c r="Z4483" s="782" t="s">
        <v>4191</v>
      </c>
      <c r="AA4483" s="781">
        <f>$S$1*P!AA4483</f>
        <v>2.8961693548387097E-3</v>
      </c>
      <c r="AB4483" s="780"/>
      <c r="AC4483" s="780"/>
      <c r="AD4483" s="780"/>
      <c r="AE4483" s="780"/>
      <c r="AF4483" s="780"/>
    </row>
    <row r="4484" spans="19:32" x14ac:dyDescent="0.35">
      <c r="S4484" s="780"/>
      <c r="T4484" s="928"/>
      <c r="U4484" s="928"/>
      <c r="V4484" s="928"/>
      <c r="W4484" s="780"/>
      <c r="X4484" s="782">
        <v>4480</v>
      </c>
      <c r="Y4484" s="782" t="s">
        <v>2248</v>
      </c>
      <c r="Z4484" s="782" t="s">
        <v>4094</v>
      </c>
      <c r="AA4484" s="781">
        <f>$S$1*P!AA4484</f>
        <v>2.1010080645161291E-3</v>
      </c>
      <c r="AB4484" s="780"/>
      <c r="AC4484" s="780"/>
      <c r="AD4484" s="780"/>
      <c r="AE4484" s="780"/>
      <c r="AF4484" s="780"/>
    </row>
    <row r="4485" spans="19:32" x14ac:dyDescent="0.35">
      <c r="S4485" s="780"/>
      <c r="T4485" s="928"/>
      <c r="U4485" s="928"/>
      <c r="V4485" s="928"/>
      <c r="W4485" s="780"/>
      <c r="X4485" s="782">
        <v>4481</v>
      </c>
      <c r="Y4485" s="782" t="s">
        <v>2248</v>
      </c>
      <c r="Z4485" s="782" t="s">
        <v>4190</v>
      </c>
      <c r="AA4485" s="781">
        <f>$S$1*P!AA4485</f>
        <v>0.95625000000000004</v>
      </c>
      <c r="AB4485" s="780"/>
      <c r="AC4485" s="780"/>
      <c r="AD4485" s="780"/>
      <c r="AE4485" s="780"/>
      <c r="AF4485" s="780"/>
    </row>
    <row r="4486" spans="19:32" x14ac:dyDescent="0.35">
      <c r="S4486" s="780"/>
      <c r="T4486" s="928"/>
      <c r="U4486" s="928"/>
      <c r="V4486" s="928"/>
      <c r="W4486" s="780"/>
      <c r="X4486" s="782">
        <v>4482</v>
      </c>
      <c r="Y4486" s="782" t="s">
        <v>2248</v>
      </c>
      <c r="Z4486" s="782" t="s">
        <v>4093</v>
      </c>
      <c r="AA4486" s="781">
        <f>$S$1*P!AA4486</f>
        <v>6.4778225806451616E-3</v>
      </c>
      <c r="AB4486" s="780"/>
      <c r="AC4486" s="780"/>
      <c r="AD4486" s="780"/>
      <c r="AE4486" s="780"/>
      <c r="AF4486" s="780"/>
    </row>
    <row r="4487" spans="19:32" x14ac:dyDescent="0.35">
      <c r="S4487" s="780"/>
      <c r="T4487" s="928"/>
      <c r="U4487" s="928"/>
      <c r="V4487" s="928"/>
      <c r="W4487" s="780"/>
      <c r="X4487" s="782">
        <v>4483</v>
      </c>
      <c r="Y4487" s="782" t="s">
        <v>2248</v>
      </c>
      <c r="Z4487" s="782" t="s">
        <v>4189</v>
      </c>
      <c r="AA4487" s="781">
        <f>$S$1*P!AA4487</f>
        <v>2.4677419354838713E-2</v>
      </c>
      <c r="AB4487" s="780"/>
      <c r="AC4487" s="780"/>
      <c r="AD4487" s="780"/>
      <c r="AE4487" s="780"/>
      <c r="AF4487" s="780"/>
    </row>
    <row r="4488" spans="19:32" x14ac:dyDescent="0.35">
      <c r="S4488" s="780"/>
      <c r="T4488" s="928"/>
      <c r="U4488" s="928"/>
      <c r="V4488" s="928"/>
      <c r="W4488" s="780"/>
      <c r="X4488" s="881">
        <v>4484</v>
      </c>
      <c r="Y4488" s="881" t="s">
        <v>2248</v>
      </c>
      <c r="Z4488" s="881" t="s">
        <v>3153</v>
      </c>
      <c r="AA4488" s="890">
        <f>$S$1*P!AA4488</f>
        <v>2.3786290322580649E-3</v>
      </c>
      <c r="AB4488" s="780"/>
      <c r="AC4488" s="780"/>
      <c r="AD4488" s="780"/>
      <c r="AE4488" s="780"/>
      <c r="AF4488" s="780"/>
    </row>
    <row r="4489" spans="19:32" x14ac:dyDescent="0.35">
      <c r="S4489" s="780"/>
      <c r="T4489" s="928"/>
      <c r="U4489" s="928"/>
      <c r="V4489" s="928"/>
      <c r="W4489" s="780"/>
      <c r="X4489" s="782">
        <v>4485</v>
      </c>
      <c r="Y4489" s="782" t="s">
        <v>2248</v>
      </c>
      <c r="Z4489" s="782" t="s">
        <v>4188</v>
      </c>
      <c r="AA4489" s="781">
        <f>$S$1*P!AA4489</f>
        <v>0.30092741935483874</v>
      </c>
      <c r="AB4489" s="780"/>
      <c r="AC4489" s="780"/>
      <c r="AD4489" s="780"/>
      <c r="AE4489" s="780"/>
      <c r="AF4489" s="780"/>
    </row>
    <row r="4490" spans="19:32" x14ac:dyDescent="0.35">
      <c r="S4490" s="780"/>
      <c r="T4490" s="928"/>
      <c r="U4490" s="928"/>
      <c r="V4490" s="928"/>
      <c r="W4490" s="780"/>
      <c r="X4490" s="782">
        <v>4486</v>
      </c>
      <c r="Y4490" s="782" t="s">
        <v>2248</v>
      </c>
      <c r="Z4490" s="782" t="s">
        <v>4092</v>
      </c>
      <c r="AA4490" s="781">
        <f>$S$1*P!AA4490</f>
        <v>5.0383064516129032E-6</v>
      </c>
      <c r="AB4490" s="780"/>
      <c r="AC4490" s="780"/>
      <c r="AD4490" s="780"/>
      <c r="AE4490" s="780"/>
      <c r="AF4490" s="780"/>
    </row>
    <row r="4491" spans="19:32" x14ac:dyDescent="0.35">
      <c r="S4491" s="780"/>
      <c r="T4491" s="928"/>
      <c r="U4491" s="928"/>
      <c r="V4491" s="928"/>
      <c r="W4491" s="780"/>
      <c r="X4491" s="881">
        <v>4487</v>
      </c>
      <c r="Y4491" s="881" t="s">
        <v>2248</v>
      </c>
      <c r="Z4491" s="881" t="s">
        <v>2523</v>
      </c>
      <c r="AA4491" s="890">
        <f>$S$1*P!AA4491</f>
        <v>0.17111999999999999</v>
      </c>
      <c r="AB4491" s="780"/>
      <c r="AC4491" s="780"/>
      <c r="AD4491" s="780"/>
      <c r="AE4491" s="780"/>
      <c r="AF4491" s="780"/>
    </row>
    <row r="4492" spans="19:32" x14ac:dyDescent="0.35">
      <c r="S4492" s="780"/>
      <c r="T4492" s="928"/>
      <c r="U4492" s="928"/>
      <c r="V4492" s="928"/>
      <c r="W4492" s="780"/>
      <c r="X4492" s="782">
        <v>4488</v>
      </c>
      <c r="Y4492" s="782" t="s">
        <v>2248</v>
      </c>
      <c r="Z4492" s="782" t="s">
        <v>2479</v>
      </c>
      <c r="AA4492" s="781">
        <f>$S$1*P!AA4492</f>
        <v>2.1352822580645165E-4</v>
      </c>
      <c r="AB4492" s="780"/>
      <c r="AC4492" s="780"/>
      <c r="AD4492" s="780"/>
      <c r="AE4492" s="780"/>
      <c r="AF4492" s="780"/>
    </row>
    <row r="4493" spans="19:32" x14ac:dyDescent="0.35">
      <c r="S4493" s="780"/>
      <c r="T4493" s="928"/>
      <c r="U4493" s="928"/>
      <c r="V4493" s="928"/>
      <c r="W4493" s="780"/>
      <c r="X4493" s="782">
        <v>4489</v>
      </c>
      <c r="Y4493" s="782" t="s">
        <v>2248</v>
      </c>
      <c r="Z4493" s="782" t="s">
        <v>2523</v>
      </c>
      <c r="AA4493" s="781">
        <f>$S$1*P!AA4493</f>
        <v>9.0826612903225808E-3</v>
      </c>
      <c r="AB4493" s="780"/>
      <c r="AC4493" s="780"/>
      <c r="AD4493" s="780"/>
      <c r="AE4493" s="780"/>
      <c r="AF4493" s="780"/>
    </row>
    <row r="4494" spans="19:32" x14ac:dyDescent="0.35">
      <c r="S4494" s="780"/>
      <c r="T4494" s="928"/>
      <c r="U4494" s="928"/>
      <c r="V4494" s="928"/>
      <c r="W4494" s="780"/>
      <c r="X4494" s="782">
        <v>4490</v>
      </c>
      <c r="Y4494" s="782" t="s">
        <v>2248</v>
      </c>
      <c r="Z4494" s="782" t="s">
        <v>4187</v>
      </c>
      <c r="AA4494" s="781">
        <f>$S$1*P!AA4494</f>
        <v>5.6895161290322594E-4</v>
      </c>
      <c r="AB4494" s="780"/>
      <c r="AC4494" s="780"/>
      <c r="AD4494" s="780"/>
      <c r="AE4494" s="780"/>
      <c r="AF4494" s="780"/>
    </row>
    <row r="4495" spans="19:32" x14ac:dyDescent="0.35">
      <c r="S4495" s="780"/>
      <c r="T4495" s="928"/>
      <c r="U4495" s="928"/>
      <c r="V4495" s="928"/>
      <c r="W4495" s="780"/>
      <c r="X4495" s="782">
        <v>4491</v>
      </c>
      <c r="Y4495" s="782" t="s">
        <v>2248</v>
      </c>
      <c r="Z4495" s="782" t="s">
        <v>4089</v>
      </c>
      <c r="AA4495" s="781">
        <f>$S$1*P!AA4495</f>
        <v>5.5866935483870967E-5</v>
      </c>
      <c r="AB4495" s="780"/>
      <c r="AC4495" s="780"/>
      <c r="AD4495" s="780"/>
      <c r="AE4495" s="780"/>
      <c r="AF4495" s="780"/>
    </row>
    <row r="4496" spans="19:32" x14ac:dyDescent="0.35">
      <c r="S4496" s="780"/>
      <c r="T4496" s="928"/>
      <c r="U4496" s="928"/>
      <c r="V4496" s="928"/>
      <c r="W4496" s="780"/>
      <c r="X4496" s="881">
        <v>4492</v>
      </c>
      <c r="Y4496" s="881" t="s">
        <v>2248</v>
      </c>
      <c r="Z4496" s="881" t="s">
        <v>2521</v>
      </c>
      <c r="AA4496" s="890">
        <f>$S$1*P!AA4496</f>
        <v>0</v>
      </c>
      <c r="AB4496" s="780"/>
      <c r="AC4496" s="780"/>
      <c r="AD4496" s="780"/>
      <c r="AE4496" s="780"/>
      <c r="AF4496" s="780"/>
    </row>
    <row r="4497" spans="19:32" x14ac:dyDescent="0.35">
      <c r="S4497" s="780"/>
      <c r="T4497" s="928"/>
      <c r="U4497" s="928"/>
      <c r="V4497" s="928"/>
      <c r="W4497" s="780"/>
      <c r="X4497" s="881">
        <v>4493</v>
      </c>
      <c r="Y4497" s="881" t="s">
        <v>2248</v>
      </c>
      <c r="Z4497" s="881" t="s">
        <v>4186</v>
      </c>
      <c r="AA4497" s="890">
        <f>$S$1*P!AA4497</f>
        <v>4.1471774193548391E-4</v>
      </c>
      <c r="AB4497" s="780"/>
      <c r="AC4497" s="780"/>
      <c r="AD4497" s="780"/>
      <c r="AE4497" s="780"/>
      <c r="AF4497" s="780"/>
    </row>
    <row r="4498" spans="19:32" x14ac:dyDescent="0.35">
      <c r="S4498" s="780"/>
      <c r="T4498" s="928"/>
      <c r="U4498" s="928"/>
      <c r="V4498" s="928"/>
      <c r="W4498" s="780"/>
      <c r="X4498" s="782">
        <v>4494</v>
      </c>
      <c r="Y4498" s="782" t="s">
        <v>2248</v>
      </c>
      <c r="Z4498" s="782" t="s">
        <v>4185</v>
      </c>
      <c r="AA4498" s="781">
        <f>$S$1*P!AA4498</f>
        <v>1.2475806451612904E-2</v>
      </c>
      <c r="AB4498" s="780"/>
      <c r="AC4498" s="780"/>
      <c r="AD4498" s="780"/>
      <c r="AE4498" s="780"/>
      <c r="AF4498" s="780"/>
    </row>
    <row r="4499" spans="19:32" x14ac:dyDescent="0.35">
      <c r="S4499" s="780"/>
      <c r="T4499" s="928"/>
      <c r="U4499" s="928"/>
      <c r="V4499" s="928"/>
      <c r="W4499" s="780"/>
      <c r="X4499" s="782">
        <v>4495</v>
      </c>
      <c r="Y4499" s="782" t="s">
        <v>2248</v>
      </c>
      <c r="Z4499" s="782" t="s">
        <v>4087</v>
      </c>
      <c r="AA4499" s="781">
        <f>$S$1*P!AA4499</f>
        <v>2.5020161290322581E-4</v>
      </c>
      <c r="AB4499" s="780"/>
      <c r="AC4499" s="780"/>
      <c r="AD4499" s="780"/>
      <c r="AE4499" s="780"/>
      <c r="AF4499" s="780"/>
    </row>
    <row r="4500" spans="19:32" x14ac:dyDescent="0.35">
      <c r="S4500" s="780"/>
      <c r="T4500" s="928"/>
      <c r="U4500" s="928"/>
      <c r="V4500" s="928"/>
      <c r="W4500" s="780"/>
      <c r="X4500" s="782">
        <v>4496</v>
      </c>
      <c r="Y4500" s="782" t="s">
        <v>2248</v>
      </c>
      <c r="Z4500" s="782" t="s">
        <v>4184</v>
      </c>
      <c r="AA4500" s="781">
        <f>$S$1*P!AA4500</f>
        <v>4.3870967741935488E-7</v>
      </c>
      <c r="AB4500" s="780"/>
      <c r="AC4500" s="780"/>
      <c r="AD4500" s="780"/>
      <c r="AE4500" s="780"/>
      <c r="AF4500" s="780"/>
    </row>
    <row r="4501" spans="19:32" x14ac:dyDescent="0.35">
      <c r="S4501" s="780"/>
      <c r="T4501" s="928"/>
      <c r="U4501" s="928"/>
      <c r="V4501" s="928"/>
      <c r="W4501" s="780"/>
      <c r="X4501" s="782">
        <v>4497</v>
      </c>
      <c r="Y4501" s="782" t="s">
        <v>2248</v>
      </c>
      <c r="Z4501" s="782" t="s">
        <v>4086</v>
      </c>
      <c r="AA4501" s="781">
        <f>$S$1*P!AA4501</f>
        <v>0.40100806451612908</v>
      </c>
      <c r="AB4501" s="780"/>
      <c r="AC4501" s="780"/>
      <c r="AD4501" s="780"/>
      <c r="AE4501" s="780"/>
      <c r="AF4501" s="780"/>
    </row>
    <row r="4502" spans="19:32" x14ac:dyDescent="0.35">
      <c r="S4502" s="780"/>
      <c r="T4502" s="928"/>
      <c r="U4502" s="928"/>
      <c r="V4502" s="928"/>
      <c r="W4502" s="780"/>
      <c r="X4502" s="782">
        <v>4498</v>
      </c>
      <c r="Y4502" s="782" t="s">
        <v>2248</v>
      </c>
      <c r="Z4502" s="782" t="s">
        <v>4183</v>
      </c>
      <c r="AA4502" s="781">
        <f>$S$1*P!AA4502</f>
        <v>6.2379032258064526E-5</v>
      </c>
      <c r="AB4502" s="780"/>
      <c r="AC4502" s="780"/>
      <c r="AD4502" s="780"/>
      <c r="AE4502" s="780"/>
      <c r="AF4502" s="780"/>
    </row>
    <row r="4503" spans="19:32" x14ac:dyDescent="0.35">
      <c r="S4503" s="780"/>
      <c r="T4503" s="928"/>
      <c r="U4503" s="928"/>
      <c r="V4503" s="928"/>
      <c r="W4503" s="780"/>
      <c r="X4503" s="782">
        <v>4499</v>
      </c>
      <c r="Y4503" s="782" t="s">
        <v>2248</v>
      </c>
      <c r="Z4503" s="782" t="s">
        <v>4182</v>
      </c>
      <c r="AA4503" s="781">
        <f>$S$1*P!AA4503</f>
        <v>9.0483870967741941E-4</v>
      </c>
      <c r="AB4503" s="780"/>
      <c r="AC4503" s="780"/>
      <c r="AD4503" s="780"/>
      <c r="AE4503" s="780"/>
      <c r="AF4503" s="780"/>
    </row>
    <row r="4504" spans="19:32" x14ac:dyDescent="0.35">
      <c r="S4504" s="780"/>
      <c r="T4504" s="928"/>
      <c r="U4504" s="928"/>
      <c r="V4504" s="928"/>
      <c r="W4504" s="780"/>
      <c r="X4504" s="782">
        <v>4500</v>
      </c>
      <c r="Y4504" s="782" t="s">
        <v>2248</v>
      </c>
      <c r="Z4504" s="782" t="s">
        <v>4084</v>
      </c>
      <c r="AA4504" s="781">
        <f>$S$1*P!AA4504</f>
        <v>2.3614919354838712E-2</v>
      </c>
      <c r="AB4504" s="780"/>
      <c r="AC4504" s="780"/>
      <c r="AD4504" s="780"/>
      <c r="AE4504" s="780"/>
      <c r="AF4504" s="780"/>
    </row>
    <row r="4505" spans="19:32" x14ac:dyDescent="0.35">
      <c r="S4505" s="780"/>
      <c r="T4505" s="928"/>
      <c r="U4505" s="928"/>
      <c r="V4505" s="928"/>
      <c r="W4505" s="780"/>
      <c r="X4505" s="782">
        <v>4501</v>
      </c>
      <c r="Y4505" s="782" t="s">
        <v>2248</v>
      </c>
      <c r="Z4505" s="782" t="s">
        <v>4181</v>
      </c>
      <c r="AA4505" s="781">
        <f>$S$1*P!AA4505</f>
        <v>4.7641129032258069E-4</v>
      </c>
      <c r="AB4505" s="780"/>
      <c r="AC4505" s="780"/>
      <c r="AD4505" s="780"/>
      <c r="AE4505" s="780"/>
      <c r="AF4505" s="780"/>
    </row>
    <row r="4506" spans="19:32" x14ac:dyDescent="0.35">
      <c r="S4506" s="780"/>
      <c r="T4506" s="928"/>
      <c r="U4506" s="928"/>
      <c r="V4506" s="928"/>
      <c r="W4506" s="780"/>
      <c r="X4506" s="782">
        <v>4502</v>
      </c>
      <c r="Y4506" s="782" t="s">
        <v>2248</v>
      </c>
      <c r="Z4506" s="782" t="s">
        <v>2473</v>
      </c>
      <c r="AA4506" s="781">
        <f>$S$1*P!AA4506</f>
        <v>3.5302419354838713E-3</v>
      </c>
      <c r="AB4506" s="780"/>
      <c r="AC4506" s="780"/>
      <c r="AD4506" s="780"/>
      <c r="AE4506" s="780"/>
      <c r="AF4506" s="780"/>
    </row>
    <row r="4507" spans="19:32" x14ac:dyDescent="0.35">
      <c r="S4507" s="780"/>
      <c r="T4507" s="928"/>
      <c r="U4507" s="928"/>
      <c r="V4507" s="928"/>
      <c r="W4507" s="780"/>
      <c r="X4507" s="782">
        <v>4503</v>
      </c>
      <c r="Y4507" s="782" t="s">
        <v>2248</v>
      </c>
      <c r="Z4507" s="782" t="s">
        <v>4180</v>
      </c>
      <c r="AA4507" s="781">
        <f>$S$1*P!AA4507</f>
        <v>8.8770161290322586E-3</v>
      </c>
      <c r="AB4507" s="780"/>
      <c r="AC4507" s="780"/>
      <c r="AD4507" s="780"/>
      <c r="AE4507" s="780"/>
      <c r="AF4507" s="780"/>
    </row>
    <row r="4508" spans="19:32" x14ac:dyDescent="0.35">
      <c r="S4508" s="780"/>
      <c r="T4508" s="928"/>
      <c r="U4508" s="928"/>
      <c r="V4508" s="928"/>
      <c r="W4508" s="780"/>
      <c r="X4508" s="881">
        <v>4504</v>
      </c>
      <c r="Y4508" s="881" t="s">
        <v>2248</v>
      </c>
      <c r="Z4508" s="881" t="s">
        <v>4179</v>
      </c>
      <c r="AA4508" s="890">
        <f>$S$1*P!AA4508</f>
        <v>9.6310483870967757E-7</v>
      </c>
      <c r="AB4508" s="780"/>
      <c r="AC4508" s="780"/>
      <c r="AD4508" s="780"/>
      <c r="AE4508" s="780"/>
      <c r="AF4508" s="780"/>
    </row>
    <row r="4509" spans="19:32" x14ac:dyDescent="0.35">
      <c r="S4509" s="780"/>
      <c r="T4509" s="928"/>
      <c r="U4509" s="928"/>
      <c r="V4509" s="928"/>
      <c r="W4509" s="780"/>
      <c r="X4509" s="782">
        <v>4505</v>
      </c>
      <c r="Y4509" s="782" t="s">
        <v>2248</v>
      </c>
      <c r="Z4509" s="782" t="s">
        <v>4082</v>
      </c>
      <c r="AA4509" s="781">
        <f>$S$1*P!AA4509</f>
        <v>1.5629032258064517E-3</v>
      </c>
      <c r="AB4509" s="780"/>
      <c r="AC4509" s="780"/>
      <c r="AD4509" s="780"/>
      <c r="AE4509" s="780"/>
      <c r="AF4509" s="780"/>
    </row>
    <row r="4510" spans="19:32" x14ac:dyDescent="0.35">
      <c r="S4510" s="780"/>
      <c r="T4510" s="928"/>
      <c r="U4510" s="928"/>
      <c r="V4510" s="928"/>
      <c r="W4510" s="780"/>
      <c r="X4510" s="782">
        <v>4506</v>
      </c>
      <c r="Y4510" s="782" t="s">
        <v>2248</v>
      </c>
      <c r="Z4510" s="782" t="s">
        <v>4178</v>
      </c>
      <c r="AA4510" s="781">
        <f>$S$1*P!AA4510</f>
        <v>3.9758064516129038E-2</v>
      </c>
      <c r="AB4510" s="780"/>
      <c r="AC4510" s="780"/>
      <c r="AD4510" s="780"/>
      <c r="AE4510" s="780"/>
      <c r="AF4510" s="780"/>
    </row>
    <row r="4511" spans="19:32" x14ac:dyDescent="0.35">
      <c r="S4511" s="780"/>
      <c r="T4511" s="928"/>
      <c r="U4511" s="928"/>
      <c r="V4511" s="928"/>
      <c r="W4511" s="780"/>
      <c r="X4511" s="782">
        <v>4507</v>
      </c>
      <c r="Y4511" s="782" t="s">
        <v>2248</v>
      </c>
      <c r="Z4511" s="782" t="s">
        <v>4080</v>
      </c>
      <c r="AA4511" s="781">
        <f>$S$1*P!AA4511</f>
        <v>5.0040322580645162E-3</v>
      </c>
      <c r="AB4511" s="780"/>
      <c r="AC4511" s="780"/>
      <c r="AD4511" s="780"/>
      <c r="AE4511" s="780"/>
      <c r="AF4511" s="780"/>
    </row>
    <row r="4512" spans="19:32" x14ac:dyDescent="0.35">
      <c r="S4512" s="780"/>
      <c r="T4512" s="928"/>
      <c r="U4512" s="928"/>
      <c r="V4512" s="928"/>
      <c r="W4512" s="780"/>
      <c r="X4512" s="881">
        <v>4508</v>
      </c>
      <c r="Y4512" s="881" t="s">
        <v>2248</v>
      </c>
      <c r="Z4512" s="881" t="s">
        <v>2520</v>
      </c>
      <c r="AA4512" s="890">
        <f>$S$1*P!AA4512</f>
        <v>3.8824000000000001</v>
      </c>
      <c r="AB4512" s="780"/>
      <c r="AC4512" s="780"/>
      <c r="AD4512" s="780"/>
      <c r="AE4512" s="780"/>
      <c r="AF4512" s="780"/>
    </row>
    <row r="4513" spans="19:32" x14ac:dyDescent="0.35">
      <c r="S4513" s="780"/>
      <c r="T4513" s="928"/>
      <c r="U4513" s="928"/>
      <c r="V4513" s="928"/>
      <c r="W4513" s="780"/>
      <c r="X4513" s="782">
        <v>4509</v>
      </c>
      <c r="Y4513" s="782" t="s">
        <v>2248</v>
      </c>
      <c r="Z4513" s="782" t="s">
        <v>3151</v>
      </c>
      <c r="AA4513" s="781">
        <f>$S$1*P!AA4513</f>
        <v>0.14635080645161291</v>
      </c>
      <c r="AB4513" s="780"/>
      <c r="AC4513" s="780"/>
      <c r="AD4513" s="780"/>
      <c r="AE4513" s="780"/>
      <c r="AF4513" s="780"/>
    </row>
    <row r="4514" spans="19:32" x14ac:dyDescent="0.35">
      <c r="S4514" s="780"/>
      <c r="T4514" s="928"/>
      <c r="U4514" s="928"/>
      <c r="V4514" s="928"/>
      <c r="W4514" s="780"/>
      <c r="X4514" s="782">
        <v>4510</v>
      </c>
      <c r="Y4514" s="782" t="s">
        <v>2248</v>
      </c>
      <c r="Z4514" s="782" t="s">
        <v>4079</v>
      </c>
      <c r="AA4514" s="781">
        <f>$S$1*P!AA4514</f>
        <v>1.3572580645161293E-3</v>
      </c>
      <c r="AB4514" s="780"/>
      <c r="AC4514" s="780"/>
      <c r="AD4514" s="780"/>
      <c r="AE4514" s="780"/>
      <c r="AF4514" s="780"/>
    </row>
    <row r="4515" spans="19:32" x14ac:dyDescent="0.35">
      <c r="S4515" s="780"/>
      <c r="T4515" s="928"/>
      <c r="U4515" s="928"/>
      <c r="V4515" s="928"/>
      <c r="W4515" s="780"/>
      <c r="X4515" s="881">
        <v>4511</v>
      </c>
      <c r="Y4515" s="881" t="s">
        <v>2248</v>
      </c>
      <c r="Z4515" s="881" t="s">
        <v>3150</v>
      </c>
      <c r="AA4515" s="890">
        <f>$S$1*P!AA4515</f>
        <v>7.026209677419355E-6</v>
      </c>
      <c r="AB4515" s="780"/>
      <c r="AC4515" s="780"/>
      <c r="AD4515" s="780"/>
      <c r="AE4515" s="780"/>
      <c r="AF4515" s="780"/>
    </row>
    <row r="4516" spans="19:32" x14ac:dyDescent="0.35">
      <c r="S4516" s="780"/>
      <c r="T4516" s="928"/>
      <c r="U4516" s="928"/>
      <c r="V4516" s="928"/>
      <c r="W4516" s="780"/>
      <c r="X4516" s="782">
        <v>4512</v>
      </c>
      <c r="Y4516" s="782" t="s">
        <v>2248</v>
      </c>
      <c r="Z4516" s="782" t="s">
        <v>4077</v>
      </c>
      <c r="AA4516" s="781">
        <f>$S$1*P!AA4516</f>
        <v>4.7641129032258069E-2</v>
      </c>
      <c r="AB4516" s="780"/>
      <c r="AC4516" s="780"/>
      <c r="AD4516" s="780"/>
      <c r="AE4516" s="780"/>
      <c r="AF4516" s="780"/>
    </row>
    <row r="4517" spans="19:32" x14ac:dyDescent="0.35">
      <c r="S4517" s="780"/>
      <c r="T4517" s="928"/>
      <c r="U4517" s="928"/>
      <c r="V4517" s="928"/>
      <c r="W4517" s="780"/>
      <c r="X4517" s="782">
        <v>4513</v>
      </c>
      <c r="Y4517" s="782" t="s">
        <v>2248</v>
      </c>
      <c r="Z4517" s="782" t="s">
        <v>4076</v>
      </c>
      <c r="AA4517" s="781">
        <f>$S$1*P!AA4517</f>
        <v>1.0727822580645162E-2</v>
      </c>
      <c r="AB4517" s="780"/>
      <c r="AC4517" s="780"/>
      <c r="AD4517" s="780"/>
      <c r="AE4517" s="780"/>
      <c r="AF4517" s="780"/>
    </row>
    <row r="4518" spans="19:32" x14ac:dyDescent="0.35">
      <c r="S4518" s="780"/>
      <c r="T4518" s="928"/>
      <c r="U4518" s="928"/>
      <c r="V4518" s="928"/>
      <c r="W4518" s="780"/>
      <c r="X4518" s="881">
        <v>4514</v>
      </c>
      <c r="Y4518" s="881" t="s">
        <v>2248</v>
      </c>
      <c r="Z4518" s="881" t="s">
        <v>4177</v>
      </c>
      <c r="AA4518" s="890">
        <f>$S$1*P!AA4518</f>
        <v>6.3750000000000005E-4</v>
      </c>
      <c r="AB4518" s="780"/>
      <c r="AC4518" s="780"/>
      <c r="AD4518" s="780"/>
      <c r="AE4518" s="780"/>
      <c r="AF4518" s="780"/>
    </row>
    <row r="4519" spans="19:32" x14ac:dyDescent="0.35">
      <c r="S4519" s="780"/>
      <c r="T4519" s="928"/>
      <c r="U4519" s="928"/>
      <c r="V4519" s="928"/>
      <c r="W4519" s="780"/>
      <c r="X4519" s="782">
        <v>4515</v>
      </c>
      <c r="Y4519" s="782" t="s">
        <v>2248</v>
      </c>
      <c r="Z4519" s="782" t="s">
        <v>4075</v>
      </c>
      <c r="AA4519" s="781">
        <f>$S$1*P!AA4519</f>
        <v>2.78991935483871E-4</v>
      </c>
      <c r="AB4519" s="780"/>
      <c r="AC4519" s="780"/>
      <c r="AD4519" s="780"/>
      <c r="AE4519" s="780"/>
      <c r="AF4519" s="780"/>
    </row>
    <row r="4520" spans="19:32" x14ac:dyDescent="0.35">
      <c r="S4520" s="780"/>
      <c r="T4520" s="928"/>
      <c r="U4520" s="928"/>
      <c r="V4520" s="928"/>
      <c r="W4520" s="780"/>
      <c r="X4520" s="782">
        <v>4516</v>
      </c>
      <c r="Y4520" s="782" t="s">
        <v>2248</v>
      </c>
      <c r="Z4520" s="782" t="s">
        <v>4073</v>
      </c>
      <c r="AA4520" s="781">
        <f>$S$1*P!AA4520</f>
        <v>6.7177419354838715E-4</v>
      </c>
      <c r="AB4520" s="780"/>
      <c r="AC4520" s="780"/>
      <c r="AD4520" s="780"/>
      <c r="AE4520" s="780"/>
      <c r="AF4520" s="780"/>
    </row>
    <row r="4521" spans="19:32" x14ac:dyDescent="0.35">
      <c r="S4521" s="780"/>
      <c r="T4521" s="928"/>
      <c r="U4521" s="928"/>
      <c r="V4521" s="928"/>
      <c r="W4521" s="780"/>
      <c r="X4521" s="881">
        <v>4517</v>
      </c>
      <c r="Y4521" s="881" t="s">
        <v>2248</v>
      </c>
      <c r="Z4521" s="881" t="s">
        <v>2518</v>
      </c>
      <c r="AA4521" s="890">
        <f>$S$1*P!AA4521</f>
        <v>3.9008000000000003</v>
      </c>
      <c r="AB4521" s="780"/>
      <c r="AC4521" s="780"/>
      <c r="AD4521" s="780"/>
      <c r="AE4521" s="780"/>
      <c r="AF4521" s="780"/>
    </row>
    <row r="4522" spans="19:32" x14ac:dyDescent="0.35">
      <c r="S4522" s="780"/>
      <c r="T4522" s="928"/>
      <c r="U4522" s="928"/>
      <c r="V4522" s="928"/>
      <c r="W4522" s="780"/>
      <c r="X4522" s="881">
        <v>4518</v>
      </c>
      <c r="Y4522" s="881" t="s">
        <v>2248</v>
      </c>
      <c r="Z4522" s="881" t="s">
        <v>4176</v>
      </c>
      <c r="AA4522" s="890">
        <f>$S$1*P!AA4522</f>
        <v>1.2235887096774195E-4</v>
      </c>
      <c r="AB4522" s="780"/>
      <c r="AC4522" s="780"/>
      <c r="AD4522" s="780"/>
      <c r="AE4522" s="780"/>
      <c r="AF4522" s="780"/>
    </row>
    <row r="4523" spans="19:32" x14ac:dyDescent="0.35">
      <c r="S4523" s="780"/>
      <c r="T4523" s="928"/>
      <c r="U4523" s="928"/>
      <c r="V4523" s="928"/>
      <c r="W4523" s="780"/>
      <c r="X4523" s="782">
        <v>4519</v>
      </c>
      <c r="Y4523" s="782" t="s">
        <v>2248</v>
      </c>
      <c r="Z4523" s="782" t="s">
        <v>2518</v>
      </c>
      <c r="AA4523" s="781">
        <f>$S$1*P!AA4523</f>
        <v>1.5423387096774195E-4</v>
      </c>
      <c r="AB4523" s="780"/>
      <c r="AC4523" s="780"/>
      <c r="AD4523" s="780"/>
      <c r="AE4523" s="780"/>
      <c r="AF4523" s="780"/>
    </row>
    <row r="4524" spans="19:32" x14ac:dyDescent="0.35">
      <c r="S4524" s="780"/>
      <c r="T4524" s="928"/>
      <c r="U4524" s="928"/>
      <c r="V4524" s="928"/>
      <c r="W4524" s="780"/>
      <c r="X4524" s="782">
        <v>4520</v>
      </c>
      <c r="Y4524" s="782" t="s">
        <v>2248</v>
      </c>
      <c r="Z4524" s="782" t="s">
        <v>4071</v>
      </c>
      <c r="AA4524" s="781">
        <f>$S$1*P!AA4524</f>
        <v>5.7237903225806452E-5</v>
      </c>
      <c r="AB4524" s="780"/>
      <c r="AC4524" s="780"/>
      <c r="AD4524" s="780"/>
      <c r="AE4524" s="780"/>
      <c r="AF4524" s="780"/>
    </row>
    <row r="4525" spans="19:32" x14ac:dyDescent="0.35">
      <c r="S4525" s="780"/>
      <c r="T4525" s="928"/>
      <c r="U4525" s="928"/>
      <c r="V4525" s="928"/>
      <c r="W4525" s="780"/>
      <c r="X4525" s="881">
        <v>4521</v>
      </c>
      <c r="Y4525" s="881" t="s">
        <v>2248</v>
      </c>
      <c r="Z4525" s="881" t="s">
        <v>2517</v>
      </c>
      <c r="AA4525" s="890">
        <f>$S$1*P!AA4525</f>
        <v>32.751999999999995</v>
      </c>
      <c r="AB4525" s="780"/>
      <c r="AC4525" s="780"/>
      <c r="AD4525" s="780"/>
      <c r="AE4525" s="780"/>
      <c r="AF4525" s="780"/>
    </row>
    <row r="4526" spans="19:32" x14ac:dyDescent="0.35">
      <c r="S4526" s="780"/>
      <c r="T4526" s="928"/>
      <c r="U4526" s="928"/>
      <c r="V4526" s="928"/>
      <c r="W4526" s="780"/>
      <c r="X4526" s="782">
        <v>4522</v>
      </c>
      <c r="Y4526" s="782" t="s">
        <v>2248</v>
      </c>
      <c r="Z4526" s="782" t="s">
        <v>4069</v>
      </c>
      <c r="AA4526" s="781">
        <f>$S$1*P!AA4526</f>
        <v>5.2096774193548386E-4</v>
      </c>
      <c r="AB4526" s="780"/>
      <c r="AC4526" s="780"/>
      <c r="AD4526" s="780"/>
      <c r="AE4526" s="780"/>
      <c r="AF4526" s="780"/>
    </row>
    <row r="4527" spans="19:32" x14ac:dyDescent="0.35">
      <c r="S4527" s="780"/>
      <c r="T4527" s="928"/>
      <c r="U4527" s="928"/>
      <c r="V4527" s="928"/>
      <c r="W4527" s="780"/>
      <c r="X4527" s="782">
        <v>4523</v>
      </c>
      <c r="Y4527" s="782" t="s">
        <v>2248</v>
      </c>
      <c r="Z4527" s="782" t="s">
        <v>2517</v>
      </c>
      <c r="AA4527" s="781">
        <f>$S$1*P!AA4527</f>
        <v>2.1112903225806454E-3</v>
      </c>
      <c r="AB4527" s="780"/>
      <c r="AC4527" s="780"/>
      <c r="AD4527" s="780"/>
      <c r="AE4527" s="780"/>
      <c r="AF4527" s="780"/>
    </row>
    <row r="4528" spans="19:32" x14ac:dyDescent="0.35">
      <c r="S4528" s="780"/>
      <c r="T4528" s="928"/>
      <c r="U4528" s="928"/>
      <c r="V4528" s="928"/>
      <c r="W4528" s="780"/>
      <c r="X4528" s="881">
        <v>4524</v>
      </c>
      <c r="Y4528" s="881" t="s">
        <v>2248</v>
      </c>
      <c r="Z4528" s="881" t="s">
        <v>4175</v>
      </c>
      <c r="AA4528" s="890">
        <f>$S$1*P!AA4528</f>
        <v>2.7385080645161292E-4</v>
      </c>
      <c r="AB4528" s="780"/>
      <c r="AC4528" s="780"/>
      <c r="AD4528" s="780"/>
      <c r="AE4528" s="780"/>
      <c r="AF4528" s="780"/>
    </row>
    <row r="4529" spans="19:32" x14ac:dyDescent="0.35">
      <c r="S4529" s="780"/>
      <c r="T4529" s="928"/>
      <c r="U4529" s="928"/>
      <c r="V4529" s="928"/>
      <c r="W4529" s="780"/>
      <c r="X4529" s="782">
        <v>4525</v>
      </c>
      <c r="Y4529" s="782" t="s">
        <v>2248</v>
      </c>
      <c r="Z4529" s="782" t="s">
        <v>4068</v>
      </c>
      <c r="AA4529" s="781">
        <f>$S$1*P!AA4529</f>
        <v>2.4643145161290327E-3</v>
      </c>
      <c r="AB4529" s="780"/>
      <c r="AC4529" s="780"/>
      <c r="AD4529" s="780"/>
      <c r="AE4529" s="780"/>
      <c r="AF4529" s="780"/>
    </row>
    <row r="4530" spans="19:32" x14ac:dyDescent="0.35">
      <c r="S4530" s="780"/>
      <c r="T4530" s="928"/>
      <c r="U4530" s="928"/>
      <c r="V4530" s="928"/>
      <c r="W4530" s="780"/>
      <c r="X4530" s="881">
        <v>4526</v>
      </c>
      <c r="Y4530" s="881" t="s">
        <v>2248</v>
      </c>
      <c r="Z4530" s="881" t="s">
        <v>2515</v>
      </c>
      <c r="AA4530" s="890">
        <f>$S$1*P!AA4530</f>
        <v>6.3112000000000001E-2</v>
      </c>
      <c r="AB4530" s="780"/>
      <c r="AC4530" s="780"/>
      <c r="AD4530" s="780"/>
      <c r="AE4530" s="780"/>
      <c r="AF4530" s="780"/>
    </row>
    <row r="4531" spans="19:32" x14ac:dyDescent="0.35">
      <c r="S4531" s="780"/>
      <c r="T4531" s="928"/>
      <c r="U4531" s="928"/>
      <c r="V4531" s="928"/>
      <c r="W4531" s="780"/>
      <c r="X4531" s="782">
        <v>4527</v>
      </c>
      <c r="Y4531" s="782" t="s">
        <v>2248</v>
      </c>
      <c r="Z4531" s="782" t="s">
        <v>2515</v>
      </c>
      <c r="AA4531" s="781">
        <f>$S$1*P!AA4531</f>
        <v>1.9604838709677419E-4</v>
      </c>
      <c r="AB4531" s="780"/>
      <c r="AC4531" s="780"/>
      <c r="AD4531" s="780"/>
      <c r="AE4531" s="780"/>
      <c r="AF4531" s="780"/>
    </row>
    <row r="4532" spans="19:32" x14ac:dyDescent="0.35">
      <c r="S4532" s="780"/>
      <c r="T4532" s="928"/>
      <c r="U4532" s="928"/>
      <c r="V4532" s="928"/>
      <c r="W4532" s="780"/>
      <c r="X4532" s="782">
        <v>4528</v>
      </c>
      <c r="Y4532" s="782" t="s">
        <v>2248</v>
      </c>
      <c r="Z4532" s="782" t="s">
        <v>4067</v>
      </c>
      <c r="AA4532" s="781">
        <f>$S$1*P!AA4532</f>
        <v>1.7137096774193551E-2</v>
      </c>
      <c r="AB4532" s="780"/>
      <c r="AC4532" s="780"/>
      <c r="AD4532" s="780"/>
      <c r="AE4532" s="780"/>
      <c r="AF4532" s="780"/>
    </row>
    <row r="4533" spans="19:32" x14ac:dyDescent="0.35">
      <c r="S4533" s="780"/>
      <c r="T4533" s="928"/>
      <c r="U4533" s="928"/>
      <c r="V4533" s="928"/>
      <c r="W4533" s="780"/>
      <c r="X4533" s="782">
        <v>4529</v>
      </c>
      <c r="Y4533" s="782" t="s">
        <v>2248</v>
      </c>
      <c r="Z4533" s="782" t="s">
        <v>4174</v>
      </c>
      <c r="AA4533" s="781">
        <f>$S$1*P!AA4533</f>
        <v>2.4403225806451616E-4</v>
      </c>
      <c r="AB4533" s="780"/>
      <c r="AC4533" s="780"/>
      <c r="AD4533" s="780"/>
      <c r="AE4533" s="780"/>
      <c r="AF4533" s="780"/>
    </row>
    <row r="4534" spans="19:32" x14ac:dyDescent="0.35">
      <c r="S4534" s="780"/>
      <c r="T4534" s="928"/>
      <c r="U4534" s="928"/>
      <c r="V4534" s="928"/>
      <c r="W4534" s="780"/>
      <c r="X4534" s="782">
        <v>4530</v>
      </c>
      <c r="Y4534" s="782" t="s">
        <v>2248</v>
      </c>
      <c r="Z4534" s="782" t="s">
        <v>4066</v>
      </c>
      <c r="AA4534" s="781">
        <f>$S$1*P!AA4534</f>
        <v>4.2842741935483876E-5</v>
      </c>
      <c r="AB4534" s="780"/>
      <c r="AC4534" s="780"/>
      <c r="AD4534" s="780"/>
      <c r="AE4534" s="780"/>
      <c r="AF4534" s="780"/>
    </row>
    <row r="4535" spans="19:32" x14ac:dyDescent="0.35">
      <c r="S4535" s="780"/>
      <c r="T4535" s="928"/>
      <c r="U4535" s="928"/>
      <c r="V4535" s="928"/>
      <c r="W4535" s="780"/>
      <c r="X4535" s="782">
        <v>4531</v>
      </c>
      <c r="Y4535" s="782" t="s">
        <v>2248</v>
      </c>
      <c r="Z4535" s="782" t="s">
        <v>4173</v>
      </c>
      <c r="AA4535" s="781">
        <f>$S$1*P!AA4535</f>
        <v>2.1044354838709678E-5</v>
      </c>
      <c r="AB4535" s="780"/>
      <c r="AC4535" s="780"/>
      <c r="AD4535" s="780"/>
      <c r="AE4535" s="780"/>
      <c r="AF4535" s="780"/>
    </row>
    <row r="4536" spans="19:32" x14ac:dyDescent="0.35">
      <c r="S4536" s="780"/>
      <c r="T4536" s="928"/>
      <c r="U4536" s="928"/>
      <c r="V4536" s="928"/>
      <c r="W4536" s="780"/>
      <c r="X4536" s="881">
        <v>4532</v>
      </c>
      <c r="Y4536" s="881" t="s">
        <v>2248</v>
      </c>
      <c r="Z4536" s="881" t="s">
        <v>4172</v>
      </c>
      <c r="AA4536" s="890">
        <f>$S$1*P!AA4536</f>
        <v>1.7239919354838709E-3</v>
      </c>
      <c r="AB4536" s="780"/>
      <c r="AC4536" s="780"/>
      <c r="AD4536" s="780"/>
      <c r="AE4536" s="780"/>
      <c r="AF4536" s="780"/>
    </row>
    <row r="4537" spans="19:32" x14ac:dyDescent="0.35">
      <c r="S4537" s="780"/>
      <c r="T4537" s="928"/>
      <c r="U4537" s="928"/>
      <c r="V4537" s="928"/>
      <c r="W4537" s="780"/>
      <c r="X4537" s="782">
        <v>4533</v>
      </c>
      <c r="Y4537" s="782" t="s">
        <v>2248</v>
      </c>
      <c r="Z4537" s="782" t="s">
        <v>2468</v>
      </c>
      <c r="AA4537" s="781">
        <f>$S$1*P!AA4537</f>
        <v>6.8205645161290333E-5</v>
      </c>
      <c r="AB4537" s="780"/>
      <c r="AC4537" s="780"/>
      <c r="AD4537" s="780"/>
      <c r="AE4537" s="780"/>
      <c r="AF4537" s="780"/>
    </row>
    <row r="4538" spans="19:32" x14ac:dyDescent="0.35">
      <c r="S4538" s="780"/>
      <c r="T4538" s="928"/>
      <c r="U4538" s="928"/>
      <c r="V4538" s="928"/>
      <c r="W4538" s="780"/>
      <c r="X4538" s="782">
        <v>4534</v>
      </c>
      <c r="Y4538" s="782" t="s">
        <v>2248</v>
      </c>
      <c r="Z4538" s="782" t="s">
        <v>4171</v>
      </c>
      <c r="AA4538" s="781">
        <f>$S$1*P!AA4538</f>
        <v>2.844758064516129E-5</v>
      </c>
      <c r="AB4538" s="780"/>
      <c r="AC4538" s="780"/>
      <c r="AD4538" s="780"/>
      <c r="AE4538" s="780"/>
      <c r="AF4538" s="780"/>
    </row>
    <row r="4539" spans="19:32" x14ac:dyDescent="0.35">
      <c r="S4539" s="780"/>
      <c r="T4539" s="928"/>
      <c r="U4539" s="928"/>
      <c r="V4539" s="928"/>
      <c r="W4539" s="780"/>
      <c r="X4539" s="782">
        <v>4535</v>
      </c>
      <c r="Y4539" s="782" t="s">
        <v>2248</v>
      </c>
      <c r="Z4539" s="782" t="s">
        <v>4063</v>
      </c>
      <c r="AA4539" s="781">
        <f>$S$1*P!AA4539</f>
        <v>0.39072580645161292</v>
      </c>
      <c r="AB4539" s="780"/>
      <c r="AC4539" s="780"/>
      <c r="AD4539" s="780"/>
      <c r="AE4539" s="780"/>
      <c r="AF4539" s="780"/>
    </row>
    <row r="4540" spans="19:32" x14ac:dyDescent="0.35">
      <c r="S4540" s="780"/>
      <c r="T4540" s="928"/>
      <c r="U4540" s="928"/>
      <c r="V4540" s="928"/>
      <c r="W4540" s="780"/>
      <c r="X4540" s="782">
        <v>4536</v>
      </c>
      <c r="Y4540" s="782" t="s">
        <v>2248</v>
      </c>
      <c r="Z4540" s="782" t="s">
        <v>4170</v>
      </c>
      <c r="AA4540" s="781">
        <f>$S$1*P!AA4540</f>
        <v>2.3340725806451613E-3</v>
      </c>
      <c r="AB4540" s="780"/>
      <c r="AC4540" s="780"/>
      <c r="AD4540" s="780"/>
      <c r="AE4540" s="780"/>
      <c r="AF4540" s="780"/>
    </row>
    <row r="4541" spans="19:32" x14ac:dyDescent="0.35">
      <c r="S4541" s="780"/>
      <c r="T4541" s="928"/>
      <c r="U4541" s="928"/>
      <c r="V4541" s="928"/>
      <c r="W4541" s="780"/>
      <c r="X4541" s="782">
        <v>4537</v>
      </c>
      <c r="Y4541" s="782" t="s">
        <v>2248</v>
      </c>
      <c r="Z4541" s="782" t="s">
        <v>3148</v>
      </c>
      <c r="AA4541" s="781">
        <f>$S$1*P!AA4541</f>
        <v>1.7445564516129032E-2</v>
      </c>
      <c r="AB4541" s="780"/>
      <c r="AC4541" s="780"/>
      <c r="AD4541" s="780"/>
      <c r="AE4541" s="780"/>
      <c r="AF4541" s="780"/>
    </row>
    <row r="4542" spans="19:32" x14ac:dyDescent="0.35">
      <c r="S4542" s="780"/>
      <c r="T4542" s="928"/>
      <c r="U4542" s="928"/>
      <c r="V4542" s="928"/>
      <c r="W4542" s="780"/>
      <c r="X4542" s="782">
        <v>4538</v>
      </c>
      <c r="Y4542" s="782" t="s">
        <v>2248</v>
      </c>
      <c r="Z4542" s="782" t="s">
        <v>2463</v>
      </c>
      <c r="AA4542" s="781">
        <f>$S$1*P!AA4542</f>
        <v>0.24197580645161293</v>
      </c>
      <c r="AB4542" s="780"/>
      <c r="AC4542" s="780"/>
      <c r="AD4542" s="780"/>
      <c r="AE4542" s="780"/>
      <c r="AF4542" s="780"/>
    </row>
    <row r="4543" spans="19:32" x14ac:dyDescent="0.35">
      <c r="S4543" s="780"/>
      <c r="T4543" s="928"/>
      <c r="U4543" s="928"/>
      <c r="V4543" s="928"/>
      <c r="W4543" s="780"/>
      <c r="X4543" s="881">
        <v>4539</v>
      </c>
      <c r="Y4543" s="881" t="s">
        <v>2248</v>
      </c>
      <c r="Z4543" s="881" t="s">
        <v>2513</v>
      </c>
      <c r="AA4543" s="890">
        <f>$S$1*P!AA4543</f>
        <v>0</v>
      </c>
      <c r="AB4543" s="780"/>
      <c r="AC4543" s="780"/>
      <c r="AD4543" s="780"/>
      <c r="AE4543" s="780"/>
      <c r="AF4543" s="780"/>
    </row>
    <row r="4544" spans="19:32" x14ac:dyDescent="0.35">
      <c r="S4544" s="780"/>
      <c r="T4544" s="928"/>
      <c r="U4544" s="928"/>
      <c r="V4544" s="928"/>
      <c r="W4544" s="780"/>
      <c r="X4544" s="782">
        <v>4540</v>
      </c>
      <c r="Y4544" s="782" t="s">
        <v>2248</v>
      </c>
      <c r="Z4544" s="782" t="s">
        <v>2513</v>
      </c>
      <c r="AA4544" s="781">
        <f>$S$1*P!AA4544</f>
        <v>3.1395161290322583E-5</v>
      </c>
      <c r="AB4544" s="780"/>
      <c r="AC4544" s="780"/>
      <c r="AD4544" s="780"/>
      <c r="AE4544" s="780"/>
      <c r="AF4544" s="780"/>
    </row>
    <row r="4545" spans="19:32" x14ac:dyDescent="0.35">
      <c r="S4545" s="780"/>
      <c r="T4545" s="928"/>
      <c r="U4545" s="928"/>
      <c r="V4545" s="928"/>
      <c r="W4545" s="780"/>
      <c r="X4545" s="782">
        <v>4541</v>
      </c>
      <c r="Y4545" s="782" t="s">
        <v>2248</v>
      </c>
      <c r="Z4545" s="782" t="s">
        <v>4061</v>
      </c>
      <c r="AA4545" s="781">
        <f>$S$1*P!AA4545</f>
        <v>1.7445564516129032E-2</v>
      </c>
      <c r="AB4545" s="780"/>
      <c r="AC4545" s="780"/>
      <c r="AD4545" s="780"/>
      <c r="AE4545" s="780"/>
      <c r="AF4545" s="780"/>
    </row>
    <row r="4546" spans="19:32" x14ac:dyDescent="0.35">
      <c r="S4546" s="780"/>
      <c r="T4546" s="928"/>
      <c r="U4546" s="928"/>
      <c r="V4546" s="928"/>
      <c r="W4546" s="780"/>
      <c r="X4546" s="881">
        <v>4542</v>
      </c>
      <c r="Y4546" s="881" t="s">
        <v>2248</v>
      </c>
      <c r="Z4546" s="881" t="s">
        <v>4169</v>
      </c>
      <c r="AA4546" s="890">
        <f>$S$1*P!AA4546</f>
        <v>1.0179435483870969E-3</v>
      </c>
      <c r="AB4546" s="780"/>
      <c r="AC4546" s="780"/>
      <c r="AD4546" s="780"/>
      <c r="AE4546" s="780"/>
      <c r="AF4546" s="780"/>
    </row>
    <row r="4547" spans="19:32" x14ac:dyDescent="0.35">
      <c r="S4547" s="780"/>
      <c r="T4547" s="928"/>
      <c r="U4547" s="928"/>
      <c r="V4547" s="928"/>
      <c r="W4547" s="780"/>
      <c r="X4547" s="782">
        <v>4543</v>
      </c>
      <c r="Y4547" s="782" t="s">
        <v>2248</v>
      </c>
      <c r="Z4547" s="782" t="s">
        <v>2457</v>
      </c>
      <c r="AA4547" s="781">
        <f>$S$1*P!AA4547</f>
        <v>0.10796370967741936</v>
      </c>
      <c r="AB4547" s="780"/>
      <c r="AC4547" s="780"/>
      <c r="AD4547" s="780"/>
      <c r="AE4547" s="780"/>
      <c r="AF4547" s="780"/>
    </row>
    <row r="4548" spans="19:32" x14ac:dyDescent="0.35">
      <c r="S4548" s="780"/>
      <c r="T4548" s="928"/>
      <c r="U4548" s="928"/>
      <c r="V4548" s="928"/>
      <c r="W4548" s="780"/>
      <c r="X4548" s="782">
        <v>4544</v>
      </c>
      <c r="Y4548" s="782" t="s">
        <v>2248</v>
      </c>
      <c r="Z4548" s="782" t="s">
        <v>4168</v>
      </c>
      <c r="AA4548" s="781">
        <f>$S$1*P!AA4548</f>
        <v>1.8233870967741938E-4</v>
      </c>
      <c r="AB4548" s="780"/>
      <c r="AC4548" s="780"/>
      <c r="AD4548" s="780"/>
      <c r="AE4548" s="780"/>
      <c r="AF4548" s="780"/>
    </row>
    <row r="4549" spans="19:32" x14ac:dyDescent="0.35">
      <c r="S4549" s="780"/>
      <c r="T4549" s="928"/>
      <c r="U4549" s="928"/>
      <c r="V4549" s="928"/>
      <c r="W4549" s="780"/>
      <c r="X4549" s="782">
        <v>4545</v>
      </c>
      <c r="Y4549" s="782" t="s">
        <v>2248</v>
      </c>
      <c r="Z4549" s="782" t="s">
        <v>4059</v>
      </c>
      <c r="AA4549" s="781">
        <f>$S$1*P!AA4549</f>
        <v>1.0487903225806453E-2</v>
      </c>
      <c r="AB4549" s="780"/>
      <c r="AC4549" s="780"/>
      <c r="AD4549" s="780"/>
      <c r="AE4549" s="780"/>
      <c r="AF4549" s="780"/>
    </row>
    <row r="4550" spans="19:32" x14ac:dyDescent="0.35">
      <c r="S4550" s="780"/>
      <c r="T4550" s="928"/>
      <c r="U4550" s="928"/>
      <c r="V4550" s="928"/>
      <c r="W4550" s="780"/>
      <c r="X4550" s="782">
        <v>4546</v>
      </c>
      <c r="Y4550" s="782" t="s">
        <v>2248</v>
      </c>
      <c r="Z4550" s="782" t="s">
        <v>4167</v>
      </c>
      <c r="AA4550" s="781">
        <f>$S$1*P!AA4550</f>
        <v>5.0040322580645162E-2</v>
      </c>
      <c r="AB4550" s="780"/>
      <c r="AC4550" s="780"/>
      <c r="AD4550" s="780"/>
      <c r="AE4550" s="780"/>
      <c r="AF4550" s="780"/>
    </row>
    <row r="4551" spans="19:32" x14ac:dyDescent="0.35">
      <c r="S4551" s="780"/>
      <c r="T4551" s="928"/>
      <c r="U4551" s="928"/>
      <c r="V4551" s="928"/>
      <c r="W4551" s="780"/>
      <c r="X4551" s="782">
        <v>4547</v>
      </c>
      <c r="Y4551" s="782" t="s">
        <v>2248</v>
      </c>
      <c r="Z4551" s="782" t="s">
        <v>4166</v>
      </c>
      <c r="AA4551" s="781">
        <f>$S$1*P!AA4551</f>
        <v>3.0024193548387097E-3</v>
      </c>
      <c r="AB4551" s="780"/>
      <c r="AC4551" s="780"/>
      <c r="AD4551" s="780"/>
      <c r="AE4551" s="780"/>
      <c r="AF4551" s="780"/>
    </row>
    <row r="4552" spans="19:32" x14ac:dyDescent="0.35">
      <c r="S4552" s="780"/>
      <c r="T4552" s="928"/>
      <c r="U4552" s="928"/>
      <c r="V4552" s="928"/>
      <c r="W4552" s="780"/>
      <c r="X4552" s="782">
        <v>4548</v>
      </c>
      <c r="Y4552" s="782" t="s">
        <v>2248</v>
      </c>
      <c r="Z4552" s="782" t="s">
        <v>2456</v>
      </c>
      <c r="AA4552" s="781">
        <f>$S$1*P!AA4552</f>
        <v>3.1120967741935486E-3</v>
      </c>
      <c r="AB4552" s="780"/>
      <c r="AC4552" s="780"/>
      <c r="AD4552" s="780"/>
      <c r="AE4552" s="780"/>
      <c r="AF4552" s="780"/>
    </row>
    <row r="4553" spans="19:32" x14ac:dyDescent="0.35">
      <c r="S4553" s="780"/>
      <c r="T4553" s="928"/>
      <c r="U4553" s="928"/>
      <c r="V4553" s="928"/>
      <c r="W4553" s="780"/>
      <c r="X4553" s="782">
        <v>4549</v>
      </c>
      <c r="Y4553" s="782" t="s">
        <v>2248</v>
      </c>
      <c r="Z4553" s="782" t="s">
        <v>4165</v>
      </c>
      <c r="AA4553" s="781">
        <f>$S$1*P!AA4553</f>
        <v>3.8729838709677424E-2</v>
      </c>
      <c r="AB4553" s="780"/>
      <c r="AC4553" s="780"/>
      <c r="AD4553" s="780"/>
      <c r="AE4553" s="780"/>
      <c r="AF4553" s="780"/>
    </row>
    <row r="4554" spans="19:32" x14ac:dyDescent="0.35">
      <c r="S4554" s="780"/>
      <c r="T4554" s="928"/>
      <c r="U4554" s="928"/>
      <c r="V4554" s="928"/>
      <c r="W4554" s="780"/>
      <c r="X4554" s="782">
        <v>4550</v>
      </c>
      <c r="Y4554" s="782" t="s">
        <v>2248</v>
      </c>
      <c r="Z4554" s="782" t="s">
        <v>2453</v>
      </c>
      <c r="AA4554" s="781">
        <f>$S$1*P!AA4554</f>
        <v>0.64778225806451617</v>
      </c>
      <c r="AB4554" s="780"/>
      <c r="AC4554" s="780"/>
      <c r="AD4554" s="780"/>
      <c r="AE4554" s="780"/>
      <c r="AF4554" s="780"/>
    </row>
    <row r="4555" spans="19:32" x14ac:dyDescent="0.35">
      <c r="S4555" s="780"/>
      <c r="T4555" s="928"/>
      <c r="U4555" s="928"/>
      <c r="V4555" s="928"/>
      <c r="W4555" s="780"/>
      <c r="X4555" s="782">
        <v>4551</v>
      </c>
      <c r="Y4555" s="782" t="s">
        <v>2248</v>
      </c>
      <c r="Z4555" s="782" t="s">
        <v>4164</v>
      </c>
      <c r="AA4555" s="781">
        <f>$S$1*P!AA4555</f>
        <v>6.2036290322580647E-5</v>
      </c>
      <c r="AB4555" s="780"/>
      <c r="AC4555" s="780"/>
      <c r="AD4555" s="780"/>
      <c r="AE4555" s="780"/>
      <c r="AF4555" s="780"/>
    </row>
    <row r="4556" spans="19:32" x14ac:dyDescent="0.35">
      <c r="S4556" s="780"/>
      <c r="T4556" s="928"/>
      <c r="U4556" s="928"/>
      <c r="V4556" s="928"/>
      <c r="W4556" s="780"/>
      <c r="X4556" s="881">
        <v>4552</v>
      </c>
      <c r="Y4556" s="881" t="s">
        <v>2248</v>
      </c>
      <c r="Z4556" s="881" t="s">
        <v>4163</v>
      </c>
      <c r="AA4556" s="890">
        <f>$S$1*P!AA4556</f>
        <v>7.3004032258064521E-3</v>
      </c>
      <c r="AB4556" s="780"/>
      <c r="AC4556" s="780"/>
      <c r="AD4556" s="780"/>
      <c r="AE4556" s="780"/>
      <c r="AF4556" s="780"/>
    </row>
    <row r="4557" spans="19:32" x14ac:dyDescent="0.35">
      <c r="S4557" s="780"/>
      <c r="T4557" s="928"/>
      <c r="U4557" s="928"/>
      <c r="V4557" s="928"/>
      <c r="W4557" s="780"/>
      <c r="X4557" s="782">
        <v>4553</v>
      </c>
      <c r="Y4557" s="782" t="s">
        <v>2248</v>
      </c>
      <c r="Z4557" s="782" t="s">
        <v>4162</v>
      </c>
      <c r="AA4557" s="781">
        <f>$S$1*P!AA4557</f>
        <v>5.6209677419354846E-3</v>
      </c>
      <c r="AB4557" s="780"/>
      <c r="AC4557" s="780"/>
      <c r="AD4557" s="780"/>
      <c r="AE4557" s="780"/>
      <c r="AF4557" s="780"/>
    </row>
    <row r="4558" spans="19:32" x14ac:dyDescent="0.35">
      <c r="S4558" s="780"/>
      <c r="T4558" s="928"/>
      <c r="U4558" s="928"/>
      <c r="V4558" s="928"/>
      <c r="W4558" s="780"/>
      <c r="X4558" s="782">
        <v>4554</v>
      </c>
      <c r="Y4558" s="782" t="s">
        <v>2248</v>
      </c>
      <c r="Z4558" s="782" t="s">
        <v>4055</v>
      </c>
      <c r="AA4558" s="781">
        <f>$S$1*P!AA4558</f>
        <v>4.9697580645161298E-3</v>
      </c>
      <c r="AB4558" s="780"/>
      <c r="AC4558" s="780"/>
      <c r="AD4558" s="780"/>
      <c r="AE4558" s="780"/>
      <c r="AF4558" s="780"/>
    </row>
    <row r="4559" spans="19:32" x14ac:dyDescent="0.35">
      <c r="S4559" s="780"/>
      <c r="T4559" s="928"/>
      <c r="U4559" s="928"/>
      <c r="V4559" s="928"/>
      <c r="W4559" s="780"/>
      <c r="X4559" s="782">
        <v>4555</v>
      </c>
      <c r="Y4559" s="782" t="s">
        <v>2248</v>
      </c>
      <c r="Z4559" s="782" t="s">
        <v>4161</v>
      </c>
      <c r="AA4559" s="781">
        <f>$S$1*P!AA4559</f>
        <v>9.6995967741935491E-3</v>
      </c>
      <c r="AB4559" s="780"/>
      <c r="AC4559" s="780"/>
      <c r="AD4559" s="780"/>
      <c r="AE4559" s="780"/>
      <c r="AF4559" s="780"/>
    </row>
    <row r="4560" spans="19:32" x14ac:dyDescent="0.35">
      <c r="S4560" s="780"/>
      <c r="T4560" s="928"/>
      <c r="U4560" s="928"/>
      <c r="V4560" s="928"/>
      <c r="W4560" s="780"/>
      <c r="X4560" s="782">
        <v>4556</v>
      </c>
      <c r="Y4560" s="782" t="s">
        <v>2248</v>
      </c>
      <c r="Z4560" s="782" t="s">
        <v>4053</v>
      </c>
      <c r="AA4560" s="781">
        <f>$S$1*P!AA4560</f>
        <v>2.1592741935483873E-2</v>
      </c>
      <c r="AB4560" s="780"/>
      <c r="AC4560" s="780"/>
      <c r="AD4560" s="780"/>
      <c r="AE4560" s="780"/>
      <c r="AF4560" s="780"/>
    </row>
    <row r="4561" spans="19:32" x14ac:dyDescent="0.35">
      <c r="S4561" s="780"/>
      <c r="T4561" s="928"/>
      <c r="U4561" s="928"/>
      <c r="V4561" s="928"/>
      <c r="W4561" s="780"/>
      <c r="X4561" s="881">
        <v>4557</v>
      </c>
      <c r="Y4561" s="881" t="s">
        <v>2248</v>
      </c>
      <c r="Z4561" s="881" t="s">
        <v>4160</v>
      </c>
      <c r="AA4561" s="890">
        <f>$S$1*P!AA4561</f>
        <v>1.7102822580645163E-5</v>
      </c>
      <c r="AB4561" s="780"/>
      <c r="AC4561" s="780"/>
      <c r="AD4561" s="780"/>
      <c r="AE4561" s="780"/>
      <c r="AF4561" s="780"/>
    </row>
    <row r="4562" spans="19:32" x14ac:dyDescent="0.35">
      <c r="S4562" s="780"/>
      <c r="T4562" s="928"/>
      <c r="U4562" s="928"/>
      <c r="V4562" s="928"/>
      <c r="W4562" s="780"/>
      <c r="X4562" s="782">
        <v>4558</v>
      </c>
      <c r="Y4562" s="782" t="s">
        <v>2248</v>
      </c>
      <c r="Z4562" s="782" t="s">
        <v>4159</v>
      </c>
      <c r="AA4562" s="781">
        <f>$S$1*P!AA4562</f>
        <v>8.0544354838709689E-4</v>
      </c>
      <c r="AB4562" s="780"/>
      <c r="AC4562" s="780"/>
      <c r="AD4562" s="780"/>
      <c r="AE4562" s="780"/>
      <c r="AF4562" s="780"/>
    </row>
    <row r="4563" spans="19:32" x14ac:dyDescent="0.35">
      <c r="S4563" s="780"/>
      <c r="T4563" s="928"/>
      <c r="U4563" s="928"/>
      <c r="V4563" s="928"/>
      <c r="W4563" s="780"/>
      <c r="X4563" s="782">
        <v>4559</v>
      </c>
      <c r="Y4563" s="782" t="s">
        <v>2248</v>
      </c>
      <c r="Z4563" s="782" t="s">
        <v>4052</v>
      </c>
      <c r="AA4563" s="781">
        <f>$S$1*P!AA4563</f>
        <v>4.4213709677419361E-2</v>
      </c>
      <c r="AB4563" s="780"/>
      <c r="AC4563" s="780"/>
      <c r="AD4563" s="780"/>
      <c r="AE4563" s="780"/>
      <c r="AF4563" s="780"/>
    </row>
    <row r="4564" spans="19:32" x14ac:dyDescent="0.35">
      <c r="S4564" s="780"/>
      <c r="T4564" s="928"/>
      <c r="U4564" s="928"/>
      <c r="V4564" s="928"/>
      <c r="W4564" s="780"/>
      <c r="X4564" s="782">
        <v>4560</v>
      </c>
      <c r="Y4564" s="782" t="s">
        <v>2248</v>
      </c>
      <c r="Z4564" s="782" t="s">
        <v>4158</v>
      </c>
      <c r="AA4564" s="781">
        <f>$S$1*P!AA4564</f>
        <v>3.6673387096774194E-4</v>
      </c>
      <c r="AB4564" s="780"/>
      <c r="AC4564" s="780"/>
      <c r="AD4564" s="780"/>
      <c r="AE4564" s="780"/>
      <c r="AF4564" s="780"/>
    </row>
    <row r="4565" spans="19:32" x14ac:dyDescent="0.35">
      <c r="S4565" s="780"/>
      <c r="T4565" s="928"/>
      <c r="U4565" s="928"/>
      <c r="V4565" s="928"/>
      <c r="W4565" s="780"/>
      <c r="X4565" s="881">
        <v>4561</v>
      </c>
      <c r="Y4565" s="881" t="s">
        <v>2248</v>
      </c>
      <c r="Z4565" s="881" t="s">
        <v>4157</v>
      </c>
      <c r="AA4565" s="890">
        <f>$S$1*P!AA4565</f>
        <v>4.9697580645161298E-2</v>
      </c>
      <c r="AB4565" s="780"/>
      <c r="AC4565" s="780"/>
      <c r="AD4565" s="780"/>
      <c r="AE4565" s="780"/>
      <c r="AF4565" s="780"/>
    </row>
    <row r="4566" spans="19:32" x14ac:dyDescent="0.35">
      <c r="S4566" s="780"/>
      <c r="T4566" s="928"/>
      <c r="U4566" s="928"/>
      <c r="V4566" s="928"/>
      <c r="W4566" s="780"/>
      <c r="X4566" s="782">
        <v>4562</v>
      </c>
      <c r="Y4566" s="782" t="s">
        <v>2248</v>
      </c>
      <c r="Z4566" s="782" t="s">
        <v>4156</v>
      </c>
      <c r="AA4566" s="781">
        <f>$S$1*P!AA4566</f>
        <v>1.7377016129032261E-4</v>
      </c>
      <c r="AB4566" s="780"/>
      <c r="AC4566" s="780"/>
      <c r="AD4566" s="780"/>
      <c r="AE4566" s="780"/>
      <c r="AF4566" s="780"/>
    </row>
    <row r="4567" spans="19:32" x14ac:dyDescent="0.35">
      <c r="S4567" s="780"/>
      <c r="T4567" s="928"/>
      <c r="U4567" s="928"/>
      <c r="V4567" s="928"/>
      <c r="W4567" s="780"/>
      <c r="X4567" s="782">
        <v>4563</v>
      </c>
      <c r="Y4567" s="782" t="s">
        <v>2248</v>
      </c>
      <c r="Z4567" s="782" t="s">
        <v>4051</v>
      </c>
      <c r="AA4567" s="781">
        <f>$S$1*P!AA4567</f>
        <v>5.7237903225806457E-3</v>
      </c>
      <c r="AB4567" s="780"/>
      <c r="AC4567" s="780"/>
      <c r="AD4567" s="780"/>
      <c r="AE4567" s="780"/>
      <c r="AF4567" s="780"/>
    </row>
    <row r="4568" spans="19:32" x14ac:dyDescent="0.35">
      <c r="S4568" s="780"/>
      <c r="T4568" s="928"/>
      <c r="U4568" s="928"/>
      <c r="V4568" s="928"/>
      <c r="W4568" s="780"/>
      <c r="X4568" s="782">
        <v>4564</v>
      </c>
      <c r="Y4568" s="782" t="s">
        <v>2248</v>
      </c>
      <c r="Z4568" s="782" t="s">
        <v>4155</v>
      </c>
      <c r="AA4568" s="781">
        <f>$S$1*P!AA4568</f>
        <v>1.5149193548387098E-16</v>
      </c>
      <c r="AB4568" s="780"/>
      <c r="AC4568" s="780"/>
      <c r="AD4568" s="780"/>
      <c r="AE4568" s="780"/>
      <c r="AF4568" s="780"/>
    </row>
    <row r="4569" spans="19:32" x14ac:dyDescent="0.35">
      <c r="S4569" s="780"/>
      <c r="T4569" s="928"/>
      <c r="U4569" s="928"/>
      <c r="V4569" s="928"/>
      <c r="W4569" s="780"/>
      <c r="X4569" s="782">
        <v>4565</v>
      </c>
      <c r="Y4569" s="782" t="s">
        <v>2248</v>
      </c>
      <c r="Z4569" s="782" t="s">
        <v>2446</v>
      </c>
      <c r="AA4569" s="781">
        <f>$S$1*P!AA4569</f>
        <v>2.9750000000000002E-2</v>
      </c>
      <c r="AB4569" s="780"/>
      <c r="AC4569" s="780"/>
      <c r="AD4569" s="780"/>
      <c r="AE4569" s="780"/>
      <c r="AF4569" s="780"/>
    </row>
    <row r="4570" spans="19:32" x14ac:dyDescent="0.35">
      <c r="S4570" s="780"/>
      <c r="T4570" s="928"/>
      <c r="U4570" s="928"/>
      <c r="V4570" s="928"/>
      <c r="W4570" s="780"/>
      <c r="X4570" s="782">
        <v>4566</v>
      </c>
      <c r="Y4570" s="782" t="s">
        <v>2248</v>
      </c>
      <c r="Z4570" s="782" t="s">
        <v>4154</v>
      </c>
      <c r="AA4570" s="781">
        <f>$S$1*P!AA4570</f>
        <v>1.2270161290322583E-4</v>
      </c>
      <c r="AB4570" s="780"/>
      <c r="AC4570" s="780"/>
      <c r="AD4570" s="780"/>
      <c r="AE4570" s="780"/>
      <c r="AF4570" s="780"/>
    </row>
    <row r="4571" spans="19:32" x14ac:dyDescent="0.35">
      <c r="S4571" s="780"/>
      <c r="T4571" s="928"/>
      <c r="U4571" s="928"/>
      <c r="V4571" s="928"/>
      <c r="W4571" s="780"/>
      <c r="X4571" s="881">
        <v>4567</v>
      </c>
      <c r="Y4571" s="881" t="s">
        <v>2248</v>
      </c>
      <c r="Z4571" s="881" t="s">
        <v>4153</v>
      </c>
      <c r="AA4571" s="890">
        <f>$S$1*P!AA4571</f>
        <v>8.6028225806451624E-4</v>
      </c>
      <c r="AB4571" s="780"/>
      <c r="AC4571" s="780"/>
      <c r="AD4571" s="780"/>
      <c r="AE4571" s="780"/>
      <c r="AF4571" s="780"/>
    </row>
    <row r="4572" spans="19:32" x14ac:dyDescent="0.35">
      <c r="S4572" s="780"/>
      <c r="T4572" s="928"/>
      <c r="U4572" s="928"/>
      <c r="V4572" s="928"/>
      <c r="W4572" s="780"/>
      <c r="X4572" s="782">
        <v>4568</v>
      </c>
      <c r="Y4572" s="782" t="s">
        <v>2248</v>
      </c>
      <c r="Z4572" s="782" t="s">
        <v>2443</v>
      </c>
      <c r="AA4572" s="781">
        <f>$S$1*P!AA4572</f>
        <v>3.9758064516129035E-3</v>
      </c>
      <c r="AB4572" s="780"/>
      <c r="AC4572" s="780"/>
      <c r="AD4572" s="780"/>
      <c r="AE4572" s="780"/>
      <c r="AF4572" s="780"/>
    </row>
    <row r="4573" spans="19:32" x14ac:dyDescent="0.35">
      <c r="S4573" s="780"/>
      <c r="T4573" s="928"/>
      <c r="U4573" s="928"/>
      <c r="V4573" s="928"/>
      <c r="W4573" s="780"/>
      <c r="X4573" s="782">
        <v>4569</v>
      </c>
      <c r="Y4573" s="782" t="s">
        <v>2248</v>
      </c>
      <c r="Z4573" s="782" t="s">
        <v>4152</v>
      </c>
      <c r="AA4573" s="781">
        <f>$S$1*P!AA4573</f>
        <v>1.6108870967741938E-3</v>
      </c>
      <c r="AB4573" s="780"/>
      <c r="AC4573" s="780"/>
      <c r="AD4573" s="780"/>
      <c r="AE4573" s="780"/>
      <c r="AF4573" s="780"/>
    </row>
    <row r="4574" spans="19:32" x14ac:dyDescent="0.35">
      <c r="S4574" s="780"/>
      <c r="T4574" s="928"/>
      <c r="U4574" s="928"/>
      <c r="V4574" s="928"/>
      <c r="W4574" s="780"/>
      <c r="X4574" s="782">
        <v>4570</v>
      </c>
      <c r="Y4574" s="782" t="s">
        <v>2248</v>
      </c>
      <c r="Z4574" s="782" t="s">
        <v>4047</v>
      </c>
      <c r="AA4574" s="781">
        <f>$S$1*P!AA4574</f>
        <v>6.2721774193548394E-3</v>
      </c>
      <c r="AB4574" s="780"/>
      <c r="AC4574" s="780"/>
      <c r="AD4574" s="780"/>
      <c r="AE4574" s="780"/>
      <c r="AF4574" s="780"/>
    </row>
    <row r="4575" spans="19:32" x14ac:dyDescent="0.35">
      <c r="S4575" s="780"/>
      <c r="T4575" s="928"/>
      <c r="U4575" s="928"/>
      <c r="V4575" s="928"/>
      <c r="W4575" s="780"/>
      <c r="X4575" s="782">
        <v>4571</v>
      </c>
      <c r="Y4575" s="782" t="s">
        <v>2248</v>
      </c>
      <c r="Z4575" s="782" t="s">
        <v>4151</v>
      </c>
      <c r="AA4575" s="781">
        <f>$S$1*P!AA4575</f>
        <v>3.7016129032258069E-7</v>
      </c>
      <c r="AB4575" s="780"/>
      <c r="AC4575" s="780"/>
      <c r="AD4575" s="780"/>
      <c r="AE4575" s="780"/>
      <c r="AF4575" s="780"/>
    </row>
    <row r="4576" spans="19:32" x14ac:dyDescent="0.35">
      <c r="S4576" s="780"/>
      <c r="T4576" s="928"/>
      <c r="U4576" s="928"/>
      <c r="V4576" s="928"/>
      <c r="W4576" s="780"/>
      <c r="X4576" s="782">
        <v>4572</v>
      </c>
      <c r="Y4576" s="782" t="s">
        <v>2248</v>
      </c>
      <c r="Z4576" s="782" t="s">
        <v>4150</v>
      </c>
      <c r="AA4576" s="781">
        <f>$S$1*P!AA4576</f>
        <v>4.0786290322580646E-2</v>
      </c>
      <c r="AB4576" s="780"/>
      <c r="AC4576" s="780"/>
      <c r="AD4576" s="780"/>
      <c r="AE4576" s="780"/>
      <c r="AF4576" s="780"/>
    </row>
    <row r="4577" spans="19:32" x14ac:dyDescent="0.35">
      <c r="S4577" s="780"/>
      <c r="T4577" s="928"/>
      <c r="U4577" s="928"/>
      <c r="V4577" s="928"/>
      <c r="W4577" s="780"/>
      <c r="X4577" s="782">
        <v>4573</v>
      </c>
      <c r="Y4577" s="782" t="s">
        <v>2248</v>
      </c>
      <c r="Z4577" s="782" t="s">
        <v>4046</v>
      </c>
      <c r="AA4577" s="781">
        <f>$S$1*P!AA4577</f>
        <v>8.4657258064516142E-2</v>
      </c>
      <c r="AB4577" s="780"/>
      <c r="AC4577" s="780"/>
      <c r="AD4577" s="780"/>
      <c r="AE4577" s="780"/>
      <c r="AF4577" s="780"/>
    </row>
    <row r="4578" spans="19:32" x14ac:dyDescent="0.35">
      <c r="S4578" s="780"/>
      <c r="T4578" s="928"/>
      <c r="U4578" s="928"/>
      <c r="V4578" s="928"/>
      <c r="W4578" s="780"/>
      <c r="X4578" s="782">
        <v>4574</v>
      </c>
      <c r="Y4578" s="782" t="s">
        <v>2248</v>
      </c>
      <c r="Z4578" s="782" t="s">
        <v>4149</v>
      </c>
      <c r="AA4578" s="781">
        <f>$S$1*P!AA4578</f>
        <v>1.4875000000000001E-3</v>
      </c>
      <c r="AB4578" s="780"/>
      <c r="AC4578" s="780"/>
      <c r="AD4578" s="780"/>
      <c r="AE4578" s="780"/>
      <c r="AF4578" s="780"/>
    </row>
    <row r="4579" spans="19:32" x14ac:dyDescent="0.35">
      <c r="S4579" s="780"/>
      <c r="T4579" s="928"/>
      <c r="U4579" s="928"/>
      <c r="V4579" s="928"/>
      <c r="W4579" s="780"/>
      <c r="X4579" s="782">
        <v>4575</v>
      </c>
      <c r="Y4579" s="782" t="s">
        <v>2248</v>
      </c>
      <c r="Z4579" s="782" t="s">
        <v>4044</v>
      </c>
      <c r="AA4579" s="781">
        <f>$S$1*P!AA4579</f>
        <v>0.41814516129032259</v>
      </c>
      <c r="AB4579" s="780"/>
      <c r="AC4579" s="780"/>
      <c r="AD4579" s="780"/>
      <c r="AE4579" s="780"/>
      <c r="AF4579" s="780"/>
    </row>
    <row r="4580" spans="19:32" x14ac:dyDescent="0.35">
      <c r="S4580" s="780"/>
      <c r="T4580" s="928"/>
      <c r="U4580" s="928"/>
      <c r="V4580" s="928"/>
      <c r="W4580" s="780"/>
      <c r="X4580" s="782">
        <v>4576</v>
      </c>
      <c r="Y4580" s="782" t="s">
        <v>2248</v>
      </c>
      <c r="Z4580" s="782" t="s">
        <v>4148</v>
      </c>
      <c r="AA4580" s="781">
        <f>$S$1*P!AA4580</f>
        <v>4.010080645161291E-2</v>
      </c>
      <c r="AB4580" s="780"/>
      <c r="AC4580" s="780"/>
      <c r="AD4580" s="780"/>
      <c r="AE4580" s="780"/>
      <c r="AF4580" s="780"/>
    </row>
    <row r="4581" spans="19:32" x14ac:dyDescent="0.35">
      <c r="S4581" s="780"/>
      <c r="T4581" s="928"/>
      <c r="U4581" s="928"/>
      <c r="V4581" s="928"/>
      <c r="W4581" s="780"/>
      <c r="X4581" s="881">
        <v>4577</v>
      </c>
      <c r="Y4581" s="881" t="s">
        <v>2248</v>
      </c>
      <c r="Z4581" s="881" t="s">
        <v>4147</v>
      </c>
      <c r="AA4581" s="890">
        <f>$S$1*P!AA4581</f>
        <v>5.0383064516129034E-5</v>
      </c>
      <c r="AB4581" s="780"/>
      <c r="AC4581" s="780"/>
      <c r="AD4581" s="780"/>
      <c r="AE4581" s="780"/>
      <c r="AF4581" s="780"/>
    </row>
    <row r="4582" spans="19:32" x14ac:dyDescent="0.35">
      <c r="S4582" s="780"/>
      <c r="T4582" s="928"/>
      <c r="U4582" s="928"/>
      <c r="V4582" s="928"/>
      <c r="W4582" s="780"/>
      <c r="X4582" s="782">
        <v>4578</v>
      </c>
      <c r="Y4582" s="782" t="s">
        <v>2248</v>
      </c>
      <c r="Z4582" s="782" t="s">
        <v>2435</v>
      </c>
      <c r="AA4582" s="781">
        <f>$S$1*P!AA4582</f>
        <v>1.0590725806451614E-5</v>
      </c>
      <c r="AB4582" s="780"/>
      <c r="AC4582" s="780"/>
      <c r="AD4582" s="780"/>
      <c r="AE4582" s="780"/>
      <c r="AF4582" s="780"/>
    </row>
    <row r="4583" spans="19:32" x14ac:dyDescent="0.35">
      <c r="S4583" s="780"/>
      <c r="T4583" s="928"/>
      <c r="U4583" s="928"/>
      <c r="V4583" s="928"/>
      <c r="W4583" s="780"/>
      <c r="X4583" s="881">
        <v>4579</v>
      </c>
      <c r="Y4583" s="881" t="s">
        <v>2248</v>
      </c>
      <c r="Z4583" s="881" t="s">
        <v>2512</v>
      </c>
      <c r="AA4583" s="890">
        <f>$S$1*P!AA4583</f>
        <v>0</v>
      </c>
      <c r="AB4583" s="780"/>
      <c r="AC4583" s="780"/>
      <c r="AD4583" s="780"/>
      <c r="AE4583" s="780"/>
      <c r="AF4583" s="780"/>
    </row>
    <row r="4584" spans="19:32" x14ac:dyDescent="0.35">
      <c r="S4584" s="780"/>
      <c r="T4584" s="928"/>
      <c r="U4584" s="928"/>
      <c r="V4584" s="928"/>
      <c r="W4584" s="780"/>
      <c r="X4584" s="782">
        <v>4580</v>
      </c>
      <c r="Y4584" s="782" t="s">
        <v>2248</v>
      </c>
      <c r="Z4584" s="782" t="s">
        <v>2512</v>
      </c>
      <c r="AA4584" s="781">
        <f>$S$1*P!AA4584</f>
        <v>0.92883064516129044</v>
      </c>
      <c r="AB4584" s="780"/>
      <c r="AC4584" s="780"/>
      <c r="AD4584" s="780"/>
      <c r="AE4584" s="780"/>
      <c r="AF4584" s="780"/>
    </row>
    <row r="4585" spans="19:32" x14ac:dyDescent="0.35">
      <c r="S4585" s="780"/>
      <c r="T4585" s="928"/>
      <c r="U4585" s="928"/>
      <c r="V4585" s="928"/>
      <c r="W4585" s="780"/>
      <c r="X4585" s="782">
        <v>4581</v>
      </c>
      <c r="Y4585" s="782" t="s">
        <v>2248</v>
      </c>
      <c r="Z4585" s="782" t="s">
        <v>4146</v>
      </c>
      <c r="AA4585" s="781">
        <f>$S$1*P!AA4585</f>
        <v>1.2201612903225808E-6</v>
      </c>
      <c r="AB4585" s="780"/>
      <c r="AC4585" s="780"/>
      <c r="AD4585" s="780"/>
      <c r="AE4585" s="780"/>
      <c r="AF4585" s="780"/>
    </row>
    <row r="4586" spans="19:32" x14ac:dyDescent="0.35">
      <c r="S4586" s="780"/>
      <c r="T4586" s="928"/>
      <c r="U4586" s="928"/>
      <c r="V4586" s="928"/>
      <c r="W4586" s="780"/>
      <c r="X4586" s="782">
        <v>4582</v>
      </c>
      <c r="Y4586" s="782" t="s">
        <v>2248</v>
      </c>
      <c r="Z4586" s="782" t="s">
        <v>4041</v>
      </c>
      <c r="AA4586" s="781">
        <f>$S$1*P!AA4586</f>
        <v>2.2243951612903226E-2</v>
      </c>
      <c r="AB4586" s="780"/>
      <c r="AC4586" s="780"/>
      <c r="AD4586" s="780"/>
      <c r="AE4586" s="780"/>
      <c r="AF4586" s="780"/>
    </row>
    <row r="4587" spans="19:32" x14ac:dyDescent="0.35">
      <c r="S4587" s="780"/>
      <c r="T4587" s="928"/>
      <c r="U4587" s="928"/>
      <c r="V4587" s="928"/>
      <c r="W4587" s="780"/>
      <c r="X4587" s="881">
        <v>4583</v>
      </c>
      <c r="Y4587" s="881" t="s">
        <v>2248</v>
      </c>
      <c r="Z4587" s="881" t="s">
        <v>2510</v>
      </c>
      <c r="AA4587" s="890">
        <f>$S$1*P!AA4587</f>
        <v>0</v>
      </c>
      <c r="AB4587" s="780"/>
      <c r="AC4587" s="780"/>
      <c r="AD4587" s="780"/>
      <c r="AE4587" s="780"/>
      <c r="AF4587" s="780"/>
    </row>
    <row r="4588" spans="19:32" x14ac:dyDescent="0.35">
      <c r="S4588" s="780"/>
      <c r="T4588" s="928"/>
      <c r="U4588" s="928"/>
      <c r="V4588" s="928"/>
      <c r="W4588" s="780"/>
      <c r="X4588" s="782">
        <v>4584</v>
      </c>
      <c r="Y4588" s="782" t="s">
        <v>2248</v>
      </c>
      <c r="Z4588" s="782" t="s">
        <v>4040</v>
      </c>
      <c r="AA4588" s="781">
        <f>$S$1*P!AA4588</f>
        <v>5.1411290322580649E-4</v>
      </c>
      <c r="AB4588" s="780"/>
      <c r="AC4588" s="780"/>
      <c r="AD4588" s="780"/>
      <c r="AE4588" s="780"/>
      <c r="AF4588" s="780"/>
    </row>
    <row r="4589" spans="19:32" x14ac:dyDescent="0.35">
      <c r="S4589" s="780"/>
      <c r="T4589" s="928"/>
      <c r="U4589" s="928"/>
      <c r="V4589" s="928"/>
      <c r="W4589" s="780"/>
      <c r="X4589" s="881">
        <v>4585</v>
      </c>
      <c r="Y4589" s="881" t="s">
        <v>2248</v>
      </c>
      <c r="Z4589" s="881" t="s">
        <v>2509</v>
      </c>
      <c r="AA4589" s="890">
        <f>$S$1*P!AA4589</f>
        <v>4.4712000000000002E-2</v>
      </c>
      <c r="AB4589" s="780"/>
      <c r="AC4589" s="780"/>
      <c r="AD4589" s="780"/>
      <c r="AE4589" s="780"/>
      <c r="AF4589" s="780"/>
    </row>
    <row r="4590" spans="19:32" x14ac:dyDescent="0.35">
      <c r="S4590" s="780"/>
      <c r="T4590" s="928"/>
      <c r="U4590" s="928"/>
      <c r="V4590" s="928"/>
      <c r="W4590" s="780"/>
      <c r="X4590" s="881">
        <v>4586</v>
      </c>
      <c r="Y4590" s="881" t="s">
        <v>2248</v>
      </c>
      <c r="Z4590" s="881" t="s">
        <v>4145</v>
      </c>
      <c r="AA4590" s="890">
        <f>$S$1*P!AA4590</f>
        <v>4.3870967741935489E-4</v>
      </c>
      <c r="AB4590" s="780"/>
      <c r="AC4590" s="780"/>
      <c r="AD4590" s="780"/>
      <c r="AE4590" s="780"/>
      <c r="AF4590" s="780"/>
    </row>
    <row r="4591" spans="19:32" x14ac:dyDescent="0.35">
      <c r="S4591" s="780"/>
      <c r="T4591" s="928"/>
      <c r="U4591" s="928"/>
      <c r="V4591" s="928"/>
      <c r="W4591" s="780"/>
      <c r="X4591" s="782">
        <v>4587</v>
      </c>
      <c r="Y4591" s="782" t="s">
        <v>2248</v>
      </c>
      <c r="Z4591" s="782" t="s">
        <v>2509</v>
      </c>
      <c r="AA4591" s="781">
        <f>$S$1*P!AA4591</f>
        <v>1.6931451612903227E-3</v>
      </c>
      <c r="AB4591" s="780"/>
      <c r="AC4591" s="780"/>
      <c r="AD4591" s="780"/>
      <c r="AE4591" s="780"/>
      <c r="AF4591" s="780"/>
    </row>
    <row r="4592" spans="19:32" x14ac:dyDescent="0.35">
      <c r="S4592" s="780"/>
      <c r="T4592" s="928"/>
      <c r="U4592" s="928"/>
      <c r="V4592" s="928"/>
      <c r="W4592" s="780"/>
      <c r="X4592" s="782">
        <v>4588</v>
      </c>
      <c r="Y4592" s="782" t="s">
        <v>2248</v>
      </c>
      <c r="Z4592" s="782" t="s">
        <v>4038</v>
      </c>
      <c r="AA4592" s="781">
        <f>$S$1*P!AA4592</f>
        <v>3.094959677419355E-3</v>
      </c>
      <c r="AB4592" s="780"/>
      <c r="AC4592" s="780"/>
      <c r="AD4592" s="780"/>
      <c r="AE4592" s="780"/>
      <c r="AF4592" s="780"/>
    </row>
    <row r="4593" spans="19:32" x14ac:dyDescent="0.35">
      <c r="S4593" s="780"/>
      <c r="T4593" s="928"/>
      <c r="U4593" s="928"/>
      <c r="V4593" s="928"/>
      <c r="W4593" s="780"/>
      <c r="X4593" s="782">
        <v>4589</v>
      </c>
      <c r="Y4593" s="782" t="s">
        <v>2248</v>
      </c>
      <c r="Z4593" s="782" t="s">
        <v>4144</v>
      </c>
      <c r="AA4593" s="781">
        <f>$S$1*P!AA4593</f>
        <v>8.9455645161290334E-4</v>
      </c>
      <c r="AB4593" s="780"/>
      <c r="AC4593" s="780"/>
      <c r="AD4593" s="780"/>
      <c r="AE4593" s="780"/>
      <c r="AF4593" s="780"/>
    </row>
    <row r="4594" spans="19:32" x14ac:dyDescent="0.35">
      <c r="S4594" s="780"/>
      <c r="T4594" s="928"/>
      <c r="U4594" s="928"/>
      <c r="V4594" s="928"/>
      <c r="W4594" s="780"/>
      <c r="X4594" s="782">
        <v>4590</v>
      </c>
      <c r="Y4594" s="782" t="s">
        <v>2248</v>
      </c>
      <c r="Z4594" s="782" t="s">
        <v>4037</v>
      </c>
      <c r="AA4594" s="781">
        <f>$S$1*P!AA4594</f>
        <v>3.7358870967741943E-5</v>
      </c>
      <c r="AB4594" s="780"/>
      <c r="AC4594" s="780"/>
      <c r="AD4594" s="780"/>
      <c r="AE4594" s="780"/>
      <c r="AF4594" s="780"/>
    </row>
    <row r="4595" spans="19:32" x14ac:dyDescent="0.35">
      <c r="S4595" s="780"/>
      <c r="T4595" s="928"/>
      <c r="U4595" s="928"/>
      <c r="V4595" s="928"/>
      <c r="W4595" s="780"/>
      <c r="X4595" s="782">
        <v>4591</v>
      </c>
      <c r="Y4595" s="782" t="s">
        <v>2248</v>
      </c>
      <c r="Z4595" s="782" t="s">
        <v>4143</v>
      </c>
      <c r="AA4595" s="781">
        <f>$S$1*P!AA4595</f>
        <v>5.8266129032258064E-8</v>
      </c>
      <c r="AB4595" s="780"/>
      <c r="AC4595" s="780"/>
      <c r="AD4595" s="780"/>
      <c r="AE4595" s="780"/>
      <c r="AF4595" s="780"/>
    </row>
    <row r="4596" spans="19:32" x14ac:dyDescent="0.35">
      <c r="S4596" s="780"/>
      <c r="T4596" s="928"/>
      <c r="U4596" s="928"/>
      <c r="V4596" s="928"/>
      <c r="W4596" s="780"/>
      <c r="X4596" s="881">
        <v>4592</v>
      </c>
      <c r="Y4596" s="881" t="s">
        <v>2248</v>
      </c>
      <c r="Z4596" s="881" t="s">
        <v>2507</v>
      </c>
      <c r="AA4596" s="890">
        <f>$S$1*P!AA4596</f>
        <v>0.47748000000000002</v>
      </c>
      <c r="AB4596" s="780"/>
      <c r="AC4596" s="780"/>
      <c r="AD4596" s="780"/>
      <c r="AE4596" s="780"/>
      <c r="AF4596" s="780"/>
    </row>
    <row r="4597" spans="19:32" x14ac:dyDescent="0.35">
      <c r="S4597" s="780"/>
      <c r="T4597" s="928"/>
      <c r="U4597" s="928"/>
      <c r="V4597" s="928"/>
      <c r="W4597" s="780"/>
      <c r="X4597" s="782">
        <v>4593</v>
      </c>
      <c r="Y4597" s="782" t="s">
        <v>2248</v>
      </c>
      <c r="Z4597" s="782" t="s">
        <v>4035</v>
      </c>
      <c r="AA4597" s="781">
        <f>$S$1*P!AA4597</f>
        <v>3.3760080645161292E-3</v>
      </c>
      <c r="AB4597" s="780"/>
      <c r="AC4597" s="780"/>
      <c r="AD4597" s="780"/>
      <c r="AE4597" s="780"/>
      <c r="AF4597" s="780"/>
    </row>
    <row r="4598" spans="19:32" x14ac:dyDescent="0.35">
      <c r="S4598" s="780"/>
      <c r="T4598" s="928"/>
      <c r="U4598" s="928"/>
      <c r="V4598" s="928"/>
      <c r="W4598" s="780"/>
      <c r="X4598" s="881">
        <v>4594</v>
      </c>
      <c r="Y4598" s="881" t="s">
        <v>2248</v>
      </c>
      <c r="Z4598" s="881" t="s">
        <v>2506</v>
      </c>
      <c r="AA4598" s="890">
        <f>$S$1*P!AA4598</f>
        <v>0.10764</v>
      </c>
      <c r="AB4598" s="780"/>
      <c r="AC4598" s="780"/>
      <c r="AD4598" s="780"/>
      <c r="AE4598" s="780"/>
      <c r="AF4598" s="780"/>
    </row>
    <row r="4599" spans="19:32" x14ac:dyDescent="0.35">
      <c r="S4599" s="780"/>
      <c r="T4599" s="928"/>
      <c r="U4599" s="928"/>
      <c r="V4599" s="928"/>
      <c r="W4599" s="780"/>
      <c r="X4599" s="782">
        <v>4595</v>
      </c>
      <c r="Y4599" s="782" t="s">
        <v>2248</v>
      </c>
      <c r="Z4599" s="782" t="s">
        <v>4034</v>
      </c>
      <c r="AA4599" s="781">
        <f>$S$1*P!AA4599</f>
        <v>2.0256048387096777E-2</v>
      </c>
      <c r="AB4599" s="780"/>
      <c r="AC4599" s="780"/>
      <c r="AD4599" s="780"/>
      <c r="AE4599" s="780"/>
      <c r="AF4599" s="780"/>
    </row>
    <row r="4600" spans="19:32" x14ac:dyDescent="0.35">
      <c r="S4600" s="780"/>
      <c r="T4600" s="928"/>
      <c r="U4600" s="928"/>
      <c r="V4600" s="928"/>
      <c r="W4600" s="780"/>
      <c r="X4600" s="782">
        <v>4596</v>
      </c>
      <c r="Y4600" s="782" t="s">
        <v>2248</v>
      </c>
      <c r="Z4600" s="782" t="s">
        <v>4142</v>
      </c>
      <c r="AA4600" s="781">
        <f>$S$1*P!AA4600</f>
        <v>3.6673387096774197E-5</v>
      </c>
      <c r="AB4600" s="780"/>
      <c r="AC4600" s="780"/>
      <c r="AD4600" s="780"/>
      <c r="AE4600" s="780"/>
      <c r="AF4600" s="780"/>
    </row>
    <row r="4601" spans="19:32" x14ac:dyDescent="0.35">
      <c r="S4601" s="780"/>
      <c r="T4601" s="928"/>
      <c r="U4601" s="928"/>
      <c r="V4601" s="928"/>
      <c r="W4601" s="780"/>
      <c r="X4601" s="881">
        <v>4597</v>
      </c>
      <c r="Y4601" s="881" t="s">
        <v>2248</v>
      </c>
      <c r="Z4601" s="881" t="s">
        <v>3142</v>
      </c>
      <c r="AA4601" s="890">
        <f>$S$1*P!AA4601</f>
        <v>3.804435483870968E-6</v>
      </c>
      <c r="AB4601" s="780"/>
      <c r="AC4601" s="780"/>
      <c r="AD4601" s="780"/>
      <c r="AE4601" s="780"/>
      <c r="AF4601" s="780"/>
    </row>
    <row r="4602" spans="19:32" x14ac:dyDescent="0.35">
      <c r="S4602" s="780"/>
      <c r="T4602" s="928"/>
      <c r="U4602" s="928"/>
      <c r="V4602" s="928"/>
      <c r="W4602" s="780"/>
      <c r="X4602" s="782">
        <v>4598</v>
      </c>
      <c r="Y4602" s="782" t="s">
        <v>2248</v>
      </c>
      <c r="Z4602" s="782" t="s">
        <v>2431</v>
      </c>
      <c r="AA4602" s="781">
        <f>$S$1*P!AA4602</f>
        <v>0.12612903225806452</v>
      </c>
      <c r="AB4602" s="780"/>
      <c r="AC4602" s="780"/>
      <c r="AD4602" s="780"/>
      <c r="AE4602" s="780"/>
      <c r="AF4602" s="780"/>
    </row>
    <row r="4603" spans="19:32" x14ac:dyDescent="0.35">
      <c r="S4603" s="780"/>
      <c r="T4603" s="928"/>
      <c r="U4603" s="928"/>
      <c r="V4603" s="928"/>
      <c r="W4603" s="780"/>
      <c r="X4603" s="881">
        <v>4599</v>
      </c>
      <c r="Y4603" s="881" t="s">
        <v>2248</v>
      </c>
      <c r="Z4603" s="881" t="s">
        <v>2504</v>
      </c>
      <c r="AA4603" s="890">
        <f>$S$1*P!AA4603</f>
        <v>9.0895999999999989E-4</v>
      </c>
      <c r="AB4603" s="780"/>
      <c r="AC4603" s="780"/>
      <c r="AD4603" s="780"/>
      <c r="AE4603" s="780"/>
      <c r="AF4603" s="780"/>
    </row>
    <row r="4604" spans="19:32" x14ac:dyDescent="0.35">
      <c r="S4604" s="780"/>
      <c r="T4604" s="928"/>
      <c r="U4604" s="928"/>
      <c r="V4604" s="928"/>
      <c r="W4604" s="780"/>
      <c r="X4604" s="782">
        <v>4600</v>
      </c>
      <c r="Y4604" s="782" t="s">
        <v>2248</v>
      </c>
      <c r="Z4604" s="782" t="s">
        <v>2504</v>
      </c>
      <c r="AA4604" s="781">
        <f>$S$1*P!AA4604</f>
        <v>1.2030241935483871E-4</v>
      </c>
      <c r="AB4604" s="780"/>
      <c r="AC4604" s="780"/>
      <c r="AD4604" s="780"/>
      <c r="AE4604" s="780"/>
      <c r="AF4604" s="780"/>
    </row>
    <row r="4605" spans="19:32" x14ac:dyDescent="0.35">
      <c r="S4605" s="780"/>
      <c r="T4605" s="928"/>
      <c r="U4605" s="928"/>
      <c r="V4605" s="928"/>
      <c r="W4605" s="780"/>
      <c r="X4605" s="782">
        <v>4601</v>
      </c>
      <c r="Y4605" s="782" t="s">
        <v>2248</v>
      </c>
      <c r="Z4605" s="782" t="s">
        <v>4031</v>
      </c>
      <c r="AA4605" s="781">
        <f>$S$1*P!AA4605</f>
        <v>2.7625000000000002E-4</v>
      </c>
      <c r="AB4605" s="780"/>
      <c r="AC4605" s="780"/>
      <c r="AD4605" s="780"/>
      <c r="AE4605" s="780"/>
      <c r="AF4605" s="780"/>
    </row>
    <row r="4606" spans="19:32" x14ac:dyDescent="0.35">
      <c r="S4606" s="780"/>
      <c r="T4606" s="928"/>
      <c r="U4606" s="928"/>
      <c r="V4606" s="928"/>
      <c r="W4606" s="780"/>
      <c r="X4606" s="881">
        <v>4602</v>
      </c>
      <c r="Y4606" s="881" t="s">
        <v>2248</v>
      </c>
      <c r="Z4606" s="881" t="s">
        <v>4141</v>
      </c>
      <c r="AA4606" s="890">
        <f>$S$1*P!AA4606</f>
        <v>3.4959677419354838E-6</v>
      </c>
      <c r="AB4606" s="780"/>
      <c r="AC4606" s="780"/>
      <c r="AD4606" s="780"/>
      <c r="AE4606" s="780"/>
      <c r="AF4606" s="780"/>
    </row>
    <row r="4607" spans="19:32" x14ac:dyDescent="0.35">
      <c r="S4607" s="780"/>
      <c r="T4607" s="928"/>
      <c r="U4607" s="928"/>
      <c r="V4607" s="928"/>
      <c r="W4607" s="780"/>
      <c r="X4607" s="782">
        <v>4603</v>
      </c>
      <c r="Y4607" s="782" t="s">
        <v>2248</v>
      </c>
      <c r="Z4607" s="782" t="s">
        <v>4140</v>
      </c>
      <c r="AA4607" s="781">
        <f>$S$1*P!AA4607</f>
        <v>1.665725806451613E-2</v>
      </c>
      <c r="AB4607" s="780"/>
      <c r="AC4607" s="780"/>
      <c r="AD4607" s="780"/>
      <c r="AE4607" s="780"/>
      <c r="AF4607" s="780"/>
    </row>
    <row r="4608" spans="19:32" x14ac:dyDescent="0.35">
      <c r="S4608" s="780"/>
      <c r="T4608" s="928"/>
      <c r="U4608" s="928"/>
      <c r="V4608" s="928"/>
      <c r="W4608" s="780"/>
      <c r="X4608" s="782">
        <v>4604</v>
      </c>
      <c r="Y4608" s="782" t="s">
        <v>2248</v>
      </c>
      <c r="Z4608" s="782" t="s">
        <v>4030</v>
      </c>
      <c r="AA4608" s="781">
        <f>$S$1*P!AA4608</f>
        <v>3.5987903225806452E-2</v>
      </c>
      <c r="AB4608" s="780"/>
      <c r="AC4608" s="780"/>
      <c r="AD4608" s="780"/>
      <c r="AE4608" s="780"/>
      <c r="AF4608" s="780"/>
    </row>
    <row r="4609" spans="19:32" x14ac:dyDescent="0.35">
      <c r="S4609" s="780"/>
      <c r="T4609" s="928"/>
      <c r="U4609" s="928"/>
      <c r="V4609" s="928"/>
      <c r="W4609" s="780"/>
      <c r="X4609" s="881">
        <v>4605</v>
      </c>
      <c r="Y4609" s="881" t="s">
        <v>2248</v>
      </c>
      <c r="Z4609" s="881" t="s">
        <v>2502</v>
      </c>
      <c r="AA4609" s="890">
        <f>$S$1*P!AA4609</f>
        <v>0</v>
      </c>
      <c r="AB4609" s="780"/>
      <c r="AC4609" s="780"/>
      <c r="AD4609" s="780"/>
      <c r="AE4609" s="780"/>
      <c r="AF4609" s="780"/>
    </row>
    <row r="4610" spans="19:32" x14ac:dyDescent="0.35">
      <c r="S4610" s="780"/>
      <c r="T4610" s="928"/>
      <c r="U4610" s="928"/>
      <c r="V4610" s="928"/>
      <c r="W4610" s="780"/>
      <c r="X4610" s="782">
        <v>4606</v>
      </c>
      <c r="Y4610" s="782" t="s">
        <v>2248</v>
      </c>
      <c r="Z4610" s="782" t="s">
        <v>2502</v>
      </c>
      <c r="AA4610" s="781">
        <f>$S$1*P!AA4610</f>
        <v>1.2784274193548388E-3</v>
      </c>
      <c r="AB4610" s="780"/>
      <c r="AC4610" s="780"/>
      <c r="AD4610" s="780"/>
      <c r="AE4610" s="780"/>
      <c r="AF4610" s="780"/>
    </row>
    <row r="4611" spans="19:32" x14ac:dyDescent="0.35">
      <c r="S4611" s="780"/>
      <c r="T4611" s="928"/>
      <c r="U4611" s="928"/>
      <c r="V4611" s="928"/>
      <c r="W4611" s="780"/>
      <c r="X4611" s="881">
        <v>4607</v>
      </c>
      <c r="Y4611" s="881" t="s">
        <v>2248</v>
      </c>
      <c r="Z4611" s="881" t="s">
        <v>4139</v>
      </c>
      <c r="AA4611" s="890">
        <f>$S$1*P!AA4611</f>
        <v>5.0383064516129034E-5</v>
      </c>
      <c r="AB4611" s="780"/>
      <c r="AC4611" s="780"/>
      <c r="AD4611" s="780"/>
      <c r="AE4611" s="780"/>
      <c r="AF4611" s="780"/>
    </row>
    <row r="4612" spans="19:32" x14ac:dyDescent="0.35">
      <c r="S4612" s="780"/>
      <c r="T4612" s="928"/>
      <c r="U4612" s="928"/>
      <c r="V4612" s="928"/>
      <c r="W4612" s="780"/>
      <c r="X4612" s="782">
        <v>4608</v>
      </c>
      <c r="Y4612" s="782" t="s">
        <v>2248</v>
      </c>
      <c r="Z4612" s="782" t="s">
        <v>4028</v>
      </c>
      <c r="AA4612" s="781">
        <f>$S$1*P!AA4612</f>
        <v>3.461693548387097</v>
      </c>
      <c r="AB4612" s="780"/>
      <c r="AC4612" s="780"/>
      <c r="AD4612" s="780"/>
      <c r="AE4612" s="780"/>
      <c r="AF4612" s="780"/>
    </row>
    <row r="4613" spans="19:32" x14ac:dyDescent="0.35">
      <c r="S4613" s="780"/>
      <c r="T4613" s="928"/>
      <c r="U4613" s="928"/>
      <c r="V4613" s="928"/>
      <c r="W4613" s="780"/>
      <c r="X4613" s="782">
        <v>4609</v>
      </c>
      <c r="Y4613" s="782" t="s">
        <v>2248</v>
      </c>
      <c r="Z4613" s="782" t="s">
        <v>4138</v>
      </c>
      <c r="AA4613" s="781">
        <f>$S$1*P!AA4613</f>
        <v>1.7034274193548388E-2</v>
      </c>
      <c r="AB4613" s="780"/>
      <c r="AC4613" s="780"/>
      <c r="AD4613" s="780"/>
      <c r="AE4613" s="780"/>
      <c r="AF4613" s="780"/>
    </row>
    <row r="4614" spans="19:32" x14ac:dyDescent="0.35">
      <c r="S4614" s="780"/>
      <c r="T4614" s="928"/>
      <c r="U4614" s="928"/>
      <c r="V4614" s="928"/>
      <c r="W4614" s="780"/>
      <c r="X4614" s="782">
        <v>4610</v>
      </c>
      <c r="Y4614" s="782" t="s">
        <v>2248</v>
      </c>
      <c r="Z4614" s="782" t="s">
        <v>2426</v>
      </c>
      <c r="AA4614" s="781">
        <f>$S$1*P!AA4614</f>
        <v>0.3530241935483871</v>
      </c>
      <c r="AB4614" s="780"/>
      <c r="AC4614" s="780"/>
      <c r="AD4614" s="780"/>
      <c r="AE4614" s="780"/>
      <c r="AF4614" s="780"/>
    </row>
    <row r="4615" spans="19:32" x14ac:dyDescent="0.35">
      <c r="S4615" s="780"/>
      <c r="T4615" s="928"/>
      <c r="U4615" s="928"/>
      <c r="V4615" s="928"/>
      <c r="W4615" s="780"/>
      <c r="X4615" s="782">
        <v>4611</v>
      </c>
      <c r="Y4615" s="782" t="s">
        <v>2248</v>
      </c>
      <c r="Z4615" s="782" t="s">
        <v>4137</v>
      </c>
      <c r="AA4615" s="781">
        <f>$S$1*P!AA4615</f>
        <v>1.9879032258064517E-3</v>
      </c>
      <c r="AB4615" s="780"/>
      <c r="AC4615" s="780"/>
      <c r="AD4615" s="780"/>
      <c r="AE4615" s="780"/>
      <c r="AF4615" s="780"/>
    </row>
    <row r="4616" spans="19:32" x14ac:dyDescent="0.35">
      <c r="S4616" s="780"/>
      <c r="T4616" s="928"/>
      <c r="U4616" s="928"/>
      <c r="V4616" s="928"/>
      <c r="W4616" s="780"/>
      <c r="X4616" s="881">
        <v>4612</v>
      </c>
      <c r="Y4616" s="881" t="s">
        <v>2248</v>
      </c>
      <c r="Z4616" s="881" t="s">
        <v>4136</v>
      </c>
      <c r="AA4616" s="890">
        <f>$S$1*P!AA4616</f>
        <v>7.0604838709677431E-2</v>
      </c>
      <c r="AB4616" s="780"/>
      <c r="AC4616" s="780"/>
      <c r="AD4616" s="780"/>
      <c r="AE4616" s="780"/>
      <c r="AF4616" s="780"/>
    </row>
    <row r="4617" spans="19:32" x14ac:dyDescent="0.35">
      <c r="S4617" s="780"/>
      <c r="T4617" s="928"/>
      <c r="U4617" s="928"/>
      <c r="V4617" s="928"/>
      <c r="W4617" s="780"/>
      <c r="X4617" s="782">
        <v>4613</v>
      </c>
      <c r="Y4617" s="782" t="s">
        <v>2248</v>
      </c>
      <c r="Z4617" s="782" t="s">
        <v>4026</v>
      </c>
      <c r="AA4617" s="781">
        <f>$S$1*P!AA4617</f>
        <v>4.558467741935484E-2</v>
      </c>
      <c r="AB4617" s="780"/>
      <c r="AC4617" s="780"/>
      <c r="AD4617" s="780"/>
      <c r="AE4617" s="780"/>
      <c r="AF4617" s="780"/>
    </row>
    <row r="4618" spans="19:32" x14ac:dyDescent="0.35">
      <c r="S4618" s="780"/>
      <c r="T4618" s="928"/>
      <c r="U4618" s="928"/>
      <c r="V4618" s="928"/>
      <c r="W4618" s="780"/>
      <c r="X4618" s="881">
        <v>4614</v>
      </c>
      <c r="Y4618" s="881" t="s">
        <v>2248</v>
      </c>
      <c r="Z4618" s="881" t="s">
        <v>2501</v>
      </c>
      <c r="AA4618" s="890">
        <f>$S$1*P!AA4618</f>
        <v>21.436</v>
      </c>
      <c r="AB4618" s="780"/>
      <c r="AC4618" s="780"/>
      <c r="AD4618" s="780"/>
      <c r="AE4618" s="780"/>
      <c r="AF4618" s="780"/>
    </row>
    <row r="4619" spans="19:32" x14ac:dyDescent="0.35">
      <c r="S4619" s="780"/>
      <c r="T4619" s="928"/>
      <c r="U4619" s="928"/>
      <c r="V4619" s="928"/>
      <c r="W4619" s="780"/>
      <c r="X4619" s="782">
        <v>4615</v>
      </c>
      <c r="Y4619" s="782" t="s">
        <v>2248</v>
      </c>
      <c r="Z4619" s="782" t="s">
        <v>4024</v>
      </c>
      <c r="AA4619" s="781">
        <f>$S$1*P!AA4619</f>
        <v>3.3211693548387101E-5</v>
      </c>
      <c r="AB4619" s="780"/>
      <c r="AC4619" s="780"/>
      <c r="AD4619" s="780"/>
      <c r="AE4619" s="780"/>
      <c r="AF4619" s="780"/>
    </row>
    <row r="4620" spans="19:32" x14ac:dyDescent="0.35">
      <c r="S4620" s="780"/>
      <c r="T4620" s="928"/>
      <c r="U4620" s="928"/>
      <c r="V4620" s="928"/>
      <c r="W4620" s="780"/>
      <c r="X4620" s="782">
        <v>4616</v>
      </c>
      <c r="Y4620" s="782" t="s">
        <v>2248</v>
      </c>
      <c r="Z4620" s="782" t="s">
        <v>4135</v>
      </c>
      <c r="AA4620" s="781">
        <f>$S$1*P!AA4620</f>
        <v>2.1592741935483873E-4</v>
      </c>
      <c r="AB4620" s="780"/>
      <c r="AC4620" s="780"/>
      <c r="AD4620" s="780"/>
      <c r="AE4620" s="780"/>
      <c r="AF4620" s="780"/>
    </row>
    <row r="4621" spans="19:32" x14ac:dyDescent="0.35">
      <c r="S4621" s="780"/>
      <c r="T4621" s="928"/>
      <c r="U4621" s="928"/>
      <c r="V4621" s="928"/>
      <c r="W4621" s="780"/>
      <c r="X4621" s="782">
        <v>4617</v>
      </c>
      <c r="Y4621" s="782" t="s">
        <v>2248</v>
      </c>
      <c r="Z4621" s="782" t="s">
        <v>4134</v>
      </c>
      <c r="AA4621" s="781">
        <f>$S$1*P!AA4621</f>
        <v>4.6955645161290327E-7</v>
      </c>
      <c r="AB4621" s="780"/>
      <c r="AC4621" s="780"/>
      <c r="AD4621" s="780"/>
      <c r="AE4621" s="780"/>
      <c r="AF4621" s="780"/>
    </row>
    <row r="4622" spans="19:32" x14ac:dyDescent="0.35">
      <c r="S4622" s="780"/>
      <c r="T4622" s="928"/>
      <c r="U4622" s="928"/>
      <c r="V4622" s="928"/>
      <c r="W4622" s="780"/>
      <c r="X4622" s="782">
        <v>4618</v>
      </c>
      <c r="Y4622" s="782" t="s">
        <v>2248</v>
      </c>
      <c r="Z4622" s="782" t="s">
        <v>4023</v>
      </c>
      <c r="AA4622" s="781">
        <f>$S$1*P!AA4622</f>
        <v>1.984475806451613E-4</v>
      </c>
      <c r="AB4622" s="780"/>
      <c r="AC4622" s="780"/>
      <c r="AD4622" s="780"/>
      <c r="AE4622" s="780"/>
      <c r="AF4622" s="780"/>
    </row>
    <row r="4623" spans="19:32" x14ac:dyDescent="0.35">
      <c r="S4623" s="780"/>
      <c r="T4623" s="928"/>
      <c r="U4623" s="928"/>
      <c r="V4623" s="928"/>
      <c r="W4623" s="780"/>
      <c r="X4623" s="881">
        <v>4619</v>
      </c>
      <c r="Y4623" s="881" t="s">
        <v>2248</v>
      </c>
      <c r="Z4623" s="881" t="s">
        <v>2499</v>
      </c>
      <c r="AA4623" s="890">
        <f>$S$1*P!AA4623</f>
        <v>0</v>
      </c>
      <c r="AB4623" s="780"/>
      <c r="AC4623" s="780"/>
      <c r="AD4623" s="780"/>
      <c r="AE4623" s="780"/>
      <c r="AF4623" s="780"/>
    </row>
    <row r="4624" spans="19:32" x14ac:dyDescent="0.35">
      <c r="S4624" s="780"/>
      <c r="T4624" s="928"/>
      <c r="U4624" s="928"/>
      <c r="V4624" s="928"/>
      <c r="W4624" s="780"/>
      <c r="X4624" s="782">
        <v>4620</v>
      </c>
      <c r="Y4624" s="782" t="s">
        <v>2248</v>
      </c>
      <c r="Z4624" s="782" t="s">
        <v>2499</v>
      </c>
      <c r="AA4624" s="781">
        <f>$S$1*P!AA4624</f>
        <v>3.7358870967741939E-3</v>
      </c>
      <c r="AB4624" s="780"/>
      <c r="AC4624" s="780"/>
      <c r="AD4624" s="780"/>
      <c r="AE4624" s="780"/>
      <c r="AF4624" s="780"/>
    </row>
    <row r="4625" spans="19:32" x14ac:dyDescent="0.35">
      <c r="S4625" s="780"/>
      <c r="T4625" s="928"/>
      <c r="U4625" s="928"/>
      <c r="V4625" s="928"/>
      <c r="W4625" s="780"/>
      <c r="X4625" s="782">
        <v>4621</v>
      </c>
      <c r="Y4625" s="782" t="s">
        <v>2248</v>
      </c>
      <c r="Z4625" s="782" t="s">
        <v>4022</v>
      </c>
      <c r="AA4625" s="781">
        <f>$S$1*P!AA4625</f>
        <v>2.7282258064516129E-3</v>
      </c>
      <c r="AB4625" s="780"/>
      <c r="AC4625" s="780"/>
      <c r="AD4625" s="780"/>
      <c r="AE4625" s="780"/>
      <c r="AF4625" s="780"/>
    </row>
    <row r="4626" spans="19:32" x14ac:dyDescent="0.35">
      <c r="S4626" s="780"/>
      <c r="T4626" s="928"/>
      <c r="U4626" s="928"/>
      <c r="V4626" s="928"/>
      <c r="W4626" s="780"/>
      <c r="X4626" s="881">
        <v>4622</v>
      </c>
      <c r="Y4626" s="881" t="s">
        <v>2248</v>
      </c>
      <c r="Z4626" s="881" t="s">
        <v>4133</v>
      </c>
      <c r="AA4626" s="890">
        <f>$S$1*P!AA4626</f>
        <v>3.3828629032258067E-7</v>
      </c>
      <c r="AB4626" s="780"/>
      <c r="AC4626" s="780"/>
      <c r="AD4626" s="780"/>
      <c r="AE4626" s="780"/>
      <c r="AF4626" s="780"/>
    </row>
    <row r="4627" spans="19:32" x14ac:dyDescent="0.35">
      <c r="S4627" s="780"/>
      <c r="T4627" s="928"/>
      <c r="U4627" s="928"/>
      <c r="V4627" s="928"/>
      <c r="W4627" s="780"/>
      <c r="X4627" s="782">
        <v>4623</v>
      </c>
      <c r="Y4627" s="782" t="s">
        <v>2248</v>
      </c>
      <c r="Z4627" s="782" t="s">
        <v>4132</v>
      </c>
      <c r="AA4627" s="781">
        <f>$S$1*P!AA4627</f>
        <v>4.3870967741935489E-4</v>
      </c>
      <c r="AB4627" s="780"/>
      <c r="AC4627" s="780"/>
      <c r="AD4627" s="780"/>
      <c r="AE4627" s="780"/>
      <c r="AF4627" s="780"/>
    </row>
    <row r="4628" spans="19:32" x14ac:dyDescent="0.35">
      <c r="S4628" s="780"/>
      <c r="T4628" s="928"/>
      <c r="U4628" s="928"/>
      <c r="V4628" s="928"/>
      <c r="W4628" s="780"/>
      <c r="X4628" s="782">
        <v>4624</v>
      </c>
      <c r="Y4628" s="782" t="s">
        <v>2248</v>
      </c>
      <c r="Z4628" s="782" t="s">
        <v>2423</v>
      </c>
      <c r="AA4628" s="781">
        <f>$S$1*P!AA4628</f>
        <v>2.515725806451613E-2</v>
      </c>
      <c r="AB4628" s="780"/>
      <c r="AC4628" s="780"/>
      <c r="AD4628" s="780"/>
      <c r="AE4628" s="780"/>
      <c r="AF4628" s="780"/>
    </row>
    <row r="4629" spans="19:32" x14ac:dyDescent="0.35">
      <c r="S4629" s="780"/>
      <c r="T4629" s="928"/>
      <c r="U4629" s="928"/>
      <c r="V4629" s="928"/>
      <c r="W4629" s="780"/>
      <c r="X4629" s="782">
        <v>4625</v>
      </c>
      <c r="Y4629" s="782" t="s">
        <v>2248</v>
      </c>
      <c r="Z4629" s="782" t="s">
        <v>4131</v>
      </c>
      <c r="AA4629" s="781">
        <f>$S$1*P!AA4629</f>
        <v>9.4939516129032261E-5</v>
      </c>
      <c r="AB4629" s="780"/>
      <c r="AC4629" s="780"/>
      <c r="AD4629" s="780"/>
      <c r="AE4629" s="780"/>
      <c r="AF4629" s="780"/>
    </row>
    <row r="4630" spans="19:32" x14ac:dyDescent="0.35">
      <c r="S4630" s="780"/>
      <c r="T4630" s="928"/>
      <c r="U4630" s="928"/>
      <c r="V4630" s="928"/>
      <c r="W4630" s="780"/>
      <c r="X4630" s="782">
        <v>4626</v>
      </c>
      <c r="Y4630" s="782" t="s">
        <v>2248</v>
      </c>
      <c r="Z4630" s="782" t="s">
        <v>4130</v>
      </c>
      <c r="AA4630" s="781">
        <f>$S$1*P!AA4630</f>
        <v>6.7177419354838716E-2</v>
      </c>
      <c r="AB4630" s="780"/>
      <c r="AC4630" s="780"/>
      <c r="AD4630" s="780"/>
      <c r="AE4630" s="780"/>
      <c r="AF4630" s="780"/>
    </row>
    <row r="4631" spans="19:32" x14ac:dyDescent="0.35">
      <c r="S4631" s="780"/>
      <c r="T4631" s="928"/>
      <c r="U4631" s="928"/>
      <c r="V4631" s="928"/>
      <c r="W4631" s="780"/>
      <c r="X4631" s="782">
        <v>4627</v>
      </c>
      <c r="Y4631" s="782" t="s">
        <v>2248</v>
      </c>
      <c r="Z4631" s="782" t="s">
        <v>4129</v>
      </c>
      <c r="AA4631" s="781">
        <f>$S$1*P!AA4631</f>
        <v>2.5260080645161293E-5</v>
      </c>
      <c r="AB4631" s="780"/>
      <c r="AC4631" s="780"/>
      <c r="AD4631" s="780"/>
      <c r="AE4631" s="780"/>
      <c r="AF4631" s="780"/>
    </row>
    <row r="4632" spans="19:32" x14ac:dyDescent="0.35">
      <c r="S4632" s="780"/>
      <c r="T4632" s="928"/>
      <c r="U4632" s="928"/>
      <c r="V4632" s="928"/>
      <c r="W4632" s="780"/>
      <c r="X4632" s="782">
        <v>4628</v>
      </c>
      <c r="Y4632" s="782" t="s">
        <v>2248</v>
      </c>
      <c r="Z4632" s="782" t="s">
        <v>2421</v>
      </c>
      <c r="AA4632" s="781">
        <f>$S$1*P!AA4632</f>
        <v>1.6828629032258067E-3</v>
      </c>
      <c r="AB4632" s="780"/>
      <c r="AC4632" s="780"/>
      <c r="AD4632" s="780"/>
      <c r="AE4632" s="780"/>
      <c r="AF4632" s="780"/>
    </row>
    <row r="4633" spans="19:32" x14ac:dyDescent="0.35">
      <c r="S4633" s="780"/>
      <c r="T4633" s="928"/>
      <c r="U4633" s="928"/>
      <c r="V4633" s="928"/>
      <c r="W4633" s="780"/>
      <c r="X4633" s="782">
        <v>4629</v>
      </c>
      <c r="Y4633" s="782" t="s">
        <v>2248</v>
      </c>
      <c r="Z4633" s="782" t="s">
        <v>4128</v>
      </c>
      <c r="AA4633" s="781">
        <f>$S$1*P!AA4633</f>
        <v>3.2286290322580648E-5</v>
      </c>
      <c r="AB4633" s="780"/>
      <c r="AC4633" s="780"/>
      <c r="AD4633" s="780"/>
      <c r="AE4633" s="780"/>
      <c r="AF4633" s="780"/>
    </row>
    <row r="4634" spans="19:32" x14ac:dyDescent="0.35">
      <c r="S4634" s="780"/>
      <c r="T4634" s="928"/>
      <c r="U4634" s="928"/>
      <c r="V4634" s="928"/>
      <c r="W4634" s="780"/>
      <c r="X4634" s="782">
        <v>4630</v>
      </c>
      <c r="Y4634" s="782" t="s">
        <v>2248</v>
      </c>
      <c r="Z4634" s="782" t="s">
        <v>4018</v>
      </c>
      <c r="AA4634" s="781">
        <f>$S$1*P!AA4634</f>
        <v>5.4495967741935488E-3</v>
      </c>
      <c r="AB4634" s="780"/>
      <c r="AC4634" s="780"/>
      <c r="AD4634" s="780"/>
      <c r="AE4634" s="780"/>
      <c r="AF4634" s="780"/>
    </row>
    <row r="4635" spans="19:32" x14ac:dyDescent="0.35">
      <c r="S4635" s="780"/>
      <c r="T4635" s="928"/>
      <c r="U4635" s="928"/>
      <c r="V4635" s="928"/>
      <c r="W4635" s="780"/>
      <c r="X4635" s="782">
        <v>4631</v>
      </c>
      <c r="Y4635" s="782" t="s">
        <v>2248</v>
      </c>
      <c r="Z4635" s="782" t="s">
        <v>4127</v>
      </c>
      <c r="AA4635" s="781">
        <f>$S$1*P!AA4635</f>
        <v>4.8669354838709683E-2</v>
      </c>
      <c r="AB4635" s="780"/>
      <c r="AC4635" s="780"/>
      <c r="AD4635" s="780"/>
      <c r="AE4635" s="780"/>
      <c r="AF4635" s="780"/>
    </row>
    <row r="4636" spans="19:32" x14ac:dyDescent="0.35">
      <c r="S4636" s="780"/>
      <c r="T4636" s="928"/>
      <c r="U4636" s="928"/>
      <c r="V4636" s="928"/>
      <c r="W4636" s="780"/>
      <c r="X4636" s="881">
        <v>4632</v>
      </c>
      <c r="Y4636" s="881" t="s">
        <v>2248</v>
      </c>
      <c r="Z4636" s="881" t="s">
        <v>4126</v>
      </c>
      <c r="AA4636" s="890">
        <f>$S$1*P!AA4636</f>
        <v>4.4556451612903225E-3</v>
      </c>
      <c r="AB4636" s="780"/>
      <c r="AC4636" s="780"/>
      <c r="AD4636" s="780"/>
      <c r="AE4636" s="780"/>
      <c r="AF4636" s="780"/>
    </row>
    <row r="4637" spans="19:32" x14ac:dyDescent="0.35">
      <c r="S4637" s="780"/>
      <c r="T4637" s="928"/>
      <c r="U4637" s="928"/>
      <c r="V4637" s="928"/>
      <c r="W4637" s="780"/>
      <c r="X4637" s="782">
        <v>4633</v>
      </c>
      <c r="Y4637" s="782" t="s">
        <v>2248</v>
      </c>
      <c r="Z4637" s="782" t="s">
        <v>4017</v>
      </c>
      <c r="AA4637" s="781">
        <f>$S$1*P!AA4637</f>
        <v>2.3272177419354843E-5</v>
      </c>
      <c r="AB4637" s="780"/>
      <c r="AC4637" s="780"/>
      <c r="AD4637" s="780"/>
      <c r="AE4637" s="780"/>
      <c r="AF4637" s="780"/>
    </row>
    <row r="4638" spans="19:32" x14ac:dyDescent="0.35">
      <c r="S4638" s="780"/>
      <c r="T4638" s="928"/>
      <c r="U4638" s="928"/>
      <c r="V4638" s="928"/>
      <c r="W4638" s="780"/>
      <c r="X4638" s="782">
        <v>4634</v>
      </c>
      <c r="Y4638" s="782" t="s">
        <v>2248</v>
      </c>
      <c r="Z4638" s="782" t="s">
        <v>4125</v>
      </c>
      <c r="AA4638" s="781">
        <f>$S$1*P!AA4638</f>
        <v>5.7580645161290325E-5</v>
      </c>
      <c r="AB4638" s="780"/>
      <c r="AC4638" s="780"/>
      <c r="AD4638" s="780"/>
      <c r="AE4638" s="780"/>
      <c r="AF4638" s="780"/>
    </row>
    <row r="4639" spans="19:32" x14ac:dyDescent="0.35">
      <c r="S4639" s="780"/>
      <c r="T4639" s="928"/>
      <c r="U4639" s="928"/>
      <c r="V4639" s="928"/>
      <c r="W4639" s="780"/>
      <c r="X4639" s="782">
        <v>4635</v>
      </c>
      <c r="Y4639" s="782" t="s">
        <v>2248</v>
      </c>
      <c r="Z4639" s="782" t="s">
        <v>2420</v>
      </c>
      <c r="AA4639" s="781">
        <f>$S$1*P!AA4639</f>
        <v>14.909274193548388</v>
      </c>
      <c r="AB4639" s="780"/>
      <c r="AC4639" s="780"/>
      <c r="AD4639" s="780"/>
      <c r="AE4639" s="780"/>
      <c r="AF4639" s="780"/>
    </row>
    <row r="4640" spans="19:32" x14ac:dyDescent="0.35">
      <c r="S4640" s="780"/>
      <c r="T4640" s="928"/>
      <c r="U4640" s="928"/>
      <c r="V4640" s="928"/>
      <c r="W4640" s="780"/>
      <c r="X4640" s="881">
        <v>4636</v>
      </c>
      <c r="Y4640" s="881" t="s">
        <v>2248</v>
      </c>
      <c r="Z4640" s="881" t="s">
        <v>2498</v>
      </c>
      <c r="AA4640" s="890">
        <f>$S$1*P!AA4640</f>
        <v>0</v>
      </c>
      <c r="AB4640" s="780"/>
      <c r="AC4640" s="780"/>
      <c r="AD4640" s="780"/>
      <c r="AE4640" s="780"/>
      <c r="AF4640" s="780"/>
    </row>
    <row r="4641" spans="19:32" x14ac:dyDescent="0.35">
      <c r="S4641" s="780"/>
      <c r="T4641" s="928"/>
      <c r="U4641" s="928"/>
      <c r="V4641" s="928"/>
      <c r="W4641" s="780"/>
      <c r="X4641" s="782">
        <v>4637</v>
      </c>
      <c r="Y4641" s="782" t="s">
        <v>2248</v>
      </c>
      <c r="Z4641" s="782" t="s">
        <v>4124</v>
      </c>
      <c r="AA4641" s="781">
        <f>$S$1*P!AA4641</f>
        <v>7.2318548387096783E-3</v>
      </c>
      <c r="AB4641" s="780"/>
      <c r="AC4641" s="780"/>
      <c r="AD4641" s="780"/>
      <c r="AE4641" s="780"/>
      <c r="AF4641" s="780"/>
    </row>
    <row r="4642" spans="19:32" x14ac:dyDescent="0.35">
      <c r="S4642" s="780"/>
      <c r="T4642" s="928"/>
      <c r="U4642" s="928"/>
      <c r="V4642" s="928"/>
      <c r="W4642" s="780"/>
      <c r="X4642" s="782">
        <v>4638</v>
      </c>
      <c r="Y4642" s="782" t="s">
        <v>2248</v>
      </c>
      <c r="Z4642" s="782" t="s">
        <v>2498</v>
      </c>
      <c r="AA4642" s="781">
        <f>$S$1*P!AA4642</f>
        <v>2.0461693548387101E-3</v>
      </c>
      <c r="AB4642" s="780"/>
      <c r="AC4642" s="780"/>
      <c r="AD4642" s="780"/>
      <c r="AE4642" s="780"/>
      <c r="AF4642" s="780"/>
    </row>
    <row r="4643" spans="19:32" x14ac:dyDescent="0.35">
      <c r="S4643" s="780"/>
      <c r="T4643" s="928"/>
      <c r="U4643" s="928"/>
      <c r="V4643" s="928"/>
      <c r="W4643" s="780"/>
      <c r="X4643" s="782">
        <v>4639</v>
      </c>
      <c r="Y4643" s="782" t="s">
        <v>2248</v>
      </c>
      <c r="Z4643" s="782" t="s">
        <v>4014</v>
      </c>
      <c r="AA4643" s="781">
        <f>$S$1*P!AA4643</f>
        <v>1.0179435483870968E-2</v>
      </c>
      <c r="AB4643" s="780"/>
      <c r="AC4643" s="780"/>
      <c r="AD4643" s="780"/>
      <c r="AE4643" s="780"/>
      <c r="AF4643" s="780"/>
    </row>
    <row r="4644" spans="19:32" x14ac:dyDescent="0.35">
      <c r="S4644" s="780"/>
      <c r="T4644" s="928"/>
      <c r="U4644" s="928"/>
      <c r="V4644" s="928"/>
      <c r="W4644" s="780"/>
      <c r="X4644" s="881">
        <v>4640</v>
      </c>
      <c r="Y4644" s="881" t="s">
        <v>2248</v>
      </c>
      <c r="Z4644" s="881" t="s">
        <v>2496</v>
      </c>
      <c r="AA4644" s="890">
        <f>$S$1*P!AA4644</f>
        <v>0</v>
      </c>
      <c r="AB4644" s="780"/>
      <c r="AC4644" s="780"/>
      <c r="AD4644" s="780"/>
      <c r="AE4644" s="780"/>
      <c r="AF4644" s="780"/>
    </row>
    <row r="4645" spans="19:32" x14ac:dyDescent="0.35">
      <c r="S4645" s="780"/>
      <c r="T4645" s="928"/>
      <c r="U4645" s="928"/>
      <c r="V4645" s="928"/>
      <c r="W4645" s="780"/>
      <c r="X4645" s="782">
        <v>4641</v>
      </c>
      <c r="Y4645" s="782" t="s">
        <v>2248</v>
      </c>
      <c r="Z4645" s="782" t="s">
        <v>4013</v>
      </c>
      <c r="AA4645" s="781">
        <f>$S$1*P!AA4645</f>
        <v>9.2883064516129047E-3</v>
      </c>
      <c r="AB4645" s="780"/>
      <c r="AC4645" s="780"/>
      <c r="AD4645" s="780"/>
      <c r="AE4645" s="780"/>
      <c r="AF4645" s="780"/>
    </row>
    <row r="4646" spans="19:32" x14ac:dyDescent="0.35">
      <c r="S4646" s="780"/>
      <c r="T4646" s="928"/>
      <c r="U4646" s="928"/>
      <c r="V4646" s="928"/>
      <c r="W4646" s="780"/>
      <c r="X4646" s="782">
        <v>4642</v>
      </c>
      <c r="Y4646" s="782" t="s">
        <v>2248</v>
      </c>
      <c r="Z4646" s="782" t="s">
        <v>2496</v>
      </c>
      <c r="AA4646" s="781">
        <f>$S$1*P!AA4646</f>
        <v>2.8927419354838713E-2</v>
      </c>
      <c r="AB4646" s="780"/>
      <c r="AC4646" s="780"/>
      <c r="AD4646" s="780"/>
      <c r="AE4646" s="780"/>
      <c r="AF4646" s="780"/>
    </row>
    <row r="4647" spans="19:32" x14ac:dyDescent="0.35">
      <c r="S4647" s="780"/>
      <c r="T4647" s="928"/>
      <c r="U4647" s="928"/>
      <c r="V4647" s="928"/>
      <c r="W4647" s="780"/>
      <c r="X4647" s="881">
        <v>4643</v>
      </c>
      <c r="Y4647" s="881" t="s">
        <v>2248</v>
      </c>
      <c r="Z4647" s="881" t="s">
        <v>4123</v>
      </c>
      <c r="AA4647" s="890">
        <f>$S$1*P!AA4647</f>
        <v>0.19639112903225808</v>
      </c>
      <c r="AB4647" s="780"/>
      <c r="AC4647" s="780"/>
      <c r="AD4647" s="780"/>
      <c r="AE4647" s="780"/>
      <c r="AF4647" s="780"/>
    </row>
    <row r="4648" spans="19:32" x14ac:dyDescent="0.35">
      <c r="S4648" s="780"/>
      <c r="T4648" s="928"/>
      <c r="U4648" s="928"/>
      <c r="V4648" s="928"/>
      <c r="W4648" s="780"/>
      <c r="X4648" s="782">
        <v>4644</v>
      </c>
      <c r="Y4648" s="782" t="s">
        <v>2248</v>
      </c>
      <c r="Z4648" s="782" t="s">
        <v>4011</v>
      </c>
      <c r="AA4648" s="781">
        <f>$S$1*P!AA4648</f>
        <v>0.76088709677419364</v>
      </c>
      <c r="AB4648" s="780"/>
      <c r="AC4648" s="780"/>
      <c r="AD4648" s="780"/>
      <c r="AE4648" s="780"/>
      <c r="AF4648" s="780"/>
    </row>
    <row r="4649" spans="19:32" x14ac:dyDescent="0.35">
      <c r="S4649" s="780"/>
      <c r="T4649" s="928"/>
      <c r="U4649" s="928"/>
      <c r="V4649" s="928"/>
      <c r="W4649" s="780"/>
      <c r="X4649" s="782">
        <v>4645</v>
      </c>
      <c r="Y4649" s="782" t="s">
        <v>2248</v>
      </c>
      <c r="Z4649" s="782" t="s">
        <v>4122</v>
      </c>
      <c r="AA4649" s="781">
        <f>$S$1*P!AA4649</f>
        <v>3.2183467741935488E-7</v>
      </c>
      <c r="AB4649" s="780"/>
      <c r="AC4649" s="780"/>
      <c r="AD4649" s="780"/>
      <c r="AE4649" s="780"/>
      <c r="AF4649" s="780"/>
    </row>
    <row r="4650" spans="19:32" x14ac:dyDescent="0.35">
      <c r="S4650" s="780"/>
      <c r="T4650" s="928"/>
      <c r="U4650" s="928"/>
      <c r="V4650" s="928"/>
      <c r="W4650" s="780"/>
      <c r="X4650" s="782">
        <v>4646</v>
      </c>
      <c r="Y4650" s="782" t="s">
        <v>2248</v>
      </c>
      <c r="Z4650" s="782" t="s">
        <v>4010</v>
      </c>
      <c r="AA4650" s="781">
        <f>$S$1*P!AA4650</f>
        <v>2.882459677419355E-2</v>
      </c>
      <c r="AB4650" s="780"/>
      <c r="AC4650" s="780"/>
      <c r="AD4650" s="780"/>
      <c r="AE4650" s="780"/>
      <c r="AF4650" s="780"/>
    </row>
    <row r="4651" spans="19:32" x14ac:dyDescent="0.35">
      <c r="S4651" s="780"/>
      <c r="T4651" s="928"/>
      <c r="U4651" s="928"/>
      <c r="V4651" s="928"/>
      <c r="W4651" s="780"/>
      <c r="X4651" s="881">
        <v>4647</v>
      </c>
      <c r="Y4651" s="881" t="s">
        <v>2248</v>
      </c>
      <c r="Z4651" s="881" t="s">
        <v>4121</v>
      </c>
      <c r="AA4651" s="890">
        <f>$S$1*P!AA4651</f>
        <v>3.7358870967741938E-2</v>
      </c>
      <c r="AB4651" s="780"/>
      <c r="AC4651" s="780"/>
      <c r="AD4651" s="780"/>
      <c r="AE4651" s="780"/>
      <c r="AF4651" s="780"/>
    </row>
    <row r="4652" spans="19:32" x14ac:dyDescent="0.35">
      <c r="S4652" s="780"/>
      <c r="T4652" s="928"/>
      <c r="U4652" s="928"/>
      <c r="V4652" s="928"/>
      <c r="W4652" s="780"/>
      <c r="X4652" s="881">
        <v>4648</v>
      </c>
      <c r="Y4652" s="881" t="s">
        <v>2248</v>
      </c>
      <c r="Z4652" s="881" t="s">
        <v>2495</v>
      </c>
      <c r="AA4652" s="890">
        <f>$S$1*P!AA4652</f>
        <v>0</v>
      </c>
      <c r="AB4652" s="780"/>
      <c r="AC4652" s="780"/>
      <c r="AD4652" s="780"/>
      <c r="AE4652" s="780"/>
      <c r="AF4652" s="780"/>
    </row>
    <row r="4653" spans="19:32" x14ac:dyDescent="0.35">
      <c r="S4653" s="780"/>
      <c r="T4653" s="928"/>
      <c r="U4653" s="928"/>
      <c r="V4653" s="928"/>
      <c r="W4653" s="780"/>
      <c r="X4653" s="782">
        <v>4649</v>
      </c>
      <c r="Y4653" s="782" t="s">
        <v>2248</v>
      </c>
      <c r="Z4653" s="782" t="s">
        <v>2495</v>
      </c>
      <c r="AA4653" s="781">
        <f>$S$1*P!AA4653</f>
        <v>7.5403225806451619E-6</v>
      </c>
      <c r="AB4653" s="780"/>
      <c r="AC4653" s="780"/>
      <c r="AD4653" s="780"/>
      <c r="AE4653" s="780"/>
      <c r="AF4653" s="780"/>
    </row>
    <row r="4654" spans="19:32" x14ac:dyDescent="0.35">
      <c r="S4654" s="780"/>
      <c r="T4654" s="928"/>
      <c r="U4654" s="928"/>
      <c r="V4654" s="928"/>
      <c r="W4654" s="780"/>
      <c r="X4654" s="782">
        <v>4650</v>
      </c>
      <c r="Y4654" s="782" t="s">
        <v>2248</v>
      </c>
      <c r="Z4654" s="782" t="s">
        <v>4008</v>
      </c>
      <c r="AA4654" s="781">
        <f>$S$1*P!AA4654</f>
        <v>2.1489919354838711E-5</v>
      </c>
      <c r="AB4654" s="780"/>
      <c r="AC4654" s="780"/>
      <c r="AD4654" s="780"/>
      <c r="AE4654" s="780"/>
      <c r="AF4654" s="780"/>
    </row>
    <row r="4655" spans="19:32" x14ac:dyDescent="0.35">
      <c r="S4655" s="780"/>
      <c r="T4655" s="928"/>
      <c r="U4655" s="928"/>
      <c r="V4655" s="928"/>
      <c r="W4655" s="780"/>
      <c r="X4655" s="881">
        <v>4651</v>
      </c>
      <c r="Y4655" s="881" t="s">
        <v>2248</v>
      </c>
      <c r="Z4655" s="881" t="s">
        <v>4120</v>
      </c>
      <c r="AA4655" s="890">
        <f>$S$1*P!AA4655</f>
        <v>5.3810483870967745E-6</v>
      </c>
      <c r="AB4655" s="780"/>
      <c r="AC4655" s="780"/>
      <c r="AD4655" s="780"/>
      <c r="AE4655" s="780"/>
      <c r="AF4655" s="780"/>
    </row>
    <row r="4656" spans="19:32" x14ac:dyDescent="0.35">
      <c r="S4656" s="780"/>
      <c r="T4656" s="928"/>
      <c r="U4656" s="928"/>
      <c r="V4656" s="928"/>
      <c r="W4656" s="780"/>
      <c r="X4656" s="782">
        <v>4652</v>
      </c>
      <c r="Y4656" s="782" t="s">
        <v>2248</v>
      </c>
      <c r="Z4656" s="782" t="s">
        <v>4119</v>
      </c>
      <c r="AA4656" s="781">
        <f>$S$1*P!AA4656</f>
        <v>4.1471774193548391E-5</v>
      </c>
      <c r="AB4656" s="780"/>
      <c r="AC4656" s="780"/>
      <c r="AD4656" s="780"/>
      <c r="AE4656" s="780"/>
      <c r="AF4656" s="780"/>
    </row>
    <row r="4657" spans="19:32" x14ac:dyDescent="0.35">
      <c r="S4657" s="780"/>
      <c r="T4657" s="928"/>
      <c r="U4657" s="928"/>
      <c r="V4657" s="928"/>
      <c r="W4657" s="780"/>
      <c r="X4657" s="782">
        <v>4653</v>
      </c>
      <c r="Y4657" s="782" t="s">
        <v>2248</v>
      </c>
      <c r="Z4657" s="782" t="s">
        <v>4007</v>
      </c>
      <c r="AA4657" s="781">
        <f>$S$1*P!AA4657</f>
        <v>1.2612903225806453E-2</v>
      </c>
      <c r="AB4657" s="780"/>
      <c r="AC4657" s="780"/>
      <c r="AD4657" s="780"/>
      <c r="AE4657" s="780"/>
      <c r="AF4657" s="780"/>
    </row>
    <row r="4658" spans="19:32" x14ac:dyDescent="0.35">
      <c r="S4658" s="780"/>
      <c r="T4658" s="928"/>
      <c r="U4658" s="928"/>
      <c r="V4658" s="928"/>
      <c r="W4658" s="780"/>
      <c r="X4658" s="782">
        <v>4654</v>
      </c>
      <c r="Y4658" s="782" t="s">
        <v>2248</v>
      </c>
      <c r="Z4658" s="782" t="s">
        <v>4005</v>
      </c>
      <c r="AA4658" s="781">
        <f>$S$1*P!AA4658</f>
        <v>5.3125000000000004E-5</v>
      </c>
      <c r="AB4658" s="780"/>
      <c r="AC4658" s="780"/>
      <c r="AD4658" s="780"/>
      <c r="AE4658" s="780"/>
      <c r="AF4658" s="780"/>
    </row>
    <row r="4659" spans="19:32" x14ac:dyDescent="0.35">
      <c r="S4659" s="780"/>
      <c r="T4659" s="928"/>
      <c r="U4659" s="928"/>
      <c r="V4659" s="928"/>
      <c r="W4659" s="780"/>
      <c r="X4659" s="881">
        <v>4655</v>
      </c>
      <c r="Y4659" s="881" t="s">
        <v>2248</v>
      </c>
      <c r="Z4659" s="881" t="s">
        <v>2493</v>
      </c>
      <c r="AA4659" s="890">
        <f>$S$1*P!AA4659</f>
        <v>9.3840000000000007E-2</v>
      </c>
      <c r="AB4659" s="780"/>
      <c r="AC4659" s="780"/>
      <c r="AD4659" s="780"/>
      <c r="AE4659" s="780"/>
      <c r="AF4659" s="780"/>
    </row>
    <row r="4660" spans="19:32" x14ac:dyDescent="0.35">
      <c r="S4660" s="780"/>
      <c r="T4660" s="928"/>
      <c r="U4660" s="928"/>
      <c r="V4660" s="928"/>
      <c r="W4660" s="780"/>
      <c r="X4660" s="782">
        <v>4656</v>
      </c>
      <c r="Y4660" s="782" t="s">
        <v>2248</v>
      </c>
      <c r="Z4660" s="782" t="s">
        <v>2493</v>
      </c>
      <c r="AA4660" s="781">
        <f>$S$1*P!AA4660</f>
        <v>1.8816532258064518E-4</v>
      </c>
      <c r="AB4660" s="780"/>
      <c r="AC4660" s="780"/>
      <c r="AD4660" s="780"/>
      <c r="AE4660" s="780"/>
      <c r="AF4660" s="780"/>
    </row>
    <row r="4661" spans="19:32" x14ac:dyDescent="0.35">
      <c r="S4661" s="780"/>
      <c r="T4661" s="928"/>
      <c r="U4661" s="928"/>
      <c r="V4661" s="928"/>
      <c r="W4661" s="780"/>
      <c r="X4661" s="881">
        <v>4657</v>
      </c>
      <c r="Y4661" s="881" t="s">
        <v>2248</v>
      </c>
      <c r="Z4661" s="881" t="s">
        <v>3139</v>
      </c>
      <c r="AA4661" s="890">
        <f>$S$1*P!AA4661</f>
        <v>4.2842741935483875E-2</v>
      </c>
      <c r="AB4661" s="780"/>
      <c r="AC4661" s="780"/>
      <c r="AD4661" s="780"/>
      <c r="AE4661" s="780"/>
      <c r="AF4661" s="780"/>
    </row>
    <row r="4662" spans="19:32" x14ac:dyDescent="0.35">
      <c r="S4662" s="780"/>
      <c r="T4662" s="928"/>
      <c r="U4662" s="928"/>
      <c r="V4662" s="928"/>
      <c r="W4662" s="780"/>
      <c r="X4662" s="782">
        <v>4658</v>
      </c>
      <c r="Y4662" s="782" t="s">
        <v>2248</v>
      </c>
      <c r="Z4662" s="782" t="s">
        <v>2415</v>
      </c>
      <c r="AA4662" s="781">
        <f>$S$1*P!AA4662</f>
        <v>3.3485887096774199E-2</v>
      </c>
      <c r="AB4662" s="780"/>
      <c r="AC4662" s="780"/>
      <c r="AD4662" s="780"/>
      <c r="AE4662" s="780"/>
      <c r="AF4662" s="780"/>
    </row>
    <row r="4663" spans="19:32" x14ac:dyDescent="0.35">
      <c r="S4663" s="780"/>
      <c r="T4663" s="928"/>
      <c r="U4663" s="928"/>
      <c r="V4663" s="928"/>
      <c r="W4663" s="780"/>
      <c r="X4663" s="881">
        <v>4659</v>
      </c>
      <c r="Y4663" s="881" t="s">
        <v>2248</v>
      </c>
      <c r="Z4663" s="881" t="s">
        <v>2492</v>
      </c>
      <c r="AA4663" s="890">
        <f>$S$1*P!AA4663</f>
        <v>1.3800000000000001</v>
      </c>
      <c r="AB4663" s="780"/>
      <c r="AC4663" s="780"/>
      <c r="AD4663" s="780"/>
      <c r="AE4663" s="780"/>
      <c r="AF4663" s="780"/>
    </row>
    <row r="4664" spans="19:32" x14ac:dyDescent="0.35">
      <c r="S4664" s="780"/>
      <c r="T4664" s="928"/>
      <c r="U4664" s="928"/>
      <c r="V4664" s="928"/>
      <c r="W4664" s="780"/>
      <c r="X4664" s="782">
        <v>4660</v>
      </c>
      <c r="Y4664" s="782" t="s">
        <v>2248</v>
      </c>
      <c r="Z4664" s="782" t="s">
        <v>2492</v>
      </c>
      <c r="AA4664" s="781">
        <f>$S$1*P!AA4664</f>
        <v>6.8205645161290331E-3</v>
      </c>
      <c r="AB4664" s="780"/>
      <c r="AC4664" s="780"/>
      <c r="AD4664" s="780"/>
      <c r="AE4664" s="780"/>
      <c r="AF4664" s="780"/>
    </row>
    <row r="4665" spans="19:32" x14ac:dyDescent="0.35">
      <c r="S4665" s="780"/>
      <c r="T4665" s="928"/>
      <c r="U4665" s="928"/>
      <c r="V4665" s="928"/>
      <c r="W4665" s="780"/>
      <c r="X4665" s="782">
        <v>4661</v>
      </c>
      <c r="Y4665" s="782" t="s">
        <v>2248</v>
      </c>
      <c r="Z4665" s="782" t="s">
        <v>4003</v>
      </c>
      <c r="AA4665" s="781">
        <f>$S$1*P!AA4665</f>
        <v>7.1290322580645169E-5</v>
      </c>
      <c r="AB4665" s="780"/>
      <c r="AC4665" s="780"/>
      <c r="AD4665" s="780"/>
      <c r="AE4665" s="780"/>
      <c r="AF4665" s="780"/>
    </row>
    <row r="4666" spans="19:32" x14ac:dyDescent="0.35">
      <c r="S4666" s="780"/>
      <c r="T4666" s="928"/>
      <c r="U4666" s="928"/>
      <c r="V4666" s="928"/>
      <c r="W4666" s="780"/>
      <c r="X4666" s="782">
        <v>4662</v>
      </c>
      <c r="Y4666" s="782" t="s">
        <v>2248</v>
      </c>
      <c r="Z4666" s="782" t="s">
        <v>4118</v>
      </c>
      <c r="AA4666" s="781">
        <f>$S$1*P!AA4666</f>
        <v>5.0725806451612909E-3</v>
      </c>
      <c r="AB4666" s="780"/>
      <c r="AC4666" s="780"/>
      <c r="AD4666" s="780"/>
      <c r="AE4666" s="780"/>
      <c r="AF4666" s="780"/>
    </row>
    <row r="4667" spans="19:32" x14ac:dyDescent="0.35">
      <c r="S4667" s="780"/>
      <c r="T4667" s="928"/>
      <c r="U4667" s="928"/>
      <c r="V4667" s="928"/>
      <c r="W4667" s="780"/>
      <c r="X4667" s="881">
        <v>4663</v>
      </c>
      <c r="Y4667" s="881" t="s">
        <v>2248</v>
      </c>
      <c r="Z4667" s="881" t="s">
        <v>2490</v>
      </c>
      <c r="AA4667" s="890">
        <f>$S$1*P!AA4667</f>
        <v>0</v>
      </c>
      <c r="AB4667" s="780"/>
      <c r="AC4667" s="780"/>
      <c r="AD4667" s="780"/>
      <c r="AE4667" s="780"/>
      <c r="AF4667" s="780"/>
    </row>
    <row r="4668" spans="19:32" x14ac:dyDescent="0.35">
      <c r="S4668" s="780"/>
      <c r="T4668" s="928"/>
      <c r="U4668" s="928"/>
      <c r="V4668" s="928"/>
      <c r="W4668" s="780"/>
      <c r="X4668" s="782">
        <v>4664</v>
      </c>
      <c r="Y4668" s="782" t="s">
        <v>2248</v>
      </c>
      <c r="Z4668" s="782" t="s">
        <v>4002</v>
      </c>
      <c r="AA4668" s="781">
        <f>$S$1*P!AA4668</f>
        <v>2.6733870967741938E-5</v>
      </c>
      <c r="AB4668" s="780"/>
      <c r="AC4668" s="780"/>
      <c r="AD4668" s="780"/>
      <c r="AE4668" s="780"/>
      <c r="AF4668" s="780"/>
    </row>
    <row r="4669" spans="19:32" x14ac:dyDescent="0.35">
      <c r="S4669" s="780"/>
      <c r="T4669" s="928"/>
      <c r="U4669" s="928"/>
      <c r="V4669" s="928"/>
      <c r="W4669" s="780"/>
      <c r="X4669" s="881">
        <v>4665</v>
      </c>
      <c r="Y4669" s="881" t="s">
        <v>2248</v>
      </c>
      <c r="Z4669" s="881" t="s">
        <v>2488</v>
      </c>
      <c r="AA4669" s="890">
        <f>$S$1*P!AA4669</f>
        <v>0.24287999999999998</v>
      </c>
      <c r="AB4669" s="780"/>
      <c r="AC4669" s="780"/>
      <c r="AD4669" s="780"/>
      <c r="AE4669" s="780"/>
      <c r="AF4669" s="780"/>
    </row>
    <row r="4670" spans="19:32" x14ac:dyDescent="0.35">
      <c r="S4670" s="780"/>
      <c r="T4670" s="928"/>
      <c r="U4670" s="928"/>
      <c r="V4670" s="928"/>
      <c r="W4670" s="780"/>
      <c r="X4670" s="782">
        <v>4666</v>
      </c>
      <c r="Y4670" s="782" t="s">
        <v>2248</v>
      </c>
      <c r="Z4670" s="782" t="s">
        <v>2412</v>
      </c>
      <c r="AA4670" s="781">
        <f>$S$1*P!AA4670</f>
        <v>1.1756048387096776E-5</v>
      </c>
      <c r="AB4670" s="780"/>
      <c r="AC4670" s="780"/>
      <c r="AD4670" s="780"/>
      <c r="AE4670" s="780"/>
      <c r="AF4670" s="780"/>
    </row>
    <row r="4671" spans="19:32" x14ac:dyDescent="0.35">
      <c r="S4671" s="780"/>
      <c r="T4671" s="928"/>
      <c r="U4671" s="928"/>
      <c r="V4671" s="928"/>
      <c r="W4671" s="780"/>
      <c r="X4671" s="881">
        <v>4667</v>
      </c>
      <c r="Y4671" s="881" t="s">
        <v>2248</v>
      </c>
      <c r="Z4671" s="881" t="s">
        <v>3137</v>
      </c>
      <c r="AA4671" s="890">
        <f>$S$1*P!AA4671</f>
        <v>3.0881048387096776E-3</v>
      </c>
      <c r="AB4671" s="780"/>
      <c r="AC4671" s="780"/>
      <c r="AD4671" s="780"/>
      <c r="AE4671" s="780"/>
      <c r="AF4671" s="780"/>
    </row>
    <row r="4672" spans="19:32" x14ac:dyDescent="0.35">
      <c r="S4672" s="780"/>
      <c r="T4672" s="928"/>
      <c r="U4672" s="928"/>
      <c r="V4672" s="928"/>
      <c r="W4672" s="780"/>
      <c r="X4672" s="782">
        <v>4668</v>
      </c>
      <c r="Y4672" s="782" t="s">
        <v>2248</v>
      </c>
      <c r="Z4672" s="782" t="s">
        <v>4117</v>
      </c>
      <c r="AA4672" s="781">
        <f>$S$1*P!AA4672</f>
        <v>3.8729838709677424E-4</v>
      </c>
      <c r="AB4672" s="780"/>
      <c r="AC4672" s="780"/>
      <c r="AD4672" s="780"/>
      <c r="AE4672" s="780"/>
      <c r="AF4672" s="780"/>
    </row>
    <row r="4673" spans="19:32" x14ac:dyDescent="0.35">
      <c r="S4673" s="780"/>
      <c r="T4673" s="928"/>
      <c r="U4673" s="928"/>
      <c r="V4673" s="928"/>
      <c r="W4673" s="780"/>
      <c r="X4673" s="782">
        <v>4669</v>
      </c>
      <c r="Y4673" s="782" t="s">
        <v>2248</v>
      </c>
      <c r="Z4673" s="782" t="s">
        <v>3999</v>
      </c>
      <c r="AA4673" s="781">
        <f>$S$1*P!AA4673</f>
        <v>1.2578629032258066E-4</v>
      </c>
      <c r="AB4673" s="780"/>
      <c r="AC4673" s="780"/>
      <c r="AD4673" s="780"/>
      <c r="AE4673" s="780"/>
      <c r="AF4673" s="780"/>
    </row>
    <row r="4674" spans="19:32" x14ac:dyDescent="0.35">
      <c r="S4674" s="780"/>
      <c r="T4674" s="928"/>
      <c r="U4674" s="928"/>
      <c r="V4674" s="928"/>
      <c r="W4674" s="780"/>
      <c r="X4674" s="782">
        <v>4670</v>
      </c>
      <c r="Y4674" s="782" t="s">
        <v>2248</v>
      </c>
      <c r="Z4674" s="782" t="s">
        <v>4116</v>
      </c>
      <c r="AA4674" s="781">
        <f>$S$1*P!AA4674</f>
        <v>0.22552419354838713</v>
      </c>
      <c r="AB4674" s="780"/>
      <c r="AC4674" s="780"/>
      <c r="AD4674" s="780"/>
      <c r="AE4674" s="780"/>
      <c r="AF4674" s="780"/>
    </row>
    <row r="4675" spans="19:32" x14ac:dyDescent="0.35">
      <c r="S4675" s="780"/>
      <c r="T4675" s="928"/>
      <c r="U4675" s="928"/>
      <c r="V4675" s="928"/>
      <c r="W4675" s="780"/>
      <c r="X4675" s="782">
        <v>4671</v>
      </c>
      <c r="Y4675" s="782" t="s">
        <v>2248</v>
      </c>
      <c r="Z4675" s="782" t="s">
        <v>4115</v>
      </c>
      <c r="AA4675" s="781">
        <f>$S$1*P!AA4675</f>
        <v>3.7016129032258066E-3</v>
      </c>
      <c r="AB4675" s="780"/>
      <c r="AC4675" s="780"/>
      <c r="AD4675" s="780"/>
      <c r="AE4675" s="780"/>
      <c r="AF4675" s="780"/>
    </row>
    <row r="4676" spans="19:32" x14ac:dyDescent="0.35">
      <c r="S4676" s="780"/>
      <c r="T4676" s="928"/>
      <c r="U4676" s="928"/>
      <c r="V4676" s="928"/>
      <c r="W4676" s="780"/>
      <c r="X4676" s="782">
        <v>4672</v>
      </c>
      <c r="Y4676" s="782" t="s">
        <v>2248</v>
      </c>
      <c r="Z4676" s="782" t="s">
        <v>4114</v>
      </c>
      <c r="AA4676" s="781">
        <f>$S$1*P!AA4676</f>
        <v>4.4213709677419361E-5</v>
      </c>
      <c r="AB4676" s="780"/>
      <c r="AC4676" s="780"/>
      <c r="AD4676" s="780"/>
      <c r="AE4676" s="780"/>
      <c r="AF4676" s="780"/>
    </row>
    <row r="4677" spans="19:32" x14ac:dyDescent="0.35">
      <c r="S4677" s="780"/>
      <c r="T4677" s="928"/>
      <c r="U4677" s="928"/>
      <c r="V4677" s="928"/>
      <c r="W4677" s="780"/>
      <c r="X4677" s="782">
        <v>4673</v>
      </c>
      <c r="Y4677" s="782" t="s">
        <v>2248</v>
      </c>
      <c r="Z4677" s="782" t="s">
        <v>3998</v>
      </c>
      <c r="AA4677" s="781">
        <f>$S$1*P!AA4677</f>
        <v>2.1078629032258066E-2</v>
      </c>
      <c r="AB4677" s="780"/>
      <c r="AC4677" s="780"/>
      <c r="AD4677" s="780"/>
      <c r="AE4677" s="780"/>
      <c r="AF4677" s="780"/>
    </row>
    <row r="4678" spans="19:32" x14ac:dyDescent="0.35">
      <c r="S4678" s="780"/>
      <c r="T4678" s="928"/>
      <c r="U4678" s="928"/>
      <c r="V4678" s="928"/>
      <c r="W4678" s="780"/>
      <c r="X4678" s="782">
        <v>4674</v>
      </c>
      <c r="Y4678" s="782" t="s">
        <v>2248</v>
      </c>
      <c r="Z4678" s="782" t="s">
        <v>4113</v>
      </c>
      <c r="AA4678" s="781">
        <f>$S$1*P!AA4678</f>
        <v>6.5463709677419363E-5</v>
      </c>
      <c r="AB4678" s="780"/>
      <c r="AC4678" s="780"/>
      <c r="AD4678" s="780"/>
      <c r="AE4678" s="780"/>
      <c r="AF4678" s="780"/>
    </row>
    <row r="4679" spans="19:32" x14ac:dyDescent="0.35">
      <c r="S4679" s="780"/>
      <c r="T4679" s="928"/>
      <c r="U4679" s="928"/>
      <c r="V4679" s="928"/>
      <c r="W4679" s="780"/>
      <c r="X4679" s="782">
        <v>4675</v>
      </c>
      <c r="Y4679" s="782" t="s">
        <v>2248</v>
      </c>
      <c r="Z4679" s="782" t="s">
        <v>2410</v>
      </c>
      <c r="AA4679" s="781">
        <f>$S$1*P!AA4679</f>
        <v>1.8199596774193552E-5</v>
      </c>
      <c r="AB4679" s="780"/>
      <c r="AC4679" s="780"/>
      <c r="AD4679" s="780"/>
      <c r="AE4679" s="780"/>
      <c r="AF4679" s="780"/>
    </row>
    <row r="4680" spans="19:32" x14ac:dyDescent="0.35">
      <c r="S4680" s="780"/>
      <c r="T4680" s="928"/>
      <c r="U4680" s="928"/>
      <c r="V4680" s="928"/>
      <c r="W4680" s="780"/>
      <c r="X4680" s="881">
        <v>4676</v>
      </c>
      <c r="Y4680" s="881" t="s">
        <v>2248</v>
      </c>
      <c r="Z4680" s="881" t="s">
        <v>2487</v>
      </c>
      <c r="AA4680" s="890">
        <f>$S$1*P!AA4680</f>
        <v>0</v>
      </c>
      <c r="AB4680" s="780"/>
      <c r="AC4680" s="780"/>
      <c r="AD4680" s="780"/>
      <c r="AE4680" s="780"/>
      <c r="AF4680" s="780"/>
    </row>
    <row r="4681" spans="19:32" x14ac:dyDescent="0.35">
      <c r="S4681" s="780"/>
      <c r="T4681" s="928"/>
      <c r="U4681" s="928"/>
      <c r="V4681" s="928"/>
      <c r="W4681" s="780"/>
      <c r="X4681" s="881">
        <v>4677</v>
      </c>
      <c r="Y4681" s="881" t="s">
        <v>2248</v>
      </c>
      <c r="Z4681" s="881" t="s">
        <v>4112</v>
      </c>
      <c r="AA4681" s="890">
        <f>$S$1*P!AA4681</f>
        <v>2.0633064516129032E-4</v>
      </c>
      <c r="AB4681" s="780"/>
      <c r="AC4681" s="780"/>
      <c r="AD4681" s="780"/>
      <c r="AE4681" s="780"/>
      <c r="AF4681" s="780"/>
    </row>
    <row r="4682" spans="19:32" x14ac:dyDescent="0.35">
      <c r="S4682" s="780"/>
      <c r="T4682" s="928"/>
      <c r="U4682" s="928"/>
      <c r="V4682" s="928"/>
      <c r="W4682" s="780"/>
      <c r="X4682" s="782">
        <v>4678</v>
      </c>
      <c r="Y4682" s="782" t="s">
        <v>2248</v>
      </c>
      <c r="Z4682" s="782" t="s">
        <v>2487</v>
      </c>
      <c r="AA4682" s="781">
        <f>$S$1*P!AA4682</f>
        <v>3.6330645161290324E-3</v>
      </c>
      <c r="AB4682" s="780"/>
      <c r="AC4682" s="780"/>
      <c r="AD4682" s="780"/>
      <c r="AE4682" s="780"/>
      <c r="AF4682" s="780"/>
    </row>
    <row r="4683" spans="19:32" x14ac:dyDescent="0.35">
      <c r="S4683" s="780"/>
      <c r="T4683" s="928"/>
      <c r="U4683" s="928"/>
      <c r="V4683" s="928"/>
      <c r="W4683" s="780"/>
      <c r="X4683" s="782">
        <v>4679</v>
      </c>
      <c r="Y4683" s="782" t="s">
        <v>2248</v>
      </c>
      <c r="Z4683" s="782" t="s">
        <v>3995</v>
      </c>
      <c r="AA4683" s="781">
        <f>$S$1*P!AA4683</f>
        <v>1.9433467741935484E-5</v>
      </c>
      <c r="AB4683" s="780"/>
      <c r="AC4683" s="780"/>
      <c r="AD4683" s="780"/>
      <c r="AE4683" s="780"/>
      <c r="AF4683" s="780"/>
    </row>
    <row r="4684" spans="19:32" x14ac:dyDescent="0.35">
      <c r="S4684" s="780"/>
      <c r="T4684" s="928"/>
      <c r="U4684" s="928"/>
      <c r="V4684" s="928"/>
      <c r="W4684" s="780"/>
      <c r="X4684" s="782">
        <v>4680</v>
      </c>
      <c r="Y4684" s="782" t="s">
        <v>2248</v>
      </c>
      <c r="Z4684" s="782" t="s">
        <v>4111</v>
      </c>
      <c r="AA4684" s="781">
        <f>$S$1*P!AA4684</f>
        <v>1.0145161290322582E-2</v>
      </c>
      <c r="AB4684" s="780"/>
      <c r="AC4684" s="780"/>
      <c r="AD4684" s="780"/>
      <c r="AE4684" s="780"/>
      <c r="AF4684" s="780"/>
    </row>
    <row r="4685" spans="19:32" x14ac:dyDescent="0.35">
      <c r="S4685" s="780"/>
      <c r="T4685" s="928"/>
      <c r="U4685" s="928"/>
      <c r="V4685" s="928"/>
      <c r="W4685" s="780"/>
      <c r="X4685" s="782">
        <v>4681</v>
      </c>
      <c r="Y4685" s="782" t="s">
        <v>2248</v>
      </c>
      <c r="Z4685" s="782" t="s">
        <v>3994</v>
      </c>
      <c r="AA4685" s="781">
        <f>$S$1*P!AA4685</f>
        <v>1.0727822580645161E-3</v>
      </c>
      <c r="AB4685" s="780"/>
      <c r="AC4685" s="780"/>
      <c r="AD4685" s="780"/>
      <c r="AE4685" s="780"/>
      <c r="AF4685" s="780"/>
    </row>
    <row r="4686" spans="19:32" x14ac:dyDescent="0.35">
      <c r="S4686" s="780"/>
      <c r="T4686" s="928"/>
      <c r="U4686" s="928"/>
      <c r="V4686" s="928"/>
      <c r="W4686" s="780"/>
      <c r="X4686" s="782">
        <v>4682</v>
      </c>
      <c r="Y4686" s="782" t="s">
        <v>2248</v>
      </c>
      <c r="Z4686" s="782" t="s">
        <v>4110</v>
      </c>
      <c r="AA4686" s="781">
        <f>$S$1*P!AA4686</f>
        <v>2.4266129032258065E-3</v>
      </c>
      <c r="AB4686" s="780"/>
      <c r="AC4686" s="780"/>
      <c r="AD4686" s="780"/>
      <c r="AE4686" s="780"/>
      <c r="AF4686" s="780"/>
    </row>
    <row r="4687" spans="19:32" x14ac:dyDescent="0.35">
      <c r="S4687" s="780"/>
      <c r="T4687" s="928"/>
      <c r="U4687" s="928"/>
      <c r="V4687" s="928"/>
      <c r="W4687" s="780"/>
      <c r="X4687" s="782">
        <v>4683</v>
      </c>
      <c r="Y4687" s="782" t="s">
        <v>2248</v>
      </c>
      <c r="Z4687" s="782" t="s">
        <v>4109</v>
      </c>
      <c r="AA4687" s="781">
        <f>$S$1*P!AA4687</f>
        <v>1.5663306451612905E-4</v>
      </c>
      <c r="AB4687" s="780"/>
      <c r="AC4687" s="780"/>
      <c r="AD4687" s="780"/>
      <c r="AE4687" s="780"/>
      <c r="AF4687" s="780"/>
    </row>
    <row r="4688" spans="19:32" x14ac:dyDescent="0.35">
      <c r="S4688" s="780"/>
      <c r="T4688" s="928"/>
      <c r="U4688" s="928"/>
      <c r="V4688" s="928"/>
      <c r="W4688" s="780"/>
      <c r="X4688" s="782">
        <v>4684</v>
      </c>
      <c r="Y4688" s="782" t="s">
        <v>2248</v>
      </c>
      <c r="Z4688" s="782" t="s">
        <v>3992</v>
      </c>
      <c r="AA4688" s="781">
        <f>$S$1*P!AA4688</f>
        <v>1.6383064516129035E-2</v>
      </c>
      <c r="AB4688" s="780"/>
      <c r="AC4688" s="780"/>
      <c r="AD4688" s="780"/>
      <c r="AE4688" s="780"/>
      <c r="AF4688" s="780"/>
    </row>
    <row r="4689" spans="19:32" x14ac:dyDescent="0.35">
      <c r="S4689" s="780"/>
      <c r="T4689" s="928"/>
      <c r="U4689" s="928"/>
      <c r="V4689" s="928"/>
      <c r="W4689" s="780"/>
      <c r="X4689" s="881">
        <v>4685</v>
      </c>
      <c r="Y4689" s="881" t="s">
        <v>2248</v>
      </c>
      <c r="Z4689" s="881" t="s">
        <v>2485</v>
      </c>
      <c r="AA4689" s="890">
        <f>$S$1*P!AA4689</f>
        <v>1.7203999999999997E-2</v>
      </c>
      <c r="AB4689" s="780"/>
      <c r="AC4689" s="780"/>
      <c r="AD4689" s="780"/>
      <c r="AE4689" s="780"/>
      <c r="AF4689" s="780"/>
    </row>
    <row r="4690" spans="19:32" x14ac:dyDescent="0.35">
      <c r="S4690" s="780"/>
      <c r="T4690" s="928"/>
      <c r="U4690" s="928"/>
      <c r="V4690" s="928"/>
      <c r="W4690" s="780"/>
      <c r="X4690" s="782">
        <v>4686</v>
      </c>
      <c r="Y4690" s="782" t="s">
        <v>2248</v>
      </c>
      <c r="Z4690" s="782" t="s">
        <v>3991</v>
      </c>
      <c r="AA4690" s="781">
        <f>$S$1*P!AA4690</f>
        <v>3.770161290322581</v>
      </c>
      <c r="AB4690" s="780"/>
      <c r="AC4690" s="780"/>
      <c r="AD4690" s="780"/>
      <c r="AE4690" s="780"/>
      <c r="AF4690" s="780"/>
    </row>
    <row r="4691" spans="19:32" x14ac:dyDescent="0.35">
      <c r="S4691" s="780"/>
      <c r="T4691" s="928"/>
      <c r="U4691" s="928"/>
      <c r="V4691" s="928"/>
      <c r="W4691" s="780"/>
      <c r="X4691" s="782">
        <v>4687</v>
      </c>
      <c r="Y4691" s="782" t="s">
        <v>2248</v>
      </c>
      <c r="Z4691" s="782" t="s">
        <v>4108</v>
      </c>
      <c r="AA4691" s="781">
        <f>$S$1*P!AA4691</f>
        <v>1.1653225806451613E-4</v>
      </c>
      <c r="AB4691" s="780"/>
      <c r="AC4691" s="780"/>
      <c r="AD4691" s="780"/>
      <c r="AE4691" s="780"/>
      <c r="AF4691" s="780"/>
    </row>
    <row r="4692" spans="19:32" x14ac:dyDescent="0.35">
      <c r="S4692" s="780"/>
      <c r="T4692" s="928"/>
      <c r="U4692" s="928"/>
      <c r="V4692" s="928"/>
      <c r="W4692" s="780"/>
      <c r="X4692" s="881">
        <v>4688</v>
      </c>
      <c r="Y4692" s="881" t="s">
        <v>2248</v>
      </c>
      <c r="Z4692" s="881" t="s">
        <v>4107</v>
      </c>
      <c r="AA4692" s="890">
        <f>$S$1*P!AA4692</f>
        <v>1.6828629032258065E-2</v>
      </c>
      <c r="AB4692" s="780"/>
      <c r="AC4692" s="780"/>
      <c r="AD4692" s="780"/>
      <c r="AE4692" s="780"/>
      <c r="AF4692" s="780"/>
    </row>
    <row r="4693" spans="19:32" x14ac:dyDescent="0.35">
      <c r="S4693" s="780"/>
      <c r="T4693" s="928"/>
      <c r="U4693" s="928"/>
      <c r="V4693" s="928"/>
      <c r="W4693" s="780"/>
      <c r="X4693" s="782">
        <v>4689</v>
      </c>
      <c r="Y4693" s="782" t="s">
        <v>2248</v>
      </c>
      <c r="Z4693" s="782" t="s">
        <v>3990</v>
      </c>
      <c r="AA4693" s="781">
        <f>$S$1*P!AA4693</f>
        <v>4.1129032258064517E-2</v>
      </c>
      <c r="AB4693" s="780"/>
      <c r="AC4693" s="780"/>
      <c r="AD4693" s="780"/>
      <c r="AE4693" s="780"/>
      <c r="AF4693" s="780"/>
    </row>
    <row r="4694" spans="19:32" x14ac:dyDescent="0.35">
      <c r="S4694" s="780"/>
      <c r="T4694" s="928"/>
      <c r="U4694" s="928"/>
      <c r="V4694" s="928"/>
      <c r="W4694" s="780"/>
      <c r="X4694" s="881">
        <v>4690</v>
      </c>
      <c r="Y4694" s="881" t="s">
        <v>2248</v>
      </c>
      <c r="Z4694" s="881" t="s">
        <v>2484</v>
      </c>
      <c r="AA4694" s="890">
        <f>$S$1*P!AA4694</f>
        <v>5.6948000000000003E-4</v>
      </c>
      <c r="AB4694" s="780"/>
      <c r="AC4694" s="780"/>
      <c r="AD4694" s="780"/>
      <c r="AE4694" s="780"/>
      <c r="AF4694" s="780"/>
    </row>
    <row r="4695" spans="19:32" x14ac:dyDescent="0.35">
      <c r="S4695" s="780"/>
      <c r="T4695" s="928"/>
      <c r="U4695" s="928"/>
      <c r="V4695" s="928"/>
      <c r="W4695" s="780"/>
      <c r="X4695" s="782">
        <v>4691</v>
      </c>
      <c r="Y4695" s="782" t="s">
        <v>2248</v>
      </c>
      <c r="Z4695" s="782" t="s">
        <v>2484</v>
      </c>
      <c r="AA4695" s="781">
        <f>$S$1*P!AA4695</f>
        <v>1.3572580645161293E-3</v>
      </c>
      <c r="AB4695" s="780"/>
      <c r="AC4695" s="780"/>
      <c r="AD4695" s="780"/>
      <c r="AE4695" s="780"/>
      <c r="AF4695" s="780"/>
    </row>
    <row r="4696" spans="19:32" x14ac:dyDescent="0.35">
      <c r="S4696" s="780"/>
      <c r="T4696" s="928"/>
      <c r="U4696" s="928"/>
      <c r="V4696" s="928"/>
      <c r="W4696" s="780"/>
      <c r="X4696" s="782">
        <v>4692</v>
      </c>
      <c r="Y4696" s="782" t="s">
        <v>2248</v>
      </c>
      <c r="Z4696" s="782" t="s">
        <v>3989</v>
      </c>
      <c r="AA4696" s="781">
        <f>$S$1*P!AA4696</f>
        <v>3.4274193548387101E-4</v>
      </c>
      <c r="AB4696" s="780"/>
      <c r="AC4696" s="780"/>
      <c r="AD4696" s="780"/>
      <c r="AE4696" s="780"/>
      <c r="AF4696" s="780"/>
    </row>
    <row r="4697" spans="19:32" x14ac:dyDescent="0.35">
      <c r="S4697" s="780"/>
      <c r="T4697" s="928"/>
      <c r="U4697" s="928"/>
      <c r="V4697" s="928"/>
      <c r="W4697" s="780"/>
      <c r="X4697" s="881">
        <v>4693</v>
      </c>
      <c r="Y4697" s="881" t="s">
        <v>2248</v>
      </c>
      <c r="Z4697" s="881" t="s">
        <v>4106</v>
      </c>
      <c r="AA4697" s="890">
        <f>$S$1*P!AA4697</f>
        <v>1.3264112903225807E-10</v>
      </c>
      <c r="AB4697" s="780"/>
      <c r="AC4697" s="780"/>
      <c r="AD4697" s="780"/>
      <c r="AE4697" s="780"/>
      <c r="AF4697" s="780"/>
    </row>
    <row r="4698" spans="19:32" x14ac:dyDescent="0.35">
      <c r="S4698" s="780"/>
      <c r="T4698" s="928"/>
      <c r="U4698" s="928"/>
      <c r="V4698" s="928"/>
      <c r="W4698" s="780"/>
      <c r="X4698" s="782">
        <v>4694</v>
      </c>
      <c r="Y4698" s="782" t="s">
        <v>2248</v>
      </c>
      <c r="Z4698" s="782" t="s">
        <v>4105</v>
      </c>
      <c r="AA4698" s="781">
        <f>$S$1*P!AA4698</f>
        <v>7.3689516129032259E-5</v>
      </c>
      <c r="AB4698" s="780"/>
      <c r="AC4698" s="780"/>
      <c r="AD4698" s="780"/>
      <c r="AE4698" s="780"/>
      <c r="AF4698" s="780"/>
    </row>
    <row r="4699" spans="19:32" x14ac:dyDescent="0.35">
      <c r="S4699" s="780"/>
      <c r="T4699" s="928"/>
      <c r="U4699" s="928"/>
      <c r="V4699" s="928"/>
      <c r="W4699" s="780"/>
      <c r="X4699" s="782">
        <v>4695</v>
      </c>
      <c r="Y4699" s="782" t="s">
        <v>2248</v>
      </c>
      <c r="Z4699" s="782" t="s">
        <v>3988</v>
      </c>
      <c r="AA4699" s="781">
        <f>$S$1*P!AA4699</f>
        <v>6.9919354838709676E-6</v>
      </c>
      <c r="AB4699" s="780"/>
      <c r="AC4699" s="780"/>
      <c r="AD4699" s="780"/>
      <c r="AE4699" s="780"/>
      <c r="AF4699" s="780"/>
    </row>
    <row r="4700" spans="19:32" x14ac:dyDescent="0.35">
      <c r="S4700" s="780"/>
      <c r="T4700" s="928"/>
      <c r="U4700" s="928"/>
      <c r="V4700" s="928"/>
      <c r="W4700" s="780"/>
      <c r="X4700" s="782">
        <v>4696</v>
      </c>
      <c r="Y4700" s="782" t="s">
        <v>2248</v>
      </c>
      <c r="Z4700" s="782" t="s">
        <v>4104</v>
      </c>
      <c r="AA4700" s="781">
        <f>$S$1*P!AA4700</f>
        <v>5.6895161290322583E-3</v>
      </c>
      <c r="AB4700" s="780"/>
      <c r="AC4700" s="780"/>
      <c r="AD4700" s="780"/>
      <c r="AE4700" s="780"/>
      <c r="AF4700" s="780"/>
    </row>
    <row r="4701" spans="19:32" x14ac:dyDescent="0.35">
      <c r="S4701" s="780"/>
      <c r="T4701" s="928"/>
      <c r="U4701" s="928"/>
      <c r="V4701" s="928"/>
      <c r="W4701" s="780"/>
      <c r="X4701" s="881">
        <v>4697</v>
      </c>
      <c r="Y4701" s="881" t="s">
        <v>2248</v>
      </c>
      <c r="Z4701" s="881" t="s">
        <v>3136</v>
      </c>
      <c r="AA4701" s="890">
        <f>$S$1*P!AA4701</f>
        <v>3.4034274193548386E-5</v>
      </c>
      <c r="AB4701" s="780"/>
      <c r="AC4701" s="780"/>
      <c r="AD4701" s="780"/>
      <c r="AE4701" s="780"/>
      <c r="AF4701" s="780"/>
    </row>
    <row r="4702" spans="19:32" x14ac:dyDescent="0.35">
      <c r="S4702" s="780"/>
      <c r="T4702" s="928"/>
      <c r="U4702" s="928"/>
      <c r="V4702" s="928"/>
      <c r="W4702" s="780"/>
      <c r="X4702" s="782">
        <v>4698</v>
      </c>
      <c r="Y4702" s="782" t="s">
        <v>2248</v>
      </c>
      <c r="Z4702" s="782" t="s">
        <v>3986</v>
      </c>
      <c r="AA4702" s="781">
        <f>$S$1*P!AA4702</f>
        <v>2.6493951612903226</v>
      </c>
      <c r="AB4702" s="780"/>
      <c r="AC4702" s="780"/>
      <c r="AD4702" s="780"/>
      <c r="AE4702" s="780"/>
      <c r="AF4702" s="780"/>
    </row>
    <row r="4703" spans="19:32" x14ac:dyDescent="0.35">
      <c r="S4703" s="780"/>
      <c r="T4703" s="928"/>
      <c r="U4703" s="928"/>
      <c r="V4703" s="928"/>
      <c r="W4703" s="780"/>
      <c r="X4703" s="782">
        <v>4699</v>
      </c>
      <c r="Y4703" s="782" t="s">
        <v>2248</v>
      </c>
      <c r="Z4703" s="782" t="s">
        <v>4103</v>
      </c>
      <c r="AA4703" s="781">
        <f>$S$1*P!AA4703</f>
        <v>0.1607459677419355</v>
      </c>
      <c r="AB4703" s="780"/>
      <c r="AC4703" s="780"/>
      <c r="AD4703" s="780"/>
      <c r="AE4703" s="780"/>
      <c r="AF4703" s="780"/>
    </row>
    <row r="4704" spans="19:32" x14ac:dyDescent="0.35">
      <c r="S4704" s="780"/>
      <c r="T4704" s="928"/>
      <c r="U4704" s="928"/>
      <c r="V4704" s="928"/>
      <c r="W4704" s="780"/>
      <c r="X4704" s="782">
        <v>4700</v>
      </c>
      <c r="Y4704" s="782" t="s">
        <v>2248</v>
      </c>
      <c r="Z4704" s="782" t="s">
        <v>4102</v>
      </c>
      <c r="AA4704" s="781">
        <f>$S$1*P!AA4704</f>
        <v>1.9536290322580648E-2</v>
      </c>
      <c r="AB4704" s="780"/>
      <c r="AC4704" s="780"/>
      <c r="AD4704" s="780"/>
      <c r="AE4704" s="780"/>
      <c r="AF4704" s="780"/>
    </row>
    <row r="4705" spans="19:32" x14ac:dyDescent="0.35">
      <c r="S4705" s="780"/>
      <c r="T4705" s="928"/>
      <c r="U4705" s="928"/>
      <c r="V4705" s="928"/>
      <c r="W4705" s="780"/>
      <c r="X4705" s="782">
        <v>4701</v>
      </c>
      <c r="Y4705" s="782" t="s">
        <v>2248</v>
      </c>
      <c r="Z4705" s="782" t="s">
        <v>3985</v>
      </c>
      <c r="AA4705" s="781">
        <f>$S$1*P!AA4705</f>
        <v>6.1350806451612909E-3</v>
      </c>
      <c r="AB4705" s="780"/>
      <c r="AC4705" s="780"/>
      <c r="AD4705" s="780"/>
      <c r="AE4705" s="780"/>
      <c r="AF4705" s="780"/>
    </row>
    <row r="4706" spans="19:32" x14ac:dyDescent="0.35">
      <c r="S4706" s="780"/>
      <c r="T4706" s="928"/>
      <c r="U4706" s="928"/>
      <c r="V4706" s="928"/>
      <c r="W4706" s="780"/>
      <c r="X4706" s="881">
        <v>4702</v>
      </c>
      <c r="Y4706" s="881" t="s">
        <v>2248</v>
      </c>
      <c r="Z4706" s="881" t="s">
        <v>3134</v>
      </c>
      <c r="AA4706" s="890">
        <f>$S$1*P!AA4706</f>
        <v>7.7116935483870978E-4</v>
      </c>
      <c r="AB4706" s="780"/>
      <c r="AC4706" s="780"/>
      <c r="AD4706" s="780"/>
      <c r="AE4706" s="780"/>
      <c r="AF4706" s="780"/>
    </row>
    <row r="4707" spans="19:32" x14ac:dyDescent="0.35">
      <c r="S4707" s="780"/>
      <c r="T4707" s="928"/>
      <c r="U4707" s="928"/>
      <c r="V4707" s="928"/>
      <c r="W4707" s="780"/>
      <c r="X4707" s="782">
        <v>4703</v>
      </c>
      <c r="Y4707" s="782" t="s">
        <v>2248</v>
      </c>
      <c r="Z4707" s="782" t="s">
        <v>4101</v>
      </c>
      <c r="AA4707" s="781">
        <f>$S$1*P!AA4707</f>
        <v>1.5560483870967742E-2</v>
      </c>
      <c r="AB4707" s="780"/>
      <c r="AC4707" s="780"/>
      <c r="AD4707" s="780"/>
      <c r="AE4707" s="780"/>
      <c r="AF4707" s="780"/>
    </row>
    <row r="4708" spans="19:32" x14ac:dyDescent="0.35">
      <c r="S4708" s="780"/>
      <c r="T4708" s="928"/>
      <c r="U4708" s="928"/>
      <c r="V4708" s="928"/>
      <c r="W4708" s="780"/>
      <c r="X4708" s="782">
        <v>4704</v>
      </c>
      <c r="Y4708" s="782" t="s">
        <v>2248</v>
      </c>
      <c r="Z4708" s="782" t="s">
        <v>2404</v>
      </c>
      <c r="AA4708" s="781">
        <f>$S$1*P!AA4708</f>
        <v>2.8824596774193549E-5</v>
      </c>
      <c r="AB4708" s="780"/>
      <c r="AC4708" s="780"/>
      <c r="AD4708" s="780"/>
      <c r="AE4708" s="780"/>
      <c r="AF4708" s="780"/>
    </row>
    <row r="4709" spans="19:32" x14ac:dyDescent="0.35">
      <c r="S4709" s="780"/>
      <c r="T4709" s="928"/>
      <c r="U4709" s="928"/>
      <c r="V4709" s="928"/>
      <c r="W4709" s="780"/>
      <c r="X4709" s="881">
        <v>4705</v>
      </c>
      <c r="Y4709" s="881" t="s">
        <v>2248</v>
      </c>
      <c r="Z4709" s="881" t="s">
        <v>2482</v>
      </c>
      <c r="AA4709" s="890">
        <f>$S$1*P!AA4709</f>
        <v>0.49495999999999996</v>
      </c>
      <c r="AB4709" s="780"/>
      <c r="AC4709" s="780"/>
      <c r="AD4709" s="780"/>
      <c r="AE4709" s="780"/>
      <c r="AF4709" s="780"/>
    </row>
    <row r="4710" spans="19:32" x14ac:dyDescent="0.35">
      <c r="S4710" s="780"/>
      <c r="T4710" s="928"/>
      <c r="U4710" s="928"/>
      <c r="V4710" s="928"/>
      <c r="W4710" s="780"/>
      <c r="X4710" s="782">
        <v>4706</v>
      </c>
      <c r="Y4710" s="782" t="s">
        <v>2248</v>
      </c>
      <c r="Z4710" s="782" t="s">
        <v>2482</v>
      </c>
      <c r="AA4710" s="781">
        <f>$S$1*P!AA4710</f>
        <v>0.23340725806451615</v>
      </c>
      <c r="AB4710" s="780"/>
      <c r="AC4710" s="780"/>
      <c r="AD4710" s="780"/>
      <c r="AE4710" s="780"/>
      <c r="AF4710" s="780"/>
    </row>
    <row r="4711" spans="19:32" x14ac:dyDescent="0.35">
      <c r="S4711" s="780"/>
      <c r="T4711" s="928"/>
      <c r="U4711" s="928"/>
      <c r="V4711" s="928"/>
      <c r="W4711" s="780"/>
      <c r="X4711" s="782">
        <v>4707</v>
      </c>
      <c r="Y4711" s="782" t="s">
        <v>2248</v>
      </c>
      <c r="Z4711" s="782" t="s">
        <v>3981</v>
      </c>
      <c r="AA4711" s="781">
        <f>$S$1*P!AA4711</f>
        <v>0.15766129032258067</v>
      </c>
      <c r="AB4711" s="780"/>
      <c r="AC4711" s="780"/>
      <c r="AD4711" s="780"/>
      <c r="AE4711" s="780"/>
      <c r="AF4711" s="780"/>
    </row>
    <row r="4712" spans="19:32" x14ac:dyDescent="0.35">
      <c r="S4712" s="780"/>
      <c r="T4712" s="928"/>
      <c r="U4712" s="928"/>
      <c r="V4712" s="928"/>
      <c r="W4712" s="780"/>
      <c r="X4712" s="782">
        <v>4708</v>
      </c>
      <c r="Y4712" s="782" t="s">
        <v>2248</v>
      </c>
      <c r="Z4712" s="782" t="s">
        <v>4100</v>
      </c>
      <c r="AA4712" s="781">
        <f>$S$1*P!AA4712</f>
        <v>1.2818548387096775E-3</v>
      </c>
      <c r="AB4712" s="780"/>
      <c r="AC4712" s="780"/>
      <c r="AD4712" s="780"/>
      <c r="AE4712" s="780"/>
      <c r="AF4712" s="780"/>
    </row>
    <row r="4713" spans="19:32" x14ac:dyDescent="0.35">
      <c r="S4713" s="780"/>
      <c r="T4713" s="928"/>
      <c r="U4713" s="928"/>
      <c r="V4713" s="928"/>
      <c r="W4713" s="780"/>
      <c r="X4713" s="881">
        <v>4709</v>
      </c>
      <c r="Y4713" s="881" t="s">
        <v>2248</v>
      </c>
      <c r="Z4713" s="881" t="s">
        <v>2481</v>
      </c>
      <c r="AA4713" s="890">
        <f>$S$1*P!AA4713</f>
        <v>3.2568000000000001</v>
      </c>
      <c r="AB4713" s="780"/>
      <c r="AC4713" s="780"/>
      <c r="AD4713" s="780"/>
      <c r="AE4713" s="780"/>
      <c r="AF4713" s="780"/>
    </row>
    <row r="4714" spans="19:32" x14ac:dyDescent="0.35">
      <c r="S4714" s="780"/>
      <c r="T4714" s="928"/>
      <c r="U4714" s="928"/>
      <c r="V4714" s="928"/>
      <c r="W4714" s="780"/>
      <c r="X4714" s="782">
        <v>4710</v>
      </c>
      <c r="Y4714" s="782" t="s">
        <v>2248</v>
      </c>
      <c r="Z4714" s="782" t="s">
        <v>3980</v>
      </c>
      <c r="AA4714" s="781">
        <f>$S$1*P!AA4714</f>
        <v>0.11824596774193549</v>
      </c>
      <c r="AB4714" s="780"/>
      <c r="AC4714" s="780"/>
      <c r="AD4714" s="780"/>
      <c r="AE4714" s="780"/>
      <c r="AF4714" s="780"/>
    </row>
    <row r="4715" spans="19:32" x14ac:dyDescent="0.35">
      <c r="S4715" s="780"/>
      <c r="T4715" s="928"/>
      <c r="U4715" s="928"/>
      <c r="V4715" s="928"/>
      <c r="W4715" s="780"/>
      <c r="X4715" s="782">
        <v>4711</v>
      </c>
      <c r="Y4715" s="782" t="s">
        <v>2248</v>
      </c>
      <c r="Z4715" s="782" t="s">
        <v>4099</v>
      </c>
      <c r="AA4715" s="781">
        <f>$S$1*P!AA4715</f>
        <v>0.84657258064516139</v>
      </c>
      <c r="AB4715" s="780"/>
      <c r="AC4715" s="780"/>
      <c r="AD4715" s="780"/>
      <c r="AE4715" s="780"/>
      <c r="AF4715" s="780"/>
    </row>
    <row r="4716" spans="19:32" x14ac:dyDescent="0.35">
      <c r="S4716" s="780"/>
      <c r="T4716" s="928"/>
      <c r="U4716" s="928"/>
      <c r="V4716" s="928"/>
      <c r="W4716" s="780"/>
      <c r="X4716" s="782">
        <v>4712</v>
      </c>
      <c r="Y4716" s="782" t="s">
        <v>2248</v>
      </c>
      <c r="Z4716" s="782" t="s">
        <v>2396</v>
      </c>
      <c r="AA4716" s="781">
        <f>$S$1*P!AA4716</f>
        <v>1.4155241935483872E-2</v>
      </c>
      <c r="AB4716" s="780"/>
      <c r="AC4716" s="780"/>
      <c r="AD4716" s="780"/>
      <c r="AE4716" s="780"/>
      <c r="AF4716" s="780"/>
    </row>
    <row r="4717" spans="19:32" x14ac:dyDescent="0.35">
      <c r="S4717" s="780"/>
      <c r="T4717" s="928"/>
      <c r="U4717" s="928"/>
      <c r="V4717" s="928"/>
      <c r="W4717" s="780"/>
      <c r="X4717" s="881">
        <v>4713</v>
      </c>
      <c r="Y4717" s="881" t="s">
        <v>2248</v>
      </c>
      <c r="Z4717" s="881" t="s">
        <v>4098</v>
      </c>
      <c r="AA4717" s="890">
        <f>$S$1*P!AA4717</f>
        <v>5.6209677419354835E-4</v>
      </c>
      <c r="AB4717" s="780"/>
      <c r="AC4717" s="780"/>
      <c r="AD4717" s="780"/>
      <c r="AE4717" s="780"/>
      <c r="AF4717" s="780"/>
    </row>
    <row r="4718" spans="19:32" x14ac:dyDescent="0.35">
      <c r="S4718" s="780"/>
      <c r="T4718" s="928"/>
      <c r="U4718" s="928"/>
      <c r="V4718" s="928"/>
      <c r="W4718" s="780"/>
      <c r="X4718" s="782">
        <v>4714</v>
      </c>
      <c r="Y4718" s="782" t="s">
        <v>2248</v>
      </c>
      <c r="Z4718" s="782" t="s">
        <v>4097</v>
      </c>
      <c r="AA4718" s="781">
        <f>$S$1*P!AA4718</f>
        <v>5.7237903225806452E-4</v>
      </c>
      <c r="AB4718" s="780"/>
      <c r="AC4718" s="780"/>
      <c r="AD4718" s="780"/>
      <c r="AE4718" s="780"/>
      <c r="AF4718" s="780"/>
    </row>
    <row r="4719" spans="19:32" x14ac:dyDescent="0.35">
      <c r="S4719" s="780"/>
      <c r="T4719" s="928"/>
      <c r="U4719" s="928"/>
      <c r="V4719" s="928"/>
      <c r="W4719" s="780"/>
      <c r="X4719" s="782">
        <v>4715</v>
      </c>
      <c r="Y4719" s="782" t="s">
        <v>2248</v>
      </c>
      <c r="Z4719" s="782" t="s">
        <v>2393</v>
      </c>
      <c r="AA4719" s="781">
        <f>$S$1*P!AA4719</f>
        <v>4.1471774193548389E-2</v>
      </c>
      <c r="AB4719" s="780"/>
      <c r="AC4719" s="780"/>
      <c r="AD4719" s="780"/>
      <c r="AE4719" s="780"/>
      <c r="AF4719" s="780"/>
    </row>
    <row r="4720" spans="19:32" x14ac:dyDescent="0.35">
      <c r="S4720" s="780"/>
      <c r="T4720" s="928"/>
      <c r="U4720" s="928"/>
      <c r="V4720" s="928"/>
      <c r="W4720" s="780"/>
      <c r="X4720" s="782">
        <v>4716</v>
      </c>
      <c r="Y4720" s="782" t="s">
        <v>2248</v>
      </c>
      <c r="Z4720" s="782" t="s">
        <v>4096</v>
      </c>
      <c r="AA4720" s="781">
        <f>$S$1*P!AA4720</f>
        <v>5.6895161290322594E-4</v>
      </c>
      <c r="AB4720" s="780"/>
      <c r="AC4720" s="780"/>
      <c r="AD4720" s="780"/>
      <c r="AE4720" s="780"/>
      <c r="AF4720" s="780"/>
    </row>
    <row r="4721" spans="19:32" x14ac:dyDescent="0.35">
      <c r="S4721" s="780"/>
      <c r="T4721" s="928"/>
      <c r="U4721" s="928"/>
      <c r="V4721" s="928"/>
      <c r="W4721" s="780"/>
      <c r="X4721" s="782">
        <v>4717</v>
      </c>
      <c r="Y4721" s="782" t="s">
        <v>2248</v>
      </c>
      <c r="Z4721" s="782" t="s">
        <v>4095</v>
      </c>
      <c r="AA4721" s="781">
        <f>$S$1*P!AA4721</f>
        <v>9.2540322580645174E-6</v>
      </c>
      <c r="AB4721" s="780"/>
      <c r="AC4721" s="780"/>
      <c r="AD4721" s="780"/>
      <c r="AE4721" s="780"/>
      <c r="AF4721" s="780"/>
    </row>
    <row r="4722" spans="19:32" x14ac:dyDescent="0.35">
      <c r="S4722" s="780"/>
      <c r="T4722" s="928"/>
      <c r="U4722" s="928"/>
      <c r="V4722" s="928"/>
      <c r="W4722" s="780"/>
      <c r="X4722" s="782">
        <v>4718</v>
      </c>
      <c r="Y4722" s="782" t="s">
        <v>2248</v>
      </c>
      <c r="Z4722" s="782" t="s">
        <v>4094</v>
      </c>
      <c r="AA4722" s="781">
        <f>$S$1*P!AA4722</f>
        <v>2.1010080645161291E-3</v>
      </c>
      <c r="AB4722" s="780"/>
      <c r="AC4722" s="780"/>
      <c r="AD4722" s="780"/>
      <c r="AE4722" s="780"/>
      <c r="AF4722" s="780"/>
    </row>
    <row r="4723" spans="19:32" x14ac:dyDescent="0.35">
      <c r="S4723" s="780"/>
      <c r="T4723" s="928"/>
      <c r="U4723" s="928"/>
      <c r="V4723" s="928"/>
      <c r="W4723" s="780"/>
      <c r="X4723" s="782">
        <v>4719</v>
      </c>
      <c r="Y4723" s="782" t="s">
        <v>2248</v>
      </c>
      <c r="Z4723" s="782" t="s">
        <v>3976</v>
      </c>
      <c r="AA4723" s="781">
        <f>$S$1*P!AA4723</f>
        <v>4.6270161290322583E-3</v>
      </c>
      <c r="AB4723" s="780"/>
      <c r="AC4723" s="780"/>
      <c r="AD4723" s="780"/>
      <c r="AE4723" s="780"/>
      <c r="AF4723" s="780"/>
    </row>
    <row r="4724" spans="19:32" x14ac:dyDescent="0.35">
      <c r="S4724" s="780"/>
      <c r="T4724" s="928"/>
      <c r="U4724" s="928"/>
      <c r="V4724" s="928"/>
      <c r="W4724" s="780"/>
      <c r="X4724" s="782">
        <v>4720</v>
      </c>
      <c r="Y4724" s="782" t="s">
        <v>2248</v>
      </c>
      <c r="Z4724" s="782" t="s">
        <v>4093</v>
      </c>
      <c r="AA4724" s="781">
        <f>$S$1*P!AA4724</f>
        <v>6.4778225806451616E-3</v>
      </c>
      <c r="AB4724" s="780"/>
      <c r="AC4724" s="780"/>
      <c r="AD4724" s="780"/>
      <c r="AE4724" s="780"/>
      <c r="AF4724" s="780"/>
    </row>
    <row r="4725" spans="19:32" x14ac:dyDescent="0.35">
      <c r="S4725" s="780"/>
      <c r="T4725" s="928"/>
      <c r="U4725" s="928"/>
      <c r="V4725" s="928"/>
      <c r="W4725" s="780"/>
      <c r="X4725" s="782">
        <v>4721</v>
      </c>
      <c r="Y4725" s="782" t="s">
        <v>2248</v>
      </c>
      <c r="Z4725" s="782" t="s">
        <v>3975</v>
      </c>
      <c r="AA4725" s="781">
        <f>$S$1*P!AA4725</f>
        <v>1.8713709677419357E-4</v>
      </c>
      <c r="AB4725" s="780"/>
      <c r="AC4725" s="780"/>
      <c r="AD4725" s="780"/>
      <c r="AE4725" s="780"/>
      <c r="AF4725" s="780"/>
    </row>
    <row r="4726" spans="19:32" x14ac:dyDescent="0.35">
      <c r="S4726" s="780"/>
      <c r="T4726" s="928"/>
      <c r="U4726" s="928"/>
      <c r="V4726" s="928"/>
      <c r="W4726" s="780"/>
      <c r="X4726" s="782">
        <v>4722</v>
      </c>
      <c r="Y4726" s="782" t="s">
        <v>2248</v>
      </c>
      <c r="Z4726" s="782" t="s">
        <v>4092</v>
      </c>
      <c r="AA4726" s="781">
        <f>$S$1*P!AA4726</f>
        <v>5.0383064516129032E-6</v>
      </c>
      <c r="AB4726" s="780"/>
      <c r="AC4726" s="780"/>
      <c r="AD4726" s="780"/>
      <c r="AE4726" s="780"/>
      <c r="AF4726" s="780"/>
    </row>
    <row r="4727" spans="19:32" x14ac:dyDescent="0.35">
      <c r="S4727" s="780"/>
      <c r="T4727" s="928"/>
      <c r="U4727" s="928"/>
      <c r="V4727" s="928"/>
      <c r="W4727" s="780"/>
      <c r="X4727" s="881">
        <v>4723</v>
      </c>
      <c r="Y4727" s="881" t="s">
        <v>2248</v>
      </c>
      <c r="Z4727" s="881" t="s">
        <v>4091</v>
      </c>
      <c r="AA4727" s="890">
        <f>$S$1*P!AA4727</f>
        <v>5.2096774193548388E-6</v>
      </c>
      <c r="AB4727" s="780"/>
      <c r="AC4727" s="780"/>
      <c r="AD4727" s="780"/>
      <c r="AE4727" s="780"/>
      <c r="AF4727" s="780"/>
    </row>
    <row r="4728" spans="19:32" x14ac:dyDescent="0.35">
      <c r="S4728" s="780"/>
      <c r="T4728" s="928"/>
      <c r="U4728" s="928"/>
      <c r="V4728" s="928"/>
      <c r="W4728" s="780"/>
      <c r="X4728" s="782">
        <v>4724</v>
      </c>
      <c r="Y4728" s="782" t="s">
        <v>2248</v>
      </c>
      <c r="Z4728" s="782" t="s">
        <v>3973</v>
      </c>
      <c r="AA4728" s="781">
        <f>$S$1*P!AA4728</f>
        <v>0.36673387096774196</v>
      </c>
      <c r="AB4728" s="780"/>
      <c r="AC4728" s="780"/>
      <c r="AD4728" s="780"/>
      <c r="AE4728" s="780"/>
      <c r="AF4728" s="780"/>
    </row>
    <row r="4729" spans="19:32" x14ac:dyDescent="0.35">
      <c r="S4729" s="780"/>
      <c r="T4729" s="928"/>
      <c r="U4729" s="928"/>
      <c r="V4729" s="928"/>
      <c r="W4729" s="780"/>
      <c r="X4729" s="881">
        <v>4725</v>
      </c>
      <c r="Y4729" s="881" t="s">
        <v>2248</v>
      </c>
      <c r="Z4729" s="881" t="s">
        <v>2479</v>
      </c>
      <c r="AA4729" s="890">
        <f>$S$1*P!AA4729</f>
        <v>0.11132000000000002</v>
      </c>
      <c r="AB4729" s="780"/>
      <c r="AC4729" s="780"/>
      <c r="AD4729" s="780"/>
      <c r="AE4729" s="780"/>
      <c r="AF4729" s="780"/>
    </row>
    <row r="4730" spans="19:32" x14ac:dyDescent="0.35">
      <c r="S4730" s="780"/>
      <c r="T4730" s="928"/>
      <c r="U4730" s="928"/>
      <c r="V4730" s="928"/>
      <c r="W4730" s="780"/>
      <c r="X4730" s="782">
        <v>4726</v>
      </c>
      <c r="Y4730" s="782" t="s">
        <v>2248</v>
      </c>
      <c r="Z4730" s="782" t="s">
        <v>2479</v>
      </c>
      <c r="AA4730" s="781">
        <f>$S$1*P!AA4730</f>
        <v>6.0665322580645168E-5</v>
      </c>
      <c r="AB4730" s="780"/>
      <c r="AC4730" s="780"/>
      <c r="AD4730" s="780"/>
      <c r="AE4730" s="780"/>
      <c r="AF4730" s="780"/>
    </row>
    <row r="4731" spans="19:32" x14ac:dyDescent="0.35">
      <c r="S4731" s="780"/>
      <c r="T4731" s="928"/>
      <c r="U4731" s="928"/>
      <c r="V4731" s="928"/>
      <c r="W4731" s="780"/>
      <c r="X4731" s="782">
        <v>4727</v>
      </c>
      <c r="Y4731" s="782" t="s">
        <v>2248</v>
      </c>
      <c r="Z4731" s="782" t="s">
        <v>3971</v>
      </c>
      <c r="AA4731" s="781">
        <f>$S$1*P!AA4731</f>
        <v>1.2098790322580646</v>
      </c>
      <c r="AB4731" s="780"/>
      <c r="AC4731" s="780"/>
      <c r="AD4731" s="780"/>
      <c r="AE4731" s="780"/>
      <c r="AF4731" s="780"/>
    </row>
    <row r="4732" spans="19:32" x14ac:dyDescent="0.35">
      <c r="S4732" s="780"/>
      <c r="T4732" s="928"/>
      <c r="U4732" s="928"/>
      <c r="V4732" s="928"/>
      <c r="W4732" s="780"/>
      <c r="X4732" s="782">
        <v>4728</v>
      </c>
      <c r="Y4732" s="782" t="s">
        <v>2248</v>
      </c>
      <c r="Z4732" s="782" t="s">
        <v>4090</v>
      </c>
      <c r="AA4732" s="781">
        <f>$S$1*P!AA4732</f>
        <v>0.19673387096774195</v>
      </c>
      <c r="AB4732" s="780"/>
      <c r="AC4732" s="780"/>
      <c r="AD4732" s="780"/>
      <c r="AE4732" s="780"/>
      <c r="AF4732" s="780"/>
    </row>
    <row r="4733" spans="19:32" x14ac:dyDescent="0.35">
      <c r="S4733" s="780"/>
      <c r="T4733" s="928"/>
      <c r="U4733" s="928"/>
      <c r="V4733" s="928"/>
      <c r="W4733" s="780"/>
      <c r="X4733" s="881">
        <v>4729</v>
      </c>
      <c r="Y4733" s="881" t="s">
        <v>2248</v>
      </c>
      <c r="Z4733" s="881" t="s">
        <v>2477</v>
      </c>
      <c r="AA4733" s="890">
        <f>$S$1*P!AA4733</f>
        <v>0.17572000000000002</v>
      </c>
      <c r="AB4733" s="780"/>
      <c r="AC4733" s="780"/>
      <c r="AD4733" s="780"/>
      <c r="AE4733" s="780"/>
      <c r="AF4733" s="780"/>
    </row>
    <row r="4734" spans="19:32" x14ac:dyDescent="0.35">
      <c r="S4734" s="780"/>
      <c r="T4734" s="928"/>
      <c r="U4734" s="928"/>
      <c r="V4734" s="928"/>
      <c r="W4734" s="780"/>
      <c r="X4734" s="782">
        <v>4730</v>
      </c>
      <c r="Y4734" s="782" t="s">
        <v>2248</v>
      </c>
      <c r="Z4734" s="782" t="s">
        <v>3969</v>
      </c>
      <c r="AA4734" s="781">
        <f>$S$1*P!AA4734</f>
        <v>4.010080645161291E-2</v>
      </c>
      <c r="AB4734" s="780"/>
      <c r="AC4734" s="780"/>
      <c r="AD4734" s="780"/>
      <c r="AE4734" s="780"/>
      <c r="AF4734" s="780"/>
    </row>
    <row r="4735" spans="19:32" x14ac:dyDescent="0.35">
      <c r="S4735" s="780"/>
      <c r="T4735" s="928"/>
      <c r="U4735" s="928"/>
      <c r="V4735" s="928"/>
      <c r="W4735" s="780"/>
      <c r="X4735" s="782">
        <v>4731</v>
      </c>
      <c r="Y4735" s="782" t="s">
        <v>2248</v>
      </c>
      <c r="Z4735" s="782" t="s">
        <v>4089</v>
      </c>
      <c r="AA4735" s="781">
        <f>$S$1*P!AA4735</f>
        <v>1.3881048387096777E-5</v>
      </c>
      <c r="AB4735" s="780"/>
      <c r="AC4735" s="780"/>
      <c r="AD4735" s="780"/>
      <c r="AE4735" s="780"/>
      <c r="AF4735" s="780"/>
    </row>
    <row r="4736" spans="19:32" x14ac:dyDescent="0.35">
      <c r="S4736" s="780"/>
      <c r="T4736" s="928"/>
      <c r="U4736" s="928"/>
      <c r="V4736" s="928"/>
      <c r="W4736" s="780"/>
      <c r="X4736" s="782">
        <v>4732</v>
      </c>
      <c r="Y4736" s="782" t="s">
        <v>2248</v>
      </c>
      <c r="Z4736" s="782" t="s">
        <v>3968</v>
      </c>
      <c r="AA4736" s="781">
        <f>$S$1*P!AA4736</f>
        <v>0.15766129032258067</v>
      </c>
      <c r="AB4736" s="780"/>
      <c r="AC4736" s="780"/>
      <c r="AD4736" s="780"/>
      <c r="AE4736" s="780"/>
      <c r="AF4736" s="780"/>
    </row>
    <row r="4737" spans="19:32" x14ac:dyDescent="0.35">
      <c r="S4737" s="780"/>
      <c r="T4737" s="928"/>
      <c r="U4737" s="928"/>
      <c r="V4737" s="928"/>
      <c r="W4737" s="780"/>
      <c r="X4737" s="881">
        <v>4733</v>
      </c>
      <c r="Y4737" s="881" t="s">
        <v>2248</v>
      </c>
      <c r="Z4737" s="881" t="s">
        <v>2476</v>
      </c>
      <c r="AA4737" s="890">
        <f>$S$1*P!AA4737</f>
        <v>311.88</v>
      </c>
      <c r="AB4737" s="780"/>
      <c r="AC4737" s="780"/>
      <c r="AD4737" s="780"/>
      <c r="AE4737" s="780"/>
      <c r="AF4737" s="780"/>
    </row>
    <row r="4738" spans="19:32" x14ac:dyDescent="0.35">
      <c r="S4738" s="780"/>
      <c r="T4738" s="928"/>
      <c r="U4738" s="928"/>
      <c r="V4738" s="928"/>
      <c r="W4738" s="780"/>
      <c r="X4738" s="881">
        <v>4734</v>
      </c>
      <c r="Y4738" s="881" t="s">
        <v>2248</v>
      </c>
      <c r="Z4738" s="881" t="s">
        <v>4088</v>
      </c>
      <c r="AA4738" s="890">
        <f>$S$1*P!AA4738</f>
        <v>4.3185483870967749</v>
      </c>
      <c r="AB4738" s="780"/>
      <c r="AC4738" s="780"/>
      <c r="AD4738" s="780"/>
      <c r="AE4738" s="780"/>
      <c r="AF4738" s="780"/>
    </row>
    <row r="4739" spans="19:32" x14ac:dyDescent="0.35">
      <c r="S4739" s="780"/>
      <c r="T4739" s="928"/>
      <c r="U4739" s="928"/>
      <c r="V4739" s="928"/>
      <c r="W4739" s="780"/>
      <c r="X4739" s="782">
        <v>4735</v>
      </c>
      <c r="Y4739" s="782" t="s">
        <v>2248</v>
      </c>
      <c r="Z4739" s="782" t="s">
        <v>4087</v>
      </c>
      <c r="AA4739" s="781">
        <f>$S$1*P!AA4739</f>
        <v>2.5020161290322581E-4</v>
      </c>
      <c r="AB4739" s="780"/>
      <c r="AC4739" s="780"/>
      <c r="AD4739" s="780"/>
      <c r="AE4739" s="780"/>
      <c r="AF4739" s="780"/>
    </row>
    <row r="4740" spans="19:32" x14ac:dyDescent="0.35">
      <c r="S4740" s="780"/>
      <c r="T4740" s="928"/>
      <c r="U4740" s="928"/>
      <c r="V4740" s="928"/>
      <c r="W4740" s="780"/>
      <c r="X4740" s="782">
        <v>4736</v>
      </c>
      <c r="Y4740" s="782" t="s">
        <v>2248</v>
      </c>
      <c r="Z4740" s="782" t="s">
        <v>3958</v>
      </c>
      <c r="AA4740" s="781">
        <f>$S$1*P!AA4740</f>
        <v>1.8816532258064517E-3</v>
      </c>
      <c r="AB4740" s="780"/>
      <c r="AC4740" s="780"/>
      <c r="AD4740" s="780"/>
      <c r="AE4740" s="780"/>
      <c r="AF4740" s="780"/>
    </row>
    <row r="4741" spans="19:32" x14ac:dyDescent="0.35">
      <c r="S4741" s="780"/>
      <c r="T4741" s="928"/>
      <c r="U4741" s="928"/>
      <c r="V4741" s="928"/>
      <c r="W4741" s="780"/>
      <c r="X4741" s="782">
        <v>4737</v>
      </c>
      <c r="Y4741" s="782" t="s">
        <v>2248</v>
      </c>
      <c r="Z4741" s="782" t="s">
        <v>4086</v>
      </c>
      <c r="AA4741" s="781">
        <f>$S$1*P!AA4741</f>
        <v>0.40100806451612908</v>
      </c>
      <c r="AB4741" s="780"/>
      <c r="AC4741" s="780"/>
      <c r="AD4741" s="780"/>
      <c r="AE4741" s="780"/>
      <c r="AF4741" s="780"/>
    </row>
    <row r="4742" spans="19:32" x14ac:dyDescent="0.35">
      <c r="S4742" s="780"/>
      <c r="T4742" s="928"/>
      <c r="U4742" s="928"/>
      <c r="V4742" s="928"/>
      <c r="W4742" s="780"/>
      <c r="X4742" s="782">
        <v>4738</v>
      </c>
      <c r="Y4742" s="782" t="s">
        <v>2248</v>
      </c>
      <c r="Z4742" s="782" t="s">
        <v>3957</v>
      </c>
      <c r="AA4742" s="781">
        <f>$S$1*P!AA4742</f>
        <v>1.2338709677419357E-2</v>
      </c>
      <c r="AB4742" s="780"/>
      <c r="AC4742" s="780"/>
      <c r="AD4742" s="780"/>
      <c r="AE4742" s="780"/>
      <c r="AF4742" s="780"/>
    </row>
    <row r="4743" spans="19:32" x14ac:dyDescent="0.35">
      <c r="S4743" s="780"/>
      <c r="T4743" s="928"/>
      <c r="U4743" s="928"/>
      <c r="V4743" s="928"/>
      <c r="W4743" s="780"/>
      <c r="X4743" s="881">
        <v>4739</v>
      </c>
      <c r="Y4743" s="881" t="s">
        <v>2248</v>
      </c>
      <c r="Z4743" s="881" t="s">
        <v>4085</v>
      </c>
      <c r="AA4743" s="890">
        <f>$S$1*P!AA4743</f>
        <v>1.2475806451612904E-3</v>
      </c>
      <c r="AB4743" s="780"/>
      <c r="AC4743" s="780"/>
      <c r="AD4743" s="780"/>
      <c r="AE4743" s="780"/>
      <c r="AF4743" s="780"/>
    </row>
    <row r="4744" spans="19:32" x14ac:dyDescent="0.35">
      <c r="S4744" s="780"/>
      <c r="T4744" s="928"/>
      <c r="U4744" s="928"/>
      <c r="V4744" s="928"/>
      <c r="W4744" s="780"/>
      <c r="X4744" s="782">
        <v>4740</v>
      </c>
      <c r="Y4744" s="782" t="s">
        <v>2248</v>
      </c>
      <c r="Z4744" s="782" t="s">
        <v>4084</v>
      </c>
      <c r="AA4744" s="781">
        <f>$S$1*P!AA4744</f>
        <v>2.7522177419354841E-2</v>
      </c>
      <c r="AB4744" s="780"/>
      <c r="AC4744" s="780"/>
      <c r="AD4744" s="780"/>
      <c r="AE4744" s="780"/>
      <c r="AF4744" s="780"/>
    </row>
    <row r="4745" spans="19:32" x14ac:dyDescent="0.35">
      <c r="S4745" s="780"/>
      <c r="T4745" s="928"/>
      <c r="U4745" s="928"/>
      <c r="V4745" s="928"/>
      <c r="W4745" s="780"/>
      <c r="X4745" s="782">
        <v>4741</v>
      </c>
      <c r="Y4745" s="782" t="s">
        <v>2248</v>
      </c>
      <c r="Z4745" s="782" t="s">
        <v>3956</v>
      </c>
      <c r="AA4745" s="781">
        <f>$S$1*P!AA4745</f>
        <v>1.6965725806451615E-2</v>
      </c>
      <c r="AB4745" s="780"/>
      <c r="AC4745" s="780"/>
      <c r="AD4745" s="780"/>
      <c r="AE4745" s="780"/>
      <c r="AF4745" s="780"/>
    </row>
    <row r="4746" spans="19:32" x14ac:dyDescent="0.35">
      <c r="S4746" s="780"/>
      <c r="T4746" s="928"/>
      <c r="U4746" s="928"/>
      <c r="V4746" s="928"/>
      <c r="W4746" s="780"/>
      <c r="X4746" s="881">
        <v>4742</v>
      </c>
      <c r="Y4746" s="881" t="s">
        <v>2248</v>
      </c>
      <c r="Z4746" s="881" t="s">
        <v>2474</v>
      </c>
      <c r="AA4746" s="890">
        <f>$S$1*P!AA4746</f>
        <v>0.13891999999999999</v>
      </c>
      <c r="AB4746" s="780"/>
      <c r="AC4746" s="780"/>
      <c r="AD4746" s="780"/>
      <c r="AE4746" s="780"/>
      <c r="AF4746" s="780"/>
    </row>
    <row r="4747" spans="19:32" x14ac:dyDescent="0.35">
      <c r="S4747" s="780"/>
      <c r="T4747" s="928"/>
      <c r="U4747" s="928"/>
      <c r="V4747" s="928"/>
      <c r="W4747" s="780"/>
      <c r="X4747" s="881">
        <v>4743</v>
      </c>
      <c r="Y4747" s="881" t="s">
        <v>2248</v>
      </c>
      <c r="Z4747" s="881" t="s">
        <v>4083</v>
      </c>
      <c r="AA4747" s="890">
        <f>$S$1*P!AA4747</f>
        <v>2.4334677419354838E-6</v>
      </c>
      <c r="AB4747" s="780"/>
      <c r="AC4747" s="780"/>
      <c r="AD4747" s="780"/>
      <c r="AE4747" s="780"/>
      <c r="AF4747" s="780"/>
    </row>
    <row r="4748" spans="19:32" x14ac:dyDescent="0.35">
      <c r="S4748" s="780"/>
      <c r="T4748" s="928"/>
      <c r="U4748" s="928"/>
      <c r="V4748" s="928"/>
      <c r="W4748" s="780"/>
      <c r="X4748" s="782">
        <v>4744</v>
      </c>
      <c r="Y4748" s="782" t="s">
        <v>2248</v>
      </c>
      <c r="Z4748" s="782" t="s">
        <v>3954</v>
      </c>
      <c r="AA4748" s="781">
        <f>$S$1*P!AA4748</f>
        <v>8.5685483870967744E-4</v>
      </c>
      <c r="AB4748" s="780"/>
      <c r="AC4748" s="780"/>
      <c r="AD4748" s="780"/>
      <c r="AE4748" s="780"/>
      <c r="AF4748" s="780"/>
    </row>
    <row r="4749" spans="19:32" x14ac:dyDescent="0.35">
      <c r="S4749" s="780"/>
      <c r="T4749" s="928"/>
      <c r="U4749" s="928"/>
      <c r="V4749" s="928"/>
      <c r="W4749" s="780"/>
      <c r="X4749" s="881">
        <v>4745</v>
      </c>
      <c r="Y4749" s="881" t="s">
        <v>2248</v>
      </c>
      <c r="Z4749" s="881" t="s">
        <v>2473</v>
      </c>
      <c r="AA4749" s="890">
        <f>$S$1*P!AA4749</f>
        <v>0</v>
      </c>
      <c r="AB4749" s="780"/>
      <c r="AC4749" s="780"/>
      <c r="AD4749" s="780"/>
      <c r="AE4749" s="780"/>
      <c r="AF4749" s="780"/>
    </row>
    <row r="4750" spans="19:32" x14ac:dyDescent="0.35">
      <c r="S4750" s="780"/>
      <c r="T4750" s="928"/>
      <c r="U4750" s="928"/>
      <c r="V4750" s="928"/>
      <c r="W4750" s="780"/>
      <c r="X4750" s="782">
        <v>4746</v>
      </c>
      <c r="Y4750" s="782" t="s">
        <v>2248</v>
      </c>
      <c r="Z4750" s="782" t="s">
        <v>2473</v>
      </c>
      <c r="AA4750" s="781">
        <f>$S$1*P!AA4750</f>
        <v>1.9810483870967743E-3</v>
      </c>
      <c r="AB4750" s="780"/>
      <c r="AC4750" s="780"/>
      <c r="AD4750" s="780"/>
      <c r="AE4750" s="780"/>
      <c r="AF4750" s="780"/>
    </row>
    <row r="4751" spans="19:32" x14ac:dyDescent="0.35">
      <c r="S4751" s="780"/>
      <c r="T4751" s="928"/>
      <c r="U4751" s="928"/>
      <c r="V4751" s="928"/>
      <c r="W4751" s="780"/>
      <c r="X4751" s="782">
        <v>4747</v>
      </c>
      <c r="Y4751" s="782" t="s">
        <v>2248</v>
      </c>
      <c r="Z4751" s="782" t="s">
        <v>3953</v>
      </c>
      <c r="AA4751" s="781">
        <f>$S$1*P!AA4751</f>
        <v>2.0153225806451612E-3</v>
      </c>
      <c r="AB4751" s="780"/>
      <c r="AC4751" s="780"/>
      <c r="AD4751" s="780"/>
      <c r="AE4751" s="780"/>
      <c r="AF4751" s="780"/>
    </row>
    <row r="4752" spans="19:32" x14ac:dyDescent="0.35">
      <c r="S4752" s="780"/>
      <c r="T4752" s="928"/>
      <c r="U4752" s="928"/>
      <c r="V4752" s="928"/>
      <c r="W4752" s="780"/>
      <c r="X4752" s="782">
        <v>4748</v>
      </c>
      <c r="Y4752" s="782" t="s">
        <v>2248</v>
      </c>
      <c r="Z4752" s="782" t="s">
        <v>4082</v>
      </c>
      <c r="AA4752" s="781">
        <f>$S$1*P!AA4752</f>
        <v>1.6108870967741938E-3</v>
      </c>
      <c r="AB4752" s="780"/>
      <c r="AC4752" s="780"/>
      <c r="AD4752" s="780"/>
      <c r="AE4752" s="780"/>
      <c r="AF4752" s="780"/>
    </row>
    <row r="4753" spans="19:32" x14ac:dyDescent="0.35">
      <c r="S4753" s="780"/>
      <c r="T4753" s="928"/>
      <c r="U4753" s="928"/>
      <c r="V4753" s="928"/>
      <c r="W4753" s="780"/>
      <c r="X4753" s="881">
        <v>4749</v>
      </c>
      <c r="Y4753" s="881" t="s">
        <v>2248</v>
      </c>
      <c r="Z4753" s="881" t="s">
        <v>4081</v>
      </c>
      <c r="AA4753" s="890">
        <f>$S$1*P!AA4753</f>
        <v>18.816532258064516</v>
      </c>
      <c r="AB4753" s="780"/>
      <c r="AC4753" s="780"/>
      <c r="AD4753" s="780"/>
      <c r="AE4753" s="780"/>
      <c r="AF4753" s="780"/>
    </row>
    <row r="4754" spans="19:32" x14ac:dyDescent="0.35">
      <c r="S4754" s="780"/>
      <c r="T4754" s="928"/>
      <c r="U4754" s="928"/>
      <c r="V4754" s="928"/>
      <c r="W4754" s="780"/>
      <c r="X4754" s="782">
        <v>4750</v>
      </c>
      <c r="Y4754" s="782" t="s">
        <v>2248</v>
      </c>
      <c r="Z4754" s="782" t="s">
        <v>3951</v>
      </c>
      <c r="AA4754" s="781">
        <f>$S$1*P!AA4754</f>
        <v>1.1756048387096775E-2</v>
      </c>
      <c r="AB4754" s="780"/>
      <c r="AC4754" s="780"/>
      <c r="AD4754" s="780"/>
      <c r="AE4754" s="780"/>
      <c r="AF4754" s="780"/>
    </row>
    <row r="4755" spans="19:32" x14ac:dyDescent="0.35">
      <c r="S4755" s="780"/>
      <c r="T4755" s="928"/>
      <c r="U4755" s="928"/>
      <c r="V4755" s="928"/>
      <c r="W4755" s="780"/>
      <c r="X4755" s="782">
        <v>4751</v>
      </c>
      <c r="Y4755" s="782" t="s">
        <v>2248</v>
      </c>
      <c r="Z4755" s="782" t="s">
        <v>4080</v>
      </c>
      <c r="AA4755" s="781">
        <f>$S$1*P!AA4755</f>
        <v>5.655241935483871E-3</v>
      </c>
      <c r="AB4755" s="780"/>
      <c r="AC4755" s="780"/>
      <c r="AD4755" s="780"/>
      <c r="AE4755" s="780"/>
      <c r="AF4755" s="780"/>
    </row>
    <row r="4756" spans="19:32" x14ac:dyDescent="0.35">
      <c r="S4756" s="780"/>
      <c r="T4756" s="928"/>
      <c r="U4756" s="928"/>
      <c r="V4756" s="928"/>
      <c r="W4756" s="780"/>
      <c r="X4756" s="782">
        <v>4752</v>
      </c>
      <c r="Y4756" s="782" t="s">
        <v>2248</v>
      </c>
      <c r="Z4756" s="782" t="s">
        <v>4079</v>
      </c>
      <c r="AA4756" s="781">
        <f>$S$1*P!AA4756</f>
        <v>1.360685483870968E-3</v>
      </c>
      <c r="AB4756" s="780"/>
      <c r="AC4756" s="780"/>
      <c r="AD4756" s="780"/>
      <c r="AE4756" s="780"/>
      <c r="AF4756" s="780"/>
    </row>
    <row r="4757" spans="19:32" x14ac:dyDescent="0.35">
      <c r="S4757" s="780"/>
      <c r="T4757" s="928"/>
      <c r="U4757" s="928"/>
      <c r="V4757" s="928"/>
      <c r="W4757" s="780"/>
      <c r="X4757" s="782">
        <v>4753</v>
      </c>
      <c r="Y4757" s="782" t="s">
        <v>2248</v>
      </c>
      <c r="Z4757" s="782" t="s">
        <v>3950</v>
      </c>
      <c r="AA4757" s="781">
        <f>$S$1*P!AA4757</f>
        <v>7.4032258064516136E-4</v>
      </c>
      <c r="AB4757" s="780"/>
      <c r="AC4757" s="780"/>
      <c r="AD4757" s="780"/>
      <c r="AE4757" s="780"/>
      <c r="AF4757" s="780"/>
    </row>
    <row r="4758" spans="19:32" x14ac:dyDescent="0.35">
      <c r="S4758" s="780"/>
      <c r="T4758" s="928"/>
      <c r="U4758" s="928"/>
      <c r="V4758" s="928"/>
      <c r="W4758" s="780"/>
      <c r="X4758" s="782">
        <v>4754</v>
      </c>
      <c r="Y4758" s="782" t="s">
        <v>2248</v>
      </c>
      <c r="Z4758" s="782" t="s">
        <v>4078</v>
      </c>
      <c r="AA4758" s="781">
        <f>$S$1*P!AA4758</f>
        <v>5.4153225806451623E-5</v>
      </c>
      <c r="AB4758" s="780"/>
      <c r="AC4758" s="780"/>
      <c r="AD4758" s="780"/>
      <c r="AE4758" s="780"/>
      <c r="AF4758" s="780"/>
    </row>
    <row r="4759" spans="19:32" x14ac:dyDescent="0.35">
      <c r="S4759" s="780"/>
      <c r="T4759" s="928"/>
      <c r="U4759" s="928"/>
      <c r="V4759" s="928"/>
      <c r="W4759" s="780"/>
      <c r="X4759" s="782">
        <v>4755</v>
      </c>
      <c r="Y4759" s="782" t="s">
        <v>2248</v>
      </c>
      <c r="Z4759" s="782" t="s">
        <v>4077</v>
      </c>
      <c r="AA4759" s="781">
        <f>$S$1*P!AA4759</f>
        <v>4.7641129032258069E-2</v>
      </c>
      <c r="AB4759" s="780"/>
      <c r="AC4759" s="780"/>
      <c r="AD4759" s="780"/>
      <c r="AE4759" s="780"/>
      <c r="AF4759" s="780"/>
    </row>
    <row r="4760" spans="19:32" x14ac:dyDescent="0.35">
      <c r="S4760" s="780"/>
      <c r="T4760" s="928"/>
      <c r="U4760" s="928"/>
      <c r="V4760" s="928"/>
      <c r="W4760" s="780"/>
      <c r="X4760" s="782">
        <v>4756</v>
      </c>
      <c r="Y4760" s="782" t="s">
        <v>2248</v>
      </c>
      <c r="Z4760" s="782" t="s">
        <v>2389</v>
      </c>
      <c r="AA4760" s="781">
        <f>$S$1*P!AA4760</f>
        <v>1.5766129032258065</v>
      </c>
      <c r="AB4760" s="780"/>
      <c r="AC4760" s="780"/>
      <c r="AD4760" s="780"/>
      <c r="AE4760" s="780"/>
      <c r="AF4760" s="780"/>
    </row>
    <row r="4761" spans="19:32" x14ac:dyDescent="0.35">
      <c r="S4761" s="780"/>
      <c r="T4761" s="928"/>
      <c r="U4761" s="928"/>
      <c r="V4761" s="928"/>
      <c r="W4761" s="780"/>
      <c r="X4761" s="782">
        <v>4757</v>
      </c>
      <c r="Y4761" s="782" t="s">
        <v>2248</v>
      </c>
      <c r="Z4761" s="782" t="s">
        <v>4076</v>
      </c>
      <c r="AA4761" s="781">
        <f>$S$1*P!AA4761</f>
        <v>1.0727822580645162E-2</v>
      </c>
      <c r="AB4761" s="780"/>
      <c r="AC4761" s="780"/>
      <c r="AD4761" s="780"/>
      <c r="AE4761" s="780"/>
      <c r="AF4761" s="780"/>
    </row>
    <row r="4762" spans="19:32" x14ac:dyDescent="0.35">
      <c r="S4762" s="780"/>
      <c r="T4762" s="928"/>
      <c r="U4762" s="928"/>
      <c r="V4762" s="928"/>
      <c r="W4762" s="780"/>
      <c r="X4762" s="782">
        <v>4758</v>
      </c>
      <c r="Y4762" s="782" t="s">
        <v>2248</v>
      </c>
      <c r="Z4762" s="782" t="s">
        <v>3948</v>
      </c>
      <c r="AA4762" s="781">
        <f>$S$1*P!AA4762</f>
        <v>9.3911290322580651E-2</v>
      </c>
      <c r="AB4762" s="780"/>
      <c r="AC4762" s="780"/>
      <c r="AD4762" s="780"/>
      <c r="AE4762" s="780"/>
      <c r="AF4762" s="780"/>
    </row>
    <row r="4763" spans="19:32" x14ac:dyDescent="0.35">
      <c r="S4763" s="780"/>
      <c r="T4763" s="928"/>
      <c r="U4763" s="928"/>
      <c r="V4763" s="928"/>
      <c r="W4763" s="780"/>
      <c r="X4763" s="782">
        <v>4759</v>
      </c>
      <c r="Y4763" s="782" t="s">
        <v>2248</v>
      </c>
      <c r="Z4763" s="782" t="s">
        <v>4075</v>
      </c>
      <c r="AA4763" s="781">
        <f>$S$1*P!AA4763</f>
        <v>2.78991935483871E-4</v>
      </c>
      <c r="AB4763" s="780"/>
      <c r="AC4763" s="780"/>
      <c r="AD4763" s="780"/>
      <c r="AE4763" s="780"/>
      <c r="AF4763" s="780"/>
    </row>
    <row r="4764" spans="19:32" x14ac:dyDescent="0.35">
      <c r="S4764" s="780"/>
      <c r="T4764" s="928"/>
      <c r="U4764" s="928"/>
      <c r="V4764" s="928"/>
      <c r="W4764" s="780"/>
      <c r="X4764" s="881">
        <v>4760</v>
      </c>
      <c r="Y4764" s="881" t="s">
        <v>2248</v>
      </c>
      <c r="Z4764" s="881" t="s">
        <v>4074</v>
      </c>
      <c r="AA4764" s="890">
        <f>$S$1*P!AA4764</f>
        <v>42.842741935483872</v>
      </c>
      <c r="AB4764" s="780"/>
      <c r="AC4764" s="780"/>
      <c r="AD4764" s="780"/>
      <c r="AE4764" s="780"/>
      <c r="AF4764" s="780"/>
    </row>
    <row r="4765" spans="19:32" x14ac:dyDescent="0.35">
      <c r="S4765" s="780"/>
      <c r="T4765" s="928"/>
      <c r="U4765" s="928"/>
      <c r="V4765" s="928"/>
      <c r="W4765" s="780"/>
      <c r="X4765" s="881">
        <v>4761</v>
      </c>
      <c r="Y4765" s="881" t="s">
        <v>2248</v>
      </c>
      <c r="Z4765" s="881" t="s">
        <v>2471</v>
      </c>
      <c r="AA4765" s="890">
        <f>$S$1*P!AA4765</f>
        <v>92</v>
      </c>
      <c r="AB4765" s="780"/>
      <c r="AC4765" s="780"/>
      <c r="AD4765" s="780"/>
      <c r="AE4765" s="780"/>
      <c r="AF4765" s="780"/>
    </row>
    <row r="4766" spans="19:32" x14ac:dyDescent="0.35">
      <c r="S4766" s="780"/>
      <c r="T4766" s="928"/>
      <c r="U4766" s="928"/>
      <c r="V4766" s="928"/>
      <c r="W4766" s="780"/>
      <c r="X4766" s="782">
        <v>4762</v>
      </c>
      <c r="Y4766" s="782" t="s">
        <v>2248</v>
      </c>
      <c r="Z4766" s="782" t="s">
        <v>2387</v>
      </c>
      <c r="AA4766" s="781">
        <f>$S$1*P!AA4766</f>
        <v>3.564516129032258E-2</v>
      </c>
      <c r="AB4766" s="780"/>
      <c r="AC4766" s="780"/>
      <c r="AD4766" s="780"/>
      <c r="AE4766" s="780"/>
      <c r="AF4766" s="780"/>
    </row>
    <row r="4767" spans="19:32" x14ac:dyDescent="0.35">
      <c r="S4767" s="780"/>
      <c r="T4767" s="928"/>
      <c r="U4767" s="928"/>
      <c r="V4767" s="928"/>
      <c r="W4767" s="780"/>
      <c r="X4767" s="782">
        <v>4763</v>
      </c>
      <c r="Y4767" s="782" t="s">
        <v>2248</v>
      </c>
      <c r="Z4767" s="782" t="s">
        <v>4073</v>
      </c>
      <c r="AA4767" s="781">
        <f>$S$1*P!AA4767</f>
        <v>6.7177419354838715E-4</v>
      </c>
      <c r="AB4767" s="780"/>
      <c r="AC4767" s="780"/>
      <c r="AD4767" s="780"/>
      <c r="AE4767" s="780"/>
      <c r="AF4767" s="780"/>
    </row>
    <row r="4768" spans="19:32" x14ac:dyDescent="0.35">
      <c r="S4768" s="780"/>
      <c r="T4768" s="928"/>
      <c r="U4768" s="928"/>
      <c r="V4768" s="928"/>
      <c r="W4768" s="780"/>
      <c r="X4768" s="782">
        <v>4764</v>
      </c>
      <c r="Y4768" s="782" t="s">
        <v>2248</v>
      </c>
      <c r="Z4768" s="782" t="s">
        <v>4072</v>
      </c>
      <c r="AA4768" s="781">
        <f>$S$1*P!AA4768</f>
        <v>9.3911290322580658E-3</v>
      </c>
      <c r="AB4768" s="780"/>
      <c r="AC4768" s="780"/>
      <c r="AD4768" s="780"/>
      <c r="AE4768" s="780"/>
      <c r="AF4768" s="780"/>
    </row>
    <row r="4769" spans="19:32" x14ac:dyDescent="0.35">
      <c r="S4769" s="780"/>
      <c r="T4769" s="928"/>
      <c r="U4769" s="928"/>
      <c r="V4769" s="928"/>
      <c r="W4769" s="780"/>
      <c r="X4769" s="782">
        <v>4765</v>
      </c>
      <c r="Y4769" s="782" t="s">
        <v>2248</v>
      </c>
      <c r="Z4769" s="782" t="s">
        <v>3946</v>
      </c>
      <c r="AA4769" s="781">
        <f>$S$1*P!AA4769</f>
        <v>1.583467741935484E-4</v>
      </c>
      <c r="AB4769" s="780"/>
      <c r="AC4769" s="780"/>
      <c r="AD4769" s="780"/>
      <c r="AE4769" s="780"/>
      <c r="AF4769" s="780"/>
    </row>
    <row r="4770" spans="19:32" x14ac:dyDescent="0.35">
      <c r="S4770" s="780"/>
      <c r="T4770" s="928"/>
      <c r="U4770" s="928"/>
      <c r="V4770" s="928"/>
      <c r="W4770" s="780"/>
      <c r="X4770" s="881">
        <v>4766</v>
      </c>
      <c r="Y4770" s="881" t="s">
        <v>2248</v>
      </c>
      <c r="Z4770" s="881" t="s">
        <v>2470</v>
      </c>
      <c r="AA4770" s="890">
        <f>$S$1*P!AA4770</f>
        <v>0.31556000000000001</v>
      </c>
      <c r="AB4770" s="780"/>
      <c r="AC4770" s="780"/>
      <c r="AD4770" s="780"/>
      <c r="AE4770" s="780"/>
      <c r="AF4770" s="780"/>
    </row>
    <row r="4771" spans="19:32" x14ac:dyDescent="0.35">
      <c r="S4771" s="780"/>
      <c r="T4771" s="928"/>
      <c r="U4771" s="928"/>
      <c r="V4771" s="928"/>
      <c r="W4771" s="780"/>
      <c r="X4771" s="782">
        <v>4767</v>
      </c>
      <c r="Y4771" s="782" t="s">
        <v>2248</v>
      </c>
      <c r="Z4771" s="782" t="s">
        <v>2385</v>
      </c>
      <c r="AA4771" s="781">
        <f>$S$1*P!AA4771</f>
        <v>9.8709677419354843E-5</v>
      </c>
      <c r="AB4771" s="780"/>
      <c r="AC4771" s="780"/>
      <c r="AD4771" s="780"/>
      <c r="AE4771" s="780"/>
      <c r="AF4771" s="780"/>
    </row>
    <row r="4772" spans="19:32" x14ac:dyDescent="0.35">
      <c r="S4772" s="780"/>
      <c r="T4772" s="928"/>
      <c r="U4772" s="928"/>
      <c r="V4772" s="928"/>
      <c r="W4772" s="780"/>
      <c r="X4772" s="782">
        <v>4768</v>
      </c>
      <c r="Y4772" s="782" t="s">
        <v>2248</v>
      </c>
      <c r="Z4772" s="782" t="s">
        <v>4071</v>
      </c>
      <c r="AA4772" s="781">
        <f>$S$1*P!AA4772</f>
        <v>5.7237903225806452E-5</v>
      </c>
      <c r="AB4772" s="780"/>
      <c r="AC4772" s="780"/>
      <c r="AD4772" s="780"/>
      <c r="AE4772" s="780"/>
      <c r="AF4772" s="780"/>
    </row>
    <row r="4773" spans="19:32" x14ac:dyDescent="0.35">
      <c r="S4773" s="780"/>
      <c r="T4773" s="928"/>
      <c r="U4773" s="928"/>
      <c r="V4773" s="928"/>
      <c r="W4773" s="780"/>
      <c r="X4773" s="881">
        <v>4769</v>
      </c>
      <c r="Y4773" s="881" t="s">
        <v>2248</v>
      </c>
      <c r="Z4773" s="881" t="s">
        <v>4070</v>
      </c>
      <c r="AA4773" s="890">
        <f>$S$1*P!AA4773</f>
        <v>6.5806451612903229E-4</v>
      </c>
      <c r="AB4773" s="780"/>
      <c r="AC4773" s="780"/>
      <c r="AD4773" s="780"/>
      <c r="AE4773" s="780"/>
      <c r="AF4773" s="780"/>
    </row>
    <row r="4774" spans="19:32" x14ac:dyDescent="0.35">
      <c r="S4774" s="780"/>
      <c r="T4774" s="928"/>
      <c r="U4774" s="928"/>
      <c r="V4774" s="928"/>
      <c r="W4774" s="780"/>
      <c r="X4774" s="782">
        <v>4770</v>
      </c>
      <c r="Y4774" s="782" t="s">
        <v>2248</v>
      </c>
      <c r="Z4774" s="782" t="s">
        <v>4069</v>
      </c>
      <c r="AA4774" s="781">
        <f>$S$1*P!AA4774</f>
        <v>5.2096774193548386E-4</v>
      </c>
      <c r="AB4774" s="780"/>
      <c r="AC4774" s="780"/>
      <c r="AD4774" s="780"/>
      <c r="AE4774" s="780"/>
      <c r="AF4774" s="780"/>
    </row>
    <row r="4775" spans="19:32" x14ac:dyDescent="0.35">
      <c r="S4775" s="780"/>
      <c r="T4775" s="928"/>
      <c r="U4775" s="928"/>
      <c r="V4775" s="928"/>
      <c r="W4775" s="780"/>
      <c r="X4775" s="782">
        <v>4771</v>
      </c>
      <c r="Y4775" s="782" t="s">
        <v>2248</v>
      </c>
      <c r="Z4775" s="782" t="s">
        <v>3944</v>
      </c>
      <c r="AA4775" s="781">
        <f>$S$1*P!AA4775</f>
        <v>1.5046370967741936E-4</v>
      </c>
      <c r="AB4775" s="780"/>
      <c r="AC4775" s="780"/>
      <c r="AD4775" s="780"/>
      <c r="AE4775" s="780"/>
      <c r="AF4775" s="780"/>
    </row>
    <row r="4776" spans="19:32" x14ac:dyDescent="0.35">
      <c r="S4776" s="780"/>
      <c r="T4776" s="928"/>
      <c r="U4776" s="928"/>
      <c r="V4776" s="928"/>
      <c r="W4776" s="780"/>
      <c r="X4776" s="782">
        <v>4772</v>
      </c>
      <c r="Y4776" s="782" t="s">
        <v>2248</v>
      </c>
      <c r="Z4776" s="782" t="s">
        <v>4068</v>
      </c>
      <c r="AA4776" s="781">
        <f>$S$1*P!AA4776</f>
        <v>2.4643145161290327E-3</v>
      </c>
      <c r="AB4776" s="780"/>
      <c r="AC4776" s="780"/>
      <c r="AD4776" s="780"/>
      <c r="AE4776" s="780"/>
      <c r="AF4776" s="780"/>
    </row>
    <row r="4777" spans="19:32" x14ac:dyDescent="0.35">
      <c r="S4777" s="780"/>
      <c r="T4777" s="928"/>
      <c r="U4777" s="928"/>
      <c r="V4777" s="928"/>
      <c r="W4777" s="780"/>
      <c r="X4777" s="782">
        <v>4773</v>
      </c>
      <c r="Y4777" s="782" t="s">
        <v>2248</v>
      </c>
      <c r="Z4777" s="782" t="s">
        <v>3943</v>
      </c>
      <c r="AA4777" s="781">
        <f>$S$1*P!AA4777</f>
        <v>8.2258064516129036E-6</v>
      </c>
      <c r="AB4777" s="780"/>
      <c r="AC4777" s="780"/>
      <c r="AD4777" s="780"/>
      <c r="AE4777" s="780"/>
      <c r="AF4777" s="780"/>
    </row>
    <row r="4778" spans="19:32" x14ac:dyDescent="0.35">
      <c r="S4778" s="780"/>
      <c r="T4778" s="928"/>
      <c r="U4778" s="928"/>
      <c r="V4778" s="928"/>
      <c r="W4778" s="780"/>
      <c r="X4778" s="782">
        <v>4774</v>
      </c>
      <c r="Y4778" s="782" t="s">
        <v>2248</v>
      </c>
      <c r="Z4778" s="782" t="s">
        <v>4067</v>
      </c>
      <c r="AA4778" s="781">
        <f>$S$1*P!AA4778</f>
        <v>1.7993951612903226E-2</v>
      </c>
      <c r="AB4778" s="780"/>
      <c r="AC4778" s="780"/>
      <c r="AD4778" s="780"/>
      <c r="AE4778" s="780"/>
      <c r="AF4778" s="780"/>
    </row>
    <row r="4779" spans="19:32" x14ac:dyDescent="0.35">
      <c r="S4779" s="780"/>
      <c r="T4779" s="928"/>
      <c r="U4779" s="928"/>
      <c r="V4779" s="928"/>
      <c r="W4779" s="780"/>
      <c r="X4779" s="782">
        <v>4775</v>
      </c>
      <c r="Y4779" s="782" t="s">
        <v>2248</v>
      </c>
      <c r="Z4779" s="782" t="s">
        <v>3128</v>
      </c>
      <c r="AA4779" s="781">
        <f>$S$1*P!AA4779</f>
        <v>0.25705645161290325</v>
      </c>
      <c r="AB4779" s="780"/>
      <c r="AC4779" s="780"/>
      <c r="AD4779" s="780"/>
      <c r="AE4779" s="780"/>
      <c r="AF4779" s="780"/>
    </row>
    <row r="4780" spans="19:32" x14ac:dyDescent="0.35">
      <c r="S4780" s="780"/>
      <c r="T4780" s="928"/>
      <c r="U4780" s="928"/>
      <c r="V4780" s="928"/>
      <c r="W4780" s="780"/>
      <c r="X4780" s="782">
        <v>4776</v>
      </c>
      <c r="Y4780" s="782" t="s">
        <v>2248</v>
      </c>
      <c r="Z4780" s="782" t="s">
        <v>2382</v>
      </c>
      <c r="AA4780" s="781">
        <f>$S$1*P!AA4780</f>
        <v>2.3649193548387095E-5</v>
      </c>
      <c r="AB4780" s="780"/>
      <c r="AC4780" s="780"/>
      <c r="AD4780" s="780"/>
      <c r="AE4780" s="780"/>
      <c r="AF4780" s="780"/>
    </row>
    <row r="4781" spans="19:32" x14ac:dyDescent="0.35">
      <c r="S4781" s="780"/>
      <c r="T4781" s="928"/>
      <c r="U4781" s="928"/>
      <c r="V4781" s="928"/>
      <c r="W4781" s="780"/>
      <c r="X4781" s="782">
        <v>4777</v>
      </c>
      <c r="Y4781" s="782" t="s">
        <v>2248</v>
      </c>
      <c r="Z4781" s="782" t="s">
        <v>4066</v>
      </c>
      <c r="AA4781" s="781">
        <f>$S$1*P!AA4781</f>
        <v>1.9056451612903227E-5</v>
      </c>
      <c r="AB4781" s="780"/>
      <c r="AC4781" s="780"/>
      <c r="AD4781" s="780"/>
      <c r="AE4781" s="780"/>
      <c r="AF4781" s="780"/>
    </row>
    <row r="4782" spans="19:32" x14ac:dyDescent="0.35">
      <c r="S4782" s="780"/>
      <c r="T4782" s="928"/>
      <c r="U4782" s="928"/>
      <c r="V4782" s="928"/>
      <c r="W4782" s="780"/>
      <c r="X4782" s="782">
        <v>4778</v>
      </c>
      <c r="Y4782" s="782" t="s">
        <v>2248</v>
      </c>
      <c r="Z4782" s="782" t="s">
        <v>2381</v>
      </c>
      <c r="AA4782" s="781">
        <f>$S$1*P!AA4782</f>
        <v>2.1352822580645161E-5</v>
      </c>
      <c r="AB4782" s="780"/>
      <c r="AC4782" s="780"/>
      <c r="AD4782" s="780"/>
      <c r="AE4782" s="780"/>
      <c r="AF4782" s="780"/>
    </row>
    <row r="4783" spans="19:32" x14ac:dyDescent="0.35">
      <c r="S4783" s="780"/>
      <c r="T4783" s="928"/>
      <c r="U4783" s="928"/>
      <c r="V4783" s="928"/>
      <c r="W4783" s="780"/>
      <c r="X4783" s="881">
        <v>4779</v>
      </c>
      <c r="Y4783" s="881" t="s">
        <v>2248</v>
      </c>
      <c r="Z4783" s="881" t="s">
        <v>2468</v>
      </c>
      <c r="AA4783" s="890">
        <f>$S$1*P!AA4783</f>
        <v>0.39651999999999998</v>
      </c>
      <c r="AB4783" s="780"/>
      <c r="AC4783" s="780"/>
      <c r="AD4783" s="780"/>
      <c r="AE4783" s="780"/>
      <c r="AF4783" s="780"/>
    </row>
    <row r="4784" spans="19:32" x14ac:dyDescent="0.35">
      <c r="S4784" s="780"/>
      <c r="T4784" s="928"/>
      <c r="U4784" s="928"/>
      <c r="V4784" s="928"/>
      <c r="W4784" s="780"/>
      <c r="X4784" s="881">
        <v>4780</v>
      </c>
      <c r="Y4784" s="881" t="s">
        <v>2248</v>
      </c>
      <c r="Z4784" s="881" t="s">
        <v>4065</v>
      </c>
      <c r="AA4784" s="890">
        <f>$S$1*P!AA4784</f>
        <v>0.11447580645161291</v>
      </c>
      <c r="AB4784" s="780"/>
      <c r="AC4784" s="780"/>
      <c r="AD4784" s="780"/>
      <c r="AE4784" s="780"/>
      <c r="AF4784" s="780"/>
    </row>
    <row r="4785" spans="19:32" x14ac:dyDescent="0.35">
      <c r="S4785" s="780"/>
      <c r="T4785" s="928"/>
      <c r="U4785" s="928"/>
      <c r="V4785" s="928"/>
      <c r="W4785" s="780"/>
      <c r="X4785" s="782">
        <v>4781</v>
      </c>
      <c r="Y4785" s="782" t="s">
        <v>2248</v>
      </c>
      <c r="Z4785" s="782" t="s">
        <v>2468</v>
      </c>
      <c r="AA4785" s="781">
        <f>$S$1*P!AA4785</f>
        <v>8.0544354838709692E-5</v>
      </c>
      <c r="AB4785" s="780"/>
      <c r="AC4785" s="780"/>
      <c r="AD4785" s="780"/>
      <c r="AE4785" s="780"/>
      <c r="AF4785" s="780"/>
    </row>
    <row r="4786" spans="19:32" x14ac:dyDescent="0.35">
      <c r="S4786" s="780"/>
      <c r="T4786" s="928"/>
      <c r="U4786" s="928"/>
      <c r="V4786" s="928"/>
      <c r="W4786" s="780"/>
      <c r="X4786" s="782">
        <v>4782</v>
      </c>
      <c r="Y4786" s="782" t="s">
        <v>2248</v>
      </c>
      <c r="Z4786" s="782" t="s">
        <v>3939</v>
      </c>
      <c r="AA4786" s="781">
        <f>$S$1*P!AA4786</f>
        <v>3.4000000000000001E-6</v>
      </c>
      <c r="AB4786" s="780"/>
      <c r="AC4786" s="780"/>
      <c r="AD4786" s="780"/>
      <c r="AE4786" s="780"/>
      <c r="AF4786" s="780"/>
    </row>
    <row r="4787" spans="19:32" x14ac:dyDescent="0.35">
      <c r="S4787" s="780"/>
      <c r="T4787" s="928"/>
      <c r="U4787" s="928"/>
      <c r="V4787" s="928"/>
      <c r="W4787" s="780"/>
      <c r="X4787" s="881">
        <v>4783</v>
      </c>
      <c r="Y4787" s="881" t="s">
        <v>2248</v>
      </c>
      <c r="Z4787" s="881" t="s">
        <v>2467</v>
      </c>
      <c r="AA4787" s="890">
        <f>$S$1*P!AA4787</f>
        <v>28.611999999999998</v>
      </c>
      <c r="AB4787" s="780"/>
      <c r="AC4787" s="780"/>
      <c r="AD4787" s="780"/>
      <c r="AE4787" s="780"/>
      <c r="AF4787" s="780"/>
    </row>
    <row r="4788" spans="19:32" x14ac:dyDescent="0.35">
      <c r="S4788" s="780"/>
      <c r="T4788" s="928"/>
      <c r="U4788" s="928"/>
      <c r="V4788" s="928"/>
      <c r="W4788" s="780"/>
      <c r="X4788" s="782">
        <v>4784</v>
      </c>
      <c r="Y4788" s="782" t="s">
        <v>2248</v>
      </c>
      <c r="Z4788" s="782" t="s">
        <v>3938</v>
      </c>
      <c r="AA4788" s="781">
        <f>$S$1*P!AA4788</f>
        <v>7.9173387096774206E-6</v>
      </c>
      <c r="AB4788" s="780"/>
      <c r="AC4788" s="780"/>
      <c r="AD4788" s="780"/>
      <c r="AE4788" s="780"/>
      <c r="AF4788" s="780"/>
    </row>
    <row r="4789" spans="19:32" x14ac:dyDescent="0.35">
      <c r="S4789" s="780"/>
      <c r="T4789" s="928"/>
      <c r="U4789" s="928"/>
      <c r="V4789" s="928"/>
      <c r="W4789" s="780"/>
      <c r="X4789" s="881">
        <v>4785</v>
      </c>
      <c r="Y4789" s="881" t="s">
        <v>2248</v>
      </c>
      <c r="Z4789" s="881" t="s">
        <v>2465</v>
      </c>
      <c r="AA4789" s="890">
        <f>$S$1*P!AA4789</f>
        <v>17.295999999999999</v>
      </c>
      <c r="AB4789" s="780"/>
      <c r="AC4789" s="780"/>
      <c r="AD4789" s="780"/>
      <c r="AE4789" s="780"/>
      <c r="AF4789" s="780"/>
    </row>
    <row r="4790" spans="19:32" x14ac:dyDescent="0.35">
      <c r="S4790" s="780"/>
      <c r="T4790" s="928"/>
      <c r="U4790" s="928"/>
      <c r="V4790" s="928"/>
      <c r="W4790" s="780"/>
      <c r="X4790" s="881">
        <v>4786</v>
      </c>
      <c r="Y4790" s="881" t="s">
        <v>2248</v>
      </c>
      <c r="Z4790" s="881" t="s">
        <v>4064</v>
      </c>
      <c r="AA4790" s="890">
        <f>$S$1*P!AA4790</f>
        <v>4.9012096774193551E-3</v>
      </c>
      <c r="AB4790" s="780"/>
      <c r="AC4790" s="780"/>
      <c r="AD4790" s="780"/>
      <c r="AE4790" s="780"/>
      <c r="AF4790" s="780"/>
    </row>
    <row r="4791" spans="19:32" x14ac:dyDescent="0.35">
      <c r="S4791" s="780"/>
      <c r="T4791" s="928"/>
      <c r="U4791" s="928"/>
      <c r="V4791" s="928"/>
      <c r="W4791" s="780"/>
      <c r="X4791" s="782">
        <v>4787</v>
      </c>
      <c r="Y4791" s="782" t="s">
        <v>2248</v>
      </c>
      <c r="Z4791" s="782" t="s">
        <v>4063</v>
      </c>
      <c r="AA4791" s="781">
        <f>$S$1*P!AA4791</f>
        <v>0.39072580645161292</v>
      </c>
      <c r="AB4791" s="780"/>
      <c r="AC4791" s="780"/>
      <c r="AD4791" s="780"/>
      <c r="AE4791" s="780"/>
      <c r="AF4791" s="780"/>
    </row>
    <row r="4792" spans="19:32" x14ac:dyDescent="0.35">
      <c r="S4792" s="780"/>
      <c r="T4792" s="928"/>
      <c r="U4792" s="928"/>
      <c r="V4792" s="928"/>
      <c r="W4792" s="780"/>
      <c r="X4792" s="782">
        <v>4788</v>
      </c>
      <c r="Y4792" s="782" t="s">
        <v>2248</v>
      </c>
      <c r="Z4792" s="782" t="s">
        <v>3937</v>
      </c>
      <c r="AA4792" s="781">
        <f>$S$1*P!AA4792</f>
        <v>1.3469758064516129E-4</v>
      </c>
      <c r="AB4792" s="780"/>
      <c r="AC4792" s="780"/>
      <c r="AD4792" s="780"/>
      <c r="AE4792" s="780"/>
      <c r="AF4792" s="780"/>
    </row>
    <row r="4793" spans="19:32" x14ac:dyDescent="0.35">
      <c r="S4793" s="780"/>
      <c r="T4793" s="928"/>
      <c r="U4793" s="928"/>
      <c r="V4793" s="928"/>
      <c r="W4793" s="780"/>
      <c r="X4793" s="881">
        <v>4789</v>
      </c>
      <c r="Y4793" s="881" t="s">
        <v>2248</v>
      </c>
      <c r="Z4793" s="881" t="s">
        <v>4062</v>
      </c>
      <c r="AA4793" s="890">
        <f>$S$1*P!AA4793</f>
        <v>0.20564516129032259</v>
      </c>
      <c r="AB4793" s="780"/>
      <c r="AC4793" s="780"/>
      <c r="AD4793" s="780"/>
      <c r="AE4793" s="780"/>
      <c r="AF4793" s="780"/>
    </row>
    <row r="4794" spans="19:32" x14ac:dyDescent="0.35">
      <c r="S4794" s="780"/>
      <c r="T4794" s="928"/>
      <c r="U4794" s="928"/>
      <c r="V4794" s="928"/>
      <c r="W4794" s="780"/>
      <c r="X4794" s="881">
        <v>4790</v>
      </c>
      <c r="Y4794" s="881" t="s">
        <v>2248</v>
      </c>
      <c r="Z4794" s="881" t="s">
        <v>2463</v>
      </c>
      <c r="AA4794" s="890">
        <f>$S$1*P!AA4794</f>
        <v>1.1039999999999999</v>
      </c>
      <c r="AB4794" s="780"/>
      <c r="AC4794" s="780"/>
      <c r="AD4794" s="780"/>
      <c r="AE4794" s="780"/>
      <c r="AF4794" s="780"/>
    </row>
    <row r="4795" spans="19:32" x14ac:dyDescent="0.35">
      <c r="S4795" s="780"/>
      <c r="T4795" s="928"/>
      <c r="U4795" s="928"/>
      <c r="V4795" s="928"/>
      <c r="W4795" s="780"/>
      <c r="X4795" s="782">
        <v>4791</v>
      </c>
      <c r="Y4795" s="782" t="s">
        <v>2248</v>
      </c>
      <c r="Z4795" s="782" t="s">
        <v>3936</v>
      </c>
      <c r="AA4795" s="781">
        <f>$S$1*P!AA4795</f>
        <v>2.5842741935483873E-2</v>
      </c>
      <c r="AB4795" s="780"/>
      <c r="AC4795" s="780"/>
      <c r="AD4795" s="780"/>
      <c r="AE4795" s="780"/>
      <c r="AF4795" s="780"/>
    </row>
    <row r="4796" spans="19:32" x14ac:dyDescent="0.35">
      <c r="S4796" s="780"/>
      <c r="T4796" s="928"/>
      <c r="U4796" s="928"/>
      <c r="V4796" s="928"/>
      <c r="W4796" s="780"/>
      <c r="X4796" s="782">
        <v>4792</v>
      </c>
      <c r="Y4796" s="782" t="s">
        <v>2248</v>
      </c>
      <c r="Z4796" s="782" t="s">
        <v>2463</v>
      </c>
      <c r="AA4796" s="781">
        <f>$S$1*P!AA4796</f>
        <v>0.24197580645161293</v>
      </c>
      <c r="AB4796" s="780"/>
      <c r="AC4796" s="780"/>
      <c r="AD4796" s="780"/>
      <c r="AE4796" s="780"/>
      <c r="AF4796" s="780"/>
    </row>
    <row r="4797" spans="19:32" x14ac:dyDescent="0.35">
      <c r="S4797" s="780"/>
      <c r="T4797" s="928"/>
      <c r="U4797" s="928"/>
      <c r="V4797" s="928"/>
      <c r="W4797" s="780"/>
      <c r="X4797" s="782">
        <v>4793</v>
      </c>
      <c r="Y4797" s="782" t="s">
        <v>2248</v>
      </c>
      <c r="Z4797" s="782" t="s">
        <v>3935</v>
      </c>
      <c r="AA4797" s="781">
        <f>$S$1*P!AA4797</f>
        <v>5.8608870967741941E-3</v>
      </c>
      <c r="AB4797" s="780"/>
      <c r="AC4797" s="780"/>
      <c r="AD4797" s="780"/>
      <c r="AE4797" s="780"/>
      <c r="AF4797" s="780"/>
    </row>
    <row r="4798" spans="19:32" x14ac:dyDescent="0.35">
      <c r="S4798" s="780"/>
      <c r="T4798" s="928"/>
      <c r="U4798" s="928"/>
      <c r="V4798" s="928"/>
      <c r="W4798" s="780"/>
      <c r="X4798" s="881">
        <v>4794</v>
      </c>
      <c r="Y4798" s="881" t="s">
        <v>2248</v>
      </c>
      <c r="Z4798" s="881" t="s">
        <v>2462</v>
      </c>
      <c r="AA4798" s="890">
        <f>$S$1*P!AA4798</f>
        <v>2.3643999999999998E-2</v>
      </c>
      <c r="AB4798" s="780"/>
      <c r="AC4798" s="780"/>
      <c r="AD4798" s="780"/>
      <c r="AE4798" s="780"/>
      <c r="AF4798" s="780"/>
    </row>
    <row r="4799" spans="19:32" x14ac:dyDescent="0.35">
      <c r="S4799" s="780"/>
      <c r="T4799" s="928"/>
      <c r="U4799" s="928"/>
      <c r="V4799" s="928"/>
      <c r="W4799" s="780"/>
      <c r="X4799" s="881">
        <v>4795</v>
      </c>
      <c r="Y4799" s="881" t="s">
        <v>2248</v>
      </c>
      <c r="Z4799" s="881" t="s">
        <v>3127</v>
      </c>
      <c r="AA4799" s="890">
        <f>$S$1*P!AA4799</f>
        <v>4.8326612903225813E-3</v>
      </c>
      <c r="AB4799" s="780"/>
      <c r="AC4799" s="780"/>
      <c r="AD4799" s="780"/>
      <c r="AE4799" s="780"/>
      <c r="AF4799" s="780"/>
    </row>
    <row r="4800" spans="19:32" x14ac:dyDescent="0.35">
      <c r="S4800" s="780"/>
      <c r="T4800" s="928"/>
      <c r="U4800" s="928"/>
      <c r="V4800" s="928"/>
      <c r="W4800" s="780"/>
      <c r="X4800" s="881">
        <v>4796</v>
      </c>
      <c r="Y4800" s="881" t="s">
        <v>2248</v>
      </c>
      <c r="Z4800" s="881" t="s">
        <v>2460</v>
      </c>
      <c r="AA4800" s="890">
        <f>$S$1*P!AA4800</f>
        <v>4.1399999999999999E-2</v>
      </c>
      <c r="AB4800" s="780"/>
      <c r="AC4800" s="780"/>
      <c r="AD4800" s="780"/>
      <c r="AE4800" s="780"/>
      <c r="AF4800" s="780"/>
    </row>
    <row r="4801" spans="19:32" x14ac:dyDescent="0.35">
      <c r="S4801" s="780"/>
      <c r="T4801" s="928"/>
      <c r="U4801" s="928"/>
      <c r="V4801" s="928"/>
      <c r="W4801" s="780"/>
      <c r="X4801" s="782">
        <v>4797</v>
      </c>
      <c r="Y4801" s="782" t="s">
        <v>2248</v>
      </c>
      <c r="Z4801" s="782" t="s">
        <v>3933</v>
      </c>
      <c r="AA4801" s="781">
        <f>$S$1*P!AA4801</f>
        <v>0.92197580645161292</v>
      </c>
      <c r="AB4801" s="780"/>
      <c r="AC4801" s="780"/>
      <c r="AD4801" s="780"/>
      <c r="AE4801" s="780"/>
      <c r="AF4801" s="780"/>
    </row>
    <row r="4802" spans="19:32" x14ac:dyDescent="0.35">
      <c r="S4802" s="780"/>
      <c r="T4802" s="928"/>
      <c r="U4802" s="928"/>
      <c r="V4802" s="928"/>
      <c r="W4802" s="780"/>
      <c r="X4802" s="782">
        <v>4798</v>
      </c>
      <c r="Y4802" s="782" t="s">
        <v>2248</v>
      </c>
      <c r="Z4802" s="782" t="s">
        <v>4061</v>
      </c>
      <c r="AA4802" s="781">
        <f>$S$1*P!AA4802</f>
        <v>1.7445564516129032E-2</v>
      </c>
      <c r="AB4802" s="780"/>
      <c r="AC4802" s="780"/>
      <c r="AD4802" s="780"/>
      <c r="AE4802" s="780"/>
      <c r="AF4802" s="780"/>
    </row>
    <row r="4803" spans="19:32" x14ac:dyDescent="0.35">
      <c r="S4803" s="780"/>
      <c r="T4803" s="928"/>
      <c r="U4803" s="928"/>
      <c r="V4803" s="928"/>
      <c r="W4803" s="780"/>
      <c r="X4803" s="782">
        <v>4799</v>
      </c>
      <c r="Y4803" s="782" t="s">
        <v>2248</v>
      </c>
      <c r="Z4803" s="782" t="s">
        <v>3932</v>
      </c>
      <c r="AA4803" s="781">
        <f>$S$1*P!AA4803</f>
        <v>0.1607459677419355</v>
      </c>
      <c r="AB4803" s="780"/>
      <c r="AC4803" s="780"/>
      <c r="AD4803" s="780"/>
      <c r="AE4803" s="780"/>
      <c r="AF4803" s="780"/>
    </row>
    <row r="4804" spans="19:32" x14ac:dyDescent="0.35">
      <c r="S4804" s="780"/>
      <c r="T4804" s="928"/>
      <c r="U4804" s="928"/>
      <c r="V4804" s="928"/>
      <c r="W4804" s="780"/>
      <c r="X4804" s="881">
        <v>4800</v>
      </c>
      <c r="Y4804" s="881" t="s">
        <v>2248</v>
      </c>
      <c r="Z4804" s="881" t="s">
        <v>2459</v>
      </c>
      <c r="AA4804" s="890">
        <f>$S$1*P!AA4804</f>
        <v>1.2695999999999998</v>
      </c>
      <c r="AB4804" s="780"/>
      <c r="AC4804" s="780"/>
      <c r="AD4804" s="780"/>
      <c r="AE4804" s="780"/>
      <c r="AF4804" s="780"/>
    </row>
    <row r="4805" spans="19:32" x14ac:dyDescent="0.35">
      <c r="S4805" s="780"/>
      <c r="T4805" s="928"/>
      <c r="U4805" s="928"/>
      <c r="V4805" s="928"/>
      <c r="W4805" s="780"/>
      <c r="X4805" s="782">
        <v>4801</v>
      </c>
      <c r="Y4805" s="782" t="s">
        <v>2248</v>
      </c>
      <c r="Z4805" s="782" t="s">
        <v>4060</v>
      </c>
      <c r="AA4805" s="781">
        <f>$S$1*P!AA4805</f>
        <v>0.873991935483871</v>
      </c>
      <c r="AB4805" s="780"/>
      <c r="AC4805" s="780"/>
      <c r="AD4805" s="780"/>
      <c r="AE4805" s="780"/>
      <c r="AF4805" s="780"/>
    </row>
    <row r="4806" spans="19:32" x14ac:dyDescent="0.35">
      <c r="S4806" s="780"/>
      <c r="T4806" s="928"/>
      <c r="U4806" s="928"/>
      <c r="V4806" s="928"/>
      <c r="W4806" s="780"/>
      <c r="X4806" s="782">
        <v>4802</v>
      </c>
      <c r="Y4806" s="782" t="s">
        <v>2248</v>
      </c>
      <c r="Z4806" s="782" t="s">
        <v>3931</v>
      </c>
      <c r="AA4806" s="781">
        <f>$S$1*P!AA4806</f>
        <v>3.1737903225806455E-2</v>
      </c>
      <c r="AB4806" s="780"/>
      <c r="AC4806" s="780"/>
      <c r="AD4806" s="780"/>
      <c r="AE4806" s="780"/>
      <c r="AF4806" s="780"/>
    </row>
    <row r="4807" spans="19:32" x14ac:dyDescent="0.35">
      <c r="S4807" s="780"/>
      <c r="T4807" s="928"/>
      <c r="U4807" s="928"/>
      <c r="V4807" s="928"/>
      <c r="W4807" s="780"/>
      <c r="X4807" s="881">
        <v>4803</v>
      </c>
      <c r="Y4807" s="881" t="s">
        <v>2248</v>
      </c>
      <c r="Z4807" s="881" t="s">
        <v>2457</v>
      </c>
      <c r="AA4807" s="890">
        <f>$S$1*P!AA4807</f>
        <v>3.0636E-2</v>
      </c>
      <c r="AB4807" s="780"/>
      <c r="AC4807" s="780"/>
      <c r="AD4807" s="780"/>
      <c r="AE4807" s="780"/>
      <c r="AF4807" s="780"/>
    </row>
    <row r="4808" spans="19:32" x14ac:dyDescent="0.35">
      <c r="S4808" s="780"/>
      <c r="T4808" s="928"/>
      <c r="U4808" s="928"/>
      <c r="V4808" s="928"/>
      <c r="W4808" s="780"/>
      <c r="X4808" s="782">
        <v>4804</v>
      </c>
      <c r="Y4808" s="782" t="s">
        <v>2248</v>
      </c>
      <c r="Z4808" s="782" t="s">
        <v>2457</v>
      </c>
      <c r="AA4808" s="781">
        <f>$S$1*P!AA4808</f>
        <v>0.10796370967741936</v>
      </c>
      <c r="AB4808" s="780"/>
      <c r="AC4808" s="780"/>
      <c r="AD4808" s="780"/>
      <c r="AE4808" s="780"/>
      <c r="AF4808" s="780"/>
    </row>
    <row r="4809" spans="19:32" x14ac:dyDescent="0.35">
      <c r="S4809" s="780"/>
      <c r="T4809" s="928"/>
      <c r="U4809" s="928"/>
      <c r="V4809" s="928"/>
      <c r="W4809" s="780"/>
      <c r="X4809" s="782">
        <v>4805</v>
      </c>
      <c r="Y4809" s="782" t="s">
        <v>2248</v>
      </c>
      <c r="Z4809" s="782" t="s">
        <v>3930</v>
      </c>
      <c r="AA4809" s="781">
        <f>$S$1*P!AA4809</f>
        <v>2.5431451612903229E-2</v>
      </c>
      <c r="AB4809" s="780"/>
      <c r="AC4809" s="780"/>
      <c r="AD4809" s="780"/>
      <c r="AE4809" s="780"/>
      <c r="AF4809" s="780"/>
    </row>
    <row r="4810" spans="19:32" x14ac:dyDescent="0.35">
      <c r="S4810" s="780"/>
      <c r="T4810" s="928"/>
      <c r="U4810" s="928"/>
      <c r="V4810" s="928"/>
      <c r="W4810" s="780"/>
      <c r="X4810" s="782">
        <v>4806</v>
      </c>
      <c r="Y4810" s="782" t="s">
        <v>2248</v>
      </c>
      <c r="Z4810" s="782" t="s">
        <v>4059</v>
      </c>
      <c r="AA4810" s="781">
        <f>$S$1*P!AA4810</f>
        <v>1.0487903225806453E-2</v>
      </c>
      <c r="AB4810" s="780"/>
      <c r="AC4810" s="780"/>
      <c r="AD4810" s="780"/>
      <c r="AE4810" s="780"/>
      <c r="AF4810" s="780"/>
    </row>
    <row r="4811" spans="19:32" x14ac:dyDescent="0.35">
      <c r="S4811" s="780"/>
      <c r="T4811" s="928"/>
      <c r="U4811" s="928"/>
      <c r="V4811" s="928"/>
      <c r="W4811" s="780"/>
      <c r="X4811" s="881">
        <v>4807</v>
      </c>
      <c r="Y4811" s="881" t="s">
        <v>2248</v>
      </c>
      <c r="Z4811" s="881" t="s">
        <v>4058</v>
      </c>
      <c r="AA4811" s="890">
        <f>$S$1*P!AA4811</f>
        <v>2.1421370967741936E-4</v>
      </c>
      <c r="AB4811" s="780"/>
      <c r="AC4811" s="780"/>
      <c r="AD4811" s="780"/>
      <c r="AE4811" s="780"/>
      <c r="AF4811" s="780"/>
    </row>
    <row r="4812" spans="19:32" x14ac:dyDescent="0.35">
      <c r="S4812" s="780"/>
      <c r="T4812" s="928"/>
      <c r="U4812" s="928"/>
      <c r="V4812" s="928"/>
      <c r="W4812" s="780"/>
      <c r="X4812" s="782">
        <v>4808</v>
      </c>
      <c r="Y4812" s="782" t="s">
        <v>2248</v>
      </c>
      <c r="Z4812" s="782" t="s">
        <v>3928</v>
      </c>
      <c r="AA4812" s="781">
        <f>$S$1*P!AA4812</f>
        <v>4.3528225806451615E-5</v>
      </c>
      <c r="AB4812" s="780"/>
      <c r="AC4812" s="780"/>
      <c r="AD4812" s="780"/>
      <c r="AE4812" s="780"/>
      <c r="AF4812" s="780"/>
    </row>
    <row r="4813" spans="19:32" x14ac:dyDescent="0.35">
      <c r="S4813" s="780"/>
      <c r="T4813" s="928"/>
      <c r="U4813" s="928"/>
      <c r="V4813" s="928"/>
      <c r="W4813" s="780"/>
      <c r="X4813" s="881">
        <v>4809</v>
      </c>
      <c r="Y4813" s="881" t="s">
        <v>2248</v>
      </c>
      <c r="Z4813" s="881" t="s">
        <v>2456</v>
      </c>
      <c r="AA4813" s="890">
        <f>$S$1*P!AA4813</f>
        <v>0</v>
      </c>
      <c r="AB4813" s="780"/>
      <c r="AC4813" s="780"/>
      <c r="AD4813" s="780"/>
      <c r="AE4813" s="780"/>
      <c r="AF4813" s="780"/>
    </row>
    <row r="4814" spans="19:32" x14ac:dyDescent="0.35">
      <c r="S4814" s="780"/>
      <c r="T4814" s="928"/>
      <c r="U4814" s="928"/>
      <c r="V4814" s="928"/>
      <c r="W4814" s="780"/>
      <c r="X4814" s="782">
        <v>4810</v>
      </c>
      <c r="Y4814" s="782" t="s">
        <v>2248</v>
      </c>
      <c r="Z4814" s="782" t="s">
        <v>2456</v>
      </c>
      <c r="AA4814" s="781">
        <f>$S$1*P!AA4814</f>
        <v>3.1120967741935486E-3</v>
      </c>
      <c r="AB4814" s="780"/>
      <c r="AC4814" s="780"/>
      <c r="AD4814" s="780"/>
      <c r="AE4814" s="780"/>
      <c r="AF4814" s="780"/>
    </row>
    <row r="4815" spans="19:32" x14ac:dyDescent="0.35">
      <c r="S4815" s="780"/>
      <c r="T4815" s="928"/>
      <c r="U4815" s="928"/>
      <c r="V4815" s="928"/>
      <c r="W4815" s="780"/>
      <c r="X4815" s="782">
        <v>4811</v>
      </c>
      <c r="Y4815" s="782" t="s">
        <v>2248</v>
      </c>
      <c r="Z4815" s="782" t="s">
        <v>4057</v>
      </c>
      <c r="AA4815" s="781">
        <f>$S$1*P!AA4815</f>
        <v>1.5903225806451615E-5</v>
      </c>
      <c r="AB4815" s="780"/>
      <c r="AC4815" s="780"/>
      <c r="AD4815" s="780"/>
      <c r="AE4815" s="780"/>
      <c r="AF4815" s="780"/>
    </row>
    <row r="4816" spans="19:32" x14ac:dyDescent="0.35">
      <c r="S4816" s="780"/>
      <c r="T4816" s="928"/>
      <c r="U4816" s="928"/>
      <c r="V4816" s="928"/>
      <c r="W4816" s="780"/>
      <c r="X4816" s="782">
        <v>4812</v>
      </c>
      <c r="Y4816" s="782" t="s">
        <v>2248</v>
      </c>
      <c r="Z4816" s="782" t="s">
        <v>3926</v>
      </c>
      <c r="AA4816" s="781">
        <f>$S$1*P!AA4816</f>
        <v>4.4899193548387102E-4</v>
      </c>
      <c r="AB4816" s="780"/>
      <c r="AC4816" s="780"/>
      <c r="AD4816" s="780"/>
      <c r="AE4816" s="780"/>
      <c r="AF4816" s="780"/>
    </row>
    <row r="4817" spans="19:32" x14ac:dyDescent="0.35">
      <c r="S4817" s="780"/>
      <c r="T4817" s="928"/>
      <c r="U4817" s="928"/>
      <c r="V4817" s="928"/>
      <c r="W4817" s="780"/>
      <c r="X4817" s="881">
        <v>4813</v>
      </c>
      <c r="Y4817" s="881" t="s">
        <v>2248</v>
      </c>
      <c r="Z4817" s="881" t="s">
        <v>2454</v>
      </c>
      <c r="AA4817" s="890">
        <f>$S$1*P!AA4817</f>
        <v>7.7556000000000003</v>
      </c>
      <c r="AB4817" s="780"/>
      <c r="AC4817" s="780"/>
      <c r="AD4817" s="780"/>
      <c r="AE4817" s="780"/>
      <c r="AF4817" s="780"/>
    </row>
    <row r="4818" spans="19:32" x14ac:dyDescent="0.35">
      <c r="S4818" s="780"/>
      <c r="T4818" s="928"/>
      <c r="U4818" s="928"/>
      <c r="V4818" s="928"/>
      <c r="W4818" s="780"/>
      <c r="X4818" s="782">
        <v>4814</v>
      </c>
      <c r="Y4818" s="782" t="s">
        <v>2248</v>
      </c>
      <c r="Z4818" s="782" t="s">
        <v>3925</v>
      </c>
      <c r="AA4818" s="781">
        <f>$S$1*P!AA4818</f>
        <v>0.10796370967741936</v>
      </c>
      <c r="AB4818" s="780"/>
      <c r="AC4818" s="780"/>
      <c r="AD4818" s="780"/>
      <c r="AE4818" s="780"/>
      <c r="AF4818" s="780"/>
    </row>
    <row r="4819" spans="19:32" x14ac:dyDescent="0.35">
      <c r="S4819" s="780"/>
      <c r="T4819" s="928"/>
      <c r="U4819" s="928"/>
      <c r="V4819" s="928"/>
      <c r="W4819" s="780"/>
      <c r="X4819" s="881">
        <v>4815</v>
      </c>
      <c r="Y4819" s="881" t="s">
        <v>2248</v>
      </c>
      <c r="Z4819" s="881" t="s">
        <v>2453</v>
      </c>
      <c r="AA4819" s="890">
        <f>$S$1*P!AA4819</f>
        <v>0</v>
      </c>
      <c r="AB4819" s="780"/>
      <c r="AC4819" s="780"/>
      <c r="AD4819" s="780"/>
      <c r="AE4819" s="780"/>
      <c r="AF4819" s="780"/>
    </row>
    <row r="4820" spans="19:32" x14ac:dyDescent="0.35">
      <c r="S4820" s="780"/>
      <c r="T4820" s="928"/>
      <c r="U4820" s="928"/>
      <c r="V4820" s="928"/>
      <c r="W4820" s="780"/>
      <c r="X4820" s="782">
        <v>4816</v>
      </c>
      <c r="Y4820" s="782" t="s">
        <v>2248</v>
      </c>
      <c r="Z4820" s="782" t="s">
        <v>2453</v>
      </c>
      <c r="AA4820" s="781">
        <f>$S$1*P!AA4820</f>
        <v>0.64778225806451617</v>
      </c>
      <c r="AB4820" s="780"/>
      <c r="AC4820" s="780"/>
      <c r="AD4820" s="780"/>
      <c r="AE4820" s="780"/>
      <c r="AF4820" s="780"/>
    </row>
    <row r="4821" spans="19:32" x14ac:dyDescent="0.35">
      <c r="S4821" s="780"/>
      <c r="T4821" s="928"/>
      <c r="U4821" s="928"/>
      <c r="V4821" s="928"/>
      <c r="W4821" s="780"/>
      <c r="X4821" s="881">
        <v>4817</v>
      </c>
      <c r="Y4821" s="881" t="s">
        <v>2248</v>
      </c>
      <c r="Z4821" s="881" t="s">
        <v>3126</v>
      </c>
      <c r="AA4821" s="890">
        <f>$S$1*P!AA4821</f>
        <v>4.4899193548387104E-2</v>
      </c>
      <c r="AB4821" s="780"/>
      <c r="AC4821" s="780"/>
      <c r="AD4821" s="780"/>
      <c r="AE4821" s="780"/>
      <c r="AF4821" s="780"/>
    </row>
    <row r="4822" spans="19:32" x14ac:dyDescent="0.35">
      <c r="S4822" s="780"/>
      <c r="T4822" s="928"/>
      <c r="U4822" s="928"/>
      <c r="V4822" s="928"/>
      <c r="W4822" s="780"/>
      <c r="X4822" s="782">
        <v>4818</v>
      </c>
      <c r="Y4822" s="782" t="s">
        <v>2248</v>
      </c>
      <c r="Z4822" s="782" t="s">
        <v>3924</v>
      </c>
      <c r="AA4822" s="781">
        <f>$S$1*P!AA4822</f>
        <v>0.342741935483871</v>
      </c>
      <c r="AB4822" s="780"/>
      <c r="AC4822" s="780"/>
      <c r="AD4822" s="780"/>
      <c r="AE4822" s="780"/>
      <c r="AF4822" s="780"/>
    </row>
    <row r="4823" spans="19:32" x14ac:dyDescent="0.35">
      <c r="S4823" s="780"/>
      <c r="T4823" s="928"/>
      <c r="U4823" s="928"/>
      <c r="V4823" s="928"/>
      <c r="W4823" s="780"/>
      <c r="X4823" s="881">
        <v>4819</v>
      </c>
      <c r="Y4823" s="881" t="s">
        <v>2248</v>
      </c>
      <c r="Z4823" s="881" t="s">
        <v>2451</v>
      </c>
      <c r="AA4823" s="890">
        <f>$S$1*P!AA4823</f>
        <v>1.196E-3</v>
      </c>
      <c r="AB4823" s="780"/>
      <c r="AC4823" s="780"/>
      <c r="AD4823" s="780"/>
      <c r="AE4823" s="780"/>
      <c r="AF4823" s="780"/>
    </row>
    <row r="4824" spans="19:32" x14ac:dyDescent="0.35">
      <c r="S4824" s="780"/>
      <c r="T4824" s="928"/>
      <c r="U4824" s="928"/>
      <c r="V4824" s="928"/>
      <c r="W4824" s="780"/>
      <c r="X4824" s="782">
        <v>4820</v>
      </c>
      <c r="Y4824" s="782" t="s">
        <v>2248</v>
      </c>
      <c r="Z4824" s="782" t="s">
        <v>3922</v>
      </c>
      <c r="AA4824" s="781">
        <f>$S$1*P!AA4824</f>
        <v>9.4596774193548387E-3</v>
      </c>
      <c r="AB4824" s="780"/>
      <c r="AC4824" s="780"/>
      <c r="AD4824" s="780"/>
      <c r="AE4824" s="780"/>
      <c r="AF4824" s="780"/>
    </row>
    <row r="4825" spans="19:32" x14ac:dyDescent="0.35">
      <c r="S4825" s="780"/>
      <c r="T4825" s="928"/>
      <c r="U4825" s="928"/>
      <c r="V4825" s="928"/>
      <c r="W4825" s="780"/>
      <c r="X4825" s="881">
        <v>4821</v>
      </c>
      <c r="Y4825" s="881" t="s">
        <v>2248</v>
      </c>
      <c r="Z4825" s="881" t="s">
        <v>2450</v>
      </c>
      <c r="AA4825" s="890">
        <f>$S$1*P!AA4825</f>
        <v>1.5087999999999999</v>
      </c>
      <c r="AB4825" s="780"/>
      <c r="AC4825" s="780"/>
      <c r="AD4825" s="780"/>
      <c r="AE4825" s="780"/>
      <c r="AF4825" s="780"/>
    </row>
    <row r="4826" spans="19:32" x14ac:dyDescent="0.35">
      <c r="S4826" s="780"/>
      <c r="T4826" s="928"/>
      <c r="U4826" s="928"/>
      <c r="V4826" s="928"/>
      <c r="W4826" s="780"/>
      <c r="X4826" s="782">
        <v>4822</v>
      </c>
      <c r="Y4826" s="782" t="s">
        <v>2248</v>
      </c>
      <c r="Z4826" s="782" t="s">
        <v>4056</v>
      </c>
      <c r="AA4826" s="781">
        <f>$S$1*P!AA4826</f>
        <v>1.1618951612903228</v>
      </c>
      <c r="AB4826" s="780"/>
      <c r="AC4826" s="780"/>
      <c r="AD4826" s="780"/>
      <c r="AE4826" s="780"/>
      <c r="AF4826" s="780"/>
    </row>
    <row r="4827" spans="19:32" x14ac:dyDescent="0.35">
      <c r="S4827" s="780"/>
      <c r="T4827" s="928"/>
      <c r="U4827" s="928"/>
      <c r="V4827" s="928"/>
      <c r="W4827" s="780"/>
      <c r="X4827" s="782">
        <v>4823</v>
      </c>
      <c r="Y4827" s="782" t="s">
        <v>2248</v>
      </c>
      <c r="Z4827" s="782" t="s">
        <v>3920</v>
      </c>
      <c r="AA4827" s="781">
        <f>$S$1*P!AA4827</f>
        <v>0.42157258064516134</v>
      </c>
      <c r="AB4827" s="780"/>
      <c r="AC4827" s="780"/>
      <c r="AD4827" s="780"/>
      <c r="AE4827" s="780"/>
      <c r="AF4827" s="780"/>
    </row>
    <row r="4828" spans="19:32" x14ac:dyDescent="0.35">
      <c r="S4828" s="780"/>
      <c r="T4828" s="928"/>
      <c r="U4828" s="928"/>
      <c r="V4828" s="928"/>
      <c r="W4828" s="780"/>
      <c r="X4828" s="782">
        <v>4824</v>
      </c>
      <c r="Y4828" s="782" t="s">
        <v>2248</v>
      </c>
      <c r="Z4828" s="782" t="s">
        <v>4055</v>
      </c>
      <c r="AA4828" s="781">
        <f>$S$1*P!AA4828</f>
        <v>4.9697580645161298E-3</v>
      </c>
      <c r="AB4828" s="780"/>
      <c r="AC4828" s="780"/>
      <c r="AD4828" s="780"/>
      <c r="AE4828" s="780"/>
      <c r="AF4828" s="780"/>
    </row>
    <row r="4829" spans="19:32" x14ac:dyDescent="0.35">
      <c r="S4829" s="780"/>
      <c r="T4829" s="928"/>
      <c r="U4829" s="928"/>
      <c r="V4829" s="928"/>
      <c r="W4829" s="780"/>
      <c r="X4829" s="881">
        <v>4825</v>
      </c>
      <c r="Y4829" s="881" t="s">
        <v>2248</v>
      </c>
      <c r="Z4829" s="881" t="s">
        <v>2448</v>
      </c>
      <c r="AA4829" s="890">
        <f>$S$1*P!AA4829</f>
        <v>0.29255999999999999</v>
      </c>
      <c r="AB4829" s="780"/>
      <c r="AC4829" s="780"/>
      <c r="AD4829" s="780"/>
      <c r="AE4829" s="780"/>
      <c r="AF4829" s="780"/>
    </row>
    <row r="4830" spans="19:32" x14ac:dyDescent="0.35">
      <c r="S4830" s="780"/>
      <c r="T4830" s="928"/>
      <c r="U4830" s="928"/>
      <c r="V4830" s="928"/>
      <c r="W4830" s="780"/>
      <c r="X4830" s="782">
        <v>4826</v>
      </c>
      <c r="Y4830" s="782" t="s">
        <v>2248</v>
      </c>
      <c r="Z4830" s="782" t="s">
        <v>3919</v>
      </c>
      <c r="AA4830" s="781">
        <f>$S$1*P!AA4830</f>
        <v>4.1129032258064517E-2</v>
      </c>
      <c r="AB4830" s="780"/>
      <c r="AC4830" s="780"/>
      <c r="AD4830" s="780"/>
      <c r="AE4830" s="780"/>
      <c r="AF4830" s="780"/>
    </row>
    <row r="4831" spans="19:32" x14ac:dyDescent="0.35">
      <c r="S4831" s="780"/>
      <c r="T4831" s="928"/>
      <c r="U4831" s="928"/>
      <c r="V4831" s="928"/>
      <c r="W4831" s="780"/>
      <c r="X4831" s="881">
        <v>4827</v>
      </c>
      <c r="Y4831" s="881" t="s">
        <v>2248</v>
      </c>
      <c r="Z4831" s="881" t="s">
        <v>4054</v>
      </c>
      <c r="AA4831" s="890">
        <f>$S$1*P!AA4831</f>
        <v>5.963709677419355E-2</v>
      </c>
      <c r="AB4831" s="780"/>
      <c r="AC4831" s="780"/>
      <c r="AD4831" s="780"/>
      <c r="AE4831" s="780"/>
      <c r="AF4831" s="780"/>
    </row>
    <row r="4832" spans="19:32" x14ac:dyDescent="0.35">
      <c r="S4832" s="780"/>
      <c r="T4832" s="928"/>
      <c r="U4832" s="928"/>
      <c r="V4832" s="928"/>
      <c r="W4832" s="780"/>
      <c r="X4832" s="782">
        <v>4828</v>
      </c>
      <c r="Y4832" s="782" t="s">
        <v>2248</v>
      </c>
      <c r="Z4832" s="782" t="s">
        <v>4053</v>
      </c>
      <c r="AA4832" s="781">
        <f>$S$1*P!AA4832</f>
        <v>2.090725806451613E-2</v>
      </c>
      <c r="AB4832" s="780"/>
      <c r="AC4832" s="780"/>
      <c r="AD4832" s="780"/>
      <c r="AE4832" s="780"/>
      <c r="AF4832" s="780"/>
    </row>
    <row r="4833" spans="19:32" x14ac:dyDescent="0.35">
      <c r="S4833" s="780"/>
      <c r="T4833" s="928"/>
      <c r="U4833" s="928"/>
      <c r="V4833" s="928"/>
      <c r="W4833" s="780"/>
      <c r="X4833" s="782">
        <v>4829</v>
      </c>
      <c r="Y4833" s="782" t="s">
        <v>2248</v>
      </c>
      <c r="Z4833" s="782" t="s">
        <v>2375</v>
      </c>
      <c r="AA4833" s="781">
        <f>$S$1*P!AA4833</f>
        <v>3.9758064516129036E-4</v>
      </c>
      <c r="AB4833" s="780"/>
      <c r="AC4833" s="780"/>
      <c r="AD4833" s="780"/>
      <c r="AE4833" s="780"/>
      <c r="AF4833" s="780"/>
    </row>
    <row r="4834" spans="19:32" x14ac:dyDescent="0.35">
      <c r="S4834" s="780"/>
      <c r="T4834" s="928"/>
      <c r="U4834" s="928"/>
      <c r="V4834" s="928"/>
      <c r="W4834" s="780"/>
      <c r="X4834" s="782">
        <v>4830</v>
      </c>
      <c r="Y4834" s="782" t="s">
        <v>2248</v>
      </c>
      <c r="Z4834" s="782" t="s">
        <v>4052</v>
      </c>
      <c r="AA4834" s="781">
        <f>$S$1*P!AA4834</f>
        <v>4.1471774193548389E-2</v>
      </c>
      <c r="AB4834" s="780"/>
      <c r="AC4834" s="780"/>
      <c r="AD4834" s="780"/>
      <c r="AE4834" s="780"/>
      <c r="AF4834" s="780"/>
    </row>
    <row r="4835" spans="19:32" x14ac:dyDescent="0.35">
      <c r="S4835" s="780"/>
      <c r="T4835" s="928"/>
      <c r="U4835" s="928"/>
      <c r="V4835" s="928"/>
      <c r="W4835" s="780"/>
      <c r="X4835" s="782">
        <v>4831</v>
      </c>
      <c r="Y4835" s="782" t="s">
        <v>2248</v>
      </c>
      <c r="Z4835" s="782" t="s">
        <v>3918</v>
      </c>
      <c r="AA4835" s="781">
        <f>$S$1*P!AA4835</f>
        <v>3.5987903225806456E-4</v>
      </c>
      <c r="AB4835" s="780"/>
      <c r="AC4835" s="780"/>
      <c r="AD4835" s="780"/>
      <c r="AE4835" s="780"/>
      <c r="AF4835" s="780"/>
    </row>
    <row r="4836" spans="19:32" x14ac:dyDescent="0.35">
      <c r="S4836" s="780"/>
      <c r="T4836" s="928"/>
      <c r="U4836" s="928"/>
      <c r="V4836" s="928"/>
      <c r="W4836" s="780"/>
      <c r="X4836" s="782">
        <v>4832</v>
      </c>
      <c r="Y4836" s="782" t="s">
        <v>2248</v>
      </c>
      <c r="Z4836" s="782" t="s">
        <v>4051</v>
      </c>
      <c r="AA4836" s="781">
        <f>$S$1*P!AA4836</f>
        <v>5.7237903225806457E-3</v>
      </c>
      <c r="AB4836" s="780"/>
      <c r="AC4836" s="780"/>
      <c r="AD4836" s="780"/>
      <c r="AE4836" s="780"/>
      <c r="AF4836" s="780"/>
    </row>
    <row r="4837" spans="19:32" x14ac:dyDescent="0.35">
      <c r="S4837" s="780"/>
      <c r="T4837" s="928"/>
      <c r="U4837" s="928"/>
      <c r="V4837" s="928"/>
      <c r="W4837" s="780"/>
      <c r="X4837" s="881">
        <v>4833</v>
      </c>
      <c r="Y4837" s="881" t="s">
        <v>2248</v>
      </c>
      <c r="Z4837" s="881" t="s">
        <v>4050</v>
      </c>
      <c r="AA4837" s="890">
        <f>$S$1*P!AA4837</f>
        <v>5.5181451612903235E-5</v>
      </c>
      <c r="AB4837" s="780"/>
      <c r="AC4837" s="780"/>
      <c r="AD4837" s="780"/>
      <c r="AE4837" s="780"/>
      <c r="AF4837" s="780"/>
    </row>
    <row r="4838" spans="19:32" x14ac:dyDescent="0.35">
      <c r="S4838" s="780"/>
      <c r="T4838" s="928"/>
      <c r="U4838" s="928"/>
      <c r="V4838" s="928"/>
      <c r="W4838" s="780"/>
      <c r="X4838" s="782">
        <v>4834</v>
      </c>
      <c r="Y4838" s="782" t="s">
        <v>2248</v>
      </c>
      <c r="Z4838" s="782" t="s">
        <v>3917</v>
      </c>
      <c r="AA4838" s="781">
        <f>$S$1*P!AA4838</f>
        <v>4.215725806451613E-5</v>
      </c>
      <c r="AB4838" s="780"/>
      <c r="AC4838" s="780"/>
      <c r="AD4838" s="780"/>
      <c r="AE4838" s="780"/>
      <c r="AF4838" s="780"/>
    </row>
    <row r="4839" spans="19:32" x14ac:dyDescent="0.35">
      <c r="S4839" s="780"/>
      <c r="T4839" s="928"/>
      <c r="U4839" s="928"/>
      <c r="V4839" s="928"/>
      <c r="W4839" s="780"/>
      <c r="X4839" s="881">
        <v>4835</v>
      </c>
      <c r="Y4839" s="881" t="s">
        <v>2248</v>
      </c>
      <c r="Z4839" s="881" t="s">
        <v>2446</v>
      </c>
      <c r="AA4839" s="890">
        <f>$S$1*P!AA4839</f>
        <v>0</v>
      </c>
      <c r="AB4839" s="780"/>
      <c r="AC4839" s="780"/>
      <c r="AD4839" s="780"/>
      <c r="AE4839" s="780"/>
      <c r="AF4839" s="780"/>
    </row>
    <row r="4840" spans="19:32" x14ac:dyDescent="0.35">
      <c r="S4840" s="780"/>
      <c r="T4840" s="928"/>
      <c r="U4840" s="928"/>
      <c r="V4840" s="928"/>
      <c r="W4840" s="780"/>
      <c r="X4840" s="782">
        <v>4836</v>
      </c>
      <c r="Y4840" s="782" t="s">
        <v>2248</v>
      </c>
      <c r="Z4840" s="782" t="s">
        <v>2446</v>
      </c>
      <c r="AA4840" s="781">
        <f>$S$1*P!AA4840</f>
        <v>2.9750000000000002E-2</v>
      </c>
      <c r="AB4840" s="780"/>
      <c r="AC4840" s="780"/>
      <c r="AD4840" s="780"/>
      <c r="AE4840" s="780"/>
      <c r="AF4840" s="780"/>
    </row>
    <row r="4841" spans="19:32" x14ac:dyDescent="0.35">
      <c r="S4841" s="780"/>
      <c r="T4841" s="928"/>
      <c r="U4841" s="928"/>
      <c r="V4841" s="928"/>
      <c r="W4841" s="780"/>
      <c r="X4841" s="881">
        <v>4837</v>
      </c>
      <c r="Y4841" s="881" t="s">
        <v>2248</v>
      </c>
      <c r="Z4841" s="881" t="s">
        <v>4049</v>
      </c>
      <c r="AA4841" s="890">
        <f>$S$1*P!AA4841</f>
        <v>6.7520161290322587E-5</v>
      </c>
      <c r="AB4841" s="780"/>
      <c r="AC4841" s="780"/>
      <c r="AD4841" s="780"/>
      <c r="AE4841" s="780"/>
      <c r="AF4841" s="780"/>
    </row>
    <row r="4842" spans="19:32" x14ac:dyDescent="0.35">
      <c r="S4842" s="780"/>
      <c r="T4842" s="928"/>
      <c r="U4842" s="928"/>
      <c r="V4842" s="928"/>
      <c r="W4842" s="780"/>
      <c r="X4842" s="782">
        <v>4838</v>
      </c>
      <c r="Y4842" s="782" t="s">
        <v>2248</v>
      </c>
      <c r="Z4842" s="782" t="s">
        <v>3916</v>
      </c>
      <c r="AA4842" s="781">
        <f>$S$1*P!AA4842</f>
        <v>1.5491935483870969E-3</v>
      </c>
      <c r="AB4842" s="780"/>
      <c r="AC4842" s="780"/>
      <c r="AD4842" s="780"/>
      <c r="AE4842" s="780"/>
      <c r="AF4842" s="780"/>
    </row>
    <row r="4843" spans="19:32" x14ac:dyDescent="0.35">
      <c r="S4843" s="780"/>
      <c r="T4843" s="928"/>
      <c r="U4843" s="928"/>
      <c r="V4843" s="928"/>
      <c r="W4843" s="780"/>
      <c r="X4843" s="881">
        <v>4839</v>
      </c>
      <c r="Y4843" s="881" t="s">
        <v>2248</v>
      </c>
      <c r="Z4843" s="881" t="s">
        <v>2445</v>
      </c>
      <c r="AA4843" s="890">
        <f>$S$1*P!AA4843</f>
        <v>1.8031999999999999</v>
      </c>
      <c r="AB4843" s="780"/>
      <c r="AC4843" s="780"/>
      <c r="AD4843" s="780"/>
      <c r="AE4843" s="780"/>
      <c r="AF4843" s="780"/>
    </row>
    <row r="4844" spans="19:32" x14ac:dyDescent="0.35">
      <c r="S4844" s="780"/>
      <c r="T4844" s="928"/>
      <c r="U4844" s="928"/>
      <c r="V4844" s="928"/>
      <c r="W4844" s="780"/>
      <c r="X4844" s="782">
        <v>4840</v>
      </c>
      <c r="Y4844" s="782" t="s">
        <v>2248</v>
      </c>
      <c r="Z4844" s="782" t="s">
        <v>3915</v>
      </c>
      <c r="AA4844" s="781">
        <f>$S$1*P!AA4844</f>
        <v>1.3127016129032259E-3</v>
      </c>
      <c r="AB4844" s="780"/>
      <c r="AC4844" s="780"/>
      <c r="AD4844" s="780"/>
      <c r="AE4844" s="780"/>
      <c r="AF4844" s="780"/>
    </row>
    <row r="4845" spans="19:32" x14ac:dyDescent="0.35">
      <c r="S4845" s="780"/>
      <c r="T4845" s="928"/>
      <c r="U4845" s="928"/>
      <c r="V4845" s="928"/>
      <c r="W4845" s="780"/>
      <c r="X4845" s="881">
        <v>4841</v>
      </c>
      <c r="Y4845" s="881" t="s">
        <v>2248</v>
      </c>
      <c r="Z4845" s="881" t="s">
        <v>2443</v>
      </c>
      <c r="AA4845" s="890">
        <f>$S$1*P!AA4845</f>
        <v>0</v>
      </c>
      <c r="AB4845" s="780"/>
      <c r="AC4845" s="780"/>
      <c r="AD4845" s="780"/>
      <c r="AE4845" s="780"/>
      <c r="AF4845" s="780"/>
    </row>
    <row r="4846" spans="19:32" x14ac:dyDescent="0.35">
      <c r="S4846" s="780"/>
      <c r="T4846" s="928"/>
      <c r="U4846" s="928"/>
      <c r="V4846" s="928"/>
      <c r="W4846" s="780"/>
      <c r="X4846" s="881">
        <v>4842</v>
      </c>
      <c r="Y4846" s="881" t="s">
        <v>2248</v>
      </c>
      <c r="Z4846" s="881" t="s">
        <v>4048</v>
      </c>
      <c r="AA4846" s="890">
        <f>$S$1*P!AA4846</f>
        <v>6.4435483870967753E-4</v>
      </c>
      <c r="AB4846" s="780"/>
      <c r="AC4846" s="780"/>
      <c r="AD4846" s="780"/>
      <c r="AE4846" s="780"/>
      <c r="AF4846" s="780"/>
    </row>
    <row r="4847" spans="19:32" x14ac:dyDescent="0.35">
      <c r="S4847" s="780"/>
      <c r="T4847" s="928"/>
      <c r="U4847" s="928"/>
      <c r="V4847" s="928"/>
      <c r="W4847" s="780"/>
      <c r="X4847" s="782">
        <v>4843</v>
      </c>
      <c r="Y4847" s="782" t="s">
        <v>2248</v>
      </c>
      <c r="Z4847" s="782" t="s">
        <v>2443</v>
      </c>
      <c r="AA4847" s="781">
        <f>$S$1*P!AA4847</f>
        <v>3.9758064516129035E-3</v>
      </c>
      <c r="AB4847" s="780"/>
      <c r="AC4847" s="780"/>
      <c r="AD4847" s="780"/>
      <c r="AE4847" s="780"/>
      <c r="AF4847" s="780"/>
    </row>
    <row r="4848" spans="19:32" x14ac:dyDescent="0.35">
      <c r="S4848" s="780"/>
      <c r="T4848" s="928"/>
      <c r="U4848" s="928"/>
      <c r="V4848" s="928"/>
      <c r="W4848" s="780"/>
      <c r="X4848" s="782">
        <v>4844</v>
      </c>
      <c r="Y4848" s="782" t="s">
        <v>2248</v>
      </c>
      <c r="Z4848" s="782" t="s">
        <v>3914</v>
      </c>
      <c r="AA4848" s="781">
        <f>$S$1*P!AA4848</f>
        <v>1.3778225806451614E-2</v>
      </c>
      <c r="AB4848" s="780"/>
      <c r="AC4848" s="780"/>
      <c r="AD4848" s="780"/>
      <c r="AE4848" s="780"/>
      <c r="AF4848" s="780"/>
    </row>
    <row r="4849" spans="19:32" x14ac:dyDescent="0.35">
      <c r="S4849" s="780"/>
      <c r="T4849" s="928"/>
      <c r="U4849" s="928"/>
      <c r="V4849" s="928"/>
      <c r="W4849" s="780"/>
      <c r="X4849" s="782">
        <v>4845</v>
      </c>
      <c r="Y4849" s="782" t="s">
        <v>2248</v>
      </c>
      <c r="Z4849" s="782" t="s">
        <v>4047</v>
      </c>
      <c r="AA4849" s="781">
        <f>$S$1*P!AA4849</f>
        <v>6.2721774193548394E-3</v>
      </c>
      <c r="AB4849" s="780"/>
      <c r="AC4849" s="780"/>
      <c r="AD4849" s="780"/>
      <c r="AE4849" s="780"/>
      <c r="AF4849" s="780"/>
    </row>
    <row r="4850" spans="19:32" x14ac:dyDescent="0.35">
      <c r="S4850" s="780"/>
      <c r="T4850" s="928"/>
      <c r="U4850" s="928"/>
      <c r="V4850" s="928"/>
      <c r="W4850" s="780"/>
      <c r="X4850" s="782">
        <v>4846</v>
      </c>
      <c r="Y4850" s="782" t="s">
        <v>2248</v>
      </c>
      <c r="Z4850" s="782" t="s">
        <v>3913</v>
      </c>
      <c r="AA4850" s="781">
        <f>$S$1*P!AA4850</f>
        <v>1.1995967741935486E-7</v>
      </c>
      <c r="AB4850" s="780"/>
      <c r="AC4850" s="780"/>
      <c r="AD4850" s="780"/>
      <c r="AE4850" s="780"/>
      <c r="AF4850" s="780"/>
    </row>
    <row r="4851" spans="19:32" x14ac:dyDescent="0.35">
      <c r="S4851" s="780"/>
      <c r="T4851" s="928"/>
      <c r="U4851" s="928"/>
      <c r="V4851" s="928"/>
      <c r="W4851" s="780"/>
      <c r="X4851" s="881">
        <v>4847</v>
      </c>
      <c r="Y4851" s="881" t="s">
        <v>2248</v>
      </c>
      <c r="Z4851" s="881" t="s">
        <v>2442</v>
      </c>
      <c r="AA4851" s="890">
        <f>$S$1*P!AA4851</f>
        <v>0</v>
      </c>
      <c r="AB4851" s="780"/>
      <c r="AC4851" s="780"/>
      <c r="AD4851" s="780"/>
      <c r="AE4851" s="780"/>
      <c r="AF4851" s="780"/>
    </row>
    <row r="4852" spans="19:32" x14ac:dyDescent="0.35">
      <c r="S4852" s="780"/>
      <c r="T4852" s="928"/>
      <c r="U4852" s="928"/>
      <c r="V4852" s="928"/>
      <c r="W4852" s="780"/>
      <c r="X4852" s="782">
        <v>4848</v>
      </c>
      <c r="Y4852" s="782" t="s">
        <v>2248</v>
      </c>
      <c r="Z4852" s="782" t="s">
        <v>3124</v>
      </c>
      <c r="AA4852" s="781">
        <f>$S$1*P!AA4852</f>
        <v>8.8770161290322586E-2</v>
      </c>
      <c r="AB4852" s="780"/>
      <c r="AC4852" s="780"/>
      <c r="AD4852" s="780"/>
      <c r="AE4852" s="780"/>
      <c r="AF4852" s="780"/>
    </row>
    <row r="4853" spans="19:32" x14ac:dyDescent="0.35">
      <c r="S4853" s="780"/>
      <c r="T4853" s="928"/>
      <c r="U4853" s="928"/>
      <c r="V4853" s="928"/>
      <c r="W4853" s="780"/>
      <c r="X4853" s="782">
        <v>4849</v>
      </c>
      <c r="Y4853" s="782" t="s">
        <v>2248</v>
      </c>
      <c r="Z4853" s="782" t="s">
        <v>3912</v>
      </c>
      <c r="AA4853" s="781">
        <f>$S$1*P!AA4853</f>
        <v>0.10179435483870969</v>
      </c>
      <c r="AB4853" s="780"/>
      <c r="AC4853" s="780"/>
      <c r="AD4853" s="780"/>
      <c r="AE4853" s="780"/>
      <c r="AF4853" s="780"/>
    </row>
    <row r="4854" spans="19:32" x14ac:dyDescent="0.35">
      <c r="S4854" s="780"/>
      <c r="T4854" s="928"/>
      <c r="U4854" s="928"/>
      <c r="V4854" s="928"/>
      <c r="W4854" s="780"/>
      <c r="X4854" s="881">
        <v>4850</v>
      </c>
      <c r="Y4854" s="881" t="s">
        <v>2248</v>
      </c>
      <c r="Z4854" s="881" t="s">
        <v>2440</v>
      </c>
      <c r="AA4854" s="890">
        <f>$S$1*P!AA4854</f>
        <v>0</v>
      </c>
      <c r="AB4854" s="780"/>
      <c r="AC4854" s="780"/>
      <c r="AD4854" s="780"/>
      <c r="AE4854" s="780"/>
      <c r="AF4854" s="780"/>
    </row>
    <row r="4855" spans="19:32" x14ac:dyDescent="0.35">
      <c r="S4855" s="780"/>
      <c r="T4855" s="928"/>
      <c r="U4855" s="928"/>
      <c r="V4855" s="928"/>
      <c r="W4855" s="780"/>
      <c r="X4855" s="881">
        <v>4851</v>
      </c>
      <c r="Y4855" s="881" t="s">
        <v>2248</v>
      </c>
      <c r="Z4855" s="881" t="s">
        <v>2439</v>
      </c>
      <c r="AA4855" s="890">
        <f>$S$1*P!AA4855</f>
        <v>0</v>
      </c>
      <c r="AB4855" s="780"/>
      <c r="AC4855" s="780"/>
      <c r="AD4855" s="780"/>
      <c r="AE4855" s="780"/>
      <c r="AF4855" s="780"/>
    </row>
    <row r="4856" spans="19:32" x14ac:dyDescent="0.35">
      <c r="S4856" s="780"/>
      <c r="T4856" s="928"/>
      <c r="U4856" s="928"/>
      <c r="V4856" s="928"/>
      <c r="W4856" s="780"/>
      <c r="X4856" s="782">
        <v>4852</v>
      </c>
      <c r="Y4856" s="782" t="s">
        <v>2248</v>
      </c>
      <c r="Z4856" s="782" t="s">
        <v>3911</v>
      </c>
      <c r="AA4856" s="781">
        <f>$S$1*P!AA4856</f>
        <v>0.11036290322580646</v>
      </c>
      <c r="AB4856" s="780"/>
      <c r="AC4856" s="780"/>
      <c r="AD4856" s="780"/>
      <c r="AE4856" s="780"/>
      <c r="AF4856" s="780"/>
    </row>
    <row r="4857" spans="19:32" x14ac:dyDescent="0.35">
      <c r="S4857" s="780"/>
      <c r="T4857" s="928"/>
      <c r="U4857" s="928"/>
      <c r="V4857" s="928"/>
      <c r="W4857" s="780"/>
      <c r="X4857" s="881">
        <v>4853</v>
      </c>
      <c r="Y4857" s="881" t="s">
        <v>2248</v>
      </c>
      <c r="Z4857" s="881" t="s">
        <v>3123</v>
      </c>
      <c r="AA4857" s="890">
        <f>$S$1*P!AA4857</f>
        <v>12.372983870967744</v>
      </c>
      <c r="AB4857" s="780"/>
      <c r="AC4857" s="780"/>
      <c r="AD4857" s="780"/>
      <c r="AE4857" s="780"/>
      <c r="AF4857" s="780"/>
    </row>
    <row r="4858" spans="19:32" x14ac:dyDescent="0.35">
      <c r="S4858" s="780"/>
      <c r="T4858" s="928"/>
      <c r="U4858" s="928"/>
      <c r="V4858" s="928"/>
      <c r="W4858" s="780"/>
      <c r="X4858" s="782">
        <v>4854</v>
      </c>
      <c r="Y4858" s="782" t="s">
        <v>2248</v>
      </c>
      <c r="Z4858" s="782" t="s">
        <v>4046</v>
      </c>
      <c r="AA4858" s="781">
        <f>$S$1*P!AA4858</f>
        <v>8.4657258064516142E-2</v>
      </c>
      <c r="AB4858" s="780"/>
      <c r="AC4858" s="780"/>
      <c r="AD4858" s="780"/>
      <c r="AE4858" s="780"/>
      <c r="AF4858" s="780"/>
    </row>
    <row r="4859" spans="19:32" x14ac:dyDescent="0.35">
      <c r="S4859" s="780"/>
      <c r="T4859" s="928"/>
      <c r="U4859" s="928"/>
      <c r="V4859" s="928"/>
      <c r="W4859" s="780"/>
      <c r="X4859" s="782">
        <v>4855</v>
      </c>
      <c r="Y4859" s="782" t="s">
        <v>2248</v>
      </c>
      <c r="Z4859" s="782" t="s">
        <v>3910</v>
      </c>
      <c r="AA4859" s="781">
        <f>$S$1*P!AA4859</f>
        <v>0.20975806451612905</v>
      </c>
      <c r="AB4859" s="780"/>
      <c r="AC4859" s="780"/>
      <c r="AD4859" s="780"/>
      <c r="AE4859" s="780"/>
      <c r="AF4859" s="780"/>
    </row>
    <row r="4860" spans="19:32" x14ac:dyDescent="0.35">
      <c r="S4860" s="780"/>
      <c r="T4860" s="928"/>
      <c r="U4860" s="928"/>
      <c r="V4860" s="928"/>
      <c r="W4860" s="780"/>
      <c r="X4860" s="881">
        <v>4856</v>
      </c>
      <c r="Y4860" s="881" t="s">
        <v>2248</v>
      </c>
      <c r="Z4860" s="881" t="s">
        <v>2437</v>
      </c>
      <c r="AA4860" s="890">
        <f>$S$1*P!AA4860</f>
        <v>1.9596</v>
      </c>
      <c r="AB4860" s="780"/>
      <c r="AC4860" s="780"/>
      <c r="AD4860" s="780"/>
      <c r="AE4860" s="780"/>
      <c r="AF4860" s="780"/>
    </row>
    <row r="4861" spans="19:32" x14ac:dyDescent="0.35">
      <c r="S4861" s="780"/>
      <c r="T4861" s="928"/>
      <c r="U4861" s="928"/>
      <c r="V4861" s="928"/>
      <c r="W4861" s="780"/>
      <c r="X4861" s="782">
        <v>4857</v>
      </c>
      <c r="Y4861" s="782" t="s">
        <v>2248</v>
      </c>
      <c r="Z4861" s="782" t="s">
        <v>4045</v>
      </c>
      <c r="AA4861" s="781">
        <f>$S$1*P!AA4861</f>
        <v>8.8770161290322587E-7</v>
      </c>
      <c r="AB4861" s="780"/>
      <c r="AC4861" s="780"/>
      <c r="AD4861" s="780"/>
      <c r="AE4861" s="780"/>
      <c r="AF4861" s="780"/>
    </row>
    <row r="4862" spans="19:32" x14ac:dyDescent="0.35">
      <c r="S4862" s="780"/>
      <c r="T4862" s="928"/>
      <c r="U4862" s="928"/>
      <c r="V4862" s="928"/>
      <c r="W4862" s="780"/>
      <c r="X4862" s="782">
        <v>4858</v>
      </c>
      <c r="Y4862" s="782" t="s">
        <v>2248</v>
      </c>
      <c r="Z4862" s="782" t="s">
        <v>3909</v>
      </c>
      <c r="AA4862" s="781">
        <f>$S$1*P!AA4862</f>
        <v>1.2030241935483871E-4</v>
      </c>
      <c r="AB4862" s="780"/>
      <c r="AC4862" s="780"/>
      <c r="AD4862" s="780"/>
      <c r="AE4862" s="780"/>
      <c r="AF4862" s="780"/>
    </row>
    <row r="4863" spans="19:32" x14ac:dyDescent="0.35">
      <c r="S4863" s="780"/>
      <c r="T4863" s="928"/>
      <c r="U4863" s="928"/>
      <c r="V4863" s="928"/>
      <c r="W4863" s="780"/>
      <c r="X4863" s="782">
        <v>4859</v>
      </c>
      <c r="Y4863" s="782" t="s">
        <v>2248</v>
      </c>
      <c r="Z4863" s="782" t="s">
        <v>4044</v>
      </c>
      <c r="AA4863" s="781">
        <f>$S$1*P!AA4863</f>
        <v>0.41814516129032259</v>
      </c>
      <c r="AB4863" s="780"/>
      <c r="AC4863" s="780"/>
      <c r="AD4863" s="780"/>
      <c r="AE4863" s="780"/>
      <c r="AF4863" s="780"/>
    </row>
    <row r="4864" spans="19:32" x14ac:dyDescent="0.35">
      <c r="S4864" s="780"/>
      <c r="T4864" s="928"/>
      <c r="U4864" s="928"/>
      <c r="V4864" s="928"/>
      <c r="W4864" s="780"/>
      <c r="X4864" s="881">
        <v>4860</v>
      </c>
      <c r="Y4864" s="881" t="s">
        <v>2248</v>
      </c>
      <c r="Z4864" s="881" t="s">
        <v>2435</v>
      </c>
      <c r="AA4864" s="890">
        <f>$S$1*P!AA4864</f>
        <v>0</v>
      </c>
      <c r="AB4864" s="780"/>
      <c r="AC4864" s="780"/>
      <c r="AD4864" s="780"/>
      <c r="AE4864" s="780"/>
      <c r="AF4864" s="780"/>
    </row>
    <row r="4865" spans="19:32" x14ac:dyDescent="0.35">
      <c r="S4865" s="780"/>
      <c r="T4865" s="928"/>
      <c r="U4865" s="928"/>
      <c r="V4865" s="928"/>
      <c r="W4865" s="780"/>
      <c r="X4865" s="782">
        <v>4861</v>
      </c>
      <c r="Y4865" s="782" t="s">
        <v>2248</v>
      </c>
      <c r="Z4865" s="782" t="s">
        <v>3908</v>
      </c>
      <c r="AA4865" s="781">
        <f>$S$1*P!AA4865</f>
        <v>2.3203629032258069E-3</v>
      </c>
      <c r="AB4865" s="780"/>
      <c r="AC4865" s="780"/>
      <c r="AD4865" s="780"/>
      <c r="AE4865" s="780"/>
      <c r="AF4865" s="780"/>
    </row>
    <row r="4866" spans="19:32" x14ac:dyDescent="0.35">
      <c r="S4866" s="780"/>
      <c r="T4866" s="928"/>
      <c r="U4866" s="928"/>
      <c r="V4866" s="928"/>
      <c r="W4866" s="780"/>
      <c r="X4866" s="782">
        <v>4862</v>
      </c>
      <c r="Y4866" s="782" t="s">
        <v>2248</v>
      </c>
      <c r="Z4866" s="782" t="s">
        <v>2435</v>
      </c>
      <c r="AA4866" s="781">
        <f>$S$1*P!AA4866</f>
        <v>1.0590725806451614E-5</v>
      </c>
      <c r="AB4866" s="780"/>
      <c r="AC4866" s="780"/>
      <c r="AD4866" s="780"/>
      <c r="AE4866" s="780"/>
      <c r="AF4866" s="780"/>
    </row>
    <row r="4867" spans="19:32" x14ac:dyDescent="0.35">
      <c r="S4867" s="780"/>
      <c r="T4867" s="928"/>
      <c r="U4867" s="928"/>
      <c r="V4867" s="928"/>
      <c r="W4867" s="780"/>
      <c r="X4867" s="881">
        <v>4863</v>
      </c>
      <c r="Y4867" s="881" t="s">
        <v>2248</v>
      </c>
      <c r="Z4867" s="881" t="s">
        <v>4043</v>
      </c>
      <c r="AA4867" s="890">
        <f>$S$1*P!AA4867</f>
        <v>7.3689516129032268E-4</v>
      </c>
      <c r="AB4867" s="780"/>
      <c r="AC4867" s="780"/>
      <c r="AD4867" s="780"/>
      <c r="AE4867" s="780"/>
      <c r="AF4867" s="780"/>
    </row>
    <row r="4868" spans="19:32" x14ac:dyDescent="0.35">
      <c r="S4868" s="780"/>
      <c r="T4868" s="928"/>
      <c r="U4868" s="928"/>
      <c r="V4868" s="928"/>
      <c r="W4868" s="780"/>
      <c r="X4868" s="782">
        <v>4864</v>
      </c>
      <c r="Y4868" s="782" t="s">
        <v>2248</v>
      </c>
      <c r="Z4868" s="782" t="s">
        <v>3907</v>
      </c>
      <c r="AA4868" s="781">
        <f>$S$1*P!AA4868</f>
        <v>2.6322580645161292E-3</v>
      </c>
      <c r="AB4868" s="780"/>
      <c r="AC4868" s="780"/>
      <c r="AD4868" s="780"/>
      <c r="AE4868" s="780"/>
      <c r="AF4868" s="780"/>
    </row>
    <row r="4869" spans="19:32" x14ac:dyDescent="0.35">
      <c r="S4869" s="780"/>
      <c r="T4869" s="928"/>
      <c r="U4869" s="928"/>
      <c r="V4869" s="928"/>
      <c r="W4869" s="780"/>
      <c r="X4869" s="881">
        <v>4865</v>
      </c>
      <c r="Y4869" s="881" t="s">
        <v>2248</v>
      </c>
      <c r="Z4869" s="881" t="s">
        <v>2434</v>
      </c>
      <c r="AA4869" s="890">
        <f>$S$1*P!AA4869</f>
        <v>2.622E-2</v>
      </c>
      <c r="AB4869" s="780"/>
      <c r="AC4869" s="780"/>
      <c r="AD4869" s="780"/>
      <c r="AE4869" s="780"/>
      <c r="AF4869" s="780"/>
    </row>
    <row r="4870" spans="19:32" x14ac:dyDescent="0.35">
      <c r="S4870" s="780"/>
      <c r="T4870" s="928"/>
      <c r="U4870" s="928"/>
      <c r="V4870" s="928"/>
      <c r="W4870" s="780"/>
      <c r="X4870" s="881">
        <v>4866</v>
      </c>
      <c r="Y4870" s="881" t="s">
        <v>2248</v>
      </c>
      <c r="Z4870" s="881" t="s">
        <v>2432</v>
      </c>
      <c r="AA4870" s="890">
        <f>$S$1*P!AA4870</f>
        <v>2.0424000000000001E-4</v>
      </c>
      <c r="AB4870" s="780"/>
      <c r="AC4870" s="780"/>
      <c r="AD4870" s="780"/>
      <c r="AE4870" s="780"/>
      <c r="AF4870" s="780"/>
    </row>
    <row r="4871" spans="19:32" x14ac:dyDescent="0.35">
      <c r="S4871" s="780"/>
      <c r="T4871" s="928"/>
      <c r="U4871" s="928"/>
      <c r="V4871" s="928"/>
      <c r="W4871" s="780"/>
      <c r="X4871" s="782">
        <v>4867</v>
      </c>
      <c r="Y4871" s="782" t="s">
        <v>2248</v>
      </c>
      <c r="Z4871" s="782" t="s">
        <v>2373</v>
      </c>
      <c r="AA4871" s="781">
        <f>$S$1*P!AA4871</f>
        <v>0.20084677419354841</v>
      </c>
      <c r="AB4871" s="780"/>
      <c r="AC4871" s="780"/>
      <c r="AD4871" s="780"/>
      <c r="AE4871" s="780"/>
      <c r="AF4871" s="780"/>
    </row>
    <row r="4872" spans="19:32" x14ac:dyDescent="0.35">
      <c r="S4872" s="780"/>
      <c r="T4872" s="928"/>
      <c r="U4872" s="928"/>
      <c r="V4872" s="928"/>
      <c r="W4872" s="780"/>
      <c r="X4872" s="782">
        <v>4868</v>
      </c>
      <c r="Y4872" s="782" t="s">
        <v>2248</v>
      </c>
      <c r="Z4872" s="782" t="s">
        <v>4042</v>
      </c>
      <c r="AA4872" s="781">
        <f>$S$1*P!AA4872</f>
        <v>6.4435483870967751E-3</v>
      </c>
      <c r="AB4872" s="780"/>
      <c r="AC4872" s="780"/>
      <c r="AD4872" s="780"/>
      <c r="AE4872" s="780"/>
      <c r="AF4872" s="780"/>
    </row>
    <row r="4873" spans="19:32" x14ac:dyDescent="0.35">
      <c r="S4873" s="780"/>
      <c r="T4873" s="928"/>
      <c r="U4873" s="928"/>
      <c r="V4873" s="928"/>
      <c r="W4873" s="780"/>
      <c r="X4873" s="782">
        <v>4869</v>
      </c>
      <c r="Y4873" s="782" t="s">
        <v>2248</v>
      </c>
      <c r="Z4873" s="782" t="s">
        <v>4041</v>
      </c>
      <c r="AA4873" s="781">
        <f>$S$1*P!AA4873</f>
        <v>2.2243951612903226E-2</v>
      </c>
      <c r="AB4873" s="780"/>
      <c r="AC4873" s="780"/>
      <c r="AD4873" s="780"/>
      <c r="AE4873" s="780"/>
      <c r="AF4873" s="780"/>
    </row>
    <row r="4874" spans="19:32" x14ac:dyDescent="0.35">
      <c r="S4874" s="780"/>
      <c r="T4874" s="928"/>
      <c r="U4874" s="928"/>
      <c r="V4874" s="928"/>
      <c r="W4874" s="780"/>
      <c r="X4874" s="782">
        <v>4870</v>
      </c>
      <c r="Y4874" s="782" t="s">
        <v>2248</v>
      </c>
      <c r="Z4874" s="782" t="s">
        <v>2371</v>
      </c>
      <c r="AA4874" s="781">
        <f>$S$1*P!AA4874</f>
        <v>8.3971774193548395E-3</v>
      </c>
      <c r="AB4874" s="780"/>
      <c r="AC4874" s="780"/>
      <c r="AD4874" s="780"/>
      <c r="AE4874" s="780"/>
      <c r="AF4874" s="780"/>
    </row>
    <row r="4875" spans="19:32" x14ac:dyDescent="0.35">
      <c r="S4875" s="780"/>
      <c r="T4875" s="928"/>
      <c r="U4875" s="928"/>
      <c r="V4875" s="928"/>
      <c r="W4875" s="780"/>
      <c r="X4875" s="782">
        <v>4871</v>
      </c>
      <c r="Y4875" s="782" t="s">
        <v>2248</v>
      </c>
      <c r="Z4875" s="782" t="s">
        <v>4040</v>
      </c>
      <c r="AA4875" s="781">
        <f>$S$1*P!AA4875</f>
        <v>5.1411290322580649E-4</v>
      </c>
      <c r="AB4875" s="780"/>
      <c r="AC4875" s="780"/>
      <c r="AD4875" s="780"/>
      <c r="AE4875" s="780"/>
      <c r="AF4875" s="780"/>
    </row>
    <row r="4876" spans="19:32" x14ac:dyDescent="0.35">
      <c r="S4876" s="780"/>
      <c r="T4876" s="928"/>
      <c r="U4876" s="928"/>
      <c r="V4876" s="928"/>
      <c r="W4876" s="780"/>
      <c r="X4876" s="881">
        <v>4872</v>
      </c>
      <c r="Y4876" s="881" t="s">
        <v>2248</v>
      </c>
      <c r="Z4876" s="881" t="s">
        <v>4039</v>
      </c>
      <c r="AA4876" s="890">
        <f>$S$1*P!AA4876</f>
        <v>4.1471774193548391E-4</v>
      </c>
      <c r="AB4876" s="780"/>
      <c r="AC4876" s="780"/>
      <c r="AD4876" s="780"/>
      <c r="AE4876" s="780"/>
      <c r="AF4876" s="780"/>
    </row>
    <row r="4877" spans="19:32" x14ac:dyDescent="0.35">
      <c r="S4877" s="780"/>
      <c r="T4877" s="928"/>
      <c r="U4877" s="928"/>
      <c r="V4877" s="928"/>
      <c r="W4877" s="780"/>
      <c r="X4877" s="782">
        <v>4873</v>
      </c>
      <c r="Y4877" s="782" t="s">
        <v>2248</v>
      </c>
      <c r="Z4877" s="782" t="s">
        <v>3905</v>
      </c>
      <c r="AA4877" s="781">
        <f>$S$1*P!AA4877</f>
        <v>1.5423387096774195E-4</v>
      </c>
      <c r="AB4877" s="780"/>
      <c r="AC4877" s="780"/>
      <c r="AD4877" s="780"/>
      <c r="AE4877" s="780"/>
      <c r="AF4877" s="780"/>
    </row>
    <row r="4878" spans="19:32" x14ac:dyDescent="0.35">
      <c r="S4878" s="780"/>
      <c r="T4878" s="928"/>
      <c r="U4878" s="928"/>
      <c r="V4878" s="928"/>
      <c r="W4878" s="780"/>
      <c r="X4878" s="782">
        <v>4874</v>
      </c>
      <c r="Y4878" s="782" t="s">
        <v>2248</v>
      </c>
      <c r="Z4878" s="782" t="s">
        <v>4038</v>
      </c>
      <c r="AA4878" s="781">
        <f>$S$1*P!AA4878</f>
        <v>3.094959677419355E-3</v>
      </c>
      <c r="AB4878" s="780"/>
      <c r="AC4878" s="780"/>
      <c r="AD4878" s="780"/>
      <c r="AE4878" s="780"/>
      <c r="AF4878" s="780"/>
    </row>
    <row r="4879" spans="19:32" x14ac:dyDescent="0.35">
      <c r="S4879" s="780"/>
      <c r="T4879" s="928"/>
      <c r="U4879" s="928"/>
      <c r="V4879" s="928"/>
      <c r="W4879" s="780"/>
      <c r="X4879" s="782">
        <v>4875</v>
      </c>
      <c r="Y4879" s="782" t="s">
        <v>2248</v>
      </c>
      <c r="Z4879" s="782" t="s">
        <v>3904</v>
      </c>
      <c r="AA4879" s="781">
        <f>$S$1*P!AA4879</f>
        <v>8.3971774193548389E-4</v>
      </c>
      <c r="AB4879" s="780"/>
      <c r="AC4879" s="780"/>
      <c r="AD4879" s="780"/>
      <c r="AE4879" s="780"/>
      <c r="AF4879" s="780"/>
    </row>
    <row r="4880" spans="19:32" x14ac:dyDescent="0.35">
      <c r="S4880" s="780"/>
      <c r="T4880" s="928"/>
      <c r="U4880" s="928"/>
      <c r="V4880" s="928"/>
      <c r="W4880" s="780"/>
      <c r="X4880" s="782">
        <v>4876</v>
      </c>
      <c r="Y4880" s="782" t="s">
        <v>2248</v>
      </c>
      <c r="Z4880" s="782" t="s">
        <v>4037</v>
      </c>
      <c r="AA4880" s="781">
        <f>$S$1*P!AA4880</f>
        <v>3.7358870967741943E-5</v>
      </c>
      <c r="AB4880" s="780"/>
      <c r="AC4880" s="780"/>
      <c r="AD4880" s="780"/>
      <c r="AE4880" s="780"/>
      <c r="AF4880" s="780"/>
    </row>
    <row r="4881" spans="19:32" x14ac:dyDescent="0.35">
      <c r="S4881" s="780"/>
      <c r="T4881" s="928"/>
      <c r="U4881" s="928"/>
      <c r="V4881" s="928"/>
      <c r="W4881" s="780"/>
      <c r="X4881" s="881">
        <v>4877</v>
      </c>
      <c r="Y4881" s="881" t="s">
        <v>2248</v>
      </c>
      <c r="Z4881" s="881" t="s">
        <v>4036</v>
      </c>
      <c r="AA4881" s="890">
        <f>$S$1*P!AA4881</f>
        <v>2.0872983870967744E-2</v>
      </c>
      <c r="AB4881" s="780"/>
      <c r="AC4881" s="780"/>
      <c r="AD4881" s="780"/>
      <c r="AE4881" s="780"/>
      <c r="AF4881" s="780"/>
    </row>
    <row r="4882" spans="19:32" x14ac:dyDescent="0.35">
      <c r="S4882" s="780"/>
      <c r="T4882" s="928"/>
      <c r="U4882" s="928"/>
      <c r="V4882" s="928"/>
      <c r="W4882" s="780"/>
      <c r="X4882" s="782">
        <v>4878</v>
      </c>
      <c r="Y4882" s="782" t="s">
        <v>2248</v>
      </c>
      <c r="Z4882" s="782" t="s">
        <v>4035</v>
      </c>
      <c r="AA4882" s="781">
        <f>$S$1*P!AA4882</f>
        <v>3.3897177419354844E-3</v>
      </c>
      <c r="AB4882" s="780"/>
      <c r="AC4882" s="780"/>
      <c r="AD4882" s="780"/>
      <c r="AE4882" s="780"/>
      <c r="AF4882" s="780"/>
    </row>
    <row r="4883" spans="19:32" x14ac:dyDescent="0.35">
      <c r="S4883" s="780"/>
      <c r="T4883" s="928"/>
      <c r="U4883" s="928"/>
      <c r="V4883" s="928"/>
      <c r="W4883" s="780"/>
      <c r="X4883" s="782">
        <v>4879</v>
      </c>
      <c r="Y4883" s="782" t="s">
        <v>2248</v>
      </c>
      <c r="Z4883" s="782" t="s">
        <v>3903</v>
      </c>
      <c r="AA4883" s="781">
        <f>$S$1*P!AA4883</f>
        <v>0.18233870967741936</v>
      </c>
      <c r="AB4883" s="780"/>
      <c r="AC4883" s="780"/>
      <c r="AD4883" s="780"/>
      <c r="AE4883" s="780"/>
      <c r="AF4883" s="780"/>
    </row>
    <row r="4884" spans="19:32" x14ac:dyDescent="0.35">
      <c r="S4884" s="780"/>
      <c r="T4884" s="928"/>
      <c r="U4884" s="928"/>
      <c r="V4884" s="928"/>
      <c r="W4884" s="780"/>
      <c r="X4884" s="782">
        <v>4880</v>
      </c>
      <c r="Y4884" s="782" t="s">
        <v>2248</v>
      </c>
      <c r="Z4884" s="782" t="s">
        <v>4034</v>
      </c>
      <c r="AA4884" s="781">
        <f>$S$1*P!AA4884</f>
        <v>2.0256048387096777E-2</v>
      </c>
      <c r="AB4884" s="780"/>
      <c r="AC4884" s="780"/>
      <c r="AD4884" s="780"/>
      <c r="AE4884" s="780"/>
      <c r="AF4884" s="780"/>
    </row>
    <row r="4885" spans="19:32" x14ac:dyDescent="0.35">
      <c r="S4885" s="780"/>
      <c r="T4885" s="928"/>
      <c r="U4885" s="928"/>
      <c r="V4885" s="928"/>
      <c r="W4885" s="780"/>
      <c r="X4885" s="782">
        <v>4881</v>
      </c>
      <c r="Y4885" s="782" t="s">
        <v>2248</v>
      </c>
      <c r="Z4885" s="782" t="s">
        <v>3902</v>
      </c>
      <c r="AA4885" s="781">
        <f>$S$1*P!AA4885</f>
        <v>1.6485887096774192E-4</v>
      </c>
      <c r="AB4885" s="780"/>
      <c r="AC4885" s="780"/>
      <c r="AD4885" s="780"/>
      <c r="AE4885" s="780"/>
      <c r="AF4885" s="780"/>
    </row>
    <row r="4886" spans="19:32" x14ac:dyDescent="0.35">
      <c r="S4886" s="780"/>
      <c r="T4886" s="928"/>
      <c r="U4886" s="928"/>
      <c r="V4886" s="928"/>
      <c r="W4886" s="780"/>
      <c r="X4886" s="881">
        <v>4882</v>
      </c>
      <c r="Y4886" s="881" t="s">
        <v>2248</v>
      </c>
      <c r="Z4886" s="881" t="s">
        <v>4033</v>
      </c>
      <c r="AA4886" s="890">
        <f>$S$1*P!AA4886</f>
        <v>7.0604838709677426E-4</v>
      </c>
      <c r="AB4886" s="780"/>
      <c r="AC4886" s="780"/>
      <c r="AD4886" s="780"/>
      <c r="AE4886" s="780"/>
      <c r="AF4886" s="780"/>
    </row>
    <row r="4887" spans="19:32" x14ac:dyDescent="0.35">
      <c r="S4887" s="780"/>
      <c r="T4887" s="928"/>
      <c r="U4887" s="928"/>
      <c r="V4887" s="928"/>
      <c r="W4887" s="780"/>
      <c r="X4887" s="881">
        <v>4883</v>
      </c>
      <c r="Y4887" s="881" t="s">
        <v>2248</v>
      </c>
      <c r="Z4887" s="881" t="s">
        <v>2431</v>
      </c>
      <c r="AA4887" s="890">
        <f>$S$1*P!AA4887</f>
        <v>0</v>
      </c>
      <c r="AB4887" s="780"/>
      <c r="AC4887" s="780"/>
      <c r="AD4887" s="780"/>
      <c r="AE4887" s="780"/>
      <c r="AF4887" s="780"/>
    </row>
    <row r="4888" spans="19:32" x14ac:dyDescent="0.35">
      <c r="S4888" s="780"/>
      <c r="T4888" s="928"/>
      <c r="U4888" s="928"/>
      <c r="V4888" s="928"/>
      <c r="W4888" s="780"/>
      <c r="X4888" s="782">
        <v>4884</v>
      </c>
      <c r="Y4888" s="782" t="s">
        <v>2248</v>
      </c>
      <c r="Z4888" s="782" t="s">
        <v>2431</v>
      </c>
      <c r="AA4888" s="781">
        <f>$S$1*P!AA4888</f>
        <v>0.12612903225806452</v>
      </c>
      <c r="AB4888" s="780"/>
      <c r="AC4888" s="780"/>
      <c r="AD4888" s="780"/>
      <c r="AE4888" s="780"/>
      <c r="AF4888" s="780"/>
    </row>
    <row r="4889" spans="19:32" x14ac:dyDescent="0.35">
      <c r="S4889" s="780"/>
      <c r="T4889" s="928"/>
      <c r="U4889" s="928"/>
      <c r="V4889" s="928"/>
      <c r="W4889" s="780"/>
      <c r="X4889" s="782">
        <v>4885</v>
      </c>
      <c r="Y4889" s="782" t="s">
        <v>2248</v>
      </c>
      <c r="Z4889" s="782" t="s">
        <v>3901</v>
      </c>
      <c r="AA4889" s="781">
        <f>$S$1*P!AA4889</f>
        <v>1.158467741935484E-4</v>
      </c>
      <c r="AB4889" s="780"/>
      <c r="AC4889" s="780"/>
      <c r="AD4889" s="780"/>
      <c r="AE4889" s="780"/>
      <c r="AF4889" s="780"/>
    </row>
    <row r="4890" spans="19:32" x14ac:dyDescent="0.35">
      <c r="S4890" s="780"/>
      <c r="T4890" s="928"/>
      <c r="U4890" s="928"/>
      <c r="V4890" s="928"/>
      <c r="W4890" s="780"/>
      <c r="X4890" s="881">
        <v>4886</v>
      </c>
      <c r="Y4890" s="881" t="s">
        <v>2248</v>
      </c>
      <c r="Z4890" s="881" t="s">
        <v>2429</v>
      </c>
      <c r="AA4890" s="890">
        <f>$S$1*P!AA4890</f>
        <v>56.580000000000005</v>
      </c>
      <c r="AB4890" s="780"/>
      <c r="AC4890" s="780"/>
      <c r="AD4890" s="780"/>
      <c r="AE4890" s="780"/>
      <c r="AF4890" s="780"/>
    </row>
    <row r="4891" spans="19:32" x14ac:dyDescent="0.35">
      <c r="S4891" s="780"/>
      <c r="T4891" s="928"/>
      <c r="U4891" s="928"/>
      <c r="V4891" s="928"/>
      <c r="W4891" s="780"/>
      <c r="X4891" s="782">
        <v>4887</v>
      </c>
      <c r="Y4891" s="782" t="s">
        <v>2248</v>
      </c>
      <c r="Z4891" s="782" t="s">
        <v>3899</v>
      </c>
      <c r="AA4891" s="781">
        <f>$S$1*P!AA4891</f>
        <v>2.9407258064516129E-3</v>
      </c>
      <c r="AB4891" s="780"/>
      <c r="AC4891" s="780"/>
      <c r="AD4891" s="780"/>
      <c r="AE4891" s="780"/>
      <c r="AF4891" s="780"/>
    </row>
    <row r="4892" spans="19:32" x14ac:dyDescent="0.35">
      <c r="S4892" s="780"/>
      <c r="T4892" s="928"/>
      <c r="U4892" s="928"/>
      <c r="V4892" s="928"/>
      <c r="W4892" s="780"/>
      <c r="X4892" s="881">
        <v>4888</v>
      </c>
      <c r="Y4892" s="881" t="s">
        <v>2248</v>
      </c>
      <c r="Z4892" s="881" t="s">
        <v>4032</v>
      </c>
      <c r="AA4892" s="890">
        <f>$S$1*P!AA4892</f>
        <v>2.6631048387096776E-2</v>
      </c>
      <c r="AB4892" s="780"/>
      <c r="AC4892" s="780"/>
      <c r="AD4892" s="780"/>
      <c r="AE4892" s="780"/>
      <c r="AF4892" s="780"/>
    </row>
    <row r="4893" spans="19:32" x14ac:dyDescent="0.35">
      <c r="S4893" s="780"/>
      <c r="T4893" s="928"/>
      <c r="U4893" s="928"/>
      <c r="V4893" s="928"/>
      <c r="W4893" s="780"/>
      <c r="X4893" s="881">
        <v>4889</v>
      </c>
      <c r="Y4893" s="881" t="s">
        <v>2248</v>
      </c>
      <c r="Z4893" s="881" t="s">
        <v>2428</v>
      </c>
      <c r="AA4893" s="890">
        <f>$S$1*P!AA4893</f>
        <v>2.1803999999999999E-3</v>
      </c>
      <c r="AB4893" s="780"/>
      <c r="AC4893" s="780"/>
      <c r="AD4893" s="780"/>
      <c r="AE4893" s="780"/>
      <c r="AF4893" s="780"/>
    </row>
    <row r="4894" spans="19:32" x14ac:dyDescent="0.35">
      <c r="S4894" s="780"/>
      <c r="T4894" s="928"/>
      <c r="U4894" s="928"/>
      <c r="V4894" s="928"/>
      <c r="W4894" s="780"/>
      <c r="X4894" s="782">
        <v>4890</v>
      </c>
      <c r="Y4894" s="782" t="s">
        <v>2248</v>
      </c>
      <c r="Z4894" s="782" t="s">
        <v>3898</v>
      </c>
      <c r="AA4894" s="781">
        <f>$S$1*P!AA4894</f>
        <v>1.144758064516129</v>
      </c>
      <c r="AB4894" s="780"/>
      <c r="AC4894" s="780"/>
      <c r="AD4894" s="780"/>
      <c r="AE4894" s="780"/>
      <c r="AF4894" s="780"/>
    </row>
    <row r="4895" spans="19:32" x14ac:dyDescent="0.35">
      <c r="S4895" s="780"/>
      <c r="T4895" s="928"/>
      <c r="U4895" s="928"/>
      <c r="V4895" s="928"/>
      <c r="W4895" s="780"/>
      <c r="X4895" s="782">
        <v>4891</v>
      </c>
      <c r="Y4895" s="782" t="s">
        <v>2248</v>
      </c>
      <c r="Z4895" s="782" t="s">
        <v>4031</v>
      </c>
      <c r="AA4895" s="781">
        <f>$S$1*P!AA4895</f>
        <v>2.7625000000000002E-4</v>
      </c>
      <c r="AB4895" s="780"/>
      <c r="AC4895" s="780"/>
      <c r="AD4895" s="780"/>
      <c r="AE4895" s="780"/>
      <c r="AF4895" s="780"/>
    </row>
    <row r="4896" spans="19:32" x14ac:dyDescent="0.35">
      <c r="S4896" s="780"/>
      <c r="T4896" s="928"/>
      <c r="U4896" s="928"/>
      <c r="V4896" s="928"/>
      <c r="W4896" s="780"/>
      <c r="X4896" s="782">
        <v>4892</v>
      </c>
      <c r="Y4896" s="782" t="s">
        <v>2248</v>
      </c>
      <c r="Z4896" s="782" t="s">
        <v>3897</v>
      </c>
      <c r="AA4896" s="781">
        <f>$S$1*P!AA4896</f>
        <v>5.3467741935483877E-5</v>
      </c>
      <c r="AB4896" s="780"/>
      <c r="AC4896" s="780"/>
      <c r="AD4896" s="780"/>
      <c r="AE4896" s="780"/>
      <c r="AF4896" s="780"/>
    </row>
    <row r="4897" spans="19:32" x14ac:dyDescent="0.35">
      <c r="S4897" s="780"/>
      <c r="T4897" s="928"/>
      <c r="U4897" s="928"/>
      <c r="V4897" s="928"/>
      <c r="W4897" s="780"/>
      <c r="X4897" s="782">
        <v>4893</v>
      </c>
      <c r="Y4897" s="782" t="s">
        <v>2248</v>
      </c>
      <c r="Z4897" s="782" t="s">
        <v>4030</v>
      </c>
      <c r="AA4897" s="781">
        <f>$S$1*P!AA4897</f>
        <v>3.5987903225806452E-2</v>
      </c>
      <c r="AB4897" s="780"/>
      <c r="AC4897" s="780"/>
      <c r="AD4897" s="780"/>
      <c r="AE4897" s="780"/>
      <c r="AF4897" s="780"/>
    </row>
    <row r="4898" spans="19:32" x14ac:dyDescent="0.35">
      <c r="S4898" s="780"/>
      <c r="T4898" s="928"/>
      <c r="U4898" s="928"/>
      <c r="V4898" s="928"/>
      <c r="W4898" s="780"/>
      <c r="X4898" s="782">
        <v>4894</v>
      </c>
      <c r="Y4898" s="782" t="s">
        <v>2248</v>
      </c>
      <c r="Z4898" s="782" t="s">
        <v>4029</v>
      </c>
      <c r="AA4898" s="781">
        <f>$S$1*P!AA4898</f>
        <v>6.2379032258064522E-2</v>
      </c>
      <c r="AB4898" s="780"/>
      <c r="AC4898" s="780"/>
      <c r="AD4898" s="780"/>
      <c r="AE4898" s="780"/>
      <c r="AF4898" s="780"/>
    </row>
    <row r="4899" spans="19:32" x14ac:dyDescent="0.35">
      <c r="S4899" s="780"/>
      <c r="T4899" s="928"/>
      <c r="U4899" s="928"/>
      <c r="V4899" s="928"/>
      <c r="W4899" s="780"/>
      <c r="X4899" s="782">
        <v>4895</v>
      </c>
      <c r="Y4899" s="782" t="s">
        <v>2248</v>
      </c>
      <c r="Z4899" s="782" t="s">
        <v>4028</v>
      </c>
      <c r="AA4899" s="781">
        <f>$S$1*P!AA4899</f>
        <v>3.461693548387097</v>
      </c>
      <c r="AB4899" s="780"/>
      <c r="AC4899" s="780"/>
      <c r="AD4899" s="780"/>
      <c r="AE4899" s="780"/>
      <c r="AF4899" s="780"/>
    </row>
    <row r="4900" spans="19:32" x14ac:dyDescent="0.35">
      <c r="S4900" s="780"/>
      <c r="T4900" s="928"/>
      <c r="U4900" s="928"/>
      <c r="V4900" s="928"/>
      <c r="W4900" s="780"/>
      <c r="X4900" s="782">
        <v>4896</v>
      </c>
      <c r="Y4900" s="782" t="s">
        <v>2248</v>
      </c>
      <c r="Z4900" s="782" t="s">
        <v>3895</v>
      </c>
      <c r="AA4900" s="781">
        <f>$S$1*P!AA4900</f>
        <v>1.0213709677419356E-3</v>
      </c>
      <c r="AB4900" s="780"/>
      <c r="AC4900" s="780"/>
      <c r="AD4900" s="780"/>
      <c r="AE4900" s="780"/>
      <c r="AF4900" s="780"/>
    </row>
    <row r="4901" spans="19:32" x14ac:dyDescent="0.35">
      <c r="S4901" s="780"/>
      <c r="T4901" s="928"/>
      <c r="U4901" s="928"/>
      <c r="V4901" s="928"/>
      <c r="W4901" s="780"/>
      <c r="X4901" s="782">
        <v>4897</v>
      </c>
      <c r="Y4901" s="782" t="s">
        <v>2248</v>
      </c>
      <c r="Z4901" s="782" t="s">
        <v>4027</v>
      </c>
      <c r="AA4901" s="781">
        <f>$S$1*P!AA4901</f>
        <v>153.54838709677421</v>
      </c>
      <c r="AB4901" s="780"/>
      <c r="AC4901" s="780"/>
      <c r="AD4901" s="780"/>
      <c r="AE4901" s="780"/>
      <c r="AF4901" s="780"/>
    </row>
    <row r="4902" spans="19:32" x14ac:dyDescent="0.35">
      <c r="S4902" s="780"/>
      <c r="T4902" s="928"/>
      <c r="U4902" s="928"/>
      <c r="V4902" s="928"/>
      <c r="W4902" s="780"/>
      <c r="X4902" s="881">
        <v>4898</v>
      </c>
      <c r="Y4902" s="881" t="s">
        <v>2248</v>
      </c>
      <c r="Z4902" s="881" t="s">
        <v>2426</v>
      </c>
      <c r="AA4902" s="890">
        <f>$S$1*P!AA4902</f>
        <v>0</v>
      </c>
      <c r="AB4902" s="780"/>
      <c r="AC4902" s="780"/>
      <c r="AD4902" s="780"/>
      <c r="AE4902" s="780"/>
      <c r="AF4902" s="780"/>
    </row>
    <row r="4903" spans="19:32" x14ac:dyDescent="0.35">
      <c r="S4903" s="780"/>
      <c r="T4903" s="928"/>
      <c r="U4903" s="928"/>
      <c r="V4903" s="928"/>
      <c r="W4903" s="780"/>
      <c r="X4903" s="782">
        <v>4899</v>
      </c>
      <c r="Y4903" s="782" t="s">
        <v>2248</v>
      </c>
      <c r="Z4903" s="782" t="s">
        <v>3894</v>
      </c>
      <c r="AA4903" s="781">
        <f>$S$1*P!AA4903</f>
        <v>5.0040322580645162E-4</v>
      </c>
      <c r="AB4903" s="780"/>
      <c r="AC4903" s="780"/>
      <c r="AD4903" s="780"/>
      <c r="AE4903" s="780"/>
      <c r="AF4903" s="780"/>
    </row>
    <row r="4904" spans="19:32" x14ac:dyDescent="0.35">
      <c r="S4904" s="780"/>
      <c r="T4904" s="928"/>
      <c r="U4904" s="928"/>
      <c r="V4904" s="928"/>
      <c r="W4904" s="780"/>
      <c r="X4904" s="782">
        <v>4900</v>
      </c>
      <c r="Y4904" s="782" t="s">
        <v>2248</v>
      </c>
      <c r="Z4904" s="782" t="s">
        <v>2426</v>
      </c>
      <c r="AA4904" s="781">
        <f>$S$1*P!AA4904</f>
        <v>0.3530241935483871</v>
      </c>
      <c r="AB4904" s="780"/>
      <c r="AC4904" s="780"/>
      <c r="AD4904" s="780"/>
      <c r="AE4904" s="780"/>
      <c r="AF4904" s="780"/>
    </row>
    <row r="4905" spans="19:32" x14ac:dyDescent="0.35">
      <c r="S4905" s="780"/>
      <c r="T4905" s="928"/>
      <c r="U4905" s="928"/>
      <c r="V4905" s="928"/>
      <c r="W4905" s="780"/>
      <c r="X4905" s="782">
        <v>4901</v>
      </c>
      <c r="Y4905" s="782" t="s">
        <v>2248</v>
      </c>
      <c r="Z4905" s="782" t="s">
        <v>3892</v>
      </c>
      <c r="AA4905" s="781">
        <f>$S$1*P!AA4905</f>
        <v>1.2681451612903228E-4</v>
      </c>
      <c r="AB4905" s="780"/>
      <c r="AC4905" s="780"/>
      <c r="AD4905" s="780"/>
      <c r="AE4905" s="780"/>
      <c r="AF4905" s="780"/>
    </row>
    <row r="4906" spans="19:32" x14ac:dyDescent="0.35">
      <c r="S4906" s="780"/>
      <c r="T4906" s="928"/>
      <c r="U4906" s="928"/>
      <c r="V4906" s="928"/>
      <c r="W4906" s="780"/>
      <c r="X4906" s="782">
        <v>4902</v>
      </c>
      <c r="Y4906" s="782" t="s">
        <v>2248</v>
      </c>
      <c r="Z4906" s="782" t="s">
        <v>4026</v>
      </c>
      <c r="AA4906" s="781">
        <f>$S$1*P!AA4906</f>
        <v>4.6270161290322583E-2</v>
      </c>
      <c r="AB4906" s="780"/>
      <c r="AC4906" s="780"/>
      <c r="AD4906" s="780"/>
      <c r="AE4906" s="780"/>
      <c r="AF4906" s="780"/>
    </row>
    <row r="4907" spans="19:32" x14ac:dyDescent="0.35">
      <c r="S4907" s="780"/>
      <c r="T4907" s="928"/>
      <c r="U4907" s="928"/>
      <c r="V4907" s="928"/>
      <c r="W4907" s="780"/>
      <c r="X4907" s="782">
        <v>4903</v>
      </c>
      <c r="Y4907" s="782" t="s">
        <v>2248</v>
      </c>
      <c r="Z4907" s="782" t="s">
        <v>4025</v>
      </c>
      <c r="AA4907" s="781">
        <f>$S$1*P!AA4907</f>
        <v>7.4032258064516136E-4</v>
      </c>
      <c r="AB4907" s="780"/>
      <c r="AC4907" s="780"/>
      <c r="AD4907" s="780"/>
      <c r="AE4907" s="780"/>
      <c r="AF4907" s="780"/>
    </row>
    <row r="4908" spans="19:32" x14ac:dyDescent="0.35">
      <c r="S4908" s="780"/>
      <c r="T4908" s="928"/>
      <c r="U4908" s="928"/>
      <c r="V4908" s="928"/>
      <c r="W4908" s="780"/>
      <c r="X4908" s="782">
        <v>4904</v>
      </c>
      <c r="Y4908" s="782" t="s">
        <v>2248</v>
      </c>
      <c r="Z4908" s="782" t="s">
        <v>4024</v>
      </c>
      <c r="AA4908" s="781">
        <f>$S$1*P!AA4908</f>
        <v>3.3211693548387101E-5</v>
      </c>
      <c r="AB4908" s="780"/>
      <c r="AC4908" s="780"/>
      <c r="AD4908" s="780"/>
      <c r="AE4908" s="780"/>
      <c r="AF4908" s="780"/>
    </row>
    <row r="4909" spans="19:32" x14ac:dyDescent="0.35">
      <c r="S4909" s="780"/>
      <c r="T4909" s="928"/>
      <c r="U4909" s="928"/>
      <c r="V4909" s="928"/>
      <c r="W4909" s="780"/>
      <c r="X4909" s="782">
        <v>4905</v>
      </c>
      <c r="Y4909" s="782" t="s">
        <v>2248</v>
      </c>
      <c r="Z4909" s="782" t="s">
        <v>3890</v>
      </c>
      <c r="AA4909" s="781">
        <f>$S$1*P!AA4909</f>
        <v>5.0040322580645162E-4</v>
      </c>
      <c r="AB4909" s="780"/>
      <c r="AC4909" s="780"/>
      <c r="AD4909" s="780"/>
      <c r="AE4909" s="780"/>
      <c r="AF4909" s="780"/>
    </row>
    <row r="4910" spans="19:32" x14ac:dyDescent="0.35">
      <c r="S4910" s="780"/>
      <c r="T4910" s="928"/>
      <c r="U4910" s="928"/>
      <c r="V4910" s="928"/>
      <c r="W4910" s="780"/>
      <c r="X4910" s="782">
        <v>4906</v>
      </c>
      <c r="Y4910" s="782" t="s">
        <v>2248</v>
      </c>
      <c r="Z4910" s="782" t="s">
        <v>4023</v>
      </c>
      <c r="AA4910" s="781">
        <f>$S$1*P!AA4910</f>
        <v>1.984475806451613E-4</v>
      </c>
      <c r="AB4910" s="780"/>
      <c r="AC4910" s="780"/>
      <c r="AD4910" s="780"/>
      <c r="AE4910" s="780"/>
      <c r="AF4910" s="780"/>
    </row>
    <row r="4911" spans="19:32" x14ac:dyDescent="0.35">
      <c r="S4911" s="780"/>
      <c r="T4911" s="928"/>
      <c r="U4911" s="928"/>
      <c r="V4911" s="928"/>
      <c r="W4911" s="780"/>
      <c r="X4911" s="782">
        <v>4907</v>
      </c>
      <c r="Y4911" s="782" t="s">
        <v>2248</v>
      </c>
      <c r="Z4911" s="782" t="s">
        <v>3889</v>
      </c>
      <c r="AA4911" s="781">
        <f>$S$1*P!AA4911</f>
        <v>3.0264112903225811E-6</v>
      </c>
      <c r="AB4911" s="780"/>
      <c r="AC4911" s="780"/>
      <c r="AD4911" s="780"/>
      <c r="AE4911" s="780"/>
      <c r="AF4911" s="780"/>
    </row>
    <row r="4912" spans="19:32" x14ac:dyDescent="0.35">
      <c r="S4912" s="780"/>
      <c r="T4912" s="928"/>
      <c r="U4912" s="928"/>
      <c r="V4912" s="928"/>
      <c r="W4912" s="780"/>
      <c r="X4912" s="782">
        <v>4908</v>
      </c>
      <c r="Y4912" s="782" t="s">
        <v>2248</v>
      </c>
      <c r="Z4912" s="782" t="s">
        <v>4022</v>
      </c>
      <c r="AA4912" s="781">
        <f>$S$1*P!AA4912</f>
        <v>2.7282258064516129E-3</v>
      </c>
      <c r="AB4912" s="780"/>
      <c r="AC4912" s="780"/>
      <c r="AD4912" s="780"/>
      <c r="AE4912" s="780"/>
      <c r="AF4912" s="780"/>
    </row>
    <row r="4913" spans="19:32" x14ac:dyDescent="0.35">
      <c r="S4913" s="780"/>
      <c r="T4913" s="928"/>
      <c r="U4913" s="928"/>
      <c r="V4913" s="928"/>
      <c r="W4913" s="780"/>
      <c r="X4913" s="782">
        <v>4909</v>
      </c>
      <c r="Y4913" s="782" t="s">
        <v>2248</v>
      </c>
      <c r="Z4913" s="782" t="s">
        <v>4021</v>
      </c>
      <c r="AA4913" s="781">
        <f>$S$1*P!AA4913</f>
        <v>4.1471774193548392E-3</v>
      </c>
      <c r="AB4913" s="780"/>
      <c r="AC4913" s="780"/>
      <c r="AD4913" s="780"/>
      <c r="AE4913" s="780"/>
      <c r="AF4913" s="780"/>
    </row>
    <row r="4914" spans="19:32" x14ac:dyDescent="0.35">
      <c r="S4914" s="780"/>
      <c r="T4914" s="928"/>
      <c r="U4914" s="928"/>
      <c r="V4914" s="928"/>
      <c r="W4914" s="780"/>
      <c r="X4914" s="782">
        <v>4910</v>
      </c>
      <c r="Y4914" s="782" t="s">
        <v>2248</v>
      </c>
      <c r="Z4914" s="782" t="s">
        <v>3887</v>
      </c>
      <c r="AA4914" s="781">
        <f>$S$1*P!AA4914</f>
        <v>10.625</v>
      </c>
      <c r="AB4914" s="780"/>
      <c r="AC4914" s="780"/>
      <c r="AD4914" s="780"/>
      <c r="AE4914" s="780"/>
      <c r="AF4914" s="780"/>
    </row>
    <row r="4915" spans="19:32" x14ac:dyDescent="0.35">
      <c r="S4915" s="780"/>
      <c r="T4915" s="928"/>
      <c r="U4915" s="928"/>
      <c r="V4915" s="928"/>
      <c r="W4915" s="780"/>
      <c r="X4915" s="881">
        <v>4911</v>
      </c>
      <c r="Y4915" s="881" t="s">
        <v>2248</v>
      </c>
      <c r="Z4915" s="881" t="s">
        <v>2425</v>
      </c>
      <c r="AA4915" s="890">
        <f>$S$1*P!AA4915</f>
        <v>0</v>
      </c>
      <c r="AB4915" s="780"/>
      <c r="AC4915" s="780"/>
      <c r="AD4915" s="780"/>
      <c r="AE4915" s="780"/>
      <c r="AF4915" s="780"/>
    </row>
    <row r="4916" spans="19:32" x14ac:dyDescent="0.35">
      <c r="S4916" s="780"/>
      <c r="T4916" s="928"/>
      <c r="U4916" s="928"/>
      <c r="V4916" s="928"/>
      <c r="W4916" s="780"/>
      <c r="X4916" s="782">
        <v>4912</v>
      </c>
      <c r="Y4916" s="782" t="s">
        <v>2248</v>
      </c>
      <c r="Z4916" s="782" t="s">
        <v>3886</v>
      </c>
      <c r="AA4916" s="781">
        <f>$S$1*P!AA4916</f>
        <v>4.6612903225806451E-4</v>
      </c>
      <c r="AB4916" s="780"/>
      <c r="AC4916" s="780"/>
      <c r="AD4916" s="780"/>
      <c r="AE4916" s="780"/>
      <c r="AF4916" s="780"/>
    </row>
    <row r="4917" spans="19:32" x14ac:dyDescent="0.35">
      <c r="S4917" s="780"/>
      <c r="T4917" s="928"/>
      <c r="U4917" s="928"/>
      <c r="V4917" s="928"/>
      <c r="W4917" s="780"/>
      <c r="X4917" s="881">
        <v>4913</v>
      </c>
      <c r="Y4917" s="881" t="s">
        <v>2248</v>
      </c>
      <c r="Z4917" s="881" t="s">
        <v>2423</v>
      </c>
      <c r="AA4917" s="890">
        <f>$S$1*P!AA4917</f>
        <v>0</v>
      </c>
      <c r="AB4917" s="780"/>
      <c r="AC4917" s="780"/>
      <c r="AD4917" s="780"/>
      <c r="AE4917" s="780"/>
      <c r="AF4917" s="780"/>
    </row>
    <row r="4918" spans="19:32" x14ac:dyDescent="0.35">
      <c r="S4918" s="780"/>
      <c r="T4918" s="928"/>
      <c r="U4918" s="928"/>
      <c r="V4918" s="928"/>
      <c r="W4918" s="780"/>
      <c r="X4918" s="782">
        <v>4914</v>
      </c>
      <c r="Y4918" s="782" t="s">
        <v>2248</v>
      </c>
      <c r="Z4918" s="782" t="s">
        <v>4020</v>
      </c>
      <c r="AA4918" s="781">
        <f>$S$1*P!AA4918</f>
        <v>4.7641129032258069E-6</v>
      </c>
      <c r="AB4918" s="780"/>
      <c r="AC4918" s="780"/>
      <c r="AD4918" s="780"/>
      <c r="AE4918" s="780"/>
      <c r="AF4918" s="780"/>
    </row>
    <row r="4919" spans="19:32" x14ac:dyDescent="0.35">
      <c r="S4919" s="780"/>
      <c r="T4919" s="928"/>
      <c r="U4919" s="928"/>
      <c r="V4919" s="928"/>
      <c r="W4919" s="780"/>
      <c r="X4919" s="782">
        <v>4915</v>
      </c>
      <c r="Y4919" s="782" t="s">
        <v>2248</v>
      </c>
      <c r="Z4919" s="782" t="s">
        <v>2423</v>
      </c>
      <c r="AA4919" s="781">
        <f>$S$1*P!AA4919</f>
        <v>2.515725806451613E-2</v>
      </c>
      <c r="AB4919" s="780"/>
      <c r="AC4919" s="780"/>
      <c r="AD4919" s="780"/>
      <c r="AE4919" s="780"/>
      <c r="AF4919" s="780"/>
    </row>
    <row r="4920" spans="19:32" x14ac:dyDescent="0.35">
      <c r="S4920" s="780"/>
      <c r="T4920" s="928"/>
      <c r="U4920" s="928"/>
      <c r="V4920" s="928"/>
      <c r="W4920" s="780"/>
      <c r="X4920" s="782">
        <v>4916</v>
      </c>
      <c r="Y4920" s="782" t="s">
        <v>2248</v>
      </c>
      <c r="Z4920" s="782" t="s">
        <v>2363</v>
      </c>
      <c r="AA4920" s="781">
        <f>$S$1*P!AA4920</f>
        <v>1.4840725806451613</v>
      </c>
      <c r="AB4920" s="780"/>
      <c r="AC4920" s="780"/>
      <c r="AD4920" s="780"/>
      <c r="AE4920" s="780"/>
      <c r="AF4920" s="780"/>
    </row>
    <row r="4921" spans="19:32" x14ac:dyDescent="0.35">
      <c r="S4921" s="780"/>
      <c r="T4921" s="928"/>
      <c r="U4921" s="928"/>
      <c r="V4921" s="928"/>
      <c r="W4921" s="780"/>
      <c r="X4921" s="881">
        <v>4917</v>
      </c>
      <c r="Y4921" s="881" t="s">
        <v>2248</v>
      </c>
      <c r="Z4921" s="881" t="s">
        <v>2421</v>
      </c>
      <c r="AA4921" s="890">
        <f>$S$1*P!AA4921</f>
        <v>0</v>
      </c>
      <c r="AB4921" s="780"/>
      <c r="AC4921" s="780"/>
      <c r="AD4921" s="780"/>
      <c r="AE4921" s="780"/>
      <c r="AF4921" s="780"/>
    </row>
    <row r="4922" spans="19:32" x14ac:dyDescent="0.35">
      <c r="S4922" s="780"/>
      <c r="T4922" s="928"/>
      <c r="U4922" s="928"/>
      <c r="V4922" s="928"/>
      <c r="W4922" s="780"/>
      <c r="X4922" s="782">
        <v>4918</v>
      </c>
      <c r="Y4922" s="782" t="s">
        <v>2248</v>
      </c>
      <c r="Z4922" s="782" t="s">
        <v>4019</v>
      </c>
      <c r="AA4922" s="781">
        <f>$S$1*P!AA4922</f>
        <v>1.0042338709677419E-3</v>
      </c>
      <c r="AB4922" s="780"/>
      <c r="AC4922" s="780"/>
      <c r="AD4922" s="780"/>
      <c r="AE4922" s="780"/>
      <c r="AF4922" s="780"/>
    </row>
    <row r="4923" spans="19:32" x14ac:dyDescent="0.35">
      <c r="S4923" s="780"/>
      <c r="T4923" s="928"/>
      <c r="U4923" s="928"/>
      <c r="V4923" s="928"/>
      <c r="W4923" s="780"/>
      <c r="X4923" s="782">
        <v>4919</v>
      </c>
      <c r="Y4923" s="782" t="s">
        <v>2248</v>
      </c>
      <c r="Z4923" s="782" t="s">
        <v>2421</v>
      </c>
      <c r="AA4923" s="781">
        <f>$S$1*P!AA4923</f>
        <v>1.6828629032258067E-3</v>
      </c>
      <c r="AB4923" s="780"/>
      <c r="AC4923" s="780"/>
      <c r="AD4923" s="780"/>
      <c r="AE4923" s="780"/>
      <c r="AF4923" s="780"/>
    </row>
    <row r="4924" spans="19:32" x14ac:dyDescent="0.35">
      <c r="S4924" s="780"/>
      <c r="T4924" s="928"/>
      <c r="U4924" s="928"/>
      <c r="V4924" s="928"/>
      <c r="W4924" s="780"/>
      <c r="X4924" s="782">
        <v>4920</v>
      </c>
      <c r="Y4924" s="782" t="s">
        <v>2248</v>
      </c>
      <c r="Z4924" s="782" t="s">
        <v>3884</v>
      </c>
      <c r="AA4924" s="781">
        <f>$S$1*P!AA4924</f>
        <v>4.3528225806451615E-5</v>
      </c>
      <c r="AB4924" s="780"/>
      <c r="AC4924" s="780"/>
      <c r="AD4924" s="780"/>
      <c r="AE4924" s="780"/>
      <c r="AF4924" s="780"/>
    </row>
    <row r="4925" spans="19:32" x14ac:dyDescent="0.35">
      <c r="S4925" s="780"/>
      <c r="T4925" s="928"/>
      <c r="U4925" s="928"/>
      <c r="V4925" s="928"/>
      <c r="W4925" s="780"/>
      <c r="X4925" s="782">
        <v>4921</v>
      </c>
      <c r="Y4925" s="782" t="s">
        <v>2248</v>
      </c>
      <c r="Z4925" s="782" t="s">
        <v>4018</v>
      </c>
      <c r="AA4925" s="781">
        <f>$S$1*P!AA4925</f>
        <v>5.4495967741935488E-3</v>
      </c>
      <c r="AB4925" s="780"/>
      <c r="AC4925" s="780"/>
      <c r="AD4925" s="780"/>
      <c r="AE4925" s="780"/>
      <c r="AF4925" s="780"/>
    </row>
    <row r="4926" spans="19:32" x14ac:dyDescent="0.35">
      <c r="S4926" s="780"/>
      <c r="T4926" s="928"/>
      <c r="U4926" s="928"/>
      <c r="V4926" s="928"/>
      <c r="W4926" s="780"/>
      <c r="X4926" s="782">
        <v>4922</v>
      </c>
      <c r="Y4926" s="782" t="s">
        <v>2248</v>
      </c>
      <c r="Z4926" s="782" t="s">
        <v>3882</v>
      </c>
      <c r="AA4926" s="781">
        <f>$S$1*P!AA4926</f>
        <v>6.1693548387096783E-3</v>
      </c>
      <c r="AB4926" s="780"/>
      <c r="AC4926" s="780"/>
      <c r="AD4926" s="780"/>
      <c r="AE4926" s="780"/>
      <c r="AF4926" s="780"/>
    </row>
    <row r="4927" spans="19:32" x14ac:dyDescent="0.35">
      <c r="S4927" s="780"/>
      <c r="T4927" s="928"/>
      <c r="U4927" s="928"/>
      <c r="V4927" s="928"/>
      <c r="W4927" s="780"/>
      <c r="X4927" s="782">
        <v>4923</v>
      </c>
      <c r="Y4927" s="782" t="s">
        <v>2248</v>
      </c>
      <c r="Z4927" s="782" t="s">
        <v>4017</v>
      </c>
      <c r="AA4927" s="781">
        <f>$S$1*P!AA4927</f>
        <v>2.3272177419354843E-5</v>
      </c>
      <c r="AB4927" s="780"/>
      <c r="AC4927" s="780"/>
      <c r="AD4927" s="780"/>
      <c r="AE4927" s="780"/>
      <c r="AF4927" s="780"/>
    </row>
    <row r="4928" spans="19:32" x14ac:dyDescent="0.35">
      <c r="S4928" s="780"/>
      <c r="T4928" s="928"/>
      <c r="U4928" s="928"/>
      <c r="V4928" s="928"/>
      <c r="W4928" s="780"/>
      <c r="X4928" s="782">
        <v>4924</v>
      </c>
      <c r="Y4928" s="782" t="s">
        <v>2248</v>
      </c>
      <c r="Z4928" s="782" t="s">
        <v>4016</v>
      </c>
      <c r="AA4928" s="781">
        <f>$S$1*P!AA4928</f>
        <v>0.16657258064516131</v>
      </c>
      <c r="AB4928" s="780"/>
      <c r="AC4928" s="780"/>
      <c r="AD4928" s="780"/>
      <c r="AE4928" s="780"/>
      <c r="AF4928" s="780"/>
    </row>
    <row r="4929" spans="19:32" x14ac:dyDescent="0.35">
      <c r="S4929" s="780"/>
      <c r="T4929" s="928"/>
      <c r="U4929" s="928"/>
      <c r="V4929" s="928"/>
      <c r="W4929" s="780"/>
      <c r="X4929" s="782">
        <v>4925</v>
      </c>
      <c r="Y4929" s="782" t="s">
        <v>2248</v>
      </c>
      <c r="Z4929" s="782" t="s">
        <v>3881</v>
      </c>
      <c r="AA4929" s="781">
        <f>$S$1*P!AA4929</f>
        <v>1.1790322580645161E-6</v>
      </c>
      <c r="AB4929" s="780"/>
      <c r="AC4929" s="780"/>
      <c r="AD4929" s="780"/>
      <c r="AE4929" s="780"/>
      <c r="AF4929" s="780"/>
    </row>
    <row r="4930" spans="19:32" x14ac:dyDescent="0.35">
      <c r="S4930" s="780"/>
      <c r="T4930" s="928"/>
      <c r="U4930" s="928"/>
      <c r="V4930" s="928"/>
      <c r="W4930" s="780"/>
      <c r="X4930" s="881">
        <v>4926</v>
      </c>
      <c r="Y4930" s="881" t="s">
        <v>2248</v>
      </c>
      <c r="Z4930" s="881" t="s">
        <v>2420</v>
      </c>
      <c r="AA4930" s="890">
        <f>$S$1*P!AA4930</f>
        <v>3.7168E-2</v>
      </c>
      <c r="AB4930" s="780"/>
      <c r="AC4930" s="780"/>
      <c r="AD4930" s="780"/>
      <c r="AE4930" s="780"/>
      <c r="AF4930" s="780"/>
    </row>
    <row r="4931" spans="19:32" x14ac:dyDescent="0.35">
      <c r="S4931" s="780"/>
      <c r="T4931" s="928"/>
      <c r="U4931" s="928"/>
      <c r="V4931" s="928"/>
      <c r="W4931" s="780"/>
      <c r="X4931" s="782">
        <v>4927</v>
      </c>
      <c r="Y4931" s="782" t="s">
        <v>2248</v>
      </c>
      <c r="Z4931" s="782" t="s">
        <v>2420</v>
      </c>
      <c r="AA4931" s="781">
        <f>$S$1*P!AA4931</f>
        <v>14.909274193548388</v>
      </c>
      <c r="AB4931" s="780"/>
      <c r="AC4931" s="780"/>
      <c r="AD4931" s="780"/>
      <c r="AE4931" s="780"/>
      <c r="AF4931" s="780"/>
    </row>
    <row r="4932" spans="19:32" x14ac:dyDescent="0.35">
      <c r="S4932" s="780"/>
      <c r="T4932" s="928"/>
      <c r="U4932" s="928"/>
      <c r="V4932" s="928"/>
      <c r="W4932" s="780"/>
      <c r="X4932" s="782">
        <v>4928</v>
      </c>
      <c r="Y4932" s="782" t="s">
        <v>2248</v>
      </c>
      <c r="Z4932" s="782" t="s">
        <v>3879</v>
      </c>
      <c r="AA4932" s="781">
        <f>$S$1*P!AA4932</f>
        <v>9.3568548387096783E-7</v>
      </c>
      <c r="AB4932" s="780"/>
      <c r="AC4932" s="780"/>
      <c r="AD4932" s="780"/>
      <c r="AE4932" s="780"/>
      <c r="AF4932" s="780"/>
    </row>
    <row r="4933" spans="19:32" x14ac:dyDescent="0.35">
      <c r="S4933" s="780"/>
      <c r="T4933" s="928"/>
      <c r="U4933" s="928"/>
      <c r="V4933" s="928"/>
      <c r="W4933" s="780"/>
      <c r="X4933" s="782">
        <v>4929</v>
      </c>
      <c r="Y4933" s="782" t="s">
        <v>2248</v>
      </c>
      <c r="Z4933" s="782" t="s">
        <v>4015</v>
      </c>
      <c r="AA4933" s="781">
        <f>$S$1*P!AA4933</f>
        <v>2.5122983870967746</v>
      </c>
      <c r="AB4933" s="780"/>
      <c r="AC4933" s="780"/>
      <c r="AD4933" s="780"/>
      <c r="AE4933" s="780"/>
      <c r="AF4933" s="780"/>
    </row>
    <row r="4934" spans="19:32" x14ac:dyDescent="0.35">
      <c r="S4934" s="780"/>
      <c r="T4934" s="928"/>
      <c r="U4934" s="928"/>
      <c r="V4934" s="928"/>
      <c r="W4934" s="780"/>
      <c r="X4934" s="782">
        <v>4930</v>
      </c>
      <c r="Y4934" s="782" t="s">
        <v>2248</v>
      </c>
      <c r="Z4934" s="782" t="s">
        <v>4014</v>
      </c>
      <c r="AA4934" s="781">
        <f>$S$1*P!AA4934</f>
        <v>1.0179435483870968E-2</v>
      </c>
      <c r="AB4934" s="780"/>
      <c r="AC4934" s="780"/>
      <c r="AD4934" s="780"/>
      <c r="AE4934" s="780"/>
      <c r="AF4934" s="780"/>
    </row>
    <row r="4935" spans="19:32" x14ac:dyDescent="0.35">
      <c r="S4935" s="780"/>
      <c r="T4935" s="928"/>
      <c r="U4935" s="928"/>
      <c r="V4935" s="928"/>
      <c r="W4935" s="780"/>
      <c r="X4935" s="782">
        <v>4931</v>
      </c>
      <c r="Y4935" s="782" t="s">
        <v>2248</v>
      </c>
      <c r="Z4935" s="782" t="s">
        <v>2362</v>
      </c>
      <c r="AA4935" s="781">
        <f>$S$1*P!AA4935</f>
        <v>4.4213709677419356E-6</v>
      </c>
      <c r="AB4935" s="780"/>
      <c r="AC4935" s="780"/>
      <c r="AD4935" s="780"/>
      <c r="AE4935" s="780"/>
      <c r="AF4935" s="780"/>
    </row>
    <row r="4936" spans="19:32" x14ac:dyDescent="0.35">
      <c r="S4936" s="780"/>
      <c r="T4936" s="928"/>
      <c r="U4936" s="928"/>
      <c r="V4936" s="928"/>
      <c r="W4936" s="780"/>
      <c r="X4936" s="782">
        <v>4932</v>
      </c>
      <c r="Y4936" s="782" t="s">
        <v>2248</v>
      </c>
      <c r="Z4936" s="782" t="s">
        <v>4013</v>
      </c>
      <c r="AA4936" s="781">
        <f>$S$1*P!AA4936</f>
        <v>9.2883064516129047E-3</v>
      </c>
      <c r="AB4936" s="780"/>
      <c r="AC4936" s="780"/>
      <c r="AD4936" s="780"/>
      <c r="AE4936" s="780"/>
      <c r="AF4936" s="780"/>
    </row>
    <row r="4937" spans="19:32" x14ac:dyDescent="0.35">
      <c r="S4937" s="780"/>
      <c r="T4937" s="928"/>
      <c r="U4937" s="928"/>
      <c r="V4937" s="928"/>
      <c r="W4937" s="780"/>
      <c r="X4937" s="782">
        <v>4933</v>
      </c>
      <c r="Y4937" s="782" t="s">
        <v>2248</v>
      </c>
      <c r="Z4937" s="782" t="s">
        <v>3877</v>
      </c>
      <c r="AA4937" s="781">
        <f>$S$1*P!AA4937</f>
        <v>2.8070564516129035E-2</v>
      </c>
      <c r="AB4937" s="780"/>
      <c r="AC4937" s="780"/>
      <c r="AD4937" s="780"/>
      <c r="AE4937" s="780"/>
      <c r="AF4937" s="780"/>
    </row>
    <row r="4938" spans="19:32" x14ac:dyDescent="0.35">
      <c r="S4938" s="780"/>
      <c r="T4938" s="928"/>
      <c r="U4938" s="928"/>
      <c r="V4938" s="928"/>
      <c r="W4938" s="780"/>
      <c r="X4938" s="782">
        <v>4934</v>
      </c>
      <c r="Y4938" s="782" t="s">
        <v>2248</v>
      </c>
      <c r="Z4938" s="782" t="s">
        <v>4012</v>
      </c>
      <c r="AA4938" s="781">
        <f>$S$1*P!AA4938</f>
        <v>9.3568548387096776E-3</v>
      </c>
      <c r="AB4938" s="780"/>
      <c r="AC4938" s="780"/>
      <c r="AD4938" s="780"/>
      <c r="AE4938" s="780"/>
      <c r="AF4938" s="780"/>
    </row>
    <row r="4939" spans="19:32" x14ac:dyDescent="0.35">
      <c r="S4939" s="780"/>
      <c r="T4939" s="928"/>
      <c r="U4939" s="928"/>
      <c r="V4939" s="928"/>
      <c r="W4939" s="780"/>
      <c r="X4939" s="782">
        <v>4935</v>
      </c>
      <c r="Y4939" s="782" t="s">
        <v>2248</v>
      </c>
      <c r="Z4939" s="782" t="s">
        <v>4011</v>
      </c>
      <c r="AA4939" s="781">
        <f>$S$1*P!AA4939</f>
        <v>0.76088709677419364</v>
      </c>
      <c r="AB4939" s="780"/>
      <c r="AC4939" s="780"/>
      <c r="AD4939" s="780"/>
      <c r="AE4939" s="780"/>
      <c r="AF4939" s="780"/>
    </row>
    <row r="4940" spans="19:32" x14ac:dyDescent="0.35">
      <c r="S4940" s="780"/>
      <c r="T4940" s="928"/>
      <c r="U4940" s="928"/>
      <c r="V4940" s="928"/>
      <c r="W4940" s="780"/>
      <c r="X4940" s="782">
        <v>4936</v>
      </c>
      <c r="Y4940" s="782" t="s">
        <v>2248</v>
      </c>
      <c r="Z4940" s="782" t="s">
        <v>3876</v>
      </c>
      <c r="AA4940" s="781">
        <f>$S$1*P!AA4940</f>
        <v>0.60322580645161294</v>
      </c>
      <c r="AB4940" s="780"/>
      <c r="AC4940" s="780"/>
      <c r="AD4940" s="780"/>
      <c r="AE4940" s="780"/>
      <c r="AF4940" s="780"/>
    </row>
    <row r="4941" spans="19:32" x14ac:dyDescent="0.35">
      <c r="S4941" s="780"/>
      <c r="T4941" s="928"/>
      <c r="U4941" s="928"/>
      <c r="V4941" s="928"/>
      <c r="W4941" s="780"/>
      <c r="X4941" s="782">
        <v>4937</v>
      </c>
      <c r="Y4941" s="782" t="s">
        <v>2248</v>
      </c>
      <c r="Z4941" s="782" t="s">
        <v>4010</v>
      </c>
      <c r="AA4941" s="781">
        <f>$S$1*P!AA4941</f>
        <v>2.882459677419355E-2</v>
      </c>
      <c r="AB4941" s="780"/>
      <c r="AC4941" s="780"/>
      <c r="AD4941" s="780"/>
      <c r="AE4941" s="780"/>
      <c r="AF4941" s="780"/>
    </row>
    <row r="4942" spans="19:32" x14ac:dyDescent="0.35">
      <c r="S4942" s="780"/>
      <c r="T4942" s="928"/>
      <c r="U4942" s="928"/>
      <c r="V4942" s="928"/>
      <c r="W4942" s="780"/>
      <c r="X4942" s="881">
        <v>4938</v>
      </c>
      <c r="Y4942" s="881" t="s">
        <v>2248</v>
      </c>
      <c r="Z4942" s="881" t="s">
        <v>2418</v>
      </c>
      <c r="AA4942" s="890">
        <f>$S$1*P!AA4942</f>
        <v>0</v>
      </c>
      <c r="AB4942" s="780"/>
      <c r="AC4942" s="780"/>
      <c r="AD4942" s="780"/>
      <c r="AE4942" s="780"/>
      <c r="AF4942" s="780"/>
    </row>
    <row r="4943" spans="19:32" x14ac:dyDescent="0.35">
      <c r="S4943" s="780"/>
      <c r="T4943" s="928"/>
      <c r="U4943" s="928"/>
      <c r="V4943" s="928"/>
      <c r="W4943" s="780"/>
      <c r="X4943" s="782">
        <v>4939</v>
      </c>
      <c r="Y4943" s="782" t="s">
        <v>2248</v>
      </c>
      <c r="Z4943" s="782" t="s">
        <v>3874</v>
      </c>
      <c r="AA4943" s="781">
        <f>$S$1*P!AA4943</f>
        <v>1.9879032258064519E-2</v>
      </c>
      <c r="AB4943" s="780"/>
      <c r="AC4943" s="780"/>
      <c r="AD4943" s="780"/>
      <c r="AE4943" s="780"/>
      <c r="AF4943" s="780"/>
    </row>
    <row r="4944" spans="19:32" x14ac:dyDescent="0.35">
      <c r="S4944" s="780"/>
      <c r="T4944" s="928"/>
      <c r="U4944" s="928"/>
      <c r="V4944" s="928"/>
      <c r="W4944" s="780"/>
      <c r="X4944" s="782">
        <v>4940</v>
      </c>
      <c r="Y4944" s="782" t="s">
        <v>2248</v>
      </c>
      <c r="Z4944" s="782" t="s">
        <v>4009</v>
      </c>
      <c r="AA4944" s="781">
        <f>$S$1*P!AA4944</f>
        <v>6.8548387096774195E-3</v>
      </c>
      <c r="AB4944" s="780"/>
      <c r="AC4944" s="780"/>
      <c r="AD4944" s="780"/>
      <c r="AE4944" s="780"/>
      <c r="AF4944" s="780"/>
    </row>
    <row r="4945" spans="19:32" x14ac:dyDescent="0.35">
      <c r="S4945" s="780"/>
      <c r="T4945" s="928"/>
      <c r="U4945" s="928"/>
      <c r="V4945" s="928"/>
      <c r="W4945" s="780"/>
      <c r="X4945" s="782">
        <v>4941</v>
      </c>
      <c r="Y4945" s="782" t="s">
        <v>2248</v>
      </c>
      <c r="Z4945" s="782" t="s">
        <v>4008</v>
      </c>
      <c r="AA4945" s="781">
        <f>$S$1*P!AA4945</f>
        <v>2.1489919354838711E-5</v>
      </c>
      <c r="AB4945" s="780"/>
      <c r="AC4945" s="780"/>
      <c r="AD4945" s="780"/>
      <c r="AE4945" s="780"/>
      <c r="AF4945" s="780"/>
    </row>
    <row r="4946" spans="19:32" x14ac:dyDescent="0.35">
      <c r="S4946" s="780"/>
      <c r="T4946" s="928"/>
      <c r="U4946" s="928"/>
      <c r="V4946" s="928"/>
      <c r="W4946" s="780"/>
      <c r="X4946" s="782">
        <v>4942</v>
      </c>
      <c r="Y4946" s="782" t="s">
        <v>2248</v>
      </c>
      <c r="Z4946" s="782" t="s">
        <v>2357</v>
      </c>
      <c r="AA4946" s="781">
        <f>$S$1*P!AA4946</f>
        <v>0.10727822580645162</v>
      </c>
      <c r="AB4946" s="780"/>
      <c r="AC4946" s="780"/>
      <c r="AD4946" s="780"/>
      <c r="AE4946" s="780"/>
      <c r="AF4946" s="780"/>
    </row>
    <row r="4947" spans="19:32" x14ac:dyDescent="0.35">
      <c r="S4947" s="780"/>
      <c r="T4947" s="928"/>
      <c r="U4947" s="928"/>
      <c r="V4947" s="928"/>
      <c r="W4947" s="780"/>
      <c r="X4947" s="782">
        <v>4943</v>
      </c>
      <c r="Y4947" s="782" t="s">
        <v>2248</v>
      </c>
      <c r="Z4947" s="782" t="s">
        <v>4007</v>
      </c>
      <c r="AA4947" s="781">
        <f>$S$1*P!AA4947</f>
        <v>1.2612903225806453E-2</v>
      </c>
      <c r="AB4947" s="780"/>
      <c r="AC4947" s="780"/>
      <c r="AD4947" s="780"/>
      <c r="AE4947" s="780"/>
      <c r="AF4947" s="780"/>
    </row>
    <row r="4948" spans="19:32" x14ac:dyDescent="0.35">
      <c r="S4948" s="780"/>
      <c r="T4948" s="928"/>
      <c r="U4948" s="928"/>
      <c r="V4948" s="928"/>
      <c r="W4948" s="780"/>
      <c r="X4948" s="782">
        <v>4944</v>
      </c>
      <c r="Y4948" s="782" t="s">
        <v>2248</v>
      </c>
      <c r="Z4948" s="782" t="s">
        <v>4006</v>
      </c>
      <c r="AA4948" s="781">
        <f>$S$1*P!AA4948</f>
        <v>8.054435483870968E-3</v>
      </c>
      <c r="AB4948" s="780"/>
      <c r="AC4948" s="780"/>
      <c r="AD4948" s="780"/>
      <c r="AE4948" s="780"/>
      <c r="AF4948" s="780"/>
    </row>
    <row r="4949" spans="19:32" x14ac:dyDescent="0.35">
      <c r="S4949" s="780"/>
      <c r="T4949" s="928"/>
      <c r="U4949" s="928"/>
      <c r="V4949" s="928"/>
      <c r="W4949" s="780"/>
      <c r="X4949" s="782">
        <v>4945</v>
      </c>
      <c r="Y4949" s="782" t="s">
        <v>2248</v>
      </c>
      <c r="Z4949" s="782" t="s">
        <v>3871</v>
      </c>
      <c r="AA4949" s="781">
        <f>$S$1*P!AA4949</f>
        <v>3.9758064516129035E-3</v>
      </c>
      <c r="AB4949" s="780"/>
      <c r="AC4949" s="780"/>
      <c r="AD4949" s="780"/>
      <c r="AE4949" s="780"/>
      <c r="AF4949" s="780"/>
    </row>
    <row r="4950" spans="19:32" x14ac:dyDescent="0.35">
      <c r="S4950" s="780"/>
      <c r="T4950" s="928"/>
      <c r="U4950" s="928"/>
      <c r="V4950" s="928"/>
      <c r="W4950" s="780"/>
      <c r="X4950" s="782">
        <v>4946</v>
      </c>
      <c r="Y4950" s="782" t="s">
        <v>2248</v>
      </c>
      <c r="Z4950" s="782" t="s">
        <v>4005</v>
      </c>
      <c r="AA4950" s="781">
        <f>$S$1*P!AA4950</f>
        <v>5.3125000000000004E-5</v>
      </c>
      <c r="AB4950" s="780"/>
      <c r="AC4950" s="780"/>
      <c r="AD4950" s="780"/>
      <c r="AE4950" s="780"/>
      <c r="AF4950" s="780"/>
    </row>
    <row r="4951" spans="19:32" x14ac:dyDescent="0.35">
      <c r="S4951" s="780"/>
      <c r="T4951" s="928"/>
      <c r="U4951" s="928"/>
      <c r="V4951" s="928"/>
      <c r="W4951" s="780"/>
      <c r="X4951" s="881">
        <v>4947</v>
      </c>
      <c r="Y4951" s="881" t="s">
        <v>2248</v>
      </c>
      <c r="Z4951" s="881" t="s">
        <v>2417</v>
      </c>
      <c r="AA4951" s="890">
        <f>$S$1*P!AA4951</f>
        <v>0</v>
      </c>
      <c r="AB4951" s="780"/>
      <c r="AC4951" s="780"/>
      <c r="AD4951" s="780"/>
      <c r="AE4951" s="780"/>
      <c r="AF4951" s="780"/>
    </row>
    <row r="4952" spans="19:32" x14ac:dyDescent="0.35">
      <c r="S4952" s="780"/>
      <c r="T4952" s="928"/>
      <c r="U4952" s="928"/>
      <c r="V4952" s="928"/>
      <c r="W4952" s="780"/>
      <c r="X4952" s="782">
        <v>4948</v>
      </c>
      <c r="Y4952" s="782" t="s">
        <v>2248</v>
      </c>
      <c r="Z4952" s="782" t="s">
        <v>3870</v>
      </c>
      <c r="AA4952" s="781">
        <f>$S$1*P!AA4952</f>
        <v>1.7137096774193551E-2</v>
      </c>
      <c r="AB4952" s="780"/>
      <c r="AC4952" s="780"/>
      <c r="AD4952" s="780"/>
      <c r="AE4952" s="780"/>
      <c r="AF4952" s="780"/>
    </row>
    <row r="4953" spans="19:32" x14ac:dyDescent="0.35">
      <c r="S4953" s="780"/>
      <c r="T4953" s="928"/>
      <c r="U4953" s="928"/>
      <c r="V4953" s="928"/>
      <c r="W4953" s="780"/>
      <c r="X4953" s="782">
        <v>4949</v>
      </c>
      <c r="Y4953" s="782" t="s">
        <v>2248</v>
      </c>
      <c r="Z4953" s="782" t="s">
        <v>4004</v>
      </c>
      <c r="AA4953" s="781">
        <f>$S$1*P!AA4953</f>
        <v>5.758064516129033E-3</v>
      </c>
      <c r="AB4953" s="780"/>
      <c r="AC4953" s="780"/>
      <c r="AD4953" s="780"/>
      <c r="AE4953" s="780"/>
      <c r="AF4953" s="780"/>
    </row>
    <row r="4954" spans="19:32" x14ac:dyDescent="0.35">
      <c r="S4954" s="780"/>
      <c r="T4954" s="928"/>
      <c r="U4954" s="928"/>
      <c r="V4954" s="928"/>
      <c r="W4954" s="780"/>
      <c r="X4954" s="881">
        <v>4950</v>
      </c>
      <c r="Y4954" s="881" t="s">
        <v>2248</v>
      </c>
      <c r="Z4954" s="881" t="s">
        <v>2415</v>
      </c>
      <c r="AA4954" s="890">
        <f>$S$1*P!AA4954</f>
        <v>3.3304E-2</v>
      </c>
      <c r="AB4954" s="780"/>
      <c r="AC4954" s="780"/>
      <c r="AD4954" s="780"/>
      <c r="AE4954" s="780"/>
      <c r="AF4954" s="780"/>
    </row>
    <row r="4955" spans="19:32" x14ac:dyDescent="0.35">
      <c r="S4955" s="780"/>
      <c r="T4955" s="928"/>
      <c r="U4955" s="928"/>
      <c r="V4955" s="928"/>
      <c r="W4955" s="780"/>
      <c r="X4955" s="782">
        <v>4951</v>
      </c>
      <c r="Y4955" s="782" t="s">
        <v>2248</v>
      </c>
      <c r="Z4955" s="782" t="s">
        <v>3866</v>
      </c>
      <c r="AA4955" s="781">
        <f>$S$1*P!AA4955</f>
        <v>0.20564516129032259</v>
      </c>
      <c r="AB4955" s="780"/>
      <c r="AC4955" s="780"/>
      <c r="AD4955" s="780"/>
      <c r="AE4955" s="780"/>
      <c r="AF4955" s="780"/>
    </row>
    <row r="4956" spans="19:32" x14ac:dyDescent="0.35">
      <c r="S4956" s="780"/>
      <c r="T4956" s="928"/>
      <c r="U4956" s="928"/>
      <c r="V4956" s="928"/>
      <c r="W4956" s="780"/>
      <c r="X4956" s="782">
        <v>4952</v>
      </c>
      <c r="Y4956" s="782" t="s">
        <v>2248</v>
      </c>
      <c r="Z4956" s="782" t="s">
        <v>2415</v>
      </c>
      <c r="AA4956" s="781">
        <f>$S$1*P!AA4956</f>
        <v>3.3485887096774199E-2</v>
      </c>
      <c r="AB4956" s="780"/>
      <c r="AC4956" s="780"/>
      <c r="AD4956" s="780"/>
      <c r="AE4956" s="780"/>
      <c r="AF4956" s="780"/>
    </row>
    <row r="4957" spans="19:32" x14ac:dyDescent="0.35">
      <c r="S4957" s="780"/>
      <c r="T4957" s="928"/>
      <c r="U4957" s="928"/>
      <c r="V4957" s="928"/>
      <c r="W4957" s="780"/>
      <c r="X4957" s="782">
        <v>4953</v>
      </c>
      <c r="Y4957" s="782" t="s">
        <v>2248</v>
      </c>
      <c r="Z4957" s="782" t="s">
        <v>3865</v>
      </c>
      <c r="AA4957" s="781">
        <f>$S$1*P!AA4957</f>
        <v>3.2354838709677425E-2</v>
      </c>
      <c r="AB4957" s="780"/>
      <c r="AC4957" s="780"/>
      <c r="AD4957" s="780"/>
      <c r="AE4957" s="780"/>
      <c r="AF4957" s="780"/>
    </row>
    <row r="4958" spans="19:32" x14ac:dyDescent="0.35">
      <c r="S4958" s="780"/>
      <c r="T4958" s="928"/>
      <c r="U4958" s="928"/>
      <c r="V4958" s="928"/>
      <c r="W4958" s="780"/>
      <c r="X4958" s="782">
        <v>4954</v>
      </c>
      <c r="Y4958" s="782" t="s">
        <v>2248</v>
      </c>
      <c r="Z4958" s="782" t="s">
        <v>4003</v>
      </c>
      <c r="AA4958" s="781">
        <f>$S$1*P!AA4958</f>
        <v>7.1290322580645169E-5</v>
      </c>
      <c r="AB4958" s="780"/>
      <c r="AC4958" s="780"/>
      <c r="AD4958" s="780"/>
      <c r="AE4958" s="780"/>
      <c r="AF4958" s="780"/>
    </row>
    <row r="4959" spans="19:32" x14ac:dyDescent="0.35">
      <c r="S4959" s="780"/>
      <c r="T4959" s="928"/>
      <c r="U4959" s="928"/>
      <c r="V4959" s="928"/>
      <c r="W4959" s="780"/>
      <c r="X4959" s="782">
        <v>4955</v>
      </c>
      <c r="Y4959" s="782" t="s">
        <v>2248</v>
      </c>
      <c r="Z4959" s="782" t="s">
        <v>3116</v>
      </c>
      <c r="AA4959" s="781">
        <f>$S$1*P!AA4959</f>
        <v>8.6713709677419357E-2</v>
      </c>
      <c r="AB4959" s="780"/>
      <c r="AC4959" s="780"/>
      <c r="AD4959" s="780"/>
      <c r="AE4959" s="780"/>
      <c r="AF4959" s="780"/>
    </row>
    <row r="4960" spans="19:32" x14ac:dyDescent="0.35">
      <c r="S4960" s="780"/>
      <c r="T4960" s="928"/>
      <c r="U4960" s="928"/>
      <c r="V4960" s="928"/>
      <c r="W4960" s="780"/>
      <c r="X4960" s="881">
        <v>4956</v>
      </c>
      <c r="Y4960" s="881" t="s">
        <v>2248</v>
      </c>
      <c r="Z4960" s="881" t="s">
        <v>2414</v>
      </c>
      <c r="AA4960" s="890">
        <f>$S$1*P!AA4960</f>
        <v>2.1619999999999999</v>
      </c>
      <c r="AB4960" s="780"/>
      <c r="AC4960" s="780"/>
      <c r="AD4960" s="780"/>
      <c r="AE4960" s="780"/>
      <c r="AF4960" s="780"/>
    </row>
    <row r="4961" spans="19:32" x14ac:dyDescent="0.35">
      <c r="S4961" s="780"/>
      <c r="T4961" s="928"/>
      <c r="U4961" s="928"/>
      <c r="V4961" s="928"/>
      <c r="W4961" s="780"/>
      <c r="X4961" s="782">
        <v>4957</v>
      </c>
      <c r="Y4961" s="782" t="s">
        <v>2248</v>
      </c>
      <c r="Z4961" s="782" t="s">
        <v>3864</v>
      </c>
      <c r="AA4961" s="781">
        <f>$S$1*P!AA4961</f>
        <v>0.18199596774193549</v>
      </c>
      <c r="AB4961" s="780"/>
      <c r="AC4961" s="780"/>
      <c r="AD4961" s="780"/>
      <c r="AE4961" s="780"/>
      <c r="AF4961" s="780"/>
    </row>
    <row r="4962" spans="19:32" x14ac:dyDescent="0.35">
      <c r="S4962" s="780"/>
      <c r="T4962" s="928"/>
      <c r="U4962" s="928"/>
      <c r="V4962" s="928"/>
      <c r="W4962" s="780"/>
      <c r="X4962" s="782">
        <v>4958</v>
      </c>
      <c r="Y4962" s="782" t="s">
        <v>2248</v>
      </c>
      <c r="Z4962" s="782" t="s">
        <v>4002</v>
      </c>
      <c r="AA4962" s="781">
        <f>$S$1*P!AA4962</f>
        <v>2.6733870967741938E-5</v>
      </c>
      <c r="AB4962" s="780"/>
      <c r="AC4962" s="780"/>
      <c r="AD4962" s="780"/>
      <c r="AE4962" s="780"/>
      <c r="AF4962" s="780"/>
    </row>
    <row r="4963" spans="19:32" x14ac:dyDescent="0.35">
      <c r="S4963" s="780"/>
      <c r="T4963" s="928"/>
      <c r="U4963" s="928"/>
      <c r="V4963" s="928"/>
      <c r="W4963" s="780"/>
      <c r="X4963" s="782">
        <v>4959</v>
      </c>
      <c r="Y4963" s="782" t="s">
        <v>2248</v>
      </c>
      <c r="Z4963" s="782" t="s">
        <v>3863</v>
      </c>
      <c r="AA4963" s="781">
        <f>$S$1*P!AA4963</f>
        <v>2.1729838709677422E-2</v>
      </c>
      <c r="AB4963" s="780"/>
      <c r="AC4963" s="780"/>
      <c r="AD4963" s="780"/>
      <c r="AE4963" s="780"/>
      <c r="AF4963" s="780"/>
    </row>
    <row r="4964" spans="19:32" x14ac:dyDescent="0.35">
      <c r="S4964" s="780"/>
      <c r="T4964" s="928"/>
      <c r="U4964" s="928"/>
      <c r="V4964" s="928"/>
      <c r="W4964" s="780"/>
      <c r="X4964" s="782">
        <v>4960</v>
      </c>
      <c r="Y4964" s="782" t="s">
        <v>2248</v>
      </c>
      <c r="Z4964" s="782" t="s">
        <v>4001</v>
      </c>
      <c r="AA4964" s="781">
        <f>$S$1*P!AA4964</f>
        <v>0.10659274193548388</v>
      </c>
      <c r="AB4964" s="780"/>
      <c r="AC4964" s="780"/>
      <c r="AD4964" s="780"/>
      <c r="AE4964" s="780"/>
      <c r="AF4964" s="780"/>
    </row>
    <row r="4965" spans="19:32" x14ac:dyDescent="0.35">
      <c r="S4965" s="780"/>
      <c r="T4965" s="928"/>
      <c r="U4965" s="928"/>
      <c r="V4965" s="928"/>
      <c r="W4965" s="780"/>
      <c r="X4965" s="881">
        <v>4961</v>
      </c>
      <c r="Y4965" s="881" t="s">
        <v>2248</v>
      </c>
      <c r="Z4965" s="881" t="s">
        <v>2412</v>
      </c>
      <c r="AA4965" s="890">
        <f>$S$1*P!AA4965</f>
        <v>6.4767999999999996E-3</v>
      </c>
      <c r="AB4965" s="780"/>
      <c r="AC4965" s="780"/>
      <c r="AD4965" s="780"/>
      <c r="AE4965" s="780"/>
      <c r="AF4965" s="780"/>
    </row>
    <row r="4966" spans="19:32" x14ac:dyDescent="0.35">
      <c r="S4966" s="780"/>
      <c r="T4966" s="928"/>
      <c r="U4966" s="928"/>
      <c r="V4966" s="928"/>
      <c r="W4966" s="780"/>
      <c r="X4966" s="782">
        <v>4962</v>
      </c>
      <c r="Y4966" s="782" t="s">
        <v>2248</v>
      </c>
      <c r="Z4966" s="782" t="s">
        <v>2412</v>
      </c>
      <c r="AA4966" s="781">
        <f>$S$1*P!AA4966</f>
        <v>1.1756048387096776E-5</v>
      </c>
      <c r="AB4966" s="780"/>
      <c r="AC4966" s="780"/>
      <c r="AD4966" s="780"/>
      <c r="AE4966" s="780"/>
      <c r="AF4966" s="780"/>
    </row>
    <row r="4967" spans="19:32" x14ac:dyDescent="0.35">
      <c r="S4967" s="780"/>
      <c r="T4967" s="928"/>
      <c r="U4967" s="928"/>
      <c r="V4967" s="928"/>
      <c r="W4967" s="780"/>
      <c r="X4967" s="782">
        <v>4963</v>
      </c>
      <c r="Y4967" s="782" t="s">
        <v>2248</v>
      </c>
      <c r="Z4967" s="782" t="s">
        <v>2345</v>
      </c>
      <c r="AA4967" s="781">
        <f>$S$1*P!AA4967</f>
        <v>1.878225806451613E-3</v>
      </c>
      <c r="AB4967" s="780"/>
      <c r="AC4967" s="780"/>
      <c r="AD4967" s="780"/>
      <c r="AE4967" s="780"/>
      <c r="AF4967" s="780"/>
    </row>
    <row r="4968" spans="19:32" x14ac:dyDescent="0.35">
      <c r="S4968" s="780"/>
      <c r="T4968" s="928"/>
      <c r="U4968" s="928"/>
      <c r="V4968" s="928"/>
      <c r="W4968" s="780"/>
      <c r="X4968" s="782">
        <v>4964</v>
      </c>
      <c r="Y4968" s="782" t="s">
        <v>2248</v>
      </c>
      <c r="Z4968" s="782" t="s">
        <v>4000</v>
      </c>
      <c r="AA4968" s="781">
        <f>$S$1*P!AA4968</f>
        <v>11.207661290322582</v>
      </c>
      <c r="AB4968" s="780"/>
      <c r="AC4968" s="780"/>
      <c r="AD4968" s="780"/>
      <c r="AE4968" s="780"/>
      <c r="AF4968" s="780"/>
    </row>
    <row r="4969" spans="19:32" x14ac:dyDescent="0.35">
      <c r="S4969" s="780"/>
      <c r="T4969" s="928"/>
      <c r="U4969" s="928"/>
      <c r="V4969" s="928"/>
      <c r="W4969" s="780"/>
      <c r="X4969" s="782">
        <v>4965</v>
      </c>
      <c r="Y4969" s="782" t="s">
        <v>2248</v>
      </c>
      <c r="Z4969" s="782" t="s">
        <v>3999</v>
      </c>
      <c r="AA4969" s="781">
        <f>$S$1*P!AA4969</f>
        <v>1.2578629032258066E-4</v>
      </c>
      <c r="AB4969" s="780"/>
      <c r="AC4969" s="780"/>
      <c r="AD4969" s="780"/>
      <c r="AE4969" s="780"/>
      <c r="AF4969" s="780"/>
    </row>
    <row r="4970" spans="19:32" x14ac:dyDescent="0.35">
      <c r="S4970" s="780"/>
      <c r="T4970" s="928"/>
      <c r="U4970" s="928"/>
      <c r="V4970" s="928"/>
      <c r="W4970" s="780"/>
      <c r="X4970" s="782">
        <v>4966</v>
      </c>
      <c r="Y4970" s="782" t="s">
        <v>2248</v>
      </c>
      <c r="Z4970" s="782" t="s">
        <v>3861</v>
      </c>
      <c r="AA4970" s="781">
        <f>$S$1*P!AA4970</f>
        <v>1.4977822580645164E-3</v>
      </c>
      <c r="AB4970" s="780"/>
      <c r="AC4970" s="780"/>
      <c r="AD4970" s="780"/>
      <c r="AE4970" s="780"/>
      <c r="AF4970" s="780"/>
    </row>
    <row r="4971" spans="19:32" x14ac:dyDescent="0.35">
      <c r="S4971" s="780"/>
      <c r="T4971" s="928"/>
      <c r="U4971" s="928"/>
      <c r="V4971" s="928"/>
      <c r="W4971" s="780"/>
      <c r="X4971" s="782">
        <v>4967</v>
      </c>
      <c r="Y4971" s="782" t="s">
        <v>2248</v>
      </c>
      <c r="Z4971" s="782" t="s">
        <v>3998</v>
      </c>
      <c r="AA4971" s="781">
        <f>$S$1*P!AA4971</f>
        <v>2.1078629032258066E-2</v>
      </c>
      <c r="AB4971" s="780"/>
      <c r="AC4971" s="780"/>
      <c r="AD4971" s="780"/>
      <c r="AE4971" s="780"/>
      <c r="AF4971" s="780"/>
    </row>
    <row r="4972" spans="19:32" x14ac:dyDescent="0.35">
      <c r="S4972" s="780"/>
      <c r="T4972" s="928"/>
      <c r="U4972" s="928"/>
      <c r="V4972" s="928"/>
      <c r="W4972" s="780"/>
      <c r="X4972" s="782">
        <v>4968</v>
      </c>
      <c r="Y4972" s="782" t="s">
        <v>2248</v>
      </c>
      <c r="Z4972" s="782" t="s">
        <v>3859</v>
      </c>
      <c r="AA4972" s="781">
        <f>$S$1*P!AA4972</f>
        <v>1.9262096774193551E-3</v>
      </c>
      <c r="AB4972" s="780"/>
      <c r="AC4972" s="780"/>
      <c r="AD4972" s="780"/>
      <c r="AE4972" s="780"/>
      <c r="AF4972" s="780"/>
    </row>
    <row r="4973" spans="19:32" x14ac:dyDescent="0.35">
      <c r="S4973" s="780"/>
      <c r="T4973" s="928"/>
      <c r="U4973" s="928"/>
      <c r="V4973" s="928"/>
      <c r="W4973" s="780"/>
      <c r="X4973" s="782">
        <v>4969</v>
      </c>
      <c r="Y4973" s="782" t="s">
        <v>2248</v>
      </c>
      <c r="Z4973" s="782" t="s">
        <v>3997</v>
      </c>
      <c r="AA4973" s="781">
        <f>$S$1*P!AA4973</f>
        <v>4.8669354838709683E-2</v>
      </c>
      <c r="AB4973" s="780"/>
      <c r="AC4973" s="780"/>
      <c r="AD4973" s="780"/>
      <c r="AE4973" s="780"/>
      <c r="AF4973" s="780"/>
    </row>
    <row r="4974" spans="19:32" x14ac:dyDescent="0.35">
      <c r="S4974" s="780"/>
      <c r="T4974" s="928"/>
      <c r="U4974" s="928"/>
      <c r="V4974" s="928"/>
      <c r="W4974" s="780"/>
      <c r="X4974" s="881">
        <v>4970</v>
      </c>
      <c r="Y4974" s="881" t="s">
        <v>2248</v>
      </c>
      <c r="Z4974" s="881" t="s">
        <v>2410</v>
      </c>
      <c r="AA4974" s="890">
        <f>$S$1*P!AA4974</f>
        <v>0</v>
      </c>
      <c r="AB4974" s="780"/>
      <c r="AC4974" s="780"/>
      <c r="AD4974" s="780"/>
      <c r="AE4974" s="780"/>
      <c r="AF4974" s="780"/>
    </row>
    <row r="4975" spans="19:32" x14ac:dyDescent="0.35">
      <c r="S4975" s="780"/>
      <c r="T4975" s="928"/>
      <c r="U4975" s="928"/>
      <c r="V4975" s="928"/>
      <c r="W4975" s="780"/>
      <c r="X4975" s="782">
        <v>4971</v>
      </c>
      <c r="Y4975" s="782" t="s">
        <v>2248</v>
      </c>
      <c r="Z4975" s="782" t="s">
        <v>3858</v>
      </c>
      <c r="AA4975" s="781">
        <f>$S$1*P!AA4975</f>
        <v>1.3538306451612904E-3</v>
      </c>
      <c r="AB4975" s="780"/>
      <c r="AC4975" s="780"/>
      <c r="AD4975" s="780"/>
      <c r="AE4975" s="780"/>
      <c r="AF4975" s="780"/>
    </row>
    <row r="4976" spans="19:32" x14ac:dyDescent="0.35">
      <c r="S4976" s="780"/>
      <c r="T4976" s="928"/>
      <c r="U4976" s="928"/>
      <c r="V4976" s="928"/>
      <c r="W4976" s="780"/>
      <c r="X4976" s="782">
        <v>4972</v>
      </c>
      <c r="Y4976" s="782" t="s">
        <v>2248</v>
      </c>
      <c r="Z4976" s="782" t="s">
        <v>2410</v>
      </c>
      <c r="AA4976" s="781">
        <f>$S$1*P!AA4976</f>
        <v>1.8199596774193552E-5</v>
      </c>
      <c r="AB4976" s="780"/>
      <c r="AC4976" s="780"/>
      <c r="AD4976" s="780"/>
      <c r="AE4976" s="780"/>
      <c r="AF4976" s="780"/>
    </row>
    <row r="4977" spans="19:32" x14ac:dyDescent="0.35">
      <c r="S4977" s="780"/>
      <c r="T4977" s="928"/>
      <c r="U4977" s="928"/>
      <c r="V4977" s="928"/>
      <c r="W4977" s="780"/>
      <c r="X4977" s="782">
        <v>4973</v>
      </c>
      <c r="Y4977" s="782" t="s">
        <v>2248</v>
      </c>
      <c r="Z4977" s="782" t="s">
        <v>3857</v>
      </c>
      <c r="AA4977" s="781">
        <f>$S$1*P!AA4977</f>
        <v>3.0504032258064518E-3</v>
      </c>
      <c r="AB4977" s="780"/>
      <c r="AC4977" s="780"/>
      <c r="AD4977" s="780"/>
      <c r="AE4977" s="780"/>
      <c r="AF4977" s="780"/>
    </row>
    <row r="4978" spans="19:32" x14ac:dyDescent="0.35">
      <c r="S4978" s="780"/>
      <c r="T4978" s="928"/>
      <c r="U4978" s="928"/>
      <c r="V4978" s="928"/>
      <c r="W4978" s="780"/>
      <c r="X4978" s="881">
        <v>4974</v>
      </c>
      <c r="Y4978" s="881" t="s">
        <v>2248</v>
      </c>
      <c r="Z4978" s="881" t="s">
        <v>2409</v>
      </c>
      <c r="AA4978" s="890">
        <f>$S$1*P!AA4978</f>
        <v>0</v>
      </c>
      <c r="AB4978" s="780"/>
      <c r="AC4978" s="780"/>
      <c r="AD4978" s="780"/>
      <c r="AE4978" s="780"/>
      <c r="AF4978" s="780"/>
    </row>
    <row r="4979" spans="19:32" x14ac:dyDescent="0.35">
      <c r="S4979" s="780"/>
      <c r="T4979" s="928"/>
      <c r="U4979" s="928"/>
      <c r="V4979" s="928"/>
      <c r="W4979" s="780"/>
      <c r="X4979" s="782">
        <v>4975</v>
      </c>
      <c r="Y4979" s="782" t="s">
        <v>2248</v>
      </c>
      <c r="Z4979" s="782" t="s">
        <v>3996</v>
      </c>
      <c r="AA4979" s="781">
        <f>$S$1*P!AA4979</f>
        <v>0.11824596774193549</v>
      </c>
      <c r="AB4979" s="780"/>
      <c r="AC4979" s="780"/>
      <c r="AD4979" s="780"/>
      <c r="AE4979" s="780"/>
      <c r="AF4979" s="780"/>
    </row>
    <row r="4980" spans="19:32" x14ac:dyDescent="0.35">
      <c r="S4980" s="780"/>
      <c r="T4980" s="928"/>
      <c r="U4980" s="928"/>
      <c r="V4980" s="928"/>
      <c r="W4980" s="780"/>
      <c r="X4980" s="782">
        <v>4976</v>
      </c>
      <c r="Y4980" s="782" t="s">
        <v>2248</v>
      </c>
      <c r="Z4980" s="782" t="s">
        <v>3995</v>
      </c>
      <c r="AA4980" s="781">
        <f>$S$1*P!AA4980</f>
        <v>1.8987903225806454E-5</v>
      </c>
      <c r="AB4980" s="780"/>
      <c r="AC4980" s="780"/>
      <c r="AD4980" s="780"/>
      <c r="AE4980" s="780"/>
      <c r="AF4980" s="780"/>
    </row>
    <row r="4981" spans="19:32" x14ac:dyDescent="0.35">
      <c r="S4981" s="780"/>
      <c r="T4981" s="928"/>
      <c r="U4981" s="928"/>
      <c r="V4981" s="928"/>
      <c r="W4981" s="780"/>
      <c r="X4981" s="782">
        <v>4977</v>
      </c>
      <c r="Y4981" s="782" t="s">
        <v>2248</v>
      </c>
      <c r="Z4981" s="782" t="s">
        <v>3856</v>
      </c>
      <c r="AA4981" s="781">
        <f>$S$1*P!AA4981</f>
        <v>1.1276209677419356E-2</v>
      </c>
      <c r="AB4981" s="780"/>
      <c r="AC4981" s="780"/>
      <c r="AD4981" s="780"/>
      <c r="AE4981" s="780"/>
      <c r="AF4981" s="780"/>
    </row>
    <row r="4982" spans="19:32" x14ac:dyDescent="0.35">
      <c r="S4982" s="780"/>
      <c r="T4982" s="928"/>
      <c r="U4982" s="928"/>
      <c r="V4982" s="928"/>
      <c r="W4982" s="780"/>
      <c r="X4982" s="782">
        <v>4978</v>
      </c>
      <c r="Y4982" s="782" t="s">
        <v>2248</v>
      </c>
      <c r="Z4982" s="782" t="s">
        <v>3994</v>
      </c>
      <c r="AA4982" s="781">
        <f>$S$1*P!AA4982</f>
        <v>1.0727822580645161E-3</v>
      </c>
      <c r="AB4982" s="780"/>
      <c r="AC4982" s="780"/>
      <c r="AD4982" s="780"/>
      <c r="AE4982" s="780"/>
      <c r="AF4982" s="780"/>
    </row>
    <row r="4983" spans="19:32" x14ac:dyDescent="0.35">
      <c r="S4983" s="780"/>
      <c r="T4983" s="928"/>
      <c r="U4983" s="928"/>
      <c r="V4983" s="928"/>
      <c r="W4983" s="780"/>
      <c r="X4983" s="782">
        <v>4979</v>
      </c>
      <c r="Y4983" s="782" t="s">
        <v>2248</v>
      </c>
      <c r="Z4983" s="782" t="s">
        <v>3855</v>
      </c>
      <c r="AA4983" s="781">
        <f>$S$1*P!AA4983</f>
        <v>4.0443548387096774E-2</v>
      </c>
      <c r="AB4983" s="780"/>
      <c r="AC4983" s="780"/>
      <c r="AD4983" s="780"/>
      <c r="AE4983" s="780"/>
      <c r="AF4983" s="780"/>
    </row>
    <row r="4984" spans="19:32" x14ac:dyDescent="0.35">
      <c r="S4984" s="780"/>
      <c r="T4984" s="928"/>
      <c r="U4984" s="928"/>
      <c r="V4984" s="928"/>
      <c r="W4984" s="780"/>
      <c r="X4984" s="782">
        <v>4980</v>
      </c>
      <c r="Y4984" s="782" t="s">
        <v>2248</v>
      </c>
      <c r="Z4984" s="782" t="s">
        <v>3993</v>
      </c>
      <c r="AA4984" s="781">
        <f>$S$1*P!AA4984</f>
        <v>3.2697580645161292E-10</v>
      </c>
      <c r="AB4984" s="780"/>
      <c r="AC4984" s="780"/>
      <c r="AD4984" s="780"/>
      <c r="AE4984" s="780"/>
      <c r="AF4984" s="780"/>
    </row>
    <row r="4985" spans="19:32" x14ac:dyDescent="0.35">
      <c r="S4985" s="780"/>
      <c r="T4985" s="928"/>
      <c r="U4985" s="928"/>
      <c r="V4985" s="928"/>
      <c r="W4985" s="780"/>
      <c r="X4985" s="782">
        <v>4981</v>
      </c>
      <c r="Y4985" s="782" t="s">
        <v>2248</v>
      </c>
      <c r="Z4985" s="782" t="s">
        <v>3992</v>
      </c>
      <c r="AA4985" s="781">
        <f>$S$1*P!AA4985</f>
        <v>1.6383064516129035E-2</v>
      </c>
      <c r="AB4985" s="780"/>
      <c r="AC4985" s="780"/>
      <c r="AD4985" s="780"/>
      <c r="AE4985" s="780"/>
      <c r="AF4985" s="780"/>
    </row>
    <row r="4986" spans="19:32" x14ac:dyDescent="0.35">
      <c r="S4986" s="780"/>
      <c r="T4986" s="928"/>
      <c r="U4986" s="928"/>
      <c r="V4986" s="928"/>
      <c r="W4986" s="780"/>
      <c r="X4986" s="782">
        <v>4982</v>
      </c>
      <c r="Y4986" s="782" t="s">
        <v>2248</v>
      </c>
      <c r="Z4986" s="782" t="s">
        <v>3853</v>
      </c>
      <c r="AA4986" s="781">
        <f>$S$1*P!AA4986</f>
        <v>1.6965725806451615E-2</v>
      </c>
      <c r="AB4986" s="780"/>
      <c r="AC4986" s="780"/>
      <c r="AD4986" s="780"/>
      <c r="AE4986" s="780"/>
      <c r="AF4986" s="780"/>
    </row>
    <row r="4987" spans="19:32" x14ac:dyDescent="0.35">
      <c r="S4987" s="780"/>
      <c r="T4987" s="928"/>
      <c r="U4987" s="928"/>
      <c r="V4987" s="928"/>
      <c r="W4987" s="780"/>
      <c r="X4987" s="782">
        <v>4983</v>
      </c>
      <c r="Y4987" s="782" t="s">
        <v>2248</v>
      </c>
      <c r="Z4987" s="782" t="s">
        <v>3991</v>
      </c>
      <c r="AA4987" s="781">
        <f>$S$1*P!AA4987</f>
        <v>3.770161290322581</v>
      </c>
      <c r="AB4987" s="780"/>
      <c r="AC4987" s="780"/>
      <c r="AD4987" s="780"/>
      <c r="AE4987" s="780"/>
      <c r="AF4987" s="780"/>
    </row>
    <row r="4988" spans="19:32" x14ac:dyDescent="0.35">
      <c r="S4988" s="780"/>
      <c r="T4988" s="928"/>
      <c r="U4988" s="928"/>
      <c r="V4988" s="928"/>
      <c r="W4988" s="780"/>
      <c r="X4988" s="782">
        <v>4984</v>
      </c>
      <c r="Y4988" s="782" t="s">
        <v>2248</v>
      </c>
      <c r="Z4988" s="782" t="s">
        <v>3990</v>
      </c>
      <c r="AA4988" s="781">
        <f>$S$1*P!AA4988</f>
        <v>4.1129032258064517E-2</v>
      </c>
      <c r="AB4988" s="780"/>
      <c r="AC4988" s="780"/>
      <c r="AD4988" s="780"/>
      <c r="AE4988" s="780"/>
      <c r="AF4988" s="780"/>
    </row>
    <row r="4989" spans="19:32" x14ac:dyDescent="0.35">
      <c r="S4989" s="780"/>
      <c r="T4989" s="928"/>
      <c r="U4989" s="928"/>
      <c r="V4989" s="928"/>
      <c r="W4989" s="780"/>
      <c r="X4989" s="782">
        <v>4985</v>
      </c>
      <c r="Y4989" s="782" t="s">
        <v>2248</v>
      </c>
      <c r="Z4989" s="782" t="s">
        <v>3852</v>
      </c>
      <c r="AA4989" s="781">
        <f>$S$1*P!AA4989</f>
        <v>2.2243951612903228E-4</v>
      </c>
      <c r="AB4989" s="780"/>
      <c r="AC4989" s="780"/>
      <c r="AD4989" s="780"/>
      <c r="AE4989" s="780"/>
      <c r="AF4989" s="780"/>
    </row>
    <row r="4990" spans="19:32" x14ac:dyDescent="0.35">
      <c r="S4990" s="780"/>
      <c r="T4990" s="928"/>
      <c r="U4990" s="928"/>
      <c r="V4990" s="928"/>
      <c r="W4990" s="780"/>
      <c r="X4990" s="782">
        <v>4986</v>
      </c>
      <c r="Y4990" s="782" t="s">
        <v>2248</v>
      </c>
      <c r="Z4990" s="782" t="s">
        <v>3115</v>
      </c>
      <c r="AA4990" s="781">
        <f>$S$1*P!AA4990</f>
        <v>0.15903225806451615</v>
      </c>
      <c r="AB4990" s="780"/>
      <c r="AC4990" s="780"/>
      <c r="AD4990" s="780"/>
      <c r="AE4990" s="780"/>
      <c r="AF4990" s="780"/>
    </row>
    <row r="4991" spans="19:32" x14ac:dyDescent="0.35">
      <c r="S4991" s="780"/>
      <c r="T4991" s="928"/>
      <c r="U4991" s="928"/>
      <c r="V4991" s="928"/>
      <c r="W4991" s="780"/>
      <c r="X4991" s="782">
        <v>4987</v>
      </c>
      <c r="Y4991" s="782" t="s">
        <v>2248</v>
      </c>
      <c r="Z4991" s="782" t="s">
        <v>3989</v>
      </c>
      <c r="AA4991" s="781">
        <f>$S$1*P!AA4991</f>
        <v>3.4274193548387101E-4</v>
      </c>
      <c r="AB4991" s="780"/>
      <c r="AC4991" s="780"/>
      <c r="AD4991" s="780"/>
      <c r="AE4991" s="780"/>
      <c r="AF4991" s="780"/>
    </row>
    <row r="4992" spans="19:32" x14ac:dyDescent="0.35">
      <c r="S4992" s="780"/>
      <c r="T4992" s="928"/>
      <c r="U4992" s="928"/>
      <c r="V4992" s="928"/>
      <c r="W4992" s="780"/>
      <c r="X4992" s="782">
        <v>4988</v>
      </c>
      <c r="Y4992" s="782" t="s">
        <v>2248</v>
      </c>
      <c r="Z4992" s="782" t="s">
        <v>3850</v>
      </c>
      <c r="AA4992" s="781">
        <f>$S$1*P!AA4992</f>
        <v>0.17582661290322582</v>
      </c>
      <c r="AB4992" s="780"/>
      <c r="AC4992" s="780"/>
      <c r="AD4992" s="780"/>
      <c r="AE4992" s="780"/>
      <c r="AF4992" s="780"/>
    </row>
    <row r="4993" spans="19:32" x14ac:dyDescent="0.35">
      <c r="S4993" s="780"/>
      <c r="T4993" s="928"/>
      <c r="U4993" s="928"/>
      <c r="V4993" s="928"/>
      <c r="W4993" s="780"/>
      <c r="X4993" s="881">
        <v>4989</v>
      </c>
      <c r="Y4993" s="881" t="s">
        <v>2248</v>
      </c>
      <c r="Z4993" s="881" t="s">
        <v>2407</v>
      </c>
      <c r="AA4993" s="890">
        <f>$S$1*P!AA4993</f>
        <v>7.2772000000000006</v>
      </c>
      <c r="AB4993" s="780"/>
      <c r="AC4993" s="780"/>
      <c r="AD4993" s="780"/>
      <c r="AE4993" s="780"/>
      <c r="AF4993" s="780"/>
    </row>
    <row r="4994" spans="19:32" x14ac:dyDescent="0.35">
      <c r="S4994" s="780"/>
      <c r="T4994" s="928"/>
      <c r="U4994" s="928"/>
      <c r="V4994" s="928"/>
      <c r="W4994" s="780"/>
      <c r="X4994" s="782">
        <v>4990</v>
      </c>
      <c r="Y4994" s="782" t="s">
        <v>2248</v>
      </c>
      <c r="Z4994" s="782" t="s">
        <v>3112</v>
      </c>
      <c r="AA4994" s="781">
        <f>$S$1*P!AA4994</f>
        <v>7.7802419354838725E-6</v>
      </c>
      <c r="AB4994" s="780"/>
      <c r="AC4994" s="780"/>
      <c r="AD4994" s="780"/>
      <c r="AE4994" s="780"/>
      <c r="AF4994" s="780"/>
    </row>
    <row r="4995" spans="19:32" x14ac:dyDescent="0.35">
      <c r="S4995" s="780"/>
      <c r="T4995" s="928"/>
      <c r="U4995" s="928"/>
      <c r="V4995" s="928"/>
      <c r="W4995" s="780"/>
      <c r="X4995" s="782">
        <v>4991</v>
      </c>
      <c r="Y4995" s="782" t="s">
        <v>2248</v>
      </c>
      <c r="Z4995" s="782" t="s">
        <v>3849</v>
      </c>
      <c r="AA4995" s="781">
        <f>$S$1*P!AA4995</f>
        <v>2.0427419354838713E-2</v>
      </c>
      <c r="AB4995" s="780"/>
      <c r="AC4995" s="780"/>
      <c r="AD4995" s="780"/>
      <c r="AE4995" s="780"/>
      <c r="AF4995" s="780"/>
    </row>
    <row r="4996" spans="19:32" x14ac:dyDescent="0.35">
      <c r="S4996" s="780"/>
      <c r="T4996" s="928"/>
      <c r="U4996" s="928"/>
      <c r="V4996" s="928"/>
      <c r="W4996" s="780"/>
      <c r="X4996" s="881">
        <v>4992</v>
      </c>
      <c r="Y4996" s="881" t="s">
        <v>2248</v>
      </c>
      <c r="Z4996" s="881" t="s">
        <v>2406</v>
      </c>
      <c r="AA4996" s="890">
        <f>$S$1*P!AA4996</f>
        <v>0</v>
      </c>
      <c r="AB4996" s="780"/>
      <c r="AC4996" s="780"/>
      <c r="AD4996" s="780"/>
      <c r="AE4996" s="780"/>
      <c r="AF4996" s="780"/>
    </row>
    <row r="4997" spans="19:32" x14ac:dyDescent="0.35">
      <c r="S4997" s="780"/>
      <c r="T4997" s="928"/>
      <c r="U4997" s="928"/>
      <c r="V4997" s="928"/>
      <c r="W4997" s="780"/>
      <c r="X4997" s="782">
        <v>4993</v>
      </c>
      <c r="Y4997" s="782" t="s">
        <v>2248</v>
      </c>
      <c r="Z4997" s="782" t="s">
        <v>3988</v>
      </c>
      <c r="AA4997" s="781">
        <f>$S$1*P!AA4997</f>
        <v>6.9919354838709676E-6</v>
      </c>
      <c r="AB4997" s="780"/>
      <c r="AC4997" s="780"/>
      <c r="AD4997" s="780"/>
      <c r="AE4997" s="780"/>
      <c r="AF4997" s="780"/>
    </row>
    <row r="4998" spans="19:32" x14ac:dyDescent="0.35">
      <c r="S4998" s="780"/>
      <c r="T4998" s="928"/>
      <c r="U4998" s="928"/>
      <c r="V4998" s="928"/>
      <c r="W4998" s="780"/>
      <c r="X4998" s="782">
        <v>4994</v>
      </c>
      <c r="Y4998" s="782" t="s">
        <v>2248</v>
      </c>
      <c r="Z4998" s="782" t="s">
        <v>3846</v>
      </c>
      <c r="AA4998" s="781">
        <f>$S$1*P!AA4998</f>
        <v>5.2439516129032266E-4</v>
      </c>
      <c r="AB4998" s="780"/>
      <c r="AC4998" s="780"/>
      <c r="AD4998" s="780"/>
      <c r="AE4998" s="780"/>
      <c r="AF4998" s="780"/>
    </row>
    <row r="4999" spans="19:32" x14ac:dyDescent="0.35">
      <c r="S4999" s="780"/>
      <c r="T4999" s="928"/>
      <c r="U4999" s="928"/>
      <c r="V4999" s="928"/>
      <c r="W4999" s="780"/>
      <c r="X4999" s="782">
        <v>4995</v>
      </c>
      <c r="Y4999" s="782" t="s">
        <v>2248</v>
      </c>
      <c r="Z4999" s="782" t="s">
        <v>3987</v>
      </c>
      <c r="AA4999" s="781">
        <f>$S$1*P!AA4999</f>
        <v>0.21215725806451616</v>
      </c>
      <c r="AB4999" s="780"/>
      <c r="AC4999" s="780"/>
      <c r="AD4999" s="780"/>
      <c r="AE4999" s="780"/>
      <c r="AF4999" s="780"/>
    </row>
    <row r="5000" spans="19:32" x14ac:dyDescent="0.35">
      <c r="S5000" s="780"/>
      <c r="T5000" s="928"/>
      <c r="U5000" s="928"/>
      <c r="V5000" s="928"/>
      <c r="W5000" s="780"/>
      <c r="X5000" s="782">
        <v>4996</v>
      </c>
      <c r="Y5000" s="782" t="s">
        <v>2248</v>
      </c>
      <c r="Z5000" s="782" t="s">
        <v>3986</v>
      </c>
      <c r="AA5000" s="781">
        <f>$S$1*P!AA5000</f>
        <v>2.6493951612903226</v>
      </c>
      <c r="AB5000" s="780"/>
      <c r="AC5000" s="780"/>
      <c r="AD5000" s="780"/>
      <c r="AE5000" s="780"/>
      <c r="AF5000" s="780"/>
    </row>
    <row r="5001" spans="19:32" x14ac:dyDescent="0.35">
      <c r="S5001" s="780"/>
      <c r="T5001" s="928"/>
      <c r="U5001" s="928"/>
      <c r="V5001" s="928"/>
      <c r="W5001" s="780"/>
      <c r="X5001" s="782">
        <v>4997</v>
      </c>
      <c r="Y5001" s="782" t="s">
        <v>2248</v>
      </c>
      <c r="Z5001" s="782" t="s">
        <v>3844</v>
      </c>
      <c r="AA5001" s="781">
        <f>$S$1*P!AA5001</f>
        <v>1.9570564516129034E-4</v>
      </c>
      <c r="AB5001" s="780"/>
      <c r="AC5001" s="780"/>
      <c r="AD5001" s="780"/>
      <c r="AE5001" s="780"/>
      <c r="AF5001" s="780"/>
    </row>
    <row r="5002" spans="19:32" x14ac:dyDescent="0.35">
      <c r="S5002" s="780"/>
      <c r="T5002" s="928"/>
      <c r="U5002" s="928"/>
      <c r="V5002" s="928"/>
      <c r="W5002" s="780"/>
      <c r="X5002" s="782">
        <v>4998</v>
      </c>
      <c r="Y5002" s="782" t="s">
        <v>2248</v>
      </c>
      <c r="Z5002" s="782" t="s">
        <v>3985</v>
      </c>
      <c r="AA5002" s="781">
        <f>$S$1*P!AA5002</f>
        <v>5.8951612903225814E-3</v>
      </c>
      <c r="AB5002" s="780"/>
      <c r="AC5002" s="780"/>
      <c r="AD5002" s="780"/>
      <c r="AE5002" s="780"/>
      <c r="AF5002" s="780"/>
    </row>
    <row r="5003" spans="19:32" x14ac:dyDescent="0.35">
      <c r="S5003" s="780"/>
      <c r="T5003" s="928"/>
      <c r="U5003" s="928"/>
      <c r="V5003" s="928"/>
      <c r="W5003" s="780"/>
      <c r="X5003" s="782">
        <v>4999</v>
      </c>
      <c r="Y5003" s="782" t="s">
        <v>2248</v>
      </c>
      <c r="Z5003" s="782" t="s">
        <v>3842</v>
      </c>
      <c r="AA5003" s="781">
        <f>$S$1*P!AA5003</f>
        <v>1.4018145161290323E-5</v>
      </c>
      <c r="AB5003" s="780"/>
      <c r="AC5003" s="780"/>
      <c r="AD5003" s="780"/>
      <c r="AE5003" s="780"/>
      <c r="AF5003" s="780"/>
    </row>
    <row r="5004" spans="19:32" x14ac:dyDescent="0.35">
      <c r="S5004" s="780"/>
      <c r="T5004" s="928"/>
      <c r="U5004" s="928"/>
      <c r="V5004" s="928"/>
      <c r="W5004" s="780"/>
      <c r="X5004" s="782">
        <v>5000</v>
      </c>
      <c r="Y5004" s="782" t="s">
        <v>2248</v>
      </c>
      <c r="Z5004" s="782" t="s">
        <v>3984</v>
      </c>
      <c r="AA5004" s="781">
        <f>$S$1*P!AA5004</f>
        <v>3.32116935483871E-2</v>
      </c>
      <c r="AB5004" s="780"/>
      <c r="AC5004" s="780"/>
      <c r="AD5004" s="780"/>
      <c r="AE5004" s="780"/>
      <c r="AF5004" s="780"/>
    </row>
    <row r="5005" spans="19:32" x14ac:dyDescent="0.35">
      <c r="S5005" s="780"/>
      <c r="T5005" s="928"/>
      <c r="U5005" s="928"/>
      <c r="V5005" s="928"/>
      <c r="W5005" s="780"/>
      <c r="X5005" s="881">
        <v>5001</v>
      </c>
      <c r="Y5005" s="881" t="s">
        <v>2248</v>
      </c>
      <c r="Z5005" s="881" t="s">
        <v>2404</v>
      </c>
      <c r="AA5005" s="890">
        <f>$S$1*P!AA5005</f>
        <v>7.0656E-3</v>
      </c>
      <c r="AB5005" s="780"/>
      <c r="AC5005" s="780"/>
      <c r="AD5005" s="780"/>
      <c r="AE5005" s="780"/>
      <c r="AF5005" s="780"/>
    </row>
    <row r="5006" spans="19:32" x14ac:dyDescent="0.35">
      <c r="S5006" s="780"/>
      <c r="T5006" s="928"/>
      <c r="U5006" s="928"/>
      <c r="V5006" s="928"/>
      <c r="W5006" s="780"/>
      <c r="X5006" s="782">
        <v>5002</v>
      </c>
      <c r="Y5006" s="782" t="s">
        <v>2248</v>
      </c>
      <c r="Z5006" s="782" t="s">
        <v>2404</v>
      </c>
      <c r="AA5006" s="781">
        <f>$S$1*P!AA5006</f>
        <v>2.8824596774193549E-5</v>
      </c>
      <c r="AB5006" s="780"/>
      <c r="AC5006" s="780"/>
      <c r="AD5006" s="780"/>
      <c r="AE5006" s="780"/>
      <c r="AF5006" s="780"/>
    </row>
    <row r="5007" spans="19:32" x14ac:dyDescent="0.35">
      <c r="S5007" s="780"/>
      <c r="T5007" s="928"/>
      <c r="U5007" s="928"/>
      <c r="V5007" s="928"/>
      <c r="W5007" s="780"/>
      <c r="X5007" s="782">
        <v>5003</v>
      </c>
      <c r="Y5007" s="782" t="s">
        <v>2248</v>
      </c>
      <c r="Z5007" s="782" t="s">
        <v>2343</v>
      </c>
      <c r="AA5007" s="781">
        <f>$S$1*P!AA5007</f>
        <v>8.4657258064516142E-3</v>
      </c>
      <c r="AB5007" s="780"/>
      <c r="AC5007" s="780"/>
      <c r="AD5007" s="780"/>
      <c r="AE5007" s="780"/>
      <c r="AF5007" s="780"/>
    </row>
    <row r="5008" spans="19:32" x14ac:dyDescent="0.35">
      <c r="S5008" s="780"/>
      <c r="T5008" s="928"/>
      <c r="U5008" s="928"/>
      <c r="V5008" s="928"/>
      <c r="W5008" s="780"/>
      <c r="X5008" s="881">
        <v>5004</v>
      </c>
      <c r="Y5008" s="881" t="s">
        <v>2248</v>
      </c>
      <c r="Z5008" s="881" t="s">
        <v>2403</v>
      </c>
      <c r="AA5008" s="890">
        <f>$S$1*P!AA5008</f>
        <v>0</v>
      </c>
      <c r="AB5008" s="780"/>
      <c r="AC5008" s="780"/>
      <c r="AD5008" s="780"/>
      <c r="AE5008" s="780"/>
      <c r="AF5008" s="780"/>
    </row>
    <row r="5009" spans="19:32" x14ac:dyDescent="0.35">
      <c r="S5009" s="780"/>
      <c r="T5009" s="928"/>
      <c r="U5009" s="928"/>
      <c r="V5009" s="928"/>
      <c r="W5009" s="780"/>
      <c r="X5009" s="782">
        <v>5005</v>
      </c>
      <c r="Y5009" s="782" t="s">
        <v>2248</v>
      </c>
      <c r="Z5009" s="782" t="s">
        <v>2342</v>
      </c>
      <c r="AA5009" s="781">
        <f>$S$1*P!AA5009</f>
        <v>1.6280241935483872E-6</v>
      </c>
      <c r="AB5009" s="780"/>
      <c r="AC5009" s="780"/>
      <c r="AD5009" s="780"/>
      <c r="AE5009" s="780"/>
      <c r="AF5009" s="780"/>
    </row>
    <row r="5010" spans="19:32" x14ac:dyDescent="0.35">
      <c r="S5010" s="780"/>
      <c r="T5010" s="928"/>
      <c r="U5010" s="928"/>
      <c r="V5010" s="928"/>
      <c r="W5010" s="780"/>
      <c r="X5010" s="782">
        <v>5006</v>
      </c>
      <c r="Y5010" s="782" t="s">
        <v>2248</v>
      </c>
      <c r="Z5010" s="782" t="s">
        <v>3983</v>
      </c>
      <c r="AA5010" s="781">
        <f>$S$1*P!AA5010</f>
        <v>1.1207661290322581E-4</v>
      </c>
      <c r="AB5010" s="780"/>
      <c r="AC5010" s="780"/>
      <c r="AD5010" s="780"/>
      <c r="AE5010" s="780"/>
      <c r="AF5010" s="780"/>
    </row>
    <row r="5011" spans="19:32" x14ac:dyDescent="0.35">
      <c r="S5011" s="780"/>
      <c r="T5011" s="928"/>
      <c r="U5011" s="928"/>
      <c r="V5011" s="928"/>
      <c r="W5011" s="780"/>
      <c r="X5011" s="881">
        <v>5007</v>
      </c>
      <c r="Y5011" s="881" t="s">
        <v>2248</v>
      </c>
      <c r="Z5011" s="881" t="s">
        <v>2401</v>
      </c>
      <c r="AA5011" s="890">
        <f>$S$1*P!AA5011</f>
        <v>0</v>
      </c>
      <c r="AB5011" s="780"/>
      <c r="AC5011" s="780"/>
      <c r="AD5011" s="780"/>
      <c r="AE5011" s="780"/>
      <c r="AF5011" s="780"/>
    </row>
    <row r="5012" spans="19:32" x14ac:dyDescent="0.35">
      <c r="S5012" s="780"/>
      <c r="T5012" s="928"/>
      <c r="U5012" s="928"/>
      <c r="V5012" s="928"/>
      <c r="W5012" s="780"/>
      <c r="X5012" s="782">
        <v>5008</v>
      </c>
      <c r="Y5012" s="782" t="s">
        <v>2248</v>
      </c>
      <c r="Z5012" s="782" t="s">
        <v>2340</v>
      </c>
      <c r="AA5012" s="781">
        <f>$S$1*P!AA5012</f>
        <v>1.9296370967741936E-3</v>
      </c>
      <c r="AB5012" s="780"/>
      <c r="AC5012" s="780"/>
      <c r="AD5012" s="780"/>
      <c r="AE5012" s="780"/>
      <c r="AF5012" s="780"/>
    </row>
    <row r="5013" spans="19:32" x14ac:dyDescent="0.35">
      <c r="S5013" s="780"/>
      <c r="T5013" s="928"/>
      <c r="U5013" s="928"/>
      <c r="V5013" s="928"/>
      <c r="W5013" s="780"/>
      <c r="X5013" s="881">
        <v>5009</v>
      </c>
      <c r="Y5013" s="881" t="s">
        <v>2248</v>
      </c>
      <c r="Z5013" s="881" t="s">
        <v>2400</v>
      </c>
      <c r="AA5013" s="890">
        <f>$S$1*P!AA5013</f>
        <v>0</v>
      </c>
      <c r="AB5013" s="780"/>
      <c r="AC5013" s="780"/>
      <c r="AD5013" s="780"/>
      <c r="AE5013" s="780"/>
      <c r="AF5013" s="780"/>
    </row>
    <row r="5014" spans="19:32" x14ac:dyDescent="0.35">
      <c r="S5014" s="780"/>
      <c r="T5014" s="928"/>
      <c r="U5014" s="928"/>
      <c r="V5014" s="928"/>
      <c r="W5014" s="780"/>
      <c r="X5014" s="782">
        <v>5010</v>
      </c>
      <c r="Y5014" s="782" t="s">
        <v>2248</v>
      </c>
      <c r="Z5014" s="782" t="s">
        <v>3982</v>
      </c>
      <c r="AA5014" s="781">
        <f>$S$1*P!AA5014</f>
        <v>8.6028225806451616E-10</v>
      </c>
      <c r="AB5014" s="780"/>
      <c r="AC5014" s="780"/>
      <c r="AD5014" s="780"/>
      <c r="AE5014" s="780"/>
      <c r="AF5014" s="780"/>
    </row>
    <row r="5015" spans="19:32" x14ac:dyDescent="0.35">
      <c r="S5015" s="780"/>
      <c r="T5015" s="928"/>
      <c r="U5015" s="928"/>
      <c r="V5015" s="928"/>
      <c r="W5015" s="780"/>
      <c r="X5015" s="782">
        <v>5011</v>
      </c>
      <c r="Y5015" s="782" t="s">
        <v>2248</v>
      </c>
      <c r="Z5015" s="782" t="s">
        <v>2337</v>
      </c>
      <c r="AA5015" s="781">
        <f>$S$1*P!AA5015</f>
        <v>1.8953629032258067E-4</v>
      </c>
      <c r="AB5015" s="780"/>
      <c r="AC5015" s="780"/>
      <c r="AD5015" s="780"/>
      <c r="AE5015" s="780"/>
      <c r="AF5015" s="780"/>
    </row>
    <row r="5016" spans="19:32" x14ac:dyDescent="0.35">
      <c r="S5016" s="780"/>
      <c r="T5016" s="928"/>
      <c r="U5016" s="928"/>
      <c r="V5016" s="928"/>
      <c r="W5016" s="780"/>
      <c r="X5016" s="881">
        <v>5012</v>
      </c>
      <c r="Y5016" s="881" t="s">
        <v>2248</v>
      </c>
      <c r="Z5016" s="881" t="s">
        <v>2398</v>
      </c>
      <c r="AA5016" s="890">
        <f>$S$1*P!AA5016</f>
        <v>0</v>
      </c>
      <c r="AB5016" s="780"/>
      <c r="AC5016" s="780"/>
      <c r="AD5016" s="780"/>
      <c r="AE5016" s="780"/>
      <c r="AF5016" s="780"/>
    </row>
    <row r="5017" spans="19:32" x14ac:dyDescent="0.35">
      <c r="S5017" s="780"/>
      <c r="T5017" s="928"/>
      <c r="U5017" s="928"/>
      <c r="V5017" s="928"/>
      <c r="W5017" s="780"/>
      <c r="X5017" s="782">
        <v>5013</v>
      </c>
      <c r="Y5017" s="782" t="s">
        <v>2248</v>
      </c>
      <c r="Z5017" s="782" t="s">
        <v>3981</v>
      </c>
      <c r="AA5017" s="781">
        <f>$S$1*P!AA5017</f>
        <v>0.15766129032258067</v>
      </c>
      <c r="AB5017" s="780"/>
      <c r="AC5017" s="780"/>
      <c r="AD5017" s="780"/>
      <c r="AE5017" s="780"/>
      <c r="AF5017" s="780"/>
    </row>
    <row r="5018" spans="19:32" x14ac:dyDescent="0.35">
      <c r="S5018" s="780"/>
      <c r="T5018" s="928"/>
      <c r="U5018" s="928"/>
      <c r="V5018" s="928"/>
      <c r="W5018" s="780"/>
      <c r="X5018" s="782">
        <v>5014</v>
      </c>
      <c r="Y5018" s="782" t="s">
        <v>2248</v>
      </c>
      <c r="Z5018" s="782" t="s">
        <v>3830</v>
      </c>
      <c r="AA5018" s="781">
        <f>$S$1*P!AA5018</f>
        <v>1.5457661290322583E-3</v>
      </c>
      <c r="AB5018" s="780"/>
      <c r="AC5018" s="780"/>
      <c r="AD5018" s="780"/>
      <c r="AE5018" s="780"/>
      <c r="AF5018" s="780"/>
    </row>
    <row r="5019" spans="19:32" x14ac:dyDescent="0.35">
      <c r="S5019" s="780"/>
      <c r="T5019" s="928"/>
      <c r="U5019" s="928"/>
      <c r="V5019" s="928"/>
      <c r="W5019" s="780"/>
      <c r="X5019" s="782">
        <v>5015</v>
      </c>
      <c r="Y5019" s="782" t="s">
        <v>2248</v>
      </c>
      <c r="Z5019" s="782" t="s">
        <v>3980</v>
      </c>
      <c r="AA5019" s="781">
        <f>$S$1*P!AA5019</f>
        <v>0.11824596774193549</v>
      </c>
      <c r="AB5019" s="780"/>
      <c r="AC5019" s="780"/>
      <c r="AD5019" s="780"/>
      <c r="AE5019" s="780"/>
      <c r="AF5019" s="780"/>
    </row>
    <row r="5020" spans="19:32" x14ac:dyDescent="0.35">
      <c r="S5020" s="780"/>
      <c r="T5020" s="928"/>
      <c r="U5020" s="928"/>
      <c r="V5020" s="928"/>
      <c r="W5020" s="780"/>
      <c r="X5020" s="782">
        <v>5016</v>
      </c>
      <c r="Y5020" s="782" t="s">
        <v>2248</v>
      </c>
      <c r="Z5020" s="782" t="s">
        <v>3979</v>
      </c>
      <c r="AA5020" s="781">
        <f>$S$1*P!AA5020</f>
        <v>2.4026209677419358E-8</v>
      </c>
      <c r="AB5020" s="780"/>
      <c r="AC5020" s="780"/>
      <c r="AD5020" s="780"/>
      <c r="AE5020" s="780"/>
      <c r="AF5020" s="780"/>
    </row>
    <row r="5021" spans="19:32" x14ac:dyDescent="0.35">
      <c r="S5021" s="780"/>
      <c r="T5021" s="928"/>
      <c r="U5021" s="928"/>
      <c r="V5021" s="928"/>
      <c r="W5021" s="780"/>
      <c r="X5021" s="782">
        <v>5017</v>
      </c>
      <c r="Y5021" s="782" t="s">
        <v>2248</v>
      </c>
      <c r="Z5021" s="782" t="s">
        <v>2335</v>
      </c>
      <c r="AA5021" s="781">
        <f>$S$1*P!AA5021</f>
        <v>5.2439516129032265E-5</v>
      </c>
      <c r="AB5021" s="780"/>
      <c r="AC5021" s="780"/>
      <c r="AD5021" s="780"/>
      <c r="AE5021" s="780"/>
      <c r="AF5021" s="780"/>
    </row>
    <row r="5022" spans="19:32" x14ac:dyDescent="0.35">
      <c r="S5022" s="780"/>
      <c r="T5022" s="928"/>
      <c r="U5022" s="928"/>
      <c r="V5022" s="928"/>
      <c r="W5022" s="780"/>
      <c r="X5022" s="881">
        <v>5018</v>
      </c>
      <c r="Y5022" s="881" t="s">
        <v>2248</v>
      </c>
      <c r="Z5022" s="881" t="s">
        <v>2396</v>
      </c>
      <c r="AA5022" s="890">
        <f>$S$1*P!AA5022</f>
        <v>0.12052</v>
      </c>
      <c r="AB5022" s="780"/>
      <c r="AC5022" s="780"/>
      <c r="AD5022" s="780"/>
      <c r="AE5022" s="780"/>
      <c r="AF5022" s="780"/>
    </row>
    <row r="5023" spans="19:32" x14ac:dyDescent="0.35">
      <c r="S5023" s="780"/>
      <c r="T5023" s="928"/>
      <c r="U5023" s="928"/>
      <c r="V5023" s="928"/>
      <c r="W5023" s="780"/>
      <c r="X5023" s="782">
        <v>5019</v>
      </c>
      <c r="Y5023" s="782" t="s">
        <v>2248</v>
      </c>
      <c r="Z5023" s="782" t="s">
        <v>2396</v>
      </c>
      <c r="AA5023" s="781">
        <f>$S$1*P!AA5023</f>
        <v>1.4155241935483872E-2</v>
      </c>
      <c r="AB5023" s="780"/>
      <c r="AC5023" s="780"/>
      <c r="AD5023" s="780"/>
      <c r="AE5023" s="780"/>
      <c r="AF5023" s="780"/>
    </row>
    <row r="5024" spans="19:32" x14ac:dyDescent="0.35">
      <c r="S5024" s="780"/>
      <c r="T5024" s="928"/>
      <c r="U5024" s="928"/>
      <c r="V5024" s="928"/>
      <c r="W5024" s="780"/>
      <c r="X5024" s="782">
        <v>5020</v>
      </c>
      <c r="Y5024" s="782" t="s">
        <v>2248</v>
      </c>
      <c r="Z5024" s="782" t="s">
        <v>2333</v>
      </c>
      <c r="AA5024" s="781">
        <f>$S$1*P!AA5024</f>
        <v>0.11447580645161291</v>
      </c>
      <c r="AB5024" s="780"/>
      <c r="AC5024" s="780"/>
      <c r="AD5024" s="780"/>
      <c r="AE5024" s="780"/>
      <c r="AF5024" s="780"/>
    </row>
    <row r="5025" spans="19:32" x14ac:dyDescent="0.35">
      <c r="S5025" s="780"/>
      <c r="T5025" s="928"/>
      <c r="U5025" s="928"/>
      <c r="V5025" s="928"/>
      <c r="W5025" s="780"/>
      <c r="X5025" s="782">
        <v>5021</v>
      </c>
      <c r="Y5025" s="782" t="s">
        <v>2248</v>
      </c>
      <c r="Z5025" s="782" t="s">
        <v>3978</v>
      </c>
      <c r="AA5025" s="781">
        <f>$S$1*P!AA5025</f>
        <v>3.3245967741935483E-4</v>
      </c>
      <c r="AB5025" s="780"/>
      <c r="AC5025" s="780"/>
      <c r="AD5025" s="780"/>
      <c r="AE5025" s="780"/>
      <c r="AF5025" s="780"/>
    </row>
    <row r="5026" spans="19:32" x14ac:dyDescent="0.35">
      <c r="S5026" s="780"/>
      <c r="T5026" s="928"/>
      <c r="U5026" s="928"/>
      <c r="V5026" s="928"/>
      <c r="W5026" s="780"/>
      <c r="X5026" s="881">
        <v>5022</v>
      </c>
      <c r="Y5026" s="881" t="s">
        <v>2248</v>
      </c>
      <c r="Z5026" s="881" t="s">
        <v>2395</v>
      </c>
      <c r="AA5026" s="890">
        <f>$S$1*P!AA5026</f>
        <v>2.4748000000000001E-4</v>
      </c>
      <c r="AB5026" s="780"/>
      <c r="AC5026" s="780"/>
      <c r="AD5026" s="780"/>
      <c r="AE5026" s="780"/>
      <c r="AF5026" s="780"/>
    </row>
    <row r="5027" spans="19:32" x14ac:dyDescent="0.35">
      <c r="S5027" s="780"/>
      <c r="T5027" s="928"/>
      <c r="U5027" s="928"/>
      <c r="V5027" s="928"/>
      <c r="W5027" s="780"/>
      <c r="X5027" s="782">
        <v>5023</v>
      </c>
      <c r="Y5027" s="782" t="s">
        <v>2248</v>
      </c>
      <c r="Z5027" s="782" t="s">
        <v>3822</v>
      </c>
      <c r="AA5027" s="781">
        <f>$S$1*P!AA5027</f>
        <v>1.5526209677419356E-4</v>
      </c>
      <c r="AB5027" s="780"/>
      <c r="AC5027" s="780"/>
      <c r="AD5027" s="780"/>
      <c r="AE5027" s="780"/>
      <c r="AF5027" s="780"/>
    </row>
    <row r="5028" spans="19:32" x14ac:dyDescent="0.35">
      <c r="S5028" s="780"/>
      <c r="T5028" s="928"/>
      <c r="U5028" s="928"/>
      <c r="V5028" s="928"/>
      <c r="W5028" s="780"/>
      <c r="X5028" s="881">
        <v>5024</v>
      </c>
      <c r="Y5028" s="881" t="s">
        <v>2248</v>
      </c>
      <c r="Z5028" s="881" t="s">
        <v>2393</v>
      </c>
      <c r="AA5028" s="890">
        <f>$S$1*P!AA5028</f>
        <v>0</v>
      </c>
      <c r="AB5028" s="780"/>
      <c r="AC5028" s="780"/>
      <c r="AD5028" s="780"/>
      <c r="AE5028" s="780"/>
      <c r="AF5028" s="780"/>
    </row>
    <row r="5029" spans="19:32" x14ac:dyDescent="0.35">
      <c r="S5029" s="780"/>
      <c r="T5029" s="928"/>
      <c r="U5029" s="928"/>
      <c r="V5029" s="928"/>
      <c r="W5029" s="780"/>
      <c r="X5029" s="782">
        <v>5025</v>
      </c>
      <c r="Y5029" s="782" t="s">
        <v>2248</v>
      </c>
      <c r="Z5029" s="782" t="s">
        <v>2330</v>
      </c>
      <c r="AA5029" s="781">
        <f>$S$1*P!AA5029</f>
        <v>5.8608870967741943E-2</v>
      </c>
      <c r="AB5029" s="780"/>
      <c r="AC5029" s="780"/>
      <c r="AD5029" s="780"/>
      <c r="AE5029" s="780"/>
      <c r="AF5029" s="780"/>
    </row>
    <row r="5030" spans="19:32" x14ac:dyDescent="0.35">
      <c r="S5030" s="780"/>
      <c r="T5030" s="928"/>
      <c r="U5030" s="928"/>
      <c r="V5030" s="928"/>
      <c r="W5030" s="780"/>
      <c r="X5030" s="782">
        <v>5026</v>
      </c>
      <c r="Y5030" s="782" t="s">
        <v>2248</v>
      </c>
      <c r="Z5030" s="782" t="s">
        <v>2393</v>
      </c>
      <c r="AA5030" s="781">
        <f>$S$1*P!AA5030</f>
        <v>4.1471774193548389E-2</v>
      </c>
      <c r="AB5030" s="780"/>
      <c r="AC5030" s="780"/>
      <c r="AD5030" s="780"/>
      <c r="AE5030" s="780"/>
      <c r="AF5030" s="780"/>
    </row>
    <row r="5031" spans="19:32" x14ac:dyDescent="0.35">
      <c r="S5031" s="780"/>
      <c r="T5031" s="928"/>
      <c r="U5031" s="928"/>
      <c r="V5031" s="928"/>
      <c r="W5031" s="780"/>
      <c r="X5031" s="782">
        <v>5027</v>
      </c>
      <c r="Y5031" s="782" t="s">
        <v>2248</v>
      </c>
      <c r="Z5031" s="782" t="s">
        <v>3977</v>
      </c>
      <c r="AA5031" s="781">
        <f>$S$1*P!AA5031</f>
        <v>3.0778225806451615E-10</v>
      </c>
      <c r="AB5031" s="780"/>
      <c r="AC5031" s="780"/>
      <c r="AD5031" s="780"/>
      <c r="AE5031" s="780"/>
      <c r="AF5031" s="780"/>
    </row>
    <row r="5032" spans="19:32" x14ac:dyDescent="0.35">
      <c r="S5032" s="780"/>
      <c r="T5032" s="928"/>
      <c r="U5032" s="928"/>
      <c r="V5032" s="928"/>
      <c r="W5032" s="780"/>
      <c r="X5032" s="782">
        <v>5028</v>
      </c>
      <c r="Y5032" s="782" t="s">
        <v>2248</v>
      </c>
      <c r="Z5032" s="782" t="s">
        <v>3818</v>
      </c>
      <c r="AA5032" s="781">
        <f>$S$1*P!AA5032</f>
        <v>1.0830645161290323E-2</v>
      </c>
      <c r="AB5032" s="780"/>
      <c r="AC5032" s="780"/>
      <c r="AD5032" s="780"/>
      <c r="AE5032" s="780"/>
      <c r="AF5032" s="780"/>
    </row>
    <row r="5033" spans="19:32" x14ac:dyDescent="0.35">
      <c r="S5033" s="780"/>
      <c r="T5033" s="928"/>
      <c r="U5033" s="928"/>
      <c r="V5033" s="928"/>
      <c r="W5033" s="780"/>
      <c r="X5033" s="782">
        <v>5029</v>
      </c>
      <c r="Y5033" s="782" t="s">
        <v>2248</v>
      </c>
      <c r="Z5033" s="782" t="s">
        <v>3976</v>
      </c>
      <c r="AA5033" s="781">
        <f>$S$1*P!AA5033</f>
        <v>4.6270161290322583E-3</v>
      </c>
      <c r="AB5033" s="780"/>
      <c r="AC5033" s="780"/>
      <c r="AD5033" s="780"/>
      <c r="AE5033" s="780"/>
      <c r="AF5033" s="780"/>
    </row>
    <row r="5034" spans="19:32" x14ac:dyDescent="0.35">
      <c r="S5034" s="780"/>
      <c r="T5034" s="928"/>
      <c r="U5034" s="928"/>
      <c r="V5034" s="928"/>
      <c r="W5034" s="780"/>
      <c r="X5034" s="782">
        <v>5030</v>
      </c>
      <c r="Y5034" s="782" t="s">
        <v>2248</v>
      </c>
      <c r="Z5034" s="782" t="s">
        <v>3975</v>
      </c>
      <c r="AA5034" s="781">
        <f>$S$1*P!AA5034</f>
        <v>1.8713709677419357E-4</v>
      </c>
      <c r="AB5034" s="780"/>
      <c r="AC5034" s="780"/>
      <c r="AD5034" s="780"/>
      <c r="AE5034" s="780"/>
      <c r="AF5034" s="780"/>
    </row>
    <row r="5035" spans="19:32" x14ac:dyDescent="0.35">
      <c r="S5035" s="780"/>
      <c r="T5035" s="928"/>
      <c r="U5035" s="928"/>
      <c r="V5035" s="928"/>
      <c r="W5035" s="780"/>
      <c r="X5035" s="782">
        <v>5031</v>
      </c>
      <c r="Y5035" s="782" t="s">
        <v>2248</v>
      </c>
      <c r="Z5035" s="782" t="s">
        <v>3813</v>
      </c>
      <c r="AA5035" s="781">
        <f>$S$1*P!AA5035</f>
        <v>1.902217741935484E-4</v>
      </c>
      <c r="AB5035" s="780"/>
      <c r="AC5035" s="780"/>
      <c r="AD5035" s="780"/>
      <c r="AE5035" s="780"/>
      <c r="AF5035" s="780"/>
    </row>
    <row r="5036" spans="19:32" x14ac:dyDescent="0.35">
      <c r="S5036" s="780"/>
      <c r="T5036" s="928"/>
      <c r="U5036" s="928"/>
      <c r="V5036" s="928"/>
      <c r="W5036" s="780"/>
      <c r="X5036" s="782">
        <v>5032</v>
      </c>
      <c r="Y5036" s="782" t="s">
        <v>2248</v>
      </c>
      <c r="Z5036" s="782" t="s">
        <v>3974</v>
      </c>
      <c r="AA5036" s="781">
        <f>$S$1*P!AA5036</f>
        <v>1.7479838709677419E-6</v>
      </c>
      <c r="AB5036" s="780"/>
      <c r="AC5036" s="780"/>
      <c r="AD5036" s="780"/>
      <c r="AE5036" s="780"/>
      <c r="AF5036" s="780"/>
    </row>
    <row r="5037" spans="19:32" x14ac:dyDescent="0.35">
      <c r="S5037" s="780"/>
      <c r="T5037" s="928"/>
      <c r="U5037" s="928"/>
      <c r="V5037" s="928"/>
      <c r="W5037" s="780"/>
      <c r="X5037" s="881">
        <v>5033</v>
      </c>
      <c r="Y5037" s="881" t="s">
        <v>2248</v>
      </c>
      <c r="Z5037" s="881" t="s">
        <v>2392</v>
      </c>
      <c r="AA5037" s="890">
        <f>$S$1*P!AA5037</f>
        <v>7.9671999999999989E-3</v>
      </c>
      <c r="AB5037" s="780"/>
      <c r="AC5037" s="780"/>
      <c r="AD5037" s="780"/>
      <c r="AE5037" s="780"/>
      <c r="AF5037" s="780"/>
    </row>
    <row r="5038" spans="19:32" x14ac:dyDescent="0.35">
      <c r="S5038" s="780"/>
      <c r="T5038" s="928"/>
      <c r="U5038" s="928"/>
      <c r="V5038" s="928"/>
      <c r="W5038" s="780"/>
      <c r="X5038" s="782">
        <v>5034</v>
      </c>
      <c r="Y5038" s="782" t="s">
        <v>2248</v>
      </c>
      <c r="Z5038" s="782" t="s">
        <v>2324</v>
      </c>
      <c r="AA5038" s="781">
        <f>$S$1*P!AA5038</f>
        <v>2.4026209677419355E-5</v>
      </c>
      <c r="AB5038" s="780"/>
      <c r="AC5038" s="780"/>
      <c r="AD5038" s="780"/>
      <c r="AE5038" s="780"/>
      <c r="AF5038" s="780"/>
    </row>
    <row r="5039" spans="19:32" x14ac:dyDescent="0.35">
      <c r="S5039" s="780"/>
      <c r="T5039" s="928"/>
      <c r="U5039" s="928"/>
      <c r="V5039" s="928"/>
      <c r="W5039" s="780"/>
      <c r="X5039" s="782">
        <v>5035</v>
      </c>
      <c r="Y5039" s="782" t="s">
        <v>2248</v>
      </c>
      <c r="Z5039" s="782" t="s">
        <v>3973</v>
      </c>
      <c r="AA5039" s="781">
        <f>$S$1*P!AA5039</f>
        <v>0.36673387096774196</v>
      </c>
      <c r="AB5039" s="780"/>
      <c r="AC5039" s="780"/>
      <c r="AD5039" s="780"/>
      <c r="AE5039" s="780"/>
      <c r="AF5039" s="780"/>
    </row>
    <row r="5040" spans="19:32" x14ac:dyDescent="0.35">
      <c r="S5040" s="780"/>
      <c r="T5040" s="928"/>
      <c r="U5040" s="928"/>
      <c r="V5040" s="928"/>
      <c r="W5040" s="780"/>
      <c r="X5040" s="782">
        <v>5036</v>
      </c>
      <c r="Y5040" s="782" t="s">
        <v>2248</v>
      </c>
      <c r="Z5040" s="782" t="s">
        <v>3972</v>
      </c>
      <c r="AA5040" s="781">
        <f>$S$1*P!AA5040</f>
        <v>4.5241935483870972E-3</v>
      </c>
      <c r="AB5040" s="780"/>
      <c r="AC5040" s="780"/>
      <c r="AD5040" s="780"/>
      <c r="AE5040" s="780"/>
      <c r="AF5040" s="780"/>
    </row>
    <row r="5041" spans="19:32" x14ac:dyDescent="0.35">
      <c r="S5041" s="780"/>
      <c r="T5041" s="928"/>
      <c r="U5041" s="928"/>
      <c r="V5041" s="928"/>
      <c r="W5041" s="780"/>
      <c r="X5041" s="782">
        <v>5037</v>
      </c>
      <c r="Y5041" s="782" t="s">
        <v>2248</v>
      </c>
      <c r="Z5041" s="782" t="s">
        <v>2323</v>
      </c>
      <c r="AA5041" s="781">
        <f>$S$1*P!AA5041</f>
        <v>6.2721774193548392E-6</v>
      </c>
      <c r="AB5041" s="780"/>
      <c r="AC5041" s="780"/>
      <c r="AD5041" s="780"/>
      <c r="AE5041" s="780"/>
      <c r="AF5041" s="780"/>
    </row>
    <row r="5042" spans="19:32" x14ac:dyDescent="0.35">
      <c r="S5042" s="780"/>
      <c r="T5042" s="928"/>
      <c r="U5042" s="928"/>
      <c r="V5042" s="928"/>
      <c r="W5042" s="780"/>
      <c r="X5042" s="881">
        <v>5038</v>
      </c>
      <c r="Y5042" s="881" t="s">
        <v>2248</v>
      </c>
      <c r="Z5042" s="881" t="s">
        <v>2390</v>
      </c>
      <c r="AA5042" s="890">
        <f>$S$1*P!AA5042</f>
        <v>0</v>
      </c>
      <c r="AB5042" s="780"/>
      <c r="AC5042" s="780"/>
      <c r="AD5042" s="780"/>
      <c r="AE5042" s="780"/>
      <c r="AF5042" s="780"/>
    </row>
    <row r="5043" spans="19:32" x14ac:dyDescent="0.35">
      <c r="S5043" s="780"/>
      <c r="T5043" s="928"/>
      <c r="U5043" s="928"/>
      <c r="V5043" s="928"/>
      <c r="W5043" s="780"/>
      <c r="X5043" s="782">
        <v>5039</v>
      </c>
      <c r="Y5043" s="782" t="s">
        <v>2248</v>
      </c>
      <c r="Z5043" s="782" t="s">
        <v>3971</v>
      </c>
      <c r="AA5043" s="781">
        <f>$S$1*P!AA5043</f>
        <v>1.1995967741935485</v>
      </c>
      <c r="AB5043" s="780"/>
      <c r="AC5043" s="780"/>
      <c r="AD5043" s="780"/>
      <c r="AE5043" s="780"/>
      <c r="AF5043" s="780"/>
    </row>
    <row r="5044" spans="19:32" x14ac:dyDescent="0.35">
      <c r="S5044" s="780"/>
      <c r="T5044" s="928"/>
      <c r="U5044" s="928"/>
      <c r="V5044" s="928"/>
      <c r="W5044" s="780"/>
      <c r="X5044" s="782">
        <v>5040</v>
      </c>
      <c r="Y5044" s="782" t="s">
        <v>2248</v>
      </c>
      <c r="Z5044" s="782" t="s">
        <v>2321</v>
      </c>
      <c r="AA5044" s="781">
        <f>$S$1*P!AA5044</f>
        <v>0.11207661290322582</v>
      </c>
      <c r="AB5044" s="780"/>
      <c r="AC5044" s="780"/>
      <c r="AD5044" s="780"/>
      <c r="AE5044" s="780"/>
      <c r="AF5044" s="780"/>
    </row>
    <row r="5045" spans="19:32" x14ac:dyDescent="0.35">
      <c r="S5045" s="780"/>
      <c r="T5045" s="928"/>
      <c r="U5045" s="928"/>
      <c r="V5045" s="928"/>
      <c r="W5045" s="780"/>
      <c r="X5045" s="782">
        <v>5041</v>
      </c>
      <c r="Y5045" s="782" t="s">
        <v>2248</v>
      </c>
      <c r="Z5045" s="782" t="s">
        <v>3970</v>
      </c>
      <c r="AA5045" s="781">
        <f>$S$1*P!AA5045</f>
        <v>2.0358870967741937E-10</v>
      </c>
      <c r="AB5045" s="780"/>
      <c r="AC5045" s="780"/>
      <c r="AD5045" s="780"/>
      <c r="AE5045" s="780"/>
      <c r="AF5045" s="780"/>
    </row>
    <row r="5046" spans="19:32" x14ac:dyDescent="0.35">
      <c r="S5046" s="780"/>
      <c r="T5046" s="928"/>
      <c r="U5046" s="928"/>
      <c r="V5046" s="928"/>
      <c r="W5046" s="780"/>
      <c r="X5046" s="782">
        <v>5042</v>
      </c>
      <c r="Y5046" s="782" t="s">
        <v>2248</v>
      </c>
      <c r="Z5046" s="782" t="s">
        <v>3969</v>
      </c>
      <c r="AA5046" s="781">
        <f>$S$1*P!AA5046</f>
        <v>4.010080645161291E-2</v>
      </c>
      <c r="AB5046" s="780"/>
      <c r="AC5046" s="780"/>
      <c r="AD5046" s="780"/>
      <c r="AE5046" s="780"/>
      <c r="AF5046" s="780"/>
    </row>
    <row r="5047" spans="19:32" x14ac:dyDescent="0.35">
      <c r="S5047" s="780"/>
      <c r="T5047" s="928"/>
      <c r="U5047" s="928"/>
      <c r="V5047" s="928"/>
      <c r="W5047" s="780"/>
      <c r="X5047" s="782">
        <v>5043</v>
      </c>
      <c r="Y5047" s="782" t="s">
        <v>2248</v>
      </c>
      <c r="Z5047" s="782" t="s">
        <v>2319</v>
      </c>
      <c r="AA5047" s="781">
        <f>$S$1*P!AA5047</f>
        <v>1.2989919354838709E-3</v>
      </c>
      <c r="AB5047" s="780"/>
      <c r="AC5047" s="780"/>
      <c r="AD5047" s="780"/>
      <c r="AE5047" s="780"/>
      <c r="AF5047" s="780"/>
    </row>
    <row r="5048" spans="19:32" x14ac:dyDescent="0.35">
      <c r="S5048" s="780"/>
      <c r="T5048" s="928"/>
      <c r="U5048" s="928"/>
      <c r="V5048" s="928"/>
      <c r="W5048" s="780"/>
      <c r="X5048" s="782">
        <v>5044</v>
      </c>
      <c r="Y5048" s="782" t="s">
        <v>2248</v>
      </c>
      <c r="Z5048" s="782" t="s">
        <v>3968</v>
      </c>
      <c r="AA5048" s="781">
        <f>$S$1*P!AA5048</f>
        <v>0.15766129032258067</v>
      </c>
      <c r="AB5048" s="780"/>
      <c r="AC5048" s="780"/>
      <c r="AD5048" s="780"/>
      <c r="AE5048" s="780"/>
      <c r="AF5048" s="780"/>
    </row>
    <row r="5049" spans="19:32" x14ac:dyDescent="0.35">
      <c r="S5049" s="780"/>
      <c r="T5049" s="928"/>
      <c r="U5049" s="928"/>
      <c r="V5049" s="928"/>
      <c r="W5049" s="780"/>
      <c r="X5049" s="782">
        <v>5045</v>
      </c>
      <c r="Y5049" s="782" t="s">
        <v>2248</v>
      </c>
      <c r="Z5049" s="782" t="s">
        <v>3801</v>
      </c>
      <c r="AA5049" s="781">
        <f>$S$1*P!AA5049</f>
        <v>1.6485887096774194E-5</v>
      </c>
      <c r="AB5049" s="780"/>
      <c r="AC5049" s="780"/>
      <c r="AD5049" s="780"/>
      <c r="AE5049" s="780"/>
      <c r="AF5049" s="780"/>
    </row>
    <row r="5050" spans="19:32" x14ac:dyDescent="0.35">
      <c r="S5050" s="780"/>
      <c r="T5050" s="928"/>
      <c r="U5050" s="928"/>
      <c r="V5050" s="928"/>
      <c r="W5050" s="780"/>
      <c r="X5050" s="782">
        <v>5046</v>
      </c>
      <c r="Y5050" s="782" t="s">
        <v>2248</v>
      </c>
      <c r="Z5050" s="782" t="s">
        <v>3967</v>
      </c>
      <c r="AA5050" s="781">
        <f>$S$1*P!AA5050</f>
        <v>7.0262096774193553E-3</v>
      </c>
      <c r="AB5050" s="780"/>
      <c r="AC5050" s="780"/>
      <c r="AD5050" s="780"/>
      <c r="AE5050" s="780"/>
      <c r="AF5050" s="780"/>
    </row>
    <row r="5051" spans="19:32" x14ac:dyDescent="0.35">
      <c r="S5051" s="780"/>
      <c r="T5051" s="928"/>
      <c r="U5051" s="928"/>
      <c r="V5051" s="928"/>
      <c r="W5051" s="780"/>
      <c r="X5051" s="782">
        <v>5047</v>
      </c>
      <c r="Y5051" s="782" t="s">
        <v>2248</v>
      </c>
      <c r="Z5051" s="782" t="s">
        <v>2316</v>
      </c>
      <c r="AA5051" s="781">
        <f>$S$1*P!AA5051</f>
        <v>7.5745967741935497E-2</v>
      </c>
      <c r="AB5051" s="780"/>
      <c r="AC5051" s="780"/>
      <c r="AD5051" s="780"/>
      <c r="AE5051" s="780"/>
      <c r="AF5051" s="780"/>
    </row>
    <row r="5052" spans="19:32" x14ac:dyDescent="0.35">
      <c r="S5052" s="780"/>
      <c r="T5052" s="928"/>
      <c r="U5052" s="928"/>
      <c r="V5052" s="928"/>
      <c r="W5052" s="780"/>
      <c r="X5052" s="782">
        <v>5048</v>
      </c>
      <c r="Y5052" s="782" t="s">
        <v>2248</v>
      </c>
      <c r="Z5052" s="782" t="s">
        <v>2315</v>
      </c>
      <c r="AA5052" s="781">
        <f>$S$1*P!AA5052</f>
        <v>7.0604838709677426E-3</v>
      </c>
      <c r="AB5052" s="780"/>
      <c r="AC5052" s="780"/>
      <c r="AD5052" s="780"/>
      <c r="AE5052" s="780"/>
      <c r="AF5052" s="780"/>
    </row>
    <row r="5053" spans="19:32" x14ac:dyDescent="0.35">
      <c r="S5053" s="780"/>
      <c r="T5053" s="928"/>
      <c r="U5053" s="928"/>
      <c r="V5053" s="928"/>
      <c r="W5053" s="780"/>
      <c r="X5053" s="782">
        <v>5049</v>
      </c>
      <c r="Y5053" s="782" t="s">
        <v>2248</v>
      </c>
      <c r="Z5053" s="782" t="s">
        <v>3966</v>
      </c>
      <c r="AA5053" s="781">
        <f>$S$1*P!AA5053</f>
        <v>1.1413306451612905E-2</v>
      </c>
      <c r="AB5053" s="780"/>
      <c r="AC5053" s="780"/>
      <c r="AD5053" s="780"/>
      <c r="AE5053" s="780"/>
      <c r="AF5053" s="780"/>
    </row>
    <row r="5054" spans="19:32" x14ac:dyDescent="0.35">
      <c r="S5054" s="780"/>
      <c r="T5054" s="928"/>
      <c r="U5054" s="928"/>
      <c r="V5054" s="928"/>
      <c r="W5054" s="780"/>
      <c r="X5054" s="782">
        <v>5050</v>
      </c>
      <c r="Y5054" s="782" t="s">
        <v>2248</v>
      </c>
      <c r="Z5054" s="782" t="s">
        <v>3794</v>
      </c>
      <c r="AA5054" s="781">
        <f>$S$1*P!AA5054</f>
        <v>6.4778225806451617E-5</v>
      </c>
      <c r="AB5054" s="780"/>
      <c r="AC5054" s="780"/>
      <c r="AD5054" s="780"/>
      <c r="AE5054" s="780"/>
      <c r="AF5054" s="780"/>
    </row>
    <row r="5055" spans="19:32" x14ac:dyDescent="0.35">
      <c r="S5055" s="780"/>
      <c r="T5055" s="928"/>
      <c r="U5055" s="928"/>
      <c r="V5055" s="928"/>
      <c r="W5055" s="780"/>
      <c r="X5055" s="782">
        <v>5051</v>
      </c>
      <c r="Y5055" s="782" t="s">
        <v>2248</v>
      </c>
      <c r="Z5055" s="782" t="s">
        <v>3965</v>
      </c>
      <c r="AA5055" s="781">
        <f>$S$1*P!AA5055</f>
        <v>5.1068548387096779E-12</v>
      </c>
      <c r="AB5055" s="780"/>
      <c r="AC5055" s="780"/>
      <c r="AD5055" s="780"/>
      <c r="AE5055" s="780"/>
      <c r="AF5055" s="780"/>
    </row>
    <row r="5056" spans="19:32" x14ac:dyDescent="0.35">
      <c r="S5056" s="780"/>
      <c r="T5056" s="928"/>
      <c r="U5056" s="928"/>
      <c r="V5056" s="928"/>
      <c r="W5056" s="780"/>
      <c r="X5056" s="782">
        <v>5052</v>
      </c>
      <c r="Y5056" s="782" t="s">
        <v>2248</v>
      </c>
      <c r="Z5056" s="782" t="s">
        <v>3791</v>
      </c>
      <c r="AA5056" s="781">
        <f>$S$1*P!AA5056</f>
        <v>1.5868951612903228E-4</v>
      </c>
      <c r="AB5056" s="780"/>
      <c r="AC5056" s="780"/>
      <c r="AD5056" s="780"/>
      <c r="AE5056" s="780"/>
      <c r="AF5056" s="780"/>
    </row>
    <row r="5057" spans="19:32" x14ac:dyDescent="0.35">
      <c r="S5057" s="780"/>
      <c r="T5057" s="928"/>
      <c r="U5057" s="928"/>
      <c r="V5057" s="928"/>
      <c r="W5057" s="780"/>
      <c r="X5057" s="782">
        <v>5053</v>
      </c>
      <c r="Y5057" s="782" t="s">
        <v>2248</v>
      </c>
      <c r="Z5057" s="782" t="s">
        <v>3782</v>
      </c>
      <c r="AA5057" s="781">
        <f>$S$1*P!AA5057</f>
        <v>1.1002016129032259E-2</v>
      </c>
      <c r="AB5057" s="780"/>
      <c r="AC5057" s="780"/>
      <c r="AD5057" s="780"/>
      <c r="AE5057" s="780"/>
      <c r="AF5057" s="780"/>
    </row>
    <row r="5058" spans="19:32" x14ac:dyDescent="0.35">
      <c r="S5058" s="780"/>
      <c r="T5058" s="928"/>
      <c r="U5058" s="928"/>
      <c r="V5058" s="928"/>
      <c r="W5058" s="780"/>
      <c r="X5058" s="782">
        <v>5054</v>
      </c>
      <c r="Y5058" s="782" t="s">
        <v>2248</v>
      </c>
      <c r="Z5058" s="782" t="s">
        <v>3964</v>
      </c>
      <c r="AA5058" s="781">
        <f>$S$1*P!AA5058</f>
        <v>0.22038306451612905</v>
      </c>
      <c r="AB5058" s="780"/>
      <c r="AC5058" s="780"/>
      <c r="AD5058" s="780"/>
      <c r="AE5058" s="780"/>
      <c r="AF5058" s="780"/>
    </row>
    <row r="5059" spans="19:32" x14ac:dyDescent="0.35">
      <c r="S5059" s="780"/>
      <c r="T5059" s="928"/>
      <c r="U5059" s="928"/>
      <c r="V5059" s="928"/>
      <c r="W5059" s="780"/>
      <c r="X5059" s="782">
        <v>5055</v>
      </c>
      <c r="Y5059" s="782" t="s">
        <v>2248</v>
      </c>
      <c r="Z5059" s="782" t="s">
        <v>2305</v>
      </c>
      <c r="AA5059" s="781">
        <f>$S$1*P!AA5059</f>
        <v>1.5903225806451614E-3</v>
      </c>
      <c r="AB5059" s="780"/>
      <c r="AC5059" s="780"/>
      <c r="AD5059" s="780"/>
      <c r="AE5059" s="780"/>
      <c r="AF5059" s="780"/>
    </row>
    <row r="5060" spans="19:32" x14ac:dyDescent="0.35">
      <c r="S5060" s="780"/>
      <c r="T5060" s="928"/>
      <c r="U5060" s="928"/>
      <c r="V5060" s="928"/>
      <c r="W5060" s="780"/>
      <c r="X5060" s="782">
        <v>5056</v>
      </c>
      <c r="Y5060" s="782" t="s">
        <v>2248</v>
      </c>
      <c r="Z5060" s="782" t="s">
        <v>3778</v>
      </c>
      <c r="AA5060" s="781">
        <f>$S$1*P!AA5060</f>
        <v>1.2030241935483872E-3</v>
      </c>
      <c r="AB5060" s="780"/>
      <c r="AC5060" s="780"/>
      <c r="AD5060" s="780"/>
      <c r="AE5060" s="780"/>
      <c r="AF5060" s="780"/>
    </row>
    <row r="5061" spans="19:32" x14ac:dyDescent="0.35">
      <c r="S5061" s="780"/>
      <c r="T5061" s="928"/>
      <c r="U5061" s="928"/>
      <c r="V5061" s="928"/>
      <c r="W5061" s="780"/>
      <c r="X5061" s="782">
        <v>5057</v>
      </c>
      <c r="Y5061" s="782" t="s">
        <v>2248</v>
      </c>
      <c r="Z5061" s="782" t="s">
        <v>3963</v>
      </c>
      <c r="AA5061" s="781">
        <f>$S$1*P!AA5061</f>
        <v>1.2407258064516132E-3</v>
      </c>
      <c r="AB5061" s="780"/>
      <c r="AC5061" s="780"/>
      <c r="AD5061" s="780"/>
      <c r="AE5061" s="780"/>
      <c r="AF5061" s="780"/>
    </row>
    <row r="5062" spans="19:32" x14ac:dyDescent="0.35">
      <c r="S5062" s="780"/>
      <c r="T5062" s="928"/>
      <c r="U5062" s="928"/>
      <c r="V5062" s="928"/>
      <c r="W5062" s="780"/>
      <c r="X5062" s="782">
        <v>5058</v>
      </c>
      <c r="Y5062" s="782" t="s">
        <v>2248</v>
      </c>
      <c r="Z5062" s="782" t="s">
        <v>3775</v>
      </c>
      <c r="AA5062" s="781">
        <f>$S$1*P!AA5062</f>
        <v>0.15868951612903226</v>
      </c>
      <c r="AB5062" s="780"/>
      <c r="AC5062" s="780"/>
      <c r="AD5062" s="780"/>
      <c r="AE5062" s="780"/>
      <c r="AF5062" s="780"/>
    </row>
    <row r="5063" spans="19:32" x14ac:dyDescent="0.35">
      <c r="S5063" s="780"/>
      <c r="T5063" s="928"/>
      <c r="U5063" s="928"/>
      <c r="V5063" s="928"/>
      <c r="W5063" s="780"/>
      <c r="X5063" s="782">
        <v>5059</v>
      </c>
      <c r="Y5063" s="782" t="s">
        <v>2248</v>
      </c>
      <c r="Z5063" s="782" t="s">
        <v>3774</v>
      </c>
      <c r="AA5063" s="781">
        <f>$S$1*P!AA5063</f>
        <v>0.10967741935483871</v>
      </c>
      <c r="AB5063" s="780"/>
      <c r="AC5063" s="780"/>
      <c r="AD5063" s="780"/>
      <c r="AE5063" s="780"/>
      <c r="AF5063" s="780"/>
    </row>
    <row r="5064" spans="19:32" x14ac:dyDescent="0.35">
      <c r="S5064" s="780"/>
      <c r="T5064" s="928"/>
      <c r="U5064" s="928"/>
      <c r="V5064" s="928"/>
      <c r="W5064" s="780"/>
      <c r="X5064" s="782">
        <v>5060</v>
      </c>
      <c r="Y5064" s="782" t="s">
        <v>2248</v>
      </c>
      <c r="Z5064" s="782" t="s">
        <v>3108</v>
      </c>
      <c r="AA5064" s="781">
        <f>$S$1*P!AA5064</f>
        <v>2.1455645161290324E-4</v>
      </c>
      <c r="AB5064" s="780"/>
      <c r="AC5064" s="780"/>
      <c r="AD5064" s="780"/>
      <c r="AE5064" s="780"/>
      <c r="AF5064" s="780"/>
    </row>
    <row r="5065" spans="19:32" x14ac:dyDescent="0.35">
      <c r="S5065" s="780"/>
      <c r="T5065" s="928"/>
      <c r="U5065" s="928"/>
      <c r="V5065" s="928"/>
      <c r="W5065" s="780"/>
      <c r="X5065" s="782">
        <v>5061</v>
      </c>
      <c r="Y5065" s="782" t="s">
        <v>2248</v>
      </c>
      <c r="Z5065" s="782" t="s">
        <v>3768</v>
      </c>
      <c r="AA5065" s="781">
        <f>$S$1*P!AA5065</f>
        <v>7.9858870967741946E-5</v>
      </c>
      <c r="AB5065" s="780"/>
      <c r="AC5065" s="780"/>
      <c r="AD5065" s="780"/>
      <c r="AE5065" s="780"/>
      <c r="AF5065" s="780"/>
    </row>
    <row r="5066" spans="19:32" x14ac:dyDescent="0.35">
      <c r="S5066" s="780"/>
      <c r="T5066" s="928"/>
      <c r="U5066" s="928"/>
      <c r="V5066" s="928"/>
      <c r="W5066" s="780"/>
      <c r="X5066" s="782">
        <v>5062</v>
      </c>
      <c r="Y5066" s="782" t="s">
        <v>2248</v>
      </c>
      <c r="Z5066" s="782" t="s">
        <v>3766</v>
      </c>
      <c r="AA5066" s="781">
        <f>$S$1*P!AA5066</f>
        <v>1.2441532258064518E-2</v>
      </c>
      <c r="AB5066" s="780"/>
      <c r="AC5066" s="780"/>
      <c r="AD5066" s="780"/>
      <c r="AE5066" s="780"/>
      <c r="AF5066" s="780"/>
    </row>
    <row r="5067" spans="19:32" x14ac:dyDescent="0.35">
      <c r="S5067" s="780"/>
      <c r="T5067" s="928"/>
      <c r="U5067" s="928"/>
      <c r="V5067" s="928"/>
      <c r="W5067" s="780"/>
      <c r="X5067" s="782">
        <v>5063</v>
      </c>
      <c r="Y5067" s="782" t="s">
        <v>2248</v>
      </c>
      <c r="Z5067" s="782" t="s">
        <v>3107</v>
      </c>
      <c r="AA5067" s="781">
        <f>$S$1*P!AA5067</f>
        <v>0.5278225806451613</v>
      </c>
      <c r="AB5067" s="780"/>
      <c r="AC5067" s="780"/>
      <c r="AD5067" s="780"/>
      <c r="AE5067" s="780"/>
      <c r="AF5067" s="780"/>
    </row>
    <row r="5068" spans="19:32" x14ac:dyDescent="0.35">
      <c r="S5068" s="780"/>
      <c r="T5068" s="928"/>
      <c r="U5068" s="928"/>
      <c r="V5068" s="928"/>
      <c r="W5068" s="780"/>
      <c r="X5068" s="782">
        <v>5064</v>
      </c>
      <c r="Y5068" s="782" t="s">
        <v>2248</v>
      </c>
      <c r="Z5068" s="782" t="s">
        <v>3764</v>
      </c>
      <c r="AA5068" s="781">
        <f>$S$1*P!AA5068</f>
        <v>2.3306451612903227E-2</v>
      </c>
      <c r="AB5068" s="780"/>
      <c r="AC5068" s="780"/>
      <c r="AD5068" s="780"/>
      <c r="AE5068" s="780"/>
      <c r="AF5068" s="780"/>
    </row>
    <row r="5069" spans="19:32" x14ac:dyDescent="0.35">
      <c r="S5069" s="780"/>
      <c r="T5069" s="928"/>
      <c r="U5069" s="928"/>
      <c r="V5069" s="928"/>
      <c r="W5069" s="780"/>
      <c r="X5069" s="782">
        <v>5065</v>
      </c>
      <c r="Y5069" s="782" t="s">
        <v>2248</v>
      </c>
      <c r="Z5069" s="782" t="s">
        <v>3962</v>
      </c>
      <c r="AA5069" s="781">
        <f>$S$1*P!AA5069</f>
        <v>3.2183467741935486E-3</v>
      </c>
      <c r="AB5069" s="780"/>
      <c r="AC5069" s="780"/>
      <c r="AD5069" s="780"/>
      <c r="AE5069" s="780"/>
      <c r="AF5069" s="780"/>
    </row>
    <row r="5070" spans="19:32" x14ac:dyDescent="0.35">
      <c r="S5070" s="780"/>
      <c r="T5070" s="928"/>
      <c r="U5070" s="928"/>
      <c r="V5070" s="928"/>
      <c r="W5070" s="780"/>
      <c r="X5070" s="782">
        <v>5066</v>
      </c>
      <c r="Y5070" s="782" t="s">
        <v>2248</v>
      </c>
      <c r="Z5070" s="782" t="s">
        <v>3762</v>
      </c>
      <c r="AA5070" s="781">
        <f>$S$1*P!AA5070</f>
        <v>4.0100806451612911E-6</v>
      </c>
      <c r="AB5070" s="780"/>
      <c r="AC5070" s="780"/>
      <c r="AD5070" s="780"/>
      <c r="AE5070" s="780"/>
      <c r="AF5070" s="780"/>
    </row>
    <row r="5071" spans="19:32" x14ac:dyDescent="0.35">
      <c r="S5071" s="780"/>
      <c r="T5071" s="928"/>
      <c r="U5071" s="928"/>
      <c r="V5071" s="928"/>
      <c r="W5071" s="780"/>
      <c r="X5071" s="782">
        <v>5067</v>
      </c>
      <c r="Y5071" s="782" t="s">
        <v>2248</v>
      </c>
      <c r="Z5071" s="782" t="s">
        <v>3759</v>
      </c>
      <c r="AA5071" s="781">
        <f>$S$1*P!AA5071</f>
        <v>4.8669354838709676E-5</v>
      </c>
      <c r="AB5071" s="780"/>
      <c r="AC5071" s="780"/>
      <c r="AD5071" s="780"/>
      <c r="AE5071" s="780"/>
      <c r="AF5071" s="780"/>
    </row>
    <row r="5072" spans="19:32" x14ac:dyDescent="0.35">
      <c r="S5072" s="780"/>
      <c r="T5072" s="928"/>
      <c r="U5072" s="928"/>
      <c r="V5072" s="928"/>
      <c r="W5072" s="780"/>
      <c r="X5072" s="782">
        <v>5068</v>
      </c>
      <c r="Y5072" s="782" t="s">
        <v>2248</v>
      </c>
      <c r="Z5072" s="782" t="s">
        <v>3961</v>
      </c>
      <c r="AA5072" s="781">
        <f>$S$1*P!AA5072</f>
        <v>5.8608870967741949E-4</v>
      </c>
      <c r="AB5072" s="780"/>
      <c r="AC5072" s="780"/>
      <c r="AD5072" s="780"/>
      <c r="AE5072" s="780"/>
      <c r="AF5072" s="780"/>
    </row>
    <row r="5073" spans="19:32" x14ac:dyDescent="0.35">
      <c r="S5073" s="780"/>
      <c r="T5073" s="928"/>
      <c r="U5073" s="928"/>
      <c r="V5073" s="928"/>
      <c r="W5073" s="780"/>
      <c r="X5073" s="782">
        <v>5069</v>
      </c>
      <c r="Y5073" s="782" t="s">
        <v>2248</v>
      </c>
      <c r="Z5073" s="782" t="s">
        <v>3758</v>
      </c>
      <c r="AA5073" s="781">
        <f>$S$1*P!AA5073</f>
        <v>2.5739919354838708E-3</v>
      </c>
      <c r="AB5073" s="780"/>
      <c r="AC5073" s="780"/>
      <c r="AD5073" s="780"/>
      <c r="AE5073" s="780"/>
      <c r="AF5073" s="780"/>
    </row>
    <row r="5074" spans="19:32" x14ac:dyDescent="0.35">
      <c r="S5074" s="780"/>
      <c r="T5074" s="928"/>
      <c r="U5074" s="928"/>
      <c r="V5074" s="928"/>
      <c r="W5074" s="780"/>
      <c r="X5074" s="782">
        <v>5070</v>
      </c>
      <c r="Y5074" s="782" t="s">
        <v>2248</v>
      </c>
      <c r="Z5074" s="782" t="s">
        <v>3755</v>
      </c>
      <c r="AA5074" s="781">
        <f>$S$1*P!AA5074</f>
        <v>6.237903225806452E-3</v>
      </c>
      <c r="AB5074" s="780"/>
      <c r="AC5074" s="780"/>
      <c r="AD5074" s="780"/>
      <c r="AE5074" s="780"/>
      <c r="AF5074" s="780"/>
    </row>
    <row r="5075" spans="19:32" x14ac:dyDescent="0.35">
      <c r="S5075" s="780"/>
      <c r="T5075" s="928"/>
      <c r="U5075" s="928"/>
      <c r="V5075" s="928"/>
      <c r="W5075" s="780"/>
      <c r="X5075" s="782">
        <v>5071</v>
      </c>
      <c r="Y5075" s="782" t="s">
        <v>2248</v>
      </c>
      <c r="Z5075" s="782" t="s">
        <v>3960</v>
      </c>
      <c r="AA5075" s="781">
        <f>$S$1*P!AA5075</f>
        <v>6.2379032258064518E-4</v>
      </c>
      <c r="AB5075" s="780"/>
      <c r="AC5075" s="780"/>
      <c r="AD5075" s="780"/>
      <c r="AE5075" s="780"/>
      <c r="AF5075" s="780"/>
    </row>
    <row r="5076" spans="19:32" x14ac:dyDescent="0.35">
      <c r="S5076" s="780"/>
      <c r="T5076" s="928"/>
      <c r="U5076" s="928"/>
      <c r="V5076" s="928"/>
      <c r="W5076" s="780"/>
      <c r="X5076" s="782">
        <v>5072</v>
      </c>
      <c r="Y5076" s="782" t="s">
        <v>2248</v>
      </c>
      <c r="Z5076" s="782" t="s">
        <v>3753</v>
      </c>
      <c r="AA5076" s="781">
        <f>$S$1*P!AA5076</f>
        <v>3.3862903225806455E-3</v>
      </c>
      <c r="AB5076" s="780"/>
      <c r="AC5076" s="780"/>
      <c r="AD5076" s="780"/>
      <c r="AE5076" s="780"/>
      <c r="AF5076" s="780"/>
    </row>
    <row r="5077" spans="19:32" x14ac:dyDescent="0.35">
      <c r="S5077" s="780"/>
      <c r="T5077" s="928"/>
      <c r="U5077" s="928"/>
      <c r="V5077" s="928"/>
      <c r="W5077" s="780"/>
      <c r="X5077" s="782">
        <v>5073</v>
      </c>
      <c r="Y5077" s="782" t="s">
        <v>2248</v>
      </c>
      <c r="Z5077" s="782" t="s">
        <v>3751</v>
      </c>
      <c r="AA5077" s="781">
        <f>$S$1*P!AA5077</f>
        <v>4.010080645161291E-2</v>
      </c>
      <c r="AB5077" s="780"/>
      <c r="AC5077" s="780"/>
      <c r="AD5077" s="780"/>
      <c r="AE5077" s="780"/>
      <c r="AF5077" s="780"/>
    </row>
    <row r="5078" spans="19:32" x14ac:dyDescent="0.35">
      <c r="S5078" s="780"/>
      <c r="T5078" s="928"/>
      <c r="U5078" s="928"/>
      <c r="V5078" s="928"/>
      <c r="W5078" s="780"/>
      <c r="X5078" s="782">
        <v>5074</v>
      </c>
      <c r="Y5078" s="782" t="s">
        <v>2248</v>
      </c>
      <c r="Z5078" s="782" t="s">
        <v>3959</v>
      </c>
      <c r="AA5078" s="781">
        <f>$S$1*P!AA5078</f>
        <v>4.318548387096775E-3</v>
      </c>
      <c r="AB5078" s="780"/>
      <c r="AC5078" s="780"/>
      <c r="AD5078" s="780"/>
      <c r="AE5078" s="780"/>
      <c r="AF5078" s="780"/>
    </row>
    <row r="5079" spans="19:32" x14ac:dyDescent="0.35">
      <c r="S5079" s="780"/>
      <c r="T5079" s="928"/>
      <c r="U5079" s="928"/>
      <c r="V5079" s="928"/>
      <c r="W5079" s="780"/>
      <c r="X5079" s="782">
        <v>5075</v>
      </c>
      <c r="Y5079" s="782" t="s">
        <v>2248</v>
      </c>
      <c r="Z5079" s="782" t="s">
        <v>3747</v>
      </c>
      <c r="AA5079" s="781">
        <f>$S$1*P!AA5079</f>
        <v>1.6280241935483872E-2</v>
      </c>
      <c r="AB5079" s="780"/>
      <c r="AC5079" s="780"/>
      <c r="AD5079" s="780"/>
      <c r="AE5079" s="780"/>
      <c r="AF5079" s="780"/>
    </row>
    <row r="5080" spans="19:32" x14ac:dyDescent="0.35">
      <c r="S5080" s="780"/>
      <c r="T5080" s="928"/>
      <c r="U5080" s="928"/>
      <c r="V5080" s="928"/>
      <c r="W5080" s="780"/>
      <c r="X5080" s="782">
        <v>5076</v>
      </c>
      <c r="Y5080" s="782" t="s">
        <v>2248</v>
      </c>
      <c r="Z5080" s="782" t="s">
        <v>3099</v>
      </c>
      <c r="AA5080" s="781">
        <f>$S$1*P!AA5080</f>
        <v>4.558467741935484E-2</v>
      </c>
      <c r="AB5080" s="780"/>
      <c r="AC5080" s="780"/>
      <c r="AD5080" s="780"/>
      <c r="AE5080" s="780"/>
      <c r="AF5080" s="780"/>
    </row>
    <row r="5081" spans="19:32" x14ac:dyDescent="0.35">
      <c r="S5081" s="780"/>
      <c r="T5081" s="928"/>
      <c r="U5081" s="928"/>
      <c r="V5081" s="928"/>
      <c r="W5081" s="780"/>
      <c r="X5081" s="782">
        <v>5077</v>
      </c>
      <c r="Y5081" s="782" t="s">
        <v>2248</v>
      </c>
      <c r="Z5081" s="782" t="s">
        <v>3745</v>
      </c>
      <c r="AA5081" s="781">
        <f>$S$1*P!AA5081</f>
        <v>7.8145161290322585E-4</v>
      </c>
      <c r="AB5081" s="780"/>
      <c r="AC5081" s="780"/>
      <c r="AD5081" s="780"/>
      <c r="AE5081" s="780"/>
      <c r="AF5081" s="780"/>
    </row>
    <row r="5082" spans="19:32" x14ac:dyDescent="0.35">
      <c r="S5082" s="780"/>
      <c r="T5082" s="928"/>
      <c r="U5082" s="928"/>
      <c r="V5082" s="928"/>
      <c r="W5082" s="780"/>
      <c r="X5082" s="782">
        <v>5078</v>
      </c>
      <c r="Y5082" s="782" t="s">
        <v>2248</v>
      </c>
      <c r="Z5082" s="782" t="s">
        <v>3958</v>
      </c>
      <c r="AA5082" s="781">
        <f>$S$1*P!AA5082</f>
        <v>1.8816532258064517E-3</v>
      </c>
      <c r="AB5082" s="780"/>
      <c r="AC5082" s="780"/>
      <c r="AD5082" s="780"/>
      <c r="AE5082" s="780"/>
      <c r="AF5082" s="780"/>
    </row>
    <row r="5083" spans="19:32" x14ac:dyDescent="0.35">
      <c r="S5083" s="780"/>
      <c r="T5083" s="928"/>
      <c r="U5083" s="928"/>
      <c r="V5083" s="928"/>
      <c r="W5083" s="780"/>
      <c r="X5083" s="782">
        <v>5079</v>
      </c>
      <c r="Y5083" s="782" t="s">
        <v>2248</v>
      </c>
      <c r="Z5083" s="782" t="s">
        <v>3957</v>
      </c>
      <c r="AA5083" s="781">
        <f>$S$1*P!AA5083</f>
        <v>1.2338709677419357E-2</v>
      </c>
      <c r="AB5083" s="780"/>
      <c r="AC5083" s="780"/>
      <c r="AD5083" s="780"/>
      <c r="AE5083" s="780"/>
      <c r="AF5083" s="780"/>
    </row>
    <row r="5084" spans="19:32" x14ac:dyDescent="0.35">
      <c r="S5084" s="780"/>
      <c r="T5084" s="928"/>
      <c r="U5084" s="928"/>
      <c r="V5084" s="928"/>
      <c r="W5084" s="780"/>
      <c r="X5084" s="782">
        <v>5080</v>
      </c>
      <c r="Y5084" s="782" t="s">
        <v>2248</v>
      </c>
      <c r="Z5084" s="782" t="s">
        <v>3743</v>
      </c>
      <c r="AA5084" s="781">
        <f>$S$1*P!AA5084</f>
        <v>2.423185483870968E-3</v>
      </c>
      <c r="AB5084" s="780"/>
      <c r="AC5084" s="780"/>
      <c r="AD5084" s="780"/>
      <c r="AE5084" s="780"/>
      <c r="AF5084" s="780"/>
    </row>
    <row r="5085" spans="19:32" x14ac:dyDescent="0.35">
      <c r="S5085" s="780"/>
      <c r="T5085" s="928"/>
      <c r="U5085" s="928"/>
      <c r="V5085" s="928"/>
      <c r="W5085" s="780"/>
      <c r="X5085" s="782">
        <v>5081</v>
      </c>
      <c r="Y5085" s="782" t="s">
        <v>2248</v>
      </c>
      <c r="Z5085" s="782" t="s">
        <v>3956</v>
      </c>
      <c r="AA5085" s="781">
        <f>$S$1*P!AA5085</f>
        <v>1.6965725806451615E-2</v>
      </c>
      <c r="AB5085" s="780"/>
      <c r="AC5085" s="780"/>
      <c r="AD5085" s="780"/>
      <c r="AE5085" s="780"/>
      <c r="AF5085" s="780"/>
    </row>
    <row r="5086" spans="19:32" x14ac:dyDescent="0.35">
      <c r="S5086" s="780"/>
      <c r="T5086" s="928"/>
      <c r="U5086" s="928"/>
      <c r="V5086" s="928"/>
      <c r="W5086" s="780"/>
      <c r="X5086" s="782">
        <v>5082</v>
      </c>
      <c r="Y5086" s="782" t="s">
        <v>2248</v>
      </c>
      <c r="Z5086" s="782" t="s">
        <v>3955</v>
      </c>
      <c r="AA5086" s="781">
        <f>$S$1*P!AA5086</f>
        <v>0.14018145161290324</v>
      </c>
      <c r="AB5086" s="780"/>
      <c r="AC5086" s="780"/>
      <c r="AD5086" s="780"/>
      <c r="AE5086" s="780"/>
      <c r="AF5086" s="780"/>
    </row>
    <row r="5087" spans="19:32" x14ac:dyDescent="0.35">
      <c r="S5087" s="780"/>
      <c r="T5087" s="928"/>
      <c r="U5087" s="928"/>
      <c r="V5087" s="928"/>
      <c r="W5087" s="780"/>
      <c r="X5087" s="782">
        <v>5083</v>
      </c>
      <c r="Y5087" s="782" t="s">
        <v>2248</v>
      </c>
      <c r="Z5087" s="782" t="s">
        <v>3741</v>
      </c>
      <c r="AA5087" s="781">
        <f>$S$1*P!AA5087</f>
        <v>0.2316935483870968</v>
      </c>
      <c r="AB5087" s="780"/>
      <c r="AC5087" s="780"/>
      <c r="AD5087" s="780"/>
      <c r="AE5087" s="780"/>
      <c r="AF5087" s="780"/>
    </row>
    <row r="5088" spans="19:32" x14ac:dyDescent="0.35">
      <c r="S5088" s="780"/>
      <c r="T5088" s="928"/>
      <c r="U5088" s="928"/>
      <c r="V5088" s="928"/>
      <c r="W5088" s="780"/>
      <c r="X5088" s="782">
        <v>5084</v>
      </c>
      <c r="Y5088" s="782" t="s">
        <v>2248</v>
      </c>
      <c r="Z5088" s="782" t="s">
        <v>3954</v>
      </c>
      <c r="AA5088" s="781">
        <f>$S$1*P!AA5088</f>
        <v>8.5685483870967744E-4</v>
      </c>
      <c r="AB5088" s="780"/>
      <c r="AC5088" s="780"/>
      <c r="AD5088" s="780"/>
      <c r="AE5088" s="780"/>
      <c r="AF5088" s="780"/>
    </row>
    <row r="5089" spans="19:32" x14ac:dyDescent="0.35">
      <c r="S5089" s="780"/>
      <c r="T5089" s="928"/>
      <c r="U5089" s="928"/>
      <c r="V5089" s="928"/>
      <c r="W5089" s="780"/>
      <c r="X5089" s="782">
        <v>5085</v>
      </c>
      <c r="Y5089" s="782" t="s">
        <v>2248</v>
      </c>
      <c r="Z5089" s="782" t="s">
        <v>3739</v>
      </c>
      <c r="AA5089" s="781">
        <f>$S$1*P!AA5089</f>
        <v>2.423185483870968E-3</v>
      </c>
      <c r="AB5089" s="780"/>
      <c r="AC5089" s="780"/>
      <c r="AD5089" s="780"/>
      <c r="AE5089" s="780"/>
      <c r="AF5089" s="780"/>
    </row>
    <row r="5090" spans="19:32" x14ac:dyDescent="0.35">
      <c r="S5090" s="780"/>
      <c r="T5090" s="928"/>
      <c r="U5090" s="928"/>
      <c r="V5090" s="928"/>
      <c r="W5090" s="780"/>
      <c r="X5090" s="782">
        <v>5086</v>
      </c>
      <c r="Y5090" s="782" t="s">
        <v>2248</v>
      </c>
      <c r="Z5090" s="782" t="s">
        <v>3953</v>
      </c>
      <c r="AA5090" s="781">
        <f>$S$1*P!AA5090</f>
        <v>2.0153225806451612E-3</v>
      </c>
      <c r="AB5090" s="780"/>
      <c r="AC5090" s="780"/>
      <c r="AD5090" s="780"/>
      <c r="AE5090" s="780"/>
      <c r="AF5090" s="780"/>
    </row>
    <row r="5091" spans="19:32" x14ac:dyDescent="0.35">
      <c r="S5091" s="780"/>
      <c r="T5091" s="928"/>
      <c r="U5091" s="928"/>
      <c r="V5091" s="928"/>
      <c r="W5091" s="780"/>
      <c r="X5091" s="782">
        <v>5087</v>
      </c>
      <c r="Y5091" s="782" t="s">
        <v>2248</v>
      </c>
      <c r="Z5091" s="782" t="s">
        <v>3952</v>
      </c>
      <c r="AA5091" s="781">
        <f>$S$1*P!AA5091</f>
        <v>0.49354838709677423</v>
      </c>
      <c r="AB5091" s="780"/>
      <c r="AC5091" s="780"/>
      <c r="AD5091" s="780"/>
      <c r="AE5091" s="780"/>
      <c r="AF5091" s="780"/>
    </row>
    <row r="5092" spans="19:32" x14ac:dyDescent="0.35">
      <c r="S5092" s="780"/>
      <c r="T5092" s="928"/>
      <c r="U5092" s="928"/>
      <c r="V5092" s="928"/>
      <c r="W5092" s="780"/>
      <c r="X5092" s="782">
        <v>5088</v>
      </c>
      <c r="Y5092" s="782" t="s">
        <v>2248</v>
      </c>
      <c r="Z5092" s="782" t="s">
        <v>3737</v>
      </c>
      <c r="AA5092" s="781">
        <f>$S$1*P!AA5092</f>
        <v>5.2096774193548391E-2</v>
      </c>
      <c r="AB5092" s="780"/>
      <c r="AC5092" s="780"/>
      <c r="AD5092" s="780"/>
      <c r="AE5092" s="780"/>
      <c r="AF5092" s="780"/>
    </row>
    <row r="5093" spans="19:32" x14ac:dyDescent="0.35">
      <c r="S5093" s="780"/>
      <c r="T5093" s="928"/>
      <c r="U5093" s="928"/>
      <c r="V5093" s="928"/>
      <c r="W5093" s="780"/>
      <c r="X5093" s="782">
        <v>5089</v>
      </c>
      <c r="Y5093" s="782" t="s">
        <v>2248</v>
      </c>
      <c r="Z5093" s="782" t="s">
        <v>3951</v>
      </c>
      <c r="AA5093" s="781">
        <f>$S$1*P!AA5093</f>
        <v>1.1756048387096775E-2</v>
      </c>
      <c r="AB5093" s="780"/>
      <c r="AC5093" s="780"/>
      <c r="AD5093" s="780"/>
      <c r="AE5093" s="780"/>
      <c r="AF5093" s="780"/>
    </row>
    <row r="5094" spans="19:32" x14ac:dyDescent="0.35">
      <c r="S5094" s="780"/>
      <c r="T5094" s="928"/>
      <c r="U5094" s="928"/>
      <c r="V5094" s="928"/>
      <c r="W5094" s="780"/>
      <c r="X5094" s="782">
        <v>5090</v>
      </c>
      <c r="Y5094" s="782" t="s">
        <v>2248</v>
      </c>
      <c r="Z5094" s="782" t="s">
        <v>3950</v>
      </c>
      <c r="AA5094" s="781">
        <f>$S$1*P!AA5094</f>
        <v>7.4032258064516136E-4</v>
      </c>
      <c r="AB5094" s="780"/>
      <c r="AC5094" s="780"/>
      <c r="AD5094" s="780"/>
      <c r="AE5094" s="780"/>
      <c r="AF5094" s="780"/>
    </row>
    <row r="5095" spans="19:32" x14ac:dyDescent="0.35">
      <c r="S5095" s="780"/>
      <c r="T5095" s="928"/>
      <c r="U5095" s="928"/>
      <c r="V5095" s="928"/>
      <c r="W5095" s="780"/>
      <c r="X5095" s="782">
        <v>5091</v>
      </c>
      <c r="Y5095" s="782" t="s">
        <v>2248</v>
      </c>
      <c r="Z5095" s="782" t="s">
        <v>2296</v>
      </c>
      <c r="AA5095" s="781">
        <f>$S$1*P!AA5095</f>
        <v>8.2258064516129036E-5</v>
      </c>
      <c r="AB5095" s="780"/>
      <c r="AC5095" s="780"/>
      <c r="AD5095" s="780"/>
      <c r="AE5095" s="780"/>
      <c r="AF5095" s="780"/>
    </row>
    <row r="5096" spans="19:32" x14ac:dyDescent="0.35">
      <c r="S5096" s="780"/>
      <c r="T5096" s="928"/>
      <c r="U5096" s="928"/>
      <c r="V5096" s="928"/>
      <c r="W5096" s="780"/>
      <c r="X5096" s="782">
        <v>5092</v>
      </c>
      <c r="Y5096" s="782" t="s">
        <v>2248</v>
      </c>
      <c r="Z5096" s="782" t="s">
        <v>3949</v>
      </c>
      <c r="AA5096" s="781">
        <f>$S$1*P!AA5096</f>
        <v>4.9697580645161293E-4</v>
      </c>
      <c r="AB5096" s="780"/>
      <c r="AC5096" s="780"/>
      <c r="AD5096" s="780"/>
      <c r="AE5096" s="780"/>
      <c r="AF5096" s="780"/>
    </row>
    <row r="5097" spans="19:32" x14ac:dyDescent="0.35">
      <c r="S5097" s="780"/>
      <c r="T5097" s="928"/>
      <c r="U5097" s="928"/>
      <c r="V5097" s="928"/>
      <c r="W5097" s="780"/>
      <c r="X5097" s="881">
        <v>5093</v>
      </c>
      <c r="Y5097" s="881" t="s">
        <v>2248</v>
      </c>
      <c r="Z5097" s="881" t="s">
        <v>2389</v>
      </c>
      <c r="AA5097" s="890">
        <f>$S$1*P!AA5097</f>
        <v>26.771999999999998</v>
      </c>
      <c r="AB5097" s="780"/>
      <c r="AC5097" s="780"/>
      <c r="AD5097" s="780"/>
      <c r="AE5097" s="780"/>
      <c r="AF5097" s="780"/>
    </row>
    <row r="5098" spans="19:32" x14ac:dyDescent="0.35">
      <c r="S5098" s="780"/>
      <c r="T5098" s="928"/>
      <c r="U5098" s="928"/>
      <c r="V5098" s="928"/>
      <c r="W5098" s="780"/>
      <c r="X5098" s="782">
        <v>5094</v>
      </c>
      <c r="Y5098" s="782" t="s">
        <v>2248</v>
      </c>
      <c r="Z5098" s="782" t="s">
        <v>3734</v>
      </c>
      <c r="AA5098" s="781">
        <f>$S$1*P!AA5098</f>
        <v>8.1229838709677424E-5</v>
      </c>
      <c r="AB5098" s="780"/>
      <c r="AC5098" s="780"/>
      <c r="AD5098" s="780"/>
      <c r="AE5098" s="780"/>
      <c r="AF5098" s="780"/>
    </row>
    <row r="5099" spans="19:32" x14ac:dyDescent="0.35">
      <c r="S5099" s="780"/>
      <c r="T5099" s="928"/>
      <c r="U5099" s="928"/>
      <c r="V5099" s="928"/>
      <c r="W5099" s="780"/>
      <c r="X5099" s="782">
        <v>5095</v>
      </c>
      <c r="Y5099" s="782" t="s">
        <v>2248</v>
      </c>
      <c r="Z5099" s="782" t="s">
        <v>2389</v>
      </c>
      <c r="AA5099" s="781">
        <f>$S$1*P!AA5099</f>
        <v>1.5766129032258065</v>
      </c>
      <c r="AB5099" s="780"/>
      <c r="AC5099" s="780"/>
      <c r="AD5099" s="780"/>
      <c r="AE5099" s="780"/>
      <c r="AF5099" s="780"/>
    </row>
    <row r="5100" spans="19:32" x14ac:dyDescent="0.35">
      <c r="S5100" s="780"/>
      <c r="T5100" s="928"/>
      <c r="U5100" s="928"/>
      <c r="V5100" s="928"/>
      <c r="W5100" s="780"/>
      <c r="X5100" s="782">
        <v>5096</v>
      </c>
      <c r="Y5100" s="782" t="s">
        <v>2248</v>
      </c>
      <c r="Z5100" s="782" t="s">
        <v>3732</v>
      </c>
      <c r="AA5100" s="781">
        <f>$S$1*P!AA5100</f>
        <v>0.5175403225806452</v>
      </c>
      <c r="AB5100" s="780"/>
      <c r="AC5100" s="780"/>
      <c r="AD5100" s="780"/>
      <c r="AE5100" s="780"/>
      <c r="AF5100" s="780"/>
    </row>
    <row r="5101" spans="19:32" x14ac:dyDescent="0.35">
      <c r="S5101" s="780"/>
      <c r="T5101" s="928"/>
      <c r="U5101" s="928"/>
      <c r="V5101" s="928"/>
      <c r="W5101" s="780"/>
      <c r="X5101" s="782">
        <v>5097</v>
      </c>
      <c r="Y5101" s="782" t="s">
        <v>2248</v>
      </c>
      <c r="Z5101" s="782" t="s">
        <v>3948</v>
      </c>
      <c r="AA5101" s="781">
        <f>$S$1*P!AA5101</f>
        <v>9.3911290322580651E-2</v>
      </c>
      <c r="AB5101" s="780"/>
      <c r="AC5101" s="780"/>
      <c r="AD5101" s="780"/>
      <c r="AE5101" s="780"/>
      <c r="AF5101" s="780"/>
    </row>
    <row r="5102" spans="19:32" x14ac:dyDescent="0.35">
      <c r="S5102" s="780"/>
      <c r="T5102" s="928"/>
      <c r="U5102" s="928"/>
      <c r="V5102" s="928"/>
      <c r="W5102" s="780"/>
      <c r="X5102" s="782">
        <v>5098</v>
      </c>
      <c r="Y5102" s="782" t="s">
        <v>2248</v>
      </c>
      <c r="Z5102" s="782" t="s">
        <v>3097</v>
      </c>
      <c r="AA5102" s="781">
        <f>$S$1*P!AA5102</f>
        <v>22.963709677419356</v>
      </c>
      <c r="AB5102" s="780"/>
      <c r="AC5102" s="780"/>
      <c r="AD5102" s="780"/>
      <c r="AE5102" s="780"/>
      <c r="AF5102" s="780"/>
    </row>
    <row r="5103" spans="19:32" x14ac:dyDescent="0.35">
      <c r="S5103" s="780"/>
      <c r="T5103" s="928"/>
      <c r="U5103" s="928"/>
      <c r="V5103" s="928"/>
      <c r="W5103" s="780"/>
      <c r="X5103" s="782">
        <v>5099</v>
      </c>
      <c r="Y5103" s="782" t="s">
        <v>2248</v>
      </c>
      <c r="Z5103" s="782" t="s">
        <v>3731</v>
      </c>
      <c r="AA5103" s="781">
        <f>$S$1*P!AA5103</f>
        <v>4.5584677419354845E-3</v>
      </c>
      <c r="AB5103" s="780"/>
      <c r="AC5103" s="780"/>
      <c r="AD5103" s="780"/>
      <c r="AE5103" s="780"/>
      <c r="AF5103" s="780"/>
    </row>
    <row r="5104" spans="19:32" x14ac:dyDescent="0.35">
      <c r="S5104" s="780"/>
      <c r="T5104" s="928"/>
      <c r="U5104" s="928"/>
      <c r="V5104" s="928"/>
      <c r="W5104" s="780"/>
      <c r="X5104" s="881">
        <v>5100</v>
      </c>
      <c r="Y5104" s="881" t="s">
        <v>2248</v>
      </c>
      <c r="Z5104" s="881" t="s">
        <v>2387</v>
      </c>
      <c r="AA5104" s="890">
        <f>$S$1*P!AA5104</f>
        <v>0</v>
      </c>
      <c r="AB5104" s="780"/>
      <c r="AC5104" s="780"/>
      <c r="AD5104" s="780"/>
      <c r="AE5104" s="780"/>
      <c r="AF5104" s="780"/>
    </row>
    <row r="5105" spans="19:32" x14ac:dyDescent="0.35">
      <c r="S5105" s="780"/>
      <c r="T5105" s="928"/>
      <c r="U5105" s="928"/>
      <c r="V5105" s="928"/>
      <c r="W5105" s="780"/>
      <c r="X5105" s="782">
        <v>5101</v>
      </c>
      <c r="Y5105" s="782" t="s">
        <v>2248</v>
      </c>
      <c r="Z5105" s="782" t="s">
        <v>2387</v>
      </c>
      <c r="AA5105" s="781">
        <f>$S$1*P!AA5105</f>
        <v>3.564516129032258E-2</v>
      </c>
      <c r="AB5105" s="780"/>
      <c r="AC5105" s="780"/>
      <c r="AD5105" s="780"/>
      <c r="AE5105" s="780"/>
      <c r="AF5105" s="780"/>
    </row>
    <row r="5106" spans="19:32" x14ac:dyDescent="0.35">
      <c r="S5106" s="780"/>
      <c r="T5106" s="928"/>
      <c r="U5106" s="928"/>
      <c r="V5106" s="928"/>
      <c r="W5106" s="780"/>
      <c r="X5106" s="782">
        <v>5102</v>
      </c>
      <c r="Y5106" s="782" t="s">
        <v>2248</v>
      </c>
      <c r="Z5106" s="782" t="s">
        <v>3947</v>
      </c>
      <c r="AA5106" s="781">
        <f>$S$1*P!AA5106</f>
        <v>2.0050403225806452E-4</v>
      </c>
      <c r="AB5106" s="780"/>
      <c r="AC5106" s="780"/>
      <c r="AD5106" s="780"/>
      <c r="AE5106" s="780"/>
      <c r="AF5106" s="780"/>
    </row>
    <row r="5107" spans="19:32" x14ac:dyDescent="0.35">
      <c r="S5107" s="780"/>
      <c r="T5107" s="928"/>
      <c r="U5107" s="928"/>
      <c r="V5107" s="928"/>
      <c r="W5107" s="780"/>
      <c r="X5107" s="782">
        <v>5103</v>
      </c>
      <c r="Y5107" s="782" t="s">
        <v>2248</v>
      </c>
      <c r="Z5107" s="782" t="s">
        <v>2294</v>
      </c>
      <c r="AA5107" s="781">
        <f>$S$1*P!AA5107</f>
        <v>0.16554435483870969</v>
      </c>
      <c r="AB5107" s="780"/>
      <c r="AC5107" s="780"/>
      <c r="AD5107" s="780"/>
      <c r="AE5107" s="780"/>
      <c r="AF5107" s="780"/>
    </row>
    <row r="5108" spans="19:32" x14ac:dyDescent="0.35">
      <c r="S5108" s="780"/>
      <c r="T5108" s="928"/>
      <c r="U5108" s="928"/>
      <c r="V5108" s="928"/>
      <c r="W5108" s="780"/>
      <c r="X5108" s="782">
        <v>5104</v>
      </c>
      <c r="Y5108" s="782" t="s">
        <v>2248</v>
      </c>
      <c r="Z5108" s="782" t="s">
        <v>3946</v>
      </c>
      <c r="AA5108" s="781">
        <f>$S$1*P!AA5108</f>
        <v>1.583467741935484E-4</v>
      </c>
      <c r="AB5108" s="780"/>
      <c r="AC5108" s="780"/>
      <c r="AD5108" s="780"/>
      <c r="AE5108" s="780"/>
      <c r="AF5108" s="780"/>
    </row>
    <row r="5109" spans="19:32" x14ac:dyDescent="0.35">
      <c r="S5109" s="780"/>
      <c r="T5109" s="928"/>
      <c r="U5109" s="928"/>
      <c r="V5109" s="928"/>
      <c r="W5109" s="780"/>
      <c r="X5109" s="782">
        <v>5105</v>
      </c>
      <c r="Y5109" s="782" t="s">
        <v>2248</v>
      </c>
      <c r="Z5109" s="782" t="s">
        <v>3726</v>
      </c>
      <c r="AA5109" s="781">
        <f>$S$1*P!AA5109</f>
        <v>3.3040322580645166E-4</v>
      </c>
      <c r="AB5109" s="780"/>
      <c r="AC5109" s="780"/>
      <c r="AD5109" s="780"/>
      <c r="AE5109" s="780"/>
      <c r="AF5109" s="780"/>
    </row>
    <row r="5110" spans="19:32" x14ac:dyDescent="0.35">
      <c r="S5110" s="780"/>
      <c r="T5110" s="928"/>
      <c r="U5110" s="928"/>
      <c r="V5110" s="928"/>
      <c r="W5110" s="780"/>
      <c r="X5110" s="881">
        <v>5106</v>
      </c>
      <c r="Y5110" s="881" t="s">
        <v>2248</v>
      </c>
      <c r="Z5110" s="881" t="s">
        <v>2385</v>
      </c>
      <c r="AA5110" s="890">
        <f>$S$1*P!AA5110</f>
        <v>0</v>
      </c>
      <c r="AB5110" s="780"/>
      <c r="AC5110" s="780"/>
      <c r="AD5110" s="780"/>
      <c r="AE5110" s="780"/>
      <c r="AF5110" s="780"/>
    </row>
    <row r="5111" spans="19:32" x14ac:dyDescent="0.35">
      <c r="S5111" s="780"/>
      <c r="T5111" s="928"/>
      <c r="U5111" s="928"/>
      <c r="V5111" s="928"/>
      <c r="W5111" s="780"/>
      <c r="X5111" s="782">
        <v>5107</v>
      </c>
      <c r="Y5111" s="782" t="s">
        <v>2248</v>
      </c>
      <c r="Z5111" s="782" t="s">
        <v>3945</v>
      </c>
      <c r="AA5111" s="781">
        <f>$S$1*P!AA5111</f>
        <v>38.04435483870968</v>
      </c>
      <c r="AB5111" s="780"/>
      <c r="AC5111" s="780"/>
      <c r="AD5111" s="780"/>
      <c r="AE5111" s="780"/>
      <c r="AF5111" s="780"/>
    </row>
    <row r="5112" spans="19:32" x14ac:dyDescent="0.35">
      <c r="S5112" s="780"/>
      <c r="T5112" s="928"/>
      <c r="U5112" s="928"/>
      <c r="V5112" s="928"/>
      <c r="W5112" s="780"/>
      <c r="X5112" s="782">
        <v>5108</v>
      </c>
      <c r="Y5112" s="782" t="s">
        <v>2248</v>
      </c>
      <c r="Z5112" s="782" t="s">
        <v>2385</v>
      </c>
      <c r="AA5112" s="781">
        <f>$S$1*P!AA5112</f>
        <v>9.8709677419354843E-5</v>
      </c>
      <c r="AB5112" s="780"/>
      <c r="AC5112" s="780"/>
      <c r="AD5112" s="780"/>
      <c r="AE5112" s="780"/>
      <c r="AF5112" s="780"/>
    </row>
    <row r="5113" spans="19:32" x14ac:dyDescent="0.35">
      <c r="S5113" s="780"/>
      <c r="T5113" s="928"/>
      <c r="U5113" s="928"/>
      <c r="V5113" s="928"/>
      <c r="W5113" s="780"/>
      <c r="X5113" s="782">
        <v>5109</v>
      </c>
      <c r="Y5113" s="782" t="s">
        <v>2248</v>
      </c>
      <c r="Z5113" s="782" t="s">
        <v>2293</v>
      </c>
      <c r="AA5113" s="781">
        <f>$S$1*P!AA5113</f>
        <v>0.42157258064516134</v>
      </c>
      <c r="AB5113" s="780"/>
      <c r="AC5113" s="780"/>
      <c r="AD5113" s="780"/>
      <c r="AE5113" s="780"/>
      <c r="AF5113" s="780"/>
    </row>
    <row r="5114" spans="19:32" x14ac:dyDescent="0.35">
      <c r="S5114" s="780"/>
      <c r="T5114" s="928"/>
      <c r="U5114" s="928"/>
      <c r="V5114" s="928"/>
      <c r="W5114" s="780"/>
      <c r="X5114" s="782">
        <v>5110</v>
      </c>
      <c r="Y5114" s="782" t="s">
        <v>2248</v>
      </c>
      <c r="Z5114" s="782" t="s">
        <v>3944</v>
      </c>
      <c r="AA5114" s="781">
        <f>$S$1*P!AA5114</f>
        <v>1.5046370967741936E-4</v>
      </c>
      <c r="AB5114" s="780"/>
      <c r="AC5114" s="780"/>
      <c r="AD5114" s="780"/>
      <c r="AE5114" s="780"/>
      <c r="AF5114" s="780"/>
    </row>
    <row r="5115" spans="19:32" x14ac:dyDescent="0.35">
      <c r="S5115" s="780"/>
      <c r="T5115" s="928"/>
      <c r="U5115" s="928"/>
      <c r="V5115" s="928"/>
      <c r="W5115" s="780"/>
      <c r="X5115" s="782">
        <v>5111</v>
      </c>
      <c r="Y5115" s="782" t="s">
        <v>2248</v>
      </c>
      <c r="Z5115" s="782" t="s">
        <v>2291</v>
      </c>
      <c r="AA5115" s="781">
        <f>$S$1*P!AA5115</f>
        <v>2.385483870967742E-4</v>
      </c>
      <c r="AB5115" s="780"/>
      <c r="AC5115" s="780"/>
      <c r="AD5115" s="780"/>
      <c r="AE5115" s="780"/>
      <c r="AF5115" s="780"/>
    </row>
    <row r="5116" spans="19:32" x14ac:dyDescent="0.35">
      <c r="S5116" s="780"/>
      <c r="T5116" s="928"/>
      <c r="U5116" s="928"/>
      <c r="V5116" s="928"/>
      <c r="W5116" s="780"/>
      <c r="X5116" s="881">
        <v>5112</v>
      </c>
      <c r="Y5116" s="881" t="s">
        <v>2248</v>
      </c>
      <c r="Z5116" s="881" t="s">
        <v>2384</v>
      </c>
      <c r="AA5116" s="890">
        <f>$S$1*P!AA5116</f>
        <v>0</v>
      </c>
      <c r="AB5116" s="780"/>
      <c r="AC5116" s="780"/>
      <c r="AD5116" s="780"/>
      <c r="AE5116" s="780"/>
      <c r="AF5116" s="780"/>
    </row>
    <row r="5117" spans="19:32" x14ac:dyDescent="0.35">
      <c r="S5117" s="780"/>
      <c r="T5117" s="928"/>
      <c r="U5117" s="928"/>
      <c r="V5117" s="928"/>
      <c r="W5117" s="780"/>
      <c r="X5117" s="782">
        <v>5113</v>
      </c>
      <c r="Y5117" s="782" t="s">
        <v>2248</v>
      </c>
      <c r="Z5117" s="782" t="s">
        <v>3092</v>
      </c>
      <c r="AA5117" s="781">
        <f>$S$1*P!AA5117</f>
        <v>1.9399193548387099E-3</v>
      </c>
      <c r="AB5117" s="780"/>
      <c r="AC5117" s="780"/>
      <c r="AD5117" s="780"/>
      <c r="AE5117" s="780"/>
      <c r="AF5117" s="780"/>
    </row>
    <row r="5118" spans="19:32" x14ac:dyDescent="0.35">
      <c r="S5118" s="780"/>
      <c r="T5118" s="928"/>
      <c r="U5118" s="928"/>
      <c r="V5118" s="928"/>
      <c r="W5118" s="780"/>
      <c r="X5118" s="782">
        <v>5114</v>
      </c>
      <c r="Y5118" s="782" t="s">
        <v>2248</v>
      </c>
      <c r="Z5118" s="782" t="s">
        <v>3720</v>
      </c>
      <c r="AA5118" s="781">
        <f>$S$1*P!AA5118</f>
        <v>7.3004032258064519E-4</v>
      </c>
      <c r="AB5118" s="780"/>
      <c r="AC5118" s="780"/>
      <c r="AD5118" s="780"/>
      <c r="AE5118" s="780"/>
      <c r="AF5118" s="780"/>
    </row>
    <row r="5119" spans="19:32" x14ac:dyDescent="0.35">
      <c r="S5119" s="780"/>
      <c r="T5119" s="928"/>
      <c r="U5119" s="928"/>
      <c r="V5119" s="928"/>
      <c r="W5119" s="780"/>
      <c r="X5119" s="782">
        <v>5115</v>
      </c>
      <c r="Y5119" s="782" t="s">
        <v>2248</v>
      </c>
      <c r="Z5119" s="782" t="s">
        <v>3943</v>
      </c>
      <c r="AA5119" s="781">
        <f>$S$1*P!AA5119</f>
        <v>8.2258064516129036E-6</v>
      </c>
      <c r="AB5119" s="780"/>
      <c r="AC5119" s="780"/>
      <c r="AD5119" s="780"/>
      <c r="AE5119" s="780"/>
      <c r="AF5119" s="780"/>
    </row>
    <row r="5120" spans="19:32" x14ac:dyDescent="0.35">
      <c r="S5120" s="780"/>
      <c r="T5120" s="928"/>
      <c r="U5120" s="928"/>
      <c r="V5120" s="928"/>
      <c r="W5120" s="780"/>
      <c r="X5120" s="782">
        <v>5116</v>
      </c>
      <c r="Y5120" s="782" t="s">
        <v>2248</v>
      </c>
      <c r="Z5120" s="782" t="s">
        <v>3717</v>
      </c>
      <c r="AA5120" s="781">
        <f>$S$1*P!AA5120</f>
        <v>7.1975806451612912E-4</v>
      </c>
      <c r="AB5120" s="780"/>
      <c r="AC5120" s="780"/>
      <c r="AD5120" s="780"/>
      <c r="AE5120" s="780"/>
      <c r="AF5120" s="780"/>
    </row>
    <row r="5121" spans="19:32" x14ac:dyDescent="0.35">
      <c r="S5121" s="780"/>
      <c r="T5121" s="928"/>
      <c r="U5121" s="928"/>
      <c r="V5121" s="928"/>
      <c r="W5121" s="780"/>
      <c r="X5121" s="782">
        <v>5117</v>
      </c>
      <c r="Y5121" s="782" t="s">
        <v>2248</v>
      </c>
      <c r="Z5121" s="782" t="s">
        <v>3942</v>
      </c>
      <c r="AA5121" s="781">
        <f>$S$1*P!AA5121</f>
        <v>3.7358870967741938E-2</v>
      </c>
      <c r="AB5121" s="780"/>
      <c r="AC5121" s="780"/>
      <c r="AD5121" s="780"/>
      <c r="AE5121" s="780"/>
      <c r="AF5121" s="780"/>
    </row>
    <row r="5122" spans="19:32" x14ac:dyDescent="0.35">
      <c r="S5122" s="780"/>
      <c r="T5122" s="928"/>
      <c r="U5122" s="928"/>
      <c r="V5122" s="928"/>
      <c r="W5122" s="780"/>
      <c r="X5122" s="881">
        <v>5118</v>
      </c>
      <c r="Y5122" s="881" t="s">
        <v>2248</v>
      </c>
      <c r="Z5122" s="881" t="s">
        <v>2382</v>
      </c>
      <c r="AA5122" s="890">
        <f>$S$1*P!AA5122</f>
        <v>0.12787999999999999</v>
      </c>
      <c r="AB5122" s="780"/>
      <c r="AC5122" s="780"/>
      <c r="AD5122" s="780"/>
      <c r="AE5122" s="780"/>
      <c r="AF5122" s="780"/>
    </row>
    <row r="5123" spans="19:32" x14ac:dyDescent="0.35">
      <c r="S5123" s="780"/>
      <c r="T5123" s="928"/>
      <c r="U5123" s="928"/>
      <c r="V5123" s="928"/>
      <c r="W5123" s="780"/>
      <c r="X5123" s="782">
        <v>5119</v>
      </c>
      <c r="Y5123" s="782" t="s">
        <v>2248</v>
      </c>
      <c r="Z5123" s="782" t="s">
        <v>2382</v>
      </c>
      <c r="AA5123" s="781">
        <f>$S$1*P!AA5123</f>
        <v>2.3649193548387095E-5</v>
      </c>
      <c r="AB5123" s="780"/>
      <c r="AC5123" s="780"/>
      <c r="AD5123" s="780"/>
      <c r="AE5123" s="780"/>
      <c r="AF5123" s="780"/>
    </row>
    <row r="5124" spans="19:32" x14ac:dyDescent="0.35">
      <c r="S5124" s="780"/>
      <c r="T5124" s="928"/>
      <c r="U5124" s="928"/>
      <c r="V5124" s="928"/>
      <c r="W5124" s="780"/>
      <c r="X5124" s="782">
        <v>5120</v>
      </c>
      <c r="Y5124" s="782" t="s">
        <v>2248</v>
      </c>
      <c r="Z5124" s="782" t="s">
        <v>3715</v>
      </c>
      <c r="AA5124" s="781">
        <f>$S$1*P!AA5124</f>
        <v>3.0332661290322582E-2</v>
      </c>
      <c r="AB5124" s="780"/>
      <c r="AC5124" s="780"/>
      <c r="AD5124" s="780"/>
      <c r="AE5124" s="780"/>
      <c r="AF5124" s="780"/>
    </row>
    <row r="5125" spans="19:32" x14ac:dyDescent="0.35">
      <c r="S5125" s="780"/>
      <c r="T5125" s="928"/>
      <c r="U5125" s="928"/>
      <c r="V5125" s="928"/>
      <c r="W5125" s="780"/>
      <c r="X5125" s="782">
        <v>5121</v>
      </c>
      <c r="Y5125" s="782" t="s">
        <v>2248</v>
      </c>
      <c r="Z5125" s="782" t="s">
        <v>3941</v>
      </c>
      <c r="AA5125" s="781">
        <f>$S$1*P!AA5125</f>
        <v>6.3064516129032272E-5</v>
      </c>
      <c r="AB5125" s="780"/>
      <c r="AC5125" s="780"/>
      <c r="AD5125" s="780"/>
      <c r="AE5125" s="780"/>
      <c r="AF5125" s="780"/>
    </row>
    <row r="5126" spans="19:32" x14ac:dyDescent="0.35">
      <c r="S5126" s="780"/>
      <c r="T5126" s="928"/>
      <c r="U5126" s="928"/>
      <c r="V5126" s="928"/>
      <c r="W5126" s="780"/>
      <c r="X5126" s="782">
        <v>5122</v>
      </c>
      <c r="Y5126" s="782" t="s">
        <v>2248</v>
      </c>
      <c r="Z5126" s="782" t="s">
        <v>3713</v>
      </c>
      <c r="AA5126" s="781">
        <f>$S$1*P!AA5126</f>
        <v>3.4616935483870973E-2</v>
      </c>
      <c r="AB5126" s="780"/>
      <c r="AC5126" s="780"/>
      <c r="AD5126" s="780"/>
      <c r="AE5126" s="780"/>
      <c r="AF5126" s="780"/>
    </row>
    <row r="5127" spans="19:32" x14ac:dyDescent="0.35">
      <c r="S5127" s="780"/>
      <c r="T5127" s="928"/>
      <c r="U5127" s="928"/>
      <c r="V5127" s="928"/>
      <c r="W5127" s="780"/>
      <c r="X5127" s="881">
        <v>5123</v>
      </c>
      <c r="Y5127" s="881" t="s">
        <v>2248</v>
      </c>
      <c r="Z5127" s="881" t="s">
        <v>2381</v>
      </c>
      <c r="AA5127" s="890">
        <f>$S$1*P!AA5127</f>
        <v>9.1079999999999998E-3</v>
      </c>
      <c r="AB5127" s="780"/>
      <c r="AC5127" s="780"/>
      <c r="AD5127" s="780"/>
      <c r="AE5127" s="780"/>
      <c r="AF5127" s="780"/>
    </row>
    <row r="5128" spans="19:32" x14ac:dyDescent="0.35">
      <c r="S5128" s="780"/>
      <c r="T5128" s="928"/>
      <c r="U5128" s="928"/>
      <c r="V5128" s="928"/>
      <c r="W5128" s="780"/>
      <c r="X5128" s="782">
        <v>5124</v>
      </c>
      <c r="Y5128" s="782" t="s">
        <v>2248</v>
      </c>
      <c r="Z5128" s="782" t="s">
        <v>2381</v>
      </c>
      <c r="AA5128" s="781">
        <f>$S$1*P!AA5128</f>
        <v>2.1352822580645161E-5</v>
      </c>
      <c r="AB5128" s="780"/>
      <c r="AC5128" s="780"/>
      <c r="AD5128" s="780"/>
      <c r="AE5128" s="780"/>
      <c r="AF5128" s="780"/>
    </row>
    <row r="5129" spans="19:32" x14ac:dyDescent="0.35">
      <c r="S5129" s="780"/>
      <c r="T5129" s="928"/>
      <c r="U5129" s="928"/>
      <c r="V5129" s="928"/>
      <c r="W5129" s="780"/>
      <c r="X5129" s="782">
        <v>5125</v>
      </c>
      <c r="Y5129" s="782" t="s">
        <v>2248</v>
      </c>
      <c r="Z5129" s="782" t="s">
        <v>3711</v>
      </c>
      <c r="AA5129" s="781">
        <f>$S$1*P!AA5129</f>
        <v>2.4334677419354839E-3</v>
      </c>
      <c r="AB5129" s="780"/>
      <c r="AC5129" s="780"/>
      <c r="AD5129" s="780"/>
      <c r="AE5129" s="780"/>
      <c r="AF5129" s="780"/>
    </row>
    <row r="5130" spans="19:32" x14ac:dyDescent="0.35">
      <c r="S5130" s="780"/>
      <c r="T5130" s="928"/>
      <c r="U5130" s="928"/>
      <c r="V5130" s="928"/>
      <c r="W5130" s="780"/>
      <c r="X5130" s="782">
        <v>5126</v>
      </c>
      <c r="Y5130" s="782" t="s">
        <v>2248</v>
      </c>
      <c r="Z5130" s="782" t="s">
        <v>3940</v>
      </c>
      <c r="AA5130" s="781">
        <f>$S$1*P!AA5130</f>
        <v>9.2197580645161301E-3</v>
      </c>
      <c r="AB5130" s="780"/>
      <c r="AC5130" s="780"/>
      <c r="AD5130" s="780"/>
      <c r="AE5130" s="780"/>
      <c r="AF5130" s="780"/>
    </row>
    <row r="5131" spans="19:32" x14ac:dyDescent="0.35">
      <c r="S5131" s="780"/>
      <c r="T5131" s="928"/>
      <c r="U5131" s="928"/>
      <c r="V5131" s="928"/>
      <c r="W5131" s="780"/>
      <c r="X5131" s="782">
        <v>5127</v>
      </c>
      <c r="Y5131" s="782" t="s">
        <v>2248</v>
      </c>
      <c r="Z5131" s="782" t="s">
        <v>3939</v>
      </c>
      <c r="AA5131" s="781">
        <f>$S$1*P!AA5131</f>
        <v>3.3965725806451611E-6</v>
      </c>
      <c r="AB5131" s="780"/>
      <c r="AC5131" s="780"/>
      <c r="AD5131" s="780"/>
      <c r="AE5131" s="780"/>
      <c r="AF5131" s="780"/>
    </row>
    <row r="5132" spans="19:32" x14ac:dyDescent="0.35">
      <c r="S5132" s="780"/>
      <c r="T5132" s="928"/>
      <c r="U5132" s="928"/>
      <c r="V5132" s="928"/>
      <c r="W5132" s="780"/>
      <c r="X5132" s="782">
        <v>5128</v>
      </c>
      <c r="Y5132" s="782" t="s">
        <v>2248</v>
      </c>
      <c r="Z5132" s="782" t="s">
        <v>3709</v>
      </c>
      <c r="AA5132" s="781">
        <f>$S$1*P!AA5132</f>
        <v>0.26391129032258065</v>
      </c>
      <c r="AB5132" s="780"/>
      <c r="AC5132" s="780"/>
      <c r="AD5132" s="780"/>
      <c r="AE5132" s="780"/>
      <c r="AF5132" s="780"/>
    </row>
    <row r="5133" spans="19:32" x14ac:dyDescent="0.35">
      <c r="S5133" s="780"/>
      <c r="T5133" s="928"/>
      <c r="U5133" s="928"/>
      <c r="V5133" s="928"/>
      <c r="W5133" s="780"/>
      <c r="X5133" s="782">
        <v>5129</v>
      </c>
      <c r="Y5133" s="782" t="s">
        <v>2248</v>
      </c>
      <c r="Z5133" s="782" t="s">
        <v>3938</v>
      </c>
      <c r="AA5133" s="781">
        <f>$S$1*P!AA5133</f>
        <v>7.9173387096774206E-6</v>
      </c>
      <c r="AB5133" s="780"/>
      <c r="AC5133" s="780"/>
      <c r="AD5133" s="780"/>
      <c r="AE5133" s="780"/>
      <c r="AF5133" s="780"/>
    </row>
    <row r="5134" spans="19:32" x14ac:dyDescent="0.35">
      <c r="S5134" s="780"/>
      <c r="T5134" s="928"/>
      <c r="U5134" s="928"/>
      <c r="V5134" s="928"/>
      <c r="W5134" s="780"/>
      <c r="X5134" s="782">
        <v>5130</v>
      </c>
      <c r="Y5134" s="782" t="s">
        <v>2248</v>
      </c>
      <c r="Z5134" s="782" t="s">
        <v>3707</v>
      </c>
      <c r="AA5134" s="781">
        <f>$S$1*P!AA5134</f>
        <v>1.4875000000000001E-2</v>
      </c>
      <c r="AB5134" s="780"/>
      <c r="AC5134" s="780"/>
      <c r="AD5134" s="780"/>
      <c r="AE5134" s="780"/>
      <c r="AF5134" s="780"/>
    </row>
    <row r="5135" spans="19:32" x14ac:dyDescent="0.35">
      <c r="S5135" s="780"/>
      <c r="T5135" s="928"/>
      <c r="U5135" s="928"/>
      <c r="V5135" s="928"/>
      <c r="W5135" s="780"/>
      <c r="X5135" s="782">
        <v>5131</v>
      </c>
      <c r="Y5135" s="782" t="s">
        <v>2248</v>
      </c>
      <c r="Z5135" s="782" t="s">
        <v>3937</v>
      </c>
      <c r="AA5135" s="781">
        <f>$S$1*P!AA5135</f>
        <v>1.3469758064516129E-4</v>
      </c>
      <c r="AB5135" s="780"/>
      <c r="AC5135" s="780"/>
      <c r="AD5135" s="780"/>
      <c r="AE5135" s="780"/>
      <c r="AF5135" s="780"/>
    </row>
    <row r="5136" spans="19:32" x14ac:dyDescent="0.35">
      <c r="S5136" s="780"/>
      <c r="T5136" s="928"/>
      <c r="U5136" s="928"/>
      <c r="V5136" s="928"/>
      <c r="W5136" s="780"/>
      <c r="X5136" s="782">
        <v>5132</v>
      </c>
      <c r="Y5136" s="782" t="s">
        <v>2248</v>
      </c>
      <c r="Z5136" s="782" t="s">
        <v>3091</v>
      </c>
      <c r="AA5136" s="781">
        <f>$S$1*P!AA5136</f>
        <v>2.186693548387097E-3</v>
      </c>
      <c r="AB5136" s="780"/>
      <c r="AC5136" s="780"/>
      <c r="AD5136" s="780"/>
      <c r="AE5136" s="780"/>
      <c r="AF5136" s="780"/>
    </row>
    <row r="5137" spans="19:32" x14ac:dyDescent="0.35">
      <c r="S5137" s="780"/>
      <c r="T5137" s="928"/>
      <c r="U5137" s="928"/>
      <c r="V5137" s="928"/>
      <c r="W5137" s="780"/>
      <c r="X5137" s="782">
        <v>5133</v>
      </c>
      <c r="Y5137" s="782" t="s">
        <v>2248</v>
      </c>
      <c r="Z5137" s="782" t="s">
        <v>3705</v>
      </c>
      <c r="AA5137" s="781">
        <f>$S$1*P!AA5137</f>
        <v>1.2167338709677421E-2</v>
      </c>
      <c r="AB5137" s="780"/>
      <c r="AC5137" s="780"/>
      <c r="AD5137" s="780"/>
      <c r="AE5137" s="780"/>
      <c r="AF5137" s="780"/>
    </row>
    <row r="5138" spans="19:32" x14ac:dyDescent="0.35">
      <c r="S5138" s="780"/>
      <c r="T5138" s="928"/>
      <c r="U5138" s="928"/>
      <c r="V5138" s="928"/>
      <c r="W5138" s="780"/>
      <c r="X5138" s="782">
        <v>5134</v>
      </c>
      <c r="Y5138" s="782" t="s">
        <v>2248</v>
      </c>
      <c r="Z5138" s="782" t="s">
        <v>3936</v>
      </c>
      <c r="AA5138" s="781">
        <f>$S$1*P!AA5138</f>
        <v>2.5842741935483873E-2</v>
      </c>
      <c r="AB5138" s="780"/>
      <c r="AC5138" s="780"/>
      <c r="AD5138" s="780"/>
      <c r="AE5138" s="780"/>
      <c r="AF5138" s="780"/>
    </row>
    <row r="5139" spans="19:32" x14ac:dyDescent="0.35">
      <c r="S5139" s="780"/>
      <c r="T5139" s="928"/>
      <c r="U5139" s="928"/>
      <c r="V5139" s="928"/>
      <c r="W5139" s="780"/>
      <c r="X5139" s="782">
        <v>5135</v>
      </c>
      <c r="Y5139" s="782" t="s">
        <v>2248</v>
      </c>
      <c r="Z5139" s="782" t="s">
        <v>3935</v>
      </c>
      <c r="AA5139" s="781">
        <f>$S$1*P!AA5139</f>
        <v>5.8608870967741941E-3</v>
      </c>
      <c r="AB5139" s="780"/>
      <c r="AC5139" s="780"/>
      <c r="AD5139" s="780"/>
      <c r="AE5139" s="780"/>
      <c r="AF5139" s="780"/>
    </row>
    <row r="5140" spans="19:32" x14ac:dyDescent="0.35">
      <c r="S5140" s="780"/>
      <c r="T5140" s="928"/>
      <c r="U5140" s="928"/>
      <c r="V5140" s="928"/>
      <c r="W5140" s="780"/>
      <c r="X5140" s="782">
        <v>5136</v>
      </c>
      <c r="Y5140" s="782" t="s">
        <v>2248</v>
      </c>
      <c r="Z5140" s="782" t="s">
        <v>3703</v>
      </c>
      <c r="AA5140" s="781">
        <f>$S$1*P!AA5140</f>
        <v>2.1832661290322582E-2</v>
      </c>
      <c r="AB5140" s="780"/>
      <c r="AC5140" s="780"/>
      <c r="AD5140" s="780"/>
      <c r="AE5140" s="780"/>
      <c r="AF5140" s="780"/>
    </row>
    <row r="5141" spans="19:32" x14ac:dyDescent="0.35">
      <c r="S5141" s="780"/>
      <c r="T5141" s="928"/>
      <c r="U5141" s="928"/>
      <c r="V5141" s="928"/>
      <c r="W5141" s="780"/>
      <c r="X5141" s="782">
        <v>5137</v>
      </c>
      <c r="Y5141" s="782" t="s">
        <v>2248</v>
      </c>
      <c r="Z5141" s="782" t="s">
        <v>3934</v>
      </c>
      <c r="AA5141" s="781">
        <f>$S$1*P!AA5141</f>
        <v>1.4120967741935484</v>
      </c>
      <c r="AB5141" s="780"/>
      <c r="AC5141" s="780"/>
      <c r="AD5141" s="780"/>
      <c r="AE5141" s="780"/>
      <c r="AF5141" s="780"/>
    </row>
    <row r="5142" spans="19:32" x14ac:dyDescent="0.35">
      <c r="S5142" s="780"/>
      <c r="T5142" s="928"/>
      <c r="U5142" s="928"/>
      <c r="V5142" s="928"/>
      <c r="W5142" s="780"/>
      <c r="X5142" s="782">
        <v>5138</v>
      </c>
      <c r="Y5142" s="782" t="s">
        <v>2248</v>
      </c>
      <c r="Z5142" s="782" t="s">
        <v>3933</v>
      </c>
      <c r="AA5142" s="781">
        <f>$S$1*P!AA5142</f>
        <v>0.92197580645161292</v>
      </c>
      <c r="AB5142" s="780"/>
      <c r="AC5142" s="780"/>
      <c r="AD5142" s="780"/>
      <c r="AE5142" s="780"/>
      <c r="AF5142" s="780"/>
    </row>
    <row r="5143" spans="19:32" x14ac:dyDescent="0.35">
      <c r="S5143" s="780"/>
      <c r="T5143" s="928"/>
      <c r="U5143" s="928"/>
      <c r="V5143" s="928"/>
      <c r="W5143" s="780"/>
      <c r="X5143" s="782">
        <v>5139</v>
      </c>
      <c r="Y5143" s="782" t="s">
        <v>2248</v>
      </c>
      <c r="Z5143" s="782" t="s">
        <v>2290</v>
      </c>
      <c r="AA5143" s="781">
        <f>$S$1*P!AA5143</f>
        <v>1.9330645161290324E-5</v>
      </c>
      <c r="AB5143" s="780"/>
      <c r="AC5143" s="780"/>
      <c r="AD5143" s="780"/>
      <c r="AE5143" s="780"/>
      <c r="AF5143" s="780"/>
    </row>
    <row r="5144" spans="19:32" x14ac:dyDescent="0.35">
      <c r="S5144" s="780"/>
      <c r="T5144" s="928"/>
      <c r="U5144" s="928"/>
      <c r="V5144" s="928"/>
      <c r="W5144" s="780"/>
      <c r="X5144" s="782">
        <v>5140</v>
      </c>
      <c r="Y5144" s="782" t="s">
        <v>2248</v>
      </c>
      <c r="Z5144" s="782" t="s">
        <v>3932</v>
      </c>
      <c r="AA5144" s="781">
        <f>$S$1*P!AA5144</f>
        <v>0.1607459677419355</v>
      </c>
      <c r="AB5144" s="780"/>
      <c r="AC5144" s="780"/>
      <c r="AD5144" s="780"/>
      <c r="AE5144" s="780"/>
      <c r="AF5144" s="780"/>
    </row>
    <row r="5145" spans="19:32" x14ac:dyDescent="0.35">
      <c r="S5145" s="780"/>
      <c r="T5145" s="928"/>
      <c r="U5145" s="928"/>
      <c r="V5145" s="928"/>
      <c r="W5145" s="780"/>
      <c r="X5145" s="782">
        <v>5141</v>
      </c>
      <c r="Y5145" s="782" t="s">
        <v>2248</v>
      </c>
      <c r="Z5145" s="782" t="s">
        <v>3698</v>
      </c>
      <c r="AA5145" s="781">
        <f>$S$1*P!AA5145</f>
        <v>2.7899193548387101E-3</v>
      </c>
      <c r="AB5145" s="780"/>
      <c r="AC5145" s="780"/>
      <c r="AD5145" s="780"/>
      <c r="AE5145" s="780"/>
      <c r="AF5145" s="780"/>
    </row>
    <row r="5146" spans="19:32" x14ac:dyDescent="0.35">
      <c r="S5146" s="780"/>
      <c r="T5146" s="928"/>
      <c r="U5146" s="928"/>
      <c r="V5146" s="928"/>
      <c r="W5146" s="780"/>
      <c r="X5146" s="782">
        <v>5142</v>
      </c>
      <c r="Y5146" s="782" t="s">
        <v>2248</v>
      </c>
      <c r="Z5146" s="782" t="s">
        <v>3931</v>
      </c>
      <c r="AA5146" s="781">
        <f>$S$1*P!AA5146</f>
        <v>3.1737903225806455E-2</v>
      </c>
      <c r="AB5146" s="780"/>
      <c r="AC5146" s="780"/>
      <c r="AD5146" s="780"/>
      <c r="AE5146" s="780"/>
      <c r="AF5146" s="780"/>
    </row>
    <row r="5147" spans="19:32" x14ac:dyDescent="0.35">
      <c r="S5147" s="780"/>
      <c r="T5147" s="928"/>
      <c r="U5147" s="928"/>
      <c r="V5147" s="928"/>
      <c r="W5147" s="780"/>
      <c r="X5147" s="782">
        <v>5143</v>
      </c>
      <c r="Y5147" s="782" t="s">
        <v>2248</v>
      </c>
      <c r="Z5147" s="782" t="s">
        <v>3089</v>
      </c>
      <c r="AA5147" s="781">
        <f>$S$1*P!AA5147</f>
        <v>80.201612903225808</v>
      </c>
      <c r="AB5147" s="780"/>
      <c r="AC5147" s="780"/>
      <c r="AD5147" s="780"/>
      <c r="AE5147" s="780"/>
      <c r="AF5147" s="780"/>
    </row>
    <row r="5148" spans="19:32" x14ac:dyDescent="0.35">
      <c r="S5148" s="780"/>
      <c r="T5148" s="928"/>
      <c r="U5148" s="928"/>
      <c r="V5148" s="928"/>
      <c r="W5148" s="780"/>
      <c r="X5148" s="782">
        <v>5144</v>
      </c>
      <c r="Y5148" s="782" t="s">
        <v>2248</v>
      </c>
      <c r="Z5148" s="782" t="s">
        <v>3930</v>
      </c>
      <c r="AA5148" s="781">
        <f>$S$1*P!AA5148</f>
        <v>2.5431451612903229E-2</v>
      </c>
      <c r="AB5148" s="780"/>
      <c r="AC5148" s="780"/>
      <c r="AD5148" s="780"/>
      <c r="AE5148" s="780"/>
      <c r="AF5148" s="780"/>
    </row>
    <row r="5149" spans="19:32" x14ac:dyDescent="0.35">
      <c r="S5149" s="780"/>
      <c r="T5149" s="928"/>
      <c r="U5149" s="928"/>
      <c r="V5149" s="928"/>
      <c r="W5149" s="780"/>
      <c r="X5149" s="782">
        <v>5145</v>
      </c>
      <c r="Y5149" s="782" t="s">
        <v>2248</v>
      </c>
      <c r="Z5149" s="782" t="s">
        <v>3697</v>
      </c>
      <c r="AA5149" s="781">
        <f>$S$1*P!AA5149</f>
        <v>2.1558467741935485E-4</v>
      </c>
      <c r="AB5149" s="780"/>
      <c r="AC5149" s="780"/>
      <c r="AD5149" s="780"/>
      <c r="AE5149" s="780"/>
      <c r="AF5149" s="780"/>
    </row>
    <row r="5150" spans="19:32" x14ac:dyDescent="0.35">
      <c r="S5150" s="780"/>
      <c r="T5150" s="928"/>
      <c r="U5150" s="928"/>
      <c r="V5150" s="928"/>
      <c r="W5150" s="780"/>
      <c r="X5150" s="881">
        <v>5146</v>
      </c>
      <c r="Y5150" s="881" t="s">
        <v>2248</v>
      </c>
      <c r="Z5150" s="881" t="s">
        <v>2379</v>
      </c>
      <c r="AA5150" s="890">
        <f>$S$1*P!AA5150</f>
        <v>0</v>
      </c>
      <c r="AB5150" s="780"/>
      <c r="AC5150" s="780"/>
      <c r="AD5150" s="780"/>
      <c r="AE5150" s="780"/>
      <c r="AF5150" s="780"/>
    </row>
    <row r="5151" spans="19:32" x14ac:dyDescent="0.35">
      <c r="S5151" s="780"/>
      <c r="T5151" s="928"/>
      <c r="U5151" s="928"/>
      <c r="V5151" s="928"/>
      <c r="W5151" s="780"/>
      <c r="X5151" s="782">
        <v>5147</v>
      </c>
      <c r="Y5151" s="782" t="s">
        <v>2248</v>
      </c>
      <c r="Z5151" s="782" t="s">
        <v>3929</v>
      </c>
      <c r="AA5151" s="781">
        <f>$S$1*P!AA5151</f>
        <v>1.9536290322580648E-2</v>
      </c>
      <c r="AB5151" s="780"/>
      <c r="AC5151" s="780"/>
      <c r="AD5151" s="780"/>
      <c r="AE5151" s="780"/>
      <c r="AF5151" s="780"/>
    </row>
    <row r="5152" spans="19:32" x14ac:dyDescent="0.35">
      <c r="S5152" s="780"/>
      <c r="T5152" s="928"/>
      <c r="U5152" s="928"/>
      <c r="V5152" s="928"/>
      <c r="W5152" s="780"/>
      <c r="X5152" s="782">
        <v>5148</v>
      </c>
      <c r="Y5152" s="782" t="s">
        <v>2248</v>
      </c>
      <c r="Z5152" s="782" t="s">
        <v>3695</v>
      </c>
      <c r="AA5152" s="781">
        <f>$S$1*P!AA5152</f>
        <v>1.0796370967741937E-3</v>
      </c>
      <c r="AB5152" s="780"/>
      <c r="AC5152" s="780"/>
      <c r="AD5152" s="780"/>
      <c r="AE5152" s="780"/>
      <c r="AF5152" s="780"/>
    </row>
    <row r="5153" spans="19:32" x14ac:dyDescent="0.35">
      <c r="S5153" s="780"/>
      <c r="T5153" s="928"/>
      <c r="U5153" s="928"/>
      <c r="V5153" s="928"/>
      <c r="W5153" s="780"/>
      <c r="X5153" s="881">
        <v>5149</v>
      </c>
      <c r="Y5153" s="881" t="s">
        <v>2248</v>
      </c>
      <c r="Z5153" s="881" t="s">
        <v>2378</v>
      </c>
      <c r="AA5153" s="890">
        <f>$S$1*P!AA5153</f>
        <v>0</v>
      </c>
      <c r="AB5153" s="780"/>
      <c r="AC5153" s="780"/>
      <c r="AD5153" s="780"/>
      <c r="AE5153" s="780"/>
      <c r="AF5153" s="780"/>
    </row>
    <row r="5154" spans="19:32" x14ac:dyDescent="0.35">
      <c r="S5154" s="780"/>
      <c r="T5154" s="928"/>
      <c r="U5154" s="928"/>
      <c r="V5154" s="928"/>
      <c r="W5154" s="780"/>
      <c r="X5154" s="782">
        <v>5150</v>
      </c>
      <c r="Y5154" s="782" t="s">
        <v>2248</v>
      </c>
      <c r="Z5154" s="782" t="s">
        <v>3693</v>
      </c>
      <c r="AA5154" s="781">
        <f>$S$1*P!AA5154</f>
        <v>1.7993951612903228E-3</v>
      </c>
      <c r="AB5154" s="780"/>
      <c r="AC5154" s="780"/>
      <c r="AD5154" s="780"/>
      <c r="AE5154" s="780"/>
      <c r="AF5154" s="780"/>
    </row>
    <row r="5155" spans="19:32" x14ac:dyDescent="0.35">
      <c r="S5155" s="780"/>
      <c r="T5155" s="928"/>
      <c r="U5155" s="928"/>
      <c r="V5155" s="928"/>
      <c r="W5155" s="780"/>
      <c r="X5155" s="782">
        <v>5151</v>
      </c>
      <c r="Y5155" s="782" t="s">
        <v>2248</v>
      </c>
      <c r="Z5155" s="782" t="s">
        <v>3928</v>
      </c>
      <c r="AA5155" s="781">
        <f>$S$1*P!AA5155</f>
        <v>4.3528225806451615E-5</v>
      </c>
      <c r="AB5155" s="780"/>
      <c r="AC5155" s="780"/>
      <c r="AD5155" s="780"/>
      <c r="AE5155" s="780"/>
      <c r="AF5155" s="780"/>
    </row>
    <row r="5156" spans="19:32" x14ac:dyDescent="0.35">
      <c r="S5156" s="780"/>
      <c r="T5156" s="928"/>
      <c r="U5156" s="928"/>
      <c r="V5156" s="928"/>
      <c r="W5156" s="780"/>
      <c r="X5156" s="782">
        <v>5152</v>
      </c>
      <c r="Y5156" s="782" t="s">
        <v>2248</v>
      </c>
      <c r="Z5156" s="782" t="s">
        <v>3927</v>
      </c>
      <c r="AA5156" s="781">
        <f>$S$1*P!AA5156</f>
        <v>2.8721774193548388E-2</v>
      </c>
      <c r="AB5156" s="780"/>
      <c r="AC5156" s="780"/>
      <c r="AD5156" s="780"/>
      <c r="AE5156" s="780"/>
      <c r="AF5156" s="780"/>
    </row>
    <row r="5157" spans="19:32" x14ac:dyDescent="0.35">
      <c r="S5157" s="780"/>
      <c r="T5157" s="928"/>
      <c r="U5157" s="928"/>
      <c r="V5157" s="928"/>
      <c r="W5157" s="780"/>
      <c r="X5157" s="782">
        <v>5153</v>
      </c>
      <c r="Y5157" s="782" t="s">
        <v>2248</v>
      </c>
      <c r="Z5157" s="782" t="s">
        <v>3926</v>
      </c>
      <c r="AA5157" s="781">
        <f>$S$1*P!AA5157</f>
        <v>4.4899193548387102E-4</v>
      </c>
      <c r="AB5157" s="780"/>
      <c r="AC5157" s="780"/>
      <c r="AD5157" s="780"/>
      <c r="AE5157" s="780"/>
      <c r="AF5157" s="780"/>
    </row>
    <row r="5158" spans="19:32" x14ac:dyDescent="0.35">
      <c r="S5158" s="780"/>
      <c r="T5158" s="928"/>
      <c r="U5158" s="928"/>
      <c r="V5158" s="928"/>
      <c r="W5158" s="780"/>
      <c r="X5158" s="782">
        <v>5154</v>
      </c>
      <c r="Y5158" s="782" t="s">
        <v>2248</v>
      </c>
      <c r="Z5158" s="782" t="s">
        <v>3691</v>
      </c>
      <c r="AA5158" s="781">
        <f>$S$1*P!AA5158</f>
        <v>1.0487903225806453E-3</v>
      </c>
      <c r="AB5158" s="780"/>
      <c r="AC5158" s="780"/>
      <c r="AD5158" s="780"/>
      <c r="AE5158" s="780"/>
      <c r="AF5158" s="780"/>
    </row>
    <row r="5159" spans="19:32" x14ac:dyDescent="0.35">
      <c r="S5159" s="780"/>
      <c r="T5159" s="928"/>
      <c r="U5159" s="928"/>
      <c r="V5159" s="928"/>
      <c r="W5159" s="780"/>
      <c r="X5159" s="782">
        <v>5155</v>
      </c>
      <c r="Y5159" s="782" t="s">
        <v>2248</v>
      </c>
      <c r="Z5159" s="782" t="s">
        <v>3925</v>
      </c>
      <c r="AA5159" s="781">
        <f>$S$1*P!AA5159</f>
        <v>0.10796370967741936</v>
      </c>
      <c r="AB5159" s="780"/>
      <c r="AC5159" s="780"/>
      <c r="AD5159" s="780"/>
      <c r="AE5159" s="780"/>
      <c r="AF5159" s="780"/>
    </row>
    <row r="5160" spans="19:32" x14ac:dyDescent="0.35">
      <c r="S5160" s="780"/>
      <c r="T5160" s="928"/>
      <c r="U5160" s="928"/>
      <c r="V5160" s="928"/>
      <c r="W5160" s="780"/>
      <c r="X5160" s="782">
        <v>5156</v>
      </c>
      <c r="Y5160" s="782" t="s">
        <v>2248</v>
      </c>
      <c r="Z5160" s="782" t="s">
        <v>3690</v>
      </c>
      <c r="AA5160" s="781">
        <f>$S$1*P!AA5160</f>
        <v>1.2750000000000001E-2</v>
      </c>
      <c r="AB5160" s="780"/>
      <c r="AC5160" s="780"/>
      <c r="AD5160" s="780"/>
      <c r="AE5160" s="780"/>
      <c r="AF5160" s="780"/>
    </row>
    <row r="5161" spans="19:32" x14ac:dyDescent="0.35">
      <c r="S5161" s="780"/>
      <c r="T5161" s="928"/>
      <c r="U5161" s="928"/>
      <c r="V5161" s="928"/>
      <c r="W5161" s="780"/>
      <c r="X5161" s="782">
        <v>5157</v>
      </c>
      <c r="Y5161" s="782" t="s">
        <v>2248</v>
      </c>
      <c r="Z5161" s="782" t="s">
        <v>3924</v>
      </c>
      <c r="AA5161" s="781">
        <f>$S$1*P!AA5161</f>
        <v>0.342741935483871</v>
      </c>
      <c r="AB5161" s="780"/>
      <c r="AC5161" s="780"/>
      <c r="AD5161" s="780"/>
      <c r="AE5161" s="780"/>
      <c r="AF5161" s="780"/>
    </row>
    <row r="5162" spans="19:32" x14ac:dyDescent="0.35">
      <c r="S5162" s="780"/>
      <c r="T5162" s="928"/>
      <c r="U5162" s="928"/>
      <c r="V5162" s="928"/>
      <c r="W5162" s="780"/>
      <c r="X5162" s="782">
        <v>5158</v>
      </c>
      <c r="Y5162" s="782" t="s">
        <v>2248</v>
      </c>
      <c r="Z5162" s="782" t="s">
        <v>3923</v>
      </c>
      <c r="AA5162" s="781">
        <f>$S$1*P!AA5162</f>
        <v>6.9919354838709676E-6</v>
      </c>
      <c r="AB5162" s="780"/>
      <c r="AC5162" s="780"/>
      <c r="AD5162" s="780"/>
      <c r="AE5162" s="780"/>
      <c r="AF5162" s="780"/>
    </row>
    <row r="5163" spans="19:32" x14ac:dyDescent="0.35">
      <c r="S5163" s="780"/>
      <c r="T5163" s="928"/>
      <c r="U5163" s="928"/>
      <c r="V5163" s="928"/>
      <c r="W5163" s="780"/>
      <c r="X5163" s="782">
        <v>5159</v>
      </c>
      <c r="Y5163" s="782" t="s">
        <v>2248</v>
      </c>
      <c r="Z5163" s="782" t="s">
        <v>2288</v>
      </c>
      <c r="AA5163" s="781">
        <f>$S$1*P!AA5163</f>
        <v>7.3346774193548388E-6</v>
      </c>
      <c r="AB5163" s="780"/>
      <c r="AC5163" s="780"/>
      <c r="AD5163" s="780"/>
      <c r="AE5163" s="780"/>
      <c r="AF5163" s="780"/>
    </row>
    <row r="5164" spans="19:32" x14ac:dyDescent="0.35">
      <c r="S5164" s="780"/>
      <c r="T5164" s="928"/>
      <c r="U5164" s="928"/>
      <c r="V5164" s="928"/>
      <c r="W5164" s="780"/>
      <c r="X5164" s="782">
        <v>5160</v>
      </c>
      <c r="Y5164" s="782" t="s">
        <v>2248</v>
      </c>
      <c r="Z5164" s="782" t="s">
        <v>3922</v>
      </c>
      <c r="AA5164" s="781">
        <f>$S$1*P!AA5164</f>
        <v>9.7338709677419356E-3</v>
      </c>
      <c r="AB5164" s="780"/>
      <c r="AC5164" s="780"/>
      <c r="AD5164" s="780"/>
      <c r="AE5164" s="780"/>
      <c r="AF5164" s="780"/>
    </row>
    <row r="5165" spans="19:32" x14ac:dyDescent="0.35">
      <c r="S5165" s="780"/>
      <c r="T5165" s="928"/>
      <c r="U5165" s="928"/>
      <c r="V5165" s="928"/>
      <c r="W5165" s="780"/>
      <c r="X5165" s="881">
        <v>5161</v>
      </c>
      <c r="Y5165" s="881" t="s">
        <v>2248</v>
      </c>
      <c r="Z5165" s="881" t="s">
        <v>2376</v>
      </c>
      <c r="AA5165" s="890">
        <f>$S$1*P!AA5165</f>
        <v>2.4288000000000002E-5</v>
      </c>
      <c r="AB5165" s="780"/>
      <c r="AC5165" s="780"/>
      <c r="AD5165" s="780"/>
      <c r="AE5165" s="780"/>
      <c r="AF5165" s="780"/>
    </row>
    <row r="5166" spans="19:32" x14ac:dyDescent="0.35">
      <c r="S5166" s="780"/>
      <c r="T5166" s="928"/>
      <c r="U5166" s="928"/>
      <c r="V5166" s="928"/>
      <c r="W5166" s="780"/>
      <c r="X5166" s="782">
        <v>5162</v>
      </c>
      <c r="Y5166" s="782" t="s">
        <v>2248</v>
      </c>
      <c r="Z5166" s="782" t="s">
        <v>3685</v>
      </c>
      <c r="AA5166" s="781">
        <f>$S$1*P!AA5166</f>
        <v>2.8756048387096777E-6</v>
      </c>
      <c r="AB5166" s="780"/>
      <c r="AC5166" s="780"/>
      <c r="AD5166" s="780"/>
      <c r="AE5166" s="780"/>
      <c r="AF5166" s="780"/>
    </row>
    <row r="5167" spans="19:32" x14ac:dyDescent="0.35">
      <c r="S5167" s="780"/>
      <c r="T5167" s="928"/>
      <c r="U5167" s="928"/>
      <c r="V5167" s="928"/>
      <c r="W5167" s="780"/>
      <c r="X5167" s="782">
        <v>5163</v>
      </c>
      <c r="Y5167" s="782" t="s">
        <v>2248</v>
      </c>
      <c r="Z5167" s="782" t="s">
        <v>3921</v>
      </c>
      <c r="AA5167" s="781">
        <f>$S$1*P!AA5167</f>
        <v>1.3675403225806453E-2</v>
      </c>
      <c r="AB5167" s="780"/>
      <c r="AC5167" s="780"/>
      <c r="AD5167" s="780"/>
      <c r="AE5167" s="780"/>
      <c r="AF5167" s="780"/>
    </row>
    <row r="5168" spans="19:32" x14ac:dyDescent="0.35">
      <c r="S5168" s="780"/>
      <c r="T5168" s="928"/>
      <c r="U5168" s="928"/>
      <c r="V5168" s="928"/>
      <c r="W5168" s="780"/>
      <c r="X5168" s="782">
        <v>5164</v>
      </c>
      <c r="Y5168" s="782" t="s">
        <v>2248</v>
      </c>
      <c r="Z5168" s="782" t="s">
        <v>3920</v>
      </c>
      <c r="AA5168" s="781">
        <f>$S$1*P!AA5168</f>
        <v>0.42157258064516134</v>
      </c>
      <c r="AB5168" s="780"/>
      <c r="AC5168" s="780"/>
      <c r="AD5168" s="780"/>
      <c r="AE5168" s="780"/>
      <c r="AF5168" s="780"/>
    </row>
    <row r="5169" spans="19:32" x14ac:dyDescent="0.35">
      <c r="S5169" s="780"/>
      <c r="T5169" s="928"/>
      <c r="U5169" s="928"/>
      <c r="V5169" s="928"/>
      <c r="W5169" s="780"/>
      <c r="X5169" s="782">
        <v>5165</v>
      </c>
      <c r="Y5169" s="782" t="s">
        <v>2248</v>
      </c>
      <c r="Z5169" s="782" t="s">
        <v>3684</v>
      </c>
      <c r="AA5169" s="781">
        <f>$S$1*P!AA5169</f>
        <v>1.5389112903225807E-4</v>
      </c>
      <c r="AB5169" s="780"/>
      <c r="AC5169" s="780"/>
      <c r="AD5169" s="780"/>
      <c r="AE5169" s="780"/>
      <c r="AF5169" s="780"/>
    </row>
    <row r="5170" spans="19:32" x14ac:dyDescent="0.35">
      <c r="S5170" s="780"/>
      <c r="T5170" s="928"/>
      <c r="U5170" s="928"/>
      <c r="V5170" s="928"/>
      <c r="W5170" s="780"/>
      <c r="X5170" s="782">
        <v>5166</v>
      </c>
      <c r="Y5170" s="782" t="s">
        <v>2248</v>
      </c>
      <c r="Z5170" s="782" t="s">
        <v>3919</v>
      </c>
      <c r="AA5170" s="781">
        <f>$S$1*P!AA5170</f>
        <v>4.1471774193548389E-2</v>
      </c>
      <c r="AB5170" s="780"/>
      <c r="AC5170" s="780"/>
      <c r="AD5170" s="780"/>
      <c r="AE5170" s="780"/>
      <c r="AF5170" s="780"/>
    </row>
    <row r="5171" spans="19:32" x14ac:dyDescent="0.35">
      <c r="S5171" s="780"/>
      <c r="T5171" s="928"/>
      <c r="U5171" s="928"/>
      <c r="V5171" s="928"/>
      <c r="W5171" s="780"/>
      <c r="X5171" s="782">
        <v>5167</v>
      </c>
      <c r="Y5171" s="782" t="s">
        <v>2248</v>
      </c>
      <c r="Z5171" s="782" t="s">
        <v>3087</v>
      </c>
      <c r="AA5171" s="781">
        <f>$S$1*P!AA5171</f>
        <v>2.0941532258064518E-4</v>
      </c>
      <c r="AB5171" s="780"/>
      <c r="AC5171" s="780"/>
      <c r="AD5171" s="780"/>
      <c r="AE5171" s="780"/>
      <c r="AF5171" s="780"/>
    </row>
    <row r="5172" spans="19:32" x14ac:dyDescent="0.35">
      <c r="S5172" s="780"/>
      <c r="T5172" s="928"/>
      <c r="U5172" s="928"/>
      <c r="V5172" s="928"/>
      <c r="W5172" s="780"/>
      <c r="X5172" s="782">
        <v>5168</v>
      </c>
      <c r="Y5172" s="782" t="s">
        <v>2248</v>
      </c>
      <c r="Z5172" s="782" t="s">
        <v>3682</v>
      </c>
      <c r="AA5172" s="781">
        <f>$S$1*P!AA5172</f>
        <v>5.8951612903225814E-3</v>
      </c>
      <c r="AB5172" s="780"/>
      <c r="AC5172" s="780"/>
      <c r="AD5172" s="780"/>
      <c r="AE5172" s="780"/>
      <c r="AF5172" s="780"/>
    </row>
    <row r="5173" spans="19:32" x14ac:dyDescent="0.35">
      <c r="S5173" s="780"/>
      <c r="T5173" s="928"/>
      <c r="U5173" s="928"/>
      <c r="V5173" s="928"/>
      <c r="W5173" s="780"/>
      <c r="X5173" s="881">
        <v>5169</v>
      </c>
      <c r="Y5173" s="881" t="s">
        <v>2248</v>
      </c>
      <c r="Z5173" s="881" t="s">
        <v>2375</v>
      </c>
      <c r="AA5173" s="890">
        <f>$S$1*P!AA5173</f>
        <v>0</v>
      </c>
      <c r="AB5173" s="780"/>
      <c r="AC5173" s="780"/>
      <c r="AD5173" s="780"/>
      <c r="AE5173" s="780"/>
      <c r="AF5173" s="780"/>
    </row>
    <row r="5174" spans="19:32" x14ac:dyDescent="0.35">
      <c r="S5174" s="780"/>
      <c r="T5174" s="928"/>
      <c r="U5174" s="928"/>
      <c r="V5174" s="928"/>
      <c r="W5174" s="780"/>
      <c r="X5174" s="782">
        <v>5170</v>
      </c>
      <c r="Y5174" s="782" t="s">
        <v>2248</v>
      </c>
      <c r="Z5174" s="782" t="s">
        <v>2375</v>
      </c>
      <c r="AA5174" s="781">
        <f>$S$1*P!AA5174</f>
        <v>3.9758064516129036E-4</v>
      </c>
      <c r="AB5174" s="780"/>
      <c r="AC5174" s="780"/>
      <c r="AD5174" s="780"/>
      <c r="AE5174" s="780"/>
      <c r="AF5174" s="780"/>
    </row>
    <row r="5175" spans="19:32" x14ac:dyDescent="0.35">
      <c r="S5175" s="780"/>
      <c r="T5175" s="928"/>
      <c r="U5175" s="928"/>
      <c r="V5175" s="928"/>
      <c r="W5175" s="780"/>
      <c r="X5175" s="782">
        <v>5171</v>
      </c>
      <c r="Y5175" s="782" t="s">
        <v>2248</v>
      </c>
      <c r="Z5175" s="782" t="s">
        <v>2287</v>
      </c>
      <c r="AA5175" s="781">
        <f>$S$1*P!AA5175</f>
        <v>4.4556451612903231E-6</v>
      </c>
      <c r="AB5175" s="780"/>
      <c r="AC5175" s="780"/>
      <c r="AD5175" s="780"/>
      <c r="AE5175" s="780"/>
      <c r="AF5175" s="780"/>
    </row>
    <row r="5176" spans="19:32" x14ac:dyDescent="0.35">
      <c r="S5176" s="780"/>
      <c r="T5176" s="928"/>
      <c r="U5176" s="928"/>
      <c r="V5176" s="928"/>
      <c r="W5176" s="780"/>
      <c r="X5176" s="782">
        <v>5172</v>
      </c>
      <c r="Y5176" s="782" t="s">
        <v>2248</v>
      </c>
      <c r="Z5176" s="782" t="s">
        <v>3918</v>
      </c>
      <c r="AA5176" s="781">
        <f>$S$1*P!AA5176</f>
        <v>3.5987903225806456E-4</v>
      </c>
      <c r="AB5176" s="780"/>
      <c r="AC5176" s="780"/>
      <c r="AD5176" s="780"/>
      <c r="AE5176" s="780"/>
      <c r="AF5176" s="780"/>
    </row>
    <row r="5177" spans="19:32" x14ac:dyDescent="0.35">
      <c r="S5177" s="780"/>
      <c r="T5177" s="928"/>
      <c r="U5177" s="928"/>
      <c r="V5177" s="928"/>
      <c r="W5177" s="780"/>
      <c r="X5177" s="782">
        <v>5173</v>
      </c>
      <c r="Y5177" s="782" t="s">
        <v>2248</v>
      </c>
      <c r="Z5177" s="782" t="s">
        <v>3085</v>
      </c>
      <c r="AA5177" s="781">
        <f>$S$1*P!AA5177</f>
        <v>2.1764112903225808E-5</v>
      </c>
      <c r="AB5177" s="780"/>
      <c r="AC5177" s="780"/>
      <c r="AD5177" s="780"/>
      <c r="AE5177" s="780"/>
      <c r="AF5177" s="780"/>
    </row>
    <row r="5178" spans="19:32" x14ac:dyDescent="0.35">
      <c r="S5178" s="780"/>
      <c r="T5178" s="928"/>
      <c r="U5178" s="928"/>
      <c r="V5178" s="928"/>
      <c r="W5178" s="780"/>
      <c r="X5178" s="782">
        <v>5174</v>
      </c>
      <c r="Y5178" s="782" t="s">
        <v>2248</v>
      </c>
      <c r="Z5178" s="782" t="s">
        <v>3678</v>
      </c>
      <c r="AA5178" s="781">
        <f>$S$1*P!AA5178</f>
        <v>2.2381048387096778E-4</v>
      </c>
      <c r="AB5178" s="780"/>
      <c r="AC5178" s="780"/>
      <c r="AD5178" s="780"/>
      <c r="AE5178" s="780"/>
      <c r="AF5178" s="780"/>
    </row>
    <row r="5179" spans="19:32" x14ac:dyDescent="0.35">
      <c r="S5179" s="780"/>
      <c r="T5179" s="928"/>
      <c r="U5179" s="928"/>
      <c r="V5179" s="928"/>
      <c r="W5179" s="780"/>
      <c r="X5179" s="782">
        <v>5175</v>
      </c>
      <c r="Y5179" s="782" t="s">
        <v>2248</v>
      </c>
      <c r="Z5179" s="782" t="s">
        <v>3917</v>
      </c>
      <c r="AA5179" s="781">
        <f>$S$1*P!AA5179</f>
        <v>4.215725806451613E-5</v>
      </c>
      <c r="AB5179" s="780"/>
      <c r="AC5179" s="780"/>
      <c r="AD5179" s="780"/>
      <c r="AE5179" s="780"/>
      <c r="AF5179" s="780"/>
    </row>
    <row r="5180" spans="19:32" x14ac:dyDescent="0.35">
      <c r="S5180" s="780"/>
      <c r="T5180" s="928"/>
      <c r="U5180" s="928"/>
      <c r="V5180" s="928"/>
      <c r="W5180" s="780"/>
      <c r="X5180" s="782">
        <v>5176</v>
      </c>
      <c r="Y5180" s="782" t="s">
        <v>2248</v>
      </c>
      <c r="Z5180" s="782" t="s">
        <v>3675</v>
      </c>
      <c r="AA5180" s="781">
        <f>$S$1*P!AA5180</f>
        <v>8.8427419354838717E-4</v>
      </c>
      <c r="AB5180" s="780"/>
      <c r="AC5180" s="780"/>
      <c r="AD5180" s="780"/>
      <c r="AE5180" s="780"/>
      <c r="AF5180" s="780"/>
    </row>
    <row r="5181" spans="19:32" x14ac:dyDescent="0.35">
      <c r="S5181" s="780"/>
      <c r="T5181" s="928"/>
      <c r="U5181" s="928"/>
      <c r="V5181" s="928"/>
      <c r="W5181" s="780"/>
      <c r="X5181" s="782">
        <v>5177</v>
      </c>
      <c r="Y5181" s="782" t="s">
        <v>2248</v>
      </c>
      <c r="Z5181" s="782" t="s">
        <v>3916</v>
      </c>
      <c r="AA5181" s="781">
        <f>$S$1*P!AA5181</f>
        <v>1.5491935483870969E-3</v>
      </c>
      <c r="AB5181" s="780"/>
      <c r="AC5181" s="780"/>
      <c r="AD5181" s="780"/>
      <c r="AE5181" s="780"/>
      <c r="AF5181" s="780"/>
    </row>
    <row r="5182" spans="19:32" x14ac:dyDescent="0.35">
      <c r="S5182" s="780"/>
      <c r="T5182" s="928"/>
      <c r="U5182" s="928"/>
      <c r="V5182" s="928"/>
      <c r="W5182" s="780"/>
      <c r="X5182" s="782">
        <v>5178</v>
      </c>
      <c r="Y5182" s="782" t="s">
        <v>2248</v>
      </c>
      <c r="Z5182" s="782" t="s">
        <v>3083</v>
      </c>
      <c r="AA5182" s="781">
        <f>$S$1*P!AA5182</f>
        <v>1.1413306451612904E-3</v>
      </c>
      <c r="AB5182" s="780"/>
      <c r="AC5182" s="780"/>
      <c r="AD5182" s="780"/>
      <c r="AE5182" s="780"/>
      <c r="AF5182" s="780"/>
    </row>
    <row r="5183" spans="19:32" x14ac:dyDescent="0.35">
      <c r="S5183" s="780"/>
      <c r="T5183" s="928"/>
      <c r="U5183" s="928"/>
      <c r="V5183" s="928"/>
      <c r="W5183" s="780"/>
      <c r="X5183" s="782">
        <v>5179</v>
      </c>
      <c r="Y5183" s="782" t="s">
        <v>2248</v>
      </c>
      <c r="Z5183" s="782" t="s">
        <v>3915</v>
      </c>
      <c r="AA5183" s="781">
        <f>$S$1*P!AA5183</f>
        <v>1.3127016129032259E-3</v>
      </c>
      <c r="AB5183" s="780"/>
      <c r="AC5183" s="780"/>
      <c r="AD5183" s="780"/>
      <c r="AE5183" s="780"/>
      <c r="AF5183" s="780"/>
    </row>
    <row r="5184" spans="19:32" x14ac:dyDescent="0.35">
      <c r="S5184" s="780"/>
      <c r="T5184" s="928"/>
      <c r="U5184" s="928"/>
      <c r="V5184" s="928"/>
      <c r="W5184" s="780"/>
      <c r="X5184" s="782">
        <v>5180</v>
      </c>
      <c r="Y5184" s="782" t="s">
        <v>2248</v>
      </c>
      <c r="Z5184" s="782" t="s">
        <v>3673</v>
      </c>
      <c r="AA5184" s="781">
        <f>$S$1*P!AA5184</f>
        <v>0.61008064516129035</v>
      </c>
      <c r="AB5184" s="780"/>
      <c r="AC5184" s="780"/>
      <c r="AD5184" s="780"/>
      <c r="AE5184" s="780"/>
      <c r="AF5184" s="780"/>
    </row>
    <row r="5185" spans="19:32" x14ac:dyDescent="0.35">
      <c r="S5185" s="780"/>
      <c r="T5185" s="928"/>
      <c r="U5185" s="928"/>
      <c r="V5185" s="928"/>
      <c r="W5185" s="780"/>
      <c r="X5185" s="782">
        <v>5181</v>
      </c>
      <c r="Y5185" s="782" t="s">
        <v>2248</v>
      </c>
      <c r="Z5185" s="782" t="s">
        <v>3914</v>
      </c>
      <c r="AA5185" s="781">
        <f>$S$1*P!AA5185</f>
        <v>1.3778225806451614E-2</v>
      </c>
      <c r="AB5185" s="780"/>
      <c r="AC5185" s="780"/>
      <c r="AD5185" s="780"/>
      <c r="AE5185" s="780"/>
      <c r="AF5185" s="780"/>
    </row>
    <row r="5186" spans="19:32" x14ac:dyDescent="0.35">
      <c r="S5186" s="780"/>
      <c r="T5186" s="928"/>
      <c r="U5186" s="928"/>
      <c r="V5186" s="928"/>
      <c r="W5186" s="780"/>
      <c r="X5186" s="782">
        <v>5182</v>
      </c>
      <c r="Y5186" s="782" t="s">
        <v>2248</v>
      </c>
      <c r="Z5186" s="782" t="s">
        <v>3670</v>
      </c>
      <c r="AA5186" s="781">
        <f>$S$1*P!AA5186</f>
        <v>0.16725806451612904</v>
      </c>
      <c r="AB5186" s="780"/>
      <c r="AC5186" s="780"/>
      <c r="AD5186" s="780"/>
      <c r="AE5186" s="780"/>
      <c r="AF5186" s="780"/>
    </row>
    <row r="5187" spans="19:32" x14ac:dyDescent="0.35">
      <c r="S5187" s="780"/>
      <c r="T5187" s="928"/>
      <c r="U5187" s="928"/>
      <c r="V5187" s="928"/>
      <c r="W5187" s="780"/>
      <c r="X5187" s="782">
        <v>5183</v>
      </c>
      <c r="Y5187" s="782" t="s">
        <v>2248</v>
      </c>
      <c r="Z5187" s="782" t="s">
        <v>3081</v>
      </c>
      <c r="AA5187" s="781">
        <f>$S$1*P!AA5187</f>
        <v>9.6310483870967753E-5</v>
      </c>
      <c r="AB5187" s="780"/>
      <c r="AC5187" s="780"/>
      <c r="AD5187" s="780"/>
      <c r="AE5187" s="780"/>
      <c r="AF5187" s="780"/>
    </row>
    <row r="5188" spans="19:32" x14ac:dyDescent="0.35">
      <c r="S5188" s="780"/>
      <c r="T5188" s="928"/>
      <c r="U5188" s="928"/>
      <c r="V5188" s="928"/>
      <c r="W5188" s="780"/>
      <c r="X5188" s="782">
        <v>5184</v>
      </c>
      <c r="Y5188" s="782" t="s">
        <v>2248</v>
      </c>
      <c r="Z5188" s="782" t="s">
        <v>3913</v>
      </c>
      <c r="AA5188" s="781">
        <f>$S$1*P!AA5188</f>
        <v>1.1995967741935486E-7</v>
      </c>
      <c r="AB5188" s="780"/>
      <c r="AC5188" s="780"/>
      <c r="AD5188" s="780"/>
      <c r="AE5188" s="780"/>
      <c r="AF5188" s="780"/>
    </row>
    <row r="5189" spans="19:32" x14ac:dyDescent="0.35">
      <c r="S5189" s="780"/>
      <c r="T5189" s="928"/>
      <c r="U5189" s="928"/>
      <c r="V5189" s="928"/>
      <c r="W5189" s="780"/>
      <c r="X5189" s="782">
        <v>5185</v>
      </c>
      <c r="Y5189" s="782" t="s">
        <v>2248</v>
      </c>
      <c r="Z5189" s="782" t="s">
        <v>3669</v>
      </c>
      <c r="AA5189" s="781">
        <f>$S$1*P!AA5189</f>
        <v>7.0262096774193553E-2</v>
      </c>
      <c r="AB5189" s="780"/>
      <c r="AC5189" s="780"/>
      <c r="AD5189" s="780"/>
      <c r="AE5189" s="780"/>
      <c r="AF5189" s="780"/>
    </row>
    <row r="5190" spans="19:32" x14ac:dyDescent="0.35">
      <c r="S5190" s="780"/>
      <c r="T5190" s="928"/>
      <c r="U5190" s="928"/>
      <c r="V5190" s="928"/>
      <c r="W5190" s="780"/>
      <c r="X5190" s="782">
        <v>5186</v>
      </c>
      <c r="Y5190" s="782" t="s">
        <v>2248</v>
      </c>
      <c r="Z5190" s="782" t="s">
        <v>3912</v>
      </c>
      <c r="AA5190" s="781">
        <f>$S$1*P!AA5190</f>
        <v>0.10179435483870969</v>
      </c>
      <c r="AB5190" s="780"/>
      <c r="AC5190" s="780"/>
      <c r="AD5190" s="780"/>
      <c r="AE5190" s="780"/>
      <c r="AF5190" s="780"/>
    </row>
    <row r="5191" spans="19:32" x14ac:dyDescent="0.35">
      <c r="S5191" s="780"/>
      <c r="T5191" s="928"/>
      <c r="U5191" s="928"/>
      <c r="V5191" s="928"/>
      <c r="W5191" s="780"/>
      <c r="X5191" s="782">
        <v>5187</v>
      </c>
      <c r="Y5191" s="782" t="s">
        <v>2248</v>
      </c>
      <c r="Z5191" s="782" t="s">
        <v>3911</v>
      </c>
      <c r="AA5191" s="781">
        <f>$S$1*P!AA5191</f>
        <v>0.11036290322580646</v>
      </c>
      <c r="AB5191" s="780"/>
      <c r="AC5191" s="780"/>
      <c r="AD5191" s="780"/>
      <c r="AE5191" s="780"/>
      <c r="AF5191" s="780"/>
    </row>
    <row r="5192" spans="19:32" x14ac:dyDescent="0.35">
      <c r="S5192" s="780"/>
      <c r="T5192" s="928"/>
      <c r="U5192" s="928"/>
      <c r="V5192" s="928"/>
      <c r="W5192" s="780"/>
      <c r="X5192" s="782">
        <v>5188</v>
      </c>
      <c r="Y5192" s="782" t="s">
        <v>2248</v>
      </c>
      <c r="Z5192" s="782" t="s">
        <v>3667</v>
      </c>
      <c r="AA5192" s="781">
        <f>$S$1*P!AA5192</f>
        <v>0.28104838709677421</v>
      </c>
      <c r="AB5192" s="780"/>
      <c r="AC5192" s="780"/>
      <c r="AD5192" s="780"/>
      <c r="AE5192" s="780"/>
      <c r="AF5192" s="780"/>
    </row>
    <row r="5193" spans="19:32" x14ac:dyDescent="0.35">
      <c r="S5193" s="780"/>
      <c r="T5193" s="928"/>
      <c r="U5193" s="928"/>
      <c r="V5193" s="928"/>
      <c r="W5193" s="780"/>
      <c r="X5193" s="782">
        <v>5189</v>
      </c>
      <c r="Y5193" s="782" t="s">
        <v>2248</v>
      </c>
      <c r="Z5193" s="782" t="s">
        <v>3075</v>
      </c>
      <c r="AA5193" s="781">
        <f>$S$1*P!AA5193</f>
        <v>2.7316532258064518E-3</v>
      </c>
      <c r="AB5193" s="780"/>
      <c r="AC5193" s="780"/>
      <c r="AD5193" s="780"/>
      <c r="AE5193" s="780"/>
      <c r="AF5193" s="780"/>
    </row>
    <row r="5194" spans="19:32" x14ac:dyDescent="0.35">
      <c r="S5194" s="780"/>
      <c r="T5194" s="928"/>
      <c r="U5194" s="928"/>
      <c r="V5194" s="928"/>
      <c r="W5194" s="780"/>
      <c r="X5194" s="782">
        <v>5190</v>
      </c>
      <c r="Y5194" s="782" t="s">
        <v>2248</v>
      </c>
      <c r="Z5194" s="782" t="s">
        <v>3910</v>
      </c>
      <c r="AA5194" s="781">
        <f>$S$1*P!AA5194</f>
        <v>0.20975806451612905</v>
      </c>
      <c r="AB5194" s="780"/>
      <c r="AC5194" s="780"/>
      <c r="AD5194" s="780"/>
      <c r="AE5194" s="780"/>
      <c r="AF5194" s="780"/>
    </row>
    <row r="5195" spans="19:32" x14ac:dyDescent="0.35">
      <c r="S5195" s="780"/>
      <c r="T5195" s="928"/>
      <c r="U5195" s="928"/>
      <c r="V5195" s="928"/>
      <c r="W5195" s="780"/>
      <c r="X5195" s="782">
        <v>5191</v>
      </c>
      <c r="Y5195" s="782" t="s">
        <v>2248</v>
      </c>
      <c r="Z5195" s="782" t="s">
        <v>3664</v>
      </c>
      <c r="AA5195" s="781">
        <f>$S$1*P!AA5195</f>
        <v>1.1481854838709678E-6</v>
      </c>
      <c r="AB5195" s="780"/>
      <c r="AC5195" s="780"/>
      <c r="AD5195" s="780"/>
      <c r="AE5195" s="780"/>
      <c r="AF5195" s="780"/>
    </row>
    <row r="5196" spans="19:32" x14ac:dyDescent="0.35">
      <c r="S5196" s="780"/>
      <c r="T5196" s="928"/>
      <c r="U5196" s="928"/>
      <c r="V5196" s="928"/>
      <c r="W5196" s="780"/>
      <c r="X5196" s="782">
        <v>5192</v>
      </c>
      <c r="Y5196" s="782" t="s">
        <v>2248</v>
      </c>
      <c r="Z5196" s="782" t="s">
        <v>3909</v>
      </c>
      <c r="AA5196" s="781">
        <f>$S$1*P!AA5196</f>
        <v>1.2030241935483871E-4</v>
      </c>
      <c r="AB5196" s="780"/>
      <c r="AC5196" s="780"/>
      <c r="AD5196" s="780"/>
      <c r="AE5196" s="780"/>
      <c r="AF5196" s="780"/>
    </row>
    <row r="5197" spans="19:32" x14ac:dyDescent="0.35">
      <c r="S5197" s="780"/>
      <c r="T5197" s="928"/>
      <c r="U5197" s="928"/>
      <c r="V5197" s="928"/>
      <c r="W5197" s="780"/>
      <c r="X5197" s="782">
        <v>5193</v>
      </c>
      <c r="Y5197" s="782" t="s">
        <v>2248</v>
      </c>
      <c r="Z5197" s="782" t="s">
        <v>3074</v>
      </c>
      <c r="AA5197" s="781">
        <f>$S$1*P!AA5197</f>
        <v>4.0100806451612906E-5</v>
      </c>
      <c r="AB5197" s="780"/>
      <c r="AC5197" s="780"/>
      <c r="AD5197" s="780"/>
      <c r="AE5197" s="780"/>
      <c r="AF5197" s="780"/>
    </row>
    <row r="5198" spans="19:32" x14ac:dyDescent="0.35">
      <c r="S5198" s="780"/>
      <c r="T5198" s="928"/>
      <c r="U5198" s="928"/>
      <c r="V5198" s="928"/>
      <c r="W5198" s="780"/>
      <c r="X5198" s="782">
        <v>5194</v>
      </c>
      <c r="Y5198" s="782" t="s">
        <v>2248</v>
      </c>
      <c r="Z5198" s="782" t="s">
        <v>2285</v>
      </c>
      <c r="AA5198" s="781">
        <f>$S$1*P!AA5198</f>
        <v>1.0556451612903226E-2</v>
      </c>
      <c r="AB5198" s="780"/>
      <c r="AC5198" s="780"/>
      <c r="AD5198" s="780"/>
      <c r="AE5198" s="780"/>
      <c r="AF5198" s="780"/>
    </row>
    <row r="5199" spans="19:32" x14ac:dyDescent="0.35">
      <c r="S5199" s="780"/>
      <c r="T5199" s="928"/>
      <c r="U5199" s="928"/>
      <c r="V5199" s="928"/>
      <c r="W5199" s="780"/>
      <c r="X5199" s="782">
        <v>5195</v>
      </c>
      <c r="Y5199" s="782" t="s">
        <v>2248</v>
      </c>
      <c r="Z5199" s="782" t="s">
        <v>3908</v>
      </c>
      <c r="AA5199" s="781">
        <f>$S$1*P!AA5199</f>
        <v>2.3203629032258069E-3</v>
      </c>
      <c r="AB5199" s="780"/>
      <c r="AC5199" s="780"/>
      <c r="AD5199" s="780"/>
      <c r="AE5199" s="780"/>
      <c r="AF5199" s="780"/>
    </row>
    <row r="5200" spans="19:32" x14ac:dyDescent="0.35">
      <c r="S5200" s="780"/>
      <c r="T5200" s="928"/>
      <c r="U5200" s="928"/>
      <c r="V5200" s="928"/>
      <c r="W5200" s="780"/>
      <c r="X5200" s="782">
        <v>5196</v>
      </c>
      <c r="Y5200" s="782" t="s">
        <v>2248</v>
      </c>
      <c r="Z5200" s="782" t="s">
        <v>3658</v>
      </c>
      <c r="AA5200" s="781">
        <f>$S$1*P!AA5200</f>
        <v>2.3306451612903227E-2</v>
      </c>
      <c r="AB5200" s="780"/>
      <c r="AC5200" s="780"/>
      <c r="AD5200" s="780"/>
      <c r="AE5200" s="780"/>
      <c r="AF5200" s="780"/>
    </row>
    <row r="5201" spans="19:32" x14ac:dyDescent="0.35">
      <c r="S5201" s="780"/>
      <c r="T5201" s="928"/>
      <c r="U5201" s="928"/>
      <c r="V5201" s="928"/>
      <c r="W5201" s="780"/>
      <c r="X5201" s="782">
        <v>5197</v>
      </c>
      <c r="Y5201" s="782" t="s">
        <v>2248</v>
      </c>
      <c r="Z5201" s="782" t="s">
        <v>3907</v>
      </c>
      <c r="AA5201" s="781">
        <f>$S$1*P!AA5201</f>
        <v>2.6322580645161292E-3</v>
      </c>
      <c r="AB5201" s="780"/>
      <c r="AC5201" s="780"/>
      <c r="AD5201" s="780"/>
      <c r="AE5201" s="780"/>
      <c r="AF5201" s="780"/>
    </row>
    <row r="5202" spans="19:32" x14ac:dyDescent="0.35">
      <c r="S5202" s="780"/>
      <c r="T5202" s="928"/>
      <c r="U5202" s="928"/>
      <c r="V5202" s="928"/>
      <c r="W5202" s="780"/>
      <c r="X5202" s="782">
        <v>5198</v>
      </c>
      <c r="Y5202" s="782" t="s">
        <v>2248</v>
      </c>
      <c r="Z5202" s="782" t="s">
        <v>3072</v>
      </c>
      <c r="AA5202" s="781">
        <f>$S$1*P!AA5202</f>
        <v>9.4939516129032261E-5</v>
      </c>
      <c r="AB5202" s="780"/>
      <c r="AC5202" s="780"/>
      <c r="AD5202" s="780"/>
      <c r="AE5202" s="780"/>
      <c r="AF5202" s="780"/>
    </row>
    <row r="5203" spans="19:32" x14ac:dyDescent="0.35">
      <c r="S5203" s="780"/>
      <c r="T5203" s="928"/>
      <c r="U5203" s="928"/>
      <c r="V5203" s="928"/>
      <c r="W5203" s="780"/>
      <c r="X5203" s="782">
        <v>5199</v>
      </c>
      <c r="Y5203" s="782" t="s">
        <v>2248</v>
      </c>
      <c r="Z5203" s="782" t="s">
        <v>3656</v>
      </c>
      <c r="AA5203" s="781">
        <f>$S$1*P!AA5203</f>
        <v>4.6955645161290329E-3</v>
      </c>
      <c r="AB5203" s="780"/>
      <c r="AC5203" s="780"/>
      <c r="AD5203" s="780"/>
      <c r="AE5203" s="780"/>
      <c r="AF5203" s="780"/>
    </row>
    <row r="5204" spans="19:32" x14ac:dyDescent="0.35">
      <c r="S5204" s="780"/>
      <c r="T5204" s="928"/>
      <c r="U5204" s="928"/>
      <c r="V5204" s="928"/>
      <c r="W5204" s="780"/>
      <c r="X5204" s="881">
        <v>5200</v>
      </c>
      <c r="Y5204" s="881" t="s">
        <v>2248</v>
      </c>
      <c r="Z5204" s="881" t="s">
        <v>2373</v>
      </c>
      <c r="AA5204" s="890">
        <f>$S$1*P!AA5204</f>
        <v>0</v>
      </c>
      <c r="AB5204" s="780"/>
      <c r="AC5204" s="780"/>
      <c r="AD5204" s="780"/>
      <c r="AE5204" s="780"/>
      <c r="AF5204" s="780"/>
    </row>
    <row r="5205" spans="19:32" x14ac:dyDescent="0.35">
      <c r="S5205" s="780"/>
      <c r="T5205" s="928"/>
      <c r="U5205" s="928"/>
      <c r="V5205" s="928"/>
      <c r="W5205" s="780"/>
      <c r="X5205" s="782">
        <v>5201</v>
      </c>
      <c r="Y5205" s="782" t="s">
        <v>2248</v>
      </c>
      <c r="Z5205" s="782" t="s">
        <v>2373</v>
      </c>
      <c r="AA5205" s="781">
        <f>$S$1*P!AA5205</f>
        <v>0.20084677419354841</v>
      </c>
      <c r="AB5205" s="780"/>
      <c r="AC5205" s="780"/>
      <c r="AD5205" s="780"/>
      <c r="AE5205" s="780"/>
      <c r="AF5205" s="780"/>
    </row>
    <row r="5206" spans="19:32" x14ac:dyDescent="0.35">
      <c r="S5206" s="780"/>
      <c r="T5206" s="928"/>
      <c r="U5206" s="928"/>
      <c r="V5206" s="928"/>
      <c r="W5206" s="780"/>
      <c r="X5206" s="782">
        <v>5202</v>
      </c>
      <c r="Y5206" s="782" t="s">
        <v>2248</v>
      </c>
      <c r="Z5206" s="782" t="s">
        <v>3654</v>
      </c>
      <c r="AA5206" s="781">
        <f>$S$1*P!AA5206</f>
        <v>9.8366935483870967E-6</v>
      </c>
      <c r="AB5206" s="780"/>
      <c r="AC5206" s="780"/>
      <c r="AD5206" s="780"/>
      <c r="AE5206" s="780"/>
      <c r="AF5206" s="780"/>
    </row>
    <row r="5207" spans="19:32" x14ac:dyDescent="0.35">
      <c r="S5207" s="780"/>
      <c r="T5207" s="928"/>
      <c r="U5207" s="928"/>
      <c r="V5207" s="928"/>
      <c r="W5207" s="780"/>
      <c r="X5207" s="782">
        <v>5203</v>
      </c>
      <c r="Y5207" s="782" t="s">
        <v>2248</v>
      </c>
      <c r="Z5207" s="782" t="s">
        <v>3906</v>
      </c>
      <c r="AA5207" s="781">
        <f>$S$1*P!AA5207</f>
        <v>2.4266129032258065E-5</v>
      </c>
      <c r="AB5207" s="780"/>
      <c r="AC5207" s="780"/>
      <c r="AD5207" s="780"/>
      <c r="AE5207" s="780"/>
      <c r="AF5207" s="780"/>
    </row>
    <row r="5208" spans="19:32" x14ac:dyDescent="0.35">
      <c r="S5208" s="780"/>
      <c r="T5208" s="928"/>
      <c r="U5208" s="928"/>
      <c r="V5208" s="928"/>
      <c r="W5208" s="780"/>
      <c r="X5208" s="881">
        <v>5204</v>
      </c>
      <c r="Y5208" s="881" t="s">
        <v>2248</v>
      </c>
      <c r="Z5208" s="881" t="s">
        <v>2371</v>
      </c>
      <c r="AA5208" s="890">
        <f>$S$1*P!AA5208</f>
        <v>0</v>
      </c>
      <c r="AB5208" s="780"/>
      <c r="AC5208" s="780"/>
      <c r="AD5208" s="780"/>
      <c r="AE5208" s="780"/>
      <c r="AF5208" s="780"/>
    </row>
    <row r="5209" spans="19:32" x14ac:dyDescent="0.35">
      <c r="S5209" s="780"/>
      <c r="T5209" s="928"/>
      <c r="U5209" s="928"/>
      <c r="V5209" s="928"/>
      <c r="W5209" s="780"/>
      <c r="X5209" s="782">
        <v>5205</v>
      </c>
      <c r="Y5209" s="782" t="s">
        <v>2248</v>
      </c>
      <c r="Z5209" s="782" t="s">
        <v>3652</v>
      </c>
      <c r="AA5209" s="781">
        <f>$S$1*P!AA5209</f>
        <v>3.3622983870967745E-6</v>
      </c>
      <c r="AB5209" s="780"/>
      <c r="AC5209" s="780"/>
      <c r="AD5209" s="780"/>
      <c r="AE5209" s="780"/>
      <c r="AF5209" s="780"/>
    </row>
    <row r="5210" spans="19:32" x14ac:dyDescent="0.35">
      <c r="S5210" s="780"/>
      <c r="T5210" s="928"/>
      <c r="U5210" s="928"/>
      <c r="V5210" s="928"/>
      <c r="W5210" s="780"/>
      <c r="X5210" s="782">
        <v>5206</v>
      </c>
      <c r="Y5210" s="782" t="s">
        <v>2248</v>
      </c>
      <c r="Z5210" s="782" t="s">
        <v>2371</v>
      </c>
      <c r="AA5210" s="781">
        <f>$S$1*P!AA5210</f>
        <v>8.3971774193548395E-3</v>
      </c>
      <c r="AB5210" s="780"/>
      <c r="AC5210" s="780"/>
      <c r="AD5210" s="780"/>
      <c r="AE5210" s="780"/>
      <c r="AF5210" s="780"/>
    </row>
    <row r="5211" spans="19:32" x14ac:dyDescent="0.35">
      <c r="S5211" s="780"/>
      <c r="T5211" s="928"/>
      <c r="U5211" s="928"/>
      <c r="V5211" s="928"/>
      <c r="W5211" s="780"/>
      <c r="X5211" s="782">
        <v>5207</v>
      </c>
      <c r="Y5211" s="782" t="s">
        <v>2248</v>
      </c>
      <c r="Z5211" s="782" t="s">
        <v>2282</v>
      </c>
      <c r="AA5211" s="781">
        <f>$S$1*P!AA5211</f>
        <v>1.3264112903225809E-3</v>
      </c>
      <c r="AB5211" s="780"/>
      <c r="AC5211" s="780"/>
      <c r="AD5211" s="780"/>
      <c r="AE5211" s="780"/>
      <c r="AF5211" s="780"/>
    </row>
    <row r="5212" spans="19:32" x14ac:dyDescent="0.35">
      <c r="S5212" s="780"/>
      <c r="T5212" s="928"/>
      <c r="U5212" s="928"/>
      <c r="V5212" s="928"/>
      <c r="W5212" s="780"/>
      <c r="X5212" s="782">
        <v>5208</v>
      </c>
      <c r="Y5212" s="782" t="s">
        <v>2248</v>
      </c>
      <c r="Z5212" s="782" t="s">
        <v>3905</v>
      </c>
      <c r="AA5212" s="781">
        <f>$S$1*P!AA5212</f>
        <v>1.5423387096774195E-4</v>
      </c>
      <c r="AB5212" s="780"/>
      <c r="AC5212" s="780"/>
      <c r="AD5212" s="780"/>
      <c r="AE5212" s="780"/>
      <c r="AF5212" s="780"/>
    </row>
    <row r="5213" spans="19:32" x14ac:dyDescent="0.35">
      <c r="S5213" s="780"/>
      <c r="T5213" s="928"/>
      <c r="U5213" s="928"/>
      <c r="V5213" s="928"/>
      <c r="W5213" s="780"/>
      <c r="X5213" s="782">
        <v>5209</v>
      </c>
      <c r="Y5213" s="782" t="s">
        <v>2248</v>
      </c>
      <c r="Z5213" s="782" t="s">
        <v>3065</v>
      </c>
      <c r="AA5213" s="781">
        <f>$S$1*P!AA5213</f>
        <v>1.0796370967741937E-3</v>
      </c>
      <c r="AB5213" s="780"/>
      <c r="AC5213" s="780"/>
      <c r="AD5213" s="780"/>
      <c r="AE5213" s="780"/>
      <c r="AF5213" s="780"/>
    </row>
    <row r="5214" spans="19:32" x14ac:dyDescent="0.35">
      <c r="S5214" s="780"/>
      <c r="T5214" s="928"/>
      <c r="U5214" s="928"/>
      <c r="V5214" s="928"/>
      <c r="W5214" s="780"/>
      <c r="X5214" s="782">
        <v>5210</v>
      </c>
      <c r="Y5214" s="782" t="s">
        <v>2248</v>
      </c>
      <c r="Z5214" s="782" t="s">
        <v>3904</v>
      </c>
      <c r="AA5214" s="781">
        <f>$S$1*P!AA5214</f>
        <v>8.3971774193548389E-4</v>
      </c>
      <c r="AB5214" s="780"/>
      <c r="AC5214" s="780"/>
      <c r="AD5214" s="780"/>
      <c r="AE5214" s="780"/>
      <c r="AF5214" s="780"/>
    </row>
    <row r="5215" spans="19:32" x14ac:dyDescent="0.35">
      <c r="S5215" s="780"/>
      <c r="T5215" s="928"/>
      <c r="U5215" s="928"/>
      <c r="V5215" s="928"/>
      <c r="W5215" s="780"/>
      <c r="X5215" s="782">
        <v>5211</v>
      </c>
      <c r="Y5215" s="782" t="s">
        <v>2248</v>
      </c>
      <c r="Z5215" s="782" t="s">
        <v>3646</v>
      </c>
      <c r="AA5215" s="781">
        <f>$S$1*P!AA5215</f>
        <v>5.175403225806452E-2</v>
      </c>
      <c r="AB5215" s="780"/>
      <c r="AC5215" s="780"/>
      <c r="AD5215" s="780"/>
      <c r="AE5215" s="780"/>
      <c r="AF5215" s="780"/>
    </row>
    <row r="5216" spans="19:32" x14ac:dyDescent="0.35">
      <c r="S5216" s="780"/>
      <c r="T5216" s="928"/>
      <c r="U5216" s="928"/>
      <c r="V5216" s="928"/>
      <c r="W5216" s="780"/>
      <c r="X5216" s="782">
        <v>5212</v>
      </c>
      <c r="Y5216" s="782" t="s">
        <v>2248</v>
      </c>
      <c r="Z5216" s="782" t="s">
        <v>3903</v>
      </c>
      <c r="AA5216" s="781">
        <f>$S$1*P!AA5216</f>
        <v>0.18233870967741936</v>
      </c>
      <c r="AB5216" s="780"/>
      <c r="AC5216" s="780"/>
      <c r="AD5216" s="780"/>
      <c r="AE5216" s="780"/>
      <c r="AF5216" s="780"/>
    </row>
    <row r="5217" spans="19:32" x14ac:dyDescent="0.35">
      <c r="S5217" s="780"/>
      <c r="T5217" s="928"/>
      <c r="U5217" s="928"/>
      <c r="V5217" s="928"/>
      <c r="W5217" s="780"/>
      <c r="X5217" s="782">
        <v>5213</v>
      </c>
      <c r="Y5217" s="782" t="s">
        <v>2248</v>
      </c>
      <c r="Z5217" s="782" t="s">
        <v>3064</v>
      </c>
      <c r="AA5217" s="781">
        <f>$S$1*P!AA5217</f>
        <v>5.7237903225806452E-4</v>
      </c>
      <c r="AB5217" s="780"/>
      <c r="AC5217" s="780"/>
      <c r="AD5217" s="780"/>
      <c r="AE5217" s="780"/>
      <c r="AF5217" s="780"/>
    </row>
    <row r="5218" spans="19:32" x14ac:dyDescent="0.35">
      <c r="S5218" s="780"/>
      <c r="T5218" s="928"/>
      <c r="U5218" s="928"/>
      <c r="V5218" s="928"/>
      <c r="W5218" s="780"/>
      <c r="X5218" s="782">
        <v>5214</v>
      </c>
      <c r="Y5218" s="782" t="s">
        <v>2248</v>
      </c>
      <c r="Z5218" s="782" t="s">
        <v>3644</v>
      </c>
      <c r="AA5218" s="781">
        <f>$S$1*P!AA5218</f>
        <v>1.1173387096774193E-4</v>
      </c>
      <c r="AB5218" s="780"/>
      <c r="AC5218" s="780"/>
      <c r="AD5218" s="780"/>
      <c r="AE5218" s="780"/>
      <c r="AF5218" s="780"/>
    </row>
    <row r="5219" spans="19:32" x14ac:dyDescent="0.35">
      <c r="S5219" s="780"/>
      <c r="T5219" s="928"/>
      <c r="U5219" s="928"/>
      <c r="V5219" s="928"/>
      <c r="W5219" s="780"/>
      <c r="X5219" s="782">
        <v>5215</v>
      </c>
      <c r="Y5219" s="782" t="s">
        <v>2248</v>
      </c>
      <c r="Z5219" s="782" t="s">
        <v>3902</v>
      </c>
      <c r="AA5219" s="781">
        <f>$S$1*P!AA5219</f>
        <v>1.6485887096774192E-4</v>
      </c>
      <c r="AB5219" s="780"/>
      <c r="AC5219" s="780"/>
      <c r="AD5219" s="780"/>
      <c r="AE5219" s="780"/>
      <c r="AF5219" s="780"/>
    </row>
    <row r="5220" spans="19:32" x14ac:dyDescent="0.35">
      <c r="S5220" s="780"/>
      <c r="T5220" s="928"/>
      <c r="U5220" s="928"/>
      <c r="V5220" s="928"/>
      <c r="W5220" s="780"/>
      <c r="X5220" s="782">
        <v>5216</v>
      </c>
      <c r="Y5220" s="782" t="s">
        <v>2248</v>
      </c>
      <c r="Z5220" s="782" t="s">
        <v>3642</v>
      </c>
      <c r="AA5220" s="781">
        <f>$S$1*P!AA5220</f>
        <v>1.3812500000000001E-6</v>
      </c>
      <c r="AB5220" s="780"/>
      <c r="AC5220" s="780"/>
      <c r="AD5220" s="780"/>
      <c r="AE5220" s="780"/>
      <c r="AF5220" s="780"/>
    </row>
    <row r="5221" spans="19:32" x14ac:dyDescent="0.35">
      <c r="S5221" s="780"/>
      <c r="T5221" s="928"/>
      <c r="U5221" s="928"/>
      <c r="V5221" s="928"/>
      <c r="W5221" s="780"/>
      <c r="X5221" s="782">
        <v>5217</v>
      </c>
      <c r="Y5221" s="782" t="s">
        <v>2248</v>
      </c>
      <c r="Z5221" s="782" t="s">
        <v>3901</v>
      </c>
      <c r="AA5221" s="781">
        <f>$S$1*P!AA5221</f>
        <v>1.158467741935484E-4</v>
      </c>
      <c r="AB5221" s="780"/>
      <c r="AC5221" s="780"/>
      <c r="AD5221" s="780"/>
      <c r="AE5221" s="780"/>
      <c r="AF5221" s="780"/>
    </row>
    <row r="5222" spans="19:32" x14ac:dyDescent="0.35">
      <c r="S5222" s="780"/>
      <c r="T5222" s="928"/>
      <c r="U5222" s="928"/>
      <c r="V5222" s="928"/>
      <c r="W5222" s="780"/>
      <c r="X5222" s="782">
        <v>5218</v>
      </c>
      <c r="Y5222" s="782" t="s">
        <v>2248</v>
      </c>
      <c r="Z5222" s="782" t="s">
        <v>3900</v>
      </c>
      <c r="AA5222" s="781">
        <f>$S$1*P!AA5222</f>
        <v>4.2842741935483872E-4</v>
      </c>
      <c r="AB5222" s="780"/>
      <c r="AC5222" s="780"/>
      <c r="AD5222" s="780"/>
      <c r="AE5222" s="780"/>
      <c r="AF5222" s="780"/>
    </row>
    <row r="5223" spans="19:32" x14ac:dyDescent="0.35">
      <c r="S5223" s="780"/>
      <c r="T5223" s="928"/>
      <c r="U5223" s="928"/>
      <c r="V5223" s="928"/>
      <c r="W5223" s="780"/>
      <c r="X5223" s="782">
        <v>5219</v>
      </c>
      <c r="Y5223" s="782" t="s">
        <v>2248</v>
      </c>
      <c r="Z5223" s="782" t="s">
        <v>3899</v>
      </c>
      <c r="AA5223" s="781">
        <f>$S$1*P!AA5223</f>
        <v>2.875604838709678E-3</v>
      </c>
      <c r="AB5223" s="780"/>
      <c r="AC5223" s="780"/>
      <c r="AD5223" s="780"/>
      <c r="AE5223" s="780"/>
      <c r="AF5223" s="780"/>
    </row>
    <row r="5224" spans="19:32" x14ac:dyDescent="0.35">
      <c r="S5224" s="780"/>
      <c r="T5224" s="928"/>
      <c r="U5224" s="928"/>
      <c r="V5224" s="928"/>
      <c r="W5224" s="780"/>
      <c r="X5224" s="782">
        <v>5220</v>
      </c>
      <c r="Y5224" s="782" t="s">
        <v>2248</v>
      </c>
      <c r="Z5224" s="782" t="s">
        <v>3639</v>
      </c>
      <c r="AA5224" s="781">
        <f>$S$1*P!AA5224</f>
        <v>1.5320564516129034E-2</v>
      </c>
      <c r="AB5224" s="780"/>
      <c r="AC5224" s="780"/>
      <c r="AD5224" s="780"/>
      <c r="AE5224" s="780"/>
      <c r="AF5224" s="780"/>
    </row>
    <row r="5225" spans="19:32" x14ac:dyDescent="0.35">
      <c r="S5225" s="780"/>
      <c r="T5225" s="928"/>
      <c r="U5225" s="928"/>
      <c r="V5225" s="928"/>
      <c r="W5225" s="780"/>
      <c r="X5225" s="881">
        <v>5221</v>
      </c>
      <c r="Y5225" s="881" t="s">
        <v>2248</v>
      </c>
      <c r="Z5225" s="881" t="s">
        <v>2370</v>
      </c>
      <c r="AA5225" s="890">
        <f>$S$1*P!AA5225</f>
        <v>0.44988</v>
      </c>
      <c r="AB5225" s="780"/>
      <c r="AC5225" s="780"/>
      <c r="AD5225" s="780"/>
      <c r="AE5225" s="780"/>
      <c r="AF5225" s="780"/>
    </row>
    <row r="5226" spans="19:32" x14ac:dyDescent="0.35">
      <c r="S5226" s="780"/>
      <c r="T5226" s="928"/>
      <c r="U5226" s="928"/>
      <c r="V5226" s="928"/>
      <c r="W5226" s="780"/>
      <c r="X5226" s="782">
        <v>5222</v>
      </c>
      <c r="Y5226" s="782" t="s">
        <v>2248</v>
      </c>
      <c r="Z5226" s="782" t="s">
        <v>3635</v>
      </c>
      <c r="AA5226" s="781">
        <f>$S$1*P!AA5226</f>
        <v>2.0221774193548389E-4</v>
      </c>
      <c r="AB5226" s="780"/>
      <c r="AC5226" s="780"/>
      <c r="AD5226" s="780"/>
      <c r="AE5226" s="780"/>
      <c r="AF5226" s="780"/>
    </row>
    <row r="5227" spans="19:32" x14ac:dyDescent="0.35">
      <c r="S5227" s="780"/>
      <c r="T5227" s="928"/>
      <c r="U5227" s="928"/>
      <c r="V5227" s="928"/>
      <c r="W5227" s="780"/>
      <c r="X5227" s="782">
        <v>5223</v>
      </c>
      <c r="Y5227" s="782" t="s">
        <v>2248</v>
      </c>
      <c r="Z5227" s="782" t="s">
        <v>3061</v>
      </c>
      <c r="AA5227" s="781">
        <f>$S$1*P!AA5227</f>
        <v>2.0461693548387099E-5</v>
      </c>
      <c r="AB5227" s="780"/>
      <c r="AC5227" s="780"/>
      <c r="AD5227" s="780"/>
      <c r="AE5227" s="780"/>
      <c r="AF5227" s="780"/>
    </row>
    <row r="5228" spans="19:32" x14ac:dyDescent="0.35">
      <c r="S5228" s="780"/>
      <c r="T5228" s="928"/>
      <c r="U5228" s="928"/>
      <c r="V5228" s="928"/>
      <c r="W5228" s="780"/>
      <c r="X5228" s="881">
        <v>5224</v>
      </c>
      <c r="Y5228" s="881" t="s">
        <v>2248</v>
      </c>
      <c r="Z5228" s="881" t="s">
        <v>2368</v>
      </c>
      <c r="AA5228" s="890">
        <f>$S$1*P!AA5228</f>
        <v>1.4996</v>
      </c>
      <c r="AB5228" s="780"/>
      <c r="AC5228" s="780"/>
      <c r="AD5228" s="780"/>
      <c r="AE5228" s="780"/>
      <c r="AF5228" s="780"/>
    </row>
    <row r="5229" spans="19:32" x14ac:dyDescent="0.35">
      <c r="S5229" s="780"/>
      <c r="T5229" s="928"/>
      <c r="U5229" s="928"/>
      <c r="V5229" s="928"/>
      <c r="W5229" s="780"/>
      <c r="X5229" s="782">
        <v>5225</v>
      </c>
      <c r="Y5229" s="782" t="s">
        <v>2248</v>
      </c>
      <c r="Z5229" s="782" t="s">
        <v>3632</v>
      </c>
      <c r="AA5229" s="781">
        <f>$S$1*P!AA5229</f>
        <v>11.893145161290324</v>
      </c>
      <c r="AB5229" s="780"/>
      <c r="AC5229" s="780"/>
      <c r="AD5229" s="780"/>
      <c r="AE5229" s="780"/>
      <c r="AF5229" s="780"/>
    </row>
    <row r="5230" spans="19:32" x14ac:dyDescent="0.35">
      <c r="S5230" s="780"/>
      <c r="T5230" s="928"/>
      <c r="U5230" s="928"/>
      <c r="V5230" s="928"/>
      <c r="W5230" s="780"/>
      <c r="X5230" s="782">
        <v>5226</v>
      </c>
      <c r="Y5230" s="782" t="s">
        <v>2248</v>
      </c>
      <c r="Z5230" s="782" t="s">
        <v>3898</v>
      </c>
      <c r="AA5230" s="781">
        <f>$S$1*P!AA5230</f>
        <v>1.144758064516129</v>
      </c>
      <c r="AB5230" s="780"/>
      <c r="AC5230" s="780"/>
      <c r="AD5230" s="780"/>
      <c r="AE5230" s="780"/>
      <c r="AF5230" s="780"/>
    </row>
    <row r="5231" spans="19:32" x14ac:dyDescent="0.35">
      <c r="S5231" s="780"/>
      <c r="T5231" s="928"/>
      <c r="U5231" s="928"/>
      <c r="V5231" s="928"/>
      <c r="W5231" s="780"/>
      <c r="X5231" s="782">
        <v>5227</v>
      </c>
      <c r="Y5231" s="782" t="s">
        <v>2248</v>
      </c>
      <c r="Z5231" s="782" t="s">
        <v>3631</v>
      </c>
      <c r="AA5231" s="781">
        <f>$S$1*P!AA5231</f>
        <v>1.7993951612903228E-3</v>
      </c>
      <c r="AB5231" s="780"/>
      <c r="AC5231" s="780"/>
      <c r="AD5231" s="780"/>
      <c r="AE5231" s="780"/>
      <c r="AF5231" s="780"/>
    </row>
    <row r="5232" spans="19:32" x14ac:dyDescent="0.35">
      <c r="S5232" s="780"/>
      <c r="T5232" s="928"/>
      <c r="U5232" s="928"/>
      <c r="V5232" s="928"/>
      <c r="W5232" s="780"/>
      <c r="X5232" s="782">
        <v>5228</v>
      </c>
      <c r="Y5232" s="782" t="s">
        <v>2248</v>
      </c>
      <c r="Z5232" s="782" t="s">
        <v>3897</v>
      </c>
      <c r="AA5232" s="781">
        <f>$S$1*P!AA5232</f>
        <v>5.3467741935483877E-5</v>
      </c>
      <c r="AB5232" s="780"/>
      <c r="AC5232" s="780"/>
      <c r="AD5232" s="780"/>
      <c r="AE5232" s="780"/>
      <c r="AF5232" s="780"/>
    </row>
    <row r="5233" spans="19:32" x14ac:dyDescent="0.35">
      <c r="S5233" s="780"/>
      <c r="T5233" s="928"/>
      <c r="U5233" s="928"/>
      <c r="V5233" s="928"/>
      <c r="W5233" s="780"/>
      <c r="X5233" s="782">
        <v>5229</v>
      </c>
      <c r="Y5233" s="782" t="s">
        <v>2248</v>
      </c>
      <c r="Z5233" s="782" t="s">
        <v>3896</v>
      </c>
      <c r="AA5233" s="781">
        <f>$S$1*P!AA5233</f>
        <v>1.2510080645161291E-3</v>
      </c>
      <c r="AB5233" s="780"/>
      <c r="AC5233" s="780"/>
      <c r="AD5233" s="780"/>
      <c r="AE5233" s="780"/>
      <c r="AF5233" s="780"/>
    </row>
    <row r="5234" spans="19:32" x14ac:dyDescent="0.35">
      <c r="S5234" s="780"/>
      <c r="T5234" s="928"/>
      <c r="U5234" s="928"/>
      <c r="V5234" s="928"/>
      <c r="W5234" s="780"/>
      <c r="X5234" s="782">
        <v>5230</v>
      </c>
      <c r="Y5234" s="782" t="s">
        <v>2248</v>
      </c>
      <c r="Z5234" s="782" t="s">
        <v>3895</v>
      </c>
      <c r="AA5234" s="781">
        <f>$S$1*P!AA5234</f>
        <v>1.0213709677419356E-3</v>
      </c>
      <c r="AB5234" s="780"/>
      <c r="AC5234" s="780"/>
      <c r="AD5234" s="780"/>
      <c r="AE5234" s="780"/>
      <c r="AF5234" s="780"/>
    </row>
    <row r="5235" spans="19:32" x14ac:dyDescent="0.35">
      <c r="S5235" s="780"/>
      <c r="T5235" s="928"/>
      <c r="U5235" s="928"/>
      <c r="V5235" s="928"/>
      <c r="W5235" s="780"/>
      <c r="X5235" s="782">
        <v>5231</v>
      </c>
      <c r="Y5235" s="782" t="s">
        <v>2248</v>
      </c>
      <c r="Z5235" s="782" t="s">
        <v>3629</v>
      </c>
      <c r="AA5235" s="781">
        <f>$S$1*P!AA5235</f>
        <v>2.1866935483870971E-5</v>
      </c>
      <c r="AB5235" s="780"/>
      <c r="AC5235" s="780"/>
      <c r="AD5235" s="780"/>
      <c r="AE5235" s="780"/>
      <c r="AF5235" s="780"/>
    </row>
    <row r="5236" spans="19:32" x14ac:dyDescent="0.35">
      <c r="S5236" s="780"/>
      <c r="T5236" s="928"/>
      <c r="U5236" s="928"/>
      <c r="V5236" s="928"/>
      <c r="W5236" s="780"/>
      <c r="X5236" s="782">
        <v>5232</v>
      </c>
      <c r="Y5236" s="782" t="s">
        <v>2248</v>
      </c>
      <c r="Z5236" s="782" t="s">
        <v>3894</v>
      </c>
      <c r="AA5236" s="781">
        <f>$S$1*P!AA5236</f>
        <v>5.0040322580645162E-4</v>
      </c>
      <c r="AB5236" s="780"/>
      <c r="AC5236" s="780"/>
      <c r="AD5236" s="780"/>
      <c r="AE5236" s="780"/>
      <c r="AF5236" s="780"/>
    </row>
    <row r="5237" spans="19:32" x14ac:dyDescent="0.35">
      <c r="S5237" s="780"/>
      <c r="T5237" s="928"/>
      <c r="U5237" s="928"/>
      <c r="V5237" s="928"/>
      <c r="W5237" s="780"/>
      <c r="X5237" s="782">
        <v>5233</v>
      </c>
      <c r="Y5237" s="782" t="s">
        <v>2248</v>
      </c>
      <c r="Z5237" s="782" t="s">
        <v>3625</v>
      </c>
      <c r="AA5237" s="781">
        <f>$S$1*P!AA5237</f>
        <v>2.6185483870967744E-3</v>
      </c>
      <c r="AB5237" s="780"/>
      <c r="AC5237" s="780"/>
      <c r="AD5237" s="780"/>
      <c r="AE5237" s="780"/>
      <c r="AF5237" s="780"/>
    </row>
    <row r="5238" spans="19:32" x14ac:dyDescent="0.35">
      <c r="S5238" s="780"/>
      <c r="T5238" s="928"/>
      <c r="U5238" s="928"/>
      <c r="V5238" s="928"/>
      <c r="W5238" s="780"/>
      <c r="X5238" s="782">
        <v>5234</v>
      </c>
      <c r="Y5238" s="782" t="s">
        <v>2248</v>
      </c>
      <c r="Z5238" s="782" t="s">
        <v>3893</v>
      </c>
      <c r="AA5238" s="781">
        <f>$S$1*P!AA5238</f>
        <v>8.5000000000000006E-5</v>
      </c>
      <c r="AB5238" s="780"/>
      <c r="AC5238" s="780"/>
      <c r="AD5238" s="780"/>
      <c r="AE5238" s="780"/>
      <c r="AF5238" s="780"/>
    </row>
    <row r="5239" spans="19:32" x14ac:dyDescent="0.35">
      <c r="S5239" s="780"/>
      <c r="T5239" s="928"/>
      <c r="U5239" s="928"/>
      <c r="V5239" s="928"/>
      <c r="W5239" s="780"/>
      <c r="X5239" s="881">
        <v>5235</v>
      </c>
      <c r="Y5239" s="881" t="s">
        <v>2248</v>
      </c>
      <c r="Z5239" s="881" t="s">
        <v>2367</v>
      </c>
      <c r="AA5239" s="890">
        <f>$S$1*P!AA5239</f>
        <v>0</v>
      </c>
      <c r="AB5239" s="780"/>
      <c r="AC5239" s="780"/>
      <c r="AD5239" s="780"/>
      <c r="AE5239" s="780"/>
      <c r="AF5239" s="780"/>
    </row>
    <row r="5240" spans="19:32" x14ac:dyDescent="0.35">
      <c r="S5240" s="780"/>
      <c r="T5240" s="928"/>
      <c r="U5240" s="928"/>
      <c r="V5240" s="928"/>
      <c r="W5240" s="780"/>
      <c r="X5240" s="782">
        <v>5236</v>
      </c>
      <c r="Y5240" s="782" t="s">
        <v>2248</v>
      </c>
      <c r="Z5240" s="782" t="s">
        <v>3624</v>
      </c>
      <c r="AA5240" s="781">
        <f>$S$1*P!AA5240</f>
        <v>2.2004032258064517E-3</v>
      </c>
      <c r="AB5240" s="780"/>
      <c r="AC5240" s="780"/>
      <c r="AD5240" s="780"/>
      <c r="AE5240" s="780"/>
      <c r="AF5240" s="780"/>
    </row>
    <row r="5241" spans="19:32" x14ac:dyDescent="0.35">
      <c r="S5241" s="780"/>
      <c r="T5241" s="928"/>
      <c r="U5241" s="928"/>
      <c r="V5241" s="928"/>
      <c r="W5241" s="780"/>
      <c r="X5241" s="782">
        <v>5237</v>
      </c>
      <c r="Y5241" s="782" t="s">
        <v>2248</v>
      </c>
      <c r="Z5241" s="782" t="s">
        <v>3892</v>
      </c>
      <c r="AA5241" s="781">
        <f>$S$1*P!AA5241</f>
        <v>1.2681451612903228E-4</v>
      </c>
      <c r="AB5241" s="780"/>
      <c r="AC5241" s="780"/>
      <c r="AD5241" s="780"/>
      <c r="AE5241" s="780"/>
      <c r="AF5241" s="780"/>
    </row>
    <row r="5242" spans="19:32" x14ac:dyDescent="0.35">
      <c r="S5242" s="780"/>
      <c r="T5242" s="928"/>
      <c r="U5242" s="928"/>
      <c r="V5242" s="928"/>
      <c r="W5242" s="780"/>
      <c r="X5242" s="782">
        <v>5238</v>
      </c>
      <c r="Y5242" s="782" t="s">
        <v>2248</v>
      </c>
      <c r="Z5242" s="782" t="s">
        <v>3891</v>
      </c>
      <c r="AA5242" s="781">
        <f>$S$1*P!AA5242</f>
        <v>2.7762096774193554E-5</v>
      </c>
      <c r="AB5242" s="780"/>
      <c r="AC5242" s="780"/>
      <c r="AD5242" s="780"/>
      <c r="AE5242" s="780"/>
      <c r="AF5242" s="780"/>
    </row>
    <row r="5243" spans="19:32" x14ac:dyDescent="0.35">
      <c r="S5243" s="780"/>
      <c r="T5243" s="928"/>
      <c r="U5243" s="928"/>
      <c r="V5243" s="928"/>
      <c r="W5243" s="780"/>
      <c r="X5243" s="782">
        <v>5239</v>
      </c>
      <c r="Y5243" s="782" t="s">
        <v>2248</v>
      </c>
      <c r="Z5243" s="782" t="s">
        <v>3890</v>
      </c>
      <c r="AA5243" s="781">
        <f>$S$1*P!AA5243</f>
        <v>5.0040322580645162E-4</v>
      </c>
      <c r="AB5243" s="780"/>
      <c r="AC5243" s="780"/>
      <c r="AD5243" s="780"/>
      <c r="AE5243" s="780"/>
      <c r="AF5243" s="780"/>
    </row>
    <row r="5244" spans="19:32" x14ac:dyDescent="0.35">
      <c r="S5244" s="780"/>
      <c r="T5244" s="928"/>
      <c r="U5244" s="928"/>
      <c r="V5244" s="928"/>
      <c r="W5244" s="780"/>
      <c r="X5244" s="782">
        <v>5240</v>
      </c>
      <c r="Y5244" s="782" t="s">
        <v>2248</v>
      </c>
      <c r="Z5244" s="782" t="s">
        <v>3622</v>
      </c>
      <c r="AA5244" s="781">
        <f>$S$1*P!AA5244</f>
        <v>0.42157258064516134</v>
      </c>
      <c r="AB5244" s="780"/>
      <c r="AC5244" s="780"/>
      <c r="AD5244" s="780"/>
      <c r="AE5244" s="780"/>
      <c r="AF5244" s="780"/>
    </row>
    <row r="5245" spans="19:32" x14ac:dyDescent="0.35">
      <c r="S5245" s="780"/>
      <c r="T5245" s="928"/>
      <c r="U5245" s="928"/>
      <c r="V5245" s="928"/>
      <c r="W5245" s="780"/>
      <c r="X5245" s="782">
        <v>5241</v>
      </c>
      <c r="Y5245" s="782" t="s">
        <v>2248</v>
      </c>
      <c r="Z5245" s="782" t="s">
        <v>3889</v>
      </c>
      <c r="AA5245" s="781">
        <f>$S$1*P!AA5245</f>
        <v>3.0264112903225811E-6</v>
      </c>
      <c r="AB5245" s="780"/>
      <c r="AC5245" s="780"/>
      <c r="AD5245" s="780"/>
      <c r="AE5245" s="780"/>
      <c r="AF5245" s="780"/>
    </row>
    <row r="5246" spans="19:32" x14ac:dyDescent="0.35">
      <c r="S5246" s="780"/>
      <c r="T5246" s="928"/>
      <c r="U5246" s="928"/>
      <c r="V5246" s="928"/>
      <c r="W5246" s="780"/>
      <c r="X5246" s="782">
        <v>5242</v>
      </c>
      <c r="Y5246" s="782" t="s">
        <v>2248</v>
      </c>
      <c r="Z5246" s="782" t="s">
        <v>3620</v>
      </c>
      <c r="AA5246" s="781">
        <f>$S$1*P!AA5246</f>
        <v>1.1276209677419357E-5</v>
      </c>
      <c r="AB5246" s="780"/>
      <c r="AC5246" s="780"/>
      <c r="AD5246" s="780"/>
      <c r="AE5246" s="780"/>
      <c r="AF5246" s="780"/>
    </row>
    <row r="5247" spans="19:32" x14ac:dyDescent="0.35">
      <c r="S5247" s="780"/>
      <c r="T5247" s="928"/>
      <c r="U5247" s="928"/>
      <c r="V5247" s="928"/>
      <c r="W5247" s="780"/>
      <c r="X5247" s="881">
        <v>5243</v>
      </c>
      <c r="Y5247" s="881" t="s">
        <v>2248</v>
      </c>
      <c r="Z5247" s="881" t="s">
        <v>2365</v>
      </c>
      <c r="AA5247" s="890">
        <f>$S$1*P!AA5247</f>
        <v>0.56211999999999995</v>
      </c>
      <c r="AB5247" s="780"/>
      <c r="AC5247" s="780"/>
      <c r="AD5247" s="780"/>
      <c r="AE5247" s="780"/>
      <c r="AF5247" s="780"/>
    </row>
    <row r="5248" spans="19:32" x14ac:dyDescent="0.35">
      <c r="S5248" s="780"/>
      <c r="T5248" s="928"/>
      <c r="U5248" s="928"/>
      <c r="V5248" s="928"/>
      <c r="W5248" s="780"/>
      <c r="X5248" s="782">
        <v>5244</v>
      </c>
      <c r="Y5248" s="782" t="s">
        <v>2248</v>
      </c>
      <c r="Z5248" s="782" t="s">
        <v>3888</v>
      </c>
      <c r="AA5248" s="781">
        <f>$S$1*P!AA5248</f>
        <v>1.5320564516129035E-5</v>
      </c>
      <c r="AB5248" s="780"/>
      <c r="AC5248" s="780"/>
      <c r="AD5248" s="780"/>
      <c r="AE5248" s="780"/>
      <c r="AF5248" s="780"/>
    </row>
    <row r="5249" spans="19:32" x14ac:dyDescent="0.35">
      <c r="S5249" s="780"/>
      <c r="T5249" s="928"/>
      <c r="U5249" s="928"/>
      <c r="V5249" s="928"/>
      <c r="W5249" s="780"/>
      <c r="X5249" s="782">
        <v>5245</v>
      </c>
      <c r="Y5249" s="782" t="s">
        <v>2248</v>
      </c>
      <c r="Z5249" s="782" t="s">
        <v>3617</v>
      </c>
      <c r="AA5249" s="781">
        <f>$S$1*P!AA5249</f>
        <v>3.8387096774193555E-6</v>
      </c>
      <c r="AB5249" s="780"/>
      <c r="AC5249" s="780"/>
      <c r="AD5249" s="780"/>
      <c r="AE5249" s="780"/>
      <c r="AF5249" s="780"/>
    </row>
    <row r="5250" spans="19:32" x14ac:dyDescent="0.35">
      <c r="S5250" s="780"/>
      <c r="T5250" s="928"/>
      <c r="U5250" s="928"/>
      <c r="V5250" s="928"/>
      <c r="W5250" s="780"/>
      <c r="X5250" s="782">
        <v>5246</v>
      </c>
      <c r="Y5250" s="782" t="s">
        <v>2248</v>
      </c>
      <c r="Z5250" s="782" t="s">
        <v>3887</v>
      </c>
      <c r="AA5250" s="781">
        <f>$S$1*P!AA5250</f>
        <v>10.625</v>
      </c>
      <c r="AB5250" s="780"/>
      <c r="AC5250" s="780"/>
      <c r="AD5250" s="780"/>
      <c r="AE5250" s="780"/>
      <c r="AF5250" s="780"/>
    </row>
    <row r="5251" spans="19:32" x14ac:dyDescent="0.35">
      <c r="S5251" s="780"/>
      <c r="T5251" s="928"/>
      <c r="U5251" s="928"/>
      <c r="V5251" s="928"/>
      <c r="W5251" s="780"/>
      <c r="X5251" s="782">
        <v>5247</v>
      </c>
      <c r="Y5251" s="782" t="s">
        <v>2248</v>
      </c>
      <c r="Z5251" s="782" t="s">
        <v>3886</v>
      </c>
      <c r="AA5251" s="781">
        <f>$S$1*P!AA5251</f>
        <v>4.6612903225806451E-4</v>
      </c>
      <c r="AB5251" s="780"/>
      <c r="AC5251" s="780"/>
      <c r="AD5251" s="780"/>
      <c r="AE5251" s="780"/>
      <c r="AF5251" s="780"/>
    </row>
    <row r="5252" spans="19:32" x14ac:dyDescent="0.35">
      <c r="S5252" s="780"/>
      <c r="T5252" s="928"/>
      <c r="U5252" s="928"/>
      <c r="V5252" s="928"/>
      <c r="W5252" s="780"/>
      <c r="X5252" s="782">
        <v>5248</v>
      </c>
      <c r="Y5252" s="782" t="s">
        <v>2248</v>
      </c>
      <c r="Z5252" s="782" t="s">
        <v>2276</v>
      </c>
      <c r="AA5252" s="781">
        <f>$S$1*P!AA5252</f>
        <v>5.5524193548387099E-2</v>
      </c>
      <c r="AB5252" s="780"/>
      <c r="AC5252" s="780"/>
      <c r="AD5252" s="780"/>
      <c r="AE5252" s="780"/>
      <c r="AF5252" s="780"/>
    </row>
    <row r="5253" spans="19:32" x14ac:dyDescent="0.35">
      <c r="S5253" s="780"/>
      <c r="T5253" s="928"/>
      <c r="U5253" s="928"/>
      <c r="V5253" s="928"/>
      <c r="W5253" s="780"/>
      <c r="X5253" s="782">
        <v>5249</v>
      </c>
      <c r="Y5253" s="782" t="s">
        <v>2248</v>
      </c>
      <c r="Z5253" s="782" t="s">
        <v>3885</v>
      </c>
      <c r="AA5253" s="781">
        <f>$S$1*P!AA5253</f>
        <v>9.8709677419354843E-5</v>
      </c>
      <c r="AB5253" s="780"/>
      <c r="AC5253" s="780"/>
      <c r="AD5253" s="780"/>
      <c r="AE5253" s="780"/>
      <c r="AF5253" s="780"/>
    </row>
    <row r="5254" spans="19:32" x14ac:dyDescent="0.35">
      <c r="S5254" s="780"/>
      <c r="T5254" s="928"/>
      <c r="U5254" s="928"/>
      <c r="V5254" s="928"/>
      <c r="W5254" s="780"/>
      <c r="X5254" s="881">
        <v>5250</v>
      </c>
      <c r="Y5254" s="881" t="s">
        <v>2248</v>
      </c>
      <c r="Z5254" s="881" t="s">
        <v>2363</v>
      </c>
      <c r="AA5254" s="890">
        <f>$S$1*P!AA5254</f>
        <v>0</v>
      </c>
      <c r="AB5254" s="780"/>
      <c r="AC5254" s="780"/>
      <c r="AD5254" s="780"/>
      <c r="AE5254" s="780"/>
      <c r="AF5254" s="780"/>
    </row>
    <row r="5255" spans="19:32" x14ac:dyDescent="0.35">
      <c r="S5255" s="780"/>
      <c r="T5255" s="928"/>
      <c r="U5255" s="928"/>
      <c r="V5255" s="928"/>
      <c r="W5255" s="780"/>
      <c r="X5255" s="782">
        <v>5251</v>
      </c>
      <c r="Y5255" s="782" t="s">
        <v>2248</v>
      </c>
      <c r="Z5255" s="782" t="s">
        <v>2274</v>
      </c>
      <c r="AA5255" s="781">
        <f>$S$1*P!AA5255</f>
        <v>3.9415322580645161E-3</v>
      </c>
      <c r="AB5255" s="780"/>
      <c r="AC5255" s="780"/>
      <c r="AD5255" s="780"/>
      <c r="AE5255" s="780"/>
      <c r="AF5255" s="780"/>
    </row>
    <row r="5256" spans="19:32" x14ac:dyDescent="0.35">
      <c r="S5256" s="780"/>
      <c r="T5256" s="928"/>
      <c r="U5256" s="928"/>
      <c r="V5256" s="928"/>
      <c r="W5256" s="780"/>
      <c r="X5256" s="782">
        <v>5252</v>
      </c>
      <c r="Y5256" s="782" t="s">
        <v>2248</v>
      </c>
      <c r="Z5256" s="782" t="s">
        <v>2363</v>
      </c>
      <c r="AA5256" s="781">
        <f>$S$1*P!AA5256</f>
        <v>1.4840725806451613</v>
      </c>
      <c r="AB5256" s="780"/>
      <c r="AC5256" s="780"/>
      <c r="AD5256" s="780"/>
      <c r="AE5256" s="780"/>
      <c r="AF5256" s="780"/>
    </row>
    <row r="5257" spans="19:32" x14ac:dyDescent="0.35">
      <c r="S5257" s="780"/>
      <c r="T5257" s="928"/>
      <c r="U5257" s="928"/>
      <c r="V5257" s="928"/>
      <c r="W5257" s="780"/>
      <c r="X5257" s="782">
        <v>5253</v>
      </c>
      <c r="Y5257" s="782" t="s">
        <v>2248</v>
      </c>
      <c r="Z5257" s="782" t="s">
        <v>2273</v>
      </c>
      <c r="AA5257" s="781">
        <f>$S$1*P!AA5257</f>
        <v>1.2818548387096776E-9</v>
      </c>
      <c r="AB5257" s="780"/>
      <c r="AC5257" s="780"/>
      <c r="AD5257" s="780"/>
      <c r="AE5257" s="780"/>
      <c r="AF5257" s="780"/>
    </row>
    <row r="5258" spans="19:32" x14ac:dyDescent="0.35">
      <c r="S5258" s="780"/>
      <c r="T5258" s="928"/>
      <c r="U5258" s="928"/>
      <c r="V5258" s="928"/>
      <c r="W5258" s="780"/>
      <c r="X5258" s="782">
        <v>5254</v>
      </c>
      <c r="Y5258" s="782" t="s">
        <v>2248</v>
      </c>
      <c r="Z5258" s="782" t="s">
        <v>3884</v>
      </c>
      <c r="AA5258" s="781">
        <f>$S$1*P!AA5258</f>
        <v>4.3528225806451615E-5</v>
      </c>
      <c r="AB5258" s="780"/>
      <c r="AC5258" s="780"/>
      <c r="AD5258" s="780"/>
      <c r="AE5258" s="780"/>
      <c r="AF5258" s="780"/>
    </row>
    <row r="5259" spans="19:32" x14ac:dyDescent="0.35">
      <c r="S5259" s="780"/>
      <c r="T5259" s="928"/>
      <c r="U5259" s="928"/>
      <c r="V5259" s="928"/>
      <c r="W5259" s="780"/>
      <c r="X5259" s="782">
        <v>5255</v>
      </c>
      <c r="Y5259" s="782" t="s">
        <v>2248</v>
      </c>
      <c r="Z5259" s="782" t="s">
        <v>3883</v>
      </c>
      <c r="AA5259" s="781">
        <f>$S$1*P!AA5259</f>
        <v>9.1512096774193561E-7</v>
      </c>
      <c r="AB5259" s="780"/>
      <c r="AC5259" s="780"/>
      <c r="AD5259" s="780"/>
      <c r="AE5259" s="780"/>
      <c r="AF5259" s="780"/>
    </row>
    <row r="5260" spans="19:32" x14ac:dyDescent="0.35">
      <c r="S5260" s="780"/>
      <c r="T5260" s="928"/>
      <c r="U5260" s="928"/>
      <c r="V5260" s="928"/>
      <c r="W5260" s="780"/>
      <c r="X5260" s="782">
        <v>5256</v>
      </c>
      <c r="Y5260" s="782" t="s">
        <v>2248</v>
      </c>
      <c r="Z5260" s="782" t="s">
        <v>3882</v>
      </c>
      <c r="AA5260" s="781">
        <f>$S$1*P!AA5260</f>
        <v>6.1693548387096783E-3</v>
      </c>
      <c r="AB5260" s="780"/>
      <c r="AC5260" s="780"/>
      <c r="AD5260" s="780"/>
      <c r="AE5260" s="780"/>
      <c r="AF5260" s="780"/>
    </row>
    <row r="5261" spans="19:32" x14ac:dyDescent="0.35">
      <c r="S5261" s="780"/>
      <c r="T5261" s="928"/>
      <c r="U5261" s="928"/>
      <c r="V5261" s="928"/>
      <c r="W5261" s="780"/>
      <c r="X5261" s="782">
        <v>5257</v>
      </c>
      <c r="Y5261" s="782" t="s">
        <v>2248</v>
      </c>
      <c r="Z5261" s="782" t="s">
        <v>3610</v>
      </c>
      <c r="AA5261" s="781">
        <f>$S$1*P!AA5261</f>
        <v>2.6391129032258067E-4</v>
      </c>
      <c r="AB5261" s="780"/>
      <c r="AC5261" s="780"/>
      <c r="AD5261" s="780"/>
      <c r="AE5261" s="780"/>
      <c r="AF5261" s="780"/>
    </row>
    <row r="5262" spans="19:32" x14ac:dyDescent="0.35">
      <c r="S5262" s="780"/>
      <c r="T5262" s="928"/>
      <c r="U5262" s="928"/>
      <c r="V5262" s="928"/>
      <c r="W5262" s="780"/>
      <c r="X5262" s="782">
        <v>5258</v>
      </c>
      <c r="Y5262" s="782" t="s">
        <v>2248</v>
      </c>
      <c r="Z5262" s="782" t="s">
        <v>3881</v>
      </c>
      <c r="AA5262" s="781">
        <f>$S$1*P!AA5262</f>
        <v>1.1790322580645161E-6</v>
      </c>
      <c r="AB5262" s="780"/>
      <c r="AC5262" s="780"/>
      <c r="AD5262" s="780"/>
      <c r="AE5262" s="780"/>
      <c r="AF5262" s="780"/>
    </row>
    <row r="5263" spans="19:32" x14ac:dyDescent="0.35">
      <c r="S5263" s="780"/>
      <c r="T5263" s="928"/>
      <c r="U5263" s="928"/>
      <c r="V5263" s="928"/>
      <c r="W5263" s="780"/>
      <c r="X5263" s="782">
        <v>5259</v>
      </c>
      <c r="Y5263" s="782" t="s">
        <v>2248</v>
      </c>
      <c r="Z5263" s="782" t="s">
        <v>3880</v>
      </c>
      <c r="AA5263" s="781">
        <f>$S$1*P!AA5263</f>
        <v>5.2439516129032266E-3</v>
      </c>
      <c r="AB5263" s="780"/>
      <c r="AC5263" s="780"/>
      <c r="AD5263" s="780"/>
      <c r="AE5263" s="780"/>
      <c r="AF5263" s="780"/>
    </row>
    <row r="5264" spans="19:32" x14ac:dyDescent="0.35">
      <c r="S5264" s="780"/>
      <c r="T5264" s="928"/>
      <c r="U5264" s="928"/>
      <c r="V5264" s="928"/>
      <c r="W5264" s="780"/>
      <c r="X5264" s="782">
        <v>5260</v>
      </c>
      <c r="Y5264" s="782" t="s">
        <v>2248</v>
      </c>
      <c r="Z5264" s="782" t="s">
        <v>3605</v>
      </c>
      <c r="AA5264" s="781">
        <f>$S$1*P!AA5264</f>
        <v>2.0735887096774195E-4</v>
      </c>
      <c r="AB5264" s="780"/>
      <c r="AC5264" s="780"/>
      <c r="AD5264" s="780"/>
      <c r="AE5264" s="780"/>
      <c r="AF5264" s="780"/>
    </row>
    <row r="5265" spans="19:32" x14ac:dyDescent="0.35">
      <c r="S5265" s="780"/>
      <c r="T5265" s="928"/>
      <c r="U5265" s="928"/>
      <c r="V5265" s="928"/>
      <c r="W5265" s="780"/>
      <c r="X5265" s="782">
        <v>5261</v>
      </c>
      <c r="Y5265" s="782" t="s">
        <v>2248</v>
      </c>
      <c r="Z5265" s="782" t="s">
        <v>3879</v>
      </c>
      <c r="AA5265" s="781">
        <f>$S$1*P!AA5265</f>
        <v>9.3568548387096783E-7</v>
      </c>
      <c r="AB5265" s="780"/>
      <c r="AC5265" s="780"/>
      <c r="AD5265" s="780"/>
      <c r="AE5265" s="780"/>
      <c r="AF5265" s="780"/>
    </row>
    <row r="5266" spans="19:32" x14ac:dyDescent="0.35">
      <c r="S5266" s="780"/>
      <c r="T5266" s="928"/>
      <c r="U5266" s="928"/>
      <c r="V5266" s="928"/>
      <c r="W5266" s="780"/>
      <c r="X5266" s="782">
        <v>5262</v>
      </c>
      <c r="Y5266" s="782" t="s">
        <v>2248</v>
      </c>
      <c r="Z5266" s="782" t="s">
        <v>3604</v>
      </c>
      <c r="AA5266" s="781">
        <f>$S$1*P!AA5266</f>
        <v>1.2304435483870969E-5</v>
      </c>
      <c r="AB5266" s="780"/>
      <c r="AC5266" s="780"/>
      <c r="AD5266" s="780"/>
      <c r="AE5266" s="780"/>
      <c r="AF5266" s="780"/>
    </row>
    <row r="5267" spans="19:32" x14ac:dyDescent="0.35">
      <c r="S5267" s="780"/>
      <c r="T5267" s="928"/>
      <c r="U5267" s="928"/>
      <c r="V5267" s="928"/>
      <c r="W5267" s="780"/>
      <c r="X5267" s="881">
        <v>5263</v>
      </c>
      <c r="Y5267" s="881" t="s">
        <v>2248</v>
      </c>
      <c r="Z5267" s="881" t="s">
        <v>2362</v>
      </c>
      <c r="AA5267" s="890">
        <f>$S$1*P!AA5267</f>
        <v>0</v>
      </c>
      <c r="AB5267" s="780"/>
      <c r="AC5267" s="780"/>
      <c r="AD5267" s="780"/>
      <c r="AE5267" s="780"/>
      <c r="AF5267" s="780"/>
    </row>
    <row r="5268" spans="19:32" x14ac:dyDescent="0.35">
      <c r="S5268" s="780"/>
      <c r="T5268" s="928"/>
      <c r="U5268" s="928"/>
      <c r="V5268" s="928"/>
      <c r="W5268" s="780"/>
      <c r="X5268" s="782">
        <v>5264</v>
      </c>
      <c r="Y5268" s="782" t="s">
        <v>2248</v>
      </c>
      <c r="Z5268" s="782" t="s">
        <v>2362</v>
      </c>
      <c r="AA5268" s="781">
        <f>$S$1*P!AA5268</f>
        <v>4.4213709677419356E-6</v>
      </c>
      <c r="AB5268" s="780"/>
      <c r="AC5268" s="780"/>
      <c r="AD5268" s="780"/>
      <c r="AE5268" s="780"/>
      <c r="AF5268" s="780"/>
    </row>
    <row r="5269" spans="19:32" x14ac:dyDescent="0.35">
      <c r="S5269" s="780"/>
      <c r="T5269" s="928"/>
      <c r="U5269" s="928"/>
      <c r="V5269" s="928"/>
      <c r="W5269" s="780"/>
      <c r="X5269" s="782">
        <v>5265</v>
      </c>
      <c r="Y5269" s="782" t="s">
        <v>2248</v>
      </c>
      <c r="Z5269" s="782" t="s">
        <v>3878</v>
      </c>
      <c r="AA5269" s="781">
        <f>$S$1*P!AA5269</f>
        <v>1.9502016129032261E-4</v>
      </c>
      <c r="AB5269" s="780"/>
      <c r="AC5269" s="780"/>
      <c r="AD5269" s="780"/>
      <c r="AE5269" s="780"/>
      <c r="AF5269" s="780"/>
    </row>
    <row r="5270" spans="19:32" x14ac:dyDescent="0.35">
      <c r="S5270" s="780"/>
      <c r="T5270" s="928"/>
      <c r="U5270" s="928"/>
      <c r="V5270" s="928"/>
      <c r="W5270" s="780"/>
      <c r="X5270" s="782">
        <v>5266</v>
      </c>
      <c r="Y5270" s="782" t="s">
        <v>2248</v>
      </c>
      <c r="Z5270" s="782" t="s">
        <v>3602</v>
      </c>
      <c r="AA5270" s="781">
        <f>$S$1*P!AA5270</f>
        <v>3.8729838709677424E-4</v>
      </c>
      <c r="AB5270" s="780"/>
      <c r="AC5270" s="780"/>
      <c r="AD5270" s="780"/>
      <c r="AE5270" s="780"/>
      <c r="AF5270" s="780"/>
    </row>
    <row r="5271" spans="19:32" x14ac:dyDescent="0.35">
      <c r="S5271" s="780"/>
      <c r="T5271" s="928"/>
      <c r="U5271" s="928"/>
      <c r="V5271" s="928"/>
      <c r="W5271" s="780"/>
      <c r="X5271" s="782">
        <v>5267</v>
      </c>
      <c r="Y5271" s="782" t="s">
        <v>2248</v>
      </c>
      <c r="Z5271" s="782" t="s">
        <v>3877</v>
      </c>
      <c r="AA5271" s="781">
        <f>$S$1*P!AA5271</f>
        <v>2.8070564516129035E-2</v>
      </c>
      <c r="AB5271" s="780"/>
      <c r="AC5271" s="780"/>
      <c r="AD5271" s="780"/>
      <c r="AE5271" s="780"/>
      <c r="AF5271" s="780"/>
    </row>
    <row r="5272" spans="19:32" x14ac:dyDescent="0.35">
      <c r="S5272" s="780"/>
      <c r="T5272" s="928"/>
      <c r="U5272" s="928"/>
      <c r="V5272" s="928"/>
      <c r="W5272" s="780"/>
      <c r="X5272" s="782">
        <v>5268</v>
      </c>
      <c r="Y5272" s="782" t="s">
        <v>2248</v>
      </c>
      <c r="Z5272" s="782" t="s">
        <v>3598</v>
      </c>
      <c r="AA5272" s="781">
        <f>$S$1*P!AA5272</f>
        <v>3.9415322580645167E-2</v>
      </c>
      <c r="AB5272" s="780"/>
      <c r="AC5272" s="780"/>
      <c r="AD5272" s="780"/>
      <c r="AE5272" s="780"/>
      <c r="AF5272" s="780"/>
    </row>
    <row r="5273" spans="19:32" x14ac:dyDescent="0.35">
      <c r="S5273" s="780"/>
      <c r="T5273" s="928"/>
      <c r="U5273" s="928"/>
      <c r="V5273" s="928"/>
      <c r="W5273" s="780"/>
      <c r="X5273" s="782">
        <v>5269</v>
      </c>
      <c r="Y5273" s="782" t="s">
        <v>2248</v>
      </c>
      <c r="Z5273" s="782" t="s">
        <v>3876</v>
      </c>
      <c r="AA5273" s="781">
        <f>$S$1*P!AA5273</f>
        <v>0.60322580645161294</v>
      </c>
      <c r="AB5273" s="780"/>
      <c r="AC5273" s="780"/>
      <c r="AD5273" s="780"/>
      <c r="AE5273" s="780"/>
      <c r="AF5273" s="780"/>
    </row>
    <row r="5274" spans="19:32" x14ac:dyDescent="0.35">
      <c r="S5274" s="780"/>
      <c r="T5274" s="928"/>
      <c r="U5274" s="928"/>
      <c r="V5274" s="928"/>
      <c r="W5274" s="780"/>
      <c r="X5274" s="782">
        <v>5270</v>
      </c>
      <c r="Y5274" s="782" t="s">
        <v>2248</v>
      </c>
      <c r="Z5274" s="782" t="s">
        <v>3875</v>
      </c>
      <c r="AA5274" s="781">
        <f>$S$1*P!AA5274</f>
        <v>8.6370967741935493E-4</v>
      </c>
      <c r="AB5274" s="780"/>
      <c r="AC5274" s="780"/>
      <c r="AD5274" s="780"/>
      <c r="AE5274" s="780"/>
      <c r="AF5274" s="780"/>
    </row>
    <row r="5275" spans="19:32" x14ac:dyDescent="0.35">
      <c r="S5275" s="780"/>
      <c r="T5275" s="928"/>
      <c r="U5275" s="928"/>
      <c r="V5275" s="928"/>
      <c r="W5275" s="780"/>
      <c r="X5275" s="782">
        <v>5271</v>
      </c>
      <c r="Y5275" s="782" t="s">
        <v>2248</v>
      </c>
      <c r="Z5275" s="782" t="s">
        <v>2265</v>
      </c>
      <c r="AA5275" s="781">
        <f>$S$1*P!AA5275</f>
        <v>1.0453629032258065E-4</v>
      </c>
      <c r="AB5275" s="780"/>
      <c r="AC5275" s="780"/>
      <c r="AD5275" s="780"/>
      <c r="AE5275" s="780"/>
      <c r="AF5275" s="780"/>
    </row>
    <row r="5276" spans="19:32" x14ac:dyDescent="0.35">
      <c r="S5276" s="780"/>
      <c r="T5276" s="928"/>
      <c r="U5276" s="928"/>
      <c r="V5276" s="928"/>
      <c r="W5276" s="780"/>
      <c r="X5276" s="782">
        <v>5272</v>
      </c>
      <c r="Y5276" s="782" t="s">
        <v>2248</v>
      </c>
      <c r="Z5276" s="782" t="s">
        <v>3874</v>
      </c>
      <c r="AA5276" s="781">
        <f>$S$1*P!AA5276</f>
        <v>1.9879032258064519E-2</v>
      </c>
      <c r="AB5276" s="780"/>
      <c r="AC5276" s="780"/>
      <c r="AD5276" s="780"/>
      <c r="AE5276" s="780"/>
      <c r="AF5276" s="780"/>
    </row>
    <row r="5277" spans="19:32" x14ac:dyDescent="0.35">
      <c r="S5277" s="780"/>
      <c r="T5277" s="928"/>
      <c r="U5277" s="928"/>
      <c r="V5277" s="928"/>
      <c r="W5277" s="780"/>
      <c r="X5277" s="881">
        <v>5273</v>
      </c>
      <c r="Y5277" s="881" t="s">
        <v>2248</v>
      </c>
      <c r="Z5277" s="881" t="s">
        <v>2360</v>
      </c>
      <c r="AA5277" s="890">
        <f>$S$1*P!AA5277</f>
        <v>0</v>
      </c>
      <c r="AB5277" s="780"/>
      <c r="AC5277" s="780"/>
      <c r="AD5277" s="780"/>
      <c r="AE5277" s="780"/>
      <c r="AF5277" s="780"/>
    </row>
    <row r="5278" spans="19:32" x14ac:dyDescent="0.35">
      <c r="S5278" s="780"/>
      <c r="T5278" s="928"/>
      <c r="U5278" s="928"/>
      <c r="V5278" s="928"/>
      <c r="W5278" s="780"/>
      <c r="X5278" s="782">
        <v>5274</v>
      </c>
      <c r="Y5278" s="782" t="s">
        <v>2248</v>
      </c>
      <c r="Z5278" s="782" t="s">
        <v>3593</v>
      </c>
      <c r="AA5278" s="781">
        <f>$S$1*P!AA5278</f>
        <v>3.2663306451612904E-4</v>
      </c>
      <c r="AB5278" s="780"/>
      <c r="AC5278" s="780"/>
      <c r="AD5278" s="780"/>
      <c r="AE5278" s="780"/>
      <c r="AF5278" s="780"/>
    </row>
    <row r="5279" spans="19:32" x14ac:dyDescent="0.35">
      <c r="S5279" s="780"/>
      <c r="T5279" s="928"/>
      <c r="U5279" s="928"/>
      <c r="V5279" s="928"/>
      <c r="W5279" s="780"/>
      <c r="X5279" s="782">
        <v>5275</v>
      </c>
      <c r="Y5279" s="782" t="s">
        <v>2248</v>
      </c>
      <c r="Z5279" s="782" t="s">
        <v>3059</v>
      </c>
      <c r="AA5279" s="781">
        <f>$S$1*P!AA5279</f>
        <v>4.7983870967741937E-5</v>
      </c>
      <c r="AB5279" s="780"/>
      <c r="AC5279" s="780"/>
      <c r="AD5279" s="780"/>
      <c r="AE5279" s="780"/>
      <c r="AF5279" s="780"/>
    </row>
    <row r="5280" spans="19:32" x14ac:dyDescent="0.35">
      <c r="S5280" s="780"/>
      <c r="T5280" s="928"/>
      <c r="U5280" s="928"/>
      <c r="V5280" s="928"/>
      <c r="W5280" s="780"/>
      <c r="X5280" s="881">
        <v>5276</v>
      </c>
      <c r="Y5280" s="881" t="s">
        <v>2248</v>
      </c>
      <c r="Z5280" s="881" t="s">
        <v>2359</v>
      </c>
      <c r="AA5280" s="890">
        <f>$S$1*P!AA5280</f>
        <v>0</v>
      </c>
      <c r="AB5280" s="780"/>
      <c r="AC5280" s="780"/>
      <c r="AD5280" s="780"/>
      <c r="AE5280" s="780"/>
      <c r="AF5280" s="780"/>
    </row>
    <row r="5281" spans="19:32" x14ac:dyDescent="0.35">
      <c r="S5281" s="780"/>
      <c r="T5281" s="928"/>
      <c r="U5281" s="928"/>
      <c r="V5281" s="928"/>
      <c r="W5281" s="780"/>
      <c r="X5281" s="782">
        <v>5277</v>
      </c>
      <c r="Y5281" s="782" t="s">
        <v>2248</v>
      </c>
      <c r="Z5281" s="782" t="s">
        <v>3592</v>
      </c>
      <c r="AA5281" s="781">
        <f>$S$1*P!AA5281</f>
        <v>1.7822580645161291E-3</v>
      </c>
      <c r="AB5281" s="780"/>
      <c r="AC5281" s="780"/>
      <c r="AD5281" s="780"/>
      <c r="AE5281" s="780"/>
      <c r="AF5281" s="780"/>
    </row>
    <row r="5282" spans="19:32" x14ac:dyDescent="0.35">
      <c r="S5282" s="780"/>
      <c r="T5282" s="928"/>
      <c r="U5282" s="928"/>
      <c r="V5282" s="928"/>
      <c r="W5282" s="780"/>
      <c r="X5282" s="881">
        <v>5278</v>
      </c>
      <c r="Y5282" s="881" t="s">
        <v>2248</v>
      </c>
      <c r="Z5282" s="881" t="s">
        <v>2357</v>
      </c>
      <c r="AA5282" s="890">
        <f>$S$1*P!AA5282</f>
        <v>0</v>
      </c>
      <c r="AB5282" s="780"/>
      <c r="AC5282" s="780"/>
      <c r="AD5282" s="780"/>
      <c r="AE5282" s="780"/>
      <c r="AF5282" s="780"/>
    </row>
    <row r="5283" spans="19:32" x14ac:dyDescent="0.35">
      <c r="S5283" s="780"/>
      <c r="T5283" s="928"/>
      <c r="U5283" s="928"/>
      <c r="V5283" s="928"/>
      <c r="W5283" s="780"/>
      <c r="X5283" s="782">
        <v>5279</v>
      </c>
      <c r="Y5283" s="782" t="s">
        <v>2248</v>
      </c>
      <c r="Z5283" s="782" t="s">
        <v>2357</v>
      </c>
      <c r="AA5283" s="781">
        <f>$S$1*P!AA5283</f>
        <v>0.13264112903225808</v>
      </c>
      <c r="AB5283" s="780"/>
      <c r="AC5283" s="780"/>
      <c r="AD5283" s="780"/>
      <c r="AE5283" s="780"/>
      <c r="AF5283" s="780"/>
    </row>
    <row r="5284" spans="19:32" x14ac:dyDescent="0.35">
      <c r="S5284" s="780"/>
      <c r="T5284" s="928"/>
      <c r="U5284" s="928"/>
      <c r="V5284" s="928"/>
      <c r="W5284" s="780"/>
      <c r="X5284" s="782">
        <v>5280</v>
      </c>
      <c r="Y5284" s="782" t="s">
        <v>2248</v>
      </c>
      <c r="Z5284" s="782" t="s">
        <v>3589</v>
      </c>
      <c r="AA5284" s="781">
        <f>$S$1*P!AA5284</f>
        <v>7.0604838709677423E-5</v>
      </c>
      <c r="AB5284" s="780"/>
      <c r="AC5284" s="780"/>
      <c r="AD5284" s="780"/>
      <c r="AE5284" s="780"/>
      <c r="AF5284" s="780"/>
    </row>
    <row r="5285" spans="19:32" x14ac:dyDescent="0.35">
      <c r="S5285" s="780"/>
      <c r="T5285" s="928"/>
      <c r="U5285" s="928"/>
      <c r="V5285" s="928"/>
      <c r="W5285" s="780"/>
      <c r="X5285" s="782">
        <v>5281</v>
      </c>
      <c r="Y5285" s="782" t="s">
        <v>2248</v>
      </c>
      <c r="Z5285" s="782" t="s">
        <v>3873</v>
      </c>
      <c r="AA5285" s="781">
        <f>$S$1*P!AA5285</f>
        <v>3.1840725806451614E-4</v>
      </c>
      <c r="AB5285" s="780"/>
      <c r="AC5285" s="780"/>
      <c r="AD5285" s="780"/>
      <c r="AE5285" s="780"/>
      <c r="AF5285" s="780"/>
    </row>
    <row r="5286" spans="19:32" x14ac:dyDescent="0.35">
      <c r="S5286" s="780"/>
      <c r="T5286" s="928"/>
      <c r="U5286" s="928"/>
      <c r="V5286" s="928"/>
      <c r="W5286" s="780"/>
      <c r="X5286" s="881">
        <v>5282</v>
      </c>
      <c r="Y5286" s="881" t="s">
        <v>2248</v>
      </c>
      <c r="Z5286" s="881" t="s">
        <v>2356</v>
      </c>
      <c r="AA5286" s="890">
        <f>$S$1*P!AA5286</f>
        <v>40.756</v>
      </c>
      <c r="AB5286" s="780"/>
      <c r="AC5286" s="780"/>
      <c r="AD5286" s="780"/>
      <c r="AE5286" s="780"/>
      <c r="AF5286" s="780"/>
    </row>
    <row r="5287" spans="19:32" x14ac:dyDescent="0.35">
      <c r="S5287" s="780"/>
      <c r="T5287" s="928"/>
      <c r="U5287" s="928"/>
      <c r="V5287" s="928"/>
      <c r="W5287" s="780"/>
      <c r="X5287" s="782">
        <v>5283</v>
      </c>
      <c r="Y5287" s="782" t="s">
        <v>2248</v>
      </c>
      <c r="Z5287" s="782" t="s">
        <v>3587</v>
      </c>
      <c r="AA5287" s="781">
        <f>$S$1*P!AA5287</f>
        <v>3.249193548387097E-4</v>
      </c>
      <c r="AB5287" s="780"/>
      <c r="AC5287" s="780"/>
      <c r="AD5287" s="780"/>
      <c r="AE5287" s="780"/>
      <c r="AF5287" s="780"/>
    </row>
    <row r="5288" spans="19:32" x14ac:dyDescent="0.35">
      <c r="S5288" s="780"/>
      <c r="T5288" s="928"/>
      <c r="U5288" s="928"/>
      <c r="V5288" s="928"/>
      <c r="W5288" s="780"/>
      <c r="X5288" s="881">
        <v>5284</v>
      </c>
      <c r="Y5288" s="881" t="s">
        <v>2248</v>
      </c>
      <c r="Z5288" s="881" t="s">
        <v>2354</v>
      </c>
      <c r="AA5288" s="890">
        <f>$S$1*P!AA5288</f>
        <v>0</v>
      </c>
      <c r="AB5288" s="780"/>
      <c r="AC5288" s="780"/>
      <c r="AD5288" s="780"/>
      <c r="AE5288" s="780"/>
      <c r="AF5288" s="780"/>
    </row>
    <row r="5289" spans="19:32" x14ac:dyDescent="0.35">
      <c r="S5289" s="780"/>
      <c r="T5289" s="928"/>
      <c r="U5289" s="928"/>
      <c r="V5289" s="928"/>
      <c r="W5289" s="780"/>
      <c r="X5289" s="782">
        <v>5285</v>
      </c>
      <c r="Y5289" s="782" t="s">
        <v>2248</v>
      </c>
      <c r="Z5289" s="782" t="s">
        <v>3872</v>
      </c>
      <c r="AA5289" s="781">
        <f>$S$1*P!AA5289</f>
        <v>3.8729838709677424E-3</v>
      </c>
      <c r="AB5289" s="780"/>
      <c r="AC5289" s="780"/>
      <c r="AD5289" s="780"/>
      <c r="AE5289" s="780"/>
      <c r="AF5289" s="780"/>
    </row>
    <row r="5290" spans="19:32" x14ac:dyDescent="0.35">
      <c r="S5290" s="780"/>
      <c r="T5290" s="928"/>
      <c r="U5290" s="928"/>
      <c r="V5290" s="928"/>
      <c r="W5290" s="780"/>
      <c r="X5290" s="782">
        <v>5286</v>
      </c>
      <c r="Y5290" s="782" t="s">
        <v>2248</v>
      </c>
      <c r="Z5290" s="782" t="s">
        <v>3585</v>
      </c>
      <c r="AA5290" s="781">
        <f>$S$1*P!AA5290</f>
        <v>1.7993951612903229E-5</v>
      </c>
      <c r="AB5290" s="780"/>
      <c r="AC5290" s="780"/>
      <c r="AD5290" s="780"/>
      <c r="AE5290" s="780"/>
      <c r="AF5290" s="780"/>
    </row>
    <row r="5291" spans="19:32" x14ac:dyDescent="0.35">
      <c r="S5291" s="780"/>
      <c r="T5291" s="928"/>
      <c r="U5291" s="928"/>
      <c r="V5291" s="928"/>
      <c r="W5291" s="780"/>
      <c r="X5291" s="782">
        <v>5287</v>
      </c>
      <c r="Y5291" s="782" t="s">
        <v>2248</v>
      </c>
      <c r="Z5291" s="782" t="s">
        <v>3871</v>
      </c>
      <c r="AA5291" s="781">
        <f>$S$1*P!AA5291</f>
        <v>3.9758064516129035E-3</v>
      </c>
      <c r="AB5291" s="780"/>
      <c r="AC5291" s="780"/>
      <c r="AD5291" s="780"/>
      <c r="AE5291" s="780"/>
      <c r="AF5291" s="780"/>
    </row>
    <row r="5292" spans="19:32" x14ac:dyDescent="0.35">
      <c r="S5292" s="780"/>
      <c r="T5292" s="928"/>
      <c r="U5292" s="928"/>
      <c r="V5292" s="928"/>
      <c r="W5292" s="780"/>
      <c r="X5292" s="782">
        <v>5288</v>
      </c>
      <c r="Y5292" s="782" t="s">
        <v>2248</v>
      </c>
      <c r="Z5292" s="782" t="s">
        <v>3583</v>
      </c>
      <c r="AA5292" s="781">
        <f>$S$1*P!AA5292</f>
        <v>1.9913306451612904</v>
      </c>
      <c r="AB5292" s="780"/>
      <c r="AC5292" s="780"/>
      <c r="AD5292" s="780"/>
      <c r="AE5292" s="780"/>
      <c r="AF5292" s="780"/>
    </row>
    <row r="5293" spans="19:32" x14ac:dyDescent="0.35">
      <c r="S5293" s="780"/>
      <c r="T5293" s="928"/>
      <c r="U5293" s="928"/>
      <c r="V5293" s="928"/>
      <c r="W5293" s="780"/>
      <c r="X5293" s="782">
        <v>5289</v>
      </c>
      <c r="Y5293" s="782" t="s">
        <v>2248</v>
      </c>
      <c r="Z5293" s="782" t="s">
        <v>3870</v>
      </c>
      <c r="AA5293" s="781">
        <f>$S$1*P!AA5293</f>
        <v>1.7137096774193551E-2</v>
      </c>
      <c r="AB5293" s="780"/>
      <c r="AC5293" s="780"/>
      <c r="AD5293" s="780"/>
      <c r="AE5293" s="780"/>
      <c r="AF5293" s="780"/>
    </row>
    <row r="5294" spans="19:32" x14ac:dyDescent="0.35">
      <c r="S5294" s="780"/>
      <c r="T5294" s="928"/>
      <c r="U5294" s="928"/>
      <c r="V5294" s="928"/>
      <c r="W5294" s="780"/>
      <c r="X5294" s="782">
        <v>5290</v>
      </c>
      <c r="Y5294" s="782" t="s">
        <v>2248</v>
      </c>
      <c r="Z5294" s="782" t="s">
        <v>3869</v>
      </c>
      <c r="AA5294" s="781">
        <f>$S$1*P!AA5294</f>
        <v>1.1310483870967743E-5</v>
      </c>
      <c r="AB5294" s="780"/>
      <c r="AC5294" s="780"/>
      <c r="AD5294" s="780"/>
      <c r="AE5294" s="780"/>
      <c r="AF5294" s="780"/>
    </row>
    <row r="5295" spans="19:32" x14ac:dyDescent="0.35">
      <c r="S5295" s="780"/>
      <c r="T5295" s="928"/>
      <c r="U5295" s="928"/>
      <c r="V5295" s="928"/>
      <c r="W5295" s="780"/>
      <c r="X5295" s="881">
        <v>5291</v>
      </c>
      <c r="Y5295" s="881" t="s">
        <v>2248</v>
      </c>
      <c r="Z5295" s="881" t="s">
        <v>2352</v>
      </c>
      <c r="AA5295" s="890">
        <f>$S$1*P!AA5295</f>
        <v>0.98439999999999994</v>
      </c>
      <c r="AB5295" s="780"/>
      <c r="AC5295" s="780"/>
      <c r="AD5295" s="780"/>
      <c r="AE5295" s="780"/>
      <c r="AF5295" s="780"/>
    </row>
    <row r="5296" spans="19:32" x14ac:dyDescent="0.35">
      <c r="S5296" s="780"/>
      <c r="T5296" s="928"/>
      <c r="U5296" s="928"/>
      <c r="V5296" s="928"/>
      <c r="W5296" s="780"/>
      <c r="X5296" s="782">
        <v>5292</v>
      </c>
      <c r="Y5296" s="782" t="s">
        <v>2248</v>
      </c>
      <c r="Z5296" s="782" t="s">
        <v>3581</v>
      </c>
      <c r="AA5296" s="781">
        <f>$S$1*P!AA5296</f>
        <v>1.7548387096774196E-3</v>
      </c>
      <c r="AB5296" s="780"/>
      <c r="AC5296" s="780"/>
      <c r="AD5296" s="780"/>
      <c r="AE5296" s="780"/>
      <c r="AF5296" s="780"/>
    </row>
    <row r="5297" spans="19:32" x14ac:dyDescent="0.35">
      <c r="S5297" s="780"/>
      <c r="T5297" s="928"/>
      <c r="U5297" s="928"/>
      <c r="V5297" s="928"/>
      <c r="W5297" s="780"/>
      <c r="X5297" s="881">
        <v>5293</v>
      </c>
      <c r="Y5297" s="881" t="s">
        <v>2248</v>
      </c>
      <c r="Z5297" s="881" t="s">
        <v>2351</v>
      </c>
      <c r="AA5297" s="890">
        <f>$S$1*P!AA5297</f>
        <v>0.51427999999999996</v>
      </c>
      <c r="AB5297" s="780"/>
      <c r="AC5297" s="780"/>
      <c r="AD5297" s="780"/>
      <c r="AE5297" s="780"/>
      <c r="AF5297" s="780"/>
    </row>
    <row r="5298" spans="19:32" x14ac:dyDescent="0.35">
      <c r="S5298" s="780"/>
      <c r="T5298" s="928"/>
      <c r="U5298" s="928"/>
      <c r="V5298" s="928"/>
      <c r="W5298" s="780"/>
      <c r="X5298" s="782">
        <v>5294</v>
      </c>
      <c r="Y5298" s="782" t="s">
        <v>2248</v>
      </c>
      <c r="Z5298" s="782" t="s">
        <v>3578</v>
      </c>
      <c r="AA5298" s="781">
        <f>$S$1*P!AA5298</f>
        <v>2.5122983870967744E-3</v>
      </c>
      <c r="AB5298" s="780"/>
      <c r="AC5298" s="780"/>
      <c r="AD5298" s="780"/>
      <c r="AE5298" s="780"/>
      <c r="AF5298" s="780"/>
    </row>
    <row r="5299" spans="19:32" x14ac:dyDescent="0.35">
      <c r="S5299" s="780"/>
      <c r="T5299" s="928"/>
      <c r="U5299" s="928"/>
      <c r="V5299" s="928"/>
      <c r="W5299" s="780"/>
      <c r="X5299" s="881">
        <v>5295</v>
      </c>
      <c r="Y5299" s="881" t="s">
        <v>2248</v>
      </c>
      <c r="Z5299" s="881" t="s">
        <v>2349</v>
      </c>
      <c r="AA5299" s="890">
        <f>$S$1*P!AA5299</f>
        <v>2.3552</v>
      </c>
      <c r="AB5299" s="780"/>
      <c r="AC5299" s="780"/>
      <c r="AD5299" s="780"/>
      <c r="AE5299" s="780"/>
      <c r="AF5299" s="780"/>
    </row>
    <row r="5300" spans="19:32" x14ac:dyDescent="0.35">
      <c r="S5300" s="780"/>
      <c r="T5300" s="928"/>
      <c r="U5300" s="928"/>
      <c r="V5300" s="928"/>
      <c r="W5300" s="780"/>
      <c r="X5300" s="782">
        <v>5296</v>
      </c>
      <c r="Y5300" s="782" t="s">
        <v>2248</v>
      </c>
      <c r="Z5300" s="782" t="s">
        <v>3868</v>
      </c>
      <c r="AA5300" s="781">
        <f>$S$1*P!AA5300</f>
        <v>3.3622983870967745E-6</v>
      </c>
      <c r="AB5300" s="780"/>
      <c r="AC5300" s="780"/>
      <c r="AD5300" s="780"/>
      <c r="AE5300" s="780"/>
      <c r="AF5300" s="780"/>
    </row>
    <row r="5301" spans="19:32" x14ac:dyDescent="0.35">
      <c r="S5301" s="780"/>
      <c r="T5301" s="928"/>
      <c r="U5301" s="928"/>
      <c r="V5301" s="928"/>
      <c r="W5301" s="780"/>
      <c r="X5301" s="782">
        <v>5297</v>
      </c>
      <c r="Y5301" s="782" t="s">
        <v>2248</v>
      </c>
      <c r="Z5301" s="782" t="s">
        <v>3576</v>
      </c>
      <c r="AA5301" s="781">
        <f>$S$1*P!AA5301</f>
        <v>6.6491935483870973E-3</v>
      </c>
      <c r="AB5301" s="780"/>
      <c r="AC5301" s="780"/>
      <c r="AD5301" s="780"/>
      <c r="AE5301" s="780"/>
      <c r="AF5301" s="780"/>
    </row>
    <row r="5302" spans="19:32" x14ac:dyDescent="0.35">
      <c r="S5302" s="780"/>
      <c r="T5302" s="928"/>
      <c r="U5302" s="928"/>
      <c r="V5302" s="928"/>
      <c r="W5302" s="780"/>
      <c r="X5302" s="881">
        <v>5298</v>
      </c>
      <c r="Y5302" s="881" t="s">
        <v>2248</v>
      </c>
      <c r="Z5302" s="881" t="s">
        <v>2348</v>
      </c>
      <c r="AA5302" s="890">
        <f>$S$1*P!AA5302</f>
        <v>2.484</v>
      </c>
      <c r="AB5302" s="780"/>
      <c r="AC5302" s="780"/>
      <c r="AD5302" s="780"/>
      <c r="AE5302" s="780"/>
      <c r="AF5302" s="780"/>
    </row>
    <row r="5303" spans="19:32" x14ac:dyDescent="0.35">
      <c r="S5303" s="780"/>
      <c r="T5303" s="928"/>
      <c r="U5303" s="928"/>
      <c r="V5303" s="928"/>
      <c r="W5303" s="780"/>
      <c r="X5303" s="881">
        <v>5299</v>
      </c>
      <c r="Y5303" s="881" t="s">
        <v>2248</v>
      </c>
      <c r="Z5303" s="881" t="s">
        <v>2346</v>
      </c>
      <c r="AA5303" s="890">
        <f>$S$1*P!AA5303</f>
        <v>1.6099999999999999</v>
      </c>
      <c r="AB5303" s="780"/>
      <c r="AC5303" s="780"/>
      <c r="AD5303" s="780"/>
      <c r="AE5303" s="780"/>
      <c r="AF5303" s="780"/>
    </row>
    <row r="5304" spans="19:32" x14ac:dyDescent="0.35">
      <c r="S5304" s="780"/>
      <c r="T5304" s="928"/>
      <c r="U5304" s="928"/>
      <c r="V5304" s="928"/>
      <c r="W5304" s="780"/>
      <c r="X5304" s="782">
        <v>5300</v>
      </c>
      <c r="Y5304" s="782" t="s">
        <v>2248</v>
      </c>
      <c r="Z5304" s="782" t="s">
        <v>2263</v>
      </c>
      <c r="AA5304" s="781">
        <f>$S$1*P!AA5304</f>
        <v>3.4274193548387101E-4</v>
      </c>
      <c r="AB5304" s="780"/>
      <c r="AC5304" s="780"/>
      <c r="AD5304" s="780"/>
      <c r="AE5304" s="780"/>
      <c r="AF5304" s="780"/>
    </row>
    <row r="5305" spans="19:32" x14ac:dyDescent="0.35">
      <c r="S5305" s="780"/>
      <c r="T5305" s="928"/>
      <c r="U5305" s="928"/>
      <c r="V5305" s="928"/>
      <c r="W5305" s="780"/>
      <c r="X5305" s="782">
        <v>5301</v>
      </c>
      <c r="Y5305" s="782" t="s">
        <v>2248</v>
      </c>
      <c r="Z5305" s="782" t="s">
        <v>3867</v>
      </c>
      <c r="AA5305" s="781">
        <f>$S$1*P!AA5305</f>
        <v>1.6074596774193549E-3</v>
      </c>
      <c r="AB5305" s="780"/>
      <c r="AC5305" s="780"/>
      <c r="AD5305" s="780"/>
      <c r="AE5305" s="780"/>
      <c r="AF5305" s="780"/>
    </row>
    <row r="5306" spans="19:32" x14ac:dyDescent="0.35">
      <c r="S5306" s="780"/>
      <c r="T5306" s="928"/>
      <c r="U5306" s="928"/>
      <c r="V5306" s="928"/>
      <c r="W5306" s="780"/>
      <c r="X5306" s="782">
        <v>5302</v>
      </c>
      <c r="Y5306" s="782" t="s">
        <v>2248</v>
      </c>
      <c r="Z5306" s="782" t="s">
        <v>3866</v>
      </c>
      <c r="AA5306" s="781">
        <f>$S$1*P!AA5306</f>
        <v>0.25260080645161292</v>
      </c>
      <c r="AB5306" s="780"/>
      <c r="AC5306" s="780"/>
      <c r="AD5306" s="780"/>
      <c r="AE5306" s="780"/>
      <c r="AF5306" s="780"/>
    </row>
    <row r="5307" spans="19:32" x14ac:dyDescent="0.35">
      <c r="S5307" s="780"/>
      <c r="T5307" s="928"/>
      <c r="U5307" s="928"/>
      <c r="V5307" s="928"/>
      <c r="W5307" s="780"/>
      <c r="X5307" s="782">
        <v>5303</v>
      </c>
      <c r="Y5307" s="782" t="s">
        <v>2248</v>
      </c>
      <c r="Z5307" s="782" t="s">
        <v>3572</v>
      </c>
      <c r="AA5307" s="781">
        <f>$S$1*P!AA5307</f>
        <v>1.8199596774193548E-4</v>
      </c>
      <c r="AB5307" s="780"/>
      <c r="AC5307" s="780"/>
      <c r="AD5307" s="780"/>
      <c r="AE5307" s="780"/>
      <c r="AF5307" s="780"/>
    </row>
    <row r="5308" spans="19:32" x14ac:dyDescent="0.35">
      <c r="S5308" s="780"/>
      <c r="T5308" s="928"/>
      <c r="U5308" s="928"/>
      <c r="V5308" s="928"/>
      <c r="W5308" s="780"/>
      <c r="X5308" s="782">
        <v>5304</v>
      </c>
      <c r="Y5308" s="782" t="s">
        <v>2248</v>
      </c>
      <c r="Z5308" s="782" t="s">
        <v>3865</v>
      </c>
      <c r="AA5308" s="781">
        <f>$S$1*P!AA5308</f>
        <v>3.2354838709677425E-2</v>
      </c>
      <c r="AB5308" s="780"/>
      <c r="AC5308" s="780"/>
      <c r="AD5308" s="780"/>
      <c r="AE5308" s="780"/>
      <c r="AF5308" s="780"/>
    </row>
    <row r="5309" spans="19:32" x14ac:dyDescent="0.35">
      <c r="S5309" s="780"/>
      <c r="T5309" s="928"/>
      <c r="U5309" s="928"/>
      <c r="V5309" s="928"/>
      <c r="W5309" s="780"/>
      <c r="X5309" s="782">
        <v>5305</v>
      </c>
      <c r="Y5309" s="782" t="s">
        <v>2248</v>
      </c>
      <c r="Z5309" s="782" t="s">
        <v>3056</v>
      </c>
      <c r="AA5309" s="781">
        <f>$S$1*P!AA5309</f>
        <v>1.6143145161290324E-5</v>
      </c>
      <c r="AB5309" s="780"/>
      <c r="AC5309" s="780"/>
      <c r="AD5309" s="780"/>
      <c r="AE5309" s="780"/>
      <c r="AF5309" s="780"/>
    </row>
    <row r="5310" spans="19:32" x14ac:dyDescent="0.35">
      <c r="S5310" s="780"/>
      <c r="T5310" s="928"/>
      <c r="U5310" s="928"/>
      <c r="V5310" s="928"/>
      <c r="W5310" s="780"/>
      <c r="X5310" s="782">
        <v>5306</v>
      </c>
      <c r="Y5310" s="782" t="s">
        <v>2248</v>
      </c>
      <c r="Z5310" s="782" t="s">
        <v>3564</v>
      </c>
      <c r="AA5310" s="781">
        <f>$S$1*P!AA5310</f>
        <v>1.0145161290322581E-4</v>
      </c>
      <c r="AB5310" s="780"/>
      <c r="AC5310" s="780"/>
      <c r="AD5310" s="780"/>
      <c r="AE5310" s="780"/>
      <c r="AF5310" s="780"/>
    </row>
    <row r="5311" spans="19:32" x14ac:dyDescent="0.35">
      <c r="S5311" s="780"/>
      <c r="T5311" s="928"/>
      <c r="U5311" s="928"/>
      <c r="V5311" s="928"/>
      <c r="W5311" s="780"/>
      <c r="X5311" s="782">
        <v>5307</v>
      </c>
      <c r="Y5311" s="782" t="s">
        <v>2248</v>
      </c>
      <c r="Z5311" s="782" t="s">
        <v>3864</v>
      </c>
      <c r="AA5311" s="781">
        <f>$S$1*P!AA5311</f>
        <v>0.18199596774193549</v>
      </c>
      <c r="AB5311" s="780"/>
      <c r="AC5311" s="780"/>
      <c r="AD5311" s="780"/>
      <c r="AE5311" s="780"/>
      <c r="AF5311" s="780"/>
    </row>
    <row r="5312" spans="19:32" x14ac:dyDescent="0.35">
      <c r="S5312" s="780"/>
      <c r="T5312" s="928"/>
      <c r="U5312" s="928"/>
      <c r="V5312" s="928"/>
      <c r="W5312" s="780"/>
      <c r="X5312" s="782">
        <v>5308</v>
      </c>
      <c r="Y5312" s="782" t="s">
        <v>2248</v>
      </c>
      <c r="Z5312" s="782" t="s">
        <v>3863</v>
      </c>
      <c r="AA5312" s="781">
        <f>$S$1*P!AA5312</f>
        <v>2.1729838709677422E-2</v>
      </c>
      <c r="AB5312" s="780"/>
      <c r="AC5312" s="780"/>
      <c r="AD5312" s="780"/>
      <c r="AE5312" s="780"/>
      <c r="AF5312" s="780"/>
    </row>
    <row r="5313" spans="19:32" x14ac:dyDescent="0.35">
      <c r="S5313" s="780"/>
      <c r="T5313" s="928"/>
      <c r="U5313" s="928"/>
      <c r="V5313" s="928"/>
      <c r="W5313" s="780"/>
      <c r="X5313" s="782">
        <v>5309</v>
      </c>
      <c r="Y5313" s="782" t="s">
        <v>2248</v>
      </c>
      <c r="Z5313" s="782" t="s">
        <v>2255</v>
      </c>
      <c r="AA5313" s="781">
        <f>$S$1*P!AA5313</f>
        <v>2.9544354838709678E-5</v>
      </c>
      <c r="AB5313" s="780"/>
      <c r="AC5313" s="780"/>
      <c r="AD5313" s="780"/>
      <c r="AE5313" s="780"/>
      <c r="AF5313" s="780"/>
    </row>
    <row r="5314" spans="19:32" x14ac:dyDescent="0.35">
      <c r="S5314" s="780"/>
      <c r="T5314" s="928"/>
      <c r="U5314" s="928"/>
      <c r="V5314" s="928"/>
      <c r="W5314" s="780"/>
      <c r="X5314" s="782">
        <v>5310</v>
      </c>
      <c r="Y5314" s="782" t="s">
        <v>2248</v>
      </c>
      <c r="Z5314" s="782" t="s">
        <v>3862</v>
      </c>
      <c r="AA5314" s="781">
        <f>$S$1*P!AA5314</f>
        <v>3.5645161290322585E-5</v>
      </c>
      <c r="AB5314" s="780"/>
      <c r="AC5314" s="780"/>
      <c r="AD5314" s="780"/>
      <c r="AE5314" s="780"/>
      <c r="AF5314" s="780"/>
    </row>
    <row r="5315" spans="19:32" x14ac:dyDescent="0.35">
      <c r="S5315" s="780"/>
      <c r="T5315" s="928"/>
      <c r="U5315" s="928"/>
      <c r="V5315" s="928"/>
      <c r="W5315" s="780"/>
      <c r="X5315" s="881">
        <v>5311</v>
      </c>
      <c r="Y5315" s="881" t="s">
        <v>2248</v>
      </c>
      <c r="Z5315" s="881" t="s">
        <v>2345</v>
      </c>
      <c r="AA5315" s="890">
        <f>$S$1*P!AA5315</f>
        <v>1.7848000000000002</v>
      </c>
      <c r="AB5315" s="780"/>
      <c r="AC5315" s="780"/>
      <c r="AD5315" s="780"/>
      <c r="AE5315" s="780"/>
      <c r="AF5315" s="780"/>
    </row>
    <row r="5316" spans="19:32" x14ac:dyDescent="0.35">
      <c r="S5316" s="780"/>
      <c r="T5316" s="928"/>
      <c r="U5316" s="928"/>
      <c r="V5316" s="928"/>
      <c r="W5316" s="780"/>
      <c r="X5316" s="782">
        <v>5312</v>
      </c>
      <c r="Y5316" s="782" t="s">
        <v>2248</v>
      </c>
      <c r="Z5316" s="782" t="s">
        <v>2251</v>
      </c>
      <c r="AA5316" s="781">
        <f>$S$1*P!AA5316</f>
        <v>2.5020161290322585</v>
      </c>
      <c r="AB5316" s="780"/>
      <c r="AC5316" s="780"/>
      <c r="AD5316" s="780"/>
      <c r="AE5316" s="780"/>
      <c r="AF5316" s="780"/>
    </row>
    <row r="5317" spans="19:32" x14ac:dyDescent="0.35">
      <c r="S5317" s="780"/>
      <c r="T5317" s="928"/>
      <c r="U5317" s="928"/>
      <c r="V5317" s="928"/>
      <c r="W5317" s="780"/>
      <c r="X5317" s="782">
        <v>5313</v>
      </c>
      <c r="Y5317" s="782" t="s">
        <v>2248</v>
      </c>
      <c r="Z5317" s="782" t="s">
        <v>2345</v>
      </c>
      <c r="AA5317" s="781">
        <f>$S$1*P!AA5317</f>
        <v>1.878225806451613E-3</v>
      </c>
      <c r="AB5317" s="780"/>
      <c r="AC5317" s="780"/>
      <c r="AD5317" s="780"/>
      <c r="AE5317" s="780"/>
      <c r="AF5317" s="780"/>
    </row>
    <row r="5318" spans="19:32" x14ac:dyDescent="0.35">
      <c r="S5318" s="780"/>
      <c r="T5318" s="928"/>
      <c r="U5318" s="928"/>
      <c r="V5318" s="928"/>
      <c r="W5318" s="780"/>
      <c r="X5318" s="782">
        <v>5314</v>
      </c>
      <c r="Y5318" s="782" t="s">
        <v>2248</v>
      </c>
      <c r="Z5318" s="782" t="s">
        <v>3555</v>
      </c>
      <c r="AA5318" s="781">
        <f>$S$1*P!AA5318</f>
        <v>16.383064516129032</v>
      </c>
      <c r="AB5318" s="780"/>
      <c r="AC5318" s="780"/>
      <c r="AD5318" s="780"/>
      <c r="AE5318" s="780"/>
      <c r="AF5318" s="780"/>
    </row>
    <row r="5319" spans="19:32" x14ac:dyDescent="0.35">
      <c r="S5319" s="780"/>
      <c r="T5319" s="928"/>
      <c r="U5319" s="928"/>
      <c r="V5319" s="928"/>
      <c r="W5319" s="780"/>
      <c r="X5319" s="782">
        <v>5315</v>
      </c>
      <c r="Y5319" s="782" t="s">
        <v>2248</v>
      </c>
      <c r="Z5319" s="782" t="s">
        <v>3861</v>
      </c>
      <c r="AA5319" s="781">
        <f>$S$1*P!AA5319</f>
        <v>1.4977822580645164E-3</v>
      </c>
      <c r="AB5319" s="780"/>
      <c r="AC5319" s="780"/>
      <c r="AD5319" s="780"/>
      <c r="AE5319" s="780"/>
      <c r="AF5319" s="780"/>
    </row>
    <row r="5320" spans="19:32" x14ac:dyDescent="0.35">
      <c r="S5320" s="780"/>
      <c r="T5320" s="928"/>
      <c r="U5320" s="928"/>
      <c r="V5320" s="928"/>
      <c r="W5320" s="780"/>
      <c r="X5320" s="782">
        <v>5316</v>
      </c>
      <c r="Y5320" s="782" t="s">
        <v>2248</v>
      </c>
      <c r="Z5320" s="782" t="s">
        <v>3860</v>
      </c>
      <c r="AA5320" s="781">
        <f>$S$1*P!AA5320</f>
        <v>2.4094758064516128E-5</v>
      </c>
      <c r="AB5320" s="780"/>
      <c r="AC5320" s="780"/>
      <c r="AD5320" s="780"/>
      <c r="AE5320" s="780"/>
      <c r="AF5320" s="780"/>
    </row>
    <row r="5321" spans="19:32" x14ac:dyDescent="0.35">
      <c r="S5321" s="780"/>
      <c r="T5321" s="928"/>
      <c r="U5321" s="928"/>
      <c r="V5321" s="928"/>
      <c r="W5321" s="780"/>
      <c r="X5321" s="782">
        <v>5317</v>
      </c>
      <c r="Y5321" s="782" t="s">
        <v>2248</v>
      </c>
      <c r="Z5321" s="782" t="s">
        <v>3859</v>
      </c>
      <c r="AA5321" s="781">
        <f>$S$1*P!AA5321</f>
        <v>1.9262096774193551E-3</v>
      </c>
      <c r="AB5321" s="780"/>
      <c r="AC5321" s="780"/>
      <c r="AD5321" s="780"/>
      <c r="AE5321" s="780"/>
      <c r="AF5321" s="780"/>
    </row>
    <row r="5322" spans="19:32" x14ac:dyDescent="0.35">
      <c r="S5322" s="780"/>
      <c r="T5322" s="928"/>
      <c r="U5322" s="928"/>
      <c r="V5322" s="928"/>
      <c r="W5322" s="780"/>
      <c r="X5322" s="782">
        <v>5318</v>
      </c>
      <c r="Y5322" s="782" t="s">
        <v>2248</v>
      </c>
      <c r="Z5322" s="782" t="s">
        <v>3553</v>
      </c>
      <c r="AA5322" s="781">
        <f>$S$1*P!AA5322</f>
        <v>1.4360887096774195E-7</v>
      </c>
      <c r="AB5322" s="780"/>
      <c r="AC5322" s="780"/>
      <c r="AD5322" s="780"/>
      <c r="AE5322" s="780"/>
      <c r="AF5322" s="780"/>
    </row>
    <row r="5323" spans="19:32" x14ac:dyDescent="0.35">
      <c r="S5323" s="780"/>
      <c r="T5323" s="928"/>
      <c r="U5323" s="928"/>
      <c r="V5323" s="928"/>
      <c r="W5323" s="780"/>
      <c r="X5323" s="782">
        <v>5319</v>
      </c>
      <c r="Y5323" s="782" t="s">
        <v>2248</v>
      </c>
      <c r="Z5323" s="782" t="s">
        <v>3858</v>
      </c>
      <c r="AA5323" s="781">
        <f>$S$1*P!AA5323</f>
        <v>1.3538306451612904E-3</v>
      </c>
      <c r="AB5323" s="780"/>
      <c r="AC5323" s="780"/>
      <c r="AD5323" s="780"/>
      <c r="AE5323" s="780"/>
      <c r="AF5323" s="780"/>
    </row>
    <row r="5324" spans="19:32" x14ac:dyDescent="0.35">
      <c r="S5324" s="780"/>
      <c r="T5324" s="928"/>
      <c r="U5324" s="928"/>
      <c r="V5324" s="928"/>
      <c r="W5324" s="780"/>
      <c r="X5324" s="782">
        <v>5320</v>
      </c>
      <c r="Y5324" s="782" t="s">
        <v>2248</v>
      </c>
      <c r="Z5324" s="782" t="s">
        <v>3550</v>
      </c>
      <c r="AA5324" s="781">
        <f>$S$1*P!AA5324</f>
        <v>2.1558467741935485E-6</v>
      </c>
      <c r="AB5324" s="780"/>
      <c r="AC5324" s="780"/>
      <c r="AD5324" s="780"/>
      <c r="AE5324" s="780"/>
      <c r="AF5324" s="780"/>
    </row>
    <row r="5325" spans="19:32" x14ac:dyDescent="0.35">
      <c r="S5325" s="780"/>
      <c r="T5325" s="928"/>
      <c r="U5325" s="928"/>
      <c r="V5325" s="928"/>
      <c r="W5325" s="780"/>
      <c r="X5325" s="782">
        <v>5321</v>
      </c>
      <c r="Y5325" s="782" t="s">
        <v>2248</v>
      </c>
      <c r="Z5325" s="782" t="s">
        <v>3051</v>
      </c>
      <c r="AA5325" s="781">
        <f>$S$1*P!AA5325</f>
        <v>2.9955645161290325E-4</v>
      </c>
      <c r="AB5325" s="780"/>
      <c r="AC5325" s="780"/>
      <c r="AD5325" s="780"/>
      <c r="AE5325" s="780"/>
      <c r="AF5325" s="780"/>
    </row>
    <row r="5326" spans="19:32" x14ac:dyDescent="0.35">
      <c r="S5326" s="780"/>
      <c r="T5326" s="928"/>
      <c r="U5326" s="928"/>
      <c r="V5326" s="928"/>
      <c r="W5326" s="780"/>
      <c r="X5326" s="782">
        <v>5322</v>
      </c>
      <c r="Y5326" s="782" t="s">
        <v>2248</v>
      </c>
      <c r="Z5326" s="782" t="s">
        <v>3857</v>
      </c>
      <c r="AA5326" s="781">
        <f>$S$1*P!AA5326</f>
        <v>3.0504032258064518E-3</v>
      </c>
      <c r="AB5326" s="780"/>
      <c r="AC5326" s="780"/>
      <c r="AD5326" s="780"/>
      <c r="AE5326" s="780"/>
      <c r="AF5326" s="780"/>
    </row>
    <row r="5327" spans="19:32" x14ac:dyDescent="0.35">
      <c r="S5327" s="780"/>
      <c r="T5327" s="928"/>
      <c r="U5327" s="928"/>
      <c r="V5327" s="928"/>
      <c r="W5327" s="780"/>
      <c r="X5327" s="782">
        <v>5323</v>
      </c>
      <c r="Y5327" s="782" t="s">
        <v>2248</v>
      </c>
      <c r="Z5327" s="782" t="s">
        <v>3548</v>
      </c>
      <c r="AA5327" s="781">
        <f>$S$1*P!AA5327</f>
        <v>8.0544354838709681E-8</v>
      </c>
      <c r="AB5327" s="780"/>
      <c r="AC5327" s="780"/>
      <c r="AD5327" s="780"/>
      <c r="AE5327" s="780"/>
      <c r="AF5327" s="780"/>
    </row>
    <row r="5328" spans="19:32" x14ac:dyDescent="0.35">
      <c r="S5328" s="780"/>
      <c r="T5328" s="928"/>
      <c r="U5328" s="928"/>
      <c r="V5328" s="928"/>
      <c r="W5328" s="780"/>
      <c r="X5328" s="782">
        <v>5324</v>
      </c>
      <c r="Y5328" s="782" t="s">
        <v>2248</v>
      </c>
      <c r="Z5328" s="782" t="s">
        <v>3856</v>
      </c>
      <c r="AA5328" s="781">
        <f>$S$1*P!AA5328</f>
        <v>1.1276209677419356E-2</v>
      </c>
      <c r="AB5328" s="780"/>
      <c r="AC5328" s="780"/>
      <c r="AD5328" s="780"/>
      <c r="AE5328" s="780"/>
      <c r="AF5328" s="780"/>
    </row>
    <row r="5329" spans="19:32" x14ac:dyDescent="0.35">
      <c r="S5329" s="780"/>
      <c r="T5329" s="928"/>
      <c r="U5329" s="928"/>
      <c r="V5329" s="928"/>
      <c r="W5329" s="780"/>
      <c r="X5329" s="782">
        <v>5325</v>
      </c>
      <c r="Y5329" s="782" t="s">
        <v>2248</v>
      </c>
      <c r="Z5329" s="782" t="s">
        <v>3855</v>
      </c>
      <c r="AA5329" s="781">
        <f>$S$1*P!AA5329</f>
        <v>4.0443548387096774E-2</v>
      </c>
      <c r="AB5329" s="780"/>
      <c r="AC5329" s="780"/>
      <c r="AD5329" s="780"/>
      <c r="AE5329" s="780"/>
      <c r="AF5329" s="780"/>
    </row>
    <row r="5330" spans="19:32" x14ac:dyDescent="0.35">
      <c r="S5330" s="780"/>
      <c r="T5330" s="928"/>
      <c r="U5330" s="928"/>
      <c r="V5330" s="928"/>
      <c r="W5330" s="780"/>
      <c r="X5330" s="782">
        <v>5326</v>
      </c>
      <c r="Y5330" s="782" t="s">
        <v>2248</v>
      </c>
      <c r="Z5330" s="782" t="s">
        <v>2249</v>
      </c>
      <c r="AA5330" s="781">
        <f>$S$1*P!AA5330</f>
        <v>1.1653225806451614E-2</v>
      </c>
      <c r="AB5330" s="780"/>
      <c r="AC5330" s="780"/>
      <c r="AD5330" s="780"/>
      <c r="AE5330" s="780"/>
      <c r="AF5330" s="780"/>
    </row>
    <row r="5331" spans="19:32" x14ac:dyDescent="0.35">
      <c r="S5331" s="780"/>
      <c r="T5331" s="928"/>
      <c r="U5331" s="928"/>
      <c r="V5331" s="928"/>
      <c r="W5331" s="780"/>
      <c r="X5331" s="782">
        <v>5327</v>
      </c>
      <c r="Y5331" s="782" t="s">
        <v>2248</v>
      </c>
      <c r="Z5331" s="782" t="s">
        <v>3854</v>
      </c>
      <c r="AA5331" s="781">
        <f>$S$1*P!AA5331</f>
        <v>1.8439516129032258E-4</v>
      </c>
      <c r="AB5331" s="780"/>
      <c r="AC5331" s="780"/>
      <c r="AD5331" s="780"/>
      <c r="AE5331" s="780"/>
      <c r="AF5331" s="780"/>
    </row>
    <row r="5332" spans="19:32" x14ac:dyDescent="0.35">
      <c r="S5332" s="780"/>
      <c r="T5332" s="928"/>
      <c r="U5332" s="928"/>
      <c r="V5332" s="928"/>
      <c r="W5332" s="780"/>
      <c r="X5332" s="782">
        <v>5328</v>
      </c>
      <c r="Y5332" s="782" t="s">
        <v>2248</v>
      </c>
      <c r="Z5332" s="782" t="s">
        <v>3853</v>
      </c>
      <c r="AA5332" s="781">
        <f>$S$1*P!AA5332</f>
        <v>1.6965725806451615E-2</v>
      </c>
      <c r="AB5332" s="780"/>
      <c r="AC5332" s="780"/>
      <c r="AD5332" s="780"/>
      <c r="AE5332" s="780"/>
      <c r="AF5332" s="780"/>
    </row>
    <row r="5333" spans="19:32" x14ac:dyDescent="0.35">
      <c r="S5333" s="780"/>
      <c r="T5333" s="928"/>
      <c r="U5333" s="928"/>
      <c r="V5333" s="928"/>
      <c r="W5333" s="780"/>
      <c r="X5333" s="782">
        <v>5329</v>
      </c>
      <c r="Y5333" s="782" t="s">
        <v>2248</v>
      </c>
      <c r="Z5333" s="782" t="s">
        <v>2247</v>
      </c>
      <c r="AA5333" s="781">
        <f>$S$1*P!AA5333</f>
        <v>4.5927419354838711E-2</v>
      </c>
      <c r="AB5333" s="780"/>
      <c r="AC5333" s="780"/>
      <c r="AD5333" s="780"/>
      <c r="AE5333" s="780"/>
      <c r="AF5333" s="780"/>
    </row>
    <row r="5334" spans="19:32" x14ac:dyDescent="0.35">
      <c r="S5334" s="780"/>
      <c r="T5334" s="928"/>
      <c r="U5334" s="928"/>
      <c r="V5334" s="928"/>
      <c r="W5334" s="780"/>
      <c r="X5334" s="782">
        <v>5330</v>
      </c>
      <c r="Y5334" s="782" t="s">
        <v>2248</v>
      </c>
      <c r="Z5334" s="782" t="s">
        <v>3852</v>
      </c>
      <c r="AA5334" s="781">
        <f>$S$1*P!AA5334</f>
        <v>2.2243951612903228E-4</v>
      </c>
      <c r="AB5334" s="780"/>
      <c r="AC5334" s="780"/>
      <c r="AD5334" s="780"/>
      <c r="AE5334" s="780"/>
      <c r="AF5334" s="780"/>
    </row>
    <row r="5335" spans="19:32" x14ac:dyDescent="0.35">
      <c r="S5335" s="780"/>
      <c r="T5335" s="928"/>
      <c r="U5335" s="928"/>
      <c r="V5335" s="928"/>
      <c r="W5335" s="780"/>
      <c r="X5335" s="782">
        <v>5331</v>
      </c>
      <c r="Y5335" s="782" t="s">
        <v>2248</v>
      </c>
      <c r="Z5335" s="782" t="s">
        <v>3050</v>
      </c>
      <c r="AA5335" s="781">
        <f>$S$1*P!AA5335</f>
        <v>5.8608870967741937E-5</v>
      </c>
      <c r="AB5335" s="780"/>
      <c r="AC5335" s="780"/>
      <c r="AD5335" s="780"/>
      <c r="AE5335" s="780"/>
      <c r="AF5335" s="780"/>
    </row>
    <row r="5336" spans="19:32" x14ac:dyDescent="0.35">
      <c r="S5336" s="780"/>
      <c r="T5336" s="928"/>
      <c r="U5336" s="928"/>
      <c r="V5336" s="928"/>
      <c r="W5336" s="780"/>
      <c r="X5336" s="782">
        <v>5332</v>
      </c>
      <c r="Y5336" s="782" t="s">
        <v>2248</v>
      </c>
      <c r="Z5336" s="782" t="s">
        <v>3851</v>
      </c>
      <c r="AA5336" s="781">
        <f>$S$1*P!AA5336</f>
        <v>3.5327999999999995</v>
      </c>
      <c r="AB5336" s="780"/>
      <c r="AC5336" s="780"/>
      <c r="AD5336" s="780"/>
      <c r="AE5336" s="780"/>
      <c r="AF5336" s="780"/>
    </row>
    <row r="5337" spans="19:32" x14ac:dyDescent="0.35">
      <c r="S5337" s="780"/>
      <c r="T5337" s="928"/>
      <c r="U5337" s="928"/>
      <c r="V5337" s="928"/>
      <c r="W5337" s="780"/>
      <c r="X5337" s="782">
        <v>5333</v>
      </c>
      <c r="Y5337" s="782" t="s">
        <v>2248</v>
      </c>
      <c r="Z5337" s="782" t="s">
        <v>3850</v>
      </c>
      <c r="AA5337" s="781">
        <f>$S$1*P!AA5337</f>
        <v>0.17582661290322582</v>
      </c>
      <c r="AB5337" s="780"/>
      <c r="AC5337" s="780"/>
      <c r="AD5337" s="780"/>
      <c r="AE5337" s="780"/>
      <c r="AF5337" s="780"/>
    </row>
    <row r="5338" spans="19:32" x14ac:dyDescent="0.35">
      <c r="S5338" s="780"/>
      <c r="T5338" s="928"/>
      <c r="U5338" s="928"/>
      <c r="V5338" s="928"/>
      <c r="W5338" s="780"/>
      <c r="X5338" s="782">
        <v>5334</v>
      </c>
      <c r="Y5338" s="782" t="s">
        <v>2248</v>
      </c>
      <c r="Z5338" s="782" t="s">
        <v>3849</v>
      </c>
      <c r="AA5338" s="781">
        <f>$S$1*P!AA5338</f>
        <v>2.0427419354838713E-2</v>
      </c>
      <c r="AB5338" s="780"/>
      <c r="AC5338" s="780"/>
      <c r="AD5338" s="780"/>
      <c r="AE5338" s="780"/>
      <c r="AF5338" s="780"/>
    </row>
    <row r="5339" spans="19:32" x14ac:dyDescent="0.35">
      <c r="S5339" s="780"/>
      <c r="T5339" s="928"/>
      <c r="U5339" s="928"/>
      <c r="V5339" s="928"/>
      <c r="W5339" s="780"/>
      <c r="X5339" s="782">
        <v>5335</v>
      </c>
      <c r="Y5339" s="782" t="s">
        <v>2248</v>
      </c>
      <c r="Z5339" s="782" t="s">
        <v>3848</v>
      </c>
      <c r="AA5339" s="781">
        <f>$S$1*P!AA5339</f>
        <v>3.2476000000000003</v>
      </c>
      <c r="AB5339" s="780"/>
      <c r="AC5339" s="780"/>
      <c r="AD5339" s="780"/>
      <c r="AE5339" s="780"/>
      <c r="AF5339" s="780"/>
    </row>
    <row r="5340" spans="19:32" x14ac:dyDescent="0.35">
      <c r="S5340" s="780"/>
      <c r="T5340" s="928"/>
      <c r="U5340" s="928"/>
      <c r="V5340" s="928"/>
      <c r="W5340" s="780"/>
      <c r="X5340" s="782">
        <v>5336</v>
      </c>
      <c r="Y5340" s="782" t="s">
        <v>2248</v>
      </c>
      <c r="Z5340" s="782" t="s">
        <v>3847</v>
      </c>
      <c r="AA5340" s="781">
        <f>$S$1*P!AA5340</f>
        <v>3.495967741935484E-3</v>
      </c>
      <c r="AB5340" s="780"/>
      <c r="AC5340" s="780"/>
      <c r="AD5340" s="780"/>
      <c r="AE5340" s="780"/>
      <c r="AF5340" s="780"/>
    </row>
    <row r="5341" spans="19:32" x14ac:dyDescent="0.35">
      <c r="S5341" s="780"/>
      <c r="T5341" s="928"/>
      <c r="U5341" s="928"/>
      <c r="V5341" s="928"/>
      <c r="W5341" s="780"/>
      <c r="X5341" s="782">
        <v>5337</v>
      </c>
      <c r="Y5341" s="782" t="s">
        <v>2248</v>
      </c>
      <c r="Z5341" s="782" t="s">
        <v>3846</v>
      </c>
      <c r="AA5341" s="781">
        <f>$S$1*P!AA5341</f>
        <v>5.2439516129032266E-4</v>
      </c>
      <c r="AB5341" s="780"/>
      <c r="AC5341" s="780"/>
      <c r="AD5341" s="780"/>
      <c r="AE5341" s="780"/>
      <c r="AF5341" s="780"/>
    </row>
    <row r="5342" spans="19:32" x14ac:dyDescent="0.35">
      <c r="S5342" s="780"/>
      <c r="T5342" s="928"/>
      <c r="U5342" s="928"/>
      <c r="V5342" s="928"/>
      <c r="W5342" s="780"/>
      <c r="X5342" s="782">
        <v>5338</v>
      </c>
      <c r="Y5342" s="782" t="s">
        <v>2248</v>
      </c>
      <c r="Z5342" s="782" t="s">
        <v>3845</v>
      </c>
      <c r="AA5342" s="781">
        <f>$S$1*P!AA5342</f>
        <v>0</v>
      </c>
      <c r="AB5342" s="780"/>
      <c r="AC5342" s="780"/>
      <c r="AD5342" s="780"/>
      <c r="AE5342" s="780"/>
      <c r="AF5342" s="780"/>
    </row>
    <row r="5343" spans="19:32" x14ac:dyDescent="0.35">
      <c r="S5343" s="780"/>
      <c r="T5343" s="928"/>
      <c r="U5343" s="928"/>
      <c r="V5343" s="928"/>
      <c r="W5343" s="780"/>
      <c r="X5343" s="782">
        <v>5339</v>
      </c>
      <c r="Y5343" s="782" t="s">
        <v>2248</v>
      </c>
      <c r="Z5343" s="782" t="s">
        <v>3844</v>
      </c>
      <c r="AA5343" s="781">
        <f>$S$1*P!AA5343</f>
        <v>1.9570564516129034E-4</v>
      </c>
      <c r="AB5343" s="780"/>
      <c r="AC5343" s="780"/>
      <c r="AD5343" s="780"/>
      <c r="AE5343" s="780"/>
      <c r="AF5343" s="780"/>
    </row>
    <row r="5344" spans="19:32" x14ac:dyDescent="0.35">
      <c r="S5344" s="780"/>
      <c r="T5344" s="928"/>
      <c r="U5344" s="928"/>
      <c r="V5344" s="928"/>
      <c r="W5344" s="780"/>
      <c r="X5344" s="782">
        <v>5340</v>
      </c>
      <c r="Y5344" s="782" t="s">
        <v>2248</v>
      </c>
      <c r="Z5344" s="782" t="s">
        <v>3843</v>
      </c>
      <c r="AA5344" s="781">
        <f>$S$1*P!AA5344</f>
        <v>0</v>
      </c>
      <c r="AB5344" s="780"/>
      <c r="AC5344" s="780"/>
      <c r="AD5344" s="780"/>
      <c r="AE5344" s="780"/>
      <c r="AF5344" s="780"/>
    </row>
    <row r="5345" spans="19:32" x14ac:dyDescent="0.35">
      <c r="S5345" s="780"/>
      <c r="T5345" s="928"/>
      <c r="U5345" s="928"/>
      <c r="V5345" s="928"/>
      <c r="W5345" s="780"/>
      <c r="X5345" s="782">
        <v>5341</v>
      </c>
      <c r="Y5345" s="782" t="s">
        <v>2248</v>
      </c>
      <c r="Z5345" s="782" t="s">
        <v>3842</v>
      </c>
      <c r="AA5345" s="781">
        <f>$S$1*P!AA5345</f>
        <v>1.4018145161290323E-5</v>
      </c>
      <c r="AB5345" s="780"/>
      <c r="AC5345" s="780"/>
      <c r="AD5345" s="780"/>
      <c r="AE5345" s="780"/>
      <c r="AF5345" s="780"/>
    </row>
    <row r="5346" spans="19:32" x14ac:dyDescent="0.35">
      <c r="S5346" s="780"/>
      <c r="T5346" s="928"/>
      <c r="U5346" s="928"/>
      <c r="V5346" s="928"/>
      <c r="W5346" s="780"/>
      <c r="X5346" s="782">
        <v>5342</v>
      </c>
      <c r="Y5346" s="782" t="s">
        <v>2248</v>
      </c>
      <c r="Z5346" s="782" t="s">
        <v>3841</v>
      </c>
      <c r="AA5346" s="781">
        <f>$S$1*P!AA5346</f>
        <v>5.758064516129033E-3</v>
      </c>
      <c r="AB5346" s="780"/>
      <c r="AC5346" s="780"/>
      <c r="AD5346" s="780"/>
      <c r="AE5346" s="780"/>
      <c r="AF5346" s="780"/>
    </row>
    <row r="5347" spans="19:32" x14ac:dyDescent="0.35">
      <c r="S5347" s="780"/>
      <c r="T5347" s="928"/>
      <c r="U5347" s="928"/>
      <c r="V5347" s="928"/>
      <c r="W5347" s="780"/>
      <c r="X5347" s="782">
        <v>5343</v>
      </c>
      <c r="Y5347" s="782" t="s">
        <v>2248</v>
      </c>
      <c r="Z5347" s="782" t="s">
        <v>3840</v>
      </c>
      <c r="AA5347" s="781">
        <f>$S$1*P!AA5347</f>
        <v>0</v>
      </c>
      <c r="AB5347" s="780"/>
      <c r="AC5347" s="780"/>
      <c r="AD5347" s="780"/>
      <c r="AE5347" s="780"/>
      <c r="AF5347" s="780"/>
    </row>
    <row r="5348" spans="19:32" x14ac:dyDescent="0.35">
      <c r="S5348" s="780"/>
      <c r="T5348" s="928"/>
      <c r="U5348" s="928"/>
      <c r="V5348" s="928"/>
      <c r="W5348" s="780"/>
      <c r="X5348" s="881">
        <v>5344</v>
      </c>
      <c r="Y5348" s="881" t="s">
        <v>2248</v>
      </c>
      <c r="Z5348" s="881" t="s">
        <v>2343</v>
      </c>
      <c r="AA5348" s="890">
        <f>$S$1*P!AA5348</f>
        <v>0</v>
      </c>
      <c r="AB5348" s="780"/>
      <c r="AC5348" s="780"/>
      <c r="AD5348" s="780"/>
      <c r="AE5348" s="780"/>
      <c r="AF5348" s="780"/>
    </row>
    <row r="5349" spans="19:32" x14ac:dyDescent="0.35">
      <c r="S5349" s="780"/>
      <c r="T5349" s="928"/>
      <c r="U5349" s="928"/>
      <c r="V5349" s="928"/>
      <c r="W5349" s="780"/>
      <c r="X5349" s="782">
        <v>5345</v>
      </c>
      <c r="Y5349" s="782" t="s">
        <v>2248</v>
      </c>
      <c r="Z5349" s="782" t="s">
        <v>2343</v>
      </c>
      <c r="AA5349" s="781">
        <f>$S$1*P!AA5349</f>
        <v>8.4657258064516142E-3</v>
      </c>
      <c r="AB5349" s="780"/>
      <c r="AC5349" s="780"/>
      <c r="AD5349" s="780"/>
      <c r="AE5349" s="780"/>
      <c r="AF5349" s="780"/>
    </row>
    <row r="5350" spans="19:32" x14ac:dyDescent="0.35">
      <c r="S5350" s="780"/>
      <c r="T5350" s="928"/>
      <c r="U5350" s="928"/>
      <c r="V5350" s="928"/>
      <c r="W5350" s="780"/>
      <c r="X5350" s="782">
        <v>5346</v>
      </c>
      <c r="Y5350" s="782" t="s">
        <v>2248</v>
      </c>
      <c r="Z5350" s="782" t="s">
        <v>3839</v>
      </c>
      <c r="AA5350" s="781">
        <f>$S$1*P!AA5350</f>
        <v>5.1151999999999994E-3</v>
      </c>
      <c r="AB5350" s="780"/>
      <c r="AC5350" s="780"/>
      <c r="AD5350" s="780"/>
      <c r="AE5350" s="780"/>
      <c r="AF5350" s="780"/>
    </row>
    <row r="5351" spans="19:32" x14ac:dyDescent="0.35">
      <c r="S5351" s="780"/>
      <c r="T5351" s="928"/>
      <c r="U5351" s="928"/>
      <c r="V5351" s="928"/>
      <c r="W5351" s="780"/>
      <c r="X5351" s="782">
        <v>5347</v>
      </c>
      <c r="Y5351" s="782" t="s">
        <v>2248</v>
      </c>
      <c r="Z5351" s="782" t="s">
        <v>3046</v>
      </c>
      <c r="AA5351" s="781">
        <f>$S$1*P!AA5351</f>
        <v>2.6459677419354839</v>
      </c>
      <c r="AB5351" s="780"/>
      <c r="AC5351" s="780"/>
      <c r="AD5351" s="780"/>
      <c r="AE5351" s="780"/>
      <c r="AF5351" s="780"/>
    </row>
    <row r="5352" spans="19:32" x14ac:dyDescent="0.35">
      <c r="S5352" s="780"/>
      <c r="T5352" s="928"/>
      <c r="U5352" s="928"/>
      <c r="V5352" s="928"/>
      <c r="W5352" s="780"/>
      <c r="X5352" s="881">
        <v>5348</v>
      </c>
      <c r="Y5352" s="881" t="s">
        <v>2248</v>
      </c>
      <c r="Z5352" s="881" t="s">
        <v>2342</v>
      </c>
      <c r="AA5352" s="890">
        <f>$S$1*P!AA5352</f>
        <v>8.8043999999999999E-5</v>
      </c>
      <c r="AB5352" s="780"/>
      <c r="AC5352" s="780"/>
      <c r="AD5352" s="780"/>
      <c r="AE5352" s="780"/>
      <c r="AF5352" s="780"/>
    </row>
    <row r="5353" spans="19:32" x14ac:dyDescent="0.35">
      <c r="S5353" s="780"/>
      <c r="T5353" s="928"/>
      <c r="U5353" s="928"/>
      <c r="V5353" s="928"/>
      <c r="W5353" s="780"/>
      <c r="X5353" s="782">
        <v>5349</v>
      </c>
      <c r="Y5353" s="782" t="s">
        <v>2248</v>
      </c>
      <c r="Z5353" s="782" t="s">
        <v>2342</v>
      </c>
      <c r="AA5353" s="781">
        <f>$S$1*P!AA5353</f>
        <v>1.6280241935483872E-6</v>
      </c>
      <c r="AB5353" s="780"/>
      <c r="AC5353" s="780"/>
      <c r="AD5353" s="780"/>
      <c r="AE5353" s="780"/>
      <c r="AF5353" s="780"/>
    </row>
    <row r="5354" spans="19:32" x14ac:dyDescent="0.35">
      <c r="S5354" s="780"/>
      <c r="T5354" s="928"/>
      <c r="U5354" s="928"/>
      <c r="V5354" s="928"/>
      <c r="W5354" s="780"/>
      <c r="X5354" s="782">
        <v>5350</v>
      </c>
      <c r="Y5354" s="782" t="s">
        <v>2248</v>
      </c>
      <c r="Z5354" s="782" t="s">
        <v>3838</v>
      </c>
      <c r="AA5354" s="781">
        <f>$S$1*P!AA5354</f>
        <v>0.57591999999999999</v>
      </c>
      <c r="AB5354" s="780"/>
      <c r="AC5354" s="780"/>
      <c r="AD5354" s="780"/>
      <c r="AE5354" s="780"/>
      <c r="AF5354" s="780"/>
    </row>
    <row r="5355" spans="19:32" x14ac:dyDescent="0.35">
      <c r="S5355" s="780"/>
      <c r="T5355" s="928"/>
      <c r="U5355" s="928"/>
      <c r="V5355" s="928"/>
      <c r="W5355" s="780"/>
      <c r="X5355" s="782">
        <v>5351</v>
      </c>
      <c r="Y5355" s="782" t="s">
        <v>2248</v>
      </c>
      <c r="Z5355" s="782" t="s">
        <v>3837</v>
      </c>
      <c r="AA5355" s="781">
        <f>$S$1*P!AA5355</f>
        <v>8.5342741935483871E-3</v>
      </c>
      <c r="AB5355" s="780"/>
      <c r="AC5355" s="780"/>
      <c r="AD5355" s="780"/>
      <c r="AE5355" s="780"/>
      <c r="AF5355" s="780"/>
    </row>
    <row r="5356" spans="19:32" x14ac:dyDescent="0.35">
      <c r="S5356" s="780"/>
      <c r="T5356" s="928"/>
      <c r="U5356" s="928"/>
      <c r="V5356" s="928"/>
      <c r="W5356" s="780"/>
      <c r="X5356" s="782">
        <v>5352</v>
      </c>
      <c r="Y5356" s="782" t="s">
        <v>2248</v>
      </c>
      <c r="Z5356" s="782" t="s">
        <v>3836</v>
      </c>
      <c r="AA5356" s="781">
        <f>$S$1*P!AA5356</f>
        <v>9.4759999999999997E-2</v>
      </c>
      <c r="AB5356" s="780"/>
      <c r="AC5356" s="780"/>
      <c r="AD5356" s="780"/>
      <c r="AE5356" s="780"/>
      <c r="AF5356" s="780"/>
    </row>
    <row r="5357" spans="19:32" x14ac:dyDescent="0.35">
      <c r="S5357" s="780"/>
      <c r="T5357" s="928"/>
      <c r="U5357" s="928"/>
      <c r="V5357" s="928"/>
      <c r="W5357" s="780"/>
      <c r="X5357" s="881">
        <v>5353</v>
      </c>
      <c r="Y5357" s="881" t="s">
        <v>2248</v>
      </c>
      <c r="Z5357" s="881" t="s">
        <v>2340</v>
      </c>
      <c r="AA5357" s="890">
        <f>$S$1*P!AA5357</f>
        <v>0.11592</v>
      </c>
      <c r="AB5357" s="780"/>
      <c r="AC5357" s="780"/>
      <c r="AD5357" s="780"/>
      <c r="AE5357" s="780"/>
      <c r="AF5357" s="780"/>
    </row>
    <row r="5358" spans="19:32" x14ac:dyDescent="0.35">
      <c r="S5358" s="780"/>
      <c r="T5358" s="928"/>
      <c r="U5358" s="928"/>
      <c r="V5358" s="928"/>
      <c r="W5358" s="780"/>
      <c r="X5358" s="782">
        <v>5354</v>
      </c>
      <c r="Y5358" s="782" t="s">
        <v>2248</v>
      </c>
      <c r="Z5358" s="782" t="s">
        <v>2340</v>
      </c>
      <c r="AA5358" s="781">
        <f>$S$1*P!AA5358</f>
        <v>1.9296370967741936E-3</v>
      </c>
      <c r="AB5358" s="780"/>
      <c r="AC5358" s="780"/>
      <c r="AD5358" s="780"/>
      <c r="AE5358" s="780"/>
      <c r="AF5358" s="780"/>
    </row>
    <row r="5359" spans="19:32" x14ac:dyDescent="0.35">
      <c r="S5359" s="780"/>
      <c r="T5359" s="928"/>
      <c r="U5359" s="928"/>
      <c r="V5359" s="928"/>
      <c r="W5359" s="780"/>
      <c r="X5359" s="782">
        <v>5355</v>
      </c>
      <c r="Y5359" s="782" t="s">
        <v>2248</v>
      </c>
      <c r="Z5359" s="782" t="s">
        <v>3835</v>
      </c>
      <c r="AA5359" s="781">
        <f>$S$1*P!AA5359</f>
        <v>0</v>
      </c>
      <c r="AB5359" s="780"/>
      <c r="AC5359" s="780"/>
      <c r="AD5359" s="780"/>
      <c r="AE5359" s="780"/>
      <c r="AF5359" s="780"/>
    </row>
    <row r="5360" spans="19:32" x14ac:dyDescent="0.35">
      <c r="S5360" s="780"/>
      <c r="T5360" s="928"/>
      <c r="U5360" s="928"/>
      <c r="V5360" s="928"/>
      <c r="W5360" s="780"/>
      <c r="X5360" s="881">
        <v>5356</v>
      </c>
      <c r="Y5360" s="881" t="s">
        <v>2248</v>
      </c>
      <c r="Z5360" s="881" t="s">
        <v>2338</v>
      </c>
      <c r="AA5360" s="890">
        <f>$S$1*P!AA5360</f>
        <v>0</v>
      </c>
      <c r="AB5360" s="780"/>
      <c r="AC5360" s="780"/>
      <c r="AD5360" s="780"/>
      <c r="AE5360" s="780"/>
      <c r="AF5360" s="780"/>
    </row>
    <row r="5361" spans="19:32" x14ac:dyDescent="0.35">
      <c r="S5361" s="780"/>
      <c r="T5361" s="928"/>
      <c r="U5361" s="928"/>
      <c r="V5361" s="928"/>
      <c r="W5361" s="780"/>
      <c r="X5361" s="782">
        <v>5357</v>
      </c>
      <c r="Y5361" s="782" t="s">
        <v>2248</v>
      </c>
      <c r="Z5361" s="782" t="s">
        <v>3834</v>
      </c>
      <c r="AA5361" s="781">
        <f>$S$1*P!AA5361</f>
        <v>1.5697580645161292E-2</v>
      </c>
      <c r="AB5361" s="780"/>
      <c r="AC5361" s="780"/>
      <c r="AD5361" s="780"/>
      <c r="AE5361" s="780"/>
      <c r="AF5361" s="780"/>
    </row>
    <row r="5362" spans="19:32" x14ac:dyDescent="0.35">
      <c r="S5362" s="780"/>
      <c r="T5362" s="928"/>
      <c r="U5362" s="928"/>
      <c r="V5362" s="928"/>
      <c r="W5362" s="780"/>
      <c r="X5362" s="782">
        <v>5358</v>
      </c>
      <c r="Y5362" s="782" t="s">
        <v>2248</v>
      </c>
      <c r="Z5362" s="782" t="s">
        <v>3833</v>
      </c>
      <c r="AA5362" s="781">
        <f>$S$1*P!AA5362</f>
        <v>0</v>
      </c>
      <c r="AB5362" s="780"/>
      <c r="AC5362" s="780"/>
      <c r="AD5362" s="780"/>
      <c r="AE5362" s="780"/>
      <c r="AF5362" s="780"/>
    </row>
    <row r="5363" spans="19:32" x14ac:dyDescent="0.35">
      <c r="S5363" s="780"/>
      <c r="T5363" s="928"/>
      <c r="U5363" s="928"/>
      <c r="V5363" s="928"/>
      <c r="W5363" s="780"/>
      <c r="X5363" s="881">
        <v>5359</v>
      </c>
      <c r="Y5363" s="881" t="s">
        <v>2248</v>
      </c>
      <c r="Z5363" s="881" t="s">
        <v>2337</v>
      </c>
      <c r="AA5363" s="890">
        <f>$S$1*P!AA5363</f>
        <v>6.1915999999999999E-2</v>
      </c>
      <c r="AB5363" s="780"/>
      <c r="AC5363" s="780"/>
      <c r="AD5363" s="780"/>
      <c r="AE5363" s="780"/>
      <c r="AF5363" s="780"/>
    </row>
    <row r="5364" spans="19:32" x14ac:dyDescent="0.35">
      <c r="S5364" s="780"/>
      <c r="T5364" s="928"/>
      <c r="U5364" s="928"/>
      <c r="V5364" s="928"/>
      <c r="W5364" s="780"/>
      <c r="X5364" s="782">
        <v>5360</v>
      </c>
      <c r="Y5364" s="782" t="s">
        <v>2248</v>
      </c>
      <c r="Z5364" s="782" t="s">
        <v>2337</v>
      </c>
      <c r="AA5364" s="781">
        <f>$S$1*P!AA5364</f>
        <v>1.8953629032258067E-4</v>
      </c>
      <c r="AB5364" s="780"/>
      <c r="AC5364" s="780"/>
      <c r="AD5364" s="780"/>
      <c r="AE5364" s="780"/>
      <c r="AF5364" s="780"/>
    </row>
    <row r="5365" spans="19:32" x14ac:dyDescent="0.35">
      <c r="S5365" s="780"/>
      <c r="T5365" s="928"/>
      <c r="U5365" s="928"/>
      <c r="V5365" s="928"/>
      <c r="W5365" s="780"/>
      <c r="X5365" s="782">
        <v>5361</v>
      </c>
      <c r="Y5365" s="782" t="s">
        <v>2248</v>
      </c>
      <c r="Z5365" s="782" t="s">
        <v>3832</v>
      </c>
      <c r="AA5365" s="781">
        <f>$S$1*P!AA5365</f>
        <v>3.8824000000000001</v>
      </c>
      <c r="AB5365" s="780"/>
      <c r="AC5365" s="780"/>
      <c r="AD5365" s="780"/>
      <c r="AE5365" s="780"/>
      <c r="AF5365" s="780"/>
    </row>
    <row r="5366" spans="19:32" x14ac:dyDescent="0.35">
      <c r="S5366" s="780"/>
      <c r="T5366" s="928"/>
      <c r="U5366" s="928"/>
      <c r="V5366" s="928"/>
      <c r="W5366" s="780"/>
      <c r="X5366" s="782">
        <v>5362</v>
      </c>
      <c r="Y5366" s="782" t="s">
        <v>2248</v>
      </c>
      <c r="Z5366" s="782" t="s">
        <v>3831</v>
      </c>
      <c r="AA5366" s="781">
        <f>$S$1*P!AA5366</f>
        <v>5.3125000000000004E-3</v>
      </c>
      <c r="AB5366" s="780"/>
      <c r="AC5366" s="780"/>
      <c r="AD5366" s="780"/>
      <c r="AE5366" s="780"/>
      <c r="AF5366" s="780"/>
    </row>
    <row r="5367" spans="19:32" x14ac:dyDescent="0.35">
      <c r="S5367" s="780"/>
      <c r="T5367" s="928"/>
      <c r="U5367" s="928"/>
      <c r="V5367" s="928"/>
      <c r="W5367" s="780"/>
      <c r="X5367" s="782">
        <v>5363</v>
      </c>
      <c r="Y5367" s="782" t="s">
        <v>2248</v>
      </c>
      <c r="Z5367" s="782" t="s">
        <v>3830</v>
      </c>
      <c r="AA5367" s="781">
        <f>$S$1*P!AA5367</f>
        <v>1.5457661290322583E-3</v>
      </c>
      <c r="AB5367" s="780"/>
      <c r="AC5367" s="780"/>
      <c r="AD5367" s="780"/>
      <c r="AE5367" s="780"/>
      <c r="AF5367" s="780"/>
    </row>
    <row r="5368" spans="19:32" x14ac:dyDescent="0.35">
      <c r="S5368" s="780"/>
      <c r="T5368" s="928"/>
      <c r="U5368" s="928"/>
      <c r="V5368" s="928"/>
      <c r="W5368" s="780"/>
      <c r="X5368" s="782">
        <v>5364</v>
      </c>
      <c r="Y5368" s="782" t="s">
        <v>2248</v>
      </c>
      <c r="Z5368" s="782" t="s">
        <v>3829</v>
      </c>
      <c r="AA5368" s="781">
        <f>$S$1*P!AA5368</f>
        <v>0.41768</v>
      </c>
      <c r="AB5368" s="780"/>
      <c r="AC5368" s="780"/>
      <c r="AD5368" s="780"/>
      <c r="AE5368" s="780"/>
      <c r="AF5368" s="780"/>
    </row>
    <row r="5369" spans="19:32" x14ac:dyDescent="0.35">
      <c r="S5369" s="780"/>
      <c r="T5369" s="928"/>
      <c r="U5369" s="928"/>
      <c r="V5369" s="928"/>
      <c r="W5369" s="780"/>
      <c r="X5369" s="881">
        <v>5365</v>
      </c>
      <c r="Y5369" s="881" t="s">
        <v>2248</v>
      </c>
      <c r="Z5369" s="881" t="s">
        <v>2335</v>
      </c>
      <c r="AA5369" s="890">
        <f>$S$1*P!AA5369</f>
        <v>0.10212</v>
      </c>
      <c r="AB5369" s="780"/>
      <c r="AC5369" s="780"/>
      <c r="AD5369" s="780"/>
      <c r="AE5369" s="780"/>
      <c r="AF5369" s="780"/>
    </row>
    <row r="5370" spans="19:32" x14ac:dyDescent="0.35">
      <c r="S5370" s="780"/>
      <c r="T5370" s="928"/>
      <c r="U5370" s="928"/>
      <c r="V5370" s="928"/>
      <c r="W5370" s="780"/>
      <c r="X5370" s="782">
        <v>5366</v>
      </c>
      <c r="Y5370" s="782" t="s">
        <v>2248</v>
      </c>
      <c r="Z5370" s="782" t="s">
        <v>2335</v>
      </c>
      <c r="AA5370" s="781">
        <f>$S$1*P!AA5370</f>
        <v>5.2439516129032265E-5</v>
      </c>
      <c r="AB5370" s="780"/>
      <c r="AC5370" s="780"/>
      <c r="AD5370" s="780"/>
      <c r="AE5370" s="780"/>
      <c r="AF5370" s="780"/>
    </row>
    <row r="5371" spans="19:32" x14ac:dyDescent="0.35">
      <c r="S5371" s="780"/>
      <c r="T5371" s="928"/>
      <c r="U5371" s="928"/>
      <c r="V5371" s="928"/>
      <c r="W5371" s="780"/>
      <c r="X5371" s="782">
        <v>5367</v>
      </c>
      <c r="Y5371" s="782" t="s">
        <v>2248</v>
      </c>
      <c r="Z5371" s="782" t="s">
        <v>3828</v>
      </c>
      <c r="AA5371" s="781">
        <f>$S$1*P!AA5371</f>
        <v>0</v>
      </c>
      <c r="AB5371" s="780"/>
      <c r="AC5371" s="780"/>
      <c r="AD5371" s="780"/>
      <c r="AE5371" s="780"/>
      <c r="AF5371" s="780"/>
    </row>
    <row r="5372" spans="19:32" x14ac:dyDescent="0.35">
      <c r="S5372" s="780"/>
      <c r="T5372" s="928"/>
      <c r="U5372" s="928"/>
      <c r="V5372" s="928"/>
      <c r="W5372" s="780"/>
      <c r="X5372" s="782">
        <v>5368</v>
      </c>
      <c r="Y5372" s="782" t="s">
        <v>2248</v>
      </c>
      <c r="Z5372" s="782" t="s">
        <v>3827</v>
      </c>
      <c r="AA5372" s="781">
        <f>$S$1*P!AA5372</f>
        <v>1.8987903225806452E-3</v>
      </c>
      <c r="AB5372" s="780"/>
      <c r="AC5372" s="780"/>
      <c r="AD5372" s="780"/>
      <c r="AE5372" s="780"/>
      <c r="AF5372" s="780"/>
    </row>
    <row r="5373" spans="19:32" x14ac:dyDescent="0.35">
      <c r="S5373" s="780"/>
      <c r="T5373" s="928"/>
      <c r="U5373" s="928"/>
      <c r="V5373" s="928"/>
      <c r="W5373" s="780"/>
      <c r="X5373" s="782">
        <v>5369</v>
      </c>
      <c r="Y5373" s="782" t="s">
        <v>2248</v>
      </c>
      <c r="Z5373" s="782" t="s">
        <v>3826</v>
      </c>
      <c r="AA5373" s="781">
        <f>$S$1*P!AA5373</f>
        <v>0</v>
      </c>
      <c r="AB5373" s="780"/>
      <c r="AC5373" s="780"/>
      <c r="AD5373" s="780"/>
      <c r="AE5373" s="780"/>
      <c r="AF5373" s="780"/>
    </row>
    <row r="5374" spans="19:32" x14ac:dyDescent="0.35">
      <c r="S5374" s="780"/>
      <c r="T5374" s="928"/>
      <c r="U5374" s="928"/>
      <c r="V5374" s="928"/>
      <c r="W5374" s="780"/>
      <c r="X5374" s="881">
        <v>5370</v>
      </c>
      <c r="Y5374" s="881" t="s">
        <v>2248</v>
      </c>
      <c r="Z5374" s="881" t="s">
        <v>2333</v>
      </c>
      <c r="AA5374" s="890">
        <f>$S$1*P!AA5374</f>
        <v>0</v>
      </c>
      <c r="AB5374" s="780"/>
      <c r="AC5374" s="780"/>
      <c r="AD5374" s="780"/>
      <c r="AE5374" s="780"/>
      <c r="AF5374" s="780"/>
    </row>
    <row r="5375" spans="19:32" x14ac:dyDescent="0.35">
      <c r="S5375" s="780"/>
      <c r="T5375" s="928"/>
      <c r="U5375" s="928"/>
      <c r="V5375" s="928"/>
      <c r="W5375" s="780"/>
      <c r="X5375" s="782">
        <v>5371</v>
      </c>
      <c r="Y5375" s="782" t="s">
        <v>2248</v>
      </c>
      <c r="Z5375" s="782" t="s">
        <v>2333</v>
      </c>
      <c r="AA5375" s="781">
        <f>$S$1*P!AA5375</f>
        <v>0.11447580645161291</v>
      </c>
      <c r="AB5375" s="780"/>
      <c r="AC5375" s="780"/>
      <c r="AD5375" s="780"/>
      <c r="AE5375" s="780"/>
      <c r="AF5375" s="780"/>
    </row>
    <row r="5376" spans="19:32" x14ac:dyDescent="0.35">
      <c r="S5376" s="780"/>
      <c r="T5376" s="928"/>
      <c r="U5376" s="928"/>
      <c r="V5376" s="928"/>
      <c r="W5376" s="780"/>
      <c r="X5376" s="782">
        <v>5372</v>
      </c>
      <c r="Y5376" s="782" t="s">
        <v>2248</v>
      </c>
      <c r="Z5376" s="782" t="s">
        <v>3825</v>
      </c>
      <c r="AA5376" s="781">
        <f>$S$1*P!AA5376</f>
        <v>0</v>
      </c>
      <c r="AB5376" s="780"/>
      <c r="AC5376" s="780"/>
      <c r="AD5376" s="780"/>
      <c r="AE5376" s="780"/>
      <c r="AF5376" s="780"/>
    </row>
    <row r="5377" spans="19:32" x14ac:dyDescent="0.35">
      <c r="S5377" s="780"/>
      <c r="T5377" s="928"/>
      <c r="U5377" s="928"/>
      <c r="V5377" s="928"/>
      <c r="W5377" s="780"/>
      <c r="X5377" s="782">
        <v>5373</v>
      </c>
      <c r="Y5377" s="782" t="s">
        <v>2248</v>
      </c>
      <c r="Z5377" s="782" t="s">
        <v>3824</v>
      </c>
      <c r="AA5377" s="781">
        <f>$S$1*P!AA5377</f>
        <v>0.47641129032258067</v>
      </c>
      <c r="AB5377" s="780"/>
      <c r="AC5377" s="780"/>
      <c r="AD5377" s="780"/>
      <c r="AE5377" s="780"/>
      <c r="AF5377" s="780"/>
    </row>
    <row r="5378" spans="19:32" x14ac:dyDescent="0.35">
      <c r="S5378" s="780"/>
      <c r="T5378" s="928"/>
      <c r="U5378" s="928"/>
      <c r="V5378" s="928"/>
      <c r="W5378" s="780"/>
      <c r="X5378" s="881">
        <v>5374</v>
      </c>
      <c r="Y5378" s="881" t="s">
        <v>2248</v>
      </c>
      <c r="Z5378" s="881" t="s">
        <v>2332</v>
      </c>
      <c r="AA5378" s="890">
        <f>$S$1*P!AA5378</f>
        <v>7.9119999999999996E-2</v>
      </c>
      <c r="AB5378" s="780"/>
      <c r="AC5378" s="780"/>
      <c r="AD5378" s="780"/>
      <c r="AE5378" s="780"/>
      <c r="AF5378" s="780"/>
    </row>
    <row r="5379" spans="19:32" x14ac:dyDescent="0.35">
      <c r="S5379" s="780"/>
      <c r="T5379" s="928"/>
      <c r="U5379" s="928"/>
      <c r="V5379" s="928"/>
      <c r="W5379" s="780"/>
      <c r="X5379" s="782">
        <v>5375</v>
      </c>
      <c r="Y5379" s="782" t="s">
        <v>2248</v>
      </c>
      <c r="Z5379" s="782" t="s">
        <v>3823</v>
      </c>
      <c r="AA5379" s="781">
        <f>$S$1*P!AA5379</f>
        <v>0.26495999999999997</v>
      </c>
      <c r="AB5379" s="780"/>
      <c r="AC5379" s="780"/>
      <c r="AD5379" s="780"/>
      <c r="AE5379" s="780"/>
      <c r="AF5379" s="780"/>
    </row>
    <row r="5380" spans="19:32" x14ac:dyDescent="0.35">
      <c r="S5380" s="780"/>
      <c r="T5380" s="928"/>
      <c r="U5380" s="928"/>
      <c r="V5380" s="928"/>
      <c r="W5380" s="780"/>
      <c r="X5380" s="782">
        <v>5376</v>
      </c>
      <c r="Y5380" s="782" t="s">
        <v>2248</v>
      </c>
      <c r="Z5380" s="782" t="s">
        <v>3822</v>
      </c>
      <c r="AA5380" s="781">
        <f>$S$1*P!AA5380</f>
        <v>1.5526209677419356E-4</v>
      </c>
      <c r="AB5380" s="780"/>
      <c r="AC5380" s="780"/>
      <c r="AD5380" s="780"/>
      <c r="AE5380" s="780"/>
      <c r="AF5380" s="780"/>
    </row>
    <row r="5381" spans="19:32" x14ac:dyDescent="0.35">
      <c r="S5381" s="780"/>
      <c r="T5381" s="928"/>
      <c r="U5381" s="928"/>
      <c r="V5381" s="928"/>
      <c r="W5381" s="780"/>
      <c r="X5381" s="782">
        <v>5377</v>
      </c>
      <c r="Y5381" s="782" t="s">
        <v>2248</v>
      </c>
      <c r="Z5381" s="782" t="s">
        <v>3821</v>
      </c>
      <c r="AA5381" s="781">
        <f>$S$1*P!AA5381</f>
        <v>3.9072580645161292E-4</v>
      </c>
      <c r="AB5381" s="780"/>
      <c r="AC5381" s="780"/>
      <c r="AD5381" s="780"/>
      <c r="AE5381" s="780"/>
      <c r="AF5381" s="780"/>
    </row>
    <row r="5382" spans="19:32" x14ac:dyDescent="0.35">
      <c r="S5382" s="780"/>
      <c r="T5382" s="928"/>
      <c r="U5382" s="928"/>
      <c r="V5382" s="928"/>
      <c r="W5382" s="780"/>
      <c r="X5382" s="782">
        <v>5378</v>
      </c>
      <c r="Y5382" s="782" t="s">
        <v>2248</v>
      </c>
      <c r="Z5382" s="782" t="s">
        <v>3820</v>
      </c>
      <c r="AA5382" s="781">
        <f>$S$1*P!AA5382</f>
        <v>0</v>
      </c>
      <c r="AB5382" s="780"/>
      <c r="AC5382" s="780"/>
      <c r="AD5382" s="780"/>
      <c r="AE5382" s="780"/>
      <c r="AF5382" s="780"/>
    </row>
    <row r="5383" spans="19:32" x14ac:dyDescent="0.35">
      <c r="S5383" s="780"/>
      <c r="T5383" s="928"/>
      <c r="U5383" s="928"/>
      <c r="V5383" s="928"/>
      <c r="W5383" s="780"/>
      <c r="X5383" s="881">
        <v>5379</v>
      </c>
      <c r="Y5383" s="881" t="s">
        <v>2248</v>
      </c>
      <c r="Z5383" s="881" t="s">
        <v>2330</v>
      </c>
      <c r="AA5383" s="890">
        <f>$S$1*P!AA5383</f>
        <v>0</v>
      </c>
      <c r="AB5383" s="780"/>
      <c r="AC5383" s="780"/>
      <c r="AD5383" s="780"/>
      <c r="AE5383" s="780"/>
      <c r="AF5383" s="780"/>
    </row>
    <row r="5384" spans="19:32" x14ac:dyDescent="0.35">
      <c r="S5384" s="780"/>
      <c r="T5384" s="928"/>
      <c r="U5384" s="928"/>
      <c r="V5384" s="928"/>
      <c r="W5384" s="780"/>
      <c r="X5384" s="782">
        <v>5380</v>
      </c>
      <c r="Y5384" s="782" t="s">
        <v>2248</v>
      </c>
      <c r="Z5384" s="782" t="s">
        <v>2330</v>
      </c>
      <c r="AA5384" s="781">
        <f>$S$1*P!AA5384</f>
        <v>5.8608870967741943E-2</v>
      </c>
      <c r="AB5384" s="780"/>
      <c r="AC5384" s="780"/>
      <c r="AD5384" s="780"/>
      <c r="AE5384" s="780"/>
      <c r="AF5384" s="780"/>
    </row>
    <row r="5385" spans="19:32" x14ac:dyDescent="0.35">
      <c r="S5385" s="780"/>
      <c r="T5385" s="928"/>
      <c r="U5385" s="928"/>
      <c r="V5385" s="928"/>
      <c r="W5385" s="780"/>
      <c r="X5385" s="782">
        <v>5381</v>
      </c>
      <c r="Y5385" s="782" t="s">
        <v>2248</v>
      </c>
      <c r="Z5385" s="782" t="s">
        <v>3819</v>
      </c>
      <c r="AA5385" s="781">
        <f>$S$1*P!AA5385</f>
        <v>0</v>
      </c>
      <c r="AB5385" s="780"/>
      <c r="AC5385" s="780"/>
      <c r="AD5385" s="780"/>
      <c r="AE5385" s="780"/>
      <c r="AF5385" s="780"/>
    </row>
    <row r="5386" spans="19:32" x14ac:dyDescent="0.35">
      <c r="S5386" s="780"/>
      <c r="T5386" s="928"/>
      <c r="U5386" s="928"/>
      <c r="V5386" s="928"/>
      <c r="W5386" s="780"/>
      <c r="X5386" s="782">
        <v>5382</v>
      </c>
      <c r="Y5386" s="782" t="s">
        <v>2248</v>
      </c>
      <c r="Z5386" s="782" t="s">
        <v>3818</v>
      </c>
      <c r="AA5386" s="781">
        <f>$S$1*P!AA5386</f>
        <v>1.0830645161290323E-2</v>
      </c>
      <c r="AB5386" s="780"/>
      <c r="AC5386" s="780"/>
      <c r="AD5386" s="780"/>
      <c r="AE5386" s="780"/>
      <c r="AF5386" s="780"/>
    </row>
    <row r="5387" spans="19:32" x14ac:dyDescent="0.35">
      <c r="S5387" s="780"/>
      <c r="T5387" s="928"/>
      <c r="U5387" s="928"/>
      <c r="V5387" s="928"/>
      <c r="W5387" s="780"/>
      <c r="X5387" s="782">
        <v>5383</v>
      </c>
      <c r="Y5387" s="782" t="s">
        <v>2248</v>
      </c>
      <c r="Z5387" s="782" t="s">
        <v>3042</v>
      </c>
      <c r="AA5387" s="781">
        <f>$S$1*P!AA5387</f>
        <v>3.4000000000000002E-3</v>
      </c>
      <c r="AB5387" s="780"/>
      <c r="AC5387" s="780"/>
      <c r="AD5387" s="780"/>
      <c r="AE5387" s="780"/>
      <c r="AF5387" s="780"/>
    </row>
    <row r="5388" spans="19:32" x14ac:dyDescent="0.35">
      <c r="S5388" s="780"/>
      <c r="T5388" s="928"/>
      <c r="U5388" s="928"/>
      <c r="V5388" s="928"/>
      <c r="W5388" s="780"/>
      <c r="X5388" s="782">
        <v>5384</v>
      </c>
      <c r="Y5388" s="782" t="s">
        <v>2248</v>
      </c>
      <c r="Z5388" s="782" t="s">
        <v>3817</v>
      </c>
      <c r="AA5388" s="781">
        <f>$S$1*P!AA5388</f>
        <v>1.3063999999999999E-2</v>
      </c>
      <c r="AB5388" s="780"/>
      <c r="AC5388" s="780"/>
      <c r="AD5388" s="780"/>
      <c r="AE5388" s="780"/>
      <c r="AF5388" s="780"/>
    </row>
    <row r="5389" spans="19:32" x14ac:dyDescent="0.35">
      <c r="S5389" s="780"/>
      <c r="T5389" s="928"/>
      <c r="U5389" s="928"/>
      <c r="V5389" s="928"/>
      <c r="W5389" s="780"/>
      <c r="X5389" s="881">
        <v>5385</v>
      </c>
      <c r="Y5389" s="881" t="s">
        <v>2248</v>
      </c>
      <c r="Z5389" s="881" t="s">
        <v>2329</v>
      </c>
      <c r="AA5389" s="890">
        <f>$S$1*P!AA5389</f>
        <v>0</v>
      </c>
      <c r="AB5389" s="780"/>
      <c r="AC5389" s="780"/>
      <c r="AD5389" s="780"/>
      <c r="AE5389" s="780"/>
      <c r="AF5389" s="780"/>
    </row>
    <row r="5390" spans="19:32" x14ac:dyDescent="0.35">
      <c r="S5390" s="780"/>
      <c r="T5390" s="928"/>
      <c r="U5390" s="928"/>
      <c r="V5390" s="928"/>
      <c r="W5390" s="780"/>
      <c r="X5390" s="881">
        <v>5386</v>
      </c>
      <c r="Y5390" s="881" t="s">
        <v>2248</v>
      </c>
      <c r="Z5390" s="881" t="s">
        <v>2327</v>
      </c>
      <c r="AA5390" s="890">
        <f>$S$1*P!AA5390</f>
        <v>0</v>
      </c>
      <c r="AB5390" s="780"/>
      <c r="AC5390" s="780"/>
      <c r="AD5390" s="780"/>
      <c r="AE5390" s="780"/>
      <c r="AF5390" s="780"/>
    </row>
    <row r="5391" spans="19:32" x14ac:dyDescent="0.35">
      <c r="S5391" s="780"/>
      <c r="T5391" s="928"/>
      <c r="U5391" s="928"/>
      <c r="V5391" s="928"/>
      <c r="W5391" s="780"/>
      <c r="X5391" s="782">
        <v>5387</v>
      </c>
      <c r="Y5391" s="782" t="s">
        <v>2248</v>
      </c>
      <c r="Z5391" s="782" t="s">
        <v>3816</v>
      </c>
      <c r="AA5391" s="781">
        <f>$S$1*P!AA5391</f>
        <v>1.7756000000000001</v>
      </c>
      <c r="AB5391" s="780"/>
      <c r="AC5391" s="780"/>
      <c r="AD5391" s="780"/>
      <c r="AE5391" s="780"/>
      <c r="AF5391" s="780"/>
    </row>
    <row r="5392" spans="19:32" x14ac:dyDescent="0.35">
      <c r="S5392" s="780"/>
      <c r="T5392" s="928"/>
      <c r="U5392" s="928"/>
      <c r="V5392" s="928"/>
      <c r="W5392" s="780"/>
      <c r="X5392" s="782">
        <v>5388</v>
      </c>
      <c r="Y5392" s="782" t="s">
        <v>2248</v>
      </c>
      <c r="Z5392" s="782" t="s">
        <v>3815</v>
      </c>
      <c r="AA5392" s="781">
        <f>$S$1*P!AA5392</f>
        <v>1.984475806451613E-4</v>
      </c>
      <c r="AB5392" s="780"/>
      <c r="AC5392" s="780"/>
      <c r="AD5392" s="780"/>
      <c r="AE5392" s="780"/>
      <c r="AF5392" s="780"/>
    </row>
    <row r="5393" spans="19:32" x14ac:dyDescent="0.35">
      <c r="S5393" s="780"/>
      <c r="T5393" s="928"/>
      <c r="U5393" s="928"/>
      <c r="V5393" s="928"/>
      <c r="W5393" s="780"/>
      <c r="X5393" s="881">
        <v>5389</v>
      </c>
      <c r="Y5393" s="881" t="s">
        <v>2248</v>
      </c>
      <c r="Z5393" s="881" t="s">
        <v>2326</v>
      </c>
      <c r="AA5393" s="890">
        <f>$S$1*P!AA5393</f>
        <v>0</v>
      </c>
      <c r="AB5393" s="780"/>
      <c r="AC5393" s="780"/>
      <c r="AD5393" s="780"/>
      <c r="AE5393" s="780"/>
      <c r="AF5393" s="780"/>
    </row>
    <row r="5394" spans="19:32" x14ac:dyDescent="0.35">
      <c r="S5394" s="780"/>
      <c r="T5394" s="928"/>
      <c r="U5394" s="928"/>
      <c r="V5394" s="928"/>
      <c r="W5394" s="780"/>
      <c r="X5394" s="782">
        <v>5390</v>
      </c>
      <c r="Y5394" s="782" t="s">
        <v>2248</v>
      </c>
      <c r="Z5394" s="782" t="s">
        <v>3814</v>
      </c>
      <c r="AA5394" s="781">
        <f>$S$1*P!AA5394</f>
        <v>0.62468000000000001</v>
      </c>
      <c r="AB5394" s="780"/>
      <c r="AC5394" s="780"/>
      <c r="AD5394" s="780"/>
      <c r="AE5394" s="780"/>
      <c r="AF5394" s="780"/>
    </row>
    <row r="5395" spans="19:32" x14ac:dyDescent="0.35">
      <c r="S5395" s="780"/>
      <c r="T5395" s="928"/>
      <c r="U5395" s="928"/>
      <c r="V5395" s="928"/>
      <c r="W5395" s="780"/>
      <c r="X5395" s="782">
        <v>5391</v>
      </c>
      <c r="Y5395" s="782" t="s">
        <v>2248</v>
      </c>
      <c r="Z5395" s="782" t="s">
        <v>3813</v>
      </c>
      <c r="AA5395" s="781">
        <f>$S$1*P!AA5395</f>
        <v>1.902217741935484E-4</v>
      </c>
      <c r="AB5395" s="780"/>
      <c r="AC5395" s="780"/>
      <c r="AD5395" s="780"/>
      <c r="AE5395" s="780"/>
      <c r="AF5395" s="780"/>
    </row>
    <row r="5396" spans="19:32" x14ac:dyDescent="0.35">
      <c r="S5396" s="780"/>
      <c r="T5396" s="928"/>
      <c r="U5396" s="928"/>
      <c r="V5396" s="928"/>
      <c r="W5396" s="780"/>
      <c r="X5396" s="782">
        <v>5392</v>
      </c>
      <c r="Y5396" s="782" t="s">
        <v>2248</v>
      </c>
      <c r="Z5396" s="782" t="s">
        <v>3812</v>
      </c>
      <c r="AA5396" s="781">
        <f>$S$1*P!AA5396</f>
        <v>0</v>
      </c>
      <c r="AB5396" s="780"/>
      <c r="AC5396" s="780"/>
      <c r="AD5396" s="780"/>
      <c r="AE5396" s="780"/>
      <c r="AF5396" s="780"/>
    </row>
    <row r="5397" spans="19:32" x14ac:dyDescent="0.35">
      <c r="S5397" s="780"/>
      <c r="T5397" s="928"/>
      <c r="U5397" s="928"/>
      <c r="V5397" s="928"/>
      <c r="W5397" s="780"/>
      <c r="X5397" s="782">
        <v>5393</v>
      </c>
      <c r="Y5397" s="782" t="s">
        <v>2248</v>
      </c>
      <c r="Z5397" s="782" t="s">
        <v>3811</v>
      </c>
      <c r="AA5397" s="781">
        <f>$S$1*P!AA5397</f>
        <v>2.4608870967741936E-4</v>
      </c>
      <c r="AB5397" s="780"/>
      <c r="AC5397" s="780"/>
      <c r="AD5397" s="780"/>
      <c r="AE5397" s="780"/>
      <c r="AF5397" s="780"/>
    </row>
    <row r="5398" spans="19:32" x14ac:dyDescent="0.35">
      <c r="S5398" s="780"/>
      <c r="T5398" s="928"/>
      <c r="U5398" s="928"/>
      <c r="V5398" s="928"/>
      <c r="W5398" s="780"/>
      <c r="X5398" s="881">
        <v>5394</v>
      </c>
      <c r="Y5398" s="881" t="s">
        <v>2248</v>
      </c>
      <c r="Z5398" s="881" t="s">
        <v>2324</v>
      </c>
      <c r="AA5398" s="890">
        <f>$S$1*P!AA5398</f>
        <v>4.0480000000000005E-5</v>
      </c>
      <c r="AB5398" s="780"/>
      <c r="AC5398" s="780"/>
      <c r="AD5398" s="780"/>
      <c r="AE5398" s="780"/>
      <c r="AF5398" s="780"/>
    </row>
    <row r="5399" spans="19:32" x14ac:dyDescent="0.35">
      <c r="S5399" s="780"/>
      <c r="T5399" s="928"/>
      <c r="U5399" s="928"/>
      <c r="V5399" s="928"/>
      <c r="W5399" s="780"/>
      <c r="X5399" s="782">
        <v>5395</v>
      </c>
      <c r="Y5399" s="782" t="s">
        <v>2248</v>
      </c>
      <c r="Z5399" s="782" t="s">
        <v>2324</v>
      </c>
      <c r="AA5399" s="781">
        <f>$S$1*P!AA5399</f>
        <v>2.4026209677419355E-5</v>
      </c>
      <c r="AB5399" s="780"/>
      <c r="AC5399" s="780"/>
      <c r="AD5399" s="780"/>
      <c r="AE5399" s="780"/>
      <c r="AF5399" s="780"/>
    </row>
    <row r="5400" spans="19:32" x14ac:dyDescent="0.35">
      <c r="S5400" s="780"/>
      <c r="T5400" s="928"/>
      <c r="U5400" s="928"/>
      <c r="V5400" s="928"/>
      <c r="W5400" s="780"/>
      <c r="X5400" s="782">
        <v>5396</v>
      </c>
      <c r="Y5400" s="782" t="s">
        <v>2248</v>
      </c>
      <c r="Z5400" s="782" t="s">
        <v>3810</v>
      </c>
      <c r="AA5400" s="781">
        <f>$S$1*P!AA5400</f>
        <v>84.364000000000004</v>
      </c>
      <c r="AB5400" s="780"/>
      <c r="AC5400" s="780"/>
      <c r="AD5400" s="780"/>
      <c r="AE5400" s="780"/>
      <c r="AF5400" s="780"/>
    </row>
    <row r="5401" spans="19:32" x14ac:dyDescent="0.35">
      <c r="S5401" s="780"/>
      <c r="T5401" s="928"/>
      <c r="U5401" s="928"/>
      <c r="V5401" s="928"/>
      <c r="W5401" s="780"/>
      <c r="X5401" s="782">
        <v>5397</v>
      </c>
      <c r="Y5401" s="782" t="s">
        <v>2248</v>
      </c>
      <c r="Z5401" s="782" t="s">
        <v>3809</v>
      </c>
      <c r="AA5401" s="781">
        <f>$S$1*P!AA5401</f>
        <v>3.0161290322580648E-5</v>
      </c>
      <c r="AB5401" s="780"/>
      <c r="AC5401" s="780"/>
      <c r="AD5401" s="780"/>
      <c r="AE5401" s="780"/>
      <c r="AF5401" s="780"/>
    </row>
    <row r="5402" spans="19:32" x14ac:dyDescent="0.35">
      <c r="S5402" s="780"/>
      <c r="T5402" s="928"/>
      <c r="U5402" s="928"/>
      <c r="V5402" s="928"/>
      <c r="W5402" s="780"/>
      <c r="X5402" s="782">
        <v>5398</v>
      </c>
      <c r="Y5402" s="782" t="s">
        <v>2248</v>
      </c>
      <c r="Z5402" s="782" t="s">
        <v>3808</v>
      </c>
      <c r="AA5402" s="781">
        <f>$S$1*P!AA5402</f>
        <v>0</v>
      </c>
      <c r="AB5402" s="780"/>
      <c r="AC5402" s="780"/>
      <c r="AD5402" s="780"/>
      <c r="AE5402" s="780"/>
      <c r="AF5402" s="780"/>
    </row>
    <row r="5403" spans="19:32" x14ac:dyDescent="0.35">
      <c r="S5403" s="780"/>
      <c r="T5403" s="928"/>
      <c r="U5403" s="928"/>
      <c r="V5403" s="928"/>
      <c r="W5403" s="780"/>
      <c r="X5403" s="881">
        <v>5399</v>
      </c>
      <c r="Y5403" s="881" t="s">
        <v>2248</v>
      </c>
      <c r="Z5403" s="881" t="s">
        <v>2323</v>
      </c>
      <c r="AA5403" s="890">
        <f>$S$1*P!AA5403</f>
        <v>3.5879999999999995E-2</v>
      </c>
      <c r="AB5403" s="780"/>
      <c r="AC5403" s="780"/>
      <c r="AD5403" s="780"/>
      <c r="AE5403" s="780"/>
      <c r="AF5403" s="780"/>
    </row>
    <row r="5404" spans="19:32" x14ac:dyDescent="0.35">
      <c r="S5404" s="780"/>
      <c r="T5404" s="928"/>
      <c r="U5404" s="928"/>
      <c r="V5404" s="928"/>
      <c r="W5404" s="780"/>
      <c r="X5404" s="782">
        <v>5400</v>
      </c>
      <c r="Y5404" s="782" t="s">
        <v>2248</v>
      </c>
      <c r="Z5404" s="782" t="s">
        <v>2323</v>
      </c>
      <c r="AA5404" s="781">
        <f>$S$1*P!AA5404</f>
        <v>6.2721774193548392E-6</v>
      </c>
      <c r="AB5404" s="780"/>
      <c r="AC5404" s="780"/>
      <c r="AD5404" s="780"/>
      <c r="AE5404" s="780"/>
      <c r="AF5404" s="780"/>
    </row>
    <row r="5405" spans="19:32" x14ac:dyDescent="0.35">
      <c r="S5405" s="780"/>
      <c r="T5405" s="928"/>
      <c r="U5405" s="928"/>
      <c r="V5405" s="928"/>
      <c r="W5405" s="780"/>
      <c r="X5405" s="782">
        <v>5401</v>
      </c>
      <c r="Y5405" s="782" t="s">
        <v>2248</v>
      </c>
      <c r="Z5405" s="782" t="s">
        <v>3807</v>
      </c>
      <c r="AA5405" s="781">
        <f>$S$1*P!AA5405</f>
        <v>1665.2</v>
      </c>
      <c r="AB5405" s="780"/>
      <c r="AC5405" s="780"/>
      <c r="AD5405" s="780"/>
      <c r="AE5405" s="780"/>
      <c r="AF5405" s="780"/>
    </row>
    <row r="5406" spans="19:32" x14ac:dyDescent="0.35">
      <c r="S5406" s="780"/>
      <c r="T5406" s="928"/>
      <c r="U5406" s="928"/>
      <c r="V5406" s="928"/>
      <c r="W5406" s="780"/>
      <c r="X5406" s="881">
        <v>5402</v>
      </c>
      <c r="Y5406" s="881" t="s">
        <v>2248</v>
      </c>
      <c r="Z5406" s="881" t="s">
        <v>2321</v>
      </c>
      <c r="AA5406" s="890">
        <f>$S$1*P!AA5406</f>
        <v>0.41123999999999999</v>
      </c>
      <c r="AB5406" s="780"/>
      <c r="AC5406" s="780"/>
      <c r="AD5406" s="780"/>
      <c r="AE5406" s="780"/>
      <c r="AF5406" s="780"/>
    </row>
    <row r="5407" spans="19:32" x14ac:dyDescent="0.35">
      <c r="S5407" s="780"/>
      <c r="T5407" s="928"/>
      <c r="U5407" s="928"/>
      <c r="V5407" s="928"/>
      <c r="W5407" s="780"/>
      <c r="X5407" s="782">
        <v>5403</v>
      </c>
      <c r="Y5407" s="782" t="s">
        <v>2248</v>
      </c>
      <c r="Z5407" s="782" t="s">
        <v>3039</v>
      </c>
      <c r="AA5407" s="781">
        <f>$S$1*P!AA5407</f>
        <v>2.0084677419354839E-3</v>
      </c>
      <c r="AB5407" s="780"/>
      <c r="AC5407" s="780"/>
      <c r="AD5407" s="780"/>
      <c r="AE5407" s="780"/>
      <c r="AF5407" s="780"/>
    </row>
    <row r="5408" spans="19:32" x14ac:dyDescent="0.35">
      <c r="S5408" s="780"/>
      <c r="T5408" s="928"/>
      <c r="U5408" s="928"/>
      <c r="V5408" s="928"/>
      <c r="W5408" s="780"/>
      <c r="X5408" s="782">
        <v>5404</v>
      </c>
      <c r="Y5408" s="782" t="s">
        <v>2248</v>
      </c>
      <c r="Z5408" s="782" t="s">
        <v>2321</v>
      </c>
      <c r="AA5408" s="781">
        <f>$S$1*P!AA5408</f>
        <v>0.11207661290322582</v>
      </c>
      <c r="AB5408" s="780"/>
      <c r="AC5408" s="780"/>
      <c r="AD5408" s="780"/>
      <c r="AE5408" s="780"/>
      <c r="AF5408" s="780"/>
    </row>
    <row r="5409" spans="19:32" x14ac:dyDescent="0.35">
      <c r="S5409" s="780"/>
      <c r="T5409" s="928"/>
      <c r="U5409" s="928"/>
      <c r="V5409" s="928"/>
      <c r="W5409" s="780"/>
      <c r="X5409" s="782">
        <v>5405</v>
      </c>
      <c r="Y5409" s="782" t="s">
        <v>2248</v>
      </c>
      <c r="Z5409" s="782" t="s">
        <v>3806</v>
      </c>
      <c r="AA5409" s="781">
        <f>$S$1*P!AA5409</f>
        <v>0</v>
      </c>
      <c r="AB5409" s="780"/>
      <c r="AC5409" s="780"/>
      <c r="AD5409" s="780"/>
      <c r="AE5409" s="780"/>
      <c r="AF5409" s="780"/>
    </row>
    <row r="5410" spans="19:32" x14ac:dyDescent="0.35">
      <c r="S5410" s="780"/>
      <c r="T5410" s="928"/>
      <c r="U5410" s="928"/>
      <c r="V5410" s="928"/>
      <c r="W5410" s="780"/>
      <c r="X5410" s="782">
        <v>5406</v>
      </c>
      <c r="Y5410" s="782" t="s">
        <v>2248</v>
      </c>
      <c r="Z5410" s="782" t="s">
        <v>3805</v>
      </c>
      <c r="AA5410" s="781">
        <f>$S$1*P!AA5410</f>
        <v>1.0579999999999999E-3</v>
      </c>
      <c r="AB5410" s="780"/>
      <c r="AC5410" s="780"/>
      <c r="AD5410" s="780"/>
      <c r="AE5410" s="780"/>
      <c r="AF5410" s="780"/>
    </row>
    <row r="5411" spans="19:32" x14ac:dyDescent="0.35">
      <c r="S5411" s="780"/>
      <c r="T5411" s="928"/>
      <c r="U5411" s="928"/>
      <c r="V5411" s="928"/>
      <c r="W5411" s="780"/>
      <c r="X5411" s="881">
        <v>5407</v>
      </c>
      <c r="Y5411" s="881" t="s">
        <v>2248</v>
      </c>
      <c r="Z5411" s="881" t="s">
        <v>2319</v>
      </c>
      <c r="AA5411" s="890">
        <f>$S$1*P!AA5411</f>
        <v>2.1343999999999999</v>
      </c>
      <c r="AB5411" s="780"/>
      <c r="AC5411" s="780"/>
      <c r="AD5411" s="780"/>
      <c r="AE5411" s="780"/>
      <c r="AF5411" s="780"/>
    </row>
    <row r="5412" spans="19:32" x14ac:dyDescent="0.35">
      <c r="S5412" s="780"/>
      <c r="T5412" s="928"/>
      <c r="U5412" s="928"/>
      <c r="V5412" s="928"/>
      <c r="W5412" s="780"/>
      <c r="X5412" s="782">
        <v>5408</v>
      </c>
      <c r="Y5412" s="782" t="s">
        <v>2248</v>
      </c>
      <c r="Z5412" s="782" t="s">
        <v>2319</v>
      </c>
      <c r="AA5412" s="781">
        <f>$S$1*P!AA5412</f>
        <v>3.2971774193548385E-4</v>
      </c>
      <c r="AB5412" s="780"/>
      <c r="AC5412" s="780"/>
      <c r="AD5412" s="780"/>
      <c r="AE5412" s="780"/>
      <c r="AF5412" s="780"/>
    </row>
    <row r="5413" spans="19:32" x14ac:dyDescent="0.35">
      <c r="S5413" s="780"/>
      <c r="T5413" s="928"/>
      <c r="U5413" s="928"/>
      <c r="V5413" s="928"/>
      <c r="W5413" s="780"/>
      <c r="X5413" s="782">
        <v>5409</v>
      </c>
      <c r="Y5413" s="782" t="s">
        <v>2248</v>
      </c>
      <c r="Z5413" s="782" t="s">
        <v>3804</v>
      </c>
      <c r="AA5413" s="781">
        <f>$S$1*P!AA5413</f>
        <v>8.5000000000000006E-5</v>
      </c>
      <c r="AB5413" s="780"/>
      <c r="AC5413" s="780"/>
      <c r="AD5413" s="780"/>
      <c r="AE5413" s="780"/>
      <c r="AF5413" s="780"/>
    </row>
    <row r="5414" spans="19:32" x14ac:dyDescent="0.35">
      <c r="S5414" s="780"/>
      <c r="T5414" s="928"/>
      <c r="U5414" s="928"/>
      <c r="V5414" s="928"/>
      <c r="W5414" s="780"/>
      <c r="X5414" s="782">
        <v>5410</v>
      </c>
      <c r="Y5414" s="782" t="s">
        <v>2248</v>
      </c>
      <c r="Z5414" s="782" t="s">
        <v>3803</v>
      </c>
      <c r="AA5414" s="781">
        <f>$S$1*P!AA5414</f>
        <v>0</v>
      </c>
      <c r="AB5414" s="780"/>
      <c r="AC5414" s="780"/>
      <c r="AD5414" s="780"/>
      <c r="AE5414" s="780"/>
      <c r="AF5414" s="780"/>
    </row>
    <row r="5415" spans="19:32" x14ac:dyDescent="0.35">
      <c r="S5415" s="780"/>
      <c r="T5415" s="928"/>
      <c r="U5415" s="928"/>
      <c r="V5415" s="928"/>
      <c r="W5415" s="780"/>
      <c r="X5415" s="881">
        <v>5411</v>
      </c>
      <c r="Y5415" s="881" t="s">
        <v>2248</v>
      </c>
      <c r="Z5415" s="881" t="s">
        <v>2318</v>
      </c>
      <c r="AA5415" s="890">
        <f>$S$1*P!AA5415</f>
        <v>10.948</v>
      </c>
      <c r="AB5415" s="780"/>
      <c r="AC5415" s="780"/>
      <c r="AD5415" s="780"/>
      <c r="AE5415" s="780"/>
      <c r="AF5415" s="780"/>
    </row>
    <row r="5416" spans="19:32" x14ac:dyDescent="0.35">
      <c r="S5416" s="780"/>
      <c r="T5416" s="928"/>
      <c r="U5416" s="928"/>
      <c r="V5416" s="928"/>
      <c r="W5416" s="780"/>
      <c r="X5416" s="782">
        <v>5412</v>
      </c>
      <c r="Y5416" s="782" t="s">
        <v>2248</v>
      </c>
      <c r="Z5416" s="782" t="s">
        <v>3802</v>
      </c>
      <c r="AA5416" s="781">
        <f>$S$1*P!AA5416</f>
        <v>1.1224000000000001</v>
      </c>
      <c r="AB5416" s="780"/>
      <c r="AC5416" s="780"/>
      <c r="AD5416" s="780"/>
      <c r="AE5416" s="780"/>
      <c r="AF5416" s="780"/>
    </row>
    <row r="5417" spans="19:32" x14ac:dyDescent="0.35">
      <c r="S5417" s="780"/>
      <c r="T5417" s="928"/>
      <c r="U5417" s="928"/>
      <c r="V5417" s="928"/>
      <c r="W5417" s="780"/>
      <c r="X5417" s="782">
        <v>5413</v>
      </c>
      <c r="Y5417" s="782" t="s">
        <v>2248</v>
      </c>
      <c r="Z5417" s="782" t="s">
        <v>3801</v>
      </c>
      <c r="AA5417" s="781">
        <f>$S$1*P!AA5417</f>
        <v>1.6485887096774194E-5</v>
      </c>
      <c r="AB5417" s="780"/>
      <c r="AC5417" s="780"/>
      <c r="AD5417" s="780"/>
      <c r="AE5417" s="780"/>
      <c r="AF5417" s="780"/>
    </row>
    <row r="5418" spans="19:32" x14ac:dyDescent="0.35">
      <c r="S5418" s="780"/>
      <c r="T5418" s="928"/>
      <c r="U5418" s="928"/>
      <c r="V5418" s="928"/>
      <c r="W5418" s="780"/>
      <c r="X5418" s="782">
        <v>5414</v>
      </c>
      <c r="Y5418" s="782" t="s">
        <v>2248</v>
      </c>
      <c r="Z5418" s="782" t="s">
        <v>3800</v>
      </c>
      <c r="AA5418" s="781">
        <f>$S$1*P!AA5418</f>
        <v>4.3185483870967746E-4</v>
      </c>
      <c r="AB5418" s="780"/>
      <c r="AC5418" s="780"/>
      <c r="AD5418" s="780"/>
      <c r="AE5418" s="780"/>
      <c r="AF5418" s="780"/>
    </row>
    <row r="5419" spans="19:32" x14ac:dyDescent="0.35">
      <c r="S5419" s="780"/>
      <c r="T5419" s="928"/>
      <c r="U5419" s="928"/>
      <c r="V5419" s="928"/>
      <c r="W5419" s="780"/>
      <c r="X5419" s="782">
        <v>5415</v>
      </c>
      <c r="Y5419" s="782" t="s">
        <v>2248</v>
      </c>
      <c r="Z5419" s="782" t="s">
        <v>3799</v>
      </c>
      <c r="AA5419" s="781">
        <f>$S$1*P!AA5419</f>
        <v>2.5116000000000001</v>
      </c>
      <c r="AB5419" s="780"/>
      <c r="AC5419" s="780"/>
      <c r="AD5419" s="780"/>
      <c r="AE5419" s="780"/>
      <c r="AF5419" s="780"/>
    </row>
    <row r="5420" spans="19:32" x14ac:dyDescent="0.35">
      <c r="S5420" s="780"/>
      <c r="T5420" s="928"/>
      <c r="U5420" s="928"/>
      <c r="V5420" s="928"/>
      <c r="W5420" s="780"/>
      <c r="X5420" s="881">
        <v>5416</v>
      </c>
      <c r="Y5420" s="881" t="s">
        <v>2248</v>
      </c>
      <c r="Z5420" s="881" t="s">
        <v>2316</v>
      </c>
      <c r="AA5420" s="890">
        <f>$S$1*P!AA5420</f>
        <v>0</v>
      </c>
      <c r="AB5420" s="780"/>
      <c r="AC5420" s="780"/>
      <c r="AD5420" s="780"/>
      <c r="AE5420" s="780"/>
      <c r="AF5420" s="780"/>
    </row>
    <row r="5421" spans="19:32" x14ac:dyDescent="0.35">
      <c r="S5421" s="780"/>
      <c r="T5421" s="928"/>
      <c r="U5421" s="928"/>
      <c r="V5421" s="928"/>
      <c r="W5421" s="780"/>
      <c r="X5421" s="782">
        <v>5417</v>
      </c>
      <c r="Y5421" s="782" t="s">
        <v>2248</v>
      </c>
      <c r="Z5421" s="782" t="s">
        <v>2316</v>
      </c>
      <c r="AA5421" s="781">
        <f>$S$1*P!AA5421</f>
        <v>7.5745967741935497E-2</v>
      </c>
      <c r="AB5421" s="780"/>
      <c r="AC5421" s="780"/>
      <c r="AD5421" s="780"/>
      <c r="AE5421" s="780"/>
      <c r="AF5421" s="780"/>
    </row>
    <row r="5422" spans="19:32" x14ac:dyDescent="0.35">
      <c r="S5422" s="780"/>
      <c r="T5422" s="928"/>
      <c r="U5422" s="928"/>
      <c r="V5422" s="928"/>
      <c r="W5422" s="780"/>
      <c r="X5422" s="782">
        <v>5418</v>
      </c>
      <c r="Y5422" s="782" t="s">
        <v>2248</v>
      </c>
      <c r="Z5422" s="782" t="s">
        <v>3798</v>
      </c>
      <c r="AA5422" s="781">
        <f>$S$1*P!AA5422</f>
        <v>2.0147999999999999E-2</v>
      </c>
      <c r="AB5422" s="780"/>
      <c r="AC5422" s="780"/>
      <c r="AD5422" s="780"/>
      <c r="AE5422" s="780"/>
      <c r="AF5422" s="780"/>
    </row>
    <row r="5423" spans="19:32" x14ac:dyDescent="0.35">
      <c r="S5423" s="780"/>
      <c r="T5423" s="928"/>
      <c r="U5423" s="928"/>
      <c r="V5423" s="928"/>
      <c r="W5423" s="780"/>
      <c r="X5423" s="782">
        <v>5419</v>
      </c>
      <c r="Y5423" s="782" t="s">
        <v>2248</v>
      </c>
      <c r="Z5423" s="782" t="s">
        <v>3797</v>
      </c>
      <c r="AA5423" s="781">
        <f>$S$1*P!AA5423</f>
        <v>1.9947580645161292E-2</v>
      </c>
      <c r="AB5423" s="780"/>
      <c r="AC5423" s="780"/>
      <c r="AD5423" s="780"/>
      <c r="AE5423" s="780"/>
      <c r="AF5423" s="780"/>
    </row>
    <row r="5424" spans="19:32" x14ac:dyDescent="0.35">
      <c r="S5424" s="780"/>
      <c r="T5424" s="928"/>
      <c r="U5424" s="928"/>
      <c r="V5424" s="928"/>
      <c r="W5424" s="780"/>
      <c r="X5424" s="881">
        <v>5420</v>
      </c>
      <c r="Y5424" s="881" t="s">
        <v>2248</v>
      </c>
      <c r="Z5424" s="881" t="s">
        <v>2315</v>
      </c>
      <c r="AA5424" s="890">
        <f>$S$1*P!AA5424</f>
        <v>77.555999999999997</v>
      </c>
      <c r="AB5424" s="780"/>
      <c r="AC5424" s="780"/>
      <c r="AD5424" s="780"/>
      <c r="AE5424" s="780"/>
      <c r="AF5424" s="780"/>
    </row>
    <row r="5425" spans="19:32" x14ac:dyDescent="0.35">
      <c r="S5425" s="780"/>
      <c r="T5425" s="928"/>
      <c r="U5425" s="928"/>
      <c r="V5425" s="928"/>
      <c r="W5425" s="780"/>
      <c r="X5425" s="782">
        <v>5421</v>
      </c>
      <c r="Y5425" s="782" t="s">
        <v>2248</v>
      </c>
      <c r="Z5425" s="782" t="s">
        <v>2315</v>
      </c>
      <c r="AA5425" s="781">
        <f>$S$1*P!AA5425</f>
        <v>7.0604838709677426E-3</v>
      </c>
      <c r="AB5425" s="780"/>
      <c r="AC5425" s="780"/>
      <c r="AD5425" s="780"/>
      <c r="AE5425" s="780"/>
      <c r="AF5425" s="780"/>
    </row>
    <row r="5426" spans="19:32" x14ac:dyDescent="0.35">
      <c r="S5426" s="780"/>
      <c r="T5426" s="928"/>
      <c r="U5426" s="928"/>
      <c r="V5426" s="928"/>
      <c r="W5426" s="780"/>
      <c r="X5426" s="782">
        <v>5422</v>
      </c>
      <c r="Y5426" s="782" t="s">
        <v>2248</v>
      </c>
      <c r="Z5426" s="782" t="s">
        <v>3796</v>
      </c>
      <c r="AA5426" s="781">
        <f>$S$1*P!AA5426</f>
        <v>0</v>
      </c>
      <c r="AB5426" s="780"/>
      <c r="AC5426" s="780"/>
      <c r="AD5426" s="780"/>
      <c r="AE5426" s="780"/>
      <c r="AF5426" s="780"/>
    </row>
    <row r="5427" spans="19:32" x14ac:dyDescent="0.35">
      <c r="S5427" s="780"/>
      <c r="T5427" s="928"/>
      <c r="U5427" s="928"/>
      <c r="V5427" s="928"/>
      <c r="W5427" s="780"/>
      <c r="X5427" s="782">
        <v>5423</v>
      </c>
      <c r="Y5427" s="782" t="s">
        <v>2248</v>
      </c>
      <c r="Z5427" s="782" t="s">
        <v>3795</v>
      </c>
      <c r="AA5427" s="781">
        <f>$S$1*P!AA5427</f>
        <v>6.3407258064516133E-6</v>
      </c>
      <c r="AB5427" s="780"/>
      <c r="AC5427" s="780"/>
      <c r="AD5427" s="780"/>
      <c r="AE5427" s="780"/>
      <c r="AF5427" s="780"/>
    </row>
    <row r="5428" spans="19:32" x14ac:dyDescent="0.35">
      <c r="S5428" s="780"/>
      <c r="T5428" s="928"/>
      <c r="U5428" s="928"/>
      <c r="V5428" s="928"/>
      <c r="W5428" s="780"/>
      <c r="X5428" s="782">
        <v>5424</v>
      </c>
      <c r="Y5428" s="782" t="s">
        <v>2248</v>
      </c>
      <c r="Z5428" s="782" t="s">
        <v>3794</v>
      </c>
      <c r="AA5428" s="781">
        <f>$S$1*P!AA5428</f>
        <v>6.4778225806451617E-5</v>
      </c>
      <c r="AB5428" s="780"/>
      <c r="AC5428" s="780"/>
      <c r="AD5428" s="780"/>
      <c r="AE5428" s="780"/>
      <c r="AF5428" s="780"/>
    </row>
    <row r="5429" spans="19:32" x14ac:dyDescent="0.35">
      <c r="S5429" s="780"/>
      <c r="T5429" s="928"/>
      <c r="U5429" s="928"/>
      <c r="V5429" s="928"/>
      <c r="W5429" s="780"/>
      <c r="X5429" s="782">
        <v>5425</v>
      </c>
      <c r="Y5429" s="782" t="s">
        <v>2248</v>
      </c>
      <c r="Z5429" s="782" t="s">
        <v>3793</v>
      </c>
      <c r="AA5429" s="781">
        <f>$S$1*P!AA5429</f>
        <v>0</v>
      </c>
      <c r="AB5429" s="780"/>
      <c r="AC5429" s="780"/>
      <c r="AD5429" s="780"/>
      <c r="AE5429" s="780"/>
      <c r="AF5429" s="780"/>
    </row>
    <row r="5430" spans="19:32" x14ac:dyDescent="0.35">
      <c r="S5430" s="780"/>
      <c r="T5430" s="928"/>
      <c r="U5430" s="928"/>
      <c r="V5430" s="928"/>
      <c r="W5430" s="780"/>
      <c r="X5430" s="782">
        <v>5426</v>
      </c>
      <c r="Y5430" s="782" t="s">
        <v>2248</v>
      </c>
      <c r="Z5430" s="782" t="s">
        <v>3792</v>
      </c>
      <c r="AA5430" s="781">
        <f>$S$1*P!AA5430</f>
        <v>0</v>
      </c>
      <c r="AB5430" s="780"/>
      <c r="AC5430" s="780"/>
      <c r="AD5430" s="780"/>
      <c r="AE5430" s="780"/>
      <c r="AF5430" s="780"/>
    </row>
    <row r="5431" spans="19:32" x14ac:dyDescent="0.35">
      <c r="S5431" s="780"/>
      <c r="T5431" s="928"/>
      <c r="U5431" s="928"/>
      <c r="V5431" s="928"/>
      <c r="W5431" s="780"/>
      <c r="X5431" s="782">
        <v>5427</v>
      </c>
      <c r="Y5431" s="782" t="s">
        <v>2248</v>
      </c>
      <c r="Z5431" s="782" t="s">
        <v>3791</v>
      </c>
      <c r="AA5431" s="781">
        <f>$S$1*P!AA5431</f>
        <v>1.5868951612903228E-4</v>
      </c>
      <c r="AB5431" s="780"/>
      <c r="AC5431" s="780"/>
      <c r="AD5431" s="780"/>
      <c r="AE5431" s="780"/>
      <c r="AF5431" s="780"/>
    </row>
    <row r="5432" spans="19:32" x14ac:dyDescent="0.35">
      <c r="S5432" s="780"/>
      <c r="T5432" s="928"/>
      <c r="U5432" s="928"/>
      <c r="V5432" s="928"/>
      <c r="W5432" s="780"/>
      <c r="X5432" s="782">
        <v>5428</v>
      </c>
      <c r="Y5432" s="782" t="s">
        <v>2248</v>
      </c>
      <c r="Z5432" s="782" t="s">
        <v>3790</v>
      </c>
      <c r="AA5432" s="781">
        <f>$S$1*P!AA5432</f>
        <v>2.7864919354838712E-4</v>
      </c>
      <c r="AB5432" s="780"/>
      <c r="AC5432" s="780"/>
      <c r="AD5432" s="780"/>
      <c r="AE5432" s="780"/>
      <c r="AF5432" s="780"/>
    </row>
    <row r="5433" spans="19:32" x14ac:dyDescent="0.35">
      <c r="S5433" s="780"/>
      <c r="T5433" s="928"/>
      <c r="U5433" s="928"/>
      <c r="V5433" s="928"/>
      <c r="W5433" s="780"/>
      <c r="X5433" s="782">
        <v>5429</v>
      </c>
      <c r="Y5433" s="782" t="s">
        <v>2248</v>
      </c>
      <c r="Z5433" s="782" t="s">
        <v>3789</v>
      </c>
      <c r="AA5433" s="781">
        <f>$S$1*P!AA5433</f>
        <v>0</v>
      </c>
      <c r="AB5433" s="780"/>
      <c r="AC5433" s="780"/>
      <c r="AD5433" s="780"/>
      <c r="AE5433" s="780"/>
      <c r="AF5433" s="780"/>
    </row>
    <row r="5434" spans="19:32" x14ac:dyDescent="0.35">
      <c r="S5434" s="780"/>
      <c r="T5434" s="928"/>
      <c r="U5434" s="928"/>
      <c r="V5434" s="928"/>
      <c r="W5434" s="780"/>
      <c r="X5434" s="881">
        <v>5430</v>
      </c>
      <c r="Y5434" s="881" t="s">
        <v>2248</v>
      </c>
      <c r="Z5434" s="881" t="s">
        <v>2313</v>
      </c>
      <c r="AA5434" s="890">
        <f>$S$1*P!AA5434</f>
        <v>2.1252</v>
      </c>
      <c r="AB5434" s="780"/>
      <c r="AC5434" s="780"/>
      <c r="AD5434" s="780"/>
      <c r="AE5434" s="780"/>
      <c r="AF5434" s="780"/>
    </row>
    <row r="5435" spans="19:32" x14ac:dyDescent="0.35">
      <c r="S5435" s="780"/>
      <c r="T5435" s="928"/>
      <c r="U5435" s="928"/>
      <c r="V5435" s="928"/>
      <c r="W5435" s="780"/>
      <c r="X5435" s="782">
        <v>5431</v>
      </c>
      <c r="Y5435" s="782" t="s">
        <v>2248</v>
      </c>
      <c r="Z5435" s="782" t="s">
        <v>3788</v>
      </c>
      <c r="AA5435" s="781">
        <f>$S$1*P!AA5435</f>
        <v>0</v>
      </c>
      <c r="AB5435" s="780"/>
      <c r="AC5435" s="780"/>
      <c r="AD5435" s="780"/>
      <c r="AE5435" s="780"/>
      <c r="AF5435" s="780"/>
    </row>
    <row r="5436" spans="19:32" x14ac:dyDescent="0.35">
      <c r="S5436" s="780"/>
      <c r="T5436" s="928"/>
      <c r="U5436" s="928"/>
      <c r="V5436" s="928"/>
      <c r="W5436" s="780"/>
      <c r="X5436" s="881">
        <v>5432</v>
      </c>
      <c r="Y5436" s="881" t="s">
        <v>2248</v>
      </c>
      <c r="Z5436" s="881" t="s">
        <v>2312</v>
      </c>
      <c r="AA5436" s="890">
        <f>$S$1*P!AA5436</f>
        <v>1.8860000000000002E-2</v>
      </c>
      <c r="AB5436" s="780"/>
      <c r="AC5436" s="780"/>
      <c r="AD5436" s="780"/>
      <c r="AE5436" s="780"/>
      <c r="AF5436" s="780"/>
    </row>
    <row r="5437" spans="19:32" x14ac:dyDescent="0.35">
      <c r="S5437" s="780"/>
      <c r="T5437" s="928"/>
      <c r="U5437" s="928"/>
      <c r="V5437" s="928"/>
      <c r="W5437" s="780"/>
      <c r="X5437" s="782">
        <v>5433</v>
      </c>
      <c r="Y5437" s="782" t="s">
        <v>2248</v>
      </c>
      <c r="Z5437" s="782" t="s">
        <v>3787</v>
      </c>
      <c r="AA5437" s="781">
        <f>$S$1*P!AA5437</f>
        <v>3.2903225806451615E-2</v>
      </c>
      <c r="AB5437" s="780"/>
      <c r="AC5437" s="780"/>
      <c r="AD5437" s="780"/>
      <c r="AE5437" s="780"/>
      <c r="AF5437" s="780"/>
    </row>
    <row r="5438" spans="19:32" x14ac:dyDescent="0.35">
      <c r="S5438" s="780"/>
      <c r="T5438" s="928"/>
      <c r="U5438" s="928"/>
      <c r="V5438" s="928"/>
      <c r="W5438" s="780"/>
      <c r="X5438" s="881">
        <v>5434</v>
      </c>
      <c r="Y5438" s="881" t="s">
        <v>2248</v>
      </c>
      <c r="Z5438" s="881" t="s">
        <v>2310</v>
      </c>
      <c r="AA5438" s="890">
        <f>$S$1*P!AA5438</f>
        <v>5.5384000000000006E-3</v>
      </c>
      <c r="AB5438" s="780"/>
      <c r="AC5438" s="780"/>
      <c r="AD5438" s="780"/>
      <c r="AE5438" s="780"/>
      <c r="AF5438" s="780"/>
    </row>
    <row r="5439" spans="19:32" x14ac:dyDescent="0.35">
      <c r="S5439" s="780"/>
      <c r="T5439" s="928"/>
      <c r="U5439" s="928"/>
      <c r="V5439" s="928"/>
      <c r="W5439" s="780"/>
      <c r="X5439" s="782">
        <v>5435</v>
      </c>
      <c r="Y5439" s="782" t="s">
        <v>2248</v>
      </c>
      <c r="Z5439" s="782" t="s">
        <v>3786</v>
      </c>
      <c r="AA5439" s="781">
        <f>$S$1*P!AA5439</f>
        <v>0</v>
      </c>
      <c r="AB5439" s="780"/>
      <c r="AC5439" s="780"/>
      <c r="AD5439" s="780"/>
      <c r="AE5439" s="780"/>
      <c r="AF5439" s="780"/>
    </row>
    <row r="5440" spans="19:32" x14ac:dyDescent="0.35">
      <c r="S5440" s="780"/>
      <c r="T5440" s="928"/>
      <c r="U5440" s="928"/>
      <c r="V5440" s="928"/>
      <c r="W5440" s="780"/>
      <c r="X5440" s="881">
        <v>5436</v>
      </c>
      <c r="Y5440" s="881" t="s">
        <v>2248</v>
      </c>
      <c r="Z5440" s="881" t="s">
        <v>2308</v>
      </c>
      <c r="AA5440" s="890">
        <f>$S$1*P!AA5440</f>
        <v>5.5107999999999997E-2</v>
      </c>
      <c r="AB5440" s="780"/>
      <c r="AC5440" s="780"/>
      <c r="AD5440" s="780"/>
      <c r="AE5440" s="780"/>
      <c r="AF5440" s="780"/>
    </row>
    <row r="5441" spans="19:32" x14ac:dyDescent="0.35">
      <c r="S5441" s="780"/>
      <c r="T5441" s="928"/>
      <c r="U5441" s="928"/>
      <c r="V5441" s="928"/>
      <c r="W5441" s="780"/>
      <c r="X5441" s="782">
        <v>5437</v>
      </c>
      <c r="Y5441" s="782" t="s">
        <v>2248</v>
      </c>
      <c r="Z5441" s="782" t="s">
        <v>3785</v>
      </c>
      <c r="AA5441" s="781">
        <f>$S$1*P!AA5441</f>
        <v>0</v>
      </c>
      <c r="AB5441" s="780"/>
      <c r="AC5441" s="780"/>
      <c r="AD5441" s="780"/>
      <c r="AE5441" s="780"/>
      <c r="AF5441" s="780"/>
    </row>
    <row r="5442" spans="19:32" x14ac:dyDescent="0.35">
      <c r="S5442" s="780"/>
      <c r="T5442" s="928"/>
      <c r="U5442" s="928"/>
      <c r="V5442" s="928"/>
      <c r="W5442" s="780"/>
      <c r="X5442" s="782">
        <v>5438</v>
      </c>
      <c r="Y5442" s="782" t="s">
        <v>2248</v>
      </c>
      <c r="Z5442" s="782" t="s">
        <v>3784</v>
      </c>
      <c r="AA5442" s="781">
        <f>$S$1*P!AA5442</f>
        <v>2.0975806451612906E-4</v>
      </c>
      <c r="AB5442" s="780"/>
      <c r="AC5442" s="780"/>
      <c r="AD5442" s="780"/>
      <c r="AE5442" s="780"/>
      <c r="AF5442" s="780"/>
    </row>
    <row r="5443" spans="19:32" x14ac:dyDescent="0.35">
      <c r="S5443" s="780"/>
      <c r="T5443" s="928"/>
      <c r="U5443" s="928"/>
      <c r="V5443" s="928"/>
      <c r="W5443" s="780"/>
      <c r="X5443" s="881">
        <v>5439</v>
      </c>
      <c r="Y5443" s="881" t="s">
        <v>2248</v>
      </c>
      <c r="Z5443" s="881" t="s">
        <v>2307</v>
      </c>
      <c r="AA5443" s="890">
        <f>$S$1*P!AA5443</f>
        <v>2.0424000000000001E-2</v>
      </c>
      <c r="AB5443" s="780"/>
      <c r="AC5443" s="780"/>
      <c r="AD5443" s="780"/>
      <c r="AE5443" s="780"/>
      <c r="AF5443" s="780"/>
    </row>
    <row r="5444" spans="19:32" x14ac:dyDescent="0.35">
      <c r="S5444" s="780"/>
      <c r="T5444" s="928"/>
      <c r="U5444" s="928"/>
      <c r="V5444" s="928"/>
      <c r="W5444" s="780"/>
      <c r="X5444" s="782">
        <v>5440</v>
      </c>
      <c r="Y5444" s="782" t="s">
        <v>2248</v>
      </c>
      <c r="Z5444" s="782" t="s">
        <v>3783</v>
      </c>
      <c r="AA5444" s="781">
        <f>$S$1*P!AA5444</f>
        <v>400.2</v>
      </c>
      <c r="AB5444" s="780"/>
      <c r="AC5444" s="780"/>
      <c r="AD5444" s="780"/>
      <c r="AE5444" s="780"/>
      <c r="AF5444" s="780"/>
    </row>
    <row r="5445" spans="19:32" x14ac:dyDescent="0.35">
      <c r="S5445" s="780"/>
      <c r="T5445" s="928"/>
      <c r="U5445" s="928"/>
      <c r="V5445" s="928"/>
      <c r="W5445" s="780"/>
      <c r="X5445" s="782">
        <v>5441</v>
      </c>
      <c r="Y5445" s="782" t="s">
        <v>2248</v>
      </c>
      <c r="Z5445" s="782" t="s">
        <v>3782</v>
      </c>
      <c r="AA5445" s="781">
        <f>$S$1*P!AA5445</f>
        <v>1.1002016129032259E-2</v>
      </c>
      <c r="AB5445" s="780"/>
      <c r="AC5445" s="780"/>
      <c r="AD5445" s="780"/>
      <c r="AE5445" s="780"/>
      <c r="AF5445" s="780"/>
    </row>
    <row r="5446" spans="19:32" x14ac:dyDescent="0.35">
      <c r="S5446" s="780"/>
      <c r="T5446" s="928"/>
      <c r="U5446" s="928"/>
      <c r="V5446" s="928"/>
      <c r="W5446" s="780"/>
      <c r="X5446" s="782">
        <v>5442</v>
      </c>
      <c r="Y5446" s="782" t="s">
        <v>2248</v>
      </c>
      <c r="Z5446" s="782" t="s">
        <v>3781</v>
      </c>
      <c r="AA5446" s="781">
        <f>$S$1*P!AA5446</f>
        <v>0.39072580645161292</v>
      </c>
      <c r="AB5446" s="780"/>
      <c r="AC5446" s="780"/>
      <c r="AD5446" s="780"/>
      <c r="AE5446" s="780"/>
      <c r="AF5446" s="780"/>
    </row>
    <row r="5447" spans="19:32" x14ac:dyDescent="0.35">
      <c r="S5447" s="780"/>
      <c r="T5447" s="928"/>
      <c r="U5447" s="928"/>
      <c r="V5447" s="928"/>
      <c r="W5447" s="780"/>
      <c r="X5447" s="782">
        <v>5443</v>
      </c>
      <c r="Y5447" s="782" t="s">
        <v>2248</v>
      </c>
      <c r="Z5447" s="782" t="s">
        <v>3780</v>
      </c>
      <c r="AA5447" s="781">
        <f>$S$1*P!AA5447</f>
        <v>3.0636000000000001</v>
      </c>
      <c r="AB5447" s="780"/>
      <c r="AC5447" s="780"/>
      <c r="AD5447" s="780"/>
      <c r="AE5447" s="780"/>
      <c r="AF5447" s="780"/>
    </row>
    <row r="5448" spans="19:32" x14ac:dyDescent="0.35">
      <c r="S5448" s="780"/>
      <c r="T5448" s="928"/>
      <c r="U5448" s="928"/>
      <c r="V5448" s="928"/>
      <c r="W5448" s="780"/>
      <c r="X5448" s="881">
        <v>5444</v>
      </c>
      <c r="Y5448" s="881" t="s">
        <v>2248</v>
      </c>
      <c r="Z5448" s="881" t="s">
        <v>2305</v>
      </c>
      <c r="AA5448" s="890">
        <f>$S$1*P!AA5448</f>
        <v>0.87583999999999995</v>
      </c>
      <c r="AB5448" s="780"/>
      <c r="AC5448" s="780"/>
      <c r="AD5448" s="780"/>
      <c r="AE5448" s="780"/>
      <c r="AF5448" s="780"/>
    </row>
    <row r="5449" spans="19:32" x14ac:dyDescent="0.35">
      <c r="S5449" s="780"/>
      <c r="T5449" s="928"/>
      <c r="U5449" s="928"/>
      <c r="V5449" s="928"/>
      <c r="W5449" s="780"/>
      <c r="X5449" s="782">
        <v>5445</v>
      </c>
      <c r="Y5449" s="782" t="s">
        <v>2248</v>
      </c>
      <c r="Z5449" s="782" t="s">
        <v>2305</v>
      </c>
      <c r="AA5449" s="781">
        <f>$S$1*P!AA5449</f>
        <v>1.5903225806451614E-3</v>
      </c>
      <c r="AB5449" s="780"/>
      <c r="AC5449" s="780"/>
      <c r="AD5449" s="780"/>
      <c r="AE5449" s="780"/>
      <c r="AF5449" s="780"/>
    </row>
    <row r="5450" spans="19:32" x14ac:dyDescent="0.35">
      <c r="S5450" s="780"/>
      <c r="T5450" s="928"/>
      <c r="U5450" s="928"/>
      <c r="V5450" s="928"/>
      <c r="W5450" s="780"/>
      <c r="X5450" s="782">
        <v>5446</v>
      </c>
      <c r="Y5450" s="782" t="s">
        <v>2248</v>
      </c>
      <c r="Z5450" s="782" t="s">
        <v>3779</v>
      </c>
      <c r="AA5450" s="781">
        <f>$S$1*P!AA5450</f>
        <v>0</v>
      </c>
      <c r="AB5450" s="780"/>
      <c r="AC5450" s="780"/>
      <c r="AD5450" s="780"/>
      <c r="AE5450" s="780"/>
      <c r="AF5450" s="780"/>
    </row>
    <row r="5451" spans="19:32" x14ac:dyDescent="0.35">
      <c r="S5451" s="780"/>
      <c r="T5451" s="928"/>
      <c r="U5451" s="928"/>
      <c r="V5451" s="928"/>
      <c r="W5451" s="780"/>
      <c r="X5451" s="782">
        <v>5447</v>
      </c>
      <c r="Y5451" s="782" t="s">
        <v>2248</v>
      </c>
      <c r="Z5451" s="782" t="s">
        <v>3778</v>
      </c>
      <c r="AA5451" s="781">
        <f>$S$1*P!AA5451</f>
        <v>1.2030241935483872E-3</v>
      </c>
      <c r="AB5451" s="780"/>
      <c r="AC5451" s="780"/>
      <c r="AD5451" s="780"/>
      <c r="AE5451" s="780"/>
      <c r="AF5451" s="780"/>
    </row>
    <row r="5452" spans="19:32" x14ac:dyDescent="0.35">
      <c r="S5452" s="780"/>
      <c r="T5452" s="928"/>
      <c r="U5452" s="928"/>
      <c r="V5452" s="928"/>
      <c r="W5452" s="780"/>
      <c r="X5452" s="782">
        <v>5448</v>
      </c>
      <c r="Y5452" s="782" t="s">
        <v>2248</v>
      </c>
      <c r="Z5452" s="782" t="s">
        <v>3777</v>
      </c>
      <c r="AA5452" s="781">
        <f>$S$1*P!AA5452</f>
        <v>3.5302419354838716E-2</v>
      </c>
      <c r="AB5452" s="780"/>
      <c r="AC5452" s="780"/>
      <c r="AD5452" s="780"/>
      <c r="AE5452" s="780"/>
      <c r="AF5452" s="780"/>
    </row>
    <row r="5453" spans="19:32" x14ac:dyDescent="0.35">
      <c r="S5453" s="780"/>
      <c r="T5453" s="928"/>
      <c r="U5453" s="928"/>
      <c r="V5453" s="928"/>
      <c r="W5453" s="780"/>
      <c r="X5453" s="782">
        <v>5449</v>
      </c>
      <c r="Y5453" s="782" t="s">
        <v>2248</v>
      </c>
      <c r="Z5453" s="782" t="s">
        <v>3776</v>
      </c>
      <c r="AA5453" s="781">
        <f>$S$1*P!AA5453</f>
        <v>75.163999999999987</v>
      </c>
      <c r="AB5453" s="780"/>
      <c r="AC5453" s="780"/>
      <c r="AD5453" s="780"/>
      <c r="AE5453" s="780"/>
      <c r="AF5453" s="780"/>
    </row>
    <row r="5454" spans="19:32" x14ac:dyDescent="0.35">
      <c r="S5454" s="780"/>
      <c r="T5454" s="928"/>
      <c r="U5454" s="928"/>
      <c r="V5454" s="928"/>
      <c r="W5454" s="780"/>
      <c r="X5454" s="782">
        <v>5450</v>
      </c>
      <c r="Y5454" s="782" t="s">
        <v>2248</v>
      </c>
      <c r="Z5454" s="782" t="s">
        <v>3775</v>
      </c>
      <c r="AA5454" s="781">
        <f>$S$1*P!AA5454</f>
        <v>0.15868951612903226</v>
      </c>
      <c r="AB5454" s="780"/>
      <c r="AC5454" s="780"/>
      <c r="AD5454" s="780"/>
      <c r="AE5454" s="780"/>
      <c r="AF5454" s="780"/>
    </row>
    <row r="5455" spans="19:32" x14ac:dyDescent="0.35">
      <c r="S5455" s="780"/>
      <c r="T5455" s="928"/>
      <c r="U5455" s="928"/>
      <c r="V5455" s="928"/>
      <c r="W5455" s="780"/>
      <c r="X5455" s="782">
        <v>5451</v>
      </c>
      <c r="Y5455" s="782" t="s">
        <v>2248</v>
      </c>
      <c r="Z5455" s="782" t="s">
        <v>3774</v>
      </c>
      <c r="AA5455" s="781">
        <f>$S$1*P!AA5455</f>
        <v>0.10967741935483871</v>
      </c>
      <c r="AB5455" s="780"/>
      <c r="AC5455" s="780"/>
      <c r="AD5455" s="780"/>
      <c r="AE5455" s="780"/>
      <c r="AF5455" s="780"/>
    </row>
    <row r="5456" spans="19:32" x14ac:dyDescent="0.35">
      <c r="S5456" s="780"/>
      <c r="T5456" s="928"/>
      <c r="U5456" s="928"/>
      <c r="V5456" s="928"/>
      <c r="W5456" s="780"/>
      <c r="X5456" s="782">
        <v>5452</v>
      </c>
      <c r="Y5456" s="782" t="s">
        <v>2248</v>
      </c>
      <c r="Z5456" s="782" t="s">
        <v>3773</v>
      </c>
      <c r="AA5456" s="781">
        <f>$S$1*P!AA5456</f>
        <v>0</v>
      </c>
      <c r="AB5456" s="780"/>
      <c r="AC5456" s="780"/>
      <c r="AD5456" s="780"/>
      <c r="AE5456" s="780"/>
      <c r="AF5456" s="780"/>
    </row>
    <row r="5457" spans="19:32" x14ac:dyDescent="0.35">
      <c r="S5457" s="780"/>
      <c r="T5457" s="928"/>
      <c r="U5457" s="928"/>
      <c r="V5457" s="928"/>
      <c r="W5457" s="780"/>
      <c r="X5457" s="782">
        <v>5453</v>
      </c>
      <c r="Y5457" s="782" t="s">
        <v>2248</v>
      </c>
      <c r="Z5457" s="782" t="s">
        <v>3772</v>
      </c>
      <c r="AA5457" s="781">
        <f>$S$1*P!AA5457</f>
        <v>3.166935483870968E-4</v>
      </c>
      <c r="AB5457" s="780"/>
      <c r="AC5457" s="780"/>
      <c r="AD5457" s="780"/>
      <c r="AE5457" s="780"/>
      <c r="AF5457" s="780"/>
    </row>
    <row r="5458" spans="19:32" x14ac:dyDescent="0.35">
      <c r="S5458" s="780"/>
      <c r="T5458" s="928"/>
      <c r="U5458" s="928"/>
      <c r="V5458" s="928"/>
      <c r="W5458" s="780"/>
      <c r="X5458" s="881">
        <v>5454</v>
      </c>
      <c r="Y5458" s="881" t="s">
        <v>2248</v>
      </c>
      <c r="Z5458" s="881" t="s">
        <v>2304</v>
      </c>
      <c r="AA5458" s="890">
        <f>$S$1*P!AA5458</f>
        <v>0</v>
      </c>
      <c r="AB5458" s="780"/>
      <c r="AC5458" s="780"/>
      <c r="AD5458" s="780"/>
      <c r="AE5458" s="780"/>
      <c r="AF5458" s="780"/>
    </row>
    <row r="5459" spans="19:32" x14ac:dyDescent="0.35">
      <c r="S5459" s="780"/>
      <c r="T5459" s="928"/>
      <c r="U5459" s="928"/>
      <c r="V5459" s="928"/>
      <c r="W5459" s="780"/>
      <c r="X5459" s="782">
        <v>5455</v>
      </c>
      <c r="Y5459" s="782" t="s">
        <v>2248</v>
      </c>
      <c r="Z5459" s="782" t="s">
        <v>3771</v>
      </c>
      <c r="AA5459" s="781">
        <f>$S$1*P!AA5459</f>
        <v>7.0287999999999995</v>
      </c>
      <c r="AB5459" s="780"/>
      <c r="AC5459" s="780"/>
      <c r="AD5459" s="780"/>
      <c r="AE5459" s="780"/>
      <c r="AF5459" s="780"/>
    </row>
    <row r="5460" spans="19:32" x14ac:dyDescent="0.35">
      <c r="S5460" s="780"/>
      <c r="T5460" s="928"/>
      <c r="U5460" s="928"/>
      <c r="V5460" s="928"/>
      <c r="W5460" s="780"/>
      <c r="X5460" s="881">
        <v>5456</v>
      </c>
      <c r="Y5460" s="881" t="s">
        <v>2248</v>
      </c>
      <c r="Z5460" s="881" t="s">
        <v>2302</v>
      </c>
      <c r="AA5460" s="890">
        <f>$S$1*P!AA5460</f>
        <v>4.3331999999999996E-2</v>
      </c>
      <c r="AB5460" s="780"/>
      <c r="AC5460" s="780"/>
      <c r="AD5460" s="780"/>
      <c r="AE5460" s="780"/>
      <c r="AF5460" s="780"/>
    </row>
    <row r="5461" spans="19:32" x14ac:dyDescent="0.35">
      <c r="S5461" s="780"/>
      <c r="T5461" s="928"/>
      <c r="U5461" s="928"/>
      <c r="V5461" s="928"/>
      <c r="W5461" s="780"/>
      <c r="X5461" s="782">
        <v>5457</v>
      </c>
      <c r="Y5461" s="782" t="s">
        <v>2248</v>
      </c>
      <c r="Z5461" s="782" t="s">
        <v>3770</v>
      </c>
      <c r="AA5461" s="781">
        <f>$S$1*P!AA5461</f>
        <v>0</v>
      </c>
      <c r="AB5461" s="780"/>
      <c r="AC5461" s="780"/>
      <c r="AD5461" s="780"/>
      <c r="AE5461" s="780"/>
      <c r="AF5461" s="780"/>
    </row>
    <row r="5462" spans="19:32" x14ac:dyDescent="0.35">
      <c r="S5462" s="780"/>
      <c r="T5462" s="928"/>
      <c r="U5462" s="928"/>
      <c r="V5462" s="928"/>
      <c r="W5462" s="780"/>
      <c r="X5462" s="782">
        <v>5458</v>
      </c>
      <c r="Y5462" s="782" t="s">
        <v>2248</v>
      </c>
      <c r="Z5462" s="782" t="s">
        <v>3769</v>
      </c>
      <c r="AA5462" s="781">
        <f>$S$1*P!AA5462</f>
        <v>8.4657258064516133E-6</v>
      </c>
      <c r="AB5462" s="780"/>
      <c r="AC5462" s="780"/>
      <c r="AD5462" s="780"/>
      <c r="AE5462" s="780"/>
      <c r="AF5462" s="780"/>
    </row>
    <row r="5463" spans="19:32" x14ac:dyDescent="0.35">
      <c r="S5463" s="780"/>
      <c r="T5463" s="928"/>
      <c r="U5463" s="928"/>
      <c r="V5463" s="928"/>
      <c r="W5463" s="780"/>
      <c r="X5463" s="782">
        <v>5459</v>
      </c>
      <c r="Y5463" s="782" t="s">
        <v>2248</v>
      </c>
      <c r="Z5463" s="782" t="s">
        <v>3768</v>
      </c>
      <c r="AA5463" s="781">
        <f>$S$1*P!AA5463</f>
        <v>7.9858870967741946E-5</v>
      </c>
      <c r="AB5463" s="780"/>
      <c r="AC5463" s="780"/>
      <c r="AD5463" s="780"/>
      <c r="AE5463" s="780"/>
      <c r="AF5463" s="780"/>
    </row>
    <row r="5464" spans="19:32" x14ac:dyDescent="0.35">
      <c r="S5464" s="780"/>
      <c r="T5464" s="928"/>
      <c r="U5464" s="928"/>
      <c r="V5464" s="928"/>
      <c r="W5464" s="780"/>
      <c r="X5464" s="782">
        <v>5460</v>
      </c>
      <c r="Y5464" s="782" t="s">
        <v>2248</v>
      </c>
      <c r="Z5464" s="782" t="s">
        <v>3767</v>
      </c>
      <c r="AA5464" s="781">
        <f>$S$1*P!AA5464</f>
        <v>0</v>
      </c>
      <c r="AB5464" s="780"/>
      <c r="AC5464" s="780"/>
      <c r="AD5464" s="780"/>
      <c r="AE5464" s="780"/>
      <c r="AF5464" s="780"/>
    </row>
    <row r="5465" spans="19:32" x14ac:dyDescent="0.35">
      <c r="S5465" s="780"/>
      <c r="T5465" s="928"/>
      <c r="U5465" s="928"/>
      <c r="V5465" s="928"/>
      <c r="W5465" s="780"/>
      <c r="X5465" s="881">
        <v>5461</v>
      </c>
      <c r="Y5465" s="881" t="s">
        <v>2248</v>
      </c>
      <c r="Z5465" s="881" t="s">
        <v>2301</v>
      </c>
      <c r="AA5465" s="890">
        <f>$S$1*P!AA5465</f>
        <v>0</v>
      </c>
      <c r="AB5465" s="780"/>
      <c r="AC5465" s="780"/>
      <c r="AD5465" s="780"/>
      <c r="AE5465" s="780"/>
      <c r="AF5465" s="780"/>
    </row>
    <row r="5466" spans="19:32" x14ac:dyDescent="0.35">
      <c r="S5466" s="780"/>
      <c r="T5466" s="928"/>
      <c r="U5466" s="928"/>
      <c r="V5466" s="928"/>
      <c r="W5466" s="780"/>
      <c r="X5466" s="782">
        <v>5462</v>
      </c>
      <c r="Y5466" s="782" t="s">
        <v>2248</v>
      </c>
      <c r="Z5466" s="782" t="s">
        <v>3766</v>
      </c>
      <c r="AA5466" s="781">
        <f>$S$1*P!AA5466</f>
        <v>1.2441532258064518E-2</v>
      </c>
      <c r="AB5466" s="780"/>
      <c r="AC5466" s="780"/>
      <c r="AD5466" s="780"/>
      <c r="AE5466" s="780"/>
      <c r="AF5466" s="780"/>
    </row>
    <row r="5467" spans="19:32" x14ac:dyDescent="0.35">
      <c r="S5467" s="780"/>
      <c r="T5467" s="928"/>
      <c r="U5467" s="928"/>
      <c r="V5467" s="928"/>
      <c r="W5467" s="780"/>
      <c r="X5467" s="782">
        <v>5463</v>
      </c>
      <c r="Y5467" s="782" t="s">
        <v>2248</v>
      </c>
      <c r="Z5467" s="782" t="s">
        <v>3765</v>
      </c>
      <c r="AA5467" s="781">
        <f>$S$1*P!AA5467</f>
        <v>0</v>
      </c>
      <c r="AB5467" s="780"/>
      <c r="AC5467" s="780"/>
      <c r="AD5467" s="780"/>
      <c r="AE5467" s="780"/>
      <c r="AF5467" s="780"/>
    </row>
    <row r="5468" spans="19:32" x14ac:dyDescent="0.35">
      <c r="S5468" s="780"/>
      <c r="T5468" s="928"/>
      <c r="U5468" s="928"/>
      <c r="V5468" s="928"/>
      <c r="W5468" s="780"/>
      <c r="X5468" s="782">
        <v>5464</v>
      </c>
      <c r="Y5468" s="782" t="s">
        <v>2248</v>
      </c>
      <c r="Z5468" s="782" t="s">
        <v>3034</v>
      </c>
      <c r="AA5468" s="781">
        <f>$S$1*P!AA5468</f>
        <v>0.18199596774193549</v>
      </c>
      <c r="AB5468" s="780"/>
      <c r="AC5468" s="780"/>
      <c r="AD5468" s="780"/>
      <c r="AE5468" s="780"/>
      <c r="AF5468" s="780"/>
    </row>
    <row r="5469" spans="19:32" x14ac:dyDescent="0.35">
      <c r="S5469" s="780"/>
      <c r="T5469" s="928"/>
      <c r="U5469" s="928"/>
      <c r="V5469" s="928"/>
      <c r="W5469" s="780"/>
      <c r="X5469" s="782">
        <v>5465</v>
      </c>
      <c r="Y5469" s="782" t="s">
        <v>2248</v>
      </c>
      <c r="Z5469" s="782" t="s">
        <v>3764</v>
      </c>
      <c r="AA5469" s="781">
        <f>$S$1*P!AA5469</f>
        <v>2.3306451612903227E-2</v>
      </c>
      <c r="AB5469" s="780"/>
      <c r="AC5469" s="780"/>
      <c r="AD5469" s="780"/>
      <c r="AE5469" s="780"/>
      <c r="AF5469" s="780"/>
    </row>
    <row r="5470" spans="19:32" x14ac:dyDescent="0.35">
      <c r="S5470" s="780"/>
      <c r="T5470" s="928"/>
      <c r="U5470" s="928"/>
      <c r="V5470" s="928"/>
      <c r="W5470" s="780"/>
      <c r="X5470" s="782">
        <v>5466</v>
      </c>
      <c r="Y5470" s="782" t="s">
        <v>2248</v>
      </c>
      <c r="Z5470" s="782" t="s">
        <v>3763</v>
      </c>
      <c r="AA5470" s="781">
        <f>$S$1*P!AA5470</f>
        <v>0</v>
      </c>
      <c r="AB5470" s="780"/>
      <c r="AC5470" s="780"/>
      <c r="AD5470" s="780"/>
      <c r="AE5470" s="780"/>
      <c r="AF5470" s="780"/>
    </row>
    <row r="5471" spans="19:32" x14ac:dyDescent="0.35">
      <c r="S5471" s="780"/>
      <c r="T5471" s="928"/>
      <c r="U5471" s="928"/>
      <c r="V5471" s="928"/>
      <c r="W5471" s="780"/>
      <c r="X5471" s="782">
        <v>5467</v>
      </c>
      <c r="Y5471" s="782" t="s">
        <v>2248</v>
      </c>
      <c r="Z5471" s="782" t="s">
        <v>3762</v>
      </c>
      <c r="AA5471" s="781">
        <f>$S$1*P!AA5471</f>
        <v>4.0100806451612911E-6</v>
      </c>
      <c r="AB5471" s="780"/>
      <c r="AC5471" s="780"/>
      <c r="AD5471" s="780"/>
      <c r="AE5471" s="780"/>
      <c r="AF5471" s="780"/>
    </row>
    <row r="5472" spans="19:32" x14ac:dyDescent="0.35">
      <c r="S5472" s="780"/>
      <c r="T5472" s="928"/>
      <c r="U5472" s="928"/>
      <c r="V5472" s="928"/>
      <c r="W5472" s="780"/>
      <c r="X5472" s="782">
        <v>5468</v>
      </c>
      <c r="Y5472" s="782" t="s">
        <v>2248</v>
      </c>
      <c r="Z5472" s="782" t="s">
        <v>3761</v>
      </c>
      <c r="AA5472" s="781">
        <f>$S$1*P!AA5472</f>
        <v>1.2887096774193549E-6</v>
      </c>
      <c r="AB5472" s="780"/>
      <c r="AC5472" s="780"/>
      <c r="AD5472" s="780"/>
      <c r="AE5472" s="780"/>
      <c r="AF5472" s="780"/>
    </row>
    <row r="5473" spans="19:32" x14ac:dyDescent="0.35">
      <c r="S5473" s="780"/>
      <c r="T5473" s="928"/>
      <c r="U5473" s="928"/>
      <c r="V5473" s="928"/>
      <c r="W5473" s="780"/>
      <c r="X5473" s="782">
        <v>5469</v>
      </c>
      <c r="Y5473" s="782" t="s">
        <v>2248</v>
      </c>
      <c r="Z5473" s="782" t="s">
        <v>3760</v>
      </c>
      <c r="AA5473" s="781">
        <f>$S$1*P!AA5473</f>
        <v>0</v>
      </c>
      <c r="AB5473" s="780"/>
      <c r="AC5473" s="780"/>
      <c r="AD5473" s="780"/>
      <c r="AE5473" s="780"/>
      <c r="AF5473" s="780"/>
    </row>
    <row r="5474" spans="19:32" x14ac:dyDescent="0.35">
      <c r="S5474" s="780"/>
      <c r="T5474" s="928"/>
      <c r="U5474" s="928"/>
      <c r="V5474" s="928"/>
      <c r="W5474" s="780"/>
      <c r="X5474" s="782">
        <v>5470</v>
      </c>
      <c r="Y5474" s="782" t="s">
        <v>2248</v>
      </c>
      <c r="Z5474" s="782" t="s">
        <v>3759</v>
      </c>
      <c r="AA5474" s="781">
        <f>$S$1*P!AA5474</f>
        <v>4.8669354838709676E-5</v>
      </c>
      <c r="AB5474" s="780"/>
      <c r="AC5474" s="780"/>
      <c r="AD5474" s="780"/>
      <c r="AE5474" s="780"/>
      <c r="AF5474" s="780"/>
    </row>
    <row r="5475" spans="19:32" x14ac:dyDescent="0.35">
      <c r="S5475" s="780"/>
      <c r="T5475" s="928"/>
      <c r="U5475" s="928"/>
      <c r="V5475" s="928"/>
      <c r="W5475" s="780"/>
      <c r="X5475" s="782">
        <v>5471</v>
      </c>
      <c r="Y5475" s="782" t="s">
        <v>2248</v>
      </c>
      <c r="Z5475" s="782" t="s">
        <v>3758</v>
      </c>
      <c r="AA5475" s="781">
        <f>$S$1*P!AA5475</f>
        <v>2.5739919354838708E-3</v>
      </c>
      <c r="AB5475" s="780"/>
      <c r="AC5475" s="780"/>
      <c r="AD5475" s="780"/>
      <c r="AE5475" s="780"/>
      <c r="AF5475" s="780"/>
    </row>
    <row r="5476" spans="19:32" x14ac:dyDescent="0.35">
      <c r="S5476" s="780"/>
      <c r="T5476" s="928"/>
      <c r="U5476" s="928"/>
      <c r="V5476" s="928"/>
      <c r="W5476" s="780"/>
      <c r="X5476" s="782">
        <v>5472</v>
      </c>
      <c r="Y5476" s="782" t="s">
        <v>2248</v>
      </c>
      <c r="Z5476" s="782" t="s">
        <v>3757</v>
      </c>
      <c r="AA5476" s="781">
        <f>$S$1*P!AA5476</f>
        <v>0</v>
      </c>
      <c r="AB5476" s="780"/>
      <c r="AC5476" s="780"/>
      <c r="AD5476" s="780"/>
      <c r="AE5476" s="780"/>
      <c r="AF5476" s="780"/>
    </row>
    <row r="5477" spans="19:32" x14ac:dyDescent="0.35">
      <c r="S5477" s="780"/>
      <c r="T5477" s="928"/>
      <c r="U5477" s="928"/>
      <c r="V5477" s="928"/>
      <c r="W5477" s="780"/>
      <c r="X5477" s="782">
        <v>5473</v>
      </c>
      <c r="Y5477" s="782" t="s">
        <v>2248</v>
      </c>
      <c r="Z5477" s="782" t="s">
        <v>3756</v>
      </c>
      <c r="AA5477" s="781">
        <f>$S$1*P!AA5477</f>
        <v>4.4213709677419358E-4</v>
      </c>
      <c r="AB5477" s="780"/>
      <c r="AC5477" s="780"/>
      <c r="AD5477" s="780"/>
      <c r="AE5477" s="780"/>
      <c r="AF5477" s="780"/>
    </row>
    <row r="5478" spans="19:32" x14ac:dyDescent="0.35">
      <c r="S5478" s="780"/>
      <c r="T5478" s="928"/>
      <c r="U5478" s="928"/>
      <c r="V5478" s="928"/>
      <c r="W5478" s="780"/>
      <c r="X5478" s="782">
        <v>5474</v>
      </c>
      <c r="Y5478" s="782" t="s">
        <v>2248</v>
      </c>
      <c r="Z5478" s="782" t="s">
        <v>3755</v>
      </c>
      <c r="AA5478" s="781">
        <f>$S$1*P!AA5478</f>
        <v>6.237903225806452E-3</v>
      </c>
      <c r="AB5478" s="780"/>
      <c r="AC5478" s="780"/>
      <c r="AD5478" s="780"/>
      <c r="AE5478" s="780"/>
      <c r="AF5478" s="780"/>
    </row>
    <row r="5479" spans="19:32" x14ac:dyDescent="0.35">
      <c r="S5479" s="780"/>
      <c r="T5479" s="928"/>
      <c r="U5479" s="928"/>
      <c r="V5479" s="928"/>
      <c r="W5479" s="780"/>
      <c r="X5479" s="782">
        <v>5475</v>
      </c>
      <c r="Y5479" s="782" t="s">
        <v>2248</v>
      </c>
      <c r="Z5479" s="782" t="s">
        <v>3754</v>
      </c>
      <c r="AA5479" s="781">
        <f>$S$1*P!AA5479</f>
        <v>0.72311999999999999</v>
      </c>
      <c r="AB5479" s="780"/>
      <c r="AC5479" s="780"/>
      <c r="AD5479" s="780"/>
      <c r="AE5479" s="780"/>
      <c r="AF5479" s="780"/>
    </row>
    <row r="5480" spans="19:32" x14ac:dyDescent="0.35">
      <c r="S5480" s="780"/>
      <c r="T5480" s="928"/>
      <c r="U5480" s="928"/>
      <c r="V5480" s="928"/>
      <c r="W5480" s="780"/>
      <c r="X5480" s="782">
        <v>5476</v>
      </c>
      <c r="Y5480" s="782" t="s">
        <v>2248</v>
      </c>
      <c r="Z5480" s="782" t="s">
        <v>3753</v>
      </c>
      <c r="AA5480" s="781">
        <f>$S$1*P!AA5480</f>
        <v>3.3862903225806455E-3</v>
      </c>
      <c r="AB5480" s="780"/>
      <c r="AC5480" s="780"/>
      <c r="AD5480" s="780"/>
      <c r="AE5480" s="780"/>
      <c r="AF5480" s="780"/>
    </row>
    <row r="5481" spans="19:32" x14ac:dyDescent="0.35">
      <c r="S5481" s="780"/>
      <c r="T5481" s="928"/>
      <c r="U5481" s="928"/>
      <c r="V5481" s="928"/>
      <c r="W5481" s="780"/>
      <c r="X5481" s="782">
        <v>5477</v>
      </c>
      <c r="Y5481" s="782" t="s">
        <v>2248</v>
      </c>
      <c r="Z5481" s="782" t="s">
        <v>3752</v>
      </c>
      <c r="AA5481" s="781">
        <f>$S$1*P!AA5481</f>
        <v>0</v>
      </c>
      <c r="AB5481" s="780"/>
      <c r="AC5481" s="780"/>
      <c r="AD5481" s="780"/>
      <c r="AE5481" s="780"/>
      <c r="AF5481" s="780"/>
    </row>
    <row r="5482" spans="19:32" x14ac:dyDescent="0.35">
      <c r="S5482" s="780"/>
      <c r="T5482" s="928"/>
      <c r="U5482" s="928"/>
      <c r="V5482" s="928"/>
      <c r="W5482" s="780"/>
      <c r="X5482" s="881">
        <v>5478</v>
      </c>
      <c r="Y5482" s="881" t="s">
        <v>2248</v>
      </c>
      <c r="Z5482" s="881" t="s">
        <v>2299</v>
      </c>
      <c r="AA5482" s="890">
        <f>$S$1*P!AA5482</f>
        <v>902.5200000000001</v>
      </c>
      <c r="AB5482" s="780"/>
      <c r="AC5482" s="780"/>
      <c r="AD5482" s="780"/>
      <c r="AE5482" s="780"/>
      <c r="AF5482" s="780"/>
    </row>
    <row r="5483" spans="19:32" x14ac:dyDescent="0.35">
      <c r="S5483" s="780"/>
      <c r="T5483" s="928"/>
      <c r="U5483" s="928"/>
      <c r="V5483" s="928"/>
      <c r="W5483" s="780"/>
      <c r="X5483" s="782">
        <v>5479</v>
      </c>
      <c r="Y5483" s="782" t="s">
        <v>2248</v>
      </c>
      <c r="Z5483" s="782" t="s">
        <v>3032</v>
      </c>
      <c r="AA5483" s="781">
        <f>$S$1*P!AA5483</f>
        <v>1.3298387096774194E-5</v>
      </c>
      <c r="AB5483" s="780"/>
      <c r="AC5483" s="780"/>
      <c r="AD5483" s="780"/>
      <c r="AE5483" s="780"/>
      <c r="AF5483" s="780"/>
    </row>
    <row r="5484" spans="19:32" x14ac:dyDescent="0.35">
      <c r="S5484" s="780"/>
      <c r="T5484" s="928"/>
      <c r="U5484" s="928"/>
      <c r="V5484" s="928"/>
      <c r="W5484" s="780"/>
      <c r="X5484" s="782">
        <v>5480</v>
      </c>
      <c r="Y5484" s="782" t="s">
        <v>2248</v>
      </c>
      <c r="Z5484" s="782" t="s">
        <v>3751</v>
      </c>
      <c r="AA5484" s="781">
        <f>$S$1*P!AA5484</f>
        <v>4.010080645161291E-2</v>
      </c>
      <c r="AB5484" s="780"/>
      <c r="AC5484" s="780"/>
      <c r="AD5484" s="780"/>
      <c r="AE5484" s="780"/>
      <c r="AF5484" s="780"/>
    </row>
    <row r="5485" spans="19:32" x14ac:dyDescent="0.35">
      <c r="S5485" s="780"/>
      <c r="T5485" s="928"/>
      <c r="U5485" s="928"/>
      <c r="V5485" s="928"/>
      <c r="W5485" s="780"/>
      <c r="X5485" s="782">
        <v>5481</v>
      </c>
      <c r="Y5485" s="782" t="s">
        <v>2248</v>
      </c>
      <c r="Z5485" s="782" t="s">
        <v>3750</v>
      </c>
      <c r="AA5485" s="781">
        <f>$S$1*P!AA5485</f>
        <v>0</v>
      </c>
      <c r="AB5485" s="780"/>
      <c r="AC5485" s="780"/>
      <c r="AD5485" s="780"/>
      <c r="AE5485" s="780"/>
      <c r="AF5485" s="780"/>
    </row>
    <row r="5486" spans="19:32" x14ac:dyDescent="0.35">
      <c r="S5486" s="780"/>
      <c r="T5486" s="928"/>
      <c r="U5486" s="928"/>
      <c r="V5486" s="928"/>
      <c r="W5486" s="780"/>
      <c r="X5486" s="881">
        <v>5482</v>
      </c>
      <c r="Y5486" s="881" t="s">
        <v>2248</v>
      </c>
      <c r="Z5486" s="881" t="s">
        <v>2298</v>
      </c>
      <c r="AA5486" s="890">
        <f>$S$1*P!AA5486</f>
        <v>14.075999999999999</v>
      </c>
      <c r="AB5486" s="780"/>
      <c r="AC5486" s="780"/>
      <c r="AD5486" s="780"/>
      <c r="AE5486" s="780"/>
      <c r="AF5486" s="780"/>
    </row>
    <row r="5487" spans="19:32" x14ac:dyDescent="0.35">
      <c r="S5487" s="780"/>
      <c r="T5487" s="928"/>
      <c r="U5487" s="928"/>
      <c r="V5487" s="928"/>
      <c r="W5487" s="780"/>
      <c r="X5487" s="782">
        <v>5483</v>
      </c>
      <c r="Y5487" s="782" t="s">
        <v>2248</v>
      </c>
      <c r="Z5487" s="782" t="s">
        <v>3749</v>
      </c>
      <c r="AA5487" s="781">
        <f>$S$1*P!AA5487</f>
        <v>0</v>
      </c>
      <c r="AB5487" s="780"/>
      <c r="AC5487" s="780"/>
      <c r="AD5487" s="780"/>
      <c r="AE5487" s="780"/>
      <c r="AF5487" s="780"/>
    </row>
    <row r="5488" spans="19:32" x14ac:dyDescent="0.35">
      <c r="S5488" s="780"/>
      <c r="T5488" s="928"/>
      <c r="U5488" s="928"/>
      <c r="V5488" s="928"/>
      <c r="W5488" s="780"/>
      <c r="X5488" s="782">
        <v>5484</v>
      </c>
      <c r="Y5488" s="782" t="s">
        <v>2248</v>
      </c>
      <c r="Z5488" s="782" t="s">
        <v>3748</v>
      </c>
      <c r="AA5488" s="781">
        <f>$S$1*P!AA5488</f>
        <v>2.2449596774193549E-3</v>
      </c>
      <c r="AB5488" s="780"/>
      <c r="AC5488" s="780"/>
      <c r="AD5488" s="780"/>
      <c r="AE5488" s="780"/>
      <c r="AF5488" s="780"/>
    </row>
    <row r="5489" spans="19:32" x14ac:dyDescent="0.35">
      <c r="S5489" s="780"/>
      <c r="T5489" s="928"/>
      <c r="U5489" s="928"/>
      <c r="V5489" s="928"/>
      <c r="W5489" s="780"/>
      <c r="X5489" s="782">
        <v>5485</v>
      </c>
      <c r="Y5489" s="782" t="s">
        <v>2248</v>
      </c>
      <c r="Z5489" s="782" t="s">
        <v>3747</v>
      </c>
      <c r="AA5489" s="781">
        <f>$S$1*P!AA5489</f>
        <v>1.6280241935483872E-2</v>
      </c>
      <c r="AB5489" s="780"/>
      <c r="AC5489" s="780"/>
      <c r="AD5489" s="780"/>
      <c r="AE5489" s="780"/>
      <c r="AF5489" s="780"/>
    </row>
    <row r="5490" spans="19:32" x14ac:dyDescent="0.35">
      <c r="S5490" s="780"/>
      <c r="T5490" s="928"/>
      <c r="U5490" s="928"/>
      <c r="V5490" s="928"/>
      <c r="W5490" s="780"/>
      <c r="X5490" s="782">
        <v>5486</v>
      </c>
      <c r="Y5490" s="782" t="s">
        <v>2248</v>
      </c>
      <c r="Z5490" s="782" t="s">
        <v>3746</v>
      </c>
      <c r="AA5490" s="781">
        <f>$S$1*P!AA5490</f>
        <v>0</v>
      </c>
      <c r="AB5490" s="780"/>
      <c r="AC5490" s="780"/>
      <c r="AD5490" s="780"/>
      <c r="AE5490" s="780"/>
      <c r="AF5490" s="780"/>
    </row>
    <row r="5491" spans="19:32" x14ac:dyDescent="0.35">
      <c r="S5491" s="780"/>
      <c r="T5491" s="928"/>
      <c r="U5491" s="928"/>
      <c r="V5491" s="928"/>
      <c r="W5491" s="780"/>
      <c r="X5491" s="782">
        <v>5487</v>
      </c>
      <c r="Y5491" s="782" t="s">
        <v>2248</v>
      </c>
      <c r="Z5491" s="782" t="s">
        <v>3745</v>
      </c>
      <c r="AA5491" s="781">
        <f>$S$1*P!AA5491</f>
        <v>7.8145161290322585E-4</v>
      </c>
      <c r="AB5491" s="780"/>
      <c r="AC5491" s="780"/>
      <c r="AD5491" s="780"/>
      <c r="AE5491" s="780"/>
      <c r="AF5491" s="780"/>
    </row>
    <row r="5492" spans="19:32" x14ac:dyDescent="0.35">
      <c r="S5492" s="780"/>
      <c r="T5492" s="928"/>
      <c r="U5492" s="928"/>
      <c r="V5492" s="928"/>
      <c r="W5492" s="780"/>
      <c r="X5492" s="782">
        <v>5488</v>
      </c>
      <c r="Y5492" s="782" t="s">
        <v>2248</v>
      </c>
      <c r="Z5492" s="782" t="s">
        <v>3744</v>
      </c>
      <c r="AA5492" s="781">
        <f>$S$1*P!AA5492</f>
        <v>4.3185483870967746E-2</v>
      </c>
      <c r="AB5492" s="780"/>
      <c r="AC5492" s="780"/>
      <c r="AD5492" s="780"/>
      <c r="AE5492" s="780"/>
      <c r="AF5492" s="780"/>
    </row>
    <row r="5493" spans="19:32" x14ac:dyDescent="0.35">
      <c r="S5493" s="780"/>
      <c r="T5493" s="928"/>
      <c r="U5493" s="928"/>
      <c r="V5493" s="928"/>
      <c r="W5493" s="780"/>
      <c r="X5493" s="782">
        <v>5489</v>
      </c>
      <c r="Y5493" s="782" t="s">
        <v>2248</v>
      </c>
      <c r="Z5493" s="782" t="s">
        <v>3743</v>
      </c>
      <c r="AA5493" s="781">
        <f>$S$1*P!AA5493</f>
        <v>2.423185483870968E-3</v>
      </c>
      <c r="AB5493" s="780"/>
      <c r="AC5493" s="780"/>
      <c r="AD5493" s="780"/>
      <c r="AE5493" s="780"/>
      <c r="AF5493" s="780"/>
    </row>
    <row r="5494" spans="19:32" x14ac:dyDescent="0.35">
      <c r="S5494" s="780"/>
      <c r="T5494" s="928"/>
      <c r="U5494" s="928"/>
      <c r="V5494" s="928"/>
      <c r="W5494" s="780"/>
      <c r="X5494" s="782">
        <v>5490</v>
      </c>
      <c r="Y5494" s="782" t="s">
        <v>2248</v>
      </c>
      <c r="Z5494" s="782" t="s">
        <v>3742</v>
      </c>
      <c r="AA5494" s="781">
        <f>$S$1*P!AA5494</f>
        <v>0.40755999999999998</v>
      </c>
      <c r="AB5494" s="780"/>
      <c r="AC5494" s="780"/>
      <c r="AD5494" s="780"/>
      <c r="AE5494" s="780"/>
      <c r="AF5494" s="780"/>
    </row>
    <row r="5495" spans="19:32" x14ac:dyDescent="0.35">
      <c r="S5495" s="780"/>
      <c r="T5495" s="928"/>
      <c r="U5495" s="928"/>
      <c r="V5495" s="928"/>
      <c r="W5495" s="780"/>
      <c r="X5495" s="782">
        <v>5491</v>
      </c>
      <c r="Y5495" s="782" t="s">
        <v>2248</v>
      </c>
      <c r="Z5495" s="782" t="s">
        <v>3741</v>
      </c>
      <c r="AA5495" s="781">
        <f>$S$1*P!AA5495</f>
        <v>0.2316935483870968</v>
      </c>
      <c r="AB5495" s="780"/>
      <c r="AC5495" s="780"/>
      <c r="AD5495" s="780"/>
      <c r="AE5495" s="780"/>
      <c r="AF5495" s="780"/>
    </row>
    <row r="5496" spans="19:32" x14ac:dyDescent="0.35">
      <c r="S5496" s="780"/>
      <c r="T5496" s="928"/>
      <c r="U5496" s="928"/>
      <c r="V5496" s="928"/>
      <c r="W5496" s="780"/>
      <c r="X5496" s="782">
        <v>5492</v>
      </c>
      <c r="Y5496" s="782" t="s">
        <v>2248</v>
      </c>
      <c r="Z5496" s="782" t="s">
        <v>3740</v>
      </c>
      <c r="AA5496" s="781">
        <f>$S$1*P!AA5496</f>
        <v>0</v>
      </c>
      <c r="AB5496" s="780"/>
      <c r="AC5496" s="780"/>
      <c r="AD5496" s="780"/>
      <c r="AE5496" s="780"/>
      <c r="AF5496" s="780"/>
    </row>
    <row r="5497" spans="19:32" x14ac:dyDescent="0.35">
      <c r="S5497" s="780"/>
      <c r="T5497" s="928"/>
      <c r="U5497" s="928"/>
      <c r="V5497" s="928"/>
      <c r="W5497" s="780"/>
      <c r="X5497" s="782">
        <v>5493</v>
      </c>
      <c r="Y5497" s="782" t="s">
        <v>2248</v>
      </c>
      <c r="Z5497" s="782" t="s">
        <v>3739</v>
      </c>
      <c r="AA5497" s="781">
        <f>$S$1*P!AA5497</f>
        <v>2.423185483870968E-3</v>
      </c>
      <c r="AB5497" s="780"/>
      <c r="AC5497" s="780"/>
      <c r="AD5497" s="780"/>
      <c r="AE5497" s="780"/>
      <c r="AF5497" s="780"/>
    </row>
    <row r="5498" spans="19:32" x14ac:dyDescent="0.35">
      <c r="S5498" s="780"/>
      <c r="T5498" s="928"/>
      <c r="U5498" s="928"/>
      <c r="V5498" s="928"/>
      <c r="W5498" s="780"/>
      <c r="X5498" s="782">
        <v>5494</v>
      </c>
      <c r="Y5498" s="782" t="s">
        <v>2248</v>
      </c>
      <c r="Z5498" s="782" t="s">
        <v>3031</v>
      </c>
      <c r="AA5498" s="781">
        <f>$S$1*P!AA5498</f>
        <v>1.3435483870967741E-4</v>
      </c>
      <c r="AB5498" s="780"/>
      <c r="AC5498" s="780"/>
      <c r="AD5498" s="780"/>
      <c r="AE5498" s="780"/>
      <c r="AF5498" s="780"/>
    </row>
    <row r="5499" spans="19:32" x14ac:dyDescent="0.35">
      <c r="S5499" s="780"/>
      <c r="T5499" s="928"/>
      <c r="U5499" s="928"/>
      <c r="V5499" s="928"/>
      <c r="W5499" s="780"/>
      <c r="X5499" s="782">
        <v>5495</v>
      </c>
      <c r="Y5499" s="782" t="s">
        <v>2248</v>
      </c>
      <c r="Z5499" s="782" t="s">
        <v>3738</v>
      </c>
      <c r="AA5499" s="781">
        <f>$S$1*P!AA5499</f>
        <v>0.26035999999999998</v>
      </c>
      <c r="AB5499" s="780"/>
      <c r="AC5499" s="780"/>
      <c r="AD5499" s="780"/>
      <c r="AE5499" s="780"/>
      <c r="AF5499" s="780"/>
    </row>
    <row r="5500" spans="19:32" x14ac:dyDescent="0.35">
      <c r="S5500" s="780"/>
      <c r="T5500" s="928"/>
      <c r="U5500" s="928"/>
      <c r="V5500" s="928"/>
      <c r="W5500" s="780"/>
      <c r="X5500" s="782">
        <v>5496</v>
      </c>
      <c r="Y5500" s="782" t="s">
        <v>2248</v>
      </c>
      <c r="Z5500" s="782" t="s">
        <v>3737</v>
      </c>
      <c r="AA5500" s="781">
        <f>$S$1*P!AA5500</f>
        <v>5.2096774193548391E-2</v>
      </c>
      <c r="AB5500" s="780"/>
      <c r="AC5500" s="780"/>
      <c r="AD5500" s="780"/>
      <c r="AE5500" s="780"/>
      <c r="AF5500" s="780"/>
    </row>
    <row r="5501" spans="19:32" x14ac:dyDescent="0.35">
      <c r="S5501" s="780"/>
      <c r="T5501" s="928"/>
      <c r="U5501" s="928"/>
      <c r="V5501" s="928"/>
      <c r="W5501" s="780"/>
      <c r="X5501" s="782">
        <v>5497</v>
      </c>
      <c r="Y5501" s="782" t="s">
        <v>2248</v>
      </c>
      <c r="Z5501" s="782" t="s">
        <v>3736</v>
      </c>
      <c r="AA5501" s="781">
        <f>$S$1*P!AA5501</f>
        <v>0</v>
      </c>
      <c r="AB5501" s="780"/>
      <c r="AC5501" s="780"/>
      <c r="AD5501" s="780"/>
      <c r="AE5501" s="780"/>
      <c r="AF5501" s="780"/>
    </row>
    <row r="5502" spans="19:32" x14ac:dyDescent="0.35">
      <c r="S5502" s="780"/>
      <c r="T5502" s="928"/>
      <c r="U5502" s="928"/>
      <c r="V5502" s="928"/>
      <c r="W5502" s="780"/>
      <c r="X5502" s="881">
        <v>5498</v>
      </c>
      <c r="Y5502" s="881" t="s">
        <v>2248</v>
      </c>
      <c r="Z5502" s="881" t="s">
        <v>2296</v>
      </c>
      <c r="AA5502" s="890">
        <f>$S$1*P!AA5502</f>
        <v>1.3891999999999999E-3</v>
      </c>
      <c r="AB5502" s="780"/>
      <c r="AC5502" s="780"/>
      <c r="AD5502" s="780"/>
      <c r="AE5502" s="780"/>
      <c r="AF5502" s="780"/>
    </row>
    <row r="5503" spans="19:32" x14ac:dyDescent="0.35">
      <c r="S5503" s="780"/>
      <c r="T5503" s="928"/>
      <c r="U5503" s="928"/>
      <c r="V5503" s="928"/>
      <c r="W5503" s="780"/>
      <c r="X5503" s="782">
        <v>5499</v>
      </c>
      <c r="Y5503" s="782" t="s">
        <v>2248</v>
      </c>
      <c r="Z5503" s="782" t="s">
        <v>2296</v>
      </c>
      <c r="AA5503" s="781">
        <f>$S$1*P!AA5503</f>
        <v>8.2258064516129036E-5</v>
      </c>
      <c r="AB5503" s="780"/>
      <c r="AC5503" s="780"/>
      <c r="AD5503" s="780"/>
      <c r="AE5503" s="780"/>
      <c r="AF5503" s="780"/>
    </row>
    <row r="5504" spans="19:32" x14ac:dyDescent="0.35">
      <c r="S5504" s="780"/>
      <c r="T5504" s="928"/>
      <c r="U5504" s="928"/>
      <c r="V5504" s="928"/>
      <c r="W5504" s="780"/>
      <c r="X5504" s="782">
        <v>5500</v>
      </c>
      <c r="Y5504" s="782" t="s">
        <v>2248</v>
      </c>
      <c r="Z5504" s="782" t="s">
        <v>3029</v>
      </c>
      <c r="AA5504" s="781">
        <f>$S$1*P!AA5504</f>
        <v>2.0050403225806453E-5</v>
      </c>
      <c r="AB5504" s="780"/>
      <c r="AC5504" s="780"/>
      <c r="AD5504" s="780"/>
      <c r="AE5504" s="780"/>
      <c r="AF5504" s="780"/>
    </row>
    <row r="5505" spans="19:32" x14ac:dyDescent="0.35">
      <c r="S5505" s="780"/>
      <c r="T5505" s="928"/>
      <c r="U5505" s="928"/>
      <c r="V5505" s="928"/>
      <c r="W5505" s="780"/>
      <c r="X5505" s="782">
        <v>5501</v>
      </c>
      <c r="Y5505" s="782" t="s">
        <v>2248</v>
      </c>
      <c r="Z5505" s="782" t="s">
        <v>3735</v>
      </c>
      <c r="AA5505" s="781">
        <f>$S$1*P!AA5505</f>
        <v>5.8604000000000003</v>
      </c>
      <c r="AB5505" s="780"/>
      <c r="AC5505" s="780"/>
      <c r="AD5505" s="780"/>
      <c r="AE5505" s="780"/>
      <c r="AF5505" s="780"/>
    </row>
    <row r="5506" spans="19:32" x14ac:dyDescent="0.35">
      <c r="S5506" s="780"/>
      <c r="T5506" s="928"/>
      <c r="U5506" s="928"/>
      <c r="V5506" s="928"/>
      <c r="W5506" s="780"/>
      <c r="X5506" s="782">
        <v>5502</v>
      </c>
      <c r="Y5506" s="782" t="s">
        <v>2248</v>
      </c>
      <c r="Z5506" s="782" t="s">
        <v>3734</v>
      </c>
      <c r="AA5506" s="781">
        <f>$S$1*P!AA5506</f>
        <v>8.1229838709677424E-5</v>
      </c>
      <c r="AB5506" s="780"/>
      <c r="AC5506" s="780"/>
      <c r="AD5506" s="780"/>
      <c r="AE5506" s="780"/>
      <c r="AF5506" s="780"/>
    </row>
    <row r="5507" spans="19:32" x14ac:dyDescent="0.35">
      <c r="S5507" s="780"/>
      <c r="T5507" s="928"/>
      <c r="U5507" s="928"/>
      <c r="V5507" s="928"/>
      <c r="W5507" s="780"/>
      <c r="X5507" s="782">
        <v>5503</v>
      </c>
      <c r="Y5507" s="782" t="s">
        <v>2248</v>
      </c>
      <c r="Z5507" s="782" t="s">
        <v>3733</v>
      </c>
      <c r="AA5507" s="781">
        <f>$S$1*P!AA5507</f>
        <v>0</v>
      </c>
      <c r="AB5507" s="780"/>
      <c r="AC5507" s="780"/>
      <c r="AD5507" s="780"/>
      <c r="AE5507" s="780"/>
      <c r="AF5507" s="780"/>
    </row>
    <row r="5508" spans="19:32" x14ac:dyDescent="0.35">
      <c r="S5508" s="780"/>
      <c r="T5508" s="928"/>
      <c r="U5508" s="928"/>
      <c r="V5508" s="928"/>
      <c r="W5508" s="780"/>
      <c r="X5508" s="782">
        <v>5504</v>
      </c>
      <c r="Y5508" s="782" t="s">
        <v>2248</v>
      </c>
      <c r="Z5508" s="782" t="s">
        <v>3732</v>
      </c>
      <c r="AA5508" s="781">
        <f>$S$1*P!AA5508</f>
        <v>0.5175403225806452</v>
      </c>
      <c r="AB5508" s="780"/>
      <c r="AC5508" s="780"/>
      <c r="AD5508" s="780"/>
      <c r="AE5508" s="780"/>
      <c r="AF5508" s="780"/>
    </row>
    <row r="5509" spans="19:32" x14ac:dyDescent="0.35">
      <c r="S5509" s="780"/>
      <c r="T5509" s="928"/>
      <c r="U5509" s="928"/>
      <c r="V5509" s="928"/>
      <c r="W5509" s="780"/>
      <c r="X5509" s="782">
        <v>5505</v>
      </c>
      <c r="Y5509" s="782" t="s">
        <v>2248</v>
      </c>
      <c r="Z5509" s="782" t="s">
        <v>3028</v>
      </c>
      <c r="AA5509" s="781">
        <f>$S$1*P!AA5509</f>
        <v>1.1893145161290325E-4</v>
      </c>
      <c r="AB5509" s="780"/>
      <c r="AC5509" s="780"/>
      <c r="AD5509" s="780"/>
      <c r="AE5509" s="780"/>
      <c r="AF5509" s="780"/>
    </row>
    <row r="5510" spans="19:32" x14ac:dyDescent="0.35">
      <c r="S5510" s="780"/>
      <c r="T5510" s="928"/>
      <c r="U5510" s="928"/>
      <c r="V5510" s="928"/>
      <c r="W5510" s="780"/>
      <c r="X5510" s="782">
        <v>5506</v>
      </c>
      <c r="Y5510" s="782" t="s">
        <v>2248</v>
      </c>
      <c r="Z5510" s="782" t="s">
        <v>3731</v>
      </c>
      <c r="AA5510" s="781">
        <f>$S$1*P!AA5510</f>
        <v>4.5584677419354845E-3</v>
      </c>
      <c r="AB5510" s="780"/>
      <c r="AC5510" s="780"/>
      <c r="AD5510" s="780"/>
      <c r="AE5510" s="780"/>
      <c r="AF5510" s="780"/>
    </row>
    <row r="5511" spans="19:32" x14ac:dyDescent="0.35">
      <c r="S5511" s="780"/>
      <c r="T5511" s="928"/>
      <c r="U5511" s="928"/>
      <c r="V5511" s="928"/>
      <c r="W5511" s="780"/>
      <c r="X5511" s="782">
        <v>5507</v>
      </c>
      <c r="Y5511" s="782" t="s">
        <v>2248</v>
      </c>
      <c r="Z5511" s="782" t="s">
        <v>3730</v>
      </c>
      <c r="AA5511" s="781">
        <f>$S$1*P!AA5511</f>
        <v>0.27692</v>
      </c>
      <c r="AB5511" s="780"/>
      <c r="AC5511" s="780"/>
      <c r="AD5511" s="780"/>
      <c r="AE5511" s="780"/>
      <c r="AF5511" s="780"/>
    </row>
    <row r="5512" spans="19:32" x14ac:dyDescent="0.35">
      <c r="S5512" s="780"/>
      <c r="T5512" s="928"/>
      <c r="U5512" s="928"/>
      <c r="V5512" s="928"/>
      <c r="W5512" s="780"/>
      <c r="X5512" s="881">
        <v>5508</v>
      </c>
      <c r="Y5512" s="881" t="s">
        <v>2248</v>
      </c>
      <c r="Z5512" s="881" t="s">
        <v>2294</v>
      </c>
      <c r="AA5512" s="890">
        <f>$S$1*P!AA5512</f>
        <v>0</v>
      </c>
      <c r="AB5512" s="780"/>
      <c r="AC5512" s="780"/>
      <c r="AD5512" s="780"/>
      <c r="AE5512" s="780"/>
      <c r="AF5512" s="780"/>
    </row>
    <row r="5513" spans="19:32" x14ac:dyDescent="0.35">
      <c r="S5513" s="780"/>
      <c r="T5513" s="928"/>
      <c r="U5513" s="928"/>
      <c r="V5513" s="928"/>
      <c r="W5513" s="780"/>
      <c r="X5513" s="782">
        <v>5509</v>
      </c>
      <c r="Y5513" s="782" t="s">
        <v>2248</v>
      </c>
      <c r="Z5513" s="782" t="s">
        <v>3729</v>
      </c>
      <c r="AA5513" s="781">
        <f>$S$1*P!AA5513</f>
        <v>0</v>
      </c>
      <c r="AB5513" s="780"/>
      <c r="AC5513" s="780"/>
      <c r="AD5513" s="780"/>
      <c r="AE5513" s="780"/>
      <c r="AF5513" s="780"/>
    </row>
    <row r="5514" spans="19:32" x14ac:dyDescent="0.35">
      <c r="S5514" s="780"/>
      <c r="T5514" s="928"/>
      <c r="U5514" s="928"/>
      <c r="V5514" s="928"/>
      <c r="W5514" s="780"/>
      <c r="X5514" s="782">
        <v>5510</v>
      </c>
      <c r="Y5514" s="782" t="s">
        <v>2248</v>
      </c>
      <c r="Z5514" s="782" t="s">
        <v>2294</v>
      </c>
      <c r="AA5514" s="781">
        <f>$S$1*P!AA5514</f>
        <v>0.16554435483870969</v>
      </c>
      <c r="AB5514" s="780"/>
      <c r="AC5514" s="780"/>
      <c r="AD5514" s="780"/>
      <c r="AE5514" s="780"/>
      <c r="AF5514" s="780"/>
    </row>
    <row r="5515" spans="19:32" x14ac:dyDescent="0.35">
      <c r="S5515" s="780"/>
      <c r="T5515" s="928"/>
      <c r="U5515" s="928"/>
      <c r="V5515" s="928"/>
      <c r="W5515" s="780"/>
      <c r="X5515" s="782">
        <v>5511</v>
      </c>
      <c r="Y5515" s="782" t="s">
        <v>2248</v>
      </c>
      <c r="Z5515" s="782" t="s">
        <v>3728</v>
      </c>
      <c r="AA5515" s="781">
        <f>$S$1*P!AA5515</f>
        <v>4.2500000000000003E-2</v>
      </c>
      <c r="AB5515" s="780"/>
      <c r="AC5515" s="780"/>
      <c r="AD5515" s="780"/>
      <c r="AE5515" s="780"/>
      <c r="AF5515" s="780"/>
    </row>
    <row r="5516" spans="19:32" x14ac:dyDescent="0.35">
      <c r="S5516" s="780"/>
      <c r="T5516" s="928"/>
      <c r="U5516" s="928"/>
      <c r="V5516" s="928"/>
      <c r="W5516" s="780"/>
      <c r="X5516" s="782">
        <v>5512</v>
      </c>
      <c r="Y5516" s="782" t="s">
        <v>2248</v>
      </c>
      <c r="Z5516" s="782" t="s">
        <v>3727</v>
      </c>
      <c r="AA5516" s="781">
        <f>$S$1*P!AA5516</f>
        <v>16.192</v>
      </c>
      <c r="AB5516" s="780"/>
      <c r="AC5516" s="780"/>
      <c r="AD5516" s="780"/>
      <c r="AE5516" s="780"/>
      <c r="AF5516" s="780"/>
    </row>
    <row r="5517" spans="19:32" x14ac:dyDescent="0.35">
      <c r="S5517" s="780"/>
      <c r="T5517" s="928"/>
      <c r="U5517" s="928"/>
      <c r="V5517" s="928"/>
      <c r="W5517" s="780"/>
      <c r="X5517" s="782">
        <v>5513</v>
      </c>
      <c r="Y5517" s="782" t="s">
        <v>2248</v>
      </c>
      <c r="Z5517" s="782" t="s">
        <v>3726</v>
      </c>
      <c r="AA5517" s="781">
        <f>$S$1*P!AA5517</f>
        <v>3.3245967741935483E-4</v>
      </c>
      <c r="AB5517" s="780"/>
      <c r="AC5517" s="780"/>
      <c r="AD5517" s="780"/>
      <c r="AE5517" s="780"/>
      <c r="AF5517" s="780"/>
    </row>
    <row r="5518" spans="19:32" x14ac:dyDescent="0.35">
      <c r="S5518" s="780"/>
      <c r="T5518" s="928"/>
      <c r="U5518" s="928"/>
      <c r="V5518" s="928"/>
      <c r="W5518" s="780"/>
      <c r="X5518" s="782">
        <v>5514</v>
      </c>
      <c r="Y5518" s="782" t="s">
        <v>2248</v>
      </c>
      <c r="Z5518" s="782" t="s">
        <v>3725</v>
      </c>
      <c r="AA5518" s="781">
        <f>$S$1*P!AA5518</f>
        <v>1.2544354838709678E-6</v>
      </c>
      <c r="AB5518" s="780"/>
      <c r="AC5518" s="780"/>
      <c r="AD5518" s="780"/>
      <c r="AE5518" s="780"/>
      <c r="AF5518" s="780"/>
    </row>
    <row r="5519" spans="19:32" x14ac:dyDescent="0.35">
      <c r="S5519" s="780"/>
      <c r="T5519" s="928"/>
      <c r="U5519" s="928"/>
      <c r="V5519" s="928"/>
      <c r="W5519" s="780"/>
      <c r="X5519" s="782">
        <v>5515</v>
      </c>
      <c r="Y5519" s="782" t="s">
        <v>2248</v>
      </c>
      <c r="Z5519" s="782" t="s">
        <v>3724</v>
      </c>
      <c r="AA5519" s="781">
        <f>$S$1*P!AA5519</f>
        <v>17.204000000000001</v>
      </c>
      <c r="AB5519" s="780"/>
      <c r="AC5519" s="780"/>
      <c r="AD5519" s="780"/>
      <c r="AE5519" s="780"/>
      <c r="AF5519" s="780"/>
    </row>
    <row r="5520" spans="19:32" x14ac:dyDescent="0.35">
      <c r="S5520" s="780"/>
      <c r="T5520" s="928"/>
      <c r="U5520" s="928"/>
      <c r="V5520" s="928"/>
      <c r="W5520" s="780"/>
      <c r="X5520" s="881">
        <v>5516</v>
      </c>
      <c r="Y5520" s="881" t="s">
        <v>2248</v>
      </c>
      <c r="Z5520" s="881" t="s">
        <v>2293</v>
      </c>
      <c r="AA5520" s="890">
        <f>$S$1*P!AA5520</f>
        <v>0</v>
      </c>
      <c r="AB5520" s="780"/>
      <c r="AC5520" s="780"/>
      <c r="AD5520" s="780"/>
      <c r="AE5520" s="780"/>
      <c r="AF5520" s="780"/>
    </row>
    <row r="5521" spans="19:32" x14ac:dyDescent="0.35">
      <c r="S5521" s="780"/>
      <c r="T5521" s="928"/>
      <c r="U5521" s="928"/>
      <c r="V5521" s="928"/>
      <c r="W5521" s="780"/>
      <c r="X5521" s="782">
        <v>5517</v>
      </c>
      <c r="Y5521" s="782" t="s">
        <v>2248</v>
      </c>
      <c r="Z5521" s="782" t="s">
        <v>2293</v>
      </c>
      <c r="AA5521" s="781">
        <f>$S$1*P!AA5521</f>
        <v>0.42157258064516134</v>
      </c>
      <c r="AB5521" s="780"/>
      <c r="AC5521" s="780"/>
      <c r="AD5521" s="780"/>
      <c r="AE5521" s="780"/>
      <c r="AF5521" s="780"/>
    </row>
    <row r="5522" spans="19:32" x14ac:dyDescent="0.35">
      <c r="S5522" s="780"/>
      <c r="T5522" s="928"/>
      <c r="U5522" s="928"/>
      <c r="V5522" s="928"/>
      <c r="W5522" s="780"/>
      <c r="X5522" s="782">
        <v>5518</v>
      </c>
      <c r="Y5522" s="782" t="s">
        <v>2248</v>
      </c>
      <c r="Z5522" s="782" t="s">
        <v>3723</v>
      </c>
      <c r="AA5522" s="781">
        <f>$S$1*P!AA5522</f>
        <v>0</v>
      </c>
      <c r="AB5522" s="780"/>
      <c r="AC5522" s="780"/>
      <c r="AD5522" s="780"/>
      <c r="AE5522" s="780"/>
      <c r="AF5522" s="780"/>
    </row>
    <row r="5523" spans="19:32" x14ac:dyDescent="0.35">
      <c r="S5523" s="780"/>
      <c r="T5523" s="928"/>
      <c r="U5523" s="928"/>
      <c r="V5523" s="928"/>
      <c r="W5523" s="780"/>
      <c r="X5523" s="782">
        <v>5519</v>
      </c>
      <c r="Y5523" s="782" t="s">
        <v>2248</v>
      </c>
      <c r="Z5523" s="782" t="s">
        <v>3722</v>
      </c>
      <c r="AA5523" s="781">
        <f>$S$1*P!AA5523</f>
        <v>2.7008064516129032E-7</v>
      </c>
      <c r="AB5523" s="780"/>
      <c r="AC5523" s="780"/>
      <c r="AD5523" s="780"/>
      <c r="AE5523" s="780"/>
      <c r="AF5523" s="780"/>
    </row>
    <row r="5524" spans="19:32" x14ac:dyDescent="0.35">
      <c r="S5524" s="780"/>
      <c r="T5524" s="928"/>
      <c r="U5524" s="928"/>
      <c r="V5524" s="928"/>
      <c r="W5524" s="780"/>
      <c r="X5524" s="881">
        <v>5520</v>
      </c>
      <c r="Y5524" s="881" t="s">
        <v>2248</v>
      </c>
      <c r="Z5524" s="881" t="s">
        <v>2291</v>
      </c>
      <c r="AA5524" s="890">
        <f>$S$1*P!AA5524</f>
        <v>5.4739999999999997E-2</v>
      </c>
      <c r="AB5524" s="780"/>
      <c r="AC5524" s="780"/>
      <c r="AD5524" s="780"/>
      <c r="AE5524" s="780"/>
      <c r="AF5524" s="780"/>
    </row>
    <row r="5525" spans="19:32" x14ac:dyDescent="0.35">
      <c r="S5525" s="780"/>
      <c r="T5525" s="928"/>
      <c r="U5525" s="928"/>
      <c r="V5525" s="928"/>
      <c r="W5525" s="780"/>
      <c r="X5525" s="782">
        <v>5521</v>
      </c>
      <c r="Y5525" s="782" t="s">
        <v>2248</v>
      </c>
      <c r="Z5525" s="782" t="s">
        <v>2291</v>
      </c>
      <c r="AA5525" s="781">
        <f>$S$1*P!AA5525</f>
        <v>2.385483870967742E-4</v>
      </c>
      <c r="AB5525" s="780"/>
      <c r="AC5525" s="780"/>
      <c r="AD5525" s="780"/>
      <c r="AE5525" s="780"/>
      <c r="AF5525" s="780"/>
    </row>
    <row r="5526" spans="19:32" x14ac:dyDescent="0.35">
      <c r="S5526" s="780"/>
      <c r="T5526" s="928"/>
      <c r="U5526" s="928"/>
      <c r="V5526" s="928"/>
      <c r="W5526" s="780"/>
      <c r="X5526" s="782">
        <v>5522</v>
      </c>
      <c r="Y5526" s="782" t="s">
        <v>2248</v>
      </c>
      <c r="Z5526" s="782" t="s">
        <v>3721</v>
      </c>
      <c r="AA5526" s="781">
        <f>$S$1*P!AA5526</f>
        <v>0</v>
      </c>
      <c r="AB5526" s="780"/>
      <c r="AC5526" s="780"/>
      <c r="AD5526" s="780"/>
      <c r="AE5526" s="780"/>
      <c r="AF5526" s="780"/>
    </row>
    <row r="5527" spans="19:32" x14ac:dyDescent="0.35">
      <c r="S5527" s="780"/>
      <c r="T5527" s="928"/>
      <c r="U5527" s="928"/>
      <c r="V5527" s="928"/>
      <c r="W5527" s="780"/>
      <c r="X5527" s="782">
        <v>5523</v>
      </c>
      <c r="Y5527" s="782" t="s">
        <v>2248</v>
      </c>
      <c r="Z5527" s="782" t="s">
        <v>3720</v>
      </c>
      <c r="AA5527" s="781">
        <f>$S$1*P!AA5527</f>
        <v>7.3004032258064519E-4</v>
      </c>
      <c r="AB5527" s="780"/>
      <c r="AC5527" s="780"/>
      <c r="AD5527" s="780"/>
      <c r="AE5527" s="780"/>
      <c r="AF5527" s="780"/>
    </row>
    <row r="5528" spans="19:32" x14ac:dyDescent="0.35">
      <c r="S5528" s="780"/>
      <c r="T5528" s="928"/>
      <c r="U5528" s="928"/>
      <c r="V5528" s="928"/>
      <c r="W5528" s="780"/>
      <c r="X5528" s="782">
        <v>5524</v>
      </c>
      <c r="Y5528" s="782" t="s">
        <v>2248</v>
      </c>
      <c r="Z5528" s="782" t="s">
        <v>3719</v>
      </c>
      <c r="AA5528" s="781">
        <f>$S$1*P!AA5528</f>
        <v>25.576000000000001</v>
      </c>
      <c r="AB5528" s="780"/>
      <c r="AC5528" s="780"/>
      <c r="AD5528" s="780"/>
      <c r="AE5528" s="780"/>
      <c r="AF5528" s="780"/>
    </row>
    <row r="5529" spans="19:32" x14ac:dyDescent="0.35">
      <c r="S5529" s="780"/>
      <c r="T5529" s="928"/>
      <c r="U5529" s="928"/>
      <c r="V5529" s="928"/>
      <c r="W5529" s="780"/>
      <c r="X5529" s="782">
        <v>5525</v>
      </c>
      <c r="Y5529" s="782" t="s">
        <v>2248</v>
      </c>
      <c r="Z5529" s="782" t="s">
        <v>3718</v>
      </c>
      <c r="AA5529" s="781">
        <f>$S$1*P!AA5529</f>
        <v>8.8084677419354839E-3</v>
      </c>
      <c r="AB5529" s="780"/>
      <c r="AC5529" s="780"/>
      <c r="AD5529" s="780"/>
      <c r="AE5529" s="780"/>
      <c r="AF5529" s="780"/>
    </row>
    <row r="5530" spans="19:32" x14ac:dyDescent="0.35">
      <c r="S5530" s="780"/>
      <c r="T5530" s="928"/>
      <c r="U5530" s="928"/>
      <c r="V5530" s="928"/>
      <c r="W5530" s="780"/>
      <c r="X5530" s="782">
        <v>5526</v>
      </c>
      <c r="Y5530" s="782" t="s">
        <v>2248</v>
      </c>
      <c r="Z5530" s="782" t="s">
        <v>3717</v>
      </c>
      <c r="AA5530" s="781">
        <f>$S$1*P!AA5530</f>
        <v>7.1975806451612912E-4</v>
      </c>
      <c r="AB5530" s="780"/>
      <c r="AC5530" s="780"/>
      <c r="AD5530" s="780"/>
      <c r="AE5530" s="780"/>
      <c r="AF5530" s="780"/>
    </row>
    <row r="5531" spans="19:32" x14ac:dyDescent="0.35">
      <c r="S5531" s="780"/>
      <c r="T5531" s="928"/>
      <c r="U5531" s="928"/>
      <c r="V5531" s="928"/>
      <c r="W5531" s="780"/>
      <c r="X5531" s="782">
        <v>5527</v>
      </c>
      <c r="Y5531" s="782" t="s">
        <v>2248</v>
      </c>
      <c r="Z5531" s="782" t="s">
        <v>3716</v>
      </c>
      <c r="AA5531" s="781">
        <f>$S$1*P!AA5531</f>
        <v>0</v>
      </c>
      <c r="AB5531" s="780"/>
      <c r="AC5531" s="780"/>
      <c r="AD5531" s="780"/>
      <c r="AE5531" s="780"/>
      <c r="AF5531" s="780"/>
    </row>
    <row r="5532" spans="19:32" x14ac:dyDescent="0.35">
      <c r="S5532" s="780"/>
      <c r="T5532" s="928"/>
      <c r="U5532" s="928"/>
      <c r="V5532" s="928"/>
      <c r="W5532" s="780"/>
      <c r="X5532" s="782">
        <v>5528</v>
      </c>
      <c r="Y5532" s="782" t="s">
        <v>2248</v>
      </c>
      <c r="Z5532" s="782" t="s">
        <v>3715</v>
      </c>
      <c r="AA5532" s="781">
        <f>$S$1*P!AA5532</f>
        <v>3.0332661290322582E-2</v>
      </c>
      <c r="AB5532" s="780"/>
      <c r="AC5532" s="780"/>
      <c r="AD5532" s="780"/>
      <c r="AE5532" s="780"/>
      <c r="AF5532" s="780"/>
    </row>
    <row r="5533" spans="19:32" x14ac:dyDescent="0.35">
      <c r="S5533" s="780"/>
      <c r="T5533" s="928"/>
      <c r="U5533" s="928"/>
      <c r="V5533" s="928"/>
      <c r="W5533" s="780"/>
      <c r="X5533" s="782">
        <v>5529</v>
      </c>
      <c r="Y5533" s="782" t="s">
        <v>2248</v>
      </c>
      <c r="Z5533" s="782" t="s">
        <v>3714</v>
      </c>
      <c r="AA5533" s="781">
        <f>$S$1*P!AA5533</f>
        <v>0</v>
      </c>
      <c r="AB5533" s="780"/>
      <c r="AC5533" s="780"/>
      <c r="AD5533" s="780"/>
      <c r="AE5533" s="780"/>
      <c r="AF5533" s="780"/>
    </row>
    <row r="5534" spans="19:32" x14ac:dyDescent="0.35">
      <c r="S5534" s="780"/>
      <c r="T5534" s="928"/>
      <c r="U5534" s="928"/>
      <c r="V5534" s="928"/>
      <c r="W5534" s="780"/>
      <c r="X5534" s="782">
        <v>5530</v>
      </c>
      <c r="Y5534" s="782" t="s">
        <v>2248</v>
      </c>
      <c r="Z5534" s="782" t="s">
        <v>3713</v>
      </c>
      <c r="AA5534" s="781">
        <f>$S$1*P!AA5534</f>
        <v>3.4616935483870973E-2</v>
      </c>
      <c r="AB5534" s="780"/>
      <c r="AC5534" s="780"/>
      <c r="AD5534" s="780"/>
      <c r="AE5534" s="780"/>
      <c r="AF5534" s="780"/>
    </row>
    <row r="5535" spans="19:32" x14ac:dyDescent="0.35">
      <c r="S5535" s="780"/>
      <c r="T5535" s="928"/>
      <c r="U5535" s="928"/>
      <c r="V5535" s="928"/>
      <c r="W5535" s="780"/>
      <c r="X5535" s="782">
        <v>5531</v>
      </c>
      <c r="Y5535" s="782" t="s">
        <v>2248</v>
      </c>
      <c r="Z5535" s="782" t="s">
        <v>3712</v>
      </c>
      <c r="AA5535" s="781">
        <f>$S$1*P!AA5535</f>
        <v>3.4102822580645162E-2</v>
      </c>
      <c r="AB5535" s="780"/>
      <c r="AC5535" s="780"/>
      <c r="AD5535" s="780"/>
      <c r="AE5535" s="780"/>
      <c r="AF5535" s="780"/>
    </row>
    <row r="5536" spans="19:32" x14ac:dyDescent="0.35">
      <c r="S5536" s="780"/>
      <c r="T5536" s="928"/>
      <c r="U5536" s="928"/>
      <c r="V5536" s="928"/>
      <c r="W5536" s="780"/>
      <c r="X5536" s="782">
        <v>5532</v>
      </c>
      <c r="Y5536" s="782" t="s">
        <v>2248</v>
      </c>
      <c r="Z5536" s="782" t="s">
        <v>3711</v>
      </c>
      <c r="AA5536" s="781">
        <f>$S$1*P!AA5536</f>
        <v>2.4334677419354839E-3</v>
      </c>
      <c r="AB5536" s="780"/>
      <c r="AC5536" s="780"/>
      <c r="AD5536" s="780"/>
      <c r="AE5536" s="780"/>
      <c r="AF5536" s="780"/>
    </row>
    <row r="5537" spans="19:32" x14ac:dyDescent="0.35">
      <c r="S5537" s="780"/>
      <c r="T5537" s="928"/>
      <c r="U5537" s="928"/>
      <c r="V5537" s="928"/>
      <c r="W5537" s="780"/>
      <c r="X5537" s="782">
        <v>5533</v>
      </c>
      <c r="Y5537" s="782" t="s">
        <v>2248</v>
      </c>
      <c r="Z5537" s="782" t="s">
        <v>3710</v>
      </c>
      <c r="AA5537" s="781">
        <f>$S$1*P!AA5537</f>
        <v>0</v>
      </c>
      <c r="AB5537" s="780"/>
      <c r="AC5537" s="780"/>
      <c r="AD5537" s="780"/>
      <c r="AE5537" s="780"/>
      <c r="AF5537" s="780"/>
    </row>
    <row r="5538" spans="19:32" x14ac:dyDescent="0.35">
      <c r="S5538" s="780"/>
      <c r="T5538" s="928"/>
      <c r="U5538" s="928"/>
      <c r="V5538" s="928"/>
      <c r="W5538" s="780"/>
      <c r="X5538" s="782">
        <v>5534</v>
      </c>
      <c r="Y5538" s="782" t="s">
        <v>2248</v>
      </c>
      <c r="Z5538" s="782" t="s">
        <v>3709</v>
      </c>
      <c r="AA5538" s="781">
        <f>$S$1*P!AA5538</f>
        <v>0.26391129032258065</v>
      </c>
      <c r="AB5538" s="780"/>
      <c r="AC5538" s="780"/>
      <c r="AD5538" s="780"/>
      <c r="AE5538" s="780"/>
      <c r="AF5538" s="780"/>
    </row>
    <row r="5539" spans="19:32" x14ac:dyDescent="0.35">
      <c r="S5539" s="780"/>
      <c r="T5539" s="928"/>
      <c r="U5539" s="928"/>
      <c r="V5539" s="928"/>
      <c r="W5539" s="780"/>
      <c r="X5539" s="782">
        <v>5535</v>
      </c>
      <c r="Y5539" s="782" t="s">
        <v>2248</v>
      </c>
      <c r="Z5539" s="782" t="s">
        <v>3023</v>
      </c>
      <c r="AA5539" s="781">
        <f>$S$1*P!AA5539</f>
        <v>7.4717741935483874E-4</v>
      </c>
      <c r="AB5539" s="780"/>
      <c r="AC5539" s="780"/>
      <c r="AD5539" s="780"/>
      <c r="AE5539" s="780"/>
      <c r="AF5539" s="780"/>
    </row>
    <row r="5540" spans="19:32" x14ac:dyDescent="0.35">
      <c r="S5540" s="780"/>
      <c r="T5540" s="928"/>
      <c r="U5540" s="928"/>
      <c r="V5540" s="928"/>
      <c r="W5540" s="780"/>
      <c r="X5540" s="782">
        <v>5536</v>
      </c>
      <c r="Y5540" s="782" t="s">
        <v>2248</v>
      </c>
      <c r="Z5540" s="782" t="s">
        <v>3708</v>
      </c>
      <c r="AA5540" s="781">
        <f>$S$1*P!AA5540</f>
        <v>0.3266</v>
      </c>
      <c r="AB5540" s="780"/>
      <c r="AC5540" s="780"/>
      <c r="AD5540" s="780"/>
      <c r="AE5540" s="780"/>
      <c r="AF5540" s="780"/>
    </row>
    <row r="5541" spans="19:32" x14ac:dyDescent="0.35">
      <c r="S5541" s="780"/>
      <c r="T5541" s="928"/>
      <c r="U5541" s="928"/>
      <c r="V5541" s="928"/>
      <c r="W5541" s="780"/>
      <c r="X5541" s="782">
        <v>5537</v>
      </c>
      <c r="Y5541" s="782" t="s">
        <v>2248</v>
      </c>
      <c r="Z5541" s="782" t="s">
        <v>3707</v>
      </c>
      <c r="AA5541" s="781">
        <f>$S$1*P!AA5541</f>
        <v>1.4875000000000001E-2</v>
      </c>
      <c r="AB5541" s="780"/>
      <c r="AC5541" s="780"/>
      <c r="AD5541" s="780"/>
      <c r="AE5541" s="780"/>
      <c r="AF5541" s="780"/>
    </row>
    <row r="5542" spans="19:32" x14ac:dyDescent="0.35">
      <c r="S5542" s="780"/>
      <c r="T5542" s="928"/>
      <c r="U5542" s="928"/>
      <c r="V5542" s="928"/>
      <c r="W5542" s="780"/>
      <c r="X5542" s="782">
        <v>5538</v>
      </c>
      <c r="Y5542" s="782" t="s">
        <v>2248</v>
      </c>
      <c r="Z5542" s="782" t="s">
        <v>3706</v>
      </c>
      <c r="AA5542" s="781">
        <f>$S$1*P!AA5542</f>
        <v>11.592000000000001</v>
      </c>
      <c r="AB5542" s="780"/>
      <c r="AC5542" s="780"/>
      <c r="AD5542" s="780"/>
      <c r="AE5542" s="780"/>
      <c r="AF5542" s="780"/>
    </row>
    <row r="5543" spans="19:32" x14ac:dyDescent="0.35">
      <c r="S5543" s="780"/>
      <c r="T5543" s="928"/>
      <c r="U5543" s="928"/>
      <c r="V5543" s="928"/>
      <c r="W5543" s="780"/>
      <c r="X5543" s="782">
        <v>5539</v>
      </c>
      <c r="Y5543" s="782" t="s">
        <v>2248</v>
      </c>
      <c r="Z5543" s="782" t="s">
        <v>3705</v>
      </c>
      <c r="AA5543" s="781">
        <f>$S$1*P!AA5543</f>
        <v>1.2167338709677421E-2</v>
      </c>
      <c r="AB5543" s="780"/>
      <c r="AC5543" s="780"/>
      <c r="AD5543" s="780"/>
      <c r="AE5543" s="780"/>
      <c r="AF5543" s="780"/>
    </row>
    <row r="5544" spans="19:32" x14ac:dyDescent="0.35">
      <c r="S5544" s="780"/>
      <c r="T5544" s="928"/>
      <c r="U5544" s="928"/>
      <c r="V5544" s="928"/>
      <c r="W5544" s="780"/>
      <c r="X5544" s="782">
        <v>5540</v>
      </c>
      <c r="Y5544" s="782" t="s">
        <v>2248</v>
      </c>
      <c r="Z5544" s="782" t="s">
        <v>3704</v>
      </c>
      <c r="AA5544" s="781">
        <f>$S$1*P!AA5544</f>
        <v>5.2782258064516135E-4</v>
      </c>
      <c r="AB5544" s="780"/>
      <c r="AC5544" s="780"/>
      <c r="AD5544" s="780"/>
      <c r="AE5544" s="780"/>
      <c r="AF5544" s="780"/>
    </row>
    <row r="5545" spans="19:32" x14ac:dyDescent="0.35">
      <c r="S5545" s="780"/>
      <c r="T5545" s="928"/>
      <c r="U5545" s="928"/>
      <c r="V5545" s="928"/>
      <c r="W5545" s="780"/>
      <c r="X5545" s="782">
        <v>5541</v>
      </c>
      <c r="Y5545" s="782" t="s">
        <v>2248</v>
      </c>
      <c r="Z5545" s="782" t="s">
        <v>3703</v>
      </c>
      <c r="AA5545" s="781">
        <f>$S$1*P!AA5545</f>
        <v>2.1832661290322582E-2</v>
      </c>
      <c r="AB5545" s="780"/>
      <c r="AC5545" s="780"/>
      <c r="AD5545" s="780"/>
      <c r="AE5545" s="780"/>
      <c r="AF5545" s="780"/>
    </row>
    <row r="5546" spans="19:32" x14ac:dyDescent="0.35">
      <c r="S5546" s="780"/>
      <c r="T5546" s="928"/>
      <c r="U5546" s="928"/>
      <c r="V5546" s="928"/>
      <c r="W5546" s="780"/>
      <c r="X5546" s="782">
        <v>5542</v>
      </c>
      <c r="Y5546" s="782" t="s">
        <v>2248</v>
      </c>
      <c r="Z5546" s="782" t="s">
        <v>3702</v>
      </c>
      <c r="AA5546" s="781">
        <f>$S$1*P!AA5546</f>
        <v>1.5456000000000001</v>
      </c>
      <c r="AB5546" s="780"/>
      <c r="AC5546" s="780"/>
      <c r="AD5546" s="780"/>
      <c r="AE5546" s="780"/>
      <c r="AF5546" s="780"/>
    </row>
    <row r="5547" spans="19:32" x14ac:dyDescent="0.35">
      <c r="S5547" s="780"/>
      <c r="T5547" s="928"/>
      <c r="U5547" s="928"/>
      <c r="V5547" s="928"/>
      <c r="W5547" s="780"/>
      <c r="X5547" s="881">
        <v>5543</v>
      </c>
      <c r="Y5547" s="881" t="s">
        <v>2248</v>
      </c>
      <c r="Z5547" s="881" t="s">
        <v>2290</v>
      </c>
      <c r="AA5547" s="890">
        <f>$S$1*P!AA5547</f>
        <v>0</v>
      </c>
      <c r="AB5547" s="780"/>
      <c r="AC5547" s="780"/>
      <c r="AD5547" s="780"/>
      <c r="AE5547" s="780"/>
      <c r="AF5547" s="780"/>
    </row>
    <row r="5548" spans="19:32" x14ac:dyDescent="0.35">
      <c r="S5548" s="780"/>
      <c r="T5548" s="928"/>
      <c r="U5548" s="928"/>
      <c r="V5548" s="928"/>
      <c r="W5548" s="780"/>
      <c r="X5548" s="782">
        <v>5544</v>
      </c>
      <c r="Y5548" s="782" t="s">
        <v>2248</v>
      </c>
      <c r="Z5548" s="782" t="s">
        <v>3701</v>
      </c>
      <c r="AA5548" s="781">
        <f>$S$1*P!AA5548</f>
        <v>2.6588000000000001E-2</v>
      </c>
      <c r="AB5548" s="780"/>
      <c r="AC5548" s="780"/>
      <c r="AD5548" s="780"/>
      <c r="AE5548" s="780"/>
      <c r="AF5548" s="780"/>
    </row>
    <row r="5549" spans="19:32" x14ac:dyDescent="0.35">
      <c r="S5549" s="780"/>
      <c r="T5549" s="928"/>
      <c r="U5549" s="928"/>
      <c r="V5549" s="928"/>
      <c r="W5549" s="780"/>
      <c r="X5549" s="782">
        <v>5545</v>
      </c>
      <c r="Y5549" s="782" t="s">
        <v>2248</v>
      </c>
      <c r="Z5549" s="782" t="s">
        <v>2290</v>
      </c>
      <c r="AA5549" s="781">
        <f>$S$1*P!AA5549</f>
        <v>1.9330645161290324E-5</v>
      </c>
      <c r="AB5549" s="780"/>
      <c r="AC5549" s="780"/>
      <c r="AD5549" s="780"/>
      <c r="AE5549" s="780"/>
      <c r="AF5549" s="780"/>
    </row>
    <row r="5550" spans="19:32" x14ac:dyDescent="0.35">
      <c r="S5550" s="780"/>
      <c r="T5550" s="928"/>
      <c r="U5550" s="928"/>
      <c r="V5550" s="928"/>
      <c r="W5550" s="780"/>
      <c r="X5550" s="782">
        <v>5546</v>
      </c>
      <c r="Y5550" s="782" t="s">
        <v>2248</v>
      </c>
      <c r="Z5550" s="782" t="s">
        <v>3700</v>
      </c>
      <c r="AA5550" s="781">
        <f>$S$1*P!AA5550</f>
        <v>2.4608870967741936E-4</v>
      </c>
      <c r="AB5550" s="780"/>
      <c r="AC5550" s="780"/>
      <c r="AD5550" s="780"/>
      <c r="AE5550" s="780"/>
      <c r="AF5550" s="780"/>
    </row>
    <row r="5551" spans="19:32" x14ac:dyDescent="0.35">
      <c r="S5551" s="780"/>
      <c r="T5551" s="928"/>
      <c r="U5551" s="928"/>
      <c r="V5551" s="928"/>
      <c r="W5551" s="780"/>
      <c r="X5551" s="782">
        <v>5547</v>
      </c>
      <c r="Y5551" s="782" t="s">
        <v>2248</v>
      </c>
      <c r="Z5551" s="782" t="s">
        <v>3699</v>
      </c>
      <c r="AA5551" s="781">
        <f>$S$1*P!AA5551</f>
        <v>7.084E-2</v>
      </c>
      <c r="AB5551" s="780"/>
      <c r="AC5551" s="780"/>
      <c r="AD5551" s="780"/>
      <c r="AE5551" s="780"/>
      <c r="AF5551" s="780"/>
    </row>
    <row r="5552" spans="19:32" x14ac:dyDescent="0.35">
      <c r="S5552" s="780"/>
      <c r="T5552" s="928"/>
      <c r="U5552" s="928"/>
      <c r="V5552" s="928"/>
      <c r="W5552" s="780"/>
      <c r="X5552" s="782">
        <v>5548</v>
      </c>
      <c r="Y5552" s="782" t="s">
        <v>2248</v>
      </c>
      <c r="Z5552" s="782" t="s">
        <v>3698</v>
      </c>
      <c r="AA5552" s="781">
        <f>$S$1*P!AA5552</f>
        <v>2.7899193548387101E-3</v>
      </c>
      <c r="AB5552" s="780"/>
      <c r="AC5552" s="780"/>
      <c r="AD5552" s="780"/>
      <c r="AE5552" s="780"/>
      <c r="AF5552" s="780"/>
    </row>
    <row r="5553" spans="19:32" x14ac:dyDescent="0.35">
      <c r="S5553" s="780"/>
      <c r="T5553" s="928"/>
      <c r="U5553" s="928"/>
      <c r="V5553" s="928"/>
      <c r="W5553" s="780"/>
      <c r="X5553" s="782">
        <v>5549</v>
      </c>
      <c r="Y5553" s="782" t="s">
        <v>2248</v>
      </c>
      <c r="Z5553" s="782" t="s">
        <v>3697</v>
      </c>
      <c r="AA5553" s="781">
        <f>$S$1*P!AA5553</f>
        <v>2.1558467741935485E-4</v>
      </c>
      <c r="AB5553" s="780"/>
      <c r="AC5553" s="780"/>
      <c r="AD5553" s="780"/>
      <c r="AE5553" s="780"/>
      <c r="AF5553" s="780"/>
    </row>
    <row r="5554" spans="19:32" x14ac:dyDescent="0.35">
      <c r="S5554" s="780"/>
      <c r="T5554" s="928"/>
      <c r="U5554" s="928"/>
      <c r="V5554" s="928"/>
      <c r="W5554" s="780"/>
      <c r="X5554" s="782">
        <v>5550</v>
      </c>
      <c r="Y5554" s="782" t="s">
        <v>2248</v>
      </c>
      <c r="Z5554" s="782" t="s">
        <v>3696</v>
      </c>
      <c r="AA5554" s="781">
        <f>$S$1*P!AA5554</f>
        <v>0.30268</v>
      </c>
      <c r="AB5554" s="780"/>
      <c r="AC5554" s="780"/>
      <c r="AD5554" s="780"/>
      <c r="AE5554" s="780"/>
      <c r="AF5554" s="780"/>
    </row>
    <row r="5555" spans="19:32" x14ac:dyDescent="0.35">
      <c r="S5555" s="780"/>
      <c r="T5555" s="928"/>
      <c r="U5555" s="928"/>
      <c r="V5555" s="928"/>
      <c r="W5555" s="780"/>
      <c r="X5555" s="782">
        <v>5551</v>
      </c>
      <c r="Y5555" s="782" t="s">
        <v>2248</v>
      </c>
      <c r="Z5555" s="782" t="s">
        <v>3021</v>
      </c>
      <c r="AA5555" s="781">
        <f>$S$1*P!AA5555</f>
        <v>8.2600806451612913E-4</v>
      </c>
      <c r="AB5555" s="780"/>
      <c r="AC5555" s="780"/>
      <c r="AD5555" s="780"/>
      <c r="AE5555" s="780"/>
      <c r="AF5555" s="780"/>
    </row>
    <row r="5556" spans="19:32" x14ac:dyDescent="0.35">
      <c r="S5556" s="780"/>
      <c r="T5556" s="928"/>
      <c r="U5556" s="928"/>
      <c r="V5556" s="928"/>
      <c r="W5556" s="780"/>
      <c r="X5556" s="782">
        <v>5552</v>
      </c>
      <c r="Y5556" s="782" t="s">
        <v>2248</v>
      </c>
      <c r="Z5556" s="782" t="s">
        <v>3695</v>
      </c>
      <c r="AA5556" s="781">
        <f>$S$1*P!AA5556</f>
        <v>1.0796370967741937E-3</v>
      </c>
      <c r="AB5556" s="780"/>
      <c r="AC5556" s="780"/>
      <c r="AD5556" s="780"/>
      <c r="AE5556" s="780"/>
      <c r="AF5556" s="780"/>
    </row>
    <row r="5557" spans="19:32" x14ac:dyDescent="0.35">
      <c r="S5557" s="780"/>
      <c r="T5557" s="928"/>
      <c r="U5557" s="928"/>
      <c r="V5557" s="928"/>
      <c r="W5557" s="780"/>
      <c r="X5557" s="782">
        <v>5553</v>
      </c>
      <c r="Y5557" s="782" t="s">
        <v>2248</v>
      </c>
      <c r="Z5557" s="782" t="s">
        <v>3694</v>
      </c>
      <c r="AA5557" s="781">
        <f>$S$1*P!AA5557</f>
        <v>63.112000000000002</v>
      </c>
      <c r="AB5557" s="780"/>
      <c r="AC5557" s="780"/>
      <c r="AD5557" s="780"/>
      <c r="AE5557" s="780"/>
      <c r="AF5557" s="780"/>
    </row>
    <row r="5558" spans="19:32" x14ac:dyDescent="0.35">
      <c r="S5558" s="780"/>
      <c r="T5558" s="928"/>
      <c r="U5558" s="928"/>
      <c r="V5558" s="928"/>
      <c r="W5558" s="780"/>
      <c r="X5558" s="782">
        <v>5554</v>
      </c>
      <c r="Y5558" s="782" t="s">
        <v>2248</v>
      </c>
      <c r="Z5558" s="782" t="s">
        <v>3693</v>
      </c>
      <c r="AA5558" s="781">
        <f>$S$1*P!AA5558</f>
        <v>1.7993951612903228E-3</v>
      </c>
      <c r="AB5558" s="780"/>
      <c r="AC5558" s="780"/>
      <c r="AD5558" s="780"/>
      <c r="AE5558" s="780"/>
      <c r="AF5558" s="780"/>
    </row>
    <row r="5559" spans="19:32" x14ac:dyDescent="0.35">
      <c r="S5559" s="780"/>
      <c r="T5559" s="928"/>
      <c r="U5559" s="928"/>
      <c r="V5559" s="928"/>
      <c r="W5559" s="780"/>
      <c r="X5559" s="782">
        <v>5555</v>
      </c>
      <c r="Y5559" s="782" t="s">
        <v>2248</v>
      </c>
      <c r="Z5559" s="782" t="s">
        <v>3692</v>
      </c>
      <c r="AA5559" s="781">
        <f>$S$1*P!AA5559</f>
        <v>58.512</v>
      </c>
      <c r="AB5559" s="780"/>
      <c r="AC5559" s="780"/>
      <c r="AD5559" s="780"/>
      <c r="AE5559" s="780"/>
      <c r="AF5559" s="780"/>
    </row>
    <row r="5560" spans="19:32" x14ac:dyDescent="0.35">
      <c r="S5560" s="780"/>
      <c r="T5560" s="928"/>
      <c r="U5560" s="928"/>
      <c r="V5560" s="928"/>
      <c r="W5560" s="780"/>
      <c r="X5560" s="782">
        <v>5556</v>
      </c>
      <c r="Y5560" s="782" t="s">
        <v>2248</v>
      </c>
      <c r="Z5560" s="782" t="s">
        <v>3691</v>
      </c>
      <c r="AA5560" s="781">
        <f>$S$1*P!AA5560</f>
        <v>1.8850806451612904E-3</v>
      </c>
      <c r="AB5560" s="780"/>
      <c r="AC5560" s="780"/>
      <c r="AD5560" s="780"/>
      <c r="AE5560" s="780"/>
      <c r="AF5560" s="780"/>
    </row>
    <row r="5561" spans="19:32" x14ac:dyDescent="0.35">
      <c r="S5561" s="780"/>
      <c r="T5561" s="928"/>
      <c r="U5561" s="928"/>
      <c r="V5561" s="928"/>
      <c r="W5561" s="780"/>
      <c r="X5561" s="782">
        <v>5557</v>
      </c>
      <c r="Y5561" s="782" t="s">
        <v>2248</v>
      </c>
      <c r="Z5561" s="782" t="s">
        <v>3020</v>
      </c>
      <c r="AA5561" s="781">
        <f>$S$1*P!AA5561</f>
        <v>1.5183467741935483E-3</v>
      </c>
      <c r="AB5561" s="780"/>
      <c r="AC5561" s="780"/>
      <c r="AD5561" s="780"/>
      <c r="AE5561" s="780"/>
      <c r="AF5561" s="780"/>
    </row>
    <row r="5562" spans="19:32" x14ac:dyDescent="0.35">
      <c r="S5562" s="780"/>
      <c r="T5562" s="928"/>
      <c r="U5562" s="928"/>
      <c r="V5562" s="928"/>
      <c r="W5562" s="780"/>
      <c r="X5562" s="782">
        <v>5558</v>
      </c>
      <c r="Y5562" s="782" t="s">
        <v>2248</v>
      </c>
      <c r="Z5562" s="782" t="s">
        <v>3690</v>
      </c>
      <c r="AA5562" s="781">
        <f>$S$1*P!AA5562</f>
        <v>1.2750000000000001E-2</v>
      </c>
      <c r="AB5562" s="780"/>
      <c r="AC5562" s="780"/>
      <c r="AD5562" s="780"/>
      <c r="AE5562" s="780"/>
      <c r="AF5562" s="780"/>
    </row>
    <row r="5563" spans="19:32" x14ac:dyDescent="0.35">
      <c r="S5563" s="780"/>
      <c r="T5563" s="928"/>
      <c r="U5563" s="928"/>
      <c r="V5563" s="928"/>
      <c r="W5563" s="780"/>
      <c r="X5563" s="782">
        <v>5559</v>
      </c>
      <c r="Y5563" s="782" t="s">
        <v>2248</v>
      </c>
      <c r="Z5563" s="782" t="s">
        <v>3689</v>
      </c>
      <c r="AA5563" s="781">
        <f>$S$1*P!AA5563</f>
        <v>0</v>
      </c>
      <c r="AB5563" s="780"/>
      <c r="AC5563" s="780"/>
      <c r="AD5563" s="780"/>
      <c r="AE5563" s="780"/>
      <c r="AF5563" s="780"/>
    </row>
    <row r="5564" spans="19:32" x14ac:dyDescent="0.35">
      <c r="S5564" s="780"/>
      <c r="T5564" s="928"/>
      <c r="U5564" s="928"/>
      <c r="V5564" s="928"/>
      <c r="W5564" s="780"/>
      <c r="X5564" s="782">
        <v>5560</v>
      </c>
      <c r="Y5564" s="782" t="s">
        <v>2248</v>
      </c>
      <c r="Z5564" s="782" t="s">
        <v>3688</v>
      </c>
      <c r="AA5564" s="781">
        <f>$S$1*P!AA5564</f>
        <v>2.2243951612903226E-2</v>
      </c>
      <c r="AB5564" s="780"/>
      <c r="AC5564" s="780"/>
      <c r="AD5564" s="780"/>
      <c r="AE5564" s="780"/>
      <c r="AF5564" s="780"/>
    </row>
    <row r="5565" spans="19:32" x14ac:dyDescent="0.35">
      <c r="S5565" s="780"/>
      <c r="T5565" s="928"/>
      <c r="U5565" s="928"/>
      <c r="V5565" s="928"/>
      <c r="W5565" s="780"/>
      <c r="X5565" s="782">
        <v>5561</v>
      </c>
      <c r="Y5565" s="782" t="s">
        <v>2248</v>
      </c>
      <c r="Z5565" s="782" t="s">
        <v>2288</v>
      </c>
      <c r="AA5565" s="781">
        <f>$S$1*P!AA5565</f>
        <v>6.6149193548387105E-6</v>
      </c>
      <c r="AB5565" s="780"/>
      <c r="AC5565" s="780"/>
      <c r="AD5565" s="780"/>
      <c r="AE5565" s="780"/>
      <c r="AF5565" s="780"/>
    </row>
    <row r="5566" spans="19:32" x14ac:dyDescent="0.35">
      <c r="S5566" s="780"/>
      <c r="T5566" s="928"/>
      <c r="U5566" s="928"/>
      <c r="V5566" s="928"/>
      <c r="W5566" s="780"/>
      <c r="X5566" s="782">
        <v>5562</v>
      </c>
      <c r="Y5566" s="782" t="s">
        <v>2248</v>
      </c>
      <c r="Z5566" s="782" t="s">
        <v>3687</v>
      </c>
      <c r="AA5566" s="781">
        <f>$S$1*P!AA5566</f>
        <v>0</v>
      </c>
      <c r="AB5566" s="780"/>
      <c r="AC5566" s="780"/>
      <c r="AD5566" s="780"/>
      <c r="AE5566" s="780"/>
      <c r="AF5566" s="780"/>
    </row>
    <row r="5567" spans="19:32" x14ac:dyDescent="0.35">
      <c r="S5567" s="780"/>
      <c r="T5567" s="928"/>
      <c r="U5567" s="928"/>
      <c r="V5567" s="928"/>
      <c r="W5567" s="780"/>
      <c r="X5567" s="881">
        <v>5563</v>
      </c>
      <c r="Y5567" s="881" t="s">
        <v>2248</v>
      </c>
      <c r="Z5567" s="881" t="s">
        <v>2288</v>
      </c>
      <c r="AA5567" s="890">
        <f>$S$1*P!AA5567</f>
        <v>1.0303999999999999E-2</v>
      </c>
      <c r="AB5567" s="780"/>
      <c r="AC5567" s="780"/>
      <c r="AD5567" s="780"/>
      <c r="AE5567" s="780"/>
      <c r="AF5567" s="780"/>
    </row>
    <row r="5568" spans="19:32" x14ac:dyDescent="0.35">
      <c r="S5568" s="780"/>
      <c r="T5568" s="928"/>
      <c r="U5568" s="928"/>
      <c r="V5568" s="928"/>
      <c r="W5568" s="780"/>
      <c r="X5568" s="782">
        <v>5564</v>
      </c>
      <c r="Y5568" s="782" t="s">
        <v>2248</v>
      </c>
      <c r="Z5568" s="782" t="s">
        <v>3686</v>
      </c>
      <c r="AA5568" s="781">
        <f>$S$1*P!AA5568</f>
        <v>0</v>
      </c>
      <c r="AB5568" s="780"/>
      <c r="AC5568" s="780"/>
      <c r="AD5568" s="780"/>
      <c r="AE5568" s="780"/>
      <c r="AF5568" s="780"/>
    </row>
    <row r="5569" spans="19:32" x14ac:dyDescent="0.35">
      <c r="S5569" s="780"/>
      <c r="T5569" s="928"/>
      <c r="U5569" s="928"/>
      <c r="V5569" s="928"/>
      <c r="W5569" s="780"/>
      <c r="X5569" s="782">
        <v>5565</v>
      </c>
      <c r="Y5569" s="782" t="s">
        <v>2248</v>
      </c>
      <c r="Z5569" s="782" t="s">
        <v>3685</v>
      </c>
      <c r="AA5569" s="781">
        <f>$S$1*P!AA5569</f>
        <v>2.8687500000000003E-6</v>
      </c>
      <c r="AB5569" s="780"/>
      <c r="AC5569" s="780"/>
      <c r="AD5569" s="780"/>
      <c r="AE5569" s="780"/>
      <c r="AF5569" s="780"/>
    </row>
    <row r="5570" spans="19:32" x14ac:dyDescent="0.35">
      <c r="S5570" s="780"/>
      <c r="T5570" s="928"/>
      <c r="U5570" s="928"/>
      <c r="V5570" s="928"/>
      <c r="W5570" s="780"/>
      <c r="X5570" s="782">
        <v>5566</v>
      </c>
      <c r="Y5570" s="782" t="s">
        <v>2248</v>
      </c>
      <c r="Z5570" s="782" t="s">
        <v>3014</v>
      </c>
      <c r="AA5570" s="781">
        <f>$S$1*P!AA5570</f>
        <v>1.7274193548387099E-3</v>
      </c>
      <c r="AB5570" s="780"/>
      <c r="AC5570" s="780"/>
      <c r="AD5570" s="780"/>
      <c r="AE5570" s="780"/>
      <c r="AF5570" s="780"/>
    </row>
    <row r="5571" spans="19:32" x14ac:dyDescent="0.35">
      <c r="S5571" s="780"/>
      <c r="T5571" s="928"/>
      <c r="U5571" s="928"/>
      <c r="V5571" s="928"/>
      <c r="W5571" s="780"/>
      <c r="X5571" s="782">
        <v>5567</v>
      </c>
      <c r="Y5571" s="782" t="s">
        <v>2248</v>
      </c>
      <c r="Z5571" s="782" t="s">
        <v>3684</v>
      </c>
      <c r="AA5571" s="781">
        <f>$S$1*P!AA5571</f>
        <v>1.5389112903225807E-4</v>
      </c>
      <c r="AB5571" s="780"/>
      <c r="AC5571" s="780"/>
      <c r="AD5571" s="780"/>
      <c r="AE5571" s="780"/>
      <c r="AF5571" s="780"/>
    </row>
    <row r="5572" spans="19:32" x14ac:dyDescent="0.35">
      <c r="S5572" s="780"/>
      <c r="T5572" s="928"/>
      <c r="U5572" s="928"/>
      <c r="V5572" s="928"/>
      <c r="W5572" s="780"/>
      <c r="X5572" s="782">
        <v>5568</v>
      </c>
      <c r="Y5572" s="782" t="s">
        <v>2248</v>
      </c>
      <c r="Z5572" s="782" t="s">
        <v>3683</v>
      </c>
      <c r="AA5572" s="781">
        <f>$S$1*P!AA5572</f>
        <v>4.3331999999999997</v>
      </c>
      <c r="AB5572" s="780"/>
      <c r="AC5572" s="780"/>
      <c r="AD5572" s="780"/>
      <c r="AE5572" s="780"/>
      <c r="AF5572" s="780"/>
    </row>
    <row r="5573" spans="19:32" x14ac:dyDescent="0.35">
      <c r="S5573" s="780"/>
      <c r="T5573" s="928"/>
      <c r="U5573" s="928"/>
      <c r="V5573" s="928"/>
      <c r="W5573" s="780"/>
      <c r="X5573" s="782">
        <v>5569</v>
      </c>
      <c r="Y5573" s="782" t="s">
        <v>2248</v>
      </c>
      <c r="Z5573" s="782" t="s">
        <v>3682</v>
      </c>
      <c r="AA5573" s="781">
        <f>$S$1*P!AA5573</f>
        <v>5.8951612903225814E-3</v>
      </c>
      <c r="AB5573" s="780"/>
      <c r="AC5573" s="780"/>
      <c r="AD5573" s="780"/>
      <c r="AE5573" s="780"/>
      <c r="AF5573" s="780"/>
    </row>
    <row r="5574" spans="19:32" x14ac:dyDescent="0.35">
      <c r="S5574" s="780"/>
      <c r="T5574" s="928"/>
      <c r="U5574" s="928"/>
      <c r="V5574" s="928"/>
      <c r="W5574" s="780"/>
      <c r="X5574" s="782">
        <v>5570</v>
      </c>
      <c r="Y5574" s="782" t="s">
        <v>2248</v>
      </c>
      <c r="Z5574" s="782" t="s">
        <v>3681</v>
      </c>
      <c r="AA5574" s="781">
        <f>$S$1*P!AA5574</f>
        <v>0</v>
      </c>
      <c r="AB5574" s="780"/>
      <c r="AC5574" s="780"/>
      <c r="AD5574" s="780"/>
      <c r="AE5574" s="780"/>
      <c r="AF5574" s="780"/>
    </row>
    <row r="5575" spans="19:32" x14ac:dyDescent="0.35">
      <c r="S5575" s="780"/>
      <c r="T5575" s="928"/>
      <c r="U5575" s="928"/>
      <c r="V5575" s="928"/>
      <c r="W5575" s="780"/>
      <c r="X5575" s="782">
        <v>5571</v>
      </c>
      <c r="Y5575" s="782" t="s">
        <v>2248</v>
      </c>
      <c r="Z5575" s="782" t="s">
        <v>3680</v>
      </c>
      <c r="AA5575" s="781">
        <f>$S$1*P!AA5575</f>
        <v>2.5705645161290324E-2</v>
      </c>
      <c r="AB5575" s="780"/>
      <c r="AC5575" s="780"/>
      <c r="AD5575" s="780"/>
      <c r="AE5575" s="780"/>
      <c r="AF5575" s="780"/>
    </row>
    <row r="5576" spans="19:32" x14ac:dyDescent="0.35">
      <c r="S5576" s="780"/>
      <c r="T5576" s="928"/>
      <c r="U5576" s="928"/>
      <c r="V5576" s="928"/>
      <c r="W5576" s="780"/>
      <c r="X5576" s="782">
        <v>5572</v>
      </c>
      <c r="Y5576" s="782" t="s">
        <v>2248</v>
      </c>
      <c r="Z5576" s="782" t="s">
        <v>2287</v>
      </c>
      <c r="AA5576" s="781">
        <f>$S$1*P!AA5576</f>
        <v>4.4556451612903231E-6</v>
      </c>
      <c r="AB5576" s="780"/>
      <c r="AC5576" s="780"/>
      <c r="AD5576" s="780"/>
      <c r="AE5576" s="780"/>
      <c r="AF5576" s="780"/>
    </row>
    <row r="5577" spans="19:32" x14ac:dyDescent="0.35">
      <c r="S5577" s="780"/>
      <c r="T5577" s="928"/>
      <c r="U5577" s="928"/>
      <c r="V5577" s="928"/>
      <c r="W5577" s="780"/>
      <c r="X5577" s="881">
        <v>5573</v>
      </c>
      <c r="Y5577" s="881" t="s">
        <v>2248</v>
      </c>
      <c r="Z5577" s="881" t="s">
        <v>2287</v>
      </c>
      <c r="AA5577" s="890">
        <f>$S$1*P!AA5577</f>
        <v>0</v>
      </c>
      <c r="AB5577" s="780"/>
      <c r="AC5577" s="780"/>
      <c r="AD5577" s="780"/>
      <c r="AE5577" s="780"/>
      <c r="AF5577" s="780"/>
    </row>
    <row r="5578" spans="19:32" x14ac:dyDescent="0.35">
      <c r="S5578" s="780"/>
      <c r="T5578" s="928"/>
      <c r="U5578" s="928"/>
      <c r="V5578" s="928"/>
      <c r="W5578" s="780"/>
      <c r="X5578" s="782">
        <v>5574</v>
      </c>
      <c r="Y5578" s="782" t="s">
        <v>2248</v>
      </c>
      <c r="Z5578" s="782" t="s">
        <v>3679</v>
      </c>
      <c r="AA5578" s="781">
        <f>$S$1*P!AA5578</f>
        <v>1.0396000000000001</v>
      </c>
      <c r="AB5578" s="780"/>
      <c r="AC5578" s="780"/>
      <c r="AD5578" s="780"/>
      <c r="AE5578" s="780"/>
      <c r="AF5578" s="780"/>
    </row>
    <row r="5579" spans="19:32" x14ac:dyDescent="0.35">
      <c r="S5579" s="780"/>
      <c r="T5579" s="928"/>
      <c r="U5579" s="928"/>
      <c r="V5579" s="928"/>
      <c r="W5579" s="780"/>
      <c r="X5579" s="782">
        <v>5575</v>
      </c>
      <c r="Y5579" s="782" t="s">
        <v>2248</v>
      </c>
      <c r="Z5579" s="782" t="s">
        <v>3678</v>
      </c>
      <c r="AA5579" s="781">
        <f>$S$1*P!AA5579</f>
        <v>2.2381048387096778E-4</v>
      </c>
      <c r="AB5579" s="780"/>
      <c r="AC5579" s="780"/>
      <c r="AD5579" s="780"/>
      <c r="AE5579" s="780"/>
      <c r="AF5579" s="780"/>
    </row>
    <row r="5580" spans="19:32" x14ac:dyDescent="0.35">
      <c r="S5580" s="780"/>
      <c r="T5580" s="928"/>
      <c r="U5580" s="928"/>
      <c r="V5580" s="928"/>
      <c r="W5580" s="780"/>
      <c r="X5580" s="782">
        <v>5576</v>
      </c>
      <c r="Y5580" s="782" t="s">
        <v>2248</v>
      </c>
      <c r="Z5580" s="782" t="s">
        <v>3677</v>
      </c>
      <c r="AA5580" s="781">
        <f>$S$1*P!AA5580</f>
        <v>0</v>
      </c>
      <c r="AB5580" s="780"/>
      <c r="AC5580" s="780"/>
      <c r="AD5580" s="780"/>
      <c r="AE5580" s="780"/>
      <c r="AF5580" s="780"/>
    </row>
    <row r="5581" spans="19:32" x14ac:dyDescent="0.35">
      <c r="S5581" s="780"/>
      <c r="T5581" s="928"/>
      <c r="U5581" s="928"/>
      <c r="V5581" s="928"/>
      <c r="W5581" s="780"/>
      <c r="X5581" s="782">
        <v>5577</v>
      </c>
      <c r="Y5581" s="782" t="s">
        <v>2248</v>
      </c>
      <c r="Z5581" s="782" t="s">
        <v>3676</v>
      </c>
      <c r="AA5581" s="781">
        <f>$S$1*P!AA5581</f>
        <v>3.5987903225806452E-2</v>
      </c>
      <c r="AB5581" s="780"/>
      <c r="AC5581" s="780"/>
      <c r="AD5581" s="780"/>
      <c r="AE5581" s="780"/>
      <c r="AF5581" s="780"/>
    </row>
    <row r="5582" spans="19:32" x14ac:dyDescent="0.35">
      <c r="S5582" s="780"/>
      <c r="T5582" s="928"/>
      <c r="U5582" s="928"/>
      <c r="V5582" s="928"/>
      <c r="W5582" s="780"/>
      <c r="X5582" s="782">
        <v>5578</v>
      </c>
      <c r="Y5582" s="782" t="s">
        <v>2248</v>
      </c>
      <c r="Z5582" s="782" t="s">
        <v>3675</v>
      </c>
      <c r="AA5582" s="781">
        <f>$S$1*P!AA5582</f>
        <v>8.8084677419354848E-4</v>
      </c>
      <c r="AB5582" s="780"/>
      <c r="AC5582" s="780"/>
      <c r="AD5582" s="780"/>
      <c r="AE5582" s="780"/>
      <c r="AF5582" s="780"/>
    </row>
    <row r="5583" spans="19:32" x14ac:dyDescent="0.35">
      <c r="S5583" s="780"/>
      <c r="T5583" s="928"/>
      <c r="U5583" s="928"/>
      <c r="V5583" s="928"/>
      <c r="W5583" s="780"/>
      <c r="X5583" s="782">
        <v>5579</v>
      </c>
      <c r="Y5583" s="782" t="s">
        <v>2248</v>
      </c>
      <c r="Z5583" s="782" t="s">
        <v>3674</v>
      </c>
      <c r="AA5583" s="781">
        <f>$S$1*P!AA5583</f>
        <v>3.6707999999999998</v>
      </c>
      <c r="AB5583" s="780"/>
      <c r="AC5583" s="780"/>
      <c r="AD5583" s="780"/>
      <c r="AE5583" s="780"/>
      <c r="AF5583" s="780"/>
    </row>
    <row r="5584" spans="19:32" x14ac:dyDescent="0.35">
      <c r="S5584" s="780"/>
      <c r="T5584" s="928"/>
      <c r="U5584" s="928"/>
      <c r="V5584" s="928"/>
      <c r="W5584" s="780"/>
      <c r="X5584" s="782">
        <v>5580</v>
      </c>
      <c r="Y5584" s="782" t="s">
        <v>2248</v>
      </c>
      <c r="Z5584" s="782" t="s">
        <v>3673</v>
      </c>
      <c r="AA5584" s="781">
        <f>$S$1*P!AA5584</f>
        <v>0.61008064516129035</v>
      </c>
      <c r="AB5584" s="780"/>
      <c r="AC5584" s="780"/>
      <c r="AD5584" s="780"/>
      <c r="AE5584" s="780"/>
      <c r="AF5584" s="780"/>
    </row>
    <row r="5585" spans="19:32" x14ac:dyDescent="0.35">
      <c r="S5585" s="780"/>
      <c r="T5585" s="928"/>
      <c r="U5585" s="928"/>
      <c r="V5585" s="928"/>
      <c r="W5585" s="780"/>
      <c r="X5585" s="782">
        <v>5581</v>
      </c>
      <c r="Y5585" s="782" t="s">
        <v>2248</v>
      </c>
      <c r="Z5585" s="782" t="s">
        <v>3672</v>
      </c>
      <c r="AA5585" s="781">
        <f>$S$1*P!AA5585</f>
        <v>7.9516129032258076E-2</v>
      </c>
      <c r="AB5585" s="780"/>
      <c r="AC5585" s="780"/>
      <c r="AD5585" s="780"/>
      <c r="AE5585" s="780"/>
      <c r="AF5585" s="780"/>
    </row>
    <row r="5586" spans="19:32" x14ac:dyDescent="0.35">
      <c r="S5586" s="780"/>
      <c r="T5586" s="928"/>
      <c r="U5586" s="928"/>
      <c r="V5586" s="928"/>
      <c r="W5586" s="780"/>
      <c r="X5586" s="782">
        <v>5582</v>
      </c>
      <c r="Y5586" s="782" t="s">
        <v>2248</v>
      </c>
      <c r="Z5586" s="782" t="s">
        <v>3671</v>
      </c>
      <c r="AA5586" s="781">
        <f>$S$1*P!AA5586</f>
        <v>8.095999999999999E-3</v>
      </c>
      <c r="AB5586" s="780"/>
      <c r="AC5586" s="780"/>
      <c r="AD5586" s="780"/>
      <c r="AE5586" s="780"/>
      <c r="AF5586" s="780"/>
    </row>
    <row r="5587" spans="19:32" x14ac:dyDescent="0.35">
      <c r="S5587" s="780"/>
      <c r="T5587" s="928"/>
      <c r="U5587" s="928"/>
      <c r="V5587" s="928"/>
      <c r="W5587" s="780"/>
      <c r="X5587" s="782">
        <v>5583</v>
      </c>
      <c r="Y5587" s="782" t="s">
        <v>2248</v>
      </c>
      <c r="Z5587" s="782" t="s">
        <v>3670</v>
      </c>
      <c r="AA5587" s="781">
        <f>$S$1*P!AA5587</f>
        <v>0.21421370967741937</v>
      </c>
      <c r="AB5587" s="780"/>
      <c r="AC5587" s="780"/>
      <c r="AD5587" s="780"/>
      <c r="AE5587" s="780"/>
      <c r="AF5587" s="780"/>
    </row>
    <row r="5588" spans="19:32" x14ac:dyDescent="0.35">
      <c r="S5588" s="780"/>
      <c r="T5588" s="928"/>
      <c r="U5588" s="928"/>
      <c r="V5588" s="928"/>
      <c r="W5588" s="780"/>
      <c r="X5588" s="782">
        <v>5584</v>
      </c>
      <c r="Y5588" s="782" t="s">
        <v>2248</v>
      </c>
      <c r="Z5588" s="782" t="s">
        <v>3669</v>
      </c>
      <c r="AA5588" s="781">
        <f>$S$1*P!AA5588</f>
        <v>7.1633064516129039E-2</v>
      </c>
      <c r="AB5588" s="780"/>
      <c r="AC5588" s="780"/>
      <c r="AD5588" s="780"/>
      <c r="AE5588" s="780"/>
      <c r="AF5588" s="780"/>
    </row>
    <row r="5589" spans="19:32" x14ac:dyDescent="0.35">
      <c r="S5589" s="780"/>
      <c r="T5589" s="928"/>
      <c r="U5589" s="928"/>
      <c r="V5589" s="928"/>
      <c r="W5589" s="780"/>
      <c r="X5589" s="782">
        <v>5585</v>
      </c>
      <c r="Y5589" s="782" t="s">
        <v>2248</v>
      </c>
      <c r="Z5589" s="782" t="s">
        <v>3668</v>
      </c>
      <c r="AA5589" s="781">
        <f>$S$1*P!AA5589</f>
        <v>0</v>
      </c>
      <c r="AB5589" s="780"/>
      <c r="AC5589" s="780"/>
      <c r="AD5589" s="780"/>
      <c r="AE5589" s="780"/>
      <c r="AF5589" s="780"/>
    </row>
    <row r="5590" spans="19:32" x14ac:dyDescent="0.35">
      <c r="S5590" s="780"/>
      <c r="T5590" s="928"/>
      <c r="U5590" s="928"/>
      <c r="V5590" s="928"/>
      <c r="W5590" s="780"/>
      <c r="X5590" s="782">
        <v>5586</v>
      </c>
      <c r="Y5590" s="782" t="s">
        <v>2248</v>
      </c>
      <c r="Z5590" s="782" t="s">
        <v>3667</v>
      </c>
      <c r="AA5590" s="781">
        <f>$S$1*P!AA5590</f>
        <v>0.28104838709677421</v>
      </c>
      <c r="AB5590" s="780"/>
      <c r="AC5590" s="780"/>
      <c r="AD5590" s="780"/>
      <c r="AE5590" s="780"/>
      <c r="AF5590" s="780"/>
    </row>
    <row r="5591" spans="19:32" x14ac:dyDescent="0.35">
      <c r="S5591" s="780"/>
      <c r="T5591" s="928"/>
      <c r="U5591" s="928"/>
      <c r="V5591" s="928"/>
      <c r="W5591" s="780"/>
      <c r="X5591" s="782">
        <v>5587</v>
      </c>
      <c r="Y5591" s="782" t="s">
        <v>2248</v>
      </c>
      <c r="Z5591" s="782" t="s">
        <v>3666</v>
      </c>
      <c r="AA5591" s="781">
        <f>$S$1*P!AA5591</f>
        <v>8.3971774193548387E-10</v>
      </c>
      <c r="AB5591" s="780"/>
      <c r="AC5591" s="780"/>
      <c r="AD5591" s="780"/>
      <c r="AE5591" s="780"/>
      <c r="AF5591" s="780"/>
    </row>
    <row r="5592" spans="19:32" x14ac:dyDescent="0.35">
      <c r="S5592" s="780"/>
      <c r="T5592" s="928"/>
      <c r="U5592" s="928"/>
      <c r="V5592" s="928"/>
      <c r="W5592" s="780"/>
      <c r="X5592" s="782">
        <v>5588</v>
      </c>
      <c r="Y5592" s="782" t="s">
        <v>2248</v>
      </c>
      <c r="Z5592" s="782" t="s">
        <v>3665</v>
      </c>
      <c r="AA5592" s="781">
        <f>$S$1*P!AA5592</f>
        <v>2.2632000000000003</v>
      </c>
      <c r="AB5592" s="780"/>
      <c r="AC5592" s="780"/>
      <c r="AD5592" s="780"/>
      <c r="AE5592" s="780"/>
      <c r="AF5592" s="780"/>
    </row>
    <row r="5593" spans="19:32" x14ac:dyDescent="0.35">
      <c r="S5593" s="780"/>
      <c r="T5593" s="928"/>
      <c r="U5593" s="928"/>
      <c r="V5593" s="928"/>
      <c r="W5593" s="780"/>
      <c r="X5593" s="782">
        <v>5589</v>
      </c>
      <c r="Y5593" s="782" t="s">
        <v>2248</v>
      </c>
      <c r="Z5593" s="782" t="s">
        <v>3664</v>
      </c>
      <c r="AA5593" s="781">
        <f>$S$1*P!AA5593</f>
        <v>1.1481854838709678E-6</v>
      </c>
      <c r="AB5593" s="780"/>
      <c r="AC5593" s="780"/>
      <c r="AD5593" s="780"/>
      <c r="AE5593" s="780"/>
      <c r="AF5593" s="780"/>
    </row>
    <row r="5594" spans="19:32" x14ac:dyDescent="0.35">
      <c r="S5594" s="780"/>
      <c r="T5594" s="928"/>
      <c r="U5594" s="928"/>
      <c r="V5594" s="928"/>
      <c r="W5594" s="780"/>
      <c r="X5594" s="782">
        <v>5590</v>
      </c>
      <c r="Y5594" s="782" t="s">
        <v>2248</v>
      </c>
      <c r="Z5594" s="782" t="s">
        <v>3663</v>
      </c>
      <c r="AA5594" s="781">
        <f>$S$1*P!AA5594</f>
        <v>0</v>
      </c>
      <c r="AB5594" s="780"/>
      <c r="AC5594" s="780"/>
      <c r="AD5594" s="780"/>
      <c r="AE5594" s="780"/>
      <c r="AF5594" s="780"/>
    </row>
    <row r="5595" spans="19:32" x14ac:dyDescent="0.35">
      <c r="S5595" s="780"/>
      <c r="T5595" s="928"/>
      <c r="U5595" s="928"/>
      <c r="V5595" s="928"/>
      <c r="W5595" s="780"/>
      <c r="X5595" s="782">
        <v>5591</v>
      </c>
      <c r="Y5595" s="782" t="s">
        <v>2248</v>
      </c>
      <c r="Z5595" s="782" t="s">
        <v>3662</v>
      </c>
      <c r="AA5595" s="781">
        <f>$S$1*P!AA5595</f>
        <v>8.0544354838709689E-4</v>
      </c>
      <c r="AB5595" s="780"/>
      <c r="AC5595" s="780"/>
      <c r="AD5595" s="780"/>
      <c r="AE5595" s="780"/>
      <c r="AF5595" s="780"/>
    </row>
    <row r="5596" spans="19:32" x14ac:dyDescent="0.35">
      <c r="S5596" s="780"/>
      <c r="T5596" s="928"/>
      <c r="U5596" s="928"/>
      <c r="V5596" s="928"/>
      <c r="W5596" s="780"/>
      <c r="X5596" s="782">
        <v>5592</v>
      </c>
      <c r="Y5596" s="782" t="s">
        <v>2248</v>
      </c>
      <c r="Z5596" s="782" t="s">
        <v>3661</v>
      </c>
      <c r="AA5596" s="781">
        <f>$S$1*P!AA5596</f>
        <v>0</v>
      </c>
      <c r="AB5596" s="780"/>
      <c r="AC5596" s="780"/>
      <c r="AD5596" s="780"/>
      <c r="AE5596" s="780"/>
      <c r="AF5596" s="780"/>
    </row>
    <row r="5597" spans="19:32" x14ac:dyDescent="0.35">
      <c r="S5597" s="780"/>
      <c r="T5597" s="928"/>
      <c r="U5597" s="928"/>
      <c r="V5597" s="928"/>
      <c r="W5597" s="780"/>
      <c r="X5597" s="782">
        <v>5593</v>
      </c>
      <c r="Y5597" s="782" t="s">
        <v>2248</v>
      </c>
      <c r="Z5597" s="782" t="s">
        <v>2285</v>
      </c>
      <c r="AA5597" s="781">
        <f>$S$1*P!AA5597</f>
        <v>1.0556451612903226E-2</v>
      </c>
      <c r="AB5597" s="780"/>
      <c r="AC5597" s="780"/>
      <c r="AD5597" s="780"/>
      <c r="AE5597" s="780"/>
      <c r="AF5597" s="780"/>
    </row>
    <row r="5598" spans="19:32" x14ac:dyDescent="0.35">
      <c r="S5598" s="780"/>
      <c r="T5598" s="928"/>
      <c r="U5598" s="928"/>
      <c r="V5598" s="928"/>
      <c r="W5598" s="780"/>
      <c r="X5598" s="881">
        <v>5594</v>
      </c>
      <c r="Y5598" s="881" t="s">
        <v>2248</v>
      </c>
      <c r="Z5598" s="881" t="s">
        <v>2285</v>
      </c>
      <c r="AA5598" s="890">
        <f>$S$1*P!AA5598</f>
        <v>1.8307999999999998E-2</v>
      </c>
      <c r="AB5598" s="780"/>
      <c r="AC5598" s="780"/>
      <c r="AD5598" s="780"/>
      <c r="AE5598" s="780"/>
      <c r="AF5598" s="780"/>
    </row>
    <row r="5599" spans="19:32" x14ac:dyDescent="0.35">
      <c r="S5599" s="780"/>
      <c r="T5599" s="928"/>
      <c r="U5599" s="928"/>
      <c r="V5599" s="928"/>
      <c r="W5599" s="780"/>
      <c r="X5599" s="782">
        <v>5595</v>
      </c>
      <c r="Y5599" s="782" t="s">
        <v>2248</v>
      </c>
      <c r="Z5599" s="782" t="s">
        <v>3660</v>
      </c>
      <c r="AA5599" s="781">
        <f>$S$1*P!AA5599</f>
        <v>0</v>
      </c>
      <c r="AB5599" s="780"/>
      <c r="AC5599" s="780"/>
      <c r="AD5599" s="780"/>
      <c r="AE5599" s="780"/>
      <c r="AF5599" s="780"/>
    </row>
    <row r="5600" spans="19:32" x14ac:dyDescent="0.35">
      <c r="S5600" s="780"/>
      <c r="T5600" s="928"/>
      <c r="U5600" s="928"/>
      <c r="V5600" s="928"/>
      <c r="W5600" s="780"/>
      <c r="X5600" s="782">
        <v>5596</v>
      </c>
      <c r="Y5600" s="782" t="s">
        <v>2248</v>
      </c>
      <c r="Z5600" s="782" t="s">
        <v>3659</v>
      </c>
      <c r="AA5600" s="781">
        <f>$S$1*P!AA5600</f>
        <v>4.0786290322580646E-3</v>
      </c>
      <c r="AB5600" s="780"/>
      <c r="AC5600" s="780"/>
      <c r="AD5600" s="780"/>
      <c r="AE5600" s="780"/>
      <c r="AF5600" s="780"/>
    </row>
    <row r="5601" spans="19:32" x14ac:dyDescent="0.35">
      <c r="S5601" s="780"/>
      <c r="T5601" s="928"/>
      <c r="U5601" s="928"/>
      <c r="V5601" s="928"/>
      <c r="W5601" s="780"/>
      <c r="X5601" s="782">
        <v>5597</v>
      </c>
      <c r="Y5601" s="782" t="s">
        <v>2248</v>
      </c>
      <c r="Z5601" s="782" t="s">
        <v>3658</v>
      </c>
      <c r="AA5601" s="781">
        <f>$S$1*P!AA5601</f>
        <v>2.3306451612903227E-2</v>
      </c>
      <c r="AB5601" s="780"/>
      <c r="AC5601" s="780"/>
      <c r="AD5601" s="780"/>
      <c r="AE5601" s="780"/>
      <c r="AF5601" s="780"/>
    </row>
    <row r="5602" spans="19:32" x14ac:dyDescent="0.35">
      <c r="S5602" s="780"/>
      <c r="T5602" s="928"/>
      <c r="U5602" s="928"/>
      <c r="V5602" s="928"/>
      <c r="W5602" s="780"/>
      <c r="X5602" s="782">
        <v>5598</v>
      </c>
      <c r="Y5602" s="782" t="s">
        <v>2248</v>
      </c>
      <c r="Z5602" s="782" t="s">
        <v>3657</v>
      </c>
      <c r="AA5602" s="781">
        <f>$S$1*P!AA5602</f>
        <v>1.6284E-2</v>
      </c>
      <c r="AB5602" s="780"/>
      <c r="AC5602" s="780"/>
      <c r="AD5602" s="780"/>
      <c r="AE5602" s="780"/>
      <c r="AF5602" s="780"/>
    </row>
    <row r="5603" spans="19:32" x14ac:dyDescent="0.35">
      <c r="S5603" s="780"/>
      <c r="T5603" s="928"/>
      <c r="U5603" s="928"/>
      <c r="V5603" s="928"/>
      <c r="W5603" s="780"/>
      <c r="X5603" s="782">
        <v>5599</v>
      </c>
      <c r="Y5603" s="782" t="s">
        <v>2248</v>
      </c>
      <c r="Z5603" s="782" t="s">
        <v>3656</v>
      </c>
      <c r="AA5603" s="781">
        <f>$S$1*P!AA5603</f>
        <v>4.3528225806451614E-3</v>
      </c>
      <c r="AB5603" s="780"/>
      <c r="AC5603" s="780"/>
      <c r="AD5603" s="780"/>
      <c r="AE5603" s="780"/>
      <c r="AF5603" s="780"/>
    </row>
    <row r="5604" spans="19:32" x14ac:dyDescent="0.35">
      <c r="S5604" s="780"/>
      <c r="T5604" s="928"/>
      <c r="U5604" s="928"/>
      <c r="V5604" s="928"/>
      <c r="W5604" s="780"/>
      <c r="X5604" s="782">
        <v>5600</v>
      </c>
      <c r="Y5604" s="782" t="s">
        <v>2248</v>
      </c>
      <c r="Z5604" s="782" t="s">
        <v>3655</v>
      </c>
      <c r="AA5604" s="781">
        <f>$S$1*P!AA5604</f>
        <v>0</v>
      </c>
      <c r="AB5604" s="780"/>
      <c r="AC5604" s="780"/>
      <c r="AD5604" s="780"/>
      <c r="AE5604" s="780"/>
      <c r="AF5604" s="780"/>
    </row>
    <row r="5605" spans="19:32" x14ac:dyDescent="0.35">
      <c r="S5605" s="780"/>
      <c r="T5605" s="928"/>
      <c r="U5605" s="928"/>
      <c r="V5605" s="928"/>
      <c r="W5605" s="780"/>
      <c r="X5605" s="782">
        <v>5601</v>
      </c>
      <c r="Y5605" s="782" t="s">
        <v>2248</v>
      </c>
      <c r="Z5605" s="782" t="s">
        <v>3654</v>
      </c>
      <c r="AA5605" s="781">
        <f>$S$1*P!AA5605</f>
        <v>9.8366935483870967E-6</v>
      </c>
      <c r="AB5605" s="780"/>
      <c r="AC5605" s="780"/>
      <c r="AD5605" s="780"/>
      <c r="AE5605" s="780"/>
      <c r="AF5605" s="780"/>
    </row>
    <row r="5606" spans="19:32" x14ac:dyDescent="0.35">
      <c r="S5606" s="780"/>
      <c r="T5606" s="928"/>
      <c r="U5606" s="928"/>
      <c r="V5606" s="928"/>
      <c r="W5606" s="780"/>
      <c r="X5606" s="782">
        <v>5602</v>
      </c>
      <c r="Y5606" s="782" t="s">
        <v>2248</v>
      </c>
      <c r="Z5606" s="782" t="s">
        <v>3653</v>
      </c>
      <c r="AA5606" s="781">
        <f>$S$1*P!AA5606</f>
        <v>1.1207661290322581E-2</v>
      </c>
      <c r="AB5606" s="780"/>
      <c r="AC5606" s="780"/>
      <c r="AD5606" s="780"/>
      <c r="AE5606" s="780"/>
      <c r="AF5606" s="780"/>
    </row>
    <row r="5607" spans="19:32" x14ac:dyDescent="0.35">
      <c r="S5607" s="780"/>
      <c r="T5607" s="928"/>
      <c r="U5607" s="928"/>
      <c r="V5607" s="928"/>
      <c r="W5607" s="780"/>
      <c r="X5607" s="782">
        <v>5603</v>
      </c>
      <c r="Y5607" s="782" t="s">
        <v>2248</v>
      </c>
      <c r="Z5607" s="782" t="s">
        <v>3652</v>
      </c>
      <c r="AA5607" s="781">
        <f>$S$1*P!AA5607</f>
        <v>3.3622983870967745E-6</v>
      </c>
      <c r="AB5607" s="780"/>
      <c r="AC5607" s="780"/>
      <c r="AD5607" s="780"/>
      <c r="AE5607" s="780"/>
      <c r="AF5607" s="780"/>
    </row>
    <row r="5608" spans="19:32" x14ac:dyDescent="0.35">
      <c r="S5608" s="780"/>
      <c r="T5608" s="928"/>
      <c r="U5608" s="928"/>
      <c r="V5608" s="928"/>
      <c r="W5608" s="780"/>
      <c r="X5608" s="782">
        <v>5604</v>
      </c>
      <c r="Y5608" s="782" t="s">
        <v>2248</v>
      </c>
      <c r="Z5608" s="782" t="s">
        <v>3651</v>
      </c>
      <c r="AA5608" s="781">
        <f>$S$1*P!AA5608</f>
        <v>8.8319999999999996E-2</v>
      </c>
      <c r="AB5608" s="780"/>
      <c r="AC5608" s="780"/>
      <c r="AD5608" s="780"/>
      <c r="AE5608" s="780"/>
      <c r="AF5608" s="780"/>
    </row>
    <row r="5609" spans="19:32" x14ac:dyDescent="0.35">
      <c r="S5609" s="780"/>
      <c r="T5609" s="928"/>
      <c r="U5609" s="928"/>
      <c r="V5609" s="928"/>
      <c r="W5609" s="780"/>
      <c r="X5609" s="881">
        <v>5605</v>
      </c>
      <c r="Y5609" s="881" t="s">
        <v>2248</v>
      </c>
      <c r="Z5609" s="881" t="s">
        <v>2283</v>
      </c>
      <c r="AA5609" s="890">
        <f>$S$1*P!AA5609</f>
        <v>0</v>
      </c>
      <c r="AB5609" s="780"/>
      <c r="AC5609" s="780"/>
      <c r="AD5609" s="780"/>
      <c r="AE5609" s="780"/>
      <c r="AF5609" s="780"/>
    </row>
    <row r="5610" spans="19:32" x14ac:dyDescent="0.35">
      <c r="S5610" s="780"/>
      <c r="T5610" s="928"/>
      <c r="U5610" s="928"/>
      <c r="V5610" s="928"/>
      <c r="W5610" s="780"/>
      <c r="X5610" s="782">
        <v>5606</v>
      </c>
      <c r="Y5610" s="782" t="s">
        <v>2248</v>
      </c>
      <c r="Z5610" s="782" t="s">
        <v>3650</v>
      </c>
      <c r="AA5610" s="781">
        <f>$S$1*P!AA5610</f>
        <v>1.9570564516129034E-4</v>
      </c>
      <c r="AB5610" s="780"/>
      <c r="AC5610" s="780"/>
      <c r="AD5610" s="780"/>
      <c r="AE5610" s="780"/>
      <c r="AF5610" s="780"/>
    </row>
    <row r="5611" spans="19:32" x14ac:dyDescent="0.35">
      <c r="S5611" s="780"/>
      <c r="T5611" s="928"/>
      <c r="U5611" s="928"/>
      <c r="V5611" s="928"/>
      <c r="W5611" s="780"/>
      <c r="X5611" s="782">
        <v>5607</v>
      </c>
      <c r="Y5611" s="782" t="s">
        <v>2248</v>
      </c>
      <c r="Z5611" s="782" t="s">
        <v>3649</v>
      </c>
      <c r="AA5611" s="781">
        <f>$S$1*P!AA5611</f>
        <v>0</v>
      </c>
      <c r="AB5611" s="780"/>
      <c r="AC5611" s="780"/>
      <c r="AD5611" s="780"/>
      <c r="AE5611" s="780"/>
      <c r="AF5611" s="780"/>
    </row>
    <row r="5612" spans="19:32" x14ac:dyDescent="0.35">
      <c r="S5612" s="780"/>
      <c r="T5612" s="928"/>
      <c r="U5612" s="928"/>
      <c r="V5612" s="928"/>
      <c r="W5612" s="780"/>
      <c r="X5612" s="782">
        <v>5608</v>
      </c>
      <c r="Y5612" s="782" t="s">
        <v>2248</v>
      </c>
      <c r="Z5612" s="782" t="s">
        <v>2282</v>
      </c>
      <c r="AA5612" s="781">
        <f>$S$1*P!AA5612</f>
        <v>4.524193548387097E-4</v>
      </c>
      <c r="AB5612" s="780"/>
      <c r="AC5612" s="780"/>
      <c r="AD5612" s="780"/>
      <c r="AE5612" s="780"/>
      <c r="AF5612" s="780"/>
    </row>
    <row r="5613" spans="19:32" x14ac:dyDescent="0.35">
      <c r="S5613" s="780"/>
      <c r="T5613" s="928"/>
      <c r="U5613" s="928"/>
      <c r="V5613" s="928"/>
      <c r="W5613" s="780"/>
      <c r="X5613" s="881">
        <v>5609</v>
      </c>
      <c r="Y5613" s="881" t="s">
        <v>2248</v>
      </c>
      <c r="Z5613" s="881" t="s">
        <v>2282</v>
      </c>
      <c r="AA5613" s="890">
        <f>$S$1*P!AA5613</f>
        <v>0</v>
      </c>
      <c r="AB5613" s="780"/>
      <c r="AC5613" s="780"/>
      <c r="AD5613" s="780"/>
      <c r="AE5613" s="780"/>
      <c r="AF5613" s="780"/>
    </row>
    <row r="5614" spans="19:32" x14ac:dyDescent="0.35">
      <c r="S5614" s="780"/>
      <c r="T5614" s="928"/>
      <c r="U5614" s="928"/>
      <c r="V5614" s="928"/>
      <c r="W5614" s="780"/>
      <c r="X5614" s="782">
        <v>5610</v>
      </c>
      <c r="Y5614" s="782" t="s">
        <v>2248</v>
      </c>
      <c r="Z5614" s="782" t="s">
        <v>3648</v>
      </c>
      <c r="AA5614" s="781">
        <f>$S$1*P!AA5614</f>
        <v>7.0104E-2</v>
      </c>
      <c r="AB5614" s="780"/>
      <c r="AC5614" s="780"/>
      <c r="AD5614" s="780"/>
      <c r="AE5614" s="780"/>
      <c r="AF5614" s="780"/>
    </row>
    <row r="5615" spans="19:32" x14ac:dyDescent="0.35">
      <c r="S5615" s="780"/>
      <c r="T5615" s="928"/>
      <c r="U5615" s="928"/>
      <c r="V5615" s="928"/>
      <c r="W5615" s="780"/>
      <c r="X5615" s="782">
        <v>5611</v>
      </c>
      <c r="Y5615" s="782" t="s">
        <v>2248</v>
      </c>
      <c r="Z5615" s="782" t="s">
        <v>3647</v>
      </c>
      <c r="AA5615" s="781">
        <f>$S$1*P!AA5615</f>
        <v>1.7719758064516132E-5</v>
      </c>
      <c r="AB5615" s="780"/>
      <c r="AC5615" s="780"/>
      <c r="AD5615" s="780"/>
      <c r="AE5615" s="780"/>
      <c r="AF5615" s="780"/>
    </row>
    <row r="5616" spans="19:32" x14ac:dyDescent="0.35">
      <c r="S5616" s="780"/>
      <c r="T5616" s="928"/>
      <c r="U5616" s="928"/>
      <c r="V5616" s="928"/>
      <c r="W5616" s="780"/>
      <c r="X5616" s="782">
        <v>5612</v>
      </c>
      <c r="Y5616" s="782" t="s">
        <v>2248</v>
      </c>
      <c r="Z5616" s="782" t="s">
        <v>3646</v>
      </c>
      <c r="AA5616" s="781">
        <f>$S$1*P!AA5616</f>
        <v>5.175403225806452E-2</v>
      </c>
      <c r="AB5616" s="780"/>
      <c r="AC5616" s="780"/>
      <c r="AD5616" s="780"/>
      <c r="AE5616" s="780"/>
      <c r="AF5616" s="780"/>
    </row>
    <row r="5617" spans="19:32" x14ac:dyDescent="0.35">
      <c r="S5617" s="780"/>
      <c r="T5617" s="928"/>
      <c r="U5617" s="928"/>
      <c r="V5617" s="928"/>
      <c r="W5617" s="780"/>
      <c r="X5617" s="782">
        <v>5613</v>
      </c>
      <c r="Y5617" s="782" t="s">
        <v>2248</v>
      </c>
      <c r="Z5617" s="782" t="s">
        <v>3645</v>
      </c>
      <c r="AA5617" s="781">
        <f>$S$1*P!AA5617</f>
        <v>1.8952000000000002</v>
      </c>
      <c r="AB5617" s="780"/>
      <c r="AC5617" s="780"/>
      <c r="AD5617" s="780"/>
      <c r="AE5617" s="780"/>
      <c r="AF5617" s="780"/>
    </row>
    <row r="5618" spans="19:32" x14ac:dyDescent="0.35">
      <c r="S5618" s="780"/>
      <c r="T5618" s="928"/>
      <c r="U5618" s="928"/>
      <c r="V5618" s="928"/>
      <c r="W5618" s="780"/>
      <c r="X5618" s="782">
        <v>5614</v>
      </c>
      <c r="Y5618" s="782" t="s">
        <v>2248</v>
      </c>
      <c r="Z5618" s="782" t="s">
        <v>3644</v>
      </c>
      <c r="AA5618" s="781">
        <f>$S$1*P!AA5618</f>
        <v>1.1173387096774193E-4</v>
      </c>
      <c r="AB5618" s="780"/>
      <c r="AC5618" s="780"/>
      <c r="AD5618" s="780"/>
      <c r="AE5618" s="780"/>
      <c r="AF5618" s="780"/>
    </row>
    <row r="5619" spans="19:32" x14ac:dyDescent="0.35">
      <c r="S5619" s="780"/>
      <c r="T5619" s="928"/>
      <c r="U5619" s="928"/>
      <c r="V5619" s="928"/>
      <c r="W5619" s="780"/>
      <c r="X5619" s="782">
        <v>5615</v>
      </c>
      <c r="Y5619" s="782" t="s">
        <v>2248</v>
      </c>
      <c r="Z5619" s="782" t="s">
        <v>3643</v>
      </c>
      <c r="AA5619" s="781">
        <f>$S$1*P!AA5619</f>
        <v>0</v>
      </c>
      <c r="AB5619" s="780"/>
      <c r="AC5619" s="780"/>
      <c r="AD5619" s="780"/>
      <c r="AE5619" s="780"/>
      <c r="AF5619" s="780"/>
    </row>
    <row r="5620" spans="19:32" x14ac:dyDescent="0.35">
      <c r="S5620" s="780"/>
      <c r="T5620" s="928"/>
      <c r="U5620" s="928"/>
      <c r="V5620" s="928"/>
      <c r="W5620" s="780"/>
      <c r="X5620" s="782">
        <v>5616</v>
      </c>
      <c r="Y5620" s="782" t="s">
        <v>2248</v>
      </c>
      <c r="Z5620" s="782" t="s">
        <v>3642</v>
      </c>
      <c r="AA5620" s="781">
        <f>$S$1*P!AA5620</f>
        <v>1.3743951612903225E-6</v>
      </c>
      <c r="AB5620" s="780"/>
      <c r="AC5620" s="780"/>
      <c r="AD5620" s="780"/>
      <c r="AE5620" s="780"/>
      <c r="AF5620" s="780"/>
    </row>
    <row r="5621" spans="19:32" x14ac:dyDescent="0.35">
      <c r="S5621" s="780"/>
      <c r="T5621" s="928"/>
      <c r="U5621" s="928"/>
      <c r="V5621" s="928"/>
      <c r="W5621" s="780"/>
      <c r="X5621" s="782">
        <v>5617</v>
      </c>
      <c r="Y5621" s="782" t="s">
        <v>2248</v>
      </c>
      <c r="Z5621" s="782" t="s">
        <v>3641</v>
      </c>
      <c r="AA5621" s="781">
        <f>$S$1*P!AA5621</f>
        <v>1.7788306451612904E-3</v>
      </c>
      <c r="AB5621" s="780"/>
      <c r="AC5621" s="780"/>
      <c r="AD5621" s="780"/>
      <c r="AE5621" s="780"/>
      <c r="AF5621" s="780"/>
    </row>
    <row r="5622" spans="19:32" x14ac:dyDescent="0.35">
      <c r="S5622" s="780"/>
      <c r="T5622" s="928"/>
      <c r="U5622" s="928"/>
      <c r="V5622" s="928"/>
      <c r="W5622" s="780"/>
      <c r="X5622" s="782">
        <v>5618</v>
      </c>
      <c r="Y5622" s="782" t="s">
        <v>2248</v>
      </c>
      <c r="Z5622" s="782" t="s">
        <v>3640</v>
      </c>
      <c r="AA5622" s="781">
        <f>$S$1*P!AA5622</f>
        <v>0</v>
      </c>
      <c r="AB5622" s="780"/>
      <c r="AC5622" s="780"/>
      <c r="AD5622" s="780"/>
      <c r="AE5622" s="780"/>
      <c r="AF5622" s="780"/>
    </row>
    <row r="5623" spans="19:32" x14ac:dyDescent="0.35">
      <c r="S5623" s="780"/>
      <c r="T5623" s="928"/>
      <c r="U5623" s="928"/>
      <c r="V5623" s="928"/>
      <c r="W5623" s="780"/>
      <c r="X5623" s="782">
        <v>5619</v>
      </c>
      <c r="Y5623" s="782" t="s">
        <v>2248</v>
      </c>
      <c r="Z5623" s="782" t="s">
        <v>3639</v>
      </c>
      <c r="AA5623" s="781">
        <f>$S$1*P!AA5623</f>
        <v>1.5320564516129034E-2</v>
      </c>
      <c r="AB5623" s="780"/>
      <c r="AC5623" s="780"/>
      <c r="AD5623" s="780"/>
      <c r="AE5623" s="780"/>
      <c r="AF5623" s="780"/>
    </row>
    <row r="5624" spans="19:32" x14ac:dyDescent="0.35">
      <c r="S5624" s="780"/>
      <c r="T5624" s="928"/>
      <c r="U5624" s="928"/>
      <c r="V5624" s="928"/>
      <c r="W5624" s="780"/>
      <c r="X5624" s="881">
        <v>5620</v>
      </c>
      <c r="Y5624" s="881" t="s">
        <v>2248</v>
      </c>
      <c r="Z5624" s="881" t="s">
        <v>2280</v>
      </c>
      <c r="AA5624" s="890">
        <f>$S$1*P!AA5624</f>
        <v>0.34683999999999998</v>
      </c>
      <c r="AB5624" s="780"/>
      <c r="AC5624" s="780"/>
      <c r="AD5624" s="780"/>
      <c r="AE5624" s="780"/>
      <c r="AF5624" s="780"/>
    </row>
    <row r="5625" spans="19:32" x14ac:dyDescent="0.35">
      <c r="S5625" s="780"/>
      <c r="T5625" s="928"/>
      <c r="U5625" s="928"/>
      <c r="V5625" s="928"/>
      <c r="W5625" s="780"/>
      <c r="X5625" s="782">
        <v>5621</v>
      </c>
      <c r="Y5625" s="782" t="s">
        <v>2248</v>
      </c>
      <c r="Z5625" s="782" t="s">
        <v>3638</v>
      </c>
      <c r="AA5625" s="781">
        <f>$S$1*P!AA5625</f>
        <v>11.132</v>
      </c>
      <c r="AB5625" s="780"/>
      <c r="AC5625" s="780"/>
      <c r="AD5625" s="780"/>
      <c r="AE5625" s="780"/>
      <c r="AF5625" s="780"/>
    </row>
    <row r="5626" spans="19:32" x14ac:dyDescent="0.35">
      <c r="S5626" s="780"/>
      <c r="T5626" s="928"/>
      <c r="U5626" s="928"/>
      <c r="V5626" s="928"/>
      <c r="W5626" s="780"/>
      <c r="X5626" s="782">
        <v>5622</v>
      </c>
      <c r="Y5626" s="782" t="s">
        <v>2248</v>
      </c>
      <c r="Z5626" s="782" t="s">
        <v>3637</v>
      </c>
      <c r="AA5626" s="781">
        <f>$S$1*P!AA5626</f>
        <v>8.3971774193548399E-2</v>
      </c>
      <c r="AB5626" s="780"/>
      <c r="AC5626" s="780"/>
      <c r="AD5626" s="780"/>
      <c r="AE5626" s="780"/>
      <c r="AF5626" s="780"/>
    </row>
    <row r="5627" spans="19:32" x14ac:dyDescent="0.35">
      <c r="S5627" s="780"/>
      <c r="T5627" s="928"/>
      <c r="U5627" s="928"/>
      <c r="V5627" s="928"/>
      <c r="W5627" s="780"/>
      <c r="X5627" s="881">
        <v>5623</v>
      </c>
      <c r="Y5627" s="881" t="s">
        <v>2248</v>
      </c>
      <c r="Z5627" s="881" t="s">
        <v>2279</v>
      </c>
      <c r="AA5627" s="890">
        <f>$S$1*P!AA5627</f>
        <v>0.58051999999999992</v>
      </c>
      <c r="AB5627" s="780"/>
      <c r="AC5627" s="780"/>
      <c r="AD5627" s="780"/>
      <c r="AE5627" s="780"/>
      <c r="AF5627" s="780"/>
    </row>
    <row r="5628" spans="19:32" x14ac:dyDescent="0.35">
      <c r="S5628" s="780"/>
      <c r="T5628" s="928"/>
      <c r="U5628" s="928"/>
      <c r="V5628" s="928"/>
      <c r="W5628" s="780"/>
      <c r="X5628" s="782">
        <v>5624</v>
      </c>
      <c r="Y5628" s="782" t="s">
        <v>2248</v>
      </c>
      <c r="Z5628" s="782" t="s">
        <v>3636</v>
      </c>
      <c r="AA5628" s="781">
        <f>$S$1*P!AA5628</f>
        <v>1.0119999999999999E-2</v>
      </c>
      <c r="AB5628" s="780"/>
      <c r="AC5628" s="780"/>
      <c r="AD5628" s="780"/>
      <c r="AE5628" s="780"/>
      <c r="AF5628" s="780"/>
    </row>
    <row r="5629" spans="19:32" x14ac:dyDescent="0.35">
      <c r="S5629" s="780"/>
      <c r="T5629" s="928"/>
      <c r="U5629" s="928"/>
      <c r="V5629" s="928"/>
      <c r="W5629" s="780"/>
      <c r="X5629" s="782">
        <v>5625</v>
      </c>
      <c r="Y5629" s="782" t="s">
        <v>2248</v>
      </c>
      <c r="Z5629" s="782" t="s">
        <v>3635</v>
      </c>
      <c r="AA5629" s="781">
        <f>$S$1*P!AA5629</f>
        <v>2.0221774193548389E-4</v>
      </c>
      <c r="AB5629" s="780"/>
      <c r="AC5629" s="780"/>
      <c r="AD5629" s="780"/>
      <c r="AE5629" s="780"/>
      <c r="AF5629" s="780"/>
    </row>
    <row r="5630" spans="19:32" x14ac:dyDescent="0.35">
      <c r="S5630" s="780"/>
      <c r="T5630" s="928"/>
      <c r="U5630" s="928"/>
      <c r="V5630" s="928"/>
      <c r="W5630" s="780"/>
      <c r="X5630" s="782">
        <v>5626</v>
      </c>
      <c r="Y5630" s="782" t="s">
        <v>2248</v>
      </c>
      <c r="Z5630" s="782" t="s">
        <v>3634</v>
      </c>
      <c r="AA5630" s="781">
        <f>$S$1*P!AA5630</f>
        <v>1.7582661290322581</v>
      </c>
      <c r="AB5630" s="780"/>
      <c r="AC5630" s="780"/>
      <c r="AD5630" s="780"/>
      <c r="AE5630" s="780"/>
      <c r="AF5630" s="780"/>
    </row>
    <row r="5631" spans="19:32" x14ac:dyDescent="0.35">
      <c r="S5631" s="780"/>
      <c r="T5631" s="928"/>
      <c r="U5631" s="928"/>
      <c r="V5631" s="928"/>
      <c r="W5631" s="780"/>
      <c r="X5631" s="782">
        <v>5627</v>
      </c>
      <c r="Y5631" s="782" t="s">
        <v>2248</v>
      </c>
      <c r="Z5631" s="782" t="s">
        <v>3633</v>
      </c>
      <c r="AA5631" s="781">
        <f>$S$1*P!AA5631</f>
        <v>0.1288</v>
      </c>
      <c r="AB5631" s="780"/>
      <c r="AC5631" s="780"/>
      <c r="AD5631" s="780"/>
      <c r="AE5631" s="780"/>
      <c r="AF5631" s="780"/>
    </row>
    <row r="5632" spans="19:32" x14ac:dyDescent="0.35">
      <c r="S5632" s="780"/>
      <c r="T5632" s="928"/>
      <c r="U5632" s="928"/>
      <c r="V5632" s="928"/>
      <c r="W5632" s="780"/>
      <c r="X5632" s="782">
        <v>5628</v>
      </c>
      <c r="Y5632" s="782" t="s">
        <v>2248</v>
      </c>
      <c r="Z5632" s="782" t="s">
        <v>3632</v>
      </c>
      <c r="AA5632" s="781">
        <f>$S$1*P!AA5632</f>
        <v>11.893145161290324</v>
      </c>
      <c r="AB5632" s="780"/>
      <c r="AC5632" s="780"/>
      <c r="AD5632" s="780"/>
      <c r="AE5632" s="780"/>
      <c r="AF5632" s="780"/>
    </row>
    <row r="5633" spans="19:32" x14ac:dyDescent="0.35">
      <c r="S5633" s="780"/>
      <c r="T5633" s="928"/>
      <c r="U5633" s="928"/>
      <c r="V5633" s="928"/>
      <c r="W5633" s="780"/>
      <c r="X5633" s="782">
        <v>5629</v>
      </c>
      <c r="Y5633" s="782" t="s">
        <v>2248</v>
      </c>
      <c r="Z5633" s="782" t="s">
        <v>3631</v>
      </c>
      <c r="AA5633" s="781">
        <f>$S$1*P!AA5633</f>
        <v>1.7993951612903228E-3</v>
      </c>
      <c r="AB5633" s="780"/>
      <c r="AC5633" s="780"/>
      <c r="AD5633" s="780"/>
      <c r="AE5633" s="780"/>
      <c r="AF5633" s="780"/>
    </row>
    <row r="5634" spans="19:32" x14ac:dyDescent="0.35">
      <c r="S5634" s="780"/>
      <c r="T5634" s="928"/>
      <c r="U5634" s="928"/>
      <c r="V5634" s="928"/>
      <c r="W5634" s="780"/>
      <c r="X5634" s="782">
        <v>5630</v>
      </c>
      <c r="Y5634" s="782" t="s">
        <v>2248</v>
      </c>
      <c r="Z5634" s="782" t="s">
        <v>3630</v>
      </c>
      <c r="AA5634" s="781">
        <f>$S$1*P!AA5634</f>
        <v>13.523999999999999</v>
      </c>
      <c r="AB5634" s="780"/>
      <c r="AC5634" s="780"/>
      <c r="AD5634" s="780"/>
      <c r="AE5634" s="780"/>
      <c r="AF5634" s="780"/>
    </row>
    <row r="5635" spans="19:32" x14ac:dyDescent="0.35">
      <c r="S5635" s="780"/>
      <c r="T5635" s="928"/>
      <c r="U5635" s="928"/>
      <c r="V5635" s="928"/>
      <c r="W5635" s="780"/>
      <c r="X5635" s="782">
        <v>5631</v>
      </c>
      <c r="Y5635" s="782" t="s">
        <v>2248</v>
      </c>
      <c r="Z5635" s="782" t="s">
        <v>3629</v>
      </c>
      <c r="AA5635" s="781">
        <f>$S$1*P!AA5635</f>
        <v>2.1866935483870971E-5</v>
      </c>
      <c r="AB5635" s="780"/>
      <c r="AC5635" s="780"/>
      <c r="AD5635" s="780"/>
      <c r="AE5635" s="780"/>
      <c r="AF5635" s="780"/>
    </row>
    <row r="5636" spans="19:32" x14ac:dyDescent="0.35">
      <c r="S5636" s="780"/>
      <c r="T5636" s="928"/>
      <c r="U5636" s="928"/>
      <c r="V5636" s="928"/>
      <c r="W5636" s="780"/>
      <c r="X5636" s="782">
        <v>5632</v>
      </c>
      <c r="Y5636" s="782" t="s">
        <v>2248</v>
      </c>
      <c r="Z5636" s="782" t="s">
        <v>3628</v>
      </c>
      <c r="AA5636" s="781">
        <f>$S$1*P!AA5636</f>
        <v>8.5000000000000006E-2</v>
      </c>
      <c r="AB5636" s="780"/>
      <c r="AC5636" s="780"/>
      <c r="AD5636" s="780"/>
      <c r="AE5636" s="780"/>
      <c r="AF5636" s="780"/>
    </row>
    <row r="5637" spans="19:32" x14ac:dyDescent="0.35">
      <c r="S5637" s="780"/>
      <c r="T5637" s="928"/>
      <c r="U5637" s="928"/>
      <c r="V5637" s="928"/>
      <c r="W5637" s="780"/>
      <c r="X5637" s="782">
        <v>5633</v>
      </c>
      <c r="Y5637" s="782" t="s">
        <v>2248</v>
      </c>
      <c r="Z5637" s="782" t="s">
        <v>3627</v>
      </c>
      <c r="AA5637" s="781">
        <f>$S$1*P!AA5637</f>
        <v>61.64</v>
      </c>
      <c r="AB5637" s="780"/>
      <c r="AC5637" s="780"/>
      <c r="AD5637" s="780"/>
      <c r="AE5637" s="780"/>
      <c r="AF5637" s="780"/>
    </row>
    <row r="5638" spans="19:32" x14ac:dyDescent="0.35">
      <c r="S5638" s="780"/>
      <c r="T5638" s="928"/>
      <c r="U5638" s="928"/>
      <c r="V5638" s="928"/>
      <c r="W5638" s="780"/>
      <c r="X5638" s="881">
        <v>5634</v>
      </c>
      <c r="Y5638" s="881" t="s">
        <v>2248</v>
      </c>
      <c r="Z5638" s="881" t="s">
        <v>2277</v>
      </c>
      <c r="AA5638" s="890">
        <f>$S$1*P!AA5638</f>
        <v>1.3708000000000001E-4</v>
      </c>
      <c r="AB5638" s="780"/>
      <c r="AC5638" s="780"/>
      <c r="AD5638" s="780"/>
      <c r="AE5638" s="780"/>
      <c r="AF5638" s="780"/>
    </row>
    <row r="5639" spans="19:32" x14ac:dyDescent="0.35">
      <c r="S5639" s="780"/>
      <c r="T5639" s="928"/>
      <c r="U5639" s="928"/>
      <c r="V5639" s="928"/>
      <c r="W5639" s="780"/>
      <c r="X5639" s="782">
        <v>5635</v>
      </c>
      <c r="Y5639" s="782" t="s">
        <v>2248</v>
      </c>
      <c r="Z5639" s="782" t="s">
        <v>3626</v>
      </c>
      <c r="AA5639" s="781">
        <f>$S$1*P!AA5639</f>
        <v>676.19999999999993</v>
      </c>
      <c r="AB5639" s="780"/>
      <c r="AC5639" s="780"/>
      <c r="AD5639" s="780"/>
      <c r="AE5639" s="780"/>
      <c r="AF5639" s="780"/>
    </row>
    <row r="5640" spans="19:32" x14ac:dyDescent="0.35">
      <c r="S5640" s="780"/>
      <c r="T5640" s="928"/>
      <c r="U5640" s="928"/>
      <c r="V5640" s="928"/>
      <c r="W5640" s="780"/>
      <c r="X5640" s="782">
        <v>5636</v>
      </c>
      <c r="Y5640" s="782" t="s">
        <v>2248</v>
      </c>
      <c r="Z5640" s="782" t="s">
        <v>3625</v>
      </c>
      <c r="AA5640" s="781">
        <f>$S$1*P!AA5640</f>
        <v>2.6185483870967744E-3</v>
      </c>
      <c r="AB5640" s="780"/>
      <c r="AC5640" s="780"/>
      <c r="AD5640" s="780"/>
      <c r="AE5640" s="780"/>
      <c r="AF5640" s="780"/>
    </row>
    <row r="5641" spans="19:32" x14ac:dyDescent="0.35">
      <c r="S5641" s="780"/>
      <c r="T5641" s="928"/>
      <c r="U5641" s="928"/>
      <c r="V5641" s="928"/>
      <c r="W5641" s="780"/>
      <c r="X5641" s="782">
        <v>5637</v>
      </c>
      <c r="Y5641" s="782" t="s">
        <v>2248</v>
      </c>
      <c r="Z5641" s="782" t="s">
        <v>3012</v>
      </c>
      <c r="AA5641" s="781">
        <f>$S$1*P!AA5641</f>
        <v>2.573991935483871E-2</v>
      </c>
      <c r="AB5641" s="780"/>
      <c r="AC5641" s="780"/>
      <c r="AD5641" s="780"/>
      <c r="AE5641" s="780"/>
      <c r="AF5641" s="780"/>
    </row>
    <row r="5642" spans="19:32" x14ac:dyDescent="0.35">
      <c r="S5642" s="780"/>
      <c r="T5642" s="928"/>
      <c r="U5642" s="928"/>
      <c r="V5642" s="928"/>
      <c r="W5642" s="780"/>
      <c r="X5642" s="782">
        <v>5638</v>
      </c>
      <c r="Y5642" s="782" t="s">
        <v>2248</v>
      </c>
      <c r="Z5642" s="782" t="s">
        <v>3624</v>
      </c>
      <c r="AA5642" s="781">
        <f>$S$1*P!AA5642</f>
        <v>2.2004032258064517E-3</v>
      </c>
      <c r="AB5642" s="780"/>
      <c r="AC5642" s="780"/>
      <c r="AD5642" s="780"/>
      <c r="AE5642" s="780"/>
      <c r="AF5642" s="780"/>
    </row>
    <row r="5643" spans="19:32" x14ac:dyDescent="0.35">
      <c r="S5643" s="780"/>
      <c r="T5643" s="928"/>
      <c r="U5643" s="928"/>
      <c r="V5643" s="928"/>
      <c r="W5643" s="780"/>
      <c r="X5643" s="782">
        <v>5639</v>
      </c>
      <c r="Y5643" s="782" t="s">
        <v>2248</v>
      </c>
      <c r="Z5643" s="782" t="s">
        <v>3623</v>
      </c>
      <c r="AA5643" s="781">
        <f>$S$1*P!AA5643</f>
        <v>0</v>
      </c>
      <c r="AB5643" s="780"/>
      <c r="AC5643" s="780"/>
      <c r="AD5643" s="780"/>
      <c r="AE5643" s="780"/>
      <c r="AF5643" s="780"/>
    </row>
    <row r="5644" spans="19:32" x14ac:dyDescent="0.35">
      <c r="S5644" s="780"/>
      <c r="T5644" s="928"/>
      <c r="U5644" s="928"/>
      <c r="V5644" s="928"/>
      <c r="W5644" s="780"/>
      <c r="X5644" s="782">
        <v>5640</v>
      </c>
      <c r="Y5644" s="782" t="s">
        <v>2248</v>
      </c>
      <c r="Z5644" s="782" t="s">
        <v>3622</v>
      </c>
      <c r="AA5644" s="781">
        <f>$S$1*P!AA5644</f>
        <v>0.42157258064516134</v>
      </c>
      <c r="AB5644" s="780"/>
      <c r="AC5644" s="780"/>
      <c r="AD5644" s="780"/>
      <c r="AE5644" s="780"/>
      <c r="AF5644" s="780"/>
    </row>
    <row r="5645" spans="19:32" x14ac:dyDescent="0.35">
      <c r="S5645" s="780"/>
      <c r="T5645" s="928"/>
      <c r="U5645" s="928"/>
      <c r="V5645" s="928"/>
      <c r="W5645" s="780"/>
      <c r="X5645" s="782">
        <v>5641</v>
      </c>
      <c r="Y5645" s="782" t="s">
        <v>2248</v>
      </c>
      <c r="Z5645" s="782" t="s">
        <v>3621</v>
      </c>
      <c r="AA5645" s="781">
        <f>$S$1*P!AA5645</f>
        <v>7.0563999999999991</v>
      </c>
      <c r="AB5645" s="780"/>
      <c r="AC5645" s="780"/>
      <c r="AD5645" s="780"/>
      <c r="AE5645" s="780"/>
      <c r="AF5645" s="780"/>
    </row>
    <row r="5646" spans="19:32" x14ac:dyDescent="0.35">
      <c r="S5646" s="780"/>
      <c r="T5646" s="928"/>
      <c r="U5646" s="928"/>
      <c r="V5646" s="928"/>
      <c r="W5646" s="780"/>
      <c r="X5646" s="782">
        <v>5642</v>
      </c>
      <c r="Y5646" s="782" t="s">
        <v>2248</v>
      </c>
      <c r="Z5646" s="782" t="s">
        <v>3620</v>
      </c>
      <c r="AA5646" s="781">
        <f>$S$1*P!AA5646</f>
        <v>1.1241935483870968E-5</v>
      </c>
      <c r="AB5646" s="780"/>
      <c r="AC5646" s="780"/>
      <c r="AD5646" s="780"/>
      <c r="AE5646" s="780"/>
      <c r="AF5646" s="780"/>
    </row>
    <row r="5647" spans="19:32" x14ac:dyDescent="0.35">
      <c r="S5647" s="780"/>
      <c r="T5647" s="928"/>
      <c r="U5647" s="928"/>
      <c r="V5647" s="928"/>
      <c r="W5647" s="780"/>
      <c r="X5647" s="782">
        <v>5643</v>
      </c>
      <c r="Y5647" s="782" t="s">
        <v>2248</v>
      </c>
      <c r="Z5647" s="782" t="s">
        <v>3619</v>
      </c>
      <c r="AA5647" s="781">
        <f>$S$1*P!AA5647</f>
        <v>8.2258064516129034E-2</v>
      </c>
      <c r="AB5647" s="780"/>
      <c r="AC5647" s="780"/>
      <c r="AD5647" s="780"/>
      <c r="AE5647" s="780"/>
      <c r="AF5647" s="780"/>
    </row>
    <row r="5648" spans="19:32" x14ac:dyDescent="0.35">
      <c r="S5648" s="780"/>
      <c r="T5648" s="928"/>
      <c r="U5648" s="928"/>
      <c r="V5648" s="928"/>
      <c r="W5648" s="780"/>
      <c r="X5648" s="782">
        <v>5644</v>
      </c>
      <c r="Y5648" s="782" t="s">
        <v>2248</v>
      </c>
      <c r="Z5648" s="782" t="s">
        <v>3618</v>
      </c>
      <c r="AA5648" s="781">
        <f>$S$1*P!AA5648</f>
        <v>2.2355999999999998</v>
      </c>
      <c r="AB5648" s="780"/>
      <c r="AC5648" s="780"/>
      <c r="AD5648" s="780"/>
      <c r="AE5648" s="780"/>
      <c r="AF5648" s="780"/>
    </row>
    <row r="5649" spans="19:32" x14ac:dyDescent="0.35">
      <c r="S5649" s="780"/>
      <c r="T5649" s="928"/>
      <c r="U5649" s="928"/>
      <c r="V5649" s="928"/>
      <c r="W5649" s="780"/>
      <c r="X5649" s="782">
        <v>5645</v>
      </c>
      <c r="Y5649" s="782" t="s">
        <v>2248</v>
      </c>
      <c r="Z5649" s="782" t="s">
        <v>3617</v>
      </c>
      <c r="AA5649" s="781">
        <f>$S$1*P!AA5649</f>
        <v>3.8387096774193555E-6</v>
      </c>
      <c r="AB5649" s="780"/>
      <c r="AC5649" s="780"/>
      <c r="AD5649" s="780"/>
      <c r="AE5649" s="780"/>
      <c r="AF5649" s="780"/>
    </row>
    <row r="5650" spans="19:32" x14ac:dyDescent="0.35">
      <c r="S5650" s="780"/>
      <c r="T5650" s="928"/>
      <c r="U5650" s="928"/>
      <c r="V5650" s="928"/>
      <c r="W5650" s="780"/>
      <c r="X5650" s="782">
        <v>5646</v>
      </c>
      <c r="Y5650" s="782" t="s">
        <v>2248</v>
      </c>
      <c r="Z5650" s="782" t="s">
        <v>3616</v>
      </c>
      <c r="AA5650" s="781">
        <f>$S$1*P!AA5650</f>
        <v>14.443999999999999</v>
      </c>
      <c r="AB5650" s="780"/>
      <c r="AC5650" s="780"/>
      <c r="AD5650" s="780"/>
      <c r="AE5650" s="780"/>
      <c r="AF5650" s="780"/>
    </row>
    <row r="5651" spans="19:32" x14ac:dyDescent="0.35">
      <c r="S5651" s="780"/>
      <c r="T5651" s="928"/>
      <c r="U5651" s="928"/>
      <c r="V5651" s="928"/>
      <c r="W5651" s="780"/>
      <c r="X5651" s="782">
        <v>5647</v>
      </c>
      <c r="Y5651" s="782" t="s">
        <v>2248</v>
      </c>
      <c r="Z5651" s="782" t="s">
        <v>2276</v>
      </c>
      <c r="AA5651" s="781">
        <f>$S$1*P!AA5651</f>
        <v>5.5524193548387099E-2</v>
      </c>
      <c r="AB5651" s="780"/>
      <c r="AC5651" s="780"/>
      <c r="AD5651" s="780"/>
      <c r="AE5651" s="780"/>
      <c r="AF5651" s="780"/>
    </row>
    <row r="5652" spans="19:32" x14ac:dyDescent="0.35">
      <c r="S5652" s="780"/>
      <c r="T5652" s="928"/>
      <c r="U5652" s="928"/>
      <c r="V5652" s="928"/>
      <c r="W5652" s="780"/>
      <c r="X5652" s="782">
        <v>5648</v>
      </c>
      <c r="Y5652" s="782" t="s">
        <v>2248</v>
      </c>
      <c r="Z5652" s="782" t="s">
        <v>3010</v>
      </c>
      <c r="AA5652" s="781">
        <f>$S$1*P!AA5652</f>
        <v>472.98387096774195</v>
      </c>
      <c r="AB5652" s="780"/>
      <c r="AC5652" s="780"/>
      <c r="AD5652" s="780"/>
      <c r="AE5652" s="780"/>
      <c r="AF5652" s="780"/>
    </row>
    <row r="5653" spans="19:32" x14ac:dyDescent="0.35">
      <c r="S5653" s="780"/>
      <c r="T5653" s="928"/>
      <c r="U5653" s="928"/>
      <c r="V5653" s="928"/>
      <c r="W5653" s="780"/>
      <c r="X5653" s="881">
        <v>5649</v>
      </c>
      <c r="Y5653" s="881" t="s">
        <v>2248</v>
      </c>
      <c r="Z5653" s="881" t="s">
        <v>2276</v>
      </c>
      <c r="AA5653" s="890">
        <f>$S$1*P!AA5653</f>
        <v>0.34500000000000003</v>
      </c>
      <c r="AB5653" s="780"/>
      <c r="AC5653" s="780"/>
      <c r="AD5653" s="780"/>
      <c r="AE5653" s="780"/>
      <c r="AF5653" s="780"/>
    </row>
    <row r="5654" spans="19:32" x14ac:dyDescent="0.35">
      <c r="S5654" s="780"/>
      <c r="T5654" s="928"/>
      <c r="U5654" s="928"/>
      <c r="V5654" s="928"/>
      <c r="W5654" s="780"/>
      <c r="X5654" s="782">
        <v>5650</v>
      </c>
      <c r="Y5654" s="782" t="s">
        <v>2248</v>
      </c>
      <c r="Z5654" s="782" t="s">
        <v>3615</v>
      </c>
      <c r="AA5654" s="781">
        <f>$S$1*P!AA5654</f>
        <v>7.6727999999999996</v>
      </c>
      <c r="AB5654" s="780"/>
      <c r="AC5654" s="780"/>
      <c r="AD5654" s="780"/>
      <c r="AE5654" s="780"/>
      <c r="AF5654" s="780"/>
    </row>
    <row r="5655" spans="19:32" x14ac:dyDescent="0.35">
      <c r="S5655" s="780"/>
      <c r="T5655" s="928"/>
      <c r="U5655" s="928"/>
      <c r="V5655" s="928"/>
      <c r="W5655" s="780"/>
      <c r="X5655" s="782">
        <v>5651</v>
      </c>
      <c r="Y5655" s="782" t="s">
        <v>2248</v>
      </c>
      <c r="Z5655" s="782" t="s">
        <v>2274</v>
      </c>
      <c r="AA5655" s="781">
        <f>$S$1*P!AA5655</f>
        <v>3.9415322580645161E-3</v>
      </c>
      <c r="AB5655" s="780"/>
      <c r="AC5655" s="780"/>
      <c r="AD5655" s="780"/>
      <c r="AE5655" s="780"/>
      <c r="AF5655" s="780"/>
    </row>
    <row r="5656" spans="19:32" x14ac:dyDescent="0.35">
      <c r="S5656" s="780"/>
      <c r="T5656" s="928"/>
      <c r="U5656" s="928"/>
      <c r="V5656" s="928"/>
      <c r="W5656" s="780"/>
      <c r="X5656" s="782">
        <v>5652</v>
      </c>
      <c r="Y5656" s="782" t="s">
        <v>2248</v>
      </c>
      <c r="Z5656" s="782" t="s">
        <v>3614</v>
      </c>
      <c r="AA5656" s="781">
        <f>$S$1*P!AA5656</f>
        <v>4.0443548387096779</v>
      </c>
      <c r="AB5656" s="780"/>
      <c r="AC5656" s="780"/>
      <c r="AD5656" s="780"/>
      <c r="AE5656" s="780"/>
      <c r="AF5656" s="780"/>
    </row>
    <row r="5657" spans="19:32" x14ac:dyDescent="0.35">
      <c r="S5657" s="780"/>
      <c r="T5657" s="928"/>
      <c r="U5657" s="928"/>
      <c r="V5657" s="928"/>
      <c r="W5657" s="780"/>
      <c r="X5657" s="881">
        <v>5653</v>
      </c>
      <c r="Y5657" s="881" t="s">
        <v>2248</v>
      </c>
      <c r="Z5657" s="881" t="s">
        <v>2274</v>
      </c>
      <c r="AA5657" s="890">
        <f>$S$1*P!AA5657</f>
        <v>0.69184000000000001</v>
      </c>
      <c r="AB5657" s="780"/>
      <c r="AC5657" s="780"/>
      <c r="AD5657" s="780"/>
      <c r="AE5657" s="780"/>
      <c r="AF5657" s="780"/>
    </row>
    <row r="5658" spans="19:32" x14ac:dyDescent="0.35">
      <c r="S5658" s="780"/>
      <c r="T5658" s="928"/>
      <c r="U5658" s="928"/>
      <c r="V5658" s="928"/>
      <c r="W5658" s="780"/>
      <c r="X5658" s="782">
        <v>5654</v>
      </c>
      <c r="Y5658" s="782" t="s">
        <v>2248</v>
      </c>
      <c r="Z5658" s="782" t="s">
        <v>3613</v>
      </c>
      <c r="AA5658" s="781">
        <f>$S$1*P!AA5658</f>
        <v>6.2468000000000004</v>
      </c>
      <c r="AB5658" s="780"/>
      <c r="AC5658" s="780"/>
      <c r="AD5658" s="780"/>
      <c r="AE5658" s="780"/>
      <c r="AF5658" s="780"/>
    </row>
    <row r="5659" spans="19:32" x14ac:dyDescent="0.35">
      <c r="S5659" s="780"/>
      <c r="T5659" s="928"/>
      <c r="U5659" s="928"/>
      <c r="V5659" s="928"/>
      <c r="W5659" s="780"/>
      <c r="X5659" s="782">
        <v>5655</v>
      </c>
      <c r="Y5659" s="782" t="s">
        <v>2248</v>
      </c>
      <c r="Z5659" s="782" t="s">
        <v>3612</v>
      </c>
      <c r="AA5659" s="781">
        <f>$S$1*P!AA5659</f>
        <v>3.7719999999999998</v>
      </c>
      <c r="AB5659" s="780"/>
      <c r="AC5659" s="780"/>
      <c r="AD5659" s="780"/>
      <c r="AE5659" s="780"/>
      <c r="AF5659" s="780"/>
    </row>
    <row r="5660" spans="19:32" x14ac:dyDescent="0.35">
      <c r="S5660" s="780"/>
      <c r="T5660" s="928"/>
      <c r="U5660" s="928"/>
      <c r="V5660" s="928"/>
      <c r="W5660" s="780"/>
      <c r="X5660" s="782">
        <v>5656</v>
      </c>
      <c r="Y5660" s="782" t="s">
        <v>2248</v>
      </c>
      <c r="Z5660" s="782" t="s">
        <v>2273</v>
      </c>
      <c r="AA5660" s="781">
        <f>$S$1*P!AA5660</f>
        <v>1.2818548387096776E-9</v>
      </c>
      <c r="AB5660" s="780"/>
      <c r="AC5660" s="780"/>
      <c r="AD5660" s="780"/>
      <c r="AE5660" s="780"/>
      <c r="AF5660" s="780"/>
    </row>
    <row r="5661" spans="19:32" x14ac:dyDescent="0.35">
      <c r="S5661" s="780"/>
      <c r="T5661" s="928"/>
      <c r="U5661" s="928"/>
      <c r="V5661" s="928"/>
      <c r="W5661" s="780"/>
      <c r="X5661" s="881">
        <v>5657</v>
      </c>
      <c r="Y5661" s="881" t="s">
        <v>2248</v>
      </c>
      <c r="Z5661" s="881" t="s">
        <v>2273</v>
      </c>
      <c r="AA5661" s="890">
        <f>$S$1*P!AA5661</f>
        <v>3.5235999999999999E-8</v>
      </c>
      <c r="AB5661" s="780"/>
      <c r="AC5661" s="780"/>
      <c r="AD5661" s="780"/>
      <c r="AE5661" s="780"/>
      <c r="AF5661" s="780"/>
    </row>
    <row r="5662" spans="19:32" x14ac:dyDescent="0.35">
      <c r="S5662" s="780"/>
      <c r="T5662" s="928"/>
      <c r="U5662" s="928"/>
      <c r="V5662" s="928"/>
      <c r="W5662" s="780"/>
      <c r="X5662" s="782">
        <v>5658</v>
      </c>
      <c r="Y5662" s="782" t="s">
        <v>2248</v>
      </c>
      <c r="Z5662" s="782" t="s">
        <v>3009</v>
      </c>
      <c r="AA5662" s="781">
        <f>$S$1*P!AA5662</f>
        <v>42.5</v>
      </c>
      <c r="AB5662" s="780"/>
      <c r="AC5662" s="780"/>
      <c r="AD5662" s="780"/>
      <c r="AE5662" s="780"/>
      <c r="AF5662" s="780"/>
    </row>
    <row r="5663" spans="19:32" x14ac:dyDescent="0.35">
      <c r="S5663" s="780"/>
      <c r="T5663" s="928"/>
      <c r="U5663" s="928"/>
      <c r="V5663" s="928"/>
      <c r="W5663" s="780"/>
      <c r="X5663" s="782">
        <v>5659</v>
      </c>
      <c r="Y5663" s="782" t="s">
        <v>2248</v>
      </c>
      <c r="Z5663" s="782" t="s">
        <v>3611</v>
      </c>
      <c r="AA5663" s="781">
        <f>$S$1*P!AA5663</f>
        <v>1.2972000000000001</v>
      </c>
      <c r="AB5663" s="780"/>
      <c r="AC5663" s="780"/>
      <c r="AD5663" s="780"/>
      <c r="AE5663" s="780"/>
      <c r="AF5663" s="780"/>
    </row>
    <row r="5664" spans="19:32" x14ac:dyDescent="0.35">
      <c r="S5664" s="780"/>
      <c r="T5664" s="928"/>
      <c r="U5664" s="928"/>
      <c r="V5664" s="928"/>
      <c r="W5664" s="780"/>
      <c r="X5664" s="782">
        <v>5660</v>
      </c>
      <c r="Y5664" s="782" t="s">
        <v>2248</v>
      </c>
      <c r="Z5664" s="782" t="s">
        <v>3610</v>
      </c>
      <c r="AA5664" s="781">
        <f>$S$1*P!AA5664</f>
        <v>2.6391129032258067E-4</v>
      </c>
      <c r="AB5664" s="780"/>
      <c r="AC5664" s="780"/>
      <c r="AD5664" s="780"/>
      <c r="AE5664" s="780"/>
      <c r="AF5664" s="780"/>
    </row>
    <row r="5665" spans="19:32" x14ac:dyDescent="0.35">
      <c r="S5665" s="780"/>
      <c r="T5665" s="928"/>
      <c r="U5665" s="928"/>
      <c r="V5665" s="928"/>
      <c r="W5665" s="780"/>
      <c r="X5665" s="782">
        <v>5661</v>
      </c>
      <c r="Y5665" s="782" t="s">
        <v>2248</v>
      </c>
      <c r="Z5665" s="782" t="s">
        <v>3609</v>
      </c>
      <c r="AA5665" s="781">
        <f>$S$1*P!AA5665</f>
        <v>7.2496000000000009</v>
      </c>
      <c r="AB5665" s="780"/>
      <c r="AC5665" s="780"/>
      <c r="AD5665" s="780"/>
      <c r="AE5665" s="780"/>
      <c r="AF5665" s="780"/>
    </row>
    <row r="5666" spans="19:32" x14ac:dyDescent="0.35">
      <c r="S5666" s="780"/>
      <c r="T5666" s="928"/>
      <c r="U5666" s="928"/>
      <c r="V5666" s="928"/>
      <c r="W5666" s="780"/>
      <c r="X5666" s="881">
        <v>5662</v>
      </c>
      <c r="Y5666" s="881" t="s">
        <v>2248</v>
      </c>
      <c r="Z5666" s="881" t="s">
        <v>2271</v>
      </c>
      <c r="AA5666" s="890">
        <f>$S$1*P!AA5666</f>
        <v>1.8584E-2</v>
      </c>
      <c r="AB5666" s="780"/>
      <c r="AC5666" s="780"/>
      <c r="AD5666" s="780"/>
      <c r="AE5666" s="780"/>
      <c r="AF5666" s="780"/>
    </row>
    <row r="5667" spans="19:32" x14ac:dyDescent="0.35">
      <c r="S5667" s="780"/>
      <c r="T5667" s="928"/>
      <c r="U5667" s="928"/>
      <c r="V5667" s="928"/>
      <c r="W5667" s="780"/>
      <c r="X5667" s="782">
        <v>5663</v>
      </c>
      <c r="Y5667" s="782" t="s">
        <v>2248</v>
      </c>
      <c r="Z5667" s="782" t="s">
        <v>3608</v>
      </c>
      <c r="AA5667" s="781">
        <f>$S$1*P!AA5667</f>
        <v>2.3546370967741936E-2</v>
      </c>
      <c r="AB5667" s="780"/>
      <c r="AC5667" s="780"/>
      <c r="AD5667" s="780"/>
      <c r="AE5667" s="780"/>
      <c r="AF5667" s="780"/>
    </row>
    <row r="5668" spans="19:32" x14ac:dyDescent="0.35">
      <c r="S5668" s="780"/>
      <c r="T5668" s="928"/>
      <c r="U5668" s="928"/>
      <c r="V5668" s="928"/>
      <c r="W5668" s="780"/>
      <c r="X5668" s="881">
        <v>5664</v>
      </c>
      <c r="Y5668" s="881" t="s">
        <v>2248</v>
      </c>
      <c r="Z5668" s="881" t="s">
        <v>2269</v>
      </c>
      <c r="AA5668" s="890">
        <f>$S$1*P!AA5668</f>
        <v>0</v>
      </c>
      <c r="AB5668" s="780"/>
      <c r="AC5668" s="780"/>
      <c r="AD5668" s="780"/>
      <c r="AE5668" s="780"/>
      <c r="AF5668" s="780"/>
    </row>
    <row r="5669" spans="19:32" x14ac:dyDescent="0.35">
      <c r="S5669" s="780"/>
      <c r="T5669" s="928"/>
      <c r="U5669" s="928"/>
      <c r="V5669" s="928"/>
      <c r="W5669" s="780"/>
      <c r="X5669" s="782">
        <v>5665</v>
      </c>
      <c r="Y5669" s="782" t="s">
        <v>2248</v>
      </c>
      <c r="Z5669" s="782" t="s">
        <v>3607</v>
      </c>
      <c r="AA5669" s="781">
        <f>$S$1*P!AA5669</f>
        <v>29.348000000000003</v>
      </c>
      <c r="AB5669" s="780"/>
      <c r="AC5669" s="780"/>
      <c r="AD5669" s="780"/>
      <c r="AE5669" s="780"/>
      <c r="AF5669" s="780"/>
    </row>
    <row r="5670" spans="19:32" x14ac:dyDescent="0.35">
      <c r="S5670" s="780"/>
      <c r="T5670" s="928"/>
      <c r="U5670" s="928"/>
      <c r="V5670" s="928"/>
      <c r="W5670" s="780"/>
      <c r="X5670" s="782">
        <v>5666</v>
      </c>
      <c r="Y5670" s="782" t="s">
        <v>2248</v>
      </c>
      <c r="Z5670" s="782" t="s">
        <v>3606</v>
      </c>
      <c r="AA5670" s="781">
        <f>$S$1*P!AA5670</f>
        <v>1.2972000000000001</v>
      </c>
      <c r="AB5670" s="780"/>
      <c r="AC5670" s="780"/>
      <c r="AD5670" s="780"/>
      <c r="AE5670" s="780"/>
      <c r="AF5670" s="780"/>
    </row>
    <row r="5671" spans="19:32" x14ac:dyDescent="0.35">
      <c r="S5671" s="780"/>
      <c r="T5671" s="928"/>
      <c r="U5671" s="928"/>
      <c r="V5671" s="928"/>
      <c r="W5671" s="780"/>
      <c r="X5671" s="782">
        <v>5667</v>
      </c>
      <c r="Y5671" s="782" t="s">
        <v>2248</v>
      </c>
      <c r="Z5671" s="782" t="s">
        <v>3605</v>
      </c>
      <c r="AA5671" s="781">
        <f>$S$1*P!AA5671</f>
        <v>2.0735887096774195E-4</v>
      </c>
      <c r="AB5671" s="780"/>
      <c r="AC5671" s="780"/>
      <c r="AD5671" s="780"/>
      <c r="AE5671" s="780"/>
      <c r="AF5671" s="780"/>
    </row>
    <row r="5672" spans="19:32" x14ac:dyDescent="0.35">
      <c r="S5672" s="780"/>
      <c r="T5672" s="928"/>
      <c r="U5672" s="928"/>
      <c r="V5672" s="928"/>
      <c r="W5672" s="780"/>
      <c r="X5672" s="782">
        <v>5668</v>
      </c>
      <c r="Y5672" s="782" t="s">
        <v>2248</v>
      </c>
      <c r="Z5672" s="782" t="s">
        <v>3007</v>
      </c>
      <c r="AA5672" s="781">
        <f>$S$1*P!AA5672</f>
        <v>2.1832661290322584</v>
      </c>
      <c r="AB5672" s="780"/>
      <c r="AC5672" s="780"/>
      <c r="AD5672" s="780"/>
      <c r="AE5672" s="780"/>
      <c r="AF5672" s="780"/>
    </row>
    <row r="5673" spans="19:32" x14ac:dyDescent="0.35">
      <c r="S5673" s="780"/>
      <c r="T5673" s="928"/>
      <c r="U5673" s="928"/>
      <c r="V5673" s="928"/>
      <c r="W5673" s="780"/>
      <c r="X5673" s="782">
        <v>5669</v>
      </c>
      <c r="Y5673" s="782" t="s">
        <v>2248</v>
      </c>
      <c r="Z5673" s="782" t="s">
        <v>3604</v>
      </c>
      <c r="AA5673" s="781">
        <f>$S$1*P!AA5673</f>
        <v>1.2304435483870969E-5</v>
      </c>
      <c r="AB5673" s="780"/>
      <c r="AC5673" s="780"/>
      <c r="AD5673" s="780"/>
      <c r="AE5673" s="780"/>
      <c r="AF5673" s="780"/>
    </row>
    <row r="5674" spans="19:32" x14ac:dyDescent="0.35">
      <c r="S5674" s="780"/>
      <c r="T5674" s="928"/>
      <c r="U5674" s="928"/>
      <c r="V5674" s="928"/>
      <c r="W5674" s="780"/>
      <c r="X5674" s="782">
        <v>5670</v>
      </c>
      <c r="Y5674" s="782" t="s">
        <v>2248</v>
      </c>
      <c r="Z5674" s="782" t="s">
        <v>3603</v>
      </c>
      <c r="AA5674" s="781">
        <f>$S$1*P!AA5674</f>
        <v>8.9700000000000002E-2</v>
      </c>
      <c r="AB5674" s="780"/>
      <c r="AC5674" s="780"/>
      <c r="AD5674" s="780"/>
      <c r="AE5674" s="780"/>
      <c r="AF5674" s="780"/>
    </row>
    <row r="5675" spans="19:32" x14ac:dyDescent="0.35">
      <c r="S5675" s="780"/>
      <c r="T5675" s="928"/>
      <c r="U5675" s="928"/>
      <c r="V5675" s="928"/>
      <c r="W5675" s="780"/>
      <c r="X5675" s="782">
        <v>5671</v>
      </c>
      <c r="Y5675" s="782" t="s">
        <v>2248</v>
      </c>
      <c r="Z5675" s="782" t="s">
        <v>3602</v>
      </c>
      <c r="AA5675" s="781">
        <f>$S$1*P!AA5675</f>
        <v>3.8729838709677424E-4</v>
      </c>
      <c r="AB5675" s="780"/>
      <c r="AC5675" s="780"/>
      <c r="AD5675" s="780"/>
      <c r="AE5675" s="780"/>
      <c r="AF5675" s="780"/>
    </row>
    <row r="5676" spans="19:32" x14ac:dyDescent="0.35">
      <c r="S5676" s="780"/>
      <c r="T5676" s="928"/>
      <c r="U5676" s="928"/>
      <c r="V5676" s="928"/>
      <c r="W5676" s="780"/>
      <c r="X5676" s="782">
        <v>5672</v>
      </c>
      <c r="Y5676" s="782" t="s">
        <v>2248</v>
      </c>
      <c r="Z5676" s="782" t="s">
        <v>3601</v>
      </c>
      <c r="AA5676" s="781">
        <f>$S$1*P!AA5676</f>
        <v>44.988</v>
      </c>
      <c r="AB5676" s="780"/>
      <c r="AC5676" s="780"/>
      <c r="AD5676" s="780"/>
      <c r="AE5676" s="780"/>
      <c r="AF5676" s="780"/>
    </row>
    <row r="5677" spans="19:32" x14ac:dyDescent="0.35">
      <c r="S5677" s="780"/>
      <c r="T5677" s="928"/>
      <c r="U5677" s="928"/>
      <c r="V5677" s="928"/>
      <c r="W5677" s="780"/>
      <c r="X5677" s="782">
        <v>5673</v>
      </c>
      <c r="Y5677" s="782" t="s">
        <v>2248</v>
      </c>
      <c r="Z5677" s="782" t="s">
        <v>3006</v>
      </c>
      <c r="AA5677" s="781">
        <f>$S$1*P!AA5677</f>
        <v>3.9072580645161294</v>
      </c>
      <c r="AB5677" s="780"/>
      <c r="AC5677" s="780"/>
      <c r="AD5677" s="780"/>
      <c r="AE5677" s="780"/>
      <c r="AF5677" s="780"/>
    </row>
    <row r="5678" spans="19:32" x14ac:dyDescent="0.35">
      <c r="S5678" s="780"/>
      <c r="T5678" s="928"/>
      <c r="U5678" s="928"/>
      <c r="V5678" s="928"/>
      <c r="W5678" s="780"/>
      <c r="X5678" s="881">
        <v>5674</v>
      </c>
      <c r="Y5678" s="881" t="s">
        <v>2248</v>
      </c>
      <c r="Z5678" s="881" t="s">
        <v>2268</v>
      </c>
      <c r="AA5678" s="890">
        <f>$S$1*P!AA5678</f>
        <v>1.84E-2</v>
      </c>
      <c r="AB5678" s="780"/>
      <c r="AC5678" s="780"/>
      <c r="AD5678" s="780"/>
      <c r="AE5678" s="780"/>
      <c r="AF5678" s="780"/>
    </row>
    <row r="5679" spans="19:32" x14ac:dyDescent="0.35">
      <c r="S5679" s="780"/>
      <c r="T5679" s="928"/>
      <c r="U5679" s="928"/>
      <c r="V5679" s="928"/>
      <c r="W5679" s="780"/>
      <c r="X5679" s="782">
        <v>5675</v>
      </c>
      <c r="Y5679" s="782" t="s">
        <v>2248</v>
      </c>
      <c r="Z5679" s="782" t="s">
        <v>3600</v>
      </c>
      <c r="AA5679" s="781">
        <f>$S$1*P!AA5679</f>
        <v>5.5292000000000003</v>
      </c>
      <c r="AB5679" s="780"/>
      <c r="AC5679" s="780"/>
      <c r="AD5679" s="780"/>
      <c r="AE5679" s="780"/>
      <c r="AF5679" s="780"/>
    </row>
    <row r="5680" spans="19:32" x14ac:dyDescent="0.35">
      <c r="S5680" s="780"/>
      <c r="T5680" s="928"/>
      <c r="U5680" s="928"/>
      <c r="V5680" s="928"/>
      <c r="W5680" s="780"/>
      <c r="X5680" s="881">
        <v>5676</v>
      </c>
      <c r="Y5680" s="881" t="s">
        <v>2248</v>
      </c>
      <c r="Z5680" s="881" t="s">
        <v>2266</v>
      </c>
      <c r="AA5680" s="890">
        <f>$S$1*P!AA5680</f>
        <v>0</v>
      </c>
      <c r="AB5680" s="780"/>
      <c r="AC5680" s="780"/>
      <c r="AD5680" s="780"/>
      <c r="AE5680" s="780"/>
      <c r="AF5680" s="780"/>
    </row>
    <row r="5681" spans="19:32" x14ac:dyDescent="0.35">
      <c r="S5681" s="780"/>
      <c r="T5681" s="928"/>
      <c r="U5681" s="928"/>
      <c r="V5681" s="928"/>
      <c r="W5681" s="780"/>
      <c r="X5681" s="782">
        <v>5677</v>
      </c>
      <c r="Y5681" s="782" t="s">
        <v>2248</v>
      </c>
      <c r="Z5681" s="782" t="s">
        <v>3599</v>
      </c>
      <c r="AA5681" s="781">
        <f>$S$1*P!AA5681</f>
        <v>7.5060483870967754E-2</v>
      </c>
      <c r="AB5681" s="780"/>
      <c r="AC5681" s="780"/>
      <c r="AD5681" s="780"/>
      <c r="AE5681" s="780"/>
      <c r="AF5681" s="780"/>
    </row>
    <row r="5682" spans="19:32" x14ac:dyDescent="0.35">
      <c r="S5682" s="780"/>
      <c r="T5682" s="928"/>
      <c r="U5682" s="928"/>
      <c r="V5682" s="928"/>
      <c r="W5682" s="780"/>
      <c r="X5682" s="782">
        <v>5678</v>
      </c>
      <c r="Y5682" s="782" t="s">
        <v>2248</v>
      </c>
      <c r="Z5682" s="782" t="s">
        <v>3598</v>
      </c>
      <c r="AA5682" s="781">
        <f>$S$1*P!AA5682</f>
        <v>3.9415322580645167E-2</v>
      </c>
      <c r="AB5682" s="780"/>
      <c r="AC5682" s="780"/>
      <c r="AD5682" s="780"/>
      <c r="AE5682" s="780"/>
      <c r="AF5682" s="780"/>
    </row>
    <row r="5683" spans="19:32" x14ac:dyDescent="0.35">
      <c r="S5683" s="780"/>
      <c r="T5683" s="928"/>
      <c r="U5683" s="928"/>
      <c r="V5683" s="928"/>
      <c r="W5683" s="780"/>
      <c r="X5683" s="782">
        <v>5679</v>
      </c>
      <c r="Y5683" s="782" t="s">
        <v>2248</v>
      </c>
      <c r="Z5683" s="782" t="s">
        <v>3597</v>
      </c>
      <c r="AA5683" s="781">
        <f>$S$1*P!AA5683</f>
        <v>73.691999999999993</v>
      </c>
      <c r="AB5683" s="780"/>
      <c r="AC5683" s="780"/>
      <c r="AD5683" s="780"/>
      <c r="AE5683" s="780"/>
      <c r="AF5683" s="780"/>
    </row>
    <row r="5684" spans="19:32" x14ac:dyDescent="0.35">
      <c r="S5684" s="780"/>
      <c r="T5684" s="928"/>
      <c r="U5684" s="928"/>
      <c r="V5684" s="928"/>
      <c r="W5684" s="780"/>
      <c r="X5684" s="782">
        <v>5680</v>
      </c>
      <c r="Y5684" s="782" t="s">
        <v>2248</v>
      </c>
      <c r="Z5684" s="782" t="s">
        <v>2265</v>
      </c>
      <c r="AA5684" s="781">
        <f>$S$1*P!AA5684</f>
        <v>1.0453629032258065E-4</v>
      </c>
      <c r="AB5684" s="780"/>
      <c r="AC5684" s="780"/>
      <c r="AD5684" s="780"/>
      <c r="AE5684" s="780"/>
      <c r="AF5684" s="780"/>
    </row>
    <row r="5685" spans="19:32" x14ac:dyDescent="0.35">
      <c r="S5685" s="780"/>
      <c r="T5685" s="928"/>
      <c r="U5685" s="928"/>
      <c r="V5685" s="928"/>
      <c r="W5685" s="780"/>
      <c r="X5685" s="782">
        <v>5681</v>
      </c>
      <c r="Y5685" s="782" t="s">
        <v>2248</v>
      </c>
      <c r="Z5685" s="782" t="s">
        <v>3596</v>
      </c>
      <c r="AA5685" s="781">
        <f>$S$1*P!AA5685</f>
        <v>0</v>
      </c>
      <c r="AB5685" s="780"/>
      <c r="AC5685" s="780"/>
      <c r="AD5685" s="780"/>
      <c r="AE5685" s="780"/>
      <c r="AF5685" s="780"/>
    </row>
    <row r="5686" spans="19:32" x14ac:dyDescent="0.35">
      <c r="S5686" s="780"/>
      <c r="T5686" s="928"/>
      <c r="U5686" s="928"/>
      <c r="V5686" s="928"/>
      <c r="W5686" s="780"/>
      <c r="X5686" s="881">
        <v>5682</v>
      </c>
      <c r="Y5686" s="881" t="s">
        <v>2248</v>
      </c>
      <c r="Z5686" s="881" t="s">
        <v>2265</v>
      </c>
      <c r="AA5686" s="890">
        <f>$S$1*P!AA5686</f>
        <v>0</v>
      </c>
      <c r="AB5686" s="780"/>
      <c r="AC5686" s="780"/>
      <c r="AD5686" s="780"/>
      <c r="AE5686" s="780"/>
      <c r="AF5686" s="780"/>
    </row>
    <row r="5687" spans="19:32" x14ac:dyDescent="0.35">
      <c r="S5687" s="780"/>
      <c r="T5687" s="928"/>
      <c r="U5687" s="928"/>
      <c r="V5687" s="928"/>
      <c r="W5687" s="780"/>
      <c r="X5687" s="782">
        <v>5683</v>
      </c>
      <c r="Y5687" s="782" t="s">
        <v>2248</v>
      </c>
      <c r="Z5687" s="782" t="s">
        <v>3595</v>
      </c>
      <c r="AA5687" s="781">
        <f>$S$1*P!AA5687</f>
        <v>0.58266129032258074</v>
      </c>
      <c r="AB5687" s="780"/>
      <c r="AC5687" s="780"/>
      <c r="AD5687" s="780"/>
      <c r="AE5687" s="780"/>
      <c r="AF5687" s="780"/>
    </row>
    <row r="5688" spans="19:32" x14ac:dyDescent="0.35">
      <c r="S5688" s="780"/>
      <c r="T5688" s="928"/>
      <c r="U5688" s="928"/>
      <c r="V5688" s="928"/>
      <c r="W5688" s="780"/>
      <c r="X5688" s="782">
        <v>5684</v>
      </c>
      <c r="Y5688" s="782" t="s">
        <v>2248</v>
      </c>
      <c r="Z5688" s="782" t="s">
        <v>3594</v>
      </c>
      <c r="AA5688" s="781">
        <f>$S$1*P!AA5688</f>
        <v>0.10947999999999999</v>
      </c>
      <c r="AB5688" s="780"/>
      <c r="AC5688" s="780"/>
      <c r="AD5688" s="780"/>
      <c r="AE5688" s="780"/>
      <c r="AF5688" s="780"/>
    </row>
    <row r="5689" spans="19:32" x14ac:dyDescent="0.35">
      <c r="S5689" s="780"/>
      <c r="T5689" s="928"/>
      <c r="U5689" s="928"/>
      <c r="V5689" s="928"/>
      <c r="W5689" s="780"/>
      <c r="X5689" s="782">
        <v>5685</v>
      </c>
      <c r="Y5689" s="782" t="s">
        <v>2248</v>
      </c>
      <c r="Z5689" s="782" t="s">
        <v>3593</v>
      </c>
      <c r="AA5689" s="781">
        <f>$S$1*P!AA5689</f>
        <v>3.2663306451612904E-4</v>
      </c>
      <c r="AB5689" s="780"/>
      <c r="AC5689" s="780"/>
      <c r="AD5689" s="780"/>
      <c r="AE5689" s="780"/>
      <c r="AF5689" s="780"/>
    </row>
    <row r="5690" spans="19:32" x14ac:dyDescent="0.35">
      <c r="S5690" s="780"/>
      <c r="T5690" s="928"/>
      <c r="U5690" s="928"/>
      <c r="V5690" s="928"/>
      <c r="W5690" s="780"/>
      <c r="X5690" s="782">
        <v>5686</v>
      </c>
      <c r="Y5690" s="782" t="s">
        <v>2248</v>
      </c>
      <c r="Z5690" s="782" t="s">
        <v>3592</v>
      </c>
      <c r="AA5690" s="781">
        <f>$S$1*P!AA5690</f>
        <v>1.7822580645161291E-3</v>
      </c>
      <c r="AB5690" s="780"/>
      <c r="AC5690" s="780"/>
      <c r="AD5690" s="780"/>
      <c r="AE5690" s="780"/>
      <c r="AF5690" s="780"/>
    </row>
    <row r="5691" spans="19:32" x14ac:dyDescent="0.35">
      <c r="S5691" s="780"/>
      <c r="T5691" s="928"/>
      <c r="U5691" s="928"/>
      <c r="V5691" s="928"/>
      <c r="W5691" s="780"/>
      <c r="X5691" s="782">
        <v>5687</v>
      </c>
      <c r="Y5691" s="782" t="s">
        <v>2248</v>
      </c>
      <c r="Z5691" s="782" t="s">
        <v>3591</v>
      </c>
      <c r="AA5691" s="781">
        <f>$S$1*P!AA5691</f>
        <v>13.984</v>
      </c>
      <c r="AB5691" s="780"/>
      <c r="AC5691" s="780"/>
      <c r="AD5691" s="780"/>
      <c r="AE5691" s="780"/>
      <c r="AF5691" s="780"/>
    </row>
    <row r="5692" spans="19:32" x14ac:dyDescent="0.35">
      <c r="S5692" s="780"/>
      <c r="T5692" s="928"/>
      <c r="U5692" s="928"/>
      <c r="V5692" s="928"/>
      <c r="W5692" s="780"/>
      <c r="X5692" s="782">
        <v>5688</v>
      </c>
      <c r="Y5692" s="782" t="s">
        <v>2248</v>
      </c>
      <c r="Z5692" s="782" t="s">
        <v>3590</v>
      </c>
      <c r="AA5692" s="781">
        <f>$S$1*P!AA5692</f>
        <v>2.6322580645161291E-2</v>
      </c>
      <c r="AB5692" s="780"/>
      <c r="AC5692" s="780"/>
      <c r="AD5692" s="780"/>
      <c r="AE5692" s="780"/>
      <c r="AF5692" s="780"/>
    </row>
    <row r="5693" spans="19:32" x14ac:dyDescent="0.35">
      <c r="S5693" s="780"/>
      <c r="T5693" s="928"/>
      <c r="U5693" s="928"/>
      <c r="V5693" s="928"/>
      <c r="W5693" s="780"/>
      <c r="X5693" s="782">
        <v>5689</v>
      </c>
      <c r="Y5693" s="782" t="s">
        <v>2248</v>
      </c>
      <c r="Z5693" s="782" t="s">
        <v>3589</v>
      </c>
      <c r="AA5693" s="781">
        <f>$S$1*P!AA5693</f>
        <v>6.3064516129032272E-5</v>
      </c>
      <c r="AB5693" s="780"/>
      <c r="AC5693" s="780"/>
      <c r="AD5693" s="780"/>
      <c r="AE5693" s="780"/>
      <c r="AF5693" s="780"/>
    </row>
    <row r="5694" spans="19:32" x14ac:dyDescent="0.35">
      <c r="S5694" s="780"/>
      <c r="T5694" s="928"/>
      <c r="U5694" s="928"/>
      <c r="V5694" s="928"/>
      <c r="W5694" s="780"/>
      <c r="X5694" s="782">
        <v>5690</v>
      </c>
      <c r="Y5694" s="782" t="s">
        <v>2248</v>
      </c>
      <c r="Z5694" s="782" t="s">
        <v>3588</v>
      </c>
      <c r="AA5694" s="781">
        <f>$S$1*P!AA5694</f>
        <v>0.29624</v>
      </c>
      <c r="AB5694" s="780"/>
      <c r="AC5694" s="780"/>
      <c r="AD5694" s="780"/>
      <c r="AE5694" s="780"/>
      <c r="AF5694" s="780"/>
    </row>
    <row r="5695" spans="19:32" x14ac:dyDescent="0.35">
      <c r="S5695" s="780"/>
      <c r="T5695" s="928"/>
      <c r="U5695" s="928"/>
      <c r="V5695" s="928"/>
      <c r="W5695" s="780"/>
      <c r="X5695" s="782">
        <v>5691</v>
      </c>
      <c r="Y5695" s="782" t="s">
        <v>2248</v>
      </c>
      <c r="Z5695" s="782" t="s">
        <v>3587</v>
      </c>
      <c r="AA5695" s="781">
        <f>$S$1*P!AA5695</f>
        <v>3.249193548387097E-4</v>
      </c>
      <c r="AB5695" s="780"/>
      <c r="AC5695" s="780"/>
      <c r="AD5695" s="780"/>
      <c r="AE5695" s="780"/>
      <c r="AF5695" s="780"/>
    </row>
    <row r="5696" spans="19:32" x14ac:dyDescent="0.35">
      <c r="S5696" s="780"/>
      <c r="T5696" s="928"/>
      <c r="U5696" s="928"/>
      <c r="V5696" s="928"/>
      <c r="W5696" s="780"/>
      <c r="X5696" s="782">
        <v>5692</v>
      </c>
      <c r="Y5696" s="782" t="s">
        <v>2248</v>
      </c>
      <c r="Z5696" s="782" t="s">
        <v>3586</v>
      </c>
      <c r="AA5696" s="781">
        <f>$S$1*P!AA5696</f>
        <v>0.17111999999999999</v>
      </c>
      <c r="AB5696" s="780"/>
      <c r="AC5696" s="780"/>
      <c r="AD5696" s="780"/>
      <c r="AE5696" s="780"/>
      <c r="AF5696" s="780"/>
    </row>
    <row r="5697" spans="19:32" x14ac:dyDescent="0.35">
      <c r="S5697" s="780"/>
      <c r="T5697" s="928"/>
      <c r="U5697" s="928"/>
      <c r="V5697" s="928"/>
      <c r="W5697" s="780"/>
      <c r="X5697" s="782">
        <v>5693</v>
      </c>
      <c r="Y5697" s="782" t="s">
        <v>2248</v>
      </c>
      <c r="Z5697" s="782" t="s">
        <v>3585</v>
      </c>
      <c r="AA5697" s="781">
        <f>$S$1*P!AA5697</f>
        <v>1.7993951612903229E-5</v>
      </c>
      <c r="AB5697" s="780"/>
      <c r="AC5697" s="780"/>
      <c r="AD5697" s="780"/>
      <c r="AE5697" s="780"/>
      <c r="AF5697" s="780"/>
    </row>
    <row r="5698" spans="19:32" x14ac:dyDescent="0.35">
      <c r="S5698" s="780"/>
      <c r="T5698" s="928"/>
      <c r="U5698" s="928"/>
      <c r="V5698" s="928"/>
      <c r="W5698" s="780"/>
      <c r="X5698" s="782">
        <v>5694</v>
      </c>
      <c r="Y5698" s="782" t="s">
        <v>2248</v>
      </c>
      <c r="Z5698" s="782" t="s">
        <v>3584</v>
      </c>
      <c r="AA5698" s="781">
        <f>$S$1*P!AA5698</f>
        <v>7.3004032258064521E-3</v>
      </c>
      <c r="AB5698" s="780"/>
      <c r="AC5698" s="780"/>
      <c r="AD5698" s="780"/>
      <c r="AE5698" s="780"/>
      <c r="AF5698" s="780"/>
    </row>
    <row r="5699" spans="19:32" x14ac:dyDescent="0.35">
      <c r="S5699" s="780"/>
      <c r="T5699" s="928"/>
      <c r="U5699" s="928"/>
      <c r="V5699" s="928"/>
      <c r="W5699" s="780"/>
      <c r="X5699" s="782">
        <v>5695</v>
      </c>
      <c r="Y5699" s="782" t="s">
        <v>2248</v>
      </c>
      <c r="Z5699" s="782" t="s">
        <v>3583</v>
      </c>
      <c r="AA5699" s="781">
        <f>$S$1*P!AA5699</f>
        <v>1.9913306451612904</v>
      </c>
      <c r="AB5699" s="780"/>
      <c r="AC5699" s="780"/>
      <c r="AD5699" s="780"/>
      <c r="AE5699" s="780"/>
      <c r="AF5699" s="780"/>
    </row>
    <row r="5700" spans="19:32" x14ac:dyDescent="0.35">
      <c r="S5700" s="780"/>
      <c r="T5700" s="928"/>
      <c r="U5700" s="928"/>
      <c r="V5700" s="928"/>
      <c r="W5700" s="780"/>
      <c r="X5700" s="782">
        <v>5696</v>
      </c>
      <c r="Y5700" s="782" t="s">
        <v>2248</v>
      </c>
      <c r="Z5700" s="782" t="s">
        <v>3582</v>
      </c>
      <c r="AA5700" s="781">
        <f>$S$1*P!AA5700</f>
        <v>0</v>
      </c>
      <c r="AB5700" s="780"/>
      <c r="AC5700" s="780"/>
      <c r="AD5700" s="780"/>
      <c r="AE5700" s="780"/>
      <c r="AF5700" s="780"/>
    </row>
    <row r="5701" spans="19:32" x14ac:dyDescent="0.35">
      <c r="S5701" s="780"/>
      <c r="T5701" s="928"/>
      <c r="U5701" s="928"/>
      <c r="V5701" s="928"/>
      <c r="W5701" s="780"/>
      <c r="X5701" s="782">
        <v>5697</v>
      </c>
      <c r="Y5701" s="782" t="s">
        <v>2248</v>
      </c>
      <c r="Z5701" s="782" t="s">
        <v>3581</v>
      </c>
      <c r="AA5701" s="781">
        <f>$S$1*P!AA5701</f>
        <v>1.7548387096774196E-3</v>
      </c>
      <c r="AB5701" s="780"/>
      <c r="AC5701" s="780"/>
      <c r="AD5701" s="780"/>
      <c r="AE5701" s="780"/>
      <c r="AF5701" s="780"/>
    </row>
    <row r="5702" spans="19:32" x14ac:dyDescent="0.35">
      <c r="S5702" s="780"/>
      <c r="T5702" s="928"/>
      <c r="U5702" s="928"/>
      <c r="V5702" s="928"/>
      <c r="W5702" s="780"/>
      <c r="X5702" s="782">
        <v>5698</v>
      </c>
      <c r="Y5702" s="782" t="s">
        <v>2248</v>
      </c>
      <c r="Z5702" s="782" t="s">
        <v>3580</v>
      </c>
      <c r="AA5702" s="781">
        <f>$S$1*P!AA5702</f>
        <v>6.8205645161290322E-4</v>
      </c>
      <c r="AB5702" s="780"/>
      <c r="AC5702" s="780"/>
      <c r="AD5702" s="780"/>
      <c r="AE5702" s="780"/>
      <c r="AF5702" s="780"/>
    </row>
    <row r="5703" spans="19:32" x14ac:dyDescent="0.35">
      <c r="S5703" s="780"/>
      <c r="T5703" s="928"/>
      <c r="U5703" s="928"/>
      <c r="V5703" s="928"/>
      <c r="W5703" s="780"/>
      <c r="X5703" s="782">
        <v>5699</v>
      </c>
      <c r="Y5703" s="782" t="s">
        <v>2248</v>
      </c>
      <c r="Z5703" s="782" t="s">
        <v>3579</v>
      </c>
      <c r="AA5703" s="781">
        <f>$S$1*P!AA5703</f>
        <v>0</v>
      </c>
      <c r="AB5703" s="780"/>
      <c r="AC5703" s="780"/>
      <c r="AD5703" s="780"/>
      <c r="AE5703" s="780"/>
      <c r="AF5703" s="780"/>
    </row>
    <row r="5704" spans="19:32" x14ac:dyDescent="0.35">
      <c r="S5704" s="780"/>
      <c r="T5704" s="928"/>
      <c r="U5704" s="928"/>
      <c r="V5704" s="928"/>
      <c r="W5704" s="780"/>
      <c r="X5704" s="782">
        <v>5700</v>
      </c>
      <c r="Y5704" s="782" t="s">
        <v>2248</v>
      </c>
      <c r="Z5704" s="782" t="s">
        <v>3578</v>
      </c>
      <c r="AA5704" s="781">
        <f>$S$1*P!AA5704</f>
        <v>2.5122983870967744E-3</v>
      </c>
      <c r="AB5704" s="780"/>
      <c r="AC5704" s="780"/>
      <c r="AD5704" s="780"/>
      <c r="AE5704" s="780"/>
      <c r="AF5704" s="780"/>
    </row>
    <row r="5705" spans="19:32" x14ac:dyDescent="0.35">
      <c r="S5705" s="780"/>
      <c r="T5705" s="928"/>
      <c r="U5705" s="928"/>
      <c r="V5705" s="928"/>
      <c r="W5705" s="780"/>
      <c r="X5705" s="782">
        <v>5701</v>
      </c>
      <c r="Y5705" s="782" t="s">
        <v>2248</v>
      </c>
      <c r="Z5705" s="782" t="s">
        <v>3577</v>
      </c>
      <c r="AA5705" s="781">
        <f>$S$1*P!AA5705</f>
        <v>0</v>
      </c>
      <c r="AB5705" s="780"/>
      <c r="AC5705" s="780"/>
      <c r="AD5705" s="780"/>
      <c r="AE5705" s="780"/>
      <c r="AF5705" s="780"/>
    </row>
    <row r="5706" spans="19:32" x14ac:dyDescent="0.35">
      <c r="S5706" s="780"/>
      <c r="T5706" s="928"/>
      <c r="U5706" s="928"/>
      <c r="V5706" s="928"/>
      <c r="W5706" s="780"/>
      <c r="X5706" s="782">
        <v>5702</v>
      </c>
      <c r="Y5706" s="782" t="s">
        <v>2248</v>
      </c>
      <c r="Z5706" s="782" t="s">
        <v>3576</v>
      </c>
      <c r="AA5706" s="781">
        <f>$S$1*P!AA5706</f>
        <v>6.6491935483870973E-3</v>
      </c>
      <c r="AB5706" s="780"/>
      <c r="AC5706" s="780"/>
      <c r="AD5706" s="780"/>
      <c r="AE5706" s="780"/>
      <c r="AF5706" s="780"/>
    </row>
    <row r="5707" spans="19:32" x14ac:dyDescent="0.35">
      <c r="S5707" s="780"/>
      <c r="T5707" s="928"/>
      <c r="U5707" s="928"/>
      <c r="V5707" s="928"/>
      <c r="W5707" s="780"/>
      <c r="X5707" s="782">
        <v>5703</v>
      </c>
      <c r="Y5707" s="782" t="s">
        <v>2248</v>
      </c>
      <c r="Z5707" s="782" t="s">
        <v>3575</v>
      </c>
      <c r="AA5707" s="781">
        <f>$S$1*P!AA5707</f>
        <v>3.9072580645161292E-4</v>
      </c>
      <c r="AB5707" s="780"/>
      <c r="AC5707" s="780"/>
      <c r="AD5707" s="780"/>
      <c r="AE5707" s="780"/>
      <c r="AF5707" s="780"/>
    </row>
    <row r="5708" spans="19:32" x14ac:dyDescent="0.35">
      <c r="S5708" s="780"/>
      <c r="T5708" s="928"/>
      <c r="U5708" s="928"/>
      <c r="V5708" s="928"/>
      <c r="W5708" s="780"/>
      <c r="X5708" s="782">
        <v>5704</v>
      </c>
      <c r="Y5708" s="782" t="s">
        <v>2248</v>
      </c>
      <c r="Z5708" s="782" t="s">
        <v>3574</v>
      </c>
      <c r="AA5708" s="781">
        <f>$S$1*P!AA5708</f>
        <v>0</v>
      </c>
      <c r="AB5708" s="780"/>
      <c r="AC5708" s="780"/>
      <c r="AD5708" s="780"/>
      <c r="AE5708" s="780"/>
      <c r="AF5708" s="780"/>
    </row>
    <row r="5709" spans="19:32" x14ac:dyDescent="0.35">
      <c r="S5709" s="780"/>
      <c r="T5709" s="928"/>
      <c r="U5709" s="928"/>
      <c r="V5709" s="928"/>
      <c r="W5709" s="780"/>
      <c r="X5709" s="782">
        <v>5705</v>
      </c>
      <c r="Y5709" s="782" t="s">
        <v>2248</v>
      </c>
      <c r="Z5709" s="782" t="s">
        <v>2263</v>
      </c>
      <c r="AA5709" s="781">
        <f>$S$1*P!AA5709</f>
        <v>3.4274193548387101E-4</v>
      </c>
      <c r="AB5709" s="780"/>
      <c r="AC5709" s="780"/>
      <c r="AD5709" s="780"/>
      <c r="AE5709" s="780"/>
      <c r="AF5709" s="780"/>
    </row>
    <row r="5710" spans="19:32" x14ac:dyDescent="0.35">
      <c r="S5710" s="780"/>
      <c r="T5710" s="928"/>
      <c r="U5710" s="928"/>
      <c r="V5710" s="928"/>
      <c r="W5710" s="780"/>
      <c r="X5710" s="881">
        <v>5706</v>
      </c>
      <c r="Y5710" s="881" t="s">
        <v>2248</v>
      </c>
      <c r="Z5710" s="881" t="s">
        <v>2263</v>
      </c>
      <c r="AA5710" s="890">
        <f>$S$1*P!AA5710</f>
        <v>5.2256000000000004E-3</v>
      </c>
      <c r="AB5710" s="780"/>
      <c r="AC5710" s="780"/>
      <c r="AD5710" s="780"/>
      <c r="AE5710" s="780"/>
      <c r="AF5710" s="780"/>
    </row>
    <row r="5711" spans="19:32" x14ac:dyDescent="0.35">
      <c r="S5711" s="780"/>
      <c r="T5711" s="928"/>
      <c r="U5711" s="928"/>
      <c r="V5711" s="928"/>
      <c r="W5711" s="780"/>
      <c r="X5711" s="782">
        <v>5707</v>
      </c>
      <c r="Y5711" s="782" t="s">
        <v>2248</v>
      </c>
      <c r="Z5711" s="782" t="s">
        <v>3573</v>
      </c>
      <c r="AA5711" s="781">
        <f>$S$1*P!AA5711</f>
        <v>0</v>
      </c>
      <c r="AB5711" s="780"/>
      <c r="AC5711" s="780"/>
      <c r="AD5711" s="780"/>
      <c r="AE5711" s="780"/>
      <c r="AF5711" s="780"/>
    </row>
    <row r="5712" spans="19:32" x14ac:dyDescent="0.35">
      <c r="S5712" s="780"/>
      <c r="T5712" s="928"/>
      <c r="U5712" s="928"/>
      <c r="V5712" s="928"/>
      <c r="W5712" s="780"/>
      <c r="X5712" s="782">
        <v>5708</v>
      </c>
      <c r="Y5712" s="782" t="s">
        <v>2248</v>
      </c>
      <c r="Z5712" s="782" t="s">
        <v>3572</v>
      </c>
      <c r="AA5712" s="781">
        <f>$S$1*P!AA5712</f>
        <v>1.8199596774193548E-4</v>
      </c>
      <c r="AB5712" s="780"/>
      <c r="AC5712" s="780"/>
      <c r="AD5712" s="780"/>
      <c r="AE5712" s="780"/>
      <c r="AF5712" s="780"/>
    </row>
    <row r="5713" spans="19:32" x14ac:dyDescent="0.35">
      <c r="S5713" s="780"/>
      <c r="T5713" s="928"/>
      <c r="U5713" s="928"/>
      <c r="V5713" s="928"/>
      <c r="W5713" s="780"/>
      <c r="X5713" s="782">
        <v>5709</v>
      </c>
      <c r="Y5713" s="782" t="s">
        <v>2248</v>
      </c>
      <c r="Z5713" s="782" t="s">
        <v>3571</v>
      </c>
      <c r="AA5713" s="781">
        <f>$S$1*P!AA5713</f>
        <v>6.7177419354838711E-3</v>
      </c>
      <c r="AB5713" s="780"/>
      <c r="AC5713" s="780"/>
      <c r="AD5713" s="780"/>
      <c r="AE5713" s="780"/>
      <c r="AF5713" s="780"/>
    </row>
    <row r="5714" spans="19:32" x14ac:dyDescent="0.35">
      <c r="S5714" s="780"/>
      <c r="T5714" s="928"/>
      <c r="U5714" s="928"/>
      <c r="V5714" s="928"/>
      <c r="W5714" s="780"/>
      <c r="X5714" s="782">
        <v>5710</v>
      </c>
      <c r="Y5714" s="782" t="s">
        <v>2248</v>
      </c>
      <c r="Z5714" s="782" t="s">
        <v>3570</v>
      </c>
      <c r="AA5714" s="781">
        <f>$S$1*P!AA5714</f>
        <v>0</v>
      </c>
      <c r="AB5714" s="780"/>
      <c r="AC5714" s="780"/>
      <c r="AD5714" s="780"/>
      <c r="AE5714" s="780"/>
      <c r="AF5714" s="780"/>
    </row>
    <row r="5715" spans="19:32" x14ac:dyDescent="0.35">
      <c r="S5715" s="780"/>
      <c r="T5715" s="928"/>
      <c r="U5715" s="928"/>
      <c r="V5715" s="928"/>
      <c r="W5715" s="780"/>
      <c r="X5715" s="881">
        <v>5711</v>
      </c>
      <c r="Y5715" s="881" t="s">
        <v>2248</v>
      </c>
      <c r="Z5715" s="881" t="s">
        <v>2262</v>
      </c>
      <c r="AA5715" s="890">
        <f>$S$1*P!AA5715</f>
        <v>0.53544000000000003</v>
      </c>
      <c r="AB5715" s="780"/>
      <c r="AC5715" s="780"/>
      <c r="AD5715" s="780"/>
      <c r="AE5715" s="780"/>
      <c r="AF5715" s="780"/>
    </row>
    <row r="5716" spans="19:32" x14ac:dyDescent="0.35">
      <c r="S5716" s="780"/>
      <c r="T5716" s="928"/>
      <c r="U5716" s="928"/>
      <c r="V5716" s="928"/>
      <c r="W5716" s="780"/>
      <c r="X5716" s="782">
        <v>5712</v>
      </c>
      <c r="Y5716" s="782" t="s">
        <v>2248</v>
      </c>
      <c r="Z5716" s="782" t="s">
        <v>3569</v>
      </c>
      <c r="AA5716" s="781">
        <f>$S$1*P!AA5716</f>
        <v>221.72</v>
      </c>
      <c r="AB5716" s="780"/>
      <c r="AC5716" s="780"/>
      <c r="AD5716" s="780"/>
      <c r="AE5716" s="780"/>
      <c r="AF5716" s="780"/>
    </row>
    <row r="5717" spans="19:32" x14ac:dyDescent="0.35">
      <c r="S5717" s="780"/>
      <c r="T5717" s="928"/>
      <c r="U5717" s="928"/>
      <c r="V5717" s="928"/>
      <c r="W5717" s="780"/>
      <c r="X5717" s="881">
        <v>5713</v>
      </c>
      <c r="Y5717" s="881" t="s">
        <v>2248</v>
      </c>
      <c r="Z5717" s="881" t="s">
        <v>2260</v>
      </c>
      <c r="AA5717" s="890">
        <f>$S$1*P!AA5717</f>
        <v>0</v>
      </c>
      <c r="AB5717" s="780"/>
      <c r="AC5717" s="780"/>
      <c r="AD5717" s="780"/>
      <c r="AE5717" s="780"/>
      <c r="AF5717" s="780"/>
    </row>
    <row r="5718" spans="19:32" x14ac:dyDescent="0.35">
      <c r="S5718" s="780"/>
      <c r="T5718" s="928"/>
      <c r="U5718" s="928"/>
      <c r="V5718" s="928"/>
      <c r="W5718" s="780"/>
      <c r="X5718" s="782">
        <v>5714</v>
      </c>
      <c r="Y5718" s="782" t="s">
        <v>2248</v>
      </c>
      <c r="Z5718" s="782" t="s">
        <v>3568</v>
      </c>
      <c r="AA5718" s="781">
        <f>$S$1*P!AA5718</f>
        <v>0.14635080645161291</v>
      </c>
      <c r="AB5718" s="780"/>
      <c r="AC5718" s="780"/>
      <c r="AD5718" s="780"/>
      <c r="AE5718" s="780"/>
      <c r="AF5718" s="780"/>
    </row>
    <row r="5719" spans="19:32" x14ac:dyDescent="0.35">
      <c r="S5719" s="780"/>
      <c r="T5719" s="928"/>
      <c r="U5719" s="928"/>
      <c r="V5719" s="928"/>
      <c r="W5719" s="780"/>
      <c r="X5719" s="881">
        <v>5715</v>
      </c>
      <c r="Y5719" s="881" t="s">
        <v>2248</v>
      </c>
      <c r="Z5719" s="881" t="s">
        <v>2258</v>
      </c>
      <c r="AA5719" s="890">
        <f>$S$1*P!AA5719</f>
        <v>0</v>
      </c>
      <c r="AB5719" s="780"/>
      <c r="AC5719" s="780"/>
      <c r="AD5719" s="780"/>
      <c r="AE5719" s="780"/>
      <c r="AF5719" s="780"/>
    </row>
    <row r="5720" spans="19:32" x14ac:dyDescent="0.35">
      <c r="S5720" s="780"/>
      <c r="T5720" s="928"/>
      <c r="U5720" s="928"/>
      <c r="V5720" s="928"/>
      <c r="W5720" s="780"/>
      <c r="X5720" s="782">
        <v>5716</v>
      </c>
      <c r="Y5720" s="782" t="s">
        <v>2248</v>
      </c>
      <c r="Z5720" s="782" t="s">
        <v>3567</v>
      </c>
      <c r="AA5720" s="781">
        <f>$S$1*P!AA5720</f>
        <v>0</v>
      </c>
      <c r="AB5720" s="780"/>
      <c r="AC5720" s="780"/>
      <c r="AD5720" s="780"/>
      <c r="AE5720" s="780"/>
      <c r="AF5720" s="780"/>
    </row>
    <row r="5721" spans="19:32" x14ac:dyDescent="0.35">
      <c r="S5721" s="780"/>
      <c r="T5721" s="928"/>
      <c r="U5721" s="928"/>
      <c r="V5721" s="928"/>
      <c r="W5721" s="780"/>
      <c r="X5721" s="881">
        <v>5717</v>
      </c>
      <c r="Y5721" s="881" t="s">
        <v>2248</v>
      </c>
      <c r="Z5721" s="881" t="s">
        <v>2257</v>
      </c>
      <c r="AA5721" s="890">
        <f>$S$1*P!AA5721</f>
        <v>0</v>
      </c>
      <c r="AB5721" s="780"/>
      <c r="AC5721" s="780"/>
      <c r="AD5721" s="780"/>
      <c r="AE5721" s="780"/>
      <c r="AF5721" s="780"/>
    </row>
    <row r="5722" spans="19:32" x14ac:dyDescent="0.35">
      <c r="S5722" s="780"/>
      <c r="T5722" s="928"/>
      <c r="U5722" s="928"/>
      <c r="V5722" s="928"/>
      <c r="W5722" s="780"/>
      <c r="X5722" s="782">
        <v>5718</v>
      </c>
      <c r="Y5722" s="782" t="s">
        <v>2248</v>
      </c>
      <c r="Z5722" s="782" t="s">
        <v>3566</v>
      </c>
      <c r="AA5722" s="781">
        <f>$S$1*P!AA5722</f>
        <v>1.2604</v>
      </c>
      <c r="AB5722" s="780"/>
      <c r="AC5722" s="780"/>
      <c r="AD5722" s="780"/>
      <c r="AE5722" s="780"/>
      <c r="AF5722" s="780"/>
    </row>
    <row r="5723" spans="19:32" x14ac:dyDescent="0.35">
      <c r="S5723" s="780"/>
      <c r="T5723" s="928"/>
      <c r="U5723" s="928"/>
      <c r="V5723" s="928"/>
      <c r="W5723" s="780"/>
      <c r="X5723" s="782">
        <v>5719</v>
      </c>
      <c r="Y5723" s="782" t="s">
        <v>2248</v>
      </c>
      <c r="Z5723" s="782" t="s">
        <v>3565</v>
      </c>
      <c r="AA5723" s="781">
        <f>$S$1*P!AA5723</f>
        <v>0.75745967741935494</v>
      </c>
      <c r="AB5723" s="780"/>
      <c r="AC5723" s="780"/>
      <c r="AD5723" s="780"/>
      <c r="AE5723" s="780"/>
      <c r="AF5723" s="780"/>
    </row>
    <row r="5724" spans="19:32" x14ac:dyDescent="0.35">
      <c r="S5724" s="780"/>
      <c r="T5724" s="928"/>
      <c r="U5724" s="928"/>
      <c r="V5724" s="928"/>
      <c r="W5724" s="780"/>
      <c r="X5724" s="782">
        <v>5720</v>
      </c>
      <c r="Y5724" s="782" t="s">
        <v>2248</v>
      </c>
      <c r="Z5724" s="782" t="s">
        <v>3564</v>
      </c>
      <c r="AA5724" s="781">
        <f>$S$1*P!AA5724</f>
        <v>1.0145161290322581E-4</v>
      </c>
      <c r="AB5724" s="780"/>
      <c r="AC5724" s="780"/>
      <c r="AD5724" s="780"/>
      <c r="AE5724" s="780"/>
      <c r="AF5724" s="780"/>
    </row>
    <row r="5725" spans="19:32" x14ac:dyDescent="0.35">
      <c r="S5725" s="780"/>
      <c r="T5725" s="928"/>
      <c r="U5725" s="928"/>
      <c r="V5725" s="928"/>
      <c r="W5725" s="780"/>
      <c r="X5725" s="782">
        <v>5721</v>
      </c>
      <c r="Y5725" s="782" t="s">
        <v>2248</v>
      </c>
      <c r="Z5725" s="782" t="s">
        <v>3563</v>
      </c>
      <c r="AA5725" s="781">
        <f>$S$1*P!AA5725</f>
        <v>0</v>
      </c>
      <c r="AB5725" s="780"/>
      <c r="AC5725" s="780"/>
      <c r="AD5725" s="780"/>
      <c r="AE5725" s="780"/>
      <c r="AF5725" s="780"/>
    </row>
    <row r="5726" spans="19:32" x14ac:dyDescent="0.35">
      <c r="S5726" s="780"/>
      <c r="T5726" s="928"/>
      <c r="U5726" s="928"/>
      <c r="V5726" s="928"/>
      <c r="W5726" s="780"/>
      <c r="X5726" s="782">
        <v>5722</v>
      </c>
      <c r="Y5726" s="782" t="s">
        <v>2248</v>
      </c>
      <c r="Z5726" s="782" t="s">
        <v>2255</v>
      </c>
      <c r="AA5726" s="781">
        <f>$S$1*P!AA5726</f>
        <v>2.9544354838709678E-5</v>
      </c>
      <c r="AB5726" s="780"/>
      <c r="AC5726" s="780"/>
      <c r="AD5726" s="780"/>
      <c r="AE5726" s="780"/>
      <c r="AF5726" s="780"/>
    </row>
    <row r="5727" spans="19:32" x14ac:dyDescent="0.35">
      <c r="S5727" s="780"/>
      <c r="T5727" s="928"/>
      <c r="U5727" s="928"/>
      <c r="V5727" s="928"/>
      <c r="W5727" s="780"/>
      <c r="X5727" s="782">
        <v>5723</v>
      </c>
      <c r="Y5727" s="782" t="s">
        <v>2248</v>
      </c>
      <c r="Z5727" s="782" t="s">
        <v>3562</v>
      </c>
      <c r="AA5727" s="781">
        <f>$S$1*P!AA5727</f>
        <v>0.25397177419354838</v>
      </c>
      <c r="AB5727" s="780"/>
      <c r="AC5727" s="780"/>
      <c r="AD5727" s="780"/>
      <c r="AE5727" s="780"/>
      <c r="AF5727" s="780"/>
    </row>
    <row r="5728" spans="19:32" x14ac:dyDescent="0.35">
      <c r="S5728" s="780"/>
      <c r="T5728" s="928"/>
      <c r="U5728" s="928"/>
      <c r="V5728" s="928"/>
      <c r="W5728" s="780"/>
      <c r="X5728" s="881">
        <v>5724</v>
      </c>
      <c r="Y5728" s="881" t="s">
        <v>2248</v>
      </c>
      <c r="Z5728" s="881" t="s">
        <v>2255</v>
      </c>
      <c r="AA5728" s="890">
        <f>$S$1*P!AA5728</f>
        <v>3.3396000000000001E-4</v>
      </c>
      <c r="AB5728" s="780"/>
      <c r="AC5728" s="780"/>
      <c r="AD5728" s="780"/>
      <c r="AE5728" s="780"/>
      <c r="AF5728" s="780"/>
    </row>
    <row r="5729" spans="19:32" x14ac:dyDescent="0.35">
      <c r="S5729" s="780"/>
      <c r="T5729" s="928"/>
      <c r="U5729" s="928"/>
      <c r="V5729" s="928"/>
      <c r="W5729" s="780"/>
      <c r="X5729" s="782">
        <v>5725</v>
      </c>
      <c r="Y5729" s="782" t="s">
        <v>2248</v>
      </c>
      <c r="Z5729" s="782" t="s">
        <v>3561</v>
      </c>
      <c r="AA5729" s="781">
        <f>$S$1*P!AA5729</f>
        <v>0</v>
      </c>
      <c r="AB5729" s="780"/>
      <c r="AC5729" s="780"/>
      <c r="AD5729" s="780"/>
      <c r="AE5729" s="780"/>
      <c r="AF5729" s="780"/>
    </row>
    <row r="5730" spans="19:32" x14ac:dyDescent="0.35">
      <c r="S5730" s="780"/>
      <c r="T5730" s="928"/>
      <c r="U5730" s="928"/>
      <c r="V5730" s="928"/>
      <c r="W5730" s="780"/>
      <c r="X5730" s="881">
        <v>5726</v>
      </c>
      <c r="Y5730" s="881" t="s">
        <v>2248</v>
      </c>
      <c r="Z5730" s="881" t="s">
        <v>2254</v>
      </c>
      <c r="AA5730" s="890">
        <f>$S$1*P!AA5730</f>
        <v>7.4428000000000008E-2</v>
      </c>
      <c r="AB5730" s="780"/>
      <c r="AC5730" s="780"/>
      <c r="AD5730" s="780"/>
      <c r="AE5730" s="780"/>
      <c r="AF5730" s="780"/>
    </row>
    <row r="5731" spans="19:32" x14ac:dyDescent="0.35">
      <c r="S5731" s="780"/>
      <c r="T5731" s="928"/>
      <c r="U5731" s="928"/>
      <c r="V5731" s="928"/>
      <c r="W5731" s="780"/>
      <c r="X5731" s="782">
        <v>5727</v>
      </c>
      <c r="Y5731" s="782" t="s">
        <v>2248</v>
      </c>
      <c r="Z5731" s="782" t="s">
        <v>3560</v>
      </c>
      <c r="AA5731" s="781">
        <f>$S$1*P!AA5731</f>
        <v>0</v>
      </c>
      <c r="AB5731" s="780"/>
      <c r="AC5731" s="780"/>
      <c r="AD5731" s="780"/>
      <c r="AE5731" s="780"/>
      <c r="AF5731" s="780"/>
    </row>
    <row r="5732" spans="19:32" x14ac:dyDescent="0.35">
      <c r="S5732" s="780"/>
      <c r="T5732" s="928"/>
      <c r="U5732" s="928"/>
      <c r="V5732" s="928"/>
      <c r="W5732" s="780"/>
      <c r="X5732" s="782">
        <v>5728</v>
      </c>
      <c r="Y5732" s="782" t="s">
        <v>2248</v>
      </c>
      <c r="Z5732" s="782" t="s">
        <v>3559</v>
      </c>
      <c r="AA5732" s="781">
        <f>$S$1*P!AA5732</f>
        <v>8.5342741935483871E-3</v>
      </c>
      <c r="AB5732" s="780"/>
      <c r="AC5732" s="780"/>
      <c r="AD5732" s="780"/>
      <c r="AE5732" s="780"/>
      <c r="AF5732" s="780"/>
    </row>
    <row r="5733" spans="19:32" x14ac:dyDescent="0.35">
      <c r="S5733" s="780"/>
      <c r="T5733" s="928"/>
      <c r="U5733" s="928"/>
      <c r="V5733" s="928"/>
      <c r="W5733" s="780"/>
      <c r="X5733" s="881">
        <v>5729</v>
      </c>
      <c r="Y5733" s="881" t="s">
        <v>2248</v>
      </c>
      <c r="Z5733" s="881" t="s">
        <v>2252</v>
      </c>
      <c r="AA5733" s="890">
        <f>$S$1*P!AA5733</f>
        <v>0</v>
      </c>
      <c r="AB5733" s="780"/>
      <c r="AC5733" s="780"/>
      <c r="AD5733" s="780"/>
      <c r="AE5733" s="780"/>
      <c r="AF5733" s="780"/>
    </row>
    <row r="5734" spans="19:32" x14ac:dyDescent="0.35">
      <c r="S5734" s="780"/>
      <c r="T5734" s="928"/>
      <c r="U5734" s="928"/>
      <c r="V5734" s="928"/>
      <c r="W5734" s="780"/>
      <c r="X5734" s="782">
        <v>5730</v>
      </c>
      <c r="Y5734" s="782" t="s">
        <v>2248</v>
      </c>
      <c r="Z5734" s="782" t="s">
        <v>3558</v>
      </c>
      <c r="AA5734" s="781">
        <f>$S$1*P!AA5734</f>
        <v>0.75715999999999994</v>
      </c>
      <c r="AB5734" s="780"/>
      <c r="AC5734" s="780"/>
      <c r="AD5734" s="780"/>
      <c r="AE5734" s="780"/>
      <c r="AF5734" s="780"/>
    </row>
    <row r="5735" spans="19:32" x14ac:dyDescent="0.35">
      <c r="S5735" s="780"/>
      <c r="T5735" s="928"/>
      <c r="U5735" s="928"/>
      <c r="V5735" s="928"/>
      <c r="W5735" s="780"/>
      <c r="X5735" s="782">
        <v>5731</v>
      </c>
      <c r="Y5735" s="782" t="s">
        <v>2248</v>
      </c>
      <c r="Z5735" s="782" t="s">
        <v>2251</v>
      </c>
      <c r="AA5735" s="781">
        <f>$S$1*P!AA5735</f>
        <v>2.5020161290322585</v>
      </c>
      <c r="AB5735" s="780"/>
      <c r="AC5735" s="780"/>
      <c r="AD5735" s="780"/>
      <c r="AE5735" s="780"/>
      <c r="AF5735" s="780"/>
    </row>
    <row r="5736" spans="19:32" x14ac:dyDescent="0.35">
      <c r="S5736" s="780"/>
      <c r="T5736" s="928"/>
      <c r="U5736" s="928"/>
      <c r="V5736" s="928"/>
      <c r="W5736" s="780"/>
      <c r="X5736" s="881">
        <v>5732</v>
      </c>
      <c r="Y5736" s="881" t="s">
        <v>2248</v>
      </c>
      <c r="Z5736" s="881" t="s">
        <v>2251</v>
      </c>
      <c r="AA5736" s="890">
        <f>$S$1*P!AA5736</f>
        <v>0</v>
      </c>
      <c r="AB5736" s="780"/>
      <c r="AC5736" s="780"/>
      <c r="AD5736" s="780"/>
      <c r="AE5736" s="780"/>
      <c r="AF5736" s="780"/>
    </row>
    <row r="5737" spans="19:32" x14ac:dyDescent="0.35">
      <c r="S5737" s="780"/>
      <c r="T5737" s="928"/>
      <c r="U5737" s="928"/>
      <c r="V5737" s="928"/>
      <c r="W5737" s="780"/>
      <c r="X5737" s="782">
        <v>5733</v>
      </c>
      <c r="Y5737" s="782" t="s">
        <v>2248</v>
      </c>
      <c r="Z5737" s="782" t="s">
        <v>3557</v>
      </c>
      <c r="AA5737" s="781">
        <f>$S$1*P!AA5737</f>
        <v>1.0488000000000002</v>
      </c>
      <c r="AB5737" s="780"/>
      <c r="AC5737" s="780"/>
      <c r="AD5737" s="780"/>
      <c r="AE5737" s="780"/>
      <c r="AF5737" s="780"/>
    </row>
    <row r="5738" spans="19:32" x14ac:dyDescent="0.35">
      <c r="S5738" s="780"/>
      <c r="T5738" s="928"/>
      <c r="U5738" s="928"/>
      <c r="V5738" s="928"/>
      <c r="W5738" s="780"/>
      <c r="X5738" s="782">
        <v>5734</v>
      </c>
      <c r="Y5738" s="782" t="s">
        <v>2248</v>
      </c>
      <c r="Z5738" s="782" t="s">
        <v>3556</v>
      </c>
      <c r="AA5738" s="781">
        <f>$S$1*P!AA5738</f>
        <v>0.12201612903225807</v>
      </c>
      <c r="AB5738" s="780"/>
      <c r="AC5738" s="780"/>
      <c r="AD5738" s="780"/>
      <c r="AE5738" s="780"/>
      <c r="AF5738" s="780"/>
    </row>
    <row r="5739" spans="19:32" x14ac:dyDescent="0.35">
      <c r="S5739" s="780"/>
      <c r="T5739" s="928"/>
      <c r="U5739" s="928"/>
      <c r="V5739" s="928"/>
      <c r="W5739" s="780"/>
      <c r="X5739" s="782">
        <v>5735</v>
      </c>
      <c r="Y5739" s="782" t="s">
        <v>2248</v>
      </c>
      <c r="Z5739" s="782" t="s">
        <v>3555</v>
      </c>
      <c r="AA5739" s="781">
        <f>$S$1*P!AA5739</f>
        <v>16.383064516129032</v>
      </c>
      <c r="AB5739" s="780"/>
      <c r="AC5739" s="780"/>
      <c r="AD5739" s="780"/>
      <c r="AE5739" s="780"/>
      <c r="AF5739" s="780"/>
    </row>
    <row r="5740" spans="19:32" x14ac:dyDescent="0.35">
      <c r="S5740" s="780"/>
      <c r="T5740" s="928"/>
      <c r="U5740" s="928"/>
      <c r="V5740" s="928"/>
      <c r="W5740" s="780"/>
      <c r="X5740" s="782">
        <v>5736</v>
      </c>
      <c r="Y5740" s="782" t="s">
        <v>2248</v>
      </c>
      <c r="Z5740" s="782" t="s">
        <v>3554</v>
      </c>
      <c r="AA5740" s="781">
        <f>$S$1*P!AA5740</f>
        <v>4.508</v>
      </c>
      <c r="AB5740" s="780"/>
      <c r="AC5740" s="780"/>
      <c r="AD5740" s="780"/>
      <c r="AE5740" s="780"/>
      <c r="AF5740" s="780"/>
    </row>
    <row r="5741" spans="19:32" x14ac:dyDescent="0.35">
      <c r="S5741" s="780"/>
      <c r="T5741" s="928"/>
      <c r="U5741" s="928"/>
      <c r="V5741" s="928"/>
      <c r="W5741" s="780"/>
      <c r="X5741" s="782">
        <v>5737</v>
      </c>
      <c r="Y5741" s="782" t="s">
        <v>2248</v>
      </c>
      <c r="Z5741" s="782" t="s">
        <v>3553</v>
      </c>
      <c r="AA5741" s="781">
        <f>$S$1*P!AA5741</f>
        <v>1.4360887096774195E-7</v>
      </c>
      <c r="AB5741" s="780"/>
      <c r="AC5741" s="780"/>
      <c r="AD5741" s="780"/>
      <c r="AE5741" s="780"/>
      <c r="AF5741" s="780"/>
    </row>
    <row r="5742" spans="19:32" x14ac:dyDescent="0.35">
      <c r="S5742" s="780"/>
      <c r="T5742" s="928"/>
      <c r="U5742" s="928"/>
      <c r="V5742" s="928"/>
      <c r="W5742" s="780"/>
      <c r="X5742" s="782">
        <v>5738</v>
      </c>
      <c r="Y5742" s="782" t="s">
        <v>2248</v>
      </c>
      <c r="Z5742" s="782" t="s">
        <v>3552</v>
      </c>
      <c r="AA5742" s="781">
        <f>$S$1*P!AA5742</f>
        <v>2.6772</v>
      </c>
      <c r="AB5742" s="780"/>
      <c r="AC5742" s="780"/>
      <c r="AD5742" s="780"/>
      <c r="AE5742" s="780"/>
      <c r="AF5742" s="780"/>
    </row>
    <row r="5743" spans="19:32" x14ac:dyDescent="0.35">
      <c r="S5743" s="780"/>
      <c r="T5743" s="928"/>
      <c r="U5743" s="928"/>
      <c r="V5743" s="928"/>
      <c r="W5743" s="780"/>
      <c r="X5743" s="782">
        <v>5739</v>
      </c>
      <c r="Y5743" s="782" t="s">
        <v>2248</v>
      </c>
      <c r="Z5743" s="782" t="s">
        <v>3551</v>
      </c>
      <c r="AA5743" s="781">
        <f>$S$1*P!AA5743</f>
        <v>7.4032258064516132E-2</v>
      </c>
      <c r="AB5743" s="780"/>
      <c r="AC5743" s="780"/>
      <c r="AD5743" s="780"/>
      <c r="AE5743" s="780"/>
      <c r="AF5743" s="780"/>
    </row>
    <row r="5744" spans="19:32" x14ac:dyDescent="0.35">
      <c r="S5744" s="780"/>
      <c r="T5744" s="928"/>
      <c r="U5744" s="928"/>
      <c r="V5744" s="928"/>
      <c r="W5744" s="780"/>
      <c r="X5744" s="782">
        <v>5740</v>
      </c>
      <c r="Y5744" s="782" t="s">
        <v>2248</v>
      </c>
      <c r="Z5744" s="782" t="s">
        <v>3550</v>
      </c>
      <c r="AA5744" s="781">
        <f>$S$1*P!AA5744</f>
        <v>2.1558467741935485E-6</v>
      </c>
      <c r="AB5744" s="780"/>
      <c r="AC5744" s="780"/>
      <c r="AD5744" s="780"/>
      <c r="AE5744" s="780"/>
      <c r="AF5744" s="780"/>
    </row>
    <row r="5745" spans="19:32" x14ac:dyDescent="0.35">
      <c r="S5745" s="780"/>
      <c r="T5745" s="928"/>
      <c r="U5745" s="928"/>
      <c r="V5745" s="928"/>
      <c r="W5745" s="780"/>
      <c r="X5745" s="782">
        <v>5741</v>
      </c>
      <c r="Y5745" s="782" t="s">
        <v>2248</v>
      </c>
      <c r="Z5745" s="782" t="s">
        <v>3549</v>
      </c>
      <c r="AA5745" s="781">
        <f>$S$1*P!AA5745</f>
        <v>3.3763999999999995E-2</v>
      </c>
      <c r="AB5745" s="780"/>
      <c r="AC5745" s="780"/>
      <c r="AD5745" s="780"/>
      <c r="AE5745" s="780"/>
      <c r="AF5745" s="780"/>
    </row>
    <row r="5746" spans="19:32" x14ac:dyDescent="0.35">
      <c r="S5746" s="780"/>
      <c r="T5746" s="928"/>
      <c r="U5746" s="928"/>
      <c r="V5746" s="928"/>
      <c r="W5746" s="780"/>
      <c r="X5746" s="782">
        <v>5742</v>
      </c>
      <c r="Y5746" s="782" t="s">
        <v>2248</v>
      </c>
      <c r="Z5746" s="782" t="s">
        <v>3548</v>
      </c>
      <c r="AA5746" s="781">
        <f>$S$1*P!AA5746</f>
        <v>8.0544354838709681E-8</v>
      </c>
      <c r="AB5746" s="780"/>
      <c r="AC5746" s="780"/>
      <c r="AD5746" s="780"/>
      <c r="AE5746" s="780"/>
      <c r="AF5746" s="780"/>
    </row>
    <row r="5747" spans="19:32" x14ac:dyDescent="0.35">
      <c r="S5747" s="780"/>
      <c r="T5747" s="928"/>
      <c r="U5747" s="928"/>
      <c r="V5747" s="928"/>
      <c r="W5747" s="780"/>
      <c r="X5747" s="782">
        <v>5743</v>
      </c>
      <c r="Y5747" s="782" t="s">
        <v>2248</v>
      </c>
      <c r="Z5747" s="782" t="s">
        <v>3547</v>
      </c>
      <c r="AA5747" s="781">
        <f>$S$1*P!AA5747</f>
        <v>3.8044354838709681E-3</v>
      </c>
      <c r="AB5747" s="780"/>
      <c r="AC5747" s="780"/>
      <c r="AD5747" s="780"/>
      <c r="AE5747" s="780"/>
      <c r="AF5747" s="780"/>
    </row>
    <row r="5748" spans="19:32" x14ac:dyDescent="0.35">
      <c r="S5748" s="780"/>
      <c r="T5748" s="928"/>
      <c r="U5748" s="928"/>
      <c r="V5748" s="928"/>
      <c r="W5748" s="780"/>
      <c r="X5748" s="782">
        <v>5744</v>
      </c>
      <c r="Y5748" s="782" t="s">
        <v>2248</v>
      </c>
      <c r="Z5748" s="782" t="s">
        <v>3546</v>
      </c>
      <c r="AA5748" s="781">
        <f>$S$1*P!AA5748</f>
        <v>0.12787999999999999</v>
      </c>
      <c r="AB5748" s="780"/>
      <c r="AC5748" s="780"/>
      <c r="AD5748" s="780"/>
      <c r="AE5748" s="780"/>
      <c r="AF5748" s="780"/>
    </row>
    <row r="5749" spans="19:32" x14ac:dyDescent="0.35">
      <c r="S5749" s="780"/>
      <c r="T5749" s="928"/>
      <c r="U5749" s="928"/>
      <c r="V5749" s="928"/>
      <c r="W5749" s="780"/>
      <c r="X5749" s="782">
        <v>5745</v>
      </c>
      <c r="Y5749" s="782" t="s">
        <v>2248</v>
      </c>
      <c r="Z5749" s="782" t="s">
        <v>2249</v>
      </c>
      <c r="AA5749" s="781">
        <f>$S$1*P!AA5749</f>
        <v>1.1653225806451614E-2</v>
      </c>
      <c r="AB5749" s="780"/>
      <c r="AC5749" s="780"/>
      <c r="AD5749" s="780"/>
      <c r="AE5749" s="780"/>
      <c r="AF5749" s="780"/>
    </row>
    <row r="5750" spans="19:32" x14ac:dyDescent="0.35">
      <c r="S5750" s="780"/>
      <c r="T5750" s="928"/>
      <c r="U5750" s="928"/>
      <c r="V5750" s="928"/>
      <c r="W5750" s="780"/>
      <c r="X5750" s="881">
        <v>5746</v>
      </c>
      <c r="Y5750" s="881" t="s">
        <v>2248</v>
      </c>
      <c r="Z5750" s="881" t="s">
        <v>2249</v>
      </c>
      <c r="AA5750" s="890">
        <f>$S$1*P!AA5750</f>
        <v>1.6927999999999999E-3</v>
      </c>
      <c r="AB5750" s="780"/>
      <c r="AC5750" s="780"/>
      <c r="AD5750" s="780"/>
      <c r="AE5750" s="780"/>
      <c r="AF5750" s="780"/>
    </row>
    <row r="5751" spans="19:32" x14ac:dyDescent="0.35">
      <c r="S5751" s="780"/>
      <c r="T5751" s="928"/>
      <c r="U5751" s="928"/>
      <c r="V5751" s="928"/>
      <c r="W5751" s="780"/>
      <c r="X5751" s="782">
        <v>5747</v>
      </c>
      <c r="Y5751" s="782" t="s">
        <v>2248</v>
      </c>
      <c r="Z5751" s="782" t="s">
        <v>3545</v>
      </c>
      <c r="AA5751" s="781">
        <f>$S$1*P!AA5751</f>
        <v>0</v>
      </c>
      <c r="AB5751" s="780"/>
      <c r="AC5751" s="780"/>
      <c r="AD5751" s="780"/>
      <c r="AE5751" s="780"/>
      <c r="AF5751" s="780"/>
    </row>
    <row r="5752" spans="19:32" x14ac:dyDescent="0.35">
      <c r="S5752" s="780"/>
      <c r="T5752" s="928"/>
      <c r="U5752" s="928"/>
      <c r="V5752" s="928"/>
      <c r="W5752" s="780"/>
      <c r="X5752" s="782">
        <v>5748</v>
      </c>
      <c r="Y5752" s="782" t="s">
        <v>2248</v>
      </c>
      <c r="Z5752" s="782" t="s">
        <v>2247</v>
      </c>
      <c r="AA5752" s="781">
        <f>$S$1*P!AA5752</f>
        <v>4.5927419354838711E-2</v>
      </c>
      <c r="AB5752" s="780"/>
      <c r="AC5752" s="780"/>
      <c r="AD5752" s="780"/>
      <c r="AE5752" s="780"/>
      <c r="AF5752" s="780"/>
    </row>
    <row r="5753" spans="19:32" x14ac:dyDescent="0.35">
      <c r="S5753" s="780"/>
      <c r="T5753" s="928"/>
      <c r="U5753" s="928"/>
      <c r="V5753" s="928"/>
      <c r="W5753" s="780"/>
      <c r="X5753" s="782">
        <v>5749</v>
      </c>
      <c r="Y5753" s="782" t="s">
        <v>2248</v>
      </c>
      <c r="Z5753" s="782" t="s">
        <v>3544</v>
      </c>
      <c r="AA5753" s="781">
        <f>$S$1*P!AA5753</f>
        <v>0.10213709677419355</v>
      </c>
      <c r="AB5753" s="780"/>
      <c r="AC5753" s="780"/>
      <c r="AD5753" s="780"/>
      <c r="AE5753" s="780"/>
      <c r="AF5753" s="780"/>
    </row>
    <row r="5754" spans="19:32" x14ac:dyDescent="0.35">
      <c r="S5754" s="780"/>
      <c r="T5754" s="928"/>
      <c r="U5754" s="928"/>
      <c r="V5754" s="928"/>
      <c r="W5754" s="780"/>
      <c r="X5754" s="881">
        <v>5750</v>
      </c>
      <c r="Y5754" s="881" t="s">
        <v>2248</v>
      </c>
      <c r="Z5754" s="881" t="s">
        <v>2247</v>
      </c>
      <c r="AA5754" s="890">
        <f>$S$1*P!AA5754</f>
        <v>8.6940000000000003E-3</v>
      </c>
      <c r="AB5754" s="780"/>
      <c r="AC5754" s="780"/>
      <c r="AD5754" s="780"/>
      <c r="AE5754" s="780"/>
      <c r="AF5754" s="780"/>
    </row>
    <row r="5755" spans="19:32" x14ac:dyDescent="0.35">
      <c r="S5755" s="780"/>
      <c r="T5755" s="928"/>
      <c r="U5755" s="928"/>
      <c r="V5755" s="928"/>
      <c r="W5755" s="780"/>
      <c r="X5755" s="782">
        <v>5751</v>
      </c>
      <c r="Y5755" s="782" t="s">
        <v>2248</v>
      </c>
      <c r="Z5755" s="782" t="s">
        <v>3543</v>
      </c>
      <c r="AA5755" s="781">
        <f>$S$1*P!AA5755</f>
        <v>1.0855999999999999</v>
      </c>
      <c r="AB5755" s="780"/>
      <c r="AC5755" s="780"/>
      <c r="AD5755" s="780"/>
      <c r="AE5755" s="780"/>
      <c r="AF5755" s="780"/>
    </row>
    <row r="5756" spans="19:32" x14ac:dyDescent="0.35">
      <c r="S5756" s="780"/>
      <c r="T5756" s="928"/>
      <c r="U5756" s="928"/>
      <c r="V5756" s="928"/>
      <c r="W5756" s="780"/>
      <c r="X5756" s="782">
        <v>5752</v>
      </c>
      <c r="Y5756" s="782" t="s">
        <v>2248</v>
      </c>
      <c r="Z5756" s="782" t="s">
        <v>3542</v>
      </c>
      <c r="AA5756" s="781">
        <f>$S$1*P!AA5756</f>
        <v>0.253</v>
      </c>
      <c r="AB5756" s="780"/>
      <c r="AC5756" s="780"/>
      <c r="AD5756" s="780"/>
      <c r="AE5756" s="780"/>
      <c r="AF5756" s="780"/>
    </row>
    <row r="5757" spans="19:32" x14ac:dyDescent="0.35">
      <c r="S5757" s="780"/>
      <c r="T5757" s="928"/>
      <c r="U5757" s="928"/>
      <c r="V5757" s="928"/>
      <c r="W5757" s="780"/>
      <c r="X5757" s="782">
        <v>5753</v>
      </c>
      <c r="Y5757" s="782" t="s">
        <v>2248</v>
      </c>
      <c r="Z5757" s="782" t="s">
        <v>3541</v>
      </c>
      <c r="AA5757" s="781">
        <f>$S$1*P!AA5757</f>
        <v>3.2354838709677418E-4</v>
      </c>
      <c r="AB5757" s="780"/>
      <c r="AC5757" s="780"/>
      <c r="AD5757" s="780"/>
      <c r="AE5757" s="780"/>
      <c r="AF5757" s="780"/>
    </row>
    <row r="5758" spans="19:32" x14ac:dyDescent="0.35">
      <c r="S5758" s="780"/>
      <c r="T5758" s="928"/>
      <c r="U5758" s="928"/>
      <c r="V5758" s="928"/>
      <c r="W5758" s="780"/>
      <c r="X5758" s="782">
        <v>5754</v>
      </c>
      <c r="Y5758" s="782" t="s">
        <v>2248</v>
      </c>
      <c r="Z5758" s="782" t="s">
        <v>3540</v>
      </c>
      <c r="AA5758" s="781">
        <f>$S$1*P!AA5758</f>
        <v>48.943999999999996</v>
      </c>
      <c r="AB5758" s="780"/>
      <c r="AC5758" s="780"/>
      <c r="AD5758" s="780"/>
      <c r="AE5758" s="780"/>
      <c r="AF5758" s="780"/>
    </row>
    <row r="5759" spans="19:32" x14ac:dyDescent="0.35">
      <c r="S5759" s="780"/>
      <c r="T5759" s="928"/>
      <c r="U5759" s="928"/>
      <c r="V5759" s="928"/>
      <c r="W5759" s="780"/>
      <c r="X5759" s="782">
        <v>5755</v>
      </c>
      <c r="Y5759" s="782" t="s">
        <v>2248</v>
      </c>
      <c r="Z5759" s="782" t="s">
        <v>3539</v>
      </c>
      <c r="AA5759" s="781">
        <f>$S$1*P!AA5759</f>
        <v>5.6120000000000001</v>
      </c>
      <c r="AB5759" s="780"/>
      <c r="AC5759" s="780"/>
      <c r="AD5759" s="780"/>
      <c r="AE5759" s="780"/>
      <c r="AF5759" s="780"/>
    </row>
    <row r="5760" spans="19:32" x14ac:dyDescent="0.35">
      <c r="S5760" s="780"/>
      <c r="T5760" s="928"/>
      <c r="U5760" s="928"/>
      <c r="V5760" s="928"/>
      <c r="W5760" s="780"/>
      <c r="X5760" s="782">
        <v>5756</v>
      </c>
      <c r="Y5760" s="782" t="s">
        <v>2248</v>
      </c>
      <c r="Z5760" s="782" t="s">
        <v>3538</v>
      </c>
      <c r="AA5760" s="781">
        <f>$S$1*P!AA5760</f>
        <v>0.50725806451612909</v>
      </c>
      <c r="AB5760" s="780"/>
      <c r="AC5760" s="780"/>
      <c r="AD5760" s="780"/>
      <c r="AE5760" s="780"/>
      <c r="AF5760" s="780"/>
    </row>
    <row r="5761" spans="19:32" x14ac:dyDescent="0.35">
      <c r="S5761" s="780"/>
      <c r="T5761" s="928"/>
      <c r="U5761" s="928"/>
      <c r="V5761" s="928"/>
      <c r="W5761" s="780"/>
      <c r="X5761" s="782">
        <v>5757</v>
      </c>
      <c r="Y5761" s="782" t="s">
        <v>2248</v>
      </c>
      <c r="Z5761" s="782" t="s">
        <v>3537</v>
      </c>
      <c r="AA5761" s="781">
        <f>$S$1*P!AA5761</f>
        <v>1.1776</v>
      </c>
      <c r="AB5761" s="780"/>
      <c r="AC5761" s="780"/>
      <c r="AD5761" s="780"/>
      <c r="AE5761" s="780"/>
      <c r="AF5761" s="780"/>
    </row>
    <row r="5762" spans="19:32" x14ac:dyDescent="0.35">
      <c r="S5762" s="780"/>
      <c r="T5762" s="928"/>
      <c r="U5762" s="928"/>
      <c r="V5762" s="928"/>
      <c r="W5762" s="780"/>
      <c r="X5762" s="782">
        <v>5758</v>
      </c>
      <c r="Y5762" s="782" t="s">
        <v>2248</v>
      </c>
      <c r="Z5762" s="782" t="s">
        <v>3536</v>
      </c>
      <c r="AA5762" s="781">
        <f>$S$1*P!AA5762</f>
        <v>56.948</v>
      </c>
      <c r="AB5762" s="780"/>
      <c r="AC5762" s="780"/>
      <c r="AD5762" s="780"/>
      <c r="AE5762" s="780"/>
      <c r="AF5762" s="780"/>
    </row>
    <row r="5763" spans="19:32" x14ac:dyDescent="0.35">
      <c r="S5763" s="780"/>
      <c r="T5763" s="928"/>
      <c r="U5763" s="928"/>
      <c r="V5763" s="928"/>
      <c r="W5763" s="780"/>
      <c r="X5763" s="782">
        <v>5759</v>
      </c>
      <c r="Y5763" s="782" t="s">
        <v>2248</v>
      </c>
      <c r="Z5763" s="782" t="s">
        <v>3003</v>
      </c>
      <c r="AA5763" s="781">
        <f>$S$1*P!AA5763</f>
        <v>0.23991935483870969</v>
      </c>
      <c r="AB5763" s="780"/>
      <c r="AC5763" s="780"/>
      <c r="AD5763" s="780"/>
      <c r="AE5763" s="780"/>
      <c r="AF5763" s="780"/>
    </row>
    <row r="5764" spans="19:32" x14ac:dyDescent="0.35">
      <c r="S5764" s="780"/>
      <c r="T5764" s="928"/>
      <c r="U5764" s="928"/>
      <c r="V5764" s="928"/>
      <c r="W5764" s="780"/>
      <c r="X5764" s="782">
        <v>5760</v>
      </c>
      <c r="Y5764" s="782" t="s">
        <v>2248</v>
      </c>
      <c r="Z5764" s="782" t="s">
        <v>3535</v>
      </c>
      <c r="AA5764" s="781">
        <f>$S$1*P!AA5764</f>
        <v>7.7647999999999995E-2</v>
      </c>
      <c r="AB5764" s="780"/>
      <c r="AC5764" s="780"/>
      <c r="AD5764" s="780"/>
      <c r="AE5764" s="780"/>
      <c r="AF5764" s="780"/>
    </row>
    <row r="5765" spans="19:32" x14ac:dyDescent="0.35">
      <c r="S5765" s="780"/>
      <c r="T5765" s="928"/>
      <c r="U5765" s="928"/>
      <c r="V5765" s="928"/>
      <c r="W5765" s="780"/>
      <c r="X5765" s="782">
        <v>5761</v>
      </c>
      <c r="Y5765" s="782" t="s">
        <v>2248</v>
      </c>
      <c r="Z5765" s="782" t="s">
        <v>3002</v>
      </c>
      <c r="AA5765" s="781">
        <f>$S$1*P!AA5765</f>
        <v>1.0727822580645162E-2</v>
      </c>
      <c r="AB5765" s="780"/>
      <c r="AC5765" s="780"/>
      <c r="AD5765" s="780"/>
      <c r="AE5765" s="780"/>
      <c r="AF5765" s="780"/>
    </row>
    <row r="5766" spans="19:32" x14ac:dyDescent="0.35">
      <c r="S5766" s="780"/>
      <c r="T5766" s="928"/>
      <c r="U5766" s="928"/>
      <c r="V5766" s="928"/>
      <c r="W5766" s="780"/>
      <c r="X5766" s="782">
        <v>5762</v>
      </c>
      <c r="Y5766" s="782" t="s">
        <v>2248</v>
      </c>
      <c r="Z5766" s="782" t="s">
        <v>3534</v>
      </c>
      <c r="AA5766" s="781">
        <f>$S$1*P!AA5766</f>
        <v>163.76</v>
      </c>
      <c r="AB5766" s="780"/>
      <c r="AC5766" s="780"/>
      <c r="AD5766" s="780"/>
      <c r="AE5766" s="780"/>
      <c r="AF5766" s="780"/>
    </row>
    <row r="5767" spans="19:32" x14ac:dyDescent="0.35">
      <c r="S5767" s="780"/>
      <c r="T5767" s="928"/>
      <c r="U5767" s="928"/>
      <c r="V5767" s="928"/>
      <c r="W5767" s="780"/>
      <c r="X5767" s="782">
        <v>5763</v>
      </c>
      <c r="Y5767" s="782" t="s">
        <v>2248</v>
      </c>
      <c r="Z5767" s="782" t="s">
        <v>3533</v>
      </c>
      <c r="AA5767" s="781">
        <f>$S$1*P!AA5767</f>
        <v>11.5</v>
      </c>
      <c r="AB5767" s="780"/>
      <c r="AC5767" s="780"/>
      <c r="AD5767" s="780"/>
      <c r="AE5767" s="780"/>
      <c r="AF5767" s="780"/>
    </row>
    <row r="5768" spans="19:32" x14ac:dyDescent="0.35">
      <c r="S5768" s="780"/>
      <c r="T5768" s="928"/>
      <c r="U5768" s="928"/>
      <c r="V5768" s="928"/>
      <c r="W5768" s="780"/>
      <c r="X5768" s="782">
        <v>5764</v>
      </c>
      <c r="Y5768" s="782" t="s">
        <v>2248</v>
      </c>
      <c r="Z5768" s="782" t="s">
        <v>3001</v>
      </c>
      <c r="AA5768" s="781">
        <f>$S$1*P!AA5768</f>
        <v>5.6895161290322594E-4</v>
      </c>
      <c r="AB5768" s="780"/>
      <c r="AC5768" s="780"/>
      <c r="AD5768" s="780"/>
      <c r="AE5768" s="780"/>
      <c r="AF5768" s="780"/>
    </row>
    <row r="5769" spans="19:32" x14ac:dyDescent="0.35">
      <c r="S5769" s="780"/>
      <c r="T5769" s="928"/>
      <c r="U5769" s="928"/>
      <c r="V5769" s="928"/>
      <c r="W5769" s="780"/>
      <c r="X5769" s="782">
        <v>5765</v>
      </c>
      <c r="Y5769" s="782" t="s">
        <v>2248</v>
      </c>
      <c r="Z5769" s="782" t="s">
        <v>3532</v>
      </c>
      <c r="AA5769" s="781">
        <f>$S$1*P!AA5769</f>
        <v>0</v>
      </c>
      <c r="AB5769" s="780"/>
      <c r="AC5769" s="780"/>
      <c r="AD5769" s="780"/>
      <c r="AE5769" s="780"/>
      <c r="AF5769" s="780"/>
    </row>
    <row r="5770" spans="19:32" x14ac:dyDescent="0.35">
      <c r="S5770" s="780"/>
      <c r="T5770" s="928"/>
      <c r="U5770" s="928"/>
      <c r="V5770" s="928"/>
      <c r="W5770" s="780"/>
      <c r="X5770" s="782">
        <v>5766</v>
      </c>
      <c r="Y5770" s="782" t="s">
        <v>2248</v>
      </c>
      <c r="Z5770" s="782" t="s">
        <v>3531</v>
      </c>
      <c r="AA5770" s="781">
        <f>$S$1*P!AA5770</f>
        <v>0.2898</v>
      </c>
      <c r="AB5770" s="780"/>
      <c r="AC5770" s="780"/>
      <c r="AD5770" s="780"/>
      <c r="AE5770" s="780"/>
      <c r="AF5770" s="780"/>
    </row>
    <row r="5771" spans="19:32" x14ac:dyDescent="0.35">
      <c r="S5771" s="780"/>
      <c r="T5771" s="928"/>
      <c r="U5771" s="928"/>
      <c r="V5771" s="928"/>
      <c r="W5771" s="780"/>
      <c r="X5771" s="782">
        <v>5767</v>
      </c>
      <c r="Y5771" s="782" t="s">
        <v>2248</v>
      </c>
      <c r="Z5771" s="782" t="s">
        <v>3530</v>
      </c>
      <c r="AA5771" s="781">
        <f>$S$1*P!AA5771</f>
        <v>7.643145161290323E-4</v>
      </c>
      <c r="AB5771" s="780"/>
      <c r="AC5771" s="780"/>
      <c r="AD5771" s="780"/>
      <c r="AE5771" s="780"/>
      <c r="AF5771" s="780"/>
    </row>
    <row r="5772" spans="19:32" x14ac:dyDescent="0.35">
      <c r="S5772" s="780"/>
      <c r="T5772" s="928"/>
      <c r="U5772" s="928"/>
      <c r="V5772" s="928"/>
      <c r="W5772" s="780"/>
      <c r="X5772" s="782">
        <v>5768</v>
      </c>
      <c r="Y5772" s="782" t="s">
        <v>2248</v>
      </c>
      <c r="Z5772" s="782" t="s">
        <v>3529</v>
      </c>
      <c r="AA5772" s="781">
        <f>$S$1*P!AA5772</f>
        <v>7.7464000000000004</v>
      </c>
      <c r="AB5772" s="780"/>
      <c r="AC5772" s="780"/>
      <c r="AD5772" s="780"/>
      <c r="AE5772" s="780"/>
      <c r="AF5772" s="780"/>
    </row>
    <row r="5773" spans="19:32" x14ac:dyDescent="0.35">
      <c r="S5773" s="780"/>
      <c r="T5773" s="928"/>
      <c r="U5773" s="928"/>
      <c r="V5773" s="928"/>
      <c r="W5773" s="780"/>
      <c r="X5773" s="782">
        <v>5769</v>
      </c>
      <c r="Y5773" s="782" t="s">
        <v>2248</v>
      </c>
      <c r="Z5773" s="782" t="s">
        <v>3528</v>
      </c>
      <c r="AA5773" s="781">
        <f>$S$1*P!AA5773</f>
        <v>0</v>
      </c>
      <c r="AB5773" s="780"/>
      <c r="AC5773" s="780"/>
      <c r="AD5773" s="780"/>
      <c r="AE5773" s="780"/>
      <c r="AF5773" s="780"/>
    </row>
    <row r="5774" spans="19:32" x14ac:dyDescent="0.35">
      <c r="S5774" s="780"/>
      <c r="T5774" s="928"/>
      <c r="U5774" s="928"/>
      <c r="V5774" s="928"/>
      <c r="W5774" s="780"/>
      <c r="X5774" s="782">
        <v>5770</v>
      </c>
      <c r="Y5774" s="782" t="s">
        <v>2248</v>
      </c>
      <c r="Z5774" s="782" t="s">
        <v>3527</v>
      </c>
      <c r="AA5774" s="781">
        <f>$S$1*P!AA5774</f>
        <v>3.0949596774193549E-4</v>
      </c>
      <c r="AB5774" s="780"/>
      <c r="AC5774" s="780"/>
      <c r="AD5774" s="780"/>
      <c r="AE5774" s="780"/>
      <c r="AF5774" s="780"/>
    </row>
    <row r="5775" spans="19:32" x14ac:dyDescent="0.35">
      <c r="S5775" s="780"/>
      <c r="T5775" s="928"/>
      <c r="U5775" s="928"/>
      <c r="V5775" s="928"/>
      <c r="W5775" s="780"/>
      <c r="X5775" s="782">
        <v>5771</v>
      </c>
      <c r="Y5775" s="782" t="s">
        <v>2248</v>
      </c>
      <c r="Z5775" s="782" t="s">
        <v>3526</v>
      </c>
      <c r="AA5775" s="781">
        <f>$S$1*P!AA5775</f>
        <v>3.2199999999999999E-2</v>
      </c>
      <c r="AB5775" s="780"/>
      <c r="AC5775" s="780"/>
      <c r="AD5775" s="780"/>
      <c r="AE5775" s="780"/>
      <c r="AF5775" s="780"/>
    </row>
    <row r="5776" spans="19:32" x14ac:dyDescent="0.35">
      <c r="S5776" s="780"/>
      <c r="T5776" s="928"/>
      <c r="U5776" s="928"/>
      <c r="V5776" s="928"/>
      <c r="W5776" s="780"/>
      <c r="X5776" s="782">
        <v>5772</v>
      </c>
      <c r="Y5776" s="782" t="s">
        <v>2248</v>
      </c>
      <c r="Z5776" s="782" t="s">
        <v>3525</v>
      </c>
      <c r="AA5776" s="781">
        <f>$S$1*P!AA5776</f>
        <v>2.7385080645161292E-4</v>
      </c>
      <c r="AB5776" s="780"/>
      <c r="AC5776" s="780"/>
      <c r="AD5776" s="780"/>
      <c r="AE5776" s="780"/>
      <c r="AF5776" s="780"/>
    </row>
    <row r="5777" spans="19:32" x14ac:dyDescent="0.35">
      <c r="S5777" s="780"/>
      <c r="T5777" s="928"/>
      <c r="U5777" s="928"/>
      <c r="V5777" s="928"/>
      <c r="W5777" s="780"/>
      <c r="X5777" s="782">
        <v>5773</v>
      </c>
      <c r="Y5777" s="782" t="s">
        <v>2248</v>
      </c>
      <c r="Z5777" s="782" t="s">
        <v>3524</v>
      </c>
      <c r="AA5777" s="781">
        <f>$S$1*P!AA5777</f>
        <v>39.744</v>
      </c>
      <c r="AB5777" s="780"/>
      <c r="AC5777" s="780"/>
      <c r="AD5777" s="780"/>
      <c r="AE5777" s="780"/>
      <c r="AF5777" s="780"/>
    </row>
    <row r="5778" spans="19:32" x14ac:dyDescent="0.35">
      <c r="S5778" s="780"/>
      <c r="T5778" s="928"/>
      <c r="U5778" s="928"/>
      <c r="V5778" s="928"/>
      <c r="W5778" s="780"/>
      <c r="X5778" s="782">
        <v>5774</v>
      </c>
      <c r="Y5778" s="782" t="s">
        <v>2248</v>
      </c>
      <c r="Z5778" s="782" t="s">
        <v>3523</v>
      </c>
      <c r="AA5778" s="781">
        <f>$S$1*P!AA5778</f>
        <v>0</v>
      </c>
      <c r="AB5778" s="780"/>
      <c r="AC5778" s="780"/>
      <c r="AD5778" s="780"/>
      <c r="AE5778" s="780"/>
      <c r="AF5778" s="780"/>
    </row>
    <row r="5779" spans="19:32" x14ac:dyDescent="0.35">
      <c r="S5779" s="780"/>
      <c r="T5779" s="928"/>
      <c r="U5779" s="928"/>
      <c r="V5779" s="928"/>
      <c r="W5779" s="780"/>
      <c r="X5779" s="782">
        <v>5775</v>
      </c>
      <c r="Y5779" s="782" t="s">
        <v>2248</v>
      </c>
      <c r="Z5779" s="782" t="s">
        <v>3522</v>
      </c>
      <c r="AA5779" s="781">
        <f>$S$1*P!AA5779</f>
        <v>5.3467741935483873E-4</v>
      </c>
      <c r="AB5779" s="780"/>
      <c r="AC5779" s="780"/>
      <c r="AD5779" s="780"/>
      <c r="AE5779" s="780"/>
      <c r="AF5779" s="780"/>
    </row>
    <row r="5780" spans="19:32" x14ac:dyDescent="0.35">
      <c r="S5780" s="780"/>
      <c r="T5780" s="928"/>
      <c r="U5780" s="928"/>
      <c r="V5780" s="928"/>
      <c r="W5780" s="780"/>
      <c r="X5780" s="782">
        <v>5776</v>
      </c>
      <c r="Y5780" s="782" t="s">
        <v>2248</v>
      </c>
      <c r="Z5780" s="782" t="s">
        <v>3521</v>
      </c>
      <c r="AA5780" s="781">
        <f>$S$1*P!AA5780</f>
        <v>4.7471999999999994</v>
      </c>
      <c r="AB5780" s="780"/>
      <c r="AC5780" s="780"/>
      <c r="AD5780" s="780"/>
      <c r="AE5780" s="780"/>
      <c r="AF5780" s="780"/>
    </row>
    <row r="5781" spans="19:32" x14ac:dyDescent="0.35">
      <c r="S5781" s="780"/>
      <c r="T5781" s="928"/>
      <c r="U5781" s="928"/>
      <c r="V5781" s="928"/>
      <c r="W5781" s="780"/>
      <c r="X5781" s="782">
        <v>5777</v>
      </c>
      <c r="Y5781" s="782" t="s">
        <v>2248</v>
      </c>
      <c r="Z5781" s="782" t="s">
        <v>3520</v>
      </c>
      <c r="AA5781" s="781">
        <f>$S$1*P!AA5781</f>
        <v>0</v>
      </c>
      <c r="AB5781" s="780"/>
      <c r="AC5781" s="780"/>
      <c r="AD5781" s="780"/>
      <c r="AE5781" s="780"/>
      <c r="AF5781" s="780"/>
    </row>
    <row r="5782" spans="19:32" x14ac:dyDescent="0.35">
      <c r="S5782" s="780"/>
      <c r="T5782" s="928"/>
      <c r="U5782" s="928"/>
      <c r="V5782" s="928"/>
      <c r="W5782" s="780"/>
      <c r="X5782" s="782">
        <v>5778</v>
      </c>
      <c r="Y5782" s="782" t="s">
        <v>2248</v>
      </c>
      <c r="Z5782" s="782" t="s">
        <v>3519</v>
      </c>
      <c r="AA5782" s="781">
        <f>$S$1*P!AA5782</f>
        <v>3.2389112903225811E-2</v>
      </c>
      <c r="AB5782" s="780"/>
      <c r="AC5782" s="780"/>
      <c r="AD5782" s="780"/>
      <c r="AE5782" s="780"/>
      <c r="AF5782" s="780"/>
    </row>
    <row r="5783" spans="19:32" x14ac:dyDescent="0.35">
      <c r="S5783" s="780"/>
      <c r="T5783" s="928"/>
      <c r="U5783" s="928"/>
      <c r="V5783" s="928"/>
      <c r="W5783" s="780"/>
      <c r="X5783" s="782">
        <v>5779</v>
      </c>
      <c r="Y5783" s="782" t="s">
        <v>2248</v>
      </c>
      <c r="Z5783" s="782" t="s">
        <v>3518</v>
      </c>
      <c r="AA5783" s="781">
        <f>$S$1*P!AA5783</f>
        <v>6.0167999999999999</v>
      </c>
      <c r="AB5783" s="780"/>
      <c r="AC5783" s="780"/>
      <c r="AD5783" s="780"/>
      <c r="AE5783" s="780"/>
      <c r="AF5783" s="780"/>
    </row>
    <row r="5784" spans="19:32" x14ac:dyDescent="0.35">
      <c r="S5784" s="780"/>
      <c r="T5784" s="928"/>
      <c r="U5784" s="928"/>
      <c r="V5784" s="928"/>
      <c r="W5784" s="780"/>
      <c r="X5784" s="782">
        <v>5780</v>
      </c>
      <c r="Y5784" s="782" t="s">
        <v>2248</v>
      </c>
      <c r="Z5784" s="782" t="s">
        <v>3517</v>
      </c>
      <c r="AA5784" s="781">
        <f>$S$1*P!AA5784</f>
        <v>0</v>
      </c>
      <c r="AB5784" s="780"/>
      <c r="AC5784" s="780"/>
      <c r="AD5784" s="780"/>
      <c r="AE5784" s="780"/>
      <c r="AF5784" s="780"/>
    </row>
    <row r="5785" spans="19:32" x14ac:dyDescent="0.35">
      <c r="S5785" s="780"/>
      <c r="T5785" s="928"/>
      <c r="U5785" s="928"/>
      <c r="V5785" s="928"/>
      <c r="W5785" s="780"/>
      <c r="X5785" s="782">
        <v>5781</v>
      </c>
      <c r="Y5785" s="782" t="s">
        <v>2248</v>
      </c>
      <c r="Z5785" s="782" t="s">
        <v>3516</v>
      </c>
      <c r="AA5785" s="781">
        <f>$S$1*P!AA5785</f>
        <v>3.7358870967741937E-4</v>
      </c>
      <c r="AB5785" s="780"/>
      <c r="AC5785" s="780"/>
      <c r="AD5785" s="780"/>
      <c r="AE5785" s="780"/>
      <c r="AF5785" s="780"/>
    </row>
    <row r="5786" spans="19:32" x14ac:dyDescent="0.35">
      <c r="S5786" s="780"/>
      <c r="T5786" s="928"/>
      <c r="U5786" s="928"/>
      <c r="V5786" s="928"/>
      <c r="W5786" s="780"/>
      <c r="X5786" s="782">
        <v>5782</v>
      </c>
      <c r="Y5786" s="782" t="s">
        <v>2248</v>
      </c>
      <c r="Z5786" s="782" t="s">
        <v>3515</v>
      </c>
      <c r="AA5786" s="781">
        <f>$S$1*P!AA5786</f>
        <v>4.7563999999999993</v>
      </c>
      <c r="AB5786" s="780"/>
      <c r="AC5786" s="780"/>
      <c r="AD5786" s="780"/>
      <c r="AE5786" s="780"/>
      <c r="AF5786" s="780"/>
    </row>
    <row r="5787" spans="19:32" x14ac:dyDescent="0.35">
      <c r="S5787" s="780"/>
      <c r="T5787" s="928"/>
      <c r="U5787" s="928"/>
      <c r="V5787" s="928"/>
      <c r="W5787" s="780"/>
      <c r="X5787" s="782">
        <v>5783</v>
      </c>
      <c r="Y5787" s="782" t="s">
        <v>2248</v>
      </c>
      <c r="Z5787" s="782" t="s">
        <v>3514</v>
      </c>
      <c r="AA5787" s="781">
        <f>$S$1*P!AA5787</f>
        <v>0</v>
      </c>
      <c r="AB5787" s="780"/>
      <c r="AC5787" s="780"/>
      <c r="AD5787" s="780"/>
      <c r="AE5787" s="780"/>
      <c r="AF5787" s="780"/>
    </row>
    <row r="5788" spans="19:32" x14ac:dyDescent="0.35">
      <c r="S5788" s="780"/>
      <c r="T5788" s="928"/>
      <c r="U5788" s="928"/>
      <c r="V5788" s="928"/>
      <c r="W5788" s="780"/>
      <c r="X5788" s="782">
        <v>5784</v>
      </c>
      <c r="Y5788" s="782" t="s">
        <v>2248</v>
      </c>
      <c r="Z5788" s="782" t="s">
        <v>3513</v>
      </c>
      <c r="AA5788" s="781">
        <f>$S$1*P!AA5788</f>
        <v>5.8951612903225814E-3</v>
      </c>
      <c r="AB5788" s="780"/>
      <c r="AC5788" s="780"/>
      <c r="AD5788" s="780"/>
      <c r="AE5788" s="780"/>
      <c r="AF5788" s="780"/>
    </row>
    <row r="5789" spans="19:32" x14ac:dyDescent="0.35">
      <c r="S5789" s="780"/>
      <c r="T5789" s="928"/>
      <c r="U5789" s="928"/>
      <c r="V5789" s="928"/>
      <c r="W5789" s="780"/>
      <c r="X5789" s="782">
        <v>5785</v>
      </c>
      <c r="Y5789" s="782" t="s">
        <v>2248</v>
      </c>
      <c r="Z5789" s="782" t="s">
        <v>3512</v>
      </c>
      <c r="AA5789" s="781">
        <f>$S$1*P!AA5789</f>
        <v>3.2383999999999998E-3</v>
      </c>
      <c r="AB5789" s="780"/>
      <c r="AC5789" s="780"/>
      <c r="AD5789" s="780"/>
      <c r="AE5789" s="780"/>
      <c r="AF5789" s="780"/>
    </row>
    <row r="5790" spans="19:32" x14ac:dyDescent="0.35">
      <c r="S5790" s="780"/>
      <c r="T5790" s="928"/>
      <c r="U5790" s="928"/>
      <c r="V5790" s="928"/>
      <c r="W5790" s="780"/>
      <c r="X5790" s="782">
        <v>5786</v>
      </c>
      <c r="Y5790" s="782" t="s">
        <v>2248</v>
      </c>
      <c r="Z5790" s="782" t="s">
        <v>3511</v>
      </c>
      <c r="AA5790" s="781">
        <f>$S$1*P!AA5790</f>
        <v>1.1241935483870969E-2</v>
      </c>
      <c r="AB5790" s="780"/>
      <c r="AC5790" s="780"/>
      <c r="AD5790" s="780"/>
      <c r="AE5790" s="780"/>
      <c r="AF5790" s="780"/>
    </row>
    <row r="5791" spans="19:32" x14ac:dyDescent="0.35">
      <c r="S5791" s="780"/>
      <c r="T5791" s="928"/>
      <c r="U5791" s="928"/>
      <c r="V5791" s="928"/>
      <c r="W5791" s="780"/>
      <c r="X5791" s="782">
        <v>5787</v>
      </c>
      <c r="Y5791" s="782" t="s">
        <v>2248</v>
      </c>
      <c r="Z5791" s="782" t="s">
        <v>3510</v>
      </c>
      <c r="AA5791" s="781">
        <f>$S$1*P!AA5791</f>
        <v>3.266</v>
      </c>
      <c r="AB5791" s="780"/>
      <c r="AC5791" s="780"/>
      <c r="AD5791" s="780"/>
      <c r="AE5791" s="780"/>
      <c r="AF5791" s="780"/>
    </row>
    <row r="5792" spans="19:32" x14ac:dyDescent="0.35">
      <c r="S5792" s="780"/>
      <c r="T5792" s="928"/>
      <c r="U5792" s="928"/>
      <c r="V5792" s="928"/>
      <c r="W5792" s="780"/>
      <c r="X5792" s="782">
        <v>5788</v>
      </c>
      <c r="Y5792" s="782" t="s">
        <v>2248</v>
      </c>
      <c r="Z5792" s="782" t="s">
        <v>3509</v>
      </c>
      <c r="AA5792" s="781">
        <f>$S$1*P!AA5792</f>
        <v>35052</v>
      </c>
      <c r="AB5792" s="780"/>
      <c r="AC5792" s="780"/>
      <c r="AD5792" s="780"/>
      <c r="AE5792" s="780"/>
      <c r="AF5792" s="780"/>
    </row>
    <row r="5793" spans="19:32" x14ac:dyDescent="0.35">
      <c r="S5793" s="780"/>
      <c r="T5793" s="928"/>
      <c r="U5793" s="928"/>
      <c r="V5793" s="928"/>
      <c r="W5793" s="780"/>
      <c r="X5793" s="782">
        <v>5789</v>
      </c>
      <c r="Y5793" s="782" t="s">
        <v>2248</v>
      </c>
      <c r="Z5793" s="782" t="s">
        <v>3508</v>
      </c>
      <c r="AA5793" s="781">
        <f>$S$1*P!AA5793</f>
        <v>1.6622983870967743E-2</v>
      </c>
      <c r="AB5793" s="780"/>
      <c r="AC5793" s="780"/>
      <c r="AD5793" s="780"/>
      <c r="AE5793" s="780"/>
      <c r="AF5793" s="780"/>
    </row>
    <row r="5794" spans="19:32" x14ac:dyDescent="0.35">
      <c r="S5794" s="780"/>
      <c r="T5794" s="928"/>
      <c r="U5794" s="928"/>
      <c r="V5794" s="928"/>
      <c r="W5794" s="780"/>
      <c r="X5794" s="782">
        <v>5790</v>
      </c>
      <c r="Y5794" s="782" t="s">
        <v>2248</v>
      </c>
      <c r="Z5794" s="782" t="s">
        <v>3507</v>
      </c>
      <c r="AA5794" s="781">
        <f>$S$1*P!AA5794</f>
        <v>36432</v>
      </c>
      <c r="AB5794" s="780"/>
      <c r="AC5794" s="780"/>
      <c r="AD5794" s="780"/>
      <c r="AE5794" s="780"/>
      <c r="AF5794" s="780"/>
    </row>
    <row r="5795" spans="19:32" x14ac:dyDescent="0.35">
      <c r="S5795" s="780"/>
      <c r="T5795" s="928"/>
      <c r="U5795" s="928"/>
      <c r="V5795" s="928"/>
      <c r="W5795" s="780"/>
      <c r="X5795" s="782">
        <v>5791</v>
      </c>
      <c r="Y5795" s="782" t="s">
        <v>2248</v>
      </c>
      <c r="Z5795" s="782" t="s">
        <v>3506</v>
      </c>
      <c r="AA5795" s="781">
        <f>$S$1*P!AA5795</f>
        <v>0</v>
      </c>
      <c r="AB5795" s="780"/>
      <c r="AC5795" s="780"/>
      <c r="AD5795" s="780"/>
      <c r="AE5795" s="780"/>
      <c r="AF5795" s="780"/>
    </row>
    <row r="5796" spans="19:32" x14ac:dyDescent="0.35">
      <c r="S5796" s="780"/>
      <c r="T5796" s="928"/>
      <c r="U5796" s="928"/>
      <c r="V5796" s="928"/>
      <c r="W5796" s="780"/>
      <c r="X5796" s="782">
        <v>5792</v>
      </c>
      <c r="Y5796" s="782" t="s">
        <v>2248</v>
      </c>
      <c r="Z5796" s="782" t="s">
        <v>3505</v>
      </c>
      <c r="AA5796" s="781">
        <f>$S$1*P!AA5796</f>
        <v>1.5868951612903225E-3</v>
      </c>
      <c r="AB5796" s="780"/>
      <c r="AC5796" s="780"/>
      <c r="AD5796" s="780"/>
      <c r="AE5796" s="780"/>
      <c r="AF5796" s="780"/>
    </row>
    <row r="5797" spans="19:32" x14ac:dyDescent="0.35">
      <c r="S5797" s="780"/>
      <c r="T5797" s="928"/>
      <c r="U5797" s="928"/>
      <c r="V5797" s="928"/>
      <c r="W5797" s="780"/>
      <c r="X5797" s="782">
        <v>5793</v>
      </c>
      <c r="Y5797" s="782" t="s">
        <v>2248</v>
      </c>
      <c r="Z5797" s="782" t="s">
        <v>3504</v>
      </c>
      <c r="AA5797" s="781">
        <f>$S$1*P!AA5797</f>
        <v>0</v>
      </c>
      <c r="AB5797" s="780"/>
      <c r="AC5797" s="780"/>
      <c r="AD5797" s="780"/>
      <c r="AE5797" s="780"/>
      <c r="AF5797" s="780"/>
    </row>
    <row r="5798" spans="19:32" x14ac:dyDescent="0.35">
      <c r="S5798" s="780"/>
      <c r="T5798" s="928"/>
      <c r="U5798" s="928"/>
      <c r="V5798" s="928"/>
      <c r="W5798" s="780"/>
      <c r="X5798" s="782">
        <v>5794</v>
      </c>
      <c r="Y5798" s="782" t="s">
        <v>2248</v>
      </c>
      <c r="Z5798" s="782" t="s">
        <v>3503</v>
      </c>
      <c r="AA5798" s="781">
        <f>$S$1*P!AA5798</f>
        <v>0</v>
      </c>
      <c r="AB5798" s="780"/>
      <c r="AC5798" s="780"/>
      <c r="AD5798" s="780"/>
      <c r="AE5798" s="780"/>
      <c r="AF5798" s="780"/>
    </row>
    <row r="5799" spans="19:32" x14ac:dyDescent="0.35">
      <c r="S5799" s="780"/>
      <c r="T5799" s="928"/>
      <c r="U5799" s="928"/>
      <c r="V5799" s="928"/>
      <c r="W5799" s="780"/>
      <c r="X5799" s="782">
        <v>5795</v>
      </c>
      <c r="Y5799" s="782" t="s">
        <v>2248</v>
      </c>
      <c r="Z5799" s="782" t="s">
        <v>3502</v>
      </c>
      <c r="AA5799" s="781">
        <f>$S$1*P!AA5799</f>
        <v>0.16280241935483872</v>
      </c>
      <c r="AB5799" s="780"/>
      <c r="AC5799" s="780"/>
      <c r="AD5799" s="780"/>
      <c r="AE5799" s="780"/>
      <c r="AF5799" s="780"/>
    </row>
    <row r="5800" spans="19:32" x14ac:dyDescent="0.35">
      <c r="S5800" s="780"/>
      <c r="T5800" s="928"/>
      <c r="U5800" s="928"/>
      <c r="V5800" s="928"/>
      <c r="W5800" s="780"/>
      <c r="X5800" s="782">
        <v>5796</v>
      </c>
      <c r="Y5800" s="782" t="s">
        <v>2248</v>
      </c>
      <c r="Z5800" s="782" t="s">
        <v>3501</v>
      </c>
      <c r="AA5800" s="781">
        <f>$S$1*P!AA5800</f>
        <v>64.49199999999999</v>
      </c>
      <c r="AB5800" s="780"/>
      <c r="AC5800" s="780"/>
      <c r="AD5800" s="780"/>
      <c r="AE5800" s="780"/>
      <c r="AF5800" s="780"/>
    </row>
    <row r="5801" spans="19:32" x14ac:dyDescent="0.35">
      <c r="S5801" s="780"/>
      <c r="T5801" s="928"/>
      <c r="U5801" s="928"/>
      <c r="V5801" s="928"/>
      <c r="W5801" s="780"/>
      <c r="X5801" s="782">
        <v>5797</v>
      </c>
      <c r="Y5801" s="782" t="s">
        <v>2248</v>
      </c>
      <c r="Z5801" s="782" t="s">
        <v>3500</v>
      </c>
      <c r="AA5801" s="781">
        <f>$S$1*P!AA5801</f>
        <v>1.1858870967741936E-2</v>
      </c>
      <c r="AB5801" s="780"/>
      <c r="AC5801" s="780"/>
      <c r="AD5801" s="780"/>
      <c r="AE5801" s="780"/>
      <c r="AF5801" s="780"/>
    </row>
    <row r="5802" spans="19:32" x14ac:dyDescent="0.35">
      <c r="S5802" s="780"/>
      <c r="T5802" s="928"/>
      <c r="U5802" s="928"/>
      <c r="V5802" s="928"/>
      <c r="W5802" s="780"/>
      <c r="X5802" s="782">
        <v>5798</v>
      </c>
      <c r="Y5802" s="782" t="s">
        <v>2248</v>
      </c>
      <c r="Z5802" s="782" t="s">
        <v>3499</v>
      </c>
      <c r="AA5802" s="781">
        <f>$S$1*P!AA5802</f>
        <v>0</v>
      </c>
      <c r="AB5802" s="780"/>
      <c r="AC5802" s="780"/>
      <c r="AD5802" s="780"/>
      <c r="AE5802" s="780"/>
      <c r="AF5802" s="780"/>
    </row>
    <row r="5803" spans="19:32" x14ac:dyDescent="0.35">
      <c r="S5803" s="780"/>
      <c r="T5803" s="928"/>
      <c r="U5803" s="928"/>
      <c r="V5803" s="928"/>
      <c r="W5803" s="780"/>
      <c r="X5803" s="782">
        <v>5799</v>
      </c>
      <c r="Y5803" s="782" t="s">
        <v>2248</v>
      </c>
      <c r="Z5803" s="782" t="s">
        <v>3498</v>
      </c>
      <c r="AA5803" s="781">
        <f>$S$1*P!AA5803</f>
        <v>0</v>
      </c>
      <c r="AB5803" s="780"/>
      <c r="AC5803" s="780"/>
      <c r="AD5803" s="780"/>
      <c r="AE5803" s="780"/>
      <c r="AF5803" s="780"/>
    </row>
    <row r="5804" spans="19:32" x14ac:dyDescent="0.35">
      <c r="S5804" s="780"/>
      <c r="T5804" s="928"/>
      <c r="U5804" s="928"/>
      <c r="V5804" s="928"/>
      <c r="W5804" s="780"/>
      <c r="X5804" s="782">
        <v>5800</v>
      </c>
      <c r="Y5804" s="782" t="s">
        <v>2248</v>
      </c>
      <c r="Z5804" s="782" t="s">
        <v>3497</v>
      </c>
      <c r="AA5804" s="781">
        <f>$S$1*P!AA5804</f>
        <v>2.5431451612903228E-3</v>
      </c>
      <c r="AB5804" s="780"/>
      <c r="AC5804" s="780"/>
      <c r="AD5804" s="780"/>
      <c r="AE5804" s="780"/>
      <c r="AF5804" s="780"/>
    </row>
    <row r="5805" spans="19:32" x14ac:dyDescent="0.35">
      <c r="S5805" s="780"/>
      <c r="T5805" s="928"/>
      <c r="U5805" s="928"/>
      <c r="V5805" s="928"/>
      <c r="W5805" s="780"/>
      <c r="X5805" s="782">
        <v>5801</v>
      </c>
      <c r="Y5805" s="782" t="s">
        <v>2248</v>
      </c>
      <c r="Z5805" s="782" t="s">
        <v>3496</v>
      </c>
      <c r="AA5805" s="781">
        <f>$S$1*P!AA5805</f>
        <v>0</v>
      </c>
      <c r="AB5805" s="780"/>
      <c r="AC5805" s="780"/>
      <c r="AD5805" s="780"/>
      <c r="AE5805" s="780"/>
      <c r="AF5805" s="780"/>
    </row>
    <row r="5806" spans="19:32" x14ac:dyDescent="0.35">
      <c r="S5806" s="780"/>
      <c r="T5806" s="928"/>
      <c r="U5806" s="928"/>
      <c r="V5806" s="928"/>
      <c r="W5806" s="780"/>
      <c r="X5806" s="782">
        <v>5802</v>
      </c>
      <c r="Y5806" s="782" t="s">
        <v>2248</v>
      </c>
      <c r="Z5806" s="782" t="s">
        <v>3495</v>
      </c>
      <c r="AA5806" s="781">
        <f>$S$1*P!AA5806</f>
        <v>7.1576000000000001E-2</v>
      </c>
      <c r="AB5806" s="780"/>
      <c r="AC5806" s="780"/>
      <c r="AD5806" s="780"/>
      <c r="AE5806" s="780"/>
      <c r="AF5806" s="780"/>
    </row>
    <row r="5807" spans="19:32" x14ac:dyDescent="0.35">
      <c r="S5807" s="780"/>
      <c r="T5807" s="928"/>
      <c r="U5807" s="928"/>
      <c r="V5807" s="928"/>
      <c r="W5807" s="780"/>
      <c r="X5807" s="782">
        <v>5803</v>
      </c>
      <c r="Y5807" s="782" t="s">
        <v>2248</v>
      </c>
      <c r="Z5807" s="782" t="s">
        <v>2997</v>
      </c>
      <c r="AA5807" s="781">
        <f>$S$1*P!AA5807</f>
        <v>0.11550403225806452</v>
      </c>
      <c r="AB5807" s="780"/>
      <c r="AC5807" s="780"/>
      <c r="AD5807" s="780"/>
      <c r="AE5807" s="780"/>
      <c r="AF5807" s="780"/>
    </row>
    <row r="5808" spans="19:32" x14ac:dyDescent="0.35">
      <c r="S5808" s="780"/>
      <c r="T5808" s="928"/>
      <c r="U5808" s="928"/>
      <c r="V5808" s="928"/>
      <c r="W5808" s="780"/>
      <c r="X5808" s="782">
        <v>5804</v>
      </c>
      <c r="Y5808" s="782" t="s">
        <v>2248</v>
      </c>
      <c r="Z5808" s="782" t="s">
        <v>3494</v>
      </c>
      <c r="AA5808" s="781">
        <f>$S$1*P!AA5808</f>
        <v>8.0315999999999999E-3</v>
      </c>
      <c r="AB5808" s="780"/>
      <c r="AC5808" s="780"/>
      <c r="AD5808" s="780"/>
      <c r="AE5808" s="780"/>
      <c r="AF5808" s="780"/>
    </row>
    <row r="5809" spans="19:32" x14ac:dyDescent="0.35">
      <c r="S5809" s="780"/>
      <c r="T5809" s="928"/>
      <c r="U5809" s="928"/>
      <c r="V5809" s="928"/>
      <c r="W5809" s="780"/>
      <c r="X5809" s="782">
        <v>5805</v>
      </c>
      <c r="Y5809" s="782" t="s">
        <v>2248</v>
      </c>
      <c r="Z5809" s="782" t="s">
        <v>3493</v>
      </c>
      <c r="AA5809" s="781">
        <f>$S$1*P!AA5809</f>
        <v>0</v>
      </c>
      <c r="AB5809" s="780"/>
      <c r="AC5809" s="780"/>
      <c r="AD5809" s="780"/>
      <c r="AE5809" s="780"/>
      <c r="AF5809" s="780"/>
    </row>
    <row r="5810" spans="19:32" x14ac:dyDescent="0.35">
      <c r="S5810" s="780"/>
      <c r="T5810" s="928"/>
      <c r="U5810" s="928"/>
      <c r="V5810" s="928"/>
      <c r="W5810" s="780"/>
      <c r="X5810" s="782">
        <v>5806</v>
      </c>
      <c r="Y5810" s="782" t="s">
        <v>2248</v>
      </c>
      <c r="Z5810" s="782" t="s">
        <v>2996</v>
      </c>
      <c r="AA5810" s="781">
        <f>$S$1*P!AA5810</f>
        <v>2.3889112903225807E-3</v>
      </c>
      <c r="AB5810" s="780"/>
      <c r="AC5810" s="780"/>
      <c r="AD5810" s="780"/>
      <c r="AE5810" s="780"/>
      <c r="AF5810" s="780"/>
    </row>
    <row r="5811" spans="19:32" x14ac:dyDescent="0.35">
      <c r="S5811" s="780"/>
      <c r="T5811" s="928"/>
      <c r="U5811" s="928"/>
      <c r="V5811" s="928"/>
      <c r="W5811" s="780"/>
      <c r="X5811" s="782">
        <v>5807</v>
      </c>
      <c r="Y5811" s="782" t="s">
        <v>2248</v>
      </c>
      <c r="Z5811" s="782" t="s">
        <v>3492</v>
      </c>
      <c r="AA5811" s="781">
        <f>$S$1*P!AA5811</f>
        <v>1.9596</v>
      </c>
      <c r="AB5811" s="780"/>
      <c r="AC5811" s="780"/>
      <c r="AD5811" s="780"/>
      <c r="AE5811" s="780"/>
      <c r="AF5811" s="780"/>
    </row>
    <row r="5812" spans="19:32" x14ac:dyDescent="0.35">
      <c r="S5812" s="780"/>
      <c r="T5812" s="928"/>
      <c r="U5812" s="928"/>
      <c r="V5812" s="928"/>
      <c r="W5812" s="780"/>
      <c r="X5812" s="782">
        <v>5808</v>
      </c>
      <c r="Y5812" s="782" t="s">
        <v>2248</v>
      </c>
      <c r="Z5812" s="782" t="s">
        <v>3491</v>
      </c>
      <c r="AA5812" s="781">
        <f>$S$1*P!AA5812</f>
        <v>0</v>
      </c>
      <c r="AB5812" s="780"/>
      <c r="AC5812" s="780"/>
      <c r="AD5812" s="780"/>
      <c r="AE5812" s="780"/>
      <c r="AF5812" s="780"/>
    </row>
    <row r="5813" spans="19:32" x14ac:dyDescent="0.35">
      <c r="S5813" s="780"/>
      <c r="T5813" s="928"/>
      <c r="U5813" s="928"/>
      <c r="V5813" s="928"/>
      <c r="W5813" s="780"/>
      <c r="X5813" s="782">
        <v>5809</v>
      </c>
      <c r="Y5813" s="782" t="s">
        <v>2248</v>
      </c>
      <c r="Z5813" s="782" t="s">
        <v>3490</v>
      </c>
      <c r="AA5813" s="781">
        <f>$S$1*P!AA5813</f>
        <v>1.1721774193548389</v>
      </c>
      <c r="AB5813" s="780"/>
      <c r="AC5813" s="780"/>
      <c r="AD5813" s="780"/>
      <c r="AE5813" s="780"/>
      <c r="AF5813" s="780"/>
    </row>
    <row r="5814" spans="19:32" x14ac:dyDescent="0.35">
      <c r="S5814" s="780"/>
      <c r="T5814" s="928"/>
      <c r="U5814" s="928"/>
      <c r="V5814" s="928"/>
      <c r="W5814" s="780"/>
      <c r="X5814" s="782">
        <v>5810</v>
      </c>
      <c r="Y5814" s="782" t="s">
        <v>2248</v>
      </c>
      <c r="Z5814" s="782" t="s">
        <v>3489</v>
      </c>
      <c r="AA5814" s="781">
        <f>$S$1*P!AA5814</f>
        <v>0</v>
      </c>
      <c r="AB5814" s="780"/>
      <c r="AC5814" s="780"/>
      <c r="AD5814" s="780"/>
      <c r="AE5814" s="780"/>
      <c r="AF5814" s="780"/>
    </row>
    <row r="5815" spans="19:32" x14ac:dyDescent="0.35">
      <c r="S5815" s="780"/>
      <c r="T5815" s="928"/>
      <c r="U5815" s="928"/>
      <c r="V5815" s="928"/>
      <c r="W5815" s="780"/>
      <c r="X5815" s="782">
        <v>5811</v>
      </c>
      <c r="Y5815" s="782" t="s">
        <v>2248</v>
      </c>
      <c r="Z5815" s="782" t="s">
        <v>2994</v>
      </c>
      <c r="AA5815" s="781">
        <f>$S$1*P!AA5815</f>
        <v>1.1550403225806453E-3</v>
      </c>
      <c r="AB5815" s="780"/>
      <c r="AC5815" s="780"/>
      <c r="AD5815" s="780"/>
      <c r="AE5815" s="780"/>
      <c r="AF5815" s="780"/>
    </row>
    <row r="5816" spans="19:32" x14ac:dyDescent="0.35">
      <c r="S5816" s="780"/>
      <c r="T5816" s="928"/>
      <c r="U5816" s="928"/>
      <c r="V5816" s="928"/>
      <c r="W5816" s="780"/>
      <c r="X5816" s="782">
        <v>5812</v>
      </c>
      <c r="Y5816" s="782" t="s">
        <v>2248</v>
      </c>
      <c r="Z5816" s="782" t="s">
        <v>3488</v>
      </c>
      <c r="AA5816" s="781">
        <f>$S$1*P!AA5816</f>
        <v>0</v>
      </c>
      <c r="AB5816" s="780"/>
      <c r="AC5816" s="780"/>
      <c r="AD5816" s="780"/>
      <c r="AE5816" s="780"/>
      <c r="AF5816" s="780"/>
    </row>
    <row r="5817" spans="19:32" x14ac:dyDescent="0.35">
      <c r="S5817" s="780"/>
      <c r="T5817" s="928"/>
      <c r="U5817" s="928"/>
      <c r="V5817" s="928"/>
      <c r="W5817" s="780"/>
      <c r="X5817" s="782">
        <v>5813</v>
      </c>
      <c r="Y5817" s="782" t="s">
        <v>2248</v>
      </c>
      <c r="Z5817" s="782" t="s">
        <v>3487</v>
      </c>
      <c r="AA5817" s="781">
        <f>$S$1*P!AA5817</f>
        <v>0</v>
      </c>
      <c r="AB5817" s="780"/>
      <c r="AC5817" s="780"/>
      <c r="AD5817" s="780"/>
      <c r="AE5817" s="780"/>
      <c r="AF5817" s="780"/>
    </row>
    <row r="5818" spans="19:32" x14ac:dyDescent="0.35">
      <c r="S5818" s="780"/>
      <c r="T5818" s="928"/>
      <c r="U5818" s="928"/>
      <c r="V5818" s="928"/>
      <c r="W5818" s="780"/>
      <c r="X5818" s="782">
        <v>5814</v>
      </c>
      <c r="Y5818" s="782" t="s">
        <v>2248</v>
      </c>
      <c r="Z5818" s="782" t="s">
        <v>3486</v>
      </c>
      <c r="AA5818" s="781">
        <f>$S$1*P!AA5818</f>
        <v>7.5060483870967751E-5</v>
      </c>
      <c r="AB5818" s="780"/>
      <c r="AC5818" s="780"/>
      <c r="AD5818" s="780"/>
      <c r="AE5818" s="780"/>
      <c r="AF5818" s="780"/>
    </row>
    <row r="5819" spans="19:32" x14ac:dyDescent="0.35">
      <c r="S5819" s="780"/>
      <c r="T5819" s="928"/>
      <c r="U5819" s="928"/>
      <c r="V5819" s="928"/>
      <c r="W5819" s="780"/>
      <c r="X5819" s="782">
        <v>5815</v>
      </c>
      <c r="Y5819" s="782" t="s">
        <v>2248</v>
      </c>
      <c r="Z5819" s="782" t="s">
        <v>3485</v>
      </c>
      <c r="AA5819" s="781">
        <f>$S$1*P!AA5819</f>
        <v>0</v>
      </c>
      <c r="AB5819" s="780"/>
      <c r="AC5819" s="780"/>
      <c r="AD5819" s="780"/>
      <c r="AE5819" s="780"/>
      <c r="AF5819" s="780"/>
    </row>
    <row r="5820" spans="19:32" x14ac:dyDescent="0.35">
      <c r="S5820" s="780"/>
      <c r="T5820" s="928"/>
      <c r="U5820" s="928"/>
      <c r="V5820" s="928"/>
      <c r="W5820" s="780"/>
      <c r="X5820" s="782">
        <v>5816</v>
      </c>
      <c r="Y5820" s="782" t="s">
        <v>2248</v>
      </c>
      <c r="Z5820" s="782" t="s">
        <v>3484</v>
      </c>
      <c r="AA5820" s="781">
        <f>$S$1*P!AA5820</f>
        <v>2.6403999999999998E-3</v>
      </c>
      <c r="AB5820" s="780"/>
      <c r="AC5820" s="780"/>
      <c r="AD5820" s="780"/>
      <c r="AE5820" s="780"/>
      <c r="AF5820" s="780"/>
    </row>
    <row r="5821" spans="19:32" x14ac:dyDescent="0.35">
      <c r="S5821" s="780"/>
      <c r="T5821" s="928"/>
      <c r="U5821" s="928"/>
      <c r="V5821" s="928"/>
      <c r="W5821" s="780"/>
      <c r="X5821" s="782">
        <v>5817</v>
      </c>
      <c r="Y5821" s="782" t="s">
        <v>2248</v>
      </c>
      <c r="Z5821" s="782" t="s">
        <v>3483</v>
      </c>
      <c r="AA5821" s="781">
        <f>$S$1*P!AA5821</f>
        <v>2.4608870967741938E-3</v>
      </c>
      <c r="AB5821" s="780"/>
      <c r="AC5821" s="780"/>
      <c r="AD5821" s="780"/>
      <c r="AE5821" s="780"/>
      <c r="AF5821" s="780"/>
    </row>
    <row r="5822" spans="19:32" x14ac:dyDescent="0.35">
      <c r="S5822" s="780"/>
      <c r="T5822" s="928"/>
      <c r="U5822" s="928"/>
      <c r="V5822" s="928"/>
      <c r="W5822" s="780"/>
      <c r="X5822" s="782">
        <v>5818</v>
      </c>
      <c r="Y5822" s="782" t="s">
        <v>2248</v>
      </c>
      <c r="Z5822" s="782" t="s">
        <v>3482</v>
      </c>
      <c r="AA5822" s="781">
        <f>$S$1*P!AA5822</f>
        <v>0.16743999999999998</v>
      </c>
      <c r="AB5822" s="780"/>
      <c r="AC5822" s="780"/>
      <c r="AD5822" s="780"/>
      <c r="AE5822" s="780"/>
      <c r="AF5822" s="780"/>
    </row>
    <row r="5823" spans="19:32" x14ac:dyDescent="0.35">
      <c r="S5823" s="780"/>
      <c r="T5823" s="928"/>
      <c r="U5823" s="928"/>
      <c r="V5823" s="928"/>
      <c r="W5823" s="780"/>
      <c r="X5823" s="782">
        <v>5819</v>
      </c>
      <c r="Y5823" s="782" t="s">
        <v>2248</v>
      </c>
      <c r="Z5823" s="782" t="s">
        <v>3481</v>
      </c>
      <c r="AA5823" s="781">
        <f>$S$1*P!AA5823</f>
        <v>0.39744000000000002</v>
      </c>
      <c r="AB5823" s="780"/>
      <c r="AC5823" s="780"/>
      <c r="AD5823" s="780"/>
      <c r="AE5823" s="780"/>
      <c r="AF5823" s="780"/>
    </row>
    <row r="5824" spans="19:32" x14ac:dyDescent="0.35">
      <c r="S5824" s="780"/>
      <c r="T5824" s="928"/>
      <c r="U5824" s="928"/>
      <c r="V5824" s="928"/>
      <c r="W5824" s="780"/>
      <c r="X5824" s="782">
        <v>5820</v>
      </c>
      <c r="Y5824" s="782" t="s">
        <v>2248</v>
      </c>
      <c r="Z5824" s="782" t="s">
        <v>3480</v>
      </c>
      <c r="AA5824" s="781">
        <f>$S$1*P!AA5824</f>
        <v>4.010080645161291E-2</v>
      </c>
      <c r="AB5824" s="780"/>
      <c r="AC5824" s="780"/>
      <c r="AD5824" s="780"/>
      <c r="AE5824" s="780"/>
      <c r="AF5824" s="780"/>
    </row>
    <row r="5825" spans="19:32" x14ac:dyDescent="0.35">
      <c r="S5825" s="780"/>
      <c r="T5825" s="928"/>
      <c r="U5825" s="928"/>
      <c r="V5825" s="928"/>
      <c r="W5825" s="780"/>
      <c r="X5825" s="782">
        <v>5821</v>
      </c>
      <c r="Y5825" s="782" t="s">
        <v>2248</v>
      </c>
      <c r="Z5825" s="782" t="s">
        <v>3479</v>
      </c>
      <c r="AA5825" s="781">
        <f>$S$1*P!AA5825</f>
        <v>52.531999999999996</v>
      </c>
      <c r="AB5825" s="780"/>
      <c r="AC5825" s="780"/>
      <c r="AD5825" s="780"/>
      <c r="AE5825" s="780"/>
      <c r="AF5825" s="780"/>
    </row>
    <row r="5826" spans="19:32" x14ac:dyDescent="0.35">
      <c r="S5826" s="780"/>
      <c r="T5826" s="928"/>
      <c r="U5826" s="928"/>
      <c r="V5826" s="928"/>
      <c r="W5826" s="780"/>
      <c r="X5826" s="782">
        <v>5822</v>
      </c>
      <c r="Y5826" s="782" t="s">
        <v>2248</v>
      </c>
      <c r="Z5826" s="782" t="s">
        <v>3478</v>
      </c>
      <c r="AA5826" s="781">
        <f>$S$1*P!AA5826</f>
        <v>1.4875000000000001E-5</v>
      </c>
      <c r="AB5826" s="780"/>
      <c r="AC5826" s="780"/>
      <c r="AD5826" s="780"/>
      <c r="AE5826" s="780"/>
      <c r="AF5826" s="780"/>
    </row>
    <row r="5827" spans="19:32" x14ac:dyDescent="0.35">
      <c r="S5827" s="780"/>
      <c r="T5827" s="928"/>
      <c r="U5827" s="928"/>
      <c r="V5827" s="928"/>
      <c r="W5827" s="780"/>
      <c r="X5827" s="782">
        <v>5823</v>
      </c>
      <c r="Y5827" s="782" t="s">
        <v>2248</v>
      </c>
      <c r="Z5827" s="782" t="s">
        <v>3477</v>
      </c>
      <c r="AA5827" s="781">
        <f>$S$1*P!AA5827</f>
        <v>0.16652</v>
      </c>
      <c r="AB5827" s="780"/>
      <c r="AC5827" s="780"/>
      <c r="AD5827" s="780"/>
      <c r="AE5827" s="780"/>
      <c r="AF5827" s="780"/>
    </row>
    <row r="5828" spans="19:32" x14ac:dyDescent="0.35">
      <c r="S5828" s="780"/>
      <c r="T5828" s="928"/>
      <c r="U5828" s="928"/>
      <c r="V5828" s="928"/>
      <c r="W5828" s="780"/>
      <c r="X5828" s="782">
        <v>5824</v>
      </c>
      <c r="Y5828" s="782" t="s">
        <v>2248</v>
      </c>
      <c r="Z5828" s="782" t="s">
        <v>3476</v>
      </c>
      <c r="AA5828" s="781">
        <f>$S$1*P!AA5828</f>
        <v>0</v>
      </c>
      <c r="AB5828" s="780"/>
      <c r="AC5828" s="780"/>
      <c r="AD5828" s="780"/>
      <c r="AE5828" s="780"/>
      <c r="AF5828" s="780"/>
    </row>
    <row r="5829" spans="19:32" x14ac:dyDescent="0.35">
      <c r="S5829" s="780"/>
      <c r="T5829" s="928"/>
      <c r="U5829" s="928"/>
      <c r="V5829" s="928"/>
      <c r="W5829" s="780"/>
      <c r="X5829" s="782">
        <v>5825</v>
      </c>
      <c r="Y5829" s="782" t="s">
        <v>2248</v>
      </c>
      <c r="Z5829" s="782" t="s">
        <v>3475</v>
      </c>
      <c r="AA5829" s="781">
        <f>$S$1*P!AA5829</f>
        <v>2.7042338709677423E-3</v>
      </c>
      <c r="AB5829" s="780"/>
      <c r="AC5829" s="780"/>
      <c r="AD5829" s="780"/>
      <c r="AE5829" s="780"/>
      <c r="AF5829" s="780"/>
    </row>
    <row r="5830" spans="19:32" x14ac:dyDescent="0.35">
      <c r="S5830" s="780"/>
      <c r="T5830" s="928"/>
      <c r="U5830" s="928"/>
      <c r="V5830" s="928"/>
      <c r="W5830" s="780"/>
      <c r="X5830" s="782">
        <v>5826</v>
      </c>
      <c r="Y5830" s="782" t="s">
        <v>2248</v>
      </c>
      <c r="Z5830" s="782" t="s">
        <v>3474</v>
      </c>
      <c r="AA5830" s="781">
        <f>$S$1*P!AA5830</f>
        <v>9.8439999999999994</v>
      </c>
      <c r="AB5830" s="780"/>
      <c r="AC5830" s="780"/>
      <c r="AD5830" s="780"/>
      <c r="AE5830" s="780"/>
      <c r="AF5830" s="780"/>
    </row>
    <row r="5831" spans="19:32" x14ac:dyDescent="0.35">
      <c r="S5831" s="780"/>
      <c r="T5831" s="928"/>
      <c r="U5831" s="928"/>
      <c r="V5831" s="928"/>
      <c r="W5831" s="780"/>
      <c r="X5831" s="782">
        <v>5827</v>
      </c>
      <c r="Y5831" s="782" t="s">
        <v>2248</v>
      </c>
      <c r="Z5831" s="782" t="s">
        <v>3473</v>
      </c>
      <c r="AA5831" s="781">
        <f>$S$1*P!AA5831</f>
        <v>3.9192</v>
      </c>
      <c r="AB5831" s="780"/>
      <c r="AC5831" s="780"/>
      <c r="AD5831" s="780"/>
      <c r="AE5831" s="780"/>
      <c r="AF5831" s="780"/>
    </row>
    <row r="5832" spans="19:32" x14ac:dyDescent="0.35">
      <c r="S5832" s="780"/>
      <c r="T5832" s="928"/>
      <c r="U5832" s="928"/>
      <c r="V5832" s="928"/>
      <c r="W5832" s="780"/>
      <c r="X5832" s="782">
        <v>5828</v>
      </c>
      <c r="Y5832" s="782" t="s">
        <v>2248</v>
      </c>
      <c r="Z5832" s="782" t="s">
        <v>3472</v>
      </c>
      <c r="AA5832" s="781">
        <f>$S$1*P!AA5832</f>
        <v>7.1975806451612912E-4</v>
      </c>
      <c r="AB5832" s="780"/>
      <c r="AC5832" s="780"/>
      <c r="AD5832" s="780"/>
      <c r="AE5832" s="780"/>
      <c r="AF5832" s="780"/>
    </row>
    <row r="5833" spans="19:32" x14ac:dyDescent="0.35">
      <c r="S5833" s="780"/>
      <c r="T5833" s="928"/>
      <c r="U5833" s="928"/>
      <c r="V5833" s="928"/>
      <c r="W5833" s="780"/>
      <c r="X5833" s="782">
        <v>5829</v>
      </c>
      <c r="Y5833" s="782" t="s">
        <v>2248</v>
      </c>
      <c r="Z5833" s="782" t="s">
        <v>3471</v>
      </c>
      <c r="AA5833" s="781">
        <f>$S$1*P!AA5833</f>
        <v>26.495999999999999</v>
      </c>
      <c r="AB5833" s="780"/>
      <c r="AC5833" s="780"/>
      <c r="AD5833" s="780"/>
      <c r="AE5833" s="780"/>
      <c r="AF5833" s="780"/>
    </row>
    <row r="5834" spans="19:32" x14ac:dyDescent="0.35">
      <c r="S5834" s="780"/>
      <c r="T5834" s="928"/>
      <c r="U5834" s="928"/>
      <c r="V5834" s="928"/>
      <c r="W5834" s="780"/>
      <c r="X5834" s="782">
        <v>5830</v>
      </c>
      <c r="Y5834" s="782" t="s">
        <v>2248</v>
      </c>
      <c r="Z5834" s="782" t="s">
        <v>3470</v>
      </c>
      <c r="AA5834" s="781">
        <f>$S$1*P!AA5834</f>
        <v>0</v>
      </c>
      <c r="AB5834" s="780"/>
      <c r="AC5834" s="780"/>
      <c r="AD5834" s="780"/>
      <c r="AE5834" s="780"/>
      <c r="AF5834" s="780"/>
    </row>
    <row r="5835" spans="19:32" x14ac:dyDescent="0.35">
      <c r="S5835" s="780"/>
      <c r="T5835" s="928"/>
      <c r="U5835" s="928"/>
      <c r="V5835" s="928"/>
      <c r="W5835" s="780"/>
      <c r="X5835" s="782">
        <v>5831</v>
      </c>
      <c r="Y5835" s="782" t="s">
        <v>2248</v>
      </c>
      <c r="Z5835" s="782" t="s">
        <v>2992</v>
      </c>
      <c r="AA5835" s="781">
        <f>$S$1*P!AA5835</f>
        <v>7.0262096774193543E-5</v>
      </c>
      <c r="AB5835" s="780"/>
      <c r="AC5835" s="780"/>
      <c r="AD5835" s="780"/>
      <c r="AE5835" s="780"/>
      <c r="AF5835" s="780"/>
    </row>
    <row r="5836" spans="19:32" x14ac:dyDescent="0.35">
      <c r="S5836" s="780"/>
      <c r="T5836" s="928"/>
      <c r="U5836" s="928"/>
      <c r="V5836" s="928"/>
      <c r="W5836" s="780"/>
      <c r="X5836" s="782">
        <v>5832</v>
      </c>
      <c r="Y5836" s="782" t="s">
        <v>2248</v>
      </c>
      <c r="Z5836" s="782" t="s">
        <v>3469</v>
      </c>
      <c r="AA5836" s="781">
        <f>$S$1*P!AA5836</f>
        <v>0</v>
      </c>
      <c r="AB5836" s="780"/>
      <c r="AC5836" s="780"/>
      <c r="AD5836" s="780"/>
      <c r="AE5836" s="780"/>
      <c r="AF5836" s="780"/>
    </row>
    <row r="5837" spans="19:32" x14ac:dyDescent="0.35">
      <c r="S5837" s="780"/>
      <c r="T5837" s="928"/>
      <c r="U5837" s="928"/>
      <c r="V5837" s="928"/>
      <c r="W5837" s="780"/>
      <c r="X5837" s="782">
        <v>5833</v>
      </c>
      <c r="Y5837" s="782" t="s">
        <v>2248</v>
      </c>
      <c r="Z5837" s="782" t="s">
        <v>3468</v>
      </c>
      <c r="AA5837" s="781">
        <f>$S$1*P!AA5837</f>
        <v>193.30645161290323</v>
      </c>
      <c r="AB5837" s="780"/>
      <c r="AC5837" s="780"/>
      <c r="AD5837" s="780"/>
      <c r="AE5837" s="780"/>
      <c r="AF5837" s="780"/>
    </row>
    <row r="5838" spans="19:32" x14ac:dyDescent="0.35">
      <c r="S5838" s="780"/>
      <c r="T5838" s="928"/>
      <c r="U5838" s="928"/>
      <c r="V5838" s="928"/>
      <c r="W5838" s="780"/>
      <c r="X5838" s="782">
        <v>5834</v>
      </c>
      <c r="Y5838" s="782" t="s">
        <v>2248</v>
      </c>
      <c r="Z5838" s="782" t="s">
        <v>3467</v>
      </c>
      <c r="AA5838" s="781">
        <f>$S$1*P!AA5838</f>
        <v>0</v>
      </c>
      <c r="AB5838" s="780"/>
      <c r="AC5838" s="780"/>
      <c r="AD5838" s="780"/>
      <c r="AE5838" s="780"/>
      <c r="AF5838" s="780"/>
    </row>
    <row r="5839" spans="19:32" x14ac:dyDescent="0.35">
      <c r="S5839" s="780"/>
      <c r="T5839" s="928"/>
      <c r="U5839" s="928"/>
      <c r="V5839" s="928"/>
      <c r="W5839" s="780"/>
      <c r="X5839" s="782">
        <v>5835</v>
      </c>
      <c r="Y5839" s="782" t="s">
        <v>2248</v>
      </c>
      <c r="Z5839" s="782" t="s">
        <v>3466</v>
      </c>
      <c r="AA5839" s="781">
        <f>$S$1*P!AA5839</f>
        <v>0</v>
      </c>
      <c r="AB5839" s="780"/>
      <c r="AC5839" s="780"/>
      <c r="AD5839" s="780"/>
      <c r="AE5839" s="780"/>
      <c r="AF5839" s="780"/>
    </row>
    <row r="5840" spans="19:32" x14ac:dyDescent="0.35">
      <c r="S5840" s="780"/>
      <c r="T5840" s="928"/>
      <c r="U5840" s="928"/>
      <c r="V5840" s="928"/>
      <c r="W5840" s="780"/>
      <c r="X5840" s="782">
        <v>5836</v>
      </c>
      <c r="Y5840" s="782" t="s">
        <v>2248</v>
      </c>
      <c r="Z5840" s="782" t="s">
        <v>3465</v>
      </c>
      <c r="AA5840" s="781">
        <f>$S$1*P!AA5840</f>
        <v>1.1481854838709677E-3</v>
      </c>
      <c r="AB5840" s="780"/>
      <c r="AC5840" s="780"/>
      <c r="AD5840" s="780"/>
      <c r="AE5840" s="780"/>
      <c r="AF5840" s="780"/>
    </row>
    <row r="5841" spans="19:32" x14ac:dyDescent="0.35">
      <c r="S5841" s="780"/>
      <c r="T5841" s="928"/>
      <c r="U5841" s="928"/>
      <c r="V5841" s="928"/>
      <c r="W5841" s="780"/>
      <c r="X5841" s="782">
        <v>5837</v>
      </c>
      <c r="Y5841" s="782" t="s">
        <v>2248</v>
      </c>
      <c r="Z5841" s="782" t="s">
        <v>3464</v>
      </c>
      <c r="AA5841" s="781">
        <f>$S$1*P!AA5841</f>
        <v>0</v>
      </c>
      <c r="AB5841" s="780"/>
      <c r="AC5841" s="780"/>
      <c r="AD5841" s="780"/>
      <c r="AE5841" s="780"/>
      <c r="AF5841" s="780"/>
    </row>
    <row r="5842" spans="19:32" x14ac:dyDescent="0.35">
      <c r="S5842" s="780"/>
      <c r="T5842" s="928"/>
      <c r="U5842" s="928"/>
      <c r="V5842" s="928"/>
      <c r="W5842" s="780"/>
      <c r="X5842" s="782">
        <v>5838</v>
      </c>
      <c r="Y5842" s="782" t="s">
        <v>2248</v>
      </c>
      <c r="Z5842" s="782" t="s">
        <v>3463</v>
      </c>
      <c r="AA5842" s="781">
        <f>$S$1*P!AA5842</f>
        <v>1.4628E-2</v>
      </c>
      <c r="AB5842" s="780"/>
      <c r="AC5842" s="780"/>
      <c r="AD5842" s="780"/>
      <c r="AE5842" s="780"/>
      <c r="AF5842" s="780"/>
    </row>
    <row r="5843" spans="19:32" x14ac:dyDescent="0.35">
      <c r="S5843" s="780"/>
      <c r="T5843" s="928"/>
      <c r="U5843" s="928"/>
      <c r="V5843" s="928"/>
      <c r="W5843" s="780"/>
      <c r="X5843" s="782">
        <v>5839</v>
      </c>
      <c r="Y5843" s="782" t="s">
        <v>2248</v>
      </c>
      <c r="Z5843" s="782" t="s">
        <v>3462</v>
      </c>
      <c r="AA5843" s="781">
        <f>$S$1*P!AA5843</f>
        <v>6.5806451612903227E-3</v>
      </c>
      <c r="AB5843" s="780"/>
      <c r="AC5843" s="780"/>
      <c r="AD5843" s="780"/>
      <c r="AE5843" s="780"/>
      <c r="AF5843" s="780"/>
    </row>
    <row r="5844" spans="19:32" x14ac:dyDescent="0.35">
      <c r="S5844" s="780"/>
      <c r="T5844" s="928"/>
      <c r="U5844" s="928"/>
      <c r="V5844" s="928"/>
      <c r="W5844" s="780"/>
      <c r="X5844" s="782">
        <v>5840</v>
      </c>
      <c r="Y5844" s="782" t="s">
        <v>2248</v>
      </c>
      <c r="Z5844" s="782" t="s">
        <v>3461</v>
      </c>
      <c r="AA5844" s="781">
        <f>$S$1*P!AA5844</f>
        <v>0.64032</v>
      </c>
      <c r="AB5844" s="780"/>
      <c r="AC5844" s="780"/>
      <c r="AD5844" s="780"/>
      <c r="AE5844" s="780"/>
      <c r="AF5844" s="780"/>
    </row>
    <row r="5845" spans="19:32" x14ac:dyDescent="0.35">
      <c r="S5845" s="780"/>
      <c r="T5845" s="928"/>
      <c r="U5845" s="928"/>
      <c r="V5845" s="928"/>
      <c r="W5845" s="780"/>
      <c r="X5845" s="782">
        <v>5841</v>
      </c>
      <c r="Y5845" s="782" t="s">
        <v>2248</v>
      </c>
      <c r="Z5845" s="782" t="s">
        <v>3460</v>
      </c>
      <c r="AA5845" s="781">
        <f>$S$1*P!AA5845</f>
        <v>3.4868000000000001</v>
      </c>
      <c r="AB5845" s="780"/>
      <c r="AC5845" s="780"/>
      <c r="AD5845" s="780"/>
      <c r="AE5845" s="780"/>
      <c r="AF5845" s="780"/>
    </row>
    <row r="5846" spans="19:32" x14ac:dyDescent="0.35">
      <c r="S5846" s="780"/>
      <c r="T5846" s="928"/>
      <c r="U5846" s="928"/>
      <c r="V5846" s="928"/>
      <c r="W5846" s="780"/>
      <c r="X5846" s="782">
        <v>5842</v>
      </c>
      <c r="Y5846" s="782" t="s">
        <v>2248</v>
      </c>
      <c r="Z5846" s="782" t="s">
        <v>3459</v>
      </c>
      <c r="AA5846" s="781">
        <f>$S$1*P!AA5846</f>
        <v>2.7110887096774199E-4</v>
      </c>
      <c r="AB5846" s="780"/>
      <c r="AC5846" s="780"/>
      <c r="AD5846" s="780"/>
      <c r="AE5846" s="780"/>
      <c r="AF5846" s="780"/>
    </row>
    <row r="5847" spans="19:32" x14ac:dyDescent="0.35">
      <c r="S5847" s="780"/>
      <c r="T5847" s="928"/>
      <c r="U5847" s="928"/>
      <c r="V5847" s="928"/>
      <c r="W5847" s="780"/>
      <c r="X5847" s="782">
        <v>5843</v>
      </c>
      <c r="Y5847" s="782" t="s">
        <v>2248</v>
      </c>
      <c r="Z5847" s="782" t="s">
        <v>3458</v>
      </c>
      <c r="AA5847" s="781">
        <f>$S$1*P!AA5847</f>
        <v>524.4</v>
      </c>
      <c r="AB5847" s="780"/>
      <c r="AC5847" s="780"/>
      <c r="AD5847" s="780"/>
      <c r="AE5847" s="780"/>
      <c r="AF5847" s="780"/>
    </row>
    <row r="5848" spans="19:32" x14ac:dyDescent="0.35">
      <c r="S5848" s="780"/>
      <c r="T5848" s="928"/>
      <c r="U5848" s="928"/>
      <c r="V5848" s="928"/>
      <c r="W5848" s="780"/>
      <c r="X5848" s="782">
        <v>5844</v>
      </c>
      <c r="Y5848" s="782" t="s">
        <v>2248</v>
      </c>
      <c r="Z5848" s="782" t="s">
        <v>3457</v>
      </c>
      <c r="AA5848" s="781">
        <f>$S$1*P!AA5848</f>
        <v>524.4</v>
      </c>
      <c r="AB5848" s="780"/>
      <c r="AC5848" s="780"/>
      <c r="AD5848" s="780"/>
      <c r="AE5848" s="780"/>
      <c r="AF5848" s="780"/>
    </row>
    <row r="5849" spans="19:32" x14ac:dyDescent="0.35">
      <c r="S5849" s="780"/>
      <c r="T5849" s="928"/>
      <c r="U5849" s="928"/>
      <c r="V5849" s="928"/>
      <c r="W5849" s="780"/>
      <c r="X5849" s="782">
        <v>5845</v>
      </c>
      <c r="Y5849" s="782" t="s">
        <v>2248</v>
      </c>
      <c r="Z5849" s="782" t="s">
        <v>3456</v>
      </c>
      <c r="AA5849" s="781">
        <f>$S$1*P!AA5849</f>
        <v>1.8473790322580646E-3</v>
      </c>
      <c r="AB5849" s="780"/>
      <c r="AC5849" s="780"/>
      <c r="AD5849" s="780"/>
      <c r="AE5849" s="780"/>
      <c r="AF5849" s="780"/>
    </row>
    <row r="5850" spans="19:32" x14ac:dyDescent="0.35">
      <c r="S5850" s="780"/>
      <c r="T5850" s="928"/>
      <c r="U5850" s="928"/>
      <c r="V5850" s="928"/>
      <c r="W5850" s="780"/>
      <c r="X5850" s="782">
        <v>5846</v>
      </c>
      <c r="Y5850" s="782" t="s">
        <v>2248</v>
      </c>
      <c r="Z5850" s="782" t="s">
        <v>3455</v>
      </c>
      <c r="AA5850" s="781">
        <f>$S$1*P!AA5850</f>
        <v>524.4</v>
      </c>
      <c r="AB5850" s="780"/>
      <c r="AC5850" s="780"/>
      <c r="AD5850" s="780"/>
      <c r="AE5850" s="780"/>
      <c r="AF5850" s="780"/>
    </row>
    <row r="5851" spans="19:32" x14ac:dyDescent="0.35">
      <c r="S5851" s="780"/>
      <c r="T5851" s="928"/>
      <c r="U5851" s="928"/>
      <c r="V5851" s="928"/>
      <c r="W5851" s="780"/>
      <c r="X5851" s="782">
        <v>5847</v>
      </c>
      <c r="Y5851" s="782" t="s">
        <v>2248</v>
      </c>
      <c r="Z5851" s="782" t="s">
        <v>3454</v>
      </c>
      <c r="AA5851" s="781">
        <f>$S$1*P!AA5851</f>
        <v>2.0461693548387101E-3</v>
      </c>
      <c r="AB5851" s="780"/>
      <c r="AC5851" s="780"/>
      <c r="AD5851" s="780"/>
      <c r="AE5851" s="780"/>
      <c r="AF5851" s="780"/>
    </row>
    <row r="5852" spans="19:32" x14ac:dyDescent="0.35">
      <c r="S5852" s="780"/>
      <c r="T5852" s="928"/>
      <c r="U5852" s="928"/>
      <c r="V5852" s="928"/>
      <c r="W5852" s="780"/>
      <c r="X5852" s="782">
        <v>5848</v>
      </c>
      <c r="Y5852" s="782" t="s">
        <v>2248</v>
      </c>
      <c r="Z5852" s="782" t="s">
        <v>3453</v>
      </c>
      <c r="AA5852" s="781">
        <f>$S$1*P!AA5852</f>
        <v>0</v>
      </c>
      <c r="AB5852" s="780"/>
      <c r="AC5852" s="780"/>
      <c r="AD5852" s="780"/>
      <c r="AE5852" s="780"/>
      <c r="AF5852" s="780"/>
    </row>
    <row r="5853" spans="19:32" x14ac:dyDescent="0.35">
      <c r="S5853" s="780"/>
      <c r="T5853" s="928"/>
      <c r="U5853" s="928"/>
      <c r="V5853" s="928"/>
      <c r="W5853" s="780"/>
      <c r="X5853" s="782">
        <v>5849</v>
      </c>
      <c r="Y5853" s="782" t="s">
        <v>2248</v>
      </c>
      <c r="Z5853" s="782" t="s">
        <v>3452</v>
      </c>
      <c r="AA5853" s="781">
        <f>$S$1*P!AA5853</f>
        <v>0</v>
      </c>
      <c r="AB5853" s="780"/>
      <c r="AC5853" s="780"/>
      <c r="AD5853" s="780"/>
      <c r="AE5853" s="780"/>
      <c r="AF5853" s="780"/>
    </row>
    <row r="5854" spans="19:32" x14ac:dyDescent="0.35">
      <c r="S5854" s="780"/>
      <c r="T5854" s="928"/>
      <c r="U5854" s="928"/>
      <c r="V5854" s="928"/>
      <c r="W5854" s="780"/>
      <c r="X5854" s="782">
        <v>5850</v>
      </c>
      <c r="Y5854" s="782" t="s">
        <v>2248</v>
      </c>
      <c r="Z5854" s="782" t="s">
        <v>2991</v>
      </c>
      <c r="AA5854" s="781">
        <f>$S$1*P!AA5854</f>
        <v>5.0725806451612907E-5</v>
      </c>
      <c r="AB5854" s="780"/>
      <c r="AC5854" s="780"/>
      <c r="AD5854" s="780"/>
      <c r="AE5854" s="780"/>
      <c r="AF5854" s="780"/>
    </row>
    <row r="5855" spans="19:32" x14ac:dyDescent="0.35">
      <c r="S5855" s="780"/>
      <c r="T5855" s="928"/>
      <c r="U5855" s="928"/>
      <c r="V5855" s="928"/>
      <c r="W5855" s="780"/>
      <c r="X5855" s="782">
        <v>5851</v>
      </c>
      <c r="Y5855" s="782" t="s">
        <v>2248</v>
      </c>
      <c r="Z5855" s="782" t="s">
        <v>3451</v>
      </c>
      <c r="AA5855" s="781">
        <f>$S$1*P!AA5855</f>
        <v>0</v>
      </c>
      <c r="AB5855" s="780"/>
      <c r="AC5855" s="780"/>
      <c r="AD5855" s="780"/>
      <c r="AE5855" s="780"/>
      <c r="AF5855" s="780"/>
    </row>
    <row r="5856" spans="19:32" x14ac:dyDescent="0.35">
      <c r="S5856" s="780"/>
      <c r="T5856" s="928"/>
      <c r="U5856" s="928"/>
      <c r="V5856" s="928"/>
      <c r="W5856" s="780"/>
      <c r="X5856" s="782">
        <v>5852</v>
      </c>
      <c r="Y5856" s="782" t="s">
        <v>2248</v>
      </c>
      <c r="Z5856" s="782" t="s">
        <v>3450</v>
      </c>
      <c r="AA5856" s="781">
        <f>$S$1*P!AA5856</f>
        <v>0.74151999999999996</v>
      </c>
      <c r="AB5856" s="780"/>
      <c r="AC5856" s="780"/>
      <c r="AD5856" s="780"/>
      <c r="AE5856" s="780"/>
      <c r="AF5856" s="780"/>
    </row>
    <row r="5857" spans="19:32" x14ac:dyDescent="0.35">
      <c r="S5857" s="780"/>
      <c r="T5857" s="928"/>
      <c r="U5857" s="928"/>
      <c r="V5857" s="928"/>
      <c r="W5857" s="780"/>
      <c r="X5857" s="782">
        <v>5853</v>
      </c>
      <c r="Y5857" s="782" t="s">
        <v>2248</v>
      </c>
      <c r="Z5857" s="782" t="s">
        <v>3449</v>
      </c>
      <c r="AA5857" s="781">
        <f>$S$1*P!AA5857</f>
        <v>3.4616935483870972E-5</v>
      </c>
      <c r="AB5857" s="780"/>
      <c r="AC5857" s="780"/>
      <c r="AD5857" s="780"/>
      <c r="AE5857" s="780"/>
      <c r="AF5857" s="780"/>
    </row>
    <row r="5858" spans="19:32" x14ac:dyDescent="0.35">
      <c r="S5858" s="780"/>
      <c r="T5858" s="928"/>
      <c r="U5858" s="928"/>
      <c r="V5858" s="928"/>
      <c r="W5858" s="780"/>
      <c r="X5858" s="782">
        <v>5854</v>
      </c>
      <c r="Y5858" s="782" t="s">
        <v>2248</v>
      </c>
      <c r="Z5858" s="782" t="s">
        <v>3448</v>
      </c>
      <c r="AA5858" s="781">
        <f>$S$1*P!AA5858</f>
        <v>7.4336000000000002</v>
      </c>
      <c r="AB5858" s="780"/>
      <c r="AC5858" s="780"/>
      <c r="AD5858" s="780"/>
      <c r="AE5858" s="780"/>
      <c r="AF5858" s="780"/>
    </row>
    <row r="5859" spans="19:32" x14ac:dyDescent="0.35">
      <c r="S5859" s="780"/>
      <c r="T5859" s="928"/>
      <c r="U5859" s="928"/>
      <c r="V5859" s="928"/>
      <c r="W5859" s="780"/>
      <c r="X5859" s="782">
        <v>5855</v>
      </c>
      <c r="Y5859" s="782" t="s">
        <v>2248</v>
      </c>
      <c r="Z5859" s="782" t="s">
        <v>3447</v>
      </c>
      <c r="AA5859" s="781">
        <f>$S$1*P!AA5859</f>
        <v>18.86</v>
      </c>
      <c r="AB5859" s="780"/>
      <c r="AC5859" s="780"/>
      <c r="AD5859" s="780"/>
      <c r="AE5859" s="780"/>
      <c r="AF5859" s="780"/>
    </row>
    <row r="5860" spans="19:32" x14ac:dyDescent="0.35">
      <c r="S5860" s="780"/>
      <c r="T5860" s="928"/>
      <c r="U5860" s="928"/>
      <c r="V5860" s="928"/>
      <c r="W5860" s="780"/>
      <c r="X5860" s="782">
        <v>5856</v>
      </c>
      <c r="Y5860" s="782" t="s">
        <v>2248</v>
      </c>
      <c r="Z5860" s="782" t="s">
        <v>2989</v>
      </c>
      <c r="AA5860" s="781">
        <f>$S$1*P!AA5860</f>
        <v>1.0076612903225806E-5</v>
      </c>
      <c r="AB5860" s="780"/>
      <c r="AC5860" s="780"/>
      <c r="AD5860" s="780"/>
      <c r="AE5860" s="780"/>
      <c r="AF5860" s="780"/>
    </row>
    <row r="5861" spans="19:32" x14ac:dyDescent="0.35">
      <c r="S5861" s="780"/>
      <c r="T5861" s="928"/>
      <c r="U5861" s="928"/>
      <c r="V5861" s="928"/>
      <c r="W5861" s="780"/>
      <c r="X5861" s="782">
        <v>5857</v>
      </c>
      <c r="Y5861" s="782" t="s">
        <v>2248</v>
      </c>
      <c r="Z5861" s="782" t="s">
        <v>3446</v>
      </c>
      <c r="AA5861" s="781">
        <f>$S$1*P!AA5861</f>
        <v>0</v>
      </c>
      <c r="AB5861" s="780"/>
      <c r="AC5861" s="780"/>
      <c r="AD5861" s="780"/>
      <c r="AE5861" s="780"/>
      <c r="AF5861" s="780"/>
    </row>
    <row r="5862" spans="19:32" x14ac:dyDescent="0.35">
      <c r="S5862" s="780"/>
      <c r="T5862" s="928"/>
      <c r="U5862" s="928"/>
      <c r="V5862" s="928"/>
      <c r="W5862" s="780"/>
      <c r="X5862" s="782">
        <v>5858</v>
      </c>
      <c r="Y5862" s="782" t="s">
        <v>2248</v>
      </c>
      <c r="Z5862" s="782" t="s">
        <v>3445</v>
      </c>
      <c r="AA5862" s="781">
        <f>$S$1*P!AA5862</f>
        <v>1.1481854838709677</v>
      </c>
      <c r="AB5862" s="780"/>
      <c r="AC5862" s="780"/>
      <c r="AD5862" s="780"/>
      <c r="AE5862" s="780"/>
      <c r="AF5862" s="780"/>
    </row>
    <row r="5863" spans="19:32" x14ac:dyDescent="0.35">
      <c r="S5863" s="780"/>
      <c r="T5863" s="928"/>
      <c r="U5863" s="928"/>
      <c r="V5863" s="928"/>
      <c r="W5863" s="780"/>
      <c r="X5863" s="782">
        <v>5859</v>
      </c>
      <c r="Y5863" s="782" t="s">
        <v>2248</v>
      </c>
      <c r="Z5863" s="782" t="s">
        <v>3444</v>
      </c>
      <c r="AA5863" s="781">
        <f>$S$1*P!AA5863</f>
        <v>1.4996</v>
      </c>
      <c r="AB5863" s="780"/>
      <c r="AC5863" s="780"/>
      <c r="AD5863" s="780"/>
      <c r="AE5863" s="780"/>
      <c r="AF5863" s="780"/>
    </row>
    <row r="5864" spans="19:32" x14ac:dyDescent="0.35">
      <c r="S5864" s="780"/>
      <c r="T5864" s="928"/>
      <c r="U5864" s="928"/>
      <c r="V5864" s="928"/>
      <c r="W5864" s="780"/>
      <c r="X5864" s="782">
        <v>5860</v>
      </c>
      <c r="Y5864" s="782" t="s">
        <v>2248</v>
      </c>
      <c r="Z5864" s="782" t="s">
        <v>3443</v>
      </c>
      <c r="AA5864" s="781">
        <f>$S$1*P!AA5864</f>
        <v>0</v>
      </c>
      <c r="AB5864" s="780"/>
      <c r="AC5864" s="780"/>
      <c r="AD5864" s="780"/>
      <c r="AE5864" s="780"/>
      <c r="AF5864" s="780"/>
    </row>
    <row r="5865" spans="19:32" x14ac:dyDescent="0.35">
      <c r="S5865" s="780"/>
      <c r="T5865" s="928"/>
      <c r="U5865" s="928"/>
      <c r="V5865" s="928"/>
      <c r="W5865" s="780"/>
      <c r="X5865" s="782">
        <v>5861</v>
      </c>
      <c r="Y5865" s="782" t="s">
        <v>2248</v>
      </c>
      <c r="Z5865" s="782" t="s">
        <v>2987</v>
      </c>
      <c r="AA5865" s="781">
        <f>$S$1*P!AA5865</f>
        <v>3.0504032258064521E-4</v>
      </c>
      <c r="AB5865" s="780"/>
      <c r="AC5865" s="780"/>
      <c r="AD5865" s="780"/>
      <c r="AE5865" s="780"/>
      <c r="AF5865" s="780"/>
    </row>
    <row r="5866" spans="19:32" x14ac:dyDescent="0.35">
      <c r="S5866" s="780"/>
      <c r="T5866" s="928"/>
      <c r="U5866" s="928"/>
      <c r="V5866" s="928"/>
      <c r="W5866" s="780"/>
      <c r="X5866" s="782">
        <v>5862</v>
      </c>
      <c r="Y5866" s="782" t="s">
        <v>2248</v>
      </c>
      <c r="Z5866" s="782" t="s">
        <v>3442</v>
      </c>
      <c r="AA5866" s="781">
        <f>$S$1*P!AA5866</f>
        <v>1426</v>
      </c>
      <c r="AB5866" s="780"/>
      <c r="AC5866" s="780"/>
      <c r="AD5866" s="780"/>
      <c r="AE5866" s="780"/>
      <c r="AF5866" s="780"/>
    </row>
    <row r="5867" spans="19:32" x14ac:dyDescent="0.35">
      <c r="S5867" s="780"/>
      <c r="T5867" s="928"/>
      <c r="U5867" s="928"/>
      <c r="V5867" s="928"/>
      <c r="W5867" s="780"/>
      <c r="X5867" s="782">
        <v>5863</v>
      </c>
      <c r="Y5867" s="782" t="s">
        <v>2248</v>
      </c>
      <c r="Z5867" s="782" t="s">
        <v>3441</v>
      </c>
      <c r="AA5867" s="781">
        <f>$S$1*P!AA5867</f>
        <v>1.6375999999999999</v>
      </c>
      <c r="AB5867" s="780"/>
      <c r="AC5867" s="780"/>
      <c r="AD5867" s="780"/>
      <c r="AE5867" s="780"/>
      <c r="AF5867" s="780"/>
    </row>
    <row r="5868" spans="19:32" x14ac:dyDescent="0.35">
      <c r="S5868" s="780"/>
      <c r="T5868" s="928"/>
      <c r="U5868" s="928"/>
      <c r="V5868" s="928"/>
      <c r="W5868" s="780"/>
      <c r="X5868" s="782">
        <v>5864</v>
      </c>
      <c r="Y5868" s="782" t="s">
        <v>2248</v>
      </c>
      <c r="Z5868" s="782" t="s">
        <v>3440</v>
      </c>
      <c r="AA5868" s="781">
        <f>$S$1*P!AA5868</f>
        <v>3.4616935483870972E-5</v>
      </c>
      <c r="AB5868" s="780"/>
      <c r="AC5868" s="780"/>
      <c r="AD5868" s="780"/>
      <c r="AE5868" s="780"/>
      <c r="AF5868" s="780"/>
    </row>
    <row r="5869" spans="19:32" x14ac:dyDescent="0.35">
      <c r="S5869" s="780"/>
      <c r="T5869" s="928"/>
      <c r="U5869" s="928"/>
      <c r="V5869" s="928"/>
      <c r="W5869" s="780"/>
      <c r="X5869" s="782">
        <v>5865</v>
      </c>
      <c r="Y5869" s="782" t="s">
        <v>2248</v>
      </c>
      <c r="Z5869" s="782" t="s">
        <v>3439</v>
      </c>
      <c r="AA5869" s="781">
        <f>$S$1*P!AA5869</f>
        <v>0</v>
      </c>
      <c r="AB5869" s="780"/>
      <c r="AC5869" s="780"/>
      <c r="AD5869" s="780"/>
      <c r="AE5869" s="780"/>
      <c r="AF5869" s="780"/>
    </row>
    <row r="5870" spans="19:32" x14ac:dyDescent="0.35">
      <c r="S5870" s="780"/>
      <c r="T5870" s="928"/>
      <c r="U5870" s="928"/>
      <c r="V5870" s="928"/>
      <c r="W5870" s="780"/>
      <c r="X5870" s="782">
        <v>5866</v>
      </c>
      <c r="Y5870" s="782" t="s">
        <v>2248</v>
      </c>
      <c r="Z5870" s="782" t="s">
        <v>3438</v>
      </c>
      <c r="AA5870" s="781">
        <f>$S$1*P!AA5870</f>
        <v>0</v>
      </c>
      <c r="AB5870" s="780"/>
      <c r="AC5870" s="780"/>
      <c r="AD5870" s="780"/>
      <c r="AE5870" s="780"/>
      <c r="AF5870" s="780"/>
    </row>
    <row r="5871" spans="19:32" x14ac:dyDescent="0.35">
      <c r="S5871" s="780"/>
      <c r="T5871" s="928"/>
      <c r="U5871" s="928"/>
      <c r="V5871" s="928"/>
      <c r="W5871" s="780"/>
      <c r="X5871" s="782">
        <v>5867</v>
      </c>
      <c r="Y5871" s="782" t="s">
        <v>2248</v>
      </c>
      <c r="Z5871" s="782" t="s">
        <v>3437</v>
      </c>
      <c r="AA5871" s="781">
        <f>$S$1*P!AA5871</f>
        <v>8.4657258064516137E-4</v>
      </c>
      <c r="AB5871" s="780"/>
      <c r="AC5871" s="780"/>
      <c r="AD5871" s="780"/>
      <c r="AE5871" s="780"/>
      <c r="AF5871" s="780"/>
    </row>
    <row r="5872" spans="19:32" x14ac:dyDescent="0.35">
      <c r="S5872" s="780"/>
      <c r="T5872" s="928"/>
      <c r="U5872" s="928"/>
      <c r="V5872" s="928"/>
      <c r="W5872" s="780"/>
      <c r="X5872" s="782">
        <v>5868</v>
      </c>
      <c r="Y5872" s="782" t="s">
        <v>2248</v>
      </c>
      <c r="Z5872" s="782" t="s">
        <v>3436</v>
      </c>
      <c r="AA5872" s="781">
        <f>$S$1*P!AA5872</f>
        <v>2.4564000000000002E-2</v>
      </c>
      <c r="AB5872" s="780"/>
      <c r="AC5872" s="780"/>
      <c r="AD5872" s="780"/>
      <c r="AE5872" s="780"/>
      <c r="AF5872" s="780"/>
    </row>
    <row r="5873" spans="19:32" x14ac:dyDescent="0.35">
      <c r="S5873" s="780"/>
      <c r="T5873" s="928"/>
      <c r="U5873" s="928"/>
      <c r="V5873" s="928"/>
      <c r="W5873" s="780"/>
      <c r="X5873" s="782">
        <v>5869</v>
      </c>
      <c r="Y5873" s="782" t="s">
        <v>2248</v>
      </c>
      <c r="Z5873" s="782" t="s">
        <v>3435</v>
      </c>
      <c r="AA5873" s="781">
        <f>$S$1*P!AA5873</f>
        <v>0</v>
      </c>
      <c r="AB5873" s="780"/>
      <c r="AC5873" s="780"/>
      <c r="AD5873" s="780"/>
      <c r="AE5873" s="780"/>
      <c r="AF5873" s="780"/>
    </row>
    <row r="5874" spans="19:32" x14ac:dyDescent="0.35">
      <c r="S5874" s="780"/>
      <c r="T5874" s="928"/>
      <c r="U5874" s="928"/>
      <c r="V5874" s="928"/>
      <c r="W5874" s="780"/>
      <c r="X5874" s="782">
        <v>5870</v>
      </c>
      <c r="Y5874" s="782" t="s">
        <v>2248</v>
      </c>
      <c r="Z5874" s="782" t="s">
        <v>3434</v>
      </c>
      <c r="AA5874" s="781">
        <f>$S$1*P!AA5874</f>
        <v>1.4052419354838709E-4</v>
      </c>
      <c r="AB5874" s="780"/>
      <c r="AC5874" s="780"/>
      <c r="AD5874" s="780"/>
      <c r="AE5874" s="780"/>
      <c r="AF5874" s="780"/>
    </row>
    <row r="5875" spans="19:32" x14ac:dyDescent="0.35">
      <c r="S5875" s="780"/>
      <c r="T5875" s="928"/>
      <c r="U5875" s="928"/>
      <c r="V5875" s="928"/>
      <c r="W5875" s="780"/>
      <c r="X5875" s="782">
        <v>5871</v>
      </c>
      <c r="Y5875" s="782" t="s">
        <v>2248</v>
      </c>
      <c r="Z5875" s="782" t="s">
        <v>3433</v>
      </c>
      <c r="AA5875" s="781">
        <f>$S$1*P!AA5875</f>
        <v>0.38363999999999998</v>
      </c>
      <c r="AB5875" s="780"/>
      <c r="AC5875" s="780"/>
      <c r="AD5875" s="780"/>
      <c r="AE5875" s="780"/>
      <c r="AF5875" s="780"/>
    </row>
    <row r="5876" spans="19:32" x14ac:dyDescent="0.35">
      <c r="S5876" s="780"/>
      <c r="T5876" s="928"/>
      <c r="U5876" s="928"/>
      <c r="V5876" s="928"/>
      <c r="W5876" s="780"/>
      <c r="X5876" s="782">
        <v>5872</v>
      </c>
      <c r="Y5876" s="782" t="s">
        <v>2248</v>
      </c>
      <c r="Z5876" s="782" t="s">
        <v>2977</v>
      </c>
      <c r="AA5876" s="781">
        <f>$S$1*P!AA5876</f>
        <v>1.0556451612903226E-2</v>
      </c>
      <c r="AB5876" s="780"/>
      <c r="AC5876" s="780"/>
      <c r="AD5876" s="780"/>
      <c r="AE5876" s="780"/>
      <c r="AF5876" s="780"/>
    </row>
    <row r="5877" spans="19:32" x14ac:dyDescent="0.35">
      <c r="S5877" s="780"/>
      <c r="T5877" s="928"/>
      <c r="U5877" s="928"/>
      <c r="V5877" s="928"/>
      <c r="W5877" s="780"/>
      <c r="X5877" s="782">
        <v>5873</v>
      </c>
      <c r="Y5877" s="782" t="s">
        <v>2248</v>
      </c>
      <c r="Z5877" s="782" t="s">
        <v>3432</v>
      </c>
      <c r="AA5877" s="781">
        <f>$S$1*P!AA5877</f>
        <v>0.15547999999999998</v>
      </c>
      <c r="AB5877" s="780"/>
      <c r="AC5877" s="780"/>
      <c r="AD5877" s="780"/>
      <c r="AE5877" s="780"/>
      <c r="AF5877" s="780"/>
    </row>
    <row r="5878" spans="19:32" x14ac:dyDescent="0.35">
      <c r="S5878" s="780"/>
      <c r="T5878" s="928"/>
      <c r="U5878" s="928"/>
      <c r="V5878" s="928"/>
      <c r="W5878" s="780"/>
      <c r="X5878" s="782">
        <v>5874</v>
      </c>
      <c r="Y5878" s="782" t="s">
        <v>2248</v>
      </c>
      <c r="Z5878" s="782" t="s">
        <v>3431</v>
      </c>
      <c r="AA5878" s="781">
        <f>$S$1*P!AA5878</f>
        <v>0.16467999999999999</v>
      </c>
      <c r="AB5878" s="780"/>
      <c r="AC5878" s="780"/>
      <c r="AD5878" s="780"/>
      <c r="AE5878" s="780"/>
      <c r="AF5878" s="780"/>
    </row>
    <row r="5879" spans="19:32" x14ac:dyDescent="0.35">
      <c r="S5879" s="780"/>
      <c r="T5879" s="928"/>
      <c r="U5879" s="928"/>
      <c r="V5879" s="928"/>
      <c r="W5879" s="780"/>
      <c r="X5879" s="782">
        <v>5875</v>
      </c>
      <c r="Y5879" s="782" t="s">
        <v>2248</v>
      </c>
      <c r="Z5879" s="782" t="s">
        <v>2975</v>
      </c>
      <c r="AA5879" s="781">
        <f>$S$1*P!AA5879</f>
        <v>1.9570564516129033E-6</v>
      </c>
      <c r="AB5879" s="780"/>
      <c r="AC5879" s="780"/>
      <c r="AD5879" s="780"/>
      <c r="AE5879" s="780"/>
      <c r="AF5879" s="780"/>
    </row>
    <row r="5880" spans="19:32" x14ac:dyDescent="0.35">
      <c r="S5880" s="780"/>
      <c r="T5880" s="928"/>
      <c r="U5880" s="928"/>
      <c r="V5880" s="928"/>
      <c r="W5880" s="780"/>
      <c r="X5880" s="782">
        <v>5876</v>
      </c>
      <c r="Y5880" s="782" t="s">
        <v>2248</v>
      </c>
      <c r="Z5880" s="782" t="s">
        <v>3430</v>
      </c>
      <c r="AA5880" s="781">
        <f>$S$1*P!AA5880</f>
        <v>0.39836000000000005</v>
      </c>
      <c r="AB5880" s="780"/>
      <c r="AC5880" s="780"/>
      <c r="AD5880" s="780"/>
      <c r="AE5880" s="780"/>
      <c r="AF5880" s="780"/>
    </row>
    <row r="5881" spans="19:32" x14ac:dyDescent="0.35">
      <c r="S5881" s="780"/>
      <c r="T5881" s="928"/>
      <c r="U5881" s="928"/>
      <c r="V5881" s="928"/>
      <c r="W5881" s="780"/>
      <c r="X5881" s="782">
        <v>5877</v>
      </c>
      <c r="Y5881" s="782" t="s">
        <v>2248</v>
      </c>
      <c r="Z5881" s="782" t="s">
        <v>3429</v>
      </c>
      <c r="AA5881" s="781">
        <f>$S$1*P!AA5881</f>
        <v>3.9192</v>
      </c>
      <c r="AB5881" s="780"/>
      <c r="AC5881" s="780"/>
      <c r="AD5881" s="780"/>
      <c r="AE5881" s="780"/>
      <c r="AF5881" s="780"/>
    </row>
    <row r="5882" spans="19:32" x14ac:dyDescent="0.35">
      <c r="S5882" s="780"/>
      <c r="T5882" s="928"/>
      <c r="U5882" s="928"/>
      <c r="V5882" s="928"/>
      <c r="W5882" s="780"/>
      <c r="X5882" s="782">
        <v>5878</v>
      </c>
      <c r="Y5882" s="782" t="s">
        <v>2248</v>
      </c>
      <c r="Z5882" s="782" t="s">
        <v>2973</v>
      </c>
      <c r="AA5882" s="781">
        <f>$S$1*P!AA5882</f>
        <v>2.0118951612903228E-3</v>
      </c>
      <c r="AB5882" s="780"/>
      <c r="AC5882" s="780"/>
      <c r="AD5882" s="780"/>
      <c r="AE5882" s="780"/>
      <c r="AF5882" s="780"/>
    </row>
    <row r="5883" spans="19:32" x14ac:dyDescent="0.35">
      <c r="S5883" s="780"/>
      <c r="T5883" s="928"/>
      <c r="U5883" s="928"/>
      <c r="V5883" s="928"/>
      <c r="W5883" s="780"/>
      <c r="X5883" s="782">
        <v>5879</v>
      </c>
      <c r="Y5883" s="782" t="s">
        <v>2248</v>
      </c>
      <c r="Z5883" s="782" t="s">
        <v>3428</v>
      </c>
      <c r="AA5883" s="781">
        <f>$S$1*P!AA5883</f>
        <v>0</v>
      </c>
      <c r="AB5883" s="780"/>
      <c r="AC5883" s="780"/>
      <c r="AD5883" s="780"/>
      <c r="AE5883" s="780"/>
      <c r="AF5883" s="780"/>
    </row>
    <row r="5884" spans="19:32" x14ac:dyDescent="0.35">
      <c r="S5884" s="780"/>
      <c r="T5884" s="928"/>
      <c r="U5884" s="928"/>
      <c r="V5884" s="928"/>
      <c r="W5884" s="780"/>
      <c r="X5884" s="782">
        <v>5880</v>
      </c>
      <c r="Y5884" s="782" t="s">
        <v>2248</v>
      </c>
      <c r="Z5884" s="782" t="s">
        <v>3427</v>
      </c>
      <c r="AA5884" s="781">
        <f>$S$1*P!AA5884</f>
        <v>3.2292000000000002E-3</v>
      </c>
      <c r="AB5884" s="780"/>
      <c r="AC5884" s="780"/>
      <c r="AD5884" s="780"/>
      <c r="AE5884" s="780"/>
      <c r="AF5884" s="780"/>
    </row>
    <row r="5885" spans="19:32" x14ac:dyDescent="0.35">
      <c r="S5885" s="780"/>
      <c r="T5885" s="928"/>
      <c r="U5885" s="928"/>
      <c r="V5885" s="928"/>
      <c r="W5885" s="780"/>
      <c r="X5885" s="782">
        <v>5881</v>
      </c>
      <c r="Y5885" s="782" t="s">
        <v>2248</v>
      </c>
      <c r="Z5885" s="782" t="s">
        <v>3426</v>
      </c>
      <c r="AA5885" s="781">
        <f>$S$1*P!AA5885</f>
        <v>1.3195564516129034E-4</v>
      </c>
      <c r="AB5885" s="780"/>
      <c r="AC5885" s="780"/>
      <c r="AD5885" s="780"/>
      <c r="AE5885" s="780"/>
      <c r="AF5885" s="780"/>
    </row>
    <row r="5886" spans="19:32" x14ac:dyDescent="0.35">
      <c r="S5886" s="780"/>
      <c r="T5886" s="928"/>
      <c r="U5886" s="928"/>
      <c r="V5886" s="928"/>
      <c r="W5886" s="780"/>
      <c r="X5886" s="782">
        <v>5882</v>
      </c>
      <c r="Y5886" s="782" t="s">
        <v>2248</v>
      </c>
      <c r="Z5886" s="782" t="s">
        <v>3425</v>
      </c>
      <c r="AA5886" s="781">
        <f>$S$1*P!AA5886</f>
        <v>0</v>
      </c>
      <c r="AB5886" s="780"/>
      <c r="AC5886" s="780"/>
      <c r="AD5886" s="780"/>
      <c r="AE5886" s="780"/>
      <c r="AF5886" s="780"/>
    </row>
    <row r="5887" spans="19:32" x14ac:dyDescent="0.35">
      <c r="S5887" s="780"/>
      <c r="T5887" s="928"/>
      <c r="U5887" s="928"/>
      <c r="V5887" s="928"/>
      <c r="W5887" s="780"/>
      <c r="X5887" s="782">
        <v>5883</v>
      </c>
      <c r="Y5887" s="782" t="s">
        <v>2248</v>
      </c>
      <c r="Z5887" s="782" t="s">
        <v>3424</v>
      </c>
      <c r="AA5887" s="781">
        <f>$S$1*P!AA5887</f>
        <v>4.5927419354838719E-5</v>
      </c>
      <c r="AB5887" s="780"/>
      <c r="AC5887" s="780"/>
      <c r="AD5887" s="780"/>
      <c r="AE5887" s="780"/>
      <c r="AF5887" s="780"/>
    </row>
    <row r="5888" spans="19:32" x14ac:dyDescent="0.35">
      <c r="S5888" s="780"/>
      <c r="T5888" s="928"/>
      <c r="U5888" s="928"/>
      <c r="V5888" s="928"/>
      <c r="W5888" s="780"/>
      <c r="X5888" s="782">
        <v>5884</v>
      </c>
      <c r="Y5888" s="782" t="s">
        <v>2248</v>
      </c>
      <c r="Z5888" s="782" t="s">
        <v>3423</v>
      </c>
      <c r="AA5888" s="781">
        <f>$S$1*P!AA5888</f>
        <v>0.1656</v>
      </c>
      <c r="AB5888" s="780"/>
      <c r="AC5888" s="780"/>
      <c r="AD5888" s="780"/>
      <c r="AE5888" s="780"/>
      <c r="AF5888" s="780"/>
    </row>
    <row r="5889" spans="19:32" x14ac:dyDescent="0.35">
      <c r="S5889" s="780"/>
      <c r="T5889" s="928"/>
      <c r="U5889" s="928"/>
      <c r="V5889" s="928"/>
      <c r="W5889" s="780"/>
      <c r="X5889" s="782">
        <v>5885</v>
      </c>
      <c r="Y5889" s="782" t="s">
        <v>2248</v>
      </c>
      <c r="Z5889" s="782" t="s">
        <v>3422</v>
      </c>
      <c r="AA5889" s="781">
        <f>$S$1*P!AA5889</f>
        <v>0.47931999999999997</v>
      </c>
      <c r="AB5889" s="780"/>
      <c r="AC5889" s="780"/>
      <c r="AD5889" s="780"/>
      <c r="AE5889" s="780"/>
      <c r="AF5889" s="780"/>
    </row>
    <row r="5890" spans="19:32" x14ac:dyDescent="0.35">
      <c r="S5890" s="780"/>
      <c r="T5890" s="928"/>
      <c r="U5890" s="928"/>
      <c r="V5890" s="928"/>
      <c r="W5890" s="780"/>
      <c r="X5890" s="782">
        <v>5886</v>
      </c>
      <c r="Y5890" s="782" t="s">
        <v>2248</v>
      </c>
      <c r="Z5890" s="782" t="s">
        <v>3421</v>
      </c>
      <c r="AA5890" s="781">
        <f>$S$1*P!AA5890</f>
        <v>1.5217741935483873E-4</v>
      </c>
      <c r="AB5890" s="780"/>
      <c r="AC5890" s="780"/>
      <c r="AD5890" s="780"/>
      <c r="AE5890" s="780"/>
      <c r="AF5890" s="780"/>
    </row>
    <row r="5891" spans="19:32" x14ac:dyDescent="0.35">
      <c r="S5891" s="780"/>
      <c r="T5891" s="928"/>
      <c r="U5891" s="928"/>
      <c r="V5891" s="928"/>
      <c r="W5891" s="780"/>
      <c r="X5891" s="782">
        <v>5887</v>
      </c>
      <c r="Y5891" s="782" t="s">
        <v>2248</v>
      </c>
      <c r="Z5891" s="782" t="s">
        <v>3420</v>
      </c>
      <c r="AA5891" s="781">
        <f>$S$1*P!AA5891</f>
        <v>0.17388000000000001</v>
      </c>
      <c r="AB5891" s="780"/>
      <c r="AC5891" s="780"/>
      <c r="AD5891" s="780"/>
      <c r="AE5891" s="780"/>
      <c r="AF5891" s="780"/>
    </row>
    <row r="5892" spans="19:32" x14ac:dyDescent="0.35">
      <c r="S5892" s="780"/>
      <c r="T5892" s="928"/>
      <c r="U5892" s="928"/>
      <c r="V5892" s="928"/>
      <c r="W5892" s="780"/>
      <c r="X5892" s="782">
        <v>5888</v>
      </c>
      <c r="Y5892" s="782" t="s">
        <v>2248</v>
      </c>
      <c r="Z5892" s="782" t="s">
        <v>3419</v>
      </c>
      <c r="AA5892" s="781">
        <f>$S$1*P!AA5892</f>
        <v>1.012</v>
      </c>
      <c r="AB5892" s="780"/>
      <c r="AC5892" s="780"/>
      <c r="AD5892" s="780"/>
      <c r="AE5892" s="780"/>
      <c r="AF5892" s="780"/>
    </row>
    <row r="5893" spans="19:32" x14ac:dyDescent="0.35">
      <c r="S5893" s="780"/>
      <c r="T5893" s="928"/>
      <c r="U5893" s="928"/>
      <c r="V5893" s="928"/>
      <c r="W5893" s="780"/>
      <c r="X5893" s="782">
        <v>5889</v>
      </c>
      <c r="Y5893" s="782" t="s">
        <v>2248</v>
      </c>
      <c r="Z5893" s="782" t="s">
        <v>3418</v>
      </c>
      <c r="AA5893" s="781">
        <f>$S$1*P!AA5893</f>
        <v>4.5584677419354845E-4</v>
      </c>
      <c r="AB5893" s="780"/>
      <c r="AC5893" s="780"/>
      <c r="AD5893" s="780"/>
      <c r="AE5893" s="780"/>
      <c r="AF5893" s="780"/>
    </row>
    <row r="5894" spans="19:32" x14ac:dyDescent="0.35">
      <c r="S5894" s="780"/>
      <c r="T5894" s="928"/>
      <c r="U5894" s="928"/>
      <c r="V5894" s="928"/>
      <c r="W5894" s="780"/>
      <c r="X5894" s="782">
        <v>5890</v>
      </c>
      <c r="Y5894" s="782" t="s">
        <v>2248</v>
      </c>
      <c r="Z5894" s="782" t="s">
        <v>3417</v>
      </c>
      <c r="AA5894" s="781">
        <f>$S$1*P!AA5894</f>
        <v>8.5652000000000008</v>
      </c>
      <c r="AB5894" s="780"/>
      <c r="AC5894" s="780"/>
      <c r="AD5894" s="780"/>
      <c r="AE5894" s="780"/>
      <c r="AF5894" s="780"/>
    </row>
    <row r="5895" spans="19:32" x14ac:dyDescent="0.35">
      <c r="S5895" s="780"/>
      <c r="T5895" s="928"/>
      <c r="U5895" s="928"/>
      <c r="V5895" s="928"/>
      <c r="W5895" s="780"/>
      <c r="X5895" s="782">
        <v>5891</v>
      </c>
      <c r="Y5895" s="782" t="s">
        <v>2248</v>
      </c>
      <c r="Z5895" s="782" t="s">
        <v>3416</v>
      </c>
      <c r="AA5895" s="781">
        <f>$S$1*P!AA5895</f>
        <v>7.4060000000000001E-2</v>
      </c>
      <c r="AB5895" s="780"/>
      <c r="AC5895" s="780"/>
      <c r="AD5895" s="780"/>
      <c r="AE5895" s="780"/>
      <c r="AF5895" s="780"/>
    </row>
    <row r="5896" spans="19:32" x14ac:dyDescent="0.35">
      <c r="S5896" s="780"/>
      <c r="T5896" s="928"/>
      <c r="U5896" s="928"/>
      <c r="V5896" s="928"/>
      <c r="W5896" s="780"/>
      <c r="X5896" s="782">
        <v>5892</v>
      </c>
      <c r="Y5896" s="782" t="s">
        <v>2248</v>
      </c>
      <c r="Z5896" s="782" t="s">
        <v>3415</v>
      </c>
      <c r="AA5896" s="781">
        <f>$S$1*P!AA5896</f>
        <v>4.0786290322580648E-4</v>
      </c>
      <c r="AB5896" s="780"/>
      <c r="AC5896" s="780"/>
      <c r="AD5896" s="780"/>
      <c r="AE5896" s="780"/>
      <c r="AF5896" s="780"/>
    </row>
    <row r="5897" spans="19:32" x14ac:dyDescent="0.35">
      <c r="S5897" s="780"/>
      <c r="T5897" s="928"/>
      <c r="U5897" s="928"/>
      <c r="V5897" s="928"/>
      <c r="W5897" s="780"/>
      <c r="X5897" s="782">
        <v>5893</v>
      </c>
      <c r="Y5897" s="782" t="s">
        <v>2248</v>
      </c>
      <c r="Z5897" s="782" t="s">
        <v>3414</v>
      </c>
      <c r="AA5897" s="781">
        <f>$S$1*P!AA5897</f>
        <v>1.5548</v>
      </c>
      <c r="AB5897" s="780"/>
      <c r="AC5897" s="780"/>
      <c r="AD5897" s="780"/>
      <c r="AE5897" s="780"/>
      <c r="AF5897" s="780"/>
    </row>
    <row r="5898" spans="19:32" x14ac:dyDescent="0.35">
      <c r="S5898" s="780"/>
      <c r="T5898" s="928"/>
      <c r="U5898" s="928"/>
      <c r="V5898" s="928"/>
      <c r="W5898" s="780"/>
      <c r="X5898" s="782">
        <v>5894</v>
      </c>
      <c r="Y5898" s="782" t="s">
        <v>2248</v>
      </c>
      <c r="Z5898" s="782" t="s">
        <v>3413</v>
      </c>
      <c r="AA5898" s="781">
        <f>$S$1*P!AA5898</f>
        <v>52.531999999999996</v>
      </c>
      <c r="AB5898" s="780"/>
      <c r="AC5898" s="780"/>
      <c r="AD5898" s="780"/>
      <c r="AE5898" s="780"/>
      <c r="AF5898" s="780"/>
    </row>
    <row r="5899" spans="19:32" x14ac:dyDescent="0.35">
      <c r="S5899" s="780"/>
      <c r="T5899" s="928"/>
      <c r="U5899" s="928"/>
      <c r="V5899" s="928"/>
      <c r="W5899" s="780"/>
      <c r="X5899" s="782">
        <v>5895</v>
      </c>
      <c r="Y5899" s="782" t="s">
        <v>2248</v>
      </c>
      <c r="Z5899" s="782" t="s">
        <v>3412</v>
      </c>
      <c r="AA5899" s="781">
        <f>$S$1*P!AA5899</f>
        <v>2.4608870967741938E-3</v>
      </c>
      <c r="AB5899" s="780"/>
      <c r="AC5899" s="780"/>
      <c r="AD5899" s="780"/>
      <c r="AE5899" s="780"/>
      <c r="AF5899" s="780"/>
    </row>
    <row r="5900" spans="19:32" x14ac:dyDescent="0.35">
      <c r="S5900" s="780"/>
      <c r="T5900" s="928"/>
      <c r="U5900" s="928"/>
      <c r="V5900" s="928"/>
      <c r="W5900" s="780"/>
      <c r="X5900" s="782">
        <v>5896</v>
      </c>
      <c r="Y5900" s="782" t="s">
        <v>2248</v>
      </c>
      <c r="Z5900" s="782" t="s">
        <v>3411</v>
      </c>
      <c r="AA5900" s="781">
        <f>$S$1*P!AA5900</f>
        <v>6.0260000000000001E-2</v>
      </c>
      <c r="AB5900" s="780"/>
      <c r="AC5900" s="780"/>
      <c r="AD5900" s="780"/>
      <c r="AE5900" s="780"/>
      <c r="AF5900" s="780"/>
    </row>
    <row r="5901" spans="19:32" x14ac:dyDescent="0.35">
      <c r="S5901" s="780"/>
      <c r="T5901" s="928"/>
      <c r="U5901" s="928"/>
      <c r="V5901" s="928"/>
      <c r="W5901" s="780"/>
      <c r="X5901" s="782">
        <v>5897</v>
      </c>
      <c r="Y5901" s="782" t="s">
        <v>2248</v>
      </c>
      <c r="Z5901" s="782" t="s">
        <v>3410</v>
      </c>
      <c r="AA5901" s="781">
        <f>$S$1*P!AA5901</f>
        <v>2.6699596774193554E-3</v>
      </c>
      <c r="AB5901" s="780"/>
      <c r="AC5901" s="780"/>
      <c r="AD5901" s="780"/>
      <c r="AE5901" s="780"/>
      <c r="AF5901" s="780"/>
    </row>
    <row r="5902" spans="19:32" x14ac:dyDescent="0.35">
      <c r="S5902" s="780"/>
      <c r="T5902" s="928"/>
      <c r="U5902" s="928"/>
      <c r="V5902" s="928"/>
      <c r="W5902" s="780"/>
      <c r="X5902" s="782">
        <v>5898</v>
      </c>
      <c r="Y5902" s="782" t="s">
        <v>2248</v>
      </c>
      <c r="Z5902" s="782" t="s">
        <v>3409</v>
      </c>
      <c r="AA5902" s="781">
        <f>$S$1*P!AA5902</f>
        <v>0</v>
      </c>
      <c r="AB5902" s="780"/>
      <c r="AC5902" s="780"/>
      <c r="AD5902" s="780"/>
      <c r="AE5902" s="780"/>
      <c r="AF5902" s="780"/>
    </row>
    <row r="5903" spans="19:32" x14ac:dyDescent="0.35">
      <c r="S5903" s="780"/>
      <c r="T5903" s="928"/>
      <c r="U5903" s="928"/>
      <c r="V5903" s="928"/>
      <c r="W5903" s="780"/>
      <c r="X5903" s="782">
        <v>5899</v>
      </c>
      <c r="Y5903" s="782" t="s">
        <v>2248</v>
      </c>
      <c r="Z5903" s="782" t="s">
        <v>3408</v>
      </c>
      <c r="AA5903" s="781">
        <f>$S$1*P!AA5903</f>
        <v>3.5327999999999998E-2</v>
      </c>
      <c r="AB5903" s="780"/>
      <c r="AC5903" s="780"/>
      <c r="AD5903" s="780"/>
      <c r="AE5903" s="780"/>
      <c r="AF5903" s="780"/>
    </row>
    <row r="5904" spans="19:32" x14ac:dyDescent="0.35">
      <c r="S5904" s="780"/>
      <c r="T5904" s="928"/>
      <c r="U5904" s="928"/>
      <c r="V5904" s="928"/>
      <c r="W5904" s="780"/>
      <c r="X5904" s="782">
        <v>5900</v>
      </c>
      <c r="Y5904" s="782" t="s">
        <v>2248</v>
      </c>
      <c r="Z5904" s="782" t="s">
        <v>3407</v>
      </c>
      <c r="AA5904" s="781">
        <f>$S$1*P!AA5904</f>
        <v>5.2782258064516135E-4</v>
      </c>
      <c r="AB5904" s="780"/>
      <c r="AC5904" s="780"/>
      <c r="AD5904" s="780"/>
      <c r="AE5904" s="780"/>
      <c r="AF5904" s="780"/>
    </row>
    <row r="5905" spans="19:32" x14ac:dyDescent="0.35">
      <c r="S5905" s="780"/>
      <c r="T5905" s="928"/>
      <c r="U5905" s="928"/>
      <c r="V5905" s="928"/>
      <c r="W5905" s="780"/>
      <c r="X5905" s="782">
        <v>5901</v>
      </c>
      <c r="Y5905" s="782" t="s">
        <v>2248</v>
      </c>
      <c r="Z5905" s="782" t="s">
        <v>3406</v>
      </c>
      <c r="AA5905" s="781">
        <f>$S$1*P!AA5905</f>
        <v>238.28</v>
      </c>
      <c r="AB5905" s="780"/>
      <c r="AC5905" s="780"/>
      <c r="AD5905" s="780"/>
      <c r="AE5905" s="780"/>
      <c r="AF5905" s="780"/>
    </row>
    <row r="5906" spans="19:32" x14ac:dyDescent="0.35">
      <c r="S5906" s="780"/>
      <c r="T5906" s="928"/>
      <c r="U5906" s="928"/>
      <c r="V5906" s="928"/>
      <c r="W5906" s="780"/>
      <c r="X5906" s="782">
        <v>5902</v>
      </c>
      <c r="Y5906" s="782" t="s">
        <v>2248</v>
      </c>
      <c r="Z5906" s="782" t="s">
        <v>3405</v>
      </c>
      <c r="AA5906" s="781">
        <f>$S$1*P!AA5906</f>
        <v>2.4011999999999998</v>
      </c>
      <c r="AB5906" s="780"/>
      <c r="AC5906" s="780"/>
      <c r="AD5906" s="780"/>
      <c r="AE5906" s="780"/>
      <c r="AF5906" s="780"/>
    </row>
    <row r="5907" spans="19:32" x14ac:dyDescent="0.35">
      <c r="S5907" s="780"/>
      <c r="T5907" s="928"/>
      <c r="U5907" s="928"/>
      <c r="V5907" s="928"/>
      <c r="W5907" s="780"/>
      <c r="X5907" s="782">
        <v>5903</v>
      </c>
      <c r="Y5907" s="782" t="s">
        <v>2248</v>
      </c>
      <c r="Z5907" s="782" t="s">
        <v>3404</v>
      </c>
      <c r="AA5907" s="781">
        <f>$S$1*P!AA5907</f>
        <v>3.4959677419354844E-2</v>
      </c>
      <c r="AB5907" s="780"/>
      <c r="AC5907" s="780"/>
      <c r="AD5907" s="780"/>
      <c r="AE5907" s="780"/>
      <c r="AF5907" s="780"/>
    </row>
    <row r="5908" spans="19:32" x14ac:dyDescent="0.35">
      <c r="S5908" s="780"/>
      <c r="T5908" s="928"/>
      <c r="U5908" s="928"/>
      <c r="V5908" s="928"/>
      <c r="W5908" s="780"/>
      <c r="X5908" s="782">
        <v>5904</v>
      </c>
      <c r="Y5908" s="782" t="s">
        <v>2248</v>
      </c>
      <c r="Z5908" s="782" t="s">
        <v>3403</v>
      </c>
      <c r="AA5908" s="781">
        <f>$S$1*P!AA5908</f>
        <v>0</v>
      </c>
      <c r="AB5908" s="780"/>
      <c r="AC5908" s="780"/>
      <c r="AD5908" s="780"/>
      <c r="AE5908" s="780"/>
      <c r="AF5908" s="780"/>
    </row>
    <row r="5909" spans="19:32" x14ac:dyDescent="0.35">
      <c r="S5909" s="780"/>
      <c r="T5909" s="928"/>
      <c r="U5909" s="928"/>
      <c r="V5909" s="928"/>
      <c r="W5909" s="780"/>
      <c r="X5909" s="782">
        <v>5905</v>
      </c>
      <c r="Y5909" s="782" t="s">
        <v>2248</v>
      </c>
      <c r="Z5909" s="782" t="s">
        <v>3402</v>
      </c>
      <c r="AA5909" s="781">
        <f>$S$1*P!AA5909</f>
        <v>0.1242</v>
      </c>
      <c r="AB5909" s="780"/>
      <c r="AC5909" s="780"/>
      <c r="AD5909" s="780"/>
      <c r="AE5909" s="780"/>
      <c r="AF5909" s="780"/>
    </row>
    <row r="5910" spans="19:32" x14ac:dyDescent="0.35">
      <c r="S5910" s="780"/>
      <c r="T5910" s="928"/>
      <c r="U5910" s="928"/>
      <c r="V5910" s="928"/>
      <c r="W5910" s="780"/>
      <c r="X5910" s="782">
        <v>5906</v>
      </c>
      <c r="Y5910" s="782" t="s">
        <v>2248</v>
      </c>
      <c r="Z5910" s="782" t="s">
        <v>3401</v>
      </c>
      <c r="AA5910" s="781">
        <f>$S$1*P!AA5910</f>
        <v>0.11481854838709678</v>
      </c>
      <c r="AB5910" s="780"/>
      <c r="AC5910" s="780"/>
      <c r="AD5910" s="780"/>
      <c r="AE5910" s="780"/>
      <c r="AF5910" s="780"/>
    </row>
    <row r="5911" spans="19:32" x14ac:dyDescent="0.35">
      <c r="S5911" s="780"/>
      <c r="T5911" s="928"/>
      <c r="U5911" s="928"/>
      <c r="V5911" s="928"/>
      <c r="W5911" s="780"/>
      <c r="X5911" s="782">
        <v>5907</v>
      </c>
      <c r="Y5911" s="782" t="s">
        <v>2248</v>
      </c>
      <c r="Z5911" s="782" t="s">
        <v>3400</v>
      </c>
      <c r="AA5911" s="781">
        <f>$S$1*P!AA5911</f>
        <v>0.12603999999999999</v>
      </c>
      <c r="AB5911" s="780"/>
      <c r="AC5911" s="780"/>
      <c r="AD5911" s="780"/>
      <c r="AE5911" s="780"/>
      <c r="AF5911" s="780"/>
    </row>
    <row r="5912" spans="19:32" x14ac:dyDescent="0.35">
      <c r="S5912" s="780"/>
      <c r="T5912" s="928"/>
      <c r="U5912" s="928"/>
      <c r="V5912" s="928"/>
      <c r="W5912" s="780"/>
      <c r="X5912" s="782">
        <v>5908</v>
      </c>
      <c r="Y5912" s="782" t="s">
        <v>2248</v>
      </c>
      <c r="Z5912" s="782" t="s">
        <v>3399</v>
      </c>
      <c r="AA5912" s="781">
        <f>$S$1*P!AA5912</f>
        <v>0.38044354838709682</v>
      </c>
      <c r="AB5912" s="780"/>
      <c r="AC5912" s="780"/>
      <c r="AD5912" s="780"/>
      <c r="AE5912" s="780"/>
      <c r="AF5912" s="780"/>
    </row>
    <row r="5913" spans="19:32" x14ac:dyDescent="0.35">
      <c r="S5913" s="780"/>
      <c r="T5913" s="928"/>
      <c r="U5913" s="928"/>
      <c r="V5913" s="928"/>
      <c r="W5913" s="780"/>
      <c r="X5913" s="782">
        <v>5909</v>
      </c>
      <c r="Y5913" s="782" t="s">
        <v>2248</v>
      </c>
      <c r="Z5913" s="782" t="s">
        <v>3398</v>
      </c>
      <c r="AA5913" s="781">
        <f>$S$1*P!AA5913</f>
        <v>0.10303999999999999</v>
      </c>
      <c r="AB5913" s="780"/>
      <c r="AC5913" s="780"/>
      <c r="AD5913" s="780"/>
      <c r="AE5913" s="780"/>
      <c r="AF5913" s="780"/>
    </row>
    <row r="5914" spans="19:32" x14ac:dyDescent="0.35">
      <c r="S5914" s="780"/>
      <c r="T5914" s="928"/>
      <c r="U5914" s="928"/>
      <c r="V5914" s="928"/>
      <c r="W5914" s="780"/>
      <c r="X5914" s="782">
        <v>5910</v>
      </c>
      <c r="Y5914" s="782" t="s">
        <v>2248</v>
      </c>
      <c r="Z5914" s="782" t="s">
        <v>3397</v>
      </c>
      <c r="AA5914" s="781">
        <f>$S$1*P!AA5914</f>
        <v>0</v>
      </c>
      <c r="AB5914" s="780"/>
      <c r="AC5914" s="780"/>
      <c r="AD5914" s="780"/>
      <c r="AE5914" s="780"/>
      <c r="AF5914" s="780"/>
    </row>
    <row r="5915" spans="19:32" x14ac:dyDescent="0.35">
      <c r="S5915" s="780"/>
      <c r="T5915" s="928"/>
      <c r="U5915" s="928"/>
      <c r="V5915" s="928"/>
      <c r="W5915" s="780"/>
      <c r="X5915" s="782">
        <v>5911</v>
      </c>
      <c r="Y5915" s="782" t="s">
        <v>2248</v>
      </c>
      <c r="Z5915" s="782" t="s">
        <v>3396</v>
      </c>
      <c r="AA5915" s="781">
        <f>$S$1*P!AA5915</f>
        <v>6.5463709677419363E-5</v>
      </c>
      <c r="AB5915" s="780"/>
      <c r="AC5915" s="780"/>
      <c r="AD5915" s="780"/>
      <c r="AE5915" s="780"/>
      <c r="AF5915" s="780"/>
    </row>
    <row r="5916" spans="19:32" x14ac:dyDescent="0.35">
      <c r="S5916" s="780"/>
      <c r="T5916" s="928"/>
      <c r="U5916" s="928"/>
      <c r="V5916" s="928"/>
      <c r="W5916" s="780"/>
      <c r="X5916" s="782">
        <v>5912</v>
      </c>
      <c r="Y5916" s="782" t="s">
        <v>2248</v>
      </c>
      <c r="Z5916" s="782" t="s">
        <v>3395</v>
      </c>
      <c r="AA5916" s="781">
        <f>$S$1*P!AA5916</f>
        <v>276.92</v>
      </c>
      <c r="AB5916" s="780"/>
      <c r="AC5916" s="780"/>
      <c r="AD5916" s="780"/>
      <c r="AE5916" s="780"/>
      <c r="AF5916" s="780"/>
    </row>
    <row r="5917" spans="19:32" x14ac:dyDescent="0.35">
      <c r="S5917" s="780"/>
      <c r="T5917" s="928"/>
      <c r="U5917" s="928"/>
      <c r="V5917" s="928"/>
      <c r="W5917" s="780"/>
      <c r="X5917" s="782">
        <v>5913</v>
      </c>
      <c r="Y5917" s="782" t="s">
        <v>2248</v>
      </c>
      <c r="Z5917" s="782" t="s">
        <v>3394</v>
      </c>
      <c r="AA5917" s="781">
        <f>$S$1*P!AA5917</f>
        <v>0.22539999999999999</v>
      </c>
      <c r="AB5917" s="780"/>
      <c r="AC5917" s="780"/>
      <c r="AD5917" s="780"/>
      <c r="AE5917" s="780"/>
      <c r="AF5917" s="780"/>
    </row>
    <row r="5918" spans="19:32" x14ac:dyDescent="0.35">
      <c r="S5918" s="780"/>
      <c r="T5918" s="928"/>
      <c r="U5918" s="928"/>
      <c r="V5918" s="928"/>
      <c r="W5918" s="780"/>
      <c r="X5918" s="782">
        <v>5914</v>
      </c>
      <c r="Y5918" s="782" t="s">
        <v>2248</v>
      </c>
      <c r="Z5918" s="782" t="s">
        <v>3393</v>
      </c>
      <c r="AA5918" s="781">
        <f>$S$1*P!AA5918</f>
        <v>2.8756048387096776E-5</v>
      </c>
      <c r="AB5918" s="780"/>
      <c r="AC5918" s="780"/>
      <c r="AD5918" s="780"/>
      <c r="AE5918" s="780"/>
      <c r="AF5918" s="780"/>
    </row>
    <row r="5919" spans="19:32" x14ac:dyDescent="0.35">
      <c r="S5919" s="780"/>
      <c r="T5919" s="928"/>
      <c r="U5919" s="928"/>
      <c r="V5919" s="928"/>
      <c r="W5919" s="780"/>
      <c r="X5919" s="782">
        <v>5915</v>
      </c>
      <c r="Y5919" s="782" t="s">
        <v>2248</v>
      </c>
      <c r="Z5919" s="782" t="s">
        <v>3392</v>
      </c>
      <c r="AA5919" s="781">
        <f>$S$1*P!AA5919</f>
        <v>0.71667999999999998</v>
      </c>
      <c r="AB5919" s="780"/>
      <c r="AC5919" s="780"/>
      <c r="AD5919" s="780"/>
      <c r="AE5919" s="780"/>
      <c r="AF5919" s="780"/>
    </row>
    <row r="5920" spans="19:32" x14ac:dyDescent="0.35">
      <c r="S5920" s="780"/>
      <c r="T5920" s="928"/>
      <c r="U5920" s="928"/>
      <c r="V5920" s="928"/>
      <c r="W5920" s="780"/>
      <c r="X5920" s="782">
        <v>5916</v>
      </c>
      <c r="Y5920" s="782" t="s">
        <v>2248</v>
      </c>
      <c r="Z5920" s="782" t="s">
        <v>3391</v>
      </c>
      <c r="AA5920" s="781">
        <f>$S$1*P!AA5920</f>
        <v>0.61271999999999993</v>
      </c>
      <c r="AB5920" s="780"/>
      <c r="AC5920" s="780"/>
      <c r="AD5920" s="780"/>
      <c r="AE5920" s="780"/>
      <c r="AF5920" s="780"/>
    </row>
    <row r="5921" spans="19:32" x14ac:dyDescent="0.35">
      <c r="S5921" s="780"/>
      <c r="T5921" s="928"/>
      <c r="U5921" s="928"/>
      <c r="V5921" s="928"/>
      <c r="W5921" s="780"/>
      <c r="X5921" s="782">
        <v>5917</v>
      </c>
      <c r="Y5921" s="782" t="s">
        <v>2248</v>
      </c>
      <c r="Z5921" s="782" t="s">
        <v>3390</v>
      </c>
      <c r="AA5921" s="781">
        <f>$S$1*P!AA5921</f>
        <v>4.6270161290322585E-5</v>
      </c>
      <c r="AB5921" s="780"/>
      <c r="AC5921" s="780"/>
      <c r="AD5921" s="780"/>
      <c r="AE5921" s="780"/>
      <c r="AF5921" s="780"/>
    </row>
    <row r="5922" spans="19:32" x14ac:dyDescent="0.35">
      <c r="S5922" s="780"/>
      <c r="T5922" s="928"/>
      <c r="U5922" s="928"/>
      <c r="V5922" s="928"/>
      <c r="W5922" s="780"/>
      <c r="X5922" s="782">
        <v>5918</v>
      </c>
      <c r="Y5922" s="782" t="s">
        <v>2248</v>
      </c>
      <c r="Z5922" s="782" t="s">
        <v>3389</v>
      </c>
      <c r="AA5922" s="781">
        <f>$S$1*P!AA5922</f>
        <v>18.308</v>
      </c>
      <c r="AB5922" s="780"/>
      <c r="AC5922" s="780"/>
      <c r="AD5922" s="780"/>
      <c r="AE5922" s="780"/>
      <c r="AF5922" s="780"/>
    </row>
    <row r="5923" spans="19:32" x14ac:dyDescent="0.35">
      <c r="S5923" s="780"/>
      <c r="T5923" s="928"/>
      <c r="U5923" s="928"/>
      <c r="V5923" s="928"/>
      <c r="W5923" s="780"/>
      <c r="X5923" s="782">
        <v>5919</v>
      </c>
      <c r="Y5923" s="782" t="s">
        <v>2248</v>
      </c>
      <c r="Z5923" s="782" t="s">
        <v>3388</v>
      </c>
      <c r="AA5923" s="781">
        <f>$S$1*P!AA5923</f>
        <v>103.03999999999999</v>
      </c>
      <c r="AB5923" s="780"/>
      <c r="AC5923" s="780"/>
      <c r="AD5923" s="780"/>
      <c r="AE5923" s="780"/>
      <c r="AF5923" s="780"/>
    </row>
    <row r="5924" spans="19:32" x14ac:dyDescent="0.35">
      <c r="S5924" s="780"/>
      <c r="T5924" s="928"/>
      <c r="U5924" s="928"/>
      <c r="V5924" s="928"/>
      <c r="W5924" s="780"/>
      <c r="X5924" s="782">
        <v>5920</v>
      </c>
      <c r="Y5924" s="782" t="s">
        <v>2248</v>
      </c>
      <c r="Z5924" s="782" t="s">
        <v>2961</v>
      </c>
      <c r="AA5924" s="781">
        <f>$S$1*P!AA5924</f>
        <v>1.192741935483871E-2</v>
      </c>
      <c r="AB5924" s="780"/>
      <c r="AC5924" s="780"/>
      <c r="AD5924" s="780"/>
      <c r="AE5924" s="780"/>
      <c r="AF5924" s="780"/>
    </row>
    <row r="5925" spans="19:32" x14ac:dyDescent="0.35">
      <c r="S5925" s="780"/>
      <c r="T5925" s="928"/>
      <c r="U5925" s="928"/>
      <c r="V5925" s="928"/>
      <c r="W5925" s="780"/>
      <c r="X5925" s="782">
        <v>5921</v>
      </c>
      <c r="Y5925" s="782" t="s">
        <v>2248</v>
      </c>
      <c r="Z5925" s="782" t="s">
        <v>3387</v>
      </c>
      <c r="AA5925" s="781">
        <f>$S$1*P!AA5925</f>
        <v>123.28</v>
      </c>
      <c r="AB5925" s="780"/>
      <c r="AC5925" s="780"/>
      <c r="AD5925" s="780"/>
      <c r="AE5925" s="780"/>
      <c r="AF5925" s="780"/>
    </row>
    <row r="5926" spans="19:32" x14ac:dyDescent="0.35">
      <c r="S5926" s="780"/>
      <c r="T5926" s="928"/>
      <c r="U5926" s="928"/>
      <c r="V5926" s="928"/>
      <c r="W5926" s="780"/>
      <c r="X5926" s="782">
        <v>5922</v>
      </c>
      <c r="Y5926" s="782" t="s">
        <v>2248</v>
      </c>
      <c r="Z5926" s="782" t="s">
        <v>2959</v>
      </c>
      <c r="AA5926" s="781">
        <f>$S$1*P!AA5926</f>
        <v>0.20975806451612905</v>
      </c>
      <c r="AB5926" s="780"/>
      <c r="AC5926" s="780"/>
      <c r="AD5926" s="780"/>
      <c r="AE5926" s="780"/>
      <c r="AF5926" s="780"/>
    </row>
    <row r="5927" spans="19:32" x14ac:dyDescent="0.35">
      <c r="S5927" s="780"/>
      <c r="T5927" s="928"/>
      <c r="U5927" s="928"/>
      <c r="V5927" s="928"/>
      <c r="W5927" s="780"/>
      <c r="X5927" s="782">
        <v>5923</v>
      </c>
      <c r="Y5927" s="782" t="s">
        <v>2248</v>
      </c>
      <c r="Z5927" s="782" t="s">
        <v>3386</v>
      </c>
      <c r="AA5927" s="781">
        <f>$S$1*P!AA5927</f>
        <v>115.92</v>
      </c>
      <c r="AB5927" s="780"/>
      <c r="AC5927" s="780"/>
      <c r="AD5927" s="780"/>
      <c r="AE5927" s="780"/>
      <c r="AF5927" s="780"/>
    </row>
    <row r="5928" spans="19:32" x14ac:dyDescent="0.35">
      <c r="S5928" s="780"/>
      <c r="T5928" s="928"/>
      <c r="U5928" s="928"/>
      <c r="V5928" s="928"/>
      <c r="W5928" s="780"/>
      <c r="X5928" s="782">
        <v>5924</v>
      </c>
      <c r="Y5928" s="782" t="s">
        <v>2248</v>
      </c>
      <c r="Z5928" s="782" t="s">
        <v>3385</v>
      </c>
      <c r="AA5928" s="781">
        <f>$S$1*P!AA5928</f>
        <v>278.76</v>
      </c>
      <c r="AB5928" s="780"/>
      <c r="AC5928" s="780"/>
      <c r="AD5928" s="780"/>
      <c r="AE5928" s="780"/>
      <c r="AF5928" s="780"/>
    </row>
    <row r="5929" spans="19:32" x14ac:dyDescent="0.35">
      <c r="S5929" s="780"/>
      <c r="T5929" s="928"/>
      <c r="U5929" s="928"/>
      <c r="V5929" s="928"/>
      <c r="W5929" s="780"/>
      <c r="X5929" s="782">
        <v>5925</v>
      </c>
      <c r="Y5929" s="782" t="s">
        <v>2248</v>
      </c>
      <c r="Z5929" s="782" t="s">
        <v>3384</v>
      </c>
      <c r="AA5929" s="781">
        <f>$S$1*P!AA5929</f>
        <v>4.5241935483870972E-3</v>
      </c>
      <c r="AB5929" s="780"/>
      <c r="AC5929" s="780"/>
      <c r="AD5929" s="780"/>
      <c r="AE5929" s="780"/>
      <c r="AF5929" s="780"/>
    </row>
    <row r="5930" spans="19:32" x14ac:dyDescent="0.35">
      <c r="S5930" s="780"/>
      <c r="T5930" s="928"/>
      <c r="U5930" s="928"/>
      <c r="V5930" s="928"/>
      <c r="W5930" s="780"/>
      <c r="X5930" s="782">
        <v>5926</v>
      </c>
      <c r="Y5930" s="782" t="s">
        <v>2248</v>
      </c>
      <c r="Z5930" s="782" t="s">
        <v>3383</v>
      </c>
      <c r="AA5930" s="781">
        <f>$S$1*P!AA5930</f>
        <v>556.59999999999991</v>
      </c>
      <c r="AB5930" s="780"/>
      <c r="AC5930" s="780"/>
      <c r="AD5930" s="780"/>
      <c r="AE5930" s="780"/>
      <c r="AF5930" s="780"/>
    </row>
    <row r="5931" spans="19:32" x14ac:dyDescent="0.35">
      <c r="S5931" s="780"/>
      <c r="T5931" s="928"/>
      <c r="U5931" s="928"/>
      <c r="V5931" s="928"/>
      <c r="W5931" s="780"/>
      <c r="X5931" s="782">
        <v>5927</v>
      </c>
      <c r="Y5931" s="782" t="s">
        <v>2248</v>
      </c>
      <c r="Z5931" s="782" t="s">
        <v>3382</v>
      </c>
      <c r="AA5931" s="781">
        <f>$S$1*P!AA5931</f>
        <v>28.887999999999998</v>
      </c>
      <c r="AB5931" s="780"/>
      <c r="AC5931" s="780"/>
      <c r="AD5931" s="780"/>
      <c r="AE5931" s="780"/>
      <c r="AF5931" s="780"/>
    </row>
    <row r="5932" spans="19:32" x14ac:dyDescent="0.35">
      <c r="S5932" s="780"/>
      <c r="T5932" s="928"/>
      <c r="U5932" s="928"/>
      <c r="V5932" s="928"/>
      <c r="W5932" s="780"/>
      <c r="X5932" s="782">
        <v>5928</v>
      </c>
      <c r="Y5932" s="782" t="s">
        <v>2248</v>
      </c>
      <c r="Z5932" s="782" t="s">
        <v>3381</v>
      </c>
      <c r="AA5932" s="781">
        <f>$S$1*P!AA5932</f>
        <v>1.4909274193548388E-8</v>
      </c>
      <c r="AB5932" s="780"/>
      <c r="AC5932" s="780"/>
      <c r="AD5932" s="780"/>
      <c r="AE5932" s="780"/>
      <c r="AF5932" s="780"/>
    </row>
    <row r="5933" spans="19:32" x14ac:dyDescent="0.35">
      <c r="S5933" s="780"/>
      <c r="T5933" s="928"/>
      <c r="U5933" s="928"/>
      <c r="V5933" s="928"/>
      <c r="W5933" s="780"/>
      <c r="X5933" s="881">
        <v>5929</v>
      </c>
      <c r="Y5933" s="881" t="s">
        <v>2248</v>
      </c>
      <c r="Z5933" s="881" t="s">
        <v>3380</v>
      </c>
      <c r="AA5933" s="882">
        <f>$S$1*P!AA5933</f>
        <v>1545.6000000000001</v>
      </c>
      <c r="AB5933" s="780"/>
      <c r="AC5933" s="780"/>
      <c r="AD5933" s="780"/>
      <c r="AE5933" s="780"/>
      <c r="AF5933" s="780"/>
    </row>
    <row r="5934" spans="19:32" x14ac:dyDescent="0.35">
      <c r="S5934" s="780"/>
      <c r="T5934" s="928"/>
      <c r="U5934" s="928"/>
      <c r="V5934" s="928"/>
      <c r="W5934" s="780"/>
      <c r="X5934" s="881">
        <v>5930</v>
      </c>
      <c r="Y5934" s="881" t="s">
        <v>2248</v>
      </c>
      <c r="Z5934" s="881" t="s">
        <v>3379</v>
      </c>
      <c r="AA5934" s="882">
        <f>$S$1*P!AA5934</f>
        <v>0.97520000000000007</v>
      </c>
      <c r="AB5934" s="780"/>
      <c r="AC5934" s="780"/>
      <c r="AD5934" s="780"/>
      <c r="AE5934" s="780"/>
      <c r="AF5934" s="780"/>
    </row>
    <row r="5935" spans="19:32" x14ac:dyDescent="0.35">
      <c r="S5935" s="780"/>
      <c r="T5935" s="928"/>
      <c r="U5935" s="928"/>
      <c r="V5935" s="928"/>
      <c r="W5935" s="780"/>
      <c r="X5935" s="782">
        <v>5931</v>
      </c>
      <c r="Y5935" s="782" t="s">
        <v>2248</v>
      </c>
      <c r="Z5935" s="782" t="s">
        <v>3378</v>
      </c>
      <c r="AA5935" s="781">
        <f>$S$1*P!AA5935</f>
        <v>1.3504032258064517E-4</v>
      </c>
      <c r="AB5935" s="780"/>
      <c r="AC5935" s="780"/>
      <c r="AD5935" s="780"/>
      <c r="AE5935" s="780"/>
      <c r="AF5935" s="780"/>
    </row>
    <row r="5936" spans="19:32" x14ac:dyDescent="0.35">
      <c r="S5936" s="780"/>
      <c r="T5936" s="928"/>
      <c r="U5936" s="928"/>
      <c r="V5936" s="928"/>
      <c r="W5936" s="780"/>
      <c r="X5936" s="881">
        <v>5932</v>
      </c>
      <c r="Y5936" s="881" t="s">
        <v>2248</v>
      </c>
      <c r="Z5936" s="881" t="s">
        <v>3377</v>
      </c>
      <c r="AA5936" s="882">
        <f>$S$1*P!AA5936</f>
        <v>0</v>
      </c>
      <c r="AB5936" s="780"/>
      <c r="AC5936" s="780"/>
      <c r="AD5936" s="780"/>
      <c r="AE5936" s="780"/>
      <c r="AF5936" s="780"/>
    </row>
    <row r="5937" spans="19:32" x14ac:dyDescent="0.35">
      <c r="S5937" s="780"/>
      <c r="T5937" s="928"/>
      <c r="U5937" s="928"/>
      <c r="V5937" s="928"/>
      <c r="W5937" s="780"/>
      <c r="X5937" s="782">
        <v>5933</v>
      </c>
      <c r="Y5937" s="782" t="s">
        <v>2248</v>
      </c>
      <c r="Z5937" s="782" t="s">
        <v>3376</v>
      </c>
      <c r="AA5937" s="781">
        <f>$S$1*P!AA5937</f>
        <v>2.419758064516129E-6</v>
      </c>
      <c r="AB5937" s="780"/>
      <c r="AC5937" s="780"/>
      <c r="AD5937" s="780"/>
      <c r="AE5937" s="780"/>
      <c r="AF5937" s="780"/>
    </row>
    <row r="5938" spans="19:32" x14ac:dyDescent="0.35">
      <c r="S5938" s="780"/>
      <c r="T5938" s="928"/>
      <c r="U5938" s="928"/>
      <c r="V5938" s="928"/>
      <c r="W5938" s="780"/>
      <c r="X5938" s="881">
        <v>5934</v>
      </c>
      <c r="Y5938" s="881" t="s">
        <v>2248</v>
      </c>
      <c r="Z5938" s="881" t="s">
        <v>3375</v>
      </c>
      <c r="AA5938" s="882">
        <f>$S$1*P!AA5938</f>
        <v>0</v>
      </c>
      <c r="AB5938" s="780"/>
      <c r="AC5938" s="780"/>
      <c r="AD5938" s="780"/>
      <c r="AE5938" s="780"/>
      <c r="AF5938" s="780"/>
    </row>
    <row r="5939" spans="19:32" x14ac:dyDescent="0.35">
      <c r="S5939" s="780"/>
      <c r="T5939" s="928"/>
      <c r="U5939" s="928"/>
      <c r="V5939" s="928"/>
      <c r="W5939" s="780"/>
      <c r="X5939" s="881">
        <v>5935</v>
      </c>
      <c r="Y5939" s="881" t="s">
        <v>2248</v>
      </c>
      <c r="Z5939" s="881" t="s">
        <v>3374</v>
      </c>
      <c r="AA5939" s="882">
        <f>$S$1*P!AA5939</f>
        <v>0</v>
      </c>
      <c r="AB5939" s="780"/>
      <c r="AC5939" s="780"/>
      <c r="AD5939" s="780"/>
      <c r="AE5939" s="780"/>
      <c r="AF5939" s="780"/>
    </row>
    <row r="5940" spans="19:32" x14ac:dyDescent="0.35">
      <c r="S5940" s="780"/>
      <c r="T5940" s="928"/>
      <c r="U5940" s="928"/>
      <c r="V5940" s="928"/>
      <c r="W5940" s="780"/>
      <c r="X5940" s="782">
        <v>5936</v>
      </c>
      <c r="Y5940" s="782" t="s">
        <v>2248</v>
      </c>
      <c r="Z5940" s="782" t="s">
        <v>3373</v>
      </c>
      <c r="AA5940" s="781">
        <f>$S$1*P!AA5940</f>
        <v>8.8427419354838721E-3</v>
      </c>
      <c r="AB5940" s="780"/>
      <c r="AC5940" s="780"/>
      <c r="AD5940" s="780"/>
      <c r="AE5940" s="780"/>
      <c r="AF5940" s="780"/>
    </row>
    <row r="5941" spans="19:32" x14ac:dyDescent="0.35">
      <c r="S5941" s="780"/>
      <c r="T5941" s="928"/>
      <c r="U5941" s="928"/>
      <c r="V5941" s="928"/>
      <c r="W5941" s="780"/>
      <c r="X5941" s="881">
        <v>5937</v>
      </c>
      <c r="Y5941" s="881" t="s">
        <v>2248</v>
      </c>
      <c r="Z5941" s="881" t="s">
        <v>3372</v>
      </c>
      <c r="AA5941" s="882">
        <f>$S$1*P!AA5941</f>
        <v>170.2</v>
      </c>
      <c r="AB5941" s="780"/>
      <c r="AC5941" s="780"/>
      <c r="AD5941" s="780"/>
      <c r="AE5941" s="780"/>
      <c r="AF5941" s="780"/>
    </row>
    <row r="5942" spans="19:32" x14ac:dyDescent="0.35">
      <c r="S5942" s="780"/>
      <c r="T5942" s="928"/>
      <c r="U5942" s="928"/>
      <c r="V5942" s="928"/>
      <c r="W5942" s="780"/>
      <c r="X5942" s="881">
        <v>5938</v>
      </c>
      <c r="Y5942" s="881" t="s">
        <v>2248</v>
      </c>
      <c r="Z5942" s="881" t="s">
        <v>3371</v>
      </c>
      <c r="AA5942" s="882">
        <f>$S$1*P!AA5942</f>
        <v>7.571600000000001</v>
      </c>
      <c r="AB5942" s="780"/>
      <c r="AC5942" s="780"/>
      <c r="AD5942" s="780"/>
      <c r="AE5942" s="780"/>
      <c r="AF5942" s="780"/>
    </row>
    <row r="5943" spans="19:32" x14ac:dyDescent="0.35">
      <c r="S5943" s="780"/>
      <c r="T5943" s="928"/>
      <c r="U5943" s="928"/>
      <c r="V5943" s="928"/>
      <c r="W5943" s="780"/>
      <c r="X5943" s="782">
        <v>5939</v>
      </c>
      <c r="Y5943" s="782" t="s">
        <v>2248</v>
      </c>
      <c r="Z5943" s="782" t="s">
        <v>2958</v>
      </c>
      <c r="AA5943" s="781">
        <f>$S$1*P!AA5943</f>
        <v>3.1909274193548389E-6</v>
      </c>
      <c r="AB5943" s="780"/>
      <c r="AC5943" s="780"/>
      <c r="AD5943" s="780"/>
      <c r="AE5943" s="780"/>
      <c r="AF5943" s="780"/>
    </row>
    <row r="5944" spans="19:32" x14ac:dyDescent="0.35">
      <c r="S5944" s="780"/>
      <c r="T5944" s="928"/>
      <c r="U5944" s="928"/>
      <c r="V5944" s="928"/>
      <c r="W5944" s="780"/>
      <c r="X5944" s="881">
        <v>5940</v>
      </c>
      <c r="Y5944" s="881" t="s">
        <v>2248</v>
      </c>
      <c r="Z5944" s="881" t="s">
        <v>3370</v>
      </c>
      <c r="AA5944" s="882">
        <f>$S$1*P!AA5944</f>
        <v>0</v>
      </c>
      <c r="AB5944" s="780"/>
      <c r="AC5944" s="780"/>
      <c r="AD5944" s="780"/>
      <c r="AE5944" s="780"/>
      <c r="AF5944" s="780"/>
    </row>
    <row r="5945" spans="19:32" x14ac:dyDescent="0.35">
      <c r="S5945" s="780"/>
      <c r="T5945" s="928"/>
      <c r="U5945" s="928"/>
      <c r="V5945" s="928"/>
      <c r="W5945" s="780"/>
      <c r="X5945" s="881">
        <v>5941</v>
      </c>
      <c r="Y5945" s="881" t="s">
        <v>2248</v>
      </c>
      <c r="Z5945" s="881" t="s">
        <v>3369</v>
      </c>
      <c r="AA5945" s="882">
        <f>$S$1*P!AA5945</f>
        <v>2.5944000000000002E-2</v>
      </c>
      <c r="AB5945" s="780"/>
      <c r="AC5945" s="780"/>
      <c r="AD5945" s="780"/>
      <c r="AE5945" s="780"/>
      <c r="AF5945" s="780"/>
    </row>
    <row r="5946" spans="19:32" x14ac:dyDescent="0.35">
      <c r="S5946" s="780"/>
      <c r="T5946" s="928"/>
      <c r="U5946" s="928"/>
      <c r="V5946" s="928"/>
      <c r="W5946" s="780"/>
      <c r="X5946" s="782">
        <v>5942</v>
      </c>
      <c r="Y5946" s="782" t="s">
        <v>2248</v>
      </c>
      <c r="Z5946" s="782" t="s">
        <v>2955</v>
      </c>
      <c r="AA5946" s="781">
        <f>$S$1*P!AA5946</f>
        <v>0.32834677419354841</v>
      </c>
      <c r="AB5946" s="780"/>
      <c r="AC5946" s="780"/>
      <c r="AD5946" s="780"/>
      <c r="AE5946" s="780"/>
      <c r="AF5946" s="780"/>
    </row>
    <row r="5947" spans="19:32" x14ac:dyDescent="0.35">
      <c r="S5947" s="780"/>
      <c r="T5947" s="928"/>
      <c r="U5947" s="928"/>
      <c r="V5947" s="928"/>
      <c r="W5947" s="780"/>
      <c r="X5947" s="881">
        <v>5943</v>
      </c>
      <c r="Y5947" s="881" t="s">
        <v>2248</v>
      </c>
      <c r="Z5947" s="881" t="s">
        <v>3368</v>
      </c>
      <c r="AA5947" s="882">
        <f>$S$1*P!AA5947</f>
        <v>0</v>
      </c>
      <c r="AB5947" s="780"/>
      <c r="AC5947" s="780"/>
      <c r="AD5947" s="780"/>
      <c r="AE5947" s="780"/>
      <c r="AF5947" s="780"/>
    </row>
    <row r="5948" spans="19:32" x14ac:dyDescent="0.35">
      <c r="S5948" s="780"/>
      <c r="T5948" s="928"/>
      <c r="U5948" s="928"/>
      <c r="V5948" s="928"/>
      <c r="W5948" s="780"/>
      <c r="X5948" s="782">
        <v>5944</v>
      </c>
      <c r="Y5948" s="782" t="s">
        <v>2248</v>
      </c>
      <c r="Z5948" s="782" t="s">
        <v>2953</v>
      </c>
      <c r="AA5948" s="781">
        <f>$S$1*P!AA5948</f>
        <v>0.10899193548387098</v>
      </c>
      <c r="AB5948" s="780"/>
      <c r="AC5948" s="780"/>
      <c r="AD5948" s="780"/>
      <c r="AE5948" s="780"/>
      <c r="AF5948" s="780"/>
    </row>
    <row r="5949" spans="19:32" x14ac:dyDescent="0.35">
      <c r="S5949" s="780"/>
      <c r="T5949" s="928"/>
      <c r="U5949" s="928"/>
      <c r="V5949" s="928"/>
      <c r="W5949" s="780"/>
      <c r="X5949" s="881">
        <v>5945</v>
      </c>
      <c r="Y5949" s="881" t="s">
        <v>2248</v>
      </c>
      <c r="Z5949" s="881" t="s">
        <v>3367</v>
      </c>
      <c r="AA5949" s="882">
        <f>$S$1*P!AA5949</f>
        <v>0.37168000000000001</v>
      </c>
      <c r="AB5949" s="780"/>
      <c r="AC5949" s="780"/>
      <c r="AD5949" s="780"/>
      <c r="AE5949" s="780"/>
      <c r="AF5949" s="780"/>
    </row>
    <row r="5950" spans="19:32" x14ac:dyDescent="0.35">
      <c r="S5950" s="780"/>
      <c r="T5950" s="928"/>
      <c r="U5950" s="928"/>
      <c r="V5950" s="928"/>
      <c r="W5950" s="780"/>
      <c r="X5950" s="881">
        <v>5946</v>
      </c>
      <c r="Y5950" s="881" t="s">
        <v>2248</v>
      </c>
      <c r="Z5950" s="881" t="s">
        <v>3366</v>
      </c>
      <c r="AA5950" s="882">
        <f>$S$1*P!AA5950</f>
        <v>0</v>
      </c>
      <c r="AB5950" s="780"/>
      <c r="AC5950" s="780"/>
      <c r="AD5950" s="780"/>
      <c r="AE5950" s="780"/>
      <c r="AF5950" s="780"/>
    </row>
    <row r="5951" spans="19:32" x14ac:dyDescent="0.35">
      <c r="S5951" s="780"/>
      <c r="T5951" s="928"/>
      <c r="U5951" s="928"/>
      <c r="V5951" s="928"/>
      <c r="W5951" s="780"/>
      <c r="X5951" s="782">
        <v>5947</v>
      </c>
      <c r="Y5951" s="782" t="s">
        <v>2248</v>
      </c>
      <c r="Z5951" s="782" t="s">
        <v>3365</v>
      </c>
      <c r="AA5951" s="781">
        <f>$S$1*P!AA5951</f>
        <v>1.7651209677419358E-2</v>
      </c>
      <c r="AB5951" s="780"/>
      <c r="AC5951" s="780"/>
      <c r="AD5951" s="780"/>
      <c r="AE5951" s="780"/>
      <c r="AF5951" s="780"/>
    </row>
    <row r="5952" spans="19:32" x14ac:dyDescent="0.35">
      <c r="S5952" s="780"/>
      <c r="T5952" s="928"/>
      <c r="U5952" s="928"/>
      <c r="V5952" s="928"/>
      <c r="W5952" s="780"/>
      <c r="X5952" s="881">
        <v>5948</v>
      </c>
      <c r="Y5952" s="881" t="s">
        <v>2248</v>
      </c>
      <c r="Z5952" s="881" t="s">
        <v>3364</v>
      </c>
      <c r="AA5952" s="882">
        <f>$S$1*P!AA5952</f>
        <v>0</v>
      </c>
      <c r="AB5952" s="780"/>
      <c r="AC5952" s="780"/>
      <c r="AD5952" s="780"/>
      <c r="AE5952" s="780"/>
      <c r="AF5952" s="780"/>
    </row>
    <row r="5953" spans="19:32" x14ac:dyDescent="0.35">
      <c r="S5953" s="780"/>
      <c r="T5953" s="928"/>
      <c r="U5953" s="928"/>
      <c r="V5953" s="928"/>
      <c r="W5953" s="780"/>
      <c r="X5953" s="881">
        <v>5949</v>
      </c>
      <c r="Y5953" s="881" t="s">
        <v>2248</v>
      </c>
      <c r="Z5953" s="881" t="s">
        <v>3363</v>
      </c>
      <c r="AA5953" s="882">
        <f>$S$1*P!AA5953</f>
        <v>1.5179999999999999E-18</v>
      </c>
      <c r="AB5953" s="780"/>
      <c r="AC5953" s="780"/>
      <c r="AD5953" s="780"/>
      <c r="AE5953" s="780"/>
      <c r="AF5953" s="780"/>
    </row>
    <row r="5954" spans="19:32" x14ac:dyDescent="0.35">
      <c r="S5954" s="780"/>
      <c r="T5954" s="928"/>
      <c r="U5954" s="928"/>
      <c r="V5954" s="928"/>
      <c r="W5954" s="780"/>
      <c r="X5954" s="782">
        <v>5950</v>
      </c>
      <c r="Y5954" s="782" t="s">
        <v>2248</v>
      </c>
      <c r="Z5954" s="782" t="s">
        <v>3362</v>
      </c>
      <c r="AA5954" s="781">
        <f>$S$1*P!AA5954</f>
        <v>1.9467741935483874E-6</v>
      </c>
      <c r="AB5954" s="780"/>
      <c r="AC5954" s="780"/>
      <c r="AD5954" s="780"/>
      <c r="AE5954" s="780"/>
      <c r="AF5954" s="780"/>
    </row>
    <row r="5955" spans="19:32" x14ac:dyDescent="0.35">
      <c r="S5955" s="780"/>
      <c r="T5955" s="928"/>
      <c r="U5955" s="928"/>
      <c r="V5955" s="928"/>
      <c r="W5955" s="780"/>
      <c r="X5955" s="881">
        <v>5951</v>
      </c>
      <c r="Y5955" s="881" t="s">
        <v>2248</v>
      </c>
      <c r="Z5955" s="881" t="s">
        <v>3361</v>
      </c>
      <c r="AA5955" s="882">
        <f>$S$1*P!AA5955</f>
        <v>0</v>
      </c>
      <c r="AB5955" s="780"/>
      <c r="AC5955" s="780"/>
      <c r="AD5955" s="780"/>
      <c r="AE5955" s="780"/>
      <c r="AF5955" s="780"/>
    </row>
    <row r="5956" spans="19:32" x14ac:dyDescent="0.35">
      <c r="S5956" s="780"/>
      <c r="T5956" s="928"/>
      <c r="U5956" s="928"/>
      <c r="V5956" s="928"/>
      <c r="W5956" s="780"/>
      <c r="X5956" s="881">
        <v>5952</v>
      </c>
      <c r="Y5956" s="881" t="s">
        <v>2248</v>
      </c>
      <c r="Z5956" s="881" t="s">
        <v>3360</v>
      </c>
      <c r="AA5956" s="882">
        <f>$S$1*P!AA5956</f>
        <v>1.0488000000000002</v>
      </c>
      <c r="AB5956" s="780"/>
      <c r="AC5956" s="780"/>
      <c r="AD5956" s="780"/>
      <c r="AE5956" s="780"/>
      <c r="AF5956" s="780"/>
    </row>
    <row r="5957" spans="19:32" x14ac:dyDescent="0.35">
      <c r="S5957" s="780"/>
      <c r="T5957" s="928"/>
      <c r="U5957" s="928"/>
      <c r="V5957" s="928"/>
      <c r="W5957" s="780"/>
      <c r="X5957" s="782">
        <v>5953</v>
      </c>
      <c r="Y5957" s="782" t="s">
        <v>2248</v>
      </c>
      <c r="Z5957" s="782" t="s">
        <v>2952</v>
      </c>
      <c r="AA5957" s="781">
        <f>$S$1*P!AA5957</f>
        <v>1.2715725806451613E-5</v>
      </c>
      <c r="AB5957" s="780"/>
      <c r="AC5957" s="780"/>
      <c r="AD5957" s="780"/>
      <c r="AE5957" s="780"/>
      <c r="AF5957" s="780"/>
    </row>
    <row r="5958" spans="19:32" x14ac:dyDescent="0.35">
      <c r="S5958" s="780"/>
      <c r="T5958" s="928"/>
      <c r="U5958" s="928"/>
      <c r="V5958" s="928"/>
      <c r="W5958" s="780"/>
      <c r="X5958" s="881">
        <v>5954</v>
      </c>
      <c r="Y5958" s="881" t="s">
        <v>2248</v>
      </c>
      <c r="Z5958" s="881" t="s">
        <v>3359</v>
      </c>
      <c r="AA5958" s="882">
        <f>$S$1*P!AA5958</f>
        <v>0</v>
      </c>
      <c r="AB5958" s="780"/>
      <c r="AC5958" s="780"/>
      <c r="AD5958" s="780"/>
      <c r="AE5958" s="780"/>
      <c r="AF5958" s="780"/>
    </row>
    <row r="5959" spans="19:32" x14ac:dyDescent="0.35">
      <c r="S5959" s="780"/>
      <c r="T5959" s="928"/>
      <c r="U5959" s="928"/>
      <c r="V5959" s="928"/>
      <c r="W5959" s="780"/>
      <c r="X5959" s="881">
        <v>5955</v>
      </c>
      <c r="Y5959" s="881" t="s">
        <v>2248</v>
      </c>
      <c r="Z5959" s="881" t="s">
        <v>3358</v>
      </c>
      <c r="AA5959" s="882">
        <f>$S$1*P!AA5959</f>
        <v>0</v>
      </c>
      <c r="AB5959" s="780"/>
      <c r="AC5959" s="780"/>
      <c r="AD5959" s="780"/>
      <c r="AE5959" s="780"/>
      <c r="AF5959" s="780"/>
    </row>
    <row r="5960" spans="19:32" x14ac:dyDescent="0.35">
      <c r="S5960" s="780"/>
      <c r="T5960" s="928"/>
      <c r="U5960" s="928"/>
      <c r="V5960" s="928"/>
      <c r="W5960" s="780"/>
      <c r="X5960" s="782">
        <v>5956</v>
      </c>
      <c r="Y5960" s="782" t="s">
        <v>2248</v>
      </c>
      <c r="Z5960" s="782" t="s">
        <v>2950</v>
      </c>
      <c r="AA5960" s="781">
        <f>$S$1*P!AA5960</f>
        <v>9.5967741935483887E-6</v>
      </c>
      <c r="AB5960" s="780"/>
      <c r="AC5960" s="780"/>
      <c r="AD5960" s="780"/>
      <c r="AE5960" s="780"/>
      <c r="AF5960" s="780"/>
    </row>
    <row r="5961" spans="19:32" x14ac:dyDescent="0.35">
      <c r="S5961" s="780"/>
      <c r="T5961" s="928"/>
      <c r="U5961" s="928"/>
      <c r="V5961" s="928"/>
      <c r="W5961" s="780"/>
      <c r="X5961" s="881">
        <v>5957</v>
      </c>
      <c r="Y5961" s="881" t="s">
        <v>2248</v>
      </c>
      <c r="Z5961" s="881" t="s">
        <v>3357</v>
      </c>
      <c r="AA5961" s="882">
        <f>$S$1*P!AA5961</f>
        <v>0</v>
      </c>
      <c r="AB5961" s="780"/>
      <c r="AC5961" s="780"/>
      <c r="AD5961" s="780"/>
      <c r="AE5961" s="780"/>
      <c r="AF5961" s="780"/>
    </row>
    <row r="5962" spans="19:32" x14ac:dyDescent="0.35">
      <c r="S5962" s="780"/>
      <c r="T5962" s="928"/>
      <c r="U5962" s="928"/>
      <c r="V5962" s="928"/>
      <c r="W5962" s="780"/>
      <c r="X5962" s="782">
        <v>5958</v>
      </c>
      <c r="Y5962" s="782" t="s">
        <v>2248</v>
      </c>
      <c r="Z5962" s="782" t="s">
        <v>3356</v>
      </c>
      <c r="AA5962" s="781">
        <f>$S$1*P!AA5962</f>
        <v>3.2046370967741937E-4</v>
      </c>
      <c r="AB5962" s="780"/>
      <c r="AC5962" s="780"/>
      <c r="AD5962" s="780"/>
      <c r="AE5962" s="780"/>
      <c r="AF5962" s="780"/>
    </row>
    <row r="5963" spans="19:32" x14ac:dyDescent="0.35">
      <c r="S5963" s="780"/>
      <c r="T5963" s="928"/>
      <c r="U5963" s="928"/>
      <c r="V5963" s="928"/>
      <c r="W5963" s="780"/>
      <c r="X5963" s="881">
        <v>5959</v>
      </c>
      <c r="Y5963" s="881" t="s">
        <v>2248</v>
      </c>
      <c r="Z5963" s="881" t="s">
        <v>3355</v>
      </c>
      <c r="AA5963" s="882">
        <f>$S$1*P!AA5963</f>
        <v>20.331999999999997</v>
      </c>
      <c r="AB5963" s="780"/>
      <c r="AC5963" s="780"/>
      <c r="AD5963" s="780"/>
      <c r="AE5963" s="780"/>
      <c r="AF5963" s="780"/>
    </row>
    <row r="5964" spans="19:32" x14ac:dyDescent="0.35">
      <c r="S5964" s="780"/>
      <c r="T5964" s="928"/>
      <c r="U5964" s="928"/>
      <c r="V5964" s="928"/>
      <c r="W5964" s="780"/>
      <c r="X5964" s="881">
        <v>5960</v>
      </c>
      <c r="Y5964" s="881" t="s">
        <v>2248</v>
      </c>
      <c r="Z5964" s="881" t="s">
        <v>3354</v>
      </c>
      <c r="AA5964" s="882">
        <f>$S$1*P!AA5964</f>
        <v>0.49127999999999999</v>
      </c>
      <c r="AB5964" s="780"/>
      <c r="AC5964" s="780"/>
      <c r="AD5964" s="780"/>
      <c r="AE5964" s="780"/>
      <c r="AF5964" s="780"/>
    </row>
    <row r="5965" spans="19:32" x14ac:dyDescent="0.35">
      <c r="S5965" s="780"/>
      <c r="T5965" s="928"/>
      <c r="U5965" s="928"/>
      <c r="V5965" s="928"/>
      <c r="W5965" s="780"/>
      <c r="X5965" s="782">
        <v>5961</v>
      </c>
      <c r="Y5965" s="782" t="s">
        <v>2248</v>
      </c>
      <c r="Z5965" s="782" t="s">
        <v>2947</v>
      </c>
      <c r="AA5965" s="781">
        <f>$S$1*P!AA5965</f>
        <v>3.6673387096774193E-7</v>
      </c>
      <c r="AB5965" s="780"/>
      <c r="AC5965" s="780"/>
      <c r="AD5965" s="780"/>
      <c r="AE5965" s="780"/>
      <c r="AF5965" s="780"/>
    </row>
    <row r="5966" spans="19:32" x14ac:dyDescent="0.35">
      <c r="S5966" s="780"/>
      <c r="T5966" s="928"/>
      <c r="U5966" s="928"/>
      <c r="V5966" s="928"/>
      <c r="W5966" s="780"/>
      <c r="X5966" s="881">
        <v>5962</v>
      </c>
      <c r="Y5966" s="881" t="s">
        <v>2248</v>
      </c>
      <c r="Z5966" s="881" t="s">
        <v>3353</v>
      </c>
      <c r="AA5966" s="882">
        <f>$S$1*P!AA5966</f>
        <v>3.1463999999999999</v>
      </c>
      <c r="AB5966" s="780"/>
      <c r="AC5966" s="780"/>
      <c r="AD5966" s="780"/>
      <c r="AE5966" s="780"/>
      <c r="AF5966" s="780"/>
    </row>
    <row r="5967" spans="19:32" x14ac:dyDescent="0.35">
      <c r="S5967" s="780"/>
      <c r="T5967" s="928"/>
      <c r="U5967" s="928"/>
      <c r="V5967" s="928"/>
      <c r="W5967" s="780"/>
      <c r="X5967" s="881">
        <v>5963</v>
      </c>
      <c r="Y5967" s="881" t="s">
        <v>2248</v>
      </c>
      <c r="Z5967" s="881" t="s">
        <v>3352</v>
      </c>
      <c r="AA5967" s="882">
        <f>$S$1*P!AA5967</f>
        <v>0</v>
      </c>
      <c r="AB5967" s="780"/>
      <c r="AC5967" s="780"/>
      <c r="AD5967" s="780"/>
      <c r="AE5967" s="780"/>
      <c r="AF5967" s="780"/>
    </row>
    <row r="5968" spans="19:32" x14ac:dyDescent="0.35">
      <c r="S5968" s="780"/>
      <c r="T5968" s="928"/>
      <c r="U5968" s="928"/>
      <c r="V5968" s="928"/>
      <c r="W5968" s="780"/>
      <c r="X5968" s="782">
        <v>5964</v>
      </c>
      <c r="Y5968" s="782" t="s">
        <v>2248</v>
      </c>
      <c r="Z5968" s="782" t="s">
        <v>3351</v>
      </c>
      <c r="AA5968" s="781">
        <f>$S$1*P!AA5968</f>
        <v>7.7116935483870975E-5</v>
      </c>
      <c r="AB5968" s="780"/>
      <c r="AC5968" s="780"/>
      <c r="AD5968" s="780"/>
      <c r="AE5968" s="780"/>
      <c r="AF5968" s="780"/>
    </row>
    <row r="5969" spans="19:32" x14ac:dyDescent="0.35">
      <c r="S5969" s="780"/>
      <c r="T5969" s="928"/>
      <c r="U5969" s="928"/>
      <c r="V5969" s="928"/>
      <c r="W5969" s="780"/>
      <c r="X5969" s="881">
        <v>5965</v>
      </c>
      <c r="Y5969" s="881" t="s">
        <v>2248</v>
      </c>
      <c r="Z5969" s="881" t="s">
        <v>3350</v>
      </c>
      <c r="AA5969" s="882">
        <f>$S$1*P!AA5969</f>
        <v>4443.6000000000004</v>
      </c>
      <c r="AB5969" s="780"/>
      <c r="AC5969" s="780"/>
      <c r="AD5969" s="780"/>
      <c r="AE5969" s="780"/>
      <c r="AF5969" s="780"/>
    </row>
    <row r="5970" spans="19:32" x14ac:dyDescent="0.35">
      <c r="S5970" s="780"/>
      <c r="T5970" s="928"/>
      <c r="U5970" s="928"/>
      <c r="V5970" s="928"/>
      <c r="W5970" s="780"/>
      <c r="X5970" s="881">
        <v>5966</v>
      </c>
      <c r="Y5970" s="881" t="s">
        <v>2248</v>
      </c>
      <c r="Z5970" s="881" t="s">
        <v>3349</v>
      </c>
      <c r="AA5970" s="882">
        <f>$S$1*P!AA5970</f>
        <v>0</v>
      </c>
      <c r="AB5970" s="780"/>
      <c r="AC5970" s="780"/>
      <c r="AD5970" s="780"/>
      <c r="AE5970" s="780"/>
      <c r="AF5970" s="780"/>
    </row>
    <row r="5971" spans="19:32" x14ac:dyDescent="0.35">
      <c r="S5971" s="780"/>
      <c r="T5971" s="928"/>
      <c r="U5971" s="928"/>
      <c r="V5971" s="928"/>
      <c r="W5971" s="780"/>
      <c r="X5971" s="782">
        <v>5967</v>
      </c>
      <c r="Y5971" s="782" t="s">
        <v>2248</v>
      </c>
      <c r="Z5971" s="782" t="s">
        <v>3348</v>
      </c>
      <c r="AA5971" s="781">
        <f>$S$1*P!AA5971</f>
        <v>3.3383064516129034E-5</v>
      </c>
      <c r="AB5971" s="780"/>
      <c r="AC5971" s="780"/>
      <c r="AD5971" s="780"/>
      <c r="AE5971" s="780"/>
      <c r="AF5971" s="780"/>
    </row>
    <row r="5972" spans="19:32" x14ac:dyDescent="0.35">
      <c r="S5972" s="780"/>
      <c r="T5972" s="928"/>
      <c r="U5972" s="928"/>
      <c r="V5972" s="928"/>
      <c r="W5972" s="780"/>
      <c r="X5972" s="881">
        <v>5968</v>
      </c>
      <c r="Y5972" s="881" t="s">
        <v>2248</v>
      </c>
      <c r="Z5972" s="881" t="s">
        <v>3347</v>
      </c>
      <c r="AA5972" s="882">
        <f>$S$1*P!AA5972</f>
        <v>0</v>
      </c>
      <c r="AB5972" s="780"/>
      <c r="AC5972" s="780"/>
      <c r="AD5972" s="780"/>
      <c r="AE5972" s="780"/>
      <c r="AF5972" s="780"/>
    </row>
    <row r="5973" spans="19:32" x14ac:dyDescent="0.35">
      <c r="S5973" s="780"/>
      <c r="T5973" s="928"/>
      <c r="U5973" s="928"/>
      <c r="V5973" s="928"/>
      <c r="W5973" s="780"/>
      <c r="X5973" s="782">
        <v>5969</v>
      </c>
      <c r="Y5973" s="782" t="s">
        <v>2248</v>
      </c>
      <c r="Z5973" s="782" t="s">
        <v>3346</v>
      </c>
      <c r="AA5973" s="781">
        <f>$S$1*P!AA5973</f>
        <v>1.3366935483870968E-4</v>
      </c>
      <c r="AB5973" s="780"/>
      <c r="AC5973" s="780"/>
      <c r="AD5973" s="780"/>
      <c r="AE5973" s="780"/>
      <c r="AF5973" s="780"/>
    </row>
    <row r="5974" spans="19:32" x14ac:dyDescent="0.35">
      <c r="S5974" s="780"/>
      <c r="T5974" s="928"/>
      <c r="U5974" s="928"/>
      <c r="V5974" s="928"/>
      <c r="W5974" s="780"/>
      <c r="X5974" s="881">
        <v>5970</v>
      </c>
      <c r="Y5974" s="881" t="s">
        <v>2248</v>
      </c>
      <c r="Z5974" s="881" t="s">
        <v>3345</v>
      </c>
      <c r="AA5974" s="882">
        <f>$S$1*P!AA5974</f>
        <v>4.3515999999999999E-2</v>
      </c>
      <c r="AB5974" s="780"/>
      <c r="AC5974" s="780"/>
      <c r="AD5974" s="780"/>
      <c r="AE5974" s="780"/>
      <c r="AF5974" s="780"/>
    </row>
    <row r="5975" spans="19:32" x14ac:dyDescent="0.35">
      <c r="S5975" s="780"/>
      <c r="T5975" s="928"/>
      <c r="U5975" s="928"/>
      <c r="V5975" s="928"/>
      <c r="W5975" s="780"/>
      <c r="X5975" s="881">
        <v>5971</v>
      </c>
      <c r="Y5975" s="881" t="s">
        <v>2248</v>
      </c>
      <c r="Z5975" s="881" t="s">
        <v>3344</v>
      </c>
      <c r="AA5975" s="882">
        <f>$S$1*P!AA5975</f>
        <v>402.96000000000004</v>
      </c>
      <c r="AB5975" s="780"/>
      <c r="AC5975" s="780"/>
      <c r="AD5975" s="780"/>
      <c r="AE5975" s="780"/>
      <c r="AF5975" s="780"/>
    </row>
    <row r="5976" spans="19:32" x14ac:dyDescent="0.35">
      <c r="S5976" s="780"/>
      <c r="T5976" s="928"/>
      <c r="U5976" s="928"/>
      <c r="V5976" s="928"/>
      <c r="W5976" s="780"/>
      <c r="X5976" s="782">
        <v>5972</v>
      </c>
      <c r="Y5976" s="782" t="s">
        <v>2248</v>
      </c>
      <c r="Z5976" s="782" t="s">
        <v>3343</v>
      </c>
      <c r="AA5976" s="781">
        <f>$S$1*P!AA5976</f>
        <v>1.0899193548387098E-4</v>
      </c>
      <c r="AB5976" s="780"/>
      <c r="AC5976" s="780"/>
      <c r="AD5976" s="780"/>
      <c r="AE5976" s="780"/>
      <c r="AF5976" s="780"/>
    </row>
    <row r="5977" spans="19:32" x14ac:dyDescent="0.35">
      <c r="S5977" s="780"/>
      <c r="T5977" s="928"/>
      <c r="U5977" s="928"/>
      <c r="V5977" s="928"/>
      <c r="W5977" s="780"/>
      <c r="X5977" s="881">
        <v>5973</v>
      </c>
      <c r="Y5977" s="881" t="s">
        <v>2248</v>
      </c>
      <c r="Z5977" s="881" t="s">
        <v>3342</v>
      </c>
      <c r="AA5977" s="882">
        <f>$S$1*P!AA5977</f>
        <v>7.0196000000000008E-2</v>
      </c>
      <c r="AB5977" s="780"/>
      <c r="AC5977" s="780"/>
      <c r="AD5977" s="780"/>
      <c r="AE5977" s="780"/>
      <c r="AF5977" s="780"/>
    </row>
    <row r="5978" spans="19:32" x14ac:dyDescent="0.35">
      <c r="S5978" s="780"/>
      <c r="T5978" s="928"/>
      <c r="U5978" s="928"/>
      <c r="V5978" s="928"/>
      <c r="W5978" s="780"/>
      <c r="X5978" s="881">
        <v>5974</v>
      </c>
      <c r="Y5978" s="881" t="s">
        <v>2248</v>
      </c>
      <c r="Z5978" s="881" t="s">
        <v>3341</v>
      </c>
      <c r="AA5978" s="882">
        <f>$S$1*P!AA5978</f>
        <v>1.9412</v>
      </c>
      <c r="AB5978" s="780"/>
      <c r="AC5978" s="780"/>
      <c r="AD5978" s="780"/>
      <c r="AE5978" s="780"/>
      <c r="AF5978" s="780"/>
    </row>
    <row r="5979" spans="19:32" x14ac:dyDescent="0.35">
      <c r="S5979" s="780"/>
      <c r="T5979" s="928"/>
      <c r="U5979" s="928"/>
      <c r="V5979" s="928"/>
      <c r="W5979" s="780"/>
      <c r="X5979" s="782">
        <v>5975</v>
      </c>
      <c r="Y5979" s="782" t="s">
        <v>2248</v>
      </c>
      <c r="Z5979" s="782" t="s">
        <v>2945</v>
      </c>
      <c r="AA5979" s="781">
        <f>$S$1*P!AA5979</f>
        <v>1.771975806451613E-4</v>
      </c>
      <c r="AB5979" s="780"/>
      <c r="AC5979" s="780"/>
      <c r="AD5979" s="780"/>
      <c r="AE5979" s="780"/>
      <c r="AF5979" s="780"/>
    </row>
    <row r="5980" spans="19:32" x14ac:dyDescent="0.35">
      <c r="S5980" s="780"/>
      <c r="T5980" s="928"/>
      <c r="U5980" s="928"/>
      <c r="V5980" s="928"/>
      <c r="W5980" s="780"/>
      <c r="X5980" s="881">
        <v>5976</v>
      </c>
      <c r="Y5980" s="881" t="s">
        <v>2248</v>
      </c>
      <c r="Z5980" s="881" t="s">
        <v>3340</v>
      </c>
      <c r="AA5980" s="882">
        <f>$S$1*P!AA5980</f>
        <v>7.9671999999999993E-2</v>
      </c>
      <c r="AB5980" s="780"/>
      <c r="AC5980" s="780"/>
      <c r="AD5980" s="780"/>
      <c r="AE5980" s="780"/>
      <c r="AF5980" s="780"/>
    </row>
    <row r="5981" spans="19:32" x14ac:dyDescent="0.35">
      <c r="S5981" s="780"/>
      <c r="T5981" s="928"/>
      <c r="U5981" s="928"/>
      <c r="V5981" s="928"/>
      <c r="W5981" s="780"/>
      <c r="X5981" s="881">
        <v>5977</v>
      </c>
      <c r="Y5981" s="881" t="s">
        <v>2248</v>
      </c>
      <c r="Z5981" s="881" t="s">
        <v>3339</v>
      </c>
      <c r="AA5981" s="882">
        <f>$S$1*P!AA5981</f>
        <v>0</v>
      </c>
      <c r="AB5981" s="780"/>
      <c r="AC5981" s="780"/>
      <c r="AD5981" s="780"/>
      <c r="AE5981" s="780"/>
      <c r="AF5981" s="780"/>
    </row>
    <row r="5982" spans="19:32" x14ac:dyDescent="0.35">
      <c r="S5982" s="780"/>
      <c r="T5982" s="928"/>
      <c r="U5982" s="928"/>
      <c r="V5982" s="928"/>
      <c r="W5982" s="780"/>
      <c r="X5982" s="782">
        <v>5978</v>
      </c>
      <c r="Y5982" s="782" t="s">
        <v>2248</v>
      </c>
      <c r="Z5982" s="782" t="s">
        <v>3338</v>
      </c>
      <c r="AA5982" s="781">
        <f>$S$1*P!AA5982</f>
        <v>0.89798387096774201</v>
      </c>
      <c r="AB5982" s="780"/>
      <c r="AC5982" s="780"/>
      <c r="AD5982" s="780"/>
      <c r="AE5982" s="780"/>
      <c r="AF5982" s="780"/>
    </row>
    <row r="5983" spans="19:32" x14ac:dyDescent="0.35">
      <c r="S5983" s="780"/>
      <c r="T5983" s="928"/>
      <c r="U5983" s="928"/>
      <c r="V5983" s="928"/>
      <c r="W5983" s="780"/>
      <c r="X5983" s="881">
        <v>5979</v>
      </c>
      <c r="Y5983" s="881" t="s">
        <v>2248</v>
      </c>
      <c r="Z5983" s="881" t="s">
        <v>3337</v>
      </c>
      <c r="AA5983" s="882">
        <f>$S$1*P!AA5983</f>
        <v>0.25575999999999999</v>
      </c>
      <c r="AB5983" s="780"/>
      <c r="AC5983" s="780"/>
      <c r="AD5983" s="780"/>
      <c r="AE5983" s="780"/>
      <c r="AF5983" s="780"/>
    </row>
    <row r="5984" spans="19:32" x14ac:dyDescent="0.35">
      <c r="S5984" s="780"/>
      <c r="T5984" s="928"/>
      <c r="U5984" s="928"/>
      <c r="V5984" s="928"/>
      <c r="W5984" s="780"/>
      <c r="X5984" s="881">
        <v>5980</v>
      </c>
      <c r="Y5984" s="881" t="s">
        <v>2248</v>
      </c>
      <c r="Z5984" s="881" t="s">
        <v>3336</v>
      </c>
      <c r="AA5984" s="882">
        <f>$S$1*P!AA5984</f>
        <v>0</v>
      </c>
      <c r="AB5984" s="780"/>
      <c r="AC5984" s="780"/>
      <c r="AD5984" s="780"/>
      <c r="AE5984" s="780"/>
      <c r="AF5984" s="780"/>
    </row>
    <row r="5985" spans="19:32" x14ac:dyDescent="0.35">
      <c r="S5985" s="780"/>
      <c r="T5985" s="928"/>
      <c r="U5985" s="928"/>
      <c r="V5985" s="928"/>
      <c r="W5985" s="780"/>
      <c r="X5985" s="782">
        <v>5981</v>
      </c>
      <c r="Y5985" s="782" t="s">
        <v>2248</v>
      </c>
      <c r="Z5985" s="782" t="s">
        <v>3335</v>
      </c>
      <c r="AA5985" s="781">
        <f>$S$1*P!AA5985</f>
        <v>1.0899193548387098E-6</v>
      </c>
      <c r="AB5985" s="780"/>
      <c r="AC5985" s="780"/>
      <c r="AD5985" s="780"/>
      <c r="AE5985" s="780"/>
      <c r="AF5985" s="780"/>
    </row>
    <row r="5986" spans="19:32" x14ac:dyDescent="0.35">
      <c r="S5986" s="780"/>
      <c r="T5986" s="928"/>
      <c r="U5986" s="928"/>
      <c r="V5986" s="928"/>
      <c r="W5986" s="780"/>
      <c r="X5986" s="881">
        <v>5982</v>
      </c>
      <c r="Y5986" s="881" t="s">
        <v>2248</v>
      </c>
      <c r="Z5986" s="881" t="s">
        <v>3334</v>
      </c>
      <c r="AA5986" s="882">
        <f>$S$1*P!AA5986</f>
        <v>8.7767999999999999E-2</v>
      </c>
      <c r="AB5986" s="780"/>
      <c r="AC5986" s="780"/>
      <c r="AD5986" s="780"/>
      <c r="AE5986" s="780"/>
      <c r="AF5986" s="780"/>
    </row>
    <row r="5987" spans="19:32" x14ac:dyDescent="0.35">
      <c r="S5987" s="780"/>
      <c r="T5987" s="928"/>
      <c r="U5987" s="928"/>
      <c r="V5987" s="928"/>
      <c r="W5987" s="780"/>
      <c r="X5987" s="782">
        <v>5983</v>
      </c>
      <c r="Y5987" s="782" t="s">
        <v>2248</v>
      </c>
      <c r="Z5987" s="782" t="s">
        <v>3333</v>
      </c>
      <c r="AA5987" s="781">
        <f>$S$1*P!AA5987</f>
        <v>3.2354838709677418E-4</v>
      </c>
      <c r="AB5987" s="780"/>
      <c r="AC5987" s="780"/>
      <c r="AD5987" s="780"/>
      <c r="AE5987" s="780"/>
      <c r="AF5987" s="780"/>
    </row>
    <row r="5988" spans="19:32" x14ac:dyDescent="0.35">
      <c r="S5988" s="780"/>
      <c r="T5988" s="928"/>
      <c r="U5988" s="928"/>
      <c r="V5988" s="928"/>
      <c r="W5988" s="780"/>
      <c r="X5988" s="881">
        <v>5984</v>
      </c>
      <c r="Y5988" s="881" t="s">
        <v>2248</v>
      </c>
      <c r="Z5988" s="881" t="s">
        <v>3332</v>
      </c>
      <c r="AA5988" s="882">
        <f>$S$1*P!AA5988</f>
        <v>0</v>
      </c>
      <c r="AB5988" s="780"/>
      <c r="AC5988" s="780"/>
      <c r="AD5988" s="780"/>
      <c r="AE5988" s="780"/>
      <c r="AF5988" s="780"/>
    </row>
    <row r="5989" spans="19:32" x14ac:dyDescent="0.35">
      <c r="S5989" s="780"/>
      <c r="T5989" s="928"/>
      <c r="U5989" s="928"/>
      <c r="V5989" s="928"/>
      <c r="W5989" s="780"/>
      <c r="X5989" s="881">
        <v>5985</v>
      </c>
      <c r="Y5989" s="881" t="s">
        <v>2248</v>
      </c>
      <c r="Z5989" s="881" t="s">
        <v>3331</v>
      </c>
      <c r="AA5989" s="882">
        <f>$S$1*P!AA5989</f>
        <v>0</v>
      </c>
      <c r="AB5989" s="780"/>
      <c r="AC5989" s="780"/>
      <c r="AD5989" s="780"/>
      <c r="AE5989" s="780"/>
      <c r="AF5989" s="780"/>
    </row>
    <row r="5990" spans="19:32" x14ac:dyDescent="0.35">
      <c r="S5990" s="780"/>
      <c r="T5990" s="928"/>
      <c r="U5990" s="928"/>
      <c r="V5990" s="928"/>
      <c r="W5990" s="780"/>
      <c r="X5990" s="782">
        <v>5986</v>
      </c>
      <c r="Y5990" s="782" t="s">
        <v>2248</v>
      </c>
      <c r="Z5990" s="782" t="s">
        <v>3330</v>
      </c>
      <c r="AA5990" s="781">
        <f>$S$1*P!AA5990</f>
        <v>6.5120967741935483E-5</v>
      </c>
      <c r="AB5990" s="780"/>
      <c r="AC5990" s="780"/>
      <c r="AD5990" s="780"/>
      <c r="AE5990" s="780"/>
      <c r="AF5990" s="780"/>
    </row>
    <row r="5991" spans="19:32" x14ac:dyDescent="0.35">
      <c r="S5991" s="780"/>
      <c r="T5991" s="928"/>
      <c r="U5991" s="928"/>
      <c r="V5991" s="928"/>
      <c r="W5991" s="780"/>
      <c r="X5991" s="881">
        <v>5987</v>
      </c>
      <c r="Y5991" s="881" t="s">
        <v>2248</v>
      </c>
      <c r="Z5991" s="881" t="s">
        <v>3329</v>
      </c>
      <c r="AA5991" s="882">
        <f>$S$1*P!AA5991</f>
        <v>2.0884</v>
      </c>
      <c r="AB5991" s="780"/>
      <c r="AC5991" s="780"/>
      <c r="AD5991" s="780"/>
      <c r="AE5991" s="780"/>
      <c r="AF5991" s="780"/>
    </row>
    <row r="5992" spans="19:32" x14ac:dyDescent="0.35">
      <c r="S5992" s="780"/>
      <c r="T5992" s="928"/>
      <c r="U5992" s="928"/>
      <c r="V5992" s="928"/>
      <c r="W5992" s="780"/>
      <c r="X5992" s="881">
        <v>5988</v>
      </c>
      <c r="Y5992" s="881" t="s">
        <v>2248</v>
      </c>
      <c r="Z5992" s="881" t="s">
        <v>3328</v>
      </c>
      <c r="AA5992" s="882">
        <f>$S$1*P!AA5992</f>
        <v>0</v>
      </c>
      <c r="AB5992" s="780"/>
      <c r="AC5992" s="780"/>
      <c r="AD5992" s="780"/>
      <c r="AE5992" s="780"/>
      <c r="AF5992" s="780"/>
    </row>
    <row r="5993" spans="19:32" x14ac:dyDescent="0.35">
      <c r="S5993" s="780"/>
      <c r="T5993" s="928"/>
      <c r="U5993" s="928"/>
      <c r="V5993" s="928"/>
      <c r="W5993" s="780"/>
      <c r="X5993" s="782">
        <v>5989</v>
      </c>
      <c r="Y5993" s="782" t="s">
        <v>2248</v>
      </c>
      <c r="Z5993" s="782" t="s">
        <v>3327</v>
      </c>
      <c r="AA5993" s="781">
        <f>$S$1*P!AA5993</f>
        <v>1.4600806451612904E-5</v>
      </c>
      <c r="AB5993" s="780"/>
      <c r="AC5993" s="780"/>
      <c r="AD5993" s="780"/>
      <c r="AE5993" s="780"/>
      <c r="AF5993" s="780"/>
    </row>
    <row r="5994" spans="19:32" x14ac:dyDescent="0.35">
      <c r="S5994" s="780"/>
      <c r="T5994" s="928"/>
      <c r="U5994" s="928"/>
      <c r="V5994" s="928"/>
      <c r="W5994" s="780"/>
      <c r="X5994" s="881">
        <v>5990</v>
      </c>
      <c r="Y5994" s="881" t="s">
        <v>2248</v>
      </c>
      <c r="Z5994" s="881" t="s">
        <v>3326</v>
      </c>
      <c r="AA5994" s="882">
        <f>$S$1*P!AA5994</f>
        <v>0</v>
      </c>
      <c r="AB5994" s="780"/>
      <c r="AC5994" s="780"/>
      <c r="AD5994" s="780"/>
      <c r="AE5994" s="780"/>
      <c r="AF5994" s="780"/>
    </row>
    <row r="5995" spans="19:32" x14ac:dyDescent="0.35">
      <c r="S5995" s="780"/>
      <c r="T5995" s="928"/>
      <c r="U5995" s="928"/>
      <c r="V5995" s="928"/>
      <c r="W5995" s="780"/>
      <c r="X5995" s="881">
        <v>5991</v>
      </c>
      <c r="Y5995" s="881" t="s">
        <v>2248</v>
      </c>
      <c r="Z5995" s="881" t="s">
        <v>3325</v>
      </c>
      <c r="AA5995" s="882">
        <f>$S$1*P!AA5995</f>
        <v>5.7315999999999999E-2</v>
      </c>
      <c r="AB5995" s="780"/>
      <c r="AC5995" s="780"/>
      <c r="AD5995" s="780"/>
      <c r="AE5995" s="780"/>
      <c r="AF5995" s="780"/>
    </row>
    <row r="5996" spans="19:32" x14ac:dyDescent="0.35">
      <c r="S5996" s="780"/>
      <c r="T5996" s="928"/>
      <c r="U5996" s="928"/>
      <c r="V5996" s="928"/>
      <c r="W5996" s="780"/>
      <c r="X5996" s="782">
        <v>5992</v>
      </c>
      <c r="Y5996" s="782" t="s">
        <v>2248</v>
      </c>
      <c r="Z5996" s="782" t="s">
        <v>2944</v>
      </c>
      <c r="AA5996" s="781">
        <f>$S$1*P!AA5996</f>
        <v>7.3004032258064525E-2</v>
      </c>
      <c r="AB5996" s="780"/>
      <c r="AC5996" s="780"/>
      <c r="AD5996" s="780"/>
      <c r="AE5996" s="780"/>
      <c r="AF5996" s="780"/>
    </row>
    <row r="5997" spans="19:32" x14ac:dyDescent="0.35">
      <c r="S5997" s="780"/>
      <c r="T5997" s="928"/>
      <c r="U5997" s="928"/>
      <c r="V5997" s="928"/>
      <c r="W5997" s="780"/>
      <c r="X5997" s="881">
        <v>5993</v>
      </c>
      <c r="Y5997" s="881" t="s">
        <v>2248</v>
      </c>
      <c r="Z5997" s="881" t="s">
        <v>3324</v>
      </c>
      <c r="AA5997" s="882">
        <f>$S$1*P!AA5997</f>
        <v>57.775999999999996</v>
      </c>
      <c r="AB5997" s="780"/>
      <c r="AC5997" s="780"/>
      <c r="AD5997" s="780"/>
      <c r="AE5997" s="780"/>
      <c r="AF5997" s="780"/>
    </row>
    <row r="5998" spans="19:32" x14ac:dyDescent="0.35">
      <c r="S5998" s="780"/>
      <c r="T5998" s="928"/>
      <c r="U5998" s="928"/>
      <c r="V5998" s="928"/>
      <c r="W5998" s="780"/>
      <c r="X5998" s="782">
        <v>5994</v>
      </c>
      <c r="Y5998" s="782" t="s">
        <v>2248</v>
      </c>
      <c r="Z5998" s="782" t="s">
        <v>2942</v>
      </c>
      <c r="AA5998" s="781">
        <f>$S$1*P!AA5998</f>
        <v>1.559475806451613E-3</v>
      </c>
      <c r="AB5998" s="780"/>
      <c r="AC5998" s="780"/>
      <c r="AD5998" s="780"/>
      <c r="AE5998" s="780"/>
      <c r="AF5998" s="780"/>
    </row>
    <row r="5999" spans="19:32" x14ac:dyDescent="0.35">
      <c r="S5999" s="780"/>
      <c r="T5999" s="928"/>
      <c r="U5999" s="928"/>
      <c r="V5999" s="928"/>
      <c r="W5999" s="780"/>
      <c r="X5999" s="881">
        <v>5995</v>
      </c>
      <c r="Y5999" s="881" t="s">
        <v>2248</v>
      </c>
      <c r="Z5999" s="881" t="s">
        <v>3323</v>
      </c>
      <c r="AA5999" s="882">
        <f>$S$1*P!AA5999</f>
        <v>5.5843999999999998E-3</v>
      </c>
      <c r="AB5999" s="780"/>
      <c r="AC5999" s="780"/>
      <c r="AD5999" s="780"/>
      <c r="AE5999" s="780"/>
      <c r="AF5999" s="780"/>
    </row>
    <row r="6000" spans="19:32" x14ac:dyDescent="0.35">
      <c r="S6000" s="780"/>
      <c r="T6000" s="928"/>
      <c r="U6000" s="928"/>
      <c r="V6000" s="928"/>
      <c r="W6000" s="780"/>
      <c r="X6000" s="881">
        <v>5996</v>
      </c>
      <c r="Y6000" s="881" t="s">
        <v>2248</v>
      </c>
      <c r="Z6000" s="881" t="s">
        <v>3322</v>
      </c>
      <c r="AA6000" s="882">
        <f>$S$1*P!AA6000</f>
        <v>0.28151999999999999</v>
      </c>
      <c r="AB6000" s="780"/>
      <c r="AC6000" s="780"/>
      <c r="AD6000" s="780"/>
      <c r="AE6000" s="780"/>
      <c r="AF6000" s="780"/>
    </row>
    <row r="6001" spans="19:32" x14ac:dyDescent="0.35">
      <c r="S6001" s="780"/>
      <c r="T6001" s="928"/>
      <c r="U6001" s="928"/>
      <c r="V6001" s="928"/>
      <c r="W6001" s="780"/>
      <c r="X6001" s="782">
        <v>5997</v>
      </c>
      <c r="Y6001" s="782" t="s">
        <v>2248</v>
      </c>
      <c r="Z6001" s="782" t="s">
        <v>2937</v>
      </c>
      <c r="AA6001" s="781">
        <f>$S$1*P!AA6001</f>
        <v>3.4274193548387098E-3</v>
      </c>
      <c r="AB6001" s="780"/>
      <c r="AC6001" s="780"/>
      <c r="AD6001" s="780"/>
      <c r="AE6001" s="780"/>
      <c r="AF6001" s="780"/>
    </row>
    <row r="6002" spans="19:32" x14ac:dyDescent="0.35">
      <c r="S6002" s="780"/>
      <c r="T6002" s="928"/>
      <c r="U6002" s="928"/>
      <c r="V6002" s="928"/>
      <c r="W6002" s="780"/>
      <c r="X6002" s="881">
        <v>5998</v>
      </c>
      <c r="Y6002" s="881" t="s">
        <v>2248</v>
      </c>
      <c r="Z6002" s="881" t="s">
        <v>3321</v>
      </c>
      <c r="AA6002" s="882">
        <f>$S$1*P!AA6002</f>
        <v>0.31647999999999998</v>
      </c>
      <c r="AB6002" s="780"/>
      <c r="AC6002" s="780"/>
      <c r="AD6002" s="780"/>
      <c r="AE6002" s="780"/>
      <c r="AF6002" s="780"/>
    </row>
    <row r="6003" spans="19:32" x14ac:dyDescent="0.35">
      <c r="S6003" s="780"/>
      <c r="T6003" s="928"/>
      <c r="U6003" s="928"/>
      <c r="V6003" s="928"/>
      <c r="W6003" s="780"/>
      <c r="X6003" s="881">
        <v>5999</v>
      </c>
      <c r="Y6003" s="881" t="s">
        <v>2248</v>
      </c>
      <c r="Z6003" s="881" t="s">
        <v>3320</v>
      </c>
      <c r="AA6003" s="882">
        <f>$S$1*P!AA6003</f>
        <v>0</v>
      </c>
      <c r="AB6003" s="780"/>
      <c r="AC6003" s="780"/>
      <c r="AD6003" s="780"/>
      <c r="AE6003" s="780"/>
      <c r="AF6003" s="780"/>
    </row>
    <row r="6004" spans="19:32" x14ac:dyDescent="0.35">
      <c r="S6004" s="780"/>
      <c r="T6004" s="928"/>
      <c r="U6004" s="928"/>
      <c r="V6004" s="928"/>
      <c r="W6004" s="780"/>
      <c r="X6004" s="782">
        <v>6000</v>
      </c>
      <c r="Y6004" s="782" t="s">
        <v>2248</v>
      </c>
      <c r="Z6004" s="782" t="s">
        <v>2931</v>
      </c>
      <c r="AA6004" s="781">
        <f>$S$1*P!AA6004</f>
        <v>8.5000000000000006E-4</v>
      </c>
      <c r="AB6004" s="780"/>
      <c r="AC6004" s="780"/>
      <c r="AD6004" s="780"/>
      <c r="AE6004" s="780"/>
      <c r="AF6004" s="780"/>
    </row>
    <row r="6005" spans="19:32" x14ac:dyDescent="0.35">
      <c r="S6005" s="780"/>
      <c r="T6005" s="928"/>
      <c r="U6005" s="928"/>
      <c r="V6005" s="928"/>
      <c r="W6005" s="780"/>
      <c r="X6005" s="881">
        <v>6001</v>
      </c>
      <c r="Y6005" s="881" t="s">
        <v>2248</v>
      </c>
      <c r="Z6005" s="881" t="s">
        <v>3319</v>
      </c>
      <c r="AA6005" s="882">
        <f>$S$1*P!AA6005</f>
        <v>2.5023999999999997</v>
      </c>
      <c r="AB6005" s="780"/>
      <c r="AC6005" s="780"/>
      <c r="AD6005" s="780"/>
      <c r="AE6005" s="780"/>
      <c r="AF6005" s="780"/>
    </row>
    <row r="6006" spans="19:32" x14ac:dyDescent="0.35">
      <c r="S6006" s="780"/>
      <c r="T6006" s="928"/>
      <c r="U6006" s="928"/>
      <c r="V6006" s="928"/>
      <c r="W6006" s="780"/>
      <c r="X6006" s="881">
        <v>6002</v>
      </c>
      <c r="Y6006" s="881" t="s">
        <v>2248</v>
      </c>
      <c r="Z6006" s="881" t="s">
        <v>3318</v>
      </c>
      <c r="AA6006" s="882">
        <f>$S$1*P!AA6006</f>
        <v>0</v>
      </c>
      <c r="AB6006" s="780"/>
      <c r="AC6006" s="780"/>
      <c r="AD6006" s="780"/>
      <c r="AE6006" s="780"/>
      <c r="AF6006" s="780"/>
    </row>
    <row r="6007" spans="19:32" x14ac:dyDescent="0.35">
      <c r="S6007" s="780"/>
      <c r="T6007" s="928"/>
      <c r="U6007" s="928"/>
      <c r="V6007" s="928"/>
      <c r="W6007" s="780"/>
      <c r="X6007" s="782">
        <v>6003</v>
      </c>
      <c r="Y6007" s="782" t="s">
        <v>2248</v>
      </c>
      <c r="Z6007" s="782" t="s">
        <v>2928</v>
      </c>
      <c r="AA6007" s="781">
        <f>$S$1*P!AA6007</f>
        <v>5.4838709677419361E-3</v>
      </c>
      <c r="AB6007" s="780"/>
      <c r="AC6007" s="780"/>
      <c r="AD6007" s="780"/>
      <c r="AE6007" s="780"/>
      <c r="AF6007" s="780"/>
    </row>
    <row r="6008" spans="19:32" x14ac:dyDescent="0.35">
      <c r="S6008" s="780"/>
      <c r="T6008" s="928"/>
      <c r="U6008" s="928"/>
      <c r="V6008" s="928"/>
      <c r="W6008" s="780"/>
      <c r="X6008" s="881">
        <v>6004</v>
      </c>
      <c r="Y6008" s="881" t="s">
        <v>2248</v>
      </c>
      <c r="Z6008" s="881" t="s">
        <v>3317</v>
      </c>
      <c r="AA6008" s="882">
        <f>$S$1*P!AA6008</f>
        <v>4416</v>
      </c>
      <c r="AB6008" s="780"/>
      <c r="AC6008" s="780"/>
      <c r="AD6008" s="780"/>
      <c r="AE6008" s="780"/>
      <c r="AF6008" s="780"/>
    </row>
    <row r="6009" spans="19:32" x14ac:dyDescent="0.35">
      <c r="S6009" s="780"/>
      <c r="T6009" s="928"/>
      <c r="U6009" s="928"/>
      <c r="V6009" s="928"/>
      <c r="W6009" s="780"/>
      <c r="X6009" s="881">
        <v>6005</v>
      </c>
      <c r="Y6009" s="881" t="s">
        <v>2248</v>
      </c>
      <c r="Z6009" s="881" t="s">
        <v>3316</v>
      </c>
      <c r="AA6009" s="882">
        <f>$S$1*P!AA6009</f>
        <v>5.6303999999999998</v>
      </c>
      <c r="AB6009" s="780"/>
      <c r="AC6009" s="780"/>
      <c r="AD6009" s="780"/>
      <c r="AE6009" s="780"/>
      <c r="AF6009" s="780"/>
    </row>
    <row r="6010" spans="19:32" x14ac:dyDescent="0.35">
      <c r="S6010" s="780"/>
      <c r="T6010" s="928"/>
      <c r="U6010" s="928"/>
      <c r="V6010" s="928"/>
      <c r="W6010" s="780"/>
      <c r="X6010" s="782">
        <v>6006</v>
      </c>
      <c r="Y6010" s="782" t="s">
        <v>2248</v>
      </c>
      <c r="Z6010" s="782" t="s">
        <v>2912</v>
      </c>
      <c r="AA6010" s="781">
        <f>$S$1*P!AA6010</f>
        <v>0.20701612903225808</v>
      </c>
      <c r="AB6010" s="780"/>
      <c r="AC6010" s="780"/>
      <c r="AD6010" s="780"/>
      <c r="AE6010" s="780"/>
      <c r="AF6010" s="780"/>
    </row>
    <row r="6011" spans="19:32" x14ac:dyDescent="0.35">
      <c r="S6011" s="780"/>
      <c r="T6011" s="928"/>
      <c r="U6011" s="928"/>
      <c r="V6011" s="928"/>
      <c r="W6011" s="780"/>
      <c r="X6011" s="881">
        <v>6007</v>
      </c>
      <c r="Y6011" s="881" t="s">
        <v>2248</v>
      </c>
      <c r="Z6011" s="881" t="s">
        <v>3315</v>
      </c>
      <c r="AA6011" s="882">
        <f>$S$1*P!AA6011</f>
        <v>88.872</v>
      </c>
      <c r="AB6011" s="780"/>
      <c r="AC6011" s="780"/>
      <c r="AD6011" s="780"/>
      <c r="AE6011" s="780"/>
      <c r="AF6011" s="780"/>
    </row>
    <row r="6012" spans="19:32" x14ac:dyDescent="0.35">
      <c r="S6012" s="780"/>
      <c r="T6012" s="928"/>
      <c r="U6012" s="928"/>
      <c r="V6012" s="928"/>
      <c r="W6012" s="780"/>
      <c r="X6012" s="782">
        <v>6008</v>
      </c>
      <c r="Y6012" s="782" t="s">
        <v>2248</v>
      </c>
      <c r="Z6012" s="782" t="s">
        <v>3314</v>
      </c>
      <c r="AA6012" s="781">
        <f>$S$1*P!AA6012</f>
        <v>5.5524193548387097E-4</v>
      </c>
      <c r="AB6012" s="780"/>
      <c r="AC6012" s="780"/>
      <c r="AD6012" s="780"/>
      <c r="AE6012" s="780"/>
      <c r="AF6012" s="780"/>
    </row>
    <row r="6013" spans="19:32" x14ac:dyDescent="0.35">
      <c r="S6013" s="780"/>
      <c r="T6013" s="928"/>
      <c r="U6013" s="928"/>
      <c r="V6013" s="928"/>
      <c r="W6013" s="780"/>
      <c r="X6013" s="881">
        <v>6009</v>
      </c>
      <c r="Y6013" s="881" t="s">
        <v>2248</v>
      </c>
      <c r="Z6013" s="881" t="s">
        <v>3313</v>
      </c>
      <c r="AA6013" s="882">
        <f>$S$1*P!AA6013</f>
        <v>68.356000000000009</v>
      </c>
      <c r="AB6013" s="780"/>
      <c r="AC6013" s="780"/>
      <c r="AD6013" s="780"/>
      <c r="AE6013" s="780"/>
      <c r="AF6013" s="780"/>
    </row>
    <row r="6014" spans="19:32" x14ac:dyDescent="0.35">
      <c r="S6014" s="780"/>
      <c r="T6014" s="928"/>
      <c r="U6014" s="928"/>
      <c r="V6014" s="928"/>
      <c r="W6014" s="780"/>
      <c r="X6014" s="881">
        <v>6010</v>
      </c>
      <c r="Y6014" s="881" t="s">
        <v>2248</v>
      </c>
      <c r="Z6014" s="881" t="s">
        <v>3312</v>
      </c>
      <c r="AA6014" s="882">
        <f>$S$1*P!AA6014</f>
        <v>0.26679999999999998</v>
      </c>
      <c r="AB6014" s="780"/>
      <c r="AC6014" s="780"/>
      <c r="AD6014" s="780"/>
      <c r="AE6014" s="780"/>
      <c r="AF6014" s="780"/>
    </row>
    <row r="6015" spans="19:32" x14ac:dyDescent="0.35">
      <c r="S6015" s="780"/>
      <c r="T6015" s="928"/>
      <c r="U6015" s="928"/>
      <c r="V6015" s="928"/>
      <c r="W6015" s="780"/>
      <c r="X6015" s="782">
        <v>6011</v>
      </c>
      <c r="Y6015" s="782" t="s">
        <v>2248</v>
      </c>
      <c r="Z6015" s="782" t="s">
        <v>3311</v>
      </c>
      <c r="AA6015" s="781">
        <f>$S$1*P!AA6015</f>
        <v>1.1207661290322582E-3</v>
      </c>
      <c r="AB6015" s="780"/>
      <c r="AC6015" s="780"/>
      <c r="AD6015" s="780"/>
      <c r="AE6015" s="780"/>
      <c r="AF6015" s="780"/>
    </row>
    <row r="6016" spans="19:32" x14ac:dyDescent="0.35">
      <c r="S6016" s="780"/>
      <c r="T6016" s="928"/>
      <c r="U6016" s="928"/>
      <c r="V6016" s="928"/>
      <c r="W6016" s="780"/>
      <c r="X6016" s="881">
        <v>6012</v>
      </c>
      <c r="Y6016" s="881" t="s">
        <v>2248</v>
      </c>
      <c r="Z6016" s="881" t="s">
        <v>3310</v>
      </c>
      <c r="AA6016" s="882">
        <f>$S$1*P!AA6016</f>
        <v>0.27416000000000001</v>
      </c>
      <c r="AB6016" s="780"/>
      <c r="AC6016" s="780"/>
      <c r="AD6016" s="780"/>
      <c r="AE6016" s="780"/>
      <c r="AF6016" s="780"/>
    </row>
    <row r="6017" spans="19:32" x14ac:dyDescent="0.35">
      <c r="S6017" s="780"/>
      <c r="T6017" s="928"/>
      <c r="U6017" s="928"/>
      <c r="V6017" s="928"/>
      <c r="W6017" s="780"/>
      <c r="X6017" s="881">
        <v>6013</v>
      </c>
      <c r="Y6017" s="881" t="s">
        <v>2248</v>
      </c>
      <c r="Z6017" s="881" t="s">
        <v>3309</v>
      </c>
      <c r="AA6017" s="882">
        <f>$S$1*P!AA6017</f>
        <v>0</v>
      </c>
      <c r="AB6017" s="780"/>
      <c r="AC6017" s="780"/>
      <c r="AD6017" s="780"/>
      <c r="AE6017" s="780"/>
      <c r="AF6017" s="780"/>
    </row>
    <row r="6018" spans="19:32" x14ac:dyDescent="0.35">
      <c r="S6018" s="780"/>
      <c r="T6018" s="928"/>
      <c r="U6018" s="928"/>
      <c r="V6018" s="928"/>
      <c r="W6018" s="780"/>
      <c r="X6018" s="782">
        <v>6014</v>
      </c>
      <c r="Y6018" s="782" t="s">
        <v>2248</v>
      </c>
      <c r="Z6018" s="782" t="s">
        <v>3308</v>
      </c>
      <c r="AA6018" s="781">
        <f>$S$1*P!AA6018</f>
        <v>2.930443548387097E-3</v>
      </c>
      <c r="AB6018" s="780"/>
      <c r="AC6018" s="780"/>
      <c r="AD6018" s="780"/>
      <c r="AE6018" s="780"/>
      <c r="AF6018" s="780"/>
    </row>
    <row r="6019" spans="19:32" x14ac:dyDescent="0.35">
      <c r="S6019" s="780"/>
      <c r="T6019" s="928"/>
      <c r="U6019" s="928"/>
      <c r="V6019" s="928"/>
      <c r="W6019" s="780"/>
      <c r="X6019" s="881">
        <v>6015</v>
      </c>
      <c r="Y6019" s="881" t="s">
        <v>2248</v>
      </c>
      <c r="Z6019" s="881" t="s">
        <v>3307</v>
      </c>
      <c r="AA6019" s="882">
        <f>$S$1*P!AA6019</f>
        <v>0</v>
      </c>
      <c r="AB6019" s="780"/>
      <c r="AC6019" s="780"/>
      <c r="AD6019" s="780"/>
      <c r="AE6019" s="780"/>
      <c r="AF6019" s="780"/>
    </row>
    <row r="6020" spans="19:32" x14ac:dyDescent="0.35">
      <c r="S6020" s="780"/>
      <c r="T6020" s="928"/>
      <c r="U6020" s="928"/>
      <c r="V6020" s="928"/>
      <c r="W6020" s="780"/>
      <c r="X6020" s="881">
        <v>6016</v>
      </c>
      <c r="Y6020" s="881" t="s">
        <v>2248</v>
      </c>
      <c r="Z6020" s="881" t="s">
        <v>3306</v>
      </c>
      <c r="AA6020" s="882">
        <f>$S$1*P!AA6020</f>
        <v>0</v>
      </c>
      <c r="AB6020" s="780"/>
      <c r="AC6020" s="780"/>
      <c r="AD6020" s="780"/>
      <c r="AE6020" s="780"/>
      <c r="AF6020" s="780"/>
    </row>
    <row r="6021" spans="19:32" x14ac:dyDescent="0.35">
      <c r="S6021" s="780"/>
      <c r="T6021" s="928"/>
      <c r="U6021" s="928"/>
      <c r="V6021" s="928"/>
      <c r="W6021" s="780"/>
      <c r="X6021" s="782">
        <v>6017</v>
      </c>
      <c r="Y6021" s="782" t="s">
        <v>2248</v>
      </c>
      <c r="Z6021" s="782" t="s">
        <v>2911</v>
      </c>
      <c r="AA6021" s="781">
        <f>$S$1*P!AA6021</f>
        <v>2.5157258064516133E-4</v>
      </c>
      <c r="AB6021" s="780"/>
      <c r="AC6021" s="780"/>
      <c r="AD6021" s="780"/>
      <c r="AE6021" s="780"/>
      <c r="AF6021" s="780"/>
    </row>
    <row r="6022" spans="19:32" x14ac:dyDescent="0.35">
      <c r="S6022" s="780"/>
      <c r="T6022" s="928"/>
      <c r="U6022" s="928"/>
      <c r="V6022" s="928"/>
      <c r="W6022" s="780"/>
      <c r="X6022" s="881">
        <v>6018</v>
      </c>
      <c r="Y6022" s="881" t="s">
        <v>2248</v>
      </c>
      <c r="Z6022" s="881" t="s">
        <v>3305</v>
      </c>
      <c r="AA6022" s="882">
        <f>$S$1*P!AA6022</f>
        <v>0</v>
      </c>
      <c r="AB6022" s="780"/>
      <c r="AC6022" s="780"/>
      <c r="AD6022" s="780"/>
      <c r="AE6022" s="780"/>
      <c r="AF6022" s="780"/>
    </row>
    <row r="6023" spans="19:32" x14ac:dyDescent="0.35">
      <c r="S6023" s="780"/>
      <c r="T6023" s="928"/>
      <c r="U6023" s="928"/>
      <c r="V6023" s="928"/>
      <c r="W6023" s="780"/>
      <c r="X6023" s="782">
        <v>6019</v>
      </c>
      <c r="Y6023" s="782" t="s">
        <v>2248</v>
      </c>
      <c r="Z6023" s="782" t="s">
        <v>3304</v>
      </c>
      <c r="AA6023" s="781">
        <f>$S$1*P!AA6023</f>
        <v>1.8645161290322583E-4</v>
      </c>
      <c r="AB6023" s="780"/>
      <c r="AC6023" s="780"/>
      <c r="AD6023" s="780"/>
      <c r="AE6023" s="780"/>
      <c r="AF6023" s="780"/>
    </row>
    <row r="6024" spans="19:32" x14ac:dyDescent="0.35">
      <c r="S6024" s="780"/>
      <c r="T6024" s="928"/>
      <c r="U6024" s="928"/>
      <c r="V6024" s="928"/>
      <c r="W6024" s="780"/>
      <c r="X6024" s="881">
        <v>6020</v>
      </c>
      <c r="Y6024" s="881" t="s">
        <v>2248</v>
      </c>
      <c r="Z6024" s="881" t="s">
        <v>3303</v>
      </c>
      <c r="AA6024" s="882">
        <f>$S$1*P!AA6024</f>
        <v>0</v>
      </c>
      <c r="AB6024" s="780"/>
      <c r="AC6024" s="780"/>
      <c r="AD6024" s="780"/>
      <c r="AE6024" s="780"/>
      <c r="AF6024" s="780"/>
    </row>
    <row r="6025" spans="19:32" x14ac:dyDescent="0.35">
      <c r="S6025" s="780"/>
      <c r="T6025" s="928"/>
      <c r="U6025" s="928"/>
      <c r="V6025" s="928"/>
      <c r="W6025" s="780"/>
      <c r="X6025" s="881">
        <v>6021</v>
      </c>
      <c r="Y6025" s="881" t="s">
        <v>2248</v>
      </c>
      <c r="Z6025" s="881" t="s">
        <v>3302</v>
      </c>
      <c r="AA6025" s="882">
        <f>$S$1*P!AA6025</f>
        <v>0</v>
      </c>
      <c r="AB6025" s="780"/>
      <c r="AC6025" s="780"/>
      <c r="AD6025" s="780"/>
      <c r="AE6025" s="780"/>
      <c r="AF6025" s="780"/>
    </row>
    <row r="6026" spans="19:32" x14ac:dyDescent="0.35">
      <c r="S6026" s="780"/>
      <c r="T6026" s="928"/>
      <c r="U6026" s="928"/>
      <c r="V6026" s="928"/>
      <c r="W6026" s="780"/>
      <c r="X6026" s="782">
        <v>6022</v>
      </c>
      <c r="Y6026" s="782" t="s">
        <v>2248</v>
      </c>
      <c r="Z6026" s="782" t="s">
        <v>3301</v>
      </c>
      <c r="AA6026" s="781">
        <f>$S$1*P!AA6026</f>
        <v>1.1790322580645162E-4</v>
      </c>
      <c r="AB6026" s="780"/>
      <c r="AC6026" s="780"/>
      <c r="AD6026" s="780"/>
      <c r="AE6026" s="780"/>
      <c r="AF6026" s="780"/>
    </row>
    <row r="6027" spans="19:32" x14ac:dyDescent="0.35">
      <c r="S6027" s="780"/>
      <c r="T6027" s="928"/>
      <c r="U6027" s="928"/>
      <c r="V6027" s="928"/>
      <c r="W6027" s="780"/>
      <c r="X6027" s="881">
        <v>6023</v>
      </c>
      <c r="Y6027" s="881" t="s">
        <v>2248</v>
      </c>
      <c r="Z6027" s="881" t="s">
        <v>3300</v>
      </c>
      <c r="AA6027" s="882">
        <f>$S$1*P!AA6027</f>
        <v>0</v>
      </c>
      <c r="AB6027" s="780"/>
      <c r="AC6027" s="780"/>
      <c r="AD6027" s="780"/>
      <c r="AE6027" s="780"/>
      <c r="AF6027" s="780"/>
    </row>
    <row r="6028" spans="19:32" x14ac:dyDescent="0.35">
      <c r="S6028" s="780"/>
      <c r="T6028" s="928"/>
      <c r="U6028" s="928"/>
      <c r="V6028" s="928"/>
      <c r="W6028" s="780"/>
      <c r="X6028" s="881">
        <v>6024</v>
      </c>
      <c r="Y6028" s="881" t="s">
        <v>2248</v>
      </c>
      <c r="Z6028" s="881" t="s">
        <v>3299</v>
      </c>
      <c r="AA6028" s="882">
        <f>$S$1*P!AA6028</f>
        <v>2.0148000000000001</v>
      </c>
      <c r="AB6028" s="780"/>
      <c r="AC6028" s="780"/>
      <c r="AD6028" s="780"/>
      <c r="AE6028" s="780"/>
      <c r="AF6028" s="780"/>
    </row>
    <row r="6029" spans="19:32" x14ac:dyDescent="0.35">
      <c r="S6029" s="780"/>
      <c r="T6029" s="928"/>
      <c r="U6029" s="928"/>
      <c r="V6029" s="928"/>
      <c r="W6029" s="780"/>
      <c r="X6029" s="782">
        <v>6025</v>
      </c>
      <c r="Y6029" s="782" t="s">
        <v>2248</v>
      </c>
      <c r="Z6029" s="782" t="s">
        <v>3298</v>
      </c>
      <c r="AA6029" s="781">
        <f>$S$1*P!AA6029</f>
        <v>1.8268145161290324E-2</v>
      </c>
      <c r="AB6029" s="780"/>
      <c r="AC6029" s="780"/>
      <c r="AD6029" s="780"/>
      <c r="AE6029" s="780"/>
      <c r="AF6029" s="780"/>
    </row>
    <row r="6030" spans="19:32" x14ac:dyDescent="0.35">
      <c r="S6030" s="780"/>
      <c r="T6030" s="928"/>
      <c r="U6030" s="928"/>
      <c r="V6030" s="928"/>
      <c r="W6030" s="780"/>
      <c r="X6030" s="881">
        <v>6026</v>
      </c>
      <c r="Y6030" s="881" t="s">
        <v>2248</v>
      </c>
      <c r="Z6030" s="881" t="s">
        <v>3297</v>
      </c>
      <c r="AA6030" s="882">
        <f>$S$1*P!AA6030</f>
        <v>29.256</v>
      </c>
      <c r="AB6030" s="780"/>
      <c r="AC6030" s="780"/>
      <c r="AD6030" s="780"/>
      <c r="AE6030" s="780"/>
      <c r="AF6030" s="780"/>
    </row>
    <row r="6031" spans="19:32" x14ac:dyDescent="0.35">
      <c r="S6031" s="780"/>
      <c r="T6031" s="928"/>
      <c r="U6031" s="928"/>
      <c r="V6031" s="928"/>
      <c r="W6031" s="780"/>
      <c r="X6031" s="881">
        <v>6027</v>
      </c>
      <c r="Y6031" s="881" t="s">
        <v>2248</v>
      </c>
      <c r="Z6031" s="881" t="s">
        <v>3296</v>
      </c>
      <c r="AA6031" s="882">
        <f>$S$1*P!AA6031</f>
        <v>0</v>
      </c>
      <c r="AB6031" s="780"/>
      <c r="AC6031" s="780"/>
      <c r="AD6031" s="780"/>
      <c r="AE6031" s="780"/>
      <c r="AF6031" s="780"/>
    </row>
    <row r="6032" spans="19:32" x14ac:dyDescent="0.35">
      <c r="S6032" s="780"/>
      <c r="T6032" s="928"/>
      <c r="U6032" s="928"/>
      <c r="V6032" s="928"/>
      <c r="W6032" s="780"/>
      <c r="X6032" s="782">
        <v>6028</v>
      </c>
      <c r="Y6032" s="782" t="s">
        <v>2248</v>
      </c>
      <c r="Z6032" s="782" t="s">
        <v>3295</v>
      </c>
      <c r="AA6032" s="781">
        <f>$S$1*P!AA6032</f>
        <v>2.8002016129032257E-5</v>
      </c>
      <c r="AB6032" s="780"/>
      <c r="AC6032" s="780"/>
      <c r="AD6032" s="780"/>
      <c r="AE6032" s="780"/>
      <c r="AF6032" s="780"/>
    </row>
    <row r="6033" spans="19:32" x14ac:dyDescent="0.35">
      <c r="S6033" s="780"/>
      <c r="T6033" s="928"/>
      <c r="U6033" s="928"/>
      <c r="V6033" s="928"/>
      <c r="W6033" s="780"/>
      <c r="X6033" s="881">
        <v>6029</v>
      </c>
      <c r="Y6033" s="881" t="s">
        <v>2248</v>
      </c>
      <c r="Z6033" s="881" t="s">
        <v>3294</v>
      </c>
      <c r="AA6033" s="882">
        <f>$S$1*P!AA6033</f>
        <v>2.8519999999999999</v>
      </c>
      <c r="AB6033" s="780"/>
      <c r="AC6033" s="780"/>
      <c r="AD6033" s="780"/>
      <c r="AE6033" s="780"/>
      <c r="AF6033" s="780"/>
    </row>
    <row r="6034" spans="19:32" x14ac:dyDescent="0.35">
      <c r="S6034" s="780"/>
      <c r="T6034" s="928"/>
      <c r="U6034" s="928"/>
      <c r="V6034" s="928"/>
      <c r="W6034" s="780"/>
      <c r="X6034" s="881">
        <v>6030</v>
      </c>
      <c r="Y6034" s="881" t="s">
        <v>2248</v>
      </c>
      <c r="Z6034" s="881" t="s">
        <v>3293</v>
      </c>
      <c r="AA6034" s="882">
        <f>$S$1*P!AA6034</f>
        <v>828</v>
      </c>
      <c r="AB6034" s="780"/>
      <c r="AC6034" s="780"/>
      <c r="AD6034" s="780"/>
      <c r="AE6034" s="780"/>
      <c r="AF6034" s="780"/>
    </row>
    <row r="6035" spans="19:32" x14ac:dyDescent="0.35">
      <c r="S6035" s="780"/>
      <c r="T6035" s="928"/>
      <c r="U6035" s="928"/>
      <c r="V6035" s="928"/>
      <c r="W6035" s="780"/>
      <c r="X6035" s="782">
        <v>6031</v>
      </c>
      <c r="Y6035" s="782" t="s">
        <v>2248</v>
      </c>
      <c r="Z6035" s="782" t="s">
        <v>3292</v>
      </c>
      <c r="AA6035" s="781">
        <f>$S$1*P!AA6035</f>
        <v>0.20187500000000003</v>
      </c>
      <c r="AB6035" s="780"/>
      <c r="AC6035" s="780"/>
      <c r="AD6035" s="780"/>
      <c r="AE6035" s="780"/>
      <c r="AF6035" s="780"/>
    </row>
    <row r="6036" spans="19:32" x14ac:dyDescent="0.35">
      <c r="S6036" s="780"/>
      <c r="T6036" s="928"/>
      <c r="U6036" s="928"/>
      <c r="V6036" s="928"/>
      <c r="W6036" s="780"/>
      <c r="X6036" s="881">
        <v>6032</v>
      </c>
      <c r="Y6036" s="881" t="s">
        <v>2248</v>
      </c>
      <c r="Z6036" s="881" t="s">
        <v>3291</v>
      </c>
      <c r="AA6036" s="882">
        <f>$S$1*P!AA6036</f>
        <v>7.0196000000000008E-2</v>
      </c>
      <c r="AB6036" s="780"/>
      <c r="AC6036" s="780"/>
      <c r="AD6036" s="780"/>
      <c r="AE6036" s="780"/>
      <c r="AF6036" s="780"/>
    </row>
    <row r="6037" spans="19:32" x14ac:dyDescent="0.35">
      <c r="S6037" s="780"/>
      <c r="T6037" s="928"/>
      <c r="U6037" s="928"/>
      <c r="V6037" s="928"/>
      <c r="W6037" s="780"/>
      <c r="X6037" s="782">
        <v>6033</v>
      </c>
      <c r="Y6037" s="782" t="s">
        <v>2248</v>
      </c>
      <c r="Z6037" s="782" t="s">
        <v>3290</v>
      </c>
      <c r="AA6037" s="781">
        <f>$S$1*P!AA6037</f>
        <v>5.3125000000000004E-3</v>
      </c>
      <c r="AB6037" s="780"/>
      <c r="AC6037" s="780"/>
      <c r="AD6037" s="780"/>
      <c r="AE6037" s="780"/>
      <c r="AF6037" s="780"/>
    </row>
    <row r="6038" spans="19:32" x14ac:dyDescent="0.35">
      <c r="S6038" s="780"/>
      <c r="T6038" s="928"/>
      <c r="U6038" s="928"/>
      <c r="V6038" s="928"/>
      <c r="W6038" s="780"/>
      <c r="X6038" s="881">
        <v>6034</v>
      </c>
      <c r="Y6038" s="881" t="s">
        <v>2248</v>
      </c>
      <c r="Z6038" s="881" t="s">
        <v>3289</v>
      </c>
      <c r="AA6038" s="882">
        <f>$S$1*P!AA6038</f>
        <v>0</v>
      </c>
      <c r="AB6038" s="780"/>
      <c r="AC6038" s="780"/>
      <c r="AD6038" s="780"/>
      <c r="AE6038" s="780"/>
      <c r="AF6038" s="780"/>
    </row>
    <row r="6039" spans="19:32" x14ac:dyDescent="0.35">
      <c r="S6039" s="780"/>
      <c r="T6039" s="928"/>
      <c r="U6039" s="928"/>
      <c r="V6039" s="928"/>
      <c r="W6039" s="780"/>
      <c r="X6039" s="881">
        <v>6035</v>
      </c>
      <c r="Y6039" s="881" t="s">
        <v>2248</v>
      </c>
      <c r="Z6039" s="881" t="s">
        <v>3288</v>
      </c>
      <c r="AA6039" s="882">
        <f>$S$1*P!AA6039</f>
        <v>0</v>
      </c>
      <c r="AB6039" s="780"/>
      <c r="AC6039" s="780"/>
      <c r="AD6039" s="780"/>
      <c r="AE6039" s="780"/>
      <c r="AF6039" s="780"/>
    </row>
    <row r="6040" spans="19:32" x14ac:dyDescent="0.35">
      <c r="S6040" s="780"/>
      <c r="T6040" s="928"/>
      <c r="U6040" s="928"/>
      <c r="V6040" s="928"/>
      <c r="W6040" s="780"/>
      <c r="X6040" s="782">
        <v>6036</v>
      </c>
      <c r="Y6040" s="782" t="s">
        <v>2248</v>
      </c>
      <c r="Z6040" s="782" t="s">
        <v>3287</v>
      </c>
      <c r="AA6040" s="781">
        <f>$S$1*P!AA6040</f>
        <v>4.181451612903226E-2</v>
      </c>
      <c r="AB6040" s="780"/>
      <c r="AC6040" s="780"/>
      <c r="AD6040" s="780"/>
      <c r="AE6040" s="780"/>
      <c r="AF6040" s="780"/>
    </row>
    <row r="6041" spans="19:32" x14ac:dyDescent="0.35">
      <c r="S6041" s="780"/>
      <c r="T6041" s="928"/>
      <c r="U6041" s="928"/>
      <c r="V6041" s="928"/>
      <c r="W6041" s="780"/>
      <c r="X6041" s="881">
        <v>6037</v>
      </c>
      <c r="Y6041" s="881" t="s">
        <v>2248</v>
      </c>
      <c r="Z6041" s="881" t="s">
        <v>3286</v>
      </c>
      <c r="AA6041" s="882">
        <f>$S$1*P!AA6041</f>
        <v>0</v>
      </c>
      <c r="AB6041" s="780"/>
      <c r="AC6041" s="780"/>
      <c r="AD6041" s="780"/>
      <c r="AE6041" s="780"/>
      <c r="AF6041" s="780"/>
    </row>
    <row r="6042" spans="19:32" x14ac:dyDescent="0.35">
      <c r="S6042" s="780"/>
      <c r="T6042" s="928"/>
      <c r="U6042" s="928"/>
      <c r="V6042" s="928"/>
      <c r="W6042" s="780"/>
      <c r="X6042" s="881">
        <v>6038</v>
      </c>
      <c r="Y6042" s="881" t="s">
        <v>2248</v>
      </c>
      <c r="Z6042" s="881" t="s">
        <v>3285</v>
      </c>
      <c r="AA6042" s="882">
        <f>$S$1*P!AA6042</f>
        <v>3.2475999999999998E-2</v>
      </c>
      <c r="AB6042" s="780"/>
      <c r="AC6042" s="780"/>
      <c r="AD6042" s="780"/>
      <c r="AE6042" s="780"/>
      <c r="AF6042" s="780"/>
    </row>
    <row r="6043" spans="19:32" x14ac:dyDescent="0.35">
      <c r="S6043" s="780"/>
      <c r="T6043" s="928"/>
      <c r="U6043" s="928"/>
      <c r="V6043" s="928"/>
      <c r="W6043" s="780"/>
      <c r="X6043" s="782">
        <v>6039</v>
      </c>
      <c r="Y6043" s="782" t="s">
        <v>2248</v>
      </c>
      <c r="Z6043" s="782" t="s">
        <v>3284</v>
      </c>
      <c r="AA6043" s="781">
        <f>$S$1*P!AA6043</f>
        <v>9.8366935483870977E-5</v>
      </c>
      <c r="AB6043" s="780"/>
      <c r="AC6043" s="780"/>
      <c r="AD6043" s="780"/>
      <c r="AE6043" s="780"/>
      <c r="AF6043" s="780"/>
    </row>
    <row r="6044" spans="19:32" x14ac:dyDescent="0.35">
      <c r="S6044" s="780"/>
      <c r="T6044" s="928"/>
      <c r="U6044" s="928"/>
      <c r="V6044" s="928"/>
      <c r="W6044" s="780"/>
      <c r="X6044" s="881">
        <v>6040</v>
      </c>
      <c r="Y6044" s="881" t="s">
        <v>2248</v>
      </c>
      <c r="Z6044" s="881" t="s">
        <v>3283</v>
      </c>
      <c r="AA6044" s="882">
        <f>$S$1*P!AA6044</f>
        <v>3.2659999999999998E-3</v>
      </c>
      <c r="AB6044" s="780"/>
      <c r="AC6044" s="780"/>
      <c r="AD6044" s="780"/>
      <c r="AE6044" s="780"/>
      <c r="AF6044" s="780"/>
    </row>
    <row r="6045" spans="19:32" x14ac:dyDescent="0.35">
      <c r="S6045" s="780"/>
      <c r="T6045" s="928"/>
      <c r="U6045" s="928"/>
      <c r="V6045" s="928"/>
      <c r="W6045" s="780"/>
      <c r="X6045" s="881">
        <v>6041</v>
      </c>
      <c r="Y6045" s="881" t="s">
        <v>2248</v>
      </c>
      <c r="Z6045" s="881" t="s">
        <v>3282</v>
      </c>
      <c r="AA6045" s="882">
        <f>$S$1*P!AA6045</f>
        <v>0</v>
      </c>
      <c r="AB6045" s="780"/>
      <c r="AC6045" s="780"/>
      <c r="AD6045" s="780"/>
      <c r="AE6045" s="780"/>
      <c r="AF6045" s="780"/>
    </row>
    <row r="6046" spans="19:32" x14ac:dyDescent="0.35">
      <c r="S6046" s="780"/>
      <c r="T6046" s="928"/>
      <c r="U6046" s="928"/>
      <c r="V6046" s="928"/>
      <c r="W6046" s="780"/>
      <c r="X6046" s="782">
        <v>6042</v>
      </c>
      <c r="Y6046" s="782" t="s">
        <v>2248</v>
      </c>
      <c r="Z6046" s="782" t="s">
        <v>3281</v>
      </c>
      <c r="AA6046" s="781">
        <f>$S$1*P!AA6046</f>
        <v>1.2750000000000001E-4</v>
      </c>
      <c r="AB6046" s="780"/>
      <c r="AC6046" s="780"/>
      <c r="AD6046" s="780"/>
      <c r="AE6046" s="780"/>
      <c r="AF6046" s="780"/>
    </row>
    <row r="6047" spans="19:32" x14ac:dyDescent="0.35">
      <c r="S6047" s="780"/>
      <c r="T6047" s="928"/>
      <c r="U6047" s="928"/>
      <c r="V6047" s="928"/>
      <c r="W6047" s="780"/>
      <c r="X6047" s="881">
        <v>6043</v>
      </c>
      <c r="Y6047" s="881" t="s">
        <v>2248</v>
      </c>
      <c r="Z6047" s="881" t="s">
        <v>3280</v>
      </c>
      <c r="AA6047" s="882">
        <f>$S$1*P!AA6047</f>
        <v>3.3304</v>
      </c>
      <c r="AB6047" s="780"/>
      <c r="AC6047" s="780"/>
      <c r="AD6047" s="780"/>
      <c r="AE6047" s="780"/>
      <c r="AF6047" s="780"/>
    </row>
    <row r="6048" spans="19:32" x14ac:dyDescent="0.35">
      <c r="S6048" s="780"/>
      <c r="T6048" s="928"/>
      <c r="U6048" s="928"/>
      <c r="V6048" s="928"/>
      <c r="W6048" s="780"/>
      <c r="X6048" s="782">
        <v>6044</v>
      </c>
      <c r="Y6048" s="782" t="s">
        <v>2248</v>
      </c>
      <c r="Z6048" s="782" t="s">
        <v>3279</v>
      </c>
      <c r="AA6048" s="781">
        <f>$S$1*P!AA6048</f>
        <v>2.4437500000000002E-4</v>
      </c>
      <c r="AB6048" s="780"/>
      <c r="AC6048" s="780"/>
      <c r="AD6048" s="780"/>
      <c r="AE6048" s="780"/>
      <c r="AF6048" s="780"/>
    </row>
    <row r="6049" spans="19:32" x14ac:dyDescent="0.35">
      <c r="S6049" s="780"/>
      <c r="T6049" s="928"/>
      <c r="U6049" s="928"/>
      <c r="V6049" s="928"/>
      <c r="W6049" s="780"/>
      <c r="X6049" s="881">
        <v>6045</v>
      </c>
      <c r="Y6049" s="881" t="s">
        <v>2248</v>
      </c>
      <c r="Z6049" s="881" t="s">
        <v>3278</v>
      </c>
      <c r="AA6049" s="882">
        <f>$S$1*P!AA6049</f>
        <v>0</v>
      </c>
      <c r="AB6049" s="780"/>
      <c r="AC6049" s="780"/>
      <c r="AD6049" s="780"/>
      <c r="AE6049" s="780"/>
      <c r="AF6049" s="780"/>
    </row>
    <row r="6050" spans="19:32" x14ac:dyDescent="0.35">
      <c r="S6050" s="780"/>
      <c r="T6050" s="928"/>
      <c r="U6050" s="928"/>
      <c r="V6050" s="928"/>
      <c r="W6050" s="780"/>
      <c r="X6050" s="881">
        <v>6046</v>
      </c>
      <c r="Y6050" s="881" t="s">
        <v>2248</v>
      </c>
      <c r="Z6050" s="881" t="s">
        <v>3277</v>
      </c>
      <c r="AA6050" s="882">
        <f>$S$1*P!AA6050</f>
        <v>0.50968000000000002</v>
      </c>
      <c r="AB6050" s="780"/>
      <c r="AC6050" s="780"/>
      <c r="AD6050" s="780"/>
      <c r="AE6050" s="780"/>
      <c r="AF6050" s="780"/>
    </row>
    <row r="6051" spans="19:32" x14ac:dyDescent="0.35">
      <c r="S6051" s="780"/>
      <c r="T6051" s="928"/>
      <c r="U6051" s="928"/>
      <c r="V6051" s="928"/>
      <c r="W6051" s="780"/>
      <c r="X6051" s="782">
        <v>6047</v>
      </c>
      <c r="Y6051" s="782" t="s">
        <v>2248</v>
      </c>
      <c r="Z6051" s="782" t="s">
        <v>2908</v>
      </c>
      <c r="AA6051" s="781">
        <f>$S$1*P!AA6051</f>
        <v>1.6211693548387099E-2</v>
      </c>
      <c r="AB6051" s="780"/>
      <c r="AC6051" s="780"/>
      <c r="AD6051" s="780"/>
      <c r="AE6051" s="780"/>
      <c r="AF6051" s="780"/>
    </row>
    <row r="6052" spans="19:32" x14ac:dyDescent="0.35">
      <c r="S6052" s="780"/>
      <c r="T6052" s="928"/>
      <c r="U6052" s="928"/>
      <c r="V6052" s="928"/>
      <c r="W6052" s="780"/>
      <c r="X6052" s="881">
        <v>6048</v>
      </c>
      <c r="Y6052" s="881" t="s">
        <v>2248</v>
      </c>
      <c r="Z6052" s="881" t="s">
        <v>3276</v>
      </c>
      <c r="AA6052" s="882">
        <f>$S$1*P!AA6052</f>
        <v>9.2920000000000003E-2</v>
      </c>
      <c r="AB6052" s="780"/>
      <c r="AC6052" s="780"/>
      <c r="AD6052" s="780"/>
      <c r="AE6052" s="780"/>
      <c r="AF6052" s="780"/>
    </row>
    <row r="6053" spans="19:32" x14ac:dyDescent="0.35">
      <c r="S6053" s="780"/>
      <c r="T6053" s="928"/>
      <c r="U6053" s="928"/>
      <c r="V6053" s="928"/>
      <c r="W6053" s="780"/>
      <c r="X6053" s="881">
        <v>6049</v>
      </c>
      <c r="Y6053" s="881" t="s">
        <v>2248</v>
      </c>
      <c r="Z6053" s="881" t="s">
        <v>3275</v>
      </c>
      <c r="AA6053" s="882">
        <f>$S$1*P!AA6053</f>
        <v>0</v>
      </c>
      <c r="AB6053" s="780"/>
      <c r="AC6053" s="780"/>
      <c r="AD6053" s="780"/>
      <c r="AE6053" s="780"/>
      <c r="AF6053" s="780"/>
    </row>
    <row r="6054" spans="19:32" x14ac:dyDescent="0.35">
      <c r="S6054" s="780"/>
      <c r="T6054" s="928"/>
      <c r="U6054" s="928"/>
      <c r="V6054" s="928"/>
      <c r="W6054" s="780"/>
      <c r="X6054" s="782">
        <v>6050</v>
      </c>
      <c r="Y6054" s="782" t="s">
        <v>2248</v>
      </c>
      <c r="Z6054" s="782" t="s">
        <v>3274</v>
      </c>
      <c r="AA6054" s="781">
        <f>$S$1*P!AA6054</f>
        <v>1.0350806451612904E-2</v>
      </c>
      <c r="AB6054" s="780"/>
      <c r="AC6054" s="780"/>
      <c r="AD6054" s="780"/>
      <c r="AE6054" s="780"/>
      <c r="AF6054" s="780"/>
    </row>
    <row r="6055" spans="19:32" x14ac:dyDescent="0.35">
      <c r="S6055" s="780"/>
      <c r="T6055" s="928"/>
      <c r="U6055" s="928"/>
      <c r="V6055" s="928"/>
      <c r="W6055" s="780"/>
      <c r="X6055" s="881">
        <v>6051</v>
      </c>
      <c r="Y6055" s="881" t="s">
        <v>2248</v>
      </c>
      <c r="Z6055" s="881" t="s">
        <v>3273</v>
      </c>
      <c r="AA6055" s="882">
        <f>$S$1*P!AA6055</f>
        <v>0</v>
      </c>
      <c r="AB6055" s="780"/>
      <c r="AC6055" s="780"/>
      <c r="AD6055" s="780"/>
      <c r="AE6055" s="780"/>
      <c r="AF6055" s="780"/>
    </row>
    <row r="6056" spans="19:32" x14ac:dyDescent="0.35">
      <c r="S6056" s="780"/>
      <c r="T6056" s="928"/>
      <c r="U6056" s="928"/>
      <c r="V6056" s="928"/>
      <c r="W6056" s="780"/>
      <c r="X6056" s="881">
        <v>6052</v>
      </c>
      <c r="Y6056" s="881" t="s">
        <v>2248</v>
      </c>
      <c r="Z6056" s="881" t="s">
        <v>3272</v>
      </c>
      <c r="AA6056" s="882">
        <f>$S$1*P!AA6056</f>
        <v>0</v>
      </c>
      <c r="AB6056" s="780"/>
      <c r="AC6056" s="780"/>
      <c r="AD6056" s="780"/>
      <c r="AE6056" s="780"/>
      <c r="AF6056" s="780"/>
    </row>
    <row r="6057" spans="19:32" x14ac:dyDescent="0.35">
      <c r="S6057" s="780"/>
      <c r="T6057" s="928"/>
      <c r="U6057" s="928"/>
      <c r="V6057" s="928"/>
      <c r="W6057" s="780"/>
      <c r="X6057" s="782">
        <v>6053</v>
      </c>
      <c r="Y6057" s="782" t="s">
        <v>2248</v>
      </c>
      <c r="Z6057" s="782" t="s">
        <v>2906</v>
      </c>
      <c r="AA6057" s="781">
        <f>$S$1*P!AA6057</f>
        <v>3.3211693548387102E-3</v>
      </c>
      <c r="AB6057" s="780"/>
      <c r="AC6057" s="780"/>
      <c r="AD6057" s="780"/>
      <c r="AE6057" s="780"/>
      <c r="AF6057" s="780"/>
    </row>
    <row r="6058" spans="19:32" x14ac:dyDescent="0.35">
      <c r="S6058" s="780"/>
      <c r="T6058" s="928"/>
      <c r="U6058" s="928"/>
      <c r="V6058" s="928"/>
      <c r="W6058" s="780"/>
      <c r="X6058" s="881">
        <v>6054</v>
      </c>
      <c r="Y6058" s="881" t="s">
        <v>2248</v>
      </c>
      <c r="Z6058" s="881" t="s">
        <v>3271</v>
      </c>
      <c r="AA6058" s="882">
        <f>$S$1*P!AA6058</f>
        <v>0.47195999999999999</v>
      </c>
      <c r="AB6058" s="780"/>
      <c r="AC6058" s="780"/>
      <c r="AD6058" s="780"/>
      <c r="AE6058" s="780"/>
      <c r="AF6058" s="780"/>
    </row>
    <row r="6059" spans="19:32" x14ac:dyDescent="0.35">
      <c r="S6059" s="780"/>
      <c r="T6059" s="928"/>
      <c r="U6059" s="928"/>
      <c r="V6059" s="928"/>
      <c r="W6059" s="780"/>
      <c r="X6059" s="881">
        <v>6055</v>
      </c>
      <c r="Y6059" s="881" t="s">
        <v>2248</v>
      </c>
      <c r="Z6059" s="881" t="s">
        <v>3270</v>
      </c>
      <c r="AA6059" s="882">
        <f>$S$1*P!AA6059</f>
        <v>0</v>
      </c>
      <c r="AB6059" s="780"/>
      <c r="AC6059" s="780"/>
      <c r="AD6059" s="780"/>
      <c r="AE6059" s="780"/>
      <c r="AF6059" s="780"/>
    </row>
    <row r="6060" spans="19:32" x14ac:dyDescent="0.35">
      <c r="S6060" s="780"/>
      <c r="T6060" s="928"/>
      <c r="U6060" s="928"/>
      <c r="V6060" s="928"/>
      <c r="W6060" s="780"/>
      <c r="X6060" s="782">
        <v>6056</v>
      </c>
      <c r="Y6060" s="782" t="s">
        <v>2248</v>
      </c>
      <c r="Z6060" s="782" t="s">
        <v>3269</v>
      </c>
      <c r="AA6060" s="781">
        <f>$S$1*P!AA6060</f>
        <v>1.4840725806451612E-3</v>
      </c>
      <c r="AB6060" s="780"/>
      <c r="AC6060" s="780"/>
      <c r="AD6060" s="780"/>
      <c r="AE6060" s="780"/>
      <c r="AF6060" s="780"/>
    </row>
    <row r="6061" spans="19:32" x14ac:dyDescent="0.35">
      <c r="S6061" s="780"/>
      <c r="T6061" s="928"/>
      <c r="U6061" s="928"/>
      <c r="V6061" s="928"/>
      <c r="W6061" s="780"/>
      <c r="X6061" s="881">
        <v>6057</v>
      </c>
      <c r="Y6061" s="881" t="s">
        <v>2248</v>
      </c>
      <c r="Z6061" s="881" t="s">
        <v>3268</v>
      </c>
      <c r="AA6061" s="882">
        <f>$S$1*P!AA6061</f>
        <v>0</v>
      </c>
      <c r="AB6061" s="780"/>
      <c r="AC6061" s="780"/>
      <c r="AD6061" s="780"/>
      <c r="AE6061" s="780"/>
      <c r="AF6061" s="780"/>
    </row>
    <row r="6062" spans="19:32" x14ac:dyDescent="0.35">
      <c r="S6062" s="780"/>
      <c r="T6062" s="928"/>
      <c r="U6062" s="928"/>
      <c r="V6062" s="928"/>
      <c r="W6062" s="780"/>
      <c r="X6062" s="782">
        <v>6058</v>
      </c>
      <c r="Y6062" s="782" t="s">
        <v>2248</v>
      </c>
      <c r="Z6062" s="782" t="s">
        <v>2903</v>
      </c>
      <c r="AA6062" s="781">
        <f>$S$1*P!AA6062</f>
        <v>2.4266129032258067E-4</v>
      </c>
      <c r="AB6062" s="780"/>
      <c r="AC6062" s="780"/>
      <c r="AD6062" s="780"/>
      <c r="AE6062" s="780"/>
      <c r="AF6062" s="780"/>
    </row>
    <row r="6063" spans="19:32" x14ac:dyDescent="0.35">
      <c r="S6063" s="780"/>
      <c r="T6063" s="928"/>
      <c r="U6063" s="928"/>
      <c r="V6063" s="928"/>
      <c r="W6063" s="780"/>
      <c r="X6063" s="881">
        <v>6059</v>
      </c>
      <c r="Y6063" s="881" t="s">
        <v>2248</v>
      </c>
      <c r="Z6063" s="881" t="s">
        <v>3267</v>
      </c>
      <c r="AA6063" s="882">
        <f>$S$1*P!AA6063</f>
        <v>0</v>
      </c>
      <c r="AB6063" s="780"/>
      <c r="AC6063" s="780"/>
      <c r="AD6063" s="780"/>
      <c r="AE6063" s="780"/>
      <c r="AF6063" s="780"/>
    </row>
    <row r="6064" spans="19:32" x14ac:dyDescent="0.35">
      <c r="S6064" s="780"/>
      <c r="T6064" s="928"/>
      <c r="U6064" s="928"/>
      <c r="V6064" s="928"/>
      <c r="W6064" s="780"/>
      <c r="X6064" s="881">
        <v>6060</v>
      </c>
      <c r="Y6064" s="881" t="s">
        <v>2248</v>
      </c>
      <c r="Z6064" s="881" t="s">
        <v>3266</v>
      </c>
      <c r="AA6064" s="882">
        <f>$S$1*P!AA6064</f>
        <v>0.55567999999999995</v>
      </c>
      <c r="AB6064" s="780"/>
      <c r="AC6064" s="780"/>
      <c r="AD6064" s="780"/>
      <c r="AE6064" s="780"/>
      <c r="AF6064" s="780"/>
    </row>
    <row r="6065" spans="19:32" x14ac:dyDescent="0.35">
      <c r="S6065" s="780"/>
      <c r="T6065" s="928"/>
      <c r="U6065" s="928"/>
      <c r="V6065" s="928"/>
      <c r="W6065" s="780"/>
      <c r="X6065" s="782">
        <v>6061</v>
      </c>
      <c r="Y6065" s="782" t="s">
        <v>2248</v>
      </c>
      <c r="Z6065" s="782" t="s">
        <v>3265</v>
      </c>
      <c r="AA6065" s="781">
        <f>$S$1*P!AA6065</f>
        <v>3.7701612903225815E-5</v>
      </c>
      <c r="AB6065" s="780"/>
      <c r="AC6065" s="780"/>
      <c r="AD6065" s="780"/>
      <c r="AE6065" s="780"/>
      <c r="AF6065" s="780"/>
    </row>
    <row r="6066" spans="19:32" x14ac:dyDescent="0.35">
      <c r="S6066" s="780"/>
      <c r="T6066" s="928"/>
      <c r="U6066" s="928"/>
      <c r="V6066" s="928"/>
      <c r="W6066" s="780"/>
      <c r="X6066" s="881">
        <v>6062</v>
      </c>
      <c r="Y6066" s="881" t="s">
        <v>2248</v>
      </c>
      <c r="Z6066" s="881" t="s">
        <v>3264</v>
      </c>
      <c r="AA6066" s="882">
        <f>$S$1*P!AA6066</f>
        <v>0</v>
      </c>
      <c r="AB6066" s="780"/>
      <c r="AC6066" s="780"/>
      <c r="AD6066" s="780"/>
      <c r="AE6066" s="780"/>
      <c r="AF6066" s="780"/>
    </row>
    <row r="6067" spans="19:32" x14ac:dyDescent="0.35">
      <c r="S6067" s="780"/>
      <c r="T6067" s="928"/>
      <c r="U6067" s="928"/>
      <c r="V6067" s="928"/>
      <c r="W6067" s="780"/>
      <c r="X6067" s="881">
        <v>6063</v>
      </c>
      <c r="Y6067" s="881" t="s">
        <v>2248</v>
      </c>
      <c r="Z6067" s="881" t="s">
        <v>3263</v>
      </c>
      <c r="AA6067" s="882">
        <f>$S$1*P!AA6067</f>
        <v>1131.5999999999999</v>
      </c>
      <c r="AB6067" s="780"/>
      <c r="AC6067" s="780"/>
      <c r="AD6067" s="780"/>
      <c r="AE6067" s="780"/>
      <c r="AF6067" s="780"/>
    </row>
    <row r="6068" spans="19:32" x14ac:dyDescent="0.35">
      <c r="S6068" s="780"/>
      <c r="T6068" s="928"/>
      <c r="U6068" s="928"/>
      <c r="V6068" s="928"/>
      <c r="W6068" s="780"/>
      <c r="X6068" s="782">
        <v>6064</v>
      </c>
      <c r="Y6068" s="782" t="s">
        <v>2248</v>
      </c>
      <c r="Z6068" s="782" t="s">
        <v>3262</v>
      </c>
      <c r="AA6068" s="781">
        <f>$S$1*P!AA6068</f>
        <v>3.1806451612903229E-3</v>
      </c>
      <c r="AB6068" s="780"/>
      <c r="AC6068" s="780"/>
      <c r="AD6068" s="780"/>
      <c r="AE6068" s="780"/>
      <c r="AF6068" s="780"/>
    </row>
    <row r="6069" spans="19:32" x14ac:dyDescent="0.35">
      <c r="S6069" s="780"/>
      <c r="T6069" s="928"/>
      <c r="U6069" s="928"/>
      <c r="V6069" s="928"/>
      <c r="W6069" s="780"/>
      <c r="X6069" s="881">
        <v>6065</v>
      </c>
      <c r="Y6069" s="881" t="s">
        <v>2248</v>
      </c>
      <c r="Z6069" s="881" t="s">
        <v>3261</v>
      </c>
      <c r="AA6069" s="882">
        <f>$S$1*P!AA6069</f>
        <v>0</v>
      </c>
      <c r="AB6069" s="780"/>
      <c r="AC6069" s="780"/>
      <c r="AD6069" s="780"/>
      <c r="AE6069" s="780"/>
      <c r="AF6069" s="780"/>
    </row>
    <row r="6070" spans="19:32" x14ac:dyDescent="0.35">
      <c r="S6070" s="780"/>
      <c r="T6070" s="928"/>
      <c r="U6070" s="928"/>
      <c r="V6070" s="928"/>
      <c r="W6070" s="780"/>
      <c r="X6070" s="881">
        <v>6066</v>
      </c>
      <c r="Y6070" s="881" t="s">
        <v>2248</v>
      </c>
      <c r="Z6070" s="881" t="s">
        <v>3260</v>
      </c>
      <c r="AA6070" s="882">
        <f>$S$1*P!AA6070</f>
        <v>0</v>
      </c>
      <c r="AB6070" s="780"/>
      <c r="AC6070" s="780"/>
      <c r="AD6070" s="780"/>
      <c r="AE6070" s="780"/>
      <c r="AF6070" s="780"/>
    </row>
    <row r="6071" spans="19:32" x14ac:dyDescent="0.35">
      <c r="S6071" s="780"/>
      <c r="T6071" s="928"/>
      <c r="U6071" s="928"/>
      <c r="V6071" s="928"/>
      <c r="W6071" s="780"/>
      <c r="X6071" s="782">
        <v>6067</v>
      </c>
      <c r="Y6071" s="782" t="s">
        <v>2248</v>
      </c>
      <c r="Z6071" s="782" t="s">
        <v>2898</v>
      </c>
      <c r="AA6071" s="781">
        <f>$S$1*P!AA6071</f>
        <v>4.1471774193548392E-3</v>
      </c>
      <c r="AB6071" s="780"/>
      <c r="AC6071" s="780"/>
      <c r="AD6071" s="780"/>
      <c r="AE6071" s="780"/>
      <c r="AF6071" s="780"/>
    </row>
    <row r="6072" spans="19:32" x14ac:dyDescent="0.35">
      <c r="S6072" s="780"/>
      <c r="T6072" s="928"/>
      <c r="U6072" s="928"/>
      <c r="V6072" s="928"/>
      <c r="W6072" s="780"/>
      <c r="X6072" s="881">
        <v>6068</v>
      </c>
      <c r="Y6072" s="881" t="s">
        <v>2248</v>
      </c>
      <c r="Z6072" s="881" t="s">
        <v>3259</v>
      </c>
      <c r="AA6072" s="882">
        <f>$S$1*P!AA6072</f>
        <v>86.296000000000006</v>
      </c>
      <c r="AB6072" s="780"/>
      <c r="AC6072" s="780"/>
      <c r="AD6072" s="780"/>
      <c r="AE6072" s="780"/>
      <c r="AF6072" s="780"/>
    </row>
    <row r="6073" spans="19:32" x14ac:dyDescent="0.35">
      <c r="S6073" s="780"/>
      <c r="T6073" s="928"/>
      <c r="U6073" s="928"/>
      <c r="V6073" s="928"/>
      <c r="W6073" s="780"/>
      <c r="X6073" s="782">
        <v>6069</v>
      </c>
      <c r="Y6073" s="782" t="s">
        <v>2248</v>
      </c>
      <c r="Z6073" s="782" t="s">
        <v>2897</v>
      </c>
      <c r="AA6073" s="781">
        <f>$S$1*P!AA6073</f>
        <v>3.5645161290322587E-4</v>
      </c>
      <c r="AB6073" s="780"/>
      <c r="AC6073" s="780"/>
      <c r="AD6073" s="780"/>
      <c r="AE6073" s="780"/>
      <c r="AF6073" s="780"/>
    </row>
    <row r="6074" spans="19:32" x14ac:dyDescent="0.35">
      <c r="S6074" s="780"/>
      <c r="T6074" s="928"/>
      <c r="U6074" s="928"/>
      <c r="V6074" s="928"/>
      <c r="W6074" s="780"/>
      <c r="X6074" s="881">
        <v>6070</v>
      </c>
      <c r="Y6074" s="881" t="s">
        <v>2248</v>
      </c>
      <c r="Z6074" s="881" t="s">
        <v>3258</v>
      </c>
      <c r="AA6074" s="882">
        <f>$S$1*P!AA6074</f>
        <v>10.763999999999999</v>
      </c>
      <c r="AB6074" s="780"/>
      <c r="AC6074" s="780"/>
      <c r="AD6074" s="780"/>
      <c r="AE6074" s="780"/>
      <c r="AF6074" s="780"/>
    </row>
    <row r="6075" spans="19:32" x14ac:dyDescent="0.35">
      <c r="S6075" s="780"/>
      <c r="T6075" s="928"/>
      <c r="U6075" s="928"/>
      <c r="V6075" s="928"/>
      <c r="W6075" s="780"/>
      <c r="X6075" s="881">
        <v>6071</v>
      </c>
      <c r="Y6075" s="881" t="s">
        <v>2248</v>
      </c>
      <c r="Z6075" s="881" t="s">
        <v>3257</v>
      </c>
      <c r="AA6075" s="882">
        <f>$S$1*P!AA6075</f>
        <v>0</v>
      </c>
      <c r="AB6075" s="780"/>
      <c r="AC6075" s="780"/>
      <c r="AD6075" s="780"/>
      <c r="AE6075" s="780"/>
      <c r="AF6075" s="780"/>
    </row>
    <row r="6076" spans="19:32" x14ac:dyDescent="0.35">
      <c r="S6076" s="780"/>
      <c r="T6076" s="928"/>
      <c r="U6076" s="928"/>
      <c r="V6076" s="928"/>
      <c r="W6076" s="780"/>
      <c r="X6076" s="782">
        <v>6072</v>
      </c>
      <c r="Y6076" s="782" t="s">
        <v>2248</v>
      </c>
      <c r="Z6076" s="782" t="s">
        <v>3256</v>
      </c>
      <c r="AA6076" s="781">
        <f>$S$1*P!AA6076</f>
        <v>4.9354838709677424E-3</v>
      </c>
      <c r="AB6076" s="780"/>
      <c r="AC6076" s="780"/>
      <c r="AD6076" s="780"/>
      <c r="AE6076" s="780"/>
      <c r="AF6076" s="780"/>
    </row>
    <row r="6077" spans="19:32" x14ac:dyDescent="0.35">
      <c r="S6077" s="780"/>
      <c r="T6077" s="928"/>
      <c r="U6077" s="928"/>
      <c r="V6077" s="928"/>
      <c r="W6077" s="780"/>
      <c r="X6077" s="881">
        <v>6073</v>
      </c>
      <c r="Y6077" s="881" t="s">
        <v>2248</v>
      </c>
      <c r="Z6077" s="881" t="s">
        <v>3255</v>
      </c>
      <c r="AA6077" s="882">
        <f>$S$1*P!AA6077</f>
        <v>0</v>
      </c>
      <c r="AB6077" s="780"/>
      <c r="AC6077" s="780"/>
      <c r="AD6077" s="780"/>
      <c r="AE6077" s="780"/>
      <c r="AF6077" s="780"/>
    </row>
    <row r="6078" spans="19:32" x14ac:dyDescent="0.35">
      <c r="S6078" s="780"/>
      <c r="T6078" s="928"/>
      <c r="U6078" s="928"/>
      <c r="V6078" s="928"/>
      <c r="W6078" s="780"/>
      <c r="X6078" s="881">
        <v>6074</v>
      </c>
      <c r="Y6078" s="881" t="s">
        <v>2248</v>
      </c>
      <c r="Z6078" s="881" t="s">
        <v>3254</v>
      </c>
      <c r="AA6078" s="882">
        <f>$S$1*P!AA6078</f>
        <v>0</v>
      </c>
      <c r="AB6078" s="780"/>
      <c r="AC6078" s="780"/>
      <c r="AD6078" s="780"/>
      <c r="AE6078" s="780"/>
      <c r="AF6078" s="780"/>
    </row>
    <row r="6079" spans="19:32" x14ac:dyDescent="0.35">
      <c r="S6079" s="780"/>
      <c r="T6079" s="928"/>
      <c r="U6079" s="928"/>
      <c r="V6079" s="928"/>
      <c r="W6079" s="780"/>
      <c r="X6079" s="782">
        <v>6075</v>
      </c>
      <c r="Y6079" s="782" t="s">
        <v>2248</v>
      </c>
      <c r="Z6079" s="782" t="s">
        <v>3253</v>
      </c>
      <c r="AA6079" s="781">
        <f>$S$1*P!AA6079</f>
        <v>3.2766129032258069E-2</v>
      </c>
      <c r="AB6079" s="780"/>
      <c r="AC6079" s="780"/>
      <c r="AD6079" s="780"/>
      <c r="AE6079" s="780"/>
      <c r="AF6079" s="780"/>
    </row>
    <row r="6080" spans="19:32" x14ac:dyDescent="0.35">
      <c r="S6080" s="780"/>
      <c r="T6080" s="928"/>
      <c r="U6080" s="928"/>
      <c r="V6080" s="928"/>
      <c r="W6080" s="780"/>
      <c r="X6080" s="881">
        <v>6076</v>
      </c>
      <c r="Y6080" s="881" t="s">
        <v>2248</v>
      </c>
      <c r="Z6080" s="881" t="s">
        <v>3252</v>
      </c>
      <c r="AA6080" s="882">
        <f>$S$1*P!AA6080</f>
        <v>0</v>
      </c>
      <c r="AB6080" s="780"/>
      <c r="AC6080" s="780"/>
      <c r="AD6080" s="780"/>
      <c r="AE6080" s="780"/>
      <c r="AF6080" s="780"/>
    </row>
    <row r="6081" spans="19:32" x14ac:dyDescent="0.35">
      <c r="S6081" s="780"/>
      <c r="T6081" s="928"/>
      <c r="U6081" s="928"/>
      <c r="V6081" s="928"/>
      <c r="W6081" s="780"/>
      <c r="X6081" s="881">
        <v>6077</v>
      </c>
      <c r="Y6081" s="881" t="s">
        <v>2248</v>
      </c>
      <c r="Z6081" s="881" t="s">
        <v>3251</v>
      </c>
      <c r="AA6081" s="882">
        <f>$S$1*P!AA6081</f>
        <v>0.91080000000000005</v>
      </c>
      <c r="AB6081" s="780"/>
      <c r="AC6081" s="780"/>
      <c r="AD6081" s="780"/>
      <c r="AE6081" s="780"/>
      <c r="AF6081" s="780"/>
    </row>
    <row r="6082" spans="19:32" x14ac:dyDescent="0.35">
      <c r="S6082" s="780"/>
      <c r="T6082" s="928"/>
      <c r="U6082" s="928"/>
      <c r="V6082" s="928"/>
      <c r="W6082" s="780"/>
      <c r="X6082" s="782">
        <v>6078</v>
      </c>
      <c r="Y6082" s="782" t="s">
        <v>2248</v>
      </c>
      <c r="Z6082" s="782" t="s">
        <v>3250</v>
      </c>
      <c r="AA6082" s="781">
        <f>$S$1*P!AA6082</f>
        <v>8.1229838709677427E-2</v>
      </c>
      <c r="AB6082" s="780"/>
      <c r="AC6082" s="780"/>
      <c r="AD6082" s="780"/>
      <c r="AE6082" s="780"/>
      <c r="AF6082" s="780"/>
    </row>
    <row r="6083" spans="19:32" x14ac:dyDescent="0.35">
      <c r="S6083" s="780"/>
      <c r="T6083" s="928"/>
      <c r="U6083" s="928"/>
      <c r="V6083" s="928"/>
      <c r="W6083" s="780"/>
      <c r="X6083" s="881">
        <v>6079</v>
      </c>
      <c r="Y6083" s="881" t="s">
        <v>2248</v>
      </c>
      <c r="Z6083" s="881" t="s">
        <v>3249</v>
      </c>
      <c r="AA6083" s="882">
        <f>$S$1*P!AA6083</f>
        <v>0.29164000000000001</v>
      </c>
      <c r="AB6083" s="780"/>
      <c r="AC6083" s="780"/>
      <c r="AD6083" s="780"/>
      <c r="AE6083" s="780"/>
      <c r="AF6083" s="780"/>
    </row>
    <row r="6084" spans="19:32" x14ac:dyDescent="0.35">
      <c r="S6084" s="780"/>
      <c r="T6084" s="928"/>
      <c r="U6084" s="928"/>
      <c r="V6084" s="928"/>
      <c r="W6084" s="780"/>
      <c r="X6084" s="881">
        <v>6080</v>
      </c>
      <c r="Y6084" s="881" t="s">
        <v>2248</v>
      </c>
      <c r="Z6084" s="881" t="s">
        <v>3248</v>
      </c>
      <c r="AA6084" s="882">
        <f>$S$1*P!AA6084</f>
        <v>4.1859999999999999</v>
      </c>
      <c r="AB6084" s="780"/>
      <c r="AC6084" s="780"/>
      <c r="AD6084" s="780"/>
      <c r="AE6084" s="780"/>
      <c r="AF6084" s="780"/>
    </row>
    <row r="6085" spans="19:32" x14ac:dyDescent="0.35">
      <c r="S6085" s="780"/>
      <c r="T6085" s="928"/>
      <c r="U6085" s="928"/>
      <c r="V6085" s="928"/>
      <c r="W6085" s="780"/>
      <c r="X6085" s="782">
        <v>6081</v>
      </c>
      <c r="Y6085" s="782" t="s">
        <v>2248</v>
      </c>
      <c r="Z6085" s="782" t="s">
        <v>3247</v>
      </c>
      <c r="AA6085" s="781">
        <f>$S$1*P!AA6085</f>
        <v>5.9294354838709687E-4</v>
      </c>
      <c r="AB6085" s="780"/>
      <c r="AC6085" s="780"/>
      <c r="AD6085" s="780"/>
      <c r="AE6085" s="780"/>
      <c r="AF6085" s="780"/>
    </row>
    <row r="6086" spans="19:32" x14ac:dyDescent="0.35">
      <c r="S6086" s="780"/>
      <c r="T6086" s="928"/>
      <c r="U6086" s="928"/>
      <c r="V6086" s="928"/>
      <c r="W6086" s="780"/>
      <c r="X6086" s="881">
        <v>6082</v>
      </c>
      <c r="Y6086" s="881" t="s">
        <v>2248</v>
      </c>
      <c r="Z6086" s="881" t="s">
        <v>3246</v>
      </c>
      <c r="AA6086" s="882">
        <f>$S$1*P!AA6086</f>
        <v>0</v>
      </c>
      <c r="AB6086" s="780"/>
      <c r="AC6086" s="780"/>
      <c r="AD6086" s="780"/>
      <c r="AE6086" s="780"/>
      <c r="AF6086" s="780"/>
    </row>
    <row r="6087" spans="19:32" x14ac:dyDescent="0.35">
      <c r="S6087" s="780"/>
      <c r="T6087" s="928"/>
      <c r="U6087" s="928"/>
      <c r="V6087" s="928"/>
      <c r="W6087" s="780"/>
      <c r="X6087" s="782">
        <v>6083</v>
      </c>
      <c r="Y6087" s="782" t="s">
        <v>2248</v>
      </c>
      <c r="Z6087" s="782" t="s">
        <v>3245</v>
      </c>
      <c r="AA6087" s="781">
        <f>$S$1*P!AA6087</f>
        <v>1.370967741935484</v>
      </c>
      <c r="AB6087" s="780"/>
      <c r="AC6087" s="780"/>
      <c r="AD6087" s="780"/>
      <c r="AE6087" s="780"/>
      <c r="AF6087" s="780"/>
    </row>
    <row r="6088" spans="19:32" x14ac:dyDescent="0.35">
      <c r="S6088" s="780"/>
      <c r="T6088" s="928"/>
      <c r="U6088" s="928"/>
      <c r="V6088" s="928"/>
      <c r="W6088" s="780"/>
      <c r="X6088" s="881">
        <v>6084</v>
      </c>
      <c r="Y6088" s="881" t="s">
        <v>2248</v>
      </c>
      <c r="Z6088" s="881" t="s">
        <v>3244</v>
      </c>
      <c r="AA6088" s="882">
        <f>$S$1*P!AA6088</f>
        <v>0.68815999999999999</v>
      </c>
      <c r="AB6088" s="780"/>
      <c r="AC6088" s="780"/>
      <c r="AD6088" s="780"/>
      <c r="AE6088" s="780"/>
      <c r="AF6088" s="780"/>
    </row>
    <row r="6089" spans="19:32" x14ac:dyDescent="0.35">
      <c r="S6089" s="780"/>
      <c r="T6089" s="928"/>
      <c r="U6089" s="928"/>
      <c r="V6089" s="928"/>
      <c r="W6089" s="780"/>
      <c r="X6089" s="881">
        <v>6085</v>
      </c>
      <c r="Y6089" s="881" t="s">
        <v>2248</v>
      </c>
      <c r="Z6089" s="881" t="s">
        <v>3243</v>
      </c>
      <c r="AA6089" s="882">
        <f>$S$1*P!AA6089</f>
        <v>4.0296000000000004E-3</v>
      </c>
      <c r="AB6089" s="780"/>
      <c r="AC6089" s="780"/>
      <c r="AD6089" s="780"/>
      <c r="AE6089" s="780"/>
      <c r="AF6089" s="780"/>
    </row>
    <row r="6090" spans="19:32" x14ac:dyDescent="0.35">
      <c r="S6090" s="780"/>
      <c r="T6090" s="928"/>
      <c r="U6090" s="928"/>
      <c r="V6090" s="928"/>
      <c r="W6090" s="780"/>
      <c r="X6090" s="782">
        <v>6086</v>
      </c>
      <c r="Y6090" s="782" t="s">
        <v>2248</v>
      </c>
      <c r="Z6090" s="782" t="s">
        <v>3242</v>
      </c>
      <c r="AA6090" s="781">
        <f>$S$1*P!AA6090</f>
        <v>6.4435483870967749</v>
      </c>
      <c r="AB6090" s="780"/>
      <c r="AC6090" s="780"/>
      <c r="AD6090" s="780"/>
      <c r="AE6090" s="780"/>
      <c r="AF6090" s="780"/>
    </row>
    <row r="6091" spans="19:32" x14ac:dyDescent="0.35">
      <c r="S6091" s="780"/>
      <c r="T6091" s="928"/>
      <c r="U6091" s="928"/>
      <c r="V6091" s="928"/>
      <c r="W6091" s="780"/>
      <c r="X6091" s="881">
        <v>6087</v>
      </c>
      <c r="Y6091" s="881" t="s">
        <v>2248</v>
      </c>
      <c r="Z6091" s="881" t="s">
        <v>3241</v>
      </c>
      <c r="AA6091" s="882">
        <f>$S$1*P!AA6091</f>
        <v>0</v>
      </c>
      <c r="AB6091" s="780"/>
      <c r="AC6091" s="780"/>
      <c r="AD6091" s="780"/>
      <c r="AE6091" s="780"/>
      <c r="AF6091" s="780"/>
    </row>
    <row r="6092" spans="19:32" x14ac:dyDescent="0.35">
      <c r="S6092" s="780"/>
      <c r="T6092" s="928"/>
      <c r="U6092" s="928"/>
      <c r="V6092" s="928"/>
      <c r="W6092" s="780"/>
      <c r="X6092" s="881">
        <v>6088</v>
      </c>
      <c r="Y6092" s="881" t="s">
        <v>2248</v>
      </c>
      <c r="Z6092" s="881" t="s">
        <v>3240</v>
      </c>
      <c r="AA6092" s="882">
        <f>$S$1*P!AA6092</f>
        <v>0</v>
      </c>
      <c r="AB6092" s="780"/>
      <c r="AC6092" s="780"/>
      <c r="AD6092" s="780"/>
      <c r="AE6092" s="780"/>
      <c r="AF6092" s="780"/>
    </row>
    <row r="6093" spans="19:32" x14ac:dyDescent="0.35">
      <c r="S6093" s="780"/>
      <c r="T6093" s="928"/>
      <c r="U6093" s="928"/>
      <c r="V6093" s="928"/>
      <c r="W6093" s="780"/>
      <c r="X6093" s="782">
        <v>6089</v>
      </c>
      <c r="Y6093" s="782" t="s">
        <v>2248</v>
      </c>
      <c r="Z6093" s="782" t="s">
        <v>3239</v>
      </c>
      <c r="AA6093" s="781">
        <f>$S$1*P!AA6093</f>
        <v>0.25088709677419357</v>
      </c>
      <c r="AB6093" s="780"/>
      <c r="AC6093" s="780"/>
      <c r="AD6093" s="780"/>
      <c r="AE6093" s="780"/>
      <c r="AF6093" s="780"/>
    </row>
    <row r="6094" spans="19:32" x14ac:dyDescent="0.35">
      <c r="S6094" s="780"/>
      <c r="T6094" s="928"/>
      <c r="U6094" s="928"/>
      <c r="V6094" s="928"/>
      <c r="W6094" s="780"/>
      <c r="X6094" s="881">
        <v>6090</v>
      </c>
      <c r="Y6094" s="881" t="s">
        <v>2248</v>
      </c>
      <c r="Z6094" s="881" t="s">
        <v>3238</v>
      </c>
      <c r="AA6094" s="882">
        <f>$S$1*P!AA6094</f>
        <v>0</v>
      </c>
      <c r="AB6094" s="780"/>
      <c r="AC6094" s="780"/>
      <c r="AD6094" s="780"/>
      <c r="AE6094" s="780"/>
      <c r="AF6094" s="780"/>
    </row>
    <row r="6095" spans="19:32" x14ac:dyDescent="0.35">
      <c r="S6095" s="780"/>
      <c r="T6095" s="928"/>
      <c r="U6095" s="928"/>
      <c r="V6095" s="928"/>
      <c r="W6095" s="780"/>
      <c r="X6095" s="881">
        <v>6091</v>
      </c>
      <c r="Y6095" s="881" t="s">
        <v>2248</v>
      </c>
      <c r="Z6095" s="881" t="s">
        <v>3237</v>
      </c>
      <c r="AA6095" s="882">
        <f>$S$1*P!AA6095</f>
        <v>0</v>
      </c>
      <c r="AB6095" s="780"/>
      <c r="AC6095" s="780"/>
      <c r="AD6095" s="780"/>
      <c r="AE6095" s="780"/>
      <c r="AF6095" s="780"/>
    </row>
    <row r="6096" spans="19:32" x14ac:dyDescent="0.35">
      <c r="S6096" s="780"/>
      <c r="T6096" s="928"/>
      <c r="U6096" s="928"/>
      <c r="V6096" s="928"/>
      <c r="W6096" s="780"/>
      <c r="X6096" s="782">
        <v>6092</v>
      </c>
      <c r="Y6096" s="782" t="s">
        <v>2248</v>
      </c>
      <c r="Z6096" s="782" t="s">
        <v>3236</v>
      </c>
      <c r="AA6096" s="781">
        <f>$S$1*P!AA6096</f>
        <v>6.4435483870967749</v>
      </c>
      <c r="AB6096" s="780"/>
      <c r="AC6096" s="780"/>
      <c r="AD6096" s="780"/>
      <c r="AE6096" s="780"/>
      <c r="AF6096" s="780"/>
    </row>
    <row r="6097" spans="19:32" x14ac:dyDescent="0.35">
      <c r="S6097" s="780"/>
      <c r="T6097" s="928"/>
      <c r="U6097" s="928"/>
      <c r="V6097" s="928"/>
      <c r="W6097" s="780"/>
      <c r="X6097" s="881">
        <v>6093</v>
      </c>
      <c r="Y6097" s="881" t="s">
        <v>2248</v>
      </c>
      <c r="Z6097" s="881" t="s">
        <v>3235</v>
      </c>
      <c r="AA6097" s="882">
        <f>$S$1*P!AA6097</f>
        <v>0</v>
      </c>
      <c r="AB6097" s="780"/>
      <c r="AC6097" s="780"/>
      <c r="AD6097" s="780"/>
      <c r="AE6097" s="780"/>
      <c r="AF6097" s="780"/>
    </row>
    <row r="6098" spans="19:32" x14ac:dyDescent="0.35">
      <c r="S6098" s="780"/>
      <c r="T6098" s="928"/>
      <c r="U6098" s="928"/>
      <c r="V6098" s="928"/>
      <c r="W6098" s="780"/>
      <c r="X6098" s="782">
        <v>6094</v>
      </c>
      <c r="Y6098" s="782" t="s">
        <v>2248</v>
      </c>
      <c r="Z6098" s="782" t="s">
        <v>3234</v>
      </c>
      <c r="AA6098" s="781">
        <f>$S$1*P!AA6098</f>
        <v>4.6955645161290331E-5</v>
      </c>
      <c r="AB6098" s="780"/>
      <c r="AC6098" s="780"/>
      <c r="AD6098" s="780"/>
      <c r="AE6098" s="780"/>
      <c r="AF6098" s="780"/>
    </row>
    <row r="6099" spans="19:32" x14ac:dyDescent="0.35">
      <c r="S6099" s="780"/>
      <c r="T6099" s="928"/>
      <c r="U6099" s="928"/>
      <c r="V6099" s="928"/>
      <c r="W6099" s="780"/>
      <c r="X6099" s="881">
        <v>6095</v>
      </c>
      <c r="Y6099" s="881" t="s">
        <v>2248</v>
      </c>
      <c r="Z6099" s="881" t="s">
        <v>3233</v>
      </c>
      <c r="AA6099" s="882">
        <f>$S$1*P!AA6099</f>
        <v>0</v>
      </c>
      <c r="AB6099" s="780"/>
      <c r="AC6099" s="780"/>
      <c r="AD6099" s="780"/>
      <c r="AE6099" s="780"/>
      <c r="AF6099" s="780"/>
    </row>
    <row r="6100" spans="19:32" x14ac:dyDescent="0.35">
      <c r="S6100" s="780"/>
      <c r="T6100" s="928"/>
      <c r="U6100" s="928"/>
      <c r="V6100" s="928"/>
      <c r="W6100" s="780"/>
      <c r="X6100" s="881">
        <v>6096</v>
      </c>
      <c r="Y6100" s="881" t="s">
        <v>2248</v>
      </c>
      <c r="Z6100" s="881" t="s">
        <v>3232</v>
      </c>
      <c r="AA6100" s="882">
        <f>$S$1*P!AA6100</f>
        <v>0</v>
      </c>
      <c r="AB6100" s="780"/>
      <c r="AC6100" s="780"/>
      <c r="AD6100" s="780"/>
      <c r="AE6100" s="780"/>
      <c r="AF6100" s="780"/>
    </row>
    <row r="6101" spans="19:32" x14ac:dyDescent="0.35">
      <c r="S6101" s="780"/>
      <c r="T6101" s="928"/>
      <c r="U6101" s="928"/>
      <c r="V6101" s="928"/>
      <c r="W6101" s="780"/>
      <c r="X6101" s="782">
        <v>6097</v>
      </c>
      <c r="Y6101" s="782" t="s">
        <v>2248</v>
      </c>
      <c r="Z6101" s="782" t="s">
        <v>2896</v>
      </c>
      <c r="AA6101" s="781">
        <f>$S$1*P!AA6101</f>
        <v>0.35987903225806456</v>
      </c>
      <c r="AB6101" s="780"/>
      <c r="AC6101" s="780"/>
      <c r="AD6101" s="780"/>
      <c r="AE6101" s="780"/>
      <c r="AF6101" s="780"/>
    </row>
    <row r="6102" spans="19:32" x14ac:dyDescent="0.35">
      <c r="S6102" s="780"/>
      <c r="T6102" s="928"/>
      <c r="U6102" s="928"/>
      <c r="V6102" s="928"/>
      <c r="W6102" s="780"/>
      <c r="X6102" s="881">
        <v>6098</v>
      </c>
      <c r="Y6102" s="881" t="s">
        <v>2248</v>
      </c>
      <c r="Z6102" s="881" t="s">
        <v>3231</v>
      </c>
      <c r="AA6102" s="882">
        <f>$S$1*P!AA6102</f>
        <v>4692</v>
      </c>
      <c r="AB6102" s="780"/>
      <c r="AC6102" s="780"/>
      <c r="AD6102" s="780"/>
      <c r="AE6102" s="780"/>
      <c r="AF6102" s="780"/>
    </row>
    <row r="6103" spans="19:32" x14ac:dyDescent="0.35">
      <c r="S6103" s="780"/>
      <c r="T6103" s="928"/>
      <c r="U6103" s="928"/>
      <c r="V6103" s="928"/>
      <c r="W6103" s="780"/>
      <c r="X6103" s="881">
        <v>6099</v>
      </c>
      <c r="Y6103" s="881" t="s">
        <v>2248</v>
      </c>
      <c r="Z6103" s="881" t="s">
        <v>3230</v>
      </c>
      <c r="AA6103" s="882">
        <f>$S$1*P!AA6103</f>
        <v>0.38640000000000002</v>
      </c>
      <c r="AB6103" s="780"/>
      <c r="AC6103" s="780"/>
      <c r="AD6103" s="780"/>
      <c r="AE6103" s="780"/>
      <c r="AF6103" s="780"/>
    </row>
    <row r="6104" spans="19:32" x14ac:dyDescent="0.35">
      <c r="S6104" s="780"/>
      <c r="T6104" s="928"/>
      <c r="U6104" s="928"/>
      <c r="V6104" s="928"/>
      <c r="W6104" s="780"/>
      <c r="X6104" s="782">
        <v>6100</v>
      </c>
      <c r="Y6104" s="782" t="s">
        <v>2248</v>
      </c>
      <c r="Z6104" s="782" t="s">
        <v>3229</v>
      </c>
      <c r="AA6104" s="781">
        <f>$S$1*P!AA6104</f>
        <v>2.2997983870967746E-5</v>
      </c>
      <c r="AB6104" s="780"/>
      <c r="AC6104" s="780"/>
      <c r="AD6104" s="780"/>
      <c r="AE6104" s="780"/>
      <c r="AF6104" s="780"/>
    </row>
    <row r="6105" spans="19:32" x14ac:dyDescent="0.35">
      <c r="S6105" s="780"/>
      <c r="T6105" s="928"/>
      <c r="U6105" s="928"/>
      <c r="V6105" s="928"/>
      <c r="W6105" s="780"/>
      <c r="X6105" s="881">
        <v>6101</v>
      </c>
      <c r="Y6105" s="881" t="s">
        <v>2248</v>
      </c>
      <c r="Z6105" s="881" t="s">
        <v>3228</v>
      </c>
      <c r="AA6105" s="882">
        <f>$S$1*P!AA6105</f>
        <v>97.52</v>
      </c>
      <c r="AB6105" s="780"/>
      <c r="AC6105" s="780"/>
      <c r="AD6105" s="780"/>
      <c r="AE6105" s="780"/>
      <c r="AF6105" s="780"/>
    </row>
    <row r="6106" spans="19:32" x14ac:dyDescent="0.35">
      <c r="S6106" s="780"/>
      <c r="T6106" s="928"/>
      <c r="U6106" s="928"/>
      <c r="V6106" s="928"/>
      <c r="W6106" s="780"/>
      <c r="X6106" s="881">
        <v>6102</v>
      </c>
      <c r="Y6106" s="881" t="s">
        <v>2248</v>
      </c>
      <c r="Z6106" s="881" t="s">
        <v>3227</v>
      </c>
      <c r="AA6106" s="882">
        <f>$S$1*P!AA6106</f>
        <v>0</v>
      </c>
      <c r="AB6106" s="780"/>
      <c r="AC6106" s="780"/>
      <c r="AD6106" s="780"/>
      <c r="AE6106" s="780"/>
      <c r="AF6106" s="780"/>
    </row>
    <row r="6107" spans="19:32" x14ac:dyDescent="0.35">
      <c r="S6107" s="780"/>
      <c r="T6107" s="928"/>
      <c r="U6107" s="928"/>
      <c r="V6107" s="928"/>
      <c r="W6107" s="780"/>
      <c r="X6107" s="782">
        <v>6103</v>
      </c>
      <c r="Y6107" s="782" t="s">
        <v>2248</v>
      </c>
      <c r="Z6107" s="782" t="s">
        <v>3226</v>
      </c>
      <c r="AA6107" s="781">
        <f>$S$1*P!AA6107</f>
        <v>2.268951612903226E-3</v>
      </c>
      <c r="AB6107" s="780"/>
      <c r="AC6107" s="780"/>
      <c r="AD6107" s="780"/>
      <c r="AE6107" s="780"/>
      <c r="AF6107" s="780"/>
    </row>
    <row r="6108" spans="19:32" x14ac:dyDescent="0.35">
      <c r="S6108" s="780"/>
      <c r="T6108" s="928"/>
      <c r="U6108" s="928"/>
      <c r="V6108" s="928"/>
      <c r="W6108" s="780"/>
      <c r="X6108" s="881">
        <v>6104</v>
      </c>
      <c r="Y6108" s="881" t="s">
        <v>2248</v>
      </c>
      <c r="Z6108" s="881" t="s">
        <v>3225</v>
      </c>
      <c r="AA6108" s="882">
        <f>$S$1*P!AA6108</f>
        <v>7.2127999999999998E-2</v>
      </c>
      <c r="AB6108" s="780"/>
      <c r="AC6108" s="780"/>
      <c r="AD6108" s="780"/>
      <c r="AE6108" s="780"/>
      <c r="AF6108" s="780"/>
    </row>
    <row r="6109" spans="19:32" x14ac:dyDescent="0.35">
      <c r="S6109" s="780"/>
      <c r="T6109" s="928"/>
      <c r="U6109" s="928"/>
      <c r="V6109" s="928"/>
      <c r="W6109" s="780"/>
      <c r="X6109" s="881">
        <v>6105</v>
      </c>
      <c r="Y6109" s="881" t="s">
        <v>2248</v>
      </c>
      <c r="Z6109" s="881" t="s">
        <v>3224</v>
      </c>
      <c r="AA6109" s="882">
        <f>$S$1*P!AA6109</f>
        <v>374.44</v>
      </c>
      <c r="AB6109" s="780"/>
      <c r="AC6109" s="780"/>
      <c r="AD6109" s="780"/>
      <c r="AE6109" s="780"/>
      <c r="AF6109" s="780"/>
    </row>
    <row r="6110" spans="19:32" x14ac:dyDescent="0.35">
      <c r="S6110" s="780"/>
      <c r="T6110" s="928"/>
      <c r="U6110" s="928"/>
      <c r="V6110" s="928"/>
      <c r="W6110" s="780"/>
      <c r="X6110" s="782">
        <v>6106</v>
      </c>
      <c r="Y6110" s="782" t="s">
        <v>2248</v>
      </c>
      <c r="Z6110" s="782" t="s">
        <v>3223</v>
      </c>
      <c r="AA6110" s="781">
        <f>$S$1*P!AA6110</f>
        <v>9.0826612903225826E-6</v>
      </c>
      <c r="AB6110" s="780"/>
      <c r="AC6110" s="780"/>
      <c r="AD6110" s="780"/>
      <c r="AE6110" s="780"/>
      <c r="AF6110" s="780"/>
    </row>
    <row r="6111" spans="19:32" x14ac:dyDescent="0.35">
      <c r="S6111" s="780"/>
      <c r="T6111" s="928"/>
      <c r="U6111" s="928"/>
      <c r="V6111" s="928"/>
      <c r="W6111" s="780"/>
      <c r="X6111" s="881">
        <v>6107</v>
      </c>
      <c r="Y6111" s="881" t="s">
        <v>2248</v>
      </c>
      <c r="Z6111" s="881" t="s">
        <v>3222</v>
      </c>
      <c r="AA6111" s="882">
        <f>$S$1*P!AA6111</f>
        <v>0</v>
      </c>
      <c r="AB6111" s="780"/>
      <c r="AC6111" s="780"/>
      <c r="AD6111" s="780"/>
      <c r="AE6111" s="780"/>
      <c r="AF6111" s="780"/>
    </row>
    <row r="6112" spans="19:32" x14ac:dyDescent="0.35">
      <c r="S6112" s="780"/>
      <c r="T6112" s="928"/>
      <c r="U6112" s="928"/>
      <c r="V6112" s="928"/>
      <c r="W6112" s="780"/>
      <c r="X6112" s="782">
        <v>6108</v>
      </c>
      <c r="Y6112" s="782" t="s">
        <v>2248</v>
      </c>
      <c r="Z6112" s="782" t="s">
        <v>2893</v>
      </c>
      <c r="AA6112" s="781">
        <f>$S$1*P!AA6112</f>
        <v>2.3580645161290324E-4</v>
      </c>
      <c r="AB6112" s="780"/>
      <c r="AC6112" s="780"/>
      <c r="AD6112" s="780"/>
      <c r="AE6112" s="780"/>
      <c r="AF6112" s="780"/>
    </row>
    <row r="6113" spans="19:32" x14ac:dyDescent="0.35">
      <c r="S6113" s="780"/>
      <c r="T6113" s="928"/>
      <c r="U6113" s="928"/>
      <c r="V6113" s="928"/>
      <c r="W6113" s="780"/>
      <c r="X6113" s="881">
        <v>6109</v>
      </c>
      <c r="Y6113" s="881" t="s">
        <v>2248</v>
      </c>
      <c r="Z6113" s="881" t="s">
        <v>3221</v>
      </c>
      <c r="AA6113" s="882">
        <f>$S$1*P!AA6113</f>
        <v>0</v>
      </c>
      <c r="AB6113" s="780"/>
      <c r="AC6113" s="780"/>
      <c r="AD6113" s="780"/>
      <c r="AE6113" s="780"/>
      <c r="AF6113" s="780"/>
    </row>
    <row r="6114" spans="19:32" x14ac:dyDescent="0.35">
      <c r="S6114" s="780"/>
      <c r="T6114" s="928"/>
      <c r="U6114" s="928"/>
      <c r="V6114" s="928"/>
      <c r="W6114" s="780"/>
      <c r="X6114" s="881">
        <v>6110</v>
      </c>
      <c r="Y6114" s="881" t="s">
        <v>2248</v>
      </c>
      <c r="Z6114" s="881" t="s">
        <v>3220</v>
      </c>
      <c r="AA6114" s="882">
        <f>$S$1*P!AA6114</f>
        <v>3.7536</v>
      </c>
      <c r="AB6114" s="780"/>
      <c r="AC6114" s="780"/>
      <c r="AD6114" s="780"/>
      <c r="AE6114" s="780"/>
      <c r="AF6114" s="780"/>
    </row>
    <row r="6115" spans="19:32" x14ac:dyDescent="0.35">
      <c r="S6115" s="780"/>
      <c r="T6115" s="928"/>
      <c r="U6115" s="928"/>
      <c r="V6115" s="928"/>
      <c r="W6115" s="780"/>
      <c r="X6115" s="782">
        <v>6111</v>
      </c>
      <c r="Y6115" s="782" t="s">
        <v>2248</v>
      </c>
      <c r="Z6115" s="782" t="s">
        <v>3219</v>
      </c>
      <c r="AA6115" s="781">
        <f>$S$1*P!AA6115</f>
        <v>1.0590725806451613E-4</v>
      </c>
      <c r="AB6115" s="780"/>
      <c r="AC6115" s="780"/>
      <c r="AD6115" s="780"/>
      <c r="AE6115" s="780"/>
      <c r="AF6115" s="780"/>
    </row>
    <row r="6116" spans="19:32" x14ac:dyDescent="0.35">
      <c r="S6116" s="780"/>
      <c r="T6116" s="928"/>
      <c r="U6116" s="928"/>
      <c r="V6116" s="928"/>
      <c r="W6116" s="780"/>
      <c r="X6116" s="881">
        <v>6112</v>
      </c>
      <c r="Y6116" s="881" t="s">
        <v>2248</v>
      </c>
      <c r="Z6116" s="881" t="s">
        <v>3218</v>
      </c>
      <c r="AA6116" s="882">
        <f>$S$1*P!AA6116</f>
        <v>11.316000000000001</v>
      </c>
      <c r="AB6116" s="780"/>
      <c r="AC6116" s="780"/>
      <c r="AD6116" s="780"/>
      <c r="AE6116" s="780"/>
      <c r="AF6116" s="780"/>
    </row>
    <row r="6117" spans="19:32" x14ac:dyDescent="0.35">
      <c r="S6117" s="780"/>
      <c r="T6117" s="928"/>
      <c r="U6117" s="928"/>
      <c r="V6117" s="928"/>
      <c r="W6117" s="780"/>
      <c r="X6117" s="881">
        <v>6113</v>
      </c>
      <c r="Y6117" s="881" t="s">
        <v>2248</v>
      </c>
      <c r="Z6117" s="881" t="s">
        <v>3217</v>
      </c>
      <c r="AA6117" s="882">
        <f>$S$1*P!AA6117</f>
        <v>0.21068000000000001</v>
      </c>
      <c r="AB6117" s="780"/>
      <c r="AC6117" s="780"/>
      <c r="AD6117" s="780"/>
      <c r="AE6117" s="780"/>
      <c r="AF6117" s="780"/>
    </row>
    <row r="6118" spans="19:32" x14ac:dyDescent="0.35">
      <c r="S6118" s="780"/>
      <c r="T6118" s="928"/>
      <c r="U6118" s="928"/>
      <c r="V6118" s="928"/>
      <c r="W6118" s="780"/>
      <c r="X6118" s="782">
        <v>6114</v>
      </c>
      <c r="Y6118" s="782" t="s">
        <v>2248</v>
      </c>
      <c r="Z6118" s="782" t="s">
        <v>3216</v>
      </c>
      <c r="AA6118" s="781">
        <f>$S$1*P!AA6118</f>
        <v>3.4959677419354839E-4</v>
      </c>
      <c r="AB6118" s="780"/>
      <c r="AC6118" s="780"/>
      <c r="AD6118" s="780"/>
      <c r="AE6118" s="780"/>
      <c r="AF6118" s="780"/>
    </row>
    <row r="6119" spans="19:32" x14ac:dyDescent="0.35">
      <c r="S6119" s="780"/>
      <c r="T6119" s="928"/>
      <c r="U6119" s="928"/>
      <c r="V6119" s="928"/>
      <c r="W6119" s="780"/>
      <c r="X6119" s="881">
        <v>6115</v>
      </c>
      <c r="Y6119" s="881" t="s">
        <v>2248</v>
      </c>
      <c r="Z6119" s="881" t="s">
        <v>3215</v>
      </c>
      <c r="AA6119" s="882">
        <f>$S$1*P!AA6119</f>
        <v>0</v>
      </c>
      <c r="AB6119" s="780"/>
      <c r="AC6119" s="780"/>
      <c r="AD6119" s="780"/>
      <c r="AE6119" s="780"/>
      <c r="AF6119" s="780"/>
    </row>
    <row r="6120" spans="19:32" x14ac:dyDescent="0.35">
      <c r="S6120" s="780"/>
      <c r="T6120" s="928"/>
      <c r="U6120" s="928"/>
      <c r="V6120" s="928"/>
      <c r="W6120" s="780"/>
      <c r="X6120" s="881">
        <v>6116</v>
      </c>
      <c r="Y6120" s="881" t="s">
        <v>2248</v>
      </c>
      <c r="Z6120" s="881" t="s">
        <v>3214</v>
      </c>
      <c r="AA6120" s="882">
        <f>$S$1*P!AA6120</f>
        <v>4.4619999999999997</v>
      </c>
      <c r="AB6120" s="780"/>
      <c r="AC6120" s="780"/>
      <c r="AD6120" s="780"/>
      <c r="AE6120" s="780"/>
      <c r="AF6120" s="780"/>
    </row>
    <row r="6121" spans="19:32" x14ac:dyDescent="0.35">
      <c r="S6121" s="780"/>
      <c r="T6121" s="928"/>
      <c r="U6121" s="928"/>
      <c r="V6121" s="928"/>
      <c r="W6121" s="780"/>
      <c r="X6121" s="782">
        <v>6117</v>
      </c>
      <c r="Y6121" s="782" t="s">
        <v>2248</v>
      </c>
      <c r="Z6121" s="782" t="s">
        <v>3213</v>
      </c>
      <c r="AA6121" s="781">
        <f>$S$1*P!AA6121</f>
        <v>4.1129032258064518E-5</v>
      </c>
      <c r="AB6121" s="780"/>
      <c r="AC6121" s="780"/>
      <c r="AD6121" s="780"/>
      <c r="AE6121" s="780"/>
      <c r="AF6121" s="780"/>
    </row>
    <row r="6122" spans="19:32" x14ac:dyDescent="0.35">
      <c r="S6122" s="780"/>
      <c r="T6122" s="928"/>
      <c r="U6122" s="928"/>
      <c r="V6122" s="928"/>
      <c r="W6122" s="780"/>
      <c r="X6122" s="881">
        <v>6118</v>
      </c>
      <c r="Y6122" s="881" t="s">
        <v>2248</v>
      </c>
      <c r="Z6122" s="881" t="s">
        <v>3212</v>
      </c>
      <c r="AA6122" s="882">
        <f>$S$1*P!AA6122</f>
        <v>0</v>
      </c>
      <c r="AB6122" s="780"/>
      <c r="AC6122" s="780"/>
      <c r="AD6122" s="780"/>
      <c r="AE6122" s="780"/>
      <c r="AF6122" s="780"/>
    </row>
    <row r="6123" spans="19:32" x14ac:dyDescent="0.35">
      <c r="S6123" s="780"/>
      <c r="T6123" s="928"/>
      <c r="U6123" s="928"/>
      <c r="V6123" s="928"/>
      <c r="W6123" s="780"/>
      <c r="X6123" s="782">
        <v>6119</v>
      </c>
      <c r="Y6123" s="782" t="s">
        <v>2248</v>
      </c>
      <c r="Z6123" s="782" t="s">
        <v>3211</v>
      </c>
      <c r="AA6123" s="781">
        <f>$S$1*P!AA6123</f>
        <v>9.2197580645161301E-2</v>
      </c>
      <c r="AB6123" s="780"/>
      <c r="AC6123" s="780"/>
      <c r="AD6123" s="780"/>
      <c r="AE6123" s="780"/>
      <c r="AF6123" s="780"/>
    </row>
    <row r="6124" spans="19:32" x14ac:dyDescent="0.35">
      <c r="S6124" s="780"/>
      <c r="T6124" s="928"/>
      <c r="U6124" s="928"/>
      <c r="V6124" s="928"/>
      <c r="W6124" s="780"/>
      <c r="X6124" s="881">
        <v>6120</v>
      </c>
      <c r="Y6124" s="881" t="s">
        <v>2248</v>
      </c>
      <c r="Z6124" s="881" t="s">
        <v>3210</v>
      </c>
      <c r="AA6124" s="882">
        <f>$S$1*P!AA6124</f>
        <v>1.0396000000000001</v>
      </c>
      <c r="AB6124" s="780"/>
      <c r="AC6124" s="780"/>
      <c r="AD6124" s="780"/>
      <c r="AE6124" s="780"/>
      <c r="AF6124" s="780"/>
    </row>
    <row r="6125" spans="19:32" x14ac:dyDescent="0.35">
      <c r="S6125" s="780"/>
      <c r="T6125" s="928"/>
      <c r="U6125" s="928"/>
      <c r="V6125" s="928"/>
      <c r="W6125" s="780"/>
      <c r="X6125" s="881">
        <v>6121</v>
      </c>
      <c r="Y6125" s="881" t="s">
        <v>2248</v>
      </c>
      <c r="Z6125" s="881" t="s">
        <v>3209</v>
      </c>
      <c r="AA6125" s="882">
        <f>$S$1*P!AA6125</f>
        <v>5.6120000000000001</v>
      </c>
      <c r="AB6125" s="780"/>
      <c r="AC6125" s="780"/>
      <c r="AD6125" s="780"/>
      <c r="AE6125" s="780"/>
      <c r="AF6125" s="780"/>
    </row>
    <row r="6126" spans="19:32" x14ac:dyDescent="0.35">
      <c r="S6126" s="780"/>
      <c r="T6126" s="928"/>
      <c r="U6126" s="928"/>
      <c r="V6126" s="928"/>
      <c r="W6126" s="780"/>
      <c r="X6126" s="782">
        <v>6122</v>
      </c>
      <c r="Y6126" s="782" t="s">
        <v>2248</v>
      </c>
      <c r="Z6126" s="782" t="s">
        <v>3208</v>
      </c>
      <c r="AA6126" s="781">
        <f>$S$1*P!AA6126</f>
        <v>0.79858870967741946</v>
      </c>
      <c r="AB6126" s="780"/>
      <c r="AC6126" s="780"/>
      <c r="AD6126" s="780"/>
      <c r="AE6126" s="780"/>
      <c r="AF6126" s="780"/>
    </row>
    <row r="6127" spans="19:32" x14ac:dyDescent="0.35">
      <c r="S6127" s="780"/>
      <c r="T6127" s="928"/>
      <c r="U6127" s="928"/>
      <c r="V6127" s="928"/>
      <c r="W6127" s="780"/>
      <c r="X6127" s="881">
        <v>6123</v>
      </c>
      <c r="Y6127" s="881" t="s">
        <v>2248</v>
      </c>
      <c r="Z6127" s="881" t="s">
        <v>3207</v>
      </c>
      <c r="AA6127" s="882">
        <f>$S$1*P!AA6127</f>
        <v>0</v>
      </c>
      <c r="AB6127" s="780"/>
      <c r="AC6127" s="780"/>
      <c r="AD6127" s="780"/>
      <c r="AE6127" s="780"/>
      <c r="AF6127" s="780"/>
    </row>
    <row r="6128" spans="19:32" x14ac:dyDescent="0.35">
      <c r="S6128" s="780"/>
      <c r="T6128" s="928"/>
      <c r="U6128" s="928"/>
      <c r="V6128" s="928"/>
      <c r="W6128" s="780"/>
      <c r="X6128" s="881">
        <v>6124</v>
      </c>
      <c r="Y6128" s="881" t="s">
        <v>2248</v>
      </c>
      <c r="Z6128" s="881" t="s">
        <v>3206</v>
      </c>
      <c r="AA6128" s="882">
        <f>$S$1*P!AA6128</f>
        <v>5.3819999999999997</v>
      </c>
      <c r="AB6128" s="780"/>
      <c r="AC6128" s="780"/>
      <c r="AD6128" s="780"/>
      <c r="AE6128" s="780"/>
      <c r="AF6128" s="780"/>
    </row>
    <row r="6129" spans="19:32" x14ac:dyDescent="0.35">
      <c r="S6129" s="780"/>
      <c r="T6129" s="928"/>
      <c r="U6129" s="928"/>
      <c r="V6129" s="928"/>
      <c r="W6129" s="780"/>
      <c r="X6129" s="782">
        <v>6125</v>
      </c>
      <c r="Y6129" s="782" t="s">
        <v>2248</v>
      </c>
      <c r="Z6129" s="782" t="s">
        <v>3205</v>
      </c>
      <c r="AA6129" s="781">
        <f>$S$1*P!AA6129</f>
        <v>6.4092741935483878E-3</v>
      </c>
      <c r="AB6129" s="780"/>
      <c r="AC6129" s="780"/>
      <c r="AD6129" s="780"/>
      <c r="AE6129" s="780"/>
      <c r="AF6129" s="780"/>
    </row>
    <row r="6130" spans="19:32" x14ac:dyDescent="0.35">
      <c r="S6130" s="780"/>
      <c r="T6130" s="928"/>
      <c r="U6130" s="928"/>
      <c r="V6130" s="928"/>
      <c r="W6130" s="780"/>
      <c r="X6130" s="881">
        <v>6126</v>
      </c>
      <c r="Y6130" s="881" t="s">
        <v>2248</v>
      </c>
      <c r="Z6130" s="881" t="s">
        <v>3204</v>
      </c>
      <c r="AA6130" s="882">
        <f>$S$1*P!AA6130</f>
        <v>0</v>
      </c>
      <c r="AB6130" s="780"/>
      <c r="AC6130" s="780"/>
      <c r="AD6130" s="780"/>
      <c r="AE6130" s="780"/>
      <c r="AF6130" s="780"/>
    </row>
    <row r="6131" spans="19:32" x14ac:dyDescent="0.35">
      <c r="S6131" s="780"/>
      <c r="T6131" s="928"/>
      <c r="U6131" s="928"/>
      <c r="V6131" s="928"/>
      <c r="W6131" s="780"/>
      <c r="X6131" s="881">
        <v>6127</v>
      </c>
      <c r="Y6131" s="881" t="s">
        <v>2248</v>
      </c>
      <c r="Z6131" s="881" t="s">
        <v>3203</v>
      </c>
      <c r="AA6131" s="882">
        <f>$S$1*P!AA6131</f>
        <v>1.7112000000000001</v>
      </c>
      <c r="AB6131" s="780"/>
      <c r="AC6131" s="780"/>
      <c r="AD6131" s="780"/>
      <c r="AE6131" s="780"/>
      <c r="AF6131" s="780"/>
    </row>
    <row r="6132" spans="19:32" x14ac:dyDescent="0.35">
      <c r="S6132" s="780"/>
      <c r="T6132" s="928"/>
      <c r="U6132" s="928"/>
      <c r="V6132" s="928"/>
      <c r="W6132" s="780"/>
      <c r="X6132" s="782">
        <v>6128</v>
      </c>
      <c r="Y6132" s="782" t="s">
        <v>2248</v>
      </c>
      <c r="Z6132" s="782" t="s">
        <v>2891</v>
      </c>
      <c r="AA6132" s="781">
        <f>$S$1*P!AA6132</f>
        <v>0.19125</v>
      </c>
      <c r="AB6132" s="780"/>
      <c r="AC6132" s="780"/>
      <c r="AD6132" s="780"/>
      <c r="AE6132" s="780"/>
      <c r="AF6132" s="780"/>
    </row>
    <row r="6133" spans="19:32" x14ac:dyDescent="0.35">
      <c r="S6133" s="780"/>
      <c r="T6133" s="928"/>
      <c r="U6133" s="928"/>
      <c r="V6133" s="928"/>
      <c r="W6133" s="780"/>
      <c r="X6133" s="881">
        <v>6129</v>
      </c>
      <c r="Y6133" s="881" t="s">
        <v>2248</v>
      </c>
      <c r="Z6133" s="881" t="s">
        <v>3202</v>
      </c>
      <c r="AA6133" s="882">
        <f>$S$1*P!AA6133</f>
        <v>10.763999999999999</v>
      </c>
      <c r="AB6133" s="780"/>
      <c r="AC6133" s="780"/>
      <c r="AD6133" s="780"/>
      <c r="AE6133" s="780"/>
      <c r="AF6133" s="780"/>
    </row>
    <row r="6134" spans="19:32" x14ac:dyDescent="0.35">
      <c r="S6134" s="780"/>
      <c r="T6134" s="928"/>
      <c r="U6134" s="928"/>
      <c r="V6134" s="928"/>
      <c r="W6134" s="780"/>
      <c r="X6134" s="881">
        <v>6130</v>
      </c>
      <c r="Y6134" s="881" t="s">
        <v>2248</v>
      </c>
      <c r="Z6134" s="881" t="s">
        <v>3201</v>
      </c>
      <c r="AA6134" s="882">
        <f>$S$1*P!AA6134</f>
        <v>6.6700000000000006E-3</v>
      </c>
      <c r="AB6134" s="780"/>
      <c r="AC6134" s="780"/>
      <c r="AD6134" s="780"/>
      <c r="AE6134" s="780"/>
      <c r="AF6134" s="780"/>
    </row>
    <row r="6135" spans="19:32" x14ac:dyDescent="0.35">
      <c r="S6135" s="780"/>
      <c r="T6135" s="928"/>
      <c r="U6135" s="928"/>
      <c r="V6135" s="928"/>
      <c r="W6135" s="780"/>
      <c r="X6135" s="782">
        <v>6131</v>
      </c>
      <c r="Y6135" s="782" t="s">
        <v>2248</v>
      </c>
      <c r="Z6135" s="782" t="s">
        <v>2888</v>
      </c>
      <c r="AA6135" s="781">
        <f>$S$1*P!AA6135</f>
        <v>5.3810483870967742E-4</v>
      </c>
      <c r="AB6135" s="780"/>
      <c r="AC6135" s="780"/>
      <c r="AD6135" s="780"/>
      <c r="AE6135" s="780"/>
      <c r="AF6135" s="780"/>
    </row>
    <row r="6136" spans="19:32" x14ac:dyDescent="0.35">
      <c r="S6136" s="780"/>
      <c r="T6136" s="928"/>
      <c r="U6136" s="928"/>
      <c r="V6136" s="928"/>
      <c r="W6136" s="780"/>
      <c r="X6136" s="881">
        <v>6132</v>
      </c>
      <c r="Y6136" s="881" t="s">
        <v>2248</v>
      </c>
      <c r="Z6136" s="881" t="s">
        <v>3200</v>
      </c>
      <c r="AA6136" s="882">
        <f>$S$1*P!AA6136</f>
        <v>0</v>
      </c>
      <c r="AB6136" s="780"/>
      <c r="AC6136" s="780"/>
      <c r="AD6136" s="780"/>
      <c r="AE6136" s="780"/>
      <c r="AF6136" s="780"/>
    </row>
    <row r="6137" spans="19:32" x14ac:dyDescent="0.35">
      <c r="S6137" s="780"/>
      <c r="T6137" s="928"/>
      <c r="U6137" s="928"/>
      <c r="V6137" s="928"/>
      <c r="W6137" s="780"/>
      <c r="X6137" s="782">
        <v>6133</v>
      </c>
      <c r="Y6137" s="782" t="s">
        <v>2248</v>
      </c>
      <c r="Z6137" s="782" t="s">
        <v>2887</v>
      </c>
      <c r="AA6137" s="781">
        <f>$S$1*P!AA6137</f>
        <v>2.8653225806451613E-5</v>
      </c>
      <c r="AB6137" s="780"/>
      <c r="AC6137" s="780"/>
      <c r="AD6137" s="780"/>
      <c r="AE6137" s="780"/>
      <c r="AF6137" s="780"/>
    </row>
    <row r="6138" spans="19:32" x14ac:dyDescent="0.35">
      <c r="S6138" s="780"/>
      <c r="T6138" s="928"/>
      <c r="U6138" s="928"/>
      <c r="V6138" s="928"/>
      <c r="W6138" s="780"/>
      <c r="X6138" s="881">
        <v>6134</v>
      </c>
      <c r="Y6138" s="881" t="s">
        <v>2248</v>
      </c>
      <c r="Z6138" s="881" t="s">
        <v>3199</v>
      </c>
      <c r="AA6138" s="882">
        <f>$S$1*P!AA6138</f>
        <v>7.5808E-2</v>
      </c>
      <c r="AB6138" s="780"/>
      <c r="AC6138" s="780"/>
      <c r="AD6138" s="780"/>
      <c r="AE6138" s="780"/>
      <c r="AF6138" s="780"/>
    </row>
    <row r="6139" spans="19:32" x14ac:dyDescent="0.35">
      <c r="S6139" s="780"/>
      <c r="T6139" s="928"/>
      <c r="U6139" s="928"/>
      <c r="V6139" s="928"/>
      <c r="W6139" s="780"/>
      <c r="X6139" s="881">
        <v>6135</v>
      </c>
      <c r="Y6139" s="881" t="s">
        <v>2248</v>
      </c>
      <c r="Z6139" s="881" t="s">
        <v>3198</v>
      </c>
      <c r="AA6139" s="882">
        <f>$S$1*P!AA6139</f>
        <v>0</v>
      </c>
      <c r="AB6139" s="780"/>
      <c r="AC6139" s="780"/>
      <c r="AD6139" s="780"/>
      <c r="AE6139" s="780"/>
      <c r="AF6139" s="780"/>
    </row>
    <row r="6140" spans="19:32" x14ac:dyDescent="0.35">
      <c r="S6140" s="780"/>
      <c r="T6140" s="928"/>
      <c r="U6140" s="928"/>
      <c r="V6140" s="928"/>
      <c r="W6140" s="780"/>
      <c r="X6140" s="782">
        <v>6136</v>
      </c>
      <c r="Y6140" s="782" t="s">
        <v>2248</v>
      </c>
      <c r="Z6140" s="782" t="s">
        <v>3197</v>
      </c>
      <c r="AA6140" s="781">
        <f>$S$1*P!AA6140</f>
        <v>5.2439516129032266E-4</v>
      </c>
      <c r="AB6140" s="780"/>
      <c r="AC6140" s="780"/>
      <c r="AD6140" s="780"/>
      <c r="AE6140" s="780"/>
      <c r="AF6140" s="780"/>
    </row>
    <row r="6141" spans="19:32" x14ac:dyDescent="0.35">
      <c r="S6141" s="780"/>
      <c r="T6141" s="928"/>
      <c r="U6141" s="928"/>
      <c r="V6141" s="928"/>
      <c r="W6141" s="780"/>
      <c r="X6141" s="881">
        <v>6137</v>
      </c>
      <c r="Y6141" s="881" t="s">
        <v>2248</v>
      </c>
      <c r="Z6141" s="881" t="s">
        <v>3196</v>
      </c>
      <c r="AA6141" s="882">
        <f>$S$1*P!AA6141</f>
        <v>0.72219999999999995</v>
      </c>
      <c r="AB6141" s="780"/>
      <c r="AC6141" s="780"/>
      <c r="AD6141" s="780"/>
      <c r="AE6141" s="780"/>
      <c r="AF6141" s="780"/>
    </row>
    <row r="6142" spans="19:32" x14ac:dyDescent="0.35">
      <c r="S6142" s="780"/>
      <c r="T6142" s="928"/>
      <c r="U6142" s="928"/>
      <c r="V6142" s="928"/>
      <c r="W6142" s="780"/>
      <c r="X6142" s="881">
        <v>6138</v>
      </c>
      <c r="Y6142" s="881" t="s">
        <v>2248</v>
      </c>
      <c r="Z6142" s="881" t="s">
        <v>3195</v>
      </c>
      <c r="AA6142" s="882">
        <f>$S$1*P!AA6142</f>
        <v>3.2936000000000001</v>
      </c>
      <c r="AB6142" s="780"/>
      <c r="AC6142" s="780"/>
      <c r="AD6142" s="780"/>
      <c r="AE6142" s="780"/>
      <c r="AF6142" s="780"/>
    </row>
    <row r="6143" spans="19:32" x14ac:dyDescent="0.35">
      <c r="S6143" s="780"/>
      <c r="T6143" s="928"/>
      <c r="U6143" s="928"/>
      <c r="V6143" s="928"/>
      <c r="W6143" s="780"/>
      <c r="X6143" s="782">
        <v>6139</v>
      </c>
      <c r="Y6143" s="782" t="s">
        <v>2248</v>
      </c>
      <c r="Z6143" s="782" t="s">
        <v>3194</v>
      </c>
      <c r="AA6143" s="781">
        <f>$S$1*P!AA6143</f>
        <v>3.0778225806451617E-5</v>
      </c>
      <c r="AB6143" s="780"/>
      <c r="AC6143" s="780"/>
      <c r="AD6143" s="780"/>
      <c r="AE6143" s="780"/>
      <c r="AF6143" s="780"/>
    </row>
    <row r="6144" spans="19:32" x14ac:dyDescent="0.35">
      <c r="S6144" s="780"/>
      <c r="T6144" s="928"/>
      <c r="U6144" s="928"/>
      <c r="V6144" s="928"/>
      <c r="W6144" s="780"/>
      <c r="X6144" s="881">
        <v>6140</v>
      </c>
      <c r="Y6144" s="881" t="s">
        <v>2248</v>
      </c>
      <c r="Z6144" s="881" t="s">
        <v>3193</v>
      </c>
      <c r="AA6144" s="882">
        <f>$S$1*P!AA6144</f>
        <v>1.2052E-3</v>
      </c>
      <c r="AB6144" s="780"/>
      <c r="AC6144" s="780"/>
      <c r="AD6144" s="780"/>
      <c r="AE6144" s="780"/>
      <c r="AF6144" s="780"/>
    </row>
    <row r="6145" spans="19:32" x14ac:dyDescent="0.35">
      <c r="S6145" s="780"/>
      <c r="T6145" s="928"/>
      <c r="U6145" s="928"/>
      <c r="V6145" s="928"/>
      <c r="W6145" s="780"/>
      <c r="X6145" s="881">
        <v>6141</v>
      </c>
      <c r="Y6145" s="881" t="s">
        <v>2248</v>
      </c>
      <c r="Z6145" s="881" t="s">
        <v>3192</v>
      </c>
      <c r="AA6145" s="882">
        <f>$S$1*P!AA6145</f>
        <v>235.51999999999998</v>
      </c>
      <c r="AB6145" s="780"/>
      <c r="AC6145" s="780"/>
      <c r="AD6145" s="780"/>
      <c r="AE6145" s="780"/>
      <c r="AF6145" s="780"/>
    </row>
    <row r="6146" spans="19:32" x14ac:dyDescent="0.35">
      <c r="S6146" s="780"/>
      <c r="T6146" s="928"/>
      <c r="U6146" s="928"/>
      <c r="V6146" s="928"/>
      <c r="W6146" s="780"/>
      <c r="X6146" s="782">
        <v>6142</v>
      </c>
      <c r="Y6146" s="782" t="s">
        <v>2248</v>
      </c>
      <c r="Z6146" s="782" t="s">
        <v>3191</v>
      </c>
      <c r="AA6146" s="781">
        <f>$S$1*P!AA6146</f>
        <v>1.2715725806451613E-4</v>
      </c>
      <c r="AB6146" s="780"/>
      <c r="AC6146" s="780"/>
      <c r="AD6146" s="780"/>
      <c r="AE6146" s="780"/>
      <c r="AF6146" s="780"/>
    </row>
    <row r="6147" spans="19:32" x14ac:dyDescent="0.35">
      <c r="S6147" s="780"/>
      <c r="T6147" s="928"/>
      <c r="U6147" s="928"/>
      <c r="V6147" s="928"/>
      <c r="W6147" s="780"/>
      <c r="X6147" s="881">
        <v>6143</v>
      </c>
      <c r="Y6147" s="881" t="s">
        <v>2248</v>
      </c>
      <c r="Z6147" s="881" t="s">
        <v>3190</v>
      </c>
      <c r="AA6147" s="882">
        <f>$S$1*P!AA6147</f>
        <v>61.088000000000001</v>
      </c>
      <c r="AB6147" s="780"/>
      <c r="AC6147" s="780"/>
      <c r="AD6147" s="780"/>
      <c r="AE6147" s="780"/>
      <c r="AF6147" s="780"/>
    </row>
    <row r="6148" spans="19:32" x14ac:dyDescent="0.35">
      <c r="S6148" s="780"/>
      <c r="T6148" s="928"/>
      <c r="U6148" s="928"/>
      <c r="V6148" s="928"/>
      <c r="W6148" s="780"/>
      <c r="X6148" s="782">
        <v>6144</v>
      </c>
      <c r="Y6148" s="782" t="s">
        <v>2248</v>
      </c>
      <c r="Z6148" s="782" t="s">
        <v>2885</v>
      </c>
      <c r="AA6148" s="781">
        <f>$S$1*P!AA6148</f>
        <v>6.7520161290322584E-4</v>
      </c>
      <c r="AB6148" s="780"/>
      <c r="AC6148" s="780"/>
      <c r="AD6148" s="780"/>
      <c r="AE6148" s="780"/>
      <c r="AF6148" s="780"/>
    </row>
    <row r="6149" spans="19:32" x14ac:dyDescent="0.35">
      <c r="S6149" s="780"/>
      <c r="T6149" s="928"/>
      <c r="U6149" s="928"/>
      <c r="V6149" s="928"/>
      <c r="W6149" s="780"/>
      <c r="X6149" s="881">
        <v>6145</v>
      </c>
      <c r="Y6149" s="881" t="s">
        <v>2248</v>
      </c>
      <c r="Z6149" s="881" t="s">
        <v>3189</v>
      </c>
      <c r="AA6149" s="882">
        <f>$S$1*P!AA6149</f>
        <v>34.315999999999995</v>
      </c>
      <c r="AB6149" s="780"/>
      <c r="AC6149" s="780"/>
      <c r="AD6149" s="780"/>
      <c r="AE6149" s="780"/>
      <c r="AF6149" s="780"/>
    </row>
    <row r="6150" spans="19:32" x14ac:dyDescent="0.35">
      <c r="S6150" s="780"/>
      <c r="T6150" s="928"/>
      <c r="U6150" s="928"/>
      <c r="V6150" s="928"/>
      <c r="W6150" s="780"/>
      <c r="X6150" s="881">
        <v>6146</v>
      </c>
      <c r="Y6150" s="881" t="s">
        <v>2248</v>
      </c>
      <c r="Z6150" s="881" t="s">
        <v>3188</v>
      </c>
      <c r="AA6150" s="882">
        <f>$S$1*P!AA6150</f>
        <v>1.7664E-3</v>
      </c>
      <c r="AB6150" s="780"/>
      <c r="AC6150" s="780"/>
      <c r="AD6150" s="780"/>
      <c r="AE6150" s="780"/>
      <c r="AF6150" s="780"/>
    </row>
    <row r="6151" spans="19:32" x14ac:dyDescent="0.35">
      <c r="S6151" s="780"/>
      <c r="T6151" s="928"/>
      <c r="U6151" s="928"/>
      <c r="V6151" s="928"/>
      <c r="W6151" s="780"/>
      <c r="X6151" s="782">
        <v>6147</v>
      </c>
      <c r="Y6151" s="782" t="s">
        <v>2248</v>
      </c>
      <c r="Z6151" s="782" t="s">
        <v>3187</v>
      </c>
      <c r="AA6151" s="781">
        <f>$S$1*P!AA6151</f>
        <v>8.5685483870967749E-6</v>
      </c>
      <c r="AB6151" s="780"/>
      <c r="AC6151" s="780"/>
      <c r="AD6151" s="780"/>
      <c r="AE6151" s="780"/>
      <c r="AF6151" s="780"/>
    </row>
    <row r="6152" spans="19:32" x14ac:dyDescent="0.35">
      <c r="S6152" s="780"/>
      <c r="T6152" s="928"/>
      <c r="U6152" s="928"/>
      <c r="V6152" s="928"/>
      <c r="W6152" s="780"/>
      <c r="X6152" s="881">
        <v>6148</v>
      </c>
      <c r="Y6152" s="881" t="s">
        <v>2248</v>
      </c>
      <c r="Z6152" s="881" t="s">
        <v>3186</v>
      </c>
      <c r="AA6152" s="882">
        <f>$S$1*P!AA6152</f>
        <v>0</v>
      </c>
      <c r="AB6152" s="780"/>
      <c r="AC6152" s="780"/>
      <c r="AD6152" s="780"/>
      <c r="AE6152" s="780"/>
      <c r="AF6152" s="780"/>
    </row>
    <row r="6153" spans="19:32" x14ac:dyDescent="0.35">
      <c r="S6153" s="780"/>
      <c r="T6153" s="928"/>
      <c r="U6153" s="928"/>
      <c r="V6153" s="928"/>
      <c r="W6153" s="780"/>
      <c r="X6153" s="881">
        <v>6149</v>
      </c>
      <c r="Y6153" s="881" t="s">
        <v>2248</v>
      </c>
      <c r="Z6153" s="881" t="s">
        <v>3185</v>
      </c>
      <c r="AA6153" s="882">
        <f>$S$1*P!AA6153</f>
        <v>0</v>
      </c>
      <c r="AB6153" s="780"/>
      <c r="AC6153" s="780"/>
      <c r="AD6153" s="780"/>
      <c r="AE6153" s="780"/>
      <c r="AF6153" s="780"/>
    </row>
    <row r="6154" spans="19:32" x14ac:dyDescent="0.35">
      <c r="S6154" s="780"/>
      <c r="T6154" s="928"/>
      <c r="U6154" s="928"/>
      <c r="V6154" s="928"/>
      <c r="W6154" s="780"/>
      <c r="X6154" s="782">
        <v>6150</v>
      </c>
      <c r="Y6154" s="782" t="s">
        <v>2248</v>
      </c>
      <c r="Z6154" s="782" t="s">
        <v>3184</v>
      </c>
      <c r="AA6154" s="781">
        <f>$S$1*P!AA6154</f>
        <v>4.1814516129032263E-9</v>
      </c>
      <c r="AB6154" s="780"/>
      <c r="AC6154" s="780"/>
      <c r="AD6154" s="780"/>
      <c r="AE6154" s="780"/>
      <c r="AF6154" s="780"/>
    </row>
    <row r="6155" spans="19:32" x14ac:dyDescent="0.35">
      <c r="S6155" s="780"/>
      <c r="T6155" s="928"/>
      <c r="U6155" s="928"/>
      <c r="V6155" s="928"/>
      <c r="W6155" s="780"/>
      <c r="X6155" s="881">
        <v>6151</v>
      </c>
      <c r="Y6155" s="881" t="s">
        <v>2248</v>
      </c>
      <c r="Z6155" s="881" t="s">
        <v>3183</v>
      </c>
      <c r="AA6155" s="882">
        <f>$S$1*P!AA6155</f>
        <v>1.288</v>
      </c>
      <c r="AB6155" s="780"/>
      <c r="AC6155" s="780"/>
      <c r="AD6155" s="780"/>
      <c r="AE6155" s="780"/>
      <c r="AF6155" s="780"/>
    </row>
    <row r="6156" spans="19:32" x14ac:dyDescent="0.35">
      <c r="S6156" s="780"/>
      <c r="T6156" s="928"/>
      <c r="U6156" s="928"/>
      <c r="V6156" s="928"/>
      <c r="W6156" s="780"/>
      <c r="X6156" s="881">
        <v>6152</v>
      </c>
      <c r="Y6156" s="881" t="s">
        <v>2248</v>
      </c>
      <c r="Z6156" s="881" t="s">
        <v>3182</v>
      </c>
      <c r="AA6156" s="882">
        <f>$S$1*P!AA6156</f>
        <v>0</v>
      </c>
      <c r="AB6156" s="780"/>
      <c r="AC6156" s="780"/>
      <c r="AD6156" s="780"/>
      <c r="AE6156" s="780"/>
      <c r="AF6156" s="780"/>
    </row>
    <row r="6157" spans="19:32" x14ac:dyDescent="0.35">
      <c r="S6157" s="780"/>
      <c r="T6157" s="928"/>
      <c r="U6157" s="928"/>
      <c r="V6157" s="928"/>
      <c r="W6157" s="780"/>
      <c r="X6157" s="782">
        <v>6153</v>
      </c>
      <c r="Y6157" s="782" t="s">
        <v>2248</v>
      </c>
      <c r="Z6157" s="782" t="s">
        <v>3181</v>
      </c>
      <c r="AA6157" s="781">
        <f>$S$1*P!AA6157</f>
        <v>1.0110887096774194E-2</v>
      </c>
      <c r="AB6157" s="780"/>
      <c r="AC6157" s="780"/>
      <c r="AD6157" s="780"/>
      <c r="AE6157" s="780"/>
      <c r="AF6157" s="780"/>
    </row>
    <row r="6158" spans="19:32" x14ac:dyDescent="0.35">
      <c r="S6158" s="780"/>
      <c r="T6158" s="928"/>
      <c r="U6158" s="928"/>
      <c r="V6158" s="928"/>
      <c r="W6158" s="780"/>
      <c r="X6158" s="881">
        <v>6154</v>
      </c>
      <c r="Y6158" s="881" t="s">
        <v>2248</v>
      </c>
      <c r="Z6158" s="881" t="s">
        <v>3180</v>
      </c>
      <c r="AA6158" s="882">
        <f>$S$1*P!AA6158</f>
        <v>0</v>
      </c>
      <c r="AB6158" s="780"/>
      <c r="AC6158" s="780"/>
      <c r="AD6158" s="780"/>
      <c r="AE6158" s="780"/>
      <c r="AF6158" s="780"/>
    </row>
    <row r="6159" spans="19:32" x14ac:dyDescent="0.35">
      <c r="S6159" s="780"/>
      <c r="T6159" s="928"/>
      <c r="U6159" s="928"/>
      <c r="V6159" s="928"/>
      <c r="W6159" s="780"/>
      <c r="X6159" s="881">
        <v>6155</v>
      </c>
      <c r="Y6159" s="881" t="s">
        <v>2248</v>
      </c>
      <c r="Z6159" s="881" t="s">
        <v>3179</v>
      </c>
      <c r="AA6159" s="882">
        <f>$S$1*P!AA6159</f>
        <v>0</v>
      </c>
      <c r="AB6159" s="780"/>
      <c r="AC6159" s="780"/>
      <c r="AD6159" s="780"/>
      <c r="AE6159" s="780"/>
      <c r="AF6159" s="780"/>
    </row>
    <row r="6160" spans="19:32" x14ac:dyDescent="0.35">
      <c r="S6160" s="780"/>
      <c r="T6160" s="928"/>
      <c r="U6160" s="928"/>
      <c r="V6160" s="928"/>
      <c r="W6160" s="780"/>
      <c r="X6160" s="782">
        <v>6156</v>
      </c>
      <c r="Y6160" s="782" t="s">
        <v>2248</v>
      </c>
      <c r="Z6160" s="782" t="s">
        <v>2884</v>
      </c>
      <c r="AA6160" s="781">
        <f>$S$1*P!AA6160</f>
        <v>2.704233870967742E-6</v>
      </c>
      <c r="AB6160" s="780"/>
      <c r="AC6160" s="780"/>
      <c r="AD6160" s="780"/>
      <c r="AE6160" s="780"/>
      <c r="AF6160" s="780"/>
    </row>
    <row r="6161" spans="19:32" x14ac:dyDescent="0.35">
      <c r="S6161" s="780"/>
      <c r="T6161" s="928"/>
      <c r="U6161" s="928"/>
      <c r="V6161" s="928"/>
      <c r="W6161" s="780"/>
      <c r="X6161" s="881">
        <v>6157</v>
      </c>
      <c r="Y6161" s="881" t="s">
        <v>2248</v>
      </c>
      <c r="Z6161" s="881" t="s">
        <v>3178</v>
      </c>
      <c r="AA6161" s="882">
        <f>$S$1*P!AA6161</f>
        <v>1.7756000000000001</v>
      </c>
      <c r="AB6161" s="780"/>
      <c r="AC6161" s="780"/>
      <c r="AD6161" s="780"/>
      <c r="AE6161" s="780"/>
      <c r="AF6161" s="780"/>
    </row>
    <row r="6162" spans="19:32" x14ac:dyDescent="0.35">
      <c r="S6162" s="780"/>
      <c r="T6162" s="928"/>
      <c r="U6162" s="928"/>
      <c r="V6162" s="928"/>
      <c r="W6162" s="780"/>
      <c r="X6162" s="782">
        <v>6158</v>
      </c>
      <c r="Y6162" s="782" t="s">
        <v>2248</v>
      </c>
      <c r="Z6162" s="782" t="s">
        <v>3177</v>
      </c>
      <c r="AA6162" s="781">
        <f>$S$1*P!AA6162</f>
        <v>5.3125000000000004E-3</v>
      </c>
      <c r="AB6162" s="780"/>
      <c r="AC6162" s="780"/>
      <c r="AD6162" s="780"/>
      <c r="AE6162" s="780"/>
      <c r="AF6162" s="780"/>
    </row>
    <row r="6163" spans="19:32" x14ac:dyDescent="0.35">
      <c r="S6163" s="780"/>
      <c r="T6163" s="928"/>
      <c r="U6163" s="928"/>
      <c r="V6163" s="928"/>
      <c r="W6163" s="780"/>
      <c r="X6163" s="881">
        <v>6159</v>
      </c>
      <c r="Y6163" s="881" t="s">
        <v>2248</v>
      </c>
      <c r="Z6163" s="881" t="s">
        <v>3176</v>
      </c>
      <c r="AA6163" s="882">
        <f>$S$1*P!AA6163</f>
        <v>2.7968000000000002</v>
      </c>
      <c r="AB6163" s="780"/>
      <c r="AC6163" s="780"/>
      <c r="AD6163" s="780"/>
      <c r="AE6163" s="780"/>
      <c r="AF6163" s="780"/>
    </row>
    <row r="6164" spans="19:32" x14ac:dyDescent="0.35">
      <c r="S6164" s="780"/>
      <c r="T6164" s="928"/>
      <c r="U6164" s="928"/>
      <c r="V6164" s="928"/>
      <c r="W6164" s="780"/>
      <c r="X6164" s="881">
        <v>6160</v>
      </c>
      <c r="Y6164" s="881" t="s">
        <v>2248</v>
      </c>
      <c r="Z6164" s="881" t="s">
        <v>3175</v>
      </c>
      <c r="AA6164" s="882">
        <f>$S$1*P!AA6164</f>
        <v>0</v>
      </c>
      <c r="AB6164" s="780"/>
      <c r="AC6164" s="780"/>
      <c r="AD6164" s="780"/>
      <c r="AE6164" s="780"/>
      <c r="AF6164" s="780"/>
    </row>
    <row r="6165" spans="19:32" x14ac:dyDescent="0.35">
      <c r="S6165" s="780"/>
      <c r="T6165" s="928"/>
      <c r="U6165" s="928"/>
      <c r="V6165" s="928"/>
      <c r="W6165" s="780"/>
      <c r="X6165" s="782">
        <v>6161</v>
      </c>
      <c r="Y6165" s="782" t="s">
        <v>2248</v>
      </c>
      <c r="Z6165" s="782" t="s">
        <v>3174</v>
      </c>
      <c r="AA6165" s="781">
        <f>$S$1*P!AA6165</f>
        <v>9.9395161290322586E-4</v>
      </c>
      <c r="AB6165" s="780"/>
      <c r="AC6165" s="780"/>
      <c r="AD6165" s="780"/>
      <c r="AE6165" s="780"/>
      <c r="AF6165" s="780"/>
    </row>
    <row r="6166" spans="19:32" x14ac:dyDescent="0.35">
      <c r="S6166" s="780"/>
      <c r="T6166" s="928"/>
      <c r="U6166" s="928"/>
      <c r="V6166" s="928"/>
      <c r="W6166" s="780"/>
      <c r="X6166" s="881">
        <v>6162</v>
      </c>
      <c r="Y6166" s="881" t="s">
        <v>2248</v>
      </c>
      <c r="Z6166" s="881" t="s">
        <v>3173</v>
      </c>
      <c r="AA6166" s="882">
        <f>$S$1*P!AA6166</f>
        <v>0</v>
      </c>
      <c r="AB6166" s="780"/>
      <c r="AC6166" s="780"/>
      <c r="AD6166" s="780"/>
      <c r="AE6166" s="780"/>
      <c r="AF6166" s="780"/>
    </row>
    <row r="6167" spans="19:32" x14ac:dyDescent="0.35">
      <c r="S6167" s="780"/>
      <c r="T6167" s="928"/>
      <c r="U6167" s="928"/>
      <c r="V6167" s="928"/>
      <c r="W6167" s="780"/>
      <c r="X6167" s="881">
        <v>6163</v>
      </c>
      <c r="Y6167" s="881" t="s">
        <v>2248</v>
      </c>
      <c r="Z6167" s="881" t="s">
        <v>3172</v>
      </c>
      <c r="AA6167" s="882">
        <f>$S$1*P!AA6167</f>
        <v>0</v>
      </c>
      <c r="AB6167" s="780"/>
      <c r="AC6167" s="780"/>
      <c r="AD6167" s="780"/>
      <c r="AE6167" s="780"/>
      <c r="AF6167" s="780"/>
    </row>
    <row r="6168" spans="19:32" x14ac:dyDescent="0.35">
      <c r="S6168" s="780"/>
      <c r="T6168" s="928"/>
      <c r="U6168" s="928"/>
      <c r="V6168" s="928"/>
      <c r="W6168" s="780"/>
      <c r="X6168" s="782">
        <v>6164</v>
      </c>
      <c r="Y6168" s="782" t="s">
        <v>2248</v>
      </c>
      <c r="Z6168" s="782" t="s">
        <v>3171</v>
      </c>
      <c r="AA6168" s="781">
        <f>$S$1*P!AA6168</f>
        <v>1.8336693548387099E-3</v>
      </c>
      <c r="AB6168" s="780"/>
      <c r="AC6168" s="780"/>
      <c r="AD6168" s="780"/>
      <c r="AE6168" s="780"/>
      <c r="AF6168" s="780"/>
    </row>
    <row r="6169" spans="19:32" x14ac:dyDescent="0.35">
      <c r="S6169" s="780"/>
      <c r="T6169" s="928"/>
      <c r="U6169" s="928"/>
      <c r="V6169" s="928"/>
      <c r="W6169" s="780"/>
      <c r="X6169" s="881">
        <v>6165</v>
      </c>
      <c r="Y6169" s="881" t="s">
        <v>2248</v>
      </c>
      <c r="Z6169" s="881" t="s">
        <v>3170</v>
      </c>
      <c r="AA6169" s="882">
        <f>$S$1*P!AA6169</f>
        <v>1499.6</v>
      </c>
      <c r="AB6169" s="780"/>
      <c r="AC6169" s="780"/>
      <c r="AD6169" s="780"/>
      <c r="AE6169" s="780"/>
      <c r="AF6169" s="780"/>
    </row>
    <row r="6170" spans="19:32" x14ac:dyDescent="0.35">
      <c r="S6170" s="780"/>
      <c r="T6170" s="928"/>
      <c r="U6170" s="928"/>
      <c r="V6170" s="928"/>
      <c r="W6170" s="780"/>
      <c r="X6170" s="881">
        <v>6166</v>
      </c>
      <c r="Y6170" s="881" t="s">
        <v>2248</v>
      </c>
      <c r="Z6170" s="881" t="s">
        <v>3169</v>
      </c>
      <c r="AA6170" s="882">
        <f>$S$1*P!AA6170</f>
        <v>5.9708000000000005E-4</v>
      </c>
      <c r="AB6170" s="780"/>
      <c r="AC6170" s="780"/>
      <c r="AD6170" s="780"/>
      <c r="AE6170" s="780"/>
      <c r="AF6170" s="780"/>
    </row>
    <row r="6171" spans="19:32" x14ac:dyDescent="0.35">
      <c r="S6171" s="780"/>
      <c r="T6171" s="928"/>
      <c r="U6171" s="928"/>
      <c r="V6171" s="928"/>
      <c r="W6171" s="780"/>
      <c r="X6171" s="782">
        <v>6167</v>
      </c>
      <c r="Y6171" s="782" t="s">
        <v>2248</v>
      </c>
      <c r="Z6171" s="782" t="s">
        <v>3168</v>
      </c>
      <c r="AA6171" s="781">
        <f>$S$1*P!AA6171</f>
        <v>3.1429435483870969E-5</v>
      </c>
      <c r="AB6171" s="780"/>
      <c r="AC6171" s="780"/>
      <c r="AD6171" s="780"/>
      <c r="AE6171" s="780"/>
      <c r="AF6171" s="780"/>
    </row>
    <row r="6172" spans="19:32" x14ac:dyDescent="0.35">
      <c r="S6172" s="780"/>
      <c r="T6172" s="928"/>
      <c r="U6172" s="928"/>
      <c r="V6172" s="928"/>
      <c r="W6172" s="780"/>
      <c r="X6172" s="881">
        <v>6168</v>
      </c>
      <c r="Y6172" s="881" t="s">
        <v>2248</v>
      </c>
      <c r="Z6172" s="881" t="s">
        <v>3167</v>
      </c>
      <c r="AA6172" s="882">
        <f>$S$1*P!AA6172</f>
        <v>0</v>
      </c>
      <c r="AB6172" s="780"/>
      <c r="AC6172" s="780"/>
      <c r="AD6172" s="780"/>
      <c r="AE6172" s="780"/>
      <c r="AF6172" s="780"/>
    </row>
    <row r="6173" spans="19:32" x14ac:dyDescent="0.35">
      <c r="S6173" s="780"/>
      <c r="T6173" s="928"/>
      <c r="U6173" s="928"/>
      <c r="V6173" s="928"/>
      <c r="W6173" s="780"/>
      <c r="X6173" s="782">
        <v>6169</v>
      </c>
      <c r="Y6173" s="782" t="s">
        <v>2248</v>
      </c>
      <c r="Z6173" s="782" t="s">
        <v>3166</v>
      </c>
      <c r="AA6173" s="781">
        <f>$S$1*P!AA6173</f>
        <v>6.1350806451612914E-5</v>
      </c>
      <c r="AB6173" s="780"/>
      <c r="AC6173" s="780"/>
      <c r="AD6173" s="780"/>
      <c r="AE6173" s="780"/>
      <c r="AF6173" s="780"/>
    </row>
    <row r="6174" spans="19:32" x14ac:dyDescent="0.35">
      <c r="S6174" s="780"/>
      <c r="T6174" s="928"/>
      <c r="U6174" s="928"/>
      <c r="V6174" s="928"/>
      <c r="W6174" s="780"/>
      <c r="X6174" s="881">
        <v>6170</v>
      </c>
      <c r="Y6174" s="881" t="s">
        <v>2248</v>
      </c>
      <c r="Z6174" s="881" t="s">
        <v>3165</v>
      </c>
      <c r="AA6174" s="882">
        <f>$S$1*P!AA6174</f>
        <v>0</v>
      </c>
      <c r="AB6174" s="780"/>
      <c r="AC6174" s="780"/>
      <c r="AD6174" s="780"/>
      <c r="AE6174" s="780"/>
      <c r="AF6174" s="780"/>
    </row>
    <row r="6175" spans="19:32" x14ac:dyDescent="0.35">
      <c r="S6175" s="780"/>
      <c r="T6175" s="928"/>
      <c r="U6175" s="928"/>
      <c r="V6175" s="928"/>
      <c r="W6175" s="780"/>
      <c r="X6175" s="881">
        <v>6171</v>
      </c>
      <c r="Y6175" s="881" t="s">
        <v>2248</v>
      </c>
      <c r="Z6175" s="881" t="s">
        <v>3164</v>
      </c>
      <c r="AA6175" s="882">
        <f>$S$1*P!AA6175</f>
        <v>0</v>
      </c>
      <c r="AB6175" s="780"/>
      <c r="AC6175" s="780"/>
      <c r="AD6175" s="780"/>
      <c r="AE6175" s="780"/>
      <c r="AF6175" s="780"/>
    </row>
    <row r="6176" spans="19:32" x14ac:dyDescent="0.35">
      <c r="S6176" s="780"/>
      <c r="T6176" s="928"/>
      <c r="U6176" s="928"/>
      <c r="V6176" s="928"/>
      <c r="W6176" s="780"/>
      <c r="X6176" s="782">
        <v>6172</v>
      </c>
      <c r="Y6176" s="782" t="s">
        <v>2248</v>
      </c>
      <c r="Z6176" s="782" t="s">
        <v>3163</v>
      </c>
      <c r="AA6176" s="781">
        <f>$S$1*P!AA6176</f>
        <v>9.6653225806451619E-5</v>
      </c>
      <c r="AB6176" s="780"/>
      <c r="AC6176" s="780"/>
      <c r="AD6176" s="780"/>
      <c r="AE6176" s="780"/>
      <c r="AF6176" s="780"/>
    </row>
    <row r="6177" spans="19:32" x14ac:dyDescent="0.35">
      <c r="S6177" s="780"/>
      <c r="T6177" s="928"/>
      <c r="U6177" s="928"/>
      <c r="V6177" s="928"/>
      <c r="W6177" s="780"/>
      <c r="X6177" s="881">
        <v>6173</v>
      </c>
      <c r="Y6177" s="881" t="s">
        <v>2248</v>
      </c>
      <c r="Z6177" s="881" t="s">
        <v>3162</v>
      </c>
      <c r="AA6177" s="882">
        <f>$S$1*P!AA6177</f>
        <v>0</v>
      </c>
      <c r="AB6177" s="780"/>
      <c r="AC6177" s="780"/>
      <c r="AD6177" s="780"/>
      <c r="AE6177" s="780"/>
      <c r="AF6177" s="780"/>
    </row>
    <row r="6178" spans="19:32" x14ac:dyDescent="0.35">
      <c r="S6178" s="780"/>
      <c r="T6178" s="928"/>
      <c r="U6178" s="928"/>
      <c r="V6178" s="928"/>
      <c r="W6178" s="780"/>
      <c r="X6178" s="881">
        <v>6174</v>
      </c>
      <c r="Y6178" s="881" t="s">
        <v>2248</v>
      </c>
      <c r="Z6178" s="881" t="s">
        <v>3161</v>
      </c>
      <c r="AA6178" s="882">
        <f>$S$1*P!AA6178</f>
        <v>0.52807999999999999</v>
      </c>
      <c r="AB6178" s="780"/>
      <c r="AC6178" s="780"/>
      <c r="AD6178" s="780"/>
      <c r="AE6178" s="780"/>
      <c r="AF6178" s="780"/>
    </row>
    <row r="6179" spans="19:32" x14ac:dyDescent="0.35">
      <c r="S6179" s="780"/>
      <c r="T6179" s="928"/>
      <c r="U6179" s="928"/>
      <c r="V6179" s="928"/>
      <c r="W6179" s="780"/>
      <c r="X6179" s="782">
        <v>6175</v>
      </c>
      <c r="Y6179" s="782" t="s">
        <v>2248</v>
      </c>
      <c r="Z6179" s="782" t="s">
        <v>3160</v>
      </c>
      <c r="AA6179" s="781">
        <f>$S$1*P!AA6179</f>
        <v>3.8044354838709677E-9</v>
      </c>
      <c r="AB6179" s="780"/>
      <c r="AC6179" s="780"/>
      <c r="AD6179" s="780"/>
      <c r="AE6179" s="780"/>
      <c r="AF6179" s="780"/>
    </row>
    <row r="6180" spans="19:32" x14ac:dyDescent="0.35">
      <c r="S6180" s="780"/>
      <c r="T6180" s="928"/>
      <c r="U6180" s="928"/>
      <c r="V6180" s="928"/>
      <c r="W6180" s="780"/>
      <c r="X6180" s="881">
        <v>6176</v>
      </c>
      <c r="Y6180" s="881" t="s">
        <v>2248</v>
      </c>
      <c r="Z6180" s="881" t="s">
        <v>3159</v>
      </c>
      <c r="AA6180" s="882">
        <f>$S$1*P!AA6180</f>
        <v>0</v>
      </c>
      <c r="AB6180" s="780"/>
      <c r="AC6180" s="780"/>
      <c r="AD6180" s="780"/>
      <c r="AE6180" s="780"/>
      <c r="AF6180" s="780"/>
    </row>
    <row r="6181" spans="19:32" x14ac:dyDescent="0.35">
      <c r="S6181" s="780"/>
      <c r="T6181" s="928"/>
      <c r="U6181" s="928"/>
      <c r="V6181" s="928"/>
      <c r="W6181" s="780"/>
      <c r="X6181" s="881">
        <v>6177</v>
      </c>
      <c r="Y6181" s="881" t="s">
        <v>2248</v>
      </c>
      <c r="Z6181" s="881" t="s">
        <v>3158</v>
      </c>
      <c r="AA6181" s="882">
        <f>$S$1*P!AA6181</f>
        <v>7.1116000000000001</v>
      </c>
      <c r="AB6181" s="780"/>
      <c r="AC6181" s="780"/>
      <c r="AD6181" s="780"/>
      <c r="AE6181" s="780"/>
      <c r="AF6181" s="780"/>
    </row>
    <row r="6182" spans="19:32" x14ac:dyDescent="0.35">
      <c r="S6182" s="780"/>
      <c r="T6182" s="928"/>
      <c r="U6182" s="928"/>
      <c r="V6182" s="928"/>
      <c r="W6182" s="780"/>
      <c r="X6182" s="782">
        <v>6178</v>
      </c>
      <c r="Y6182" s="782" t="s">
        <v>2248</v>
      </c>
      <c r="Z6182" s="782" t="s">
        <v>3157</v>
      </c>
      <c r="AA6182" s="781">
        <f>$S$1*P!AA6182</f>
        <v>2.3477822580645163E-4</v>
      </c>
      <c r="AB6182" s="780"/>
      <c r="AC6182" s="780"/>
      <c r="AD6182" s="780"/>
      <c r="AE6182" s="780"/>
      <c r="AF6182" s="780"/>
    </row>
    <row r="6183" spans="19:32" x14ac:dyDescent="0.35">
      <c r="S6183" s="780"/>
      <c r="T6183" s="928"/>
      <c r="U6183" s="928"/>
      <c r="V6183" s="928"/>
      <c r="W6183" s="780"/>
      <c r="X6183" s="881">
        <v>6179</v>
      </c>
      <c r="Y6183" s="881" t="s">
        <v>2248</v>
      </c>
      <c r="Z6183" s="881" t="s">
        <v>3156</v>
      </c>
      <c r="AA6183" s="882">
        <f>$S$1*P!AA6183</f>
        <v>0</v>
      </c>
      <c r="AB6183" s="780"/>
      <c r="AC6183" s="780"/>
      <c r="AD6183" s="780"/>
      <c r="AE6183" s="780"/>
      <c r="AF6183" s="780"/>
    </row>
    <row r="6184" spans="19:32" x14ac:dyDescent="0.35">
      <c r="S6184" s="780"/>
      <c r="T6184" s="928"/>
      <c r="U6184" s="928"/>
      <c r="V6184" s="928"/>
      <c r="W6184" s="780"/>
      <c r="X6184" s="881">
        <v>6180</v>
      </c>
      <c r="Y6184" s="881" t="s">
        <v>2248</v>
      </c>
      <c r="Z6184" s="881" t="s">
        <v>3155</v>
      </c>
      <c r="AA6184" s="882">
        <f>$S$1*P!AA6184</f>
        <v>1232.8</v>
      </c>
      <c r="AB6184" s="780"/>
      <c r="AC6184" s="780"/>
      <c r="AD6184" s="780"/>
      <c r="AE6184" s="780"/>
      <c r="AF6184" s="780"/>
    </row>
    <row r="6185" spans="19:32" x14ac:dyDescent="0.35">
      <c r="S6185" s="780"/>
      <c r="T6185" s="928"/>
      <c r="U6185" s="928"/>
      <c r="V6185" s="928"/>
      <c r="W6185" s="780"/>
      <c r="X6185" s="782">
        <v>6181</v>
      </c>
      <c r="Y6185" s="782" t="s">
        <v>2248</v>
      </c>
      <c r="Z6185" s="782" t="s">
        <v>3154</v>
      </c>
      <c r="AA6185" s="781">
        <f>$S$1*P!AA6185</f>
        <v>2.3066532258064519E-6</v>
      </c>
      <c r="AB6185" s="780"/>
      <c r="AC6185" s="780"/>
      <c r="AD6185" s="780"/>
      <c r="AE6185" s="780"/>
      <c r="AF6185" s="780"/>
    </row>
    <row r="6186" spans="19:32" x14ac:dyDescent="0.35">
      <c r="S6186" s="780"/>
      <c r="T6186" s="928"/>
      <c r="U6186" s="928"/>
      <c r="V6186" s="928"/>
      <c r="W6186" s="780"/>
      <c r="X6186" s="881">
        <v>6182</v>
      </c>
      <c r="Y6186" s="881" t="s">
        <v>2248</v>
      </c>
      <c r="Z6186" s="881" t="s">
        <v>3153</v>
      </c>
      <c r="AA6186" s="882">
        <f>$S$1*P!AA6186</f>
        <v>0</v>
      </c>
      <c r="AB6186" s="780"/>
      <c r="AC6186" s="780"/>
      <c r="AD6186" s="780"/>
      <c r="AE6186" s="780"/>
      <c r="AF6186" s="780"/>
    </row>
    <row r="6187" spans="19:32" x14ac:dyDescent="0.35">
      <c r="S6187" s="780"/>
      <c r="T6187" s="928"/>
      <c r="U6187" s="928"/>
      <c r="V6187" s="928"/>
      <c r="W6187" s="780"/>
      <c r="X6187" s="782">
        <v>6183</v>
      </c>
      <c r="Y6187" s="782" t="s">
        <v>2248</v>
      </c>
      <c r="Z6187" s="782" t="s">
        <v>3152</v>
      </c>
      <c r="AA6187" s="781">
        <f>$S$1*P!AA6187</f>
        <v>7.6431451612903236E-3</v>
      </c>
      <c r="AB6187" s="780"/>
      <c r="AC6187" s="780"/>
      <c r="AD6187" s="780"/>
      <c r="AE6187" s="780"/>
      <c r="AF6187" s="780"/>
    </row>
    <row r="6188" spans="19:32" x14ac:dyDescent="0.35">
      <c r="S6188" s="780"/>
      <c r="T6188" s="928"/>
      <c r="U6188" s="928"/>
      <c r="V6188" s="928"/>
      <c r="W6188" s="780"/>
      <c r="X6188" s="881">
        <v>6184</v>
      </c>
      <c r="Y6188" s="881" t="s">
        <v>2248</v>
      </c>
      <c r="Z6188" s="881" t="s">
        <v>3151</v>
      </c>
      <c r="AA6188" s="882">
        <f>$S$1*P!AA6188</f>
        <v>0</v>
      </c>
      <c r="AB6188" s="780"/>
      <c r="AC6188" s="780"/>
      <c r="AD6188" s="780"/>
      <c r="AE6188" s="780"/>
      <c r="AF6188" s="780"/>
    </row>
    <row r="6189" spans="19:32" x14ac:dyDescent="0.35">
      <c r="S6189" s="780"/>
      <c r="T6189" s="928"/>
      <c r="U6189" s="928"/>
      <c r="V6189" s="928"/>
      <c r="W6189" s="780"/>
      <c r="X6189" s="881">
        <v>6185</v>
      </c>
      <c r="Y6189" s="881" t="s">
        <v>2248</v>
      </c>
      <c r="Z6189" s="881" t="s">
        <v>3150</v>
      </c>
      <c r="AA6189" s="882">
        <f>$S$1*P!AA6189</f>
        <v>1.9504000000000001E-2</v>
      </c>
      <c r="AB6189" s="780"/>
      <c r="AC6189" s="780"/>
      <c r="AD6189" s="780"/>
      <c r="AE6189" s="780"/>
      <c r="AF6189" s="780"/>
    </row>
    <row r="6190" spans="19:32" x14ac:dyDescent="0.35">
      <c r="S6190" s="780"/>
      <c r="T6190" s="928"/>
      <c r="U6190" s="928"/>
      <c r="V6190" s="928"/>
      <c r="W6190" s="780"/>
      <c r="X6190" s="782">
        <v>6186</v>
      </c>
      <c r="Y6190" s="782" t="s">
        <v>2248</v>
      </c>
      <c r="Z6190" s="782" t="s">
        <v>3149</v>
      </c>
      <c r="AA6190" s="781">
        <f>$S$1*P!AA6190</f>
        <v>4.0786290322580646E-2</v>
      </c>
      <c r="AB6190" s="780"/>
      <c r="AC6190" s="780"/>
      <c r="AD6190" s="780"/>
      <c r="AE6190" s="780"/>
      <c r="AF6190" s="780"/>
    </row>
    <row r="6191" spans="19:32" x14ac:dyDescent="0.35">
      <c r="S6191" s="780"/>
      <c r="T6191" s="928"/>
      <c r="U6191" s="928"/>
      <c r="V6191" s="928"/>
      <c r="W6191" s="780"/>
      <c r="X6191" s="881">
        <v>6187</v>
      </c>
      <c r="Y6191" s="881" t="s">
        <v>2248</v>
      </c>
      <c r="Z6191" s="881" t="s">
        <v>3148</v>
      </c>
      <c r="AA6191" s="882">
        <f>$S$1*P!AA6191</f>
        <v>2934.8</v>
      </c>
      <c r="AB6191" s="780"/>
      <c r="AC6191" s="780"/>
      <c r="AD6191" s="780"/>
      <c r="AE6191" s="780"/>
      <c r="AF6191" s="780"/>
    </row>
    <row r="6192" spans="19:32" x14ac:dyDescent="0.35">
      <c r="S6192" s="780"/>
      <c r="T6192" s="928"/>
      <c r="U6192" s="928"/>
      <c r="V6192" s="928"/>
      <c r="W6192" s="780"/>
      <c r="X6192" s="881">
        <v>6188</v>
      </c>
      <c r="Y6192" s="881" t="s">
        <v>2248</v>
      </c>
      <c r="Z6192" s="881" t="s">
        <v>3147</v>
      </c>
      <c r="AA6192" s="882">
        <f>$S$1*P!AA6192</f>
        <v>0.17756</v>
      </c>
      <c r="AB6192" s="780"/>
      <c r="AC6192" s="780"/>
      <c r="AD6192" s="780"/>
      <c r="AE6192" s="780"/>
      <c r="AF6192" s="780"/>
    </row>
    <row r="6193" spans="19:32" x14ac:dyDescent="0.35">
      <c r="S6193" s="780"/>
      <c r="T6193" s="928"/>
      <c r="U6193" s="928"/>
      <c r="V6193" s="928"/>
      <c r="W6193" s="780"/>
      <c r="X6193" s="782">
        <v>6189</v>
      </c>
      <c r="Y6193" s="782" t="s">
        <v>2248</v>
      </c>
      <c r="Z6193" s="782" t="s">
        <v>3146</v>
      </c>
      <c r="AA6193" s="781">
        <f>$S$1*P!AA6193</f>
        <v>3.461693548387097E-4</v>
      </c>
      <c r="AB6193" s="780"/>
      <c r="AC6193" s="780"/>
      <c r="AD6193" s="780"/>
      <c r="AE6193" s="780"/>
      <c r="AF6193" s="780"/>
    </row>
    <row r="6194" spans="19:32" x14ac:dyDescent="0.35">
      <c r="S6194" s="780"/>
      <c r="T6194" s="928"/>
      <c r="U6194" s="928"/>
      <c r="V6194" s="928"/>
      <c r="W6194" s="780"/>
      <c r="X6194" s="881">
        <v>6190</v>
      </c>
      <c r="Y6194" s="881" t="s">
        <v>2248</v>
      </c>
      <c r="Z6194" s="881" t="s">
        <v>3145</v>
      </c>
      <c r="AA6194" s="882">
        <f>$S$1*P!AA6194</f>
        <v>20.056000000000001</v>
      </c>
      <c r="AB6194" s="780"/>
      <c r="AC6194" s="780"/>
      <c r="AD6194" s="780"/>
      <c r="AE6194" s="780"/>
      <c r="AF6194" s="780"/>
    </row>
    <row r="6195" spans="19:32" x14ac:dyDescent="0.35">
      <c r="S6195" s="780"/>
      <c r="T6195" s="928"/>
      <c r="U6195" s="928"/>
      <c r="V6195" s="928"/>
      <c r="W6195" s="780"/>
      <c r="X6195" s="881">
        <v>6191</v>
      </c>
      <c r="Y6195" s="881" t="s">
        <v>2248</v>
      </c>
      <c r="Z6195" s="881" t="s">
        <v>3144</v>
      </c>
      <c r="AA6195" s="882">
        <f>$S$1*P!AA6195</f>
        <v>0.41952</v>
      </c>
      <c r="AB6195" s="780"/>
      <c r="AC6195" s="780"/>
      <c r="AD6195" s="780"/>
      <c r="AE6195" s="780"/>
      <c r="AF6195" s="780"/>
    </row>
    <row r="6196" spans="19:32" x14ac:dyDescent="0.35">
      <c r="S6196" s="780"/>
      <c r="T6196" s="928"/>
      <c r="U6196" s="928"/>
      <c r="V6196" s="928"/>
      <c r="W6196" s="780"/>
      <c r="X6196" s="782">
        <v>6192</v>
      </c>
      <c r="Y6196" s="782" t="s">
        <v>2248</v>
      </c>
      <c r="Z6196" s="782" t="s">
        <v>3143</v>
      </c>
      <c r="AA6196" s="781">
        <f>$S$1*P!AA6196</f>
        <v>9.2883064516129045E-4</v>
      </c>
      <c r="AB6196" s="780"/>
      <c r="AC6196" s="780"/>
      <c r="AD6196" s="780"/>
      <c r="AE6196" s="780"/>
      <c r="AF6196" s="780"/>
    </row>
    <row r="6197" spans="19:32" x14ac:dyDescent="0.35">
      <c r="S6197" s="780"/>
      <c r="T6197" s="928"/>
      <c r="U6197" s="928"/>
      <c r="V6197" s="928"/>
      <c r="W6197" s="780"/>
      <c r="X6197" s="881">
        <v>6193</v>
      </c>
      <c r="Y6197" s="881" t="s">
        <v>2248</v>
      </c>
      <c r="Z6197" s="881" t="s">
        <v>3142</v>
      </c>
      <c r="AA6197" s="882">
        <f>$S$1*P!AA6197</f>
        <v>0</v>
      </c>
      <c r="AB6197" s="780"/>
      <c r="AC6197" s="780"/>
      <c r="AD6197" s="780"/>
      <c r="AE6197" s="780"/>
      <c r="AF6197" s="780"/>
    </row>
    <row r="6198" spans="19:32" x14ac:dyDescent="0.35">
      <c r="S6198" s="780"/>
      <c r="T6198" s="928"/>
      <c r="U6198" s="928"/>
      <c r="V6198" s="928"/>
      <c r="W6198" s="780"/>
      <c r="X6198" s="782">
        <v>6194</v>
      </c>
      <c r="Y6198" s="782" t="s">
        <v>2248</v>
      </c>
      <c r="Z6198" s="782" t="s">
        <v>3141</v>
      </c>
      <c r="AA6198" s="781">
        <f>$S$1*P!AA6198</f>
        <v>1.5046370967741936E-4</v>
      </c>
      <c r="AB6198" s="780"/>
      <c r="AC6198" s="780"/>
      <c r="AD6198" s="780"/>
      <c r="AE6198" s="780"/>
      <c r="AF6198" s="780"/>
    </row>
    <row r="6199" spans="19:32" x14ac:dyDescent="0.35">
      <c r="S6199" s="780"/>
      <c r="T6199" s="928"/>
      <c r="U6199" s="928"/>
      <c r="V6199" s="928"/>
      <c r="W6199" s="780"/>
      <c r="X6199" s="881">
        <v>6195</v>
      </c>
      <c r="Y6199" s="881" t="s">
        <v>2248</v>
      </c>
      <c r="Z6199" s="881" t="s">
        <v>3140</v>
      </c>
      <c r="AA6199" s="882">
        <f>$S$1*P!AA6199</f>
        <v>0</v>
      </c>
      <c r="AB6199" s="780"/>
      <c r="AC6199" s="780"/>
      <c r="AD6199" s="780"/>
      <c r="AE6199" s="780"/>
      <c r="AF6199" s="780"/>
    </row>
    <row r="6200" spans="19:32" x14ac:dyDescent="0.35">
      <c r="S6200" s="780"/>
      <c r="T6200" s="928"/>
      <c r="U6200" s="928"/>
      <c r="V6200" s="928"/>
      <c r="W6200" s="780"/>
      <c r="X6200" s="881">
        <v>6196</v>
      </c>
      <c r="Y6200" s="881" t="s">
        <v>2248</v>
      </c>
      <c r="Z6200" s="881" t="s">
        <v>3139</v>
      </c>
      <c r="AA6200" s="882">
        <f>$S$1*P!AA6200</f>
        <v>0</v>
      </c>
      <c r="AB6200" s="780"/>
      <c r="AC6200" s="780"/>
      <c r="AD6200" s="780"/>
      <c r="AE6200" s="780"/>
      <c r="AF6200" s="780"/>
    </row>
    <row r="6201" spans="19:32" x14ac:dyDescent="0.35">
      <c r="S6201" s="780"/>
      <c r="T6201" s="928"/>
      <c r="U6201" s="928"/>
      <c r="V6201" s="928"/>
      <c r="W6201" s="780"/>
      <c r="X6201" s="782">
        <v>6197</v>
      </c>
      <c r="Y6201" s="782" t="s">
        <v>2248</v>
      </c>
      <c r="Z6201" s="782" t="s">
        <v>3138</v>
      </c>
      <c r="AA6201" s="781">
        <f>$S$1*P!AA6201</f>
        <v>1.4497983870967743E-5</v>
      </c>
      <c r="AB6201" s="780"/>
      <c r="AC6201" s="780"/>
      <c r="AD6201" s="780"/>
      <c r="AE6201" s="780"/>
      <c r="AF6201" s="780"/>
    </row>
    <row r="6202" spans="19:32" x14ac:dyDescent="0.35">
      <c r="S6202" s="780"/>
      <c r="T6202" s="928"/>
      <c r="U6202" s="928"/>
      <c r="V6202" s="928"/>
      <c r="W6202" s="780"/>
      <c r="X6202" s="881">
        <v>6198</v>
      </c>
      <c r="Y6202" s="881" t="s">
        <v>2248</v>
      </c>
      <c r="Z6202" s="881" t="s">
        <v>3137</v>
      </c>
      <c r="AA6202" s="882">
        <f>$S$1*P!AA6202</f>
        <v>6.0168000000000006E-2</v>
      </c>
      <c r="AB6202" s="780"/>
      <c r="AC6202" s="780"/>
      <c r="AD6202" s="780"/>
      <c r="AE6202" s="780"/>
      <c r="AF6202" s="780"/>
    </row>
    <row r="6203" spans="19:32" x14ac:dyDescent="0.35">
      <c r="S6203" s="780"/>
      <c r="T6203" s="928"/>
      <c r="U6203" s="928"/>
      <c r="V6203" s="928"/>
      <c r="W6203" s="780"/>
      <c r="X6203" s="881">
        <v>6199</v>
      </c>
      <c r="Y6203" s="881" t="s">
        <v>2248</v>
      </c>
      <c r="Z6203" s="881" t="s">
        <v>3136</v>
      </c>
      <c r="AA6203" s="882">
        <f>$S$1*P!AA6203</f>
        <v>0</v>
      </c>
      <c r="AB6203" s="780"/>
      <c r="AC6203" s="780"/>
      <c r="AD6203" s="780"/>
      <c r="AE6203" s="780"/>
      <c r="AF6203" s="780"/>
    </row>
    <row r="6204" spans="19:32" x14ac:dyDescent="0.35">
      <c r="S6204" s="780"/>
      <c r="T6204" s="928"/>
      <c r="U6204" s="928"/>
      <c r="V6204" s="928"/>
      <c r="W6204" s="780"/>
      <c r="X6204" s="782">
        <v>6200</v>
      </c>
      <c r="Y6204" s="782" t="s">
        <v>2248</v>
      </c>
      <c r="Z6204" s="782" t="s">
        <v>3135</v>
      </c>
      <c r="AA6204" s="781">
        <f>$S$1*P!AA6204</f>
        <v>4.1471774193548389E-2</v>
      </c>
      <c r="AB6204" s="780"/>
      <c r="AC6204" s="780"/>
      <c r="AD6204" s="780"/>
      <c r="AE6204" s="780"/>
      <c r="AF6204" s="780"/>
    </row>
    <row r="6205" spans="19:32" x14ac:dyDescent="0.35">
      <c r="S6205" s="780"/>
      <c r="T6205" s="928"/>
      <c r="U6205" s="928"/>
      <c r="V6205" s="928"/>
      <c r="W6205" s="780"/>
      <c r="X6205" s="881">
        <v>6201</v>
      </c>
      <c r="Y6205" s="881" t="s">
        <v>2248</v>
      </c>
      <c r="Z6205" s="881" t="s">
        <v>3134</v>
      </c>
      <c r="AA6205" s="882">
        <f>$S$1*P!AA6205</f>
        <v>0.26955999999999997</v>
      </c>
      <c r="AB6205" s="780"/>
      <c r="AC6205" s="780"/>
      <c r="AD6205" s="780"/>
      <c r="AE6205" s="780"/>
      <c r="AF6205" s="780"/>
    </row>
    <row r="6206" spans="19:32" x14ac:dyDescent="0.35">
      <c r="S6206" s="780"/>
      <c r="T6206" s="928"/>
      <c r="U6206" s="928"/>
      <c r="V6206" s="928"/>
      <c r="W6206" s="780"/>
      <c r="X6206" s="881">
        <v>6202</v>
      </c>
      <c r="Y6206" s="881" t="s">
        <v>2248</v>
      </c>
      <c r="Z6206" s="881" t="s">
        <v>3133</v>
      </c>
      <c r="AA6206" s="882">
        <f>$S$1*P!AA6206</f>
        <v>5.9891999999999994E-2</v>
      </c>
      <c r="AB6206" s="780"/>
      <c r="AC6206" s="780"/>
      <c r="AD6206" s="780"/>
      <c r="AE6206" s="780"/>
      <c r="AF6206" s="780"/>
    </row>
    <row r="6207" spans="19:32" x14ac:dyDescent="0.35">
      <c r="S6207" s="780"/>
      <c r="T6207" s="928"/>
      <c r="U6207" s="928"/>
      <c r="V6207" s="928"/>
      <c r="W6207" s="780"/>
      <c r="X6207" s="782">
        <v>6203</v>
      </c>
      <c r="Y6207" s="782" t="s">
        <v>2248</v>
      </c>
      <c r="Z6207" s="782" t="s">
        <v>3132</v>
      </c>
      <c r="AA6207" s="781">
        <f>$S$1*P!AA6207</f>
        <v>5.6895161290322583E-3</v>
      </c>
      <c r="AB6207" s="780"/>
      <c r="AC6207" s="780"/>
      <c r="AD6207" s="780"/>
      <c r="AE6207" s="780"/>
      <c r="AF6207" s="780"/>
    </row>
    <row r="6208" spans="19:32" x14ac:dyDescent="0.35">
      <c r="S6208" s="780"/>
      <c r="T6208" s="928"/>
      <c r="U6208" s="928"/>
      <c r="V6208" s="928"/>
      <c r="W6208" s="780"/>
      <c r="X6208" s="881">
        <v>6204</v>
      </c>
      <c r="Y6208" s="881" t="s">
        <v>2248</v>
      </c>
      <c r="Z6208" s="881" t="s">
        <v>3131</v>
      </c>
      <c r="AA6208" s="882">
        <f>$S$1*P!AA6208</f>
        <v>7.6451999999999992E-2</v>
      </c>
      <c r="AB6208" s="780"/>
      <c r="AC6208" s="780"/>
      <c r="AD6208" s="780"/>
      <c r="AE6208" s="780"/>
      <c r="AF6208" s="780"/>
    </row>
    <row r="6209" spans="19:32" x14ac:dyDescent="0.35">
      <c r="S6209" s="780"/>
      <c r="T6209" s="928"/>
      <c r="U6209" s="928"/>
      <c r="V6209" s="928"/>
      <c r="W6209" s="780"/>
      <c r="X6209" s="881">
        <v>6205</v>
      </c>
      <c r="Y6209" s="881" t="s">
        <v>2248</v>
      </c>
      <c r="Z6209" s="881" t="s">
        <v>3130</v>
      </c>
      <c r="AA6209" s="882">
        <f>$S$1*P!AA6209</f>
        <v>25.3</v>
      </c>
      <c r="AB6209" s="780"/>
      <c r="AC6209" s="780"/>
      <c r="AD6209" s="780"/>
      <c r="AE6209" s="780"/>
      <c r="AF6209" s="780"/>
    </row>
    <row r="6210" spans="19:32" x14ac:dyDescent="0.35">
      <c r="S6210" s="780"/>
      <c r="T6210" s="928"/>
      <c r="U6210" s="928"/>
      <c r="V6210" s="928"/>
      <c r="W6210" s="780"/>
      <c r="X6210" s="782">
        <v>6206</v>
      </c>
      <c r="Y6210" s="782" t="s">
        <v>2248</v>
      </c>
      <c r="Z6210" s="782" t="s">
        <v>3129</v>
      </c>
      <c r="AA6210" s="781">
        <f>$S$1*P!AA6210</f>
        <v>6.1008064516129043E-4</v>
      </c>
      <c r="AB6210" s="780"/>
      <c r="AC6210" s="780"/>
      <c r="AD6210" s="780"/>
      <c r="AE6210" s="780"/>
      <c r="AF6210" s="780"/>
    </row>
    <row r="6211" spans="19:32" x14ac:dyDescent="0.35">
      <c r="S6211" s="780"/>
      <c r="T6211" s="928"/>
      <c r="U6211" s="928"/>
      <c r="V6211" s="928"/>
      <c r="W6211" s="780"/>
      <c r="X6211" s="881">
        <v>6207</v>
      </c>
      <c r="Y6211" s="881" t="s">
        <v>2248</v>
      </c>
      <c r="Z6211" s="881" t="s">
        <v>3128</v>
      </c>
      <c r="AA6211" s="882">
        <f>$S$1*P!AA6211</f>
        <v>0</v>
      </c>
      <c r="AB6211" s="780"/>
      <c r="AC6211" s="780"/>
      <c r="AD6211" s="780"/>
      <c r="AE6211" s="780"/>
      <c r="AF6211" s="780"/>
    </row>
    <row r="6212" spans="19:32" x14ac:dyDescent="0.35">
      <c r="S6212" s="780"/>
      <c r="T6212" s="928"/>
      <c r="U6212" s="928"/>
      <c r="V6212" s="928"/>
      <c r="W6212" s="780"/>
      <c r="X6212" s="782">
        <v>6208</v>
      </c>
      <c r="Y6212" s="782" t="s">
        <v>2248</v>
      </c>
      <c r="Z6212" s="782" t="s">
        <v>2877</v>
      </c>
      <c r="AA6212" s="781">
        <f>$S$1*P!AA6212</f>
        <v>0.2186693548387097</v>
      </c>
      <c r="AB6212" s="780"/>
      <c r="AC6212" s="780"/>
      <c r="AD6212" s="780"/>
      <c r="AE6212" s="780"/>
      <c r="AF6212" s="780"/>
    </row>
    <row r="6213" spans="19:32" x14ac:dyDescent="0.35">
      <c r="S6213" s="780"/>
      <c r="T6213" s="928"/>
      <c r="U6213" s="928"/>
      <c r="V6213" s="928"/>
      <c r="W6213" s="780"/>
      <c r="X6213" s="881">
        <v>6209</v>
      </c>
      <c r="Y6213" s="881" t="s">
        <v>2248</v>
      </c>
      <c r="Z6213" s="881" t="s">
        <v>3127</v>
      </c>
      <c r="AA6213" s="882">
        <f>$S$1*P!AA6213</f>
        <v>48.576000000000001</v>
      </c>
      <c r="AB6213" s="780"/>
      <c r="AC6213" s="780"/>
      <c r="AD6213" s="780"/>
      <c r="AE6213" s="780"/>
      <c r="AF6213" s="780"/>
    </row>
    <row r="6214" spans="19:32" x14ac:dyDescent="0.35">
      <c r="S6214" s="780"/>
      <c r="T6214" s="928"/>
      <c r="U6214" s="928"/>
      <c r="V6214" s="928"/>
      <c r="W6214" s="780"/>
      <c r="X6214" s="881">
        <v>6210</v>
      </c>
      <c r="Y6214" s="881" t="s">
        <v>2248</v>
      </c>
      <c r="Z6214" s="881" t="s">
        <v>3126</v>
      </c>
      <c r="AA6214" s="882">
        <f>$S$1*P!AA6214</f>
        <v>0</v>
      </c>
      <c r="AB6214" s="780"/>
      <c r="AC6214" s="780"/>
      <c r="AD6214" s="780"/>
      <c r="AE6214" s="780"/>
      <c r="AF6214" s="780"/>
    </row>
    <row r="6215" spans="19:32" x14ac:dyDescent="0.35">
      <c r="S6215" s="780"/>
      <c r="T6215" s="928"/>
      <c r="U6215" s="928"/>
      <c r="V6215" s="928"/>
      <c r="W6215" s="780"/>
      <c r="X6215" s="782">
        <v>6211</v>
      </c>
      <c r="Y6215" s="782" t="s">
        <v>2248</v>
      </c>
      <c r="Z6215" s="782" t="s">
        <v>3125</v>
      </c>
      <c r="AA6215" s="781">
        <f>$S$1*P!AA6215</f>
        <v>3.2731854838709683E-2</v>
      </c>
      <c r="AB6215" s="780"/>
      <c r="AC6215" s="780"/>
      <c r="AD6215" s="780"/>
      <c r="AE6215" s="780"/>
      <c r="AF6215" s="780"/>
    </row>
    <row r="6216" spans="19:32" x14ac:dyDescent="0.35">
      <c r="S6216" s="780"/>
      <c r="T6216" s="928"/>
      <c r="U6216" s="928"/>
      <c r="V6216" s="928"/>
      <c r="W6216" s="780"/>
      <c r="X6216" s="881">
        <v>6212</v>
      </c>
      <c r="Y6216" s="881" t="s">
        <v>2248</v>
      </c>
      <c r="Z6216" s="881" t="s">
        <v>3124</v>
      </c>
      <c r="AA6216" s="882">
        <f>$S$1*P!AA6216</f>
        <v>0</v>
      </c>
      <c r="AB6216" s="780"/>
      <c r="AC6216" s="780"/>
      <c r="AD6216" s="780"/>
      <c r="AE6216" s="780"/>
      <c r="AF6216" s="780"/>
    </row>
    <row r="6217" spans="19:32" x14ac:dyDescent="0.35">
      <c r="S6217" s="780"/>
      <c r="T6217" s="928"/>
      <c r="U6217" s="928"/>
      <c r="V6217" s="928"/>
      <c r="W6217" s="780"/>
      <c r="X6217" s="881">
        <v>6213</v>
      </c>
      <c r="Y6217" s="881" t="s">
        <v>2248</v>
      </c>
      <c r="Z6217" s="881" t="s">
        <v>3123</v>
      </c>
      <c r="AA6217" s="882">
        <f>$S$1*P!AA6217</f>
        <v>27232000</v>
      </c>
      <c r="AB6217" s="780"/>
      <c r="AC6217" s="780"/>
      <c r="AD6217" s="780"/>
      <c r="AE6217" s="780"/>
      <c r="AF6217" s="780"/>
    </row>
    <row r="6218" spans="19:32" x14ac:dyDescent="0.35">
      <c r="S6218" s="780"/>
      <c r="T6218" s="928"/>
      <c r="U6218" s="928"/>
      <c r="V6218" s="928"/>
      <c r="W6218" s="780"/>
      <c r="X6218" s="782">
        <v>6214</v>
      </c>
      <c r="Y6218" s="782" t="s">
        <v>2248</v>
      </c>
      <c r="Z6218" s="782" t="s">
        <v>3122</v>
      </c>
      <c r="AA6218" s="781">
        <f>$S$1*P!AA6218</f>
        <v>8.191532258064517E-5</v>
      </c>
      <c r="AB6218" s="780"/>
      <c r="AC6218" s="780"/>
      <c r="AD6218" s="780"/>
      <c r="AE6218" s="780"/>
      <c r="AF6218" s="780"/>
    </row>
    <row r="6219" spans="19:32" x14ac:dyDescent="0.35">
      <c r="S6219" s="780"/>
      <c r="T6219" s="928"/>
      <c r="U6219" s="928"/>
      <c r="V6219" s="928"/>
      <c r="W6219" s="780"/>
      <c r="X6219" s="881">
        <v>6215</v>
      </c>
      <c r="Y6219" s="881" t="s">
        <v>2248</v>
      </c>
      <c r="Z6219" s="881" t="s">
        <v>3121</v>
      </c>
      <c r="AA6219" s="882">
        <f>$S$1*P!AA6219</f>
        <v>0</v>
      </c>
      <c r="AB6219" s="780"/>
      <c r="AC6219" s="780"/>
      <c r="AD6219" s="780"/>
      <c r="AE6219" s="780"/>
      <c r="AF6219" s="780"/>
    </row>
    <row r="6220" spans="19:32" x14ac:dyDescent="0.35">
      <c r="S6220" s="780"/>
      <c r="T6220" s="928"/>
      <c r="U6220" s="928"/>
      <c r="V6220" s="928"/>
      <c r="W6220" s="780"/>
      <c r="X6220" s="881">
        <v>6216</v>
      </c>
      <c r="Y6220" s="881" t="s">
        <v>2248</v>
      </c>
      <c r="Z6220" s="881" t="s">
        <v>3120</v>
      </c>
      <c r="AA6220" s="882">
        <f>$S$1*P!AA6220</f>
        <v>0</v>
      </c>
      <c r="AB6220" s="780"/>
      <c r="AC6220" s="780"/>
      <c r="AD6220" s="780"/>
      <c r="AE6220" s="780"/>
      <c r="AF6220" s="780"/>
    </row>
    <row r="6221" spans="19:32" x14ac:dyDescent="0.35">
      <c r="S6221" s="780"/>
      <c r="T6221" s="928"/>
      <c r="U6221" s="928"/>
      <c r="V6221" s="928"/>
      <c r="W6221" s="780"/>
      <c r="X6221" s="782">
        <v>6217</v>
      </c>
      <c r="Y6221" s="782" t="s">
        <v>2248</v>
      </c>
      <c r="Z6221" s="782" t="s">
        <v>3119</v>
      </c>
      <c r="AA6221" s="781">
        <f>$S$1*P!AA6221</f>
        <v>2.5362903225806455E-4</v>
      </c>
      <c r="AB6221" s="780"/>
      <c r="AC6221" s="780"/>
      <c r="AD6221" s="780"/>
      <c r="AE6221" s="780"/>
      <c r="AF6221" s="780"/>
    </row>
    <row r="6222" spans="19:32" x14ac:dyDescent="0.35">
      <c r="S6222" s="780"/>
      <c r="T6222" s="928"/>
      <c r="U6222" s="928"/>
      <c r="V6222" s="928"/>
      <c r="W6222" s="780"/>
      <c r="X6222" s="881">
        <v>6218</v>
      </c>
      <c r="Y6222" s="881" t="s">
        <v>2248</v>
      </c>
      <c r="Z6222" s="881" t="s">
        <v>3118</v>
      </c>
      <c r="AA6222" s="882">
        <f>$S$1*P!AA6222</f>
        <v>0.21068000000000001</v>
      </c>
      <c r="AB6222" s="780"/>
      <c r="AC6222" s="780"/>
      <c r="AD6222" s="780"/>
      <c r="AE6222" s="780"/>
      <c r="AF6222" s="780"/>
    </row>
    <row r="6223" spans="19:32" x14ac:dyDescent="0.35">
      <c r="S6223" s="780"/>
      <c r="T6223" s="928"/>
      <c r="U6223" s="928"/>
      <c r="V6223" s="928"/>
      <c r="W6223" s="780"/>
      <c r="X6223" s="782">
        <v>6219</v>
      </c>
      <c r="Y6223" s="782" t="s">
        <v>2248</v>
      </c>
      <c r="Z6223" s="782" t="s">
        <v>3117</v>
      </c>
      <c r="AA6223" s="781">
        <f>$S$1*P!AA6223</f>
        <v>0.31840725806451614</v>
      </c>
      <c r="AB6223" s="780"/>
      <c r="AC6223" s="780"/>
      <c r="AD6223" s="780"/>
      <c r="AE6223" s="780"/>
      <c r="AF6223" s="780"/>
    </row>
    <row r="6224" spans="19:32" x14ac:dyDescent="0.35">
      <c r="S6224" s="780"/>
      <c r="T6224" s="928"/>
      <c r="U6224" s="928"/>
      <c r="V6224" s="928"/>
      <c r="W6224" s="780"/>
      <c r="X6224" s="881">
        <v>6220</v>
      </c>
      <c r="Y6224" s="881" t="s">
        <v>2248</v>
      </c>
      <c r="Z6224" s="881" t="s">
        <v>3116</v>
      </c>
      <c r="AA6224" s="882">
        <f>$S$1*P!AA6224</f>
        <v>0</v>
      </c>
      <c r="AB6224" s="780"/>
      <c r="AC6224" s="780"/>
      <c r="AD6224" s="780"/>
      <c r="AE6224" s="780"/>
      <c r="AF6224" s="780"/>
    </row>
    <row r="6225" spans="19:32" x14ac:dyDescent="0.35">
      <c r="S6225" s="780"/>
      <c r="T6225" s="928"/>
      <c r="U6225" s="928"/>
      <c r="V6225" s="928"/>
      <c r="W6225" s="780"/>
      <c r="X6225" s="881">
        <v>6221</v>
      </c>
      <c r="Y6225" s="881" t="s">
        <v>2248</v>
      </c>
      <c r="Z6225" s="881" t="s">
        <v>3115</v>
      </c>
      <c r="AA6225" s="882">
        <f>$S$1*P!AA6225</f>
        <v>0</v>
      </c>
      <c r="AB6225" s="780"/>
      <c r="AC6225" s="780"/>
      <c r="AD6225" s="780"/>
      <c r="AE6225" s="780"/>
      <c r="AF6225" s="780"/>
    </row>
    <row r="6226" spans="19:32" x14ac:dyDescent="0.35">
      <c r="S6226" s="780"/>
      <c r="T6226" s="928"/>
      <c r="U6226" s="928"/>
      <c r="V6226" s="928"/>
      <c r="W6226" s="780"/>
      <c r="X6226" s="782">
        <v>6222</v>
      </c>
      <c r="Y6226" s="782" t="s">
        <v>2248</v>
      </c>
      <c r="Z6226" s="782" t="s">
        <v>3114</v>
      </c>
      <c r="AA6226" s="781">
        <f>$S$1*P!AA6226</f>
        <v>2.7967741935483877E-6</v>
      </c>
      <c r="AB6226" s="780"/>
      <c r="AC6226" s="780"/>
      <c r="AD6226" s="780"/>
      <c r="AE6226" s="780"/>
      <c r="AF6226" s="780"/>
    </row>
    <row r="6227" spans="19:32" x14ac:dyDescent="0.35">
      <c r="S6227" s="780"/>
      <c r="T6227" s="928"/>
      <c r="U6227" s="928"/>
      <c r="V6227" s="928"/>
      <c r="W6227" s="780"/>
      <c r="X6227" s="881">
        <v>6223</v>
      </c>
      <c r="Y6227" s="881" t="s">
        <v>2248</v>
      </c>
      <c r="Z6227" s="881" t="s">
        <v>3113</v>
      </c>
      <c r="AA6227" s="882">
        <f>$S$1*P!AA6227</f>
        <v>4.3883999999999999</v>
      </c>
      <c r="AB6227" s="780"/>
      <c r="AC6227" s="780"/>
      <c r="AD6227" s="780"/>
      <c r="AE6227" s="780"/>
      <c r="AF6227" s="780"/>
    </row>
    <row r="6228" spans="19:32" x14ac:dyDescent="0.35">
      <c r="S6228" s="780"/>
      <c r="T6228" s="928"/>
      <c r="U6228" s="928"/>
      <c r="V6228" s="928"/>
      <c r="W6228" s="780"/>
      <c r="X6228" s="881">
        <v>6224</v>
      </c>
      <c r="Y6228" s="881" t="s">
        <v>2248</v>
      </c>
      <c r="Z6228" s="881" t="s">
        <v>3112</v>
      </c>
      <c r="AA6228" s="882">
        <f>$S$1*P!AA6228</f>
        <v>3.1280000000000002E-2</v>
      </c>
      <c r="AB6228" s="780"/>
      <c r="AC6228" s="780"/>
      <c r="AD6228" s="780"/>
      <c r="AE6228" s="780"/>
      <c r="AF6228" s="780"/>
    </row>
    <row r="6229" spans="19:32" x14ac:dyDescent="0.35">
      <c r="S6229" s="780"/>
      <c r="T6229" s="928"/>
      <c r="U6229" s="928"/>
      <c r="V6229" s="928"/>
      <c r="W6229" s="780"/>
      <c r="X6229" s="782">
        <v>6225</v>
      </c>
      <c r="Y6229" s="782" t="s">
        <v>2248</v>
      </c>
      <c r="Z6229" s="782" t="s">
        <v>2869</v>
      </c>
      <c r="AA6229" s="781">
        <f>$S$1*P!AA6229</f>
        <v>1.3949596774193549E-2</v>
      </c>
      <c r="AB6229" s="780"/>
      <c r="AC6229" s="780"/>
      <c r="AD6229" s="780"/>
      <c r="AE6229" s="780"/>
      <c r="AF6229" s="780"/>
    </row>
    <row r="6230" spans="19:32" x14ac:dyDescent="0.35">
      <c r="S6230" s="780"/>
      <c r="T6230" s="928"/>
      <c r="U6230" s="928"/>
      <c r="V6230" s="928"/>
      <c r="W6230" s="780"/>
      <c r="X6230" s="881">
        <v>6226</v>
      </c>
      <c r="Y6230" s="881" t="s">
        <v>2248</v>
      </c>
      <c r="Z6230" s="881" t="s">
        <v>3111</v>
      </c>
      <c r="AA6230" s="882">
        <f>$S$1*P!AA6230</f>
        <v>0</v>
      </c>
      <c r="AB6230" s="780"/>
      <c r="AC6230" s="780"/>
      <c r="AD6230" s="780"/>
      <c r="AE6230" s="780"/>
      <c r="AF6230" s="780"/>
    </row>
    <row r="6231" spans="19:32" x14ac:dyDescent="0.35">
      <c r="S6231" s="780"/>
      <c r="T6231" s="928"/>
      <c r="U6231" s="928"/>
      <c r="V6231" s="928"/>
      <c r="W6231" s="780"/>
      <c r="X6231" s="881">
        <v>6227</v>
      </c>
      <c r="Y6231" s="881" t="s">
        <v>2248</v>
      </c>
      <c r="Z6231" s="881" t="s">
        <v>3110</v>
      </c>
      <c r="AA6231" s="882">
        <f>$S$1*P!AA6231</f>
        <v>0</v>
      </c>
      <c r="AB6231" s="780"/>
      <c r="AC6231" s="780"/>
      <c r="AD6231" s="780"/>
      <c r="AE6231" s="780"/>
      <c r="AF6231" s="780"/>
    </row>
    <row r="6232" spans="19:32" x14ac:dyDescent="0.35">
      <c r="S6232" s="780"/>
      <c r="T6232" s="928"/>
      <c r="U6232" s="928"/>
      <c r="V6232" s="928"/>
      <c r="W6232" s="780"/>
      <c r="X6232" s="782">
        <v>6228</v>
      </c>
      <c r="Y6232" s="782" t="s">
        <v>2248</v>
      </c>
      <c r="Z6232" s="782" t="s">
        <v>3109</v>
      </c>
      <c r="AA6232" s="781">
        <f>$S$1*P!AA6232</f>
        <v>0.13024193548387097</v>
      </c>
      <c r="AB6232" s="780"/>
      <c r="AC6232" s="780"/>
      <c r="AD6232" s="780"/>
      <c r="AE6232" s="780"/>
      <c r="AF6232" s="780"/>
    </row>
    <row r="6233" spans="19:32" x14ac:dyDescent="0.35">
      <c r="S6233" s="780"/>
      <c r="T6233" s="928"/>
      <c r="U6233" s="928"/>
      <c r="V6233" s="928"/>
      <c r="W6233" s="780"/>
      <c r="X6233" s="881">
        <v>6229</v>
      </c>
      <c r="Y6233" s="881" t="s">
        <v>2248</v>
      </c>
      <c r="Z6233" s="881" t="s">
        <v>3108</v>
      </c>
      <c r="AA6233" s="882">
        <f>$S$1*P!AA6233</f>
        <v>0</v>
      </c>
      <c r="AB6233" s="780"/>
      <c r="AC6233" s="780"/>
      <c r="AD6233" s="780"/>
      <c r="AE6233" s="780"/>
      <c r="AF6233" s="780"/>
    </row>
    <row r="6234" spans="19:32" x14ac:dyDescent="0.35">
      <c r="S6234" s="780"/>
      <c r="T6234" s="928"/>
      <c r="U6234" s="928"/>
      <c r="V6234" s="928"/>
      <c r="W6234" s="780"/>
      <c r="X6234" s="881">
        <v>6230</v>
      </c>
      <c r="Y6234" s="881" t="s">
        <v>2248</v>
      </c>
      <c r="Z6234" s="881" t="s">
        <v>3107</v>
      </c>
      <c r="AA6234" s="882">
        <f>$S$1*P!AA6234</f>
        <v>0</v>
      </c>
      <c r="AB6234" s="780"/>
      <c r="AC6234" s="780"/>
      <c r="AD6234" s="780"/>
      <c r="AE6234" s="780"/>
      <c r="AF6234" s="780"/>
    </row>
    <row r="6235" spans="19:32" x14ac:dyDescent="0.35">
      <c r="S6235" s="780"/>
      <c r="T6235" s="928"/>
      <c r="U6235" s="928"/>
      <c r="V6235" s="928"/>
      <c r="W6235" s="780"/>
      <c r="X6235" s="782">
        <v>6231</v>
      </c>
      <c r="Y6235" s="782" t="s">
        <v>2248</v>
      </c>
      <c r="Z6235" s="782" t="s">
        <v>3106</v>
      </c>
      <c r="AA6235" s="781">
        <f>$S$1*P!AA6235</f>
        <v>1.3229838709677422E-3</v>
      </c>
      <c r="AB6235" s="780"/>
      <c r="AC6235" s="780"/>
      <c r="AD6235" s="780"/>
      <c r="AE6235" s="780"/>
      <c r="AF6235" s="780"/>
    </row>
    <row r="6236" spans="19:32" x14ac:dyDescent="0.35">
      <c r="S6236" s="780"/>
      <c r="T6236" s="928"/>
      <c r="U6236" s="928"/>
      <c r="V6236" s="928"/>
      <c r="W6236" s="780"/>
      <c r="X6236" s="881">
        <v>6232</v>
      </c>
      <c r="Y6236" s="881" t="s">
        <v>2248</v>
      </c>
      <c r="Z6236" s="881" t="s">
        <v>3105</v>
      </c>
      <c r="AA6236" s="882">
        <f>$S$1*P!AA6236</f>
        <v>6.6976000000000008E-2</v>
      </c>
      <c r="AB6236" s="780"/>
      <c r="AC6236" s="780"/>
      <c r="AD6236" s="780"/>
      <c r="AE6236" s="780"/>
      <c r="AF6236" s="780"/>
    </row>
    <row r="6237" spans="19:32" x14ac:dyDescent="0.35">
      <c r="S6237" s="780"/>
      <c r="T6237" s="928"/>
      <c r="U6237" s="928"/>
      <c r="V6237" s="928"/>
      <c r="W6237" s="780"/>
      <c r="X6237" s="782">
        <v>6233</v>
      </c>
      <c r="Y6237" s="782" t="s">
        <v>2248</v>
      </c>
      <c r="Z6237" s="782" t="s">
        <v>3104</v>
      </c>
      <c r="AA6237" s="781">
        <f>$S$1*P!AA6237</f>
        <v>1.3675403225806454E-5</v>
      </c>
      <c r="AB6237" s="780"/>
      <c r="AC6237" s="780"/>
      <c r="AD6237" s="780"/>
      <c r="AE6237" s="780"/>
      <c r="AF6237" s="780"/>
    </row>
    <row r="6238" spans="19:32" x14ac:dyDescent="0.35">
      <c r="S6238" s="780"/>
      <c r="T6238" s="928"/>
      <c r="U6238" s="928"/>
      <c r="V6238" s="928"/>
      <c r="W6238" s="780"/>
      <c r="X6238" s="881">
        <v>6234</v>
      </c>
      <c r="Y6238" s="881" t="s">
        <v>2248</v>
      </c>
      <c r="Z6238" s="881" t="s">
        <v>3103</v>
      </c>
      <c r="AA6238" s="882">
        <f>$S$1*P!AA6238</f>
        <v>0</v>
      </c>
      <c r="AB6238" s="780"/>
      <c r="AC6238" s="780"/>
      <c r="AD6238" s="780"/>
      <c r="AE6238" s="780"/>
      <c r="AF6238" s="780"/>
    </row>
    <row r="6239" spans="19:32" x14ac:dyDescent="0.35">
      <c r="S6239" s="780"/>
      <c r="T6239" s="928"/>
      <c r="U6239" s="928"/>
      <c r="V6239" s="928"/>
      <c r="W6239" s="780"/>
      <c r="X6239" s="881">
        <v>6235</v>
      </c>
      <c r="Y6239" s="881" t="s">
        <v>2248</v>
      </c>
      <c r="Z6239" s="881" t="s">
        <v>3102</v>
      </c>
      <c r="AA6239" s="882">
        <f>$S$1*P!AA6239</f>
        <v>0</v>
      </c>
      <c r="AB6239" s="780"/>
      <c r="AC6239" s="780"/>
      <c r="AD6239" s="780"/>
      <c r="AE6239" s="780"/>
      <c r="AF6239" s="780"/>
    </row>
    <row r="6240" spans="19:32" x14ac:dyDescent="0.35">
      <c r="S6240" s="780"/>
      <c r="T6240" s="928"/>
      <c r="U6240" s="928"/>
      <c r="V6240" s="928"/>
      <c r="W6240" s="780"/>
      <c r="X6240" s="782">
        <v>6236</v>
      </c>
      <c r="Y6240" s="782" t="s">
        <v>2248</v>
      </c>
      <c r="Z6240" s="782" t="s">
        <v>3101</v>
      </c>
      <c r="AA6240" s="781">
        <f>$S$1*P!AA6240</f>
        <v>0.21729838709677421</v>
      </c>
      <c r="AB6240" s="780"/>
      <c r="AC6240" s="780"/>
      <c r="AD6240" s="780"/>
      <c r="AE6240" s="780"/>
      <c r="AF6240" s="780"/>
    </row>
    <row r="6241" spans="19:32" x14ac:dyDescent="0.35">
      <c r="S6241" s="780"/>
      <c r="T6241" s="928"/>
      <c r="U6241" s="928"/>
      <c r="V6241" s="928"/>
      <c r="W6241" s="780"/>
      <c r="X6241" s="881">
        <v>6237</v>
      </c>
      <c r="Y6241" s="881" t="s">
        <v>2248</v>
      </c>
      <c r="Z6241" s="881" t="s">
        <v>3100</v>
      </c>
      <c r="AA6241" s="882">
        <f>$S$1*P!AA6241</f>
        <v>0</v>
      </c>
      <c r="AB6241" s="780"/>
      <c r="AC6241" s="780"/>
      <c r="AD6241" s="780"/>
      <c r="AE6241" s="780"/>
      <c r="AF6241" s="780"/>
    </row>
    <row r="6242" spans="19:32" x14ac:dyDescent="0.35">
      <c r="S6242" s="780"/>
      <c r="T6242" s="928"/>
      <c r="U6242" s="928"/>
      <c r="V6242" s="928"/>
      <c r="W6242" s="780"/>
      <c r="X6242" s="881">
        <v>6238</v>
      </c>
      <c r="Y6242" s="881" t="s">
        <v>2248</v>
      </c>
      <c r="Z6242" s="881" t="s">
        <v>3099</v>
      </c>
      <c r="AA6242" s="882">
        <f>$S$1*P!AA6242</f>
        <v>0</v>
      </c>
      <c r="AB6242" s="780"/>
      <c r="AC6242" s="780"/>
      <c r="AD6242" s="780"/>
      <c r="AE6242" s="780"/>
      <c r="AF6242" s="780"/>
    </row>
    <row r="6243" spans="19:32" x14ac:dyDescent="0.35">
      <c r="S6243" s="780"/>
      <c r="T6243" s="928"/>
      <c r="U6243" s="928"/>
      <c r="V6243" s="928"/>
      <c r="W6243" s="780"/>
      <c r="X6243" s="782">
        <v>6239</v>
      </c>
      <c r="Y6243" s="782" t="s">
        <v>2248</v>
      </c>
      <c r="Z6243" s="782" t="s">
        <v>3098</v>
      </c>
      <c r="AA6243" s="781">
        <f>$S$1*P!AA6243</f>
        <v>4.1471774193548392E-3</v>
      </c>
      <c r="AB6243" s="780"/>
      <c r="AC6243" s="780"/>
      <c r="AD6243" s="780"/>
      <c r="AE6243" s="780"/>
      <c r="AF6243" s="780"/>
    </row>
    <row r="6244" spans="19:32" x14ac:dyDescent="0.35">
      <c r="S6244" s="780"/>
      <c r="T6244" s="928"/>
      <c r="U6244" s="928"/>
      <c r="V6244" s="928"/>
      <c r="W6244" s="780"/>
      <c r="X6244" s="881">
        <v>6240</v>
      </c>
      <c r="Y6244" s="881" t="s">
        <v>2248</v>
      </c>
      <c r="Z6244" s="881" t="s">
        <v>3097</v>
      </c>
      <c r="AA6244" s="882">
        <f>$S$1*P!AA6244</f>
        <v>0</v>
      </c>
      <c r="AB6244" s="780"/>
      <c r="AC6244" s="780"/>
      <c r="AD6244" s="780"/>
      <c r="AE6244" s="780"/>
      <c r="AF6244" s="780"/>
    </row>
    <row r="6245" spans="19:32" x14ac:dyDescent="0.35">
      <c r="S6245" s="780"/>
      <c r="T6245" s="928"/>
      <c r="U6245" s="928"/>
      <c r="V6245" s="928"/>
      <c r="W6245" s="780"/>
      <c r="X6245" s="881">
        <v>6241</v>
      </c>
      <c r="Y6245" s="881" t="s">
        <v>2248</v>
      </c>
      <c r="Z6245" s="881" t="s">
        <v>3096</v>
      </c>
      <c r="AA6245" s="882">
        <f>$S$1*P!AA6245</f>
        <v>535.44000000000005</v>
      </c>
      <c r="AB6245" s="780"/>
      <c r="AC6245" s="780"/>
      <c r="AD6245" s="780"/>
      <c r="AE6245" s="780"/>
      <c r="AF6245" s="780"/>
    </row>
    <row r="6246" spans="19:32" x14ac:dyDescent="0.35">
      <c r="S6246" s="780"/>
      <c r="T6246" s="928"/>
      <c r="U6246" s="928"/>
      <c r="V6246" s="928"/>
      <c r="W6246" s="780"/>
      <c r="X6246" s="782">
        <v>6242</v>
      </c>
      <c r="Y6246" s="782" t="s">
        <v>2248</v>
      </c>
      <c r="Z6246" s="782" t="s">
        <v>3095</v>
      </c>
      <c r="AA6246" s="781">
        <f>$S$1*P!AA6246</f>
        <v>2.5739919354838713E-6</v>
      </c>
      <c r="AB6246" s="780"/>
      <c r="AC6246" s="780"/>
      <c r="AD6246" s="780"/>
      <c r="AE6246" s="780"/>
      <c r="AF6246" s="780"/>
    </row>
    <row r="6247" spans="19:32" x14ac:dyDescent="0.35">
      <c r="S6247" s="780"/>
      <c r="T6247" s="928"/>
      <c r="U6247" s="928"/>
      <c r="V6247" s="928"/>
      <c r="W6247" s="780"/>
      <c r="X6247" s="881">
        <v>6243</v>
      </c>
      <c r="Y6247" s="881" t="s">
        <v>2248</v>
      </c>
      <c r="Z6247" s="881" t="s">
        <v>3094</v>
      </c>
      <c r="AA6247" s="882">
        <f>$S$1*P!AA6247</f>
        <v>0</v>
      </c>
      <c r="AB6247" s="780"/>
      <c r="AC6247" s="780"/>
      <c r="AD6247" s="780"/>
      <c r="AE6247" s="780"/>
      <c r="AF6247" s="780"/>
    </row>
    <row r="6248" spans="19:32" x14ac:dyDescent="0.35">
      <c r="S6248" s="780"/>
      <c r="T6248" s="928"/>
      <c r="U6248" s="928"/>
      <c r="V6248" s="928"/>
      <c r="W6248" s="780"/>
      <c r="X6248" s="782">
        <v>6244</v>
      </c>
      <c r="Y6248" s="782" t="s">
        <v>2248</v>
      </c>
      <c r="Z6248" s="782" t="s">
        <v>3093</v>
      </c>
      <c r="AA6248" s="781">
        <f>$S$1*P!AA6248</f>
        <v>5.0383064516129031E-4</v>
      </c>
      <c r="AB6248" s="780"/>
      <c r="AC6248" s="780"/>
      <c r="AD6248" s="780"/>
      <c r="AE6248" s="780"/>
      <c r="AF6248" s="780"/>
    </row>
    <row r="6249" spans="19:32" x14ac:dyDescent="0.35">
      <c r="S6249" s="780"/>
      <c r="T6249" s="928"/>
      <c r="U6249" s="928"/>
      <c r="V6249" s="928"/>
      <c r="W6249" s="780"/>
      <c r="X6249" s="881">
        <v>6245</v>
      </c>
      <c r="Y6249" s="881" t="s">
        <v>2248</v>
      </c>
      <c r="Z6249" s="881" t="s">
        <v>3092</v>
      </c>
      <c r="AA6249" s="882">
        <f>$S$1*P!AA6249</f>
        <v>6.2835999999999999</v>
      </c>
      <c r="AB6249" s="780"/>
      <c r="AC6249" s="780"/>
      <c r="AD6249" s="780"/>
      <c r="AE6249" s="780"/>
      <c r="AF6249" s="780"/>
    </row>
    <row r="6250" spans="19:32" x14ac:dyDescent="0.35">
      <c r="S6250" s="780"/>
      <c r="T6250" s="928"/>
      <c r="U6250" s="928"/>
      <c r="V6250" s="928"/>
      <c r="W6250" s="780"/>
      <c r="X6250" s="881">
        <v>6246</v>
      </c>
      <c r="Y6250" s="881" t="s">
        <v>2248</v>
      </c>
      <c r="Z6250" s="881" t="s">
        <v>3091</v>
      </c>
      <c r="AA6250" s="882">
        <f>$S$1*P!AA6250</f>
        <v>0</v>
      </c>
      <c r="AB6250" s="780"/>
      <c r="AC6250" s="780"/>
      <c r="AD6250" s="780"/>
      <c r="AE6250" s="780"/>
      <c r="AF6250" s="780"/>
    </row>
    <row r="6251" spans="19:32" x14ac:dyDescent="0.35">
      <c r="S6251" s="780"/>
      <c r="T6251" s="928"/>
      <c r="U6251" s="928"/>
      <c r="V6251" s="928"/>
      <c r="W6251" s="780"/>
      <c r="X6251" s="782">
        <v>6247</v>
      </c>
      <c r="Y6251" s="782" t="s">
        <v>2248</v>
      </c>
      <c r="Z6251" s="782" t="s">
        <v>2866</v>
      </c>
      <c r="AA6251" s="781">
        <f>$S$1*P!AA6251</f>
        <v>0.33622983870967743</v>
      </c>
      <c r="AB6251" s="780"/>
      <c r="AC6251" s="780"/>
      <c r="AD6251" s="780"/>
      <c r="AE6251" s="780"/>
      <c r="AF6251" s="780"/>
    </row>
    <row r="6252" spans="19:32" x14ac:dyDescent="0.35">
      <c r="S6252" s="780"/>
      <c r="T6252" s="928"/>
      <c r="U6252" s="928"/>
      <c r="V6252" s="928"/>
      <c r="W6252" s="780"/>
      <c r="X6252" s="881">
        <v>6248</v>
      </c>
      <c r="Y6252" s="881" t="s">
        <v>2248</v>
      </c>
      <c r="Z6252" s="881" t="s">
        <v>3090</v>
      </c>
      <c r="AA6252" s="882">
        <f>$S$1*P!AA6252</f>
        <v>0</v>
      </c>
      <c r="AB6252" s="780"/>
      <c r="AC6252" s="780"/>
      <c r="AD6252" s="780"/>
      <c r="AE6252" s="780"/>
      <c r="AF6252" s="780"/>
    </row>
    <row r="6253" spans="19:32" x14ac:dyDescent="0.35">
      <c r="S6253" s="780"/>
      <c r="T6253" s="928"/>
      <c r="U6253" s="928"/>
      <c r="V6253" s="928"/>
      <c r="W6253" s="780"/>
      <c r="X6253" s="881">
        <v>6249</v>
      </c>
      <c r="Y6253" s="881" t="s">
        <v>2248</v>
      </c>
      <c r="Z6253" s="881" t="s">
        <v>3089</v>
      </c>
      <c r="AA6253" s="882">
        <f>$S$1*P!AA6253</f>
        <v>0</v>
      </c>
      <c r="AB6253" s="780"/>
      <c r="AC6253" s="780"/>
      <c r="AD6253" s="780"/>
      <c r="AE6253" s="780"/>
      <c r="AF6253" s="780"/>
    </row>
    <row r="6254" spans="19:32" x14ac:dyDescent="0.35">
      <c r="S6254" s="780"/>
      <c r="T6254" s="928"/>
      <c r="U6254" s="928"/>
      <c r="V6254" s="928"/>
      <c r="W6254" s="780"/>
      <c r="X6254" s="782">
        <v>6250</v>
      </c>
      <c r="Y6254" s="782" t="s">
        <v>2248</v>
      </c>
      <c r="Z6254" s="782" t="s">
        <v>2865</v>
      </c>
      <c r="AA6254" s="781">
        <f>$S$1*P!AA6254</f>
        <v>2.2038306451612904E-2</v>
      </c>
      <c r="AB6254" s="780"/>
      <c r="AC6254" s="780"/>
      <c r="AD6254" s="780"/>
      <c r="AE6254" s="780"/>
      <c r="AF6254" s="780"/>
    </row>
    <row r="6255" spans="19:32" x14ac:dyDescent="0.35">
      <c r="S6255" s="780"/>
      <c r="T6255" s="928"/>
      <c r="U6255" s="928"/>
      <c r="V6255" s="928"/>
      <c r="W6255" s="780"/>
      <c r="X6255" s="881">
        <v>6251</v>
      </c>
      <c r="Y6255" s="881" t="s">
        <v>2248</v>
      </c>
      <c r="Z6255" s="881" t="s">
        <v>3088</v>
      </c>
      <c r="AA6255" s="882">
        <f>$S$1*P!AA6255</f>
        <v>9.5679999999999996</v>
      </c>
      <c r="AB6255" s="780"/>
      <c r="AC6255" s="780"/>
      <c r="AD6255" s="780"/>
      <c r="AE6255" s="780"/>
      <c r="AF6255" s="780"/>
    </row>
    <row r="6256" spans="19:32" x14ac:dyDescent="0.35">
      <c r="S6256" s="780"/>
      <c r="T6256" s="928"/>
      <c r="U6256" s="928"/>
      <c r="V6256" s="928"/>
      <c r="W6256" s="780"/>
      <c r="X6256" s="881">
        <v>6252</v>
      </c>
      <c r="Y6256" s="881" t="s">
        <v>2248</v>
      </c>
      <c r="Z6256" s="881" t="s">
        <v>3087</v>
      </c>
      <c r="AA6256" s="882">
        <f>$S$1*P!AA6256</f>
        <v>0.45540000000000003</v>
      </c>
      <c r="AB6256" s="780"/>
      <c r="AC6256" s="780"/>
      <c r="AD6256" s="780"/>
      <c r="AE6256" s="780"/>
      <c r="AF6256" s="780"/>
    </row>
    <row r="6257" spans="19:32" x14ac:dyDescent="0.35">
      <c r="S6257" s="780"/>
      <c r="T6257" s="928"/>
      <c r="U6257" s="928"/>
      <c r="V6257" s="928"/>
      <c r="W6257" s="780"/>
      <c r="X6257" s="782">
        <v>6253</v>
      </c>
      <c r="Y6257" s="782" t="s">
        <v>2248</v>
      </c>
      <c r="Z6257" s="782" t="s">
        <v>2863</v>
      </c>
      <c r="AA6257" s="781">
        <f>$S$1*P!AA6257</f>
        <v>6.2379032258064522E-2</v>
      </c>
      <c r="AB6257" s="780"/>
      <c r="AC6257" s="780"/>
      <c r="AD6257" s="780"/>
      <c r="AE6257" s="780"/>
      <c r="AF6257" s="780"/>
    </row>
    <row r="6258" spans="19:32" x14ac:dyDescent="0.35">
      <c r="S6258" s="780"/>
      <c r="T6258" s="928"/>
      <c r="U6258" s="928"/>
      <c r="V6258" s="928"/>
      <c r="W6258" s="780"/>
      <c r="X6258" s="881">
        <v>6254</v>
      </c>
      <c r="Y6258" s="881" t="s">
        <v>2248</v>
      </c>
      <c r="Z6258" s="881" t="s">
        <v>3086</v>
      </c>
      <c r="AA6258" s="882">
        <f>$S$1*P!AA6258</f>
        <v>9.9360000000000004E-3</v>
      </c>
      <c r="AB6258" s="780"/>
      <c r="AC6258" s="780"/>
      <c r="AD6258" s="780"/>
      <c r="AE6258" s="780"/>
      <c r="AF6258" s="780"/>
    </row>
    <row r="6259" spans="19:32" x14ac:dyDescent="0.35">
      <c r="S6259" s="780"/>
      <c r="T6259" s="928"/>
      <c r="U6259" s="928"/>
      <c r="V6259" s="928"/>
      <c r="W6259" s="780"/>
      <c r="X6259" s="881">
        <v>6255</v>
      </c>
      <c r="Y6259" s="881" t="s">
        <v>2248</v>
      </c>
      <c r="Z6259" s="881" t="s">
        <v>3085</v>
      </c>
      <c r="AA6259" s="882">
        <f>$S$1*P!AA6259</f>
        <v>0</v>
      </c>
      <c r="AB6259" s="780"/>
      <c r="AC6259" s="780"/>
      <c r="AD6259" s="780"/>
      <c r="AE6259" s="780"/>
      <c r="AF6259" s="780"/>
    </row>
    <row r="6260" spans="19:32" x14ac:dyDescent="0.35">
      <c r="S6260" s="780"/>
      <c r="T6260" s="928"/>
      <c r="U6260" s="928"/>
      <c r="V6260" s="928"/>
      <c r="W6260" s="780"/>
      <c r="X6260" s="782">
        <v>6256</v>
      </c>
      <c r="Y6260" s="782" t="s">
        <v>2248</v>
      </c>
      <c r="Z6260" s="782" t="s">
        <v>3084</v>
      </c>
      <c r="AA6260" s="781">
        <f>$S$1*P!AA6260</f>
        <v>0.16280241935483872</v>
      </c>
      <c r="AB6260" s="780"/>
      <c r="AC6260" s="780"/>
      <c r="AD6260" s="780"/>
      <c r="AE6260" s="780"/>
      <c r="AF6260" s="780"/>
    </row>
    <row r="6261" spans="19:32" x14ac:dyDescent="0.35">
      <c r="S6261" s="780"/>
      <c r="T6261" s="928"/>
      <c r="U6261" s="928"/>
      <c r="V6261" s="928"/>
      <c r="W6261" s="780"/>
      <c r="X6261" s="881">
        <v>6257</v>
      </c>
      <c r="Y6261" s="881" t="s">
        <v>2248</v>
      </c>
      <c r="Z6261" s="881" t="s">
        <v>3083</v>
      </c>
      <c r="AA6261" s="882">
        <f>$S$1*P!AA6261</f>
        <v>1.794</v>
      </c>
      <c r="AB6261" s="780"/>
      <c r="AC6261" s="780"/>
      <c r="AD6261" s="780"/>
      <c r="AE6261" s="780"/>
      <c r="AF6261" s="780"/>
    </row>
    <row r="6262" spans="19:32" x14ac:dyDescent="0.35">
      <c r="S6262" s="780"/>
      <c r="T6262" s="928"/>
      <c r="U6262" s="928"/>
      <c r="V6262" s="928"/>
      <c r="W6262" s="780"/>
      <c r="X6262" s="782">
        <v>6258</v>
      </c>
      <c r="Y6262" s="782" t="s">
        <v>2248</v>
      </c>
      <c r="Z6262" s="782" t="s">
        <v>3082</v>
      </c>
      <c r="AA6262" s="781">
        <f>$S$1*P!AA6262</f>
        <v>1.0110887096774195E-4</v>
      </c>
      <c r="AB6262" s="780"/>
      <c r="AC6262" s="780"/>
      <c r="AD6262" s="780"/>
      <c r="AE6262" s="780"/>
      <c r="AF6262" s="780"/>
    </row>
    <row r="6263" spans="19:32" x14ac:dyDescent="0.35">
      <c r="S6263" s="780"/>
      <c r="T6263" s="928"/>
      <c r="U6263" s="928"/>
      <c r="V6263" s="928"/>
      <c r="W6263" s="780"/>
      <c r="X6263" s="881">
        <v>6259</v>
      </c>
      <c r="Y6263" s="881" t="s">
        <v>2248</v>
      </c>
      <c r="Z6263" s="881" t="s">
        <v>3081</v>
      </c>
      <c r="AA6263" s="882">
        <f>$S$1*P!AA6263</f>
        <v>0.64032</v>
      </c>
      <c r="AB6263" s="780"/>
      <c r="AC6263" s="780"/>
      <c r="AD6263" s="780"/>
      <c r="AE6263" s="780"/>
      <c r="AF6263" s="780"/>
    </row>
    <row r="6264" spans="19:32" x14ac:dyDescent="0.35">
      <c r="S6264" s="780"/>
      <c r="T6264" s="928"/>
      <c r="U6264" s="928"/>
      <c r="V6264" s="928"/>
      <c r="W6264" s="780"/>
      <c r="X6264" s="881">
        <v>6260</v>
      </c>
      <c r="Y6264" s="881" t="s">
        <v>2248</v>
      </c>
      <c r="Z6264" s="881" t="s">
        <v>3080</v>
      </c>
      <c r="AA6264" s="882">
        <f>$S$1*P!AA6264</f>
        <v>0</v>
      </c>
      <c r="AB6264" s="780"/>
      <c r="AC6264" s="780"/>
      <c r="AD6264" s="780"/>
      <c r="AE6264" s="780"/>
      <c r="AF6264" s="780"/>
    </row>
    <row r="6265" spans="19:32" x14ac:dyDescent="0.35">
      <c r="S6265" s="780"/>
      <c r="T6265" s="928"/>
      <c r="U6265" s="928"/>
      <c r="V6265" s="928"/>
      <c r="W6265" s="780"/>
      <c r="X6265" s="782">
        <v>6261</v>
      </c>
      <c r="Y6265" s="782" t="s">
        <v>2248</v>
      </c>
      <c r="Z6265" s="782" t="s">
        <v>3079</v>
      </c>
      <c r="AA6265" s="781">
        <f>$S$1*P!AA6265</f>
        <v>1.1516129032258065E-4</v>
      </c>
      <c r="AB6265" s="780"/>
      <c r="AC6265" s="780"/>
      <c r="AD6265" s="780"/>
      <c r="AE6265" s="780"/>
      <c r="AF6265" s="780"/>
    </row>
    <row r="6266" spans="19:32" x14ac:dyDescent="0.35">
      <c r="S6266" s="780"/>
      <c r="T6266" s="928"/>
      <c r="U6266" s="928"/>
      <c r="V6266" s="928"/>
      <c r="W6266" s="780"/>
      <c r="X6266" s="881">
        <v>6262</v>
      </c>
      <c r="Y6266" s="881" t="s">
        <v>2248</v>
      </c>
      <c r="Z6266" s="881" t="s">
        <v>3078</v>
      </c>
      <c r="AA6266" s="882">
        <f>$S$1*P!AA6266</f>
        <v>0</v>
      </c>
      <c r="AB6266" s="780"/>
      <c r="AC6266" s="780"/>
      <c r="AD6266" s="780"/>
      <c r="AE6266" s="780"/>
      <c r="AF6266" s="780"/>
    </row>
    <row r="6267" spans="19:32" x14ac:dyDescent="0.35">
      <c r="S6267" s="780"/>
      <c r="T6267" s="928"/>
      <c r="U6267" s="928"/>
      <c r="V6267" s="928"/>
      <c r="W6267" s="780"/>
      <c r="X6267" s="881">
        <v>6263</v>
      </c>
      <c r="Y6267" s="881" t="s">
        <v>2248</v>
      </c>
      <c r="Z6267" s="881" t="s">
        <v>3077</v>
      </c>
      <c r="AA6267" s="882">
        <f>$S$1*P!AA6267</f>
        <v>3.3396000000000002E-2</v>
      </c>
      <c r="AB6267" s="780"/>
      <c r="AC6267" s="780"/>
      <c r="AD6267" s="780"/>
      <c r="AE6267" s="780"/>
      <c r="AF6267" s="780"/>
    </row>
    <row r="6268" spans="19:32" x14ac:dyDescent="0.35">
      <c r="S6268" s="780"/>
      <c r="T6268" s="928"/>
      <c r="U6268" s="928"/>
      <c r="V6268" s="928"/>
      <c r="W6268" s="780"/>
      <c r="X6268" s="782">
        <v>6264</v>
      </c>
      <c r="Y6268" s="782" t="s">
        <v>2248</v>
      </c>
      <c r="Z6268" s="782" t="s">
        <v>3076</v>
      </c>
      <c r="AA6268" s="781">
        <f>$S$1*P!AA6268</f>
        <v>9.4939516129032269E-3</v>
      </c>
      <c r="AB6268" s="780"/>
      <c r="AC6268" s="780"/>
      <c r="AD6268" s="780"/>
      <c r="AE6268" s="780"/>
      <c r="AF6268" s="780"/>
    </row>
    <row r="6269" spans="19:32" x14ac:dyDescent="0.35">
      <c r="S6269" s="780"/>
      <c r="T6269" s="928"/>
      <c r="U6269" s="928"/>
      <c r="V6269" s="928"/>
      <c r="W6269" s="780"/>
      <c r="X6269" s="881">
        <v>6265</v>
      </c>
      <c r="Y6269" s="881" t="s">
        <v>2248</v>
      </c>
      <c r="Z6269" s="881" t="s">
        <v>3075</v>
      </c>
      <c r="AA6269" s="882">
        <f>$S$1*P!AA6269</f>
        <v>47.747999999999998</v>
      </c>
      <c r="AB6269" s="780"/>
      <c r="AC6269" s="780"/>
      <c r="AD6269" s="780"/>
      <c r="AE6269" s="780"/>
      <c r="AF6269" s="780"/>
    </row>
    <row r="6270" spans="19:32" x14ac:dyDescent="0.35">
      <c r="S6270" s="780"/>
      <c r="T6270" s="928"/>
      <c r="U6270" s="928"/>
      <c r="V6270" s="928"/>
      <c r="W6270" s="780"/>
      <c r="X6270" s="881">
        <v>6266</v>
      </c>
      <c r="Y6270" s="881" t="s">
        <v>2248</v>
      </c>
      <c r="Z6270" s="881" t="s">
        <v>3074</v>
      </c>
      <c r="AA6270" s="882">
        <f>$S$1*P!AA6270</f>
        <v>1.4536</v>
      </c>
      <c r="AB6270" s="780"/>
      <c r="AC6270" s="780"/>
      <c r="AD6270" s="780"/>
      <c r="AE6270" s="780"/>
      <c r="AF6270" s="780"/>
    </row>
    <row r="6271" spans="19:32" x14ac:dyDescent="0.35">
      <c r="S6271" s="780"/>
      <c r="T6271" s="928"/>
      <c r="U6271" s="928"/>
      <c r="V6271" s="928"/>
      <c r="W6271" s="780"/>
      <c r="X6271" s="782">
        <v>6267</v>
      </c>
      <c r="Y6271" s="782" t="s">
        <v>2248</v>
      </c>
      <c r="Z6271" s="782" t="s">
        <v>2855</v>
      </c>
      <c r="AA6271" s="781">
        <f>$S$1*P!AA6271</f>
        <v>4.3528225806451619</v>
      </c>
      <c r="AB6271" s="780"/>
      <c r="AC6271" s="780"/>
      <c r="AD6271" s="780"/>
      <c r="AE6271" s="780"/>
      <c r="AF6271" s="780"/>
    </row>
    <row r="6272" spans="19:32" x14ac:dyDescent="0.35">
      <c r="S6272" s="780"/>
      <c r="T6272" s="928"/>
      <c r="U6272" s="928"/>
      <c r="V6272" s="928"/>
      <c r="W6272" s="780"/>
      <c r="X6272" s="881">
        <v>6268</v>
      </c>
      <c r="Y6272" s="881" t="s">
        <v>2248</v>
      </c>
      <c r="Z6272" s="881" t="s">
        <v>3073</v>
      </c>
      <c r="AA6272" s="882">
        <f>$S$1*P!AA6272</f>
        <v>0</v>
      </c>
      <c r="AB6272" s="780"/>
      <c r="AC6272" s="780"/>
      <c r="AD6272" s="780"/>
      <c r="AE6272" s="780"/>
      <c r="AF6272" s="780"/>
    </row>
    <row r="6273" spans="19:32" x14ac:dyDescent="0.35">
      <c r="S6273" s="780"/>
      <c r="T6273" s="928"/>
      <c r="U6273" s="928"/>
      <c r="V6273" s="928"/>
      <c r="W6273" s="780"/>
      <c r="X6273" s="881">
        <v>6269</v>
      </c>
      <c r="Y6273" s="881" t="s">
        <v>2248</v>
      </c>
      <c r="Z6273" s="881" t="s">
        <v>3072</v>
      </c>
      <c r="AA6273" s="882">
        <f>$S$1*P!AA6273</f>
        <v>3.0728000000000002E-2</v>
      </c>
      <c r="AB6273" s="780"/>
      <c r="AC6273" s="780"/>
      <c r="AD6273" s="780"/>
      <c r="AE6273" s="780"/>
      <c r="AF6273" s="780"/>
    </row>
    <row r="6274" spans="19:32" x14ac:dyDescent="0.35">
      <c r="S6274" s="780"/>
      <c r="T6274" s="928"/>
      <c r="U6274" s="928"/>
      <c r="V6274" s="928"/>
      <c r="W6274" s="780"/>
      <c r="X6274" s="782">
        <v>6270</v>
      </c>
      <c r="Y6274" s="782" t="s">
        <v>2248</v>
      </c>
      <c r="Z6274" s="782" t="s">
        <v>2854</v>
      </c>
      <c r="AA6274" s="781">
        <f>$S$1*P!AA6274</f>
        <v>2.3923387096774196E-3</v>
      </c>
      <c r="AB6274" s="780"/>
      <c r="AC6274" s="780"/>
      <c r="AD6274" s="780"/>
      <c r="AE6274" s="780"/>
      <c r="AF6274" s="780"/>
    </row>
    <row r="6275" spans="19:32" x14ac:dyDescent="0.35">
      <c r="S6275" s="780"/>
      <c r="T6275" s="928"/>
      <c r="U6275" s="928"/>
      <c r="V6275" s="928"/>
      <c r="W6275" s="780"/>
      <c r="X6275" s="881">
        <v>6271</v>
      </c>
      <c r="Y6275" s="881" t="s">
        <v>2248</v>
      </c>
      <c r="Z6275" s="881" t="s">
        <v>3071</v>
      </c>
      <c r="AA6275" s="882">
        <f>$S$1*P!AA6275</f>
        <v>0</v>
      </c>
      <c r="AB6275" s="780"/>
      <c r="AC6275" s="780"/>
      <c r="AD6275" s="780"/>
      <c r="AE6275" s="780"/>
      <c r="AF6275" s="780"/>
    </row>
    <row r="6276" spans="19:32" x14ac:dyDescent="0.35">
      <c r="S6276" s="780"/>
      <c r="T6276" s="928"/>
      <c r="U6276" s="928"/>
      <c r="V6276" s="928"/>
      <c r="W6276" s="780"/>
      <c r="X6276" s="782">
        <v>6272</v>
      </c>
      <c r="Y6276" s="782" t="s">
        <v>2248</v>
      </c>
      <c r="Z6276" s="782" t="s">
        <v>3070</v>
      </c>
      <c r="AA6276" s="781">
        <f>$S$1*P!AA6276</f>
        <v>5.3125000000000004E-4</v>
      </c>
      <c r="AB6276" s="780"/>
      <c r="AC6276" s="780"/>
      <c r="AD6276" s="780"/>
      <c r="AE6276" s="780"/>
      <c r="AF6276" s="780"/>
    </row>
    <row r="6277" spans="19:32" x14ac:dyDescent="0.35">
      <c r="S6277" s="780"/>
      <c r="T6277" s="928"/>
      <c r="U6277" s="928"/>
      <c r="V6277" s="928"/>
      <c r="W6277" s="780"/>
      <c r="X6277" s="881">
        <v>6273</v>
      </c>
      <c r="Y6277" s="881" t="s">
        <v>2248</v>
      </c>
      <c r="Z6277" s="881" t="s">
        <v>3069</v>
      </c>
      <c r="AA6277" s="882">
        <f>$S$1*P!AA6277</f>
        <v>1.3615999999999999</v>
      </c>
      <c r="AB6277" s="780"/>
      <c r="AC6277" s="780"/>
      <c r="AD6277" s="780"/>
      <c r="AE6277" s="780"/>
      <c r="AF6277" s="780"/>
    </row>
    <row r="6278" spans="19:32" x14ac:dyDescent="0.35">
      <c r="S6278" s="780"/>
      <c r="T6278" s="928"/>
      <c r="U6278" s="928"/>
      <c r="V6278" s="928"/>
      <c r="W6278" s="780"/>
      <c r="X6278" s="881">
        <v>6274</v>
      </c>
      <c r="Y6278" s="881" t="s">
        <v>2248</v>
      </c>
      <c r="Z6278" s="881" t="s">
        <v>3068</v>
      </c>
      <c r="AA6278" s="882">
        <f>$S$1*P!AA6278</f>
        <v>9.844E-2</v>
      </c>
      <c r="AB6278" s="780"/>
      <c r="AC6278" s="780"/>
      <c r="AD6278" s="780"/>
      <c r="AE6278" s="780"/>
      <c r="AF6278" s="780"/>
    </row>
    <row r="6279" spans="19:32" x14ac:dyDescent="0.35">
      <c r="S6279" s="780"/>
      <c r="T6279" s="928"/>
      <c r="U6279" s="928"/>
      <c r="V6279" s="928"/>
      <c r="W6279" s="780"/>
      <c r="X6279" s="782">
        <v>6275</v>
      </c>
      <c r="Y6279" s="782" t="s">
        <v>2248</v>
      </c>
      <c r="Z6279" s="782" t="s">
        <v>3067</v>
      </c>
      <c r="AA6279" s="781">
        <f>$S$1*P!AA6279</f>
        <v>2.7590725806451619E-4</v>
      </c>
      <c r="AB6279" s="780"/>
      <c r="AC6279" s="780"/>
      <c r="AD6279" s="780"/>
      <c r="AE6279" s="780"/>
      <c r="AF6279" s="780"/>
    </row>
    <row r="6280" spans="19:32" x14ac:dyDescent="0.35">
      <c r="S6280" s="780"/>
      <c r="T6280" s="928"/>
      <c r="U6280" s="928"/>
      <c r="V6280" s="928"/>
      <c r="W6280" s="780"/>
      <c r="X6280" s="881">
        <v>6276</v>
      </c>
      <c r="Y6280" s="881" t="s">
        <v>2248</v>
      </c>
      <c r="Z6280" s="881" t="s">
        <v>3066</v>
      </c>
      <c r="AA6280" s="882">
        <f>$S$1*P!AA6280</f>
        <v>1.2972000000000001E-2</v>
      </c>
      <c r="AB6280" s="780"/>
      <c r="AC6280" s="780"/>
      <c r="AD6280" s="780"/>
      <c r="AE6280" s="780"/>
      <c r="AF6280" s="780"/>
    </row>
    <row r="6281" spans="19:32" x14ac:dyDescent="0.35">
      <c r="S6281" s="780"/>
      <c r="T6281" s="928"/>
      <c r="U6281" s="928"/>
      <c r="V6281" s="928"/>
      <c r="W6281" s="780"/>
      <c r="X6281" s="881">
        <v>6277</v>
      </c>
      <c r="Y6281" s="881" t="s">
        <v>2248</v>
      </c>
      <c r="Z6281" s="881" t="s">
        <v>3065</v>
      </c>
      <c r="AA6281" s="882">
        <f>$S$1*P!AA6281</f>
        <v>1.6559999999999999</v>
      </c>
      <c r="AB6281" s="780"/>
      <c r="AC6281" s="780"/>
      <c r="AD6281" s="780"/>
      <c r="AE6281" s="780"/>
      <c r="AF6281" s="780"/>
    </row>
    <row r="6282" spans="19:32" x14ac:dyDescent="0.35">
      <c r="S6282" s="780"/>
      <c r="T6282" s="928"/>
      <c r="U6282" s="928"/>
      <c r="V6282" s="928"/>
      <c r="W6282" s="780"/>
      <c r="X6282" s="782">
        <v>6278</v>
      </c>
      <c r="Y6282" s="782" t="s">
        <v>2248</v>
      </c>
      <c r="Z6282" s="782" t="s">
        <v>2853</v>
      </c>
      <c r="AA6282" s="781">
        <f>$S$1*P!AA6282</f>
        <v>3.5302419354838713E-4</v>
      </c>
      <c r="AB6282" s="780"/>
      <c r="AC6282" s="780"/>
      <c r="AD6282" s="780"/>
      <c r="AE6282" s="780"/>
      <c r="AF6282" s="780"/>
    </row>
    <row r="6283" spans="19:32" x14ac:dyDescent="0.35">
      <c r="S6283" s="780"/>
      <c r="T6283" s="928"/>
      <c r="U6283" s="928"/>
      <c r="V6283" s="928"/>
      <c r="W6283" s="780"/>
      <c r="X6283" s="881">
        <v>6279</v>
      </c>
      <c r="Y6283" s="881" t="s">
        <v>2248</v>
      </c>
      <c r="Z6283" s="881" t="s">
        <v>3064</v>
      </c>
      <c r="AA6283" s="882">
        <f>$S$1*P!AA6283</f>
        <v>2.3828</v>
      </c>
      <c r="AB6283" s="780"/>
      <c r="AC6283" s="780"/>
      <c r="AD6283" s="780"/>
      <c r="AE6283" s="780"/>
      <c r="AF6283" s="780"/>
    </row>
    <row r="6284" spans="19:32" x14ac:dyDescent="0.35">
      <c r="S6284" s="780"/>
      <c r="T6284" s="928"/>
      <c r="U6284" s="928"/>
      <c r="V6284" s="928"/>
      <c r="W6284" s="780"/>
      <c r="X6284" s="881">
        <v>6280</v>
      </c>
      <c r="Y6284" s="881" t="s">
        <v>2248</v>
      </c>
      <c r="Z6284" s="881" t="s">
        <v>3063</v>
      </c>
      <c r="AA6284" s="882">
        <f>$S$1*P!AA6284</f>
        <v>2465.6</v>
      </c>
      <c r="AB6284" s="780"/>
      <c r="AC6284" s="780"/>
      <c r="AD6284" s="780"/>
      <c r="AE6284" s="780"/>
      <c r="AF6284" s="780"/>
    </row>
    <row r="6285" spans="19:32" x14ac:dyDescent="0.35">
      <c r="S6285" s="780"/>
      <c r="T6285" s="928"/>
      <c r="U6285" s="928"/>
      <c r="V6285" s="928"/>
      <c r="W6285" s="780"/>
      <c r="X6285" s="782">
        <v>6281</v>
      </c>
      <c r="Y6285" s="782" t="s">
        <v>2248</v>
      </c>
      <c r="Z6285" s="782" t="s">
        <v>3062</v>
      </c>
      <c r="AA6285" s="781">
        <f>$S$1*P!AA6285</f>
        <v>1.9810483870967745E-4</v>
      </c>
      <c r="AB6285" s="780"/>
      <c r="AC6285" s="780"/>
      <c r="AD6285" s="780"/>
      <c r="AE6285" s="780"/>
      <c r="AF6285" s="780"/>
    </row>
    <row r="6286" spans="19:32" x14ac:dyDescent="0.35">
      <c r="S6286" s="780"/>
      <c r="T6286" s="928"/>
      <c r="U6286" s="928"/>
      <c r="V6286" s="928"/>
      <c r="W6286" s="780"/>
      <c r="X6286" s="881">
        <v>6282</v>
      </c>
      <c r="Y6286" s="881" t="s">
        <v>2248</v>
      </c>
      <c r="Z6286" s="881" t="s">
        <v>3061</v>
      </c>
      <c r="AA6286" s="882">
        <f>$S$1*P!AA6286</f>
        <v>2.4380000000000001E-3</v>
      </c>
      <c r="AB6286" s="780"/>
      <c r="AC6286" s="780"/>
      <c r="AD6286" s="780"/>
      <c r="AE6286" s="780"/>
      <c r="AF6286" s="780"/>
    </row>
    <row r="6287" spans="19:32" x14ac:dyDescent="0.35">
      <c r="S6287" s="780"/>
      <c r="T6287" s="928"/>
      <c r="U6287" s="928"/>
      <c r="V6287" s="928"/>
      <c r="W6287" s="780"/>
      <c r="X6287" s="782">
        <v>6283</v>
      </c>
      <c r="Y6287" s="782" t="s">
        <v>2248</v>
      </c>
      <c r="Z6287" s="782" t="s">
        <v>3060</v>
      </c>
      <c r="AA6287" s="781">
        <f>$S$1*P!AA6287</f>
        <v>0.11618951612903226</v>
      </c>
      <c r="AB6287" s="780"/>
      <c r="AC6287" s="780"/>
      <c r="AD6287" s="780"/>
      <c r="AE6287" s="780"/>
      <c r="AF6287" s="780"/>
    </row>
    <row r="6288" spans="19:32" x14ac:dyDescent="0.35">
      <c r="S6288" s="780"/>
      <c r="T6288" s="928"/>
      <c r="U6288" s="928"/>
      <c r="V6288" s="928"/>
      <c r="W6288" s="780"/>
      <c r="X6288" s="881">
        <v>6284</v>
      </c>
      <c r="Y6288" s="881" t="s">
        <v>2248</v>
      </c>
      <c r="Z6288" s="881" t="s">
        <v>3059</v>
      </c>
      <c r="AA6288" s="882">
        <f>$S$1*P!AA6288</f>
        <v>2.3E-2</v>
      </c>
      <c r="AB6288" s="780"/>
      <c r="AC6288" s="780"/>
      <c r="AD6288" s="780"/>
      <c r="AE6288" s="780"/>
      <c r="AF6288" s="780"/>
    </row>
    <row r="6289" spans="19:32" x14ac:dyDescent="0.35">
      <c r="S6289" s="780"/>
      <c r="T6289" s="928"/>
      <c r="U6289" s="928"/>
      <c r="V6289" s="928"/>
      <c r="W6289" s="780"/>
      <c r="X6289" s="881">
        <v>6285</v>
      </c>
      <c r="Y6289" s="881" t="s">
        <v>2248</v>
      </c>
      <c r="Z6289" s="881" t="s">
        <v>3058</v>
      </c>
      <c r="AA6289" s="882">
        <f>$S$1*P!AA6289</f>
        <v>0.96599999999999986</v>
      </c>
      <c r="AB6289" s="780"/>
      <c r="AC6289" s="780"/>
      <c r="AD6289" s="780"/>
      <c r="AE6289" s="780"/>
      <c r="AF6289" s="780"/>
    </row>
    <row r="6290" spans="19:32" x14ac:dyDescent="0.35">
      <c r="S6290" s="780"/>
      <c r="T6290" s="928"/>
      <c r="U6290" s="928"/>
      <c r="V6290" s="928"/>
      <c r="W6290" s="780"/>
      <c r="X6290" s="782">
        <v>6286</v>
      </c>
      <c r="Y6290" s="782" t="s">
        <v>2248</v>
      </c>
      <c r="Z6290" s="782" t="s">
        <v>3057</v>
      </c>
      <c r="AA6290" s="781">
        <f>$S$1*P!AA6290</f>
        <v>6.7177419354838716E-2</v>
      </c>
      <c r="AB6290" s="780"/>
      <c r="AC6290" s="780"/>
      <c r="AD6290" s="780"/>
      <c r="AE6290" s="780"/>
      <c r="AF6290" s="780"/>
    </row>
    <row r="6291" spans="19:32" x14ac:dyDescent="0.35">
      <c r="S6291" s="780"/>
      <c r="T6291" s="928"/>
      <c r="U6291" s="928"/>
      <c r="V6291" s="928"/>
      <c r="W6291" s="780"/>
      <c r="X6291" s="881">
        <v>6287</v>
      </c>
      <c r="Y6291" s="881" t="s">
        <v>2248</v>
      </c>
      <c r="Z6291" s="881" t="s">
        <v>3056</v>
      </c>
      <c r="AA6291" s="882">
        <f>$S$1*P!AA6291</f>
        <v>7.1943999999999994E-2</v>
      </c>
      <c r="AB6291" s="780"/>
      <c r="AC6291" s="780"/>
      <c r="AD6291" s="780"/>
      <c r="AE6291" s="780"/>
      <c r="AF6291" s="780"/>
    </row>
    <row r="6292" spans="19:32" x14ac:dyDescent="0.35">
      <c r="S6292" s="780"/>
      <c r="T6292" s="928"/>
      <c r="U6292" s="928"/>
      <c r="V6292" s="928"/>
      <c r="W6292" s="780"/>
      <c r="X6292" s="881">
        <v>6288</v>
      </c>
      <c r="Y6292" s="881" t="s">
        <v>2248</v>
      </c>
      <c r="Z6292" s="881" t="s">
        <v>3055</v>
      </c>
      <c r="AA6292" s="882">
        <f>$S$1*P!AA6292</f>
        <v>0</v>
      </c>
      <c r="AB6292" s="780"/>
      <c r="AC6292" s="780"/>
      <c r="AD6292" s="780"/>
      <c r="AE6292" s="780"/>
      <c r="AF6292" s="780"/>
    </row>
    <row r="6293" spans="19:32" x14ac:dyDescent="0.35">
      <c r="S6293" s="780"/>
      <c r="T6293" s="928"/>
      <c r="U6293" s="928"/>
      <c r="V6293" s="928"/>
      <c r="W6293" s="780"/>
      <c r="X6293" s="782">
        <v>6289</v>
      </c>
      <c r="Y6293" s="782" t="s">
        <v>2248</v>
      </c>
      <c r="Z6293" s="782" t="s">
        <v>2850</v>
      </c>
      <c r="AA6293" s="781">
        <f>$S$1*P!AA6293</f>
        <v>3.5987903225806452E-2</v>
      </c>
      <c r="AB6293" s="780"/>
      <c r="AC6293" s="780"/>
      <c r="AD6293" s="780"/>
      <c r="AE6293" s="780"/>
      <c r="AF6293" s="780"/>
    </row>
    <row r="6294" spans="19:32" x14ac:dyDescent="0.35">
      <c r="S6294" s="780"/>
      <c r="T6294" s="928"/>
      <c r="U6294" s="928"/>
      <c r="V6294" s="928"/>
      <c r="W6294" s="780"/>
      <c r="X6294" s="881">
        <v>6290</v>
      </c>
      <c r="Y6294" s="881" t="s">
        <v>2248</v>
      </c>
      <c r="Z6294" s="881" t="s">
        <v>3054</v>
      </c>
      <c r="AA6294" s="882">
        <f>$S$1*P!AA6294</f>
        <v>0.22172</v>
      </c>
      <c r="AB6294" s="780"/>
      <c r="AC6294" s="780"/>
      <c r="AD6294" s="780"/>
      <c r="AE6294" s="780"/>
      <c r="AF6294" s="780"/>
    </row>
    <row r="6295" spans="19:32" x14ac:dyDescent="0.35">
      <c r="S6295" s="780"/>
      <c r="T6295" s="928"/>
      <c r="U6295" s="928"/>
      <c r="V6295" s="928"/>
      <c r="W6295" s="780"/>
      <c r="X6295" s="881">
        <v>6291</v>
      </c>
      <c r="Y6295" s="881" t="s">
        <v>2248</v>
      </c>
      <c r="Z6295" s="881" t="s">
        <v>3053</v>
      </c>
      <c r="AA6295" s="882">
        <f>$S$1*P!AA6295</f>
        <v>0.58511999999999997</v>
      </c>
      <c r="AB6295" s="780"/>
      <c r="AC6295" s="780"/>
      <c r="AD6295" s="780"/>
      <c r="AE6295" s="780"/>
      <c r="AF6295" s="780"/>
    </row>
    <row r="6296" spans="19:32" x14ac:dyDescent="0.35">
      <c r="S6296" s="780"/>
      <c r="T6296" s="928"/>
      <c r="U6296" s="928"/>
      <c r="V6296" s="928"/>
      <c r="W6296" s="780"/>
      <c r="X6296" s="782">
        <v>6292</v>
      </c>
      <c r="Y6296" s="782" t="s">
        <v>2248</v>
      </c>
      <c r="Z6296" s="782" t="s">
        <v>3052</v>
      </c>
      <c r="AA6296" s="781">
        <f>$S$1*P!AA6296</f>
        <v>0.31429435483870971</v>
      </c>
      <c r="AB6296" s="780"/>
      <c r="AC6296" s="780"/>
      <c r="AD6296" s="780"/>
      <c r="AE6296" s="780"/>
      <c r="AF6296" s="780"/>
    </row>
    <row r="6297" spans="19:32" x14ac:dyDescent="0.35">
      <c r="S6297" s="780"/>
      <c r="T6297" s="928"/>
      <c r="U6297" s="928"/>
      <c r="V6297" s="928"/>
      <c r="W6297" s="780"/>
      <c r="X6297" s="881">
        <v>6293</v>
      </c>
      <c r="Y6297" s="881" t="s">
        <v>2248</v>
      </c>
      <c r="Z6297" s="881" t="s">
        <v>3051</v>
      </c>
      <c r="AA6297" s="882">
        <f>$S$1*P!AA6297</f>
        <v>0.53267999999999993</v>
      </c>
      <c r="AB6297" s="780"/>
      <c r="AC6297" s="780"/>
      <c r="AD6297" s="780"/>
      <c r="AE6297" s="780"/>
      <c r="AF6297" s="780"/>
    </row>
    <row r="6298" spans="19:32" x14ac:dyDescent="0.35">
      <c r="S6298" s="780"/>
      <c r="T6298" s="928"/>
      <c r="U6298" s="928"/>
      <c r="V6298" s="928"/>
      <c r="W6298" s="780"/>
      <c r="X6298" s="881">
        <v>6294</v>
      </c>
      <c r="Y6298" s="881" t="s">
        <v>2248</v>
      </c>
      <c r="Z6298" s="881" t="s">
        <v>3050</v>
      </c>
      <c r="AA6298" s="882">
        <f>$S$1*P!AA6298</f>
        <v>2.4011999999999999E-2</v>
      </c>
      <c r="AB6298" s="780"/>
      <c r="AC6298" s="780"/>
      <c r="AD6298" s="780"/>
      <c r="AE6298" s="780"/>
      <c r="AF6298" s="780"/>
    </row>
    <row r="6299" spans="19:32" x14ac:dyDescent="0.35">
      <c r="S6299" s="780"/>
      <c r="T6299" s="928"/>
      <c r="U6299" s="928"/>
      <c r="V6299" s="928"/>
      <c r="W6299" s="780"/>
      <c r="X6299" s="782">
        <v>6295</v>
      </c>
      <c r="Y6299" s="782" t="s">
        <v>2248</v>
      </c>
      <c r="Z6299" s="782" t="s">
        <v>3049</v>
      </c>
      <c r="AA6299" s="781">
        <f>$S$1*P!AA6299</f>
        <v>1.1173387096774195E-3</v>
      </c>
      <c r="AB6299" s="780"/>
      <c r="AC6299" s="780"/>
      <c r="AD6299" s="780"/>
      <c r="AE6299" s="780"/>
      <c r="AF6299" s="780"/>
    </row>
    <row r="6300" spans="19:32" x14ac:dyDescent="0.35">
      <c r="S6300" s="780"/>
      <c r="T6300" s="928"/>
      <c r="U6300" s="928"/>
      <c r="V6300" s="928"/>
      <c r="W6300" s="780"/>
      <c r="X6300" s="881">
        <v>6296</v>
      </c>
      <c r="Y6300" s="881" t="s">
        <v>2248</v>
      </c>
      <c r="Z6300" s="881" t="s">
        <v>3048</v>
      </c>
      <c r="AA6300" s="882">
        <f>$S$1*P!AA6300</f>
        <v>0</v>
      </c>
      <c r="AB6300" s="780"/>
      <c r="AC6300" s="780"/>
      <c r="AD6300" s="780"/>
      <c r="AE6300" s="780"/>
      <c r="AF6300" s="780"/>
    </row>
    <row r="6301" spans="19:32" x14ac:dyDescent="0.35">
      <c r="S6301" s="780"/>
      <c r="T6301" s="928"/>
      <c r="U6301" s="928"/>
      <c r="V6301" s="928"/>
      <c r="W6301" s="780"/>
      <c r="X6301" s="782">
        <v>6297</v>
      </c>
      <c r="Y6301" s="782" t="s">
        <v>2248</v>
      </c>
      <c r="Z6301" s="782" t="s">
        <v>3047</v>
      </c>
      <c r="AA6301" s="781">
        <f>$S$1*P!AA6301</f>
        <v>8.8084677419354848E-4</v>
      </c>
      <c r="AB6301" s="780"/>
      <c r="AC6301" s="780"/>
      <c r="AD6301" s="780"/>
      <c r="AE6301" s="780"/>
      <c r="AF6301" s="780"/>
    </row>
    <row r="6302" spans="19:32" x14ac:dyDescent="0.35">
      <c r="S6302" s="780"/>
      <c r="T6302" s="928"/>
      <c r="U6302" s="928"/>
      <c r="V6302" s="928"/>
      <c r="W6302" s="780"/>
      <c r="X6302" s="881">
        <v>6298</v>
      </c>
      <c r="Y6302" s="881" t="s">
        <v>2248</v>
      </c>
      <c r="Z6302" s="881" t="s">
        <v>3046</v>
      </c>
      <c r="AA6302" s="882">
        <f>$S$1*P!AA6302</f>
        <v>310.04000000000002</v>
      </c>
      <c r="AB6302" s="780"/>
      <c r="AC6302" s="780"/>
      <c r="AD6302" s="780"/>
      <c r="AE6302" s="780"/>
      <c r="AF6302" s="780"/>
    </row>
    <row r="6303" spans="19:32" x14ac:dyDescent="0.35">
      <c r="S6303" s="780"/>
      <c r="T6303" s="928"/>
      <c r="U6303" s="928"/>
      <c r="V6303" s="928"/>
      <c r="W6303" s="780"/>
      <c r="X6303" s="881">
        <v>6299</v>
      </c>
      <c r="Y6303" s="881" t="s">
        <v>2248</v>
      </c>
      <c r="Z6303" s="881" t="s">
        <v>3045</v>
      </c>
      <c r="AA6303" s="882">
        <f>$S$1*P!AA6303</f>
        <v>0.86571999999999993</v>
      </c>
      <c r="AB6303" s="780"/>
      <c r="AC6303" s="780"/>
      <c r="AD6303" s="780"/>
      <c r="AE6303" s="780"/>
      <c r="AF6303" s="780"/>
    </row>
    <row r="6304" spans="19:32" x14ac:dyDescent="0.35">
      <c r="S6304" s="780"/>
      <c r="T6304" s="928"/>
      <c r="U6304" s="928"/>
      <c r="V6304" s="928"/>
      <c r="W6304" s="780"/>
      <c r="X6304" s="782">
        <v>6300</v>
      </c>
      <c r="Y6304" s="782" t="s">
        <v>2248</v>
      </c>
      <c r="Z6304" s="782" t="s">
        <v>3044</v>
      </c>
      <c r="AA6304" s="781">
        <f>$S$1*P!AA6304</f>
        <v>3.8729838709677424E-3</v>
      </c>
      <c r="AB6304" s="780"/>
      <c r="AC6304" s="780"/>
      <c r="AD6304" s="780"/>
      <c r="AE6304" s="780"/>
      <c r="AF6304" s="780"/>
    </row>
    <row r="6305" spans="19:32" x14ac:dyDescent="0.35">
      <c r="S6305" s="780"/>
      <c r="T6305" s="928"/>
      <c r="U6305" s="928"/>
      <c r="V6305" s="928"/>
      <c r="W6305" s="780"/>
      <c r="X6305" s="881">
        <v>6301</v>
      </c>
      <c r="Y6305" s="881" t="s">
        <v>2248</v>
      </c>
      <c r="Z6305" s="881" t="s">
        <v>3043</v>
      </c>
      <c r="AA6305" s="882">
        <f>$S$1*P!AA6305</f>
        <v>8.6112000000000002</v>
      </c>
      <c r="AB6305" s="780"/>
      <c r="AC6305" s="780"/>
      <c r="AD6305" s="780"/>
      <c r="AE6305" s="780"/>
      <c r="AF6305" s="780"/>
    </row>
    <row r="6306" spans="19:32" x14ac:dyDescent="0.35">
      <c r="S6306" s="780"/>
      <c r="T6306" s="928"/>
      <c r="U6306" s="928"/>
      <c r="V6306" s="928"/>
      <c r="W6306" s="780"/>
      <c r="X6306" s="881">
        <v>6302</v>
      </c>
      <c r="Y6306" s="881" t="s">
        <v>2248</v>
      </c>
      <c r="Z6306" s="881" t="s">
        <v>3042</v>
      </c>
      <c r="AA6306" s="882">
        <f>$S$1*P!AA6306</f>
        <v>0</v>
      </c>
      <c r="AB6306" s="780"/>
      <c r="AC6306" s="780"/>
      <c r="AD6306" s="780"/>
      <c r="AE6306" s="780"/>
      <c r="AF6306" s="780"/>
    </row>
    <row r="6307" spans="19:32" x14ac:dyDescent="0.35">
      <c r="S6307" s="780"/>
      <c r="T6307" s="928"/>
      <c r="U6307" s="928"/>
      <c r="V6307" s="928"/>
      <c r="W6307" s="780"/>
      <c r="X6307" s="782">
        <v>6303</v>
      </c>
      <c r="Y6307" s="782" t="s">
        <v>2248</v>
      </c>
      <c r="Z6307" s="782" t="s">
        <v>3041</v>
      </c>
      <c r="AA6307" s="781">
        <f>$S$1*P!AA6307</f>
        <v>1.370967741935484E-3</v>
      </c>
      <c r="AB6307" s="780"/>
      <c r="AC6307" s="780"/>
      <c r="AD6307" s="780"/>
      <c r="AE6307" s="780"/>
      <c r="AF6307" s="780"/>
    </row>
    <row r="6308" spans="19:32" x14ac:dyDescent="0.35">
      <c r="S6308" s="780"/>
      <c r="T6308" s="928"/>
      <c r="U6308" s="928"/>
      <c r="V6308" s="928"/>
      <c r="W6308" s="780"/>
      <c r="X6308" s="881">
        <v>6304</v>
      </c>
      <c r="Y6308" s="881" t="s">
        <v>2248</v>
      </c>
      <c r="Z6308" s="881" t="s">
        <v>3040</v>
      </c>
      <c r="AA6308" s="882">
        <f>$S$1*P!AA6308</f>
        <v>0</v>
      </c>
      <c r="AB6308" s="780"/>
      <c r="AC6308" s="780"/>
      <c r="AD6308" s="780"/>
      <c r="AE6308" s="780"/>
      <c r="AF6308" s="780"/>
    </row>
    <row r="6309" spans="19:32" x14ac:dyDescent="0.35">
      <c r="S6309" s="780"/>
      <c r="T6309" s="928"/>
      <c r="U6309" s="928"/>
      <c r="V6309" s="928"/>
      <c r="W6309" s="780"/>
      <c r="X6309" s="881">
        <v>6305</v>
      </c>
      <c r="Y6309" s="881" t="s">
        <v>2248</v>
      </c>
      <c r="Z6309" s="881" t="s">
        <v>3039</v>
      </c>
      <c r="AA6309" s="882">
        <f>$S$1*P!AA6309</f>
        <v>0.10303999999999999</v>
      </c>
      <c r="AB6309" s="780"/>
      <c r="AC6309" s="780"/>
      <c r="AD6309" s="780"/>
      <c r="AE6309" s="780"/>
      <c r="AF6309" s="780"/>
    </row>
    <row r="6310" spans="19:32" x14ac:dyDescent="0.35">
      <c r="S6310" s="780"/>
      <c r="T6310" s="928"/>
      <c r="U6310" s="928"/>
      <c r="V6310" s="928"/>
      <c r="W6310" s="780"/>
      <c r="X6310" s="782">
        <v>6306</v>
      </c>
      <c r="Y6310" s="782" t="s">
        <v>2248</v>
      </c>
      <c r="Z6310" s="782" t="s">
        <v>3038</v>
      </c>
      <c r="AA6310" s="781">
        <f>$S$1*P!AA6310</f>
        <v>1.0727822580645161E-3</v>
      </c>
      <c r="AB6310" s="780"/>
      <c r="AC6310" s="780"/>
      <c r="AD6310" s="780"/>
      <c r="AE6310" s="780"/>
      <c r="AF6310" s="780"/>
    </row>
    <row r="6311" spans="19:32" x14ac:dyDescent="0.35">
      <c r="S6311" s="780"/>
      <c r="T6311" s="928"/>
      <c r="U6311" s="928"/>
      <c r="V6311" s="928"/>
      <c r="W6311" s="780"/>
      <c r="X6311" s="881">
        <v>6307</v>
      </c>
      <c r="Y6311" s="881" t="s">
        <v>2248</v>
      </c>
      <c r="Z6311" s="881" t="s">
        <v>3037</v>
      </c>
      <c r="AA6311" s="882">
        <f>$S$1*P!AA6311</f>
        <v>0</v>
      </c>
      <c r="AB6311" s="780"/>
      <c r="AC6311" s="780"/>
      <c r="AD6311" s="780"/>
      <c r="AE6311" s="780"/>
      <c r="AF6311" s="780"/>
    </row>
    <row r="6312" spans="19:32" x14ac:dyDescent="0.35">
      <c r="S6312" s="780"/>
      <c r="T6312" s="928"/>
      <c r="U6312" s="928"/>
      <c r="V6312" s="928"/>
      <c r="W6312" s="780"/>
      <c r="X6312" s="782">
        <v>6308</v>
      </c>
      <c r="Y6312" s="782" t="s">
        <v>2248</v>
      </c>
      <c r="Z6312" s="782" t="s">
        <v>3036</v>
      </c>
      <c r="AA6312" s="781">
        <f>$S$1*P!AA6312</f>
        <v>3.0264112903225808E-3</v>
      </c>
      <c r="AB6312" s="780"/>
      <c r="AC6312" s="780"/>
      <c r="AD6312" s="780"/>
      <c r="AE6312" s="780"/>
      <c r="AF6312" s="780"/>
    </row>
    <row r="6313" spans="19:32" x14ac:dyDescent="0.35">
      <c r="S6313" s="780"/>
      <c r="T6313" s="928"/>
      <c r="U6313" s="928"/>
      <c r="V6313" s="928"/>
      <c r="W6313" s="780"/>
      <c r="X6313" s="881">
        <v>6309</v>
      </c>
      <c r="Y6313" s="881" t="s">
        <v>2248</v>
      </c>
      <c r="Z6313" s="881" t="s">
        <v>3035</v>
      </c>
      <c r="AA6313" s="882">
        <f>$S$1*P!AA6313</f>
        <v>92.92</v>
      </c>
      <c r="AB6313" s="780"/>
      <c r="AC6313" s="780"/>
      <c r="AD6313" s="780"/>
      <c r="AE6313" s="780"/>
      <c r="AF6313" s="780"/>
    </row>
    <row r="6314" spans="19:32" x14ac:dyDescent="0.35">
      <c r="S6314" s="780"/>
      <c r="T6314" s="928"/>
      <c r="U6314" s="928"/>
      <c r="V6314" s="928"/>
      <c r="W6314" s="780"/>
      <c r="X6314" s="881">
        <v>6310</v>
      </c>
      <c r="Y6314" s="881" t="s">
        <v>2248</v>
      </c>
      <c r="Z6314" s="881" t="s">
        <v>3034</v>
      </c>
      <c r="AA6314" s="882">
        <f>$S$1*P!AA6314</f>
        <v>0</v>
      </c>
      <c r="AB6314" s="780"/>
      <c r="AC6314" s="780"/>
      <c r="AD6314" s="780"/>
      <c r="AE6314" s="780"/>
      <c r="AF6314" s="780"/>
    </row>
    <row r="6315" spans="19:32" x14ac:dyDescent="0.35">
      <c r="S6315" s="780"/>
      <c r="T6315" s="928"/>
      <c r="U6315" s="928"/>
      <c r="V6315" s="928"/>
      <c r="W6315" s="780"/>
      <c r="X6315" s="782">
        <v>6311</v>
      </c>
      <c r="Y6315" s="782" t="s">
        <v>2248</v>
      </c>
      <c r="Z6315" s="782" t="s">
        <v>3033</v>
      </c>
      <c r="AA6315" s="781">
        <f>$S$1*P!AA6315</f>
        <v>5.0725806451612907E-5</v>
      </c>
      <c r="AB6315" s="780"/>
      <c r="AC6315" s="780"/>
      <c r="AD6315" s="780"/>
      <c r="AE6315" s="780"/>
      <c r="AF6315" s="780"/>
    </row>
    <row r="6316" spans="19:32" x14ac:dyDescent="0.35">
      <c r="S6316" s="780"/>
      <c r="T6316" s="928"/>
      <c r="U6316" s="928"/>
      <c r="V6316" s="928"/>
      <c r="W6316" s="780"/>
      <c r="X6316" s="881">
        <v>6312</v>
      </c>
      <c r="Y6316" s="881" t="s">
        <v>2248</v>
      </c>
      <c r="Z6316" s="881" t="s">
        <v>3032</v>
      </c>
      <c r="AA6316" s="882">
        <f>$S$1*P!AA6316</f>
        <v>0</v>
      </c>
      <c r="AB6316" s="780"/>
      <c r="AC6316" s="780"/>
      <c r="AD6316" s="780"/>
      <c r="AE6316" s="780"/>
      <c r="AF6316" s="780"/>
    </row>
    <row r="6317" spans="19:32" x14ac:dyDescent="0.35">
      <c r="S6317" s="780"/>
      <c r="T6317" s="928"/>
      <c r="U6317" s="928"/>
      <c r="V6317" s="928"/>
      <c r="W6317" s="780"/>
      <c r="X6317" s="881">
        <v>6313</v>
      </c>
      <c r="Y6317" s="881" t="s">
        <v>2248</v>
      </c>
      <c r="Z6317" s="881" t="s">
        <v>3031</v>
      </c>
      <c r="AA6317" s="882">
        <f>$S$1*P!AA6317</f>
        <v>2.2816000000000001</v>
      </c>
      <c r="AB6317" s="780"/>
      <c r="AC6317" s="780"/>
      <c r="AD6317" s="780"/>
      <c r="AE6317" s="780"/>
      <c r="AF6317" s="780"/>
    </row>
    <row r="6318" spans="19:32" x14ac:dyDescent="0.35">
      <c r="S6318" s="780"/>
      <c r="T6318" s="928"/>
      <c r="U6318" s="928"/>
      <c r="V6318" s="928"/>
      <c r="W6318" s="780"/>
      <c r="X6318" s="782">
        <v>6314</v>
      </c>
      <c r="Y6318" s="782" t="s">
        <v>2248</v>
      </c>
      <c r="Z6318" s="782" t="s">
        <v>3030</v>
      </c>
      <c r="AA6318" s="781">
        <f>$S$1*P!AA6318</f>
        <v>7.8487903225806454E-4</v>
      </c>
      <c r="AB6318" s="780"/>
      <c r="AC6318" s="780"/>
      <c r="AD6318" s="780"/>
      <c r="AE6318" s="780"/>
      <c r="AF6318" s="780"/>
    </row>
    <row r="6319" spans="19:32" x14ac:dyDescent="0.35">
      <c r="S6319" s="780"/>
      <c r="T6319" s="928"/>
      <c r="U6319" s="928"/>
      <c r="V6319" s="928"/>
      <c r="W6319" s="780"/>
      <c r="X6319" s="881">
        <v>6315</v>
      </c>
      <c r="Y6319" s="881" t="s">
        <v>2248</v>
      </c>
      <c r="Z6319" s="881" t="s">
        <v>3029</v>
      </c>
      <c r="AA6319" s="882">
        <f>$S$1*P!AA6319</f>
        <v>0.48575999999999997</v>
      </c>
      <c r="AB6319" s="780"/>
      <c r="AC6319" s="780"/>
      <c r="AD6319" s="780"/>
      <c r="AE6319" s="780"/>
      <c r="AF6319" s="780"/>
    </row>
    <row r="6320" spans="19:32" x14ac:dyDescent="0.35">
      <c r="S6320" s="780"/>
      <c r="T6320" s="928"/>
      <c r="U6320" s="928"/>
      <c r="V6320" s="928"/>
      <c r="W6320" s="780"/>
      <c r="X6320" s="881">
        <v>6316</v>
      </c>
      <c r="Y6320" s="881" t="s">
        <v>2248</v>
      </c>
      <c r="Z6320" s="881" t="s">
        <v>3028</v>
      </c>
      <c r="AA6320" s="882">
        <f>$S$1*P!AA6320</f>
        <v>1.0580000000000001</v>
      </c>
      <c r="AB6320" s="780"/>
      <c r="AC6320" s="780"/>
      <c r="AD6320" s="780"/>
      <c r="AE6320" s="780"/>
      <c r="AF6320" s="780"/>
    </row>
    <row r="6321" spans="19:32" x14ac:dyDescent="0.35">
      <c r="S6321" s="780"/>
      <c r="T6321" s="928"/>
      <c r="U6321" s="928"/>
      <c r="V6321" s="928"/>
      <c r="W6321" s="780"/>
      <c r="X6321" s="782">
        <v>6317</v>
      </c>
      <c r="Y6321" s="782" t="s">
        <v>2248</v>
      </c>
      <c r="Z6321" s="782" t="s">
        <v>3027</v>
      </c>
      <c r="AA6321" s="781">
        <f>$S$1*P!AA6321</f>
        <v>1.4018145161290322E-3</v>
      </c>
      <c r="AB6321" s="780"/>
      <c r="AC6321" s="780"/>
      <c r="AD6321" s="780"/>
      <c r="AE6321" s="780"/>
      <c r="AF6321" s="780"/>
    </row>
    <row r="6322" spans="19:32" x14ac:dyDescent="0.35">
      <c r="S6322" s="780"/>
      <c r="T6322" s="928"/>
      <c r="U6322" s="928"/>
      <c r="V6322" s="928"/>
      <c r="W6322" s="780"/>
      <c r="X6322" s="881">
        <v>6318</v>
      </c>
      <c r="Y6322" s="881" t="s">
        <v>2248</v>
      </c>
      <c r="Z6322" s="881" t="s">
        <v>3026</v>
      </c>
      <c r="AA6322" s="882">
        <f>$S$1*P!AA6322</f>
        <v>12.972000000000001</v>
      </c>
      <c r="AB6322" s="780"/>
      <c r="AC6322" s="780"/>
      <c r="AD6322" s="780"/>
      <c r="AE6322" s="780"/>
      <c r="AF6322" s="780"/>
    </row>
    <row r="6323" spans="19:32" x14ac:dyDescent="0.35">
      <c r="S6323" s="780"/>
      <c r="T6323" s="928"/>
      <c r="U6323" s="928"/>
      <c r="V6323" s="928"/>
      <c r="W6323" s="780"/>
      <c r="X6323" s="881">
        <v>6319</v>
      </c>
      <c r="Y6323" s="881" t="s">
        <v>2248</v>
      </c>
      <c r="Z6323" s="881" t="s">
        <v>3025</v>
      </c>
      <c r="AA6323" s="882">
        <f>$S$1*P!AA6323</f>
        <v>0</v>
      </c>
      <c r="AB6323" s="780"/>
      <c r="AC6323" s="780"/>
      <c r="AD6323" s="780"/>
      <c r="AE6323" s="780"/>
      <c r="AF6323" s="780"/>
    </row>
    <row r="6324" spans="19:32" x14ac:dyDescent="0.35">
      <c r="S6324" s="780"/>
      <c r="T6324" s="928"/>
      <c r="U6324" s="928"/>
      <c r="V6324" s="928"/>
      <c r="W6324" s="780"/>
      <c r="X6324" s="782">
        <v>6320</v>
      </c>
      <c r="Y6324" s="782" t="s">
        <v>2248</v>
      </c>
      <c r="Z6324" s="782" t="s">
        <v>3024</v>
      </c>
      <c r="AA6324" s="781">
        <f>$S$1*P!AA6324</f>
        <v>7.3689516129032268E-2</v>
      </c>
      <c r="AB6324" s="780"/>
      <c r="AC6324" s="780"/>
      <c r="AD6324" s="780"/>
      <c r="AE6324" s="780"/>
      <c r="AF6324" s="780"/>
    </row>
    <row r="6325" spans="19:32" x14ac:dyDescent="0.35">
      <c r="S6325" s="780"/>
      <c r="T6325" s="928"/>
      <c r="U6325" s="928"/>
      <c r="V6325" s="928"/>
      <c r="W6325" s="780"/>
      <c r="X6325" s="881">
        <v>6321</v>
      </c>
      <c r="Y6325" s="881" t="s">
        <v>2248</v>
      </c>
      <c r="Z6325" s="881" t="s">
        <v>3023</v>
      </c>
      <c r="AA6325" s="882">
        <f>$S$1*P!AA6325</f>
        <v>0</v>
      </c>
      <c r="AB6325" s="780"/>
      <c r="AC6325" s="780"/>
      <c r="AD6325" s="780"/>
      <c r="AE6325" s="780"/>
      <c r="AF6325" s="780"/>
    </row>
    <row r="6326" spans="19:32" x14ac:dyDescent="0.35">
      <c r="S6326" s="780"/>
      <c r="T6326" s="928"/>
      <c r="U6326" s="928"/>
      <c r="V6326" s="928"/>
      <c r="W6326" s="780"/>
      <c r="X6326" s="782">
        <v>6322</v>
      </c>
      <c r="Y6326" s="782" t="s">
        <v>2248</v>
      </c>
      <c r="Z6326" s="782" t="s">
        <v>3022</v>
      </c>
      <c r="AA6326" s="781">
        <f>$S$1*P!AA6326</f>
        <v>1.1481854838709677E-3</v>
      </c>
      <c r="AB6326" s="780"/>
      <c r="AC6326" s="780"/>
      <c r="AD6326" s="780"/>
      <c r="AE6326" s="780"/>
      <c r="AF6326" s="780"/>
    </row>
    <row r="6327" spans="19:32" x14ac:dyDescent="0.35">
      <c r="S6327" s="780"/>
      <c r="T6327" s="928"/>
      <c r="U6327" s="928"/>
      <c r="V6327" s="928"/>
      <c r="W6327" s="780"/>
      <c r="X6327" s="881">
        <v>6323</v>
      </c>
      <c r="Y6327" s="881" t="s">
        <v>2248</v>
      </c>
      <c r="Z6327" s="881" t="s">
        <v>3021</v>
      </c>
      <c r="AA6327" s="882">
        <f>$S$1*P!AA6327</f>
        <v>1.5547999999999999E-2</v>
      </c>
      <c r="AB6327" s="780"/>
      <c r="AC6327" s="780"/>
      <c r="AD6327" s="780"/>
      <c r="AE6327" s="780"/>
      <c r="AF6327" s="780"/>
    </row>
    <row r="6328" spans="19:32" x14ac:dyDescent="0.35">
      <c r="S6328" s="780"/>
      <c r="T6328" s="928"/>
      <c r="U6328" s="928"/>
      <c r="V6328" s="928"/>
      <c r="W6328" s="780"/>
      <c r="X6328" s="881">
        <v>6324</v>
      </c>
      <c r="Y6328" s="881" t="s">
        <v>2248</v>
      </c>
      <c r="Z6328" s="881" t="s">
        <v>3020</v>
      </c>
      <c r="AA6328" s="882">
        <f>$S$1*P!AA6328</f>
        <v>2.6404E-2</v>
      </c>
      <c r="AB6328" s="780"/>
      <c r="AC6328" s="780"/>
      <c r="AD6328" s="780"/>
      <c r="AE6328" s="780"/>
      <c r="AF6328" s="780"/>
    </row>
    <row r="6329" spans="19:32" x14ac:dyDescent="0.35">
      <c r="S6329" s="780"/>
      <c r="T6329" s="928"/>
      <c r="U6329" s="928"/>
      <c r="V6329" s="928"/>
      <c r="W6329" s="780"/>
      <c r="X6329" s="782">
        <v>6325</v>
      </c>
      <c r="Y6329" s="782" t="s">
        <v>2248</v>
      </c>
      <c r="Z6329" s="782" t="s">
        <v>3019</v>
      </c>
      <c r="AA6329" s="781">
        <f>$S$1*P!AA6329</f>
        <v>2.9201612903225809E-5</v>
      </c>
      <c r="AB6329" s="780"/>
      <c r="AC6329" s="780"/>
      <c r="AD6329" s="780"/>
      <c r="AE6329" s="780"/>
      <c r="AF6329" s="780"/>
    </row>
    <row r="6330" spans="19:32" x14ac:dyDescent="0.35">
      <c r="S6330" s="780"/>
      <c r="T6330" s="928"/>
      <c r="U6330" s="928"/>
      <c r="V6330" s="928"/>
      <c r="W6330" s="780"/>
      <c r="X6330" s="881">
        <v>6326</v>
      </c>
      <c r="Y6330" s="881" t="s">
        <v>2248</v>
      </c>
      <c r="Z6330" s="881" t="s">
        <v>3018</v>
      </c>
      <c r="AA6330" s="882">
        <f>$S$1*P!AA6330</f>
        <v>6.4675999999999997E-2</v>
      </c>
      <c r="AB6330" s="780"/>
      <c r="AC6330" s="780"/>
      <c r="AD6330" s="780"/>
      <c r="AE6330" s="780"/>
      <c r="AF6330" s="780"/>
    </row>
    <row r="6331" spans="19:32" x14ac:dyDescent="0.35">
      <c r="S6331" s="780"/>
      <c r="T6331" s="928"/>
      <c r="U6331" s="928"/>
      <c r="V6331" s="928"/>
      <c r="W6331" s="780"/>
      <c r="X6331" s="881">
        <v>6327</v>
      </c>
      <c r="Y6331" s="881" t="s">
        <v>2248</v>
      </c>
      <c r="Z6331" s="881" t="s">
        <v>3017</v>
      </c>
      <c r="AA6331" s="882">
        <f>$S$1*P!AA6331</f>
        <v>1.3984E-2</v>
      </c>
      <c r="AB6331" s="780"/>
      <c r="AC6331" s="780"/>
      <c r="AD6331" s="780"/>
      <c r="AE6331" s="780"/>
      <c r="AF6331" s="780"/>
    </row>
    <row r="6332" spans="19:32" x14ac:dyDescent="0.35">
      <c r="S6332" s="780"/>
      <c r="T6332" s="928"/>
      <c r="U6332" s="928"/>
      <c r="V6332" s="928"/>
      <c r="W6332" s="780"/>
      <c r="X6332" s="782">
        <v>6328</v>
      </c>
      <c r="Y6332" s="782" t="s">
        <v>2248</v>
      </c>
      <c r="Z6332" s="782" t="s">
        <v>3016</v>
      </c>
      <c r="AA6332" s="781">
        <f>$S$1*P!AA6332</f>
        <v>2.0975806451612906E-4</v>
      </c>
      <c r="AB6332" s="780"/>
      <c r="AC6332" s="780"/>
      <c r="AD6332" s="780"/>
      <c r="AE6332" s="780"/>
      <c r="AF6332" s="780"/>
    </row>
    <row r="6333" spans="19:32" x14ac:dyDescent="0.35">
      <c r="S6333" s="780"/>
      <c r="T6333" s="928"/>
      <c r="U6333" s="928"/>
      <c r="V6333" s="928"/>
      <c r="W6333" s="780"/>
      <c r="X6333" s="881">
        <v>6329</v>
      </c>
      <c r="Y6333" s="881" t="s">
        <v>2248</v>
      </c>
      <c r="Z6333" s="881" t="s">
        <v>3015</v>
      </c>
      <c r="AA6333" s="882">
        <f>$S$1*P!AA6333</f>
        <v>6.6883999999999999E-2</v>
      </c>
      <c r="AB6333" s="780"/>
      <c r="AC6333" s="780"/>
      <c r="AD6333" s="780"/>
      <c r="AE6333" s="780"/>
      <c r="AF6333" s="780"/>
    </row>
    <row r="6334" spans="19:32" x14ac:dyDescent="0.35">
      <c r="S6334" s="780"/>
      <c r="T6334" s="928"/>
      <c r="U6334" s="928"/>
      <c r="V6334" s="928"/>
      <c r="W6334" s="780"/>
      <c r="X6334" s="881">
        <v>6330</v>
      </c>
      <c r="Y6334" s="881" t="s">
        <v>2248</v>
      </c>
      <c r="Z6334" s="881" t="s">
        <v>3014</v>
      </c>
      <c r="AA6334" s="882">
        <f>$S$1*P!AA6334</f>
        <v>0</v>
      </c>
      <c r="AB6334" s="780"/>
      <c r="AC6334" s="780"/>
      <c r="AD6334" s="780"/>
      <c r="AE6334" s="780"/>
      <c r="AF6334" s="780"/>
    </row>
    <row r="6335" spans="19:32" x14ac:dyDescent="0.35">
      <c r="S6335" s="780"/>
      <c r="T6335" s="928"/>
      <c r="U6335" s="928"/>
      <c r="V6335" s="928"/>
      <c r="W6335" s="780"/>
      <c r="X6335" s="782">
        <v>6331</v>
      </c>
      <c r="Y6335" s="782" t="s">
        <v>2248</v>
      </c>
      <c r="Z6335" s="782" t="s">
        <v>3013</v>
      </c>
      <c r="AA6335" s="781">
        <f>$S$1*P!AA6335</f>
        <v>4.5927419354838711E-2</v>
      </c>
      <c r="AB6335" s="780"/>
      <c r="AC6335" s="780"/>
      <c r="AD6335" s="780"/>
      <c r="AE6335" s="780"/>
      <c r="AF6335" s="780"/>
    </row>
    <row r="6336" spans="19:32" x14ac:dyDescent="0.35">
      <c r="S6336" s="780"/>
      <c r="T6336" s="928"/>
      <c r="U6336" s="928"/>
      <c r="V6336" s="928"/>
      <c r="W6336" s="780"/>
      <c r="X6336" s="881">
        <v>6332</v>
      </c>
      <c r="Y6336" s="881" t="s">
        <v>2248</v>
      </c>
      <c r="Z6336" s="881" t="s">
        <v>3012</v>
      </c>
      <c r="AA6336" s="882">
        <f>$S$1*P!AA6336</f>
        <v>0</v>
      </c>
      <c r="AB6336" s="780"/>
      <c r="AC6336" s="780"/>
      <c r="AD6336" s="780"/>
      <c r="AE6336" s="780"/>
      <c r="AF6336" s="780"/>
    </row>
    <row r="6337" spans="19:32" x14ac:dyDescent="0.35">
      <c r="S6337" s="780"/>
      <c r="T6337" s="928"/>
      <c r="U6337" s="928"/>
      <c r="V6337" s="928"/>
      <c r="W6337" s="780"/>
      <c r="X6337" s="782">
        <v>6333</v>
      </c>
      <c r="Y6337" s="782" t="s">
        <v>2248</v>
      </c>
      <c r="Z6337" s="782" t="s">
        <v>3011</v>
      </c>
      <c r="AA6337" s="781">
        <f>$S$1*P!AA6337</f>
        <v>5.5866935483870972E-3</v>
      </c>
      <c r="AB6337" s="780"/>
      <c r="AC6337" s="780"/>
      <c r="AD6337" s="780"/>
      <c r="AE6337" s="780"/>
      <c r="AF6337" s="780"/>
    </row>
    <row r="6338" spans="19:32" x14ac:dyDescent="0.35">
      <c r="S6338" s="780"/>
      <c r="T6338" s="928"/>
      <c r="U6338" s="928"/>
      <c r="V6338" s="928"/>
      <c r="W6338" s="780"/>
      <c r="X6338" s="881">
        <v>6334</v>
      </c>
      <c r="Y6338" s="881" t="s">
        <v>2248</v>
      </c>
      <c r="Z6338" s="881" t="s">
        <v>3010</v>
      </c>
      <c r="AA6338" s="882">
        <f>$S$1*P!AA6338</f>
        <v>0</v>
      </c>
      <c r="AB6338" s="780"/>
      <c r="AC6338" s="780"/>
      <c r="AD6338" s="780"/>
      <c r="AE6338" s="780"/>
      <c r="AF6338" s="780"/>
    </row>
    <row r="6339" spans="19:32" x14ac:dyDescent="0.35">
      <c r="S6339" s="780"/>
      <c r="T6339" s="928"/>
      <c r="U6339" s="928"/>
      <c r="V6339" s="928"/>
      <c r="W6339" s="780"/>
      <c r="X6339" s="881">
        <v>6335</v>
      </c>
      <c r="Y6339" s="881" t="s">
        <v>2248</v>
      </c>
      <c r="Z6339" s="881" t="s">
        <v>3009</v>
      </c>
      <c r="AA6339" s="882">
        <f>$S$1*P!AA6339</f>
        <v>0</v>
      </c>
      <c r="AB6339" s="780"/>
      <c r="AC6339" s="780"/>
      <c r="AD6339" s="780"/>
      <c r="AE6339" s="780"/>
      <c r="AF6339" s="780"/>
    </row>
    <row r="6340" spans="19:32" x14ac:dyDescent="0.35">
      <c r="S6340" s="780"/>
      <c r="T6340" s="928"/>
      <c r="U6340" s="928"/>
      <c r="V6340" s="928"/>
      <c r="W6340" s="780"/>
      <c r="X6340" s="782">
        <v>6336</v>
      </c>
      <c r="Y6340" s="782" t="s">
        <v>2248</v>
      </c>
      <c r="Z6340" s="782" t="s">
        <v>3008</v>
      </c>
      <c r="AA6340" s="781">
        <f>$S$1*P!AA6340</f>
        <v>8.3971774193548389E-4</v>
      </c>
      <c r="AB6340" s="780"/>
      <c r="AC6340" s="780"/>
      <c r="AD6340" s="780"/>
      <c r="AE6340" s="780"/>
      <c r="AF6340" s="780"/>
    </row>
    <row r="6341" spans="19:32" x14ac:dyDescent="0.35">
      <c r="S6341" s="780"/>
      <c r="T6341" s="928"/>
      <c r="U6341" s="928"/>
      <c r="V6341" s="928"/>
      <c r="W6341" s="780"/>
      <c r="X6341" s="881">
        <v>6337</v>
      </c>
      <c r="Y6341" s="881" t="s">
        <v>2248</v>
      </c>
      <c r="Z6341" s="881" t="s">
        <v>3007</v>
      </c>
      <c r="AA6341" s="882">
        <f>$S$1*P!AA6341</f>
        <v>0</v>
      </c>
      <c r="AB6341" s="780"/>
      <c r="AC6341" s="780"/>
      <c r="AD6341" s="780"/>
      <c r="AE6341" s="780"/>
      <c r="AF6341" s="780"/>
    </row>
    <row r="6342" spans="19:32" x14ac:dyDescent="0.35">
      <c r="S6342" s="780"/>
      <c r="T6342" s="928"/>
      <c r="U6342" s="928"/>
      <c r="V6342" s="928"/>
      <c r="W6342" s="780"/>
      <c r="X6342" s="881">
        <v>6338</v>
      </c>
      <c r="Y6342" s="881" t="s">
        <v>2248</v>
      </c>
      <c r="Z6342" s="881" t="s">
        <v>3006</v>
      </c>
      <c r="AA6342" s="882">
        <f>$S$1*P!AA6342</f>
        <v>0</v>
      </c>
      <c r="AB6342" s="780"/>
      <c r="AC6342" s="780"/>
      <c r="AD6342" s="780"/>
      <c r="AE6342" s="780"/>
      <c r="AF6342" s="780"/>
    </row>
    <row r="6343" spans="19:32" x14ac:dyDescent="0.35">
      <c r="S6343" s="780"/>
      <c r="T6343" s="928"/>
      <c r="U6343" s="928"/>
      <c r="V6343" s="928"/>
      <c r="W6343" s="780"/>
      <c r="X6343" s="782">
        <v>6339</v>
      </c>
      <c r="Y6343" s="782" t="s">
        <v>2248</v>
      </c>
      <c r="Z6343" s="782" t="s">
        <v>3005</v>
      </c>
      <c r="AA6343" s="781">
        <f>$S$1*P!AA6343</f>
        <v>1.3504032258064517E-2</v>
      </c>
      <c r="AB6343" s="780"/>
      <c r="AC6343" s="780"/>
      <c r="AD6343" s="780"/>
      <c r="AE6343" s="780"/>
      <c r="AF6343" s="780"/>
    </row>
    <row r="6344" spans="19:32" x14ac:dyDescent="0.35">
      <c r="S6344" s="780"/>
      <c r="T6344" s="928"/>
      <c r="U6344" s="928"/>
      <c r="V6344" s="928"/>
      <c r="W6344" s="780"/>
      <c r="X6344" s="881">
        <v>6340</v>
      </c>
      <c r="Y6344" s="881" t="s">
        <v>2248</v>
      </c>
      <c r="Z6344" s="881" t="s">
        <v>3004</v>
      </c>
      <c r="AA6344" s="882">
        <f>$S$1*P!AA6344</f>
        <v>5.1980000000000004</v>
      </c>
      <c r="AB6344" s="780"/>
      <c r="AC6344" s="780"/>
      <c r="AD6344" s="780"/>
      <c r="AE6344" s="780"/>
      <c r="AF6344" s="780"/>
    </row>
    <row r="6345" spans="19:32" x14ac:dyDescent="0.35">
      <c r="S6345" s="780"/>
      <c r="T6345" s="928"/>
      <c r="U6345" s="928"/>
      <c r="V6345" s="928"/>
      <c r="W6345" s="780"/>
      <c r="X6345" s="881">
        <v>6341</v>
      </c>
      <c r="Y6345" s="881" t="s">
        <v>2248</v>
      </c>
      <c r="Z6345" s="881" t="s">
        <v>3003</v>
      </c>
      <c r="AA6345" s="882">
        <f>$S$1*P!AA6345</f>
        <v>0</v>
      </c>
      <c r="AB6345" s="780"/>
      <c r="AC6345" s="780"/>
      <c r="AD6345" s="780"/>
      <c r="AE6345" s="780"/>
      <c r="AF6345" s="780"/>
    </row>
    <row r="6346" spans="19:32" x14ac:dyDescent="0.35">
      <c r="S6346" s="780"/>
      <c r="T6346" s="928"/>
      <c r="U6346" s="928"/>
      <c r="V6346" s="928"/>
      <c r="W6346" s="780"/>
      <c r="X6346" s="782">
        <v>6342</v>
      </c>
      <c r="Y6346" s="782" t="s">
        <v>2248</v>
      </c>
      <c r="Z6346" s="782" t="s">
        <v>2847</v>
      </c>
      <c r="AA6346" s="781">
        <f>$S$1*P!AA6346</f>
        <v>4.0786290322580648E-4</v>
      </c>
      <c r="AB6346" s="780"/>
      <c r="AC6346" s="780"/>
      <c r="AD6346" s="780"/>
      <c r="AE6346" s="780"/>
      <c r="AF6346" s="780"/>
    </row>
    <row r="6347" spans="19:32" x14ac:dyDescent="0.35">
      <c r="S6347" s="780"/>
      <c r="T6347" s="928"/>
      <c r="U6347" s="928"/>
      <c r="V6347" s="928"/>
      <c r="W6347" s="780"/>
      <c r="X6347" s="881">
        <v>6343</v>
      </c>
      <c r="Y6347" s="881" t="s">
        <v>2248</v>
      </c>
      <c r="Z6347" s="881" t="s">
        <v>3002</v>
      </c>
      <c r="AA6347" s="882">
        <f>$S$1*P!AA6347</f>
        <v>3.2751999999999999</v>
      </c>
      <c r="AB6347" s="780"/>
      <c r="AC6347" s="780"/>
      <c r="AD6347" s="780"/>
      <c r="AE6347" s="780"/>
      <c r="AF6347" s="780"/>
    </row>
    <row r="6348" spans="19:32" x14ac:dyDescent="0.35">
      <c r="S6348" s="780"/>
      <c r="T6348" s="928"/>
      <c r="U6348" s="928"/>
      <c r="V6348" s="928"/>
      <c r="W6348" s="780"/>
      <c r="X6348" s="881">
        <v>6344</v>
      </c>
      <c r="Y6348" s="881" t="s">
        <v>2248</v>
      </c>
      <c r="Z6348" s="881" t="s">
        <v>3001</v>
      </c>
      <c r="AA6348" s="882">
        <f>$S$1*P!AA6348</f>
        <v>1.4076</v>
      </c>
      <c r="AB6348" s="780"/>
      <c r="AC6348" s="780"/>
      <c r="AD6348" s="780"/>
      <c r="AE6348" s="780"/>
      <c r="AF6348" s="780"/>
    </row>
    <row r="6349" spans="19:32" x14ac:dyDescent="0.35">
      <c r="S6349" s="780"/>
      <c r="T6349" s="928"/>
      <c r="U6349" s="928"/>
      <c r="V6349" s="928"/>
      <c r="W6349" s="780"/>
      <c r="X6349" s="782">
        <v>6345</v>
      </c>
      <c r="Y6349" s="782" t="s">
        <v>2248</v>
      </c>
      <c r="Z6349" s="782" t="s">
        <v>3000</v>
      </c>
      <c r="AA6349" s="781">
        <f>$S$1*P!AA6349</f>
        <v>1.6760080645161291E-4</v>
      </c>
      <c r="AB6349" s="780"/>
      <c r="AC6349" s="780"/>
      <c r="AD6349" s="780"/>
      <c r="AE6349" s="780"/>
      <c r="AF6349" s="780"/>
    </row>
    <row r="6350" spans="19:32" x14ac:dyDescent="0.35">
      <c r="S6350" s="780"/>
      <c r="T6350" s="928"/>
      <c r="U6350" s="928"/>
      <c r="V6350" s="928"/>
      <c r="W6350" s="780"/>
      <c r="X6350" s="881">
        <v>6346</v>
      </c>
      <c r="Y6350" s="881" t="s">
        <v>2248</v>
      </c>
      <c r="Z6350" s="881" t="s">
        <v>2999</v>
      </c>
      <c r="AA6350" s="882">
        <f>$S$1*P!AA6350</f>
        <v>10.119999999999999</v>
      </c>
      <c r="AB6350" s="780"/>
      <c r="AC6350" s="780"/>
      <c r="AD6350" s="780"/>
      <c r="AE6350" s="780"/>
      <c r="AF6350" s="780"/>
    </row>
    <row r="6351" spans="19:32" x14ac:dyDescent="0.35">
      <c r="S6351" s="780"/>
      <c r="T6351" s="928"/>
      <c r="U6351" s="928"/>
      <c r="V6351" s="928"/>
      <c r="W6351" s="780"/>
      <c r="X6351" s="782">
        <v>6347</v>
      </c>
      <c r="Y6351" s="782" t="s">
        <v>2248</v>
      </c>
      <c r="Z6351" s="782" t="s">
        <v>2998</v>
      </c>
      <c r="AA6351" s="781">
        <f>$S$1*P!AA6351</f>
        <v>1.0316532258064517E-6</v>
      </c>
      <c r="AB6351" s="780"/>
      <c r="AC6351" s="780"/>
      <c r="AD6351" s="780"/>
      <c r="AE6351" s="780"/>
      <c r="AF6351" s="780"/>
    </row>
    <row r="6352" spans="19:32" x14ac:dyDescent="0.35">
      <c r="S6352" s="780"/>
      <c r="T6352" s="928"/>
      <c r="U6352" s="928"/>
      <c r="V6352" s="928"/>
      <c r="W6352" s="780"/>
      <c r="X6352" s="881">
        <v>6348</v>
      </c>
      <c r="Y6352" s="881" t="s">
        <v>2248</v>
      </c>
      <c r="Z6352" s="881" t="s">
        <v>2997</v>
      </c>
      <c r="AA6352" s="882">
        <f>$S$1*P!AA6352</f>
        <v>2.944E-3</v>
      </c>
      <c r="AB6352" s="780"/>
      <c r="AC6352" s="780"/>
      <c r="AD6352" s="780"/>
      <c r="AE6352" s="780"/>
      <c r="AF6352" s="780"/>
    </row>
    <row r="6353" spans="19:32" x14ac:dyDescent="0.35">
      <c r="S6353" s="780"/>
      <c r="T6353" s="928"/>
      <c r="U6353" s="928"/>
      <c r="V6353" s="928"/>
      <c r="W6353" s="780"/>
      <c r="X6353" s="881">
        <v>6349</v>
      </c>
      <c r="Y6353" s="881" t="s">
        <v>2248</v>
      </c>
      <c r="Z6353" s="881" t="s">
        <v>2996</v>
      </c>
      <c r="AA6353" s="882">
        <f>$S$1*P!AA6353</f>
        <v>10.763999999999999</v>
      </c>
      <c r="AB6353" s="780"/>
      <c r="AC6353" s="780"/>
      <c r="AD6353" s="780"/>
      <c r="AE6353" s="780"/>
      <c r="AF6353" s="780"/>
    </row>
    <row r="6354" spans="19:32" x14ac:dyDescent="0.35">
      <c r="S6354" s="780"/>
      <c r="T6354" s="928"/>
      <c r="U6354" s="928"/>
      <c r="V6354" s="928"/>
      <c r="W6354" s="780"/>
      <c r="X6354" s="782">
        <v>6350</v>
      </c>
      <c r="Y6354" s="782" t="s">
        <v>2248</v>
      </c>
      <c r="Z6354" s="782" t="s">
        <v>2995</v>
      </c>
      <c r="AA6354" s="781">
        <f>$S$1*P!AA6354</f>
        <v>1.1618951612903227E-3</v>
      </c>
      <c r="AB6354" s="780"/>
      <c r="AC6354" s="780"/>
      <c r="AD6354" s="780"/>
      <c r="AE6354" s="780"/>
      <c r="AF6354" s="780"/>
    </row>
    <row r="6355" spans="19:32" x14ac:dyDescent="0.35">
      <c r="S6355" s="780"/>
      <c r="T6355" s="928"/>
      <c r="U6355" s="928"/>
      <c r="V6355" s="928"/>
      <c r="W6355" s="780"/>
      <c r="X6355" s="881">
        <v>6351</v>
      </c>
      <c r="Y6355" s="881" t="s">
        <v>2248</v>
      </c>
      <c r="Z6355" s="881" t="s">
        <v>2994</v>
      </c>
      <c r="AA6355" s="882">
        <f>$S$1*P!AA6355</f>
        <v>0.1288</v>
      </c>
      <c r="AB6355" s="780"/>
      <c r="AC6355" s="780"/>
      <c r="AD6355" s="780"/>
      <c r="AE6355" s="780"/>
      <c r="AF6355" s="780"/>
    </row>
    <row r="6356" spans="19:32" x14ac:dyDescent="0.35">
      <c r="S6356" s="780"/>
      <c r="T6356" s="928"/>
      <c r="U6356" s="928"/>
      <c r="V6356" s="928"/>
      <c r="W6356" s="780"/>
      <c r="X6356" s="881">
        <v>6352</v>
      </c>
      <c r="Y6356" s="881" t="s">
        <v>2248</v>
      </c>
      <c r="Z6356" s="881" t="s">
        <v>2993</v>
      </c>
      <c r="AA6356" s="882">
        <f>$S$1*P!AA6356</f>
        <v>2.9164000000000003</v>
      </c>
      <c r="AB6356" s="780"/>
      <c r="AC6356" s="780"/>
      <c r="AD6356" s="780"/>
      <c r="AE6356" s="780"/>
      <c r="AF6356" s="780"/>
    </row>
    <row r="6357" spans="19:32" x14ac:dyDescent="0.35">
      <c r="S6357" s="780"/>
      <c r="T6357" s="928"/>
      <c r="U6357" s="928"/>
      <c r="V6357" s="928"/>
      <c r="W6357" s="780"/>
      <c r="X6357" s="782">
        <v>6353</v>
      </c>
      <c r="Y6357" s="782" t="s">
        <v>2248</v>
      </c>
      <c r="Z6357" s="782" t="s">
        <v>2842</v>
      </c>
      <c r="AA6357" s="781">
        <f>$S$1*P!AA6357</f>
        <v>0.5346774193548387</v>
      </c>
      <c r="AB6357" s="780"/>
      <c r="AC6357" s="780"/>
      <c r="AD6357" s="780"/>
      <c r="AE6357" s="780"/>
      <c r="AF6357" s="780"/>
    </row>
    <row r="6358" spans="19:32" x14ac:dyDescent="0.35">
      <c r="S6358" s="780"/>
      <c r="T6358" s="928"/>
      <c r="U6358" s="928"/>
      <c r="V6358" s="928"/>
      <c r="W6358" s="780"/>
      <c r="X6358" s="881">
        <v>6354</v>
      </c>
      <c r="Y6358" s="881" t="s">
        <v>2248</v>
      </c>
      <c r="Z6358" s="881" t="s">
        <v>2992</v>
      </c>
      <c r="AA6358" s="882">
        <f>$S$1*P!AA6358</f>
        <v>6.697599999999999E-5</v>
      </c>
      <c r="AB6358" s="780"/>
      <c r="AC6358" s="780"/>
      <c r="AD6358" s="780"/>
      <c r="AE6358" s="780"/>
      <c r="AF6358" s="780"/>
    </row>
    <row r="6359" spans="19:32" x14ac:dyDescent="0.35">
      <c r="S6359" s="780"/>
      <c r="T6359" s="928"/>
      <c r="U6359" s="928"/>
      <c r="V6359" s="928"/>
      <c r="W6359" s="780"/>
      <c r="X6359" s="881">
        <v>6355</v>
      </c>
      <c r="Y6359" s="881" t="s">
        <v>2248</v>
      </c>
      <c r="Z6359" s="881" t="s">
        <v>2991</v>
      </c>
      <c r="AA6359" s="882">
        <f>$S$1*P!AA6359</f>
        <v>11.868</v>
      </c>
      <c r="AB6359" s="780"/>
      <c r="AC6359" s="780"/>
      <c r="AD6359" s="780"/>
      <c r="AE6359" s="780"/>
      <c r="AF6359" s="780"/>
    </row>
    <row r="6360" spans="19:32" x14ac:dyDescent="0.35">
      <c r="S6360" s="780"/>
      <c r="T6360" s="928"/>
      <c r="U6360" s="928"/>
      <c r="V6360" s="928"/>
      <c r="W6360" s="780"/>
      <c r="X6360" s="782">
        <v>6356</v>
      </c>
      <c r="Y6360" s="782" t="s">
        <v>2248</v>
      </c>
      <c r="Z6360" s="782" t="s">
        <v>2990</v>
      </c>
      <c r="AA6360" s="781">
        <f>$S$1*P!AA6360</f>
        <v>2.5020161290322581E-8</v>
      </c>
      <c r="AB6360" s="780"/>
      <c r="AC6360" s="780"/>
      <c r="AD6360" s="780"/>
      <c r="AE6360" s="780"/>
      <c r="AF6360" s="780"/>
    </row>
    <row r="6361" spans="19:32" x14ac:dyDescent="0.35">
      <c r="S6361" s="780"/>
      <c r="T6361" s="928"/>
      <c r="U6361" s="928"/>
      <c r="V6361" s="928"/>
      <c r="W6361" s="780"/>
      <c r="X6361" s="881">
        <v>6357</v>
      </c>
      <c r="Y6361" s="881" t="s">
        <v>2248</v>
      </c>
      <c r="Z6361" s="881" t="s">
        <v>2989</v>
      </c>
      <c r="AA6361" s="882">
        <f>$S$1*P!AA6361</f>
        <v>4.8023999999999997E-2</v>
      </c>
      <c r="AB6361" s="780"/>
      <c r="AC6361" s="780"/>
      <c r="AD6361" s="780"/>
      <c r="AE6361" s="780"/>
      <c r="AF6361" s="780"/>
    </row>
    <row r="6362" spans="19:32" x14ac:dyDescent="0.35">
      <c r="S6362" s="780"/>
      <c r="T6362" s="928"/>
      <c r="U6362" s="928"/>
      <c r="V6362" s="928"/>
      <c r="W6362" s="780"/>
      <c r="X6362" s="782">
        <v>6358</v>
      </c>
      <c r="Y6362" s="782" t="s">
        <v>2248</v>
      </c>
      <c r="Z6362" s="782" t="s">
        <v>2988</v>
      </c>
      <c r="AA6362" s="781">
        <f>$S$1*P!AA6362</f>
        <v>5.5524193548387099E-3</v>
      </c>
      <c r="AB6362" s="780"/>
      <c r="AC6362" s="780"/>
      <c r="AD6362" s="780"/>
      <c r="AE6362" s="780"/>
      <c r="AF6362" s="780"/>
    </row>
    <row r="6363" spans="19:32" x14ac:dyDescent="0.35">
      <c r="S6363" s="780"/>
      <c r="T6363" s="928"/>
      <c r="U6363" s="928"/>
      <c r="V6363" s="928"/>
      <c r="W6363" s="780"/>
      <c r="X6363" s="881">
        <v>6359</v>
      </c>
      <c r="Y6363" s="881" t="s">
        <v>2248</v>
      </c>
      <c r="Z6363" s="881" t="s">
        <v>2987</v>
      </c>
      <c r="AA6363" s="882">
        <f>$S$1*P!AA6363</f>
        <v>2.7415999999999999E-2</v>
      </c>
      <c r="AB6363" s="780"/>
      <c r="AC6363" s="780"/>
      <c r="AD6363" s="780"/>
      <c r="AE6363" s="780"/>
      <c r="AF6363" s="780"/>
    </row>
    <row r="6364" spans="19:32" x14ac:dyDescent="0.35">
      <c r="S6364" s="780"/>
      <c r="T6364" s="928"/>
      <c r="U6364" s="928"/>
      <c r="V6364" s="928"/>
      <c r="W6364" s="780"/>
      <c r="X6364" s="881">
        <v>6360</v>
      </c>
      <c r="Y6364" s="881" t="s">
        <v>2248</v>
      </c>
      <c r="Z6364" s="881" t="s">
        <v>2986</v>
      </c>
      <c r="AA6364" s="882">
        <f>$S$1*P!AA6364</f>
        <v>0.29716000000000004</v>
      </c>
      <c r="AB6364" s="780"/>
      <c r="AC6364" s="780"/>
      <c r="AD6364" s="780"/>
      <c r="AE6364" s="780"/>
      <c r="AF6364" s="780"/>
    </row>
    <row r="6365" spans="19:32" x14ac:dyDescent="0.35">
      <c r="S6365" s="780"/>
      <c r="T6365" s="928"/>
      <c r="U6365" s="928"/>
      <c r="V6365" s="928"/>
      <c r="W6365" s="780"/>
      <c r="X6365" s="782">
        <v>6361</v>
      </c>
      <c r="Y6365" s="782" t="s">
        <v>2248</v>
      </c>
      <c r="Z6365" s="782" t="s">
        <v>2985</v>
      </c>
      <c r="AA6365" s="781">
        <f>$S$1*P!AA6365</f>
        <v>5.7923387096774194E-3</v>
      </c>
      <c r="AB6365" s="780"/>
      <c r="AC6365" s="780"/>
      <c r="AD6365" s="780"/>
      <c r="AE6365" s="780"/>
      <c r="AF6365" s="780"/>
    </row>
    <row r="6366" spans="19:32" x14ac:dyDescent="0.35">
      <c r="S6366" s="780"/>
      <c r="T6366" s="928"/>
      <c r="U6366" s="928"/>
      <c r="V6366" s="928"/>
      <c r="W6366" s="780"/>
      <c r="X6366" s="881">
        <v>6362</v>
      </c>
      <c r="Y6366" s="881" t="s">
        <v>2248</v>
      </c>
      <c r="Z6366" s="881" t="s">
        <v>2984</v>
      </c>
      <c r="AA6366" s="882">
        <f>$S$1*P!AA6366</f>
        <v>2.6680000000000001</v>
      </c>
      <c r="AB6366" s="780"/>
      <c r="AC6366" s="780"/>
      <c r="AD6366" s="780"/>
      <c r="AE6366" s="780"/>
      <c r="AF6366" s="780"/>
    </row>
    <row r="6367" spans="19:32" x14ac:dyDescent="0.35">
      <c r="S6367" s="780"/>
      <c r="T6367" s="928"/>
      <c r="U6367" s="928"/>
      <c r="V6367" s="928"/>
      <c r="W6367" s="780"/>
      <c r="X6367" s="881">
        <v>6363</v>
      </c>
      <c r="Y6367" s="881" t="s">
        <v>2248</v>
      </c>
      <c r="Z6367" s="881" t="s">
        <v>2983</v>
      </c>
      <c r="AA6367" s="882">
        <f>$S$1*P!AA6367</f>
        <v>0</v>
      </c>
      <c r="AB6367" s="780"/>
      <c r="AC6367" s="780"/>
      <c r="AD6367" s="780"/>
      <c r="AE6367" s="780"/>
      <c r="AF6367" s="780"/>
    </row>
    <row r="6368" spans="19:32" x14ac:dyDescent="0.35">
      <c r="S6368" s="780"/>
      <c r="T6368" s="928"/>
      <c r="U6368" s="928"/>
      <c r="V6368" s="928"/>
      <c r="W6368" s="780"/>
      <c r="X6368" s="782">
        <v>6364</v>
      </c>
      <c r="Y6368" s="782" t="s">
        <v>2248</v>
      </c>
      <c r="Z6368" s="782" t="s">
        <v>2982</v>
      </c>
      <c r="AA6368" s="781">
        <f>$S$1*P!AA6368</f>
        <v>1.1687500000000002E-2</v>
      </c>
      <c r="AB6368" s="780"/>
      <c r="AC6368" s="780"/>
      <c r="AD6368" s="780"/>
      <c r="AE6368" s="780"/>
      <c r="AF6368" s="780"/>
    </row>
    <row r="6369" spans="19:32" x14ac:dyDescent="0.35">
      <c r="S6369" s="780"/>
      <c r="T6369" s="928"/>
      <c r="U6369" s="928"/>
      <c r="V6369" s="928"/>
      <c r="W6369" s="780"/>
      <c r="X6369" s="881">
        <v>6365</v>
      </c>
      <c r="Y6369" s="881" t="s">
        <v>2248</v>
      </c>
      <c r="Z6369" s="881" t="s">
        <v>2981</v>
      </c>
      <c r="AA6369" s="882">
        <f>$S$1*P!AA6369</f>
        <v>0</v>
      </c>
      <c r="AB6369" s="780"/>
      <c r="AC6369" s="780"/>
      <c r="AD6369" s="780"/>
      <c r="AE6369" s="780"/>
      <c r="AF6369" s="780"/>
    </row>
    <row r="6370" spans="19:32" x14ac:dyDescent="0.35">
      <c r="S6370" s="780"/>
      <c r="T6370" s="928"/>
      <c r="U6370" s="928"/>
      <c r="V6370" s="928"/>
      <c r="W6370" s="780"/>
      <c r="X6370" s="881">
        <v>6366</v>
      </c>
      <c r="Y6370" s="881" t="s">
        <v>2248</v>
      </c>
      <c r="Z6370" s="881" t="s">
        <v>2980</v>
      </c>
      <c r="AA6370" s="882">
        <f>$S$1*P!AA6370</f>
        <v>10.304</v>
      </c>
      <c r="AB6370" s="780"/>
      <c r="AC6370" s="780"/>
      <c r="AD6370" s="780"/>
      <c r="AE6370" s="780"/>
      <c r="AF6370" s="780"/>
    </row>
    <row r="6371" spans="19:32" x14ac:dyDescent="0.35">
      <c r="S6371" s="780"/>
      <c r="T6371" s="928"/>
      <c r="U6371" s="928"/>
      <c r="V6371" s="928"/>
      <c r="W6371" s="780"/>
      <c r="X6371" s="782">
        <v>6367</v>
      </c>
      <c r="Y6371" s="782" t="s">
        <v>2248</v>
      </c>
      <c r="Z6371" s="782" t="s">
        <v>2979</v>
      </c>
      <c r="AA6371" s="781">
        <f>$S$1*P!AA6371</f>
        <v>8.6370967741935493E-4</v>
      </c>
      <c r="AB6371" s="780"/>
      <c r="AC6371" s="780"/>
      <c r="AD6371" s="780"/>
      <c r="AE6371" s="780"/>
      <c r="AF6371" s="780"/>
    </row>
    <row r="6372" spans="19:32" x14ac:dyDescent="0.35">
      <c r="S6372" s="780"/>
      <c r="T6372" s="928"/>
      <c r="U6372" s="928"/>
      <c r="V6372" s="928"/>
      <c r="W6372" s="780"/>
      <c r="X6372" s="881">
        <v>6368</v>
      </c>
      <c r="Y6372" s="881" t="s">
        <v>2248</v>
      </c>
      <c r="Z6372" s="881" t="s">
        <v>2978</v>
      </c>
      <c r="AA6372" s="882">
        <f>$S$1*P!AA6372</f>
        <v>3.9467999999999996</v>
      </c>
      <c r="AB6372" s="780"/>
      <c r="AC6372" s="780"/>
      <c r="AD6372" s="780"/>
      <c r="AE6372" s="780"/>
      <c r="AF6372" s="780"/>
    </row>
    <row r="6373" spans="19:32" x14ac:dyDescent="0.35">
      <c r="S6373" s="780"/>
      <c r="T6373" s="928"/>
      <c r="U6373" s="928"/>
      <c r="V6373" s="928"/>
      <c r="W6373" s="780"/>
      <c r="X6373" s="881">
        <v>6369</v>
      </c>
      <c r="Y6373" s="881" t="s">
        <v>2248</v>
      </c>
      <c r="Z6373" s="881" t="s">
        <v>2977</v>
      </c>
      <c r="AA6373" s="882">
        <f>$S$1*P!AA6373</f>
        <v>0</v>
      </c>
      <c r="AB6373" s="780"/>
      <c r="AC6373" s="780"/>
      <c r="AD6373" s="780"/>
      <c r="AE6373" s="780"/>
      <c r="AF6373" s="780"/>
    </row>
    <row r="6374" spans="19:32" x14ac:dyDescent="0.35">
      <c r="S6374" s="780"/>
      <c r="T6374" s="928"/>
      <c r="U6374" s="928"/>
      <c r="V6374" s="928"/>
      <c r="W6374" s="780"/>
      <c r="X6374" s="782">
        <v>6370</v>
      </c>
      <c r="Y6374" s="782" t="s">
        <v>2248</v>
      </c>
      <c r="Z6374" s="782" t="s">
        <v>2976</v>
      </c>
      <c r="AA6374" s="781">
        <f>$S$1*P!AA6374</f>
        <v>3.1155241935483871E-4</v>
      </c>
      <c r="AB6374" s="780"/>
      <c r="AC6374" s="780"/>
      <c r="AD6374" s="780"/>
      <c r="AE6374" s="780"/>
      <c r="AF6374" s="780"/>
    </row>
    <row r="6375" spans="19:32" x14ac:dyDescent="0.35">
      <c r="S6375" s="780"/>
      <c r="T6375" s="928"/>
      <c r="U6375" s="928"/>
      <c r="V6375" s="928"/>
      <c r="W6375" s="780"/>
      <c r="X6375" s="881">
        <v>6371</v>
      </c>
      <c r="Y6375" s="881" t="s">
        <v>2248</v>
      </c>
      <c r="Z6375" s="881" t="s">
        <v>2975</v>
      </c>
      <c r="AA6375" s="882">
        <f>$S$1*P!AA6375</f>
        <v>0</v>
      </c>
      <c r="AB6375" s="780"/>
      <c r="AC6375" s="780"/>
      <c r="AD6375" s="780"/>
      <c r="AE6375" s="780"/>
      <c r="AF6375" s="780"/>
    </row>
    <row r="6376" spans="19:32" x14ac:dyDescent="0.35">
      <c r="S6376" s="780"/>
      <c r="T6376" s="928"/>
      <c r="U6376" s="928"/>
      <c r="V6376" s="928"/>
      <c r="W6376" s="780"/>
      <c r="X6376" s="782">
        <v>6372</v>
      </c>
      <c r="Y6376" s="782" t="s">
        <v>2248</v>
      </c>
      <c r="Z6376" s="782" t="s">
        <v>2974</v>
      </c>
      <c r="AA6376" s="781">
        <f>$S$1*P!AA6376</f>
        <v>0.31052419354838712</v>
      </c>
      <c r="AB6376" s="780"/>
      <c r="AC6376" s="780"/>
      <c r="AD6376" s="780"/>
      <c r="AE6376" s="780"/>
      <c r="AF6376" s="780"/>
    </row>
    <row r="6377" spans="19:32" x14ac:dyDescent="0.35">
      <c r="S6377" s="780"/>
      <c r="T6377" s="928"/>
      <c r="U6377" s="928"/>
      <c r="V6377" s="928"/>
      <c r="W6377" s="780"/>
      <c r="X6377" s="881">
        <v>6373</v>
      </c>
      <c r="Y6377" s="881" t="s">
        <v>2248</v>
      </c>
      <c r="Z6377" s="881" t="s">
        <v>2973</v>
      </c>
      <c r="AA6377" s="882">
        <f>$S$1*P!AA6377</f>
        <v>8.9239999999999995</v>
      </c>
      <c r="AB6377" s="780"/>
      <c r="AC6377" s="780"/>
      <c r="AD6377" s="780"/>
      <c r="AE6377" s="780"/>
      <c r="AF6377" s="780"/>
    </row>
    <row r="6378" spans="19:32" x14ac:dyDescent="0.35">
      <c r="S6378" s="780"/>
      <c r="T6378" s="928"/>
      <c r="U6378" s="928"/>
      <c r="V6378" s="928"/>
      <c r="W6378" s="780"/>
      <c r="X6378" s="881">
        <v>6374</v>
      </c>
      <c r="Y6378" s="881" t="s">
        <v>2248</v>
      </c>
      <c r="Z6378" s="881" t="s">
        <v>2972</v>
      </c>
      <c r="AA6378" s="882">
        <f>$S$1*P!AA6378</f>
        <v>0</v>
      </c>
      <c r="AB6378" s="780"/>
      <c r="AC6378" s="780"/>
      <c r="AD6378" s="780"/>
      <c r="AE6378" s="780"/>
      <c r="AF6378" s="780"/>
    </row>
    <row r="6379" spans="19:32" x14ac:dyDescent="0.35">
      <c r="S6379" s="780"/>
      <c r="T6379" s="928"/>
      <c r="U6379" s="928"/>
      <c r="V6379" s="928"/>
      <c r="W6379" s="780"/>
      <c r="X6379" s="782">
        <v>6375</v>
      </c>
      <c r="Y6379" s="782" t="s">
        <v>2248</v>
      </c>
      <c r="Z6379" s="782" t="s">
        <v>2971</v>
      </c>
      <c r="AA6379" s="781">
        <f>$S$1*P!AA6379</f>
        <v>1.4497983870967743E-3</v>
      </c>
      <c r="AB6379" s="780"/>
      <c r="AC6379" s="780"/>
      <c r="AD6379" s="780"/>
      <c r="AE6379" s="780"/>
      <c r="AF6379" s="780"/>
    </row>
    <row r="6380" spans="19:32" x14ac:dyDescent="0.35">
      <c r="S6380" s="780"/>
      <c r="T6380" s="928"/>
      <c r="U6380" s="928"/>
      <c r="V6380" s="928"/>
      <c r="W6380" s="780"/>
      <c r="X6380" s="881">
        <v>6376</v>
      </c>
      <c r="Y6380" s="881" t="s">
        <v>2248</v>
      </c>
      <c r="Z6380" s="881" t="s">
        <v>2970</v>
      </c>
      <c r="AA6380" s="882">
        <f>$S$1*P!AA6380</f>
        <v>1.2236E-3</v>
      </c>
      <c r="AB6380" s="780"/>
      <c r="AC6380" s="780"/>
      <c r="AD6380" s="780"/>
      <c r="AE6380" s="780"/>
      <c r="AF6380" s="780"/>
    </row>
    <row r="6381" spans="19:32" x14ac:dyDescent="0.35">
      <c r="S6381" s="780"/>
      <c r="T6381" s="928"/>
      <c r="U6381" s="928"/>
      <c r="V6381" s="928"/>
      <c r="W6381" s="780"/>
      <c r="X6381" s="881">
        <v>6377</v>
      </c>
      <c r="Y6381" s="881" t="s">
        <v>2248</v>
      </c>
      <c r="Z6381" s="881" t="s">
        <v>2969</v>
      </c>
      <c r="AA6381" s="882">
        <f>$S$1*P!AA6381</f>
        <v>15.272</v>
      </c>
      <c r="AB6381" s="780"/>
      <c r="AC6381" s="780"/>
      <c r="AD6381" s="780"/>
      <c r="AE6381" s="780"/>
      <c r="AF6381" s="780"/>
    </row>
    <row r="6382" spans="19:32" x14ac:dyDescent="0.35">
      <c r="S6382" s="780"/>
      <c r="T6382" s="928"/>
      <c r="U6382" s="928"/>
      <c r="V6382" s="928"/>
      <c r="W6382" s="780"/>
      <c r="X6382" s="782">
        <v>6378</v>
      </c>
      <c r="Y6382" s="782" t="s">
        <v>2248</v>
      </c>
      <c r="Z6382" s="782" t="s">
        <v>2968</v>
      </c>
      <c r="AA6382" s="781">
        <f>$S$1*P!AA6382</f>
        <v>2.6973790322580647E-2</v>
      </c>
      <c r="AB6382" s="780"/>
      <c r="AC6382" s="780"/>
      <c r="AD6382" s="780"/>
      <c r="AE6382" s="780"/>
      <c r="AF6382" s="780"/>
    </row>
    <row r="6383" spans="19:32" x14ac:dyDescent="0.35">
      <c r="S6383" s="780"/>
      <c r="T6383" s="928"/>
      <c r="U6383" s="928"/>
      <c r="V6383" s="928"/>
      <c r="W6383" s="780"/>
      <c r="X6383" s="881">
        <v>6379</v>
      </c>
      <c r="Y6383" s="881" t="s">
        <v>2248</v>
      </c>
      <c r="Z6383" s="881" t="s">
        <v>2967</v>
      </c>
      <c r="AA6383" s="882">
        <f>$S$1*P!AA6383</f>
        <v>12.696</v>
      </c>
      <c r="AB6383" s="780"/>
      <c r="AC6383" s="780"/>
      <c r="AD6383" s="780"/>
      <c r="AE6383" s="780"/>
      <c r="AF6383" s="780"/>
    </row>
    <row r="6384" spans="19:32" x14ac:dyDescent="0.35">
      <c r="S6384" s="780"/>
      <c r="T6384" s="928"/>
      <c r="U6384" s="928"/>
      <c r="V6384" s="928"/>
      <c r="W6384" s="780"/>
      <c r="X6384" s="881">
        <v>6380</v>
      </c>
      <c r="Y6384" s="881" t="s">
        <v>2248</v>
      </c>
      <c r="Z6384" s="881" t="s">
        <v>2966</v>
      </c>
      <c r="AA6384" s="882">
        <f>$S$1*P!AA6384</f>
        <v>0.87031999999999998</v>
      </c>
      <c r="AB6384" s="780"/>
      <c r="AC6384" s="780"/>
      <c r="AD6384" s="780"/>
      <c r="AE6384" s="780"/>
      <c r="AF6384" s="780"/>
    </row>
    <row r="6385" spans="19:32" x14ac:dyDescent="0.35">
      <c r="S6385" s="780"/>
      <c r="T6385" s="928"/>
      <c r="U6385" s="928"/>
      <c r="V6385" s="928"/>
      <c r="W6385" s="780"/>
      <c r="X6385" s="782">
        <v>6381</v>
      </c>
      <c r="Y6385" s="782" t="s">
        <v>2248</v>
      </c>
      <c r="Z6385" s="782" t="s">
        <v>2965</v>
      </c>
      <c r="AA6385" s="781">
        <f>$S$1*P!AA6385</f>
        <v>6.7520161290322584E-4</v>
      </c>
      <c r="AB6385" s="780"/>
      <c r="AC6385" s="780"/>
      <c r="AD6385" s="780"/>
      <c r="AE6385" s="780"/>
      <c r="AF6385" s="780"/>
    </row>
    <row r="6386" spans="19:32" x14ac:dyDescent="0.35">
      <c r="S6386" s="780"/>
      <c r="T6386" s="928"/>
      <c r="U6386" s="928"/>
      <c r="V6386" s="928"/>
      <c r="W6386" s="780"/>
      <c r="X6386" s="881">
        <v>6382</v>
      </c>
      <c r="Y6386" s="881" t="s">
        <v>2248</v>
      </c>
      <c r="Z6386" s="881" t="s">
        <v>2964</v>
      </c>
      <c r="AA6386" s="882">
        <f>$S$1*P!AA6386</f>
        <v>0</v>
      </c>
      <c r="AB6386" s="780"/>
      <c r="AC6386" s="780"/>
      <c r="AD6386" s="780"/>
      <c r="AE6386" s="780"/>
      <c r="AF6386" s="780"/>
    </row>
    <row r="6387" spans="19:32" x14ac:dyDescent="0.35">
      <c r="S6387" s="780"/>
      <c r="T6387" s="928"/>
      <c r="U6387" s="928"/>
      <c r="V6387" s="928"/>
      <c r="W6387" s="780"/>
      <c r="X6387" s="782">
        <v>6383</v>
      </c>
      <c r="Y6387" s="782" t="s">
        <v>2248</v>
      </c>
      <c r="Z6387" s="782" t="s">
        <v>2963</v>
      </c>
      <c r="AA6387" s="781">
        <f>$S$1*P!AA6387</f>
        <v>2.9167338709677422E-5</v>
      </c>
      <c r="AB6387" s="780"/>
      <c r="AC6387" s="780"/>
      <c r="AD6387" s="780"/>
      <c r="AE6387" s="780"/>
      <c r="AF6387" s="780"/>
    </row>
    <row r="6388" spans="19:32" x14ac:dyDescent="0.35">
      <c r="S6388" s="780"/>
      <c r="T6388" s="928"/>
      <c r="U6388" s="928"/>
      <c r="V6388" s="928"/>
      <c r="W6388" s="780"/>
      <c r="X6388" s="881">
        <v>6384</v>
      </c>
      <c r="Y6388" s="881" t="s">
        <v>2248</v>
      </c>
      <c r="Z6388" s="881" t="s">
        <v>2962</v>
      </c>
      <c r="AA6388" s="882">
        <f>$S$1*P!AA6388</f>
        <v>7.3599999999999999E-2</v>
      </c>
      <c r="AB6388" s="780"/>
      <c r="AC6388" s="780"/>
      <c r="AD6388" s="780"/>
      <c r="AE6388" s="780"/>
      <c r="AF6388" s="780"/>
    </row>
    <row r="6389" spans="19:32" x14ac:dyDescent="0.35">
      <c r="S6389" s="780"/>
      <c r="T6389" s="928"/>
      <c r="U6389" s="928"/>
      <c r="V6389" s="928"/>
      <c r="W6389" s="780"/>
      <c r="X6389" s="881">
        <v>6385</v>
      </c>
      <c r="Y6389" s="881" t="s">
        <v>2248</v>
      </c>
      <c r="Z6389" s="881" t="s">
        <v>2961</v>
      </c>
      <c r="AA6389" s="882">
        <f>$S$1*P!AA6389</f>
        <v>82.432000000000002</v>
      </c>
      <c r="AB6389" s="780"/>
      <c r="AC6389" s="780"/>
      <c r="AD6389" s="780"/>
      <c r="AE6389" s="780"/>
      <c r="AF6389" s="780"/>
    </row>
    <row r="6390" spans="19:32" x14ac:dyDescent="0.35">
      <c r="S6390" s="780"/>
      <c r="T6390" s="928"/>
      <c r="U6390" s="928"/>
      <c r="V6390" s="928"/>
      <c r="W6390" s="780"/>
      <c r="X6390" s="782">
        <v>6386</v>
      </c>
      <c r="Y6390" s="782" t="s">
        <v>2248</v>
      </c>
      <c r="Z6390" s="782" t="s">
        <v>2960</v>
      </c>
      <c r="AA6390" s="781">
        <f>$S$1*P!AA6390</f>
        <v>2.7693548387096778E-4</v>
      </c>
      <c r="AB6390" s="780"/>
      <c r="AC6390" s="780"/>
      <c r="AD6390" s="780"/>
      <c r="AE6390" s="780"/>
      <c r="AF6390" s="780"/>
    </row>
    <row r="6391" spans="19:32" x14ac:dyDescent="0.35">
      <c r="S6391" s="780"/>
      <c r="T6391" s="928"/>
      <c r="U6391" s="928"/>
      <c r="V6391" s="928"/>
      <c r="W6391" s="780"/>
      <c r="X6391" s="881">
        <v>6387</v>
      </c>
      <c r="Y6391" s="881" t="s">
        <v>2248</v>
      </c>
      <c r="Z6391" s="881" t="s">
        <v>2959</v>
      </c>
      <c r="AA6391" s="882">
        <f>$S$1*P!AA6391</f>
        <v>1168.4000000000001</v>
      </c>
      <c r="AB6391" s="780"/>
      <c r="AC6391" s="780"/>
      <c r="AD6391" s="780"/>
      <c r="AE6391" s="780"/>
      <c r="AF6391" s="780"/>
    </row>
    <row r="6392" spans="19:32" x14ac:dyDescent="0.35">
      <c r="S6392" s="780"/>
      <c r="T6392" s="928"/>
      <c r="U6392" s="928"/>
      <c r="V6392" s="928"/>
      <c r="W6392" s="780"/>
      <c r="X6392" s="881">
        <v>6388</v>
      </c>
      <c r="Y6392" s="881" t="s">
        <v>2248</v>
      </c>
      <c r="Z6392" s="881" t="s">
        <v>2958</v>
      </c>
      <c r="AA6392" s="882">
        <f>$S$1*P!AA6392</f>
        <v>0</v>
      </c>
      <c r="AB6392" s="780"/>
      <c r="AC6392" s="780"/>
      <c r="AD6392" s="780"/>
      <c r="AE6392" s="780"/>
      <c r="AF6392" s="780"/>
    </row>
    <row r="6393" spans="19:32" x14ac:dyDescent="0.35">
      <c r="S6393" s="780"/>
      <c r="T6393" s="928"/>
      <c r="U6393" s="928"/>
      <c r="V6393" s="928"/>
      <c r="W6393" s="780"/>
      <c r="X6393" s="782">
        <v>6389</v>
      </c>
      <c r="Y6393" s="782" t="s">
        <v>2248</v>
      </c>
      <c r="Z6393" s="782" t="s">
        <v>2957</v>
      </c>
      <c r="AA6393" s="781">
        <f>$S$1*P!AA6393</f>
        <v>2.6768145161290325E-5</v>
      </c>
      <c r="AB6393" s="780"/>
      <c r="AC6393" s="780"/>
      <c r="AD6393" s="780"/>
      <c r="AE6393" s="780"/>
      <c r="AF6393" s="780"/>
    </row>
    <row r="6394" spans="19:32" x14ac:dyDescent="0.35">
      <c r="S6394" s="780"/>
      <c r="T6394" s="928"/>
      <c r="U6394" s="928"/>
      <c r="V6394" s="928"/>
      <c r="W6394" s="780"/>
      <c r="X6394" s="881">
        <v>6390</v>
      </c>
      <c r="Y6394" s="881" t="s">
        <v>2248</v>
      </c>
      <c r="Z6394" s="881" t="s">
        <v>2956</v>
      </c>
      <c r="AA6394" s="882">
        <f>$S$1*P!AA6394</f>
        <v>7.2496000000000009</v>
      </c>
      <c r="AB6394" s="780"/>
      <c r="AC6394" s="780"/>
      <c r="AD6394" s="780"/>
      <c r="AE6394" s="780"/>
      <c r="AF6394" s="780"/>
    </row>
    <row r="6395" spans="19:32" x14ac:dyDescent="0.35">
      <c r="S6395" s="780"/>
      <c r="T6395" s="928"/>
      <c r="U6395" s="928"/>
      <c r="V6395" s="928"/>
      <c r="W6395" s="780"/>
      <c r="X6395" s="881">
        <v>6391</v>
      </c>
      <c r="Y6395" s="881" t="s">
        <v>2248</v>
      </c>
      <c r="Z6395" s="881" t="s">
        <v>2955</v>
      </c>
      <c r="AA6395" s="882">
        <f>$S$1*P!AA6395</f>
        <v>47.655999999999999</v>
      </c>
      <c r="AB6395" s="780"/>
      <c r="AC6395" s="780"/>
      <c r="AD6395" s="780"/>
      <c r="AE6395" s="780"/>
      <c r="AF6395" s="780"/>
    </row>
    <row r="6396" spans="19:32" x14ac:dyDescent="0.35">
      <c r="S6396" s="780"/>
      <c r="T6396" s="928"/>
      <c r="U6396" s="928"/>
      <c r="V6396" s="928"/>
      <c r="W6396" s="780"/>
      <c r="X6396" s="782">
        <v>6392</v>
      </c>
      <c r="Y6396" s="782" t="s">
        <v>2248</v>
      </c>
      <c r="Z6396" s="782" t="s">
        <v>2954</v>
      </c>
      <c r="AA6396" s="781">
        <f>$S$1*P!AA6396</f>
        <v>8.6370967741935492E-2</v>
      </c>
      <c r="AB6396" s="780"/>
      <c r="AC6396" s="780"/>
      <c r="AD6396" s="780"/>
      <c r="AE6396" s="780"/>
      <c r="AF6396" s="780"/>
    </row>
    <row r="6397" spans="19:32" x14ac:dyDescent="0.35">
      <c r="S6397" s="780"/>
      <c r="T6397" s="928"/>
      <c r="U6397" s="928"/>
      <c r="V6397" s="928"/>
      <c r="W6397" s="780"/>
      <c r="X6397" s="881">
        <v>6393</v>
      </c>
      <c r="Y6397" s="881" t="s">
        <v>2248</v>
      </c>
      <c r="Z6397" s="881" t="s">
        <v>2953</v>
      </c>
      <c r="AA6397" s="882">
        <f>$S$1*P!AA6397</f>
        <v>0</v>
      </c>
      <c r="AB6397" s="780"/>
      <c r="AC6397" s="780"/>
      <c r="AD6397" s="780"/>
      <c r="AE6397" s="780"/>
      <c r="AF6397" s="780"/>
    </row>
    <row r="6398" spans="19:32" x14ac:dyDescent="0.35">
      <c r="S6398" s="780"/>
      <c r="T6398" s="928"/>
      <c r="U6398" s="928"/>
      <c r="V6398" s="928"/>
      <c r="W6398" s="780"/>
      <c r="X6398" s="881">
        <v>6394</v>
      </c>
      <c r="Y6398" s="881" t="s">
        <v>2248</v>
      </c>
      <c r="Z6398" s="881" t="s">
        <v>2952</v>
      </c>
      <c r="AA6398" s="882">
        <f>$S$1*P!AA6398</f>
        <v>0</v>
      </c>
      <c r="AB6398" s="780"/>
      <c r="AC6398" s="780"/>
      <c r="AD6398" s="780"/>
      <c r="AE6398" s="780"/>
      <c r="AF6398" s="780"/>
    </row>
    <row r="6399" spans="19:32" x14ac:dyDescent="0.35">
      <c r="S6399" s="780"/>
      <c r="T6399" s="928"/>
      <c r="U6399" s="928"/>
      <c r="V6399" s="928"/>
      <c r="W6399" s="780"/>
      <c r="X6399" s="782">
        <v>6395</v>
      </c>
      <c r="Y6399" s="782" t="s">
        <v>2248</v>
      </c>
      <c r="Z6399" s="782" t="s">
        <v>2951</v>
      </c>
      <c r="AA6399" s="781">
        <f>$S$1*P!AA6399</f>
        <v>2.4437500000000001E-2</v>
      </c>
      <c r="AB6399" s="780"/>
      <c r="AC6399" s="780"/>
      <c r="AD6399" s="780"/>
      <c r="AE6399" s="780"/>
      <c r="AF6399" s="780"/>
    </row>
    <row r="6400" spans="19:32" x14ac:dyDescent="0.35">
      <c r="S6400" s="780"/>
      <c r="T6400" s="928"/>
      <c r="U6400" s="928"/>
      <c r="V6400" s="928"/>
      <c r="W6400" s="780"/>
      <c r="X6400" s="881">
        <v>6396</v>
      </c>
      <c r="Y6400" s="881" t="s">
        <v>2248</v>
      </c>
      <c r="Z6400" s="881" t="s">
        <v>2950</v>
      </c>
      <c r="AA6400" s="882">
        <f>$S$1*P!AA6400</f>
        <v>423.2</v>
      </c>
      <c r="AB6400" s="780"/>
      <c r="AC6400" s="780"/>
      <c r="AD6400" s="780"/>
      <c r="AE6400" s="780"/>
      <c r="AF6400" s="780"/>
    </row>
    <row r="6401" spans="19:32" x14ac:dyDescent="0.35">
      <c r="S6401" s="780"/>
      <c r="T6401" s="928"/>
      <c r="U6401" s="928"/>
      <c r="V6401" s="928"/>
      <c r="W6401" s="780"/>
      <c r="X6401" s="782">
        <v>6397</v>
      </c>
      <c r="Y6401" s="782" t="s">
        <v>2248</v>
      </c>
      <c r="Z6401" s="782" t="s">
        <v>2949</v>
      </c>
      <c r="AA6401" s="781">
        <f>$S$1*P!AA6401</f>
        <v>1.1995967741935485E-3</v>
      </c>
      <c r="AB6401" s="780"/>
      <c r="AC6401" s="780"/>
      <c r="AD6401" s="780"/>
      <c r="AE6401" s="780"/>
      <c r="AF6401" s="780"/>
    </row>
    <row r="6402" spans="19:32" x14ac:dyDescent="0.35">
      <c r="S6402" s="780"/>
      <c r="T6402" s="928"/>
      <c r="U6402" s="928"/>
      <c r="V6402" s="928"/>
      <c r="W6402" s="780"/>
      <c r="X6402" s="881">
        <v>6398</v>
      </c>
      <c r="Y6402" s="881" t="s">
        <v>2248</v>
      </c>
      <c r="Z6402" s="881" t="s">
        <v>2948</v>
      </c>
      <c r="AA6402" s="882">
        <f>$S$1*P!AA6402</f>
        <v>4.9311999999999995E-2</v>
      </c>
      <c r="AB6402" s="780"/>
      <c r="AC6402" s="780"/>
      <c r="AD6402" s="780"/>
      <c r="AE6402" s="780"/>
      <c r="AF6402" s="780"/>
    </row>
    <row r="6403" spans="19:32" x14ac:dyDescent="0.35">
      <c r="S6403" s="780"/>
      <c r="T6403" s="928"/>
      <c r="U6403" s="928"/>
      <c r="V6403" s="928"/>
      <c r="W6403" s="780"/>
      <c r="X6403" s="881">
        <v>6399</v>
      </c>
      <c r="Y6403" s="881" t="s">
        <v>2248</v>
      </c>
      <c r="Z6403" s="881" t="s">
        <v>2947</v>
      </c>
      <c r="AA6403" s="882">
        <f>$S$1*P!AA6403</f>
        <v>1.6835999999999999E-4</v>
      </c>
      <c r="AB6403" s="780"/>
      <c r="AC6403" s="780"/>
      <c r="AD6403" s="780"/>
      <c r="AE6403" s="780"/>
      <c r="AF6403" s="780"/>
    </row>
    <row r="6404" spans="19:32" x14ac:dyDescent="0.35">
      <c r="S6404" s="780"/>
      <c r="T6404" s="928"/>
      <c r="U6404" s="928"/>
      <c r="V6404" s="928"/>
      <c r="W6404" s="780"/>
      <c r="X6404" s="782">
        <v>6400</v>
      </c>
      <c r="Y6404" s="782" t="s">
        <v>2248</v>
      </c>
      <c r="Z6404" s="782" t="s">
        <v>2833</v>
      </c>
      <c r="AA6404" s="781">
        <f>$S$1*P!AA6404</f>
        <v>2.2209677419354839E-3</v>
      </c>
      <c r="AB6404" s="780"/>
      <c r="AC6404" s="780"/>
      <c r="AD6404" s="780"/>
      <c r="AE6404" s="780"/>
      <c r="AF6404" s="780"/>
    </row>
    <row r="6405" spans="19:32" x14ac:dyDescent="0.35">
      <c r="S6405" s="780"/>
      <c r="T6405" s="928"/>
      <c r="U6405" s="928"/>
      <c r="V6405" s="928"/>
      <c r="W6405" s="780"/>
      <c r="X6405" s="881">
        <v>6401</v>
      </c>
      <c r="Y6405" s="881" t="s">
        <v>2248</v>
      </c>
      <c r="Z6405" s="881" t="s">
        <v>2946</v>
      </c>
      <c r="AA6405" s="882">
        <f>$S$1*P!AA6405</f>
        <v>0</v>
      </c>
      <c r="AB6405" s="780"/>
      <c r="AC6405" s="780"/>
      <c r="AD6405" s="780"/>
      <c r="AE6405" s="780"/>
      <c r="AF6405" s="780"/>
    </row>
    <row r="6406" spans="19:32" x14ac:dyDescent="0.35">
      <c r="S6406" s="780"/>
      <c r="T6406" s="928"/>
      <c r="U6406" s="928"/>
      <c r="V6406" s="928"/>
      <c r="W6406" s="780"/>
      <c r="X6406" s="881">
        <v>6402</v>
      </c>
      <c r="Y6406" s="881" t="s">
        <v>2248</v>
      </c>
      <c r="Z6406" s="881" t="s">
        <v>2945</v>
      </c>
      <c r="AA6406" s="882">
        <f>$S$1*P!AA6406</f>
        <v>1.0764000000000001E-2</v>
      </c>
      <c r="AB6406" s="780"/>
      <c r="AC6406" s="780"/>
      <c r="AD6406" s="780"/>
      <c r="AE6406" s="780"/>
      <c r="AF6406" s="780"/>
    </row>
    <row r="6407" spans="19:32" x14ac:dyDescent="0.35">
      <c r="S6407" s="780"/>
      <c r="T6407" s="928"/>
      <c r="U6407" s="928"/>
      <c r="V6407" s="928"/>
      <c r="W6407" s="780"/>
      <c r="X6407" s="782">
        <v>6403</v>
      </c>
      <c r="Y6407" s="782" t="s">
        <v>2248</v>
      </c>
      <c r="Z6407" s="782" t="s">
        <v>2831</v>
      </c>
      <c r="AA6407" s="781">
        <f>$S$1*P!AA6407</f>
        <v>4.1129032258064518E-5</v>
      </c>
      <c r="AB6407" s="780"/>
      <c r="AC6407" s="780"/>
      <c r="AD6407" s="780"/>
      <c r="AE6407" s="780"/>
      <c r="AF6407" s="780"/>
    </row>
    <row r="6408" spans="19:32" x14ac:dyDescent="0.35">
      <c r="S6408" s="780"/>
      <c r="T6408" s="928"/>
      <c r="U6408" s="928"/>
      <c r="V6408" s="928"/>
      <c r="W6408" s="780"/>
      <c r="X6408" s="881">
        <v>6404</v>
      </c>
      <c r="Y6408" s="881" t="s">
        <v>2248</v>
      </c>
      <c r="Z6408" s="881" t="s">
        <v>2944</v>
      </c>
      <c r="AA6408" s="882">
        <f>$S$1*P!AA6408</f>
        <v>6.2652000000000001</v>
      </c>
      <c r="AB6408" s="780"/>
      <c r="AC6408" s="780"/>
      <c r="AD6408" s="780"/>
      <c r="AE6408" s="780"/>
      <c r="AF6408" s="780"/>
    </row>
    <row r="6409" spans="19:32" x14ac:dyDescent="0.35">
      <c r="S6409" s="780"/>
      <c r="T6409" s="928"/>
      <c r="U6409" s="928"/>
      <c r="V6409" s="928"/>
      <c r="W6409" s="780"/>
      <c r="X6409" s="881">
        <v>6405</v>
      </c>
      <c r="Y6409" s="881" t="s">
        <v>2248</v>
      </c>
      <c r="Z6409" s="881" t="s">
        <v>2943</v>
      </c>
      <c r="AA6409" s="882">
        <f>$S$1*P!AA6409</f>
        <v>7.1943999999999999</v>
      </c>
      <c r="AB6409" s="780"/>
      <c r="AC6409" s="780"/>
      <c r="AD6409" s="780"/>
      <c r="AE6409" s="780"/>
      <c r="AF6409" s="780"/>
    </row>
    <row r="6410" spans="19:32" x14ac:dyDescent="0.35">
      <c r="S6410" s="780"/>
      <c r="T6410" s="928"/>
      <c r="U6410" s="928"/>
      <c r="V6410" s="928"/>
      <c r="W6410" s="780"/>
      <c r="X6410" s="782">
        <v>6406</v>
      </c>
      <c r="Y6410" s="782" t="s">
        <v>2248</v>
      </c>
      <c r="Z6410" s="782" t="s">
        <v>2828</v>
      </c>
      <c r="AA6410" s="781">
        <f>$S$1*P!AA6410</f>
        <v>2.5637096774193554E-4</v>
      </c>
      <c r="AB6410" s="780"/>
      <c r="AC6410" s="780"/>
      <c r="AD6410" s="780"/>
      <c r="AE6410" s="780"/>
      <c r="AF6410" s="780"/>
    </row>
    <row r="6411" spans="19:32" x14ac:dyDescent="0.35">
      <c r="S6411" s="780"/>
      <c r="T6411" s="928"/>
      <c r="U6411" s="928"/>
      <c r="V6411" s="928"/>
      <c r="W6411" s="780"/>
      <c r="X6411" s="881">
        <v>6407</v>
      </c>
      <c r="Y6411" s="881" t="s">
        <v>2248</v>
      </c>
      <c r="Z6411" s="881" t="s">
        <v>2942</v>
      </c>
      <c r="AA6411" s="882">
        <f>$S$1*P!AA6411</f>
        <v>1.5364</v>
      </c>
      <c r="AB6411" s="780"/>
      <c r="AC6411" s="780"/>
      <c r="AD6411" s="780"/>
      <c r="AE6411" s="780"/>
      <c r="AF6411" s="780"/>
    </row>
    <row r="6412" spans="19:32" x14ac:dyDescent="0.35">
      <c r="S6412" s="780"/>
      <c r="T6412" s="928"/>
      <c r="U6412" s="928"/>
      <c r="V6412" s="928"/>
      <c r="W6412" s="780"/>
      <c r="X6412" s="782">
        <v>6408</v>
      </c>
      <c r="Y6412" s="782" t="s">
        <v>2248</v>
      </c>
      <c r="Z6412" s="782" t="s">
        <v>2826</v>
      </c>
      <c r="AA6412" s="781">
        <f>$S$1*P!AA6412</f>
        <v>2.8139112903225807E-5</v>
      </c>
      <c r="AB6412" s="780"/>
      <c r="AC6412" s="780"/>
      <c r="AD6412" s="780"/>
      <c r="AE6412" s="780"/>
      <c r="AF6412" s="780"/>
    </row>
    <row r="6413" spans="19:32" x14ac:dyDescent="0.35">
      <c r="S6413" s="780"/>
      <c r="T6413" s="928"/>
      <c r="U6413" s="928"/>
      <c r="V6413" s="928"/>
      <c r="W6413" s="780"/>
      <c r="X6413" s="881">
        <v>6409</v>
      </c>
      <c r="Y6413" s="881" t="s">
        <v>2248</v>
      </c>
      <c r="Z6413" s="881" t="s">
        <v>2941</v>
      </c>
      <c r="AA6413" s="882">
        <f>$S$1*P!AA6413</f>
        <v>8.1419999999999999E-3</v>
      </c>
      <c r="AB6413" s="780"/>
      <c r="AC6413" s="780"/>
      <c r="AD6413" s="780"/>
      <c r="AE6413" s="780"/>
      <c r="AF6413" s="780"/>
    </row>
    <row r="6414" spans="19:32" x14ac:dyDescent="0.35">
      <c r="S6414" s="780"/>
      <c r="T6414" s="928"/>
      <c r="U6414" s="928"/>
      <c r="V6414" s="928"/>
      <c r="W6414" s="780"/>
      <c r="X6414" s="881">
        <v>6410</v>
      </c>
      <c r="Y6414" s="881" t="s">
        <v>2248</v>
      </c>
      <c r="Z6414" s="881" t="s">
        <v>2940</v>
      </c>
      <c r="AA6414" s="882">
        <f>$S$1*P!AA6414</f>
        <v>0.11499999999999999</v>
      </c>
      <c r="AB6414" s="780"/>
      <c r="AC6414" s="780"/>
      <c r="AD6414" s="780"/>
      <c r="AE6414" s="780"/>
      <c r="AF6414" s="780"/>
    </row>
    <row r="6415" spans="19:32" x14ac:dyDescent="0.35">
      <c r="S6415" s="780"/>
      <c r="T6415" s="928"/>
      <c r="U6415" s="928"/>
      <c r="V6415" s="928"/>
      <c r="W6415" s="780"/>
      <c r="X6415" s="782">
        <v>6411</v>
      </c>
      <c r="Y6415" s="782" t="s">
        <v>2248</v>
      </c>
      <c r="Z6415" s="782" t="s">
        <v>2939</v>
      </c>
      <c r="AA6415" s="781">
        <f>$S$1*P!AA6415</f>
        <v>3.5987903225806453E-6</v>
      </c>
      <c r="AB6415" s="780"/>
      <c r="AC6415" s="780"/>
      <c r="AD6415" s="780"/>
      <c r="AE6415" s="780"/>
      <c r="AF6415" s="780"/>
    </row>
    <row r="6416" spans="19:32" x14ac:dyDescent="0.35">
      <c r="S6416" s="780"/>
      <c r="T6416" s="928"/>
      <c r="U6416" s="928"/>
      <c r="V6416" s="928"/>
      <c r="W6416" s="780"/>
      <c r="X6416" s="881">
        <v>6412</v>
      </c>
      <c r="Y6416" s="881" t="s">
        <v>2248</v>
      </c>
      <c r="Z6416" s="881" t="s">
        <v>2938</v>
      </c>
      <c r="AA6416" s="882">
        <f>$S$1*P!AA6416</f>
        <v>701.96</v>
      </c>
      <c r="AB6416" s="780"/>
      <c r="AC6416" s="780"/>
      <c r="AD6416" s="780"/>
      <c r="AE6416" s="780"/>
      <c r="AF6416" s="780"/>
    </row>
    <row r="6417" spans="19:32" x14ac:dyDescent="0.35">
      <c r="S6417" s="780"/>
      <c r="T6417" s="928"/>
      <c r="U6417" s="928"/>
      <c r="V6417" s="928"/>
      <c r="W6417" s="780"/>
      <c r="X6417" s="881">
        <v>6413</v>
      </c>
      <c r="Y6417" s="881" t="s">
        <v>2248</v>
      </c>
      <c r="Z6417" s="881" t="s">
        <v>2937</v>
      </c>
      <c r="AA6417" s="882">
        <f>$S$1*P!AA6417</f>
        <v>1.8399999999999999</v>
      </c>
      <c r="AB6417" s="780"/>
      <c r="AC6417" s="780"/>
      <c r="AD6417" s="780"/>
      <c r="AE6417" s="780"/>
      <c r="AF6417" s="780"/>
    </row>
    <row r="6418" spans="19:32" x14ac:dyDescent="0.35">
      <c r="S6418" s="780"/>
      <c r="T6418" s="928"/>
      <c r="U6418" s="928"/>
      <c r="V6418" s="928"/>
      <c r="W6418" s="780"/>
      <c r="X6418" s="782">
        <v>6414</v>
      </c>
      <c r="Y6418" s="782" t="s">
        <v>2248</v>
      </c>
      <c r="Z6418" s="782" t="s">
        <v>2936</v>
      </c>
      <c r="AA6418" s="781">
        <f>$S$1*P!AA6418</f>
        <v>1.0830645161290324E-5</v>
      </c>
      <c r="AB6418" s="780"/>
      <c r="AC6418" s="780"/>
      <c r="AD6418" s="780"/>
      <c r="AE6418" s="780"/>
      <c r="AF6418" s="780"/>
    </row>
    <row r="6419" spans="19:32" x14ac:dyDescent="0.35">
      <c r="S6419" s="780"/>
      <c r="T6419" s="928"/>
      <c r="U6419" s="928"/>
      <c r="V6419" s="928"/>
      <c r="W6419" s="780"/>
      <c r="X6419" s="881">
        <v>6415</v>
      </c>
      <c r="Y6419" s="881" t="s">
        <v>2248</v>
      </c>
      <c r="Z6419" s="881" t="s">
        <v>2935</v>
      </c>
      <c r="AA6419" s="882">
        <f>$S$1*P!AA6419</f>
        <v>0.39836000000000005</v>
      </c>
      <c r="AB6419" s="780"/>
      <c r="AC6419" s="780"/>
      <c r="AD6419" s="780"/>
      <c r="AE6419" s="780"/>
      <c r="AF6419" s="780"/>
    </row>
    <row r="6420" spans="19:32" x14ac:dyDescent="0.35">
      <c r="S6420" s="780"/>
      <c r="T6420" s="928"/>
      <c r="U6420" s="928"/>
      <c r="V6420" s="928"/>
      <c r="W6420" s="780"/>
      <c r="X6420" s="881">
        <v>6416</v>
      </c>
      <c r="Y6420" s="881" t="s">
        <v>2248</v>
      </c>
      <c r="Z6420" s="881" t="s">
        <v>2934</v>
      </c>
      <c r="AA6420" s="882">
        <f>$S$1*P!AA6420</f>
        <v>1.2511999999999999</v>
      </c>
      <c r="AB6420" s="780"/>
      <c r="AC6420" s="780"/>
      <c r="AD6420" s="780"/>
      <c r="AE6420" s="780"/>
      <c r="AF6420" s="780"/>
    </row>
    <row r="6421" spans="19:32" x14ac:dyDescent="0.35">
      <c r="S6421" s="780"/>
      <c r="T6421" s="928"/>
      <c r="U6421" s="928"/>
      <c r="V6421" s="928"/>
      <c r="W6421" s="780"/>
      <c r="X6421" s="782">
        <v>6417</v>
      </c>
      <c r="Y6421" s="782" t="s">
        <v>2248</v>
      </c>
      <c r="Z6421" s="782" t="s">
        <v>2933</v>
      </c>
      <c r="AA6421" s="781">
        <f>$S$1*P!AA6421</f>
        <v>0.89798387096774201</v>
      </c>
      <c r="AB6421" s="780"/>
      <c r="AC6421" s="780"/>
      <c r="AD6421" s="780"/>
      <c r="AE6421" s="780"/>
      <c r="AF6421" s="780"/>
    </row>
    <row r="6422" spans="19:32" x14ac:dyDescent="0.35">
      <c r="S6422" s="780"/>
      <c r="T6422" s="928"/>
      <c r="U6422" s="928"/>
      <c r="V6422" s="928"/>
      <c r="W6422" s="780"/>
      <c r="X6422" s="881">
        <v>6418</v>
      </c>
      <c r="Y6422" s="881" t="s">
        <v>2248</v>
      </c>
      <c r="Z6422" s="881" t="s">
        <v>2932</v>
      </c>
      <c r="AA6422" s="882">
        <f>$S$1*P!AA6422</f>
        <v>43.884</v>
      </c>
      <c r="AB6422" s="780"/>
      <c r="AC6422" s="780"/>
      <c r="AD6422" s="780"/>
      <c r="AE6422" s="780"/>
      <c r="AF6422" s="780"/>
    </row>
    <row r="6423" spans="19:32" x14ac:dyDescent="0.35">
      <c r="S6423" s="780"/>
      <c r="T6423" s="928"/>
      <c r="U6423" s="928"/>
      <c r="V6423" s="928"/>
      <c r="W6423" s="780"/>
      <c r="X6423" s="881">
        <v>6419</v>
      </c>
      <c r="Y6423" s="881" t="s">
        <v>2248</v>
      </c>
      <c r="Z6423" s="881" t="s">
        <v>2931</v>
      </c>
      <c r="AA6423" s="882">
        <f>$S$1*P!AA6423</f>
        <v>0.35971999999999998</v>
      </c>
      <c r="AB6423" s="780"/>
      <c r="AC6423" s="780"/>
      <c r="AD6423" s="780"/>
      <c r="AE6423" s="780"/>
      <c r="AF6423" s="780"/>
    </row>
    <row r="6424" spans="19:32" x14ac:dyDescent="0.35">
      <c r="S6424" s="780"/>
      <c r="T6424" s="928"/>
      <c r="U6424" s="928"/>
      <c r="V6424" s="928"/>
      <c r="W6424" s="780"/>
      <c r="X6424" s="782">
        <v>6420</v>
      </c>
      <c r="Y6424" s="782" t="s">
        <v>2248</v>
      </c>
      <c r="Z6424" s="782" t="s">
        <v>2823</v>
      </c>
      <c r="AA6424" s="781">
        <f>$S$1*P!AA6424</f>
        <v>8.9455645161290327E-6</v>
      </c>
      <c r="AB6424" s="780"/>
      <c r="AC6424" s="780"/>
      <c r="AD6424" s="780"/>
      <c r="AE6424" s="780"/>
      <c r="AF6424" s="780"/>
    </row>
    <row r="6425" spans="19:32" x14ac:dyDescent="0.35">
      <c r="S6425" s="780"/>
      <c r="T6425" s="928"/>
      <c r="U6425" s="928"/>
      <c r="V6425" s="928"/>
      <c r="W6425" s="780"/>
      <c r="X6425" s="881">
        <v>6421</v>
      </c>
      <c r="Y6425" s="881" t="s">
        <v>2248</v>
      </c>
      <c r="Z6425" s="881" t="s">
        <v>2930</v>
      </c>
      <c r="AA6425" s="882">
        <f>$S$1*P!AA6425</f>
        <v>2.1068000000000002</v>
      </c>
      <c r="AB6425" s="780"/>
      <c r="AC6425" s="780"/>
      <c r="AD6425" s="780"/>
      <c r="AE6425" s="780"/>
      <c r="AF6425" s="780"/>
    </row>
    <row r="6426" spans="19:32" x14ac:dyDescent="0.35">
      <c r="S6426" s="780"/>
      <c r="T6426" s="928"/>
      <c r="U6426" s="928"/>
      <c r="V6426" s="928"/>
      <c r="W6426" s="780"/>
      <c r="X6426" s="782">
        <v>6422</v>
      </c>
      <c r="Y6426" s="782" t="s">
        <v>2248</v>
      </c>
      <c r="Z6426" s="782" t="s">
        <v>2929</v>
      </c>
      <c r="AA6426" s="781">
        <f>$S$1*P!AA6426</f>
        <v>9.425403225806452E-4</v>
      </c>
      <c r="AB6426" s="780"/>
      <c r="AC6426" s="780"/>
      <c r="AD6426" s="780"/>
      <c r="AE6426" s="780"/>
      <c r="AF6426" s="780"/>
    </row>
    <row r="6427" spans="19:32" x14ac:dyDescent="0.35">
      <c r="S6427" s="780"/>
      <c r="T6427" s="928"/>
      <c r="U6427" s="928"/>
      <c r="V6427" s="928"/>
      <c r="W6427" s="780"/>
      <c r="X6427" s="881">
        <v>6423</v>
      </c>
      <c r="Y6427" s="881" t="s">
        <v>2248</v>
      </c>
      <c r="Z6427" s="881" t="s">
        <v>2928</v>
      </c>
      <c r="AA6427" s="882">
        <f>$S$1*P!AA6427</f>
        <v>0.437</v>
      </c>
      <c r="AB6427" s="780"/>
      <c r="AC6427" s="780"/>
      <c r="AD6427" s="780"/>
      <c r="AE6427" s="780"/>
      <c r="AF6427" s="780"/>
    </row>
    <row r="6428" spans="19:32" x14ac:dyDescent="0.35">
      <c r="S6428" s="780"/>
      <c r="T6428" s="928"/>
      <c r="U6428" s="928"/>
      <c r="V6428" s="928"/>
      <c r="W6428" s="780"/>
      <c r="X6428" s="881">
        <v>6424</v>
      </c>
      <c r="Y6428" s="881" t="s">
        <v>2248</v>
      </c>
      <c r="Z6428" s="881" t="s">
        <v>2927</v>
      </c>
      <c r="AA6428" s="882">
        <f>$S$1*P!AA6428</f>
        <v>7.7003999999999992</v>
      </c>
      <c r="AB6428" s="780"/>
      <c r="AC6428" s="780"/>
      <c r="AD6428" s="780"/>
      <c r="AE6428" s="780"/>
      <c r="AF6428" s="780"/>
    </row>
    <row r="6429" spans="19:32" x14ac:dyDescent="0.35">
      <c r="S6429" s="780"/>
      <c r="T6429" s="928"/>
      <c r="U6429" s="928"/>
      <c r="V6429" s="928"/>
      <c r="W6429" s="780"/>
      <c r="X6429" s="782">
        <v>6425</v>
      </c>
      <c r="Y6429" s="782" t="s">
        <v>2248</v>
      </c>
      <c r="Z6429" s="782" t="s">
        <v>2926</v>
      </c>
      <c r="AA6429" s="781">
        <f>$S$1*P!AA6429</f>
        <v>1.689717741935484E-5</v>
      </c>
      <c r="AB6429" s="780"/>
      <c r="AC6429" s="780"/>
      <c r="AD6429" s="780"/>
      <c r="AE6429" s="780"/>
      <c r="AF6429" s="780"/>
    </row>
    <row r="6430" spans="19:32" x14ac:dyDescent="0.35">
      <c r="S6430" s="780"/>
      <c r="T6430" s="928"/>
      <c r="U6430" s="928"/>
      <c r="V6430" s="928"/>
      <c r="W6430" s="780"/>
      <c r="X6430" s="881">
        <v>6426</v>
      </c>
      <c r="Y6430" s="881" t="s">
        <v>2248</v>
      </c>
      <c r="Z6430" s="881" t="s">
        <v>2925</v>
      </c>
      <c r="AA6430" s="882">
        <f>$S$1*P!AA6430</f>
        <v>2.6680000000000001</v>
      </c>
      <c r="AB6430" s="780"/>
      <c r="AC6430" s="780"/>
      <c r="AD6430" s="780"/>
      <c r="AE6430" s="780"/>
      <c r="AF6430" s="780"/>
    </row>
    <row r="6431" spans="19:32" x14ac:dyDescent="0.35">
      <c r="S6431" s="780"/>
      <c r="T6431" s="928"/>
      <c r="U6431" s="928"/>
      <c r="V6431" s="928"/>
      <c r="W6431" s="780"/>
      <c r="X6431" s="881">
        <v>6427</v>
      </c>
      <c r="Y6431" s="881" t="s">
        <v>2248</v>
      </c>
      <c r="Z6431" s="881" t="s">
        <v>2924</v>
      </c>
      <c r="AA6431" s="882">
        <f>$S$1*P!AA6431</f>
        <v>39.008000000000003</v>
      </c>
      <c r="AB6431" s="780"/>
      <c r="AC6431" s="780"/>
      <c r="AD6431" s="780"/>
      <c r="AE6431" s="780"/>
      <c r="AF6431" s="780"/>
    </row>
    <row r="6432" spans="19:32" x14ac:dyDescent="0.35">
      <c r="S6432" s="780"/>
      <c r="T6432" s="928"/>
      <c r="U6432" s="928"/>
      <c r="V6432" s="928"/>
      <c r="W6432" s="780"/>
      <c r="X6432" s="782">
        <v>6428</v>
      </c>
      <c r="Y6432" s="782" t="s">
        <v>2248</v>
      </c>
      <c r="Z6432" s="782" t="s">
        <v>2923</v>
      </c>
      <c r="AA6432" s="781">
        <f>$S$1*P!AA6432</f>
        <v>4.1129032258064519E-3</v>
      </c>
      <c r="AB6432" s="780"/>
      <c r="AC6432" s="780"/>
      <c r="AD6432" s="780"/>
      <c r="AE6432" s="780"/>
      <c r="AF6432" s="780"/>
    </row>
    <row r="6433" spans="19:32" x14ac:dyDescent="0.35">
      <c r="S6433" s="780"/>
      <c r="T6433" s="928"/>
      <c r="U6433" s="928"/>
      <c r="V6433" s="928"/>
      <c r="W6433" s="780"/>
      <c r="X6433" s="881">
        <v>6429</v>
      </c>
      <c r="Y6433" s="881" t="s">
        <v>2248</v>
      </c>
      <c r="Z6433" s="881" t="s">
        <v>2922</v>
      </c>
      <c r="AA6433" s="882">
        <f>$S$1*P!AA6433</f>
        <v>2.7231999999999999E-2</v>
      </c>
      <c r="AB6433" s="780"/>
      <c r="AC6433" s="780"/>
      <c r="AD6433" s="780"/>
      <c r="AE6433" s="780"/>
      <c r="AF6433" s="780"/>
    </row>
    <row r="6434" spans="19:32" x14ac:dyDescent="0.35">
      <c r="S6434" s="780"/>
      <c r="T6434" s="928"/>
      <c r="U6434" s="928"/>
      <c r="V6434" s="928"/>
      <c r="W6434" s="780"/>
      <c r="X6434" s="881">
        <v>6430</v>
      </c>
      <c r="Y6434" s="881" t="s">
        <v>2248</v>
      </c>
      <c r="Z6434" s="881" t="s">
        <v>2921</v>
      </c>
      <c r="AA6434" s="882">
        <f>$S$1*P!AA6434</f>
        <v>1.1224000000000001</v>
      </c>
      <c r="AB6434" s="780"/>
      <c r="AC6434" s="780"/>
      <c r="AD6434" s="780"/>
      <c r="AE6434" s="780"/>
      <c r="AF6434" s="780"/>
    </row>
    <row r="6435" spans="19:32" x14ac:dyDescent="0.35">
      <c r="S6435" s="780"/>
      <c r="T6435" s="928"/>
      <c r="U6435" s="928"/>
      <c r="V6435" s="928"/>
      <c r="W6435" s="780"/>
      <c r="X6435" s="782">
        <v>6431</v>
      </c>
      <c r="Y6435" s="782" t="s">
        <v>2248</v>
      </c>
      <c r="Z6435" s="782" t="s">
        <v>2920</v>
      </c>
      <c r="AA6435" s="781">
        <f>$S$1*P!AA6435</f>
        <v>2.008467741935484E-7</v>
      </c>
      <c r="AB6435" s="780"/>
      <c r="AC6435" s="780"/>
      <c r="AD6435" s="780"/>
      <c r="AE6435" s="780"/>
      <c r="AF6435" s="780"/>
    </row>
    <row r="6436" spans="19:32" x14ac:dyDescent="0.35">
      <c r="S6436" s="780"/>
      <c r="T6436" s="928"/>
      <c r="U6436" s="928"/>
      <c r="V6436" s="928"/>
      <c r="W6436" s="780"/>
      <c r="X6436" s="881">
        <v>6432</v>
      </c>
      <c r="Y6436" s="881" t="s">
        <v>2248</v>
      </c>
      <c r="Z6436" s="881" t="s">
        <v>2919</v>
      </c>
      <c r="AA6436" s="882">
        <f>$S$1*P!AA6436</f>
        <v>9.1080000000000005</v>
      </c>
      <c r="AB6436" s="780"/>
      <c r="AC6436" s="780"/>
      <c r="AD6436" s="780"/>
      <c r="AE6436" s="780"/>
      <c r="AF6436" s="780"/>
    </row>
    <row r="6437" spans="19:32" x14ac:dyDescent="0.35">
      <c r="S6437" s="780"/>
      <c r="T6437" s="928"/>
      <c r="U6437" s="928"/>
      <c r="V6437" s="928"/>
      <c r="W6437" s="780"/>
      <c r="X6437" s="782">
        <v>6433</v>
      </c>
      <c r="Y6437" s="782" t="s">
        <v>2248</v>
      </c>
      <c r="Z6437" s="782" t="s">
        <v>2815</v>
      </c>
      <c r="AA6437" s="781">
        <f>$S$1*P!AA6437</f>
        <v>0.22518145161290323</v>
      </c>
      <c r="AB6437" s="780"/>
      <c r="AC6437" s="780"/>
      <c r="AD6437" s="780"/>
      <c r="AE6437" s="780"/>
      <c r="AF6437" s="780"/>
    </row>
    <row r="6438" spans="19:32" x14ac:dyDescent="0.35">
      <c r="S6438" s="780"/>
      <c r="T6438" s="928"/>
      <c r="U6438" s="928"/>
      <c r="V6438" s="928"/>
      <c r="W6438" s="780"/>
      <c r="X6438" s="881">
        <v>6434</v>
      </c>
      <c r="Y6438" s="881" t="s">
        <v>2248</v>
      </c>
      <c r="Z6438" s="881" t="s">
        <v>2918</v>
      </c>
      <c r="AA6438" s="882">
        <f>$S$1*P!AA6438</f>
        <v>0.41859999999999997</v>
      </c>
      <c r="AB6438" s="780"/>
      <c r="AC6438" s="780"/>
      <c r="AD6438" s="780"/>
      <c r="AE6438" s="780"/>
      <c r="AF6438" s="780"/>
    </row>
    <row r="6439" spans="19:32" x14ac:dyDescent="0.35">
      <c r="S6439" s="780"/>
      <c r="T6439" s="928"/>
      <c r="U6439" s="928"/>
      <c r="V6439" s="928"/>
      <c r="W6439" s="780"/>
      <c r="X6439" s="881">
        <v>6435</v>
      </c>
      <c r="Y6439" s="881" t="s">
        <v>2248</v>
      </c>
      <c r="Z6439" s="881" t="s">
        <v>2917</v>
      </c>
      <c r="AA6439" s="882">
        <f>$S$1*P!AA6439</f>
        <v>0</v>
      </c>
      <c r="AB6439" s="780"/>
      <c r="AC6439" s="780"/>
      <c r="AD6439" s="780"/>
      <c r="AE6439" s="780"/>
      <c r="AF6439" s="780"/>
    </row>
    <row r="6440" spans="19:32" x14ac:dyDescent="0.35">
      <c r="S6440" s="780"/>
      <c r="T6440" s="928"/>
      <c r="U6440" s="928"/>
      <c r="V6440" s="928"/>
      <c r="W6440" s="780"/>
      <c r="X6440" s="782">
        <v>6436</v>
      </c>
      <c r="Y6440" s="782" t="s">
        <v>2248</v>
      </c>
      <c r="Z6440" s="782" t="s">
        <v>2916</v>
      </c>
      <c r="AA6440" s="781">
        <f>$S$1*P!AA6440</f>
        <v>0.24540322580645163</v>
      </c>
      <c r="AB6440" s="780"/>
      <c r="AC6440" s="780"/>
      <c r="AD6440" s="780"/>
      <c r="AE6440" s="780"/>
      <c r="AF6440" s="780"/>
    </row>
    <row r="6441" spans="19:32" x14ac:dyDescent="0.35">
      <c r="S6441" s="780"/>
      <c r="T6441" s="928"/>
      <c r="U6441" s="928"/>
      <c r="V6441" s="928"/>
      <c r="W6441" s="780"/>
      <c r="X6441" s="881">
        <v>6437</v>
      </c>
      <c r="Y6441" s="881" t="s">
        <v>2248</v>
      </c>
      <c r="Z6441" s="881" t="s">
        <v>2915</v>
      </c>
      <c r="AA6441" s="882">
        <f>$S$1*P!AA6441</f>
        <v>0</v>
      </c>
      <c r="AB6441" s="780"/>
      <c r="AC6441" s="780"/>
      <c r="AD6441" s="780"/>
      <c r="AE6441" s="780"/>
      <c r="AF6441" s="780"/>
    </row>
    <row r="6442" spans="19:32" x14ac:dyDescent="0.35">
      <c r="S6442" s="780"/>
      <c r="T6442" s="928"/>
      <c r="U6442" s="928"/>
      <c r="V6442" s="928"/>
      <c r="W6442" s="780"/>
      <c r="X6442" s="881">
        <v>6438</v>
      </c>
      <c r="Y6442" s="881" t="s">
        <v>2248</v>
      </c>
      <c r="Z6442" s="881" t="s">
        <v>2914</v>
      </c>
      <c r="AA6442" s="882">
        <f>$S$1*P!AA6442</f>
        <v>0</v>
      </c>
      <c r="AB6442" s="780"/>
      <c r="AC6442" s="780"/>
      <c r="AD6442" s="780"/>
      <c r="AE6442" s="780"/>
      <c r="AF6442" s="780"/>
    </row>
    <row r="6443" spans="19:32" x14ac:dyDescent="0.35">
      <c r="S6443" s="780"/>
      <c r="T6443" s="928"/>
      <c r="U6443" s="928"/>
      <c r="V6443" s="928"/>
      <c r="W6443" s="780"/>
      <c r="X6443" s="782">
        <v>6439</v>
      </c>
      <c r="Y6443" s="782" t="s">
        <v>2248</v>
      </c>
      <c r="Z6443" s="782" t="s">
        <v>2913</v>
      </c>
      <c r="AA6443" s="781">
        <f>$S$1*P!AA6443</f>
        <v>2.2346774193548387E-4</v>
      </c>
      <c r="AB6443" s="780"/>
      <c r="AC6443" s="780"/>
      <c r="AD6443" s="780"/>
      <c r="AE6443" s="780"/>
      <c r="AF6443" s="780"/>
    </row>
    <row r="6444" spans="19:32" x14ac:dyDescent="0.35">
      <c r="S6444" s="780"/>
      <c r="T6444" s="928"/>
      <c r="U6444" s="928"/>
      <c r="V6444" s="928"/>
      <c r="W6444" s="780"/>
      <c r="X6444" s="881">
        <v>6440</v>
      </c>
      <c r="Y6444" s="881" t="s">
        <v>2248</v>
      </c>
      <c r="Z6444" s="881" t="s">
        <v>2912</v>
      </c>
      <c r="AA6444" s="882">
        <f>$S$1*P!AA6444</f>
        <v>0.45723999999999998</v>
      </c>
      <c r="AB6444" s="780"/>
      <c r="AC6444" s="780"/>
      <c r="AD6444" s="780"/>
      <c r="AE6444" s="780"/>
      <c r="AF6444" s="780"/>
    </row>
    <row r="6445" spans="19:32" x14ac:dyDescent="0.35">
      <c r="S6445" s="780"/>
      <c r="T6445" s="928"/>
      <c r="U6445" s="928"/>
      <c r="V6445" s="928"/>
      <c r="W6445" s="780"/>
      <c r="X6445" s="881">
        <v>6441</v>
      </c>
      <c r="Y6445" s="881" t="s">
        <v>2248</v>
      </c>
      <c r="Z6445" s="881" t="s">
        <v>2911</v>
      </c>
      <c r="AA6445" s="882">
        <f>$S$1*P!AA6445</f>
        <v>0</v>
      </c>
      <c r="AB6445" s="780"/>
      <c r="AC6445" s="780"/>
      <c r="AD6445" s="780"/>
      <c r="AE6445" s="780"/>
      <c r="AF6445" s="780"/>
    </row>
    <row r="6446" spans="19:32" x14ac:dyDescent="0.35">
      <c r="S6446" s="780"/>
      <c r="T6446" s="928"/>
      <c r="U6446" s="928"/>
      <c r="V6446" s="928"/>
      <c r="W6446" s="780"/>
      <c r="X6446" s="782">
        <v>6442</v>
      </c>
      <c r="Y6446" s="782" t="s">
        <v>2248</v>
      </c>
      <c r="Z6446" s="782" t="s">
        <v>2910</v>
      </c>
      <c r="AA6446" s="781">
        <f>$S$1*P!AA6446</f>
        <v>5.8951612903225814E-2</v>
      </c>
      <c r="AB6446" s="780"/>
      <c r="AC6446" s="780"/>
      <c r="AD6446" s="780"/>
      <c r="AE6446" s="780"/>
      <c r="AF6446" s="780"/>
    </row>
    <row r="6447" spans="19:32" x14ac:dyDescent="0.35">
      <c r="S6447" s="780"/>
      <c r="T6447" s="928"/>
      <c r="U6447" s="928"/>
      <c r="V6447" s="928"/>
      <c r="W6447" s="780"/>
      <c r="X6447" s="881">
        <v>6443</v>
      </c>
      <c r="Y6447" s="881" t="s">
        <v>2248</v>
      </c>
      <c r="Z6447" s="881" t="s">
        <v>2909</v>
      </c>
      <c r="AA6447" s="882">
        <f>$S$1*P!AA6447</f>
        <v>331.20000000000005</v>
      </c>
      <c r="AB6447" s="780"/>
      <c r="AC6447" s="780"/>
      <c r="AD6447" s="780"/>
      <c r="AE6447" s="780"/>
      <c r="AF6447" s="780"/>
    </row>
    <row r="6448" spans="19:32" x14ac:dyDescent="0.35">
      <c r="S6448" s="780"/>
      <c r="T6448" s="928"/>
      <c r="U6448" s="928"/>
      <c r="V6448" s="928"/>
      <c r="W6448" s="780"/>
      <c r="X6448" s="881">
        <v>6444</v>
      </c>
      <c r="Y6448" s="881" t="s">
        <v>2248</v>
      </c>
      <c r="Z6448" s="881" t="s">
        <v>2908</v>
      </c>
      <c r="AA6448" s="882">
        <f>$S$1*P!AA6448</f>
        <v>0</v>
      </c>
      <c r="AB6448" s="780"/>
      <c r="AC6448" s="780"/>
      <c r="AD6448" s="780"/>
      <c r="AE6448" s="780"/>
      <c r="AF6448" s="780"/>
    </row>
    <row r="6449" spans="19:32" x14ac:dyDescent="0.35">
      <c r="S6449" s="780"/>
      <c r="T6449" s="928"/>
      <c r="U6449" s="928"/>
      <c r="V6449" s="928"/>
      <c r="W6449" s="780"/>
      <c r="X6449" s="782">
        <v>6445</v>
      </c>
      <c r="Y6449" s="782" t="s">
        <v>2248</v>
      </c>
      <c r="Z6449" s="782" t="s">
        <v>2907</v>
      </c>
      <c r="AA6449" s="781">
        <f>$S$1*P!AA6449</f>
        <v>2.4266129032258065E-5</v>
      </c>
      <c r="AB6449" s="780"/>
      <c r="AC6449" s="780"/>
      <c r="AD6449" s="780"/>
      <c r="AE6449" s="780"/>
      <c r="AF6449" s="780"/>
    </row>
    <row r="6450" spans="19:32" x14ac:dyDescent="0.35">
      <c r="S6450" s="780"/>
      <c r="T6450" s="928"/>
      <c r="U6450" s="928"/>
      <c r="V6450" s="928"/>
      <c r="W6450" s="780"/>
      <c r="X6450" s="881">
        <v>6446</v>
      </c>
      <c r="Y6450" s="881" t="s">
        <v>2248</v>
      </c>
      <c r="Z6450" s="881" t="s">
        <v>2906</v>
      </c>
      <c r="AA6450" s="882">
        <f>$S$1*P!AA6450</f>
        <v>0</v>
      </c>
      <c r="AB6450" s="780"/>
      <c r="AC6450" s="780"/>
      <c r="AD6450" s="780"/>
      <c r="AE6450" s="780"/>
      <c r="AF6450" s="780"/>
    </row>
    <row r="6451" spans="19:32" x14ac:dyDescent="0.35">
      <c r="S6451" s="780"/>
      <c r="T6451" s="928"/>
      <c r="U6451" s="928"/>
      <c r="V6451" s="928"/>
      <c r="W6451" s="780"/>
      <c r="X6451" s="782">
        <v>6447</v>
      </c>
      <c r="Y6451" s="782" t="s">
        <v>2248</v>
      </c>
      <c r="Z6451" s="782" t="s">
        <v>2905</v>
      </c>
      <c r="AA6451" s="781">
        <f>$S$1*P!AA6451</f>
        <v>4.3528225806451614E-3</v>
      </c>
      <c r="AB6451" s="780"/>
      <c r="AC6451" s="780"/>
      <c r="AD6451" s="780"/>
      <c r="AE6451" s="780"/>
      <c r="AF6451" s="780"/>
    </row>
    <row r="6452" spans="19:32" x14ac:dyDescent="0.35">
      <c r="S6452" s="780"/>
      <c r="T6452" s="928"/>
      <c r="U6452" s="928"/>
      <c r="V6452" s="928"/>
      <c r="W6452" s="780"/>
      <c r="X6452" s="881">
        <v>6448</v>
      </c>
      <c r="Y6452" s="881" t="s">
        <v>2248</v>
      </c>
      <c r="Z6452" s="881" t="s">
        <v>2904</v>
      </c>
      <c r="AA6452" s="882">
        <f>$S$1*P!AA6452</f>
        <v>319.23999999999995</v>
      </c>
      <c r="AB6452" s="780"/>
      <c r="AC6452" s="780"/>
      <c r="AD6452" s="780"/>
      <c r="AE6452" s="780"/>
      <c r="AF6452" s="780"/>
    </row>
    <row r="6453" spans="19:32" x14ac:dyDescent="0.35">
      <c r="S6453" s="780"/>
      <c r="T6453" s="928"/>
      <c r="U6453" s="928"/>
      <c r="V6453" s="928"/>
      <c r="W6453" s="780"/>
      <c r="X6453" s="881">
        <v>6449</v>
      </c>
      <c r="Y6453" s="881" t="s">
        <v>2248</v>
      </c>
      <c r="Z6453" s="881" t="s">
        <v>2903</v>
      </c>
      <c r="AA6453" s="882">
        <f>$S$1*P!AA6453</f>
        <v>0</v>
      </c>
      <c r="AB6453" s="780"/>
      <c r="AC6453" s="780"/>
      <c r="AD6453" s="780"/>
      <c r="AE6453" s="780"/>
      <c r="AF6453" s="780"/>
    </row>
    <row r="6454" spans="19:32" x14ac:dyDescent="0.35">
      <c r="S6454" s="780"/>
      <c r="T6454" s="928"/>
      <c r="U6454" s="928"/>
      <c r="V6454" s="928"/>
      <c r="W6454" s="780"/>
      <c r="X6454" s="782">
        <v>6450</v>
      </c>
      <c r="Y6454" s="782" t="s">
        <v>2248</v>
      </c>
      <c r="Z6454" s="782" t="s">
        <v>2902</v>
      </c>
      <c r="AA6454" s="781">
        <f>$S$1*P!AA6454</f>
        <v>7.8145161290322574E-5</v>
      </c>
      <c r="AB6454" s="780"/>
      <c r="AC6454" s="780"/>
      <c r="AD6454" s="780"/>
      <c r="AE6454" s="780"/>
      <c r="AF6454" s="780"/>
    </row>
    <row r="6455" spans="19:32" x14ac:dyDescent="0.35">
      <c r="S6455" s="780"/>
      <c r="T6455" s="928"/>
      <c r="U6455" s="928"/>
      <c r="V6455" s="928"/>
      <c r="W6455" s="780"/>
      <c r="X6455" s="881">
        <v>6451</v>
      </c>
      <c r="Y6455" s="881" t="s">
        <v>2248</v>
      </c>
      <c r="Z6455" s="881" t="s">
        <v>2901</v>
      </c>
      <c r="AA6455" s="882">
        <f>$S$1*P!AA6455</f>
        <v>0.77464</v>
      </c>
      <c r="AB6455" s="780"/>
      <c r="AC6455" s="780"/>
      <c r="AD6455" s="780"/>
      <c r="AE6455" s="780"/>
      <c r="AF6455" s="780"/>
    </row>
    <row r="6456" spans="19:32" x14ac:dyDescent="0.35">
      <c r="S6456" s="780"/>
      <c r="T6456" s="928"/>
      <c r="U6456" s="928"/>
      <c r="V6456" s="928"/>
      <c r="W6456" s="780"/>
      <c r="X6456" s="881">
        <v>6452</v>
      </c>
      <c r="Y6456" s="881" t="s">
        <v>2248</v>
      </c>
      <c r="Z6456" s="881" t="s">
        <v>2900</v>
      </c>
      <c r="AA6456" s="882">
        <f>$S$1*P!AA6456</f>
        <v>0</v>
      </c>
      <c r="AB6456" s="780"/>
      <c r="AC6456" s="780"/>
      <c r="AD6456" s="780"/>
      <c r="AE6456" s="780"/>
      <c r="AF6456" s="780"/>
    </row>
    <row r="6457" spans="19:32" x14ac:dyDescent="0.35">
      <c r="S6457" s="780"/>
      <c r="T6457" s="928"/>
      <c r="U6457" s="928"/>
      <c r="V6457" s="928"/>
      <c r="W6457" s="780"/>
      <c r="X6457" s="782">
        <v>6453</v>
      </c>
      <c r="Y6457" s="782" t="s">
        <v>2248</v>
      </c>
      <c r="Z6457" s="782" t="s">
        <v>2899</v>
      </c>
      <c r="AA6457" s="781">
        <f>$S$1*P!AA6457</f>
        <v>1.3435483870967741E-4</v>
      </c>
      <c r="AB6457" s="780"/>
      <c r="AC6457" s="780"/>
      <c r="AD6457" s="780"/>
      <c r="AE6457" s="780"/>
      <c r="AF6457" s="780"/>
    </row>
    <row r="6458" spans="19:32" x14ac:dyDescent="0.35">
      <c r="S6458" s="780"/>
      <c r="T6458" s="928"/>
      <c r="U6458" s="928"/>
      <c r="V6458" s="928"/>
      <c r="W6458" s="780"/>
      <c r="X6458" s="881">
        <v>6454</v>
      </c>
      <c r="Y6458" s="881" t="s">
        <v>2248</v>
      </c>
      <c r="Z6458" s="881" t="s">
        <v>2898</v>
      </c>
      <c r="AA6458" s="882">
        <f>$S$1*P!AA6458</f>
        <v>0</v>
      </c>
      <c r="AB6458" s="780"/>
      <c r="AC6458" s="780"/>
      <c r="AD6458" s="780"/>
      <c r="AE6458" s="780"/>
      <c r="AF6458" s="780"/>
    </row>
    <row r="6459" spans="19:32" x14ac:dyDescent="0.35">
      <c r="S6459" s="780"/>
      <c r="T6459" s="928"/>
      <c r="U6459" s="928"/>
      <c r="V6459" s="928"/>
      <c r="W6459" s="780"/>
      <c r="X6459" s="881">
        <v>6455</v>
      </c>
      <c r="Y6459" s="881" t="s">
        <v>2248</v>
      </c>
      <c r="Z6459" s="881" t="s">
        <v>2897</v>
      </c>
      <c r="AA6459" s="882">
        <f>$S$1*P!AA6459</f>
        <v>0</v>
      </c>
      <c r="AB6459" s="780"/>
      <c r="AC6459" s="780"/>
      <c r="AD6459" s="780"/>
      <c r="AE6459" s="780"/>
      <c r="AF6459" s="780"/>
    </row>
    <row r="6460" spans="19:32" x14ac:dyDescent="0.35">
      <c r="S6460" s="780"/>
      <c r="T6460" s="928"/>
      <c r="U6460" s="928"/>
      <c r="V6460" s="928"/>
      <c r="W6460" s="780"/>
      <c r="X6460" s="782">
        <v>6456</v>
      </c>
      <c r="Y6460" s="782" t="s">
        <v>2248</v>
      </c>
      <c r="Z6460" s="782" t="s">
        <v>2810</v>
      </c>
      <c r="AA6460" s="781">
        <f>$S$1*P!AA6460</f>
        <v>2.3203629032258068E-2</v>
      </c>
      <c r="AB6460" s="780"/>
      <c r="AC6460" s="780"/>
      <c r="AD6460" s="780"/>
      <c r="AE6460" s="780"/>
      <c r="AF6460" s="780"/>
    </row>
    <row r="6461" spans="19:32" x14ac:dyDescent="0.35">
      <c r="S6461" s="780"/>
      <c r="T6461" s="928"/>
      <c r="U6461" s="928"/>
      <c r="V6461" s="928"/>
      <c r="W6461" s="780"/>
      <c r="X6461" s="881">
        <v>6457</v>
      </c>
      <c r="Y6461" s="881" t="s">
        <v>2248</v>
      </c>
      <c r="Z6461" s="881" t="s">
        <v>2896</v>
      </c>
      <c r="AA6461" s="882">
        <f>$S$1*P!AA6461</f>
        <v>0</v>
      </c>
      <c r="AB6461" s="780"/>
      <c r="AC6461" s="780"/>
      <c r="AD6461" s="780"/>
      <c r="AE6461" s="780"/>
      <c r="AF6461" s="780"/>
    </row>
    <row r="6462" spans="19:32" x14ac:dyDescent="0.35">
      <c r="S6462" s="780"/>
      <c r="T6462" s="928"/>
      <c r="U6462" s="928"/>
      <c r="V6462" s="928"/>
      <c r="W6462" s="780"/>
      <c r="X6462" s="782">
        <v>6458</v>
      </c>
      <c r="Y6462" s="782" t="s">
        <v>2248</v>
      </c>
      <c r="Z6462" s="782" t="s">
        <v>2895</v>
      </c>
      <c r="AA6462" s="781">
        <f>$S$1*P!AA6462</f>
        <v>3.382862903225807E-2</v>
      </c>
      <c r="AB6462" s="780"/>
      <c r="AC6462" s="780"/>
      <c r="AD6462" s="780"/>
      <c r="AE6462" s="780"/>
      <c r="AF6462" s="780"/>
    </row>
    <row r="6463" spans="19:32" x14ac:dyDescent="0.35">
      <c r="S6463" s="780"/>
      <c r="T6463" s="928"/>
      <c r="U6463" s="928"/>
      <c r="V6463" s="928"/>
      <c r="W6463" s="780"/>
      <c r="X6463" s="881">
        <v>6459</v>
      </c>
      <c r="Y6463" s="881" t="s">
        <v>2248</v>
      </c>
      <c r="Z6463" s="881" t="s">
        <v>2894</v>
      </c>
      <c r="AA6463" s="882">
        <f>$S$1*P!AA6463</f>
        <v>3.0268E-4</v>
      </c>
      <c r="AB6463" s="780"/>
      <c r="AC6463" s="780"/>
      <c r="AD6463" s="780"/>
      <c r="AE6463" s="780"/>
      <c r="AF6463" s="780"/>
    </row>
    <row r="6464" spans="19:32" x14ac:dyDescent="0.35">
      <c r="S6464" s="780"/>
      <c r="T6464" s="928"/>
      <c r="U6464" s="928"/>
      <c r="V6464" s="928"/>
      <c r="W6464" s="780"/>
      <c r="X6464" s="881">
        <v>6460</v>
      </c>
      <c r="Y6464" s="881" t="s">
        <v>2248</v>
      </c>
      <c r="Z6464" s="881" t="s">
        <v>2893</v>
      </c>
      <c r="AA6464" s="882">
        <f>$S$1*P!AA6464</f>
        <v>0</v>
      </c>
      <c r="AB6464" s="780"/>
      <c r="AC6464" s="780"/>
      <c r="AD6464" s="780"/>
      <c r="AE6464" s="780"/>
      <c r="AF6464" s="780"/>
    </row>
    <row r="6465" spans="19:32" x14ac:dyDescent="0.35">
      <c r="S6465" s="780"/>
      <c r="T6465" s="928"/>
      <c r="U6465" s="928"/>
      <c r="V6465" s="928"/>
      <c r="W6465" s="780"/>
      <c r="X6465" s="782">
        <v>6461</v>
      </c>
      <c r="Y6465" s="782" t="s">
        <v>2248</v>
      </c>
      <c r="Z6465" s="782" t="s">
        <v>2892</v>
      </c>
      <c r="AA6465" s="781">
        <f>$S$1*P!AA6465</f>
        <v>1.6177419354838709E-4</v>
      </c>
      <c r="AB6465" s="780"/>
      <c r="AC6465" s="780"/>
      <c r="AD6465" s="780"/>
      <c r="AE6465" s="780"/>
      <c r="AF6465" s="780"/>
    </row>
    <row r="6466" spans="19:32" x14ac:dyDescent="0.35">
      <c r="S6466" s="780"/>
      <c r="T6466" s="928"/>
      <c r="U6466" s="928"/>
      <c r="V6466" s="928"/>
      <c r="W6466" s="780"/>
      <c r="X6466" s="881">
        <v>6462</v>
      </c>
      <c r="Y6466" s="881" t="s">
        <v>2248</v>
      </c>
      <c r="Z6466" s="881" t="s">
        <v>2891</v>
      </c>
      <c r="AA6466" s="882">
        <f>$S$1*P!AA6466</f>
        <v>0</v>
      </c>
      <c r="AB6466" s="780"/>
      <c r="AC6466" s="780"/>
      <c r="AD6466" s="780"/>
      <c r="AE6466" s="780"/>
      <c r="AF6466" s="780"/>
    </row>
    <row r="6467" spans="19:32" x14ac:dyDescent="0.35">
      <c r="S6467" s="780"/>
      <c r="T6467" s="928"/>
      <c r="U6467" s="928"/>
      <c r="V6467" s="928"/>
      <c r="W6467" s="780"/>
      <c r="X6467" s="881">
        <v>6463</v>
      </c>
      <c r="Y6467" s="881" t="s">
        <v>2248</v>
      </c>
      <c r="Z6467" s="881" t="s">
        <v>2890</v>
      </c>
      <c r="AA6467" s="882">
        <f>$S$1*P!AA6467</f>
        <v>1.6652</v>
      </c>
      <c r="AB6467" s="780"/>
      <c r="AC6467" s="780"/>
      <c r="AD6467" s="780"/>
      <c r="AE6467" s="780"/>
      <c r="AF6467" s="780"/>
    </row>
    <row r="6468" spans="19:32" x14ac:dyDescent="0.35">
      <c r="S6468" s="780"/>
      <c r="T6468" s="928"/>
      <c r="U6468" s="928"/>
      <c r="V6468" s="928"/>
      <c r="W6468" s="780"/>
      <c r="X6468" s="782">
        <v>6464</v>
      </c>
      <c r="Y6468" s="782" t="s">
        <v>2248</v>
      </c>
      <c r="Z6468" s="782" t="s">
        <v>2889</v>
      </c>
      <c r="AA6468" s="781">
        <f>$S$1*P!AA6468</f>
        <v>4.215725806451613E-3</v>
      </c>
      <c r="AB6468" s="780"/>
      <c r="AC6468" s="780"/>
      <c r="AD6468" s="780"/>
      <c r="AE6468" s="780"/>
      <c r="AF6468" s="780"/>
    </row>
    <row r="6469" spans="19:32" x14ac:dyDescent="0.35">
      <c r="S6469" s="780"/>
      <c r="T6469" s="928"/>
      <c r="U6469" s="928"/>
      <c r="V6469" s="928"/>
      <c r="W6469" s="780"/>
      <c r="X6469" s="881">
        <v>6465</v>
      </c>
      <c r="Y6469" s="881" t="s">
        <v>2248</v>
      </c>
      <c r="Z6469" s="881" t="s">
        <v>2888</v>
      </c>
      <c r="AA6469" s="882">
        <f>$S$1*P!AA6469</f>
        <v>4.83</v>
      </c>
      <c r="AB6469" s="780"/>
      <c r="AC6469" s="780"/>
      <c r="AD6469" s="780"/>
      <c r="AE6469" s="780"/>
      <c r="AF6469" s="780"/>
    </row>
    <row r="6470" spans="19:32" x14ac:dyDescent="0.35">
      <c r="S6470" s="780"/>
      <c r="T6470" s="928"/>
      <c r="U6470" s="928"/>
      <c r="V6470" s="928"/>
      <c r="W6470" s="780"/>
      <c r="X6470" s="881">
        <v>6466</v>
      </c>
      <c r="Y6470" s="881" t="s">
        <v>2248</v>
      </c>
      <c r="Z6470" s="881" t="s">
        <v>2887</v>
      </c>
      <c r="AA6470" s="882">
        <f>$S$1*P!AA6470</f>
        <v>0</v>
      </c>
      <c r="AB6470" s="780"/>
      <c r="AC6470" s="780"/>
      <c r="AD6470" s="780"/>
      <c r="AE6470" s="780"/>
      <c r="AF6470" s="780"/>
    </row>
    <row r="6471" spans="19:32" x14ac:dyDescent="0.35">
      <c r="S6471" s="780"/>
      <c r="T6471" s="928"/>
      <c r="U6471" s="928"/>
      <c r="V6471" s="928"/>
      <c r="W6471" s="780"/>
      <c r="X6471" s="782">
        <v>6467</v>
      </c>
      <c r="Y6471" s="782" t="s">
        <v>2248</v>
      </c>
      <c r="Z6471" s="782" t="s">
        <v>2886</v>
      </c>
      <c r="AA6471" s="781">
        <f>$S$1*P!AA6471</f>
        <v>6.2721774193548398E-4</v>
      </c>
      <c r="AB6471" s="780"/>
      <c r="AC6471" s="780"/>
      <c r="AD6471" s="780"/>
      <c r="AE6471" s="780"/>
      <c r="AF6471" s="780"/>
    </row>
    <row r="6472" spans="19:32" x14ac:dyDescent="0.35">
      <c r="S6472" s="780"/>
      <c r="T6472" s="928"/>
      <c r="U6472" s="928"/>
      <c r="V6472" s="928"/>
      <c r="W6472" s="780"/>
      <c r="X6472" s="881">
        <v>6468</v>
      </c>
      <c r="Y6472" s="881" t="s">
        <v>2248</v>
      </c>
      <c r="Z6472" s="881" t="s">
        <v>2885</v>
      </c>
      <c r="AA6472" s="882">
        <f>$S$1*P!AA6472</f>
        <v>3.3304E-2</v>
      </c>
      <c r="AB6472" s="780"/>
      <c r="AC6472" s="780"/>
      <c r="AD6472" s="780"/>
      <c r="AE6472" s="780"/>
      <c r="AF6472" s="780"/>
    </row>
    <row r="6473" spans="19:32" x14ac:dyDescent="0.35">
      <c r="S6473" s="780"/>
      <c r="T6473" s="928"/>
      <c r="U6473" s="928"/>
      <c r="V6473" s="928"/>
      <c r="W6473" s="780"/>
      <c r="X6473" s="881">
        <v>6469</v>
      </c>
      <c r="Y6473" s="881" t="s">
        <v>2248</v>
      </c>
      <c r="Z6473" s="881" t="s">
        <v>2884</v>
      </c>
      <c r="AA6473" s="882">
        <f>$S$1*P!AA6473</f>
        <v>1.0119999999999999E-2</v>
      </c>
      <c r="AB6473" s="780"/>
      <c r="AC6473" s="780"/>
      <c r="AD6473" s="780"/>
      <c r="AE6473" s="780"/>
      <c r="AF6473" s="780"/>
    </row>
    <row r="6474" spans="19:32" x14ac:dyDescent="0.35">
      <c r="S6474" s="780"/>
      <c r="T6474" s="928"/>
      <c r="U6474" s="928"/>
      <c r="V6474" s="928"/>
      <c r="W6474" s="780"/>
      <c r="X6474" s="782">
        <v>6470</v>
      </c>
      <c r="Y6474" s="782" t="s">
        <v>2248</v>
      </c>
      <c r="Z6474" s="782" t="s">
        <v>2883</v>
      </c>
      <c r="AA6474" s="781">
        <f>$S$1*P!AA6474</f>
        <v>1.0076612903225806E-3</v>
      </c>
      <c r="AB6474" s="780"/>
      <c r="AC6474" s="780"/>
      <c r="AD6474" s="780"/>
      <c r="AE6474" s="780"/>
      <c r="AF6474" s="780"/>
    </row>
    <row r="6475" spans="19:32" x14ac:dyDescent="0.35">
      <c r="S6475" s="780"/>
      <c r="T6475" s="928"/>
      <c r="U6475" s="928"/>
      <c r="V6475" s="928"/>
      <c r="W6475" s="780"/>
      <c r="X6475" s="881">
        <v>6471</v>
      </c>
      <c r="Y6475" s="881" t="s">
        <v>2248</v>
      </c>
      <c r="Z6475" s="881" t="s">
        <v>2882</v>
      </c>
      <c r="AA6475" s="882">
        <f>$S$1*P!AA6475</f>
        <v>0</v>
      </c>
      <c r="AB6475" s="780"/>
      <c r="AC6475" s="780"/>
      <c r="AD6475" s="780"/>
      <c r="AE6475" s="780"/>
      <c r="AF6475" s="780"/>
    </row>
    <row r="6476" spans="19:32" x14ac:dyDescent="0.35">
      <c r="S6476" s="780"/>
      <c r="T6476" s="928"/>
      <c r="U6476" s="928"/>
      <c r="V6476" s="928"/>
      <c r="W6476" s="780"/>
      <c r="X6476" s="782">
        <v>6472</v>
      </c>
      <c r="Y6476" s="782" t="s">
        <v>2248</v>
      </c>
      <c r="Z6476" s="782" t="s">
        <v>2881</v>
      </c>
      <c r="AA6476" s="781">
        <f>$S$1*P!AA6476</f>
        <v>5.4153225806451615E-3</v>
      </c>
      <c r="AB6476" s="780"/>
      <c r="AC6476" s="780"/>
      <c r="AD6476" s="780"/>
      <c r="AE6476" s="780"/>
      <c r="AF6476" s="780"/>
    </row>
    <row r="6477" spans="19:32" x14ac:dyDescent="0.35">
      <c r="S6477" s="780"/>
      <c r="T6477" s="928"/>
      <c r="U6477" s="928"/>
      <c r="V6477" s="928"/>
      <c r="W6477" s="780"/>
      <c r="X6477" s="881">
        <v>6473</v>
      </c>
      <c r="Y6477" s="881" t="s">
        <v>2248</v>
      </c>
      <c r="Z6477" s="881" t="s">
        <v>2880</v>
      </c>
      <c r="AA6477" s="882">
        <f>$S$1*P!AA6477</f>
        <v>0</v>
      </c>
      <c r="AB6477" s="780"/>
      <c r="AC6477" s="780"/>
      <c r="AD6477" s="780"/>
      <c r="AE6477" s="780"/>
      <c r="AF6477" s="780"/>
    </row>
    <row r="6478" spans="19:32" x14ac:dyDescent="0.35">
      <c r="S6478" s="780"/>
      <c r="T6478" s="928"/>
      <c r="U6478" s="928"/>
      <c r="V6478" s="928"/>
      <c r="W6478" s="780"/>
      <c r="X6478" s="881">
        <v>6474</v>
      </c>
      <c r="Y6478" s="881" t="s">
        <v>2248</v>
      </c>
      <c r="Z6478" s="881" t="s">
        <v>2879</v>
      </c>
      <c r="AA6478" s="882">
        <f>$S$1*P!AA6478</f>
        <v>0</v>
      </c>
      <c r="AB6478" s="780"/>
      <c r="AC6478" s="780"/>
      <c r="AD6478" s="780"/>
      <c r="AE6478" s="780"/>
      <c r="AF6478" s="780"/>
    </row>
    <row r="6479" spans="19:32" x14ac:dyDescent="0.35">
      <c r="S6479" s="780"/>
      <c r="T6479" s="928"/>
      <c r="U6479" s="928"/>
      <c r="V6479" s="928"/>
      <c r="W6479" s="780"/>
      <c r="X6479" s="782">
        <v>6475</v>
      </c>
      <c r="Y6479" s="782" t="s">
        <v>2248</v>
      </c>
      <c r="Z6479" s="782" t="s">
        <v>2878</v>
      </c>
      <c r="AA6479" s="781">
        <f>$S$1*P!AA6479</f>
        <v>9.1512096774193558E-5</v>
      </c>
      <c r="AB6479" s="780"/>
      <c r="AC6479" s="780"/>
      <c r="AD6479" s="780"/>
      <c r="AE6479" s="780"/>
      <c r="AF6479" s="780"/>
    </row>
    <row r="6480" spans="19:32" x14ac:dyDescent="0.35">
      <c r="S6480" s="780"/>
      <c r="T6480" s="928"/>
      <c r="U6480" s="928"/>
      <c r="V6480" s="928"/>
      <c r="W6480" s="780"/>
      <c r="X6480" s="881">
        <v>6476</v>
      </c>
      <c r="Y6480" s="881" t="s">
        <v>2248</v>
      </c>
      <c r="Z6480" s="881" t="s">
        <v>2877</v>
      </c>
      <c r="AA6480" s="882">
        <f>$S$1*P!AA6480</f>
        <v>221.72</v>
      </c>
      <c r="AB6480" s="780"/>
      <c r="AC6480" s="780"/>
      <c r="AD6480" s="780"/>
      <c r="AE6480" s="780"/>
      <c r="AF6480" s="780"/>
    </row>
    <row r="6481" spans="19:32" x14ac:dyDescent="0.35">
      <c r="S6481" s="780"/>
      <c r="T6481" s="928"/>
      <c r="U6481" s="928"/>
      <c r="V6481" s="928"/>
      <c r="W6481" s="780"/>
      <c r="X6481" s="881">
        <v>6477</v>
      </c>
      <c r="Y6481" s="881" t="s">
        <v>2248</v>
      </c>
      <c r="Z6481" s="881" t="s">
        <v>2876</v>
      </c>
      <c r="AA6481" s="882">
        <f>$S$1*P!AA6481</f>
        <v>0</v>
      </c>
      <c r="AB6481" s="780"/>
      <c r="AC6481" s="780"/>
      <c r="AD6481" s="780"/>
      <c r="AE6481" s="780"/>
      <c r="AF6481" s="780"/>
    </row>
    <row r="6482" spans="19:32" x14ac:dyDescent="0.35">
      <c r="S6482" s="780"/>
      <c r="T6482" s="928"/>
      <c r="U6482" s="928"/>
      <c r="V6482" s="928"/>
      <c r="W6482" s="780"/>
      <c r="X6482" s="782">
        <v>6478</v>
      </c>
      <c r="Y6482" s="782" t="s">
        <v>2248</v>
      </c>
      <c r="Z6482" s="782" t="s">
        <v>2875</v>
      </c>
      <c r="AA6482" s="781">
        <f>$S$1*P!AA6482</f>
        <v>3.0058467741935486E-3</v>
      </c>
      <c r="AB6482" s="780"/>
      <c r="AC6482" s="780"/>
      <c r="AD6482" s="780"/>
      <c r="AE6482" s="780"/>
      <c r="AF6482" s="780"/>
    </row>
    <row r="6483" spans="19:32" x14ac:dyDescent="0.35">
      <c r="S6483" s="780"/>
      <c r="T6483" s="928"/>
      <c r="U6483" s="928"/>
      <c r="V6483" s="928"/>
      <c r="W6483" s="780"/>
      <c r="X6483" s="881">
        <v>6479</v>
      </c>
      <c r="Y6483" s="881" t="s">
        <v>2248</v>
      </c>
      <c r="Z6483" s="881" t="s">
        <v>2874</v>
      </c>
      <c r="AA6483" s="882">
        <f>$S$1*P!AA6483</f>
        <v>10.304</v>
      </c>
      <c r="AB6483" s="780"/>
      <c r="AC6483" s="780"/>
      <c r="AD6483" s="780"/>
      <c r="AE6483" s="780"/>
      <c r="AF6483" s="780"/>
    </row>
    <row r="6484" spans="19:32" x14ac:dyDescent="0.35">
      <c r="S6484" s="780"/>
      <c r="T6484" s="928"/>
      <c r="U6484" s="928"/>
      <c r="V6484" s="928"/>
      <c r="W6484" s="780"/>
      <c r="X6484" s="881">
        <v>6480</v>
      </c>
      <c r="Y6484" s="881" t="s">
        <v>2248</v>
      </c>
      <c r="Z6484" s="881" t="s">
        <v>2873</v>
      </c>
      <c r="AA6484" s="882">
        <f>$S$1*P!AA6484</f>
        <v>14.536000000000001</v>
      </c>
      <c r="AB6484" s="780"/>
      <c r="AC6484" s="780"/>
      <c r="AD6484" s="780"/>
      <c r="AE6484" s="780"/>
      <c r="AF6484" s="780"/>
    </row>
    <row r="6485" spans="19:32" x14ac:dyDescent="0.35">
      <c r="S6485" s="780"/>
      <c r="T6485" s="928"/>
      <c r="U6485" s="928"/>
      <c r="V6485" s="928"/>
      <c r="W6485" s="780"/>
      <c r="X6485" s="782">
        <v>6481</v>
      </c>
      <c r="Y6485" s="782" t="s">
        <v>2248</v>
      </c>
      <c r="Z6485" s="782" t="s">
        <v>2872</v>
      </c>
      <c r="AA6485" s="781">
        <f>$S$1*P!AA6485</f>
        <v>8.1572580645161295E-4</v>
      </c>
      <c r="AB6485" s="780"/>
      <c r="AC6485" s="780"/>
      <c r="AD6485" s="780"/>
      <c r="AE6485" s="780"/>
      <c r="AF6485" s="780"/>
    </row>
    <row r="6486" spans="19:32" x14ac:dyDescent="0.35">
      <c r="S6486" s="780"/>
      <c r="T6486" s="928"/>
      <c r="U6486" s="928"/>
      <c r="V6486" s="928"/>
      <c r="W6486" s="780"/>
      <c r="X6486" s="881">
        <v>6482</v>
      </c>
      <c r="Y6486" s="881" t="s">
        <v>2248</v>
      </c>
      <c r="Z6486" s="881" t="s">
        <v>2871</v>
      </c>
      <c r="AA6486" s="882">
        <f>$S$1*P!AA6486</f>
        <v>0</v>
      </c>
      <c r="AB6486" s="780"/>
      <c r="AC6486" s="780"/>
      <c r="AD6486" s="780"/>
      <c r="AE6486" s="780"/>
      <c r="AF6486" s="780"/>
    </row>
    <row r="6487" spans="19:32" x14ac:dyDescent="0.35">
      <c r="S6487" s="780"/>
      <c r="T6487" s="928"/>
      <c r="U6487" s="928"/>
      <c r="V6487" s="928"/>
      <c r="W6487" s="780"/>
      <c r="X6487" s="782">
        <v>6483</v>
      </c>
      <c r="Y6487" s="782" t="s">
        <v>2248</v>
      </c>
      <c r="Z6487" s="782" t="s">
        <v>2870</v>
      </c>
      <c r="AA6487" s="781">
        <f>$S$1*P!AA6487</f>
        <v>7.6774193548387098E-4</v>
      </c>
      <c r="AB6487" s="780"/>
      <c r="AC6487" s="780"/>
      <c r="AD6487" s="780"/>
      <c r="AE6487" s="780"/>
      <c r="AF6487" s="780"/>
    </row>
    <row r="6488" spans="19:32" x14ac:dyDescent="0.35">
      <c r="S6488" s="780"/>
      <c r="T6488" s="928"/>
      <c r="U6488" s="928"/>
      <c r="V6488" s="928"/>
      <c r="W6488" s="780"/>
      <c r="X6488" s="881">
        <v>6484</v>
      </c>
      <c r="Y6488" s="881" t="s">
        <v>2248</v>
      </c>
      <c r="Z6488" s="881" t="s">
        <v>2869</v>
      </c>
      <c r="AA6488" s="882">
        <f>$S$1*P!AA6488</f>
        <v>140.76000000000002</v>
      </c>
      <c r="AB6488" s="780"/>
      <c r="AC6488" s="780"/>
      <c r="AD6488" s="780"/>
      <c r="AE6488" s="780"/>
      <c r="AF6488" s="780"/>
    </row>
    <row r="6489" spans="19:32" x14ac:dyDescent="0.35">
      <c r="S6489" s="780"/>
      <c r="T6489" s="928"/>
      <c r="U6489" s="928"/>
      <c r="V6489" s="928"/>
      <c r="W6489" s="780"/>
      <c r="X6489" s="881">
        <v>6485</v>
      </c>
      <c r="Y6489" s="881" t="s">
        <v>2248</v>
      </c>
      <c r="Z6489" s="881" t="s">
        <v>2868</v>
      </c>
      <c r="AA6489" s="882">
        <f>$S$1*P!AA6489</f>
        <v>0</v>
      </c>
      <c r="AB6489" s="780"/>
      <c r="AC6489" s="780"/>
      <c r="AD6489" s="780"/>
      <c r="AE6489" s="780"/>
      <c r="AF6489" s="780"/>
    </row>
    <row r="6490" spans="19:32" x14ac:dyDescent="0.35">
      <c r="S6490" s="780"/>
      <c r="T6490" s="928"/>
      <c r="U6490" s="928"/>
      <c r="V6490" s="928"/>
      <c r="W6490" s="780"/>
      <c r="X6490" s="782">
        <v>6486</v>
      </c>
      <c r="Y6490" s="782" t="s">
        <v>2248</v>
      </c>
      <c r="Z6490" s="782" t="s">
        <v>2867</v>
      </c>
      <c r="AA6490" s="781">
        <f>$S$1*P!AA6490</f>
        <v>3.4959677419354839E-4</v>
      </c>
      <c r="AB6490" s="780"/>
      <c r="AC6490" s="780"/>
      <c r="AD6490" s="780"/>
      <c r="AE6490" s="780"/>
      <c r="AF6490" s="780"/>
    </row>
    <row r="6491" spans="19:32" x14ac:dyDescent="0.35">
      <c r="S6491" s="780"/>
      <c r="T6491" s="928"/>
      <c r="U6491" s="928"/>
      <c r="V6491" s="928"/>
      <c r="W6491" s="780"/>
      <c r="X6491" s="881">
        <v>6487</v>
      </c>
      <c r="Y6491" s="881" t="s">
        <v>2248</v>
      </c>
      <c r="Z6491" s="881" t="s">
        <v>2866</v>
      </c>
      <c r="AA6491" s="882">
        <f>$S$1*P!AA6491</f>
        <v>6.0443999999999996</v>
      </c>
      <c r="AB6491" s="780"/>
      <c r="AC6491" s="780"/>
      <c r="AD6491" s="780"/>
      <c r="AE6491" s="780"/>
      <c r="AF6491" s="780"/>
    </row>
    <row r="6492" spans="19:32" x14ac:dyDescent="0.35">
      <c r="S6492" s="780"/>
      <c r="T6492" s="928"/>
      <c r="U6492" s="928"/>
      <c r="V6492" s="928"/>
      <c r="W6492" s="780"/>
      <c r="X6492" s="881">
        <v>6488</v>
      </c>
      <c r="Y6492" s="881" t="s">
        <v>2248</v>
      </c>
      <c r="Z6492" s="881" t="s">
        <v>2865</v>
      </c>
      <c r="AA6492" s="882">
        <f>$S$1*P!AA6492</f>
        <v>39.744</v>
      </c>
      <c r="AB6492" s="780"/>
      <c r="AC6492" s="780"/>
      <c r="AD6492" s="780"/>
      <c r="AE6492" s="780"/>
      <c r="AF6492" s="780"/>
    </row>
    <row r="6493" spans="19:32" x14ac:dyDescent="0.35">
      <c r="S6493" s="780"/>
      <c r="T6493" s="928"/>
      <c r="U6493" s="928"/>
      <c r="V6493" s="928"/>
      <c r="W6493" s="780"/>
      <c r="X6493" s="782">
        <v>6489</v>
      </c>
      <c r="Y6493" s="782" t="s">
        <v>2248</v>
      </c>
      <c r="Z6493" s="782" t="s">
        <v>2864</v>
      </c>
      <c r="AA6493" s="781">
        <f>$S$1*P!AA6493</f>
        <v>1.0247983870967743E-5</v>
      </c>
      <c r="AB6493" s="780"/>
      <c r="AC6493" s="780"/>
      <c r="AD6493" s="780"/>
      <c r="AE6493" s="780"/>
      <c r="AF6493" s="780"/>
    </row>
    <row r="6494" spans="19:32" x14ac:dyDescent="0.35">
      <c r="S6494" s="780"/>
      <c r="T6494" s="928"/>
      <c r="U6494" s="928"/>
      <c r="V6494" s="928"/>
      <c r="W6494" s="780"/>
      <c r="X6494" s="881">
        <v>6490</v>
      </c>
      <c r="Y6494" s="881" t="s">
        <v>2248</v>
      </c>
      <c r="Z6494" s="881" t="s">
        <v>2863</v>
      </c>
      <c r="AA6494" s="882">
        <f>$S$1*P!AA6494</f>
        <v>15.731999999999999</v>
      </c>
      <c r="AB6494" s="780"/>
      <c r="AC6494" s="780"/>
      <c r="AD6494" s="780"/>
      <c r="AE6494" s="780"/>
      <c r="AF6494" s="780"/>
    </row>
    <row r="6495" spans="19:32" x14ac:dyDescent="0.35">
      <c r="S6495" s="780"/>
      <c r="T6495" s="928"/>
      <c r="U6495" s="928"/>
      <c r="V6495" s="928"/>
      <c r="W6495" s="780"/>
      <c r="X6495" s="881">
        <v>6491</v>
      </c>
      <c r="Y6495" s="881" t="s">
        <v>2248</v>
      </c>
      <c r="Z6495" s="881" t="s">
        <v>2862</v>
      </c>
      <c r="AA6495" s="882">
        <f>$S$1*P!AA6495</f>
        <v>0</v>
      </c>
      <c r="AB6495" s="780"/>
      <c r="AC6495" s="780"/>
      <c r="AD6495" s="780"/>
      <c r="AE6495" s="780"/>
      <c r="AF6495" s="780"/>
    </row>
    <row r="6496" spans="19:32" x14ac:dyDescent="0.35">
      <c r="S6496" s="780"/>
      <c r="T6496" s="928"/>
      <c r="U6496" s="928"/>
      <c r="V6496" s="928"/>
      <c r="W6496" s="780"/>
      <c r="X6496" s="782">
        <v>6492</v>
      </c>
      <c r="Y6496" s="782" t="s">
        <v>2248</v>
      </c>
      <c r="Z6496" s="782" t="s">
        <v>2861</v>
      </c>
      <c r="AA6496" s="781">
        <f>$S$1*P!AA6496</f>
        <v>9.1512096774193558E-5</v>
      </c>
      <c r="AB6496" s="780"/>
      <c r="AC6496" s="780"/>
      <c r="AD6496" s="780"/>
      <c r="AE6496" s="780"/>
      <c r="AF6496" s="780"/>
    </row>
    <row r="6497" spans="19:32" x14ac:dyDescent="0.35">
      <c r="S6497" s="780"/>
      <c r="T6497" s="928"/>
      <c r="U6497" s="928"/>
      <c r="V6497" s="928"/>
      <c r="W6497" s="780"/>
      <c r="X6497" s="881">
        <v>6493</v>
      </c>
      <c r="Y6497" s="881" t="s">
        <v>2248</v>
      </c>
      <c r="Z6497" s="881" t="s">
        <v>2860</v>
      </c>
      <c r="AA6497" s="882">
        <f>$S$1*P!AA6497</f>
        <v>0</v>
      </c>
      <c r="AB6497" s="780"/>
      <c r="AC6497" s="780"/>
      <c r="AD6497" s="780"/>
      <c r="AE6497" s="780"/>
      <c r="AF6497" s="780"/>
    </row>
    <row r="6498" spans="19:32" x14ac:dyDescent="0.35">
      <c r="S6498" s="780"/>
      <c r="T6498" s="928"/>
      <c r="U6498" s="928"/>
      <c r="V6498" s="928"/>
      <c r="W6498" s="780"/>
      <c r="X6498" s="782">
        <v>6494</v>
      </c>
      <c r="Y6498" s="782" t="s">
        <v>2248</v>
      </c>
      <c r="Z6498" s="782" t="s">
        <v>2859</v>
      </c>
      <c r="AA6498" s="781">
        <f>$S$1*P!AA6498</f>
        <v>6.1008064516129036E-2</v>
      </c>
      <c r="AB6498" s="780"/>
      <c r="AC6498" s="780"/>
      <c r="AD6498" s="780"/>
      <c r="AE6498" s="780"/>
      <c r="AF6498" s="780"/>
    </row>
    <row r="6499" spans="19:32" x14ac:dyDescent="0.35">
      <c r="S6499" s="780"/>
      <c r="T6499" s="928"/>
      <c r="U6499" s="928"/>
      <c r="V6499" s="928"/>
      <c r="W6499" s="780"/>
      <c r="X6499" s="881">
        <v>6495</v>
      </c>
      <c r="Y6499" s="881" t="s">
        <v>2248</v>
      </c>
      <c r="Z6499" s="881" t="s">
        <v>2858</v>
      </c>
      <c r="AA6499" s="882">
        <f>$S$1*P!AA6499</f>
        <v>0.1288</v>
      </c>
      <c r="AB6499" s="780"/>
      <c r="AC6499" s="780"/>
      <c r="AD6499" s="780"/>
      <c r="AE6499" s="780"/>
      <c r="AF6499" s="780"/>
    </row>
    <row r="6500" spans="19:32" x14ac:dyDescent="0.35">
      <c r="S6500" s="780"/>
      <c r="T6500" s="928"/>
      <c r="U6500" s="928"/>
      <c r="V6500" s="928"/>
      <c r="W6500" s="780"/>
      <c r="X6500" s="881">
        <v>6496</v>
      </c>
      <c r="Y6500" s="881" t="s">
        <v>2248</v>
      </c>
      <c r="Z6500" s="881" t="s">
        <v>2857</v>
      </c>
      <c r="AA6500" s="882">
        <f>$S$1*P!AA6500</f>
        <v>38.271999999999998</v>
      </c>
      <c r="AB6500" s="780"/>
      <c r="AC6500" s="780"/>
      <c r="AD6500" s="780"/>
      <c r="AE6500" s="780"/>
      <c r="AF6500" s="780"/>
    </row>
    <row r="6501" spans="19:32" x14ac:dyDescent="0.35">
      <c r="S6501" s="780"/>
      <c r="T6501" s="928"/>
      <c r="U6501" s="928"/>
      <c r="V6501" s="928"/>
      <c r="W6501" s="780"/>
      <c r="X6501" s="782">
        <v>6497</v>
      </c>
      <c r="Y6501" s="782" t="s">
        <v>2248</v>
      </c>
      <c r="Z6501" s="782" t="s">
        <v>2856</v>
      </c>
      <c r="AA6501" s="781">
        <f>$S$1*P!AA6501</f>
        <v>1.2750000000000001E-4</v>
      </c>
      <c r="AB6501" s="780"/>
      <c r="AC6501" s="780"/>
      <c r="AD6501" s="780"/>
      <c r="AE6501" s="780"/>
      <c r="AF6501" s="780"/>
    </row>
    <row r="6502" spans="19:32" x14ac:dyDescent="0.35">
      <c r="S6502" s="780"/>
      <c r="T6502" s="928"/>
      <c r="U6502" s="928"/>
      <c r="V6502" s="928"/>
      <c r="W6502" s="780"/>
      <c r="X6502" s="881">
        <v>6498</v>
      </c>
      <c r="Y6502" s="881" t="s">
        <v>2248</v>
      </c>
      <c r="Z6502" s="881" t="s">
        <v>2855</v>
      </c>
      <c r="AA6502" s="882">
        <f>$S$1*P!AA6502</f>
        <v>0</v>
      </c>
      <c r="AB6502" s="780"/>
      <c r="AC6502" s="780"/>
      <c r="AD6502" s="780"/>
      <c r="AE6502" s="780"/>
      <c r="AF6502" s="780"/>
    </row>
    <row r="6503" spans="19:32" x14ac:dyDescent="0.35">
      <c r="S6503" s="780"/>
      <c r="T6503" s="928"/>
      <c r="U6503" s="928"/>
      <c r="V6503" s="928"/>
      <c r="W6503" s="780"/>
      <c r="X6503" s="881">
        <v>6499</v>
      </c>
      <c r="Y6503" s="881" t="s">
        <v>2248</v>
      </c>
      <c r="Z6503" s="881" t="s">
        <v>2854</v>
      </c>
      <c r="AA6503" s="882">
        <f>$S$1*P!AA6503</f>
        <v>0</v>
      </c>
      <c r="AB6503" s="780"/>
      <c r="AC6503" s="780"/>
      <c r="AD6503" s="780"/>
      <c r="AE6503" s="780"/>
      <c r="AF6503" s="780"/>
    </row>
    <row r="6504" spans="19:32" x14ac:dyDescent="0.35">
      <c r="S6504" s="780"/>
      <c r="T6504" s="928"/>
      <c r="U6504" s="928"/>
      <c r="V6504" s="928"/>
      <c r="W6504" s="780"/>
      <c r="X6504" s="782">
        <v>6500</v>
      </c>
      <c r="Y6504" s="782" t="s">
        <v>2248</v>
      </c>
      <c r="Z6504" s="782" t="s">
        <v>2804</v>
      </c>
      <c r="AA6504" s="781">
        <f>$S$1*P!AA6504</f>
        <v>4.215725806451613E-5</v>
      </c>
      <c r="AB6504" s="780"/>
      <c r="AC6504" s="780"/>
      <c r="AD6504" s="780"/>
      <c r="AE6504" s="780"/>
      <c r="AF6504" s="780"/>
    </row>
    <row r="6505" spans="19:32" x14ac:dyDescent="0.35">
      <c r="S6505" s="780"/>
      <c r="T6505" s="928"/>
      <c r="U6505" s="928"/>
      <c r="V6505" s="928"/>
      <c r="W6505" s="780"/>
      <c r="X6505" s="881">
        <v>6501</v>
      </c>
      <c r="Y6505" s="881" t="s">
        <v>2248</v>
      </c>
      <c r="Z6505" s="881" t="s">
        <v>2853</v>
      </c>
      <c r="AA6505" s="882">
        <f>$S$1*P!AA6505</f>
        <v>0</v>
      </c>
      <c r="AB6505" s="780"/>
      <c r="AC6505" s="780"/>
      <c r="AD6505" s="780"/>
      <c r="AE6505" s="780"/>
      <c r="AF6505" s="780"/>
    </row>
    <row r="6506" spans="19:32" x14ac:dyDescent="0.35">
      <c r="S6506" s="780"/>
      <c r="T6506" s="928"/>
      <c r="U6506" s="928"/>
      <c r="V6506" s="928"/>
      <c r="W6506" s="780"/>
      <c r="X6506" s="881">
        <v>6502</v>
      </c>
      <c r="Y6506" s="881" t="s">
        <v>2248</v>
      </c>
      <c r="Z6506" s="881" t="s">
        <v>2852</v>
      </c>
      <c r="AA6506" s="882">
        <f>$S$1*P!AA6506</f>
        <v>5.6856</v>
      </c>
      <c r="AB6506" s="780"/>
      <c r="AC6506" s="780"/>
      <c r="AD6506" s="780"/>
      <c r="AE6506" s="780"/>
      <c r="AF6506" s="780"/>
    </row>
    <row r="6507" spans="19:32" x14ac:dyDescent="0.35">
      <c r="S6507" s="780"/>
      <c r="T6507" s="928"/>
      <c r="U6507" s="928"/>
      <c r="V6507" s="928"/>
      <c r="W6507" s="780"/>
      <c r="X6507" s="782">
        <v>6503</v>
      </c>
      <c r="Y6507" s="782" t="s">
        <v>2248</v>
      </c>
      <c r="Z6507" s="782" t="s">
        <v>2851</v>
      </c>
      <c r="AA6507" s="781">
        <f>$S$1*P!AA6507</f>
        <v>1.5629032258064515E-4</v>
      </c>
      <c r="AB6507" s="780"/>
      <c r="AC6507" s="780"/>
      <c r="AD6507" s="780"/>
      <c r="AE6507" s="780"/>
      <c r="AF6507" s="780"/>
    </row>
    <row r="6508" spans="19:32" x14ac:dyDescent="0.35">
      <c r="S6508" s="780"/>
      <c r="T6508" s="928"/>
      <c r="U6508" s="928"/>
      <c r="V6508" s="928"/>
      <c r="W6508" s="780"/>
      <c r="X6508" s="881">
        <v>6504</v>
      </c>
      <c r="Y6508" s="881" t="s">
        <v>2248</v>
      </c>
      <c r="Z6508" s="881" t="s">
        <v>2850</v>
      </c>
      <c r="AA6508" s="882">
        <f>$S$1*P!AA6508</f>
        <v>2.1343999999999998E-2</v>
      </c>
      <c r="AB6508" s="780"/>
      <c r="AC6508" s="780"/>
      <c r="AD6508" s="780"/>
      <c r="AE6508" s="780"/>
      <c r="AF6508" s="780"/>
    </row>
    <row r="6509" spans="19:32" x14ac:dyDescent="0.35">
      <c r="S6509" s="780"/>
      <c r="T6509" s="928"/>
      <c r="U6509" s="928"/>
      <c r="V6509" s="928"/>
      <c r="W6509" s="780"/>
      <c r="X6509" s="881">
        <v>6505</v>
      </c>
      <c r="Y6509" s="881" t="s">
        <v>2248</v>
      </c>
      <c r="Z6509" s="881" t="s">
        <v>2849</v>
      </c>
      <c r="AA6509" s="882">
        <f>$S$1*P!AA6509</f>
        <v>0</v>
      </c>
      <c r="AB6509" s="780"/>
      <c r="AC6509" s="780"/>
      <c r="AD6509" s="780"/>
      <c r="AE6509" s="780"/>
      <c r="AF6509" s="780"/>
    </row>
    <row r="6510" spans="19:32" x14ac:dyDescent="0.35">
      <c r="S6510" s="780"/>
      <c r="T6510" s="928"/>
      <c r="U6510" s="928"/>
      <c r="V6510" s="928"/>
      <c r="W6510" s="780"/>
      <c r="X6510" s="782">
        <v>6506</v>
      </c>
      <c r="Y6510" s="782" t="s">
        <v>2248</v>
      </c>
      <c r="Z6510" s="782" t="s">
        <v>2848</v>
      </c>
      <c r="AA6510" s="781">
        <f>$S$1*P!AA6510</f>
        <v>2.0256048387096777</v>
      </c>
      <c r="AB6510" s="780"/>
      <c r="AC6510" s="780"/>
      <c r="AD6510" s="780"/>
      <c r="AE6510" s="780"/>
      <c r="AF6510" s="780"/>
    </row>
    <row r="6511" spans="19:32" x14ac:dyDescent="0.35">
      <c r="S6511" s="780"/>
      <c r="T6511" s="928"/>
      <c r="U6511" s="928"/>
      <c r="V6511" s="928"/>
      <c r="W6511" s="780"/>
      <c r="X6511" s="881">
        <v>6507</v>
      </c>
      <c r="Y6511" s="881" t="s">
        <v>2248</v>
      </c>
      <c r="Z6511" s="881" t="s">
        <v>2847</v>
      </c>
      <c r="AA6511" s="882">
        <f>$S$1*P!AA6511</f>
        <v>0.11316</v>
      </c>
      <c r="AB6511" s="780"/>
      <c r="AC6511" s="780"/>
      <c r="AD6511" s="780"/>
      <c r="AE6511" s="780"/>
      <c r="AF6511" s="780"/>
    </row>
    <row r="6512" spans="19:32" x14ac:dyDescent="0.35">
      <c r="S6512" s="780"/>
      <c r="T6512" s="928"/>
      <c r="U6512" s="928"/>
      <c r="V6512" s="928"/>
      <c r="W6512" s="780"/>
      <c r="X6512" s="782">
        <v>6508</v>
      </c>
      <c r="Y6512" s="782" t="s">
        <v>2248</v>
      </c>
      <c r="Z6512" s="782" t="s">
        <v>2846</v>
      </c>
      <c r="AA6512" s="781">
        <f>$S$1*P!AA6512</f>
        <v>5.3467741935483873E-4</v>
      </c>
      <c r="AB6512" s="780"/>
      <c r="AC6512" s="780"/>
      <c r="AD6512" s="780"/>
      <c r="AE6512" s="780"/>
      <c r="AF6512" s="780"/>
    </row>
    <row r="6513" spans="19:32" x14ac:dyDescent="0.35">
      <c r="S6513" s="780"/>
      <c r="T6513" s="928"/>
      <c r="U6513" s="928"/>
      <c r="V6513" s="928"/>
      <c r="W6513" s="780"/>
      <c r="X6513" s="881">
        <v>6509</v>
      </c>
      <c r="Y6513" s="881" t="s">
        <v>2248</v>
      </c>
      <c r="Z6513" s="881" t="s">
        <v>2845</v>
      </c>
      <c r="AA6513" s="882">
        <f>$S$1*P!AA6513</f>
        <v>0</v>
      </c>
      <c r="AB6513" s="780"/>
      <c r="AC6513" s="780"/>
      <c r="AD6513" s="780"/>
      <c r="AE6513" s="780"/>
      <c r="AF6513" s="780"/>
    </row>
    <row r="6514" spans="19:32" x14ac:dyDescent="0.35">
      <c r="S6514" s="780"/>
      <c r="T6514" s="928"/>
      <c r="U6514" s="928"/>
      <c r="V6514" s="928"/>
      <c r="W6514" s="780"/>
      <c r="X6514" s="881">
        <v>6510</v>
      </c>
      <c r="Y6514" s="881" t="s">
        <v>2248</v>
      </c>
      <c r="Z6514" s="881" t="s">
        <v>2844</v>
      </c>
      <c r="AA6514" s="882">
        <f>$S$1*P!AA6514</f>
        <v>0</v>
      </c>
      <c r="AB6514" s="780"/>
      <c r="AC6514" s="780"/>
      <c r="AD6514" s="780"/>
      <c r="AE6514" s="780"/>
      <c r="AF6514" s="780"/>
    </row>
    <row r="6515" spans="19:32" x14ac:dyDescent="0.35">
      <c r="S6515" s="780"/>
      <c r="T6515" s="928"/>
      <c r="U6515" s="928"/>
      <c r="V6515" s="928"/>
      <c r="W6515" s="780"/>
      <c r="X6515" s="782">
        <v>6511</v>
      </c>
      <c r="Y6515" s="782" t="s">
        <v>2248</v>
      </c>
      <c r="Z6515" s="782" t="s">
        <v>2843</v>
      </c>
      <c r="AA6515" s="781">
        <f>$S$1*P!AA6515</f>
        <v>7.3346774193548393E-5</v>
      </c>
      <c r="AB6515" s="780"/>
      <c r="AC6515" s="780"/>
      <c r="AD6515" s="780"/>
      <c r="AE6515" s="780"/>
      <c r="AF6515" s="780"/>
    </row>
    <row r="6516" spans="19:32" x14ac:dyDescent="0.35">
      <c r="S6516" s="780"/>
      <c r="T6516" s="928"/>
      <c r="U6516" s="928"/>
      <c r="V6516" s="928"/>
      <c r="W6516" s="780"/>
      <c r="X6516" s="881">
        <v>6512</v>
      </c>
      <c r="Y6516" s="881" t="s">
        <v>2248</v>
      </c>
      <c r="Z6516" s="881" t="s">
        <v>2842</v>
      </c>
      <c r="AA6516" s="882">
        <f>$S$1*P!AA6516</f>
        <v>33580</v>
      </c>
      <c r="AB6516" s="780"/>
      <c r="AC6516" s="780"/>
      <c r="AD6516" s="780"/>
      <c r="AE6516" s="780"/>
      <c r="AF6516" s="780"/>
    </row>
    <row r="6517" spans="19:32" x14ac:dyDescent="0.35">
      <c r="S6517" s="780"/>
      <c r="T6517" s="928"/>
      <c r="U6517" s="928"/>
      <c r="V6517" s="928"/>
      <c r="W6517" s="780"/>
      <c r="X6517" s="881">
        <v>6513</v>
      </c>
      <c r="Y6517" s="881" t="s">
        <v>2248</v>
      </c>
      <c r="Z6517" s="881" t="s">
        <v>2841</v>
      </c>
      <c r="AA6517" s="882">
        <f>$S$1*P!AA6517</f>
        <v>0</v>
      </c>
      <c r="AB6517" s="780"/>
      <c r="AC6517" s="780"/>
      <c r="AD6517" s="780"/>
      <c r="AE6517" s="780"/>
      <c r="AF6517" s="780"/>
    </row>
    <row r="6518" spans="19:32" x14ac:dyDescent="0.35">
      <c r="S6518" s="780"/>
      <c r="T6518" s="928"/>
      <c r="U6518" s="928"/>
      <c r="V6518" s="928"/>
      <c r="W6518" s="780"/>
      <c r="X6518" s="782">
        <v>6514</v>
      </c>
      <c r="Y6518" s="782" t="s">
        <v>2248</v>
      </c>
      <c r="Z6518" s="782" t="s">
        <v>2840</v>
      </c>
      <c r="AA6518" s="781">
        <f>$S$1*P!AA6518</f>
        <v>3.0915322580645165E-3</v>
      </c>
      <c r="AB6518" s="780"/>
      <c r="AC6518" s="780"/>
      <c r="AD6518" s="780"/>
      <c r="AE6518" s="780"/>
      <c r="AF6518" s="780"/>
    </row>
    <row r="6519" spans="19:32" x14ac:dyDescent="0.35">
      <c r="S6519" s="780"/>
      <c r="T6519" s="928"/>
      <c r="U6519" s="928"/>
      <c r="V6519" s="928"/>
      <c r="W6519" s="780"/>
      <c r="X6519" s="881">
        <v>6515</v>
      </c>
      <c r="Y6519" s="881" t="s">
        <v>2248</v>
      </c>
      <c r="Z6519" s="881" t="s">
        <v>2839</v>
      </c>
      <c r="AA6519" s="882">
        <f>$S$1*P!AA6519</f>
        <v>4.2136E-2</v>
      </c>
      <c r="AB6519" s="780"/>
      <c r="AC6519" s="780"/>
      <c r="AD6519" s="780"/>
      <c r="AE6519" s="780"/>
      <c r="AF6519" s="780"/>
    </row>
    <row r="6520" spans="19:32" x14ac:dyDescent="0.35">
      <c r="S6520" s="780"/>
      <c r="T6520" s="928"/>
      <c r="U6520" s="928"/>
      <c r="V6520" s="928"/>
      <c r="W6520" s="780"/>
      <c r="X6520" s="881">
        <v>6516</v>
      </c>
      <c r="Y6520" s="881" t="s">
        <v>2248</v>
      </c>
      <c r="Z6520" s="881" t="s">
        <v>2838</v>
      </c>
      <c r="AA6520" s="882">
        <f>$S$1*P!AA6520</f>
        <v>17.48</v>
      </c>
      <c r="AB6520" s="780"/>
      <c r="AC6520" s="780"/>
      <c r="AD6520" s="780"/>
      <c r="AE6520" s="780"/>
      <c r="AF6520" s="780"/>
    </row>
    <row r="6521" spans="19:32" x14ac:dyDescent="0.35">
      <c r="S6521" s="780"/>
      <c r="T6521" s="928"/>
      <c r="U6521" s="928"/>
      <c r="V6521" s="928"/>
      <c r="W6521" s="780"/>
      <c r="X6521" s="782">
        <v>6517</v>
      </c>
      <c r="Y6521" s="782" t="s">
        <v>2248</v>
      </c>
      <c r="Z6521" s="782" t="s">
        <v>2837</v>
      </c>
      <c r="AA6521" s="781">
        <f>$S$1*P!AA6521</f>
        <v>4.6612903225806462E-6</v>
      </c>
      <c r="AB6521" s="780"/>
      <c r="AC6521" s="780"/>
      <c r="AD6521" s="780"/>
      <c r="AE6521" s="780"/>
      <c r="AF6521" s="780"/>
    </row>
    <row r="6522" spans="19:32" x14ac:dyDescent="0.35">
      <c r="S6522" s="780"/>
      <c r="T6522" s="928"/>
      <c r="U6522" s="928"/>
      <c r="V6522" s="928"/>
      <c r="W6522" s="780"/>
      <c r="X6522" s="881">
        <v>6518</v>
      </c>
      <c r="Y6522" s="881" t="s">
        <v>2248</v>
      </c>
      <c r="Z6522" s="881" t="s">
        <v>2836</v>
      </c>
      <c r="AA6522" s="882">
        <f>$S$1*P!AA6522</f>
        <v>0</v>
      </c>
      <c r="AB6522" s="780"/>
      <c r="AC6522" s="780"/>
      <c r="AD6522" s="780"/>
      <c r="AE6522" s="780"/>
      <c r="AF6522" s="780"/>
    </row>
    <row r="6523" spans="19:32" x14ac:dyDescent="0.35">
      <c r="S6523" s="780"/>
      <c r="T6523" s="928"/>
      <c r="U6523" s="928"/>
      <c r="V6523" s="928"/>
      <c r="W6523" s="780"/>
      <c r="X6523" s="782">
        <v>6519</v>
      </c>
      <c r="Y6523" s="782" t="s">
        <v>2248</v>
      </c>
      <c r="Z6523" s="782" t="s">
        <v>2835</v>
      </c>
      <c r="AA6523" s="781">
        <f>$S$1*P!AA6523</f>
        <v>1.9159274193548388E-6</v>
      </c>
      <c r="AB6523" s="780"/>
      <c r="AC6523" s="780"/>
      <c r="AD6523" s="780"/>
      <c r="AE6523" s="780"/>
      <c r="AF6523" s="780"/>
    </row>
    <row r="6524" spans="19:32" x14ac:dyDescent="0.35">
      <c r="S6524" s="780"/>
      <c r="T6524" s="928"/>
      <c r="U6524" s="928"/>
      <c r="V6524" s="928"/>
      <c r="W6524" s="780"/>
      <c r="X6524" s="881">
        <v>6520</v>
      </c>
      <c r="Y6524" s="881" t="s">
        <v>2248</v>
      </c>
      <c r="Z6524" s="881" t="s">
        <v>2834</v>
      </c>
      <c r="AA6524" s="882">
        <f>$S$1*P!AA6524</f>
        <v>0</v>
      </c>
      <c r="AB6524" s="780"/>
      <c r="AC6524" s="780"/>
      <c r="AD6524" s="780"/>
      <c r="AE6524" s="780"/>
      <c r="AF6524" s="780"/>
    </row>
    <row r="6525" spans="19:32" x14ac:dyDescent="0.35">
      <c r="S6525" s="780"/>
      <c r="T6525" s="928"/>
      <c r="U6525" s="928"/>
      <c r="V6525" s="928"/>
      <c r="W6525" s="780"/>
      <c r="X6525" s="881">
        <v>6521</v>
      </c>
      <c r="Y6525" s="881" t="s">
        <v>2248</v>
      </c>
      <c r="Z6525" s="881" t="s">
        <v>2833</v>
      </c>
      <c r="AA6525" s="882">
        <f>$S$1*P!AA6525</f>
        <v>0</v>
      </c>
      <c r="AB6525" s="780"/>
      <c r="AC6525" s="780"/>
      <c r="AD6525" s="780"/>
      <c r="AE6525" s="780"/>
      <c r="AF6525" s="780"/>
    </row>
    <row r="6526" spans="19:32" x14ac:dyDescent="0.35">
      <c r="S6526" s="780"/>
      <c r="T6526" s="928"/>
      <c r="U6526" s="928"/>
      <c r="V6526" s="928"/>
      <c r="W6526" s="780"/>
      <c r="X6526" s="782">
        <v>6522</v>
      </c>
      <c r="Y6526" s="782" t="s">
        <v>2248</v>
      </c>
      <c r="Z6526" s="782" t="s">
        <v>2832</v>
      </c>
      <c r="AA6526" s="781">
        <f>$S$1*P!AA6526</f>
        <v>2.1352822580645161</v>
      </c>
      <c r="AB6526" s="780"/>
      <c r="AC6526" s="780"/>
      <c r="AD6526" s="780"/>
      <c r="AE6526" s="780"/>
      <c r="AF6526" s="780"/>
    </row>
    <row r="6527" spans="19:32" x14ac:dyDescent="0.35">
      <c r="S6527" s="780"/>
      <c r="T6527" s="928"/>
      <c r="U6527" s="928"/>
      <c r="V6527" s="928"/>
      <c r="W6527" s="780"/>
      <c r="X6527" s="881">
        <v>6523</v>
      </c>
      <c r="Y6527" s="881" t="s">
        <v>2248</v>
      </c>
      <c r="Z6527" s="881" t="s">
        <v>2831</v>
      </c>
      <c r="AA6527" s="882">
        <f>$S$1*P!AA6527</f>
        <v>1.0671999999999999</v>
      </c>
      <c r="AB6527" s="780"/>
      <c r="AC6527" s="780"/>
      <c r="AD6527" s="780"/>
      <c r="AE6527" s="780"/>
      <c r="AF6527" s="780"/>
    </row>
    <row r="6528" spans="19:32" x14ac:dyDescent="0.35">
      <c r="S6528" s="780"/>
      <c r="T6528" s="928"/>
      <c r="U6528" s="928"/>
      <c r="V6528" s="928"/>
      <c r="W6528" s="780"/>
      <c r="X6528" s="881">
        <v>6524</v>
      </c>
      <c r="Y6528" s="881" t="s">
        <v>2248</v>
      </c>
      <c r="Z6528" s="881" t="s">
        <v>2830</v>
      </c>
      <c r="AA6528" s="882">
        <f>$S$1*P!AA6528</f>
        <v>0</v>
      </c>
      <c r="AB6528" s="780"/>
      <c r="AC6528" s="780"/>
      <c r="AD6528" s="780"/>
      <c r="AE6528" s="780"/>
      <c r="AF6528" s="780"/>
    </row>
    <row r="6529" spans="19:32" x14ac:dyDescent="0.35">
      <c r="S6529" s="780"/>
      <c r="T6529" s="928"/>
      <c r="U6529" s="928"/>
      <c r="V6529" s="928"/>
      <c r="W6529" s="780"/>
      <c r="X6529" s="782">
        <v>6525</v>
      </c>
      <c r="Y6529" s="782" t="s">
        <v>2248</v>
      </c>
      <c r="Z6529" s="782" t="s">
        <v>2800</v>
      </c>
      <c r="AA6529" s="781">
        <f>$S$1*P!AA6529</f>
        <v>4.9697580645161298E-3</v>
      </c>
      <c r="AB6529" s="780"/>
      <c r="AC6529" s="780"/>
      <c r="AD6529" s="780"/>
      <c r="AE6529" s="780"/>
      <c r="AF6529" s="780"/>
    </row>
    <row r="6530" spans="19:32" x14ac:dyDescent="0.35">
      <c r="S6530" s="780"/>
      <c r="T6530" s="928"/>
      <c r="U6530" s="928"/>
      <c r="V6530" s="928"/>
      <c r="W6530" s="780"/>
      <c r="X6530" s="881">
        <v>6526</v>
      </c>
      <c r="Y6530" s="881" t="s">
        <v>2248</v>
      </c>
      <c r="Z6530" s="881" t="s">
        <v>2829</v>
      </c>
      <c r="AA6530" s="882">
        <f>$S$1*P!AA6530</f>
        <v>1.472</v>
      </c>
      <c r="AB6530" s="780"/>
      <c r="AC6530" s="780"/>
      <c r="AD6530" s="780"/>
      <c r="AE6530" s="780"/>
      <c r="AF6530" s="780"/>
    </row>
    <row r="6531" spans="19:32" x14ac:dyDescent="0.35">
      <c r="S6531" s="780"/>
      <c r="T6531" s="928"/>
      <c r="U6531" s="928"/>
      <c r="V6531" s="928"/>
      <c r="W6531" s="780"/>
      <c r="X6531" s="881">
        <v>6527</v>
      </c>
      <c r="Y6531" s="881" t="s">
        <v>2248</v>
      </c>
      <c r="Z6531" s="881" t="s">
        <v>2828</v>
      </c>
      <c r="AA6531" s="882">
        <f>$S$1*P!AA6531</f>
        <v>0.33672000000000002</v>
      </c>
      <c r="AB6531" s="780"/>
      <c r="AC6531" s="780"/>
      <c r="AD6531" s="780"/>
      <c r="AE6531" s="780"/>
      <c r="AF6531" s="780"/>
    </row>
    <row r="6532" spans="19:32" x14ac:dyDescent="0.35">
      <c r="S6532" s="780"/>
      <c r="T6532" s="928"/>
      <c r="U6532" s="928"/>
      <c r="V6532" s="928"/>
      <c r="W6532" s="780"/>
      <c r="X6532" s="782">
        <v>6528</v>
      </c>
      <c r="Y6532" s="782" t="s">
        <v>2248</v>
      </c>
      <c r="Z6532" s="782" t="s">
        <v>2827</v>
      </c>
      <c r="AA6532" s="781">
        <f>$S$1*P!AA6532</f>
        <v>8.4314516129032263E-2</v>
      </c>
      <c r="AB6532" s="780"/>
      <c r="AC6532" s="780"/>
      <c r="AD6532" s="780"/>
      <c r="AE6532" s="780"/>
      <c r="AF6532" s="780"/>
    </row>
    <row r="6533" spans="19:32" x14ac:dyDescent="0.35">
      <c r="S6533" s="780"/>
      <c r="T6533" s="928"/>
      <c r="U6533" s="928"/>
      <c r="V6533" s="928"/>
      <c r="W6533" s="780"/>
      <c r="X6533" s="881">
        <v>6529</v>
      </c>
      <c r="Y6533" s="881" t="s">
        <v>2248</v>
      </c>
      <c r="Z6533" s="881" t="s">
        <v>2826</v>
      </c>
      <c r="AA6533" s="882">
        <f>$S$1*P!AA6533</f>
        <v>4.2043999999999998E-2</v>
      </c>
      <c r="AB6533" s="780"/>
      <c r="AC6533" s="780"/>
      <c r="AD6533" s="780"/>
      <c r="AE6533" s="780"/>
      <c r="AF6533" s="780"/>
    </row>
    <row r="6534" spans="19:32" x14ac:dyDescent="0.35">
      <c r="S6534" s="780"/>
      <c r="T6534" s="928"/>
      <c r="U6534" s="928"/>
      <c r="V6534" s="928"/>
      <c r="W6534" s="780"/>
      <c r="X6534" s="881">
        <v>6530</v>
      </c>
      <c r="Y6534" s="881" t="s">
        <v>2248</v>
      </c>
      <c r="Z6534" s="881" t="s">
        <v>2825</v>
      </c>
      <c r="AA6534" s="882">
        <f>$S$1*P!AA6534</f>
        <v>0</v>
      </c>
      <c r="AB6534" s="780"/>
      <c r="AC6534" s="780"/>
      <c r="AD6534" s="780"/>
      <c r="AE6534" s="780"/>
      <c r="AF6534" s="780"/>
    </row>
    <row r="6535" spans="19:32" x14ac:dyDescent="0.35">
      <c r="S6535" s="780"/>
      <c r="T6535" s="928"/>
      <c r="U6535" s="928"/>
      <c r="V6535" s="928"/>
      <c r="W6535" s="780"/>
      <c r="X6535" s="782">
        <v>6531</v>
      </c>
      <c r="Y6535" s="782" t="s">
        <v>2248</v>
      </c>
      <c r="Z6535" s="782" t="s">
        <v>2824</v>
      </c>
      <c r="AA6535" s="781">
        <f>$S$1*P!AA6535</f>
        <v>6.957661290322581</v>
      </c>
      <c r="AB6535" s="780"/>
      <c r="AC6535" s="780"/>
      <c r="AD6535" s="780"/>
      <c r="AE6535" s="780"/>
      <c r="AF6535" s="780"/>
    </row>
    <row r="6536" spans="19:32" x14ac:dyDescent="0.35">
      <c r="S6536" s="780"/>
      <c r="T6536" s="928"/>
      <c r="U6536" s="928"/>
      <c r="V6536" s="928"/>
      <c r="W6536" s="780"/>
      <c r="X6536" s="881">
        <v>6532</v>
      </c>
      <c r="Y6536" s="881" t="s">
        <v>2248</v>
      </c>
      <c r="Z6536" s="881" t="s">
        <v>2823</v>
      </c>
      <c r="AA6536" s="882">
        <f>$S$1*P!AA6536</f>
        <v>1.5640000000000001</v>
      </c>
      <c r="AB6536" s="780"/>
      <c r="AC6536" s="780"/>
      <c r="AD6536" s="780"/>
      <c r="AE6536" s="780"/>
      <c r="AF6536" s="780"/>
    </row>
    <row r="6537" spans="19:32" x14ac:dyDescent="0.35">
      <c r="S6537" s="780"/>
      <c r="T6537" s="928"/>
      <c r="U6537" s="928"/>
      <c r="V6537" s="928"/>
      <c r="W6537" s="780"/>
      <c r="X6537" s="782">
        <v>6533</v>
      </c>
      <c r="Y6537" s="782" t="s">
        <v>2248</v>
      </c>
      <c r="Z6537" s="782" t="s">
        <v>2822</v>
      </c>
      <c r="AA6537" s="781">
        <f>$S$1*P!AA6537</f>
        <v>3.0298387096774197E-3</v>
      </c>
      <c r="AB6537" s="780"/>
      <c r="AC6537" s="780"/>
      <c r="AD6537" s="780"/>
      <c r="AE6537" s="780"/>
      <c r="AF6537" s="780"/>
    </row>
    <row r="6538" spans="19:32" x14ac:dyDescent="0.35">
      <c r="S6538" s="780"/>
      <c r="T6538" s="928"/>
      <c r="U6538" s="928"/>
      <c r="V6538" s="928"/>
      <c r="W6538" s="780"/>
      <c r="X6538" s="881">
        <v>6534</v>
      </c>
      <c r="Y6538" s="881" t="s">
        <v>2248</v>
      </c>
      <c r="Z6538" s="881" t="s">
        <v>2821</v>
      </c>
      <c r="AA6538" s="882">
        <f>$S$1*P!AA6538</f>
        <v>62.927999999999997</v>
      </c>
      <c r="AB6538" s="780"/>
      <c r="AC6538" s="780"/>
      <c r="AD6538" s="780"/>
      <c r="AE6538" s="780"/>
      <c r="AF6538" s="780"/>
    </row>
    <row r="6539" spans="19:32" x14ac:dyDescent="0.35">
      <c r="S6539" s="780"/>
      <c r="T6539" s="928"/>
      <c r="U6539" s="928"/>
      <c r="V6539" s="928"/>
      <c r="W6539" s="780"/>
      <c r="X6539" s="881">
        <v>6535</v>
      </c>
      <c r="Y6539" s="881" t="s">
        <v>2248</v>
      </c>
      <c r="Z6539" s="881" t="s">
        <v>2820</v>
      </c>
      <c r="AA6539" s="882">
        <f>$S$1*P!AA6539</f>
        <v>0</v>
      </c>
      <c r="AB6539" s="780"/>
      <c r="AC6539" s="780"/>
      <c r="AD6539" s="780"/>
      <c r="AE6539" s="780"/>
      <c r="AF6539" s="780"/>
    </row>
    <row r="6540" spans="19:32" x14ac:dyDescent="0.35">
      <c r="S6540" s="780"/>
      <c r="T6540" s="928"/>
      <c r="U6540" s="928"/>
      <c r="V6540" s="928"/>
      <c r="W6540" s="780"/>
      <c r="X6540" s="782">
        <v>6536</v>
      </c>
      <c r="Y6540" s="782" t="s">
        <v>2248</v>
      </c>
      <c r="Z6540" s="782" t="s">
        <v>2819</v>
      </c>
      <c r="AA6540" s="781">
        <f>$S$1*P!AA6540</f>
        <v>0.32731854838709679</v>
      </c>
      <c r="AB6540" s="780"/>
      <c r="AC6540" s="780"/>
      <c r="AD6540" s="780"/>
      <c r="AE6540" s="780"/>
      <c r="AF6540" s="780"/>
    </row>
    <row r="6541" spans="19:32" x14ac:dyDescent="0.35">
      <c r="S6541" s="780"/>
      <c r="T6541" s="928"/>
      <c r="U6541" s="928"/>
      <c r="V6541" s="928"/>
      <c r="W6541" s="780"/>
      <c r="X6541" s="881">
        <v>6537</v>
      </c>
      <c r="Y6541" s="881" t="s">
        <v>2248</v>
      </c>
      <c r="Z6541" s="881" t="s">
        <v>2818</v>
      </c>
      <c r="AA6541" s="882">
        <f>$S$1*P!AA6541</f>
        <v>2.4472</v>
      </c>
      <c r="AB6541" s="780"/>
      <c r="AC6541" s="780"/>
      <c r="AD6541" s="780"/>
      <c r="AE6541" s="780"/>
      <c r="AF6541" s="780"/>
    </row>
    <row r="6542" spans="19:32" x14ac:dyDescent="0.35">
      <c r="S6542" s="780"/>
      <c r="T6542" s="928"/>
      <c r="U6542" s="928"/>
      <c r="V6542" s="928"/>
      <c r="W6542" s="780"/>
      <c r="X6542" s="881">
        <v>6538</v>
      </c>
      <c r="Y6542" s="881" t="s">
        <v>2248</v>
      </c>
      <c r="Z6542" s="881" t="s">
        <v>2817</v>
      </c>
      <c r="AA6542" s="882">
        <f>$S$1*P!AA6542</f>
        <v>0</v>
      </c>
      <c r="AB6542" s="780"/>
      <c r="AC6542" s="780"/>
      <c r="AD6542" s="780"/>
      <c r="AE6542" s="780"/>
      <c r="AF6542" s="780"/>
    </row>
    <row r="6543" spans="19:32" x14ac:dyDescent="0.35">
      <c r="S6543" s="780"/>
      <c r="T6543" s="928"/>
      <c r="U6543" s="928"/>
      <c r="V6543" s="928"/>
      <c r="W6543" s="780"/>
      <c r="X6543" s="782">
        <v>6539</v>
      </c>
      <c r="Y6543" s="782" t="s">
        <v>2248</v>
      </c>
      <c r="Z6543" s="782" t="s">
        <v>2795</v>
      </c>
      <c r="AA6543" s="781">
        <f>$S$1*P!AA6543</f>
        <v>8.4657258064516131E-7</v>
      </c>
      <c r="AB6543" s="780"/>
      <c r="AC6543" s="780"/>
      <c r="AD6543" s="780"/>
      <c r="AE6543" s="780"/>
      <c r="AF6543" s="780"/>
    </row>
    <row r="6544" spans="19:32" x14ac:dyDescent="0.35">
      <c r="S6544" s="780"/>
      <c r="T6544" s="928"/>
      <c r="U6544" s="928"/>
      <c r="V6544" s="928"/>
      <c r="W6544" s="780"/>
      <c r="X6544" s="881">
        <v>6540</v>
      </c>
      <c r="Y6544" s="881" t="s">
        <v>2248</v>
      </c>
      <c r="Z6544" s="881" t="s">
        <v>2816</v>
      </c>
      <c r="AA6544" s="882">
        <f>$S$1*P!AA6544</f>
        <v>12.42</v>
      </c>
      <c r="AB6544" s="780"/>
      <c r="AC6544" s="780"/>
      <c r="AD6544" s="780"/>
      <c r="AE6544" s="780"/>
      <c r="AF6544" s="780"/>
    </row>
    <row r="6545" spans="19:32" x14ac:dyDescent="0.35">
      <c r="S6545" s="780"/>
      <c r="T6545" s="928"/>
      <c r="U6545" s="928"/>
      <c r="V6545" s="928"/>
      <c r="W6545" s="780"/>
      <c r="X6545" s="881">
        <v>6541</v>
      </c>
      <c r="Y6545" s="881" t="s">
        <v>2248</v>
      </c>
      <c r="Z6545" s="881" t="s">
        <v>2815</v>
      </c>
      <c r="AA6545" s="882">
        <f>$S$1*P!AA6545</f>
        <v>4.6551999999999998</v>
      </c>
      <c r="AB6545" s="780"/>
      <c r="AC6545" s="780"/>
      <c r="AD6545" s="780"/>
      <c r="AE6545" s="780"/>
      <c r="AF6545" s="780"/>
    </row>
    <row r="6546" spans="19:32" x14ac:dyDescent="0.35">
      <c r="S6546" s="780"/>
      <c r="T6546" s="928"/>
      <c r="U6546" s="928"/>
      <c r="V6546" s="928"/>
      <c r="W6546" s="780"/>
      <c r="X6546" s="782">
        <v>6542</v>
      </c>
      <c r="Y6546" s="782" t="s">
        <v>2248</v>
      </c>
      <c r="Z6546" s="782" t="s">
        <v>2814</v>
      </c>
      <c r="AA6546" s="781">
        <f>$S$1*P!AA6546</f>
        <v>2.7487903225806454E-3</v>
      </c>
      <c r="AB6546" s="780"/>
      <c r="AC6546" s="780"/>
      <c r="AD6546" s="780"/>
      <c r="AE6546" s="780"/>
      <c r="AF6546" s="780"/>
    </row>
    <row r="6547" spans="19:32" x14ac:dyDescent="0.35">
      <c r="S6547" s="780"/>
      <c r="T6547" s="928"/>
      <c r="U6547" s="928"/>
      <c r="V6547" s="928"/>
      <c r="W6547" s="780"/>
      <c r="X6547" s="881">
        <v>6543</v>
      </c>
      <c r="Y6547" s="881" t="s">
        <v>2248</v>
      </c>
      <c r="Z6547" s="881" t="s">
        <v>2813</v>
      </c>
      <c r="AA6547" s="882">
        <f>$S$1*P!AA6547</f>
        <v>18.400000000000002</v>
      </c>
      <c r="AB6547" s="780"/>
      <c r="AC6547" s="780"/>
      <c r="AD6547" s="780"/>
      <c r="AE6547" s="780"/>
      <c r="AF6547" s="780"/>
    </row>
    <row r="6548" spans="19:32" x14ac:dyDescent="0.35">
      <c r="S6548" s="780"/>
      <c r="T6548" s="928"/>
      <c r="U6548" s="928"/>
      <c r="V6548" s="928"/>
      <c r="W6548" s="780"/>
      <c r="X6548" s="782">
        <v>6544</v>
      </c>
      <c r="Y6548" s="782" t="s">
        <v>2248</v>
      </c>
      <c r="Z6548" s="782" t="s">
        <v>2812</v>
      </c>
      <c r="AA6548" s="781">
        <f>$S$1*P!AA6548</f>
        <v>4.181451612903226E-2</v>
      </c>
      <c r="AB6548" s="780"/>
      <c r="AC6548" s="780"/>
      <c r="AD6548" s="780"/>
      <c r="AE6548" s="780"/>
      <c r="AF6548" s="780"/>
    </row>
    <row r="6549" spans="19:32" x14ac:dyDescent="0.35">
      <c r="S6549" s="780"/>
      <c r="T6549" s="928"/>
      <c r="U6549" s="928"/>
      <c r="V6549" s="928"/>
      <c r="W6549" s="780"/>
      <c r="X6549" s="881">
        <v>6545</v>
      </c>
      <c r="Y6549" s="881" t="s">
        <v>2248</v>
      </c>
      <c r="Z6549" s="881" t="s">
        <v>2811</v>
      </c>
      <c r="AA6549" s="882">
        <f>$S$1*P!AA6549</f>
        <v>0</v>
      </c>
      <c r="AB6549" s="780"/>
      <c r="AC6549" s="780"/>
      <c r="AD6549" s="780"/>
      <c r="AE6549" s="780"/>
      <c r="AF6549" s="780"/>
    </row>
    <row r="6550" spans="19:32" x14ac:dyDescent="0.35">
      <c r="S6550" s="780"/>
      <c r="T6550" s="928"/>
      <c r="U6550" s="928"/>
      <c r="V6550" s="928"/>
      <c r="W6550" s="780"/>
      <c r="X6550" s="881">
        <v>6546</v>
      </c>
      <c r="Y6550" s="881" t="s">
        <v>2248</v>
      </c>
      <c r="Z6550" s="881" t="s">
        <v>2810</v>
      </c>
      <c r="AA6550" s="882">
        <f>$S$1*P!AA6550</f>
        <v>0</v>
      </c>
      <c r="AB6550" s="780"/>
      <c r="AC6550" s="780"/>
      <c r="AD6550" s="780"/>
      <c r="AE6550" s="780"/>
      <c r="AF6550" s="780"/>
    </row>
    <row r="6551" spans="19:32" x14ac:dyDescent="0.35">
      <c r="S6551" s="780"/>
      <c r="T6551" s="928"/>
      <c r="U6551" s="928"/>
      <c r="V6551" s="928"/>
      <c r="W6551" s="780"/>
      <c r="X6551" s="782">
        <v>6547</v>
      </c>
      <c r="Y6551" s="782" t="s">
        <v>2248</v>
      </c>
      <c r="Z6551" s="782" t="s">
        <v>2809</v>
      </c>
      <c r="AA6551" s="781">
        <f>$S$1*P!AA6551</f>
        <v>7.129032258064516E-2</v>
      </c>
      <c r="AB6551" s="780"/>
      <c r="AC6551" s="780"/>
      <c r="AD6551" s="780"/>
      <c r="AE6551" s="780"/>
      <c r="AF6551" s="780"/>
    </row>
    <row r="6552" spans="19:32" x14ac:dyDescent="0.35">
      <c r="S6552" s="780"/>
      <c r="T6552" s="928"/>
      <c r="U6552" s="928"/>
      <c r="V6552" s="928"/>
      <c r="W6552" s="780"/>
      <c r="X6552" s="881">
        <v>6548</v>
      </c>
      <c r="Y6552" s="881" t="s">
        <v>2248</v>
      </c>
      <c r="Z6552" s="881" t="s">
        <v>2808</v>
      </c>
      <c r="AA6552" s="882">
        <f>$S$1*P!AA6552</f>
        <v>0</v>
      </c>
      <c r="AB6552" s="780"/>
      <c r="AC6552" s="780"/>
      <c r="AD6552" s="780"/>
      <c r="AE6552" s="780"/>
      <c r="AF6552" s="780"/>
    </row>
    <row r="6553" spans="19:32" x14ac:dyDescent="0.35">
      <c r="S6553" s="780"/>
      <c r="T6553" s="928"/>
      <c r="U6553" s="928"/>
      <c r="V6553" s="928"/>
      <c r="W6553" s="780"/>
      <c r="X6553" s="881">
        <v>6549</v>
      </c>
      <c r="Y6553" s="881" t="s">
        <v>2248</v>
      </c>
      <c r="Z6553" s="881" t="s">
        <v>2807</v>
      </c>
      <c r="AA6553" s="882">
        <f>$S$1*P!AA6553</f>
        <v>0.63663999999999998</v>
      </c>
      <c r="AB6553" s="780"/>
      <c r="AC6553" s="780"/>
      <c r="AD6553" s="780"/>
      <c r="AE6553" s="780"/>
      <c r="AF6553" s="780"/>
    </row>
    <row r="6554" spans="19:32" x14ac:dyDescent="0.35">
      <c r="S6554" s="780"/>
      <c r="T6554" s="928"/>
      <c r="U6554" s="928"/>
      <c r="V6554" s="928"/>
      <c r="W6554" s="780"/>
      <c r="X6554" s="782">
        <v>6550</v>
      </c>
      <c r="Y6554" s="782" t="s">
        <v>2248</v>
      </c>
      <c r="Z6554" s="782" t="s">
        <v>2806</v>
      </c>
      <c r="AA6554" s="781">
        <f>$S$1*P!AA6554</f>
        <v>4.2500000000000003E-3</v>
      </c>
      <c r="AB6554" s="780"/>
      <c r="AC6554" s="780"/>
      <c r="AD6554" s="780"/>
      <c r="AE6554" s="780"/>
      <c r="AF6554" s="780"/>
    </row>
    <row r="6555" spans="19:32" x14ac:dyDescent="0.35">
      <c r="S6555" s="780"/>
      <c r="T6555" s="928"/>
      <c r="U6555" s="928"/>
      <c r="V6555" s="928"/>
      <c r="W6555" s="780"/>
      <c r="X6555" s="881">
        <v>6551</v>
      </c>
      <c r="Y6555" s="881" t="s">
        <v>2248</v>
      </c>
      <c r="Z6555" s="881" t="s">
        <v>2805</v>
      </c>
      <c r="AA6555" s="882">
        <f>$S$1*P!AA6555</f>
        <v>78.108000000000004</v>
      </c>
      <c r="AB6555" s="780"/>
      <c r="AC6555" s="780"/>
      <c r="AD6555" s="780"/>
      <c r="AE6555" s="780"/>
      <c r="AF6555" s="780"/>
    </row>
    <row r="6556" spans="19:32" x14ac:dyDescent="0.35">
      <c r="S6556" s="780"/>
      <c r="T6556" s="928"/>
      <c r="U6556" s="928"/>
      <c r="V6556" s="928"/>
      <c r="W6556" s="780"/>
      <c r="X6556" s="881">
        <v>6552</v>
      </c>
      <c r="Y6556" s="881" t="s">
        <v>2248</v>
      </c>
      <c r="Z6556" s="881" t="s">
        <v>2804</v>
      </c>
      <c r="AA6556" s="882">
        <f>$S$1*P!AA6556</f>
        <v>0</v>
      </c>
      <c r="AB6556" s="780"/>
      <c r="AC6556" s="780"/>
      <c r="AD6556" s="780"/>
      <c r="AE6556" s="780"/>
      <c r="AF6556" s="780"/>
    </row>
    <row r="6557" spans="19:32" x14ac:dyDescent="0.35">
      <c r="S6557" s="780"/>
      <c r="T6557" s="928"/>
      <c r="U6557" s="928"/>
      <c r="V6557" s="928"/>
      <c r="W6557" s="780"/>
      <c r="X6557" s="782">
        <v>6553</v>
      </c>
      <c r="Y6557" s="782" t="s">
        <v>2248</v>
      </c>
      <c r="Z6557" s="782" t="s">
        <v>2793</v>
      </c>
      <c r="AA6557" s="781">
        <f>$S$1*P!AA6557</f>
        <v>1.7925403225806455E-4</v>
      </c>
      <c r="AB6557" s="780"/>
      <c r="AC6557" s="780"/>
      <c r="AD6557" s="780"/>
      <c r="AE6557" s="780"/>
      <c r="AF6557" s="780"/>
    </row>
    <row r="6558" spans="19:32" x14ac:dyDescent="0.35">
      <c r="S6558" s="780"/>
      <c r="T6558" s="928"/>
      <c r="U6558" s="928"/>
      <c r="V6558" s="928"/>
      <c r="W6558" s="780"/>
      <c r="X6558" s="881">
        <v>6554</v>
      </c>
      <c r="Y6558" s="881" t="s">
        <v>2248</v>
      </c>
      <c r="Z6558" s="881" t="s">
        <v>2803</v>
      </c>
      <c r="AA6558" s="882">
        <f>$S$1*P!AA6558</f>
        <v>0</v>
      </c>
      <c r="AB6558" s="780"/>
      <c r="AC6558" s="780"/>
      <c r="AD6558" s="780"/>
      <c r="AE6558" s="780"/>
      <c r="AF6558" s="780"/>
    </row>
    <row r="6559" spans="19:32" x14ac:dyDescent="0.35">
      <c r="S6559" s="780"/>
      <c r="T6559" s="928"/>
      <c r="U6559" s="928"/>
      <c r="V6559" s="928"/>
      <c r="W6559" s="780"/>
      <c r="X6559" s="881">
        <v>6555</v>
      </c>
      <c r="Y6559" s="881" t="s">
        <v>2248</v>
      </c>
      <c r="Z6559" s="881" t="s">
        <v>2802</v>
      </c>
      <c r="AA6559" s="882">
        <f>$S$1*P!AA6559</f>
        <v>4.4067999999999996E-2</v>
      </c>
      <c r="AB6559" s="780"/>
      <c r="AC6559" s="780"/>
      <c r="AD6559" s="780"/>
      <c r="AE6559" s="780"/>
      <c r="AF6559" s="780"/>
    </row>
    <row r="6560" spans="19:32" x14ac:dyDescent="0.35">
      <c r="S6560" s="780"/>
      <c r="T6560" s="928"/>
      <c r="U6560" s="928"/>
      <c r="V6560" s="928"/>
      <c r="W6560" s="780"/>
      <c r="X6560" s="782">
        <v>6556</v>
      </c>
      <c r="Y6560" s="782" t="s">
        <v>2248</v>
      </c>
      <c r="Z6560" s="782" t="s">
        <v>2801</v>
      </c>
      <c r="AA6560" s="781">
        <f>$S$1*P!AA6560</f>
        <v>3.0024193548387101E-4</v>
      </c>
      <c r="AB6560" s="780"/>
      <c r="AC6560" s="780"/>
      <c r="AD6560" s="780"/>
      <c r="AE6560" s="780"/>
      <c r="AF6560" s="780"/>
    </row>
    <row r="6561" spans="19:32" x14ac:dyDescent="0.35">
      <c r="S6561" s="780"/>
      <c r="T6561" s="928"/>
      <c r="U6561" s="928"/>
      <c r="V6561" s="928"/>
      <c r="W6561" s="780"/>
      <c r="X6561" s="881">
        <v>6557</v>
      </c>
      <c r="Y6561" s="881" t="s">
        <v>2248</v>
      </c>
      <c r="Z6561" s="881" t="s">
        <v>2800</v>
      </c>
      <c r="AA6561" s="882">
        <f>$S$1*P!AA6561</f>
        <v>3.6707999999999998</v>
      </c>
      <c r="AB6561" s="780"/>
      <c r="AC6561" s="780"/>
      <c r="AD6561" s="780"/>
      <c r="AE6561" s="780"/>
      <c r="AF6561" s="780"/>
    </row>
    <row r="6562" spans="19:32" x14ac:dyDescent="0.35">
      <c r="S6562" s="780"/>
      <c r="T6562" s="928"/>
      <c r="U6562" s="928"/>
      <c r="V6562" s="928"/>
      <c r="W6562" s="780"/>
      <c r="X6562" s="782">
        <v>6558</v>
      </c>
      <c r="Y6562" s="782" t="s">
        <v>2248</v>
      </c>
      <c r="Z6562" s="782" t="s">
        <v>2799</v>
      </c>
      <c r="AA6562" s="781">
        <f>$S$1*P!AA6562</f>
        <v>2.3752016129032261E-2</v>
      </c>
      <c r="AB6562" s="780"/>
      <c r="AC6562" s="780"/>
      <c r="AD6562" s="780"/>
      <c r="AE6562" s="780"/>
      <c r="AF6562" s="780"/>
    </row>
    <row r="6563" spans="19:32" x14ac:dyDescent="0.35">
      <c r="S6563" s="780"/>
      <c r="T6563" s="928"/>
      <c r="U6563" s="928"/>
      <c r="V6563" s="928"/>
      <c r="W6563" s="780"/>
      <c r="X6563" s="881">
        <v>6559</v>
      </c>
      <c r="Y6563" s="881" t="s">
        <v>2248</v>
      </c>
      <c r="Z6563" s="881" t="s">
        <v>2798</v>
      </c>
      <c r="AA6563" s="882">
        <f>$S$1*P!AA6563</f>
        <v>0</v>
      </c>
      <c r="AB6563" s="780"/>
      <c r="AC6563" s="780"/>
      <c r="AD6563" s="780"/>
      <c r="AE6563" s="780"/>
      <c r="AF6563" s="780"/>
    </row>
    <row r="6564" spans="19:32" x14ac:dyDescent="0.35">
      <c r="S6564" s="780"/>
      <c r="T6564" s="928"/>
      <c r="U6564" s="928"/>
      <c r="V6564" s="928"/>
      <c r="W6564" s="780"/>
      <c r="X6564" s="881">
        <v>6560</v>
      </c>
      <c r="Y6564" s="881" t="s">
        <v>2248</v>
      </c>
      <c r="Z6564" s="881" t="s">
        <v>2797</v>
      </c>
      <c r="AA6564" s="882">
        <f>$S$1*P!AA6564</f>
        <v>1.518</v>
      </c>
      <c r="AB6564" s="780"/>
      <c r="AC6564" s="780"/>
      <c r="AD6564" s="780"/>
      <c r="AE6564" s="780"/>
      <c r="AF6564" s="780"/>
    </row>
    <row r="6565" spans="19:32" x14ac:dyDescent="0.35">
      <c r="S6565" s="780"/>
      <c r="T6565" s="928"/>
      <c r="U6565" s="928"/>
      <c r="V6565" s="928"/>
      <c r="W6565" s="780"/>
      <c r="X6565" s="782">
        <v>6561</v>
      </c>
      <c r="Y6565" s="782" t="s">
        <v>2248</v>
      </c>
      <c r="Z6565" s="782" t="s">
        <v>2792</v>
      </c>
      <c r="AA6565" s="781">
        <f>$S$1*P!AA6565</f>
        <v>1.9090725806451614E-3</v>
      </c>
      <c r="AB6565" s="780"/>
      <c r="AC6565" s="780"/>
      <c r="AD6565" s="780"/>
      <c r="AE6565" s="780"/>
      <c r="AF6565" s="780"/>
    </row>
    <row r="6566" spans="19:32" x14ac:dyDescent="0.35">
      <c r="S6566" s="780"/>
      <c r="T6566" s="928"/>
      <c r="U6566" s="928"/>
      <c r="V6566" s="928"/>
      <c r="W6566" s="780"/>
      <c r="X6566" s="881">
        <v>6562</v>
      </c>
      <c r="Y6566" s="881" t="s">
        <v>2248</v>
      </c>
      <c r="Z6566" s="881" t="s">
        <v>2796</v>
      </c>
      <c r="AA6566" s="882">
        <f>$S$1*P!AA6566</f>
        <v>1.3892E-2</v>
      </c>
      <c r="AB6566" s="780"/>
      <c r="AC6566" s="780"/>
      <c r="AD6566" s="780"/>
      <c r="AE6566" s="780"/>
      <c r="AF6566" s="780"/>
    </row>
    <row r="6567" spans="19:32" x14ac:dyDescent="0.35">
      <c r="S6567" s="780"/>
      <c r="T6567" s="928"/>
      <c r="U6567" s="928"/>
      <c r="V6567" s="928"/>
      <c r="W6567" s="780"/>
      <c r="X6567" s="881">
        <v>6563</v>
      </c>
      <c r="Y6567" s="881" t="s">
        <v>2248</v>
      </c>
      <c r="Z6567" s="881" t="s">
        <v>2795</v>
      </c>
      <c r="AA6567" s="882">
        <f>$S$1*P!AA6567</f>
        <v>0</v>
      </c>
      <c r="AB6567" s="780"/>
      <c r="AC6567" s="780"/>
      <c r="AD6567" s="780"/>
      <c r="AE6567" s="780"/>
      <c r="AF6567" s="780"/>
    </row>
    <row r="6568" spans="19:32" x14ac:dyDescent="0.35">
      <c r="S6568" s="780"/>
      <c r="T6568" s="928"/>
      <c r="U6568" s="928"/>
      <c r="V6568" s="928"/>
      <c r="W6568" s="780"/>
      <c r="X6568" s="782">
        <v>6564</v>
      </c>
      <c r="Y6568" s="782" t="s">
        <v>2248</v>
      </c>
      <c r="Z6568" s="782" t="s">
        <v>2794</v>
      </c>
      <c r="AA6568" s="781">
        <f>$S$1*P!AA6568</f>
        <v>2.645967741935484E-2</v>
      </c>
      <c r="AB6568" s="780"/>
      <c r="AC6568" s="780"/>
      <c r="AD6568" s="780"/>
      <c r="AE6568" s="780"/>
      <c r="AF6568" s="780"/>
    </row>
    <row r="6569" spans="19:32" x14ac:dyDescent="0.35">
      <c r="S6569" s="780"/>
      <c r="T6569" s="928"/>
      <c r="U6569" s="928"/>
      <c r="V6569" s="928"/>
      <c r="W6569" s="780"/>
      <c r="X6569" s="881">
        <v>6565</v>
      </c>
      <c r="Y6569" s="881" t="s">
        <v>2248</v>
      </c>
      <c r="Z6569" s="881" t="s">
        <v>2793</v>
      </c>
      <c r="AA6569" s="882">
        <f>$S$1*P!AA6569</f>
        <v>0</v>
      </c>
      <c r="AB6569" s="780"/>
      <c r="AC6569" s="780"/>
      <c r="AD6569" s="780"/>
      <c r="AE6569" s="780"/>
      <c r="AF6569" s="780"/>
    </row>
    <row r="6570" spans="19:32" x14ac:dyDescent="0.35">
      <c r="S6570" s="780"/>
      <c r="T6570" s="928"/>
      <c r="U6570" s="928"/>
      <c r="V6570" s="928"/>
      <c r="W6570" s="780"/>
      <c r="X6570" s="881">
        <v>6566</v>
      </c>
      <c r="Y6570" s="881" t="s">
        <v>2248</v>
      </c>
      <c r="Z6570" s="881" t="s">
        <v>2792</v>
      </c>
      <c r="AA6570" s="890">
        <f>$S$1*P!AA6570</f>
        <v>0.27416000000000001</v>
      </c>
      <c r="AB6570" s="780"/>
      <c r="AC6570" s="780"/>
      <c r="AD6570" s="780"/>
      <c r="AE6570" s="780"/>
      <c r="AF6570" s="780"/>
    </row>
    <row r="6571" spans="19:32" x14ac:dyDescent="0.35">
      <c r="S6571" s="780"/>
      <c r="T6571" s="928"/>
      <c r="U6571" s="928"/>
      <c r="V6571" s="928"/>
      <c r="W6571" s="780"/>
      <c r="X6571" s="782">
        <v>6567</v>
      </c>
      <c r="Y6571" s="782" t="s">
        <v>2248</v>
      </c>
      <c r="Z6571" s="782" t="s">
        <v>2791</v>
      </c>
      <c r="AA6571" s="781">
        <f>$S$1*P!AA6571</f>
        <v>5.0725806451612905E-2</v>
      </c>
      <c r="AB6571" s="780"/>
      <c r="AC6571" s="780"/>
      <c r="AD6571" s="780"/>
      <c r="AE6571" s="780"/>
      <c r="AF6571" s="780"/>
    </row>
    <row r="6572" spans="19:32" x14ac:dyDescent="0.35">
      <c r="S6572" s="780"/>
      <c r="T6572" s="928"/>
      <c r="U6572" s="928"/>
      <c r="V6572" s="928"/>
      <c r="W6572" s="780"/>
      <c r="X6572" s="881">
        <v>6568</v>
      </c>
      <c r="Y6572" s="881" t="s">
        <v>2248</v>
      </c>
      <c r="Z6572" s="881" t="s">
        <v>2790</v>
      </c>
      <c r="AA6572" s="890">
        <f>$S$1*P!AA6572</f>
        <v>0</v>
      </c>
      <c r="AB6572" s="780"/>
      <c r="AC6572" s="780"/>
      <c r="AD6572" s="780"/>
      <c r="AE6572" s="780"/>
      <c r="AF6572" s="780"/>
    </row>
    <row r="6573" spans="19:32" x14ac:dyDescent="0.35">
      <c r="S6573" s="780"/>
      <c r="T6573" s="928"/>
      <c r="U6573" s="928"/>
      <c r="V6573" s="928"/>
      <c r="W6573" s="780"/>
      <c r="X6573" s="782">
        <v>6569</v>
      </c>
      <c r="Y6573" s="782" t="s">
        <v>2248</v>
      </c>
      <c r="Z6573" s="782" t="s">
        <v>2790</v>
      </c>
      <c r="AA6573" s="781">
        <f>$S$1*P!AA6573</f>
        <v>1.4943548387096776E-2</v>
      </c>
      <c r="AB6573" s="780"/>
      <c r="AC6573" s="780"/>
      <c r="AD6573" s="780"/>
      <c r="AE6573" s="780"/>
      <c r="AF6573" s="780"/>
    </row>
    <row r="6574" spans="19:32" x14ac:dyDescent="0.35">
      <c r="S6574" s="780"/>
      <c r="T6574" s="928"/>
      <c r="U6574" s="928"/>
      <c r="V6574" s="928"/>
      <c r="W6574" s="780"/>
      <c r="X6574" s="881">
        <v>6570</v>
      </c>
      <c r="Y6574" s="881" t="s">
        <v>2248</v>
      </c>
      <c r="Z6574" s="881" t="s">
        <v>2782</v>
      </c>
      <c r="AA6574" s="890">
        <f>$S$1*P!AA6574</f>
        <v>143.52000000000001</v>
      </c>
      <c r="AB6574" s="780"/>
      <c r="AC6574" s="780"/>
      <c r="AD6574" s="780"/>
      <c r="AE6574" s="780"/>
      <c r="AF6574" s="780"/>
    </row>
    <row r="6575" spans="19:32" x14ac:dyDescent="0.35">
      <c r="S6575" s="780"/>
      <c r="T6575" s="928"/>
      <c r="U6575" s="928"/>
      <c r="V6575" s="928"/>
      <c r="W6575" s="780"/>
      <c r="X6575" s="881">
        <v>6571</v>
      </c>
      <c r="Y6575" s="881" t="s">
        <v>2248</v>
      </c>
      <c r="Z6575" s="881" t="s">
        <v>2789</v>
      </c>
      <c r="AA6575" s="890">
        <f>$S$1*P!AA6575</f>
        <v>250.24</v>
      </c>
      <c r="AB6575" s="780"/>
      <c r="AC6575" s="780"/>
      <c r="AD6575" s="780"/>
      <c r="AE6575" s="780"/>
      <c r="AF6575" s="780"/>
    </row>
    <row r="6576" spans="19:32" x14ac:dyDescent="0.35">
      <c r="S6576" s="780"/>
      <c r="T6576" s="928"/>
      <c r="U6576" s="928"/>
      <c r="V6576" s="928"/>
      <c r="W6576" s="780"/>
      <c r="X6576" s="782">
        <v>6572</v>
      </c>
      <c r="Y6576" s="782" t="s">
        <v>2248</v>
      </c>
      <c r="Z6576" s="782" t="s">
        <v>2788</v>
      </c>
      <c r="AA6576" s="781">
        <f>$S$1*P!AA6576</f>
        <v>8.157258064516129E-5</v>
      </c>
      <c r="AB6576" s="780"/>
      <c r="AC6576" s="780"/>
      <c r="AD6576" s="780"/>
      <c r="AE6576" s="780"/>
      <c r="AF6576" s="780"/>
    </row>
    <row r="6577" spans="19:32" x14ac:dyDescent="0.35">
      <c r="S6577" s="780"/>
      <c r="T6577" s="928"/>
      <c r="U6577" s="928"/>
      <c r="V6577" s="928"/>
      <c r="W6577" s="780"/>
      <c r="X6577" s="881">
        <v>6573</v>
      </c>
      <c r="Y6577" s="881" t="s">
        <v>2248</v>
      </c>
      <c r="Z6577" s="881" t="s">
        <v>2787</v>
      </c>
      <c r="AA6577" s="890">
        <f>$S$1*P!AA6577</f>
        <v>0</v>
      </c>
      <c r="AB6577" s="780"/>
      <c r="AC6577" s="780"/>
      <c r="AD6577" s="780"/>
      <c r="AE6577" s="780"/>
      <c r="AF6577" s="780"/>
    </row>
    <row r="6578" spans="19:32" x14ac:dyDescent="0.35">
      <c r="S6578" s="780"/>
      <c r="T6578" s="928"/>
      <c r="U6578" s="928"/>
      <c r="V6578" s="928"/>
      <c r="W6578" s="780"/>
      <c r="X6578" s="881">
        <v>6574</v>
      </c>
      <c r="Y6578" s="881" t="s">
        <v>2248</v>
      </c>
      <c r="Z6578" s="881" t="s">
        <v>2786</v>
      </c>
      <c r="AA6578" s="890">
        <f>$S$1*P!AA6578</f>
        <v>40.388000000000005</v>
      </c>
      <c r="AB6578" s="780"/>
      <c r="AC6578" s="780"/>
      <c r="AD6578" s="780"/>
      <c r="AE6578" s="780"/>
      <c r="AF6578" s="780"/>
    </row>
    <row r="6579" spans="19:32" x14ac:dyDescent="0.35">
      <c r="S6579" s="780"/>
      <c r="T6579" s="928"/>
      <c r="U6579" s="928"/>
      <c r="V6579" s="928"/>
      <c r="W6579" s="780"/>
      <c r="X6579" s="782">
        <v>6575</v>
      </c>
      <c r="Y6579" s="782" t="s">
        <v>2248</v>
      </c>
      <c r="Z6579" s="782" t="s">
        <v>2785</v>
      </c>
      <c r="AA6579" s="781">
        <f>$S$1*P!AA6579</f>
        <v>8.705645161290323E-4</v>
      </c>
      <c r="AB6579" s="780"/>
      <c r="AC6579" s="780"/>
      <c r="AD6579" s="780"/>
      <c r="AE6579" s="780"/>
      <c r="AF6579" s="780"/>
    </row>
    <row r="6580" spans="19:32" x14ac:dyDescent="0.35">
      <c r="S6580" s="780"/>
      <c r="T6580" s="928"/>
      <c r="U6580" s="928"/>
      <c r="V6580" s="928"/>
      <c r="W6580" s="780"/>
      <c r="X6580" s="881">
        <v>6576</v>
      </c>
      <c r="Y6580" s="881" t="s">
        <v>2248</v>
      </c>
      <c r="Z6580" s="881" t="s">
        <v>2784</v>
      </c>
      <c r="AA6580" s="890">
        <f>$S$1*P!AA6580</f>
        <v>0</v>
      </c>
      <c r="AB6580" s="780"/>
      <c r="AC6580" s="780"/>
      <c r="AD6580" s="780"/>
      <c r="AE6580" s="780"/>
      <c r="AF6580" s="780"/>
    </row>
    <row r="6581" spans="19:32" x14ac:dyDescent="0.35">
      <c r="S6581" s="780"/>
      <c r="T6581" s="928"/>
      <c r="U6581" s="928"/>
      <c r="V6581" s="928"/>
      <c r="W6581" s="780"/>
      <c r="X6581" s="881">
        <v>6577</v>
      </c>
      <c r="Y6581" s="881" t="s">
        <v>2248</v>
      </c>
      <c r="Z6581" s="881" t="s">
        <v>2783</v>
      </c>
      <c r="AA6581" s="890">
        <f>$S$1*P!AA6581</f>
        <v>0.86480000000000001</v>
      </c>
      <c r="AB6581" s="780"/>
      <c r="AC6581" s="780"/>
      <c r="AD6581" s="780"/>
      <c r="AE6581" s="780"/>
      <c r="AF6581" s="780"/>
    </row>
    <row r="6582" spans="19:32" x14ac:dyDescent="0.35">
      <c r="S6582" s="780"/>
      <c r="T6582" s="928"/>
      <c r="U6582" s="928"/>
      <c r="V6582" s="928"/>
      <c r="W6582" s="780"/>
      <c r="X6582" s="782">
        <v>6578</v>
      </c>
      <c r="Y6582" s="782" t="s">
        <v>2248</v>
      </c>
      <c r="Z6582" s="782" t="s">
        <v>2782</v>
      </c>
      <c r="AA6582" s="781">
        <f>$S$1*P!AA6582</f>
        <v>6.6834677419354841E-5</v>
      </c>
      <c r="AB6582" s="780"/>
      <c r="AC6582" s="780"/>
      <c r="AD6582" s="780"/>
      <c r="AE6582" s="780"/>
      <c r="AF6582" s="780"/>
    </row>
    <row r="6583" spans="19:32" x14ac:dyDescent="0.35">
      <c r="S6583" s="780"/>
      <c r="T6583" s="928"/>
      <c r="U6583" s="928"/>
      <c r="V6583" s="928"/>
      <c r="W6583" s="780"/>
      <c r="X6583" s="881">
        <v>6579</v>
      </c>
      <c r="Y6583" s="881" t="s">
        <v>2248</v>
      </c>
      <c r="Z6583" s="881" t="s">
        <v>2755</v>
      </c>
      <c r="AA6583" s="890">
        <f>$S$1*P!AA6583</f>
        <v>0</v>
      </c>
      <c r="AB6583" s="780"/>
      <c r="AC6583" s="780"/>
      <c r="AD6583" s="780"/>
      <c r="AE6583" s="780"/>
      <c r="AF6583" s="780"/>
    </row>
    <row r="6584" spans="19:32" x14ac:dyDescent="0.35">
      <c r="S6584" s="780"/>
      <c r="T6584" s="928"/>
      <c r="U6584" s="928"/>
      <c r="V6584" s="928"/>
      <c r="W6584" s="780"/>
      <c r="X6584" s="881">
        <v>6580</v>
      </c>
      <c r="Y6584" s="881" t="s">
        <v>2248</v>
      </c>
      <c r="Z6584" s="881" t="s">
        <v>2781</v>
      </c>
      <c r="AA6584" s="890">
        <f>$S$1*P!AA6584</f>
        <v>0</v>
      </c>
      <c r="AB6584" s="780"/>
      <c r="AC6584" s="780"/>
      <c r="AD6584" s="780"/>
      <c r="AE6584" s="780"/>
      <c r="AF6584" s="780"/>
    </row>
    <row r="6585" spans="19:32" x14ac:dyDescent="0.35">
      <c r="S6585" s="780"/>
      <c r="T6585" s="928"/>
      <c r="U6585" s="928"/>
      <c r="V6585" s="928"/>
      <c r="W6585" s="780"/>
      <c r="X6585" s="782">
        <v>6581</v>
      </c>
      <c r="Y6585" s="782" t="s">
        <v>2248</v>
      </c>
      <c r="Z6585" s="782" t="s">
        <v>2780</v>
      </c>
      <c r="AA6585" s="781">
        <f>$S$1*P!AA6585</f>
        <v>0.77802419354838714</v>
      </c>
      <c r="AB6585" s="780"/>
      <c r="AC6585" s="780"/>
      <c r="AD6585" s="780"/>
      <c r="AE6585" s="780"/>
      <c r="AF6585" s="780"/>
    </row>
    <row r="6586" spans="19:32" x14ac:dyDescent="0.35">
      <c r="S6586" s="780"/>
      <c r="T6586" s="928"/>
      <c r="U6586" s="928"/>
      <c r="V6586" s="928"/>
      <c r="W6586" s="780"/>
      <c r="X6586" s="881">
        <v>6582</v>
      </c>
      <c r="Y6586" s="881" t="s">
        <v>2248</v>
      </c>
      <c r="Z6586" s="881" t="s">
        <v>2748</v>
      </c>
      <c r="AA6586" s="890">
        <f>$S$1*P!AA6586</f>
        <v>0</v>
      </c>
      <c r="AB6586" s="780"/>
      <c r="AC6586" s="780"/>
      <c r="AD6586" s="780"/>
      <c r="AE6586" s="780"/>
      <c r="AF6586" s="780"/>
    </row>
    <row r="6587" spans="19:32" x14ac:dyDescent="0.35">
      <c r="S6587" s="780"/>
      <c r="T6587" s="928"/>
      <c r="U6587" s="928"/>
      <c r="V6587" s="928"/>
      <c r="W6587" s="780"/>
      <c r="X6587" s="782">
        <v>6583</v>
      </c>
      <c r="Y6587" s="782" t="s">
        <v>2248</v>
      </c>
      <c r="Z6587" s="782" t="s">
        <v>2779</v>
      </c>
      <c r="AA6587" s="781">
        <f>$S$1*P!AA6587</f>
        <v>1.6965725806451614E-3</v>
      </c>
      <c r="AB6587" s="780"/>
      <c r="AC6587" s="780"/>
      <c r="AD6587" s="780"/>
      <c r="AE6587" s="780"/>
      <c r="AF6587" s="780"/>
    </row>
    <row r="6588" spans="19:32" x14ac:dyDescent="0.35">
      <c r="S6588" s="780"/>
      <c r="T6588" s="928"/>
      <c r="U6588" s="928"/>
      <c r="V6588" s="928"/>
      <c r="W6588" s="780"/>
      <c r="X6588" s="881">
        <v>6584</v>
      </c>
      <c r="Y6588" s="881" t="s">
        <v>2248</v>
      </c>
      <c r="Z6588" s="881" t="s">
        <v>2778</v>
      </c>
      <c r="AA6588" s="890">
        <f>$S$1*P!AA6588</f>
        <v>0</v>
      </c>
      <c r="AB6588" s="780"/>
      <c r="AC6588" s="780"/>
      <c r="AD6588" s="780"/>
      <c r="AE6588" s="780"/>
      <c r="AF6588" s="780"/>
    </row>
    <row r="6589" spans="19:32" x14ac:dyDescent="0.35">
      <c r="S6589" s="780"/>
      <c r="T6589" s="928"/>
      <c r="U6589" s="928"/>
      <c r="V6589" s="928"/>
      <c r="W6589" s="780"/>
      <c r="X6589" s="881">
        <v>6585</v>
      </c>
      <c r="Y6589" s="881" t="s">
        <v>2248</v>
      </c>
      <c r="Z6589" s="881" t="s">
        <v>2777</v>
      </c>
      <c r="AA6589" s="890">
        <f>$S$1*P!AA6589</f>
        <v>3.4868000000000001</v>
      </c>
      <c r="AB6589" s="780"/>
      <c r="AC6589" s="780"/>
      <c r="AD6589" s="780"/>
      <c r="AE6589" s="780"/>
      <c r="AF6589" s="780"/>
    </row>
    <row r="6590" spans="19:32" x14ac:dyDescent="0.35">
      <c r="S6590" s="780"/>
      <c r="T6590" s="928"/>
      <c r="U6590" s="928"/>
      <c r="V6590" s="928"/>
      <c r="W6590" s="780"/>
      <c r="X6590" s="782">
        <v>6586</v>
      </c>
      <c r="Y6590" s="782" t="s">
        <v>2248</v>
      </c>
      <c r="Z6590" s="782" t="s">
        <v>2776</v>
      </c>
      <c r="AA6590" s="781">
        <f>$S$1*P!AA6590</f>
        <v>5.0383064516129034E-2</v>
      </c>
      <c r="AB6590" s="780"/>
      <c r="AC6590" s="780"/>
      <c r="AD6590" s="780"/>
      <c r="AE6590" s="780"/>
      <c r="AF6590" s="780"/>
    </row>
    <row r="6591" spans="19:32" x14ac:dyDescent="0.35">
      <c r="S6591" s="780"/>
      <c r="T6591" s="928"/>
      <c r="U6591" s="928"/>
      <c r="V6591" s="928"/>
      <c r="W6591" s="780"/>
      <c r="X6591" s="881">
        <v>6587</v>
      </c>
      <c r="Y6591" s="881" t="s">
        <v>2248</v>
      </c>
      <c r="Z6591" s="881" t="s">
        <v>2741</v>
      </c>
      <c r="AA6591" s="890">
        <f>$S$1*P!AA6591</f>
        <v>0.84087999999999996</v>
      </c>
      <c r="AB6591" s="780"/>
      <c r="AC6591" s="780"/>
      <c r="AD6591" s="780"/>
      <c r="AE6591" s="780"/>
      <c r="AF6591" s="780"/>
    </row>
    <row r="6592" spans="19:32" x14ac:dyDescent="0.35">
      <c r="S6592" s="780"/>
      <c r="T6592" s="928"/>
      <c r="U6592" s="928"/>
      <c r="V6592" s="928"/>
      <c r="W6592" s="780"/>
      <c r="X6592" s="881">
        <v>6588</v>
      </c>
      <c r="Y6592" s="881" t="s">
        <v>2248</v>
      </c>
      <c r="Z6592" s="881" t="s">
        <v>2775</v>
      </c>
      <c r="AA6592" s="890">
        <f>$S$1*P!AA6592</f>
        <v>7.0471999999999992</v>
      </c>
      <c r="AB6592" s="780"/>
      <c r="AC6592" s="780"/>
      <c r="AD6592" s="780"/>
      <c r="AE6592" s="780"/>
      <c r="AF6592" s="780"/>
    </row>
    <row r="6593" spans="19:32" x14ac:dyDescent="0.35">
      <c r="S6593" s="780"/>
      <c r="T6593" s="928"/>
      <c r="U6593" s="928"/>
      <c r="V6593" s="928"/>
      <c r="W6593" s="780"/>
      <c r="X6593" s="782">
        <v>6589</v>
      </c>
      <c r="Y6593" s="782" t="s">
        <v>2248</v>
      </c>
      <c r="Z6593" s="782" t="s">
        <v>2774</v>
      </c>
      <c r="AA6593" s="781">
        <f>$S$1*P!AA6593</f>
        <v>6.5120967741935489E-3</v>
      </c>
      <c r="AB6593" s="780"/>
      <c r="AC6593" s="780"/>
      <c r="AD6593" s="780"/>
      <c r="AE6593" s="780"/>
      <c r="AF6593" s="780"/>
    </row>
    <row r="6594" spans="19:32" x14ac:dyDescent="0.35">
      <c r="S6594" s="780"/>
      <c r="T6594" s="928"/>
      <c r="U6594" s="928"/>
      <c r="V6594" s="928"/>
      <c r="W6594" s="780"/>
      <c r="X6594" s="881">
        <v>6590</v>
      </c>
      <c r="Y6594" s="881" t="s">
        <v>2248</v>
      </c>
      <c r="Z6594" s="881" t="s">
        <v>2773</v>
      </c>
      <c r="AA6594" s="890">
        <f>$S$1*P!AA6594</f>
        <v>0</v>
      </c>
      <c r="AB6594" s="780"/>
      <c r="AC6594" s="780"/>
      <c r="AD6594" s="780"/>
      <c r="AE6594" s="780"/>
      <c r="AF6594" s="780"/>
    </row>
    <row r="6595" spans="19:32" x14ac:dyDescent="0.35">
      <c r="S6595" s="780"/>
      <c r="T6595" s="928"/>
      <c r="U6595" s="928"/>
      <c r="V6595" s="928"/>
      <c r="W6595" s="780"/>
      <c r="X6595" s="881">
        <v>6591</v>
      </c>
      <c r="Y6595" s="881" t="s">
        <v>2248</v>
      </c>
      <c r="Z6595" s="881" t="s">
        <v>2731</v>
      </c>
      <c r="AA6595" s="890">
        <f>$S$1*P!AA6595</f>
        <v>0</v>
      </c>
      <c r="AB6595" s="780"/>
      <c r="AC6595" s="780"/>
      <c r="AD6595" s="780"/>
      <c r="AE6595" s="780"/>
      <c r="AF6595" s="780"/>
    </row>
    <row r="6596" spans="19:32" x14ac:dyDescent="0.35">
      <c r="S6596" s="780"/>
      <c r="T6596" s="928"/>
      <c r="U6596" s="928"/>
      <c r="V6596" s="928"/>
      <c r="W6596" s="780"/>
      <c r="X6596" s="782">
        <v>6592</v>
      </c>
      <c r="Y6596" s="782" t="s">
        <v>2248</v>
      </c>
      <c r="Z6596" s="782" t="s">
        <v>2772</v>
      </c>
      <c r="AA6596" s="781">
        <f>$S$1*P!AA6596</f>
        <v>5.0725806451612909E-3</v>
      </c>
      <c r="AB6596" s="780"/>
      <c r="AC6596" s="780"/>
      <c r="AD6596" s="780"/>
      <c r="AE6596" s="780"/>
      <c r="AF6596" s="780"/>
    </row>
    <row r="6597" spans="19:32" x14ac:dyDescent="0.35">
      <c r="S6597" s="780"/>
      <c r="T6597" s="928"/>
      <c r="U6597" s="928"/>
      <c r="V6597" s="928"/>
      <c r="W6597" s="780"/>
      <c r="X6597" s="881">
        <v>6593</v>
      </c>
      <c r="Y6597" s="881" t="s">
        <v>2248</v>
      </c>
      <c r="Z6597" s="881" t="s">
        <v>2771</v>
      </c>
      <c r="AA6597" s="890">
        <f>$S$1*P!AA6597</f>
        <v>0</v>
      </c>
      <c r="AB6597" s="780"/>
      <c r="AC6597" s="780"/>
      <c r="AD6597" s="780"/>
      <c r="AE6597" s="780"/>
      <c r="AF6597" s="780"/>
    </row>
    <row r="6598" spans="19:32" x14ac:dyDescent="0.35">
      <c r="S6598" s="780"/>
      <c r="T6598" s="928"/>
      <c r="U6598" s="928"/>
      <c r="V6598" s="928"/>
      <c r="W6598" s="780"/>
      <c r="X6598" s="782">
        <v>6594</v>
      </c>
      <c r="Y6598" s="782" t="s">
        <v>2248</v>
      </c>
      <c r="Z6598" s="782" t="s">
        <v>2770</v>
      </c>
      <c r="AA6598" s="781">
        <f>$S$1*P!AA6598</f>
        <v>2.6939516129032261E-2</v>
      </c>
      <c r="AB6598" s="780"/>
      <c r="AC6598" s="780"/>
      <c r="AD6598" s="780"/>
      <c r="AE6598" s="780"/>
      <c r="AF6598" s="780"/>
    </row>
    <row r="6599" spans="19:32" x14ac:dyDescent="0.35">
      <c r="S6599" s="780"/>
      <c r="T6599" s="928"/>
      <c r="U6599" s="928"/>
      <c r="V6599" s="928"/>
      <c r="W6599" s="780"/>
      <c r="X6599" s="881">
        <v>6595</v>
      </c>
      <c r="Y6599" s="881" t="s">
        <v>2248</v>
      </c>
      <c r="Z6599" s="881" t="s">
        <v>2769</v>
      </c>
      <c r="AA6599" s="890">
        <f>$S$1*P!AA6599</f>
        <v>0</v>
      </c>
      <c r="AB6599" s="780"/>
      <c r="AC6599" s="780"/>
      <c r="AD6599" s="780"/>
      <c r="AE6599" s="780"/>
      <c r="AF6599" s="780"/>
    </row>
    <row r="6600" spans="19:32" x14ac:dyDescent="0.35">
      <c r="S6600" s="780"/>
      <c r="T6600" s="928"/>
      <c r="U6600" s="928"/>
      <c r="V6600" s="928"/>
      <c r="W6600" s="780"/>
      <c r="X6600" s="881">
        <v>6596</v>
      </c>
      <c r="Y6600" s="881" t="s">
        <v>2248</v>
      </c>
      <c r="Z6600" s="881" t="s">
        <v>2768</v>
      </c>
      <c r="AA6600" s="890">
        <f>$S$1*P!AA6600</f>
        <v>14.904</v>
      </c>
      <c r="AB6600" s="780"/>
      <c r="AC6600" s="780"/>
      <c r="AD6600" s="780"/>
      <c r="AE6600" s="780"/>
      <c r="AF6600" s="780"/>
    </row>
    <row r="6601" spans="19:32" x14ac:dyDescent="0.35">
      <c r="S6601" s="780"/>
      <c r="T6601" s="928"/>
      <c r="U6601" s="928"/>
      <c r="V6601" s="928"/>
      <c r="W6601" s="780"/>
      <c r="X6601" s="782">
        <v>6597</v>
      </c>
      <c r="Y6601" s="782" t="s">
        <v>2248</v>
      </c>
      <c r="Z6601" s="782" t="s">
        <v>2767</v>
      </c>
      <c r="AA6601" s="781">
        <f>$S$1*P!AA6601</f>
        <v>2.2312500000000004E-5</v>
      </c>
      <c r="AB6601" s="780"/>
      <c r="AC6601" s="780"/>
      <c r="AD6601" s="780"/>
      <c r="AE6601" s="780"/>
      <c r="AF6601" s="780"/>
    </row>
    <row r="6602" spans="19:32" x14ac:dyDescent="0.35">
      <c r="S6602" s="780"/>
      <c r="T6602" s="928"/>
      <c r="U6602" s="928"/>
      <c r="V6602" s="928"/>
      <c r="W6602" s="780"/>
      <c r="X6602" s="881">
        <v>6598</v>
      </c>
      <c r="Y6602" s="881" t="s">
        <v>2248</v>
      </c>
      <c r="Z6602" s="881" t="s">
        <v>2766</v>
      </c>
      <c r="AA6602" s="890">
        <f>$S$1*P!AA6602</f>
        <v>19.135999999999999</v>
      </c>
      <c r="AB6602" s="780"/>
      <c r="AC6602" s="780"/>
      <c r="AD6602" s="780"/>
      <c r="AE6602" s="780"/>
      <c r="AF6602" s="780"/>
    </row>
    <row r="6603" spans="19:32" x14ac:dyDescent="0.35">
      <c r="S6603" s="780"/>
      <c r="T6603" s="928"/>
      <c r="U6603" s="928"/>
      <c r="V6603" s="928"/>
      <c r="W6603" s="780"/>
      <c r="X6603" s="881">
        <v>6599</v>
      </c>
      <c r="Y6603" s="881" t="s">
        <v>2248</v>
      </c>
      <c r="Z6603" s="881" t="s">
        <v>2765</v>
      </c>
      <c r="AA6603" s="890">
        <f>$S$1*P!AA6603</f>
        <v>1.2328000000000001</v>
      </c>
      <c r="AB6603" s="780"/>
      <c r="AC6603" s="780"/>
      <c r="AD6603" s="780"/>
      <c r="AE6603" s="780"/>
      <c r="AF6603" s="780"/>
    </row>
    <row r="6604" spans="19:32" x14ac:dyDescent="0.35">
      <c r="S6604" s="780"/>
      <c r="T6604" s="928"/>
      <c r="U6604" s="928"/>
      <c r="V6604" s="928"/>
      <c r="W6604" s="780"/>
      <c r="X6604" s="782">
        <v>6600</v>
      </c>
      <c r="Y6604" s="782" t="s">
        <v>2248</v>
      </c>
      <c r="Z6604" s="782" t="s">
        <v>2764</v>
      </c>
      <c r="AA6604" s="781">
        <f>$S$1*P!AA6604</f>
        <v>6.3407258064516137E-2</v>
      </c>
      <c r="AB6604" s="780"/>
      <c r="AC6604" s="780"/>
      <c r="AD6604" s="780"/>
      <c r="AE6604" s="780"/>
      <c r="AF6604" s="780"/>
    </row>
    <row r="6605" spans="19:32" x14ac:dyDescent="0.35">
      <c r="S6605" s="780"/>
      <c r="T6605" s="928"/>
      <c r="U6605" s="928"/>
      <c r="V6605" s="928"/>
      <c r="W6605" s="780"/>
      <c r="X6605" s="881">
        <v>6601</v>
      </c>
      <c r="Y6605" s="881" t="s">
        <v>2248</v>
      </c>
      <c r="Z6605" s="881" t="s">
        <v>2763</v>
      </c>
      <c r="AA6605" s="890">
        <f>$S$1*P!AA6605</f>
        <v>0</v>
      </c>
      <c r="AB6605" s="780"/>
      <c r="AC6605" s="780"/>
      <c r="AD6605" s="780"/>
      <c r="AE6605" s="780"/>
      <c r="AF6605" s="780"/>
    </row>
    <row r="6606" spans="19:32" x14ac:dyDescent="0.35">
      <c r="S6606" s="780"/>
      <c r="T6606" s="928"/>
      <c r="U6606" s="928"/>
      <c r="V6606" s="928"/>
      <c r="W6606" s="780"/>
      <c r="X6606" s="881">
        <v>6602</v>
      </c>
      <c r="Y6606" s="881" t="s">
        <v>2248</v>
      </c>
      <c r="Z6606" s="881" t="s">
        <v>2717</v>
      </c>
      <c r="AA6606" s="890">
        <f>$S$1*P!AA6606</f>
        <v>0</v>
      </c>
      <c r="AB6606" s="780"/>
      <c r="AC6606" s="780"/>
      <c r="AD6606" s="780"/>
      <c r="AE6606" s="780"/>
      <c r="AF6606" s="780"/>
    </row>
    <row r="6607" spans="19:32" x14ac:dyDescent="0.35">
      <c r="S6607" s="780"/>
      <c r="T6607" s="928"/>
      <c r="U6607" s="928"/>
      <c r="V6607" s="928"/>
      <c r="W6607" s="780"/>
      <c r="X6607" s="782">
        <v>6603</v>
      </c>
      <c r="Y6607" s="782" t="s">
        <v>2248</v>
      </c>
      <c r="Z6607" s="782" t="s">
        <v>2762</v>
      </c>
      <c r="AA6607" s="781">
        <f>$S$1*P!AA6607</f>
        <v>2.3477822580645165E-3</v>
      </c>
      <c r="AB6607" s="780"/>
      <c r="AC6607" s="780"/>
      <c r="AD6607" s="780"/>
      <c r="AE6607" s="780"/>
      <c r="AF6607" s="780"/>
    </row>
    <row r="6608" spans="19:32" x14ac:dyDescent="0.35">
      <c r="S6608" s="780"/>
      <c r="T6608" s="928"/>
      <c r="U6608" s="928"/>
      <c r="V6608" s="928"/>
      <c r="W6608" s="780"/>
      <c r="X6608" s="881">
        <v>6604</v>
      </c>
      <c r="Y6608" s="881" t="s">
        <v>2248</v>
      </c>
      <c r="Z6608" s="881" t="s">
        <v>2761</v>
      </c>
      <c r="AA6608" s="890">
        <f>$S$1*P!AA6608</f>
        <v>204.24</v>
      </c>
      <c r="AB6608" s="780"/>
      <c r="AC6608" s="780"/>
      <c r="AD6608" s="780"/>
      <c r="AE6608" s="780"/>
      <c r="AF6608" s="780"/>
    </row>
    <row r="6609" spans="19:32" x14ac:dyDescent="0.35">
      <c r="S6609" s="780"/>
      <c r="T6609" s="928"/>
      <c r="U6609" s="928"/>
      <c r="V6609" s="928"/>
      <c r="W6609" s="780"/>
      <c r="X6609" s="881">
        <v>6605</v>
      </c>
      <c r="Y6609" s="881" t="s">
        <v>2248</v>
      </c>
      <c r="Z6609" s="881" t="s">
        <v>2760</v>
      </c>
      <c r="AA6609" s="890">
        <f>$S$1*P!AA6609</f>
        <v>0.37352000000000002</v>
      </c>
      <c r="AB6609" s="780"/>
      <c r="AC6609" s="780"/>
      <c r="AD6609" s="780"/>
      <c r="AE6609" s="780"/>
      <c r="AF6609" s="780"/>
    </row>
    <row r="6610" spans="19:32" x14ac:dyDescent="0.35">
      <c r="S6610" s="780"/>
      <c r="T6610" s="928"/>
      <c r="U6610" s="928"/>
      <c r="V6610" s="928"/>
      <c r="W6610" s="780"/>
      <c r="X6610" s="782">
        <v>6606</v>
      </c>
      <c r="Y6610" s="782" t="s">
        <v>2248</v>
      </c>
      <c r="Z6610" s="782" t="s">
        <v>2759</v>
      </c>
      <c r="AA6610" s="781">
        <f>$S$1*P!AA6610</f>
        <v>4.0443548387096772E-5</v>
      </c>
      <c r="AB6610" s="780"/>
      <c r="AC6610" s="780"/>
      <c r="AD6610" s="780"/>
      <c r="AE6610" s="780"/>
      <c r="AF6610" s="780"/>
    </row>
    <row r="6611" spans="19:32" x14ac:dyDescent="0.35">
      <c r="S6611" s="780"/>
      <c r="T6611" s="928"/>
      <c r="U6611" s="928"/>
      <c r="V6611" s="928"/>
      <c r="W6611" s="780"/>
      <c r="X6611" s="881">
        <v>6607</v>
      </c>
      <c r="Y6611" s="881" t="s">
        <v>2248</v>
      </c>
      <c r="Z6611" s="881" t="s">
        <v>2709</v>
      </c>
      <c r="AA6611" s="890">
        <f>$S$1*P!AA6611</f>
        <v>0.161</v>
      </c>
      <c r="AB6611" s="780"/>
      <c r="AC6611" s="780"/>
      <c r="AD6611" s="780"/>
      <c r="AE6611" s="780"/>
      <c r="AF6611" s="780"/>
    </row>
    <row r="6612" spans="19:32" x14ac:dyDescent="0.35">
      <c r="S6612" s="780"/>
      <c r="T6612" s="928"/>
      <c r="U6612" s="928"/>
      <c r="V6612" s="928"/>
      <c r="W6612" s="780"/>
      <c r="X6612" s="782">
        <v>6608</v>
      </c>
      <c r="Y6612" s="782" t="s">
        <v>2248</v>
      </c>
      <c r="Z6612" s="782" t="s">
        <v>2758</v>
      </c>
      <c r="AA6612" s="781">
        <f>$S$1*P!AA6612</f>
        <v>2.5637096774193554E-6</v>
      </c>
      <c r="AB6612" s="780"/>
      <c r="AC6612" s="780"/>
      <c r="AD6612" s="780"/>
      <c r="AE6612" s="780"/>
      <c r="AF6612" s="780"/>
    </row>
    <row r="6613" spans="19:32" x14ac:dyDescent="0.35">
      <c r="S6613" s="780"/>
      <c r="T6613" s="928"/>
      <c r="U6613" s="928"/>
      <c r="V6613" s="928"/>
      <c r="W6613" s="780"/>
      <c r="X6613" s="881">
        <v>6609</v>
      </c>
      <c r="Y6613" s="881" t="s">
        <v>2248</v>
      </c>
      <c r="Z6613" s="881" t="s">
        <v>2703</v>
      </c>
      <c r="AA6613" s="890">
        <f>$S$1*P!AA6613</f>
        <v>0.55199999999999994</v>
      </c>
      <c r="AB6613" s="780"/>
      <c r="AC6613" s="780"/>
      <c r="AD6613" s="780"/>
      <c r="AE6613" s="780"/>
      <c r="AF6613" s="780"/>
    </row>
    <row r="6614" spans="19:32" x14ac:dyDescent="0.35">
      <c r="S6614" s="780"/>
      <c r="T6614" s="928"/>
      <c r="U6614" s="928"/>
      <c r="V6614" s="928"/>
      <c r="W6614" s="780"/>
      <c r="X6614" s="881">
        <v>6610</v>
      </c>
      <c r="Y6614" s="881" t="s">
        <v>2248</v>
      </c>
      <c r="Z6614" s="881" t="s">
        <v>2698</v>
      </c>
      <c r="AA6614" s="890">
        <f>$S$1*P!AA6614</f>
        <v>0</v>
      </c>
      <c r="AB6614" s="780"/>
      <c r="AC6614" s="780"/>
      <c r="AD6614" s="780"/>
      <c r="AE6614" s="780"/>
      <c r="AF6614" s="780"/>
    </row>
    <row r="6615" spans="19:32" x14ac:dyDescent="0.35">
      <c r="S6615" s="780"/>
      <c r="T6615" s="928"/>
      <c r="U6615" s="928"/>
      <c r="V6615" s="928"/>
      <c r="W6615" s="780"/>
      <c r="X6615" s="782">
        <v>6611</v>
      </c>
      <c r="Y6615" s="782" t="s">
        <v>2248</v>
      </c>
      <c r="Z6615" s="782" t="s">
        <v>2757</v>
      </c>
      <c r="AA6615" s="781">
        <f>$S$1*P!AA6615</f>
        <v>1.4943548387096777E-4</v>
      </c>
      <c r="AB6615" s="780"/>
      <c r="AC6615" s="780"/>
      <c r="AD6615" s="780"/>
      <c r="AE6615" s="780"/>
      <c r="AF6615" s="780"/>
    </row>
    <row r="6616" spans="19:32" x14ac:dyDescent="0.35">
      <c r="S6616" s="780"/>
      <c r="T6616" s="928"/>
      <c r="U6616" s="928"/>
      <c r="V6616" s="928"/>
      <c r="W6616" s="780"/>
      <c r="X6616" s="881">
        <v>6612</v>
      </c>
      <c r="Y6616" s="881" t="s">
        <v>2248</v>
      </c>
      <c r="Z6616" s="881" t="s">
        <v>2756</v>
      </c>
      <c r="AA6616" s="890">
        <f>$S$1*P!AA6616</f>
        <v>1.7663999999999999E-2</v>
      </c>
      <c r="AB6616" s="780"/>
      <c r="AC6616" s="780"/>
      <c r="AD6616" s="780"/>
      <c r="AE6616" s="780"/>
      <c r="AF6616" s="780"/>
    </row>
    <row r="6617" spans="19:32" x14ac:dyDescent="0.35">
      <c r="S6617" s="780"/>
      <c r="T6617" s="928"/>
      <c r="U6617" s="928"/>
      <c r="V6617" s="928"/>
      <c r="W6617" s="780"/>
      <c r="X6617" s="881">
        <v>6613</v>
      </c>
      <c r="Y6617" s="881" t="s">
        <v>2248</v>
      </c>
      <c r="Z6617" s="881" t="s">
        <v>2684</v>
      </c>
      <c r="AA6617" s="890">
        <f>$S$1*P!AA6617</f>
        <v>0</v>
      </c>
      <c r="AB6617" s="780"/>
      <c r="AC6617" s="780"/>
      <c r="AD6617" s="780"/>
      <c r="AE6617" s="780"/>
      <c r="AF6617" s="780"/>
    </row>
    <row r="6618" spans="19:32" x14ac:dyDescent="0.35">
      <c r="S6618" s="780"/>
      <c r="T6618" s="928"/>
      <c r="U6618" s="928"/>
      <c r="V6618" s="928"/>
      <c r="W6618" s="780"/>
      <c r="X6618" s="782">
        <v>6614</v>
      </c>
      <c r="Y6618" s="782" t="s">
        <v>2248</v>
      </c>
      <c r="Z6618" s="782" t="s">
        <v>2755</v>
      </c>
      <c r="AA6618" s="781">
        <f>$S$1*P!AA6618</f>
        <v>4.9354838709677424E-3</v>
      </c>
      <c r="AB6618" s="780"/>
      <c r="AC6618" s="780"/>
      <c r="AD6618" s="780"/>
      <c r="AE6618" s="780"/>
      <c r="AF6618" s="780"/>
    </row>
    <row r="6619" spans="19:32" x14ac:dyDescent="0.35">
      <c r="S6619" s="780"/>
      <c r="T6619" s="928"/>
      <c r="U6619" s="928"/>
      <c r="V6619" s="928"/>
      <c r="W6619" s="780"/>
      <c r="X6619" s="881">
        <v>6615</v>
      </c>
      <c r="Y6619" s="881" t="s">
        <v>2248</v>
      </c>
      <c r="Z6619" s="881" t="s">
        <v>2754</v>
      </c>
      <c r="AA6619" s="890">
        <f>$S$1*P!AA6619</f>
        <v>39.56</v>
      </c>
      <c r="AB6619" s="780"/>
      <c r="AC6619" s="780"/>
      <c r="AD6619" s="780"/>
      <c r="AE6619" s="780"/>
      <c r="AF6619" s="780"/>
    </row>
    <row r="6620" spans="19:32" x14ac:dyDescent="0.35">
      <c r="S6620" s="780"/>
      <c r="T6620" s="928"/>
      <c r="U6620" s="928"/>
      <c r="V6620" s="928"/>
      <c r="W6620" s="780"/>
      <c r="X6620" s="881">
        <v>6616</v>
      </c>
      <c r="Y6620" s="881" t="s">
        <v>2248</v>
      </c>
      <c r="Z6620" s="881" t="s">
        <v>2653</v>
      </c>
      <c r="AA6620" s="890">
        <f>$S$1*P!AA6620</f>
        <v>264.03999999999996</v>
      </c>
      <c r="AB6620" s="780"/>
      <c r="AC6620" s="780"/>
      <c r="AD6620" s="780"/>
      <c r="AE6620" s="780"/>
      <c r="AF6620" s="780"/>
    </row>
    <row r="6621" spans="19:32" x14ac:dyDescent="0.35">
      <c r="S6621" s="780"/>
      <c r="T6621" s="928"/>
      <c r="U6621" s="928"/>
      <c r="V6621" s="928"/>
      <c r="W6621" s="780"/>
      <c r="X6621" s="782">
        <v>6617</v>
      </c>
      <c r="Y6621" s="782" t="s">
        <v>2248</v>
      </c>
      <c r="Z6621" s="782" t="s">
        <v>2753</v>
      </c>
      <c r="AA6621" s="781">
        <f>$S$1*P!AA6621</f>
        <v>1.4737903225806454E-3</v>
      </c>
      <c r="AB6621" s="780"/>
      <c r="AC6621" s="780"/>
      <c r="AD6621" s="780"/>
      <c r="AE6621" s="780"/>
      <c r="AF6621" s="780"/>
    </row>
    <row r="6622" spans="19:32" x14ac:dyDescent="0.35">
      <c r="S6622" s="780"/>
      <c r="T6622" s="928"/>
      <c r="U6622" s="928"/>
      <c r="V6622" s="928"/>
      <c r="W6622" s="780"/>
      <c r="X6622" s="881">
        <v>6618</v>
      </c>
      <c r="Y6622" s="881" t="s">
        <v>2248</v>
      </c>
      <c r="Z6622" s="881" t="s">
        <v>2648</v>
      </c>
      <c r="AA6622" s="890">
        <f>$S$1*P!AA6622</f>
        <v>0</v>
      </c>
      <c r="AB6622" s="780"/>
      <c r="AC6622" s="780"/>
      <c r="AD6622" s="780"/>
      <c r="AE6622" s="780"/>
      <c r="AF6622" s="780"/>
    </row>
    <row r="6623" spans="19:32" x14ac:dyDescent="0.35">
      <c r="S6623" s="780"/>
      <c r="T6623" s="928"/>
      <c r="U6623" s="928"/>
      <c r="V6623" s="928"/>
      <c r="W6623" s="780"/>
      <c r="X6623" s="782">
        <v>6619</v>
      </c>
      <c r="Y6623" s="782" t="s">
        <v>2248</v>
      </c>
      <c r="Z6623" s="782" t="s">
        <v>2752</v>
      </c>
      <c r="AA6623" s="781">
        <f>$S$1*P!AA6623</f>
        <v>8.6370967741935499E-3</v>
      </c>
      <c r="AB6623" s="780"/>
      <c r="AC6623" s="780"/>
      <c r="AD6623" s="780"/>
      <c r="AE6623" s="780"/>
      <c r="AF6623" s="780"/>
    </row>
    <row r="6624" spans="19:32" x14ac:dyDescent="0.35">
      <c r="S6624" s="780"/>
      <c r="T6624" s="928"/>
      <c r="U6624" s="928"/>
      <c r="V6624" s="928"/>
      <c r="W6624" s="780"/>
      <c r="X6624" s="881">
        <v>6620</v>
      </c>
      <c r="Y6624" s="881" t="s">
        <v>2248</v>
      </c>
      <c r="Z6624" s="881" t="s">
        <v>2644</v>
      </c>
      <c r="AA6624" s="890">
        <f>$S$1*P!AA6624</f>
        <v>0</v>
      </c>
      <c r="AB6624" s="780"/>
      <c r="AC6624" s="780"/>
      <c r="AD6624" s="780"/>
      <c r="AE6624" s="780"/>
      <c r="AF6624" s="780"/>
    </row>
    <row r="6625" spans="19:32" x14ac:dyDescent="0.35">
      <c r="S6625" s="780"/>
      <c r="T6625" s="928"/>
      <c r="U6625" s="928"/>
      <c r="V6625" s="928"/>
      <c r="W6625" s="780"/>
      <c r="X6625" s="881">
        <v>6621</v>
      </c>
      <c r="Y6625" s="881" t="s">
        <v>2248</v>
      </c>
      <c r="Z6625" s="881" t="s">
        <v>2639</v>
      </c>
      <c r="AA6625" s="890">
        <f>$S$1*P!AA6625</f>
        <v>0</v>
      </c>
      <c r="AB6625" s="780"/>
      <c r="AC6625" s="780"/>
      <c r="AD6625" s="780"/>
      <c r="AE6625" s="780"/>
      <c r="AF6625" s="780"/>
    </row>
    <row r="6626" spans="19:32" x14ac:dyDescent="0.35">
      <c r="S6626" s="780"/>
      <c r="T6626" s="928"/>
      <c r="U6626" s="928"/>
      <c r="V6626" s="928"/>
      <c r="W6626" s="780"/>
      <c r="X6626" s="782">
        <v>6622</v>
      </c>
      <c r="Y6626" s="782" t="s">
        <v>2248</v>
      </c>
      <c r="Z6626" s="782" t="s">
        <v>2751</v>
      </c>
      <c r="AA6626" s="781">
        <f>$S$1*P!AA6626</f>
        <v>5.3810483870967742E-4</v>
      </c>
      <c r="AB6626" s="780"/>
      <c r="AC6626" s="780"/>
      <c r="AD6626" s="780"/>
      <c r="AE6626" s="780"/>
      <c r="AF6626" s="780"/>
    </row>
    <row r="6627" spans="19:32" x14ac:dyDescent="0.35">
      <c r="S6627" s="780"/>
      <c r="T6627" s="928"/>
      <c r="U6627" s="928"/>
      <c r="V6627" s="928"/>
      <c r="W6627" s="780"/>
      <c r="X6627" s="881">
        <v>6623</v>
      </c>
      <c r="Y6627" s="881" t="s">
        <v>2248</v>
      </c>
      <c r="Z6627" s="881" t="s">
        <v>2750</v>
      </c>
      <c r="AA6627" s="890">
        <f>$S$1*P!AA6627</f>
        <v>0.57224000000000008</v>
      </c>
      <c r="AB6627" s="780"/>
      <c r="AC6627" s="780"/>
      <c r="AD6627" s="780"/>
      <c r="AE6627" s="780"/>
      <c r="AF6627" s="780"/>
    </row>
    <row r="6628" spans="19:32" x14ac:dyDescent="0.35">
      <c r="S6628" s="780"/>
      <c r="T6628" s="928"/>
      <c r="U6628" s="928"/>
      <c r="V6628" s="928"/>
      <c r="W6628" s="780"/>
      <c r="X6628" s="881">
        <v>6624</v>
      </c>
      <c r="Y6628" s="881" t="s">
        <v>2248</v>
      </c>
      <c r="Z6628" s="881" t="s">
        <v>2749</v>
      </c>
      <c r="AA6628" s="890">
        <f>$S$1*P!AA6628</f>
        <v>14.352</v>
      </c>
      <c r="AB6628" s="780"/>
      <c r="AC6628" s="780"/>
      <c r="AD6628" s="780"/>
      <c r="AE6628" s="780"/>
      <c r="AF6628" s="780"/>
    </row>
    <row r="6629" spans="19:32" x14ac:dyDescent="0.35">
      <c r="S6629" s="780"/>
      <c r="T6629" s="928"/>
      <c r="U6629" s="928"/>
      <c r="V6629" s="928"/>
      <c r="W6629" s="780"/>
      <c r="X6629" s="782">
        <v>6625</v>
      </c>
      <c r="Y6629" s="782" t="s">
        <v>2248</v>
      </c>
      <c r="Z6629" s="782" t="s">
        <v>2748</v>
      </c>
      <c r="AA6629" s="781">
        <f>$S$1*P!AA6629</f>
        <v>1.3881048387096775E-3</v>
      </c>
      <c r="AB6629" s="780"/>
      <c r="AC6629" s="780"/>
      <c r="AD6629" s="780"/>
      <c r="AE6629" s="780"/>
      <c r="AF6629" s="780"/>
    </row>
    <row r="6630" spans="19:32" x14ac:dyDescent="0.35">
      <c r="S6630" s="780"/>
      <c r="T6630" s="928"/>
      <c r="U6630" s="928"/>
      <c r="V6630" s="928"/>
      <c r="W6630" s="780"/>
      <c r="X6630" s="881">
        <v>6626</v>
      </c>
      <c r="Y6630" s="881" t="s">
        <v>2248</v>
      </c>
      <c r="Z6630" s="881" t="s">
        <v>2747</v>
      </c>
      <c r="AA6630" s="890">
        <f>$S$1*P!AA6630</f>
        <v>15.64</v>
      </c>
      <c r="AB6630" s="780"/>
      <c r="AC6630" s="780"/>
      <c r="AD6630" s="780"/>
      <c r="AE6630" s="780"/>
      <c r="AF6630" s="780"/>
    </row>
    <row r="6631" spans="19:32" x14ac:dyDescent="0.35">
      <c r="S6631" s="780"/>
      <c r="T6631" s="928"/>
      <c r="U6631" s="928"/>
      <c r="V6631" s="928"/>
      <c r="W6631" s="780"/>
      <c r="X6631" s="881">
        <v>6627</v>
      </c>
      <c r="Y6631" s="881" t="s">
        <v>2248</v>
      </c>
      <c r="Z6631" s="881" t="s">
        <v>2746</v>
      </c>
      <c r="AA6631" s="890">
        <f>$S$1*P!AA6631</f>
        <v>0.54188000000000003</v>
      </c>
      <c r="AB6631" s="780"/>
      <c r="AC6631" s="780"/>
      <c r="AD6631" s="780"/>
      <c r="AE6631" s="780"/>
      <c r="AF6631" s="780"/>
    </row>
    <row r="6632" spans="19:32" x14ac:dyDescent="0.35">
      <c r="S6632" s="780"/>
      <c r="T6632" s="928"/>
      <c r="U6632" s="928"/>
      <c r="V6632" s="928"/>
      <c r="W6632" s="780"/>
      <c r="X6632" s="782">
        <v>6628</v>
      </c>
      <c r="Y6632" s="782" t="s">
        <v>2248</v>
      </c>
      <c r="Z6632" s="782" t="s">
        <v>2745</v>
      </c>
      <c r="AA6632" s="781">
        <f>$S$1*P!AA6632</f>
        <v>9.9052419354838723E-5</v>
      </c>
      <c r="AB6632" s="780"/>
      <c r="AC6632" s="780"/>
      <c r="AD6632" s="780"/>
      <c r="AE6632" s="780"/>
      <c r="AF6632" s="780"/>
    </row>
    <row r="6633" spans="19:32" x14ac:dyDescent="0.35">
      <c r="S6633" s="780"/>
      <c r="T6633" s="928"/>
      <c r="U6633" s="928"/>
      <c r="V6633" s="928"/>
      <c r="W6633" s="780"/>
      <c r="X6633" s="881">
        <v>6629</v>
      </c>
      <c r="Y6633" s="881" t="s">
        <v>2248</v>
      </c>
      <c r="Z6633" s="881" t="s">
        <v>2633</v>
      </c>
      <c r="AA6633" s="890">
        <f>$S$1*P!AA6633</f>
        <v>2.1252E-2</v>
      </c>
      <c r="AB6633" s="780"/>
      <c r="AC6633" s="780"/>
      <c r="AD6633" s="780"/>
      <c r="AE6633" s="780"/>
      <c r="AF6633" s="780"/>
    </row>
    <row r="6634" spans="19:32" x14ac:dyDescent="0.35">
      <c r="S6634" s="780"/>
      <c r="T6634" s="928"/>
      <c r="U6634" s="928"/>
      <c r="V6634" s="928"/>
      <c r="W6634" s="780"/>
      <c r="X6634" s="881">
        <v>6630</v>
      </c>
      <c r="Y6634" s="881" t="s">
        <v>2248</v>
      </c>
      <c r="Z6634" s="881" t="s">
        <v>2630</v>
      </c>
      <c r="AA6634" s="890">
        <f>$S$1*P!AA6634</f>
        <v>3.9744000000000002</v>
      </c>
      <c r="AB6634" s="780"/>
      <c r="AC6634" s="780"/>
      <c r="AD6634" s="780"/>
      <c r="AE6634" s="780"/>
      <c r="AF6634" s="780"/>
    </row>
    <row r="6635" spans="19:32" x14ac:dyDescent="0.35">
      <c r="S6635" s="780"/>
      <c r="T6635" s="928"/>
      <c r="U6635" s="928"/>
      <c r="V6635" s="928"/>
      <c r="W6635" s="780"/>
      <c r="X6635" s="782">
        <v>6631</v>
      </c>
      <c r="Y6635" s="782" t="s">
        <v>2248</v>
      </c>
      <c r="Z6635" s="782" t="s">
        <v>2744</v>
      </c>
      <c r="AA6635" s="781">
        <f>$S$1*P!AA6635</f>
        <v>1.8131048387096775E-2</v>
      </c>
      <c r="AB6635" s="780"/>
      <c r="AC6635" s="780"/>
      <c r="AD6635" s="780"/>
      <c r="AE6635" s="780"/>
      <c r="AF6635" s="780"/>
    </row>
    <row r="6636" spans="19:32" x14ac:dyDescent="0.35">
      <c r="S6636" s="780"/>
      <c r="T6636" s="928"/>
      <c r="U6636" s="928"/>
      <c r="V6636" s="928"/>
      <c r="W6636" s="780"/>
      <c r="X6636" s="881">
        <v>6632</v>
      </c>
      <c r="Y6636" s="881" t="s">
        <v>2248</v>
      </c>
      <c r="Z6636" s="881" t="s">
        <v>2743</v>
      </c>
      <c r="AA6636" s="890">
        <f>$S$1*P!AA6636</f>
        <v>46.276000000000003</v>
      </c>
      <c r="AB6636" s="780"/>
      <c r="AC6636" s="780"/>
      <c r="AD6636" s="780"/>
      <c r="AE6636" s="780"/>
      <c r="AF6636" s="780"/>
    </row>
    <row r="6637" spans="19:32" x14ac:dyDescent="0.35">
      <c r="S6637" s="780"/>
      <c r="T6637" s="928"/>
      <c r="U6637" s="928"/>
      <c r="V6637" s="928"/>
      <c r="W6637" s="780"/>
      <c r="X6637" s="782">
        <v>6633</v>
      </c>
      <c r="Y6637" s="782" t="s">
        <v>2248</v>
      </c>
      <c r="Z6637" s="782" t="s">
        <v>2742</v>
      </c>
      <c r="AA6637" s="781">
        <f>$S$1*P!AA6637</f>
        <v>2.4437500000000002E-3</v>
      </c>
      <c r="AB6637" s="780"/>
      <c r="AC6637" s="780"/>
      <c r="AD6637" s="780"/>
      <c r="AE6637" s="780"/>
      <c r="AF6637" s="780"/>
    </row>
    <row r="6638" spans="19:32" x14ac:dyDescent="0.35">
      <c r="S6638" s="780"/>
      <c r="T6638" s="928"/>
      <c r="U6638" s="928"/>
      <c r="V6638" s="928"/>
      <c r="W6638" s="780"/>
      <c r="X6638" s="881">
        <v>6634</v>
      </c>
      <c r="Y6638" s="881" t="s">
        <v>2248</v>
      </c>
      <c r="Z6638" s="881" t="s">
        <v>2628</v>
      </c>
      <c r="AA6638" s="890">
        <f>$S$1*P!AA6638</f>
        <v>0.52347999999999995</v>
      </c>
      <c r="AB6638" s="780"/>
      <c r="AC6638" s="780"/>
      <c r="AD6638" s="780"/>
      <c r="AE6638" s="780"/>
      <c r="AF6638" s="780"/>
    </row>
    <row r="6639" spans="19:32" x14ac:dyDescent="0.35">
      <c r="S6639" s="780"/>
      <c r="T6639" s="928"/>
      <c r="U6639" s="928"/>
      <c r="V6639" s="928"/>
      <c r="W6639" s="780"/>
      <c r="X6639" s="881">
        <v>6635</v>
      </c>
      <c r="Y6639" s="881" t="s">
        <v>2248</v>
      </c>
      <c r="Z6639" s="881" t="s">
        <v>2625</v>
      </c>
      <c r="AA6639" s="890">
        <f>$S$1*P!AA6639</f>
        <v>0.55199999999999994</v>
      </c>
      <c r="AB6639" s="780"/>
      <c r="AC6639" s="780"/>
      <c r="AD6639" s="780"/>
      <c r="AE6639" s="780"/>
      <c r="AF6639" s="780"/>
    </row>
    <row r="6640" spans="19:32" x14ac:dyDescent="0.35">
      <c r="S6640" s="780"/>
      <c r="T6640" s="928"/>
      <c r="U6640" s="928"/>
      <c r="V6640" s="928"/>
      <c r="W6640" s="780"/>
      <c r="X6640" s="782">
        <v>6636</v>
      </c>
      <c r="Y6640" s="782" t="s">
        <v>2248</v>
      </c>
      <c r="Z6640" s="782" t="s">
        <v>2741</v>
      </c>
      <c r="AA6640" s="781">
        <f>$S$1*P!AA6640</f>
        <v>0.45927419354838711</v>
      </c>
      <c r="AB6640" s="780"/>
      <c r="AC6640" s="780"/>
      <c r="AD6640" s="780"/>
      <c r="AE6640" s="780"/>
      <c r="AF6640" s="780"/>
    </row>
    <row r="6641" spans="19:32" x14ac:dyDescent="0.35">
      <c r="S6641" s="780"/>
      <c r="T6641" s="928"/>
      <c r="U6641" s="928"/>
      <c r="V6641" s="928"/>
      <c r="W6641" s="780"/>
      <c r="X6641" s="881">
        <v>6637</v>
      </c>
      <c r="Y6641" s="881" t="s">
        <v>2248</v>
      </c>
      <c r="Z6641" s="881" t="s">
        <v>2740</v>
      </c>
      <c r="AA6641" s="890">
        <f>$S$1*P!AA6641</f>
        <v>0.42503999999999997</v>
      </c>
      <c r="AB6641" s="780"/>
      <c r="AC6641" s="780"/>
      <c r="AD6641" s="780"/>
      <c r="AE6641" s="780"/>
      <c r="AF6641" s="780"/>
    </row>
    <row r="6642" spans="19:32" x14ac:dyDescent="0.35">
      <c r="S6642" s="780"/>
      <c r="T6642" s="928"/>
      <c r="U6642" s="928"/>
      <c r="V6642" s="928"/>
      <c r="W6642" s="780"/>
      <c r="X6642" s="881">
        <v>6638</v>
      </c>
      <c r="Y6642" s="881" t="s">
        <v>2248</v>
      </c>
      <c r="Z6642" s="881" t="s">
        <v>2622</v>
      </c>
      <c r="AA6642" s="890">
        <f>$S$1*P!AA6642</f>
        <v>6.0352000000000003E-2</v>
      </c>
      <c r="AB6642" s="780"/>
      <c r="AC6642" s="780"/>
      <c r="AD6642" s="780"/>
      <c r="AE6642" s="780"/>
      <c r="AF6642" s="780"/>
    </row>
    <row r="6643" spans="19:32" x14ac:dyDescent="0.35">
      <c r="S6643" s="780"/>
      <c r="T6643" s="928"/>
      <c r="U6643" s="928"/>
      <c r="V6643" s="928"/>
      <c r="W6643" s="780"/>
      <c r="X6643" s="782">
        <v>6639</v>
      </c>
      <c r="Y6643" s="782" t="s">
        <v>2248</v>
      </c>
      <c r="Z6643" s="782" t="s">
        <v>2739</v>
      </c>
      <c r="AA6643" s="781">
        <f>$S$1*P!AA6643</f>
        <v>2.1592741935483873E-4</v>
      </c>
      <c r="AB6643" s="780"/>
      <c r="AC6643" s="780"/>
      <c r="AD6643" s="780"/>
      <c r="AE6643" s="780"/>
      <c r="AF6643" s="780"/>
    </row>
    <row r="6644" spans="19:32" x14ac:dyDescent="0.35">
      <c r="S6644" s="780"/>
      <c r="T6644" s="928"/>
      <c r="U6644" s="928"/>
      <c r="V6644" s="928"/>
      <c r="W6644" s="780"/>
      <c r="X6644" s="881">
        <v>6640</v>
      </c>
      <c r="Y6644" s="881" t="s">
        <v>2248</v>
      </c>
      <c r="Z6644" s="881" t="s">
        <v>2619</v>
      </c>
      <c r="AA6644" s="890">
        <f>$S$1*P!AA6644</f>
        <v>0.42963999999999997</v>
      </c>
      <c r="AB6644" s="780"/>
      <c r="AC6644" s="780"/>
      <c r="AD6644" s="780"/>
      <c r="AE6644" s="780"/>
      <c r="AF6644" s="780"/>
    </row>
    <row r="6645" spans="19:32" x14ac:dyDescent="0.35">
      <c r="S6645" s="780"/>
      <c r="T6645" s="928"/>
      <c r="U6645" s="928"/>
      <c r="V6645" s="928"/>
      <c r="W6645" s="780"/>
      <c r="X6645" s="881">
        <v>6641</v>
      </c>
      <c r="Y6645" s="881" t="s">
        <v>2248</v>
      </c>
      <c r="Z6645" s="881" t="s">
        <v>2738</v>
      </c>
      <c r="AA6645" s="890">
        <f>$S$1*P!AA6645</f>
        <v>2.5852000000000004</v>
      </c>
      <c r="AB6645" s="780"/>
      <c r="AC6645" s="780"/>
      <c r="AD6645" s="780"/>
      <c r="AE6645" s="780"/>
      <c r="AF6645" s="780"/>
    </row>
    <row r="6646" spans="19:32" x14ac:dyDescent="0.35">
      <c r="S6646" s="780"/>
      <c r="T6646" s="928"/>
      <c r="U6646" s="928"/>
      <c r="V6646" s="928"/>
      <c r="W6646" s="780"/>
      <c r="X6646" s="782">
        <v>6642</v>
      </c>
      <c r="Y6646" s="782" t="s">
        <v>2248</v>
      </c>
      <c r="Z6646" s="782" t="s">
        <v>2737</v>
      </c>
      <c r="AA6646" s="781">
        <f>$S$1*P!AA6646</f>
        <v>4.6955645161290326E-4</v>
      </c>
      <c r="AB6646" s="780"/>
      <c r="AC6646" s="780"/>
      <c r="AD6646" s="780"/>
      <c r="AE6646" s="780"/>
      <c r="AF6646" s="780"/>
    </row>
    <row r="6647" spans="19:32" x14ac:dyDescent="0.35">
      <c r="S6647" s="780"/>
      <c r="T6647" s="928"/>
      <c r="U6647" s="928"/>
      <c r="V6647" s="928"/>
      <c r="W6647" s="780"/>
      <c r="X6647" s="881">
        <v>6643</v>
      </c>
      <c r="Y6647" s="881" t="s">
        <v>2248</v>
      </c>
      <c r="Z6647" s="881" t="s">
        <v>2616</v>
      </c>
      <c r="AA6647" s="890">
        <f>$S$1*P!AA6647</f>
        <v>0.50875999999999999</v>
      </c>
      <c r="AB6647" s="780"/>
      <c r="AC6647" s="780"/>
      <c r="AD6647" s="780"/>
      <c r="AE6647" s="780"/>
      <c r="AF6647" s="780"/>
    </row>
    <row r="6648" spans="19:32" x14ac:dyDescent="0.35">
      <c r="S6648" s="780"/>
      <c r="T6648" s="928"/>
      <c r="U6648" s="928"/>
      <c r="V6648" s="928"/>
      <c r="W6648" s="780"/>
      <c r="X6648" s="782">
        <v>6644</v>
      </c>
      <c r="Y6648" s="782" t="s">
        <v>2248</v>
      </c>
      <c r="Z6648" s="782" t="s">
        <v>2736</v>
      </c>
      <c r="AA6648" s="781">
        <f>$S$1*P!AA6648</f>
        <v>4.2842741935483872E-4</v>
      </c>
      <c r="AB6648" s="780"/>
      <c r="AC6648" s="780"/>
      <c r="AD6648" s="780"/>
      <c r="AE6648" s="780"/>
      <c r="AF6648" s="780"/>
    </row>
    <row r="6649" spans="19:32" x14ac:dyDescent="0.35">
      <c r="S6649" s="780"/>
      <c r="T6649" s="928"/>
      <c r="U6649" s="928"/>
      <c r="V6649" s="928"/>
      <c r="W6649" s="780"/>
      <c r="X6649" s="881">
        <v>6645</v>
      </c>
      <c r="Y6649" s="881" t="s">
        <v>2248</v>
      </c>
      <c r="Z6649" s="881" t="s">
        <v>2614</v>
      </c>
      <c r="AA6649" s="890">
        <f>$S$1*P!AA6649</f>
        <v>0.25944</v>
      </c>
      <c r="AB6649" s="780"/>
      <c r="AC6649" s="780"/>
      <c r="AD6649" s="780"/>
      <c r="AE6649" s="780"/>
      <c r="AF6649" s="780"/>
    </row>
    <row r="6650" spans="19:32" x14ac:dyDescent="0.35">
      <c r="S6650" s="780"/>
      <c r="T6650" s="928"/>
      <c r="U6650" s="928"/>
      <c r="V6650" s="928"/>
      <c r="W6650" s="780"/>
      <c r="X6650" s="881">
        <v>6646</v>
      </c>
      <c r="Y6650" s="881" t="s">
        <v>2248</v>
      </c>
      <c r="Z6650" s="881" t="s">
        <v>2735</v>
      </c>
      <c r="AA6650" s="890">
        <f>$S$1*P!AA6650</f>
        <v>2.9256000000000002</v>
      </c>
      <c r="AB6650" s="780"/>
      <c r="AC6650" s="780"/>
      <c r="AD6650" s="780"/>
      <c r="AE6650" s="780"/>
      <c r="AF6650" s="780"/>
    </row>
    <row r="6651" spans="19:32" x14ac:dyDescent="0.35">
      <c r="S6651" s="780"/>
      <c r="T6651" s="928"/>
      <c r="U6651" s="928"/>
      <c r="V6651" s="928"/>
      <c r="W6651" s="780"/>
      <c r="X6651" s="782">
        <v>6647</v>
      </c>
      <c r="Y6651" s="782" t="s">
        <v>2248</v>
      </c>
      <c r="Z6651" s="782" t="s">
        <v>2734</v>
      </c>
      <c r="AA6651" s="781">
        <f>$S$1*P!AA6651</f>
        <v>3.7016129032258068E-4</v>
      </c>
      <c r="AB6651" s="780"/>
      <c r="AC6651" s="780"/>
      <c r="AD6651" s="780"/>
      <c r="AE6651" s="780"/>
      <c r="AF6651" s="780"/>
    </row>
    <row r="6652" spans="19:32" x14ac:dyDescent="0.35">
      <c r="S6652" s="780"/>
      <c r="T6652" s="928"/>
      <c r="U6652" s="928"/>
      <c r="V6652" s="928"/>
      <c r="W6652" s="780"/>
      <c r="X6652" s="881">
        <v>6648</v>
      </c>
      <c r="Y6652" s="881" t="s">
        <v>2248</v>
      </c>
      <c r="Z6652" s="881" t="s">
        <v>2733</v>
      </c>
      <c r="AA6652" s="890">
        <f>$S$1*P!AA6652</f>
        <v>14.26</v>
      </c>
      <c r="AB6652" s="780"/>
      <c r="AC6652" s="780"/>
      <c r="AD6652" s="780"/>
      <c r="AE6652" s="780"/>
      <c r="AF6652" s="780"/>
    </row>
    <row r="6653" spans="19:32" x14ac:dyDescent="0.35">
      <c r="S6653" s="780"/>
      <c r="T6653" s="928"/>
      <c r="U6653" s="928"/>
      <c r="V6653" s="928"/>
      <c r="W6653" s="780"/>
      <c r="X6653" s="881">
        <v>6649</v>
      </c>
      <c r="Y6653" s="881" t="s">
        <v>2248</v>
      </c>
      <c r="Z6653" s="881" t="s">
        <v>2732</v>
      </c>
      <c r="AA6653" s="890">
        <f>$S$1*P!AA6653</f>
        <v>3.7904000000000004</v>
      </c>
      <c r="AB6653" s="780"/>
      <c r="AC6653" s="780"/>
      <c r="AD6653" s="780"/>
      <c r="AE6653" s="780"/>
      <c r="AF6653" s="780"/>
    </row>
    <row r="6654" spans="19:32" x14ac:dyDescent="0.35">
      <c r="S6654" s="780"/>
      <c r="T6654" s="928"/>
      <c r="U6654" s="928"/>
      <c r="V6654" s="928"/>
      <c r="W6654" s="780"/>
      <c r="X6654" s="782">
        <v>6650</v>
      </c>
      <c r="Y6654" s="782" t="s">
        <v>2248</v>
      </c>
      <c r="Z6654" s="782" t="s">
        <v>2731</v>
      </c>
      <c r="AA6654" s="781">
        <f>$S$1*P!AA6654</f>
        <v>5.3125000000000004E-4</v>
      </c>
      <c r="AB6654" s="780"/>
      <c r="AC6654" s="780"/>
      <c r="AD6654" s="780"/>
      <c r="AE6654" s="780"/>
      <c r="AF6654" s="780"/>
    </row>
    <row r="6655" spans="19:32" x14ac:dyDescent="0.35">
      <c r="S6655" s="780"/>
      <c r="T6655" s="928"/>
      <c r="U6655" s="928"/>
      <c r="V6655" s="928"/>
      <c r="W6655" s="780"/>
      <c r="X6655" s="881">
        <v>6651</v>
      </c>
      <c r="Y6655" s="881" t="s">
        <v>2248</v>
      </c>
      <c r="Z6655" s="881" t="s">
        <v>2730</v>
      </c>
      <c r="AA6655" s="890">
        <f>$S$1*P!AA6655</f>
        <v>5.1243999999999996</v>
      </c>
      <c r="AB6655" s="780"/>
      <c r="AC6655" s="780"/>
      <c r="AD6655" s="780"/>
      <c r="AE6655" s="780"/>
      <c r="AF6655" s="780"/>
    </row>
    <row r="6656" spans="19:32" x14ac:dyDescent="0.35">
      <c r="S6656" s="780"/>
      <c r="T6656" s="928"/>
      <c r="U6656" s="928"/>
      <c r="V6656" s="928"/>
      <c r="W6656" s="780"/>
      <c r="X6656" s="881">
        <v>6652</v>
      </c>
      <c r="Y6656" s="881" t="s">
        <v>2248</v>
      </c>
      <c r="Z6656" s="881" t="s">
        <v>2729</v>
      </c>
      <c r="AA6656" s="890">
        <f>$S$1*P!AA6656</f>
        <v>3.4868000000000001</v>
      </c>
      <c r="AB6656" s="780"/>
      <c r="AC6656" s="780"/>
      <c r="AD6656" s="780"/>
      <c r="AE6656" s="780"/>
      <c r="AF6656" s="780"/>
    </row>
    <row r="6657" spans="19:32" x14ac:dyDescent="0.35">
      <c r="S6657" s="780"/>
      <c r="T6657" s="928"/>
      <c r="U6657" s="928"/>
      <c r="V6657" s="928"/>
      <c r="W6657" s="780"/>
      <c r="X6657" s="782">
        <v>6653</v>
      </c>
      <c r="Y6657" s="782" t="s">
        <v>2248</v>
      </c>
      <c r="Z6657" s="782" t="s">
        <v>2728</v>
      </c>
      <c r="AA6657" s="781">
        <f>$S$1*P!AA6657</f>
        <v>3.5302419354838712E-5</v>
      </c>
      <c r="AB6657" s="780"/>
      <c r="AC6657" s="780"/>
      <c r="AD6657" s="780"/>
      <c r="AE6657" s="780"/>
      <c r="AF6657" s="780"/>
    </row>
    <row r="6658" spans="19:32" x14ac:dyDescent="0.35">
      <c r="S6658" s="780"/>
      <c r="T6658" s="928"/>
      <c r="U6658" s="928"/>
      <c r="V6658" s="928"/>
      <c r="W6658" s="780"/>
      <c r="X6658" s="881">
        <v>6654</v>
      </c>
      <c r="Y6658" s="881" t="s">
        <v>2248</v>
      </c>
      <c r="Z6658" s="881" t="s">
        <v>2727</v>
      </c>
      <c r="AA6658" s="890">
        <f>$S$1*P!AA6658</f>
        <v>287.96000000000004</v>
      </c>
      <c r="AB6658" s="780"/>
      <c r="AC6658" s="780"/>
      <c r="AD6658" s="780"/>
      <c r="AE6658" s="780"/>
      <c r="AF6658" s="780"/>
    </row>
    <row r="6659" spans="19:32" x14ac:dyDescent="0.35">
      <c r="S6659" s="780"/>
      <c r="T6659" s="928"/>
      <c r="U6659" s="928"/>
      <c r="V6659" s="928"/>
      <c r="W6659" s="780"/>
      <c r="X6659" s="881">
        <v>6655</v>
      </c>
      <c r="Y6659" s="881" t="s">
        <v>2248</v>
      </c>
      <c r="Z6659" s="881" t="s">
        <v>2726</v>
      </c>
      <c r="AA6659" s="890">
        <f>$S$1*P!AA6659</f>
        <v>0.40571999999999997</v>
      </c>
      <c r="AB6659" s="780"/>
      <c r="AC6659" s="780"/>
      <c r="AD6659" s="780"/>
      <c r="AE6659" s="780"/>
      <c r="AF6659" s="780"/>
    </row>
    <row r="6660" spans="19:32" x14ac:dyDescent="0.35">
      <c r="S6660" s="780"/>
      <c r="T6660" s="928"/>
      <c r="U6660" s="928"/>
      <c r="V6660" s="928"/>
      <c r="W6660" s="780"/>
      <c r="X6660" s="782">
        <v>6656</v>
      </c>
      <c r="Y6660" s="782" t="s">
        <v>2248</v>
      </c>
      <c r="Z6660" s="782" t="s">
        <v>2725</v>
      </c>
      <c r="AA6660" s="781">
        <f>$S$1*P!AA6660</f>
        <v>2.988709677419355E-3</v>
      </c>
      <c r="AB6660" s="780"/>
      <c r="AC6660" s="780"/>
      <c r="AD6660" s="780"/>
      <c r="AE6660" s="780"/>
      <c r="AF6660" s="780"/>
    </row>
    <row r="6661" spans="19:32" x14ac:dyDescent="0.35">
      <c r="S6661" s="780"/>
      <c r="T6661" s="928"/>
      <c r="U6661" s="928"/>
      <c r="V6661" s="928"/>
      <c r="W6661" s="780"/>
      <c r="X6661" s="881">
        <v>6657</v>
      </c>
      <c r="Y6661" s="881" t="s">
        <v>2248</v>
      </c>
      <c r="Z6661" s="881" t="s">
        <v>2724</v>
      </c>
      <c r="AA6661" s="890">
        <f>$S$1*P!AA6661</f>
        <v>2.1528</v>
      </c>
      <c r="AB6661" s="780"/>
      <c r="AC6661" s="780"/>
      <c r="AD6661" s="780"/>
      <c r="AE6661" s="780"/>
      <c r="AF6661" s="780"/>
    </row>
    <row r="6662" spans="19:32" x14ac:dyDescent="0.35">
      <c r="S6662" s="780"/>
      <c r="T6662" s="928"/>
      <c r="U6662" s="928"/>
      <c r="V6662" s="928"/>
      <c r="W6662" s="780"/>
      <c r="X6662" s="782">
        <v>6658</v>
      </c>
      <c r="Y6662" s="782" t="s">
        <v>2248</v>
      </c>
      <c r="Z6662" s="782" t="s">
        <v>2723</v>
      </c>
      <c r="AA6662" s="781">
        <f>$S$1*P!AA6662</f>
        <v>4.6270161290322583E-3</v>
      </c>
      <c r="AB6662" s="780"/>
      <c r="AC6662" s="780"/>
      <c r="AD6662" s="780"/>
      <c r="AE6662" s="780"/>
      <c r="AF6662" s="780"/>
    </row>
    <row r="6663" spans="19:32" x14ac:dyDescent="0.35">
      <c r="S6663" s="780"/>
      <c r="T6663" s="928"/>
      <c r="U6663" s="928"/>
      <c r="V6663" s="928"/>
      <c r="W6663" s="780"/>
      <c r="X6663" s="881">
        <v>6659</v>
      </c>
      <c r="Y6663" s="881" t="s">
        <v>2248</v>
      </c>
      <c r="Z6663" s="881" t="s">
        <v>2722</v>
      </c>
      <c r="AA6663" s="890">
        <f>$S$1*P!AA6663</f>
        <v>1444.4</v>
      </c>
      <c r="AB6663" s="780"/>
      <c r="AC6663" s="780"/>
      <c r="AD6663" s="780"/>
      <c r="AE6663" s="780"/>
      <c r="AF6663" s="780"/>
    </row>
    <row r="6664" spans="19:32" x14ac:dyDescent="0.35">
      <c r="S6664" s="780"/>
      <c r="T6664" s="928"/>
      <c r="U6664" s="928"/>
      <c r="V6664" s="928"/>
      <c r="W6664" s="780"/>
      <c r="X6664" s="881">
        <v>6660</v>
      </c>
      <c r="Y6664" s="881" t="s">
        <v>2248</v>
      </c>
      <c r="Z6664" s="881" t="s">
        <v>2721</v>
      </c>
      <c r="AA6664" s="890">
        <f>$S$1*P!AA6664</f>
        <v>0.90344000000000013</v>
      </c>
      <c r="AB6664" s="780"/>
      <c r="AC6664" s="780"/>
      <c r="AD6664" s="780"/>
      <c r="AE6664" s="780"/>
      <c r="AF6664" s="780"/>
    </row>
    <row r="6665" spans="19:32" x14ac:dyDescent="0.35">
      <c r="S6665" s="780"/>
      <c r="T6665" s="928"/>
      <c r="U6665" s="928"/>
      <c r="V6665" s="928"/>
      <c r="W6665" s="780"/>
      <c r="X6665" s="782">
        <v>6661</v>
      </c>
      <c r="Y6665" s="782" t="s">
        <v>2248</v>
      </c>
      <c r="Z6665" s="782" t="s">
        <v>2720</v>
      </c>
      <c r="AA6665" s="781">
        <f>$S$1*P!AA6665</f>
        <v>1.004233870967742E-4</v>
      </c>
      <c r="AB6665" s="780"/>
      <c r="AC6665" s="780"/>
      <c r="AD6665" s="780"/>
      <c r="AE6665" s="780"/>
      <c r="AF6665" s="780"/>
    </row>
    <row r="6666" spans="19:32" x14ac:dyDescent="0.35">
      <c r="S6666" s="780"/>
      <c r="T6666" s="928"/>
      <c r="U6666" s="928"/>
      <c r="V6666" s="928"/>
      <c r="W6666" s="780"/>
      <c r="X6666" s="881">
        <v>6662</v>
      </c>
      <c r="Y6666" s="881" t="s">
        <v>2248</v>
      </c>
      <c r="Z6666" s="881" t="s">
        <v>2719</v>
      </c>
      <c r="AA6666" s="890">
        <f>$S$1*P!AA6666</f>
        <v>415.84</v>
      </c>
      <c r="AB6666" s="780"/>
      <c r="AC6666" s="780"/>
      <c r="AD6666" s="780"/>
      <c r="AE6666" s="780"/>
      <c r="AF6666" s="780"/>
    </row>
    <row r="6667" spans="19:32" x14ac:dyDescent="0.35">
      <c r="S6667" s="780"/>
      <c r="T6667" s="928"/>
      <c r="U6667" s="928"/>
      <c r="V6667" s="928"/>
      <c r="W6667" s="780"/>
      <c r="X6667" s="881">
        <v>6663</v>
      </c>
      <c r="Y6667" s="881" t="s">
        <v>2248</v>
      </c>
      <c r="Z6667" s="881" t="s">
        <v>2718</v>
      </c>
      <c r="AA6667" s="890">
        <f>$S$1*P!AA6667</f>
        <v>1113.1999999999998</v>
      </c>
      <c r="AB6667" s="780"/>
      <c r="AC6667" s="780"/>
      <c r="AD6667" s="780"/>
      <c r="AE6667" s="780"/>
      <c r="AF6667" s="780"/>
    </row>
    <row r="6668" spans="19:32" x14ac:dyDescent="0.35">
      <c r="S6668" s="780"/>
      <c r="T6668" s="928"/>
      <c r="U6668" s="928"/>
      <c r="V6668" s="928"/>
      <c r="W6668" s="780"/>
      <c r="X6668" s="782">
        <v>6664</v>
      </c>
      <c r="Y6668" s="782" t="s">
        <v>2248</v>
      </c>
      <c r="Z6668" s="782" t="s">
        <v>2717</v>
      </c>
      <c r="AA6668" s="781">
        <f>$S$1*P!AA6668</f>
        <v>2.9030241935483873E-2</v>
      </c>
      <c r="AB6668" s="780"/>
      <c r="AC6668" s="780"/>
      <c r="AD6668" s="780"/>
      <c r="AE6668" s="780"/>
      <c r="AF6668" s="780"/>
    </row>
    <row r="6669" spans="19:32" x14ac:dyDescent="0.35">
      <c r="S6669" s="780"/>
      <c r="T6669" s="928"/>
      <c r="U6669" s="928"/>
      <c r="V6669" s="928"/>
      <c r="W6669" s="780"/>
      <c r="X6669" s="881">
        <v>6665</v>
      </c>
      <c r="Y6669" s="881" t="s">
        <v>2248</v>
      </c>
      <c r="Z6669" s="881" t="s">
        <v>2716</v>
      </c>
      <c r="AA6669" s="890">
        <f>$S$1*P!AA6669</f>
        <v>8096.0000000000009</v>
      </c>
      <c r="AB6669" s="780"/>
      <c r="AC6669" s="780"/>
      <c r="AD6669" s="780"/>
      <c r="AE6669" s="780"/>
      <c r="AF6669" s="780"/>
    </row>
    <row r="6670" spans="19:32" x14ac:dyDescent="0.35">
      <c r="S6670" s="780"/>
      <c r="T6670" s="928"/>
      <c r="U6670" s="928"/>
      <c r="V6670" s="928"/>
      <c r="W6670" s="780"/>
      <c r="X6670" s="881">
        <v>6666</v>
      </c>
      <c r="Y6670" s="881" t="s">
        <v>2248</v>
      </c>
      <c r="Z6670" s="881" t="s">
        <v>2715</v>
      </c>
      <c r="AA6670" s="890">
        <f>$S$1*P!AA6670</f>
        <v>192.28</v>
      </c>
      <c r="AB6670" s="780"/>
      <c r="AC6670" s="780"/>
      <c r="AD6670" s="780"/>
      <c r="AE6670" s="780"/>
      <c r="AF6670" s="780"/>
    </row>
    <row r="6671" spans="19:32" x14ac:dyDescent="0.35">
      <c r="S6671" s="780"/>
      <c r="T6671" s="928"/>
      <c r="U6671" s="928"/>
      <c r="V6671" s="928"/>
      <c r="W6671" s="780"/>
      <c r="X6671" s="782">
        <v>6667</v>
      </c>
      <c r="Y6671" s="782" t="s">
        <v>2248</v>
      </c>
      <c r="Z6671" s="782" t="s">
        <v>2714</v>
      </c>
      <c r="AA6671" s="781">
        <f>$S$1*P!AA6671</f>
        <v>3.3177419354838713E-3</v>
      </c>
      <c r="AB6671" s="780"/>
      <c r="AC6671" s="780"/>
      <c r="AD6671" s="780"/>
      <c r="AE6671" s="780"/>
      <c r="AF6671" s="780"/>
    </row>
    <row r="6672" spans="19:32" x14ac:dyDescent="0.35">
      <c r="S6672" s="780"/>
      <c r="T6672" s="928"/>
      <c r="U6672" s="928"/>
      <c r="V6672" s="928"/>
      <c r="W6672" s="780"/>
      <c r="X6672" s="881">
        <v>6668</v>
      </c>
      <c r="Y6672" s="881" t="s">
        <v>2248</v>
      </c>
      <c r="Z6672" s="881" t="s">
        <v>2713</v>
      </c>
      <c r="AA6672" s="890">
        <f>$S$1*P!AA6672</f>
        <v>1.7663999999999997</v>
      </c>
      <c r="AB6672" s="780"/>
      <c r="AC6672" s="780"/>
      <c r="AD6672" s="780"/>
      <c r="AE6672" s="780"/>
      <c r="AF6672" s="780"/>
    </row>
    <row r="6673" spans="19:32" x14ac:dyDescent="0.35">
      <c r="S6673" s="780"/>
      <c r="T6673" s="928"/>
      <c r="U6673" s="928"/>
      <c r="V6673" s="928"/>
      <c r="W6673" s="780"/>
      <c r="X6673" s="782">
        <v>6669</v>
      </c>
      <c r="Y6673" s="782" t="s">
        <v>2248</v>
      </c>
      <c r="Z6673" s="782" t="s">
        <v>2712</v>
      </c>
      <c r="AA6673" s="781">
        <f>$S$1*P!AA6673</f>
        <v>1.2407258064516129E-4</v>
      </c>
      <c r="AB6673" s="780"/>
      <c r="AC6673" s="780"/>
      <c r="AD6673" s="780"/>
      <c r="AE6673" s="780"/>
      <c r="AF6673" s="780"/>
    </row>
    <row r="6674" spans="19:32" x14ac:dyDescent="0.35">
      <c r="S6674" s="780"/>
      <c r="T6674" s="928"/>
      <c r="U6674" s="928"/>
      <c r="V6674" s="928"/>
      <c r="W6674" s="780"/>
      <c r="X6674" s="881">
        <v>6670</v>
      </c>
      <c r="Y6674" s="881" t="s">
        <v>2248</v>
      </c>
      <c r="Z6674" s="881" t="s">
        <v>2711</v>
      </c>
      <c r="AA6674" s="890">
        <f>$S$1*P!AA6674</f>
        <v>73.323999999999998</v>
      </c>
      <c r="AB6674" s="780"/>
      <c r="AC6674" s="780"/>
      <c r="AD6674" s="780"/>
      <c r="AE6674" s="780"/>
      <c r="AF6674" s="780"/>
    </row>
    <row r="6675" spans="19:32" x14ac:dyDescent="0.35">
      <c r="S6675" s="780"/>
      <c r="T6675" s="928"/>
      <c r="U6675" s="928"/>
      <c r="V6675" s="928"/>
      <c r="W6675" s="780"/>
      <c r="X6675" s="881">
        <v>6671</v>
      </c>
      <c r="Y6675" s="881" t="s">
        <v>2248</v>
      </c>
      <c r="Z6675" s="881" t="s">
        <v>2710</v>
      </c>
      <c r="AA6675" s="890">
        <f>$S$1*P!AA6675</f>
        <v>9.2000000000000011</v>
      </c>
      <c r="AB6675" s="780"/>
      <c r="AC6675" s="780"/>
      <c r="AD6675" s="780"/>
      <c r="AE6675" s="780"/>
      <c r="AF6675" s="780"/>
    </row>
    <row r="6676" spans="19:32" x14ac:dyDescent="0.35">
      <c r="S6676" s="780"/>
      <c r="T6676" s="928"/>
      <c r="U6676" s="928"/>
      <c r="V6676" s="928"/>
      <c r="W6676" s="780"/>
      <c r="X6676" s="782">
        <v>6672</v>
      </c>
      <c r="Y6676" s="782" t="s">
        <v>2248</v>
      </c>
      <c r="Z6676" s="782" t="s">
        <v>2709</v>
      </c>
      <c r="AA6676" s="781">
        <f>$S$1*P!AA6676</f>
        <v>5.2439516129032265E-5</v>
      </c>
      <c r="AB6676" s="780"/>
      <c r="AC6676" s="780"/>
      <c r="AD6676" s="780"/>
      <c r="AE6676" s="780"/>
      <c r="AF6676" s="780"/>
    </row>
    <row r="6677" spans="19:32" x14ac:dyDescent="0.35">
      <c r="S6677" s="780"/>
      <c r="T6677" s="928"/>
      <c r="U6677" s="928"/>
      <c r="V6677" s="928"/>
      <c r="W6677" s="780"/>
      <c r="X6677" s="881">
        <v>6673</v>
      </c>
      <c r="Y6677" s="881" t="s">
        <v>2248</v>
      </c>
      <c r="Z6677" s="881" t="s">
        <v>2708</v>
      </c>
      <c r="AA6677" s="890">
        <f>$S$1*P!AA6677</f>
        <v>0.11408</v>
      </c>
      <c r="AB6677" s="780"/>
      <c r="AC6677" s="780"/>
      <c r="AD6677" s="780"/>
      <c r="AE6677" s="780"/>
      <c r="AF6677" s="780"/>
    </row>
    <row r="6678" spans="19:32" x14ac:dyDescent="0.35">
      <c r="S6678" s="780"/>
      <c r="T6678" s="928"/>
      <c r="U6678" s="928"/>
      <c r="V6678" s="928"/>
      <c r="W6678" s="780"/>
      <c r="X6678" s="881">
        <v>6674</v>
      </c>
      <c r="Y6678" s="881" t="s">
        <v>2248</v>
      </c>
      <c r="Z6678" s="881" t="s">
        <v>2707</v>
      </c>
      <c r="AA6678" s="890">
        <f>$S$1*P!AA6678</f>
        <v>0</v>
      </c>
      <c r="AB6678" s="780"/>
      <c r="AC6678" s="780"/>
      <c r="AD6678" s="780"/>
      <c r="AE6678" s="780"/>
      <c r="AF6678" s="780"/>
    </row>
    <row r="6679" spans="19:32" x14ac:dyDescent="0.35">
      <c r="S6679" s="780"/>
      <c r="T6679" s="928"/>
      <c r="U6679" s="928"/>
      <c r="V6679" s="928"/>
      <c r="W6679" s="780"/>
      <c r="X6679" s="782">
        <v>6675</v>
      </c>
      <c r="Y6679" s="782" t="s">
        <v>2248</v>
      </c>
      <c r="Z6679" s="782" t="s">
        <v>2706</v>
      </c>
      <c r="AA6679" s="781">
        <f>$S$1*P!AA6679</f>
        <v>8.0544354838709692E-5</v>
      </c>
      <c r="AB6679" s="780"/>
      <c r="AC6679" s="780"/>
      <c r="AD6679" s="780"/>
      <c r="AE6679" s="780"/>
      <c r="AF6679" s="780"/>
    </row>
    <row r="6680" spans="19:32" x14ac:dyDescent="0.35">
      <c r="S6680" s="780"/>
      <c r="T6680" s="928"/>
      <c r="U6680" s="928"/>
      <c r="V6680" s="928"/>
      <c r="W6680" s="780"/>
      <c r="X6680" s="881">
        <v>6676</v>
      </c>
      <c r="Y6680" s="881" t="s">
        <v>2248</v>
      </c>
      <c r="Z6680" s="881" t="s">
        <v>2705</v>
      </c>
      <c r="AA6680" s="890">
        <f>$S$1*P!AA6680</f>
        <v>6.0259999999999998</v>
      </c>
      <c r="AB6680" s="780"/>
      <c r="AC6680" s="780"/>
      <c r="AD6680" s="780"/>
      <c r="AE6680" s="780"/>
      <c r="AF6680" s="780"/>
    </row>
    <row r="6681" spans="19:32" x14ac:dyDescent="0.35">
      <c r="S6681" s="780"/>
      <c r="T6681" s="928"/>
      <c r="U6681" s="928"/>
      <c r="V6681" s="928"/>
      <c r="W6681" s="780"/>
      <c r="X6681" s="881">
        <v>6677</v>
      </c>
      <c r="Y6681" s="881" t="s">
        <v>2248</v>
      </c>
      <c r="Z6681" s="881" t="s">
        <v>2704</v>
      </c>
      <c r="AA6681" s="890">
        <f>$S$1*P!AA6681</f>
        <v>2.8795999999999999</v>
      </c>
      <c r="AB6681" s="780"/>
      <c r="AC6681" s="780"/>
      <c r="AD6681" s="780"/>
      <c r="AE6681" s="780"/>
      <c r="AF6681" s="780"/>
    </row>
    <row r="6682" spans="19:32" x14ac:dyDescent="0.35">
      <c r="S6682" s="780"/>
      <c r="T6682" s="928"/>
      <c r="U6682" s="928"/>
      <c r="V6682" s="928"/>
      <c r="W6682" s="780"/>
      <c r="X6682" s="782">
        <v>6678</v>
      </c>
      <c r="Y6682" s="782" t="s">
        <v>2248</v>
      </c>
      <c r="Z6682" s="782" t="s">
        <v>2703</v>
      </c>
      <c r="AA6682" s="781">
        <f>$S$1*P!AA6682</f>
        <v>1.2270161290322582E-2</v>
      </c>
      <c r="AB6682" s="780"/>
      <c r="AC6682" s="780"/>
      <c r="AD6682" s="780"/>
      <c r="AE6682" s="780"/>
      <c r="AF6682" s="780"/>
    </row>
    <row r="6683" spans="19:32" x14ac:dyDescent="0.35">
      <c r="S6683" s="780"/>
      <c r="T6683" s="928"/>
      <c r="U6683" s="928"/>
      <c r="V6683" s="928"/>
      <c r="W6683" s="780"/>
      <c r="X6683" s="881">
        <v>6679</v>
      </c>
      <c r="Y6683" s="881" t="s">
        <v>2248</v>
      </c>
      <c r="Z6683" s="881" t="s">
        <v>2702</v>
      </c>
      <c r="AA6683" s="890">
        <f>$S$1*P!AA6683</f>
        <v>78.2</v>
      </c>
      <c r="AB6683" s="780"/>
      <c r="AC6683" s="780"/>
      <c r="AD6683" s="780"/>
      <c r="AE6683" s="780"/>
      <c r="AF6683" s="780"/>
    </row>
    <row r="6684" spans="19:32" x14ac:dyDescent="0.35">
      <c r="S6684" s="780"/>
      <c r="T6684" s="928"/>
      <c r="U6684" s="928"/>
      <c r="V6684" s="928"/>
      <c r="W6684" s="780"/>
      <c r="X6684" s="881">
        <v>6680</v>
      </c>
      <c r="Y6684" s="881" t="s">
        <v>2248</v>
      </c>
      <c r="Z6684" s="881" t="s">
        <v>2701</v>
      </c>
      <c r="AA6684" s="890">
        <f>$S$1*P!AA6684</f>
        <v>56.396000000000001</v>
      </c>
      <c r="AB6684" s="780"/>
      <c r="AC6684" s="780"/>
      <c r="AD6684" s="780"/>
      <c r="AE6684" s="780"/>
      <c r="AF6684" s="780"/>
    </row>
    <row r="6685" spans="19:32" x14ac:dyDescent="0.35">
      <c r="S6685" s="780"/>
      <c r="T6685" s="928"/>
      <c r="U6685" s="928"/>
      <c r="V6685" s="928"/>
      <c r="W6685" s="780"/>
      <c r="X6685" s="782">
        <v>6681</v>
      </c>
      <c r="Y6685" s="782" t="s">
        <v>2248</v>
      </c>
      <c r="Z6685" s="782" t="s">
        <v>2700</v>
      </c>
      <c r="AA6685" s="781">
        <f>$S$1*P!AA6685</f>
        <v>1.0316532258064517E-3</v>
      </c>
      <c r="AB6685" s="780"/>
      <c r="AC6685" s="780"/>
      <c r="AD6685" s="780"/>
      <c r="AE6685" s="780"/>
      <c r="AF6685" s="780"/>
    </row>
    <row r="6686" spans="19:32" x14ac:dyDescent="0.35">
      <c r="S6686" s="780"/>
      <c r="T6686" s="928"/>
      <c r="U6686" s="928"/>
      <c r="V6686" s="928"/>
      <c r="W6686" s="780"/>
      <c r="X6686" s="881">
        <v>6682</v>
      </c>
      <c r="Y6686" s="881" t="s">
        <v>2248</v>
      </c>
      <c r="Z6686" s="881" t="s">
        <v>2699</v>
      </c>
      <c r="AA6686" s="890">
        <f>$S$1*P!AA6686</f>
        <v>0</v>
      </c>
      <c r="AB6686" s="780"/>
      <c r="AC6686" s="780"/>
      <c r="AD6686" s="780"/>
      <c r="AE6686" s="780"/>
      <c r="AF6686" s="780"/>
    </row>
    <row r="6687" spans="19:32" x14ac:dyDescent="0.35">
      <c r="S6687" s="780"/>
      <c r="T6687" s="928"/>
      <c r="U6687" s="928"/>
      <c r="V6687" s="928"/>
      <c r="W6687" s="780"/>
      <c r="X6687" s="782">
        <v>6683</v>
      </c>
      <c r="Y6687" s="782" t="s">
        <v>2248</v>
      </c>
      <c r="Z6687" s="782" t="s">
        <v>2698</v>
      </c>
      <c r="AA6687" s="781">
        <f>$S$1*P!AA6687</f>
        <v>1.6177419354838709E-4</v>
      </c>
      <c r="AB6687" s="780"/>
      <c r="AC6687" s="780"/>
      <c r="AD6687" s="780"/>
      <c r="AE6687" s="780"/>
      <c r="AF6687" s="780"/>
    </row>
    <row r="6688" spans="19:32" x14ac:dyDescent="0.35">
      <c r="S6688" s="780"/>
      <c r="T6688" s="928"/>
      <c r="U6688" s="928"/>
      <c r="V6688" s="928"/>
      <c r="W6688" s="780"/>
      <c r="X6688" s="881">
        <v>6684</v>
      </c>
      <c r="Y6688" s="881" t="s">
        <v>2248</v>
      </c>
      <c r="Z6688" s="881" t="s">
        <v>2697</v>
      </c>
      <c r="AA6688" s="890">
        <f>$S$1*P!AA6688</f>
        <v>61.088000000000001</v>
      </c>
      <c r="AB6688" s="780"/>
      <c r="AC6688" s="780"/>
      <c r="AD6688" s="780"/>
      <c r="AE6688" s="780"/>
      <c r="AF6688" s="780"/>
    </row>
    <row r="6689" spans="19:32" x14ac:dyDescent="0.35">
      <c r="S6689" s="780"/>
      <c r="T6689" s="928"/>
      <c r="U6689" s="928"/>
      <c r="V6689" s="928"/>
      <c r="W6689" s="780"/>
      <c r="X6689" s="881">
        <v>6685</v>
      </c>
      <c r="Y6689" s="881" t="s">
        <v>2248</v>
      </c>
      <c r="Z6689" s="881" t="s">
        <v>2696</v>
      </c>
      <c r="AA6689" s="890">
        <f>$S$1*P!AA6689</f>
        <v>181.23999999999998</v>
      </c>
      <c r="AB6689" s="780"/>
      <c r="AC6689" s="780"/>
      <c r="AD6689" s="780"/>
      <c r="AE6689" s="780"/>
      <c r="AF6689" s="780"/>
    </row>
    <row r="6690" spans="19:32" x14ac:dyDescent="0.35">
      <c r="S6690" s="780"/>
      <c r="T6690" s="928"/>
      <c r="U6690" s="928"/>
      <c r="V6690" s="928"/>
      <c r="W6690" s="780"/>
      <c r="X6690" s="782">
        <v>6686</v>
      </c>
      <c r="Y6690" s="782" t="s">
        <v>2248</v>
      </c>
      <c r="Z6690" s="782" t="s">
        <v>2695</v>
      </c>
      <c r="AA6690" s="781">
        <f>$S$1*P!AA6690</f>
        <v>3.4274193548387101E-4</v>
      </c>
      <c r="AB6690" s="780"/>
      <c r="AC6690" s="780"/>
      <c r="AD6690" s="780"/>
      <c r="AE6690" s="780"/>
      <c r="AF6690" s="780"/>
    </row>
    <row r="6691" spans="19:32" x14ac:dyDescent="0.35">
      <c r="S6691" s="780"/>
      <c r="T6691" s="928"/>
      <c r="U6691" s="928"/>
      <c r="V6691" s="928"/>
      <c r="W6691" s="780"/>
      <c r="X6691" s="881">
        <v>6687</v>
      </c>
      <c r="Y6691" s="881" t="s">
        <v>2248</v>
      </c>
      <c r="Z6691" s="881" t="s">
        <v>2694</v>
      </c>
      <c r="AA6691" s="890">
        <f>$S$1*P!AA6691</f>
        <v>28.611999999999998</v>
      </c>
      <c r="AB6691" s="780"/>
      <c r="AC6691" s="780"/>
      <c r="AD6691" s="780"/>
      <c r="AE6691" s="780"/>
      <c r="AF6691" s="780"/>
    </row>
    <row r="6692" spans="19:32" x14ac:dyDescent="0.35">
      <c r="S6692" s="780"/>
      <c r="T6692" s="928"/>
      <c r="U6692" s="928"/>
      <c r="V6692" s="928"/>
      <c r="W6692" s="780"/>
      <c r="X6692" s="881">
        <v>6688</v>
      </c>
      <c r="Y6692" s="881" t="s">
        <v>2248</v>
      </c>
      <c r="Z6692" s="881" t="s">
        <v>2693</v>
      </c>
      <c r="AA6692" s="890">
        <f>$S$1*P!AA6692</f>
        <v>14.536000000000001</v>
      </c>
      <c r="AB6692" s="780"/>
      <c r="AC6692" s="780"/>
      <c r="AD6692" s="780"/>
      <c r="AE6692" s="780"/>
      <c r="AF6692" s="780"/>
    </row>
    <row r="6693" spans="19:32" x14ac:dyDescent="0.35">
      <c r="S6693" s="780"/>
      <c r="T6693" s="928"/>
      <c r="U6693" s="928"/>
      <c r="V6693" s="928"/>
      <c r="W6693" s="780"/>
      <c r="X6693" s="782">
        <v>6689</v>
      </c>
      <c r="Y6693" s="782" t="s">
        <v>2248</v>
      </c>
      <c r="Z6693" s="782" t="s">
        <v>2692</v>
      </c>
      <c r="AA6693" s="781">
        <f>$S$1*P!AA6693</f>
        <v>5.449596774193549E-4</v>
      </c>
      <c r="AB6693" s="780"/>
      <c r="AC6693" s="780"/>
      <c r="AD6693" s="780"/>
      <c r="AE6693" s="780"/>
      <c r="AF6693" s="780"/>
    </row>
    <row r="6694" spans="19:32" x14ac:dyDescent="0.35">
      <c r="S6694" s="780"/>
      <c r="T6694" s="928"/>
      <c r="U6694" s="928"/>
      <c r="V6694" s="928"/>
      <c r="W6694" s="780"/>
      <c r="X6694" s="881">
        <v>6690</v>
      </c>
      <c r="Y6694" s="881" t="s">
        <v>2248</v>
      </c>
      <c r="Z6694" s="881" t="s">
        <v>2586</v>
      </c>
      <c r="AA6694" s="890">
        <f>$S$1*P!AA6694</f>
        <v>1702</v>
      </c>
      <c r="AB6694" s="780"/>
      <c r="AC6694" s="780"/>
      <c r="AD6694" s="780"/>
      <c r="AE6694" s="780"/>
      <c r="AF6694" s="780"/>
    </row>
    <row r="6695" spans="19:32" x14ac:dyDescent="0.35">
      <c r="S6695" s="780"/>
      <c r="T6695" s="928"/>
      <c r="U6695" s="928"/>
      <c r="V6695" s="928"/>
      <c r="W6695" s="780"/>
      <c r="X6695" s="881">
        <v>6691</v>
      </c>
      <c r="Y6695" s="881" t="s">
        <v>2248</v>
      </c>
      <c r="Z6695" s="881" t="s">
        <v>2583</v>
      </c>
      <c r="AA6695" s="890">
        <f>$S$1*P!AA6695</f>
        <v>400.2</v>
      </c>
      <c r="AB6695" s="780"/>
      <c r="AC6695" s="780"/>
      <c r="AD6695" s="780"/>
      <c r="AE6695" s="780"/>
      <c r="AF6695" s="780"/>
    </row>
    <row r="6696" spans="19:32" x14ac:dyDescent="0.35">
      <c r="S6696" s="780"/>
      <c r="T6696" s="928"/>
      <c r="U6696" s="928"/>
      <c r="V6696" s="928"/>
      <c r="W6696" s="780"/>
      <c r="X6696" s="782">
        <v>6692</v>
      </c>
      <c r="Y6696" s="782" t="s">
        <v>2248</v>
      </c>
      <c r="Z6696" s="782" t="s">
        <v>2691</v>
      </c>
      <c r="AA6696" s="781">
        <f>$S$1*P!AA6696</f>
        <v>4.1471774193548392E-3</v>
      </c>
      <c r="AB6696" s="780"/>
      <c r="AC6696" s="780"/>
      <c r="AD6696" s="780"/>
      <c r="AE6696" s="780"/>
      <c r="AF6696" s="780"/>
    </row>
    <row r="6697" spans="19:32" x14ac:dyDescent="0.35">
      <c r="S6697" s="780"/>
      <c r="T6697" s="928"/>
      <c r="U6697" s="928"/>
      <c r="V6697" s="928"/>
      <c r="W6697" s="780"/>
      <c r="X6697" s="881">
        <v>6693</v>
      </c>
      <c r="Y6697" s="881" t="s">
        <v>2248</v>
      </c>
      <c r="Z6697" s="881" t="s">
        <v>2580</v>
      </c>
      <c r="AA6697" s="890">
        <f>$S$1*P!AA6697</f>
        <v>0.27507999999999999</v>
      </c>
      <c r="AB6697" s="780"/>
      <c r="AC6697" s="780"/>
      <c r="AD6697" s="780"/>
      <c r="AE6697" s="780"/>
      <c r="AF6697" s="780"/>
    </row>
    <row r="6698" spans="19:32" x14ac:dyDescent="0.35">
      <c r="S6698" s="780"/>
      <c r="T6698" s="928"/>
      <c r="U6698" s="928"/>
      <c r="V6698" s="928"/>
      <c r="W6698" s="780"/>
      <c r="X6698" s="782">
        <v>6694</v>
      </c>
      <c r="Y6698" s="782" t="s">
        <v>2248</v>
      </c>
      <c r="Z6698" s="782" t="s">
        <v>2690</v>
      </c>
      <c r="AA6698" s="781">
        <f>$S$1*P!AA6698</f>
        <v>1.3778225806451615E-5</v>
      </c>
      <c r="AB6698" s="780"/>
      <c r="AC6698" s="780"/>
      <c r="AD6698" s="780"/>
      <c r="AE6698" s="780"/>
      <c r="AF6698" s="780"/>
    </row>
    <row r="6699" spans="19:32" x14ac:dyDescent="0.35">
      <c r="S6699" s="780"/>
      <c r="T6699" s="928"/>
      <c r="U6699" s="928"/>
      <c r="V6699" s="928"/>
      <c r="W6699" s="780"/>
      <c r="X6699" s="881">
        <v>6695</v>
      </c>
      <c r="Y6699" s="881" t="s">
        <v>2248</v>
      </c>
      <c r="Z6699" s="881" t="s">
        <v>2689</v>
      </c>
      <c r="AA6699" s="890">
        <f>$S$1*P!AA6699</f>
        <v>228.16</v>
      </c>
      <c r="AB6699" s="780"/>
      <c r="AC6699" s="780"/>
      <c r="AD6699" s="780"/>
      <c r="AE6699" s="780"/>
      <c r="AF6699" s="780"/>
    </row>
    <row r="6700" spans="19:32" x14ac:dyDescent="0.35">
      <c r="S6700" s="780"/>
      <c r="T6700" s="928"/>
      <c r="U6700" s="928"/>
      <c r="V6700" s="928"/>
      <c r="W6700" s="780"/>
      <c r="X6700" s="881">
        <v>6696</v>
      </c>
      <c r="Y6700" s="881" t="s">
        <v>2248</v>
      </c>
      <c r="Z6700" s="881" t="s">
        <v>2688</v>
      </c>
      <c r="AA6700" s="890">
        <f>$S$1*P!AA6700</f>
        <v>0.78752</v>
      </c>
      <c r="AB6700" s="780"/>
      <c r="AC6700" s="780"/>
      <c r="AD6700" s="780"/>
      <c r="AE6700" s="780"/>
      <c r="AF6700" s="780"/>
    </row>
    <row r="6701" spans="19:32" x14ac:dyDescent="0.35">
      <c r="S6701" s="780"/>
      <c r="T6701" s="928"/>
      <c r="U6701" s="928"/>
      <c r="V6701" s="928"/>
      <c r="W6701" s="780"/>
      <c r="X6701" s="782">
        <v>6697</v>
      </c>
      <c r="Y6701" s="782" t="s">
        <v>2248</v>
      </c>
      <c r="Z6701" s="782" t="s">
        <v>2687</v>
      </c>
      <c r="AA6701" s="781">
        <f>$S$1*P!AA6701</f>
        <v>4.4213709677419358E-7</v>
      </c>
      <c r="AB6701" s="780"/>
      <c r="AC6701" s="780"/>
      <c r="AD6701" s="780"/>
      <c r="AE6701" s="780"/>
      <c r="AF6701" s="780"/>
    </row>
    <row r="6702" spans="19:32" x14ac:dyDescent="0.35">
      <c r="S6702" s="780"/>
      <c r="T6702" s="928"/>
      <c r="U6702" s="928"/>
      <c r="V6702" s="928"/>
      <c r="W6702" s="780"/>
      <c r="X6702" s="881">
        <v>6698</v>
      </c>
      <c r="Y6702" s="881" t="s">
        <v>2248</v>
      </c>
      <c r="Z6702" s="881" t="s">
        <v>2686</v>
      </c>
      <c r="AA6702" s="890">
        <f>$S$1*P!AA6702</f>
        <v>192.28</v>
      </c>
      <c r="AB6702" s="780"/>
      <c r="AC6702" s="780"/>
      <c r="AD6702" s="780"/>
      <c r="AE6702" s="780"/>
      <c r="AF6702" s="780"/>
    </row>
    <row r="6703" spans="19:32" x14ac:dyDescent="0.35">
      <c r="S6703" s="780"/>
      <c r="T6703" s="928"/>
      <c r="U6703" s="928"/>
      <c r="V6703" s="928"/>
      <c r="W6703" s="780"/>
      <c r="X6703" s="881">
        <v>6699</v>
      </c>
      <c r="Y6703" s="881" t="s">
        <v>2248</v>
      </c>
      <c r="Z6703" s="881" t="s">
        <v>2685</v>
      </c>
      <c r="AA6703" s="890">
        <f>$S$1*P!AA6703</f>
        <v>668.84</v>
      </c>
      <c r="AB6703" s="780"/>
      <c r="AC6703" s="780"/>
      <c r="AD6703" s="780"/>
      <c r="AE6703" s="780"/>
      <c r="AF6703" s="780"/>
    </row>
    <row r="6704" spans="19:32" x14ac:dyDescent="0.35">
      <c r="S6704" s="780"/>
      <c r="T6704" s="928"/>
      <c r="U6704" s="928"/>
      <c r="V6704" s="928"/>
      <c r="W6704" s="780"/>
      <c r="X6704" s="782">
        <v>6700</v>
      </c>
      <c r="Y6704" s="782" t="s">
        <v>2248</v>
      </c>
      <c r="Z6704" s="782" t="s">
        <v>2684</v>
      </c>
      <c r="AA6704" s="781">
        <f>$S$1*P!AA6704</f>
        <v>1.6725806451612904E-3</v>
      </c>
      <c r="AB6704" s="780"/>
      <c r="AC6704" s="780"/>
      <c r="AD6704" s="780"/>
      <c r="AE6704" s="780"/>
      <c r="AF6704" s="780"/>
    </row>
    <row r="6705" spans="19:32" x14ac:dyDescent="0.35">
      <c r="S6705" s="780"/>
      <c r="T6705" s="928"/>
      <c r="U6705" s="928"/>
      <c r="V6705" s="928"/>
      <c r="W6705" s="780"/>
      <c r="X6705" s="881">
        <v>6701</v>
      </c>
      <c r="Y6705" s="881" t="s">
        <v>2248</v>
      </c>
      <c r="Z6705" s="881" t="s">
        <v>2683</v>
      </c>
      <c r="AA6705" s="890">
        <f>$S$1*P!AA6705</f>
        <v>43.792000000000002</v>
      </c>
      <c r="AB6705" s="780"/>
      <c r="AC6705" s="780"/>
      <c r="AD6705" s="780"/>
      <c r="AE6705" s="780"/>
      <c r="AF6705" s="780"/>
    </row>
    <row r="6706" spans="19:32" x14ac:dyDescent="0.35">
      <c r="S6706" s="780"/>
      <c r="T6706" s="928"/>
      <c r="U6706" s="928"/>
      <c r="V6706" s="928"/>
      <c r="W6706" s="780"/>
      <c r="X6706" s="881">
        <v>6702</v>
      </c>
      <c r="Y6706" s="881" t="s">
        <v>2248</v>
      </c>
      <c r="Z6706" s="881" t="s">
        <v>2682</v>
      </c>
      <c r="AA6706" s="890">
        <f>$S$1*P!AA6706</f>
        <v>8.3260000000000005</v>
      </c>
      <c r="AB6706" s="780"/>
      <c r="AC6706" s="780"/>
      <c r="AD6706" s="780"/>
      <c r="AE6706" s="780"/>
      <c r="AF6706" s="780"/>
    </row>
    <row r="6707" spans="19:32" x14ac:dyDescent="0.35">
      <c r="S6707" s="780"/>
      <c r="T6707" s="928"/>
      <c r="U6707" s="928"/>
      <c r="V6707" s="928"/>
      <c r="W6707" s="780"/>
      <c r="X6707" s="782">
        <v>6703</v>
      </c>
      <c r="Y6707" s="782" t="s">
        <v>2248</v>
      </c>
      <c r="Z6707" s="782" t="s">
        <v>2681</v>
      </c>
      <c r="AA6707" s="781">
        <f>$S$1*P!AA6707</f>
        <v>1.3504032258064517E-4</v>
      </c>
      <c r="AB6707" s="780"/>
      <c r="AC6707" s="780"/>
      <c r="AD6707" s="780"/>
      <c r="AE6707" s="780"/>
      <c r="AF6707" s="780"/>
    </row>
    <row r="6708" spans="19:32" x14ac:dyDescent="0.35">
      <c r="S6708" s="780"/>
      <c r="T6708" s="928"/>
      <c r="U6708" s="928"/>
      <c r="V6708" s="928"/>
      <c r="W6708" s="780"/>
      <c r="X6708" s="881">
        <v>6704</v>
      </c>
      <c r="Y6708" s="881" t="s">
        <v>2248</v>
      </c>
      <c r="Z6708" s="881" t="s">
        <v>2680</v>
      </c>
      <c r="AA6708" s="890">
        <f>$S$1*P!AA6708</f>
        <v>66.975999999999999</v>
      </c>
      <c r="AB6708" s="780"/>
      <c r="AC6708" s="780"/>
      <c r="AD6708" s="780"/>
      <c r="AE6708" s="780"/>
      <c r="AF6708" s="780"/>
    </row>
    <row r="6709" spans="19:32" x14ac:dyDescent="0.35">
      <c r="S6709" s="780"/>
      <c r="T6709" s="928"/>
      <c r="U6709" s="928"/>
      <c r="V6709" s="928"/>
      <c r="W6709" s="780"/>
      <c r="X6709" s="881">
        <v>6705</v>
      </c>
      <c r="Y6709" s="881" t="s">
        <v>2248</v>
      </c>
      <c r="Z6709" s="881" t="s">
        <v>2578</v>
      </c>
      <c r="AA6709" s="890">
        <f>$S$1*P!AA6709</f>
        <v>455.4</v>
      </c>
      <c r="AB6709" s="780"/>
      <c r="AC6709" s="780"/>
      <c r="AD6709" s="780"/>
      <c r="AE6709" s="780"/>
      <c r="AF6709" s="780"/>
    </row>
    <row r="6710" spans="19:32" x14ac:dyDescent="0.35">
      <c r="S6710" s="780"/>
      <c r="T6710" s="928"/>
      <c r="U6710" s="928"/>
      <c r="V6710" s="928"/>
      <c r="W6710" s="780"/>
      <c r="X6710" s="782">
        <v>6706</v>
      </c>
      <c r="Y6710" s="782" t="s">
        <v>2248</v>
      </c>
      <c r="Z6710" s="782" t="s">
        <v>2679</v>
      </c>
      <c r="AA6710" s="781">
        <f>$S$1*P!AA6710</f>
        <v>1.5903225806451614E-3</v>
      </c>
      <c r="AB6710" s="780"/>
      <c r="AC6710" s="780"/>
      <c r="AD6710" s="780"/>
      <c r="AE6710" s="780"/>
      <c r="AF6710" s="780"/>
    </row>
    <row r="6711" spans="19:32" x14ac:dyDescent="0.35">
      <c r="S6711" s="780"/>
      <c r="T6711" s="928"/>
      <c r="U6711" s="928"/>
      <c r="V6711" s="928"/>
      <c r="W6711" s="780"/>
      <c r="X6711" s="881">
        <v>6707</v>
      </c>
      <c r="Y6711" s="881" t="s">
        <v>2248</v>
      </c>
      <c r="Z6711" s="881" t="s">
        <v>2678</v>
      </c>
      <c r="AA6711" s="890">
        <f>$S$1*P!AA6711</f>
        <v>0.10947999999999999</v>
      </c>
      <c r="AB6711" s="780"/>
      <c r="AC6711" s="780"/>
      <c r="AD6711" s="780"/>
      <c r="AE6711" s="780"/>
      <c r="AF6711" s="780"/>
    </row>
    <row r="6712" spans="19:32" x14ac:dyDescent="0.35">
      <c r="S6712" s="780"/>
      <c r="T6712" s="928"/>
      <c r="U6712" s="928"/>
      <c r="V6712" s="928"/>
      <c r="W6712" s="780"/>
      <c r="X6712" s="782">
        <v>6708</v>
      </c>
      <c r="Y6712" s="782" t="s">
        <v>2248</v>
      </c>
      <c r="Z6712" s="782" t="s">
        <v>2677</v>
      </c>
      <c r="AA6712" s="781">
        <f>$S$1*P!AA6712</f>
        <v>2.2997983870967745E-2</v>
      </c>
      <c r="AB6712" s="780"/>
      <c r="AC6712" s="780"/>
      <c r="AD6712" s="780"/>
      <c r="AE6712" s="780"/>
      <c r="AF6712" s="780"/>
    </row>
    <row r="6713" spans="19:32" x14ac:dyDescent="0.35">
      <c r="S6713" s="780"/>
      <c r="T6713" s="928"/>
      <c r="U6713" s="928"/>
      <c r="V6713" s="928"/>
      <c r="W6713" s="780"/>
      <c r="X6713" s="881">
        <v>6709</v>
      </c>
      <c r="Y6713" s="881" t="s">
        <v>2248</v>
      </c>
      <c r="Z6713" s="881" t="s">
        <v>2676</v>
      </c>
      <c r="AA6713" s="890">
        <f>$S$1*P!AA6713</f>
        <v>74.795999999999992</v>
      </c>
      <c r="AB6713" s="780"/>
      <c r="AC6713" s="780"/>
      <c r="AD6713" s="780"/>
      <c r="AE6713" s="780"/>
      <c r="AF6713" s="780"/>
    </row>
    <row r="6714" spans="19:32" x14ac:dyDescent="0.35">
      <c r="S6714" s="780"/>
      <c r="T6714" s="928"/>
      <c r="U6714" s="928"/>
      <c r="V6714" s="928"/>
      <c r="W6714" s="780"/>
      <c r="X6714" s="881">
        <v>6710</v>
      </c>
      <c r="Y6714" s="881" t="s">
        <v>2248</v>
      </c>
      <c r="Z6714" s="881" t="s">
        <v>2675</v>
      </c>
      <c r="AA6714" s="890">
        <f>$S$1*P!AA6714</f>
        <v>13.984</v>
      </c>
      <c r="AB6714" s="780"/>
      <c r="AC6714" s="780"/>
      <c r="AD6714" s="780"/>
      <c r="AE6714" s="780"/>
      <c r="AF6714" s="780"/>
    </row>
    <row r="6715" spans="19:32" x14ac:dyDescent="0.35">
      <c r="S6715" s="780"/>
      <c r="T6715" s="928"/>
      <c r="U6715" s="928"/>
      <c r="V6715" s="928"/>
      <c r="W6715" s="780"/>
      <c r="X6715" s="782">
        <v>6711</v>
      </c>
      <c r="Y6715" s="782" t="s">
        <v>2248</v>
      </c>
      <c r="Z6715" s="782" t="s">
        <v>2674</v>
      </c>
      <c r="AA6715" s="781">
        <f>$S$1*P!AA6715</f>
        <v>5.2096774193548392E-5</v>
      </c>
      <c r="AB6715" s="780"/>
      <c r="AC6715" s="780"/>
      <c r="AD6715" s="780"/>
      <c r="AE6715" s="780"/>
      <c r="AF6715" s="780"/>
    </row>
    <row r="6716" spans="19:32" x14ac:dyDescent="0.35">
      <c r="S6716" s="780"/>
      <c r="T6716" s="928"/>
      <c r="U6716" s="928"/>
      <c r="V6716" s="928"/>
      <c r="W6716" s="780"/>
      <c r="X6716" s="881">
        <v>6712</v>
      </c>
      <c r="Y6716" s="881" t="s">
        <v>2248</v>
      </c>
      <c r="Z6716" s="881" t="s">
        <v>2673</v>
      </c>
      <c r="AA6716" s="890">
        <f>$S$1*P!AA6716</f>
        <v>0</v>
      </c>
      <c r="AB6716" s="780"/>
      <c r="AC6716" s="780"/>
      <c r="AD6716" s="780"/>
      <c r="AE6716" s="780"/>
      <c r="AF6716" s="780"/>
    </row>
    <row r="6717" spans="19:32" x14ac:dyDescent="0.35">
      <c r="S6717" s="780"/>
      <c r="T6717" s="928"/>
      <c r="U6717" s="928"/>
      <c r="V6717" s="928"/>
      <c r="W6717" s="780"/>
      <c r="X6717" s="881">
        <v>6713</v>
      </c>
      <c r="Y6717" s="881" t="s">
        <v>2248</v>
      </c>
      <c r="Z6717" s="881" t="s">
        <v>2672</v>
      </c>
      <c r="AA6717" s="890">
        <f>$S$1*P!AA6717</f>
        <v>0</v>
      </c>
      <c r="AB6717" s="780"/>
      <c r="AC6717" s="780"/>
      <c r="AD6717" s="780"/>
      <c r="AE6717" s="780"/>
      <c r="AF6717" s="780"/>
    </row>
    <row r="6718" spans="19:32" x14ac:dyDescent="0.35">
      <c r="S6718" s="780"/>
      <c r="T6718" s="928"/>
      <c r="U6718" s="928"/>
      <c r="V6718" s="928"/>
      <c r="W6718" s="780"/>
      <c r="X6718" s="782">
        <v>6714</v>
      </c>
      <c r="Y6718" s="782" t="s">
        <v>2248</v>
      </c>
      <c r="Z6718" s="782" t="s">
        <v>2671</v>
      </c>
      <c r="AA6718" s="781">
        <f>$S$1*P!AA6718</f>
        <v>3.0161290322580652E-4</v>
      </c>
      <c r="AB6718" s="780"/>
      <c r="AC6718" s="780"/>
      <c r="AD6718" s="780"/>
      <c r="AE6718" s="780"/>
      <c r="AF6718" s="780"/>
    </row>
    <row r="6719" spans="19:32" x14ac:dyDescent="0.35">
      <c r="S6719" s="780"/>
      <c r="T6719" s="928"/>
      <c r="U6719" s="928"/>
      <c r="V6719" s="928"/>
      <c r="W6719" s="780"/>
      <c r="X6719" s="881">
        <v>6715</v>
      </c>
      <c r="Y6719" s="881" t="s">
        <v>2248</v>
      </c>
      <c r="Z6719" s="881" t="s">
        <v>2547</v>
      </c>
      <c r="AA6719" s="890">
        <f>$S$1*P!AA6719</f>
        <v>0</v>
      </c>
      <c r="AB6719" s="780"/>
      <c r="AC6719" s="780"/>
      <c r="AD6719" s="780"/>
      <c r="AE6719" s="780"/>
      <c r="AF6719" s="780"/>
    </row>
    <row r="6720" spans="19:32" x14ac:dyDescent="0.35">
      <c r="S6720" s="780"/>
      <c r="T6720" s="928"/>
      <c r="U6720" s="928"/>
      <c r="V6720" s="928"/>
      <c r="W6720" s="780"/>
      <c r="X6720" s="881">
        <v>6716</v>
      </c>
      <c r="Y6720" s="881" t="s">
        <v>2248</v>
      </c>
      <c r="Z6720" s="881" t="s">
        <v>2544</v>
      </c>
      <c r="AA6720" s="890">
        <f>$S$1*P!AA6720</f>
        <v>0</v>
      </c>
      <c r="AB6720" s="780"/>
      <c r="AC6720" s="780"/>
      <c r="AD6720" s="780"/>
      <c r="AE6720" s="780"/>
      <c r="AF6720" s="780"/>
    </row>
    <row r="6721" spans="19:32" x14ac:dyDescent="0.35">
      <c r="S6721" s="780"/>
      <c r="T6721" s="928"/>
      <c r="U6721" s="928"/>
      <c r="V6721" s="928"/>
      <c r="W6721" s="780"/>
      <c r="X6721" s="782">
        <v>6717</v>
      </c>
      <c r="Y6721" s="782" t="s">
        <v>2248</v>
      </c>
      <c r="Z6721" s="782" t="s">
        <v>2670</v>
      </c>
      <c r="AA6721" s="781">
        <f>$S$1*P!AA6721</f>
        <v>1.1550403225806453E-5</v>
      </c>
      <c r="AB6721" s="780"/>
      <c r="AC6721" s="780"/>
      <c r="AD6721" s="780"/>
      <c r="AE6721" s="780"/>
      <c r="AF6721" s="780"/>
    </row>
    <row r="6722" spans="19:32" x14ac:dyDescent="0.35">
      <c r="S6722" s="780"/>
      <c r="T6722" s="928"/>
      <c r="U6722" s="928"/>
      <c r="V6722" s="928"/>
      <c r="W6722" s="780"/>
      <c r="X6722" s="881">
        <v>6718</v>
      </c>
      <c r="Y6722" s="881" t="s">
        <v>2248</v>
      </c>
      <c r="Z6722" s="881" t="s">
        <v>2669</v>
      </c>
      <c r="AA6722" s="890">
        <f>$S$1*P!AA6722</f>
        <v>0.23275999999999999</v>
      </c>
      <c r="AB6722" s="780"/>
      <c r="AC6722" s="780"/>
      <c r="AD6722" s="780"/>
      <c r="AE6722" s="780"/>
      <c r="AF6722" s="780"/>
    </row>
    <row r="6723" spans="19:32" x14ac:dyDescent="0.35">
      <c r="S6723" s="780"/>
      <c r="T6723" s="928"/>
      <c r="U6723" s="928"/>
      <c r="V6723" s="928"/>
      <c r="W6723" s="780"/>
      <c r="X6723" s="782">
        <v>6719</v>
      </c>
      <c r="Y6723" s="782" t="s">
        <v>2248</v>
      </c>
      <c r="Z6723" s="782" t="s">
        <v>2668</v>
      </c>
      <c r="AA6723" s="781">
        <f>$S$1*P!AA6723</f>
        <v>7.0947580645161289E-5</v>
      </c>
      <c r="AB6723" s="780"/>
      <c r="AC6723" s="780"/>
      <c r="AD6723" s="780"/>
      <c r="AE6723" s="780"/>
      <c r="AF6723" s="780"/>
    </row>
    <row r="6724" spans="19:32" x14ac:dyDescent="0.35">
      <c r="S6724" s="780"/>
      <c r="T6724" s="928"/>
      <c r="U6724" s="928"/>
      <c r="V6724" s="928"/>
      <c r="W6724" s="780"/>
      <c r="X6724" s="881">
        <v>6720</v>
      </c>
      <c r="Y6724" s="881" t="s">
        <v>2248</v>
      </c>
      <c r="Z6724" s="881" t="s">
        <v>2536</v>
      </c>
      <c r="AA6724" s="890">
        <f>$S$1*P!AA6724</f>
        <v>3.0543999999999998</v>
      </c>
      <c r="AB6724" s="780"/>
      <c r="AC6724" s="780"/>
      <c r="AD6724" s="780"/>
      <c r="AE6724" s="780"/>
      <c r="AF6724" s="780"/>
    </row>
    <row r="6725" spans="19:32" x14ac:dyDescent="0.35">
      <c r="S6725" s="780"/>
      <c r="T6725" s="928"/>
      <c r="U6725" s="928"/>
      <c r="V6725" s="928"/>
      <c r="W6725" s="780"/>
      <c r="X6725" s="881">
        <v>6721</v>
      </c>
      <c r="Y6725" s="881" t="s">
        <v>2248</v>
      </c>
      <c r="Z6725" s="881" t="s">
        <v>2667</v>
      </c>
      <c r="AA6725" s="890">
        <f>$S$1*P!AA6725</f>
        <v>0</v>
      </c>
      <c r="AB6725" s="780"/>
      <c r="AC6725" s="780"/>
      <c r="AD6725" s="780"/>
      <c r="AE6725" s="780"/>
      <c r="AF6725" s="780"/>
    </row>
    <row r="6726" spans="19:32" x14ac:dyDescent="0.35">
      <c r="S6726" s="780"/>
      <c r="T6726" s="928"/>
      <c r="U6726" s="928"/>
      <c r="V6726" s="928"/>
      <c r="W6726" s="780"/>
      <c r="X6726" s="782">
        <v>6722</v>
      </c>
      <c r="Y6726" s="782" t="s">
        <v>2248</v>
      </c>
      <c r="Z6726" s="782" t="s">
        <v>2666</v>
      </c>
      <c r="AA6726" s="781">
        <f>$S$1*P!AA6726</f>
        <v>3.0983870967741937E-4</v>
      </c>
      <c r="AB6726" s="780"/>
      <c r="AC6726" s="780"/>
      <c r="AD6726" s="780"/>
      <c r="AE6726" s="780"/>
      <c r="AF6726" s="780"/>
    </row>
    <row r="6727" spans="19:32" x14ac:dyDescent="0.35">
      <c r="S6727" s="780"/>
      <c r="T6727" s="928"/>
      <c r="U6727" s="928"/>
      <c r="V6727" s="928"/>
      <c r="W6727" s="780"/>
      <c r="X6727" s="881">
        <v>6723</v>
      </c>
      <c r="Y6727" s="881" t="s">
        <v>2248</v>
      </c>
      <c r="Z6727" s="881" t="s">
        <v>2516</v>
      </c>
      <c r="AA6727" s="890">
        <f>$S$1*P!AA6727</f>
        <v>0</v>
      </c>
      <c r="AB6727" s="780"/>
      <c r="AC6727" s="780"/>
      <c r="AD6727" s="780"/>
      <c r="AE6727" s="780"/>
      <c r="AF6727" s="780"/>
    </row>
    <row r="6728" spans="19:32" x14ac:dyDescent="0.35">
      <c r="S6728" s="780"/>
      <c r="T6728" s="928"/>
      <c r="U6728" s="928"/>
      <c r="V6728" s="928"/>
      <c r="W6728" s="780"/>
      <c r="X6728" s="881">
        <v>6724</v>
      </c>
      <c r="Y6728" s="881" t="s">
        <v>2248</v>
      </c>
      <c r="Z6728" s="881" t="s">
        <v>2665</v>
      </c>
      <c r="AA6728" s="890">
        <f>$S$1*P!AA6728</f>
        <v>9200</v>
      </c>
      <c r="AB6728" s="780"/>
      <c r="AC6728" s="780"/>
      <c r="AD6728" s="780"/>
      <c r="AE6728" s="780"/>
      <c r="AF6728" s="780"/>
    </row>
    <row r="6729" spans="19:32" x14ac:dyDescent="0.35">
      <c r="S6729" s="780"/>
      <c r="T6729" s="928"/>
      <c r="U6729" s="928"/>
      <c r="V6729" s="928"/>
      <c r="W6729" s="780"/>
      <c r="X6729" s="782">
        <v>6725</v>
      </c>
      <c r="Y6729" s="782" t="s">
        <v>2248</v>
      </c>
      <c r="Z6729" s="782" t="s">
        <v>2664</v>
      </c>
      <c r="AA6729" s="781">
        <f>$S$1*P!AA6729</f>
        <v>5.175403225806452E-3</v>
      </c>
      <c r="AB6729" s="780"/>
      <c r="AC6729" s="780"/>
      <c r="AD6729" s="780"/>
      <c r="AE6729" s="780"/>
      <c r="AF6729" s="780"/>
    </row>
    <row r="6730" spans="19:32" x14ac:dyDescent="0.35">
      <c r="S6730" s="780"/>
      <c r="T6730" s="928"/>
      <c r="U6730" s="928"/>
      <c r="V6730" s="928"/>
      <c r="W6730" s="780"/>
      <c r="X6730" s="881">
        <v>6726</v>
      </c>
      <c r="Y6730" s="881" t="s">
        <v>2248</v>
      </c>
      <c r="Z6730" s="881" t="s">
        <v>2663</v>
      </c>
      <c r="AA6730" s="890">
        <f>$S$1*P!AA6730</f>
        <v>0</v>
      </c>
      <c r="AB6730" s="780"/>
      <c r="AC6730" s="780"/>
      <c r="AD6730" s="780"/>
      <c r="AE6730" s="780"/>
      <c r="AF6730" s="780"/>
    </row>
    <row r="6731" spans="19:32" x14ac:dyDescent="0.35">
      <c r="S6731" s="780"/>
      <c r="T6731" s="928"/>
      <c r="U6731" s="928"/>
      <c r="V6731" s="928"/>
      <c r="W6731" s="780"/>
      <c r="X6731" s="881">
        <v>6727</v>
      </c>
      <c r="Y6731" s="881" t="s">
        <v>2248</v>
      </c>
      <c r="Z6731" s="881" t="s">
        <v>2662</v>
      </c>
      <c r="AA6731" s="890">
        <f>$S$1*P!AA6731</f>
        <v>0.14443999999999999</v>
      </c>
      <c r="AB6731" s="780"/>
      <c r="AC6731" s="780"/>
      <c r="AD6731" s="780"/>
      <c r="AE6731" s="780"/>
      <c r="AF6731" s="780"/>
    </row>
    <row r="6732" spans="19:32" x14ac:dyDescent="0.35">
      <c r="S6732" s="780"/>
      <c r="T6732" s="928"/>
      <c r="U6732" s="928"/>
      <c r="V6732" s="928"/>
      <c r="W6732" s="780"/>
      <c r="X6732" s="782">
        <v>6728</v>
      </c>
      <c r="Y6732" s="782" t="s">
        <v>2248</v>
      </c>
      <c r="Z6732" s="782" t="s">
        <v>2661</v>
      </c>
      <c r="AA6732" s="781">
        <f>$S$1*P!AA6732</f>
        <v>1.7548387096774195E-2</v>
      </c>
      <c r="AB6732" s="780"/>
      <c r="AC6732" s="780"/>
      <c r="AD6732" s="780"/>
      <c r="AE6732" s="780"/>
      <c r="AF6732" s="780"/>
    </row>
    <row r="6733" spans="19:32" x14ac:dyDescent="0.35">
      <c r="S6733" s="780"/>
      <c r="T6733" s="928"/>
      <c r="U6733" s="928"/>
      <c r="V6733" s="928"/>
      <c r="W6733" s="780"/>
      <c r="X6733" s="881">
        <v>6729</v>
      </c>
      <c r="Y6733" s="881" t="s">
        <v>2248</v>
      </c>
      <c r="Z6733" s="881" t="s">
        <v>2660</v>
      </c>
      <c r="AA6733" s="890">
        <f>$S$1*P!AA6733</f>
        <v>0.63663999999999998</v>
      </c>
      <c r="AB6733" s="780"/>
      <c r="AC6733" s="780"/>
      <c r="AD6733" s="780"/>
      <c r="AE6733" s="780"/>
      <c r="AF6733" s="780"/>
    </row>
    <row r="6734" spans="19:32" x14ac:dyDescent="0.35">
      <c r="S6734" s="780"/>
      <c r="T6734" s="928"/>
      <c r="U6734" s="928"/>
      <c r="V6734" s="928"/>
      <c r="W6734" s="780"/>
      <c r="X6734" s="881">
        <v>6730</v>
      </c>
      <c r="Y6734" s="881" t="s">
        <v>2248</v>
      </c>
      <c r="Z6734" s="881" t="s">
        <v>2659</v>
      </c>
      <c r="AA6734" s="890">
        <f>$S$1*P!AA6734</f>
        <v>0.36155999999999999</v>
      </c>
      <c r="AB6734" s="780"/>
      <c r="AC6734" s="780"/>
      <c r="AD6734" s="780"/>
      <c r="AE6734" s="780"/>
      <c r="AF6734" s="780"/>
    </row>
    <row r="6735" spans="19:32" x14ac:dyDescent="0.35">
      <c r="S6735" s="780"/>
      <c r="T6735" s="928"/>
      <c r="U6735" s="928"/>
      <c r="V6735" s="928"/>
      <c r="W6735" s="780"/>
      <c r="X6735" s="782">
        <v>6731</v>
      </c>
      <c r="Y6735" s="782" t="s">
        <v>2248</v>
      </c>
      <c r="Z6735" s="782" t="s">
        <v>2658</v>
      </c>
      <c r="AA6735" s="781">
        <f>$S$1*P!AA6735</f>
        <v>3.3108870967741937E-4</v>
      </c>
      <c r="AB6735" s="780"/>
      <c r="AC6735" s="780"/>
      <c r="AD6735" s="780"/>
      <c r="AE6735" s="780"/>
      <c r="AF6735" s="780"/>
    </row>
    <row r="6736" spans="19:32" x14ac:dyDescent="0.35">
      <c r="S6736" s="780"/>
      <c r="T6736" s="928"/>
      <c r="U6736" s="928"/>
      <c r="V6736" s="928"/>
      <c r="W6736" s="780"/>
      <c r="X6736" s="881">
        <v>6732</v>
      </c>
      <c r="Y6736" s="881" t="s">
        <v>2248</v>
      </c>
      <c r="Z6736" s="881" t="s">
        <v>2657</v>
      </c>
      <c r="AA6736" s="890">
        <f>$S$1*P!AA6736</f>
        <v>1.6836E-2</v>
      </c>
      <c r="AB6736" s="780"/>
      <c r="AC6736" s="780"/>
      <c r="AD6736" s="780"/>
      <c r="AE6736" s="780"/>
      <c r="AF6736" s="780"/>
    </row>
    <row r="6737" spans="19:32" x14ac:dyDescent="0.35">
      <c r="S6737" s="780"/>
      <c r="T6737" s="928"/>
      <c r="U6737" s="928"/>
      <c r="V6737" s="928"/>
      <c r="W6737" s="780"/>
      <c r="X6737" s="782">
        <v>6733</v>
      </c>
      <c r="Y6737" s="782" t="s">
        <v>2248</v>
      </c>
      <c r="Z6737" s="782" t="s">
        <v>2656</v>
      </c>
      <c r="AA6737" s="781">
        <f>$S$1*P!AA6737</f>
        <v>1.6211693548387098E-6</v>
      </c>
      <c r="AB6737" s="780"/>
      <c r="AC6737" s="780"/>
      <c r="AD6737" s="780"/>
      <c r="AE6737" s="780"/>
      <c r="AF6737" s="780"/>
    </row>
    <row r="6738" spans="19:32" x14ac:dyDescent="0.35">
      <c r="S6738" s="780"/>
      <c r="T6738" s="928"/>
      <c r="U6738" s="928"/>
      <c r="V6738" s="928"/>
      <c r="W6738" s="780"/>
      <c r="X6738" s="881">
        <v>6734</v>
      </c>
      <c r="Y6738" s="881" t="s">
        <v>2248</v>
      </c>
      <c r="Z6738" s="881" t="s">
        <v>2655</v>
      </c>
      <c r="AA6738" s="890">
        <f>$S$1*P!AA6738</f>
        <v>0.63295999999999997</v>
      </c>
      <c r="AB6738" s="780"/>
      <c r="AC6738" s="780"/>
      <c r="AD6738" s="780"/>
      <c r="AE6738" s="780"/>
      <c r="AF6738" s="780"/>
    </row>
    <row r="6739" spans="19:32" x14ac:dyDescent="0.35">
      <c r="S6739" s="780"/>
      <c r="T6739" s="928"/>
      <c r="U6739" s="928"/>
      <c r="V6739" s="928"/>
      <c r="W6739" s="780"/>
      <c r="X6739" s="881">
        <v>6735</v>
      </c>
      <c r="Y6739" s="881" t="s">
        <v>2248</v>
      </c>
      <c r="Z6739" s="881" t="s">
        <v>2654</v>
      </c>
      <c r="AA6739" s="890">
        <f>$S$1*P!AA6739</f>
        <v>2.8428</v>
      </c>
      <c r="AB6739" s="780"/>
      <c r="AC6739" s="780"/>
      <c r="AD6739" s="780"/>
      <c r="AE6739" s="780"/>
      <c r="AF6739" s="780"/>
    </row>
    <row r="6740" spans="19:32" x14ac:dyDescent="0.35">
      <c r="S6740" s="780"/>
      <c r="T6740" s="928"/>
      <c r="U6740" s="928"/>
      <c r="V6740" s="928"/>
      <c r="W6740" s="780"/>
      <c r="X6740" s="782">
        <v>6736</v>
      </c>
      <c r="Y6740" s="782" t="s">
        <v>2248</v>
      </c>
      <c r="Z6740" s="782" t="s">
        <v>2653</v>
      </c>
      <c r="AA6740" s="781">
        <f>$S$1*P!AA6740</f>
        <v>5.278225806451613</v>
      </c>
      <c r="AB6740" s="780"/>
      <c r="AC6740" s="780"/>
      <c r="AD6740" s="780"/>
      <c r="AE6740" s="780"/>
      <c r="AF6740" s="780"/>
    </row>
    <row r="6741" spans="19:32" x14ac:dyDescent="0.35">
      <c r="S6741" s="780"/>
      <c r="T6741" s="928"/>
      <c r="U6741" s="928"/>
      <c r="V6741" s="928"/>
      <c r="W6741" s="780"/>
      <c r="X6741" s="881">
        <v>6737</v>
      </c>
      <c r="Y6741" s="881" t="s">
        <v>2248</v>
      </c>
      <c r="Z6741" s="881" t="s">
        <v>2652</v>
      </c>
      <c r="AA6741" s="890">
        <f>$S$1*P!AA6741</f>
        <v>22.815999999999999</v>
      </c>
      <c r="AB6741" s="780"/>
      <c r="AC6741" s="780"/>
      <c r="AD6741" s="780"/>
      <c r="AE6741" s="780"/>
      <c r="AF6741" s="780"/>
    </row>
    <row r="6742" spans="19:32" x14ac:dyDescent="0.35">
      <c r="S6742" s="780"/>
      <c r="T6742" s="928"/>
      <c r="U6742" s="928"/>
      <c r="V6742" s="928"/>
      <c r="W6742" s="780"/>
      <c r="X6742" s="881">
        <v>6738</v>
      </c>
      <c r="Y6742" s="881" t="s">
        <v>2248</v>
      </c>
      <c r="Z6742" s="881" t="s">
        <v>2651</v>
      </c>
      <c r="AA6742" s="890">
        <f>$S$1*P!AA6742</f>
        <v>6.6055999999999999</v>
      </c>
      <c r="AB6742" s="780"/>
      <c r="AC6742" s="780"/>
      <c r="AD6742" s="780"/>
      <c r="AE6742" s="780"/>
      <c r="AF6742" s="780"/>
    </row>
    <row r="6743" spans="19:32" x14ac:dyDescent="0.35">
      <c r="S6743" s="780"/>
      <c r="T6743" s="928"/>
      <c r="U6743" s="928"/>
      <c r="V6743" s="928"/>
      <c r="W6743" s="780"/>
      <c r="X6743" s="782">
        <v>6739</v>
      </c>
      <c r="Y6743" s="782" t="s">
        <v>2248</v>
      </c>
      <c r="Z6743" s="782" t="s">
        <v>2650</v>
      </c>
      <c r="AA6743" s="781">
        <f>$S$1*P!AA6743</f>
        <v>0.2080443548387097</v>
      </c>
      <c r="AB6743" s="780"/>
      <c r="AC6743" s="780"/>
      <c r="AD6743" s="780"/>
      <c r="AE6743" s="780"/>
      <c r="AF6743" s="780"/>
    </row>
    <row r="6744" spans="19:32" x14ac:dyDescent="0.35">
      <c r="S6744" s="780"/>
      <c r="T6744" s="928"/>
      <c r="U6744" s="928"/>
      <c r="V6744" s="928"/>
      <c r="W6744" s="780"/>
      <c r="X6744" s="881">
        <v>6740</v>
      </c>
      <c r="Y6744" s="881" t="s">
        <v>2248</v>
      </c>
      <c r="Z6744" s="881" t="s">
        <v>2413</v>
      </c>
      <c r="AA6744" s="890">
        <f>$S$1*P!AA6744</f>
        <v>0</v>
      </c>
      <c r="AB6744" s="780"/>
      <c r="AC6744" s="780"/>
      <c r="AD6744" s="780"/>
      <c r="AE6744" s="780"/>
      <c r="AF6744" s="780"/>
    </row>
    <row r="6745" spans="19:32" x14ac:dyDescent="0.35">
      <c r="S6745" s="780"/>
      <c r="T6745" s="928"/>
      <c r="U6745" s="928"/>
      <c r="V6745" s="928"/>
      <c r="W6745" s="780"/>
      <c r="X6745" s="881">
        <v>6741</v>
      </c>
      <c r="Y6745" s="881" t="s">
        <v>2248</v>
      </c>
      <c r="Z6745" s="881" t="s">
        <v>2649</v>
      </c>
      <c r="AA6745" s="890">
        <f>$S$1*P!AA6745</f>
        <v>3.9836</v>
      </c>
      <c r="AB6745" s="780"/>
      <c r="AC6745" s="780"/>
      <c r="AD6745" s="780"/>
      <c r="AE6745" s="780"/>
      <c r="AF6745" s="780"/>
    </row>
    <row r="6746" spans="19:32" x14ac:dyDescent="0.35">
      <c r="S6746" s="780"/>
      <c r="T6746" s="928"/>
      <c r="U6746" s="928"/>
      <c r="V6746" s="928"/>
      <c r="W6746" s="780"/>
      <c r="X6746" s="782">
        <v>6742</v>
      </c>
      <c r="Y6746" s="782" t="s">
        <v>2248</v>
      </c>
      <c r="Z6746" s="782" t="s">
        <v>2648</v>
      </c>
      <c r="AA6746" s="781">
        <f>$S$1*P!AA6746</f>
        <v>2.244959677419355</v>
      </c>
      <c r="AB6746" s="780"/>
      <c r="AC6746" s="780"/>
      <c r="AD6746" s="780"/>
      <c r="AE6746" s="780"/>
      <c r="AF6746" s="780"/>
    </row>
    <row r="6747" spans="19:32" x14ac:dyDescent="0.35">
      <c r="S6747" s="780"/>
      <c r="T6747" s="928"/>
      <c r="U6747" s="928"/>
      <c r="V6747" s="928"/>
      <c r="W6747" s="780"/>
      <c r="X6747" s="881">
        <v>6743</v>
      </c>
      <c r="Y6747" s="881" t="s">
        <v>2248</v>
      </c>
      <c r="Z6747" s="881" t="s">
        <v>2647</v>
      </c>
      <c r="AA6747" s="890">
        <f>$S$1*P!AA6747</f>
        <v>0.43332000000000004</v>
      </c>
      <c r="AB6747" s="780"/>
      <c r="AC6747" s="780"/>
      <c r="AD6747" s="780"/>
      <c r="AE6747" s="780"/>
      <c r="AF6747" s="780"/>
    </row>
    <row r="6748" spans="19:32" x14ac:dyDescent="0.35">
      <c r="S6748" s="780"/>
      <c r="T6748" s="928"/>
      <c r="U6748" s="928"/>
      <c r="V6748" s="928"/>
      <c r="W6748" s="780"/>
      <c r="X6748" s="782">
        <v>6744</v>
      </c>
      <c r="Y6748" s="782" t="s">
        <v>2248</v>
      </c>
      <c r="Z6748" s="782" t="s">
        <v>2646</v>
      </c>
      <c r="AA6748" s="781">
        <f>$S$1*P!AA6748</f>
        <v>2.210685483870968E-3</v>
      </c>
      <c r="AB6748" s="780"/>
      <c r="AC6748" s="780"/>
      <c r="AD6748" s="780"/>
      <c r="AE6748" s="780"/>
      <c r="AF6748" s="780"/>
    </row>
    <row r="6749" spans="19:32" x14ac:dyDescent="0.35">
      <c r="S6749" s="780"/>
      <c r="T6749" s="928"/>
      <c r="U6749" s="928"/>
      <c r="V6749" s="928"/>
      <c r="W6749" s="780"/>
      <c r="X6749" s="881">
        <v>6745</v>
      </c>
      <c r="Y6749" s="881" t="s">
        <v>2248</v>
      </c>
      <c r="Z6749" s="881" t="s">
        <v>2645</v>
      </c>
      <c r="AA6749" s="890">
        <f>$S$1*P!AA6749</f>
        <v>1.5548</v>
      </c>
      <c r="AB6749" s="780"/>
      <c r="AC6749" s="780"/>
      <c r="AD6749" s="780"/>
      <c r="AE6749" s="780"/>
      <c r="AF6749" s="780"/>
    </row>
    <row r="6750" spans="19:32" x14ac:dyDescent="0.35">
      <c r="S6750" s="780"/>
      <c r="T6750" s="928"/>
      <c r="U6750" s="928"/>
      <c r="V6750" s="928"/>
      <c r="W6750" s="780"/>
      <c r="X6750" s="881">
        <v>6746</v>
      </c>
      <c r="Y6750" s="881" t="s">
        <v>2248</v>
      </c>
      <c r="Z6750" s="881" t="s">
        <v>2405</v>
      </c>
      <c r="AA6750" s="890">
        <f>$S$1*P!AA6750</f>
        <v>0.25024000000000002</v>
      </c>
      <c r="AB6750" s="780"/>
      <c r="AC6750" s="780"/>
      <c r="AD6750" s="780"/>
      <c r="AE6750" s="780"/>
      <c r="AF6750" s="780"/>
    </row>
    <row r="6751" spans="19:32" x14ac:dyDescent="0.35">
      <c r="S6751" s="780"/>
      <c r="T6751" s="928"/>
      <c r="U6751" s="928"/>
      <c r="V6751" s="928"/>
      <c r="W6751" s="780"/>
      <c r="X6751" s="782">
        <v>6747</v>
      </c>
      <c r="Y6751" s="782" t="s">
        <v>2248</v>
      </c>
      <c r="Z6751" s="782" t="s">
        <v>2644</v>
      </c>
      <c r="AA6751" s="781">
        <f>$S$1*P!AA6751</f>
        <v>0.93568548387096784</v>
      </c>
      <c r="AB6751" s="780"/>
      <c r="AC6751" s="780"/>
      <c r="AD6751" s="780"/>
      <c r="AE6751" s="780"/>
      <c r="AF6751" s="780"/>
    </row>
    <row r="6752" spans="19:32" x14ac:dyDescent="0.35">
      <c r="S6752" s="780"/>
      <c r="T6752" s="928"/>
      <c r="U6752" s="928"/>
      <c r="V6752" s="928"/>
      <c r="W6752" s="780"/>
      <c r="X6752" s="881">
        <v>6748</v>
      </c>
      <c r="Y6752" s="881" t="s">
        <v>2248</v>
      </c>
      <c r="Z6752" s="881" t="s">
        <v>2402</v>
      </c>
      <c r="AA6752" s="890">
        <f>$S$1*P!AA6752</f>
        <v>0.64400000000000002</v>
      </c>
      <c r="AB6752" s="780"/>
      <c r="AC6752" s="780"/>
      <c r="AD6752" s="780"/>
      <c r="AE6752" s="780"/>
      <c r="AF6752" s="780"/>
    </row>
    <row r="6753" spans="19:32" x14ac:dyDescent="0.35">
      <c r="S6753" s="780"/>
      <c r="T6753" s="928"/>
      <c r="U6753" s="928"/>
      <c r="V6753" s="928"/>
      <c r="W6753" s="780"/>
      <c r="X6753" s="881">
        <v>6749</v>
      </c>
      <c r="Y6753" s="881" t="s">
        <v>2248</v>
      </c>
      <c r="Z6753" s="881" t="s">
        <v>2397</v>
      </c>
      <c r="AA6753" s="890">
        <f>$S$1*P!AA6753</f>
        <v>0.81511999999999996</v>
      </c>
      <c r="AB6753" s="780"/>
      <c r="AC6753" s="780"/>
      <c r="AD6753" s="780"/>
      <c r="AE6753" s="780"/>
      <c r="AF6753" s="780"/>
    </row>
    <row r="6754" spans="19:32" x14ac:dyDescent="0.35">
      <c r="S6754" s="780"/>
      <c r="T6754" s="928"/>
      <c r="U6754" s="928"/>
      <c r="V6754" s="928"/>
      <c r="W6754" s="780"/>
      <c r="X6754" s="782">
        <v>6750</v>
      </c>
      <c r="Y6754" s="782" t="s">
        <v>2248</v>
      </c>
      <c r="Z6754" s="782" t="s">
        <v>2643</v>
      </c>
      <c r="AA6754" s="781">
        <f>$S$1*P!AA6754</f>
        <v>1.2578629032258065E-5</v>
      </c>
      <c r="AB6754" s="780"/>
      <c r="AC6754" s="780"/>
      <c r="AD6754" s="780"/>
      <c r="AE6754" s="780"/>
      <c r="AF6754" s="780"/>
    </row>
    <row r="6755" spans="19:32" x14ac:dyDescent="0.35">
      <c r="S6755" s="780"/>
      <c r="T6755" s="928"/>
      <c r="U6755" s="928"/>
      <c r="V6755" s="928"/>
      <c r="W6755" s="780"/>
      <c r="X6755" s="881">
        <v>6751</v>
      </c>
      <c r="Y6755" s="881" t="s">
        <v>2248</v>
      </c>
      <c r="Z6755" s="881" t="s">
        <v>2642</v>
      </c>
      <c r="AA6755" s="890">
        <f>$S$1*P!AA6755</f>
        <v>0.98439999999999994</v>
      </c>
      <c r="AB6755" s="780"/>
      <c r="AC6755" s="780"/>
      <c r="AD6755" s="780"/>
      <c r="AE6755" s="780"/>
      <c r="AF6755" s="780"/>
    </row>
    <row r="6756" spans="19:32" x14ac:dyDescent="0.35">
      <c r="S6756" s="780"/>
      <c r="T6756" s="928"/>
      <c r="U6756" s="928"/>
      <c r="V6756" s="928"/>
      <c r="W6756" s="780"/>
      <c r="X6756" s="881">
        <v>6752</v>
      </c>
      <c r="Y6756" s="881" t="s">
        <v>2248</v>
      </c>
      <c r="Z6756" s="881" t="s">
        <v>2641</v>
      </c>
      <c r="AA6756" s="890">
        <f>$S$1*P!AA6756</f>
        <v>0</v>
      </c>
      <c r="AB6756" s="780"/>
      <c r="AC6756" s="780"/>
      <c r="AD6756" s="780"/>
      <c r="AE6756" s="780"/>
      <c r="AF6756" s="780"/>
    </row>
    <row r="6757" spans="19:32" x14ac:dyDescent="0.35">
      <c r="S6757" s="780"/>
      <c r="T6757" s="928"/>
      <c r="U6757" s="928"/>
      <c r="V6757" s="928"/>
      <c r="W6757" s="780"/>
      <c r="X6757" s="782">
        <v>6753</v>
      </c>
      <c r="Y6757" s="782" t="s">
        <v>2248</v>
      </c>
      <c r="Z6757" s="782" t="s">
        <v>2640</v>
      </c>
      <c r="AA6757" s="781">
        <f>$S$1*P!AA6757</f>
        <v>7.7459677419354847E-2</v>
      </c>
      <c r="AB6757" s="780"/>
      <c r="AC6757" s="780"/>
      <c r="AD6757" s="780"/>
      <c r="AE6757" s="780"/>
      <c r="AF6757" s="780"/>
    </row>
    <row r="6758" spans="19:32" x14ac:dyDescent="0.35">
      <c r="S6758" s="780"/>
      <c r="T6758" s="928"/>
      <c r="U6758" s="928"/>
      <c r="V6758" s="928"/>
      <c r="W6758" s="780"/>
      <c r="X6758" s="881">
        <v>6754</v>
      </c>
      <c r="Y6758" s="881" t="s">
        <v>2248</v>
      </c>
      <c r="Z6758" s="881" t="s">
        <v>2341</v>
      </c>
      <c r="AA6758" s="890">
        <f>$S$1*P!AA6758</f>
        <v>0</v>
      </c>
      <c r="AB6758" s="780"/>
      <c r="AC6758" s="780"/>
      <c r="AD6758" s="780"/>
      <c r="AE6758" s="780"/>
      <c r="AF6758" s="780"/>
    </row>
    <row r="6759" spans="19:32" x14ac:dyDescent="0.35">
      <c r="S6759" s="780"/>
      <c r="T6759" s="928"/>
      <c r="U6759" s="928"/>
      <c r="V6759" s="928"/>
      <c r="W6759" s="780"/>
      <c r="X6759" s="881">
        <v>6755</v>
      </c>
      <c r="Y6759" s="881" t="s">
        <v>2248</v>
      </c>
      <c r="Z6759" s="881" t="s">
        <v>2339</v>
      </c>
      <c r="AA6759" s="890">
        <f>$S$1*P!AA6759</f>
        <v>0</v>
      </c>
      <c r="AB6759" s="780"/>
      <c r="AC6759" s="780"/>
      <c r="AD6759" s="780"/>
      <c r="AE6759" s="780"/>
      <c r="AF6759" s="780"/>
    </row>
    <row r="6760" spans="19:32" x14ac:dyDescent="0.35">
      <c r="S6760" s="780"/>
      <c r="T6760" s="928"/>
      <c r="U6760" s="928"/>
      <c r="V6760" s="928"/>
      <c r="W6760" s="780"/>
      <c r="X6760" s="782">
        <v>6756</v>
      </c>
      <c r="Y6760" s="782" t="s">
        <v>2248</v>
      </c>
      <c r="Z6760" s="782" t="s">
        <v>2639</v>
      </c>
      <c r="AA6760" s="781">
        <f>$S$1*P!AA6760</f>
        <v>3.804435483870968E-4</v>
      </c>
      <c r="AB6760" s="780"/>
      <c r="AC6760" s="780"/>
      <c r="AD6760" s="780"/>
      <c r="AE6760" s="780"/>
      <c r="AF6760" s="780"/>
    </row>
    <row r="6761" spans="19:32" x14ac:dyDescent="0.35">
      <c r="S6761" s="780"/>
      <c r="T6761" s="928"/>
      <c r="U6761" s="928"/>
      <c r="V6761" s="928"/>
      <c r="W6761" s="780"/>
      <c r="X6761" s="881">
        <v>6757</v>
      </c>
      <c r="Y6761" s="881" t="s">
        <v>2248</v>
      </c>
      <c r="Z6761" s="881" t="s">
        <v>2638</v>
      </c>
      <c r="AA6761" s="890">
        <f>$S$1*P!AA6761</f>
        <v>0</v>
      </c>
      <c r="AB6761" s="780"/>
      <c r="AC6761" s="780"/>
      <c r="AD6761" s="780"/>
      <c r="AE6761" s="780"/>
      <c r="AF6761" s="780"/>
    </row>
    <row r="6762" spans="19:32" x14ac:dyDescent="0.35">
      <c r="S6762" s="780"/>
      <c r="T6762" s="928"/>
      <c r="U6762" s="928"/>
      <c r="V6762" s="928"/>
      <c r="W6762" s="780"/>
      <c r="X6762" s="782">
        <v>6758</v>
      </c>
      <c r="Y6762" s="782" t="s">
        <v>2248</v>
      </c>
      <c r="Z6762" s="782" t="s">
        <v>2637</v>
      </c>
      <c r="AA6762" s="781">
        <f>$S$1*P!AA6762</f>
        <v>2.1421370967741937E-2</v>
      </c>
      <c r="AB6762" s="780"/>
      <c r="AC6762" s="780"/>
      <c r="AD6762" s="780"/>
      <c r="AE6762" s="780"/>
      <c r="AF6762" s="780"/>
    </row>
    <row r="6763" spans="19:32" x14ac:dyDescent="0.35">
      <c r="S6763" s="780"/>
      <c r="T6763" s="928"/>
      <c r="U6763" s="928"/>
      <c r="V6763" s="928"/>
      <c r="W6763" s="780"/>
      <c r="X6763" s="881">
        <v>6759</v>
      </c>
      <c r="Y6763" s="881" t="s">
        <v>2248</v>
      </c>
      <c r="Z6763" s="881" t="s">
        <v>2636</v>
      </c>
      <c r="AA6763" s="890">
        <f>$S$1*P!AA6763</f>
        <v>0.51703999999999994</v>
      </c>
      <c r="AB6763" s="780"/>
      <c r="AC6763" s="780"/>
      <c r="AD6763" s="780"/>
      <c r="AE6763" s="780"/>
      <c r="AF6763" s="780"/>
    </row>
    <row r="6764" spans="19:32" x14ac:dyDescent="0.35">
      <c r="S6764" s="780"/>
      <c r="T6764" s="928"/>
      <c r="U6764" s="928"/>
      <c r="V6764" s="928"/>
      <c r="W6764" s="780"/>
      <c r="X6764" s="881">
        <v>6760</v>
      </c>
      <c r="Y6764" s="881" t="s">
        <v>2248</v>
      </c>
      <c r="Z6764" s="881" t="s">
        <v>2306</v>
      </c>
      <c r="AA6764" s="890">
        <f>$S$1*P!AA6764</f>
        <v>0</v>
      </c>
      <c r="AB6764" s="780"/>
      <c r="AC6764" s="780"/>
      <c r="AD6764" s="780"/>
      <c r="AE6764" s="780"/>
      <c r="AF6764" s="780"/>
    </row>
    <row r="6765" spans="19:32" x14ac:dyDescent="0.35">
      <c r="S6765" s="780"/>
      <c r="T6765" s="928"/>
      <c r="U6765" s="928"/>
      <c r="V6765" s="928"/>
      <c r="W6765" s="780"/>
      <c r="X6765" s="782">
        <v>6761</v>
      </c>
      <c r="Y6765" s="782" t="s">
        <v>2248</v>
      </c>
      <c r="Z6765" s="782" t="s">
        <v>2635</v>
      </c>
      <c r="AA6765" s="781">
        <f>$S$1*P!AA6765</f>
        <v>1.5491935483870969E-3</v>
      </c>
      <c r="AB6765" s="780"/>
      <c r="AC6765" s="780"/>
      <c r="AD6765" s="780"/>
      <c r="AE6765" s="780"/>
      <c r="AF6765" s="780"/>
    </row>
    <row r="6766" spans="19:32" x14ac:dyDescent="0.35">
      <c r="S6766" s="780"/>
      <c r="T6766" s="928"/>
      <c r="U6766" s="928"/>
      <c r="V6766" s="928"/>
      <c r="W6766" s="780"/>
      <c r="X6766" s="881">
        <v>6762</v>
      </c>
      <c r="Y6766" s="881" t="s">
        <v>2248</v>
      </c>
      <c r="Z6766" s="881" t="s">
        <v>2275</v>
      </c>
      <c r="AA6766" s="890">
        <f>$S$1*P!AA6766</f>
        <v>0</v>
      </c>
      <c r="AB6766" s="780"/>
      <c r="AC6766" s="780"/>
      <c r="AD6766" s="780"/>
      <c r="AE6766" s="780"/>
      <c r="AF6766" s="780"/>
    </row>
    <row r="6767" spans="19:32" x14ac:dyDescent="0.35">
      <c r="S6767" s="780"/>
      <c r="T6767" s="928"/>
      <c r="U6767" s="928"/>
      <c r="V6767" s="928"/>
      <c r="W6767" s="780"/>
      <c r="X6767" s="881">
        <v>6763</v>
      </c>
      <c r="Y6767" s="881" t="s">
        <v>2248</v>
      </c>
      <c r="Z6767" s="881" t="s">
        <v>2634</v>
      </c>
      <c r="AA6767" s="890">
        <f>$S$1*P!AA6767</f>
        <v>1.6468E-2</v>
      </c>
      <c r="AB6767" s="780"/>
      <c r="AC6767" s="780"/>
      <c r="AD6767" s="780"/>
      <c r="AE6767" s="780"/>
      <c r="AF6767" s="780"/>
    </row>
    <row r="6768" spans="19:32" x14ac:dyDescent="0.35">
      <c r="S6768" s="780"/>
      <c r="T6768" s="928"/>
      <c r="U6768" s="928"/>
      <c r="V6768" s="928"/>
      <c r="W6768" s="780"/>
      <c r="X6768" s="782">
        <v>6764</v>
      </c>
      <c r="Y6768" s="782" t="s">
        <v>2248</v>
      </c>
      <c r="Z6768" s="782" t="s">
        <v>2633</v>
      </c>
      <c r="AA6768" s="781">
        <f>$S$1*P!AA6768</f>
        <v>7.5403225806451623E-4</v>
      </c>
      <c r="AB6768" s="780"/>
      <c r="AC6768" s="780"/>
      <c r="AD6768" s="780"/>
      <c r="AE6768" s="780"/>
      <c r="AF6768" s="780"/>
    </row>
    <row r="6769" spans="19:32" x14ac:dyDescent="0.35">
      <c r="S6769" s="780"/>
      <c r="T6769" s="928"/>
      <c r="U6769" s="928"/>
      <c r="V6769" s="928"/>
      <c r="W6769" s="780"/>
      <c r="X6769" s="881">
        <v>6765</v>
      </c>
      <c r="Y6769" s="881" t="s">
        <v>2248</v>
      </c>
      <c r="Z6769" s="881" t="s">
        <v>2632</v>
      </c>
      <c r="AA6769" s="890">
        <f>$S$1*P!AA6769</f>
        <v>0</v>
      </c>
      <c r="AB6769" s="780"/>
      <c r="AC6769" s="780"/>
      <c r="AD6769" s="780"/>
      <c r="AE6769" s="780"/>
      <c r="AF6769" s="780"/>
    </row>
    <row r="6770" spans="19:32" x14ac:dyDescent="0.35">
      <c r="S6770" s="780"/>
      <c r="T6770" s="928"/>
      <c r="U6770" s="928"/>
      <c r="V6770" s="928"/>
      <c r="W6770" s="780"/>
      <c r="X6770" s="881">
        <v>6766</v>
      </c>
      <c r="Y6770" s="881" t="s">
        <v>2248</v>
      </c>
      <c r="Z6770" s="881" t="s">
        <v>2631</v>
      </c>
      <c r="AA6770" s="890">
        <f>$S$1*P!AA6770</f>
        <v>39.008000000000003</v>
      </c>
      <c r="AB6770" s="780"/>
      <c r="AC6770" s="780"/>
      <c r="AD6770" s="780"/>
      <c r="AE6770" s="780"/>
      <c r="AF6770" s="780"/>
    </row>
    <row r="6771" spans="19:32" x14ac:dyDescent="0.35">
      <c r="S6771" s="780"/>
      <c r="T6771" s="928"/>
      <c r="U6771" s="928"/>
      <c r="V6771" s="928"/>
      <c r="W6771" s="780"/>
      <c r="X6771" s="782">
        <v>6767</v>
      </c>
      <c r="Y6771" s="782" t="s">
        <v>2248</v>
      </c>
      <c r="Z6771" s="782" t="s">
        <v>2630</v>
      </c>
      <c r="AA6771" s="781">
        <f>$S$1*P!AA6771</f>
        <v>3.7701612903225808E-3</v>
      </c>
      <c r="AB6771" s="780"/>
      <c r="AC6771" s="780"/>
      <c r="AD6771" s="780"/>
      <c r="AE6771" s="780"/>
      <c r="AF6771" s="780"/>
    </row>
    <row r="6772" spans="19:32" x14ac:dyDescent="0.35">
      <c r="S6772" s="780"/>
      <c r="T6772" s="928"/>
      <c r="U6772" s="928"/>
      <c r="V6772" s="928"/>
      <c r="W6772" s="780"/>
      <c r="X6772" s="881">
        <v>6768</v>
      </c>
      <c r="Y6772" s="881" t="s">
        <v>2248</v>
      </c>
      <c r="Z6772" s="881" t="s">
        <v>2629</v>
      </c>
      <c r="AA6772" s="890">
        <f>$S$1*P!AA6772</f>
        <v>5.0231999999999999E-2</v>
      </c>
      <c r="AB6772" s="780"/>
      <c r="AC6772" s="780"/>
      <c r="AD6772" s="780"/>
      <c r="AE6772" s="780"/>
      <c r="AF6772" s="780"/>
    </row>
    <row r="6773" spans="19:32" x14ac:dyDescent="0.35">
      <c r="S6773" s="780"/>
      <c r="T6773" s="928"/>
      <c r="U6773" s="928"/>
      <c r="V6773" s="928"/>
      <c r="W6773" s="780"/>
      <c r="X6773" s="782">
        <v>6769</v>
      </c>
      <c r="Y6773" s="782" t="s">
        <v>2248</v>
      </c>
      <c r="Z6773" s="782" t="s">
        <v>2628</v>
      </c>
      <c r="AA6773" s="781">
        <f>$S$1*P!AA6773</f>
        <v>3.9758064516129036E-4</v>
      </c>
      <c r="AB6773" s="780"/>
      <c r="AC6773" s="780"/>
      <c r="AD6773" s="780"/>
      <c r="AE6773" s="780"/>
      <c r="AF6773" s="780"/>
    </row>
    <row r="6774" spans="19:32" x14ac:dyDescent="0.35">
      <c r="S6774" s="780"/>
      <c r="T6774" s="928"/>
      <c r="U6774" s="928"/>
      <c r="V6774" s="928"/>
      <c r="W6774" s="780"/>
      <c r="X6774" s="881">
        <v>6770</v>
      </c>
      <c r="Y6774" s="881" t="s">
        <v>2248</v>
      </c>
      <c r="Z6774" s="881" t="s">
        <v>2627</v>
      </c>
      <c r="AA6774" s="890">
        <f>$S$1*P!AA6774</f>
        <v>0.97520000000000007</v>
      </c>
      <c r="AB6774" s="780"/>
      <c r="AC6774" s="780"/>
      <c r="AD6774" s="780"/>
      <c r="AE6774" s="780"/>
      <c r="AF6774" s="780"/>
    </row>
    <row r="6775" spans="19:32" x14ac:dyDescent="0.35">
      <c r="S6775" s="780"/>
      <c r="T6775" s="928"/>
      <c r="U6775" s="928"/>
      <c r="V6775" s="928"/>
      <c r="W6775" s="780"/>
      <c r="X6775" s="881">
        <v>6771</v>
      </c>
      <c r="Y6775" s="881" t="s">
        <v>2248</v>
      </c>
      <c r="Z6775" s="881" t="s">
        <v>2626</v>
      </c>
      <c r="AA6775" s="890">
        <f>$S$1*P!AA6775</f>
        <v>2.6496</v>
      </c>
      <c r="AB6775" s="780"/>
      <c r="AC6775" s="780"/>
      <c r="AD6775" s="780"/>
      <c r="AE6775" s="780"/>
      <c r="AF6775" s="780"/>
    </row>
    <row r="6776" spans="19:32" x14ac:dyDescent="0.35">
      <c r="S6776" s="780"/>
      <c r="T6776" s="928"/>
      <c r="U6776" s="928"/>
      <c r="V6776" s="928"/>
      <c r="W6776" s="780"/>
      <c r="X6776" s="782">
        <v>6772</v>
      </c>
      <c r="Y6776" s="782" t="s">
        <v>2248</v>
      </c>
      <c r="Z6776" s="782" t="s">
        <v>2625</v>
      </c>
      <c r="AA6776" s="781">
        <f>$S$1*P!AA6776</f>
        <v>4.6270161290322583E-3</v>
      </c>
      <c r="AB6776" s="780"/>
      <c r="AC6776" s="780"/>
      <c r="AD6776" s="780"/>
      <c r="AE6776" s="780"/>
      <c r="AF6776" s="780"/>
    </row>
    <row r="6777" spans="19:32" x14ac:dyDescent="0.35">
      <c r="S6777" s="780"/>
      <c r="T6777" s="928"/>
      <c r="U6777" s="928"/>
      <c r="V6777" s="928"/>
      <c r="W6777" s="780"/>
      <c r="X6777" s="881">
        <v>6773</v>
      </c>
      <c r="Y6777" s="881" t="s">
        <v>2248</v>
      </c>
      <c r="Z6777" s="881" t="s">
        <v>2624</v>
      </c>
      <c r="AA6777" s="890">
        <f>$S$1*P!AA6777</f>
        <v>0</v>
      </c>
      <c r="AB6777" s="780"/>
      <c r="AC6777" s="780"/>
      <c r="AD6777" s="780"/>
      <c r="AE6777" s="780"/>
      <c r="AF6777" s="780"/>
    </row>
    <row r="6778" spans="19:32" x14ac:dyDescent="0.35">
      <c r="S6778" s="780"/>
      <c r="T6778" s="928"/>
      <c r="U6778" s="928"/>
      <c r="V6778" s="928"/>
      <c r="W6778" s="780"/>
      <c r="X6778" s="881">
        <v>6774</v>
      </c>
      <c r="Y6778" s="881" t="s">
        <v>2248</v>
      </c>
      <c r="Z6778" s="881" t="s">
        <v>2623</v>
      </c>
      <c r="AA6778" s="890">
        <f>$S$1*P!AA6778</f>
        <v>0</v>
      </c>
      <c r="AB6778" s="780"/>
      <c r="AC6778" s="780"/>
      <c r="AD6778" s="780"/>
      <c r="AE6778" s="780"/>
      <c r="AF6778" s="780"/>
    </row>
    <row r="6779" spans="19:32" x14ac:dyDescent="0.35">
      <c r="S6779" s="780"/>
      <c r="T6779" s="928"/>
      <c r="U6779" s="928"/>
      <c r="V6779" s="928"/>
      <c r="W6779" s="780"/>
      <c r="X6779" s="782">
        <v>6775</v>
      </c>
      <c r="Y6779" s="782" t="s">
        <v>2248</v>
      </c>
      <c r="Z6779" s="782" t="s">
        <v>2622</v>
      </c>
      <c r="AA6779" s="781">
        <f>$S$1*P!AA6779</f>
        <v>5.4838709677419362E-5</v>
      </c>
      <c r="AB6779" s="780"/>
      <c r="AC6779" s="780"/>
      <c r="AD6779" s="780"/>
      <c r="AE6779" s="780"/>
      <c r="AF6779" s="780"/>
    </row>
    <row r="6780" spans="19:32" x14ac:dyDescent="0.35">
      <c r="S6780" s="780"/>
      <c r="T6780" s="928"/>
      <c r="U6780" s="928"/>
      <c r="V6780" s="928"/>
      <c r="W6780" s="780"/>
      <c r="X6780" s="881">
        <v>6776</v>
      </c>
      <c r="Y6780" s="881" t="s">
        <v>2248</v>
      </c>
      <c r="Z6780" s="881" t="s">
        <v>2621</v>
      </c>
      <c r="AA6780" s="890">
        <f>$S$1*P!AA6780</f>
        <v>14.719999999999999</v>
      </c>
      <c r="AB6780" s="780"/>
      <c r="AC6780" s="780"/>
      <c r="AD6780" s="780"/>
      <c r="AE6780" s="780"/>
      <c r="AF6780" s="780"/>
    </row>
    <row r="6781" spans="19:32" x14ac:dyDescent="0.35">
      <c r="S6781" s="780"/>
      <c r="T6781" s="928"/>
      <c r="U6781" s="928"/>
      <c r="V6781" s="928"/>
      <c r="W6781" s="780"/>
      <c r="X6781" s="881">
        <v>6777</v>
      </c>
      <c r="Y6781" s="881" t="s">
        <v>2248</v>
      </c>
      <c r="Z6781" s="881" t="s">
        <v>2620</v>
      </c>
      <c r="AA6781" s="890">
        <f>$S$1*P!AA6781</f>
        <v>0</v>
      </c>
      <c r="AB6781" s="780"/>
      <c r="AC6781" s="780"/>
      <c r="AD6781" s="780"/>
      <c r="AE6781" s="780"/>
      <c r="AF6781" s="780"/>
    </row>
    <row r="6782" spans="19:32" x14ac:dyDescent="0.35">
      <c r="S6782" s="780"/>
      <c r="T6782" s="928"/>
      <c r="U6782" s="928"/>
      <c r="V6782" s="928"/>
      <c r="W6782" s="780"/>
      <c r="X6782" s="782">
        <v>6778</v>
      </c>
      <c r="Y6782" s="782" t="s">
        <v>2248</v>
      </c>
      <c r="Z6782" s="782" t="s">
        <v>2619</v>
      </c>
      <c r="AA6782" s="781">
        <f>$S$1*P!AA6782</f>
        <v>3.7701612903225809E-2</v>
      </c>
      <c r="AB6782" s="780"/>
      <c r="AC6782" s="780"/>
      <c r="AD6782" s="780"/>
      <c r="AE6782" s="780"/>
      <c r="AF6782" s="780"/>
    </row>
    <row r="6783" spans="19:32" x14ac:dyDescent="0.35">
      <c r="S6783" s="780"/>
      <c r="T6783" s="928"/>
      <c r="U6783" s="928"/>
      <c r="V6783" s="928"/>
      <c r="W6783" s="780"/>
      <c r="X6783" s="881">
        <v>6779</v>
      </c>
      <c r="Y6783" s="881" t="s">
        <v>2248</v>
      </c>
      <c r="Z6783" s="881" t="s">
        <v>2618</v>
      </c>
      <c r="AA6783" s="890">
        <f>$S$1*P!AA6783</f>
        <v>0</v>
      </c>
      <c r="AB6783" s="780"/>
      <c r="AC6783" s="780"/>
      <c r="AD6783" s="780"/>
      <c r="AE6783" s="780"/>
      <c r="AF6783" s="780"/>
    </row>
    <row r="6784" spans="19:32" x14ac:dyDescent="0.35">
      <c r="S6784" s="780"/>
      <c r="T6784" s="928"/>
      <c r="U6784" s="928"/>
      <c r="V6784" s="928"/>
      <c r="W6784" s="780"/>
      <c r="X6784" s="881">
        <v>6780</v>
      </c>
      <c r="Y6784" s="881" t="s">
        <v>2248</v>
      </c>
      <c r="Z6784" s="881" t="s">
        <v>2617</v>
      </c>
      <c r="AA6784" s="890">
        <f>$S$1*P!AA6784</f>
        <v>0.253</v>
      </c>
      <c r="AB6784" s="780"/>
      <c r="AC6784" s="780"/>
      <c r="AD6784" s="780"/>
      <c r="AE6784" s="780"/>
      <c r="AF6784" s="780"/>
    </row>
    <row r="6785" spans="19:32" x14ac:dyDescent="0.35">
      <c r="S6785" s="780"/>
      <c r="T6785" s="928"/>
      <c r="U6785" s="928"/>
      <c r="V6785" s="928"/>
      <c r="W6785" s="780"/>
      <c r="X6785" s="782">
        <v>6781</v>
      </c>
      <c r="Y6785" s="782" t="s">
        <v>2248</v>
      </c>
      <c r="Z6785" s="782" t="s">
        <v>2616</v>
      </c>
      <c r="AA6785" s="781">
        <f>$S$1*P!AA6785</f>
        <v>2.0838709677419357E-4</v>
      </c>
      <c r="AB6785" s="780"/>
      <c r="AC6785" s="780"/>
      <c r="AD6785" s="780"/>
      <c r="AE6785" s="780"/>
      <c r="AF6785" s="780"/>
    </row>
    <row r="6786" spans="19:32" x14ac:dyDescent="0.35">
      <c r="S6786" s="780"/>
      <c r="T6786" s="928"/>
      <c r="U6786" s="928"/>
      <c r="V6786" s="928"/>
      <c r="W6786" s="780"/>
      <c r="X6786" s="881">
        <v>6782</v>
      </c>
      <c r="Y6786" s="881" t="s">
        <v>2248</v>
      </c>
      <c r="Z6786" s="881" t="s">
        <v>2615</v>
      </c>
      <c r="AA6786" s="890">
        <f>$S$1*P!AA6786</f>
        <v>0.55936000000000008</v>
      </c>
      <c r="AB6786" s="780"/>
      <c r="AC6786" s="780"/>
      <c r="AD6786" s="780"/>
      <c r="AE6786" s="780"/>
      <c r="AF6786" s="780"/>
    </row>
    <row r="6787" spans="19:32" x14ac:dyDescent="0.35">
      <c r="S6787" s="780"/>
      <c r="T6787" s="928"/>
      <c r="U6787" s="928"/>
      <c r="V6787" s="928"/>
      <c r="W6787" s="780"/>
      <c r="X6787" s="782">
        <v>6783</v>
      </c>
      <c r="Y6787" s="782" t="s">
        <v>2248</v>
      </c>
      <c r="Z6787" s="782" t="s">
        <v>2614</v>
      </c>
      <c r="AA6787" s="781">
        <f>$S$1*P!AA6787</f>
        <v>9.2197580645161301E-3</v>
      </c>
      <c r="AB6787" s="780"/>
      <c r="AC6787" s="780"/>
      <c r="AD6787" s="780"/>
      <c r="AE6787" s="780"/>
      <c r="AF6787" s="780"/>
    </row>
    <row r="6788" spans="19:32" x14ac:dyDescent="0.35">
      <c r="S6788" s="780"/>
      <c r="T6788" s="928"/>
      <c r="U6788" s="928"/>
      <c r="V6788" s="928"/>
      <c r="W6788" s="780"/>
      <c r="X6788" s="881">
        <v>6784</v>
      </c>
      <c r="Y6788" s="881" t="s">
        <v>2248</v>
      </c>
      <c r="Z6788" s="881" t="s">
        <v>2613</v>
      </c>
      <c r="AA6788" s="890">
        <f>$S$1*P!AA6788</f>
        <v>0</v>
      </c>
      <c r="AB6788" s="780"/>
      <c r="AC6788" s="780"/>
      <c r="AD6788" s="780"/>
      <c r="AE6788" s="780"/>
      <c r="AF6788" s="780"/>
    </row>
    <row r="6789" spans="19:32" x14ac:dyDescent="0.35">
      <c r="S6789" s="780"/>
      <c r="T6789" s="928"/>
      <c r="U6789" s="928"/>
      <c r="V6789" s="928"/>
      <c r="W6789" s="780"/>
      <c r="X6789" s="881">
        <v>6785</v>
      </c>
      <c r="Y6789" s="881" t="s">
        <v>2248</v>
      </c>
      <c r="Z6789" s="881" t="s">
        <v>2612</v>
      </c>
      <c r="AA6789" s="890">
        <f>$S$1*P!AA6789</f>
        <v>0</v>
      </c>
      <c r="AB6789" s="780"/>
      <c r="AC6789" s="780"/>
      <c r="AD6789" s="780"/>
      <c r="AE6789" s="780"/>
      <c r="AF6789" s="780"/>
    </row>
    <row r="6790" spans="19:32" x14ac:dyDescent="0.35">
      <c r="S6790" s="780"/>
      <c r="T6790" s="928"/>
      <c r="U6790" s="928"/>
      <c r="V6790" s="928"/>
      <c r="W6790" s="780"/>
      <c r="X6790" s="782">
        <v>6786</v>
      </c>
      <c r="Y6790" s="782" t="s">
        <v>2248</v>
      </c>
      <c r="Z6790" s="782" t="s">
        <v>2611</v>
      </c>
      <c r="AA6790" s="781">
        <f>$S$1*P!AA6790</f>
        <v>1.8028225806451614E-3</v>
      </c>
      <c r="AB6790" s="780"/>
      <c r="AC6790" s="780"/>
      <c r="AD6790" s="780"/>
      <c r="AE6790" s="780"/>
      <c r="AF6790" s="780"/>
    </row>
    <row r="6791" spans="19:32" x14ac:dyDescent="0.35">
      <c r="S6791" s="780"/>
      <c r="T6791" s="928"/>
      <c r="U6791" s="928"/>
      <c r="V6791" s="928"/>
      <c r="W6791" s="780"/>
      <c r="X6791" s="881">
        <v>6787</v>
      </c>
      <c r="Y6791" s="881" t="s">
        <v>2248</v>
      </c>
      <c r="Z6791" s="881" t="s">
        <v>2610</v>
      </c>
      <c r="AA6791" s="890">
        <f>$S$1*P!AA6791</f>
        <v>0.12052</v>
      </c>
      <c r="AB6791" s="780"/>
      <c r="AC6791" s="780"/>
      <c r="AD6791" s="780"/>
      <c r="AE6791" s="780"/>
      <c r="AF6791" s="780"/>
    </row>
    <row r="6792" spans="19:32" x14ac:dyDescent="0.35">
      <c r="S6792" s="780"/>
      <c r="T6792" s="928"/>
      <c r="U6792" s="928"/>
      <c r="V6792" s="928"/>
      <c r="W6792" s="780"/>
      <c r="X6792" s="881">
        <v>6788</v>
      </c>
      <c r="Y6792" s="881" t="s">
        <v>2248</v>
      </c>
      <c r="Z6792" s="881" t="s">
        <v>2609</v>
      </c>
      <c r="AA6792" s="890">
        <f>$S$1*P!AA6792</f>
        <v>8.6756E-2</v>
      </c>
      <c r="AB6792" s="780"/>
      <c r="AC6792" s="780"/>
      <c r="AD6792" s="780"/>
      <c r="AE6792" s="780"/>
      <c r="AF6792" s="780"/>
    </row>
    <row r="6793" spans="19:32" x14ac:dyDescent="0.35">
      <c r="S6793" s="780"/>
      <c r="T6793" s="928"/>
      <c r="U6793" s="928"/>
      <c r="V6793" s="928"/>
      <c r="W6793" s="780"/>
      <c r="X6793" s="782">
        <v>6789</v>
      </c>
      <c r="Y6793" s="782" t="s">
        <v>2248</v>
      </c>
      <c r="Z6793" s="782" t="s">
        <v>2608</v>
      </c>
      <c r="AA6793" s="781">
        <f>$S$1*P!AA6793</f>
        <v>2.765927419354839E-2</v>
      </c>
      <c r="AB6793" s="780"/>
      <c r="AC6793" s="780"/>
      <c r="AD6793" s="780"/>
      <c r="AE6793" s="780"/>
      <c r="AF6793" s="780"/>
    </row>
    <row r="6794" spans="19:32" x14ac:dyDescent="0.35">
      <c r="S6794" s="780"/>
      <c r="T6794" s="928"/>
      <c r="U6794" s="928"/>
      <c r="V6794" s="928"/>
      <c r="W6794" s="780"/>
      <c r="X6794" s="881">
        <v>6790</v>
      </c>
      <c r="Y6794" s="881" t="s">
        <v>2248</v>
      </c>
      <c r="Z6794" s="881" t="s">
        <v>2607</v>
      </c>
      <c r="AA6794" s="890">
        <f>$S$1*P!AA6794</f>
        <v>0.72496000000000005</v>
      </c>
      <c r="AB6794" s="780"/>
      <c r="AC6794" s="780"/>
      <c r="AD6794" s="780"/>
      <c r="AE6794" s="780"/>
      <c r="AF6794" s="780"/>
    </row>
    <row r="6795" spans="19:32" x14ac:dyDescent="0.35">
      <c r="S6795" s="780"/>
      <c r="T6795" s="928"/>
      <c r="U6795" s="928"/>
      <c r="V6795" s="928"/>
      <c r="W6795" s="780"/>
      <c r="X6795" s="881">
        <v>6791</v>
      </c>
      <c r="Y6795" s="881" t="s">
        <v>2248</v>
      </c>
      <c r="Z6795" s="881" t="s">
        <v>2606</v>
      </c>
      <c r="AA6795" s="890">
        <f>$S$1*P!AA6795</f>
        <v>0</v>
      </c>
      <c r="AB6795" s="780"/>
      <c r="AC6795" s="780"/>
      <c r="AD6795" s="780"/>
      <c r="AE6795" s="780"/>
      <c r="AF6795" s="780"/>
    </row>
    <row r="6796" spans="19:32" x14ac:dyDescent="0.35">
      <c r="S6796" s="780"/>
      <c r="T6796" s="928"/>
      <c r="U6796" s="928"/>
      <c r="V6796" s="928"/>
      <c r="W6796" s="780"/>
      <c r="X6796" s="782">
        <v>6792</v>
      </c>
      <c r="Y6796" s="782" t="s">
        <v>2248</v>
      </c>
      <c r="Z6796" s="782" t="s">
        <v>2605</v>
      </c>
      <c r="AA6796" s="781">
        <f>$S$1*P!AA6796</f>
        <v>1.4395161290322582E-2</v>
      </c>
      <c r="AB6796" s="780"/>
      <c r="AC6796" s="780"/>
      <c r="AD6796" s="780"/>
      <c r="AE6796" s="780"/>
      <c r="AF6796" s="780"/>
    </row>
    <row r="6797" spans="19:32" x14ac:dyDescent="0.35">
      <c r="S6797" s="780"/>
      <c r="T6797" s="928"/>
      <c r="U6797" s="928"/>
      <c r="V6797" s="928"/>
      <c r="W6797" s="780"/>
      <c r="X6797" s="881">
        <v>6793</v>
      </c>
      <c r="Y6797" s="881" t="s">
        <v>2248</v>
      </c>
      <c r="Z6797" s="881" t="s">
        <v>2604</v>
      </c>
      <c r="AA6797" s="890">
        <f>$S$1*P!AA6797</f>
        <v>6.5504000000000007E-2</v>
      </c>
      <c r="AB6797" s="780"/>
      <c r="AC6797" s="780"/>
      <c r="AD6797" s="780"/>
      <c r="AE6797" s="780"/>
      <c r="AF6797" s="780"/>
    </row>
    <row r="6798" spans="19:32" x14ac:dyDescent="0.35">
      <c r="S6798" s="780"/>
      <c r="T6798" s="928"/>
      <c r="U6798" s="928"/>
      <c r="V6798" s="928"/>
      <c r="W6798" s="780"/>
      <c r="X6798" s="782">
        <v>6794</v>
      </c>
      <c r="Y6798" s="782" t="s">
        <v>2248</v>
      </c>
      <c r="Z6798" s="782" t="s">
        <v>2603</v>
      </c>
      <c r="AA6798" s="781">
        <f>$S$1*P!AA6798</f>
        <v>0.57923387096774193</v>
      </c>
      <c r="AB6798" s="780"/>
      <c r="AC6798" s="780"/>
      <c r="AD6798" s="780"/>
      <c r="AE6798" s="780"/>
      <c r="AF6798" s="780"/>
    </row>
    <row r="6799" spans="19:32" x14ac:dyDescent="0.35">
      <c r="S6799" s="780"/>
      <c r="T6799" s="928"/>
      <c r="U6799" s="928"/>
      <c r="V6799" s="928"/>
      <c r="W6799" s="780"/>
      <c r="X6799" s="881">
        <v>6795</v>
      </c>
      <c r="Y6799" s="881" t="s">
        <v>2248</v>
      </c>
      <c r="Z6799" s="881" t="s">
        <v>2602</v>
      </c>
      <c r="AA6799" s="890">
        <f>$S$1*P!AA6799</f>
        <v>13.34</v>
      </c>
      <c r="AB6799" s="780"/>
      <c r="AC6799" s="780"/>
      <c r="AD6799" s="780"/>
      <c r="AE6799" s="780"/>
      <c r="AF6799" s="780"/>
    </row>
    <row r="6800" spans="19:32" x14ac:dyDescent="0.35">
      <c r="S6800" s="780"/>
      <c r="T6800" s="928"/>
      <c r="U6800" s="928"/>
      <c r="V6800" s="928"/>
      <c r="W6800" s="780"/>
      <c r="X6800" s="881">
        <v>6796</v>
      </c>
      <c r="Y6800" s="881" t="s">
        <v>2248</v>
      </c>
      <c r="Z6800" s="881" t="s">
        <v>2601</v>
      </c>
      <c r="AA6800" s="890">
        <f>$S$1*P!AA6800</f>
        <v>5.1152000000000003E-2</v>
      </c>
      <c r="AB6800" s="780"/>
      <c r="AC6800" s="780"/>
      <c r="AD6800" s="780"/>
      <c r="AE6800" s="780"/>
      <c r="AF6800" s="780"/>
    </row>
    <row r="6801" spans="19:32" x14ac:dyDescent="0.35">
      <c r="S6801" s="780"/>
      <c r="T6801" s="928"/>
      <c r="U6801" s="928"/>
      <c r="V6801" s="928"/>
      <c r="W6801" s="780"/>
      <c r="X6801" s="782">
        <v>6797</v>
      </c>
      <c r="Y6801" s="782" t="s">
        <v>2248</v>
      </c>
      <c r="Z6801" s="782" t="s">
        <v>2600</v>
      </c>
      <c r="AA6801" s="781">
        <f>$S$1*P!AA6801</f>
        <v>2.3854838709677421E-2</v>
      </c>
      <c r="AB6801" s="780"/>
      <c r="AC6801" s="780"/>
      <c r="AD6801" s="780"/>
      <c r="AE6801" s="780"/>
      <c r="AF6801" s="780"/>
    </row>
    <row r="6802" spans="19:32" x14ac:dyDescent="0.35">
      <c r="S6802" s="780"/>
      <c r="T6802" s="928"/>
      <c r="U6802" s="928"/>
      <c r="V6802" s="928"/>
      <c r="W6802" s="780"/>
      <c r="X6802" s="881">
        <v>6798</v>
      </c>
      <c r="Y6802" s="881" t="s">
        <v>2248</v>
      </c>
      <c r="Z6802" s="881" t="s">
        <v>2599</v>
      </c>
      <c r="AA6802" s="890">
        <f>$S$1*P!AA6802</f>
        <v>0</v>
      </c>
      <c r="AB6802" s="780"/>
      <c r="AC6802" s="780"/>
      <c r="AD6802" s="780"/>
      <c r="AE6802" s="780"/>
      <c r="AF6802" s="780"/>
    </row>
    <row r="6803" spans="19:32" x14ac:dyDescent="0.35">
      <c r="S6803" s="780"/>
      <c r="T6803" s="928"/>
      <c r="U6803" s="928"/>
      <c r="V6803" s="928"/>
      <c r="W6803" s="780"/>
      <c r="X6803" s="881">
        <v>6799</v>
      </c>
      <c r="Y6803" s="881" t="s">
        <v>2248</v>
      </c>
      <c r="Z6803" s="881" t="s">
        <v>2598</v>
      </c>
      <c r="AA6803" s="890">
        <f>$S$1*P!AA6803</f>
        <v>0</v>
      </c>
      <c r="AB6803" s="780"/>
      <c r="AC6803" s="780"/>
      <c r="AD6803" s="780"/>
      <c r="AE6803" s="780"/>
      <c r="AF6803" s="780"/>
    </row>
    <row r="6804" spans="19:32" x14ac:dyDescent="0.35">
      <c r="S6804" s="780"/>
      <c r="T6804" s="928"/>
      <c r="U6804" s="928"/>
      <c r="V6804" s="928"/>
      <c r="W6804" s="780"/>
      <c r="X6804" s="782">
        <v>6800</v>
      </c>
      <c r="Y6804" s="782" t="s">
        <v>2248</v>
      </c>
      <c r="Z6804" s="782" t="s">
        <v>2597</v>
      </c>
      <c r="AA6804" s="781">
        <f>$S$1*P!AA6804</f>
        <v>5.0725806451612911E-4</v>
      </c>
      <c r="AB6804" s="780"/>
      <c r="AC6804" s="780"/>
      <c r="AD6804" s="780"/>
      <c r="AE6804" s="780"/>
      <c r="AF6804" s="780"/>
    </row>
    <row r="6805" spans="19:32" x14ac:dyDescent="0.35">
      <c r="S6805" s="780"/>
      <c r="T6805" s="928"/>
      <c r="U6805" s="928"/>
      <c r="V6805" s="928"/>
      <c r="W6805" s="780"/>
      <c r="X6805" s="881">
        <v>6801</v>
      </c>
      <c r="Y6805" s="881" t="s">
        <v>2248</v>
      </c>
      <c r="Z6805" s="881" t="s">
        <v>2596</v>
      </c>
      <c r="AA6805" s="890">
        <f>$S$1*P!AA6805</f>
        <v>691.83999999999992</v>
      </c>
      <c r="AB6805" s="780"/>
      <c r="AC6805" s="780"/>
      <c r="AD6805" s="780"/>
      <c r="AE6805" s="780"/>
      <c r="AF6805" s="780"/>
    </row>
    <row r="6806" spans="19:32" x14ac:dyDescent="0.35">
      <c r="S6806" s="780"/>
      <c r="T6806" s="928"/>
      <c r="U6806" s="928"/>
      <c r="V6806" s="928"/>
      <c r="W6806" s="780"/>
      <c r="X6806" s="881">
        <v>6802</v>
      </c>
      <c r="Y6806" s="881" t="s">
        <v>2248</v>
      </c>
      <c r="Z6806" s="881" t="s">
        <v>2595</v>
      </c>
      <c r="AA6806" s="890">
        <f>$S$1*P!AA6806</f>
        <v>0.44896000000000003</v>
      </c>
      <c r="AB6806" s="780"/>
      <c r="AC6806" s="780"/>
      <c r="AD6806" s="780"/>
      <c r="AE6806" s="780"/>
      <c r="AF6806" s="780"/>
    </row>
    <row r="6807" spans="19:32" x14ac:dyDescent="0.35">
      <c r="S6807" s="780"/>
      <c r="T6807" s="928"/>
      <c r="U6807" s="928"/>
      <c r="V6807" s="928"/>
      <c r="W6807" s="780"/>
      <c r="X6807" s="782">
        <v>6803</v>
      </c>
      <c r="Y6807" s="782" t="s">
        <v>2248</v>
      </c>
      <c r="Z6807" s="782" t="s">
        <v>2594</v>
      </c>
      <c r="AA6807" s="781">
        <f>$S$1*P!AA6807</f>
        <v>3.9758064516129033E-5</v>
      </c>
      <c r="AB6807" s="780"/>
      <c r="AC6807" s="780"/>
      <c r="AD6807" s="780"/>
      <c r="AE6807" s="780"/>
      <c r="AF6807" s="780"/>
    </row>
    <row r="6808" spans="19:32" x14ac:dyDescent="0.35">
      <c r="S6808" s="780"/>
      <c r="T6808" s="928"/>
      <c r="U6808" s="928"/>
      <c r="V6808" s="928"/>
      <c r="W6808" s="780"/>
      <c r="X6808" s="881">
        <v>6804</v>
      </c>
      <c r="Y6808" s="881" t="s">
        <v>2248</v>
      </c>
      <c r="Z6808" s="881" t="s">
        <v>2593</v>
      </c>
      <c r="AA6808" s="890">
        <f>$S$1*P!AA6808</f>
        <v>0</v>
      </c>
      <c r="AB6808" s="780"/>
      <c r="AC6808" s="780"/>
      <c r="AD6808" s="780"/>
      <c r="AE6808" s="780"/>
      <c r="AF6808" s="780"/>
    </row>
    <row r="6809" spans="19:32" x14ac:dyDescent="0.35">
      <c r="S6809" s="780"/>
      <c r="T6809" s="928"/>
      <c r="U6809" s="928"/>
      <c r="V6809" s="928"/>
      <c r="W6809" s="780"/>
      <c r="X6809" s="881">
        <v>6805</v>
      </c>
      <c r="Y6809" s="881" t="s">
        <v>2248</v>
      </c>
      <c r="Z6809" s="881" t="s">
        <v>2592</v>
      </c>
      <c r="AA6809" s="890">
        <f>$S$1*P!AA6809</f>
        <v>0</v>
      </c>
      <c r="AB6809" s="780"/>
      <c r="AC6809" s="780"/>
      <c r="AD6809" s="780"/>
      <c r="AE6809" s="780"/>
      <c r="AF6809" s="780"/>
    </row>
    <row r="6810" spans="19:32" x14ac:dyDescent="0.35">
      <c r="S6810" s="780"/>
      <c r="T6810" s="928"/>
      <c r="U6810" s="928"/>
      <c r="V6810" s="928"/>
      <c r="W6810" s="780"/>
      <c r="X6810" s="782">
        <v>6806</v>
      </c>
      <c r="Y6810" s="782" t="s">
        <v>2248</v>
      </c>
      <c r="Z6810" s="782" t="s">
        <v>2591</v>
      </c>
      <c r="AA6810" s="781">
        <f>$S$1*P!AA6810</f>
        <v>1.1790322580645163E-2</v>
      </c>
      <c r="AB6810" s="780"/>
      <c r="AC6810" s="780"/>
      <c r="AD6810" s="780"/>
      <c r="AE6810" s="780"/>
      <c r="AF6810" s="780"/>
    </row>
    <row r="6811" spans="19:32" x14ac:dyDescent="0.35">
      <c r="S6811" s="780"/>
      <c r="T6811" s="928"/>
      <c r="U6811" s="928"/>
      <c r="V6811" s="928"/>
      <c r="W6811" s="780"/>
      <c r="X6811" s="881">
        <v>6807</v>
      </c>
      <c r="Y6811" s="881" t="s">
        <v>2248</v>
      </c>
      <c r="Z6811" s="881" t="s">
        <v>2590</v>
      </c>
      <c r="AA6811" s="890">
        <f>$S$1*P!AA6811</f>
        <v>0</v>
      </c>
      <c r="AB6811" s="780"/>
      <c r="AC6811" s="780"/>
      <c r="AD6811" s="780"/>
      <c r="AE6811" s="780"/>
      <c r="AF6811" s="780"/>
    </row>
    <row r="6812" spans="19:32" x14ac:dyDescent="0.35">
      <c r="S6812" s="780"/>
      <c r="T6812" s="928"/>
      <c r="U6812" s="928"/>
      <c r="V6812" s="928"/>
      <c r="W6812" s="780"/>
      <c r="X6812" s="782">
        <v>6808</v>
      </c>
      <c r="Y6812" s="782" t="s">
        <v>2248</v>
      </c>
      <c r="Z6812" s="782" t="s">
        <v>2589</v>
      </c>
      <c r="AA6812" s="781">
        <f>$S$1*P!AA6812</f>
        <v>9.0141129032258079E-3</v>
      </c>
      <c r="AB6812" s="780"/>
      <c r="AC6812" s="780"/>
      <c r="AD6812" s="780"/>
      <c r="AE6812" s="780"/>
      <c r="AF6812" s="780"/>
    </row>
    <row r="6813" spans="19:32" x14ac:dyDescent="0.35">
      <c r="S6813" s="780"/>
      <c r="T6813" s="928"/>
      <c r="U6813" s="928"/>
      <c r="V6813" s="928"/>
      <c r="W6813" s="780"/>
      <c r="X6813" s="881">
        <v>6809</v>
      </c>
      <c r="Y6813" s="881" t="s">
        <v>2248</v>
      </c>
      <c r="Z6813" s="881" t="s">
        <v>2588</v>
      </c>
      <c r="AA6813" s="890">
        <f>$S$1*P!AA6813</f>
        <v>1.0948</v>
      </c>
      <c r="AB6813" s="780"/>
      <c r="AC6813" s="780"/>
      <c r="AD6813" s="780"/>
      <c r="AE6813" s="780"/>
      <c r="AF6813" s="780"/>
    </row>
    <row r="6814" spans="19:32" x14ac:dyDescent="0.35">
      <c r="S6814" s="780"/>
      <c r="T6814" s="928"/>
      <c r="U6814" s="928"/>
      <c r="V6814" s="928"/>
      <c r="W6814" s="780"/>
      <c r="X6814" s="881">
        <v>6810</v>
      </c>
      <c r="Y6814" s="881" t="s">
        <v>2248</v>
      </c>
      <c r="Z6814" s="881" t="s">
        <v>2587</v>
      </c>
      <c r="AA6814" s="890">
        <f>$S$1*P!AA6814</f>
        <v>0</v>
      </c>
      <c r="AB6814" s="780"/>
      <c r="AC6814" s="780"/>
      <c r="AD6814" s="780"/>
      <c r="AE6814" s="780"/>
      <c r="AF6814" s="780"/>
    </row>
    <row r="6815" spans="19:32" x14ac:dyDescent="0.35">
      <c r="S6815" s="780"/>
      <c r="T6815" s="928"/>
      <c r="U6815" s="928"/>
      <c r="V6815" s="928"/>
      <c r="W6815" s="780"/>
      <c r="X6815" s="782">
        <v>6811</v>
      </c>
      <c r="Y6815" s="782" t="s">
        <v>2248</v>
      </c>
      <c r="Z6815" s="782" t="s">
        <v>2586</v>
      </c>
      <c r="AA6815" s="781">
        <f>$S$1*P!AA6815</f>
        <v>2.9441532258064516E-4</v>
      </c>
      <c r="AB6815" s="780"/>
      <c r="AC6815" s="780"/>
      <c r="AD6815" s="780"/>
      <c r="AE6815" s="780"/>
      <c r="AF6815" s="780"/>
    </row>
    <row r="6816" spans="19:32" x14ac:dyDescent="0.35">
      <c r="S6816" s="780"/>
      <c r="T6816" s="928"/>
      <c r="U6816" s="928"/>
      <c r="V6816" s="928"/>
      <c r="W6816" s="780"/>
      <c r="X6816" s="881">
        <v>6812</v>
      </c>
      <c r="Y6816" s="881" t="s">
        <v>2248</v>
      </c>
      <c r="Z6816" s="881" t="s">
        <v>2585</v>
      </c>
      <c r="AA6816" s="890">
        <f>$S$1*P!AA6816</f>
        <v>0.2392</v>
      </c>
      <c r="AB6816" s="780"/>
      <c r="AC6816" s="780"/>
      <c r="AD6816" s="780"/>
      <c r="AE6816" s="780"/>
      <c r="AF6816" s="780"/>
    </row>
    <row r="6817" spans="19:32" x14ac:dyDescent="0.35">
      <c r="S6817" s="780"/>
      <c r="T6817" s="928"/>
      <c r="U6817" s="928"/>
      <c r="V6817" s="928"/>
      <c r="W6817" s="780"/>
      <c r="X6817" s="881">
        <v>6813</v>
      </c>
      <c r="Y6817" s="881" t="s">
        <v>2248</v>
      </c>
      <c r="Z6817" s="881" t="s">
        <v>2584</v>
      </c>
      <c r="AA6817" s="890">
        <f>$S$1*P!AA6817</f>
        <v>0.66975999999999991</v>
      </c>
      <c r="AB6817" s="780"/>
      <c r="AC6817" s="780"/>
      <c r="AD6817" s="780"/>
      <c r="AE6817" s="780"/>
      <c r="AF6817" s="780"/>
    </row>
    <row r="6818" spans="19:32" x14ac:dyDescent="0.35">
      <c r="S6818" s="780"/>
      <c r="T6818" s="928"/>
      <c r="U6818" s="928"/>
      <c r="V6818" s="928"/>
      <c r="W6818" s="780"/>
      <c r="X6818" s="782">
        <v>6814</v>
      </c>
      <c r="Y6818" s="782" t="s">
        <v>2248</v>
      </c>
      <c r="Z6818" s="782" t="s">
        <v>2583</v>
      </c>
      <c r="AA6818" s="781">
        <f>$S$1*P!AA6818</f>
        <v>2.0050403225806452E-4</v>
      </c>
      <c r="AB6818" s="780"/>
      <c r="AC6818" s="780"/>
      <c r="AD6818" s="780"/>
      <c r="AE6818" s="780"/>
      <c r="AF6818" s="780"/>
    </row>
    <row r="6819" spans="19:32" x14ac:dyDescent="0.35">
      <c r="S6819" s="780"/>
      <c r="T6819" s="928"/>
      <c r="U6819" s="928"/>
      <c r="V6819" s="928"/>
      <c r="W6819" s="780"/>
      <c r="X6819" s="881">
        <v>6815</v>
      </c>
      <c r="Y6819" s="881" t="s">
        <v>2248</v>
      </c>
      <c r="Z6819" s="881" t="s">
        <v>2582</v>
      </c>
      <c r="AA6819" s="890">
        <f>$S$1*P!AA6819</f>
        <v>0</v>
      </c>
      <c r="AB6819" s="780"/>
      <c r="AC6819" s="780"/>
      <c r="AD6819" s="780"/>
      <c r="AE6819" s="780"/>
      <c r="AF6819" s="780"/>
    </row>
    <row r="6820" spans="19:32" x14ac:dyDescent="0.35">
      <c r="S6820" s="780"/>
      <c r="T6820" s="928"/>
      <c r="U6820" s="928"/>
      <c r="V6820" s="928"/>
      <c r="W6820" s="780"/>
      <c r="X6820" s="881">
        <v>6816</v>
      </c>
      <c r="Y6820" s="881" t="s">
        <v>2248</v>
      </c>
      <c r="Z6820" s="881" t="s">
        <v>2581</v>
      </c>
      <c r="AA6820" s="890">
        <f>$S$1*P!AA6820</f>
        <v>2.2631999999999999E-2</v>
      </c>
      <c r="AB6820" s="780"/>
      <c r="AC6820" s="780"/>
      <c r="AD6820" s="780"/>
      <c r="AE6820" s="780"/>
      <c r="AF6820" s="780"/>
    </row>
    <row r="6821" spans="19:32" x14ac:dyDescent="0.35">
      <c r="S6821" s="780"/>
      <c r="T6821" s="928"/>
      <c r="U6821" s="928"/>
      <c r="V6821" s="928"/>
      <c r="W6821" s="780"/>
      <c r="X6821" s="782">
        <v>6817</v>
      </c>
      <c r="Y6821" s="782" t="s">
        <v>2248</v>
      </c>
      <c r="Z6821" s="782" t="s">
        <v>2580</v>
      </c>
      <c r="AA6821" s="781">
        <f>$S$1*P!AA6821</f>
        <v>4.5241935483870972E-3</v>
      </c>
      <c r="AB6821" s="780"/>
      <c r="AC6821" s="780"/>
      <c r="AD6821" s="780"/>
      <c r="AE6821" s="780"/>
      <c r="AF6821" s="780"/>
    </row>
    <row r="6822" spans="19:32" x14ac:dyDescent="0.35">
      <c r="S6822" s="780"/>
      <c r="T6822" s="928"/>
      <c r="U6822" s="928"/>
      <c r="V6822" s="928"/>
      <c r="W6822" s="780"/>
      <c r="X6822" s="881">
        <v>6818</v>
      </c>
      <c r="Y6822" s="881" t="s">
        <v>2248</v>
      </c>
      <c r="Z6822" s="881" t="s">
        <v>2579</v>
      </c>
      <c r="AA6822" s="890">
        <f>$S$1*P!AA6822</f>
        <v>6.5228000000000005E-3</v>
      </c>
      <c r="AB6822" s="780"/>
      <c r="AC6822" s="780"/>
      <c r="AD6822" s="780"/>
      <c r="AE6822" s="780"/>
      <c r="AF6822" s="780"/>
    </row>
    <row r="6823" spans="19:32" x14ac:dyDescent="0.35">
      <c r="S6823" s="780"/>
      <c r="T6823" s="928"/>
      <c r="U6823" s="928"/>
      <c r="V6823" s="928"/>
      <c r="W6823" s="780"/>
      <c r="X6823" s="782">
        <v>6819</v>
      </c>
      <c r="Y6823" s="782" t="s">
        <v>2248</v>
      </c>
      <c r="Z6823" s="782" t="s">
        <v>2578</v>
      </c>
      <c r="AA6823" s="781">
        <f>$S$1*P!AA6823</f>
        <v>1.6211693548387096E-3</v>
      </c>
      <c r="AB6823" s="780"/>
      <c r="AC6823" s="780"/>
      <c r="AD6823" s="780"/>
      <c r="AE6823" s="780"/>
      <c r="AF6823" s="780"/>
    </row>
    <row r="6824" spans="19:32" x14ac:dyDescent="0.35">
      <c r="S6824" s="780"/>
      <c r="T6824" s="928"/>
      <c r="U6824" s="928"/>
      <c r="V6824" s="928"/>
      <c r="W6824" s="780"/>
      <c r="X6824" s="881">
        <v>6820</v>
      </c>
      <c r="Y6824" s="881" t="s">
        <v>2248</v>
      </c>
      <c r="Z6824" s="881" t="s">
        <v>2577</v>
      </c>
      <c r="AA6824" s="890">
        <f>$S$1*P!AA6824</f>
        <v>0</v>
      </c>
      <c r="AB6824" s="780"/>
      <c r="AC6824" s="780"/>
      <c r="AD6824" s="780"/>
      <c r="AE6824" s="780"/>
      <c r="AF6824" s="780"/>
    </row>
    <row r="6825" spans="19:32" x14ac:dyDescent="0.35">
      <c r="S6825" s="780"/>
      <c r="T6825" s="928"/>
      <c r="U6825" s="928"/>
      <c r="V6825" s="928"/>
      <c r="W6825" s="780"/>
      <c r="X6825" s="881">
        <v>6821</v>
      </c>
      <c r="Y6825" s="881" t="s">
        <v>2248</v>
      </c>
      <c r="Z6825" s="881" t="s">
        <v>2576</v>
      </c>
      <c r="AA6825" s="890">
        <f>$S$1*P!AA6825</f>
        <v>0.21988000000000002</v>
      </c>
      <c r="AB6825" s="780"/>
      <c r="AC6825" s="780"/>
      <c r="AD6825" s="780"/>
      <c r="AE6825" s="780"/>
      <c r="AF6825" s="780"/>
    </row>
    <row r="6826" spans="19:32" x14ac:dyDescent="0.35">
      <c r="S6826" s="780"/>
      <c r="T6826" s="928"/>
      <c r="U6826" s="928"/>
      <c r="V6826" s="928"/>
      <c r="W6826" s="780"/>
      <c r="X6826" s="782">
        <v>6822</v>
      </c>
      <c r="Y6826" s="782" t="s">
        <v>2248</v>
      </c>
      <c r="Z6826" s="782" t="s">
        <v>2575</v>
      </c>
      <c r="AA6826" s="781">
        <f>$S$1*P!AA6826</f>
        <v>5.106854838709678E-5</v>
      </c>
      <c r="AB6826" s="780"/>
      <c r="AC6826" s="780"/>
      <c r="AD6826" s="780"/>
      <c r="AE6826" s="780"/>
      <c r="AF6826" s="780"/>
    </row>
    <row r="6827" spans="19:32" x14ac:dyDescent="0.35">
      <c r="S6827" s="780"/>
      <c r="T6827" s="928"/>
      <c r="U6827" s="928"/>
      <c r="V6827" s="928"/>
      <c r="W6827" s="780"/>
      <c r="X6827" s="881">
        <v>6823</v>
      </c>
      <c r="Y6827" s="881" t="s">
        <v>2248</v>
      </c>
      <c r="Z6827" s="881" t="s">
        <v>2574</v>
      </c>
      <c r="AA6827" s="890">
        <f>$S$1*P!AA6827</f>
        <v>0</v>
      </c>
      <c r="AB6827" s="780"/>
      <c r="AC6827" s="780"/>
      <c r="AD6827" s="780"/>
      <c r="AE6827" s="780"/>
      <c r="AF6827" s="780"/>
    </row>
    <row r="6828" spans="19:32" x14ac:dyDescent="0.35">
      <c r="S6828" s="780"/>
      <c r="T6828" s="928"/>
      <c r="U6828" s="928"/>
      <c r="V6828" s="928"/>
      <c r="W6828" s="780"/>
      <c r="X6828" s="881">
        <v>6824</v>
      </c>
      <c r="Y6828" s="881" t="s">
        <v>2248</v>
      </c>
      <c r="Z6828" s="881" t="s">
        <v>2573</v>
      </c>
      <c r="AA6828" s="890">
        <f>$S$1*P!AA6828</f>
        <v>0</v>
      </c>
      <c r="AB6828" s="780"/>
      <c r="AC6828" s="780"/>
      <c r="AD6828" s="780"/>
      <c r="AE6828" s="780"/>
      <c r="AF6828" s="780"/>
    </row>
    <row r="6829" spans="19:32" x14ac:dyDescent="0.35">
      <c r="S6829" s="780"/>
      <c r="T6829" s="928"/>
      <c r="U6829" s="928"/>
      <c r="V6829" s="928"/>
      <c r="W6829" s="780"/>
      <c r="X6829" s="782">
        <v>6825</v>
      </c>
      <c r="Y6829" s="782" t="s">
        <v>2248</v>
      </c>
      <c r="Z6829" s="782" t="s">
        <v>2572</v>
      </c>
      <c r="AA6829" s="781">
        <f>$S$1*P!AA6829</f>
        <v>3.9758064516129035E-3</v>
      </c>
      <c r="AB6829" s="780"/>
      <c r="AC6829" s="780"/>
      <c r="AD6829" s="780"/>
      <c r="AE6829" s="780"/>
      <c r="AF6829" s="780"/>
    </row>
    <row r="6830" spans="19:32" x14ac:dyDescent="0.35">
      <c r="S6830" s="780"/>
      <c r="T6830" s="928"/>
      <c r="U6830" s="928"/>
      <c r="V6830" s="928"/>
      <c r="W6830" s="780"/>
      <c r="X6830" s="881">
        <v>6826</v>
      </c>
      <c r="Y6830" s="881" t="s">
        <v>2248</v>
      </c>
      <c r="Z6830" s="881" t="s">
        <v>2571</v>
      </c>
      <c r="AA6830" s="890">
        <f>$S$1*P!AA6830</f>
        <v>0</v>
      </c>
      <c r="AB6830" s="780"/>
      <c r="AC6830" s="780"/>
      <c r="AD6830" s="780"/>
      <c r="AE6830" s="780"/>
      <c r="AF6830" s="780"/>
    </row>
    <row r="6831" spans="19:32" x14ac:dyDescent="0.35">
      <c r="S6831" s="780"/>
      <c r="T6831" s="928"/>
      <c r="U6831" s="928"/>
      <c r="V6831" s="928"/>
      <c r="W6831" s="780"/>
      <c r="X6831" s="881">
        <v>6827</v>
      </c>
      <c r="Y6831" s="881" t="s">
        <v>2248</v>
      </c>
      <c r="Z6831" s="881" t="s">
        <v>2570</v>
      </c>
      <c r="AA6831" s="890">
        <f>$S$1*P!AA6831</f>
        <v>0</v>
      </c>
      <c r="AB6831" s="780"/>
      <c r="AC6831" s="780"/>
      <c r="AD6831" s="780"/>
      <c r="AE6831" s="780"/>
      <c r="AF6831" s="780"/>
    </row>
    <row r="6832" spans="19:32" x14ac:dyDescent="0.35">
      <c r="S6832" s="780"/>
      <c r="T6832" s="928"/>
      <c r="U6832" s="928"/>
      <c r="V6832" s="928"/>
      <c r="W6832" s="780"/>
      <c r="X6832" s="782">
        <v>6828</v>
      </c>
      <c r="Y6832" s="782" t="s">
        <v>2248</v>
      </c>
      <c r="Z6832" s="782" t="s">
        <v>2569</v>
      </c>
      <c r="AA6832" s="781">
        <f>$S$1*P!AA6832</f>
        <v>4.4213709677419358E-4</v>
      </c>
      <c r="AB6832" s="780"/>
      <c r="AC6832" s="780"/>
      <c r="AD6832" s="780"/>
      <c r="AE6832" s="780"/>
      <c r="AF6832" s="780"/>
    </row>
    <row r="6833" spans="19:32" x14ac:dyDescent="0.35">
      <c r="S6833" s="780"/>
      <c r="T6833" s="928"/>
      <c r="U6833" s="928"/>
      <c r="V6833" s="928"/>
      <c r="W6833" s="780"/>
      <c r="X6833" s="881">
        <v>6829</v>
      </c>
      <c r="Y6833" s="881" t="s">
        <v>2248</v>
      </c>
      <c r="Z6833" s="881" t="s">
        <v>2568</v>
      </c>
      <c r="AA6833" s="890">
        <f>$S$1*P!AA6833</f>
        <v>0</v>
      </c>
      <c r="AB6833" s="780"/>
      <c r="AC6833" s="780"/>
      <c r="AD6833" s="780"/>
      <c r="AE6833" s="780"/>
      <c r="AF6833" s="780"/>
    </row>
    <row r="6834" spans="19:32" x14ac:dyDescent="0.35">
      <c r="S6834" s="780"/>
      <c r="T6834" s="928"/>
      <c r="U6834" s="928"/>
      <c r="V6834" s="928"/>
      <c r="W6834" s="780"/>
      <c r="X6834" s="881">
        <v>6830</v>
      </c>
      <c r="Y6834" s="881" t="s">
        <v>2248</v>
      </c>
      <c r="Z6834" s="881" t="s">
        <v>2567</v>
      </c>
      <c r="AA6834" s="890">
        <f>$S$1*P!AA6834</f>
        <v>0</v>
      </c>
      <c r="AB6834" s="780"/>
      <c r="AC6834" s="780"/>
      <c r="AD6834" s="780"/>
      <c r="AE6834" s="780"/>
      <c r="AF6834" s="780"/>
    </row>
    <row r="6835" spans="19:32" x14ac:dyDescent="0.35">
      <c r="S6835" s="780"/>
      <c r="T6835" s="928"/>
      <c r="U6835" s="928"/>
      <c r="V6835" s="928"/>
      <c r="W6835" s="780"/>
      <c r="X6835" s="782">
        <v>6831</v>
      </c>
      <c r="Y6835" s="782" t="s">
        <v>2248</v>
      </c>
      <c r="Z6835" s="782" t="s">
        <v>2566</v>
      </c>
      <c r="AA6835" s="781">
        <f>$S$1*P!AA6835</f>
        <v>1.0487903225806453E-4</v>
      </c>
      <c r="AB6835" s="780"/>
      <c r="AC6835" s="780"/>
      <c r="AD6835" s="780"/>
      <c r="AE6835" s="780"/>
      <c r="AF6835" s="780"/>
    </row>
    <row r="6836" spans="19:32" x14ac:dyDescent="0.35">
      <c r="S6836" s="780"/>
      <c r="T6836" s="928"/>
      <c r="U6836" s="928"/>
      <c r="V6836" s="928"/>
      <c r="W6836" s="780"/>
      <c r="X6836" s="881">
        <v>6832</v>
      </c>
      <c r="Y6836" s="881" t="s">
        <v>2248</v>
      </c>
      <c r="Z6836" s="881" t="s">
        <v>2565</v>
      </c>
      <c r="AA6836" s="890">
        <f>$S$1*P!AA6836</f>
        <v>3.7628000000000002E-2</v>
      </c>
      <c r="AB6836" s="780"/>
      <c r="AC6836" s="780"/>
      <c r="AD6836" s="780"/>
      <c r="AE6836" s="780"/>
      <c r="AF6836" s="780"/>
    </row>
    <row r="6837" spans="19:32" x14ac:dyDescent="0.35">
      <c r="S6837" s="780"/>
      <c r="T6837" s="928"/>
      <c r="U6837" s="928"/>
      <c r="V6837" s="928"/>
      <c r="W6837" s="780"/>
      <c r="X6837" s="782">
        <v>6833</v>
      </c>
      <c r="Y6837" s="782" t="s">
        <v>2248</v>
      </c>
      <c r="Z6837" s="782" t="s">
        <v>2564</v>
      </c>
      <c r="AA6837" s="781">
        <f>$S$1*P!AA6837</f>
        <v>2.3340725806451614E-4</v>
      </c>
      <c r="AB6837" s="780"/>
      <c r="AC6837" s="780"/>
      <c r="AD6837" s="780"/>
      <c r="AE6837" s="780"/>
      <c r="AF6837" s="780"/>
    </row>
    <row r="6838" spans="19:32" x14ac:dyDescent="0.35">
      <c r="S6838" s="780"/>
      <c r="T6838" s="928"/>
      <c r="U6838" s="928"/>
      <c r="V6838" s="928"/>
      <c r="W6838" s="780"/>
      <c r="X6838" s="881">
        <v>6834</v>
      </c>
      <c r="Y6838" s="881" t="s">
        <v>2248</v>
      </c>
      <c r="Z6838" s="881" t="s">
        <v>2563</v>
      </c>
      <c r="AA6838" s="890">
        <f>$S$1*P!AA6838</f>
        <v>1.012</v>
      </c>
      <c r="AB6838" s="780"/>
      <c r="AC6838" s="780"/>
      <c r="AD6838" s="780"/>
      <c r="AE6838" s="780"/>
      <c r="AF6838" s="780"/>
    </row>
    <row r="6839" spans="19:32" x14ac:dyDescent="0.35">
      <c r="S6839" s="780"/>
      <c r="T6839" s="928"/>
      <c r="U6839" s="928"/>
      <c r="V6839" s="928"/>
      <c r="W6839" s="780"/>
      <c r="X6839" s="881">
        <v>6835</v>
      </c>
      <c r="Y6839" s="881" t="s">
        <v>2248</v>
      </c>
      <c r="Z6839" s="881" t="s">
        <v>2562</v>
      </c>
      <c r="AA6839" s="890">
        <f>$S$1*P!AA6839</f>
        <v>0</v>
      </c>
      <c r="AB6839" s="780"/>
      <c r="AC6839" s="780"/>
      <c r="AD6839" s="780"/>
      <c r="AE6839" s="780"/>
      <c r="AF6839" s="780"/>
    </row>
    <row r="6840" spans="19:32" x14ac:dyDescent="0.35">
      <c r="S6840" s="780"/>
      <c r="T6840" s="928"/>
      <c r="U6840" s="928"/>
      <c r="V6840" s="928"/>
      <c r="W6840" s="780"/>
      <c r="X6840" s="782">
        <v>6836</v>
      </c>
      <c r="Y6840" s="782" t="s">
        <v>2248</v>
      </c>
      <c r="Z6840" s="782" t="s">
        <v>2561</v>
      </c>
      <c r="AA6840" s="781">
        <f>$S$1*P!AA6840</f>
        <v>3.3383064516129035E-4</v>
      </c>
      <c r="AB6840" s="780"/>
      <c r="AC6840" s="780"/>
      <c r="AD6840" s="780"/>
      <c r="AE6840" s="780"/>
      <c r="AF6840" s="780"/>
    </row>
    <row r="6841" spans="19:32" x14ac:dyDescent="0.35">
      <c r="S6841" s="780"/>
      <c r="T6841" s="928"/>
      <c r="U6841" s="928"/>
      <c r="V6841" s="928"/>
      <c r="W6841" s="780"/>
      <c r="X6841" s="881">
        <v>6837</v>
      </c>
      <c r="Y6841" s="881" t="s">
        <v>2248</v>
      </c>
      <c r="Z6841" s="881" t="s">
        <v>2560</v>
      </c>
      <c r="AA6841" s="890">
        <f>$S$1*P!AA6841</f>
        <v>0.17111999999999999</v>
      </c>
      <c r="AB6841" s="780"/>
      <c r="AC6841" s="780"/>
      <c r="AD6841" s="780"/>
      <c r="AE6841" s="780"/>
      <c r="AF6841" s="780"/>
    </row>
    <row r="6842" spans="19:32" x14ac:dyDescent="0.35">
      <c r="S6842" s="780"/>
      <c r="T6842" s="928"/>
      <c r="U6842" s="928"/>
      <c r="V6842" s="928"/>
      <c r="W6842" s="780"/>
      <c r="X6842" s="881">
        <v>6838</v>
      </c>
      <c r="Y6842" s="881" t="s">
        <v>2248</v>
      </c>
      <c r="Z6842" s="881" t="s">
        <v>2559</v>
      </c>
      <c r="AA6842" s="890">
        <f>$S$1*P!AA6842</f>
        <v>2.8612000000000002E-2</v>
      </c>
      <c r="AB6842" s="780"/>
      <c r="AC6842" s="780"/>
      <c r="AD6842" s="780"/>
      <c r="AE6842" s="780"/>
      <c r="AF6842" s="780"/>
    </row>
    <row r="6843" spans="19:32" x14ac:dyDescent="0.35">
      <c r="S6843" s="780"/>
      <c r="T6843" s="928"/>
      <c r="U6843" s="928"/>
      <c r="V6843" s="928"/>
      <c r="W6843" s="780"/>
      <c r="X6843" s="782">
        <v>6839</v>
      </c>
      <c r="Y6843" s="782" t="s">
        <v>2248</v>
      </c>
      <c r="Z6843" s="782" t="s">
        <v>2558</v>
      </c>
      <c r="AA6843" s="781">
        <f>$S$1*P!AA6843</f>
        <v>3.0264112903225811E-4</v>
      </c>
      <c r="AB6843" s="780"/>
      <c r="AC6843" s="780"/>
      <c r="AD6843" s="780"/>
      <c r="AE6843" s="780"/>
      <c r="AF6843" s="780"/>
    </row>
    <row r="6844" spans="19:32" x14ac:dyDescent="0.35">
      <c r="S6844" s="780"/>
      <c r="T6844" s="928"/>
      <c r="U6844" s="928"/>
      <c r="V6844" s="928"/>
      <c r="W6844" s="780"/>
      <c r="X6844" s="881">
        <v>6840</v>
      </c>
      <c r="Y6844" s="881" t="s">
        <v>2248</v>
      </c>
      <c r="Z6844" s="881" t="s">
        <v>2557</v>
      </c>
      <c r="AA6844" s="890">
        <f>$S$1*P!AA6844</f>
        <v>0</v>
      </c>
      <c r="AB6844" s="780"/>
      <c r="AC6844" s="780"/>
      <c r="AD6844" s="780"/>
      <c r="AE6844" s="780"/>
      <c r="AF6844" s="780"/>
    </row>
    <row r="6845" spans="19:32" x14ac:dyDescent="0.35">
      <c r="S6845" s="780"/>
      <c r="T6845" s="928"/>
      <c r="U6845" s="928"/>
      <c r="V6845" s="928"/>
      <c r="W6845" s="780"/>
      <c r="X6845" s="881">
        <v>6841</v>
      </c>
      <c r="Y6845" s="881" t="s">
        <v>2248</v>
      </c>
      <c r="Z6845" s="881" t="s">
        <v>2556</v>
      </c>
      <c r="AA6845" s="890">
        <f>$S$1*P!AA6845</f>
        <v>0</v>
      </c>
      <c r="AB6845" s="780"/>
      <c r="AC6845" s="780"/>
      <c r="AD6845" s="780"/>
      <c r="AE6845" s="780"/>
      <c r="AF6845" s="780"/>
    </row>
    <row r="6846" spans="19:32" x14ac:dyDescent="0.35">
      <c r="S6846" s="780"/>
      <c r="T6846" s="928"/>
      <c r="U6846" s="928"/>
      <c r="V6846" s="928"/>
      <c r="W6846" s="780"/>
      <c r="X6846" s="782">
        <v>6842</v>
      </c>
      <c r="Y6846" s="782" t="s">
        <v>2248</v>
      </c>
      <c r="Z6846" s="782" t="s">
        <v>2555</v>
      </c>
      <c r="AA6846" s="781">
        <f>$S$1*P!AA6846</f>
        <v>5.0725806451612909E-3</v>
      </c>
      <c r="AB6846" s="780"/>
      <c r="AC6846" s="780"/>
      <c r="AD6846" s="780"/>
      <c r="AE6846" s="780"/>
      <c r="AF6846" s="780"/>
    </row>
    <row r="6847" spans="19:32" x14ac:dyDescent="0.35">
      <c r="S6847" s="780"/>
      <c r="T6847" s="928"/>
      <c r="U6847" s="928"/>
      <c r="V6847" s="928"/>
      <c r="W6847" s="780"/>
      <c r="X6847" s="881">
        <v>6843</v>
      </c>
      <c r="Y6847" s="881" t="s">
        <v>2248</v>
      </c>
      <c r="Z6847" s="881" t="s">
        <v>2554</v>
      </c>
      <c r="AA6847" s="890">
        <f>$S$1*P!AA6847</f>
        <v>0.2346</v>
      </c>
      <c r="AB6847" s="780"/>
      <c r="AC6847" s="780"/>
      <c r="AD6847" s="780"/>
      <c r="AE6847" s="780"/>
      <c r="AF6847" s="780"/>
    </row>
    <row r="6848" spans="19:32" x14ac:dyDescent="0.35">
      <c r="S6848" s="780"/>
      <c r="T6848" s="928"/>
      <c r="U6848" s="928"/>
      <c r="V6848" s="928"/>
      <c r="W6848" s="780"/>
      <c r="X6848" s="782">
        <v>6844</v>
      </c>
      <c r="Y6848" s="782" t="s">
        <v>2248</v>
      </c>
      <c r="Z6848" s="782" t="s">
        <v>2553</v>
      </c>
      <c r="AA6848" s="781">
        <f>$S$1*P!AA6848</f>
        <v>5.175403225806452E-2</v>
      </c>
      <c r="AB6848" s="780"/>
      <c r="AC6848" s="780"/>
      <c r="AD6848" s="780"/>
      <c r="AE6848" s="780"/>
      <c r="AF6848" s="780"/>
    </row>
    <row r="6849" spans="19:32" x14ac:dyDescent="0.35">
      <c r="S6849" s="780"/>
      <c r="T6849" s="928"/>
      <c r="U6849" s="928"/>
      <c r="V6849" s="928"/>
      <c r="W6849" s="780"/>
      <c r="X6849" s="881">
        <v>6845</v>
      </c>
      <c r="Y6849" s="881" t="s">
        <v>2248</v>
      </c>
      <c r="Z6849" s="881" t="s">
        <v>2552</v>
      </c>
      <c r="AA6849" s="890">
        <f>$S$1*P!AA6849</f>
        <v>1.8308</v>
      </c>
      <c r="AB6849" s="780"/>
      <c r="AC6849" s="780"/>
      <c r="AD6849" s="780"/>
      <c r="AE6849" s="780"/>
      <c r="AF6849" s="780"/>
    </row>
    <row r="6850" spans="19:32" x14ac:dyDescent="0.35">
      <c r="S6850" s="780"/>
      <c r="T6850" s="928"/>
      <c r="U6850" s="928"/>
      <c r="V6850" s="928"/>
      <c r="W6850" s="780"/>
      <c r="X6850" s="881">
        <v>6846</v>
      </c>
      <c r="Y6850" s="881" t="s">
        <v>2248</v>
      </c>
      <c r="Z6850" s="881" t="s">
        <v>2551</v>
      </c>
      <c r="AA6850" s="890">
        <f>$S$1*P!AA6850</f>
        <v>119.6</v>
      </c>
      <c r="AB6850" s="780"/>
      <c r="AC6850" s="780"/>
      <c r="AD6850" s="780"/>
      <c r="AE6850" s="780"/>
      <c r="AF6850" s="780"/>
    </row>
    <row r="6851" spans="19:32" x14ac:dyDescent="0.35">
      <c r="S6851" s="780"/>
      <c r="T6851" s="928"/>
      <c r="U6851" s="928"/>
      <c r="V6851" s="928"/>
      <c r="W6851" s="780"/>
      <c r="X6851" s="782">
        <v>6847</v>
      </c>
      <c r="Y6851" s="782" t="s">
        <v>2248</v>
      </c>
      <c r="Z6851" s="782" t="s">
        <v>2550</v>
      </c>
      <c r="AA6851" s="781">
        <f>$S$1*P!AA6851</f>
        <v>3.393145161290323E-7</v>
      </c>
      <c r="AB6851" s="780"/>
      <c r="AC6851" s="780"/>
      <c r="AD6851" s="780"/>
      <c r="AE6851" s="780"/>
      <c r="AF6851" s="780"/>
    </row>
    <row r="6852" spans="19:32" x14ac:dyDescent="0.35">
      <c r="S6852" s="780"/>
      <c r="T6852" s="928"/>
      <c r="U6852" s="928"/>
      <c r="V6852" s="928"/>
      <c r="W6852" s="780"/>
      <c r="X6852" s="881">
        <v>6848</v>
      </c>
      <c r="Y6852" s="881" t="s">
        <v>2248</v>
      </c>
      <c r="Z6852" s="881" t="s">
        <v>2549</v>
      </c>
      <c r="AA6852" s="890">
        <f>$S$1*P!AA6852</f>
        <v>26.404</v>
      </c>
      <c r="AB6852" s="780"/>
      <c r="AC6852" s="780"/>
      <c r="AD6852" s="780"/>
      <c r="AE6852" s="780"/>
      <c r="AF6852" s="780"/>
    </row>
    <row r="6853" spans="19:32" x14ac:dyDescent="0.35">
      <c r="S6853" s="780"/>
      <c r="T6853" s="928"/>
      <c r="U6853" s="928"/>
      <c r="V6853" s="928"/>
      <c r="W6853" s="780"/>
      <c r="X6853" s="881">
        <v>6849</v>
      </c>
      <c r="Y6853" s="881" t="s">
        <v>2248</v>
      </c>
      <c r="Z6853" s="881" t="s">
        <v>2548</v>
      </c>
      <c r="AA6853" s="890">
        <f>$S$1*P!AA6853</f>
        <v>9.0251999999999999</v>
      </c>
      <c r="AB6853" s="780"/>
      <c r="AC6853" s="780"/>
      <c r="AD6853" s="780"/>
      <c r="AE6853" s="780"/>
      <c r="AF6853" s="780"/>
    </row>
    <row r="6854" spans="19:32" x14ac:dyDescent="0.35">
      <c r="S6854" s="780"/>
      <c r="T6854" s="928"/>
      <c r="U6854" s="928"/>
      <c r="V6854" s="928"/>
      <c r="W6854" s="780"/>
      <c r="X6854" s="782">
        <v>6850</v>
      </c>
      <c r="Y6854" s="782" t="s">
        <v>2248</v>
      </c>
      <c r="Z6854" s="782" t="s">
        <v>2547</v>
      </c>
      <c r="AA6854" s="781">
        <f>$S$1*P!AA6854</f>
        <v>3.132661290322581E-2</v>
      </c>
      <c r="AB6854" s="780"/>
      <c r="AC6854" s="780"/>
      <c r="AD6854" s="780"/>
      <c r="AE6854" s="780"/>
      <c r="AF6854" s="780"/>
    </row>
    <row r="6855" spans="19:32" x14ac:dyDescent="0.35">
      <c r="S6855" s="780"/>
      <c r="T6855" s="928"/>
      <c r="U6855" s="928"/>
      <c r="V6855" s="928"/>
      <c r="W6855" s="780"/>
      <c r="X6855" s="881">
        <v>6851</v>
      </c>
      <c r="Y6855" s="881" t="s">
        <v>2248</v>
      </c>
      <c r="Z6855" s="881" t="s">
        <v>2546</v>
      </c>
      <c r="AA6855" s="890">
        <f>$S$1*P!AA6855</f>
        <v>2.1252</v>
      </c>
      <c r="AB6855" s="780"/>
      <c r="AC6855" s="780"/>
      <c r="AD6855" s="780"/>
      <c r="AE6855" s="780"/>
      <c r="AF6855" s="780"/>
    </row>
    <row r="6856" spans="19:32" x14ac:dyDescent="0.35">
      <c r="S6856" s="780"/>
      <c r="T6856" s="928"/>
      <c r="U6856" s="928"/>
      <c r="V6856" s="928"/>
      <c r="W6856" s="780"/>
      <c r="X6856" s="881">
        <v>6852</v>
      </c>
      <c r="Y6856" s="881" t="s">
        <v>2248</v>
      </c>
      <c r="Z6856" s="881" t="s">
        <v>2545</v>
      </c>
      <c r="AA6856" s="890">
        <f>$S$1*P!AA6856</f>
        <v>0</v>
      </c>
      <c r="AB6856" s="780"/>
      <c r="AC6856" s="780"/>
      <c r="AD6856" s="780"/>
      <c r="AE6856" s="780"/>
      <c r="AF6856" s="780"/>
    </row>
    <row r="6857" spans="19:32" x14ac:dyDescent="0.35">
      <c r="S6857" s="780"/>
      <c r="T6857" s="928"/>
      <c r="U6857" s="928"/>
      <c r="V6857" s="928"/>
      <c r="W6857" s="780"/>
      <c r="X6857" s="782">
        <v>6853</v>
      </c>
      <c r="Y6857" s="782" t="s">
        <v>2248</v>
      </c>
      <c r="Z6857" s="782" t="s">
        <v>2544</v>
      </c>
      <c r="AA6857" s="781">
        <f>$S$1*P!AA6857</f>
        <v>1.6931451612903227E-3</v>
      </c>
      <c r="AB6857" s="780"/>
      <c r="AC6857" s="780"/>
      <c r="AD6857" s="780"/>
      <c r="AE6857" s="780"/>
      <c r="AF6857" s="780"/>
    </row>
    <row r="6858" spans="19:32" x14ac:dyDescent="0.35">
      <c r="S6858" s="780"/>
      <c r="T6858" s="928"/>
      <c r="U6858" s="928"/>
      <c r="V6858" s="928"/>
      <c r="W6858" s="780"/>
      <c r="X6858" s="881">
        <v>6854</v>
      </c>
      <c r="Y6858" s="881" t="s">
        <v>2248</v>
      </c>
      <c r="Z6858" s="881" t="s">
        <v>2543</v>
      </c>
      <c r="AA6858" s="890">
        <f>$S$1*P!AA6858</f>
        <v>0</v>
      </c>
      <c r="AB6858" s="780"/>
      <c r="AC6858" s="780"/>
      <c r="AD6858" s="780"/>
      <c r="AE6858" s="780"/>
      <c r="AF6858" s="780"/>
    </row>
    <row r="6859" spans="19:32" x14ac:dyDescent="0.35">
      <c r="S6859" s="780"/>
      <c r="T6859" s="928"/>
      <c r="U6859" s="928"/>
      <c r="V6859" s="928"/>
      <c r="W6859" s="780"/>
      <c r="X6859" s="881">
        <v>6855</v>
      </c>
      <c r="Y6859" s="881" t="s">
        <v>2248</v>
      </c>
      <c r="Z6859" s="881" t="s">
        <v>2542</v>
      </c>
      <c r="AA6859" s="890">
        <f>$S$1*P!AA6859</f>
        <v>0</v>
      </c>
      <c r="AB6859" s="780"/>
      <c r="AC6859" s="780"/>
      <c r="AD6859" s="780"/>
      <c r="AE6859" s="780"/>
      <c r="AF6859" s="780"/>
    </row>
    <row r="6860" spans="19:32" x14ac:dyDescent="0.35">
      <c r="S6860" s="780"/>
      <c r="T6860" s="928"/>
      <c r="U6860" s="928"/>
      <c r="V6860" s="928"/>
      <c r="W6860" s="780"/>
      <c r="X6860" s="782">
        <v>6856</v>
      </c>
      <c r="Y6860" s="782" t="s">
        <v>2248</v>
      </c>
      <c r="Z6860" s="782" t="s">
        <v>2541</v>
      </c>
      <c r="AA6860" s="781">
        <f>$S$1*P!AA6860</f>
        <v>1.0316532258064516E-4</v>
      </c>
      <c r="AB6860" s="780"/>
      <c r="AC6860" s="780"/>
      <c r="AD6860" s="780"/>
      <c r="AE6860" s="780"/>
      <c r="AF6860" s="780"/>
    </row>
    <row r="6861" spans="19:32" x14ac:dyDescent="0.35">
      <c r="S6861" s="780"/>
      <c r="T6861" s="928"/>
      <c r="U6861" s="928"/>
      <c r="V6861" s="928"/>
      <c r="W6861" s="780"/>
      <c r="X6861" s="881">
        <v>6857</v>
      </c>
      <c r="Y6861" s="881" t="s">
        <v>2248</v>
      </c>
      <c r="Z6861" s="881" t="s">
        <v>2540</v>
      </c>
      <c r="AA6861" s="890">
        <f>$S$1*P!AA6861</f>
        <v>1.3431999999999999E-3</v>
      </c>
      <c r="AB6861" s="780"/>
      <c r="AC6861" s="780"/>
      <c r="AD6861" s="780"/>
      <c r="AE6861" s="780"/>
      <c r="AF6861" s="780"/>
    </row>
    <row r="6862" spans="19:32" x14ac:dyDescent="0.35">
      <c r="S6862" s="780"/>
      <c r="T6862" s="928"/>
      <c r="U6862" s="928"/>
      <c r="V6862" s="928"/>
      <c r="W6862" s="780"/>
      <c r="X6862" s="782">
        <v>6858</v>
      </c>
      <c r="Y6862" s="782" t="s">
        <v>2248</v>
      </c>
      <c r="Z6862" s="782" t="s">
        <v>2539</v>
      </c>
      <c r="AA6862" s="781">
        <f>$S$1*P!AA6862</f>
        <v>2.68366935483871E-4</v>
      </c>
      <c r="AB6862" s="780"/>
      <c r="AC6862" s="780"/>
      <c r="AD6862" s="780"/>
      <c r="AE6862" s="780"/>
      <c r="AF6862" s="780"/>
    </row>
    <row r="6863" spans="19:32" x14ac:dyDescent="0.35">
      <c r="S6863" s="780"/>
      <c r="T6863" s="928"/>
      <c r="U6863" s="928"/>
      <c r="V6863" s="928"/>
      <c r="W6863" s="780"/>
      <c r="X6863" s="881">
        <v>6859</v>
      </c>
      <c r="Y6863" s="881" t="s">
        <v>2248</v>
      </c>
      <c r="Z6863" s="881" t="s">
        <v>2538</v>
      </c>
      <c r="AA6863" s="890">
        <f>$S$1*P!AA6863</f>
        <v>0</v>
      </c>
      <c r="AB6863" s="780"/>
      <c r="AC6863" s="780"/>
      <c r="AD6863" s="780"/>
      <c r="AE6863" s="780"/>
      <c r="AF6863" s="780"/>
    </row>
    <row r="6864" spans="19:32" x14ac:dyDescent="0.35">
      <c r="S6864" s="780"/>
      <c r="T6864" s="928"/>
      <c r="U6864" s="928"/>
      <c r="V6864" s="928"/>
      <c r="W6864" s="780"/>
      <c r="X6864" s="881">
        <v>6860</v>
      </c>
      <c r="Y6864" s="881" t="s">
        <v>2248</v>
      </c>
      <c r="Z6864" s="881" t="s">
        <v>2537</v>
      </c>
      <c r="AA6864" s="890">
        <f>$S$1*P!AA6864</f>
        <v>0.58235999999999999</v>
      </c>
      <c r="AB6864" s="780"/>
      <c r="AC6864" s="780"/>
      <c r="AD6864" s="780"/>
      <c r="AE6864" s="780"/>
      <c r="AF6864" s="780"/>
    </row>
    <row r="6865" spans="19:32" x14ac:dyDescent="0.35">
      <c r="S6865" s="780"/>
      <c r="T6865" s="928"/>
      <c r="U6865" s="928"/>
      <c r="V6865" s="928"/>
      <c r="W6865" s="780"/>
      <c r="X6865" s="782">
        <v>6861</v>
      </c>
      <c r="Y6865" s="782" t="s">
        <v>2248</v>
      </c>
      <c r="Z6865" s="782" t="s">
        <v>2536</v>
      </c>
      <c r="AA6865" s="781">
        <f>$S$1*P!AA6865</f>
        <v>3.9072580645161292E-4</v>
      </c>
      <c r="AB6865" s="780"/>
      <c r="AC6865" s="780"/>
      <c r="AD6865" s="780"/>
      <c r="AE6865" s="780"/>
      <c r="AF6865" s="780"/>
    </row>
    <row r="6866" spans="19:32" x14ac:dyDescent="0.35">
      <c r="S6866" s="780"/>
      <c r="T6866" s="928"/>
      <c r="U6866" s="928"/>
      <c r="V6866" s="928"/>
      <c r="W6866" s="780"/>
      <c r="X6866" s="881">
        <v>6862</v>
      </c>
      <c r="Y6866" s="881" t="s">
        <v>2248</v>
      </c>
      <c r="Z6866" s="881" t="s">
        <v>2535</v>
      </c>
      <c r="AA6866" s="890">
        <f>$S$1*P!AA6866</f>
        <v>0</v>
      </c>
      <c r="AB6866" s="780"/>
      <c r="AC6866" s="780"/>
      <c r="AD6866" s="780"/>
      <c r="AE6866" s="780"/>
      <c r="AF6866" s="780"/>
    </row>
    <row r="6867" spans="19:32" x14ac:dyDescent="0.35">
      <c r="S6867" s="780"/>
      <c r="T6867" s="928"/>
      <c r="U6867" s="928"/>
      <c r="V6867" s="928"/>
      <c r="W6867" s="780"/>
      <c r="X6867" s="881">
        <v>6863</v>
      </c>
      <c r="Y6867" s="881" t="s">
        <v>2248</v>
      </c>
      <c r="Z6867" s="881" t="s">
        <v>2534</v>
      </c>
      <c r="AA6867" s="890">
        <f>$S$1*P!AA6867</f>
        <v>0</v>
      </c>
      <c r="AB6867" s="780"/>
      <c r="AC6867" s="780"/>
      <c r="AD6867" s="780"/>
      <c r="AE6867" s="780"/>
      <c r="AF6867" s="780"/>
    </row>
    <row r="6868" spans="19:32" x14ac:dyDescent="0.35">
      <c r="S6868" s="780"/>
      <c r="T6868" s="928"/>
      <c r="U6868" s="928"/>
      <c r="V6868" s="928"/>
      <c r="W6868" s="780"/>
      <c r="X6868" s="782">
        <v>6864</v>
      </c>
      <c r="Y6868" s="782" t="s">
        <v>2248</v>
      </c>
      <c r="Z6868" s="782" t="s">
        <v>2533</v>
      </c>
      <c r="AA6868" s="781">
        <f>$S$1*P!AA6868</f>
        <v>5.1411290322580646E-3</v>
      </c>
      <c r="AB6868" s="780"/>
      <c r="AC6868" s="780"/>
      <c r="AD6868" s="780"/>
      <c r="AE6868" s="780"/>
      <c r="AF6868" s="780"/>
    </row>
    <row r="6869" spans="19:32" x14ac:dyDescent="0.35">
      <c r="S6869" s="780"/>
      <c r="T6869" s="928"/>
      <c r="U6869" s="928"/>
      <c r="V6869" s="928"/>
      <c r="W6869" s="780"/>
      <c r="X6869" s="881">
        <v>6865</v>
      </c>
      <c r="Y6869" s="881" t="s">
        <v>2248</v>
      </c>
      <c r="Z6869" s="881" t="s">
        <v>2532</v>
      </c>
      <c r="AA6869" s="890">
        <f>$S$1*P!AA6869</f>
        <v>9.0251999999999999</v>
      </c>
      <c r="AB6869" s="780"/>
      <c r="AC6869" s="780"/>
      <c r="AD6869" s="780"/>
      <c r="AE6869" s="780"/>
      <c r="AF6869" s="780"/>
    </row>
    <row r="6870" spans="19:32" x14ac:dyDescent="0.35">
      <c r="S6870" s="780"/>
      <c r="T6870" s="928"/>
      <c r="U6870" s="928"/>
      <c r="V6870" s="928"/>
      <c r="W6870" s="780"/>
      <c r="X6870" s="881">
        <v>6866</v>
      </c>
      <c r="Y6870" s="881" t="s">
        <v>2248</v>
      </c>
      <c r="Z6870" s="881" t="s">
        <v>2531</v>
      </c>
      <c r="AA6870" s="890">
        <f>$S$1*P!AA6870</f>
        <v>92</v>
      </c>
      <c r="AB6870" s="780"/>
      <c r="AC6870" s="780"/>
      <c r="AD6870" s="780"/>
      <c r="AE6870" s="780"/>
      <c r="AF6870" s="780"/>
    </row>
    <row r="6871" spans="19:32" x14ac:dyDescent="0.35">
      <c r="S6871" s="780"/>
      <c r="T6871" s="928"/>
      <c r="U6871" s="928"/>
      <c r="V6871" s="928"/>
      <c r="W6871" s="780"/>
      <c r="X6871" s="782">
        <v>6867</v>
      </c>
      <c r="Y6871" s="782" t="s">
        <v>2248</v>
      </c>
      <c r="Z6871" s="782" t="s">
        <v>2530</v>
      </c>
      <c r="AA6871" s="781">
        <f>$S$1*P!AA6871</f>
        <v>1.2750000000000001E-2</v>
      </c>
      <c r="AB6871" s="780"/>
      <c r="AC6871" s="780"/>
      <c r="AD6871" s="780"/>
      <c r="AE6871" s="780"/>
      <c r="AF6871" s="780"/>
    </row>
    <row r="6872" spans="19:32" x14ac:dyDescent="0.35">
      <c r="S6872" s="780"/>
      <c r="T6872" s="928"/>
      <c r="U6872" s="928"/>
      <c r="V6872" s="928"/>
      <c r="W6872" s="780"/>
      <c r="X6872" s="881">
        <v>6868</v>
      </c>
      <c r="Y6872" s="881" t="s">
        <v>2248</v>
      </c>
      <c r="Z6872" s="881" t="s">
        <v>2529</v>
      </c>
      <c r="AA6872" s="890">
        <f>$S$1*P!AA6872</f>
        <v>0</v>
      </c>
      <c r="AB6872" s="780"/>
      <c r="AC6872" s="780"/>
      <c r="AD6872" s="780"/>
      <c r="AE6872" s="780"/>
      <c r="AF6872" s="780"/>
    </row>
    <row r="6873" spans="19:32" x14ac:dyDescent="0.35">
      <c r="S6873" s="780"/>
      <c r="T6873" s="928"/>
      <c r="U6873" s="928"/>
      <c r="V6873" s="928"/>
      <c r="W6873" s="780"/>
      <c r="X6873" s="782">
        <v>6869</v>
      </c>
      <c r="Y6873" s="782" t="s">
        <v>2248</v>
      </c>
      <c r="Z6873" s="782" t="s">
        <v>2528</v>
      </c>
      <c r="AA6873" s="781">
        <f>$S$1*P!AA6873</f>
        <v>1.0487903225806453E-3</v>
      </c>
      <c r="AB6873" s="780"/>
      <c r="AC6873" s="780"/>
      <c r="AD6873" s="780"/>
      <c r="AE6873" s="780"/>
      <c r="AF6873" s="780"/>
    </row>
    <row r="6874" spans="19:32" x14ac:dyDescent="0.35">
      <c r="S6874" s="780"/>
      <c r="T6874" s="928"/>
      <c r="U6874" s="928"/>
      <c r="V6874" s="928"/>
      <c r="W6874" s="780"/>
      <c r="X6874" s="881">
        <v>6870</v>
      </c>
      <c r="Y6874" s="881" t="s">
        <v>2248</v>
      </c>
      <c r="Z6874" s="881" t="s">
        <v>2527</v>
      </c>
      <c r="AA6874" s="890">
        <f>$S$1*P!AA6874</f>
        <v>4.9404000000000003</v>
      </c>
      <c r="AB6874" s="780"/>
      <c r="AC6874" s="780"/>
      <c r="AD6874" s="780"/>
      <c r="AE6874" s="780"/>
      <c r="AF6874" s="780"/>
    </row>
    <row r="6875" spans="19:32" x14ac:dyDescent="0.35">
      <c r="S6875" s="780"/>
      <c r="T6875" s="928"/>
      <c r="U6875" s="928"/>
      <c r="V6875" s="928"/>
      <c r="W6875" s="780"/>
      <c r="X6875" s="881">
        <v>6871</v>
      </c>
      <c r="Y6875" s="881" t="s">
        <v>2248</v>
      </c>
      <c r="Z6875" s="881" t="s">
        <v>2526</v>
      </c>
      <c r="AA6875" s="890">
        <f>$S$1*P!AA6875</f>
        <v>0.68079999999999996</v>
      </c>
      <c r="AB6875" s="780"/>
      <c r="AC6875" s="780"/>
      <c r="AD6875" s="780"/>
      <c r="AE6875" s="780"/>
      <c r="AF6875" s="780"/>
    </row>
    <row r="6876" spans="19:32" x14ac:dyDescent="0.35">
      <c r="S6876" s="780"/>
      <c r="T6876" s="928"/>
      <c r="U6876" s="928"/>
      <c r="V6876" s="928"/>
      <c r="W6876" s="780"/>
      <c r="X6876" s="782">
        <v>6872</v>
      </c>
      <c r="Y6876" s="782" t="s">
        <v>2248</v>
      </c>
      <c r="Z6876" s="782" t="s">
        <v>2525</v>
      </c>
      <c r="AA6876" s="781">
        <f>$S$1*P!AA6876</f>
        <v>8.9112903225806455E-4</v>
      </c>
      <c r="AB6876" s="780"/>
      <c r="AC6876" s="780"/>
      <c r="AD6876" s="780"/>
      <c r="AE6876" s="780"/>
      <c r="AF6876" s="780"/>
    </row>
    <row r="6877" spans="19:32" x14ac:dyDescent="0.35">
      <c r="S6877" s="780"/>
      <c r="T6877" s="928"/>
      <c r="U6877" s="928"/>
      <c r="V6877" s="928"/>
      <c r="W6877" s="780"/>
      <c r="X6877" s="881">
        <v>6873</v>
      </c>
      <c r="Y6877" s="881" t="s">
        <v>2248</v>
      </c>
      <c r="Z6877" s="881" t="s">
        <v>2524</v>
      </c>
      <c r="AA6877" s="890">
        <f>$S$1*P!AA6877</f>
        <v>0.93840000000000001</v>
      </c>
      <c r="AB6877" s="780"/>
      <c r="AC6877" s="780"/>
      <c r="AD6877" s="780"/>
      <c r="AE6877" s="780"/>
      <c r="AF6877" s="780"/>
    </row>
    <row r="6878" spans="19:32" x14ac:dyDescent="0.35">
      <c r="S6878" s="780"/>
      <c r="T6878" s="928"/>
      <c r="U6878" s="928"/>
      <c r="V6878" s="928"/>
      <c r="W6878" s="780"/>
      <c r="X6878" s="881">
        <v>6874</v>
      </c>
      <c r="Y6878" s="881" t="s">
        <v>2248</v>
      </c>
      <c r="Z6878" s="881" t="s">
        <v>2523</v>
      </c>
      <c r="AA6878" s="890">
        <f>$S$1*P!AA6878</f>
        <v>1.4536</v>
      </c>
      <c r="AB6878" s="780"/>
      <c r="AC6878" s="780"/>
      <c r="AD6878" s="780"/>
      <c r="AE6878" s="780"/>
      <c r="AF6878" s="780"/>
    </row>
    <row r="6879" spans="19:32" x14ac:dyDescent="0.35">
      <c r="S6879" s="780"/>
      <c r="T6879" s="928"/>
      <c r="U6879" s="928"/>
      <c r="V6879" s="928"/>
      <c r="W6879" s="780"/>
      <c r="X6879" s="782">
        <v>6875</v>
      </c>
      <c r="Y6879" s="782" t="s">
        <v>2248</v>
      </c>
      <c r="Z6879" s="782" t="s">
        <v>2522</v>
      </c>
      <c r="AA6879" s="781">
        <f>$S$1*P!AA6879</f>
        <v>1.3846774193548388E-3</v>
      </c>
      <c r="AB6879" s="780"/>
      <c r="AC6879" s="780"/>
      <c r="AD6879" s="780"/>
      <c r="AE6879" s="780"/>
      <c r="AF6879" s="780"/>
    </row>
    <row r="6880" spans="19:32" x14ac:dyDescent="0.35">
      <c r="S6880" s="780"/>
      <c r="T6880" s="928"/>
      <c r="U6880" s="928"/>
      <c r="V6880" s="928"/>
      <c r="W6880" s="780"/>
      <c r="X6880" s="881">
        <v>6876</v>
      </c>
      <c r="Y6880" s="881" t="s">
        <v>2248</v>
      </c>
      <c r="Z6880" s="881" t="s">
        <v>2521</v>
      </c>
      <c r="AA6880" s="890">
        <f>$S$1*P!AA6880</f>
        <v>0</v>
      </c>
      <c r="AB6880" s="780"/>
      <c r="AC6880" s="780"/>
      <c r="AD6880" s="780"/>
      <c r="AE6880" s="780"/>
      <c r="AF6880" s="780"/>
    </row>
    <row r="6881" spans="19:32" x14ac:dyDescent="0.35">
      <c r="S6881" s="780"/>
      <c r="T6881" s="928"/>
      <c r="U6881" s="928"/>
      <c r="V6881" s="928"/>
      <c r="W6881" s="780"/>
      <c r="X6881" s="881">
        <v>6877</v>
      </c>
      <c r="Y6881" s="881" t="s">
        <v>2248</v>
      </c>
      <c r="Z6881" s="881" t="s">
        <v>2520</v>
      </c>
      <c r="AA6881" s="890">
        <f>$S$1*P!AA6881</f>
        <v>10.856</v>
      </c>
      <c r="AB6881" s="780"/>
      <c r="AC6881" s="780"/>
      <c r="AD6881" s="780"/>
      <c r="AE6881" s="780"/>
      <c r="AF6881" s="780"/>
    </row>
    <row r="6882" spans="19:32" x14ac:dyDescent="0.35">
      <c r="S6882" s="780"/>
      <c r="T6882" s="928"/>
      <c r="U6882" s="928"/>
      <c r="V6882" s="928"/>
      <c r="W6882" s="780"/>
      <c r="X6882" s="782">
        <v>6878</v>
      </c>
      <c r="Y6882" s="782" t="s">
        <v>2248</v>
      </c>
      <c r="Z6882" s="782" t="s">
        <v>2519</v>
      </c>
      <c r="AA6882" s="781">
        <f>$S$1*P!AA6882</f>
        <v>1.878225806451613E-3</v>
      </c>
      <c r="AB6882" s="780"/>
      <c r="AC6882" s="780"/>
      <c r="AD6882" s="780"/>
      <c r="AE6882" s="780"/>
      <c r="AF6882" s="780"/>
    </row>
    <row r="6883" spans="19:32" x14ac:dyDescent="0.35">
      <c r="S6883" s="780"/>
      <c r="T6883" s="928"/>
      <c r="U6883" s="928"/>
      <c r="V6883" s="928"/>
      <c r="W6883" s="780"/>
      <c r="X6883" s="881">
        <v>6879</v>
      </c>
      <c r="Y6883" s="881" t="s">
        <v>2248</v>
      </c>
      <c r="Z6883" s="881" t="s">
        <v>2518</v>
      </c>
      <c r="AA6883" s="890">
        <f>$S$1*P!AA6883</f>
        <v>7.2772000000000006</v>
      </c>
      <c r="AB6883" s="780"/>
      <c r="AC6883" s="780"/>
      <c r="AD6883" s="780"/>
      <c r="AE6883" s="780"/>
      <c r="AF6883" s="780"/>
    </row>
    <row r="6884" spans="19:32" x14ac:dyDescent="0.35">
      <c r="S6884" s="780"/>
      <c r="T6884" s="928"/>
      <c r="U6884" s="928"/>
      <c r="V6884" s="928"/>
      <c r="W6884" s="780"/>
      <c r="X6884" s="881">
        <v>6880</v>
      </c>
      <c r="Y6884" s="881" t="s">
        <v>2248</v>
      </c>
      <c r="Z6884" s="881" t="s">
        <v>2517</v>
      </c>
      <c r="AA6884" s="890">
        <f>$S$1*P!AA6884</f>
        <v>187.68</v>
      </c>
      <c r="AB6884" s="780"/>
      <c r="AC6884" s="780"/>
      <c r="AD6884" s="780"/>
      <c r="AE6884" s="780"/>
      <c r="AF6884" s="780"/>
    </row>
    <row r="6885" spans="19:32" x14ac:dyDescent="0.35">
      <c r="S6885" s="780"/>
      <c r="T6885" s="928"/>
      <c r="U6885" s="928"/>
      <c r="V6885" s="928"/>
      <c r="W6885" s="780"/>
      <c r="X6885" s="782">
        <v>6881</v>
      </c>
      <c r="Y6885" s="782" t="s">
        <v>2248</v>
      </c>
      <c r="Z6885" s="782" t="s">
        <v>2516</v>
      </c>
      <c r="AA6885" s="781">
        <f>$S$1*P!AA6885</f>
        <v>1.6383064516129035E-2</v>
      </c>
      <c r="AB6885" s="780"/>
      <c r="AC6885" s="780"/>
      <c r="AD6885" s="780"/>
      <c r="AE6885" s="780"/>
      <c r="AF6885" s="780"/>
    </row>
    <row r="6886" spans="19:32" x14ac:dyDescent="0.35">
      <c r="S6886" s="780"/>
      <c r="T6886" s="928"/>
      <c r="U6886" s="928"/>
      <c r="V6886" s="928"/>
      <c r="W6886" s="780"/>
      <c r="X6886" s="881">
        <v>6882</v>
      </c>
      <c r="Y6886" s="881" t="s">
        <v>2248</v>
      </c>
      <c r="Z6886" s="881" t="s">
        <v>2515</v>
      </c>
      <c r="AA6886" s="890">
        <f>$S$1*P!AA6886</f>
        <v>0.22631999999999999</v>
      </c>
      <c r="AB6886" s="780"/>
      <c r="AC6886" s="780"/>
      <c r="AD6886" s="780"/>
      <c r="AE6886" s="780"/>
      <c r="AF6886" s="780"/>
    </row>
    <row r="6887" spans="19:32" x14ac:dyDescent="0.35">
      <c r="S6887" s="780"/>
      <c r="T6887" s="928"/>
      <c r="U6887" s="928"/>
      <c r="V6887" s="928"/>
      <c r="W6887" s="780"/>
      <c r="X6887" s="782">
        <v>6883</v>
      </c>
      <c r="Y6887" s="782" t="s">
        <v>2248</v>
      </c>
      <c r="Z6887" s="782" t="s">
        <v>2514</v>
      </c>
      <c r="AA6887" s="781">
        <f>$S$1*P!AA6887</f>
        <v>8.9112903225806455E-4</v>
      </c>
      <c r="AB6887" s="780"/>
      <c r="AC6887" s="780"/>
      <c r="AD6887" s="780"/>
      <c r="AE6887" s="780"/>
      <c r="AF6887" s="780"/>
    </row>
    <row r="6888" spans="19:32" x14ac:dyDescent="0.35">
      <c r="S6888" s="780"/>
      <c r="T6888" s="928"/>
      <c r="U6888" s="928"/>
      <c r="V6888" s="928"/>
      <c r="W6888" s="780"/>
      <c r="X6888" s="881">
        <v>6884</v>
      </c>
      <c r="Y6888" s="881" t="s">
        <v>2248</v>
      </c>
      <c r="Z6888" s="881" t="s">
        <v>2513</v>
      </c>
      <c r="AA6888" s="890">
        <f>$S$1*P!AA6888</f>
        <v>0</v>
      </c>
      <c r="AB6888" s="780"/>
      <c r="AC6888" s="780"/>
      <c r="AD6888" s="780"/>
      <c r="AE6888" s="780"/>
      <c r="AF6888" s="780"/>
    </row>
    <row r="6889" spans="19:32" x14ac:dyDescent="0.35">
      <c r="S6889" s="780"/>
      <c r="T6889" s="928"/>
      <c r="U6889" s="928"/>
      <c r="V6889" s="928"/>
      <c r="W6889" s="780"/>
      <c r="X6889" s="881">
        <v>6885</v>
      </c>
      <c r="Y6889" s="881" t="s">
        <v>2248</v>
      </c>
      <c r="Z6889" s="881" t="s">
        <v>2512</v>
      </c>
      <c r="AA6889" s="890">
        <f>$S$1*P!AA6889</f>
        <v>0</v>
      </c>
      <c r="AB6889" s="780"/>
      <c r="AC6889" s="780"/>
      <c r="AD6889" s="780"/>
      <c r="AE6889" s="780"/>
      <c r="AF6889" s="780"/>
    </row>
    <row r="6890" spans="19:32" x14ac:dyDescent="0.35">
      <c r="S6890" s="780"/>
      <c r="T6890" s="928"/>
      <c r="U6890" s="928"/>
      <c r="V6890" s="928"/>
      <c r="W6890" s="780"/>
      <c r="X6890" s="782">
        <v>6886</v>
      </c>
      <c r="Y6890" s="782" t="s">
        <v>2248</v>
      </c>
      <c r="Z6890" s="782" t="s">
        <v>2511</v>
      </c>
      <c r="AA6890" s="781">
        <f>$S$1*P!AA6890</f>
        <v>9.5625000000000007E-5</v>
      </c>
      <c r="AB6890" s="780"/>
      <c r="AC6890" s="780"/>
      <c r="AD6890" s="780"/>
      <c r="AE6890" s="780"/>
      <c r="AF6890" s="780"/>
    </row>
    <row r="6891" spans="19:32" x14ac:dyDescent="0.35">
      <c r="S6891" s="780"/>
      <c r="T6891" s="928"/>
      <c r="U6891" s="928"/>
      <c r="V6891" s="928"/>
      <c r="W6891" s="780"/>
      <c r="X6891" s="881">
        <v>6887</v>
      </c>
      <c r="Y6891" s="881" t="s">
        <v>2248</v>
      </c>
      <c r="Z6891" s="881" t="s">
        <v>2510</v>
      </c>
      <c r="AA6891" s="890">
        <f>$S$1*P!AA6891</f>
        <v>0</v>
      </c>
      <c r="AB6891" s="780"/>
      <c r="AC6891" s="780"/>
      <c r="AD6891" s="780"/>
      <c r="AE6891" s="780"/>
      <c r="AF6891" s="780"/>
    </row>
    <row r="6892" spans="19:32" x14ac:dyDescent="0.35">
      <c r="S6892" s="780"/>
      <c r="T6892" s="928"/>
      <c r="U6892" s="928"/>
      <c r="V6892" s="928"/>
      <c r="W6892" s="780"/>
      <c r="X6892" s="881">
        <v>6888</v>
      </c>
      <c r="Y6892" s="881" t="s">
        <v>2248</v>
      </c>
      <c r="Z6892" s="881" t="s">
        <v>2509</v>
      </c>
      <c r="AA6892" s="890">
        <f>$S$1*P!AA6892</f>
        <v>0.23736000000000002</v>
      </c>
      <c r="AB6892" s="780"/>
      <c r="AC6892" s="780"/>
      <c r="AD6892" s="780"/>
      <c r="AE6892" s="780"/>
      <c r="AF6892" s="780"/>
    </row>
    <row r="6893" spans="19:32" x14ac:dyDescent="0.35">
      <c r="S6893" s="780"/>
      <c r="T6893" s="928"/>
      <c r="U6893" s="928"/>
      <c r="V6893" s="928"/>
      <c r="W6893" s="780"/>
      <c r="X6893" s="782">
        <v>6889</v>
      </c>
      <c r="Y6893" s="782" t="s">
        <v>2248</v>
      </c>
      <c r="Z6893" s="782" t="s">
        <v>2508</v>
      </c>
      <c r="AA6893" s="781">
        <f>$S$1*P!AA6893</f>
        <v>1.1584677419354839E-8</v>
      </c>
      <c r="AB6893" s="780"/>
      <c r="AC6893" s="780"/>
      <c r="AD6893" s="780"/>
      <c r="AE6893" s="780"/>
      <c r="AF6893" s="780"/>
    </row>
    <row r="6894" spans="19:32" x14ac:dyDescent="0.35">
      <c r="S6894" s="780"/>
      <c r="T6894" s="928"/>
      <c r="U6894" s="928"/>
      <c r="V6894" s="928"/>
      <c r="W6894" s="780"/>
      <c r="X6894" s="881">
        <v>6890</v>
      </c>
      <c r="Y6894" s="881" t="s">
        <v>2248</v>
      </c>
      <c r="Z6894" s="881" t="s">
        <v>2507</v>
      </c>
      <c r="AA6894" s="890">
        <f>$S$1*P!AA6894</f>
        <v>1.2787999999999999</v>
      </c>
      <c r="AB6894" s="780"/>
      <c r="AC6894" s="780"/>
      <c r="AD6894" s="780"/>
      <c r="AE6894" s="780"/>
      <c r="AF6894" s="780"/>
    </row>
    <row r="6895" spans="19:32" x14ac:dyDescent="0.35">
      <c r="S6895" s="780"/>
      <c r="T6895" s="928"/>
      <c r="U6895" s="928"/>
      <c r="V6895" s="928"/>
      <c r="W6895" s="780"/>
      <c r="X6895" s="881">
        <v>6891</v>
      </c>
      <c r="Y6895" s="881" t="s">
        <v>2248</v>
      </c>
      <c r="Z6895" s="881" t="s">
        <v>2506</v>
      </c>
      <c r="AA6895" s="890">
        <f>$S$1*P!AA6895</f>
        <v>0.45999999999999996</v>
      </c>
      <c r="AB6895" s="780"/>
      <c r="AC6895" s="780"/>
      <c r="AD6895" s="780"/>
      <c r="AE6895" s="780"/>
      <c r="AF6895" s="780"/>
    </row>
    <row r="6896" spans="19:32" x14ac:dyDescent="0.35">
      <c r="S6896" s="780"/>
      <c r="T6896" s="928"/>
      <c r="U6896" s="928"/>
      <c r="V6896" s="928"/>
      <c r="W6896" s="780"/>
      <c r="X6896" s="782">
        <v>6892</v>
      </c>
      <c r="Y6896" s="782" t="s">
        <v>2248</v>
      </c>
      <c r="Z6896" s="782" t="s">
        <v>2505</v>
      </c>
      <c r="AA6896" s="781">
        <f>$S$1*P!AA6896</f>
        <v>4.2500000000000003E-10</v>
      </c>
      <c r="AB6896" s="780"/>
      <c r="AC6896" s="780"/>
      <c r="AD6896" s="780"/>
      <c r="AE6896" s="780"/>
      <c r="AF6896" s="780"/>
    </row>
    <row r="6897" spans="19:32" x14ac:dyDescent="0.35">
      <c r="S6897" s="780"/>
      <c r="T6897" s="928"/>
      <c r="U6897" s="928"/>
      <c r="V6897" s="928"/>
      <c r="W6897" s="780"/>
      <c r="X6897" s="881">
        <v>6893</v>
      </c>
      <c r="Y6897" s="881" t="s">
        <v>2248</v>
      </c>
      <c r="Z6897" s="881" t="s">
        <v>2504</v>
      </c>
      <c r="AA6897" s="890">
        <f>$S$1*P!AA6897</f>
        <v>7.8200000000000006E-3</v>
      </c>
      <c r="AB6897" s="780"/>
      <c r="AC6897" s="780"/>
      <c r="AD6897" s="780"/>
      <c r="AE6897" s="780"/>
      <c r="AF6897" s="780"/>
    </row>
    <row r="6898" spans="19:32" x14ac:dyDescent="0.35">
      <c r="S6898" s="780"/>
      <c r="T6898" s="928"/>
      <c r="U6898" s="928"/>
      <c r="V6898" s="928"/>
      <c r="W6898" s="780"/>
      <c r="X6898" s="782">
        <v>6894</v>
      </c>
      <c r="Y6898" s="782" t="s">
        <v>2248</v>
      </c>
      <c r="Z6898" s="782" t="s">
        <v>2503</v>
      </c>
      <c r="AA6898" s="781">
        <f>$S$1*P!AA6898</f>
        <v>6.0665322580645168E-5</v>
      </c>
      <c r="AB6898" s="780"/>
      <c r="AC6898" s="780"/>
      <c r="AD6898" s="780"/>
      <c r="AE6898" s="780"/>
      <c r="AF6898" s="780"/>
    </row>
    <row r="6899" spans="19:32" x14ac:dyDescent="0.35">
      <c r="S6899" s="780"/>
      <c r="T6899" s="928"/>
      <c r="U6899" s="928"/>
      <c r="V6899" s="928"/>
      <c r="W6899" s="780"/>
      <c r="X6899" s="881">
        <v>6895</v>
      </c>
      <c r="Y6899" s="881" t="s">
        <v>2248</v>
      </c>
      <c r="Z6899" s="881" t="s">
        <v>2502</v>
      </c>
      <c r="AA6899" s="890">
        <f>$S$1*P!AA6899</f>
        <v>0</v>
      </c>
      <c r="AB6899" s="780"/>
      <c r="AC6899" s="780"/>
      <c r="AD6899" s="780"/>
      <c r="AE6899" s="780"/>
      <c r="AF6899" s="780"/>
    </row>
    <row r="6900" spans="19:32" x14ac:dyDescent="0.35">
      <c r="S6900" s="780"/>
      <c r="T6900" s="928"/>
      <c r="U6900" s="928"/>
      <c r="V6900" s="928"/>
      <c r="W6900" s="780"/>
      <c r="X6900" s="881">
        <v>6896</v>
      </c>
      <c r="Y6900" s="881" t="s">
        <v>2248</v>
      </c>
      <c r="Z6900" s="881" t="s">
        <v>2501</v>
      </c>
      <c r="AA6900" s="890">
        <f>$S$1*P!AA6900</f>
        <v>56.763999999999996</v>
      </c>
      <c r="AB6900" s="780"/>
      <c r="AC6900" s="780"/>
      <c r="AD6900" s="780"/>
      <c r="AE6900" s="780"/>
      <c r="AF6900" s="780"/>
    </row>
    <row r="6901" spans="19:32" x14ac:dyDescent="0.35">
      <c r="S6901" s="780"/>
      <c r="T6901" s="928"/>
      <c r="U6901" s="928"/>
      <c r="V6901" s="928"/>
      <c r="W6901" s="780"/>
      <c r="X6901" s="782">
        <v>6897</v>
      </c>
      <c r="Y6901" s="782" t="s">
        <v>2248</v>
      </c>
      <c r="Z6901" s="782" t="s">
        <v>2500</v>
      </c>
      <c r="AA6901" s="781">
        <f>$S$1*P!AA6901</f>
        <v>9.116935483870969E-4</v>
      </c>
      <c r="AB6901" s="780"/>
      <c r="AC6901" s="780"/>
      <c r="AD6901" s="780"/>
      <c r="AE6901" s="780"/>
      <c r="AF6901" s="780"/>
    </row>
    <row r="6902" spans="19:32" x14ac:dyDescent="0.35">
      <c r="S6902" s="780"/>
      <c r="T6902" s="928"/>
      <c r="U6902" s="928"/>
      <c r="V6902" s="928"/>
      <c r="W6902" s="780"/>
      <c r="X6902" s="881">
        <v>6898</v>
      </c>
      <c r="Y6902" s="881" t="s">
        <v>2248</v>
      </c>
      <c r="Z6902" s="881" t="s">
        <v>2499</v>
      </c>
      <c r="AA6902" s="890">
        <f>$S$1*P!AA6902</f>
        <v>0</v>
      </c>
      <c r="AB6902" s="780"/>
      <c r="AC6902" s="780"/>
      <c r="AD6902" s="780"/>
      <c r="AE6902" s="780"/>
      <c r="AF6902" s="780"/>
    </row>
    <row r="6903" spans="19:32" x14ac:dyDescent="0.35">
      <c r="S6903" s="780"/>
      <c r="T6903" s="928"/>
      <c r="U6903" s="928"/>
      <c r="V6903" s="928"/>
      <c r="W6903" s="780"/>
      <c r="X6903" s="881">
        <v>6899</v>
      </c>
      <c r="Y6903" s="881" t="s">
        <v>2248</v>
      </c>
      <c r="Z6903" s="881" t="s">
        <v>2498</v>
      </c>
      <c r="AA6903" s="890">
        <f>$S$1*P!AA6903</f>
        <v>0</v>
      </c>
      <c r="AB6903" s="780"/>
      <c r="AC6903" s="780"/>
      <c r="AD6903" s="780"/>
      <c r="AE6903" s="780"/>
      <c r="AF6903" s="780"/>
    </row>
    <row r="6904" spans="19:32" x14ac:dyDescent="0.35">
      <c r="S6904" s="780"/>
      <c r="T6904" s="928"/>
      <c r="U6904" s="928"/>
      <c r="V6904" s="928"/>
      <c r="W6904" s="780"/>
      <c r="X6904" s="782">
        <v>6900</v>
      </c>
      <c r="Y6904" s="782" t="s">
        <v>2248</v>
      </c>
      <c r="Z6904" s="782" t="s">
        <v>2497</v>
      </c>
      <c r="AA6904" s="781">
        <f>$S$1*P!AA6904</f>
        <v>8.9798387096774197E-3</v>
      </c>
      <c r="AB6904" s="780"/>
      <c r="AC6904" s="780"/>
      <c r="AD6904" s="780"/>
      <c r="AE6904" s="780"/>
      <c r="AF6904" s="780"/>
    </row>
    <row r="6905" spans="19:32" x14ac:dyDescent="0.35">
      <c r="S6905" s="780"/>
      <c r="T6905" s="928"/>
      <c r="U6905" s="928"/>
      <c r="V6905" s="928"/>
      <c r="W6905" s="780"/>
      <c r="X6905" s="881">
        <v>6901</v>
      </c>
      <c r="Y6905" s="881" t="s">
        <v>2248</v>
      </c>
      <c r="Z6905" s="881" t="s">
        <v>2496</v>
      </c>
      <c r="AA6905" s="890">
        <f>$S$1*P!AA6905</f>
        <v>0</v>
      </c>
      <c r="AB6905" s="780"/>
      <c r="AC6905" s="780"/>
      <c r="AD6905" s="780"/>
      <c r="AE6905" s="780"/>
      <c r="AF6905" s="780"/>
    </row>
    <row r="6906" spans="19:32" x14ac:dyDescent="0.35">
      <c r="S6906" s="780"/>
      <c r="T6906" s="928"/>
      <c r="U6906" s="928"/>
      <c r="V6906" s="928"/>
      <c r="W6906" s="780"/>
      <c r="X6906" s="881">
        <v>6902</v>
      </c>
      <c r="Y6906" s="881" t="s">
        <v>2248</v>
      </c>
      <c r="Z6906" s="881" t="s">
        <v>2495</v>
      </c>
      <c r="AA6906" s="890">
        <f>$S$1*P!AA6906</f>
        <v>0</v>
      </c>
      <c r="AB6906" s="780"/>
      <c r="AC6906" s="780"/>
      <c r="AD6906" s="780"/>
      <c r="AE6906" s="780"/>
      <c r="AF6906" s="780"/>
    </row>
    <row r="6907" spans="19:32" x14ac:dyDescent="0.35">
      <c r="S6907" s="780"/>
      <c r="T6907" s="928"/>
      <c r="U6907" s="928"/>
      <c r="V6907" s="928"/>
      <c r="W6907" s="780"/>
      <c r="X6907" s="782">
        <v>6903</v>
      </c>
      <c r="Y6907" s="782" t="s">
        <v>2248</v>
      </c>
      <c r="Z6907" s="782" t="s">
        <v>2494</v>
      </c>
      <c r="AA6907" s="781">
        <f>$S$1*P!AA6907</f>
        <v>9.45967741935484E-4</v>
      </c>
      <c r="AB6907" s="780"/>
      <c r="AC6907" s="780"/>
      <c r="AD6907" s="780"/>
      <c r="AE6907" s="780"/>
      <c r="AF6907" s="780"/>
    </row>
    <row r="6908" spans="19:32" x14ac:dyDescent="0.35">
      <c r="S6908" s="780"/>
      <c r="T6908" s="928"/>
      <c r="U6908" s="928"/>
      <c r="V6908" s="928"/>
      <c r="W6908" s="780"/>
      <c r="X6908" s="881">
        <v>6904</v>
      </c>
      <c r="Y6908" s="881" t="s">
        <v>2248</v>
      </c>
      <c r="Z6908" s="881" t="s">
        <v>2493</v>
      </c>
      <c r="AA6908" s="890">
        <f>$S$1*P!AA6908</f>
        <v>0.52163999999999999</v>
      </c>
      <c r="AB6908" s="780"/>
      <c r="AC6908" s="780"/>
      <c r="AD6908" s="780"/>
      <c r="AE6908" s="780"/>
      <c r="AF6908" s="780"/>
    </row>
    <row r="6909" spans="19:32" x14ac:dyDescent="0.35">
      <c r="S6909" s="780"/>
      <c r="T6909" s="928"/>
      <c r="U6909" s="928"/>
      <c r="V6909" s="928"/>
      <c r="W6909" s="780"/>
      <c r="X6909" s="881">
        <v>6905</v>
      </c>
      <c r="Y6909" s="881" t="s">
        <v>2248</v>
      </c>
      <c r="Z6909" s="881" t="s">
        <v>2492</v>
      </c>
      <c r="AA6909" s="890">
        <f>$S$1*P!AA6909</f>
        <v>5.2439999999999998</v>
      </c>
      <c r="AB6909" s="780"/>
      <c r="AC6909" s="780"/>
      <c r="AD6909" s="780"/>
      <c r="AE6909" s="780"/>
      <c r="AF6909" s="780"/>
    </row>
    <row r="6910" spans="19:32" x14ac:dyDescent="0.35">
      <c r="S6910" s="780"/>
      <c r="T6910" s="928"/>
      <c r="U6910" s="928"/>
      <c r="V6910" s="928"/>
      <c r="W6910" s="780"/>
      <c r="X6910" s="782">
        <v>6906</v>
      </c>
      <c r="Y6910" s="782" t="s">
        <v>2248</v>
      </c>
      <c r="Z6910" s="782" t="s">
        <v>2491</v>
      </c>
      <c r="AA6910" s="781">
        <f>$S$1*P!AA6910</f>
        <v>3.0881048387096776E-3</v>
      </c>
      <c r="AB6910" s="780"/>
      <c r="AC6910" s="780"/>
      <c r="AD6910" s="780"/>
      <c r="AE6910" s="780"/>
      <c r="AF6910" s="780"/>
    </row>
    <row r="6911" spans="19:32" x14ac:dyDescent="0.35">
      <c r="S6911" s="780"/>
      <c r="T6911" s="928"/>
      <c r="U6911" s="928"/>
      <c r="V6911" s="928"/>
      <c r="W6911" s="780"/>
      <c r="X6911" s="881">
        <v>6907</v>
      </c>
      <c r="Y6911" s="881" t="s">
        <v>2248</v>
      </c>
      <c r="Z6911" s="881" t="s">
        <v>2490</v>
      </c>
      <c r="AA6911" s="890">
        <f>$S$1*P!AA6911</f>
        <v>0</v>
      </c>
      <c r="AB6911" s="780"/>
      <c r="AC6911" s="780"/>
      <c r="AD6911" s="780"/>
      <c r="AE6911" s="780"/>
      <c r="AF6911" s="780"/>
    </row>
    <row r="6912" spans="19:32" x14ac:dyDescent="0.35">
      <c r="S6912" s="780"/>
      <c r="T6912" s="928"/>
      <c r="U6912" s="928"/>
      <c r="V6912" s="928"/>
      <c r="W6912" s="780"/>
      <c r="X6912" s="782">
        <v>6908</v>
      </c>
      <c r="Y6912" s="782" t="s">
        <v>2248</v>
      </c>
      <c r="Z6912" s="782" t="s">
        <v>2489</v>
      </c>
      <c r="AA6912" s="781">
        <f>$S$1*P!AA6912</f>
        <v>7.643145161290323E-5</v>
      </c>
      <c r="AB6912" s="780"/>
      <c r="AC6912" s="780"/>
      <c r="AD6912" s="780"/>
      <c r="AE6912" s="780"/>
      <c r="AF6912" s="780"/>
    </row>
    <row r="6913" spans="19:32" x14ac:dyDescent="0.35">
      <c r="S6913" s="780"/>
      <c r="T6913" s="928"/>
      <c r="U6913" s="928"/>
      <c r="V6913" s="928"/>
      <c r="W6913" s="780"/>
      <c r="X6913" s="881">
        <v>6909</v>
      </c>
      <c r="Y6913" s="881" t="s">
        <v>2248</v>
      </c>
      <c r="Z6913" s="881" t="s">
        <v>2488</v>
      </c>
      <c r="AA6913" s="890">
        <f>$S$1*P!AA6913</f>
        <v>1.0488000000000002</v>
      </c>
      <c r="AB6913" s="780"/>
      <c r="AC6913" s="780"/>
      <c r="AD6913" s="780"/>
      <c r="AE6913" s="780"/>
      <c r="AF6913" s="780"/>
    </row>
    <row r="6914" spans="19:32" x14ac:dyDescent="0.35">
      <c r="S6914" s="780"/>
      <c r="T6914" s="928"/>
      <c r="U6914" s="928"/>
      <c r="V6914" s="928"/>
      <c r="W6914" s="780"/>
      <c r="X6914" s="881">
        <v>6910</v>
      </c>
      <c r="Y6914" s="881" t="s">
        <v>2248</v>
      </c>
      <c r="Z6914" s="881" t="s">
        <v>2487</v>
      </c>
      <c r="AA6914" s="890">
        <f>$S$1*P!AA6914</f>
        <v>0</v>
      </c>
      <c r="AB6914" s="780"/>
      <c r="AC6914" s="780"/>
      <c r="AD6914" s="780"/>
      <c r="AE6914" s="780"/>
      <c r="AF6914" s="780"/>
    </row>
    <row r="6915" spans="19:32" x14ac:dyDescent="0.35">
      <c r="S6915" s="780"/>
      <c r="T6915" s="928"/>
      <c r="U6915" s="928"/>
      <c r="V6915" s="928"/>
      <c r="W6915" s="780"/>
      <c r="X6915" s="782">
        <v>6911</v>
      </c>
      <c r="Y6915" s="782" t="s">
        <v>2248</v>
      </c>
      <c r="Z6915" s="782" t="s">
        <v>2486</v>
      </c>
      <c r="AA6915" s="781">
        <f>$S$1*P!AA6915</f>
        <v>1.1858870967741937E-4</v>
      </c>
      <c r="AB6915" s="780"/>
      <c r="AC6915" s="780"/>
      <c r="AD6915" s="780"/>
      <c r="AE6915" s="780"/>
      <c r="AF6915" s="780"/>
    </row>
    <row r="6916" spans="19:32" x14ac:dyDescent="0.35">
      <c r="S6916" s="780"/>
      <c r="T6916" s="928"/>
      <c r="U6916" s="928"/>
      <c r="V6916" s="928"/>
      <c r="W6916" s="780"/>
      <c r="X6916" s="881">
        <v>6912</v>
      </c>
      <c r="Y6916" s="881" t="s">
        <v>2248</v>
      </c>
      <c r="Z6916" s="881" t="s">
        <v>2485</v>
      </c>
      <c r="AA6916" s="890">
        <f>$S$1*P!AA6916</f>
        <v>0.11224000000000001</v>
      </c>
      <c r="AB6916" s="780"/>
      <c r="AC6916" s="780"/>
      <c r="AD6916" s="780"/>
      <c r="AE6916" s="780"/>
      <c r="AF6916" s="780"/>
    </row>
    <row r="6917" spans="19:32" x14ac:dyDescent="0.35">
      <c r="S6917" s="780"/>
      <c r="T6917" s="928"/>
      <c r="U6917" s="928"/>
      <c r="V6917" s="928"/>
      <c r="W6917" s="780"/>
      <c r="X6917" s="881">
        <v>6913</v>
      </c>
      <c r="Y6917" s="881" t="s">
        <v>2248</v>
      </c>
      <c r="Z6917" s="881" t="s">
        <v>2484</v>
      </c>
      <c r="AA6917" s="890">
        <f>$S$1*P!AA6917</f>
        <v>2.3460000000000002E-2</v>
      </c>
      <c r="AB6917" s="780"/>
      <c r="AC6917" s="780"/>
      <c r="AD6917" s="780"/>
      <c r="AE6917" s="780"/>
      <c r="AF6917" s="780"/>
    </row>
    <row r="6918" spans="19:32" x14ac:dyDescent="0.35">
      <c r="S6918" s="780"/>
      <c r="T6918" s="928"/>
      <c r="U6918" s="928"/>
      <c r="V6918" s="928"/>
      <c r="W6918" s="780"/>
      <c r="X6918" s="782">
        <v>6914</v>
      </c>
      <c r="Y6918" s="782" t="s">
        <v>2248</v>
      </c>
      <c r="Z6918" s="782" t="s">
        <v>2483</v>
      </c>
      <c r="AA6918" s="781">
        <f>$S$1*P!AA6918</f>
        <v>3.5645161290322583E-6</v>
      </c>
      <c r="AB6918" s="780"/>
      <c r="AC6918" s="780"/>
      <c r="AD6918" s="780"/>
      <c r="AE6918" s="780"/>
      <c r="AF6918" s="780"/>
    </row>
    <row r="6919" spans="19:32" x14ac:dyDescent="0.35">
      <c r="S6919" s="780"/>
      <c r="T6919" s="928"/>
      <c r="U6919" s="928"/>
      <c r="V6919" s="928"/>
      <c r="W6919" s="780"/>
      <c r="X6919" s="881">
        <v>6915</v>
      </c>
      <c r="Y6919" s="881" t="s">
        <v>2248</v>
      </c>
      <c r="Z6919" s="881" t="s">
        <v>2482</v>
      </c>
      <c r="AA6919" s="890">
        <f>$S$1*P!AA6919</f>
        <v>5.7775999999999996</v>
      </c>
      <c r="AB6919" s="780"/>
      <c r="AC6919" s="780"/>
      <c r="AD6919" s="780"/>
      <c r="AE6919" s="780"/>
      <c r="AF6919" s="780"/>
    </row>
    <row r="6920" spans="19:32" x14ac:dyDescent="0.35">
      <c r="S6920" s="780"/>
      <c r="T6920" s="928"/>
      <c r="U6920" s="928"/>
      <c r="V6920" s="928"/>
      <c r="W6920" s="780"/>
      <c r="X6920" s="881">
        <v>6916</v>
      </c>
      <c r="Y6920" s="881" t="s">
        <v>2248</v>
      </c>
      <c r="Z6920" s="881" t="s">
        <v>2481</v>
      </c>
      <c r="AA6920" s="890">
        <f>$S$1*P!AA6920</f>
        <v>41.951999999999998</v>
      </c>
      <c r="AB6920" s="780"/>
      <c r="AC6920" s="780"/>
      <c r="AD6920" s="780"/>
      <c r="AE6920" s="780"/>
      <c r="AF6920" s="780"/>
    </row>
    <row r="6921" spans="19:32" x14ac:dyDescent="0.35">
      <c r="S6921" s="780"/>
      <c r="T6921" s="928"/>
      <c r="U6921" s="928"/>
      <c r="V6921" s="928"/>
      <c r="W6921" s="780"/>
      <c r="X6921" s="782">
        <v>6917</v>
      </c>
      <c r="Y6921" s="782" t="s">
        <v>2248</v>
      </c>
      <c r="Z6921" s="782" t="s">
        <v>2480</v>
      </c>
      <c r="AA6921" s="781">
        <f>$S$1*P!AA6921</f>
        <v>3.0469758064516133E-6</v>
      </c>
      <c r="AB6921" s="780"/>
      <c r="AC6921" s="780"/>
      <c r="AD6921" s="780"/>
      <c r="AE6921" s="780"/>
      <c r="AF6921" s="780"/>
    </row>
    <row r="6922" spans="19:32" x14ac:dyDescent="0.35">
      <c r="S6922" s="780"/>
      <c r="T6922" s="928"/>
      <c r="U6922" s="928"/>
      <c r="V6922" s="928"/>
      <c r="W6922" s="780"/>
      <c r="X6922" s="881">
        <v>6918</v>
      </c>
      <c r="Y6922" s="881" t="s">
        <v>2248</v>
      </c>
      <c r="Z6922" s="881" t="s">
        <v>2479</v>
      </c>
      <c r="AA6922" s="890">
        <f>$S$1*P!AA6922</f>
        <v>1.0580000000000001</v>
      </c>
      <c r="AB6922" s="780"/>
      <c r="AC6922" s="780"/>
      <c r="AD6922" s="780"/>
      <c r="AE6922" s="780"/>
      <c r="AF6922" s="780"/>
    </row>
    <row r="6923" spans="19:32" x14ac:dyDescent="0.35">
      <c r="S6923" s="780"/>
      <c r="T6923" s="928"/>
      <c r="U6923" s="928"/>
      <c r="V6923" s="928"/>
      <c r="W6923" s="780"/>
      <c r="X6923" s="782">
        <v>6919</v>
      </c>
      <c r="Y6923" s="782" t="s">
        <v>2248</v>
      </c>
      <c r="Z6923" s="782" t="s">
        <v>2478</v>
      </c>
      <c r="AA6923" s="781">
        <f>$S$1*P!AA6923</f>
        <v>8.9455645161290332E-3</v>
      </c>
      <c r="AB6923" s="780"/>
      <c r="AC6923" s="780"/>
      <c r="AD6923" s="780"/>
      <c r="AE6923" s="780"/>
      <c r="AF6923" s="780"/>
    </row>
    <row r="6924" spans="19:32" x14ac:dyDescent="0.35">
      <c r="S6924" s="780"/>
      <c r="T6924" s="928"/>
      <c r="U6924" s="928"/>
      <c r="V6924" s="928"/>
      <c r="W6924" s="780"/>
      <c r="X6924" s="881">
        <v>6920</v>
      </c>
      <c r="Y6924" s="881" t="s">
        <v>2248</v>
      </c>
      <c r="Z6924" s="881" t="s">
        <v>2477</v>
      </c>
      <c r="AA6924" s="890">
        <f>$S$1*P!AA6924</f>
        <v>0.437</v>
      </c>
      <c r="AB6924" s="780"/>
      <c r="AC6924" s="780"/>
      <c r="AD6924" s="780"/>
      <c r="AE6924" s="780"/>
      <c r="AF6924" s="780"/>
    </row>
    <row r="6925" spans="19:32" x14ac:dyDescent="0.35">
      <c r="S6925" s="780"/>
      <c r="T6925" s="928"/>
      <c r="U6925" s="928"/>
      <c r="V6925" s="928"/>
      <c r="W6925" s="780"/>
      <c r="X6925" s="881">
        <v>6921</v>
      </c>
      <c r="Y6925" s="881" t="s">
        <v>2248</v>
      </c>
      <c r="Z6925" s="881" t="s">
        <v>2476</v>
      </c>
      <c r="AA6925" s="890">
        <f>$S$1*P!AA6925</f>
        <v>825.24</v>
      </c>
      <c r="AB6925" s="780"/>
      <c r="AC6925" s="780"/>
      <c r="AD6925" s="780"/>
      <c r="AE6925" s="780"/>
      <c r="AF6925" s="780"/>
    </row>
    <row r="6926" spans="19:32" x14ac:dyDescent="0.35">
      <c r="S6926" s="780"/>
      <c r="T6926" s="928"/>
      <c r="U6926" s="928"/>
      <c r="V6926" s="928"/>
      <c r="W6926" s="780"/>
      <c r="X6926" s="782">
        <v>6922</v>
      </c>
      <c r="Y6926" s="782" t="s">
        <v>2248</v>
      </c>
      <c r="Z6926" s="782" t="s">
        <v>2475</v>
      </c>
      <c r="AA6926" s="781">
        <f>$S$1*P!AA6926</f>
        <v>7.8830645161290333E-4</v>
      </c>
      <c r="AB6926" s="780"/>
      <c r="AC6926" s="780"/>
      <c r="AD6926" s="780"/>
      <c r="AE6926" s="780"/>
      <c r="AF6926" s="780"/>
    </row>
    <row r="6927" spans="19:32" x14ac:dyDescent="0.35">
      <c r="S6927" s="780"/>
      <c r="T6927" s="928"/>
      <c r="U6927" s="928"/>
      <c r="V6927" s="928"/>
      <c r="W6927" s="780"/>
      <c r="X6927" s="881">
        <v>6923</v>
      </c>
      <c r="Y6927" s="881" t="s">
        <v>2248</v>
      </c>
      <c r="Z6927" s="881" t="s">
        <v>2474</v>
      </c>
      <c r="AA6927" s="890">
        <f>$S$1*P!AA6927</f>
        <v>0.49772</v>
      </c>
      <c r="AB6927" s="780"/>
      <c r="AC6927" s="780"/>
      <c r="AD6927" s="780"/>
      <c r="AE6927" s="780"/>
      <c r="AF6927" s="780"/>
    </row>
    <row r="6928" spans="19:32" x14ac:dyDescent="0.35">
      <c r="S6928" s="780"/>
      <c r="T6928" s="928"/>
      <c r="U6928" s="928"/>
      <c r="V6928" s="928"/>
      <c r="W6928" s="780"/>
      <c r="X6928" s="881">
        <v>6924</v>
      </c>
      <c r="Y6928" s="881" t="s">
        <v>2248</v>
      </c>
      <c r="Z6928" s="881" t="s">
        <v>2473</v>
      </c>
      <c r="AA6928" s="890">
        <f>$S$1*P!AA6928</f>
        <v>0</v>
      </c>
      <c r="AB6928" s="780"/>
      <c r="AC6928" s="780"/>
      <c r="AD6928" s="780"/>
      <c r="AE6928" s="780"/>
      <c r="AF6928" s="780"/>
    </row>
    <row r="6929" spans="19:32" x14ac:dyDescent="0.35">
      <c r="S6929" s="780"/>
      <c r="T6929" s="928"/>
      <c r="U6929" s="928"/>
      <c r="V6929" s="928"/>
      <c r="W6929" s="780"/>
      <c r="X6929" s="782">
        <v>6925</v>
      </c>
      <c r="Y6929" s="782" t="s">
        <v>2248</v>
      </c>
      <c r="Z6929" s="782" t="s">
        <v>2472</v>
      </c>
      <c r="AA6929" s="781">
        <f>$S$1*P!AA6929</f>
        <v>1.7068548387096776E-5</v>
      </c>
      <c r="AB6929" s="780"/>
      <c r="AC6929" s="780"/>
      <c r="AD6929" s="780"/>
      <c r="AE6929" s="780"/>
      <c r="AF6929" s="780"/>
    </row>
    <row r="6930" spans="19:32" x14ac:dyDescent="0.35">
      <c r="S6930" s="780"/>
      <c r="T6930" s="928"/>
      <c r="U6930" s="928"/>
      <c r="V6930" s="928"/>
      <c r="W6930" s="780"/>
      <c r="X6930" s="881">
        <v>6926</v>
      </c>
      <c r="Y6930" s="881" t="s">
        <v>2248</v>
      </c>
      <c r="Z6930" s="881" t="s">
        <v>2471</v>
      </c>
      <c r="AA6930" s="890">
        <f>$S$1*P!AA6930</f>
        <v>194.12</v>
      </c>
      <c r="AB6930" s="780"/>
      <c r="AC6930" s="780"/>
      <c r="AD6930" s="780"/>
      <c r="AE6930" s="780"/>
      <c r="AF6930" s="780"/>
    </row>
    <row r="6931" spans="19:32" x14ac:dyDescent="0.35">
      <c r="S6931" s="780"/>
      <c r="T6931" s="928"/>
      <c r="U6931" s="928"/>
      <c r="V6931" s="928"/>
      <c r="W6931" s="780"/>
      <c r="X6931" s="881">
        <v>6927</v>
      </c>
      <c r="Y6931" s="881" t="s">
        <v>2248</v>
      </c>
      <c r="Z6931" s="881" t="s">
        <v>2470</v>
      </c>
      <c r="AA6931" s="890">
        <f>$S$1*P!AA6931</f>
        <v>2.5760000000000001</v>
      </c>
      <c r="AB6931" s="780"/>
      <c r="AC6931" s="780"/>
      <c r="AD6931" s="780"/>
      <c r="AE6931" s="780"/>
      <c r="AF6931" s="780"/>
    </row>
    <row r="6932" spans="19:32" x14ac:dyDescent="0.35">
      <c r="S6932" s="780"/>
      <c r="T6932" s="928"/>
      <c r="U6932" s="928"/>
      <c r="V6932" s="928"/>
      <c r="W6932" s="780"/>
      <c r="X6932" s="782">
        <v>6928</v>
      </c>
      <c r="Y6932" s="782" t="s">
        <v>2248</v>
      </c>
      <c r="Z6932" s="782" t="s">
        <v>2469</v>
      </c>
      <c r="AA6932" s="781">
        <f>$S$1*P!AA6932</f>
        <v>1.3983870967741936</v>
      </c>
      <c r="AB6932" s="780"/>
      <c r="AC6932" s="780"/>
      <c r="AD6932" s="780"/>
      <c r="AE6932" s="780"/>
      <c r="AF6932" s="780"/>
    </row>
    <row r="6933" spans="19:32" x14ac:dyDescent="0.35">
      <c r="S6933" s="780"/>
      <c r="T6933" s="928"/>
      <c r="U6933" s="928"/>
      <c r="V6933" s="928"/>
      <c r="W6933" s="780"/>
      <c r="X6933" s="881">
        <v>6929</v>
      </c>
      <c r="Y6933" s="881" t="s">
        <v>2248</v>
      </c>
      <c r="Z6933" s="881" t="s">
        <v>2468</v>
      </c>
      <c r="AA6933" s="890">
        <f>$S$1*P!AA6933</f>
        <v>1.6008</v>
      </c>
      <c r="AB6933" s="780"/>
      <c r="AC6933" s="780"/>
      <c r="AD6933" s="780"/>
      <c r="AE6933" s="780"/>
      <c r="AF6933" s="780"/>
    </row>
    <row r="6934" spans="19:32" x14ac:dyDescent="0.35">
      <c r="S6934" s="780"/>
      <c r="T6934" s="928"/>
      <c r="U6934" s="928"/>
      <c r="V6934" s="928"/>
      <c r="W6934" s="780"/>
      <c r="X6934" s="881">
        <v>6930</v>
      </c>
      <c r="Y6934" s="881" t="s">
        <v>2248</v>
      </c>
      <c r="Z6934" s="881" t="s">
        <v>2467</v>
      </c>
      <c r="AA6934" s="890">
        <f>$S$1*P!AA6934</f>
        <v>135.24</v>
      </c>
      <c r="AB6934" s="780"/>
      <c r="AC6934" s="780"/>
      <c r="AD6934" s="780"/>
      <c r="AE6934" s="780"/>
      <c r="AF6934" s="780"/>
    </row>
    <row r="6935" spans="19:32" x14ac:dyDescent="0.35">
      <c r="S6935" s="780"/>
      <c r="T6935" s="928"/>
      <c r="U6935" s="928"/>
      <c r="V6935" s="928"/>
      <c r="W6935" s="780"/>
      <c r="X6935" s="782">
        <v>6931</v>
      </c>
      <c r="Y6935" s="782" t="s">
        <v>2248</v>
      </c>
      <c r="Z6935" s="782" t="s">
        <v>2466</v>
      </c>
      <c r="AA6935" s="781">
        <f>$S$1*P!AA6935</f>
        <v>1.3572580645161293E-3</v>
      </c>
      <c r="AB6935" s="780"/>
      <c r="AC6935" s="780"/>
      <c r="AD6935" s="780"/>
      <c r="AE6935" s="780"/>
      <c r="AF6935" s="780"/>
    </row>
    <row r="6936" spans="19:32" x14ac:dyDescent="0.35">
      <c r="S6936" s="780"/>
      <c r="T6936" s="928"/>
      <c r="U6936" s="928"/>
      <c r="V6936" s="928"/>
      <c r="W6936" s="780"/>
      <c r="X6936" s="881">
        <v>6932</v>
      </c>
      <c r="Y6936" s="881" t="s">
        <v>2248</v>
      </c>
      <c r="Z6936" s="881" t="s">
        <v>2465</v>
      </c>
      <c r="AA6936" s="890">
        <f>$S$1*P!AA6936</f>
        <v>154.56</v>
      </c>
      <c r="AB6936" s="780"/>
      <c r="AC6936" s="780"/>
      <c r="AD6936" s="780"/>
      <c r="AE6936" s="780"/>
      <c r="AF6936" s="780"/>
    </row>
    <row r="6937" spans="19:32" x14ac:dyDescent="0.35">
      <c r="S6937" s="780"/>
      <c r="T6937" s="928"/>
      <c r="U6937" s="928"/>
      <c r="V6937" s="928"/>
      <c r="W6937" s="780"/>
      <c r="X6937" s="782">
        <v>6933</v>
      </c>
      <c r="Y6937" s="782" t="s">
        <v>2248</v>
      </c>
      <c r="Z6937" s="782" t="s">
        <v>2464</v>
      </c>
      <c r="AA6937" s="781">
        <f>$S$1*P!AA6937</f>
        <v>1.3024193548387097E-4</v>
      </c>
      <c r="AB6937" s="780"/>
      <c r="AC6937" s="780"/>
      <c r="AD6937" s="780"/>
      <c r="AE6937" s="780"/>
      <c r="AF6937" s="780"/>
    </row>
    <row r="6938" spans="19:32" x14ac:dyDescent="0.35">
      <c r="S6938" s="780"/>
      <c r="T6938" s="928"/>
      <c r="U6938" s="928"/>
      <c r="V6938" s="928"/>
      <c r="W6938" s="780"/>
      <c r="X6938" s="881">
        <v>6934</v>
      </c>
      <c r="Y6938" s="881" t="s">
        <v>2248</v>
      </c>
      <c r="Z6938" s="881" t="s">
        <v>2463</v>
      </c>
      <c r="AA6938" s="890">
        <f>$S$1*P!AA6938</f>
        <v>5.2532000000000005</v>
      </c>
      <c r="AB6938" s="780"/>
      <c r="AC6938" s="780"/>
      <c r="AD6938" s="780"/>
      <c r="AE6938" s="780"/>
      <c r="AF6938" s="780"/>
    </row>
    <row r="6939" spans="19:32" x14ac:dyDescent="0.35">
      <c r="S6939" s="780"/>
      <c r="T6939" s="928"/>
      <c r="U6939" s="928"/>
      <c r="V6939" s="928"/>
      <c r="W6939" s="780"/>
      <c r="X6939" s="881">
        <v>6935</v>
      </c>
      <c r="Y6939" s="881" t="s">
        <v>2248</v>
      </c>
      <c r="Z6939" s="881" t="s">
        <v>2462</v>
      </c>
      <c r="AA6939" s="890">
        <f>$S$1*P!AA6939</f>
        <v>0.98439999999999994</v>
      </c>
      <c r="AB6939" s="780"/>
      <c r="AC6939" s="780"/>
      <c r="AD6939" s="780"/>
      <c r="AE6939" s="780"/>
      <c r="AF6939" s="780"/>
    </row>
    <row r="6940" spans="19:32" x14ac:dyDescent="0.35">
      <c r="S6940" s="780"/>
      <c r="T6940" s="928"/>
      <c r="U6940" s="928"/>
      <c r="V6940" s="928"/>
      <c r="W6940" s="780"/>
      <c r="X6940" s="782">
        <v>6936</v>
      </c>
      <c r="Y6940" s="782" t="s">
        <v>2248</v>
      </c>
      <c r="Z6940" s="782" t="s">
        <v>2461</v>
      </c>
      <c r="AA6940" s="781">
        <f>$S$1*P!AA6940</f>
        <v>7.1290322580645164E-3</v>
      </c>
      <c r="AB6940" s="780"/>
      <c r="AC6940" s="780"/>
      <c r="AD6940" s="780"/>
      <c r="AE6940" s="780"/>
      <c r="AF6940" s="780"/>
    </row>
    <row r="6941" spans="19:32" x14ac:dyDescent="0.35">
      <c r="S6941" s="780"/>
      <c r="T6941" s="928"/>
      <c r="U6941" s="928"/>
      <c r="V6941" s="928"/>
      <c r="W6941" s="780"/>
      <c r="X6941" s="881">
        <v>6937</v>
      </c>
      <c r="Y6941" s="881" t="s">
        <v>2248</v>
      </c>
      <c r="Z6941" s="881" t="s">
        <v>2460</v>
      </c>
      <c r="AA6941" s="890">
        <f>$S$1*P!AA6941</f>
        <v>0.41676000000000002</v>
      </c>
      <c r="AB6941" s="780"/>
      <c r="AC6941" s="780"/>
      <c r="AD6941" s="780"/>
      <c r="AE6941" s="780"/>
      <c r="AF6941" s="780"/>
    </row>
    <row r="6942" spans="19:32" x14ac:dyDescent="0.35">
      <c r="S6942" s="780"/>
      <c r="T6942" s="928"/>
      <c r="U6942" s="928"/>
      <c r="V6942" s="928"/>
      <c r="W6942" s="780"/>
      <c r="X6942" s="881">
        <v>6938</v>
      </c>
      <c r="Y6942" s="881" t="s">
        <v>2248</v>
      </c>
      <c r="Z6942" s="881" t="s">
        <v>2459</v>
      </c>
      <c r="AA6942" s="890">
        <f>$S$1*P!AA6942</f>
        <v>2.8704000000000001</v>
      </c>
      <c r="AB6942" s="780"/>
      <c r="AC6942" s="780"/>
      <c r="AD6942" s="780"/>
      <c r="AE6942" s="780"/>
      <c r="AF6942" s="780"/>
    </row>
    <row r="6943" spans="19:32" x14ac:dyDescent="0.35">
      <c r="S6943" s="780"/>
      <c r="T6943" s="928"/>
      <c r="U6943" s="928"/>
      <c r="V6943" s="928"/>
      <c r="W6943" s="780"/>
      <c r="X6943" s="782">
        <v>6939</v>
      </c>
      <c r="Y6943" s="782" t="s">
        <v>2248</v>
      </c>
      <c r="Z6943" s="782" t="s">
        <v>2458</v>
      </c>
      <c r="AA6943" s="781">
        <f>$S$1*P!AA6943</f>
        <v>2.1832661290322585E-3</v>
      </c>
      <c r="AB6943" s="780"/>
      <c r="AC6943" s="780"/>
      <c r="AD6943" s="780"/>
      <c r="AE6943" s="780"/>
      <c r="AF6943" s="780"/>
    </row>
    <row r="6944" spans="19:32" x14ac:dyDescent="0.35">
      <c r="S6944" s="780"/>
      <c r="T6944" s="928"/>
      <c r="U6944" s="928"/>
      <c r="V6944" s="928"/>
      <c r="W6944" s="780"/>
      <c r="X6944" s="881">
        <v>6940</v>
      </c>
      <c r="Y6944" s="881" t="s">
        <v>2248</v>
      </c>
      <c r="Z6944" s="881" t="s">
        <v>2457</v>
      </c>
      <c r="AA6944" s="890">
        <f>$S$1*P!AA6944</f>
        <v>0.41308</v>
      </c>
      <c r="AB6944" s="780"/>
      <c r="AC6944" s="780"/>
      <c r="AD6944" s="780"/>
      <c r="AE6944" s="780"/>
      <c r="AF6944" s="780"/>
    </row>
    <row r="6945" spans="19:32" x14ac:dyDescent="0.35">
      <c r="S6945" s="780"/>
      <c r="T6945" s="928"/>
      <c r="U6945" s="928"/>
      <c r="V6945" s="928"/>
      <c r="W6945" s="780"/>
      <c r="X6945" s="881">
        <v>6941</v>
      </c>
      <c r="Y6945" s="881" t="s">
        <v>2248</v>
      </c>
      <c r="Z6945" s="881" t="s">
        <v>2456</v>
      </c>
      <c r="AA6945" s="890">
        <f>$S$1*P!AA6945</f>
        <v>0</v>
      </c>
      <c r="AB6945" s="780"/>
      <c r="AC6945" s="780"/>
      <c r="AD6945" s="780"/>
      <c r="AE6945" s="780"/>
      <c r="AF6945" s="780"/>
    </row>
    <row r="6946" spans="19:32" x14ac:dyDescent="0.35">
      <c r="S6946" s="780"/>
      <c r="T6946" s="928"/>
      <c r="U6946" s="928"/>
      <c r="V6946" s="928"/>
      <c r="W6946" s="780"/>
      <c r="X6946" s="782">
        <v>6942</v>
      </c>
      <c r="Y6946" s="782" t="s">
        <v>2248</v>
      </c>
      <c r="Z6946" s="782" t="s">
        <v>2455</v>
      </c>
      <c r="AA6946" s="781">
        <f>$S$1*P!AA6946</f>
        <v>3.4274193548387098E-3</v>
      </c>
      <c r="AB6946" s="780"/>
      <c r="AC6946" s="780"/>
      <c r="AD6946" s="780"/>
      <c r="AE6946" s="780"/>
      <c r="AF6946" s="780"/>
    </row>
    <row r="6947" spans="19:32" x14ac:dyDescent="0.35">
      <c r="S6947" s="780"/>
      <c r="T6947" s="928"/>
      <c r="U6947" s="928"/>
      <c r="V6947" s="928"/>
      <c r="W6947" s="780"/>
      <c r="X6947" s="881">
        <v>6943</v>
      </c>
      <c r="Y6947" s="881" t="s">
        <v>2248</v>
      </c>
      <c r="Z6947" s="881" t="s">
        <v>2454</v>
      </c>
      <c r="AA6947" s="890">
        <f>$S$1*P!AA6947</f>
        <v>69.183999999999997</v>
      </c>
      <c r="AB6947" s="780"/>
      <c r="AC6947" s="780"/>
      <c r="AD6947" s="780"/>
      <c r="AE6947" s="780"/>
      <c r="AF6947" s="780"/>
    </row>
    <row r="6948" spans="19:32" x14ac:dyDescent="0.35">
      <c r="S6948" s="780"/>
      <c r="T6948" s="928"/>
      <c r="U6948" s="928"/>
      <c r="V6948" s="928"/>
      <c r="W6948" s="780"/>
      <c r="X6948" s="881">
        <v>6944</v>
      </c>
      <c r="Y6948" s="881" t="s">
        <v>2248</v>
      </c>
      <c r="Z6948" s="881" t="s">
        <v>2453</v>
      </c>
      <c r="AA6948" s="890">
        <f>$S$1*P!AA6948</f>
        <v>0</v>
      </c>
      <c r="AB6948" s="780"/>
      <c r="AC6948" s="780"/>
      <c r="AD6948" s="780"/>
      <c r="AE6948" s="780"/>
      <c r="AF6948" s="780"/>
    </row>
    <row r="6949" spans="19:32" x14ac:dyDescent="0.35">
      <c r="S6949" s="780"/>
      <c r="T6949" s="928"/>
      <c r="U6949" s="928"/>
      <c r="V6949" s="928"/>
      <c r="W6949" s="780"/>
      <c r="X6949" s="782">
        <v>6945</v>
      </c>
      <c r="Y6949" s="782" t="s">
        <v>2248</v>
      </c>
      <c r="Z6949" s="782" t="s">
        <v>2452</v>
      </c>
      <c r="AA6949" s="781">
        <f>$S$1*P!AA6949</f>
        <v>5.2439516129032266E-4</v>
      </c>
      <c r="AB6949" s="780"/>
      <c r="AC6949" s="780"/>
      <c r="AD6949" s="780"/>
      <c r="AE6949" s="780"/>
      <c r="AF6949" s="780"/>
    </row>
    <row r="6950" spans="19:32" x14ac:dyDescent="0.35">
      <c r="S6950" s="780"/>
      <c r="T6950" s="928"/>
      <c r="U6950" s="928"/>
      <c r="V6950" s="928"/>
      <c r="W6950" s="780"/>
      <c r="X6950" s="881">
        <v>6946</v>
      </c>
      <c r="Y6950" s="881" t="s">
        <v>2248</v>
      </c>
      <c r="Z6950" s="881" t="s">
        <v>2451</v>
      </c>
      <c r="AA6950" s="890">
        <f>$S$1*P!AA6950</f>
        <v>1.1224E-2</v>
      </c>
      <c r="AB6950" s="780"/>
      <c r="AC6950" s="780"/>
      <c r="AD6950" s="780"/>
      <c r="AE6950" s="780"/>
      <c r="AF6950" s="780"/>
    </row>
    <row r="6951" spans="19:32" x14ac:dyDescent="0.35">
      <c r="S6951" s="780"/>
      <c r="T6951" s="928"/>
      <c r="U6951" s="928"/>
      <c r="V6951" s="928"/>
      <c r="W6951" s="780"/>
      <c r="X6951" s="881">
        <v>6947</v>
      </c>
      <c r="Y6951" s="881" t="s">
        <v>2248</v>
      </c>
      <c r="Z6951" s="881" t="s">
        <v>2450</v>
      </c>
      <c r="AA6951" s="890">
        <f>$S$1*P!AA6951</f>
        <v>6.1364000000000001</v>
      </c>
      <c r="AB6951" s="780"/>
      <c r="AC6951" s="780"/>
      <c r="AD6951" s="780"/>
      <c r="AE6951" s="780"/>
      <c r="AF6951" s="780"/>
    </row>
    <row r="6952" spans="19:32" x14ac:dyDescent="0.35">
      <c r="S6952" s="780"/>
      <c r="T6952" s="928"/>
      <c r="U6952" s="928"/>
      <c r="V6952" s="928"/>
      <c r="W6952" s="780"/>
      <c r="X6952" s="782">
        <v>6948</v>
      </c>
      <c r="Y6952" s="782" t="s">
        <v>2248</v>
      </c>
      <c r="Z6952" s="782" t="s">
        <v>2449</v>
      </c>
      <c r="AA6952" s="781">
        <f>$S$1*P!AA6952</f>
        <v>6.9576612903225811E-7</v>
      </c>
      <c r="AB6952" s="780"/>
      <c r="AC6952" s="780"/>
      <c r="AD6952" s="780"/>
      <c r="AE6952" s="780"/>
      <c r="AF6952" s="780"/>
    </row>
    <row r="6953" spans="19:32" x14ac:dyDescent="0.35">
      <c r="S6953" s="780"/>
      <c r="T6953" s="928"/>
      <c r="U6953" s="928"/>
      <c r="V6953" s="928"/>
      <c r="W6953" s="780"/>
      <c r="X6953" s="881">
        <v>6949</v>
      </c>
      <c r="Y6953" s="881" t="s">
        <v>2248</v>
      </c>
      <c r="Z6953" s="881" t="s">
        <v>2448</v>
      </c>
      <c r="AA6953" s="890">
        <f>$S$1*P!AA6953</f>
        <v>9.1907999999999994</v>
      </c>
      <c r="AB6953" s="780"/>
      <c r="AC6953" s="780"/>
      <c r="AD6953" s="780"/>
      <c r="AE6953" s="780"/>
      <c r="AF6953" s="780"/>
    </row>
    <row r="6954" spans="19:32" x14ac:dyDescent="0.35">
      <c r="S6954" s="780"/>
      <c r="T6954" s="928"/>
      <c r="U6954" s="928"/>
      <c r="V6954" s="928"/>
      <c r="W6954" s="780"/>
      <c r="X6954" s="782">
        <v>6950</v>
      </c>
      <c r="Y6954" s="782" t="s">
        <v>2248</v>
      </c>
      <c r="Z6954" s="782" t="s">
        <v>2447</v>
      </c>
      <c r="AA6954" s="781">
        <f>$S$1*P!AA6954</f>
        <v>1.2475806451612904E-2</v>
      </c>
      <c r="AB6954" s="780"/>
      <c r="AC6954" s="780"/>
      <c r="AD6954" s="780"/>
      <c r="AE6954" s="780"/>
      <c r="AF6954" s="780"/>
    </row>
    <row r="6955" spans="19:32" x14ac:dyDescent="0.35">
      <c r="S6955" s="780"/>
      <c r="T6955" s="928"/>
      <c r="U6955" s="928"/>
      <c r="V6955" s="928"/>
      <c r="W6955" s="780"/>
      <c r="X6955" s="881">
        <v>6951</v>
      </c>
      <c r="Y6955" s="881" t="s">
        <v>2248</v>
      </c>
      <c r="Z6955" s="881" t="s">
        <v>2446</v>
      </c>
      <c r="AA6955" s="890">
        <f>$S$1*P!AA6955</f>
        <v>0</v>
      </c>
      <c r="AB6955" s="780"/>
      <c r="AC6955" s="780"/>
      <c r="AD6955" s="780"/>
      <c r="AE6955" s="780"/>
      <c r="AF6955" s="780"/>
    </row>
    <row r="6956" spans="19:32" x14ac:dyDescent="0.35">
      <c r="S6956" s="780"/>
      <c r="T6956" s="928"/>
      <c r="U6956" s="928"/>
      <c r="V6956" s="928"/>
      <c r="W6956" s="780"/>
      <c r="X6956" s="881">
        <v>6952</v>
      </c>
      <c r="Y6956" s="881" t="s">
        <v>2248</v>
      </c>
      <c r="Z6956" s="881" t="s">
        <v>2445</v>
      </c>
      <c r="AA6956" s="890">
        <f>$S$1*P!AA6956</f>
        <v>3.7076000000000002</v>
      </c>
      <c r="AB6956" s="780"/>
      <c r="AC6956" s="780"/>
      <c r="AD6956" s="780"/>
      <c r="AE6956" s="780"/>
      <c r="AF6956" s="780"/>
    </row>
    <row r="6957" spans="19:32" x14ac:dyDescent="0.35">
      <c r="S6957" s="780"/>
      <c r="T6957" s="928"/>
      <c r="U6957" s="928"/>
      <c r="V6957" s="928"/>
      <c r="W6957" s="780"/>
      <c r="X6957" s="782">
        <v>6953</v>
      </c>
      <c r="Y6957" s="782" t="s">
        <v>2248</v>
      </c>
      <c r="Z6957" s="782" t="s">
        <v>2444</v>
      </c>
      <c r="AA6957" s="781">
        <f>$S$1*P!AA6957</f>
        <v>3.7016129032258066E-2</v>
      </c>
      <c r="AB6957" s="780"/>
      <c r="AC6957" s="780"/>
      <c r="AD6957" s="780"/>
      <c r="AE6957" s="780"/>
      <c r="AF6957" s="780"/>
    </row>
    <row r="6958" spans="19:32" x14ac:dyDescent="0.35">
      <c r="S6958" s="780"/>
      <c r="T6958" s="928"/>
      <c r="U6958" s="928"/>
      <c r="V6958" s="928"/>
      <c r="W6958" s="780"/>
      <c r="X6958" s="881">
        <v>6954</v>
      </c>
      <c r="Y6958" s="881" t="s">
        <v>2248</v>
      </c>
      <c r="Z6958" s="881" t="s">
        <v>2443</v>
      </c>
      <c r="AA6958" s="890">
        <f>$S$1*P!AA6958</f>
        <v>0</v>
      </c>
      <c r="AB6958" s="780"/>
      <c r="AC6958" s="780"/>
      <c r="AD6958" s="780"/>
      <c r="AE6958" s="780"/>
      <c r="AF6958" s="780"/>
    </row>
    <row r="6959" spans="19:32" x14ac:dyDescent="0.35">
      <c r="S6959" s="780"/>
      <c r="T6959" s="928"/>
      <c r="U6959" s="928"/>
      <c r="V6959" s="928"/>
      <c r="W6959" s="780"/>
      <c r="X6959" s="881">
        <v>6955</v>
      </c>
      <c r="Y6959" s="881" t="s">
        <v>2248</v>
      </c>
      <c r="Z6959" s="881" t="s">
        <v>2442</v>
      </c>
      <c r="AA6959" s="890">
        <f>$S$1*P!AA6959</f>
        <v>0</v>
      </c>
      <c r="AB6959" s="780"/>
      <c r="AC6959" s="780"/>
      <c r="AD6959" s="780"/>
      <c r="AE6959" s="780"/>
      <c r="AF6959" s="780"/>
    </row>
    <row r="6960" spans="19:32" x14ac:dyDescent="0.35">
      <c r="S6960" s="780"/>
      <c r="T6960" s="928"/>
      <c r="U6960" s="928"/>
      <c r="V6960" s="928"/>
      <c r="W6960" s="780"/>
      <c r="X6960" s="782">
        <v>6956</v>
      </c>
      <c r="Y6960" s="782" t="s">
        <v>2248</v>
      </c>
      <c r="Z6960" s="782" t="s">
        <v>2441</v>
      </c>
      <c r="AA6960" s="781">
        <f>$S$1*P!AA6960</f>
        <v>1.7925403225806455E-4</v>
      </c>
      <c r="AB6960" s="780"/>
      <c r="AC6960" s="780"/>
      <c r="AD6960" s="780"/>
      <c r="AE6960" s="780"/>
      <c r="AF6960" s="780"/>
    </row>
    <row r="6961" spans="19:32" x14ac:dyDescent="0.35">
      <c r="S6961" s="780"/>
      <c r="T6961" s="928"/>
      <c r="U6961" s="928"/>
      <c r="V6961" s="928"/>
      <c r="W6961" s="780"/>
      <c r="X6961" s="881">
        <v>6957</v>
      </c>
      <c r="Y6961" s="881" t="s">
        <v>2248</v>
      </c>
      <c r="Z6961" s="881" t="s">
        <v>2440</v>
      </c>
      <c r="AA6961" s="890">
        <f>$S$1*P!AA6961</f>
        <v>0</v>
      </c>
      <c r="AB6961" s="780"/>
      <c r="AC6961" s="780"/>
      <c r="AD6961" s="780"/>
      <c r="AE6961" s="780"/>
      <c r="AF6961" s="780"/>
    </row>
    <row r="6962" spans="19:32" x14ac:dyDescent="0.35">
      <c r="S6962" s="780"/>
      <c r="T6962" s="928"/>
      <c r="U6962" s="928"/>
      <c r="V6962" s="928"/>
      <c r="W6962" s="780"/>
      <c r="X6962" s="881">
        <v>6958</v>
      </c>
      <c r="Y6962" s="881" t="s">
        <v>2248</v>
      </c>
      <c r="Z6962" s="881" t="s">
        <v>2439</v>
      </c>
      <c r="AA6962" s="890">
        <f>$S$1*P!AA6962</f>
        <v>0</v>
      </c>
      <c r="AB6962" s="780"/>
      <c r="AC6962" s="780"/>
      <c r="AD6962" s="780"/>
      <c r="AE6962" s="780"/>
      <c r="AF6962" s="780"/>
    </row>
    <row r="6963" spans="19:32" x14ac:dyDescent="0.35">
      <c r="S6963" s="780"/>
      <c r="T6963" s="928"/>
      <c r="U6963" s="928"/>
      <c r="V6963" s="928"/>
      <c r="W6963" s="780"/>
      <c r="X6963" s="782">
        <v>6959</v>
      </c>
      <c r="Y6963" s="782" t="s">
        <v>2248</v>
      </c>
      <c r="Z6963" s="782" t="s">
        <v>2438</v>
      </c>
      <c r="AA6963" s="781">
        <f>$S$1*P!AA6963</f>
        <v>9.2883064516129047E-3</v>
      </c>
      <c r="AB6963" s="780"/>
      <c r="AC6963" s="780"/>
      <c r="AD6963" s="780"/>
      <c r="AE6963" s="780"/>
      <c r="AF6963" s="780"/>
    </row>
    <row r="6964" spans="19:32" x14ac:dyDescent="0.35">
      <c r="S6964" s="780"/>
      <c r="T6964" s="928"/>
      <c r="U6964" s="928"/>
      <c r="V6964" s="928"/>
      <c r="W6964" s="780"/>
      <c r="X6964" s="881">
        <v>6960</v>
      </c>
      <c r="Y6964" s="881" t="s">
        <v>2248</v>
      </c>
      <c r="Z6964" s="881" t="s">
        <v>2437</v>
      </c>
      <c r="AA6964" s="890">
        <f>$S$1*P!AA6964</f>
        <v>4.4436</v>
      </c>
      <c r="AB6964" s="780"/>
      <c r="AC6964" s="780"/>
      <c r="AD6964" s="780"/>
      <c r="AE6964" s="780"/>
      <c r="AF6964" s="780"/>
    </row>
    <row r="6965" spans="19:32" x14ac:dyDescent="0.35">
      <c r="S6965" s="780"/>
      <c r="T6965" s="928"/>
      <c r="U6965" s="928"/>
      <c r="V6965" s="928"/>
      <c r="W6965" s="780"/>
      <c r="X6965" s="782">
        <v>6961</v>
      </c>
      <c r="Y6965" s="782" t="s">
        <v>2248</v>
      </c>
      <c r="Z6965" s="782" t="s">
        <v>2436</v>
      </c>
      <c r="AA6965" s="781">
        <f>$S$1*P!AA6965</f>
        <v>0.29818548387096777</v>
      </c>
      <c r="AB6965" s="780"/>
      <c r="AC6965" s="780"/>
      <c r="AD6965" s="780"/>
      <c r="AE6965" s="780"/>
      <c r="AF6965" s="780"/>
    </row>
    <row r="6966" spans="19:32" x14ac:dyDescent="0.35">
      <c r="S6966" s="780"/>
      <c r="T6966" s="928"/>
      <c r="U6966" s="928"/>
      <c r="V6966" s="928"/>
      <c r="W6966" s="780"/>
      <c r="X6966" s="881">
        <v>6962</v>
      </c>
      <c r="Y6966" s="881" t="s">
        <v>2248</v>
      </c>
      <c r="Z6966" s="881" t="s">
        <v>2435</v>
      </c>
      <c r="AA6966" s="890">
        <f>$S$1*P!AA6966</f>
        <v>0</v>
      </c>
      <c r="AB6966" s="780"/>
      <c r="AC6966" s="780"/>
      <c r="AD6966" s="780"/>
      <c r="AE6966" s="780"/>
      <c r="AF6966" s="780"/>
    </row>
    <row r="6967" spans="19:32" x14ac:dyDescent="0.35">
      <c r="S6967" s="780"/>
      <c r="T6967" s="928"/>
      <c r="U6967" s="928"/>
      <c r="V6967" s="928"/>
      <c r="W6967" s="780"/>
      <c r="X6967" s="881">
        <v>6963</v>
      </c>
      <c r="Y6967" s="881" t="s">
        <v>2248</v>
      </c>
      <c r="Z6967" s="881" t="s">
        <v>2434</v>
      </c>
      <c r="AA6967" s="890">
        <f>$S$1*P!AA6967</f>
        <v>1.0304</v>
      </c>
      <c r="AB6967" s="780"/>
      <c r="AC6967" s="780"/>
      <c r="AD6967" s="780"/>
      <c r="AE6967" s="780"/>
      <c r="AF6967" s="780"/>
    </row>
    <row r="6968" spans="19:32" x14ac:dyDescent="0.35">
      <c r="S6968" s="780"/>
      <c r="T6968" s="928"/>
      <c r="U6968" s="928"/>
      <c r="V6968" s="928"/>
      <c r="W6968" s="780"/>
      <c r="X6968" s="782">
        <v>6964</v>
      </c>
      <c r="Y6968" s="782" t="s">
        <v>2248</v>
      </c>
      <c r="Z6968" s="782" t="s">
        <v>2433</v>
      </c>
      <c r="AA6968" s="781">
        <f>$S$1*P!AA6968</f>
        <v>2.6870967741935486E-3</v>
      </c>
      <c r="AB6968" s="780"/>
      <c r="AC6968" s="780"/>
      <c r="AD6968" s="780"/>
      <c r="AE6968" s="780"/>
      <c r="AF6968" s="780"/>
    </row>
    <row r="6969" spans="19:32" x14ac:dyDescent="0.35">
      <c r="S6969" s="780"/>
      <c r="T6969" s="928"/>
      <c r="U6969" s="928"/>
      <c r="V6969" s="928"/>
      <c r="W6969" s="780"/>
      <c r="X6969" s="881">
        <v>6965</v>
      </c>
      <c r="Y6969" s="881" t="s">
        <v>2248</v>
      </c>
      <c r="Z6969" s="881" t="s">
        <v>2432</v>
      </c>
      <c r="AA6969" s="890">
        <f>$S$1*P!AA6969</f>
        <v>1.3707999999999999E-3</v>
      </c>
      <c r="AB6969" s="780"/>
      <c r="AC6969" s="780"/>
      <c r="AD6969" s="780"/>
      <c r="AE6969" s="780"/>
      <c r="AF6969" s="780"/>
    </row>
    <row r="6970" spans="19:32" x14ac:dyDescent="0.35">
      <c r="S6970" s="780"/>
      <c r="T6970" s="928"/>
      <c r="U6970" s="928"/>
      <c r="V6970" s="928"/>
      <c r="W6970" s="780"/>
      <c r="X6970" s="881">
        <v>6966</v>
      </c>
      <c r="Y6970" s="881" t="s">
        <v>2248</v>
      </c>
      <c r="Z6970" s="881" t="s">
        <v>2431</v>
      </c>
      <c r="AA6970" s="890">
        <f>$S$1*P!AA6970</f>
        <v>0</v>
      </c>
      <c r="AB6970" s="780"/>
      <c r="AC6970" s="780"/>
      <c r="AD6970" s="780"/>
      <c r="AE6970" s="780"/>
      <c r="AF6970" s="780"/>
    </row>
    <row r="6971" spans="19:32" x14ac:dyDescent="0.35">
      <c r="S6971" s="780"/>
      <c r="T6971" s="928"/>
      <c r="U6971" s="928"/>
      <c r="V6971" s="928"/>
      <c r="W6971" s="780"/>
      <c r="X6971" s="782">
        <v>6967</v>
      </c>
      <c r="Y6971" s="782" t="s">
        <v>2248</v>
      </c>
      <c r="Z6971" s="782" t="s">
        <v>2430</v>
      </c>
      <c r="AA6971" s="781">
        <f>$S$1*P!AA6971</f>
        <v>3.7016129032258066E-3</v>
      </c>
      <c r="AB6971" s="780"/>
      <c r="AC6971" s="780"/>
      <c r="AD6971" s="780"/>
      <c r="AE6971" s="780"/>
      <c r="AF6971" s="780"/>
    </row>
    <row r="6972" spans="19:32" x14ac:dyDescent="0.35">
      <c r="S6972" s="780"/>
      <c r="T6972" s="928"/>
      <c r="U6972" s="928"/>
      <c r="V6972" s="928"/>
      <c r="W6972" s="780"/>
      <c r="X6972" s="881">
        <v>6968</v>
      </c>
      <c r="Y6972" s="881" t="s">
        <v>2248</v>
      </c>
      <c r="Z6972" s="881" t="s">
        <v>2429</v>
      </c>
      <c r="AA6972" s="890">
        <f>$S$1*P!AA6972</f>
        <v>250.24</v>
      </c>
      <c r="AB6972" s="780"/>
      <c r="AC6972" s="780"/>
      <c r="AD6972" s="780"/>
      <c r="AE6972" s="780"/>
      <c r="AF6972" s="780"/>
    </row>
    <row r="6973" spans="19:32" x14ac:dyDescent="0.35">
      <c r="S6973" s="780"/>
      <c r="T6973" s="928"/>
      <c r="U6973" s="928"/>
      <c r="V6973" s="928"/>
      <c r="W6973" s="780"/>
      <c r="X6973" s="881">
        <v>6969</v>
      </c>
      <c r="Y6973" s="881" t="s">
        <v>2248</v>
      </c>
      <c r="Z6973" s="881" t="s">
        <v>2428</v>
      </c>
      <c r="AA6973" s="890">
        <f>$S$1*P!AA6973</f>
        <v>1.196E-2</v>
      </c>
      <c r="AB6973" s="780"/>
      <c r="AC6973" s="780"/>
      <c r="AD6973" s="780"/>
      <c r="AE6973" s="780"/>
      <c r="AF6973" s="780"/>
    </row>
    <row r="6974" spans="19:32" x14ac:dyDescent="0.35">
      <c r="S6974" s="780"/>
      <c r="T6974" s="928"/>
      <c r="U6974" s="928"/>
      <c r="V6974" s="928"/>
      <c r="W6974" s="780"/>
      <c r="X6974" s="782">
        <v>6970</v>
      </c>
      <c r="Y6974" s="782" t="s">
        <v>2248</v>
      </c>
      <c r="Z6974" s="782" t="s">
        <v>2427</v>
      </c>
      <c r="AA6974" s="781">
        <f>$S$1*P!AA6974</f>
        <v>9.5967741935483876E-4</v>
      </c>
      <c r="AB6974" s="780"/>
      <c r="AC6974" s="780"/>
      <c r="AD6974" s="780"/>
      <c r="AE6974" s="780"/>
      <c r="AF6974" s="780"/>
    </row>
    <row r="6975" spans="19:32" x14ac:dyDescent="0.35">
      <c r="S6975" s="780"/>
      <c r="T6975" s="928"/>
      <c r="U6975" s="928"/>
      <c r="V6975" s="928"/>
      <c r="W6975" s="780"/>
      <c r="X6975" s="881">
        <v>6971</v>
      </c>
      <c r="Y6975" s="881" t="s">
        <v>2248</v>
      </c>
      <c r="Z6975" s="881" t="s">
        <v>2426</v>
      </c>
      <c r="AA6975" s="890">
        <f>$S$1*P!AA6975</f>
        <v>0</v>
      </c>
      <c r="AB6975" s="780"/>
      <c r="AC6975" s="780"/>
      <c r="AD6975" s="780"/>
      <c r="AE6975" s="780"/>
      <c r="AF6975" s="780"/>
    </row>
    <row r="6976" spans="19:32" x14ac:dyDescent="0.35">
      <c r="S6976" s="780"/>
      <c r="T6976" s="928"/>
      <c r="U6976" s="928"/>
      <c r="V6976" s="928"/>
      <c r="W6976" s="780"/>
      <c r="X6976" s="881">
        <v>6972</v>
      </c>
      <c r="Y6976" s="881" t="s">
        <v>2248</v>
      </c>
      <c r="Z6976" s="881" t="s">
        <v>2425</v>
      </c>
      <c r="AA6976" s="890">
        <f>$S$1*P!AA6976</f>
        <v>0</v>
      </c>
      <c r="AB6976" s="780"/>
      <c r="AC6976" s="780"/>
      <c r="AD6976" s="780"/>
      <c r="AE6976" s="780"/>
      <c r="AF6976" s="780"/>
    </row>
    <row r="6977" spans="19:32" x14ac:dyDescent="0.35">
      <c r="S6977" s="780"/>
      <c r="T6977" s="928"/>
      <c r="U6977" s="928"/>
      <c r="V6977" s="928"/>
      <c r="W6977" s="780"/>
      <c r="X6977" s="782">
        <v>6973</v>
      </c>
      <c r="Y6977" s="782" t="s">
        <v>2248</v>
      </c>
      <c r="Z6977" s="782" t="s">
        <v>2424</v>
      </c>
      <c r="AA6977" s="781">
        <f>$S$1*P!AA6977</f>
        <v>1.4292338709677421E-2</v>
      </c>
      <c r="AB6977" s="780"/>
      <c r="AC6977" s="780"/>
      <c r="AD6977" s="780"/>
      <c r="AE6977" s="780"/>
      <c r="AF6977" s="780"/>
    </row>
    <row r="6978" spans="19:32" x14ac:dyDescent="0.35">
      <c r="S6978" s="780"/>
      <c r="T6978" s="928"/>
      <c r="U6978" s="928"/>
      <c r="V6978" s="928"/>
      <c r="W6978" s="780"/>
      <c r="X6978" s="881">
        <v>6974</v>
      </c>
      <c r="Y6978" s="881" t="s">
        <v>2248</v>
      </c>
      <c r="Z6978" s="881" t="s">
        <v>2423</v>
      </c>
      <c r="AA6978" s="890">
        <f>$S$1*P!AA6978</f>
        <v>0</v>
      </c>
      <c r="AB6978" s="780"/>
      <c r="AC6978" s="780"/>
      <c r="AD6978" s="780"/>
      <c r="AE6978" s="780"/>
      <c r="AF6978" s="780"/>
    </row>
    <row r="6979" spans="19:32" x14ac:dyDescent="0.35">
      <c r="S6979" s="780"/>
      <c r="T6979" s="928"/>
      <c r="U6979" s="928"/>
      <c r="V6979" s="928"/>
      <c r="W6979" s="780"/>
      <c r="X6979" s="782">
        <v>6975</v>
      </c>
      <c r="Y6979" s="782" t="s">
        <v>2248</v>
      </c>
      <c r="Z6979" s="782" t="s">
        <v>2422</v>
      </c>
      <c r="AA6979" s="781">
        <f>$S$1*P!AA6979</f>
        <v>2.0393145161290323E-3</v>
      </c>
      <c r="AB6979" s="780"/>
      <c r="AC6979" s="780"/>
      <c r="AD6979" s="780"/>
      <c r="AE6979" s="780"/>
      <c r="AF6979" s="780"/>
    </row>
    <row r="6980" spans="19:32" x14ac:dyDescent="0.35">
      <c r="S6980" s="780"/>
      <c r="T6980" s="928"/>
      <c r="U6980" s="928"/>
      <c r="V6980" s="928"/>
      <c r="W6980" s="780"/>
      <c r="X6980" s="881">
        <v>6976</v>
      </c>
      <c r="Y6980" s="881" t="s">
        <v>2248</v>
      </c>
      <c r="Z6980" s="881" t="s">
        <v>2421</v>
      </c>
      <c r="AA6980" s="890">
        <f>$S$1*P!AA6980</f>
        <v>0</v>
      </c>
      <c r="AB6980" s="780"/>
      <c r="AC6980" s="780"/>
      <c r="AD6980" s="780"/>
      <c r="AE6980" s="780"/>
      <c r="AF6980" s="780"/>
    </row>
    <row r="6981" spans="19:32" x14ac:dyDescent="0.35">
      <c r="S6981" s="780"/>
      <c r="T6981" s="928"/>
      <c r="U6981" s="928"/>
      <c r="V6981" s="928"/>
      <c r="W6981" s="780"/>
      <c r="X6981" s="881">
        <v>6977</v>
      </c>
      <c r="Y6981" s="881" t="s">
        <v>2248</v>
      </c>
      <c r="Z6981" s="881" t="s">
        <v>2420</v>
      </c>
      <c r="AA6981" s="890">
        <f>$S$1*P!AA6981</f>
        <v>0.1196</v>
      </c>
      <c r="AB6981" s="780"/>
      <c r="AC6981" s="780"/>
      <c r="AD6981" s="780"/>
      <c r="AE6981" s="780"/>
      <c r="AF6981" s="780"/>
    </row>
    <row r="6982" spans="19:32" x14ac:dyDescent="0.35">
      <c r="S6982" s="780"/>
      <c r="T6982" s="928"/>
      <c r="U6982" s="928"/>
      <c r="V6982" s="928"/>
      <c r="W6982" s="780"/>
      <c r="X6982" s="782">
        <v>6978</v>
      </c>
      <c r="Y6982" s="782" t="s">
        <v>2248</v>
      </c>
      <c r="Z6982" s="782" t="s">
        <v>2419</v>
      </c>
      <c r="AA6982" s="781">
        <f>$S$1*P!AA6982</f>
        <v>5.8266129032258064E-5</v>
      </c>
      <c r="AB6982" s="780"/>
      <c r="AC6982" s="780"/>
      <c r="AD6982" s="780"/>
      <c r="AE6982" s="780"/>
      <c r="AF6982" s="780"/>
    </row>
    <row r="6983" spans="19:32" x14ac:dyDescent="0.35">
      <c r="S6983" s="780"/>
      <c r="T6983" s="928"/>
      <c r="U6983" s="928"/>
      <c r="V6983" s="928"/>
      <c r="W6983" s="780"/>
      <c r="X6983" s="881">
        <v>6979</v>
      </c>
      <c r="Y6983" s="881" t="s">
        <v>2248</v>
      </c>
      <c r="Z6983" s="881" t="s">
        <v>2418</v>
      </c>
      <c r="AA6983" s="890">
        <f>$S$1*P!AA6983</f>
        <v>0</v>
      </c>
      <c r="AB6983" s="780"/>
      <c r="AC6983" s="780"/>
      <c r="AD6983" s="780"/>
      <c r="AE6983" s="780"/>
      <c r="AF6983" s="780"/>
    </row>
    <row r="6984" spans="19:32" x14ac:dyDescent="0.35">
      <c r="S6984" s="780"/>
      <c r="T6984" s="928"/>
      <c r="U6984" s="928"/>
      <c r="V6984" s="928"/>
      <c r="W6984" s="780"/>
      <c r="X6984" s="881">
        <v>6980</v>
      </c>
      <c r="Y6984" s="881" t="s">
        <v>2248</v>
      </c>
      <c r="Z6984" s="881" t="s">
        <v>2417</v>
      </c>
      <c r="AA6984" s="890">
        <f>$S$1*P!AA6984</f>
        <v>0</v>
      </c>
      <c r="AB6984" s="780"/>
      <c r="AC6984" s="780"/>
      <c r="AD6984" s="780"/>
      <c r="AE6984" s="780"/>
      <c r="AF6984" s="780"/>
    </row>
    <row r="6985" spans="19:32" x14ac:dyDescent="0.35">
      <c r="S6985" s="780"/>
      <c r="T6985" s="928"/>
      <c r="U6985" s="928"/>
      <c r="V6985" s="928"/>
      <c r="W6985" s="780"/>
      <c r="X6985" s="782">
        <v>6981</v>
      </c>
      <c r="Y6985" s="782" t="s">
        <v>2248</v>
      </c>
      <c r="Z6985" s="782" t="s">
        <v>2416</v>
      </c>
      <c r="AA6985" s="781">
        <f>$S$1*P!AA6985</f>
        <v>3.084677419354839E-5</v>
      </c>
      <c r="AB6985" s="780"/>
      <c r="AC6985" s="780"/>
      <c r="AD6985" s="780"/>
      <c r="AE6985" s="780"/>
      <c r="AF6985" s="780"/>
    </row>
    <row r="6986" spans="19:32" x14ac:dyDescent="0.35">
      <c r="S6986" s="780"/>
      <c r="T6986" s="928"/>
      <c r="U6986" s="928"/>
      <c r="V6986" s="928"/>
      <c r="W6986" s="780"/>
      <c r="X6986" s="881">
        <v>6982</v>
      </c>
      <c r="Y6986" s="881" t="s">
        <v>2248</v>
      </c>
      <c r="Z6986" s="881" t="s">
        <v>2415</v>
      </c>
      <c r="AA6986" s="890">
        <f>$S$1*P!AA6986</f>
        <v>0.11776</v>
      </c>
      <c r="AB6986" s="780"/>
      <c r="AC6986" s="780"/>
      <c r="AD6986" s="780"/>
      <c r="AE6986" s="780"/>
      <c r="AF6986" s="780"/>
    </row>
    <row r="6987" spans="19:32" x14ac:dyDescent="0.35">
      <c r="S6987" s="780"/>
      <c r="T6987" s="928"/>
      <c r="U6987" s="928"/>
      <c r="V6987" s="928"/>
      <c r="W6987" s="780"/>
      <c r="X6987" s="881">
        <v>6983</v>
      </c>
      <c r="Y6987" s="881" t="s">
        <v>2248</v>
      </c>
      <c r="Z6987" s="881" t="s">
        <v>2414</v>
      </c>
      <c r="AA6987" s="890">
        <f>$S$1*P!AA6987</f>
        <v>4.4804000000000004</v>
      </c>
      <c r="AB6987" s="780"/>
      <c r="AC6987" s="780"/>
      <c r="AD6987" s="780"/>
      <c r="AE6987" s="780"/>
      <c r="AF6987" s="780"/>
    </row>
    <row r="6988" spans="19:32" x14ac:dyDescent="0.35">
      <c r="S6988" s="780"/>
      <c r="T6988" s="928"/>
      <c r="U6988" s="928"/>
      <c r="V6988" s="928"/>
      <c r="W6988" s="780"/>
      <c r="X6988" s="782">
        <v>6984</v>
      </c>
      <c r="Y6988" s="782" t="s">
        <v>2248</v>
      </c>
      <c r="Z6988" s="782" t="s">
        <v>2413</v>
      </c>
      <c r="AA6988" s="781">
        <f>$S$1*P!AA6988</f>
        <v>6.8891129032258067E-2</v>
      </c>
      <c r="AB6988" s="780"/>
      <c r="AC6988" s="780"/>
      <c r="AD6988" s="780"/>
      <c r="AE6988" s="780"/>
      <c r="AF6988" s="780"/>
    </row>
    <row r="6989" spans="19:32" x14ac:dyDescent="0.35">
      <c r="S6989" s="780"/>
      <c r="T6989" s="928"/>
      <c r="U6989" s="928"/>
      <c r="V6989" s="928"/>
      <c r="W6989" s="780"/>
      <c r="X6989" s="881">
        <v>6985</v>
      </c>
      <c r="Y6989" s="881" t="s">
        <v>2248</v>
      </c>
      <c r="Z6989" s="881" t="s">
        <v>2412</v>
      </c>
      <c r="AA6989" s="890">
        <f>$S$1*P!AA6989</f>
        <v>2.2264000000000003E-2</v>
      </c>
      <c r="AB6989" s="780"/>
      <c r="AC6989" s="780"/>
      <c r="AD6989" s="780"/>
      <c r="AE6989" s="780"/>
      <c r="AF6989" s="780"/>
    </row>
    <row r="6990" spans="19:32" x14ac:dyDescent="0.35">
      <c r="S6990" s="780"/>
      <c r="T6990" s="928"/>
      <c r="U6990" s="928"/>
      <c r="V6990" s="928"/>
      <c r="W6990" s="780"/>
      <c r="X6990" s="782">
        <v>6986</v>
      </c>
      <c r="Y6990" s="782" t="s">
        <v>2248</v>
      </c>
      <c r="Z6990" s="782" t="s">
        <v>2411</v>
      </c>
      <c r="AA6990" s="781">
        <f>$S$1*P!AA6990</f>
        <v>1.0933467741935485E-3</v>
      </c>
      <c r="AB6990" s="780"/>
      <c r="AC6990" s="780"/>
      <c r="AD6990" s="780"/>
      <c r="AE6990" s="780"/>
      <c r="AF6990" s="780"/>
    </row>
    <row r="6991" spans="19:32" x14ac:dyDescent="0.35">
      <c r="S6991" s="780"/>
      <c r="T6991" s="928"/>
      <c r="U6991" s="928"/>
      <c r="V6991" s="928"/>
      <c r="W6991" s="780"/>
      <c r="X6991" s="881">
        <v>6987</v>
      </c>
      <c r="Y6991" s="881" t="s">
        <v>2248</v>
      </c>
      <c r="Z6991" s="881" t="s">
        <v>2410</v>
      </c>
      <c r="AA6991" s="890">
        <f>$S$1*P!AA6991</f>
        <v>0</v>
      </c>
      <c r="AB6991" s="780"/>
      <c r="AC6991" s="780"/>
      <c r="AD6991" s="780"/>
      <c r="AE6991" s="780"/>
      <c r="AF6991" s="780"/>
    </row>
    <row r="6992" spans="19:32" x14ac:dyDescent="0.35">
      <c r="S6992" s="780"/>
      <c r="T6992" s="928"/>
      <c r="U6992" s="928"/>
      <c r="V6992" s="928"/>
      <c r="W6992" s="780"/>
      <c r="X6992" s="881">
        <v>6988</v>
      </c>
      <c r="Y6992" s="881" t="s">
        <v>2248</v>
      </c>
      <c r="Z6992" s="881" t="s">
        <v>2409</v>
      </c>
      <c r="AA6992" s="890">
        <f>$S$1*P!AA6992</f>
        <v>0</v>
      </c>
      <c r="AB6992" s="780"/>
      <c r="AC6992" s="780"/>
      <c r="AD6992" s="780"/>
      <c r="AE6992" s="780"/>
      <c r="AF6992" s="780"/>
    </row>
    <row r="6993" spans="19:32" x14ac:dyDescent="0.35">
      <c r="S6993" s="780"/>
      <c r="T6993" s="928"/>
      <c r="U6993" s="928"/>
      <c r="V6993" s="928"/>
      <c r="W6993" s="780"/>
      <c r="X6993" s="782">
        <v>6989</v>
      </c>
      <c r="Y6993" s="782" t="s">
        <v>2248</v>
      </c>
      <c r="Z6993" s="782" t="s">
        <v>2408</v>
      </c>
      <c r="AA6993" s="781">
        <f>$S$1*P!AA6993</f>
        <v>2.0872983870967742E-4</v>
      </c>
      <c r="AB6993" s="780"/>
      <c r="AC6993" s="780"/>
      <c r="AD6993" s="780"/>
      <c r="AE6993" s="780"/>
      <c r="AF6993" s="780"/>
    </row>
    <row r="6994" spans="19:32" x14ac:dyDescent="0.35">
      <c r="S6994" s="780"/>
      <c r="T6994" s="928"/>
      <c r="U6994" s="928"/>
      <c r="V6994" s="928"/>
      <c r="W6994" s="780"/>
      <c r="X6994" s="881">
        <v>6990</v>
      </c>
      <c r="Y6994" s="881" t="s">
        <v>2248</v>
      </c>
      <c r="Z6994" s="881" t="s">
        <v>2407</v>
      </c>
      <c r="AA6994" s="890">
        <f>$S$1*P!AA6994</f>
        <v>259.44</v>
      </c>
      <c r="AB6994" s="780"/>
      <c r="AC6994" s="780"/>
      <c r="AD6994" s="780"/>
      <c r="AE6994" s="780"/>
      <c r="AF6994" s="780"/>
    </row>
    <row r="6995" spans="19:32" x14ac:dyDescent="0.35">
      <c r="S6995" s="780"/>
      <c r="T6995" s="928"/>
      <c r="U6995" s="928"/>
      <c r="V6995" s="928"/>
      <c r="W6995" s="780"/>
      <c r="X6995" s="881">
        <v>6991</v>
      </c>
      <c r="Y6995" s="881" t="s">
        <v>2248</v>
      </c>
      <c r="Z6995" s="881" t="s">
        <v>2406</v>
      </c>
      <c r="AA6995" s="890">
        <f>$S$1*P!AA6995</f>
        <v>0</v>
      </c>
      <c r="AB6995" s="780"/>
      <c r="AC6995" s="780"/>
      <c r="AD6995" s="780"/>
      <c r="AE6995" s="780"/>
      <c r="AF6995" s="780"/>
    </row>
    <row r="6996" spans="19:32" x14ac:dyDescent="0.35">
      <c r="S6996" s="780"/>
      <c r="T6996" s="928"/>
      <c r="U6996" s="928"/>
      <c r="V6996" s="928"/>
      <c r="W6996" s="780"/>
      <c r="X6996" s="782">
        <v>6992</v>
      </c>
      <c r="Y6996" s="782" t="s">
        <v>2248</v>
      </c>
      <c r="Z6996" s="782" t="s">
        <v>2405</v>
      </c>
      <c r="AA6996" s="781">
        <f>$S$1*P!AA6996</f>
        <v>1.5697580645161291E-3</v>
      </c>
      <c r="AB6996" s="780"/>
      <c r="AC6996" s="780"/>
      <c r="AD6996" s="780"/>
      <c r="AE6996" s="780"/>
      <c r="AF6996" s="780"/>
    </row>
    <row r="6997" spans="19:32" x14ac:dyDescent="0.35">
      <c r="S6997" s="780"/>
      <c r="T6997" s="928"/>
      <c r="U6997" s="928"/>
      <c r="V6997" s="928"/>
      <c r="W6997" s="780"/>
      <c r="X6997" s="881">
        <v>6993</v>
      </c>
      <c r="Y6997" s="881" t="s">
        <v>2248</v>
      </c>
      <c r="Z6997" s="881" t="s">
        <v>2404</v>
      </c>
      <c r="AA6997" s="890">
        <f>$S$1*P!AA6997</f>
        <v>7.0656E-3</v>
      </c>
      <c r="AB6997" s="780"/>
      <c r="AC6997" s="780"/>
      <c r="AD6997" s="780"/>
      <c r="AE6997" s="780"/>
      <c r="AF6997" s="780"/>
    </row>
    <row r="6998" spans="19:32" x14ac:dyDescent="0.35">
      <c r="S6998" s="780"/>
      <c r="T6998" s="928"/>
      <c r="U6998" s="928"/>
      <c r="V6998" s="928"/>
      <c r="W6998" s="780"/>
      <c r="X6998" s="881">
        <v>6994</v>
      </c>
      <c r="Y6998" s="881" t="s">
        <v>2248</v>
      </c>
      <c r="Z6998" s="881" t="s">
        <v>2403</v>
      </c>
      <c r="AA6998" s="890">
        <f>$S$1*P!AA6998</f>
        <v>0</v>
      </c>
      <c r="AB6998" s="780"/>
      <c r="AC6998" s="780"/>
      <c r="AD6998" s="780"/>
      <c r="AE6998" s="780"/>
      <c r="AF6998" s="780"/>
    </row>
    <row r="6999" spans="19:32" x14ac:dyDescent="0.35">
      <c r="S6999" s="780"/>
      <c r="T6999" s="928"/>
      <c r="U6999" s="928"/>
      <c r="V6999" s="928"/>
      <c r="W6999" s="780"/>
      <c r="X6999" s="782">
        <v>6995</v>
      </c>
      <c r="Y6999" s="782" t="s">
        <v>2248</v>
      </c>
      <c r="Z6999" s="782" t="s">
        <v>2402</v>
      </c>
      <c r="AA6999" s="781">
        <f>$S$1*P!AA6999</f>
        <v>1.5937500000000001E-3</v>
      </c>
      <c r="AB6999" s="780"/>
      <c r="AC6999" s="780"/>
      <c r="AD6999" s="780"/>
      <c r="AE6999" s="780"/>
      <c r="AF6999" s="780"/>
    </row>
    <row r="7000" spans="19:32" x14ac:dyDescent="0.35">
      <c r="S7000" s="780"/>
      <c r="T7000" s="928"/>
      <c r="U7000" s="928"/>
      <c r="V7000" s="928"/>
      <c r="W7000" s="780"/>
      <c r="X7000" s="881">
        <v>6996</v>
      </c>
      <c r="Y7000" s="881" t="s">
        <v>2248</v>
      </c>
      <c r="Z7000" s="881" t="s">
        <v>2401</v>
      </c>
      <c r="AA7000" s="890">
        <f>$S$1*P!AA7000</f>
        <v>0</v>
      </c>
      <c r="AB7000" s="780"/>
      <c r="AC7000" s="780"/>
      <c r="AD7000" s="780"/>
      <c r="AE7000" s="780"/>
      <c r="AF7000" s="780"/>
    </row>
    <row r="7001" spans="19:32" x14ac:dyDescent="0.35">
      <c r="S7001" s="780"/>
      <c r="T7001" s="928"/>
      <c r="U7001" s="928"/>
      <c r="V7001" s="928"/>
      <c r="W7001" s="780"/>
      <c r="X7001" s="881">
        <v>6997</v>
      </c>
      <c r="Y7001" s="881" t="s">
        <v>2248</v>
      </c>
      <c r="Z7001" s="881" t="s">
        <v>2400</v>
      </c>
      <c r="AA7001" s="890">
        <f>$S$1*P!AA7001</f>
        <v>0</v>
      </c>
      <c r="AB7001" s="780"/>
      <c r="AC7001" s="780"/>
      <c r="AD7001" s="780"/>
      <c r="AE7001" s="780"/>
      <c r="AF7001" s="780"/>
    </row>
    <row r="7002" spans="19:32" x14ac:dyDescent="0.35">
      <c r="S7002" s="780"/>
      <c r="T7002" s="928"/>
      <c r="U7002" s="928"/>
      <c r="V7002" s="928"/>
      <c r="W7002" s="780"/>
      <c r="X7002" s="782">
        <v>6998</v>
      </c>
      <c r="Y7002" s="782" t="s">
        <v>2248</v>
      </c>
      <c r="Z7002" s="782" t="s">
        <v>2399</v>
      </c>
      <c r="AA7002" s="781">
        <f>$S$1*P!AA7002</f>
        <v>4.7641129032258069E-4</v>
      </c>
      <c r="AB7002" s="780"/>
      <c r="AC7002" s="780"/>
      <c r="AD7002" s="780"/>
      <c r="AE7002" s="780"/>
      <c r="AF7002" s="780"/>
    </row>
    <row r="7003" spans="19:32" x14ac:dyDescent="0.35">
      <c r="S7003" s="780"/>
      <c r="T7003" s="928"/>
      <c r="U7003" s="928"/>
      <c r="V7003" s="928"/>
      <c r="W7003" s="780"/>
      <c r="X7003" s="881">
        <v>6999</v>
      </c>
      <c r="Y7003" s="881" t="s">
        <v>2248</v>
      </c>
      <c r="Z7003" s="881" t="s">
        <v>2398</v>
      </c>
      <c r="AA7003" s="890">
        <f>$S$1*P!AA7003</f>
        <v>0</v>
      </c>
      <c r="AB7003" s="780"/>
      <c r="AC7003" s="780"/>
      <c r="AD7003" s="780"/>
      <c r="AE7003" s="780"/>
      <c r="AF7003" s="780"/>
    </row>
    <row r="7004" spans="19:32" x14ac:dyDescent="0.35">
      <c r="S7004" s="780"/>
      <c r="T7004" s="928"/>
      <c r="U7004" s="928"/>
      <c r="V7004" s="928"/>
      <c r="W7004" s="780"/>
      <c r="X7004" s="782">
        <v>7000</v>
      </c>
      <c r="Y7004" s="782" t="s">
        <v>2248</v>
      </c>
      <c r="Z7004" s="782" t="s">
        <v>2397</v>
      </c>
      <c r="AA7004" s="781">
        <f>$S$1*P!AA7004</f>
        <v>3.1840725806451617</v>
      </c>
      <c r="AB7004" s="780"/>
      <c r="AC7004" s="780"/>
      <c r="AD7004" s="780"/>
      <c r="AE7004" s="780"/>
      <c r="AF7004" s="780"/>
    </row>
    <row r="7005" spans="19:32" x14ac:dyDescent="0.35">
      <c r="S7005" s="780"/>
      <c r="T7005" s="928"/>
      <c r="U7005" s="928"/>
      <c r="V7005" s="928"/>
      <c r="W7005" s="780"/>
      <c r="X7005" s="881">
        <v>7001</v>
      </c>
      <c r="Y7005" s="881" t="s">
        <v>2248</v>
      </c>
      <c r="Z7005" s="881" t="s">
        <v>2396</v>
      </c>
      <c r="AA7005" s="890">
        <f>$S$1*P!AA7005</f>
        <v>1.6192</v>
      </c>
      <c r="AB7005" s="780"/>
      <c r="AC7005" s="780"/>
      <c r="AD7005" s="780"/>
      <c r="AE7005" s="780"/>
      <c r="AF7005" s="780"/>
    </row>
    <row r="7006" spans="19:32" x14ac:dyDescent="0.35">
      <c r="S7006" s="780"/>
      <c r="T7006" s="928"/>
      <c r="U7006" s="928"/>
      <c r="V7006" s="928"/>
      <c r="W7006" s="780"/>
      <c r="X7006" s="881">
        <v>7002</v>
      </c>
      <c r="Y7006" s="881" t="s">
        <v>2248</v>
      </c>
      <c r="Z7006" s="881" t="s">
        <v>2395</v>
      </c>
      <c r="AA7006" s="890">
        <f>$S$1*P!AA7006</f>
        <v>1.3339999999999999E-3</v>
      </c>
      <c r="AB7006" s="780"/>
      <c r="AC7006" s="780"/>
      <c r="AD7006" s="780"/>
      <c r="AE7006" s="780"/>
      <c r="AF7006" s="780"/>
    </row>
    <row r="7007" spans="19:32" x14ac:dyDescent="0.35">
      <c r="S7007" s="780"/>
      <c r="T7007" s="928"/>
      <c r="U7007" s="928"/>
      <c r="V7007" s="928"/>
      <c r="W7007" s="780"/>
      <c r="X7007" s="782">
        <v>7003</v>
      </c>
      <c r="Y7007" s="782" t="s">
        <v>2248</v>
      </c>
      <c r="Z7007" s="782" t="s">
        <v>2394</v>
      </c>
      <c r="AA7007" s="781">
        <f>$S$1*P!AA7007</f>
        <v>5.5866935483870972E-3</v>
      </c>
      <c r="AB7007" s="780"/>
      <c r="AC7007" s="780"/>
      <c r="AD7007" s="780"/>
      <c r="AE7007" s="780"/>
      <c r="AF7007" s="780"/>
    </row>
    <row r="7008" spans="19:32" x14ac:dyDescent="0.35">
      <c r="S7008" s="780"/>
      <c r="T7008" s="928"/>
      <c r="U7008" s="928"/>
      <c r="V7008" s="928"/>
      <c r="W7008" s="780"/>
      <c r="X7008" s="881">
        <v>7004</v>
      </c>
      <c r="Y7008" s="881" t="s">
        <v>2248</v>
      </c>
      <c r="Z7008" s="881" t="s">
        <v>2393</v>
      </c>
      <c r="AA7008" s="890">
        <f>$S$1*P!AA7008</f>
        <v>0</v>
      </c>
      <c r="AB7008" s="780"/>
      <c r="AC7008" s="780"/>
      <c r="AD7008" s="780"/>
      <c r="AE7008" s="780"/>
      <c r="AF7008" s="780"/>
    </row>
    <row r="7009" spans="19:32" x14ac:dyDescent="0.35">
      <c r="S7009" s="780"/>
      <c r="T7009" s="928"/>
      <c r="U7009" s="928"/>
      <c r="V7009" s="928"/>
      <c r="W7009" s="780"/>
      <c r="X7009" s="881">
        <v>7005</v>
      </c>
      <c r="Y7009" s="881" t="s">
        <v>2248</v>
      </c>
      <c r="Z7009" s="881" t="s">
        <v>2392</v>
      </c>
      <c r="AA7009" s="890">
        <f>$S$1*P!AA7009</f>
        <v>0.13708000000000001</v>
      </c>
      <c r="AB7009" s="780"/>
      <c r="AC7009" s="780"/>
      <c r="AD7009" s="780"/>
      <c r="AE7009" s="780"/>
      <c r="AF7009" s="780"/>
    </row>
    <row r="7010" spans="19:32" x14ac:dyDescent="0.35">
      <c r="S7010" s="780"/>
      <c r="T7010" s="928"/>
      <c r="U7010" s="928"/>
      <c r="V7010" s="928"/>
      <c r="W7010" s="780"/>
      <c r="X7010" s="782">
        <v>7006</v>
      </c>
      <c r="Y7010" s="782" t="s">
        <v>2248</v>
      </c>
      <c r="Z7010" s="782" t="s">
        <v>2391</v>
      </c>
      <c r="AA7010" s="781">
        <f>$S$1*P!AA7010</f>
        <v>1.8131048387096775E-2</v>
      </c>
      <c r="AB7010" s="780"/>
      <c r="AC7010" s="780"/>
      <c r="AD7010" s="780"/>
      <c r="AE7010" s="780"/>
      <c r="AF7010" s="780"/>
    </row>
    <row r="7011" spans="19:32" x14ac:dyDescent="0.35">
      <c r="S7011" s="780"/>
      <c r="T7011" s="928"/>
      <c r="U7011" s="928"/>
      <c r="V7011" s="928"/>
      <c r="W7011" s="780"/>
      <c r="X7011" s="881">
        <v>7007</v>
      </c>
      <c r="Y7011" s="881" t="s">
        <v>2248</v>
      </c>
      <c r="Z7011" s="881" t="s">
        <v>2390</v>
      </c>
      <c r="AA7011" s="890">
        <f>$S$1*P!AA7011</f>
        <v>0</v>
      </c>
      <c r="AB7011" s="780"/>
      <c r="AC7011" s="780"/>
      <c r="AD7011" s="780"/>
      <c r="AE7011" s="780"/>
      <c r="AF7011" s="780"/>
    </row>
    <row r="7012" spans="19:32" x14ac:dyDescent="0.35">
      <c r="S7012" s="780"/>
      <c r="T7012" s="928"/>
      <c r="U7012" s="928"/>
      <c r="V7012" s="928"/>
      <c r="W7012" s="780"/>
      <c r="X7012" s="881">
        <v>7008</v>
      </c>
      <c r="Y7012" s="881" t="s">
        <v>2248</v>
      </c>
      <c r="Z7012" s="881" t="s">
        <v>2389</v>
      </c>
      <c r="AA7012" s="890">
        <f>$S$1*P!AA7012</f>
        <v>121.44000000000001</v>
      </c>
      <c r="AB7012" s="780"/>
      <c r="AC7012" s="780"/>
      <c r="AD7012" s="780"/>
      <c r="AE7012" s="780"/>
      <c r="AF7012" s="780"/>
    </row>
    <row r="7013" spans="19:32" x14ac:dyDescent="0.35">
      <c r="S7013" s="780"/>
      <c r="T7013" s="928"/>
      <c r="U7013" s="928"/>
      <c r="V7013" s="928"/>
      <c r="W7013" s="780"/>
      <c r="X7013" s="782">
        <v>7009</v>
      </c>
      <c r="Y7013" s="782" t="s">
        <v>2248</v>
      </c>
      <c r="Z7013" s="782" t="s">
        <v>2388</v>
      </c>
      <c r="AA7013" s="781">
        <f>$S$1*P!AA7013</f>
        <v>1.3435483870967742E-2</v>
      </c>
      <c r="AB7013" s="780"/>
      <c r="AC7013" s="780"/>
      <c r="AD7013" s="780"/>
      <c r="AE7013" s="780"/>
      <c r="AF7013" s="780"/>
    </row>
    <row r="7014" spans="19:32" x14ac:dyDescent="0.35">
      <c r="S7014" s="780"/>
      <c r="T7014" s="928"/>
      <c r="U7014" s="928"/>
      <c r="V7014" s="928"/>
      <c r="W7014" s="780"/>
      <c r="X7014" s="881">
        <v>7010</v>
      </c>
      <c r="Y7014" s="881" t="s">
        <v>2248</v>
      </c>
      <c r="Z7014" s="881" t="s">
        <v>2387</v>
      </c>
      <c r="AA7014" s="890">
        <f>$S$1*P!AA7014</f>
        <v>0</v>
      </c>
      <c r="AB7014" s="780"/>
      <c r="AC7014" s="780"/>
      <c r="AD7014" s="780"/>
      <c r="AE7014" s="780"/>
      <c r="AF7014" s="780"/>
    </row>
    <row r="7015" spans="19:32" x14ac:dyDescent="0.35">
      <c r="S7015" s="780"/>
      <c r="T7015" s="928"/>
      <c r="U7015" s="928"/>
      <c r="V7015" s="928"/>
      <c r="W7015" s="780"/>
      <c r="X7015" s="782">
        <v>7011</v>
      </c>
      <c r="Y7015" s="782" t="s">
        <v>2248</v>
      </c>
      <c r="Z7015" s="782" t="s">
        <v>2386</v>
      </c>
      <c r="AA7015" s="781">
        <f>$S$1*P!AA7015</f>
        <v>0.29270161290322583</v>
      </c>
      <c r="AB7015" s="780"/>
      <c r="AC7015" s="780"/>
      <c r="AD7015" s="780"/>
      <c r="AE7015" s="780"/>
      <c r="AF7015" s="780"/>
    </row>
    <row r="7016" spans="19:32" x14ac:dyDescent="0.35">
      <c r="S7016" s="780"/>
      <c r="T7016" s="928"/>
      <c r="U7016" s="928"/>
      <c r="V7016" s="928"/>
      <c r="W7016" s="780"/>
      <c r="X7016" s="881">
        <v>7012</v>
      </c>
      <c r="Y7016" s="881" t="s">
        <v>2248</v>
      </c>
      <c r="Z7016" s="881" t="s">
        <v>2385</v>
      </c>
      <c r="AA7016" s="890">
        <f>$S$1*P!AA7016</f>
        <v>0</v>
      </c>
      <c r="AB7016" s="780"/>
      <c r="AC7016" s="780"/>
      <c r="AD7016" s="780"/>
      <c r="AE7016" s="780"/>
      <c r="AF7016" s="780"/>
    </row>
    <row r="7017" spans="19:32" x14ac:dyDescent="0.35">
      <c r="S7017" s="780"/>
      <c r="T7017" s="928"/>
      <c r="U7017" s="928"/>
      <c r="V7017" s="928"/>
      <c r="W7017" s="780"/>
      <c r="X7017" s="881">
        <v>7013</v>
      </c>
      <c r="Y7017" s="881" t="s">
        <v>2248</v>
      </c>
      <c r="Z7017" s="881" t="s">
        <v>2384</v>
      </c>
      <c r="AA7017" s="890">
        <f>$S$1*P!AA7017</f>
        <v>0</v>
      </c>
      <c r="AB7017" s="780"/>
      <c r="AC7017" s="780"/>
      <c r="AD7017" s="780"/>
      <c r="AE7017" s="780"/>
      <c r="AF7017" s="780"/>
    </row>
    <row r="7018" spans="19:32" x14ac:dyDescent="0.35">
      <c r="S7018" s="780"/>
      <c r="T7018" s="928"/>
      <c r="U7018" s="928"/>
      <c r="V7018" s="928"/>
      <c r="W7018" s="780"/>
      <c r="X7018" s="782">
        <v>7014</v>
      </c>
      <c r="Y7018" s="782" t="s">
        <v>2248</v>
      </c>
      <c r="Z7018" s="782" t="s">
        <v>2383</v>
      </c>
      <c r="AA7018" s="781">
        <f>$S$1*P!AA7018</f>
        <v>6.2721774193548398E-4</v>
      </c>
      <c r="AB7018" s="780"/>
      <c r="AC7018" s="780"/>
      <c r="AD7018" s="780"/>
      <c r="AE7018" s="780"/>
      <c r="AF7018" s="780"/>
    </row>
    <row r="7019" spans="19:32" x14ac:dyDescent="0.35">
      <c r="S7019" s="780"/>
      <c r="T7019" s="928"/>
      <c r="U7019" s="928"/>
      <c r="V7019" s="928"/>
      <c r="W7019" s="780"/>
      <c r="X7019" s="881">
        <v>7015</v>
      </c>
      <c r="Y7019" s="881" t="s">
        <v>2248</v>
      </c>
      <c r="Z7019" s="881" t="s">
        <v>2382</v>
      </c>
      <c r="AA7019" s="890">
        <f>$S$1*P!AA7019</f>
        <v>0.45172000000000007</v>
      </c>
      <c r="AB7019" s="780"/>
      <c r="AC7019" s="780"/>
      <c r="AD7019" s="780"/>
      <c r="AE7019" s="780"/>
      <c r="AF7019" s="780"/>
    </row>
    <row r="7020" spans="19:32" x14ac:dyDescent="0.35">
      <c r="S7020" s="780"/>
      <c r="T7020" s="928"/>
      <c r="U7020" s="928"/>
      <c r="V7020" s="928"/>
      <c r="W7020" s="780"/>
      <c r="X7020" s="881">
        <v>7016</v>
      </c>
      <c r="Y7020" s="881" t="s">
        <v>2248</v>
      </c>
      <c r="Z7020" s="881" t="s">
        <v>2381</v>
      </c>
      <c r="AA7020" s="890">
        <f>$S$1*P!AA7020</f>
        <v>1.3708E-2</v>
      </c>
      <c r="AB7020" s="780"/>
      <c r="AC7020" s="780"/>
      <c r="AD7020" s="780"/>
      <c r="AE7020" s="780"/>
      <c r="AF7020" s="780"/>
    </row>
    <row r="7021" spans="19:32" x14ac:dyDescent="0.35">
      <c r="S7021" s="780"/>
      <c r="T7021" s="928"/>
      <c r="U7021" s="928"/>
      <c r="V7021" s="928"/>
      <c r="W7021" s="780"/>
      <c r="X7021" s="782">
        <v>7017</v>
      </c>
      <c r="Y7021" s="782" t="s">
        <v>2248</v>
      </c>
      <c r="Z7021" s="782" t="s">
        <v>2380</v>
      </c>
      <c r="AA7021" s="781">
        <f>$S$1*P!AA7021</f>
        <v>8.431451612903226E-5</v>
      </c>
      <c r="AB7021" s="780"/>
      <c r="AC7021" s="780"/>
      <c r="AD7021" s="780"/>
      <c r="AE7021" s="780"/>
      <c r="AF7021" s="780"/>
    </row>
    <row r="7022" spans="19:32" x14ac:dyDescent="0.35">
      <c r="S7022" s="780"/>
      <c r="T7022" s="928"/>
      <c r="U7022" s="928"/>
      <c r="V7022" s="928"/>
      <c r="W7022" s="780"/>
      <c r="X7022" s="881">
        <v>7018</v>
      </c>
      <c r="Y7022" s="881" t="s">
        <v>2248</v>
      </c>
      <c r="Z7022" s="881" t="s">
        <v>2379</v>
      </c>
      <c r="AA7022" s="890">
        <f>$S$1*P!AA7022</f>
        <v>0</v>
      </c>
      <c r="AB7022" s="780"/>
      <c r="AC7022" s="780"/>
      <c r="AD7022" s="780"/>
      <c r="AE7022" s="780"/>
      <c r="AF7022" s="780"/>
    </row>
    <row r="7023" spans="19:32" x14ac:dyDescent="0.35">
      <c r="S7023" s="780"/>
      <c r="T7023" s="928"/>
      <c r="U7023" s="928"/>
      <c r="V7023" s="928"/>
      <c r="W7023" s="780"/>
      <c r="X7023" s="881">
        <v>7019</v>
      </c>
      <c r="Y7023" s="881" t="s">
        <v>2248</v>
      </c>
      <c r="Z7023" s="881" t="s">
        <v>2378</v>
      </c>
      <c r="AA7023" s="890">
        <f>$S$1*P!AA7023</f>
        <v>0</v>
      </c>
      <c r="AB7023" s="780"/>
      <c r="AC7023" s="780"/>
      <c r="AD7023" s="780"/>
      <c r="AE7023" s="780"/>
      <c r="AF7023" s="780"/>
    </row>
    <row r="7024" spans="19:32" x14ac:dyDescent="0.35">
      <c r="S7024" s="780"/>
      <c r="T7024" s="928"/>
      <c r="U7024" s="928"/>
      <c r="V7024" s="928"/>
      <c r="W7024" s="780"/>
      <c r="X7024" s="782">
        <v>7020</v>
      </c>
      <c r="Y7024" s="782" t="s">
        <v>2248</v>
      </c>
      <c r="Z7024" s="782" t="s">
        <v>2377</v>
      </c>
      <c r="AA7024" s="781">
        <f>$S$1*P!AA7024</f>
        <v>0.10590725806451613</v>
      </c>
      <c r="AB7024" s="780"/>
      <c r="AC7024" s="780"/>
      <c r="AD7024" s="780"/>
      <c r="AE7024" s="780"/>
      <c r="AF7024" s="780"/>
    </row>
    <row r="7025" spans="19:32" x14ac:dyDescent="0.35">
      <c r="S7025" s="780"/>
      <c r="T7025" s="928"/>
      <c r="U7025" s="928"/>
      <c r="V7025" s="928"/>
      <c r="W7025" s="780"/>
      <c r="X7025" s="881">
        <v>7021</v>
      </c>
      <c r="Y7025" s="881" t="s">
        <v>2248</v>
      </c>
      <c r="Z7025" s="881" t="s">
        <v>2376</v>
      </c>
      <c r="AA7025" s="890">
        <f>$S$1*P!AA7025</f>
        <v>1.8308000000000002E-4</v>
      </c>
      <c r="AB7025" s="780"/>
      <c r="AC7025" s="780"/>
      <c r="AD7025" s="780"/>
      <c r="AE7025" s="780"/>
      <c r="AF7025" s="780"/>
    </row>
    <row r="7026" spans="19:32" x14ac:dyDescent="0.35">
      <c r="S7026" s="780"/>
      <c r="T7026" s="928"/>
      <c r="U7026" s="928"/>
      <c r="V7026" s="928"/>
      <c r="W7026" s="780"/>
      <c r="X7026" s="881">
        <v>7022</v>
      </c>
      <c r="Y7026" s="881" t="s">
        <v>2248</v>
      </c>
      <c r="Z7026" s="881" t="s">
        <v>2375</v>
      </c>
      <c r="AA7026" s="890">
        <f>$S$1*P!AA7026</f>
        <v>0</v>
      </c>
      <c r="AB7026" s="780"/>
      <c r="AC7026" s="780"/>
      <c r="AD7026" s="780"/>
      <c r="AE7026" s="780"/>
      <c r="AF7026" s="780"/>
    </row>
    <row r="7027" spans="19:32" x14ac:dyDescent="0.35">
      <c r="S7027" s="780"/>
      <c r="T7027" s="928"/>
      <c r="U7027" s="928"/>
      <c r="V7027" s="928"/>
      <c r="W7027" s="780"/>
      <c r="X7027" s="782">
        <v>7023</v>
      </c>
      <c r="Y7027" s="782" t="s">
        <v>2248</v>
      </c>
      <c r="Z7027" s="782" t="s">
        <v>2374</v>
      </c>
      <c r="AA7027" s="781">
        <f>$S$1*P!AA7027</f>
        <v>0.28584677419354843</v>
      </c>
      <c r="AB7027" s="780"/>
      <c r="AC7027" s="780"/>
      <c r="AD7027" s="780"/>
      <c r="AE7027" s="780"/>
      <c r="AF7027" s="780"/>
    </row>
    <row r="7028" spans="19:32" x14ac:dyDescent="0.35">
      <c r="S7028" s="780"/>
      <c r="T7028" s="928"/>
      <c r="U7028" s="928"/>
      <c r="V7028" s="928"/>
      <c r="W7028" s="780"/>
      <c r="X7028" s="881">
        <v>7024</v>
      </c>
      <c r="Y7028" s="881" t="s">
        <v>2248</v>
      </c>
      <c r="Z7028" s="881" t="s">
        <v>2373</v>
      </c>
      <c r="AA7028" s="890">
        <f>$S$1*P!AA7028</f>
        <v>0</v>
      </c>
      <c r="AB7028" s="780"/>
      <c r="AC7028" s="780"/>
      <c r="AD7028" s="780"/>
      <c r="AE7028" s="780"/>
      <c r="AF7028" s="780"/>
    </row>
    <row r="7029" spans="19:32" x14ac:dyDescent="0.35">
      <c r="S7029" s="780"/>
      <c r="T7029" s="928"/>
      <c r="U7029" s="928"/>
      <c r="V7029" s="928"/>
      <c r="W7029" s="780"/>
      <c r="X7029" s="782">
        <v>7025</v>
      </c>
      <c r="Y7029" s="782" t="s">
        <v>2248</v>
      </c>
      <c r="Z7029" s="782" t="s">
        <v>2372</v>
      </c>
      <c r="AA7029" s="781">
        <f>$S$1*P!AA7029</f>
        <v>2.6905241935483875E-3</v>
      </c>
      <c r="AB7029" s="780"/>
      <c r="AC7029" s="780"/>
      <c r="AD7029" s="780"/>
      <c r="AE7029" s="780"/>
      <c r="AF7029" s="780"/>
    </row>
    <row r="7030" spans="19:32" x14ac:dyDescent="0.35">
      <c r="S7030" s="780"/>
      <c r="T7030" s="928"/>
      <c r="U7030" s="928"/>
      <c r="V7030" s="928"/>
      <c r="W7030" s="780"/>
      <c r="X7030" s="881">
        <v>7026</v>
      </c>
      <c r="Y7030" s="881" t="s">
        <v>2248</v>
      </c>
      <c r="Z7030" s="881" t="s">
        <v>2371</v>
      </c>
      <c r="AA7030" s="890">
        <f>$S$1*P!AA7030</f>
        <v>0</v>
      </c>
      <c r="AB7030" s="780"/>
      <c r="AC7030" s="780"/>
      <c r="AD7030" s="780"/>
      <c r="AE7030" s="780"/>
      <c r="AF7030" s="780"/>
    </row>
    <row r="7031" spans="19:32" x14ac:dyDescent="0.35">
      <c r="S7031" s="780"/>
      <c r="T7031" s="928"/>
      <c r="U7031" s="928"/>
      <c r="V7031" s="928"/>
      <c r="W7031" s="780"/>
      <c r="X7031" s="881">
        <v>7027</v>
      </c>
      <c r="Y7031" s="881" t="s">
        <v>2248</v>
      </c>
      <c r="Z7031" s="881" t="s">
        <v>2370</v>
      </c>
      <c r="AA7031" s="890">
        <f>$S$1*P!AA7031</f>
        <v>0.45540000000000003</v>
      </c>
      <c r="AB7031" s="780"/>
      <c r="AC7031" s="780"/>
      <c r="AD7031" s="780"/>
      <c r="AE7031" s="780"/>
      <c r="AF7031" s="780"/>
    </row>
    <row r="7032" spans="19:32" x14ac:dyDescent="0.35">
      <c r="S7032" s="780"/>
      <c r="T7032" s="928"/>
      <c r="U7032" s="928"/>
      <c r="V7032" s="928"/>
      <c r="W7032" s="780"/>
      <c r="X7032" s="782">
        <v>7028</v>
      </c>
      <c r="Y7032" s="782" t="s">
        <v>2248</v>
      </c>
      <c r="Z7032" s="782" t="s">
        <v>2369</v>
      </c>
      <c r="AA7032" s="781">
        <f>$S$1*P!AA7032</f>
        <v>4.8669354838709678E-3</v>
      </c>
      <c r="AB7032" s="780"/>
      <c r="AC7032" s="780"/>
      <c r="AD7032" s="780"/>
      <c r="AE7032" s="780"/>
      <c r="AF7032" s="780"/>
    </row>
    <row r="7033" spans="19:32" x14ac:dyDescent="0.35">
      <c r="S7033" s="780"/>
      <c r="T7033" s="928"/>
      <c r="U7033" s="928"/>
      <c r="V7033" s="928"/>
      <c r="W7033" s="780"/>
      <c r="X7033" s="881">
        <v>7029</v>
      </c>
      <c r="Y7033" s="881" t="s">
        <v>2248</v>
      </c>
      <c r="Z7033" s="881" t="s">
        <v>2368</v>
      </c>
      <c r="AA7033" s="890">
        <f>$S$1*P!AA7033</f>
        <v>2.3184</v>
      </c>
      <c r="AB7033" s="780"/>
      <c r="AC7033" s="780"/>
      <c r="AD7033" s="780"/>
      <c r="AE7033" s="780"/>
      <c r="AF7033" s="780"/>
    </row>
    <row r="7034" spans="19:32" x14ac:dyDescent="0.35">
      <c r="S7034" s="780"/>
      <c r="T7034" s="928"/>
      <c r="U7034" s="928"/>
      <c r="V7034" s="928"/>
      <c r="W7034" s="780"/>
      <c r="X7034" s="881">
        <v>7030</v>
      </c>
      <c r="Y7034" s="881" t="s">
        <v>2248</v>
      </c>
      <c r="Z7034" s="881" t="s">
        <v>2367</v>
      </c>
      <c r="AA7034" s="890">
        <f>$S$1*P!AA7034</f>
        <v>0</v>
      </c>
      <c r="AB7034" s="780"/>
      <c r="AC7034" s="780"/>
      <c r="AD7034" s="780"/>
      <c r="AE7034" s="780"/>
      <c r="AF7034" s="780"/>
    </row>
    <row r="7035" spans="19:32" x14ac:dyDescent="0.35">
      <c r="S7035" s="780"/>
      <c r="T7035" s="928"/>
      <c r="U7035" s="928"/>
      <c r="V7035" s="928"/>
      <c r="W7035" s="780"/>
      <c r="X7035" s="782">
        <v>7031</v>
      </c>
      <c r="Y7035" s="782" t="s">
        <v>2248</v>
      </c>
      <c r="Z7035" s="782" t="s">
        <v>2366</v>
      </c>
      <c r="AA7035" s="781">
        <f>$S$1*P!AA7035</f>
        <v>1.970766129032258E-5</v>
      </c>
      <c r="AB7035" s="780"/>
      <c r="AC7035" s="780"/>
      <c r="AD7035" s="780"/>
      <c r="AE7035" s="780"/>
      <c r="AF7035" s="780"/>
    </row>
    <row r="7036" spans="19:32" x14ac:dyDescent="0.35">
      <c r="S7036" s="780"/>
      <c r="T7036" s="928"/>
      <c r="U7036" s="928"/>
      <c r="V7036" s="928"/>
      <c r="W7036" s="780"/>
      <c r="X7036" s="881">
        <v>7032</v>
      </c>
      <c r="Y7036" s="881" t="s">
        <v>2248</v>
      </c>
      <c r="Z7036" s="881" t="s">
        <v>2365</v>
      </c>
      <c r="AA7036" s="890">
        <f>$S$1*P!AA7036</f>
        <v>13.891999999999999</v>
      </c>
      <c r="AB7036" s="780"/>
      <c r="AC7036" s="780"/>
      <c r="AD7036" s="780"/>
      <c r="AE7036" s="780"/>
      <c r="AF7036" s="780"/>
    </row>
    <row r="7037" spans="19:32" x14ac:dyDescent="0.35">
      <c r="S7037" s="780"/>
      <c r="T7037" s="928"/>
      <c r="U7037" s="928"/>
      <c r="V7037" s="928"/>
      <c r="W7037" s="780"/>
      <c r="X7037" s="782">
        <v>7033</v>
      </c>
      <c r="Y7037" s="782" t="s">
        <v>2248</v>
      </c>
      <c r="Z7037" s="782" t="s">
        <v>2364</v>
      </c>
      <c r="AA7037" s="781">
        <f>$S$1*P!AA7037</f>
        <v>0.43528225806451615</v>
      </c>
      <c r="AB7037" s="780"/>
      <c r="AC7037" s="780"/>
      <c r="AD7037" s="780"/>
      <c r="AE7037" s="780"/>
      <c r="AF7037" s="780"/>
    </row>
    <row r="7038" spans="19:32" x14ac:dyDescent="0.35">
      <c r="S7038" s="780"/>
      <c r="T7038" s="928"/>
      <c r="U7038" s="928"/>
      <c r="V7038" s="928"/>
      <c r="W7038" s="780"/>
      <c r="X7038" s="881">
        <v>7034</v>
      </c>
      <c r="Y7038" s="881" t="s">
        <v>2248</v>
      </c>
      <c r="Z7038" s="881" t="s">
        <v>2363</v>
      </c>
      <c r="AA7038" s="890">
        <f>$S$1*P!AA7038</f>
        <v>0</v>
      </c>
      <c r="AB7038" s="780"/>
      <c r="AC7038" s="780"/>
      <c r="AD7038" s="780"/>
      <c r="AE7038" s="780"/>
      <c r="AF7038" s="780"/>
    </row>
    <row r="7039" spans="19:32" x14ac:dyDescent="0.35">
      <c r="S7039" s="780"/>
      <c r="T7039" s="928"/>
      <c r="U7039" s="928"/>
      <c r="V7039" s="928"/>
      <c r="W7039" s="780"/>
      <c r="X7039" s="881">
        <v>7035</v>
      </c>
      <c r="Y7039" s="881" t="s">
        <v>2248</v>
      </c>
      <c r="Z7039" s="881" t="s">
        <v>2362</v>
      </c>
      <c r="AA7039" s="890">
        <f>$S$1*P!AA7039</f>
        <v>0</v>
      </c>
      <c r="AB7039" s="780"/>
      <c r="AC7039" s="780"/>
      <c r="AD7039" s="780"/>
      <c r="AE7039" s="780"/>
      <c r="AF7039" s="780"/>
    </row>
    <row r="7040" spans="19:32" x14ac:dyDescent="0.35">
      <c r="S7040" s="780"/>
      <c r="T7040" s="928"/>
      <c r="U7040" s="928"/>
      <c r="V7040" s="928"/>
      <c r="W7040" s="780"/>
      <c r="X7040" s="782">
        <v>7036</v>
      </c>
      <c r="Y7040" s="782" t="s">
        <v>2248</v>
      </c>
      <c r="Z7040" s="782" t="s">
        <v>2361</v>
      </c>
      <c r="AA7040" s="781">
        <f>$S$1*P!AA7040</f>
        <v>1.2852822580645162E-3</v>
      </c>
      <c r="AB7040" s="780"/>
      <c r="AC7040" s="780"/>
      <c r="AD7040" s="780"/>
      <c r="AE7040" s="780"/>
      <c r="AF7040" s="780"/>
    </row>
    <row r="7041" spans="19:32" x14ac:dyDescent="0.35">
      <c r="S7041" s="780"/>
      <c r="T7041" s="928"/>
      <c r="U7041" s="928"/>
      <c r="V7041" s="928"/>
      <c r="W7041" s="780"/>
      <c r="X7041" s="881">
        <v>7037</v>
      </c>
      <c r="Y7041" s="881" t="s">
        <v>2248</v>
      </c>
      <c r="Z7041" s="881" t="s">
        <v>2360</v>
      </c>
      <c r="AA7041" s="890">
        <f>$S$1*P!AA7041</f>
        <v>0</v>
      </c>
      <c r="AB7041" s="780"/>
      <c r="AC7041" s="780"/>
      <c r="AD7041" s="780"/>
      <c r="AE7041" s="780"/>
      <c r="AF7041" s="780"/>
    </row>
    <row r="7042" spans="19:32" x14ac:dyDescent="0.35">
      <c r="S7042" s="780"/>
      <c r="T7042" s="928"/>
      <c r="U7042" s="928"/>
      <c r="V7042" s="928"/>
      <c r="W7042" s="780"/>
      <c r="X7042" s="881">
        <v>7038</v>
      </c>
      <c r="Y7042" s="881" t="s">
        <v>2248</v>
      </c>
      <c r="Z7042" s="881" t="s">
        <v>2359</v>
      </c>
      <c r="AA7042" s="890">
        <f>$S$1*P!AA7042</f>
        <v>0</v>
      </c>
      <c r="AB7042" s="780"/>
      <c r="AC7042" s="780"/>
      <c r="AD7042" s="780"/>
      <c r="AE7042" s="780"/>
      <c r="AF7042" s="780"/>
    </row>
    <row r="7043" spans="19:32" x14ac:dyDescent="0.35">
      <c r="S7043" s="780"/>
      <c r="T7043" s="928"/>
      <c r="U7043" s="928"/>
      <c r="V7043" s="928"/>
      <c r="W7043" s="780"/>
      <c r="X7043" s="782">
        <v>7039</v>
      </c>
      <c r="Y7043" s="782" t="s">
        <v>2248</v>
      </c>
      <c r="Z7043" s="782" t="s">
        <v>2358</v>
      </c>
      <c r="AA7043" s="781">
        <f>$S$1*P!AA7043</f>
        <v>2.8207661290322581E-3</v>
      </c>
      <c r="AB7043" s="780"/>
      <c r="AC7043" s="780"/>
      <c r="AD7043" s="780"/>
      <c r="AE7043" s="780"/>
      <c r="AF7043" s="780"/>
    </row>
    <row r="7044" spans="19:32" x14ac:dyDescent="0.35">
      <c r="S7044" s="780"/>
      <c r="T7044" s="928"/>
      <c r="U7044" s="928"/>
      <c r="V7044" s="928"/>
      <c r="W7044" s="780"/>
      <c r="X7044" s="881">
        <v>7040</v>
      </c>
      <c r="Y7044" s="881" t="s">
        <v>2248</v>
      </c>
      <c r="Z7044" s="881" t="s">
        <v>2357</v>
      </c>
      <c r="AA7044" s="890">
        <f>$S$1*P!AA7044</f>
        <v>0</v>
      </c>
      <c r="AB7044" s="780"/>
      <c r="AC7044" s="780"/>
      <c r="AD7044" s="780"/>
      <c r="AE7044" s="780"/>
      <c r="AF7044" s="780"/>
    </row>
    <row r="7045" spans="19:32" x14ac:dyDescent="0.35">
      <c r="S7045" s="780"/>
      <c r="T7045" s="928"/>
      <c r="U7045" s="928"/>
      <c r="V7045" s="928"/>
      <c r="W7045" s="780"/>
      <c r="X7045" s="881">
        <v>7041</v>
      </c>
      <c r="Y7045" s="881" t="s">
        <v>2248</v>
      </c>
      <c r="Z7045" s="881" t="s">
        <v>2356</v>
      </c>
      <c r="AA7045" s="890">
        <f>$S$1*P!AA7045</f>
        <v>114.08</v>
      </c>
      <c r="AB7045" s="780"/>
      <c r="AC7045" s="780"/>
      <c r="AD7045" s="780"/>
      <c r="AE7045" s="780"/>
      <c r="AF7045" s="780"/>
    </row>
    <row r="7046" spans="19:32" x14ac:dyDescent="0.35">
      <c r="S7046" s="780"/>
      <c r="T7046" s="928"/>
      <c r="U7046" s="928"/>
      <c r="V7046" s="928"/>
      <c r="W7046" s="780"/>
      <c r="X7046" s="782">
        <v>7042</v>
      </c>
      <c r="Y7046" s="782" t="s">
        <v>2248</v>
      </c>
      <c r="Z7046" s="782" t="s">
        <v>2355</v>
      </c>
      <c r="AA7046" s="781">
        <f>$S$1*P!AA7046</f>
        <v>6.6834677419354846E-4</v>
      </c>
      <c r="AB7046" s="780"/>
      <c r="AC7046" s="780"/>
      <c r="AD7046" s="780"/>
      <c r="AE7046" s="780"/>
      <c r="AF7046" s="780"/>
    </row>
    <row r="7047" spans="19:32" x14ac:dyDescent="0.35">
      <c r="S7047" s="780"/>
      <c r="T7047" s="928"/>
      <c r="U7047" s="928"/>
      <c r="V7047" s="928"/>
      <c r="W7047" s="780"/>
      <c r="X7047" s="881">
        <v>7043</v>
      </c>
      <c r="Y7047" s="881" t="s">
        <v>2248</v>
      </c>
      <c r="Z7047" s="881" t="s">
        <v>2354</v>
      </c>
      <c r="AA7047" s="890">
        <f>$S$1*P!AA7047</f>
        <v>0</v>
      </c>
      <c r="AB7047" s="780"/>
      <c r="AC7047" s="780"/>
      <c r="AD7047" s="780"/>
      <c r="AE7047" s="780"/>
      <c r="AF7047" s="780"/>
    </row>
    <row r="7048" spans="19:32" x14ac:dyDescent="0.35">
      <c r="S7048" s="780"/>
      <c r="T7048" s="928"/>
      <c r="U7048" s="928"/>
      <c r="V7048" s="928"/>
      <c r="W7048" s="780"/>
      <c r="X7048" s="782">
        <v>7044</v>
      </c>
      <c r="Y7048" s="782" t="s">
        <v>2248</v>
      </c>
      <c r="Z7048" s="782" t="s">
        <v>2353</v>
      </c>
      <c r="AA7048" s="781">
        <f>$S$1*P!AA7048</f>
        <v>2.1798387096774195E-2</v>
      </c>
      <c r="AB7048" s="780"/>
      <c r="AC7048" s="780"/>
      <c r="AD7048" s="780"/>
      <c r="AE7048" s="780"/>
      <c r="AF7048" s="780"/>
    </row>
    <row r="7049" spans="19:32" x14ac:dyDescent="0.35">
      <c r="S7049" s="780"/>
      <c r="T7049" s="928"/>
      <c r="U7049" s="928"/>
      <c r="V7049" s="928"/>
      <c r="W7049" s="780"/>
      <c r="X7049" s="881">
        <v>7045</v>
      </c>
      <c r="Y7049" s="881" t="s">
        <v>2248</v>
      </c>
      <c r="Z7049" s="881" t="s">
        <v>2352</v>
      </c>
      <c r="AA7049" s="890">
        <f>$S$1*P!AA7049</f>
        <v>6.9092000000000002</v>
      </c>
      <c r="AB7049" s="780"/>
      <c r="AC7049" s="780"/>
      <c r="AD7049" s="780"/>
      <c r="AE7049" s="780"/>
      <c r="AF7049" s="780"/>
    </row>
    <row r="7050" spans="19:32" x14ac:dyDescent="0.35">
      <c r="S7050" s="780"/>
      <c r="T7050" s="928"/>
      <c r="U7050" s="928"/>
      <c r="V7050" s="928"/>
      <c r="W7050" s="780"/>
      <c r="X7050" s="881">
        <v>7046</v>
      </c>
      <c r="Y7050" s="881" t="s">
        <v>2248</v>
      </c>
      <c r="Z7050" s="881" t="s">
        <v>2351</v>
      </c>
      <c r="AA7050" s="890">
        <f>$S$1*P!AA7050</f>
        <v>1.794</v>
      </c>
      <c r="AB7050" s="780"/>
      <c r="AC7050" s="780"/>
      <c r="AD7050" s="780"/>
      <c r="AE7050" s="780"/>
      <c r="AF7050" s="780"/>
    </row>
    <row r="7051" spans="19:32" x14ac:dyDescent="0.35">
      <c r="S7051" s="780"/>
      <c r="T7051" s="928"/>
      <c r="U7051" s="928"/>
      <c r="V7051" s="928"/>
      <c r="W7051" s="780"/>
      <c r="X7051" s="782">
        <v>7047</v>
      </c>
      <c r="Y7051" s="782" t="s">
        <v>2248</v>
      </c>
      <c r="Z7051" s="782" t="s">
        <v>2350</v>
      </c>
      <c r="AA7051" s="781">
        <f>$S$1*P!AA7051</f>
        <v>9.0141129032258078</v>
      </c>
      <c r="AB7051" s="780"/>
      <c r="AC7051" s="780"/>
      <c r="AD7051" s="780"/>
      <c r="AE7051" s="780"/>
      <c r="AF7051" s="780"/>
    </row>
    <row r="7052" spans="19:32" x14ac:dyDescent="0.35">
      <c r="S7052" s="780"/>
      <c r="T7052" s="928"/>
      <c r="U7052" s="928"/>
      <c r="V7052" s="928"/>
      <c r="W7052" s="780"/>
      <c r="X7052" s="881">
        <v>7048</v>
      </c>
      <c r="Y7052" s="881" t="s">
        <v>2248</v>
      </c>
      <c r="Z7052" s="881" t="s">
        <v>2349</v>
      </c>
      <c r="AA7052" s="890">
        <f>$S$1*P!AA7052</f>
        <v>10.672000000000001</v>
      </c>
      <c r="AB7052" s="780"/>
      <c r="AC7052" s="780"/>
      <c r="AD7052" s="780"/>
      <c r="AE7052" s="780"/>
      <c r="AF7052" s="780"/>
    </row>
    <row r="7053" spans="19:32" x14ac:dyDescent="0.35">
      <c r="S7053" s="780"/>
      <c r="T7053" s="928"/>
      <c r="U7053" s="928"/>
      <c r="V7053" s="928"/>
      <c r="W7053" s="780"/>
      <c r="X7053" s="881">
        <v>7049</v>
      </c>
      <c r="Y7053" s="881" t="s">
        <v>2248</v>
      </c>
      <c r="Z7053" s="881" t="s">
        <v>2348</v>
      </c>
      <c r="AA7053" s="890">
        <f>$S$1*P!AA7053</f>
        <v>32.475999999999999</v>
      </c>
      <c r="AB7053" s="780"/>
      <c r="AC7053" s="780"/>
      <c r="AD7053" s="780"/>
      <c r="AE7053" s="780"/>
      <c r="AF7053" s="780"/>
    </row>
    <row r="7054" spans="19:32" x14ac:dyDescent="0.35">
      <c r="S7054" s="780"/>
      <c r="T7054" s="928"/>
      <c r="U7054" s="928"/>
      <c r="V7054" s="928"/>
      <c r="W7054" s="780"/>
      <c r="X7054" s="782">
        <v>7050</v>
      </c>
      <c r="Y7054" s="782" t="s">
        <v>2248</v>
      </c>
      <c r="Z7054" s="782" t="s">
        <v>2347</v>
      </c>
      <c r="AA7054" s="781">
        <f>$S$1*P!AA7054</f>
        <v>0.18268145161290325</v>
      </c>
      <c r="AB7054" s="780"/>
      <c r="AC7054" s="780"/>
      <c r="AD7054" s="780"/>
      <c r="AE7054" s="780"/>
      <c r="AF7054" s="780"/>
    </row>
    <row r="7055" spans="19:32" x14ac:dyDescent="0.35">
      <c r="S7055" s="780"/>
      <c r="T7055" s="928"/>
      <c r="U7055" s="928"/>
      <c r="V7055" s="928"/>
      <c r="W7055" s="780"/>
      <c r="X7055" s="881">
        <v>7051</v>
      </c>
      <c r="Y7055" s="881" t="s">
        <v>2248</v>
      </c>
      <c r="Z7055" s="881" t="s">
        <v>2346</v>
      </c>
      <c r="AA7055" s="890">
        <f>$S$1*P!AA7055</f>
        <v>8.6204000000000001</v>
      </c>
      <c r="AB7055" s="780"/>
      <c r="AC7055" s="780"/>
      <c r="AD7055" s="780"/>
      <c r="AE7055" s="780"/>
      <c r="AF7055" s="780"/>
    </row>
    <row r="7056" spans="19:32" x14ac:dyDescent="0.35">
      <c r="S7056" s="780"/>
      <c r="T7056" s="928"/>
      <c r="U7056" s="928"/>
      <c r="V7056" s="928"/>
      <c r="W7056" s="780"/>
      <c r="X7056" s="881">
        <v>7052</v>
      </c>
      <c r="Y7056" s="881" t="s">
        <v>2248</v>
      </c>
      <c r="Z7056" s="881" t="s">
        <v>2345</v>
      </c>
      <c r="AA7056" s="890">
        <f>$S$1*P!AA7056</f>
        <v>5.8236000000000008</v>
      </c>
      <c r="AB7056" s="780"/>
      <c r="AC7056" s="780"/>
      <c r="AD7056" s="780"/>
      <c r="AE7056" s="780"/>
      <c r="AF7056" s="780"/>
    </row>
    <row r="7057" spans="19:32" x14ac:dyDescent="0.35">
      <c r="S7057" s="780"/>
      <c r="T7057" s="928"/>
      <c r="U7057" s="928"/>
      <c r="V7057" s="928"/>
      <c r="W7057" s="780"/>
      <c r="X7057" s="782">
        <v>7053</v>
      </c>
      <c r="Y7057" s="782" t="s">
        <v>2248</v>
      </c>
      <c r="Z7057" s="782" t="s">
        <v>2344</v>
      </c>
      <c r="AA7057" s="781">
        <f>$S$1*P!AA7057</f>
        <v>1.1413306451612904E-3</v>
      </c>
      <c r="AB7057" s="780"/>
      <c r="AC7057" s="780"/>
      <c r="AD7057" s="780"/>
      <c r="AE7057" s="780"/>
      <c r="AF7057" s="780"/>
    </row>
    <row r="7058" spans="19:32" x14ac:dyDescent="0.35">
      <c r="S7058" s="780"/>
      <c r="T7058" s="928"/>
      <c r="U7058" s="928"/>
      <c r="V7058" s="928"/>
      <c r="W7058" s="780"/>
      <c r="X7058" s="881">
        <v>7054</v>
      </c>
      <c r="Y7058" s="881" t="s">
        <v>2248</v>
      </c>
      <c r="Z7058" s="881" t="s">
        <v>2343</v>
      </c>
      <c r="AA7058" s="890">
        <f>$S$1*P!AA7058</f>
        <v>0</v>
      </c>
      <c r="AB7058" s="780"/>
      <c r="AC7058" s="780"/>
      <c r="AD7058" s="780"/>
      <c r="AE7058" s="780"/>
      <c r="AF7058" s="780"/>
    </row>
    <row r="7059" spans="19:32" x14ac:dyDescent="0.35">
      <c r="S7059" s="780"/>
      <c r="T7059" s="928"/>
      <c r="U7059" s="928"/>
      <c r="V7059" s="928"/>
      <c r="W7059" s="780"/>
      <c r="X7059" s="881">
        <v>7055</v>
      </c>
      <c r="Y7059" s="881" t="s">
        <v>2248</v>
      </c>
      <c r="Z7059" s="881" t="s">
        <v>2342</v>
      </c>
      <c r="AA7059" s="890">
        <f>$S$1*P!AA7059</f>
        <v>4.8208000000000007E-4</v>
      </c>
      <c r="AB7059" s="780"/>
      <c r="AC7059" s="780"/>
      <c r="AD7059" s="780"/>
      <c r="AE7059" s="780"/>
      <c r="AF7059" s="780"/>
    </row>
    <row r="7060" spans="19:32" x14ac:dyDescent="0.35">
      <c r="S7060" s="780"/>
      <c r="T7060" s="928"/>
      <c r="U7060" s="928"/>
      <c r="V7060" s="928"/>
      <c r="W7060" s="780"/>
      <c r="X7060" s="782">
        <v>7056</v>
      </c>
      <c r="Y7060" s="782" t="s">
        <v>2248</v>
      </c>
      <c r="Z7060" s="782" t="s">
        <v>2341</v>
      </c>
      <c r="AA7060" s="781">
        <f>$S$1*P!AA7060</f>
        <v>0.66149193548387097</v>
      </c>
      <c r="AB7060" s="780"/>
      <c r="AC7060" s="780"/>
      <c r="AD7060" s="780"/>
      <c r="AE7060" s="780"/>
      <c r="AF7060" s="780"/>
    </row>
    <row r="7061" spans="19:32" x14ac:dyDescent="0.35">
      <c r="S7061" s="780"/>
      <c r="T7061" s="928"/>
      <c r="U7061" s="928"/>
      <c r="V7061" s="928"/>
      <c r="W7061" s="780"/>
      <c r="X7061" s="881">
        <v>7057</v>
      </c>
      <c r="Y7061" s="881" t="s">
        <v>2248</v>
      </c>
      <c r="Z7061" s="881" t="s">
        <v>2340</v>
      </c>
      <c r="AA7061" s="890">
        <f>$S$1*P!AA7061</f>
        <v>0.38732</v>
      </c>
      <c r="AB7061" s="780"/>
      <c r="AC7061" s="780"/>
      <c r="AD7061" s="780"/>
      <c r="AE7061" s="780"/>
      <c r="AF7061" s="780"/>
    </row>
    <row r="7062" spans="19:32" x14ac:dyDescent="0.35">
      <c r="S7062" s="780"/>
      <c r="T7062" s="928"/>
      <c r="U7062" s="928"/>
      <c r="V7062" s="928"/>
      <c r="W7062" s="780"/>
      <c r="X7062" s="782">
        <v>7058</v>
      </c>
      <c r="Y7062" s="782" t="s">
        <v>2248</v>
      </c>
      <c r="Z7062" s="782" t="s">
        <v>2339</v>
      </c>
      <c r="AA7062" s="781">
        <f>$S$1*P!AA7062</f>
        <v>5.8951612903225814E-3</v>
      </c>
      <c r="AB7062" s="780"/>
      <c r="AC7062" s="780"/>
      <c r="AD7062" s="780"/>
      <c r="AE7062" s="780"/>
      <c r="AF7062" s="780"/>
    </row>
    <row r="7063" spans="19:32" x14ac:dyDescent="0.35">
      <c r="S7063" s="780"/>
      <c r="T7063" s="928"/>
      <c r="U7063" s="928"/>
      <c r="V7063" s="928"/>
      <c r="W7063" s="780"/>
      <c r="X7063" s="881">
        <v>7059</v>
      </c>
      <c r="Y7063" s="881" t="s">
        <v>2248</v>
      </c>
      <c r="Z7063" s="881" t="s">
        <v>2338</v>
      </c>
      <c r="AA7063" s="890">
        <f>$S$1*P!AA7063</f>
        <v>0</v>
      </c>
      <c r="AB7063" s="780"/>
      <c r="AC7063" s="780"/>
      <c r="AD7063" s="780"/>
      <c r="AE7063" s="780"/>
      <c r="AF7063" s="780"/>
    </row>
    <row r="7064" spans="19:32" x14ac:dyDescent="0.35">
      <c r="S7064" s="780"/>
      <c r="T7064" s="928"/>
      <c r="U7064" s="928"/>
      <c r="V7064" s="928"/>
      <c r="W7064" s="780"/>
      <c r="X7064" s="881">
        <v>7060</v>
      </c>
      <c r="Y7064" s="881" t="s">
        <v>2248</v>
      </c>
      <c r="Z7064" s="881" t="s">
        <v>2337</v>
      </c>
      <c r="AA7064" s="890">
        <f>$S$1*P!AA7064</f>
        <v>0.32108000000000003</v>
      </c>
      <c r="AB7064" s="780"/>
      <c r="AC7064" s="780"/>
      <c r="AD7064" s="780"/>
      <c r="AE7064" s="780"/>
      <c r="AF7064" s="780"/>
    </row>
    <row r="7065" spans="19:32" x14ac:dyDescent="0.35">
      <c r="S7065" s="780"/>
      <c r="T7065" s="928"/>
      <c r="U7065" s="928"/>
      <c r="V7065" s="928"/>
      <c r="W7065" s="780"/>
      <c r="X7065" s="782">
        <v>7061</v>
      </c>
      <c r="Y7065" s="782" t="s">
        <v>2248</v>
      </c>
      <c r="Z7065" s="782" t="s">
        <v>2336</v>
      </c>
      <c r="AA7065" s="781">
        <f>$S$1*P!AA7065</f>
        <v>2.0838709677419355E-3</v>
      </c>
      <c r="AB7065" s="780"/>
      <c r="AC7065" s="780"/>
      <c r="AD7065" s="780"/>
      <c r="AE7065" s="780"/>
      <c r="AF7065" s="780"/>
    </row>
    <row r="7066" spans="19:32" x14ac:dyDescent="0.35">
      <c r="S7066" s="780"/>
      <c r="T7066" s="928"/>
      <c r="U7066" s="928"/>
      <c r="V7066" s="928"/>
      <c r="W7066" s="780"/>
      <c r="X7066" s="881">
        <v>7062</v>
      </c>
      <c r="Y7066" s="881" t="s">
        <v>2248</v>
      </c>
      <c r="Z7066" s="881" t="s">
        <v>2335</v>
      </c>
      <c r="AA7066" s="890">
        <f>$S$1*P!AA7066</f>
        <v>0.41492000000000001</v>
      </c>
      <c r="AB7066" s="780"/>
      <c r="AC7066" s="780"/>
      <c r="AD7066" s="780"/>
      <c r="AE7066" s="780"/>
      <c r="AF7066" s="780"/>
    </row>
    <row r="7067" spans="19:32" x14ac:dyDescent="0.35">
      <c r="S7067" s="780"/>
      <c r="T7067" s="928"/>
      <c r="U7067" s="928"/>
      <c r="V7067" s="928"/>
      <c r="W7067" s="780"/>
      <c r="X7067" s="782">
        <v>7063</v>
      </c>
      <c r="Y7067" s="782" t="s">
        <v>2248</v>
      </c>
      <c r="Z7067" s="782" t="s">
        <v>2334</v>
      </c>
      <c r="AA7067" s="781">
        <f>$S$1*P!AA7067</f>
        <v>1.2681451612903227</v>
      </c>
      <c r="AB7067" s="780"/>
      <c r="AC7067" s="780"/>
      <c r="AD7067" s="780"/>
      <c r="AE7067" s="780"/>
      <c r="AF7067" s="780"/>
    </row>
    <row r="7068" spans="19:32" x14ac:dyDescent="0.35">
      <c r="S7068" s="780"/>
      <c r="T7068" s="928"/>
      <c r="U7068" s="928"/>
      <c r="V7068" s="928"/>
      <c r="W7068" s="780"/>
      <c r="X7068" s="881">
        <v>7064</v>
      </c>
      <c r="Y7068" s="881" t="s">
        <v>2248</v>
      </c>
      <c r="Z7068" s="881" t="s">
        <v>2333</v>
      </c>
      <c r="AA7068" s="890">
        <f>$S$1*P!AA7068</f>
        <v>0</v>
      </c>
      <c r="AB7068" s="780"/>
      <c r="AC7068" s="780"/>
      <c r="AD7068" s="780"/>
      <c r="AE7068" s="780"/>
      <c r="AF7068" s="780"/>
    </row>
    <row r="7069" spans="19:32" x14ac:dyDescent="0.35">
      <c r="S7069" s="780"/>
      <c r="T7069" s="928"/>
      <c r="U7069" s="928"/>
      <c r="V7069" s="928"/>
      <c r="W7069" s="780"/>
      <c r="X7069" s="881">
        <v>7065</v>
      </c>
      <c r="Y7069" s="881" t="s">
        <v>2248</v>
      </c>
      <c r="Z7069" s="881" t="s">
        <v>2332</v>
      </c>
      <c r="AA7069" s="890">
        <f>$S$1*P!AA7069</f>
        <v>0.35235999999999995</v>
      </c>
      <c r="AB7069" s="780"/>
      <c r="AC7069" s="780"/>
      <c r="AD7069" s="780"/>
      <c r="AE7069" s="780"/>
      <c r="AF7069" s="780"/>
    </row>
    <row r="7070" spans="19:32" x14ac:dyDescent="0.35">
      <c r="S7070" s="780"/>
      <c r="T7070" s="928"/>
      <c r="U7070" s="928"/>
      <c r="V7070" s="928"/>
      <c r="W7070" s="780"/>
      <c r="X7070" s="782">
        <v>7066</v>
      </c>
      <c r="Y7070" s="782" t="s">
        <v>2248</v>
      </c>
      <c r="Z7070" s="782" t="s">
        <v>2331</v>
      </c>
      <c r="AA7070" s="781">
        <f>$S$1*P!AA7070</f>
        <v>1.5971774193548388E-3</v>
      </c>
      <c r="AB7070" s="780"/>
      <c r="AC7070" s="780"/>
      <c r="AD7070" s="780"/>
      <c r="AE7070" s="780"/>
      <c r="AF7070" s="780"/>
    </row>
    <row r="7071" spans="19:32" x14ac:dyDescent="0.35">
      <c r="S7071" s="780"/>
      <c r="T7071" s="928"/>
      <c r="U7071" s="928"/>
      <c r="V7071" s="928"/>
      <c r="W7071" s="780"/>
      <c r="X7071" s="881">
        <v>7067</v>
      </c>
      <c r="Y7071" s="881" t="s">
        <v>2248</v>
      </c>
      <c r="Z7071" s="881" t="s">
        <v>2330</v>
      </c>
      <c r="AA7071" s="890">
        <f>$S$1*P!AA7071</f>
        <v>0</v>
      </c>
      <c r="AB7071" s="780"/>
      <c r="AC7071" s="780"/>
      <c r="AD7071" s="780"/>
      <c r="AE7071" s="780"/>
      <c r="AF7071" s="780"/>
    </row>
    <row r="7072" spans="19:32" x14ac:dyDescent="0.35">
      <c r="S7072" s="780"/>
      <c r="T7072" s="928"/>
      <c r="U7072" s="928"/>
      <c r="V7072" s="928"/>
      <c r="W7072" s="780"/>
      <c r="X7072" s="881">
        <v>7068</v>
      </c>
      <c r="Y7072" s="881" t="s">
        <v>2248</v>
      </c>
      <c r="Z7072" s="881" t="s">
        <v>2329</v>
      </c>
      <c r="AA7072" s="890">
        <f>$S$1*P!AA7072</f>
        <v>0</v>
      </c>
      <c r="AB7072" s="780"/>
      <c r="AC7072" s="780"/>
      <c r="AD7072" s="780"/>
      <c r="AE7072" s="780"/>
      <c r="AF7072" s="780"/>
    </row>
    <row r="7073" spans="19:32" x14ac:dyDescent="0.35">
      <c r="S7073" s="780"/>
      <c r="T7073" s="928"/>
      <c r="U7073" s="928"/>
      <c r="V7073" s="928"/>
      <c r="W7073" s="780"/>
      <c r="X7073" s="782">
        <v>7069</v>
      </c>
      <c r="Y7073" s="782" t="s">
        <v>2248</v>
      </c>
      <c r="Z7073" s="782" t="s">
        <v>2328</v>
      </c>
      <c r="AA7073" s="781">
        <f>$S$1*P!AA7073</f>
        <v>5.7923387096774194E-3</v>
      </c>
      <c r="AB7073" s="780"/>
      <c r="AC7073" s="780"/>
      <c r="AD7073" s="780"/>
      <c r="AE7073" s="780"/>
      <c r="AF7073" s="780"/>
    </row>
    <row r="7074" spans="19:32" x14ac:dyDescent="0.35">
      <c r="S7074" s="780"/>
      <c r="T7074" s="928"/>
      <c r="U7074" s="928"/>
      <c r="V7074" s="928"/>
      <c r="W7074" s="780"/>
      <c r="X7074" s="881">
        <v>7070</v>
      </c>
      <c r="Y7074" s="881" t="s">
        <v>2248</v>
      </c>
      <c r="Z7074" s="881" t="s">
        <v>2327</v>
      </c>
      <c r="AA7074" s="890">
        <f>$S$1*P!AA7074</f>
        <v>0</v>
      </c>
      <c r="AB7074" s="780"/>
      <c r="AC7074" s="780"/>
      <c r="AD7074" s="780"/>
      <c r="AE7074" s="780"/>
      <c r="AF7074" s="780"/>
    </row>
    <row r="7075" spans="19:32" x14ac:dyDescent="0.35">
      <c r="S7075" s="780"/>
      <c r="T7075" s="928"/>
      <c r="U7075" s="928"/>
      <c r="V7075" s="928"/>
      <c r="W7075" s="780"/>
      <c r="X7075" s="881">
        <v>7071</v>
      </c>
      <c r="Y7075" s="881" t="s">
        <v>2248</v>
      </c>
      <c r="Z7075" s="881" t="s">
        <v>2326</v>
      </c>
      <c r="AA7075" s="890">
        <f>$S$1*P!AA7075</f>
        <v>0</v>
      </c>
      <c r="AB7075" s="780"/>
      <c r="AC7075" s="780"/>
      <c r="AD7075" s="780"/>
      <c r="AE7075" s="780"/>
      <c r="AF7075" s="780"/>
    </row>
    <row r="7076" spans="19:32" x14ac:dyDescent="0.35">
      <c r="S7076" s="780"/>
      <c r="T7076" s="928"/>
      <c r="U7076" s="928"/>
      <c r="V7076" s="928"/>
      <c r="W7076" s="780"/>
      <c r="X7076" s="782">
        <v>7072</v>
      </c>
      <c r="Y7076" s="782" t="s">
        <v>2248</v>
      </c>
      <c r="Z7076" s="782" t="s">
        <v>2325</v>
      </c>
      <c r="AA7076" s="781">
        <f>$S$1*P!AA7076</f>
        <v>8.5000000000000006E-4</v>
      </c>
      <c r="AB7076" s="780"/>
      <c r="AC7076" s="780"/>
      <c r="AD7076" s="780"/>
      <c r="AE7076" s="780"/>
      <c r="AF7076" s="780"/>
    </row>
    <row r="7077" spans="19:32" x14ac:dyDescent="0.35">
      <c r="S7077" s="780"/>
      <c r="T7077" s="928"/>
      <c r="U7077" s="928"/>
      <c r="V7077" s="928"/>
      <c r="W7077" s="780"/>
      <c r="X7077" s="881">
        <v>7073</v>
      </c>
      <c r="Y7077" s="881" t="s">
        <v>2248</v>
      </c>
      <c r="Z7077" s="881" t="s">
        <v>2324</v>
      </c>
      <c r="AA7077" s="890">
        <f>$S$1*P!AA7077</f>
        <v>2.1528000000000003E-3</v>
      </c>
      <c r="AB7077" s="780"/>
      <c r="AC7077" s="780"/>
      <c r="AD7077" s="780"/>
      <c r="AE7077" s="780"/>
      <c r="AF7077" s="780"/>
    </row>
    <row r="7078" spans="19:32" x14ac:dyDescent="0.35">
      <c r="S7078" s="780"/>
      <c r="T7078" s="928"/>
      <c r="U7078" s="928"/>
      <c r="V7078" s="928"/>
      <c r="W7078" s="780"/>
      <c r="X7078" s="881">
        <v>7074</v>
      </c>
      <c r="Y7078" s="881" t="s">
        <v>2248</v>
      </c>
      <c r="Z7078" s="881" t="s">
        <v>2323</v>
      </c>
      <c r="AA7078" s="890">
        <f>$S$1*P!AA7078</f>
        <v>0.93840000000000001</v>
      </c>
      <c r="AB7078" s="780"/>
      <c r="AC7078" s="780"/>
      <c r="AD7078" s="780"/>
      <c r="AE7078" s="780"/>
      <c r="AF7078" s="780"/>
    </row>
    <row r="7079" spans="19:32" x14ac:dyDescent="0.35">
      <c r="S7079" s="780"/>
      <c r="T7079" s="928"/>
      <c r="U7079" s="928"/>
      <c r="V7079" s="928"/>
      <c r="W7079" s="780"/>
      <c r="X7079" s="782">
        <v>7075</v>
      </c>
      <c r="Y7079" s="782" t="s">
        <v>2248</v>
      </c>
      <c r="Z7079" s="782" t="s">
        <v>2322</v>
      </c>
      <c r="AA7079" s="781">
        <f>$S$1*P!AA7079</f>
        <v>3.9415322580645167E-4</v>
      </c>
      <c r="AB7079" s="780"/>
      <c r="AC7079" s="780"/>
      <c r="AD7079" s="780"/>
      <c r="AE7079" s="780"/>
      <c r="AF7079" s="780"/>
    </row>
    <row r="7080" spans="19:32" x14ac:dyDescent="0.35">
      <c r="S7080" s="780"/>
      <c r="T7080" s="928"/>
      <c r="U7080" s="928"/>
      <c r="V7080" s="928"/>
      <c r="W7080" s="780"/>
      <c r="X7080" s="881">
        <v>7076</v>
      </c>
      <c r="Y7080" s="881" t="s">
        <v>2248</v>
      </c>
      <c r="Z7080" s="881" t="s">
        <v>2321</v>
      </c>
      <c r="AA7080" s="890">
        <f>$S$1*P!AA7080</f>
        <v>1.1592</v>
      </c>
      <c r="AB7080" s="780"/>
      <c r="AC7080" s="780"/>
      <c r="AD7080" s="780"/>
      <c r="AE7080" s="780"/>
      <c r="AF7080" s="780"/>
    </row>
    <row r="7081" spans="19:32" x14ac:dyDescent="0.35">
      <c r="S7081" s="780"/>
      <c r="T7081" s="928"/>
      <c r="U7081" s="928"/>
      <c r="V7081" s="928"/>
      <c r="W7081" s="780"/>
      <c r="X7081" s="782">
        <v>7077</v>
      </c>
      <c r="Y7081" s="782" t="s">
        <v>2248</v>
      </c>
      <c r="Z7081" s="782" t="s">
        <v>2320</v>
      </c>
      <c r="AA7081" s="781">
        <f>$S$1*P!AA7081</f>
        <v>2.7282258064516129E-3</v>
      </c>
      <c r="AB7081" s="780"/>
      <c r="AC7081" s="780"/>
      <c r="AD7081" s="780"/>
      <c r="AE7081" s="780"/>
      <c r="AF7081" s="780"/>
    </row>
    <row r="7082" spans="19:32" x14ac:dyDescent="0.35">
      <c r="S7082" s="780"/>
      <c r="T7082" s="928"/>
      <c r="U7082" s="928"/>
      <c r="V7082" s="928"/>
      <c r="W7082" s="780"/>
      <c r="X7082" s="881">
        <v>7078</v>
      </c>
      <c r="Y7082" s="881" t="s">
        <v>2248</v>
      </c>
      <c r="Z7082" s="881" t="s">
        <v>2319</v>
      </c>
      <c r="AA7082" s="890">
        <f>$S$1*P!AA7082</f>
        <v>18.492000000000001</v>
      </c>
      <c r="AB7082" s="780"/>
      <c r="AC7082" s="780"/>
      <c r="AD7082" s="780"/>
      <c r="AE7082" s="780"/>
      <c r="AF7082" s="780"/>
    </row>
    <row r="7083" spans="19:32" x14ac:dyDescent="0.35">
      <c r="S7083" s="780"/>
      <c r="T7083" s="928"/>
      <c r="U7083" s="928"/>
      <c r="V7083" s="928"/>
      <c r="W7083" s="780"/>
      <c r="X7083" s="881">
        <v>7079</v>
      </c>
      <c r="Y7083" s="881" t="s">
        <v>2248</v>
      </c>
      <c r="Z7083" s="881" t="s">
        <v>2318</v>
      </c>
      <c r="AA7083" s="890">
        <f>$S$1*P!AA7083</f>
        <v>24.195999999999998</v>
      </c>
      <c r="AB7083" s="780"/>
      <c r="AC7083" s="780"/>
      <c r="AD7083" s="780"/>
      <c r="AE7083" s="780"/>
      <c r="AF7083" s="780"/>
    </row>
    <row r="7084" spans="19:32" x14ac:dyDescent="0.35">
      <c r="S7084" s="780"/>
      <c r="T7084" s="928"/>
      <c r="U7084" s="928"/>
      <c r="V7084" s="928"/>
      <c r="W7084" s="780"/>
      <c r="X7084" s="782">
        <v>7080</v>
      </c>
      <c r="Y7084" s="782" t="s">
        <v>2248</v>
      </c>
      <c r="Z7084" s="782" t="s">
        <v>2317</v>
      </c>
      <c r="AA7084" s="781">
        <f>$S$1*P!AA7084</f>
        <v>5.6209677419354835E-4</v>
      </c>
      <c r="AB7084" s="780"/>
      <c r="AC7084" s="780"/>
      <c r="AD7084" s="780"/>
      <c r="AE7084" s="780"/>
      <c r="AF7084" s="780"/>
    </row>
    <row r="7085" spans="19:32" x14ac:dyDescent="0.35">
      <c r="S7085" s="780"/>
      <c r="T7085" s="928"/>
      <c r="U7085" s="928"/>
      <c r="V7085" s="928"/>
      <c r="W7085" s="780"/>
      <c r="X7085" s="881">
        <v>7081</v>
      </c>
      <c r="Y7085" s="881" t="s">
        <v>2248</v>
      </c>
      <c r="Z7085" s="881" t="s">
        <v>2316</v>
      </c>
      <c r="AA7085" s="890">
        <f>$S$1*P!AA7085</f>
        <v>0</v>
      </c>
      <c r="AB7085" s="780"/>
      <c r="AC7085" s="780"/>
      <c r="AD7085" s="780"/>
      <c r="AE7085" s="780"/>
      <c r="AF7085" s="780"/>
    </row>
    <row r="7086" spans="19:32" x14ac:dyDescent="0.35">
      <c r="S7086" s="780"/>
      <c r="T7086" s="928"/>
      <c r="U7086" s="928"/>
      <c r="V7086" s="928"/>
      <c r="W7086" s="780"/>
      <c r="X7086" s="881">
        <v>7082</v>
      </c>
      <c r="Y7086" s="881" t="s">
        <v>2248</v>
      </c>
      <c r="Z7086" s="881" t="s">
        <v>2315</v>
      </c>
      <c r="AA7086" s="890">
        <f>$S$1*P!AA7086</f>
        <v>207</v>
      </c>
      <c r="AB7086" s="780"/>
      <c r="AC7086" s="780"/>
      <c r="AD7086" s="780"/>
      <c r="AE7086" s="780"/>
      <c r="AF7086" s="780"/>
    </row>
    <row r="7087" spans="19:32" x14ac:dyDescent="0.35">
      <c r="S7087" s="780"/>
      <c r="T7087" s="928"/>
      <c r="U7087" s="928"/>
      <c r="V7087" s="928"/>
      <c r="W7087" s="780"/>
      <c r="X7087" s="782">
        <v>7083</v>
      </c>
      <c r="Y7087" s="782" t="s">
        <v>2248</v>
      </c>
      <c r="Z7087" s="782" t="s">
        <v>2314</v>
      </c>
      <c r="AA7087" s="781">
        <f>$S$1*P!AA7087</f>
        <v>8.4314516129032268E-4</v>
      </c>
      <c r="AB7087" s="780"/>
      <c r="AC7087" s="780"/>
      <c r="AD7087" s="780"/>
      <c r="AE7087" s="780"/>
      <c r="AF7087" s="780"/>
    </row>
    <row r="7088" spans="19:32" x14ac:dyDescent="0.35">
      <c r="S7088" s="780"/>
      <c r="T7088" s="928"/>
      <c r="U7088" s="928"/>
      <c r="V7088" s="928"/>
      <c r="W7088" s="780"/>
      <c r="X7088" s="881">
        <v>7084</v>
      </c>
      <c r="Y7088" s="881" t="s">
        <v>2248</v>
      </c>
      <c r="Z7088" s="881" t="s">
        <v>2313</v>
      </c>
      <c r="AA7088" s="890">
        <f>$S$1*P!AA7088</f>
        <v>6.5411999999999999</v>
      </c>
      <c r="AB7088" s="780"/>
      <c r="AC7088" s="780"/>
      <c r="AD7088" s="780"/>
      <c r="AE7088" s="780"/>
      <c r="AF7088" s="780"/>
    </row>
    <row r="7089" spans="19:32" x14ac:dyDescent="0.35">
      <c r="S7089" s="780"/>
      <c r="T7089" s="928"/>
      <c r="U7089" s="928"/>
      <c r="V7089" s="928"/>
      <c r="W7089" s="780"/>
      <c r="X7089" s="881">
        <v>7085</v>
      </c>
      <c r="Y7089" s="881" t="s">
        <v>2248</v>
      </c>
      <c r="Z7089" s="881" t="s">
        <v>2312</v>
      </c>
      <c r="AA7089" s="890">
        <f>$S$1*P!AA7089</f>
        <v>0.21344000000000002</v>
      </c>
      <c r="AB7089" s="780"/>
      <c r="AC7089" s="780"/>
      <c r="AD7089" s="780"/>
      <c r="AE7089" s="780"/>
      <c r="AF7089" s="780"/>
    </row>
    <row r="7090" spans="19:32" x14ac:dyDescent="0.35">
      <c r="S7090" s="780"/>
      <c r="T7090" s="928"/>
      <c r="U7090" s="928"/>
      <c r="V7090" s="928"/>
      <c r="W7090" s="780"/>
      <c r="X7090" s="782">
        <v>7086</v>
      </c>
      <c r="Y7090" s="782" t="s">
        <v>2248</v>
      </c>
      <c r="Z7090" s="782" t="s">
        <v>2311</v>
      </c>
      <c r="AA7090" s="781">
        <f>$S$1*P!AA7090</f>
        <v>2.7110887096774199E-4</v>
      </c>
      <c r="AB7090" s="780"/>
      <c r="AC7090" s="780"/>
      <c r="AD7090" s="780"/>
      <c r="AE7090" s="780"/>
      <c r="AF7090" s="780"/>
    </row>
    <row r="7091" spans="19:32" x14ac:dyDescent="0.35">
      <c r="S7091" s="780"/>
      <c r="T7091" s="928"/>
      <c r="U7091" s="928"/>
      <c r="V7091" s="928"/>
      <c r="W7091" s="780"/>
      <c r="X7091" s="881">
        <v>7087</v>
      </c>
      <c r="Y7091" s="881" t="s">
        <v>2248</v>
      </c>
      <c r="Z7091" s="881" t="s">
        <v>2310</v>
      </c>
      <c r="AA7091" s="890">
        <f>$S$1*P!AA7091</f>
        <v>2.5023999999999998E-2</v>
      </c>
      <c r="AB7091" s="780"/>
      <c r="AC7091" s="780"/>
      <c r="AD7091" s="780"/>
      <c r="AE7091" s="780"/>
      <c r="AF7091" s="780"/>
    </row>
    <row r="7092" spans="19:32" x14ac:dyDescent="0.35">
      <c r="S7092" s="780"/>
      <c r="T7092" s="928"/>
      <c r="U7092" s="928"/>
      <c r="V7092" s="928"/>
      <c r="W7092" s="780"/>
      <c r="X7092" s="782">
        <v>7088</v>
      </c>
      <c r="Y7092" s="782" t="s">
        <v>2248</v>
      </c>
      <c r="Z7092" s="782" t="s">
        <v>2309</v>
      </c>
      <c r="AA7092" s="781">
        <f>$S$1*P!AA7092</f>
        <v>0.37358870967741936</v>
      </c>
      <c r="AB7092" s="780"/>
      <c r="AC7092" s="780"/>
      <c r="AD7092" s="780"/>
      <c r="AE7092" s="780"/>
      <c r="AF7092" s="780"/>
    </row>
    <row r="7093" spans="19:32" x14ac:dyDescent="0.35">
      <c r="S7093" s="780"/>
      <c r="T7093" s="928"/>
      <c r="U7093" s="928"/>
      <c r="V7093" s="928"/>
      <c r="W7093" s="780"/>
      <c r="X7093" s="881">
        <v>7089</v>
      </c>
      <c r="Y7093" s="881" t="s">
        <v>2248</v>
      </c>
      <c r="Z7093" s="881" t="s">
        <v>2308</v>
      </c>
      <c r="AA7093" s="890">
        <f>$S$1*P!AA7093</f>
        <v>0.24931999999999999</v>
      </c>
      <c r="AB7093" s="780"/>
      <c r="AC7093" s="780"/>
      <c r="AD7093" s="780"/>
      <c r="AE7093" s="780"/>
      <c r="AF7093" s="780"/>
    </row>
    <row r="7094" spans="19:32" x14ac:dyDescent="0.35">
      <c r="S7094" s="780"/>
      <c r="T7094" s="928"/>
      <c r="U7094" s="928"/>
      <c r="V7094" s="928"/>
      <c r="W7094" s="780"/>
      <c r="X7094" s="881">
        <v>7090</v>
      </c>
      <c r="Y7094" s="881" t="s">
        <v>2248</v>
      </c>
      <c r="Z7094" s="881" t="s">
        <v>2307</v>
      </c>
      <c r="AA7094" s="890">
        <f>$S$1*P!AA7094</f>
        <v>0.13156000000000001</v>
      </c>
      <c r="AB7094" s="780"/>
      <c r="AC7094" s="780"/>
      <c r="AD7094" s="780"/>
      <c r="AE7094" s="780"/>
      <c r="AF7094" s="780"/>
    </row>
    <row r="7095" spans="19:32" x14ac:dyDescent="0.35">
      <c r="S7095" s="780"/>
      <c r="T7095" s="928"/>
      <c r="U7095" s="928"/>
      <c r="V7095" s="928"/>
      <c r="W7095" s="780"/>
      <c r="X7095" s="782">
        <v>7091</v>
      </c>
      <c r="Y7095" s="782" t="s">
        <v>2248</v>
      </c>
      <c r="Z7095" s="782" t="s">
        <v>2306</v>
      </c>
      <c r="AA7095" s="781">
        <f>$S$1*P!AA7095</f>
        <v>2.0221774193548389E-4</v>
      </c>
      <c r="AB7095" s="780"/>
      <c r="AC7095" s="780"/>
      <c r="AD7095" s="780"/>
      <c r="AE7095" s="780"/>
      <c r="AF7095" s="780"/>
    </row>
    <row r="7096" spans="19:32" x14ac:dyDescent="0.35">
      <c r="S7096" s="780"/>
      <c r="T7096" s="928"/>
      <c r="U7096" s="928"/>
      <c r="V7096" s="928"/>
      <c r="W7096" s="780"/>
      <c r="X7096" s="881">
        <v>7092</v>
      </c>
      <c r="Y7096" s="881" t="s">
        <v>2248</v>
      </c>
      <c r="Z7096" s="881" t="s">
        <v>2305</v>
      </c>
      <c r="AA7096" s="890">
        <f>$S$1*P!AA7096</f>
        <v>0.98439999999999994</v>
      </c>
      <c r="AB7096" s="780"/>
      <c r="AC7096" s="780"/>
      <c r="AD7096" s="780"/>
      <c r="AE7096" s="780"/>
      <c r="AF7096" s="780"/>
    </row>
    <row r="7097" spans="19:32" x14ac:dyDescent="0.35">
      <c r="S7097" s="780"/>
      <c r="T7097" s="928"/>
      <c r="U7097" s="928"/>
      <c r="V7097" s="928"/>
      <c r="W7097" s="780"/>
      <c r="X7097" s="881">
        <v>7093</v>
      </c>
      <c r="Y7097" s="881" t="s">
        <v>2248</v>
      </c>
      <c r="Z7097" s="881" t="s">
        <v>2304</v>
      </c>
      <c r="AA7097" s="890">
        <f>$S$1*P!AA7097</f>
        <v>0</v>
      </c>
      <c r="AB7097" s="780"/>
      <c r="AC7097" s="780"/>
      <c r="AD7097" s="780"/>
      <c r="AE7097" s="780"/>
      <c r="AF7097" s="780"/>
    </row>
    <row r="7098" spans="19:32" x14ac:dyDescent="0.35">
      <c r="S7098" s="780"/>
      <c r="T7098" s="928"/>
      <c r="U7098" s="928"/>
      <c r="V7098" s="928"/>
      <c r="W7098" s="780"/>
      <c r="X7098" s="782">
        <v>7094</v>
      </c>
      <c r="Y7098" s="782" t="s">
        <v>2248</v>
      </c>
      <c r="Z7098" s="782" t="s">
        <v>2303</v>
      </c>
      <c r="AA7098" s="781">
        <f>$S$1*P!AA7098</f>
        <v>5.1068548387096782E-3</v>
      </c>
      <c r="AB7098" s="780"/>
      <c r="AC7098" s="780"/>
      <c r="AD7098" s="780"/>
      <c r="AE7098" s="780"/>
      <c r="AF7098" s="780"/>
    </row>
    <row r="7099" spans="19:32" x14ac:dyDescent="0.35">
      <c r="S7099" s="780"/>
      <c r="T7099" s="928"/>
      <c r="U7099" s="928"/>
      <c r="V7099" s="928"/>
      <c r="W7099" s="780"/>
      <c r="X7099" s="881">
        <v>7095</v>
      </c>
      <c r="Y7099" s="881" t="s">
        <v>2248</v>
      </c>
      <c r="Z7099" s="881" t="s">
        <v>2302</v>
      </c>
      <c r="AA7099" s="890">
        <f>$S$1*P!AA7099</f>
        <v>0.19411999999999999</v>
      </c>
      <c r="AB7099" s="780"/>
      <c r="AC7099" s="780"/>
      <c r="AD7099" s="780"/>
      <c r="AE7099" s="780"/>
      <c r="AF7099" s="780"/>
    </row>
    <row r="7100" spans="19:32" x14ac:dyDescent="0.35">
      <c r="S7100" s="780"/>
      <c r="T7100" s="928"/>
      <c r="U7100" s="928"/>
      <c r="V7100" s="928"/>
      <c r="W7100" s="780"/>
      <c r="X7100" s="881">
        <v>7096</v>
      </c>
      <c r="Y7100" s="881" t="s">
        <v>2248</v>
      </c>
      <c r="Z7100" s="881" t="s">
        <v>2301</v>
      </c>
      <c r="AA7100" s="890">
        <f>$S$1*P!AA7100</f>
        <v>0</v>
      </c>
      <c r="AB7100" s="780"/>
      <c r="AC7100" s="780"/>
      <c r="AD7100" s="780"/>
      <c r="AE7100" s="780"/>
      <c r="AF7100" s="780"/>
    </row>
    <row r="7101" spans="19:32" x14ac:dyDescent="0.35">
      <c r="S7101" s="780"/>
      <c r="T7101" s="928"/>
      <c r="U7101" s="928"/>
      <c r="V7101" s="928"/>
      <c r="W7101" s="780"/>
      <c r="X7101" s="782">
        <v>7097</v>
      </c>
      <c r="Y7101" s="782" t="s">
        <v>2248</v>
      </c>
      <c r="Z7101" s="782" t="s">
        <v>2300</v>
      </c>
      <c r="AA7101" s="781">
        <f>$S$1*P!AA7101</f>
        <v>2.3683467741935485E-4</v>
      </c>
      <c r="AB7101" s="780"/>
      <c r="AC7101" s="780"/>
      <c r="AD7101" s="780"/>
      <c r="AE7101" s="780"/>
      <c r="AF7101" s="780"/>
    </row>
    <row r="7102" spans="19:32" x14ac:dyDescent="0.35">
      <c r="S7102" s="780"/>
      <c r="T7102" s="928"/>
      <c r="U7102" s="928"/>
      <c r="V7102" s="928"/>
      <c r="W7102" s="780"/>
      <c r="X7102" s="881">
        <v>7098</v>
      </c>
      <c r="Y7102" s="881" t="s">
        <v>2248</v>
      </c>
      <c r="Z7102" s="881" t="s">
        <v>2299</v>
      </c>
      <c r="AA7102" s="890">
        <f>$S$1*P!AA7102</f>
        <v>2778.4</v>
      </c>
      <c r="AB7102" s="780"/>
      <c r="AC7102" s="780"/>
      <c r="AD7102" s="780"/>
      <c r="AE7102" s="780"/>
      <c r="AF7102" s="780"/>
    </row>
    <row r="7103" spans="19:32" x14ac:dyDescent="0.35">
      <c r="S7103" s="780"/>
      <c r="T7103" s="928"/>
      <c r="U7103" s="928"/>
      <c r="V7103" s="928"/>
      <c r="W7103" s="780"/>
      <c r="X7103" s="881">
        <v>7099</v>
      </c>
      <c r="Y7103" s="881" t="s">
        <v>2248</v>
      </c>
      <c r="Z7103" s="881" t="s">
        <v>2298</v>
      </c>
      <c r="AA7103" s="890">
        <f>$S$1*P!AA7103</f>
        <v>37.628</v>
      </c>
      <c r="AB7103" s="780"/>
      <c r="AC7103" s="780"/>
      <c r="AD7103" s="780"/>
      <c r="AE7103" s="780"/>
      <c r="AF7103" s="780"/>
    </row>
    <row r="7104" spans="19:32" x14ac:dyDescent="0.35">
      <c r="S7104" s="780"/>
      <c r="T7104" s="928"/>
      <c r="U7104" s="928"/>
      <c r="V7104" s="928"/>
      <c r="W7104" s="780"/>
      <c r="X7104" s="782">
        <v>7100</v>
      </c>
      <c r="Y7104" s="782" t="s">
        <v>2248</v>
      </c>
      <c r="Z7104" s="782" t="s">
        <v>2297</v>
      </c>
      <c r="AA7104" s="781">
        <f>$S$1*P!AA7104</f>
        <v>7.5745967741935497E-2</v>
      </c>
      <c r="AB7104" s="780"/>
      <c r="AC7104" s="780"/>
      <c r="AD7104" s="780"/>
      <c r="AE7104" s="780"/>
      <c r="AF7104" s="780"/>
    </row>
    <row r="7105" spans="19:32" x14ac:dyDescent="0.35">
      <c r="S7105" s="780"/>
      <c r="T7105" s="928"/>
      <c r="U7105" s="928"/>
      <c r="V7105" s="928"/>
      <c r="W7105" s="780"/>
      <c r="X7105" s="881">
        <v>7101</v>
      </c>
      <c r="Y7105" s="881" t="s">
        <v>2248</v>
      </c>
      <c r="Z7105" s="881" t="s">
        <v>2296</v>
      </c>
      <c r="AA7105" s="890">
        <f>$S$1*P!AA7105</f>
        <v>4.6920000000000003E-2</v>
      </c>
      <c r="AB7105" s="780"/>
      <c r="AC7105" s="780"/>
      <c r="AD7105" s="780"/>
      <c r="AE7105" s="780"/>
      <c r="AF7105" s="780"/>
    </row>
    <row r="7106" spans="19:32" x14ac:dyDescent="0.35">
      <c r="S7106" s="780"/>
      <c r="T7106" s="928"/>
      <c r="U7106" s="928"/>
      <c r="V7106" s="928"/>
      <c r="W7106" s="780"/>
      <c r="X7106" s="782">
        <v>7102</v>
      </c>
      <c r="Y7106" s="782" t="s">
        <v>2248</v>
      </c>
      <c r="Z7106" s="782" t="s">
        <v>2295</v>
      </c>
      <c r="AA7106" s="781">
        <f>$S$1*P!AA7106</f>
        <v>1.6554435483870968</v>
      </c>
      <c r="AB7106" s="780"/>
      <c r="AC7106" s="780"/>
      <c r="AD7106" s="780"/>
      <c r="AE7106" s="780"/>
      <c r="AF7106" s="780"/>
    </row>
    <row r="7107" spans="19:32" x14ac:dyDescent="0.35">
      <c r="S7107" s="780"/>
      <c r="T7107" s="928"/>
      <c r="U7107" s="928"/>
      <c r="V7107" s="928"/>
      <c r="W7107" s="780"/>
      <c r="X7107" s="881">
        <v>7103</v>
      </c>
      <c r="Y7107" s="881" t="s">
        <v>2248</v>
      </c>
      <c r="Z7107" s="881" t="s">
        <v>2294</v>
      </c>
      <c r="AA7107" s="890">
        <f>$S$1*P!AA7107</f>
        <v>0</v>
      </c>
      <c r="AB7107" s="780"/>
      <c r="AC7107" s="780"/>
      <c r="AD7107" s="780"/>
      <c r="AE7107" s="780"/>
      <c r="AF7107" s="780"/>
    </row>
    <row r="7108" spans="19:32" x14ac:dyDescent="0.35">
      <c r="S7108" s="780"/>
      <c r="T7108" s="928"/>
      <c r="U7108" s="928"/>
      <c r="V7108" s="928"/>
      <c r="W7108" s="780"/>
      <c r="X7108" s="881">
        <v>7104</v>
      </c>
      <c r="Y7108" s="881" t="s">
        <v>2248</v>
      </c>
      <c r="Z7108" s="881" t="s">
        <v>2293</v>
      </c>
      <c r="AA7108" s="890">
        <f>$S$1*P!AA7108</f>
        <v>0</v>
      </c>
      <c r="AB7108" s="780"/>
      <c r="AC7108" s="780"/>
      <c r="AD7108" s="780"/>
      <c r="AE7108" s="780"/>
      <c r="AF7108" s="780"/>
    </row>
    <row r="7109" spans="19:32" x14ac:dyDescent="0.35">
      <c r="S7109" s="780"/>
      <c r="T7109" s="928"/>
      <c r="U7109" s="928"/>
      <c r="V7109" s="928"/>
      <c r="W7109" s="780"/>
      <c r="X7109" s="782">
        <v>7105</v>
      </c>
      <c r="Y7109" s="782" t="s">
        <v>2248</v>
      </c>
      <c r="Z7109" s="782" t="s">
        <v>2292</v>
      </c>
      <c r="AA7109" s="781">
        <f>$S$1*P!AA7109</f>
        <v>3.1566532258064516E-2</v>
      </c>
      <c r="AB7109" s="780"/>
      <c r="AC7109" s="780"/>
      <c r="AD7109" s="780"/>
      <c r="AE7109" s="780"/>
      <c r="AF7109" s="780"/>
    </row>
    <row r="7110" spans="19:32" x14ac:dyDescent="0.35">
      <c r="S7110" s="780"/>
      <c r="T7110" s="928"/>
      <c r="U7110" s="928"/>
      <c r="V7110" s="928"/>
      <c r="W7110" s="780"/>
      <c r="X7110" s="881">
        <v>7106</v>
      </c>
      <c r="Y7110" s="881" t="s">
        <v>2248</v>
      </c>
      <c r="Z7110" s="881" t="s">
        <v>2291</v>
      </c>
      <c r="AA7110" s="890">
        <f>$S$1*P!AA7110</f>
        <v>0.1656</v>
      </c>
      <c r="AB7110" s="780"/>
      <c r="AC7110" s="780"/>
      <c r="AD7110" s="780"/>
      <c r="AE7110" s="780"/>
      <c r="AF7110" s="780"/>
    </row>
    <row r="7111" spans="19:32" x14ac:dyDescent="0.35">
      <c r="S7111" s="780"/>
      <c r="T7111" s="928"/>
      <c r="U7111" s="928"/>
      <c r="V7111" s="928"/>
      <c r="W7111" s="780"/>
      <c r="X7111" s="881">
        <v>7107</v>
      </c>
      <c r="Y7111" s="881" t="s">
        <v>2248</v>
      </c>
      <c r="Z7111" s="881" t="s">
        <v>2290</v>
      </c>
      <c r="AA7111" s="890">
        <f>$S$1*P!AA7111</f>
        <v>0</v>
      </c>
      <c r="AB7111" s="780"/>
      <c r="AC7111" s="780"/>
      <c r="AD7111" s="780"/>
      <c r="AE7111" s="780"/>
      <c r="AF7111" s="780"/>
    </row>
    <row r="7112" spans="19:32" x14ac:dyDescent="0.35">
      <c r="S7112" s="780"/>
      <c r="T7112" s="928"/>
      <c r="U7112" s="928"/>
      <c r="V7112" s="928"/>
      <c r="W7112" s="780"/>
      <c r="X7112" s="782">
        <v>7108</v>
      </c>
      <c r="Y7112" s="782" t="s">
        <v>2248</v>
      </c>
      <c r="Z7112" s="782" t="s">
        <v>2289</v>
      </c>
      <c r="AA7112" s="781">
        <f>$S$1*P!AA7112</f>
        <v>5.4495967741935492E-2</v>
      </c>
      <c r="AB7112" s="780"/>
      <c r="AC7112" s="780"/>
      <c r="AD7112" s="780"/>
      <c r="AE7112" s="780"/>
      <c r="AF7112" s="780"/>
    </row>
    <row r="7113" spans="19:32" x14ac:dyDescent="0.35">
      <c r="S7113" s="780"/>
      <c r="T7113" s="928"/>
      <c r="U7113" s="928"/>
      <c r="V7113" s="928"/>
      <c r="W7113" s="780"/>
      <c r="X7113" s="881">
        <v>7109</v>
      </c>
      <c r="Y7113" s="881" t="s">
        <v>2248</v>
      </c>
      <c r="Z7113" s="881" t="s">
        <v>2288</v>
      </c>
      <c r="AA7113" s="890">
        <f>$S$1*P!AA7113</f>
        <v>3.8455999999999997E-2</v>
      </c>
      <c r="AB7113" s="780"/>
      <c r="AC7113" s="780"/>
      <c r="AD7113" s="780"/>
      <c r="AE7113" s="780"/>
      <c r="AF7113" s="780"/>
    </row>
    <row r="7114" spans="19:32" x14ac:dyDescent="0.35">
      <c r="S7114" s="780"/>
      <c r="T7114" s="928"/>
      <c r="U7114" s="928"/>
      <c r="V7114" s="928"/>
      <c r="W7114" s="780"/>
      <c r="X7114" s="881">
        <v>7110</v>
      </c>
      <c r="Y7114" s="881" t="s">
        <v>2248</v>
      </c>
      <c r="Z7114" s="881" t="s">
        <v>2287</v>
      </c>
      <c r="AA7114" s="890">
        <f>$S$1*P!AA7114</f>
        <v>0</v>
      </c>
      <c r="AB7114" s="780"/>
      <c r="AC7114" s="780"/>
      <c r="AD7114" s="780"/>
      <c r="AE7114" s="780"/>
      <c r="AF7114" s="780"/>
    </row>
    <row r="7115" spans="19:32" x14ac:dyDescent="0.35">
      <c r="S7115" s="780"/>
      <c r="T7115" s="928"/>
      <c r="U7115" s="928"/>
      <c r="V7115" s="928"/>
      <c r="W7115" s="780"/>
      <c r="X7115" s="782">
        <v>7111</v>
      </c>
      <c r="Y7115" s="782" t="s">
        <v>2248</v>
      </c>
      <c r="Z7115" s="782" t="s">
        <v>2286</v>
      </c>
      <c r="AA7115" s="781">
        <f>$S$1*P!AA7115</f>
        <v>1.7993951612903227</v>
      </c>
      <c r="AB7115" s="780"/>
      <c r="AC7115" s="780"/>
      <c r="AD7115" s="780"/>
      <c r="AE7115" s="780"/>
      <c r="AF7115" s="780"/>
    </row>
    <row r="7116" spans="19:32" x14ac:dyDescent="0.35">
      <c r="S7116" s="780"/>
      <c r="T7116" s="928"/>
      <c r="U7116" s="928"/>
      <c r="V7116" s="928"/>
      <c r="W7116" s="780"/>
      <c r="X7116" s="881">
        <v>7112</v>
      </c>
      <c r="Y7116" s="881" t="s">
        <v>2248</v>
      </c>
      <c r="Z7116" s="881" t="s">
        <v>2285</v>
      </c>
      <c r="AA7116" s="890">
        <f>$S$1*P!AA7116</f>
        <v>0.31831999999999999</v>
      </c>
      <c r="AB7116" s="780"/>
      <c r="AC7116" s="780"/>
      <c r="AD7116" s="780"/>
      <c r="AE7116" s="780"/>
      <c r="AF7116" s="780"/>
    </row>
    <row r="7117" spans="19:32" x14ac:dyDescent="0.35">
      <c r="S7117" s="780"/>
      <c r="T7117" s="928"/>
      <c r="U7117" s="928"/>
      <c r="V7117" s="928"/>
      <c r="W7117" s="780"/>
      <c r="X7117" s="782">
        <v>7113</v>
      </c>
      <c r="Y7117" s="782" t="s">
        <v>2248</v>
      </c>
      <c r="Z7117" s="782" t="s">
        <v>2284</v>
      </c>
      <c r="AA7117" s="781">
        <f>$S$1*P!AA7117</f>
        <v>2.4848790322580649E-2</v>
      </c>
      <c r="AB7117" s="780"/>
      <c r="AC7117" s="780"/>
      <c r="AD7117" s="780"/>
      <c r="AE7117" s="780"/>
      <c r="AF7117" s="780"/>
    </row>
    <row r="7118" spans="19:32" x14ac:dyDescent="0.35">
      <c r="S7118" s="780"/>
      <c r="T7118" s="928"/>
      <c r="U7118" s="928"/>
      <c r="V7118" s="928"/>
      <c r="W7118" s="780"/>
      <c r="X7118" s="881">
        <v>7114</v>
      </c>
      <c r="Y7118" s="881" t="s">
        <v>2248</v>
      </c>
      <c r="Z7118" s="881" t="s">
        <v>2283</v>
      </c>
      <c r="AA7118" s="890">
        <f>$S$1*P!AA7118</f>
        <v>0</v>
      </c>
      <c r="AB7118" s="780"/>
      <c r="AC7118" s="780"/>
      <c r="AD7118" s="780"/>
      <c r="AE7118" s="780"/>
      <c r="AF7118" s="780"/>
    </row>
    <row r="7119" spans="19:32" x14ac:dyDescent="0.35">
      <c r="S7119" s="780"/>
      <c r="T7119" s="928"/>
      <c r="U7119" s="928"/>
      <c r="V7119" s="928"/>
      <c r="W7119" s="780"/>
      <c r="X7119" s="881">
        <v>7115</v>
      </c>
      <c r="Y7119" s="881" t="s">
        <v>2248</v>
      </c>
      <c r="Z7119" s="881" t="s">
        <v>2282</v>
      </c>
      <c r="AA7119" s="890">
        <f>$S$1*P!AA7119</f>
        <v>0</v>
      </c>
      <c r="AB7119" s="780"/>
      <c r="AC7119" s="780"/>
      <c r="AD7119" s="780"/>
      <c r="AE7119" s="780"/>
      <c r="AF7119" s="780"/>
    </row>
    <row r="7120" spans="19:32" x14ac:dyDescent="0.35">
      <c r="S7120" s="780"/>
      <c r="T7120" s="928"/>
      <c r="U7120" s="928"/>
      <c r="V7120" s="928"/>
      <c r="W7120" s="780"/>
      <c r="X7120" s="782">
        <v>7116</v>
      </c>
      <c r="Y7120" s="782" t="s">
        <v>2248</v>
      </c>
      <c r="Z7120" s="782" t="s">
        <v>2281</v>
      </c>
      <c r="AA7120" s="781">
        <f>$S$1*P!AA7120</f>
        <v>2.8618951612903229E-6</v>
      </c>
      <c r="AB7120" s="780"/>
      <c r="AC7120" s="780"/>
      <c r="AD7120" s="780"/>
      <c r="AE7120" s="780"/>
      <c r="AF7120" s="780"/>
    </row>
    <row r="7121" spans="19:32" x14ac:dyDescent="0.35">
      <c r="S7121" s="780"/>
      <c r="T7121" s="928"/>
      <c r="U7121" s="928"/>
      <c r="V7121" s="928"/>
      <c r="W7121" s="780"/>
      <c r="X7121" s="881">
        <v>7117</v>
      </c>
      <c r="Y7121" s="881" t="s">
        <v>2248</v>
      </c>
      <c r="Z7121" s="881" t="s">
        <v>2280</v>
      </c>
      <c r="AA7121" s="890">
        <f>$S$1*P!AA7121</f>
        <v>1.7204000000000002</v>
      </c>
      <c r="AB7121" s="780"/>
      <c r="AC7121" s="780"/>
      <c r="AD7121" s="780"/>
      <c r="AE7121" s="780"/>
      <c r="AF7121" s="780"/>
    </row>
    <row r="7122" spans="19:32" x14ac:dyDescent="0.35">
      <c r="S7122" s="780"/>
      <c r="T7122" s="928"/>
      <c r="U7122" s="928"/>
      <c r="V7122" s="928"/>
      <c r="W7122" s="780"/>
      <c r="X7122" s="881">
        <v>7118</v>
      </c>
      <c r="Y7122" s="881" t="s">
        <v>2248</v>
      </c>
      <c r="Z7122" s="881" t="s">
        <v>2279</v>
      </c>
      <c r="AA7122" s="890">
        <f>$S$1*P!AA7122</f>
        <v>4.7195999999999998</v>
      </c>
      <c r="AB7122" s="780"/>
      <c r="AC7122" s="780"/>
      <c r="AD7122" s="780"/>
      <c r="AE7122" s="780"/>
      <c r="AF7122" s="780"/>
    </row>
    <row r="7123" spans="19:32" x14ac:dyDescent="0.35">
      <c r="S7123" s="780"/>
      <c r="T7123" s="928"/>
      <c r="U7123" s="928"/>
      <c r="V7123" s="928"/>
      <c r="W7123" s="780"/>
      <c r="X7123" s="782">
        <v>7119</v>
      </c>
      <c r="Y7123" s="782" t="s">
        <v>2248</v>
      </c>
      <c r="Z7123" s="782" t="s">
        <v>2278</v>
      </c>
      <c r="AA7123" s="781">
        <f>$S$1*P!AA7123</f>
        <v>1.1070564516129033E-12</v>
      </c>
      <c r="AB7123" s="780"/>
      <c r="AC7123" s="780"/>
      <c r="AD7123" s="780"/>
      <c r="AE7123" s="780"/>
      <c r="AF7123" s="780"/>
    </row>
    <row r="7124" spans="19:32" x14ac:dyDescent="0.35">
      <c r="S7124" s="780"/>
      <c r="T7124" s="928"/>
      <c r="U7124" s="928"/>
      <c r="V7124" s="928"/>
      <c r="W7124" s="780"/>
      <c r="X7124" s="881">
        <v>7120</v>
      </c>
      <c r="Y7124" s="881" t="s">
        <v>2248</v>
      </c>
      <c r="Z7124" s="881" t="s">
        <v>2277</v>
      </c>
      <c r="AA7124" s="890">
        <f>$S$1*P!AA7124</f>
        <v>1.886E-4</v>
      </c>
      <c r="AB7124" s="780"/>
      <c r="AC7124" s="780"/>
      <c r="AD7124" s="780"/>
      <c r="AE7124" s="780"/>
      <c r="AF7124" s="780"/>
    </row>
    <row r="7125" spans="19:32" x14ac:dyDescent="0.35">
      <c r="S7125" s="780"/>
      <c r="T7125" s="928"/>
      <c r="U7125" s="928"/>
      <c r="V7125" s="928"/>
      <c r="W7125" s="780"/>
      <c r="X7125" s="881">
        <v>7121</v>
      </c>
      <c r="Y7125" s="881" t="s">
        <v>2248</v>
      </c>
      <c r="Z7125" s="881" t="s">
        <v>2276</v>
      </c>
      <c r="AA7125" s="890">
        <f>$S$1*P!AA7125</f>
        <v>3.91</v>
      </c>
      <c r="AB7125" s="780"/>
      <c r="AC7125" s="780"/>
      <c r="AD7125" s="780"/>
      <c r="AE7125" s="780"/>
      <c r="AF7125" s="780"/>
    </row>
    <row r="7126" spans="19:32" x14ac:dyDescent="0.35">
      <c r="S7126" s="780"/>
      <c r="T7126" s="928"/>
      <c r="U7126" s="928"/>
      <c r="V7126" s="928"/>
      <c r="W7126" s="780"/>
      <c r="X7126" s="782">
        <v>7122</v>
      </c>
      <c r="Y7126" s="782" t="s">
        <v>2248</v>
      </c>
      <c r="Z7126" s="782" t="s">
        <v>2275</v>
      </c>
      <c r="AA7126" s="781">
        <f>$S$1*P!AA7126</f>
        <v>1.1070564516129034E-5</v>
      </c>
      <c r="AB7126" s="780"/>
      <c r="AC7126" s="780"/>
      <c r="AD7126" s="780"/>
      <c r="AE7126" s="780"/>
      <c r="AF7126" s="780"/>
    </row>
    <row r="7127" spans="19:32" x14ac:dyDescent="0.35">
      <c r="S7127" s="780"/>
      <c r="T7127" s="928"/>
      <c r="U7127" s="928"/>
      <c r="V7127" s="928"/>
      <c r="W7127" s="780"/>
      <c r="X7127" s="881">
        <v>7123</v>
      </c>
      <c r="Y7127" s="881" t="s">
        <v>2248</v>
      </c>
      <c r="Z7127" s="881" t="s">
        <v>2274</v>
      </c>
      <c r="AA7127" s="890">
        <f>$S$1*P!AA7127</f>
        <v>14.168000000000001</v>
      </c>
      <c r="AB7127" s="780"/>
      <c r="AC7127" s="780"/>
      <c r="AD7127" s="780"/>
      <c r="AE7127" s="780"/>
      <c r="AF7127" s="780"/>
    </row>
    <row r="7128" spans="19:32" x14ac:dyDescent="0.35">
      <c r="S7128" s="780"/>
      <c r="T7128" s="928"/>
      <c r="U7128" s="928"/>
      <c r="V7128" s="928"/>
      <c r="W7128" s="780"/>
      <c r="X7128" s="881">
        <v>7124</v>
      </c>
      <c r="Y7128" s="881" t="s">
        <v>2248</v>
      </c>
      <c r="Z7128" s="881" t="s">
        <v>2273</v>
      </c>
      <c r="AA7128" s="890">
        <f>$S$1*P!AA7128</f>
        <v>1.9871999999999999E-4</v>
      </c>
      <c r="AB7128" s="780"/>
      <c r="AC7128" s="780"/>
      <c r="AD7128" s="780"/>
      <c r="AE7128" s="780"/>
      <c r="AF7128" s="780"/>
    </row>
    <row r="7129" spans="19:32" x14ac:dyDescent="0.35">
      <c r="S7129" s="780"/>
      <c r="T7129" s="928"/>
      <c r="U7129" s="928"/>
      <c r="V7129" s="928"/>
      <c r="W7129" s="780"/>
      <c r="X7129" s="782">
        <v>7125</v>
      </c>
      <c r="Y7129" s="782" t="s">
        <v>2248</v>
      </c>
      <c r="Z7129" s="782" t="s">
        <v>2272</v>
      </c>
      <c r="AA7129" s="781">
        <f>$S$1*P!AA7129</f>
        <v>8.0201612903225816E-3</v>
      </c>
      <c r="AB7129" s="780"/>
      <c r="AC7129" s="780"/>
      <c r="AD7129" s="780"/>
      <c r="AE7129" s="780"/>
      <c r="AF7129" s="780"/>
    </row>
    <row r="7130" spans="19:32" x14ac:dyDescent="0.35">
      <c r="S7130" s="780"/>
      <c r="T7130" s="928"/>
      <c r="U7130" s="928"/>
      <c r="V7130" s="928"/>
      <c r="W7130" s="780"/>
      <c r="X7130" s="881">
        <v>7126</v>
      </c>
      <c r="Y7130" s="881" t="s">
        <v>2248</v>
      </c>
      <c r="Z7130" s="881" t="s">
        <v>2271</v>
      </c>
      <c r="AA7130" s="890">
        <f>$S$1*P!AA7130</f>
        <v>8.6388000000000006E-2</v>
      </c>
      <c r="AB7130" s="780"/>
      <c r="AC7130" s="780"/>
      <c r="AD7130" s="780"/>
      <c r="AE7130" s="780"/>
      <c r="AF7130" s="780"/>
    </row>
    <row r="7131" spans="19:32" x14ac:dyDescent="0.35">
      <c r="S7131" s="780"/>
      <c r="T7131" s="928"/>
      <c r="U7131" s="928"/>
      <c r="V7131" s="928"/>
      <c r="W7131" s="780"/>
      <c r="X7131" s="782">
        <v>7127</v>
      </c>
      <c r="Y7131" s="782" t="s">
        <v>2248</v>
      </c>
      <c r="Z7131" s="782" t="s">
        <v>2270</v>
      </c>
      <c r="AA7131" s="781">
        <f>$S$1*P!AA7131</f>
        <v>1.1824596774193548E-3</v>
      </c>
      <c r="AB7131" s="780"/>
      <c r="AC7131" s="780"/>
      <c r="AD7131" s="780"/>
      <c r="AE7131" s="780"/>
      <c r="AF7131" s="780"/>
    </row>
    <row r="7132" spans="19:32" x14ac:dyDescent="0.35">
      <c r="S7132" s="780"/>
      <c r="T7132" s="928"/>
      <c r="U7132" s="928"/>
      <c r="V7132" s="928"/>
      <c r="W7132" s="780"/>
      <c r="X7132" s="881">
        <v>7128</v>
      </c>
      <c r="Y7132" s="881" t="s">
        <v>2248</v>
      </c>
      <c r="Z7132" s="881" t="s">
        <v>2269</v>
      </c>
      <c r="AA7132" s="890">
        <f>$S$1*P!AA7132</f>
        <v>0</v>
      </c>
      <c r="AB7132" s="780"/>
      <c r="AC7132" s="780"/>
      <c r="AD7132" s="780"/>
      <c r="AE7132" s="780"/>
      <c r="AF7132" s="780"/>
    </row>
    <row r="7133" spans="19:32" x14ac:dyDescent="0.35">
      <c r="S7133" s="780"/>
      <c r="T7133" s="928"/>
      <c r="U7133" s="928"/>
      <c r="V7133" s="928"/>
      <c r="W7133" s="780"/>
      <c r="X7133" s="881">
        <v>7129</v>
      </c>
      <c r="Y7133" s="881" t="s">
        <v>2248</v>
      </c>
      <c r="Z7133" s="881" t="s">
        <v>2268</v>
      </c>
      <c r="AA7133" s="890">
        <f>$S$1*P!AA7133</f>
        <v>6.1363999999999995E-2</v>
      </c>
      <c r="AB7133" s="780"/>
      <c r="AC7133" s="780"/>
      <c r="AD7133" s="780"/>
      <c r="AE7133" s="780"/>
      <c r="AF7133" s="780"/>
    </row>
    <row r="7134" spans="19:32" x14ac:dyDescent="0.35">
      <c r="S7134" s="780"/>
      <c r="T7134" s="928"/>
      <c r="U7134" s="928"/>
      <c r="V7134" s="928"/>
      <c r="W7134" s="780"/>
      <c r="X7134" s="782">
        <v>7130</v>
      </c>
      <c r="Y7134" s="782" t="s">
        <v>2248</v>
      </c>
      <c r="Z7134" s="782" t="s">
        <v>2267</v>
      </c>
      <c r="AA7134" s="781">
        <f>$S$1*P!AA7134</f>
        <v>3.8044354838709681E-3</v>
      </c>
      <c r="AB7134" s="780"/>
      <c r="AC7134" s="780"/>
      <c r="AD7134" s="780"/>
      <c r="AE7134" s="780"/>
      <c r="AF7134" s="780"/>
    </row>
    <row r="7135" spans="19:32" x14ac:dyDescent="0.35">
      <c r="S7135" s="780"/>
      <c r="T7135" s="928"/>
      <c r="U7135" s="928"/>
      <c r="V7135" s="928"/>
      <c r="W7135" s="780"/>
      <c r="X7135" s="881">
        <v>7131</v>
      </c>
      <c r="Y7135" s="881" t="s">
        <v>2248</v>
      </c>
      <c r="Z7135" s="881" t="s">
        <v>2266</v>
      </c>
      <c r="AA7135" s="890">
        <f>$S$1*P!AA7135</f>
        <v>0</v>
      </c>
      <c r="AB7135" s="780"/>
      <c r="AC7135" s="780"/>
      <c r="AD7135" s="780"/>
      <c r="AE7135" s="780"/>
      <c r="AF7135" s="780"/>
    </row>
    <row r="7136" spans="19:32" x14ac:dyDescent="0.35">
      <c r="S7136" s="780"/>
      <c r="T7136" s="928"/>
      <c r="U7136" s="928"/>
      <c r="V7136" s="928"/>
      <c r="W7136" s="780"/>
      <c r="X7136" s="881">
        <v>7132</v>
      </c>
      <c r="Y7136" s="881" t="s">
        <v>2248</v>
      </c>
      <c r="Z7136" s="881" t="s">
        <v>2265</v>
      </c>
      <c r="AA7136" s="890">
        <f>$S$1*P!AA7136</f>
        <v>0</v>
      </c>
      <c r="AB7136" s="780"/>
      <c r="AC7136" s="780"/>
      <c r="AD7136" s="780"/>
      <c r="AE7136" s="780"/>
      <c r="AF7136" s="780"/>
    </row>
    <row r="7137" spans="19:32" x14ac:dyDescent="0.35">
      <c r="S7137" s="780"/>
      <c r="T7137" s="928"/>
      <c r="U7137" s="928"/>
      <c r="V7137" s="928"/>
      <c r="W7137" s="780"/>
      <c r="X7137" s="782">
        <v>7133</v>
      </c>
      <c r="Y7137" s="782" t="s">
        <v>2248</v>
      </c>
      <c r="Z7137" s="782" t="s">
        <v>2264</v>
      </c>
      <c r="AA7137" s="781">
        <f>$S$1*P!AA7137</f>
        <v>9.0141129032258072E-4</v>
      </c>
      <c r="AB7137" s="780"/>
      <c r="AC7137" s="780"/>
      <c r="AD7137" s="780"/>
      <c r="AE7137" s="780"/>
      <c r="AF7137" s="780"/>
    </row>
    <row r="7138" spans="19:32" x14ac:dyDescent="0.35">
      <c r="S7138" s="780"/>
      <c r="T7138" s="928"/>
      <c r="U7138" s="928"/>
      <c r="V7138" s="928"/>
      <c r="W7138" s="780"/>
      <c r="X7138" s="881">
        <v>7134</v>
      </c>
      <c r="Y7138" s="881" t="s">
        <v>2248</v>
      </c>
      <c r="Z7138" s="881" t="s">
        <v>2263</v>
      </c>
      <c r="AA7138" s="890">
        <f>$S$1*P!AA7138</f>
        <v>5.8603999999999996E-2</v>
      </c>
      <c r="AB7138" s="780"/>
      <c r="AC7138" s="780"/>
      <c r="AD7138" s="780"/>
      <c r="AE7138" s="780"/>
      <c r="AF7138" s="780"/>
    </row>
    <row r="7139" spans="19:32" x14ac:dyDescent="0.35">
      <c r="S7139" s="780"/>
      <c r="T7139" s="928"/>
      <c r="U7139" s="928"/>
      <c r="V7139" s="928"/>
      <c r="W7139" s="780"/>
      <c r="X7139" s="881">
        <v>7135</v>
      </c>
      <c r="Y7139" s="881" t="s">
        <v>2248</v>
      </c>
      <c r="Z7139" s="881" t="s">
        <v>2262</v>
      </c>
      <c r="AA7139" s="890">
        <f>$S$1*P!AA7139</f>
        <v>0.71023999999999998</v>
      </c>
      <c r="AB7139" s="780"/>
      <c r="AC7139" s="780"/>
      <c r="AD7139" s="780"/>
      <c r="AE7139" s="780"/>
      <c r="AF7139" s="780"/>
    </row>
    <row r="7140" spans="19:32" x14ac:dyDescent="0.35">
      <c r="S7140" s="780"/>
      <c r="T7140" s="928"/>
      <c r="U7140" s="928"/>
      <c r="V7140" s="928"/>
      <c r="W7140" s="780"/>
      <c r="X7140" s="782">
        <v>7136</v>
      </c>
      <c r="Y7140" s="782" t="s">
        <v>2248</v>
      </c>
      <c r="Z7140" s="782" t="s">
        <v>2261</v>
      </c>
      <c r="AA7140" s="781">
        <f>$S$1*P!AA7140</f>
        <v>3.3485887096774194E-5</v>
      </c>
      <c r="AB7140" s="780"/>
      <c r="AC7140" s="780"/>
      <c r="AD7140" s="780"/>
      <c r="AE7140" s="780"/>
      <c r="AF7140" s="780"/>
    </row>
    <row r="7141" spans="19:32" x14ac:dyDescent="0.35">
      <c r="S7141" s="780"/>
      <c r="T7141" s="928"/>
      <c r="U7141" s="928"/>
      <c r="V7141" s="928"/>
      <c r="W7141" s="780"/>
      <c r="X7141" s="881">
        <v>7137</v>
      </c>
      <c r="Y7141" s="881" t="s">
        <v>2248</v>
      </c>
      <c r="Z7141" s="881" t="s">
        <v>2260</v>
      </c>
      <c r="AA7141" s="890">
        <f>$S$1*P!AA7141</f>
        <v>0</v>
      </c>
      <c r="AB7141" s="780"/>
      <c r="AC7141" s="780"/>
      <c r="AD7141" s="780"/>
      <c r="AE7141" s="780"/>
      <c r="AF7141" s="780"/>
    </row>
    <row r="7142" spans="19:32" x14ac:dyDescent="0.35">
      <c r="S7142" s="780"/>
      <c r="T7142" s="928"/>
      <c r="U7142" s="928"/>
      <c r="V7142" s="928"/>
      <c r="W7142" s="780"/>
      <c r="X7142" s="782">
        <v>7138</v>
      </c>
      <c r="Y7142" s="782" t="s">
        <v>2248</v>
      </c>
      <c r="Z7142" s="782" t="s">
        <v>2259</v>
      </c>
      <c r="AA7142" s="781">
        <f>$S$1*P!AA7142</f>
        <v>6.2721774193548394E-2</v>
      </c>
      <c r="AB7142" s="780"/>
      <c r="AC7142" s="780"/>
      <c r="AD7142" s="780"/>
      <c r="AE7142" s="780"/>
      <c r="AF7142" s="780"/>
    </row>
    <row r="7143" spans="19:32" x14ac:dyDescent="0.35">
      <c r="S7143" s="780"/>
      <c r="T7143" s="928"/>
      <c r="U7143" s="928"/>
      <c r="V7143" s="928"/>
      <c r="W7143" s="780"/>
      <c r="X7143" s="881">
        <v>7139</v>
      </c>
      <c r="Y7143" s="881" t="s">
        <v>2248</v>
      </c>
      <c r="Z7143" s="881" t="s">
        <v>2258</v>
      </c>
      <c r="AA7143" s="890">
        <f>$S$1*P!AA7143</f>
        <v>0</v>
      </c>
      <c r="AB7143" s="780"/>
      <c r="AC7143" s="780"/>
      <c r="AD7143" s="780"/>
      <c r="AE7143" s="780"/>
      <c r="AF7143" s="780"/>
    </row>
    <row r="7144" spans="19:32" x14ac:dyDescent="0.35">
      <c r="S7144" s="780"/>
      <c r="T7144" s="928"/>
      <c r="U7144" s="928"/>
      <c r="V7144" s="928"/>
      <c r="W7144" s="780"/>
      <c r="X7144" s="881">
        <v>7140</v>
      </c>
      <c r="Y7144" s="881" t="s">
        <v>2248</v>
      </c>
      <c r="Z7144" s="881" t="s">
        <v>2257</v>
      </c>
      <c r="AA7144" s="890">
        <f>$S$1*P!AA7144</f>
        <v>0</v>
      </c>
      <c r="AB7144" s="780"/>
      <c r="AC7144" s="780"/>
      <c r="AD7144" s="780"/>
      <c r="AE7144" s="780"/>
      <c r="AF7144" s="780"/>
    </row>
    <row r="7145" spans="19:32" x14ac:dyDescent="0.35">
      <c r="S7145" s="780"/>
      <c r="T7145" s="928"/>
      <c r="U7145" s="928"/>
      <c r="V7145" s="928"/>
      <c r="W7145" s="780"/>
      <c r="X7145" s="782">
        <v>7141</v>
      </c>
      <c r="Y7145" s="782" t="s">
        <v>2248</v>
      </c>
      <c r="Z7145" s="782" t="s">
        <v>2256</v>
      </c>
      <c r="AA7145" s="781">
        <f>$S$1*P!AA7145</f>
        <v>2.2620967741935486E-6</v>
      </c>
      <c r="AB7145" s="780"/>
      <c r="AC7145" s="780"/>
      <c r="AD7145" s="780"/>
      <c r="AE7145" s="780"/>
      <c r="AF7145" s="780"/>
    </row>
    <row r="7146" spans="19:32" x14ac:dyDescent="0.35">
      <c r="S7146" s="780"/>
      <c r="T7146" s="928"/>
      <c r="U7146" s="928"/>
      <c r="V7146" s="928"/>
      <c r="W7146" s="780"/>
      <c r="X7146" s="881">
        <v>7142</v>
      </c>
      <c r="Y7146" s="881" t="s">
        <v>2248</v>
      </c>
      <c r="Z7146" s="881" t="s">
        <v>2255</v>
      </c>
      <c r="AA7146" s="890">
        <f>$S$1*P!AA7146</f>
        <v>3.7076000000000001E-3</v>
      </c>
      <c r="AB7146" s="780"/>
      <c r="AC7146" s="780"/>
      <c r="AD7146" s="780"/>
      <c r="AE7146" s="780"/>
      <c r="AF7146" s="780"/>
    </row>
    <row r="7147" spans="19:32" x14ac:dyDescent="0.35">
      <c r="S7147" s="780"/>
      <c r="T7147" s="928"/>
      <c r="U7147" s="928"/>
      <c r="V7147" s="928"/>
      <c r="W7147" s="780"/>
      <c r="X7147" s="881">
        <v>7143</v>
      </c>
      <c r="Y7147" s="881" t="s">
        <v>2248</v>
      </c>
      <c r="Z7147" s="881" t="s">
        <v>2254</v>
      </c>
      <c r="AA7147" s="890">
        <f>$S$1*P!AA7147</f>
        <v>1.7296</v>
      </c>
      <c r="AB7147" s="780"/>
      <c r="AC7147" s="780"/>
      <c r="AD7147" s="780"/>
      <c r="AE7147" s="780"/>
      <c r="AF7147" s="780"/>
    </row>
    <row r="7148" spans="19:32" x14ac:dyDescent="0.35">
      <c r="S7148" s="780"/>
      <c r="T7148" s="928"/>
      <c r="U7148" s="928"/>
      <c r="V7148" s="928"/>
      <c r="W7148" s="780"/>
      <c r="X7148" s="782">
        <v>7144</v>
      </c>
      <c r="Y7148" s="782" t="s">
        <v>2248</v>
      </c>
      <c r="Z7148" s="782" t="s">
        <v>2253</v>
      </c>
      <c r="AA7148" s="781">
        <f>$S$1*P!AA7148</f>
        <v>1.2235887096774195E-4</v>
      </c>
      <c r="AB7148" s="780"/>
      <c r="AC7148" s="780"/>
      <c r="AD7148" s="780"/>
      <c r="AE7148" s="780"/>
      <c r="AF7148" s="780"/>
    </row>
    <row r="7149" spans="19:32" x14ac:dyDescent="0.35">
      <c r="S7149" s="780"/>
      <c r="T7149" s="928"/>
      <c r="U7149" s="928"/>
      <c r="V7149" s="928"/>
      <c r="W7149" s="780"/>
      <c r="X7149" s="881">
        <v>7145</v>
      </c>
      <c r="Y7149" s="881" t="s">
        <v>2248</v>
      </c>
      <c r="Z7149" s="881" t="s">
        <v>2252</v>
      </c>
      <c r="AA7149" s="890">
        <f>$S$1*P!AA7149</f>
        <v>0</v>
      </c>
      <c r="AB7149" s="780"/>
      <c r="AC7149" s="780"/>
      <c r="AD7149" s="780"/>
      <c r="AE7149" s="780"/>
      <c r="AF7149" s="780"/>
    </row>
    <row r="7150" spans="19:32" x14ac:dyDescent="0.35">
      <c r="S7150" s="780"/>
      <c r="T7150" s="928"/>
      <c r="U7150" s="928"/>
      <c r="V7150" s="928"/>
      <c r="W7150" s="780"/>
      <c r="X7150" s="881">
        <v>7146</v>
      </c>
      <c r="Y7150" s="881" t="s">
        <v>2248</v>
      </c>
      <c r="Z7150" s="881" t="s">
        <v>2251</v>
      </c>
      <c r="AA7150" s="890">
        <f>$S$1*P!AA7150</f>
        <v>0</v>
      </c>
      <c r="AB7150" s="780"/>
      <c r="AC7150" s="780"/>
      <c r="AD7150" s="780"/>
      <c r="AE7150" s="780"/>
      <c r="AF7150" s="780"/>
    </row>
    <row r="7151" spans="19:32" x14ac:dyDescent="0.35">
      <c r="S7151" s="780"/>
      <c r="T7151" s="928"/>
      <c r="U7151" s="928"/>
      <c r="V7151" s="928"/>
      <c r="W7151" s="780"/>
      <c r="X7151" s="782">
        <v>7147</v>
      </c>
      <c r="Y7151" s="782" t="s">
        <v>2248</v>
      </c>
      <c r="Z7151" s="782" t="s">
        <v>2250</v>
      </c>
      <c r="AA7151" s="781">
        <f>$S$1*P!AA7151</f>
        <v>2.5637096774193554E-4</v>
      </c>
      <c r="AB7151" s="780"/>
      <c r="AC7151" s="780"/>
      <c r="AD7151" s="780"/>
      <c r="AE7151" s="780"/>
      <c r="AF7151" s="780"/>
    </row>
    <row r="7152" spans="19:32" x14ac:dyDescent="0.35">
      <c r="S7152" s="780"/>
      <c r="T7152" s="928"/>
      <c r="U7152" s="928"/>
      <c r="V7152" s="928"/>
      <c r="W7152" s="780"/>
      <c r="X7152" s="881">
        <v>7148</v>
      </c>
      <c r="Y7152" s="881" t="s">
        <v>2248</v>
      </c>
      <c r="Z7152" s="881" t="s">
        <v>2249</v>
      </c>
      <c r="AA7152" s="890">
        <f>$S$1*P!AA7152</f>
        <v>3.7168000000000001E-3</v>
      </c>
      <c r="AB7152" s="780"/>
      <c r="AC7152" s="780"/>
      <c r="AD7152" s="780"/>
      <c r="AE7152" s="780"/>
      <c r="AF7152" s="780"/>
    </row>
    <row r="7153" spans="19:32" x14ac:dyDescent="0.35">
      <c r="S7153" s="780"/>
      <c r="T7153" s="928"/>
      <c r="U7153" s="928"/>
      <c r="V7153" s="928"/>
      <c r="W7153" s="780"/>
      <c r="X7153" s="929">
        <v>7149</v>
      </c>
      <c r="Y7153" s="929" t="s">
        <v>2248</v>
      </c>
      <c r="Z7153" s="929" t="s">
        <v>2247</v>
      </c>
      <c r="AA7153" s="930">
        <f>$S$1*P!AA7153</f>
        <v>3.0267999999999996E-2</v>
      </c>
      <c r="AB7153" s="780"/>
      <c r="AC7153" s="780"/>
      <c r="AD7153" s="780"/>
      <c r="AE7153" s="780"/>
      <c r="AF7153" s="780"/>
    </row>
    <row r="7154" spans="19:32" x14ac:dyDescent="0.35">
      <c r="S7154" s="780"/>
      <c r="T7154" s="928"/>
      <c r="U7154" s="928"/>
      <c r="V7154" s="928"/>
      <c r="W7154" s="780"/>
      <c r="X7154" s="920">
        <v>7150</v>
      </c>
      <c r="Y7154" s="920" t="s">
        <v>4284</v>
      </c>
      <c r="Z7154" s="920" t="s">
        <v>5857</v>
      </c>
      <c r="AA7154" s="921">
        <f>$S$1*P!AA7154</f>
        <v>32660000</v>
      </c>
      <c r="AB7154" s="780"/>
      <c r="AC7154" s="780"/>
      <c r="AD7154" s="780"/>
      <c r="AE7154" s="780"/>
      <c r="AF7154" s="780"/>
    </row>
    <row r="7155" spans="19:32" x14ac:dyDescent="0.35">
      <c r="S7155" s="780"/>
      <c r="T7155" s="928"/>
      <c r="U7155" s="928"/>
      <c r="V7155" s="928"/>
      <c r="W7155" s="780"/>
      <c r="X7155" s="928"/>
      <c r="Y7155" s="780"/>
      <c r="Z7155" s="780"/>
      <c r="AA7155" s="780"/>
      <c r="AB7155" s="780"/>
      <c r="AC7155" s="780"/>
      <c r="AD7155" s="780"/>
      <c r="AE7155" s="780"/>
      <c r="AF7155" s="780"/>
    </row>
    <row r="7156" spans="19:32" x14ac:dyDescent="0.35">
      <c r="S7156" s="780"/>
      <c r="T7156" s="928"/>
      <c r="U7156" s="928"/>
      <c r="V7156" s="928"/>
      <c r="W7156" s="780"/>
      <c r="X7156" s="928"/>
      <c r="Y7156" s="780"/>
      <c r="Z7156" s="780"/>
      <c r="AA7156" s="780"/>
      <c r="AB7156" s="780"/>
      <c r="AC7156" s="780"/>
      <c r="AD7156" s="780"/>
      <c r="AE7156" s="780"/>
      <c r="AF7156" s="780"/>
    </row>
    <row r="7157" spans="19:32" x14ac:dyDescent="0.35">
      <c r="S7157" s="780"/>
      <c r="T7157" s="928"/>
      <c r="U7157" s="928"/>
      <c r="V7157" s="928"/>
      <c r="W7157" s="780"/>
      <c r="X7157" s="928"/>
      <c r="Y7157" s="780"/>
      <c r="Z7157" s="780"/>
      <c r="AA7157" s="780"/>
      <c r="AB7157" s="780"/>
      <c r="AC7157" s="780"/>
      <c r="AD7157" s="780"/>
      <c r="AE7157" s="780"/>
      <c r="AF7157" s="780"/>
    </row>
    <row r="7158" spans="19:32" x14ac:dyDescent="0.35">
      <c r="S7158" s="780"/>
      <c r="T7158" s="928"/>
      <c r="U7158" s="928"/>
      <c r="V7158" s="928"/>
      <c r="W7158" s="780"/>
      <c r="X7158" s="928"/>
      <c r="Y7158" s="780"/>
      <c r="Z7158" s="780"/>
      <c r="AA7158" s="780"/>
      <c r="AB7158" s="780"/>
      <c r="AC7158" s="780"/>
      <c r="AD7158" s="780"/>
      <c r="AE7158" s="780"/>
      <c r="AF7158" s="780"/>
    </row>
    <row r="7159" spans="19:32" x14ac:dyDescent="0.35">
      <c r="S7159" s="780"/>
      <c r="T7159" s="928"/>
      <c r="U7159" s="928"/>
      <c r="V7159" s="928"/>
      <c r="W7159" s="780"/>
      <c r="X7159" s="928"/>
      <c r="Y7159" s="780"/>
      <c r="Z7159" s="780"/>
      <c r="AA7159" s="780"/>
      <c r="AB7159" s="780"/>
      <c r="AC7159" s="780"/>
      <c r="AD7159" s="780"/>
      <c r="AE7159" s="780"/>
      <c r="AF7159" s="780"/>
    </row>
    <row r="7160" spans="19:32" x14ac:dyDescent="0.35">
      <c r="S7160" s="780"/>
      <c r="T7160" s="928"/>
      <c r="U7160" s="928"/>
      <c r="V7160" s="928"/>
      <c r="W7160" s="780"/>
      <c r="X7160" s="928"/>
      <c r="Y7160" s="780"/>
      <c r="Z7160" s="780"/>
      <c r="AA7160" s="780"/>
      <c r="AB7160" s="780"/>
      <c r="AC7160" s="780"/>
      <c r="AD7160" s="780"/>
      <c r="AE7160" s="780"/>
      <c r="AF7160" s="780"/>
    </row>
    <row r="7161" spans="19:32" x14ac:dyDescent="0.35">
      <c r="S7161" s="780"/>
      <c r="T7161" s="928"/>
      <c r="U7161" s="928"/>
      <c r="V7161" s="928"/>
      <c r="W7161" s="780"/>
      <c r="X7161" s="928"/>
      <c r="Y7161" s="780"/>
      <c r="Z7161" s="780"/>
      <c r="AA7161" s="780"/>
      <c r="AB7161" s="780"/>
      <c r="AC7161" s="780"/>
      <c r="AD7161" s="780"/>
      <c r="AE7161" s="780"/>
      <c r="AF7161" s="780"/>
    </row>
    <row r="7162" spans="19:32" x14ac:dyDescent="0.35">
      <c r="S7162" s="780"/>
      <c r="T7162" s="928"/>
      <c r="U7162" s="928"/>
      <c r="V7162" s="928"/>
      <c r="W7162" s="780"/>
      <c r="X7162" s="928"/>
      <c r="Y7162" s="780"/>
      <c r="Z7162" s="780"/>
      <c r="AA7162" s="780"/>
      <c r="AB7162" s="780"/>
      <c r="AC7162" s="780"/>
      <c r="AD7162" s="780"/>
      <c r="AE7162" s="780"/>
      <c r="AF7162" s="780"/>
    </row>
    <row r="7163" spans="19:32" x14ac:dyDescent="0.35">
      <c r="S7163" s="780"/>
      <c r="T7163" s="928"/>
      <c r="U7163" s="928"/>
      <c r="V7163" s="928"/>
      <c r="W7163" s="780"/>
      <c r="X7163" s="928"/>
      <c r="Y7163" s="780"/>
      <c r="Z7163" s="780"/>
      <c r="AA7163" s="780"/>
      <c r="AB7163" s="780"/>
      <c r="AC7163" s="780"/>
      <c r="AD7163" s="780"/>
      <c r="AE7163" s="780"/>
      <c r="AF7163" s="780"/>
    </row>
    <row r="7164" spans="19:32" x14ac:dyDescent="0.35">
      <c r="S7164" s="780"/>
      <c r="T7164" s="928"/>
      <c r="U7164" s="928"/>
      <c r="V7164" s="928"/>
      <c r="W7164" s="780"/>
      <c r="X7164" s="928"/>
      <c r="Y7164" s="780"/>
      <c r="Z7164" s="780"/>
      <c r="AA7164" s="780"/>
      <c r="AB7164" s="780"/>
      <c r="AC7164" s="780"/>
      <c r="AD7164" s="780"/>
      <c r="AE7164" s="780"/>
      <c r="AF7164" s="780"/>
    </row>
    <row r="7165" spans="19:32" x14ac:dyDescent="0.35">
      <c r="S7165" s="780"/>
      <c r="T7165" s="928"/>
      <c r="U7165" s="928"/>
      <c r="V7165" s="928"/>
      <c r="W7165" s="780"/>
      <c r="X7165" s="928"/>
      <c r="Y7165" s="780"/>
      <c r="Z7165" s="780"/>
      <c r="AA7165" s="780"/>
      <c r="AB7165" s="780"/>
      <c r="AC7165" s="780"/>
      <c r="AD7165" s="780"/>
      <c r="AE7165" s="780"/>
      <c r="AF7165" s="780"/>
    </row>
    <row r="7166" spans="19:32" x14ac:dyDescent="0.35">
      <c r="S7166" s="780"/>
      <c r="T7166" s="928"/>
      <c r="U7166" s="928"/>
      <c r="V7166" s="928"/>
      <c r="W7166" s="780"/>
      <c r="X7166" s="928"/>
      <c r="Y7166" s="780"/>
      <c r="Z7166" s="780"/>
      <c r="AA7166" s="780"/>
      <c r="AB7166" s="780"/>
      <c r="AC7166" s="780"/>
      <c r="AD7166" s="780"/>
      <c r="AE7166" s="780"/>
      <c r="AF7166" s="780"/>
    </row>
    <row r="7167" spans="19:32" x14ac:dyDescent="0.35">
      <c r="S7167" s="780"/>
      <c r="T7167" s="928"/>
      <c r="U7167" s="928"/>
      <c r="V7167" s="928"/>
      <c r="W7167" s="780"/>
      <c r="X7167" s="928"/>
      <c r="Y7167" s="780"/>
      <c r="Z7167" s="780"/>
      <c r="AA7167" s="780"/>
      <c r="AB7167" s="780"/>
      <c r="AC7167" s="780"/>
      <c r="AD7167" s="780"/>
      <c r="AE7167" s="780"/>
      <c r="AF7167" s="780"/>
    </row>
    <row r="7168" spans="19:32" x14ac:dyDescent="0.35">
      <c r="S7168" s="780"/>
      <c r="T7168" s="928"/>
      <c r="U7168" s="928"/>
      <c r="V7168" s="928"/>
      <c r="W7168" s="780"/>
      <c r="X7168" s="928"/>
      <c r="Y7168" s="780"/>
      <c r="Z7168" s="780"/>
      <c r="AA7168" s="780"/>
      <c r="AB7168" s="780"/>
      <c r="AC7168" s="780"/>
      <c r="AD7168" s="780"/>
      <c r="AE7168" s="780"/>
      <c r="AF7168" s="780"/>
    </row>
    <row r="7169" spans="19:32" x14ac:dyDescent="0.35">
      <c r="S7169" s="780"/>
      <c r="T7169" s="928"/>
      <c r="U7169" s="928"/>
      <c r="V7169" s="928"/>
      <c r="W7169" s="780"/>
      <c r="X7169" s="928"/>
      <c r="Y7169" s="780"/>
      <c r="Z7169" s="780"/>
      <c r="AA7169" s="780"/>
      <c r="AB7169" s="780"/>
      <c r="AC7169" s="780"/>
      <c r="AD7169" s="780"/>
      <c r="AE7169" s="780"/>
      <c r="AF7169" s="780"/>
    </row>
    <row r="7170" spans="19:32" x14ac:dyDescent="0.35">
      <c r="S7170" s="780"/>
      <c r="T7170" s="928"/>
      <c r="U7170" s="928"/>
      <c r="V7170" s="928"/>
      <c r="W7170" s="780"/>
      <c r="X7170" s="928"/>
      <c r="Y7170" s="780"/>
      <c r="Z7170" s="780"/>
      <c r="AA7170" s="780"/>
      <c r="AB7170" s="780"/>
      <c r="AC7170" s="780"/>
      <c r="AD7170" s="780"/>
      <c r="AE7170" s="780"/>
      <c r="AF7170" s="780"/>
    </row>
    <row r="7171" spans="19:32" x14ac:dyDescent="0.35">
      <c r="S7171" s="780"/>
      <c r="T7171" s="928"/>
      <c r="U7171" s="928"/>
      <c r="V7171" s="928"/>
      <c r="W7171" s="780"/>
      <c r="X7171" s="928"/>
      <c r="Y7171" s="780"/>
      <c r="Z7171" s="780"/>
      <c r="AA7171" s="780"/>
      <c r="AB7171" s="780"/>
      <c r="AC7171" s="780"/>
      <c r="AD7171" s="780"/>
      <c r="AE7171" s="780"/>
      <c r="AF7171" s="780"/>
    </row>
    <row r="7172" spans="19:32" x14ac:dyDescent="0.35">
      <c r="S7172" s="780"/>
      <c r="T7172" s="928"/>
      <c r="U7172" s="928"/>
      <c r="V7172" s="928"/>
      <c r="W7172" s="780"/>
      <c r="X7172" s="928"/>
      <c r="Y7172" s="780"/>
      <c r="Z7172" s="780"/>
      <c r="AA7172" s="780"/>
      <c r="AB7172" s="780"/>
      <c r="AC7172" s="780"/>
      <c r="AD7172" s="780"/>
      <c r="AE7172" s="780"/>
      <c r="AF7172" s="780"/>
    </row>
    <row r="7173" spans="19:32" x14ac:dyDescent="0.35">
      <c r="S7173" s="780"/>
      <c r="T7173" s="928"/>
      <c r="U7173" s="928"/>
      <c r="V7173" s="928"/>
      <c r="W7173" s="780"/>
      <c r="X7173" s="928"/>
      <c r="Y7173" s="780"/>
      <c r="Z7173" s="780"/>
      <c r="AA7173" s="780"/>
      <c r="AB7173" s="780"/>
      <c r="AC7173" s="780"/>
      <c r="AD7173" s="780"/>
      <c r="AE7173" s="780"/>
      <c r="AF7173" s="780"/>
    </row>
    <row r="7174" spans="19:32" x14ac:dyDescent="0.35">
      <c r="S7174" s="780"/>
      <c r="T7174" s="928"/>
      <c r="U7174" s="928"/>
      <c r="V7174" s="928"/>
      <c r="W7174" s="780"/>
      <c r="X7174" s="928"/>
      <c r="Y7174" s="780"/>
      <c r="Z7174" s="780"/>
      <c r="AA7174" s="780"/>
      <c r="AB7174" s="780"/>
      <c r="AC7174" s="780"/>
      <c r="AD7174" s="780"/>
      <c r="AE7174" s="780"/>
      <c r="AF7174" s="780"/>
    </row>
    <row r="7175" spans="19:32" x14ac:dyDescent="0.35">
      <c r="S7175" s="780"/>
      <c r="T7175" s="928"/>
      <c r="U7175" s="928"/>
      <c r="V7175" s="928"/>
      <c r="W7175" s="780"/>
      <c r="X7175" s="928"/>
      <c r="Y7175" s="780"/>
      <c r="Z7175" s="780"/>
      <c r="AA7175" s="780"/>
      <c r="AB7175" s="780"/>
      <c r="AC7175" s="780"/>
      <c r="AD7175" s="780"/>
      <c r="AE7175" s="780"/>
      <c r="AF7175" s="780"/>
    </row>
    <row r="7176" spans="19:32" x14ac:dyDescent="0.35">
      <c r="S7176" s="780"/>
      <c r="T7176" s="928"/>
      <c r="U7176" s="928"/>
      <c r="V7176" s="928"/>
      <c r="W7176" s="780"/>
      <c r="X7176" s="928"/>
      <c r="Y7176" s="780"/>
      <c r="Z7176" s="780"/>
      <c r="AA7176" s="780"/>
      <c r="AB7176" s="780"/>
      <c r="AC7176" s="780"/>
      <c r="AD7176" s="780"/>
      <c r="AE7176" s="780"/>
      <c r="AF7176" s="780"/>
    </row>
    <row r="7177" spans="19:32" x14ac:dyDescent="0.35">
      <c r="S7177" s="780"/>
      <c r="T7177" s="928"/>
      <c r="U7177" s="928"/>
      <c r="V7177" s="928"/>
      <c r="W7177" s="780"/>
      <c r="X7177" s="928"/>
      <c r="Y7177" s="780"/>
      <c r="Z7177" s="780"/>
      <c r="AA7177" s="780"/>
      <c r="AB7177" s="780"/>
      <c r="AC7177" s="780"/>
      <c r="AD7177" s="780"/>
      <c r="AE7177" s="780"/>
      <c r="AF7177" s="780"/>
    </row>
    <row r="7178" spans="19:32" x14ac:dyDescent="0.35">
      <c r="S7178" s="780"/>
      <c r="T7178" s="928"/>
      <c r="U7178" s="928"/>
      <c r="V7178" s="928"/>
      <c r="W7178" s="780"/>
      <c r="X7178" s="928"/>
      <c r="Y7178" s="780"/>
      <c r="Z7178" s="780"/>
      <c r="AA7178" s="780"/>
      <c r="AB7178" s="780"/>
      <c r="AC7178" s="780"/>
      <c r="AD7178" s="780"/>
      <c r="AE7178" s="780"/>
      <c r="AF7178" s="780"/>
    </row>
    <row r="7179" spans="19:32" x14ac:dyDescent="0.35">
      <c r="S7179" s="780"/>
      <c r="T7179" s="928"/>
      <c r="U7179" s="928"/>
      <c r="V7179" s="928"/>
      <c r="W7179" s="780"/>
      <c r="X7179" s="928"/>
      <c r="Y7179" s="780"/>
      <c r="Z7179" s="780"/>
      <c r="AA7179" s="780"/>
      <c r="AB7179" s="780"/>
      <c r="AC7179" s="780"/>
      <c r="AD7179" s="780"/>
      <c r="AE7179" s="780"/>
      <c r="AF7179" s="780"/>
    </row>
    <row r="7180" spans="19:32" x14ac:dyDescent="0.35">
      <c r="S7180" s="780"/>
      <c r="T7180" s="928"/>
      <c r="U7180" s="928"/>
      <c r="V7180" s="928"/>
      <c r="W7180" s="780"/>
      <c r="X7180" s="928"/>
      <c r="Y7180" s="780"/>
      <c r="Z7180" s="780"/>
      <c r="AA7180" s="780"/>
      <c r="AB7180" s="780"/>
      <c r="AC7180" s="780"/>
      <c r="AD7180" s="780"/>
      <c r="AE7180" s="780"/>
      <c r="AF7180" s="780"/>
    </row>
    <row r="7181" spans="19:32" x14ac:dyDescent="0.35">
      <c r="S7181" s="780"/>
      <c r="T7181" s="928"/>
      <c r="U7181" s="928"/>
      <c r="V7181" s="928"/>
      <c r="W7181" s="780"/>
      <c r="X7181" s="928"/>
      <c r="Y7181" s="780"/>
      <c r="Z7181" s="780"/>
      <c r="AA7181" s="780"/>
      <c r="AB7181" s="780"/>
      <c r="AC7181" s="780"/>
      <c r="AD7181" s="780"/>
      <c r="AE7181" s="780"/>
      <c r="AF7181" s="780"/>
    </row>
    <row r="7182" spans="19:32" x14ac:dyDescent="0.35">
      <c r="S7182" s="780"/>
      <c r="T7182" s="928"/>
      <c r="U7182" s="928"/>
      <c r="V7182" s="928"/>
      <c r="W7182" s="780"/>
      <c r="X7182" s="928"/>
      <c r="Y7182" s="780"/>
      <c r="Z7182" s="780"/>
      <c r="AA7182" s="780"/>
      <c r="AB7182" s="780"/>
      <c r="AC7182" s="780"/>
      <c r="AD7182" s="780"/>
      <c r="AE7182" s="780"/>
      <c r="AF7182" s="780"/>
    </row>
    <row r="7183" spans="19:32" x14ac:dyDescent="0.35">
      <c r="S7183" s="780"/>
      <c r="T7183" s="928"/>
      <c r="U7183" s="928"/>
      <c r="V7183" s="928"/>
      <c r="W7183" s="780"/>
      <c r="X7183" s="928"/>
      <c r="Y7183" s="780"/>
      <c r="Z7183" s="780"/>
      <c r="AA7183" s="780"/>
      <c r="AB7183" s="780"/>
      <c r="AC7183" s="780"/>
      <c r="AD7183" s="780"/>
      <c r="AE7183" s="780"/>
      <c r="AF7183" s="780"/>
    </row>
    <row r="7184" spans="19:32" x14ac:dyDescent="0.35">
      <c r="S7184" s="780"/>
      <c r="T7184" s="928"/>
      <c r="U7184" s="928"/>
      <c r="V7184" s="928"/>
      <c r="W7184" s="780"/>
      <c r="X7184" s="928"/>
      <c r="Y7184" s="780"/>
      <c r="Z7184" s="780"/>
      <c r="AA7184" s="780"/>
      <c r="AB7184" s="780"/>
      <c r="AC7184" s="780"/>
      <c r="AD7184" s="780"/>
      <c r="AE7184" s="780"/>
      <c r="AF7184" s="780"/>
    </row>
    <row r="7185" spans="19:32" x14ac:dyDescent="0.35">
      <c r="S7185" s="780"/>
      <c r="T7185" s="928"/>
      <c r="U7185" s="928"/>
      <c r="V7185" s="928"/>
      <c r="W7185" s="780"/>
      <c r="X7185" s="928"/>
      <c r="Y7185" s="780"/>
      <c r="Z7185" s="780"/>
      <c r="AA7185" s="780"/>
      <c r="AB7185" s="780"/>
      <c r="AC7185" s="780"/>
      <c r="AD7185" s="780"/>
      <c r="AE7185" s="780"/>
      <c r="AF7185" s="780"/>
    </row>
    <row r="7186" spans="19:32" x14ac:dyDescent="0.35">
      <c r="S7186" s="780"/>
      <c r="T7186" s="928"/>
      <c r="U7186" s="928"/>
      <c r="V7186" s="928"/>
      <c r="W7186" s="780"/>
      <c r="X7186" s="928"/>
      <c r="Y7186" s="780"/>
      <c r="Z7186" s="780"/>
      <c r="AA7186" s="780"/>
      <c r="AB7186" s="780"/>
      <c r="AC7186" s="780"/>
      <c r="AD7186" s="780"/>
      <c r="AE7186" s="780"/>
      <c r="AF7186" s="780"/>
    </row>
    <row r="7187" spans="19:32" x14ac:dyDescent="0.35">
      <c r="S7187" s="780"/>
      <c r="T7187" s="928"/>
      <c r="U7187" s="928"/>
      <c r="V7187" s="928"/>
      <c r="W7187" s="780"/>
      <c r="X7187" s="928"/>
      <c r="Y7187" s="780"/>
      <c r="Z7187" s="780"/>
      <c r="AA7187" s="780"/>
      <c r="AB7187" s="780"/>
      <c r="AC7187" s="780"/>
      <c r="AD7187" s="780"/>
      <c r="AE7187" s="780"/>
      <c r="AF7187" s="780"/>
    </row>
    <row r="7188" spans="19:32" x14ac:dyDescent="0.35">
      <c r="S7188" s="780"/>
      <c r="T7188" s="928"/>
      <c r="U7188" s="928"/>
      <c r="V7188" s="928"/>
      <c r="W7188" s="780"/>
      <c r="X7188" s="928"/>
      <c r="Y7188" s="780"/>
      <c r="Z7188" s="780"/>
      <c r="AA7188" s="780"/>
      <c r="AB7188" s="780"/>
      <c r="AC7188" s="780"/>
      <c r="AD7188" s="780"/>
      <c r="AE7188" s="780"/>
      <c r="AF7188" s="780"/>
    </row>
    <row r="7189" spans="19:32" x14ac:dyDescent="0.35">
      <c r="S7189" s="780"/>
      <c r="T7189" s="928"/>
      <c r="U7189" s="928"/>
      <c r="V7189" s="928"/>
      <c r="W7189" s="780"/>
      <c r="X7189" s="928"/>
      <c r="Y7189" s="780"/>
      <c r="Z7189" s="780"/>
      <c r="AA7189" s="780"/>
      <c r="AB7189" s="780"/>
      <c r="AC7189" s="780"/>
      <c r="AD7189" s="780"/>
      <c r="AE7189" s="780"/>
      <c r="AF7189" s="780"/>
    </row>
    <row r="7190" spans="19:32" x14ac:dyDescent="0.35">
      <c r="S7190" s="780"/>
      <c r="T7190" s="928"/>
      <c r="U7190" s="928"/>
      <c r="V7190" s="928"/>
      <c r="W7190" s="780"/>
      <c r="X7190" s="928"/>
      <c r="Y7190" s="780"/>
      <c r="Z7190" s="780"/>
      <c r="AA7190" s="780"/>
      <c r="AB7190" s="780"/>
      <c r="AC7190" s="780"/>
      <c r="AD7190" s="780"/>
      <c r="AE7190" s="780"/>
      <c r="AF7190" s="780"/>
    </row>
    <row r="7191" spans="19:32" x14ac:dyDescent="0.35">
      <c r="S7191" s="780"/>
      <c r="T7191" s="928"/>
      <c r="U7191" s="928"/>
      <c r="V7191" s="928"/>
      <c r="W7191" s="780"/>
      <c r="X7191" s="928"/>
      <c r="Y7191" s="780"/>
      <c r="Z7191" s="780"/>
      <c r="AA7191" s="780"/>
      <c r="AB7191" s="780"/>
      <c r="AC7191" s="780"/>
      <c r="AD7191" s="780"/>
      <c r="AE7191" s="780"/>
      <c r="AF7191" s="780"/>
    </row>
    <row r="7192" spans="19:32" x14ac:dyDescent="0.35">
      <c r="S7192" s="780"/>
      <c r="T7192" s="928"/>
      <c r="U7192" s="928"/>
      <c r="V7192" s="928"/>
      <c r="W7192" s="780"/>
      <c r="X7192" s="928"/>
      <c r="Y7192" s="780"/>
      <c r="Z7192" s="780"/>
      <c r="AA7192" s="780"/>
      <c r="AB7192" s="780"/>
      <c r="AC7192" s="780"/>
      <c r="AD7192" s="780"/>
      <c r="AE7192" s="780"/>
      <c r="AF7192" s="780"/>
    </row>
    <row r="7193" spans="19:32" x14ac:dyDescent="0.35">
      <c r="S7193" s="780"/>
      <c r="T7193" s="928"/>
      <c r="U7193" s="928"/>
      <c r="V7193" s="928"/>
      <c r="W7193" s="780"/>
      <c r="X7193" s="928"/>
      <c r="Y7193" s="780"/>
      <c r="Z7193" s="780"/>
      <c r="AA7193" s="780"/>
      <c r="AB7193" s="780"/>
      <c r="AC7193" s="780"/>
      <c r="AD7193" s="780"/>
      <c r="AE7193" s="780"/>
      <c r="AF7193" s="780"/>
    </row>
    <row r="7194" spans="19:32" x14ac:dyDescent="0.35">
      <c r="S7194" s="780"/>
      <c r="T7194" s="928"/>
      <c r="U7194" s="928"/>
      <c r="V7194" s="928"/>
      <c r="W7194" s="780"/>
      <c r="X7194" s="928"/>
      <c r="Y7194" s="780"/>
      <c r="Z7194" s="780"/>
      <c r="AA7194" s="780"/>
      <c r="AB7194" s="780"/>
      <c r="AC7194" s="780"/>
      <c r="AD7194" s="780"/>
      <c r="AE7194" s="780"/>
      <c r="AF7194" s="780"/>
    </row>
    <row r="7195" spans="19:32" x14ac:dyDescent="0.35">
      <c r="S7195" s="780"/>
      <c r="T7195" s="928"/>
      <c r="U7195" s="928"/>
      <c r="V7195" s="928"/>
      <c r="W7195" s="780"/>
      <c r="X7195" s="928"/>
      <c r="Y7195" s="780"/>
      <c r="Z7195" s="780"/>
      <c r="AA7195" s="780"/>
      <c r="AB7195" s="780"/>
      <c r="AC7195" s="780"/>
      <c r="AD7195" s="780"/>
      <c r="AE7195" s="780"/>
      <c r="AF7195" s="780"/>
    </row>
    <row r="7196" spans="19:32" x14ac:dyDescent="0.35">
      <c r="S7196" s="780"/>
      <c r="T7196" s="928"/>
      <c r="U7196" s="928"/>
      <c r="V7196" s="928"/>
      <c r="W7196" s="780"/>
      <c r="X7196" s="928"/>
      <c r="Y7196" s="780"/>
      <c r="Z7196" s="780"/>
      <c r="AA7196" s="780"/>
      <c r="AB7196" s="780"/>
      <c r="AC7196" s="780"/>
      <c r="AD7196" s="780"/>
      <c r="AE7196" s="780"/>
      <c r="AF7196" s="780"/>
    </row>
    <row r="7197" spans="19:32" x14ac:dyDescent="0.35">
      <c r="S7197" s="780"/>
      <c r="T7197" s="928"/>
      <c r="U7197" s="928"/>
      <c r="V7197" s="928"/>
      <c r="W7197" s="780"/>
      <c r="X7197" s="928"/>
      <c r="Y7197" s="780"/>
      <c r="Z7197" s="780"/>
      <c r="AA7197" s="780"/>
      <c r="AB7197" s="780"/>
      <c r="AC7197" s="780"/>
      <c r="AD7197" s="780"/>
      <c r="AE7197" s="780"/>
      <c r="AF7197" s="780"/>
    </row>
    <row r="7198" spans="19:32" x14ac:dyDescent="0.35">
      <c r="S7198" s="780"/>
      <c r="T7198" s="928"/>
      <c r="U7198" s="928"/>
      <c r="V7198" s="928"/>
      <c r="W7198" s="780"/>
      <c r="X7198" s="928"/>
      <c r="Y7198" s="780"/>
      <c r="Z7198" s="780"/>
      <c r="AA7198" s="780"/>
      <c r="AB7198" s="780"/>
      <c r="AC7198" s="780"/>
      <c r="AD7198" s="780"/>
      <c r="AE7198" s="780"/>
      <c r="AF7198" s="780"/>
    </row>
    <row r="7199" spans="19:32" x14ac:dyDescent="0.35">
      <c r="S7199" s="780"/>
      <c r="T7199" s="928"/>
      <c r="U7199" s="928"/>
      <c r="V7199" s="928"/>
      <c r="W7199" s="780"/>
      <c r="X7199" s="928"/>
      <c r="Y7199" s="780"/>
      <c r="Z7199" s="780"/>
      <c r="AA7199" s="780"/>
      <c r="AB7199" s="780"/>
      <c r="AC7199" s="780"/>
      <c r="AD7199" s="780"/>
      <c r="AE7199" s="780"/>
      <c r="AF7199" s="780"/>
    </row>
    <row r="7200" spans="19:32" x14ac:dyDescent="0.35">
      <c r="S7200" s="780"/>
      <c r="T7200" s="928"/>
      <c r="U7200" s="928"/>
      <c r="V7200" s="928"/>
      <c r="W7200" s="780"/>
      <c r="X7200" s="928"/>
      <c r="Y7200" s="780"/>
      <c r="Z7200" s="780"/>
      <c r="AA7200" s="780"/>
      <c r="AB7200" s="780"/>
      <c r="AC7200" s="780"/>
      <c r="AD7200" s="780"/>
      <c r="AE7200" s="780"/>
      <c r="AF7200" s="780"/>
    </row>
    <row r="7201" spans="19:32" x14ac:dyDescent="0.35">
      <c r="S7201" s="780"/>
      <c r="T7201" s="928"/>
      <c r="U7201" s="928"/>
      <c r="V7201" s="928"/>
      <c r="W7201" s="780"/>
      <c r="X7201" s="928"/>
      <c r="Y7201" s="780"/>
      <c r="Z7201" s="780"/>
      <c r="AA7201" s="780"/>
      <c r="AB7201" s="780"/>
      <c r="AC7201" s="780"/>
      <c r="AD7201" s="780"/>
      <c r="AE7201" s="780"/>
      <c r="AF7201" s="780"/>
    </row>
    <row r="7202" spans="19:32" x14ac:dyDescent="0.35">
      <c r="S7202" s="780"/>
      <c r="T7202" s="928"/>
      <c r="U7202" s="928"/>
      <c r="V7202" s="928"/>
      <c r="W7202" s="780"/>
      <c r="X7202" s="928"/>
      <c r="Y7202" s="780"/>
      <c r="Z7202" s="780"/>
      <c r="AA7202" s="780"/>
      <c r="AB7202" s="780"/>
      <c r="AC7202" s="780"/>
      <c r="AD7202" s="780"/>
      <c r="AE7202" s="780"/>
      <c r="AF7202" s="780"/>
    </row>
    <row r="7203" spans="19:32" x14ac:dyDescent="0.35">
      <c r="S7203" s="780"/>
      <c r="T7203" s="928"/>
      <c r="U7203" s="928"/>
      <c r="V7203" s="928"/>
      <c r="W7203" s="780"/>
      <c r="X7203" s="928"/>
      <c r="Y7203" s="780"/>
      <c r="Z7203" s="780"/>
      <c r="AA7203" s="780"/>
      <c r="AB7203" s="780"/>
      <c r="AC7203" s="780"/>
      <c r="AD7203" s="780"/>
      <c r="AE7203" s="780"/>
      <c r="AF7203" s="780"/>
    </row>
    <row r="7204" spans="19:32" x14ac:dyDescent="0.35">
      <c r="S7204" s="780"/>
      <c r="T7204" s="928"/>
      <c r="U7204" s="928"/>
      <c r="V7204" s="928"/>
      <c r="W7204" s="780"/>
      <c r="X7204" s="928"/>
      <c r="Y7204" s="780"/>
      <c r="Z7204" s="780"/>
      <c r="AA7204" s="780"/>
      <c r="AB7204" s="780"/>
      <c r="AC7204" s="780"/>
      <c r="AD7204" s="780"/>
      <c r="AE7204" s="780"/>
      <c r="AF7204" s="780"/>
    </row>
    <row r="7205" spans="19:32" x14ac:dyDescent="0.35">
      <c r="S7205" s="780"/>
      <c r="T7205" s="928"/>
      <c r="U7205" s="928"/>
      <c r="V7205" s="928"/>
      <c r="W7205" s="780"/>
      <c r="X7205" s="928"/>
      <c r="Y7205" s="780"/>
      <c r="Z7205" s="780"/>
      <c r="AA7205" s="780"/>
      <c r="AB7205" s="780"/>
      <c r="AC7205" s="780"/>
      <c r="AD7205" s="780"/>
      <c r="AE7205" s="780"/>
      <c r="AF7205" s="780"/>
    </row>
    <row r="7206" spans="19:32" x14ac:dyDescent="0.35">
      <c r="S7206" s="780"/>
      <c r="T7206" s="928"/>
      <c r="U7206" s="928"/>
      <c r="V7206" s="928"/>
      <c r="W7206" s="780"/>
      <c r="X7206" s="928"/>
      <c r="Y7206" s="780"/>
      <c r="Z7206" s="780"/>
      <c r="AA7206" s="780"/>
      <c r="AB7206" s="780"/>
      <c r="AC7206" s="780"/>
      <c r="AD7206" s="780"/>
      <c r="AE7206" s="780"/>
      <c r="AF7206" s="780"/>
    </row>
    <row r="7207" spans="19:32" x14ac:dyDescent="0.35">
      <c r="S7207" s="780"/>
      <c r="T7207" s="928"/>
      <c r="U7207" s="928"/>
      <c r="V7207" s="928"/>
      <c r="W7207" s="780"/>
      <c r="X7207" s="928"/>
      <c r="Y7207" s="780"/>
      <c r="Z7207" s="780"/>
      <c r="AA7207" s="780"/>
      <c r="AB7207" s="780"/>
      <c r="AC7207" s="780"/>
      <c r="AD7207" s="780"/>
      <c r="AE7207" s="780"/>
      <c r="AF7207" s="780"/>
    </row>
    <row r="7208" spans="19:32" x14ac:dyDescent="0.35">
      <c r="S7208" s="780"/>
      <c r="T7208" s="928"/>
      <c r="U7208" s="928"/>
      <c r="V7208" s="928"/>
      <c r="W7208" s="780"/>
      <c r="X7208" s="928"/>
      <c r="Y7208" s="780"/>
      <c r="Z7208" s="780"/>
      <c r="AA7208" s="780"/>
      <c r="AB7208" s="780"/>
      <c r="AC7208" s="780"/>
      <c r="AD7208" s="780"/>
      <c r="AE7208" s="780"/>
      <c r="AF7208" s="780"/>
    </row>
    <row r="7209" spans="19:32" x14ac:dyDescent="0.35">
      <c r="S7209" s="780"/>
      <c r="T7209" s="928"/>
      <c r="U7209" s="928"/>
      <c r="V7209" s="928"/>
      <c r="W7209" s="780"/>
      <c r="X7209" s="928"/>
      <c r="Y7209" s="780"/>
      <c r="Z7209" s="780"/>
      <c r="AA7209" s="780"/>
      <c r="AB7209" s="780"/>
      <c r="AC7209" s="780"/>
      <c r="AD7209" s="780"/>
      <c r="AE7209" s="780"/>
      <c r="AF7209" s="780"/>
    </row>
    <row r="7210" spans="19:32" x14ac:dyDescent="0.35">
      <c r="S7210" s="780"/>
      <c r="T7210" s="928"/>
      <c r="U7210" s="928"/>
      <c r="V7210" s="928"/>
      <c r="W7210" s="780"/>
      <c r="X7210" s="928"/>
      <c r="Y7210" s="780"/>
      <c r="Z7210" s="780"/>
      <c r="AA7210" s="780"/>
      <c r="AB7210" s="780"/>
      <c r="AC7210" s="780"/>
      <c r="AD7210" s="780"/>
      <c r="AE7210" s="780"/>
      <c r="AF7210" s="780"/>
    </row>
    <row r="7211" spans="19:32" x14ac:dyDescent="0.35">
      <c r="S7211" s="780"/>
      <c r="T7211" s="928"/>
      <c r="U7211" s="928"/>
      <c r="V7211" s="928"/>
      <c r="W7211" s="780"/>
      <c r="X7211" s="928"/>
      <c r="Y7211" s="780"/>
      <c r="Z7211" s="780"/>
      <c r="AA7211" s="780"/>
      <c r="AB7211" s="780"/>
      <c r="AC7211" s="780"/>
      <c r="AD7211" s="780"/>
      <c r="AE7211" s="780"/>
      <c r="AF7211" s="780"/>
    </row>
    <row r="7212" spans="19:32" x14ac:dyDescent="0.35">
      <c r="S7212" s="780"/>
      <c r="T7212" s="928"/>
      <c r="U7212" s="928"/>
      <c r="V7212" s="928"/>
      <c r="W7212" s="780"/>
      <c r="X7212" s="928"/>
      <c r="Y7212" s="780"/>
      <c r="Z7212" s="780"/>
      <c r="AA7212" s="780"/>
      <c r="AB7212" s="780"/>
      <c r="AC7212" s="780"/>
      <c r="AD7212" s="780"/>
      <c r="AE7212" s="780"/>
      <c r="AF7212" s="780"/>
    </row>
    <row r="7213" spans="19:32" x14ac:dyDescent="0.35">
      <c r="S7213" s="780"/>
      <c r="T7213" s="928"/>
      <c r="U7213" s="928"/>
      <c r="V7213" s="928"/>
      <c r="W7213" s="780"/>
      <c r="X7213" s="928"/>
      <c r="Y7213" s="780"/>
      <c r="Z7213" s="780"/>
      <c r="AA7213" s="780"/>
      <c r="AB7213" s="780"/>
      <c r="AC7213" s="780"/>
      <c r="AD7213" s="780"/>
      <c r="AE7213" s="780"/>
      <c r="AF7213" s="780"/>
    </row>
    <row r="7214" spans="19:32" x14ac:dyDescent="0.35">
      <c r="S7214" s="780"/>
      <c r="T7214" s="928"/>
      <c r="U7214" s="928"/>
      <c r="V7214" s="928"/>
      <c r="W7214" s="780"/>
      <c r="X7214" s="928"/>
      <c r="Y7214" s="780"/>
      <c r="Z7214" s="780"/>
      <c r="AA7214" s="780"/>
      <c r="AB7214" s="780"/>
      <c r="AC7214" s="780"/>
      <c r="AD7214" s="780"/>
      <c r="AE7214" s="780"/>
      <c r="AF7214" s="780"/>
    </row>
    <row r="7215" spans="19:32" x14ac:dyDescent="0.35">
      <c r="S7215" s="780"/>
      <c r="T7215" s="928"/>
      <c r="U7215" s="928"/>
      <c r="V7215" s="928"/>
      <c r="W7215" s="780"/>
      <c r="X7215" s="928"/>
      <c r="Y7215" s="780"/>
      <c r="Z7215" s="780"/>
      <c r="AA7215" s="780"/>
      <c r="AB7215" s="780"/>
      <c r="AC7215" s="780"/>
      <c r="AD7215" s="780"/>
      <c r="AE7215" s="780"/>
      <c r="AF7215" s="780"/>
    </row>
    <row r="7216" spans="19:32" x14ac:dyDescent="0.35">
      <c r="S7216" s="780"/>
      <c r="T7216" s="928"/>
      <c r="U7216" s="928"/>
      <c r="V7216" s="928"/>
      <c r="W7216" s="780"/>
      <c r="X7216" s="928"/>
      <c r="Y7216" s="780"/>
      <c r="Z7216" s="780"/>
      <c r="AA7216" s="780"/>
      <c r="AB7216" s="780"/>
      <c r="AC7216" s="780"/>
      <c r="AD7216" s="780"/>
      <c r="AE7216" s="780"/>
      <c r="AF7216" s="780"/>
    </row>
    <row r="7217" spans="19:32" x14ac:dyDescent="0.35">
      <c r="S7217" s="780"/>
      <c r="T7217" s="928"/>
      <c r="U7217" s="928"/>
      <c r="V7217" s="928"/>
      <c r="W7217" s="780"/>
      <c r="X7217" s="928"/>
      <c r="Y7217" s="780"/>
      <c r="Z7217" s="780"/>
      <c r="AA7217" s="780"/>
      <c r="AB7217" s="780"/>
      <c r="AC7217" s="780"/>
      <c r="AD7217" s="780"/>
      <c r="AE7217" s="780"/>
      <c r="AF7217" s="780"/>
    </row>
    <row r="7218" spans="19:32" x14ac:dyDescent="0.35">
      <c r="S7218" s="780"/>
      <c r="T7218" s="928"/>
      <c r="U7218" s="928"/>
      <c r="V7218" s="928"/>
      <c r="W7218" s="780"/>
      <c r="X7218" s="928"/>
      <c r="Y7218" s="780"/>
      <c r="Z7218" s="780"/>
      <c r="AA7218" s="780"/>
      <c r="AB7218" s="780"/>
      <c r="AC7218" s="780"/>
      <c r="AD7218" s="780"/>
      <c r="AE7218" s="780"/>
      <c r="AF7218" s="780"/>
    </row>
    <row r="7219" spans="19:32" x14ac:dyDescent="0.35">
      <c r="S7219" s="780"/>
      <c r="T7219" s="928"/>
      <c r="U7219" s="928"/>
      <c r="V7219" s="928"/>
      <c r="W7219" s="780"/>
      <c r="X7219" s="928"/>
      <c r="Y7219" s="780"/>
      <c r="Z7219" s="780"/>
      <c r="AA7219" s="780"/>
      <c r="AB7219" s="780"/>
      <c r="AC7219" s="780"/>
      <c r="AD7219" s="780"/>
      <c r="AE7219" s="780"/>
      <c r="AF7219" s="780"/>
    </row>
    <row r="7220" spans="19:32" x14ac:dyDescent="0.35">
      <c r="S7220" s="780"/>
      <c r="T7220" s="928"/>
      <c r="U7220" s="928"/>
      <c r="V7220" s="928"/>
      <c r="W7220" s="780"/>
      <c r="X7220" s="928"/>
      <c r="Y7220" s="780"/>
      <c r="Z7220" s="780"/>
      <c r="AA7220" s="780"/>
      <c r="AB7220" s="780"/>
      <c r="AC7220" s="780"/>
      <c r="AD7220" s="780"/>
      <c r="AE7220" s="780"/>
      <c r="AF7220" s="780"/>
    </row>
    <row r="7221" spans="19:32" x14ac:dyDescent="0.35">
      <c r="S7221" s="780"/>
      <c r="T7221" s="928"/>
      <c r="U7221" s="928"/>
      <c r="V7221" s="928"/>
      <c r="W7221" s="780"/>
      <c r="X7221" s="928"/>
      <c r="Y7221" s="780"/>
      <c r="Z7221" s="780"/>
      <c r="AA7221" s="780"/>
      <c r="AB7221" s="780"/>
      <c r="AC7221" s="780"/>
      <c r="AD7221" s="780"/>
      <c r="AE7221" s="780"/>
      <c r="AF7221" s="780"/>
    </row>
    <row r="7222" spans="19:32" x14ac:dyDescent="0.35">
      <c r="S7222" s="780"/>
      <c r="T7222" s="928"/>
      <c r="U7222" s="928"/>
      <c r="V7222" s="928"/>
      <c r="W7222" s="780"/>
      <c r="X7222" s="928"/>
      <c r="Y7222" s="780"/>
      <c r="Z7222" s="780"/>
      <c r="AA7222" s="780"/>
      <c r="AB7222" s="780"/>
      <c r="AC7222" s="780"/>
      <c r="AD7222" s="780"/>
      <c r="AE7222" s="780"/>
      <c r="AF7222" s="780"/>
    </row>
    <row r="7223" spans="19:32" x14ac:dyDescent="0.35">
      <c r="S7223" s="780"/>
      <c r="T7223" s="928"/>
      <c r="U7223" s="928"/>
      <c r="V7223" s="928"/>
      <c r="W7223" s="780"/>
      <c r="X7223" s="928"/>
      <c r="Y7223" s="780"/>
      <c r="Z7223" s="780"/>
      <c r="AA7223" s="780"/>
      <c r="AB7223" s="780"/>
      <c r="AC7223" s="780"/>
      <c r="AD7223" s="780"/>
      <c r="AE7223" s="780"/>
      <c r="AF7223" s="780"/>
    </row>
    <row r="7224" spans="19:32" x14ac:dyDescent="0.35">
      <c r="S7224" s="780"/>
      <c r="T7224" s="928"/>
      <c r="U7224" s="928"/>
      <c r="V7224" s="928"/>
      <c r="W7224" s="780"/>
      <c r="X7224" s="928"/>
      <c r="Y7224" s="780"/>
      <c r="Z7224" s="780"/>
      <c r="AA7224" s="780"/>
      <c r="AB7224" s="780"/>
      <c r="AC7224" s="780"/>
      <c r="AD7224" s="780"/>
      <c r="AE7224" s="780"/>
      <c r="AF7224" s="780"/>
    </row>
    <row r="7225" spans="19:32" x14ac:dyDescent="0.35">
      <c r="S7225" s="780"/>
      <c r="T7225" s="928"/>
      <c r="U7225" s="928"/>
      <c r="V7225" s="928"/>
      <c r="W7225" s="780"/>
      <c r="X7225" s="928"/>
      <c r="Y7225" s="780"/>
      <c r="Z7225" s="780"/>
      <c r="AA7225" s="780"/>
      <c r="AB7225" s="780"/>
      <c r="AC7225" s="780"/>
      <c r="AD7225" s="780"/>
      <c r="AE7225" s="780"/>
      <c r="AF7225" s="780"/>
    </row>
    <row r="7226" spans="19:32" x14ac:dyDescent="0.35">
      <c r="S7226" s="780"/>
      <c r="T7226" s="928"/>
      <c r="U7226" s="928"/>
      <c r="V7226" s="928"/>
      <c r="W7226" s="780"/>
      <c r="X7226" s="928"/>
      <c r="Y7226" s="780"/>
      <c r="Z7226" s="780"/>
      <c r="AA7226" s="780"/>
      <c r="AB7226" s="780"/>
      <c r="AC7226" s="780"/>
      <c r="AD7226" s="780"/>
      <c r="AE7226" s="780"/>
      <c r="AF7226" s="780"/>
    </row>
    <row r="7227" spans="19:32" x14ac:dyDescent="0.35">
      <c r="S7227" s="780"/>
      <c r="T7227" s="928"/>
      <c r="U7227" s="928"/>
      <c r="V7227" s="928"/>
      <c r="W7227" s="780"/>
      <c r="X7227" s="928"/>
      <c r="Y7227" s="780"/>
      <c r="Z7227" s="780"/>
      <c r="AA7227" s="780"/>
      <c r="AB7227" s="780"/>
      <c r="AC7227" s="780"/>
      <c r="AD7227" s="780"/>
      <c r="AE7227" s="780"/>
      <c r="AF7227" s="780"/>
    </row>
    <row r="7228" spans="19:32" x14ac:dyDescent="0.35">
      <c r="S7228" s="780"/>
      <c r="T7228" s="928"/>
      <c r="U7228" s="928"/>
      <c r="V7228" s="928"/>
      <c r="W7228" s="780"/>
      <c r="X7228" s="928"/>
      <c r="Y7228" s="780"/>
      <c r="Z7228" s="780"/>
      <c r="AA7228" s="780"/>
      <c r="AB7228" s="780"/>
      <c r="AC7228" s="780"/>
      <c r="AD7228" s="780"/>
      <c r="AE7228" s="780"/>
      <c r="AF7228" s="780"/>
    </row>
    <row r="7229" spans="19:32" x14ac:dyDescent="0.35">
      <c r="S7229" s="780"/>
      <c r="T7229" s="928"/>
      <c r="U7229" s="928"/>
      <c r="V7229" s="928"/>
      <c r="W7229" s="780"/>
      <c r="X7229" s="928"/>
      <c r="Y7229" s="780"/>
      <c r="Z7229" s="780"/>
      <c r="AA7229" s="780"/>
      <c r="AB7229" s="780"/>
      <c r="AC7229" s="780"/>
      <c r="AD7229" s="780"/>
      <c r="AE7229" s="780"/>
      <c r="AF7229" s="780"/>
    </row>
    <row r="7230" spans="19:32" x14ac:dyDescent="0.35">
      <c r="S7230" s="780"/>
      <c r="T7230" s="928"/>
      <c r="U7230" s="928"/>
      <c r="V7230" s="928"/>
      <c r="W7230" s="780"/>
      <c r="X7230" s="928"/>
      <c r="Y7230" s="780"/>
      <c r="Z7230" s="780"/>
      <c r="AA7230" s="780"/>
      <c r="AB7230" s="780"/>
      <c r="AC7230" s="780"/>
      <c r="AD7230" s="780"/>
      <c r="AE7230" s="780"/>
      <c r="AF7230" s="780"/>
    </row>
    <row r="7231" spans="19:32" x14ac:dyDescent="0.35">
      <c r="S7231" s="780"/>
      <c r="T7231" s="928"/>
      <c r="U7231" s="928"/>
      <c r="V7231" s="928"/>
      <c r="W7231" s="780"/>
      <c r="X7231" s="928"/>
      <c r="Y7231" s="780"/>
      <c r="Z7231" s="780"/>
      <c r="AA7231" s="780"/>
      <c r="AB7231" s="780"/>
      <c r="AC7231" s="780"/>
      <c r="AD7231" s="780"/>
      <c r="AE7231" s="780"/>
      <c r="AF7231" s="780"/>
    </row>
    <row r="7232" spans="19:32" x14ac:dyDescent="0.35">
      <c r="S7232" s="780"/>
      <c r="T7232" s="928"/>
      <c r="U7232" s="928"/>
      <c r="V7232" s="928"/>
      <c r="W7232" s="780"/>
      <c r="X7232" s="928"/>
      <c r="Y7232" s="780"/>
      <c r="Z7232" s="780"/>
      <c r="AA7232" s="780"/>
      <c r="AB7232" s="780"/>
      <c r="AC7232" s="780"/>
      <c r="AD7232" s="780"/>
      <c r="AE7232" s="780"/>
      <c r="AF7232" s="780"/>
    </row>
    <row r="7233" spans="19:32" x14ac:dyDescent="0.35">
      <c r="S7233" s="780"/>
      <c r="T7233" s="928"/>
      <c r="U7233" s="928"/>
      <c r="V7233" s="928"/>
      <c r="W7233" s="780"/>
      <c r="X7233" s="928"/>
      <c r="Y7233" s="780"/>
      <c r="Z7233" s="780"/>
      <c r="AA7233" s="780"/>
      <c r="AB7233" s="780"/>
      <c r="AC7233" s="780"/>
      <c r="AD7233" s="780"/>
      <c r="AE7233" s="780"/>
      <c r="AF7233" s="780"/>
    </row>
    <row r="7234" spans="19:32" x14ac:dyDescent="0.35">
      <c r="S7234" s="780"/>
      <c r="T7234" s="928"/>
      <c r="U7234" s="928"/>
      <c r="V7234" s="928"/>
      <c r="W7234" s="780"/>
      <c r="X7234" s="928"/>
      <c r="Y7234" s="780"/>
      <c r="Z7234" s="780"/>
      <c r="AA7234" s="780"/>
      <c r="AB7234" s="780"/>
      <c r="AC7234" s="780"/>
      <c r="AD7234" s="780"/>
      <c r="AE7234" s="780"/>
      <c r="AF7234" s="780"/>
    </row>
    <row r="7235" spans="19:32" x14ac:dyDescent="0.35">
      <c r="S7235" s="780"/>
      <c r="T7235" s="928"/>
      <c r="U7235" s="928"/>
      <c r="V7235" s="928"/>
      <c r="W7235" s="780"/>
      <c r="X7235" s="928"/>
      <c r="Y7235" s="780"/>
      <c r="Z7235" s="780"/>
      <c r="AA7235" s="780"/>
      <c r="AB7235" s="780"/>
      <c r="AC7235" s="780"/>
      <c r="AD7235" s="780"/>
      <c r="AE7235" s="780"/>
      <c r="AF7235" s="780"/>
    </row>
    <row r="7236" spans="19:32" x14ac:dyDescent="0.35">
      <c r="S7236" s="780"/>
      <c r="T7236" s="928"/>
      <c r="U7236" s="928"/>
      <c r="V7236" s="928"/>
      <c r="W7236" s="780"/>
      <c r="X7236" s="928"/>
      <c r="Y7236" s="780"/>
      <c r="Z7236" s="780"/>
      <c r="AA7236" s="780"/>
      <c r="AB7236" s="780"/>
      <c r="AC7236" s="780"/>
      <c r="AD7236" s="780"/>
      <c r="AE7236" s="780"/>
      <c r="AF7236" s="780"/>
    </row>
    <row r="7237" spans="19:32" x14ac:dyDescent="0.35">
      <c r="S7237" s="780"/>
      <c r="T7237" s="928"/>
      <c r="U7237" s="928"/>
      <c r="V7237" s="928"/>
      <c r="W7237" s="780"/>
      <c r="X7237" s="928"/>
      <c r="Y7237" s="780"/>
      <c r="Z7237" s="780"/>
      <c r="AA7237" s="780"/>
      <c r="AB7237" s="780"/>
      <c r="AC7237" s="780"/>
      <c r="AD7237" s="780"/>
      <c r="AE7237" s="780"/>
      <c r="AF7237" s="780"/>
    </row>
    <row r="7238" spans="19:32" x14ac:dyDescent="0.35">
      <c r="S7238" s="780"/>
      <c r="T7238" s="928"/>
      <c r="U7238" s="928"/>
      <c r="V7238" s="928"/>
      <c r="W7238" s="780"/>
      <c r="X7238" s="928"/>
      <c r="Y7238" s="780"/>
      <c r="Z7238" s="780"/>
      <c r="AA7238" s="780"/>
      <c r="AB7238" s="780"/>
      <c r="AC7238" s="780"/>
      <c r="AD7238" s="780"/>
      <c r="AE7238" s="780"/>
      <c r="AF7238" s="780"/>
    </row>
    <row r="7239" spans="19:32" x14ac:dyDescent="0.35">
      <c r="S7239" s="780"/>
      <c r="T7239" s="928"/>
      <c r="U7239" s="928"/>
      <c r="V7239" s="928"/>
      <c r="W7239" s="780"/>
      <c r="X7239" s="928"/>
      <c r="Y7239" s="780"/>
      <c r="Z7239" s="780"/>
      <c r="AA7239" s="780"/>
      <c r="AB7239" s="780"/>
      <c r="AC7239" s="780"/>
      <c r="AD7239" s="780"/>
      <c r="AE7239" s="780"/>
      <c r="AF7239" s="780"/>
    </row>
    <row r="7240" spans="19:32" x14ac:dyDescent="0.35">
      <c r="S7240" s="780"/>
      <c r="T7240" s="928"/>
      <c r="U7240" s="928"/>
      <c r="V7240" s="928"/>
      <c r="W7240" s="780"/>
      <c r="X7240" s="928"/>
      <c r="Y7240" s="780"/>
      <c r="Z7240" s="780"/>
      <c r="AA7240" s="780"/>
      <c r="AB7240" s="780"/>
      <c r="AC7240" s="780"/>
      <c r="AD7240" s="780"/>
      <c r="AE7240" s="780"/>
      <c r="AF7240" s="780"/>
    </row>
    <row r="7241" spans="19:32" x14ac:dyDescent="0.35">
      <c r="S7241" s="780"/>
      <c r="T7241" s="928"/>
      <c r="U7241" s="928"/>
      <c r="V7241" s="928"/>
      <c r="W7241" s="780"/>
      <c r="X7241" s="928"/>
      <c r="Y7241" s="780"/>
      <c r="Z7241" s="780"/>
      <c r="AA7241" s="780"/>
      <c r="AB7241" s="780"/>
      <c r="AC7241" s="780"/>
      <c r="AD7241" s="780"/>
      <c r="AE7241" s="780"/>
      <c r="AF7241" s="780"/>
    </row>
    <row r="7242" spans="19:32" x14ac:dyDescent="0.35">
      <c r="S7242" s="780"/>
      <c r="T7242" s="928"/>
      <c r="U7242" s="928"/>
      <c r="V7242" s="928"/>
      <c r="W7242" s="780"/>
      <c r="X7242" s="928"/>
      <c r="Y7242" s="780"/>
      <c r="Z7242" s="780"/>
      <c r="AA7242" s="780"/>
      <c r="AB7242" s="780"/>
      <c r="AC7242" s="780"/>
      <c r="AD7242" s="780"/>
      <c r="AE7242" s="780"/>
      <c r="AF7242" s="780"/>
    </row>
    <row r="7243" spans="19:32" x14ac:dyDescent="0.35">
      <c r="S7243" s="780"/>
      <c r="T7243" s="928"/>
      <c r="U7243" s="928"/>
      <c r="V7243" s="928"/>
      <c r="W7243" s="780"/>
      <c r="X7243" s="928"/>
      <c r="Y7243" s="780"/>
      <c r="Z7243" s="780"/>
      <c r="AA7243" s="780"/>
      <c r="AB7243" s="780"/>
      <c r="AC7243" s="780"/>
      <c r="AD7243" s="780"/>
      <c r="AE7243" s="780"/>
      <c r="AF7243" s="780"/>
    </row>
    <row r="7244" spans="19:32" x14ac:dyDescent="0.35">
      <c r="S7244" s="780"/>
      <c r="T7244" s="928"/>
      <c r="U7244" s="928"/>
      <c r="V7244" s="928"/>
      <c r="W7244" s="780"/>
      <c r="X7244" s="928"/>
      <c r="Y7244" s="780"/>
      <c r="Z7244" s="780"/>
      <c r="AA7244" s="780"/>
      <c r="AB7244" s="780"/>
      <c r="AC7244" s="780"/>
      <c r="AD7244" s="780"/>
      <c r="AE7244" s="780"/>
      <c r="AF7244" s="780"/>
    </row>
    <row r="7245" spans="19:32" x14ac:dyDescent="0.35">
      <c r="S7245" s="780"/>
      <c r="T7245" s="928"/>
      <c r="U7245" s="928"/>
      <c r="V7245" s="928"/>
      <c r="W7245" s="780"/>
      <c r="X7245" s="928"/>
      <c r="Y7245" s="780"/>
      <c r="Z7245" s="780"/>
      <c r="AA7245" s="780"/>
      <c r="AB7245" s="780"/>
      <c r="AC7245" s="780"/>
      <c r="AD7245" s="780"/>
      <c r="AE7245" s="780"/>
      <c r="AF7245" s="780"/>
    </row>
    <row r="7246" spans="19:32" x14ac:dyDescent="0.35">
      <c r="S7246" s="780"/>
      <c r="T7246" s="928"/>
      <c r="U7246" s="928"/>
      <c r="V7246" s="928"/>
      <c r="W7246" s="780"/>
      <c r="X7246" s="928"/>
      <c r="Y7246" s="780"/>
      <c r="Z7246" s="780"/>
      <c r="AA7246" s="780"/>
      <c r="AB7246" s="780"/>
      <c r="AC7246" s="780"/>
      <c r="AD7246" s="780"/>
      <c r="AE7246" s="780"/>
      <c r="AF7246" s="780"/>
    </row>
    <row r="7247" spans="19:32" x14ac:dyDescent="0.35">
      <c r="S7247" s="780"/>
      <c r="T7247" s="928"/>
      <c r="U7247" s="928"/>
      <c r="V7247" s="928"/>
      <c r="W7247" s="780"/>
      <c r="X7247" s="928"/>
      <c r="Y7247" s="780"/>
      <c r="Z7247" s="780"/>
      <c r="AA7247" s="780"/>
      <c r="AB7247" s="780"/>
      <c r="AC7247" s="780"/>
      <c r="AD7247" s="780"/>
      <c r="AE7247" s="780"/>
      <c r="AF7247" s="780"/>
    </row>
    <row r="7248" spans="19:32" x14ac:dyDescent="0.35">
      <c r="S7248" s="780"/>
      <c r="T7248" s="928"/>
      <c r="U7248" s="928"/>
      <c r="V7248" s="928"/>
      <c r="W7248" s="780"/>
      <c r="X7248" s="928"/>
      <c r="Y7248" s="780"/>
      <c r="Z7248" s="780"/>
      <c r="AA7248" s="780"/>
      <c r="AB7248" s="780"/>
      <c r="AC7248" s="780"/>
      <c r="AD7248" s="780"/>
      <c r="AE7248" s="780"/>
      <c r="AF7248" s="780"/>
    </row>
    <row r="7249" spans="19:32" x14ac:dyDescent="0.35">
      <c r="S7249" s="780"/>
      <c r="T7249" s="928"/>
      <c r="U7249" s="928"/>
      <c r="V7249" s="928"/>
      <c r="W7249" s="780"/>
      <c r="X7249" s="928"/>
      <c r="Y7249" s="780"/>
      <c r="Z7249" s="780"/>
      <c r="AA7249" s="780"/>
      <c r="AB7249" s="780"/>
      <c r="AC7249" s="780"/>
      <c r="AD7249" s="780"/>
      <c r="AE7249" s="780"/>
      <c r="AF7249" s="780"/>
    </row>
    <row r="7250" spans="19:32" x14ac:dyDescent="0.35">
      <c r="S7250" s="780"/>
      <c r="T7250" s="928"/>
      <c r="U7250" s="928"/>
      <c r="V7250" s="928"/>
      <c r="W7250" s="780"/>
      <c r="X7250" s="928"/>
      <c r="Y7250" s="780"/>
      <c r="Z7250" s="780"/>
      <c r="AA7250" s="780"/>
      <c r="AB7250" s="780"/>
      <c r="AC7250" s="780"/>
      <c r="AD7250" s="780"/>
      <c r="AE7250" s="780"/>
      <c r="AF7250" s="780"/>
    </row>
    <row r="7251" spans="19:32" x14ac:dyDescent="0.35">
      <c r="S7251" s="780"/>
      <c r="T7251" s="928"/>
      <c r="U7251" s="928"/>
      <c r="V7251" s="928"/>
      <c r="W7251" s="780"/>
      <c r="X7251" s="928"/>
      <c r="Y7251" s="780"/>
      <c r="Z7251" s="780"/>
      <c r="AA7251" s="780"/>
      <c r="AB7251" s="780"/>
      <c r="AC7251" s="780"/>
      <c r="AD7251" s="780"/>
      <c r="AE7251" s="780"/>
      <c r="AF7251" s="780"/>
    </row>
    <row r="7252" spans="19:32" x14ac:dyDescent="0.35">
      <c r="S7252" s="780"/>
      <c r="T7252" s="928"/>
      <c r="U7252" s="928"/>
      <c r="V7252" s="928"/>
      <c r="W7252" s="780"/>
      <c r="X7252" s="928"/>
      <c r="Y7252" s="780"/>
      <c r="Z7252" s="780"/>
      <c r="AA7252" s="780"/>
      <c r="AB7252" s="780"/>
      <c r="AC7252" s="780"/>
      <c r="AD7252" s="780"/>
      <c r="AE7252" s="780"/>
      <c r="AF7252" s="780"/>
    </row>
    <row r="7253" spans="19:32" x14ac:dyDescent="0.35">
      <c r="S7253" s="780"/>
      <c r="T7253" s="928"/>
      <c r="U7253" s="928"/>
      <c r="V7253" s="928"/>
      <c r="W7253" s="780"/>
      <c r="X7253" s="928"/>
      <c r="Y7253" s="780"/>
      <c r="Z7253" s="780"/>
      <c r="AA7253" s="780"/>
      <c r="AB7253" s="780"/>
      <c r="AC7253" s="780"/>
      <c r="AD7253" s="780"/>
      <c r="AE7253" s="780"/>
      <c r="AF7253" s="780"/>
    </row>
    <row r="7254" spans="19:32" x14ac:dyDescent="0.35">
      <c r="S7254" s="780"/>
      <c r="T7254" s="928"/>
      <c r="U7254" s="928"/>
      <c r="V7254" s="928"/>
      <c r="W7254" s="780"/>
      <c r="X7254" s="928"/>
      <c r="Y7254" s="780"/>
      <c r="Z7254" s="780"/>
      <c r="AA7254" s="780"/>
      <c r="AB7254" s="780"/>
      <c r="AC7254" s="780"/>
      <c r="AD7254" s="780"/>
      <c r="AE7254" s="780"/>
      <c r="AF7254" s="780"/>
    </row>
    <row r="7255" spans="19:32" x14ac:dyDescent="0.35">
      <c r="S7255" s="780"/>
      <c r="T7255" s="928"/>
      <c r="U7255" s="928"/>
      <c r="V7255" s="928"/>
      <c r="W7255" s="780"/>
      <c r="X7255" s="928"/>
      <c r="Y7255" s="780"/>
      <c r="Z7255" s="780"/>
      <c r="AA7255" s="780"/>
      <c r="AB7255" s="780"/>
      <c r="AC7255" s="780"/>
      <c r="AD7255" s="780"/>
      <c r="AE7255" s="780"/>
      <c r="AF7255" s="780"/>
    </row>
    <row r="7256" spans="19:32" x14ac:dyDescent="0.35">
      <c r="S7256" s="780"/>
      <c r="T7256" s="928"/>
      <c r="U7256" s="928"/>
      <c r="V7256" s="928"/>
      <c r="W7256" s="780"/>
      <c r="X7256" s="928"/>
      <c r="Y7256" s="780"/>
      <c r="Z7256" s="780"/>
      <c r="AA7256" s="780"/>
      <c r="AB7256" s="780"/>
      <c r="AC7256" s="780"/>
      <c r="AD7256" s="780"/>
      <c r="AE7256" s="780"/>
      <c r="AF7256" s="780"/>
    </row>
    <row r="7257" spans="19:32" x14ac:dyDescent="0.35">
      <c r="S7257" s="780"/>
      <c r="T7257" s="928"/>
      <c r="U7257" s="928"/>
      <c r="V7257" s="928"/>
      <c r="W7257" s="780"/>
      <c r="X7257" s="928"/>
      <c r="Y7257" s="780"/>
      <c r="Z7257" s="780"/>
      <c r="AA7257" s="780"/>
      <c r="AB7257" s="780"/>
      <c r="AC7257" s="780"/>
      <c r="AD7257" s="780"/>
      <c r="AE7257" s="780"/>
      <c r="AF7257" s="780"/>
    </row>
    <row r="7258" spans="19:32" x14ac:dyDescent="0.35">
      <c r="S7258" s="780"/>
      <c r="T7258" s="928"/>
      <c r="U7258" s="928"/>
      <c r="V7258" s="928"/>
      <c r="W7258" s="780"/>
      <c r="X7258" s="928"/>
      <c r="Y7258" s="780"/>
      <c r="Z7258" s="780"/>
      <c r="AA7258" s="780"/>
      <c r="AB7258" s="780"/>
      <c r="AC7258" s="780"/>
      <c r="AD7258" s="780"/>
      <c r="AE7258" s="780"/>
      <c r="AF7258" s="780"/>
    </row>
    <row r="7259" spans="19:32" x14ac:dyDescent="0.35">
      <c r="S7259" s="780"/>
      <c r="T7259" s="928"/>
      <c r="U7259" s="928"/>
      <c r="V7259" s="928"/>
      <c r="W7259" s="780"/>
      <c r="X7259" s="928"/>
      <c r="Y7259" s="780"/>
      <c r="Z7259" s="780"/>
      <c r="AA7259" s="780"/>
      <c r="AB7259" s="780"/>
      <c r="AC7259" s="780"/>
      <c r="AD7259" s="780"/>
      <c r="AE7259" s="780"/>
      <c r="AF7259" s="780"/>
    </row>
    <row r="7260" spans="19:32" x14ac:dyDescent="0.35">
      <c r="S7260" s="780"/>
      <c r="T7260" s="928"/>
      <c r="U7260" s="928"/>
      <c r="V7260" s="928"/>
      <c r="W7260" s="780"/>
      <c r="X7260" s="928"/>
      <c r="Y7260" s="780"/>
      <c r="Z7260" s="780"/>
      <c r="AA7260" s="780"/>
      <c r="AB7260" s="780"/>
      <c r="AC7260" s="780"/>
      <c r="AD7260" s="780"/>
      <c r="AE7260" s="780"/>
      <c r="AF7260" s="780"/>
    </row>
    <row r="7261" spans="19:32" x14ac:dyDescent="0.35">
      <c r="S7261" s="780"/>
      <c r="T7261" s="928"/>
      <c r="U7261" s="928"/>
      <c r="V7261" s="928"/>
      <c r="W7261" s="780"/>
      <c r="X7261" s="928"/>
      <c r="Y7261" s="780"/>
      <c r="Z7261" s="780"/>
      <c r="AA7261" s="780"/>
      <c r="AB7261" s="780"/>
      <c r="AC7261" s="780"/>
      <c r="AD7261" s="780"/>
      <c r="AE7261" s="780"/>
      <c r="AF7261" s="780"/>
    </row>
    <row r="7262" spans="19:32" x14ac:dyDescent="0.35">
      <c r="S7262" s="780"/>
      <c r="T7262" s="928"/>
      <c r="U7262" s="928"/>
      <c r="V7262" s="928"/>
      <c r="W7262" s="780"/>
      <c r="X7262" s="928"/>
      <c r="Y7262" s="780"/>
      <c r="Z7262" s="780"/>
      <c r="AA7262" s="780"/>
      <c r="AB7262" s="780"/>
      <c r="AC7262" s="780"/>
      <c r="AD7262" s="780"/>
      <c r="AE7262" s="780"/>
      <c r="AF7262" s="780"/>
    </row>
    <row r="7263" spans="19:32" x14ac:dyDescent="0.35">
      <c r="S7263" s="780"/>
      <c r="T7263" s="928"/>
      <c r="U7263" s="928"/>
      <c r="V7263" s="928"/>
      <c r="W7263" s="780"/>
      <c r="X7263" s="928"/>
      <c r="Y7263" s="780"/>
      <c r="Z7263" s="780"/>
      <c r="AA7263" s="780"/>
      <c r="AB7263" s="780"/>
      <c r="AC7263" s="780"/>
      <c r="AD7263" s="780"/>
      <c r="AE7263" s="780"/>
      <c r="AF7263" s="780"/>
    </row>
    <row r="7264" spans="19:32" x14ac:dyDescent="0.35">
      <c r="S7264" s="780"/>
      <c r="T7264" s="928"/>
      <c r="U7264" s="928"/>
      <c r="V7264" s="928"/>
      <c r="W7264" s="780"/>
      <c r="X7264" s="928"/>
      <c r="Y7264" s="780"/>
      <c r="Z7264" s="780"/>
      <c r="AA7264" s="780"/>
      <c r="AB7264" s="780"/>
      <c r="AC7264" s="780"/>
      <c r="AD7264" s="780"/>
      <c r="AE7264" s="780"/>
      <c r="AF7264" s="780"/>
    </row>
    <row r="7265" spans="19:32" x14ac:dyDescent="0.35">
      <c r="S7265" s="780"/>
      <c r="T7265" s="928"/>
      <c r="U7265" s="928"/>
      <c r="V7265" s="928"/>
      <c r="W7265" s="780"/>
      <c r="X7265" s="928"/>
      <c r="Y7265" s="780"/>
      <c r="Z7265" s="780"/>
      <c r="AA7265" s="780"/>
      <c r="AB7265" s="780"/>
      <c r="AC7265" s="780"/>
      <c r="AD7265" s="780"/>
      <c r="AE7265" s="780"/>
      <c r="AF7265" s="780"/>
    </row>
    <row r="7266" spans="19:32" x14ac:dyDescent="0.35">
      <c r="S7266" s="780"/>
      <c r="T7266" s="928"/>
      <c r="U7266" s="928"/>
      <c r="V7266" s="928"/>
      <c r="W7266" s="780"/>
      <c r="X7266" s="928"/>
      <c r="Y7266" s="780"/>
      <c r="Z7266" s="780"/>
      <c r="AA7266" s="780"/>
      <c r="AB7266" s="780"/>
      <c r="AC7266" s="780"/>
      <c r="AD7266" s="780"/>
      <c r="AE7266" s="780"/>
      <c r="AF7266" s="780"/>
    </row>
    <row r="7267" spans="19:32" x14ac:dyDescent="0.35">
      <c r="S7267" s="780"/>
      <c r="T7267" s="928"/>
      <c r="U7267" s="928"/>
      <c r="V7267" s="928"/>
      <c r="W7267" s="780"/>
      <c r="X7267" s="928"/>
      <c r="Y7267" s="780"/>
      <c r="Z7267" s="780"/>
      <c r="AA7267" s="780"/>
      <c r="AB7267" s="780"/>
      <c r="AC7267" s="780"/>
      <c r="AD7267" s="780"/>
      <c r="AE7267" s="780"/>
      <c r="AF7267" s="780"/>
    </row>
    <row r="7268" spans="19:32" x14ac:dyDescent="0.35">
      <c r="S7268" s="780"/>
      <c r="T7268" s="928"/>
      <c r="U7268" s="928"/>
      <c r="V7268" s="928"/>
      <c r="W7268" s="780"/>
      <c r="X7268" s="928"/>
      <c r="Y7268" s="780"/>
      <c r="Z7268" s="780"/>
      <c r="AA7268" s="780"/>
      <c r="AB7268" s="780"/>
      <c r="AC7268" s="780"/>
      <c r="AD7268" s="780"/>
      <c r="AE7268" s="780"/>
      <c r="AF7268" s="780"/>
    </row>
    <row r="7269" spans="19:32" x14ac:dyDescent="0.35">
      <c r="S7269" s="780"/>
      <c r="T7269" s="928"/>
      <c r="U7269" s="928"/>
      <c r="V7269" s="928"/>
      <c r="W7269" s="780"/>
      <c r="X7269" s="928"/>
      <c r="Y7269" s="780"/>
      <c r="Z7269" s="780"/>
      <c r="AA7269" s="780"/>
      <c r="AB7269" s="780"/>
      <c r="AC7269" s="780"/>
      <c r="AD7269" s="780"/>
      <c r="AE7269" s="780"/>
      <c r="AF7269" s="780"/>
    </row>
    <row r="7270" spans="19:32" x14ac:dyDescent="0.35">
      <c r="S7270" s="780"/>
      <c r="T7270" s="928"/>
      <c r="U7270" s="928"/>
      <c r="V7270" s="928"/>
      <c r="W7270" s="780"/>
      <c r="X7270" s="928"/>
      <c r="Y7270" s="780"/>
      <c r="Z7270" s="780"/>
      <c r="AA7270" s="780"/>
      <c r="AB7270" s="780"/>
      <c r="AC7270" s="780"/>
      <c r="AD7270" s="780"/>
      <c r="AE7270" s="780"/>
      <c r="AF7270" s="780"/>
    </row>
    <row r="7271" spans="19:32" x14ac:dyDescent="0.35">
      <c r="S7271" s="780"/>
      <c r="T7271" s="928"/>
      <c r="U7271" s="928"/>
      <c r="V7271" s="928"/>
      <c r="W7271" s="780"/>
      <c r="X7271" s="928"/>
      <c r="Y7271" s="780"/>
      <c r="Z7271" s="780"/>
      <c r="AA7271" s="780"/>
      <c r="AB7271" s="780"/>
      <c r="AC7271" s="780"/>
      <c r="AD7271" s="780"/>
      <c r="AE7271" s="780"/>
      <c r="AF7271" s="780"/>
    </row>
    <row r="7272" spans="19:32" x14ac:dyDescent="0.35">
      <c r="S7272" s="780"/>
      <c r="T7272" s="928"/>
      <c r="U7272" s="928"/>
      <c r="V7272" s="928"/>
      <c r="W7272" s="780"/>
      <c r="X7272" s="928"/>
      <c r="Y7272" s="780"/>
      <c r="Z7272" s="780"/>
      <c r="AA7272" s="780"/>
      <c r="AB7272" s="780"/>
      <c r="AC7272" s="780"/>
      <c r="AD7272" s="780"/>
      <c r="AE7272" s="780"/>
      <c r="AF7272" s="780"/>
    </row>
    <row r="7273" spans="19:32" x14ac:dyDescent="0.35">
      <c r="S7273" s="780"/>
      <c r="T7273" s="928"/>
      <c r="U7273" s="928"/>
      <c r="V7273" s="928"/>
      <c r="W7273" s="780"/>
      <c r="X7273" s="928"/>
      <c r="Y7273" s="780"/>
      <c r="Z7273" s="780"/>
      <c r="AA7273" s="780"/>
      <c r="AB7273" s="780"/>
      <c r="AC7273" s="780"/>
      <c r="AD7273" s="780"/>
      <c r="AE7273" s="780"/>
      <c r="AF7273" s="780"/>
    </row>
    <row r="7274" spans="19:32" x14ac:dyDescent="0.35">
      <c r="S7274" s="780"/>
      <c r="T7274" s="928"/>
      <c r="U7274" s="928"/>
      <c r="V7274" s="928"/>
      <c r="W7274" s="780"/>
      <c r="X7274" s="928"/>
      <c r="Y7274" s="780"/>
      <c r="Z7274" s="780"/>
      <c r="AA7274" s="780"/>
      <c r="AB7274" s="780"/>
      <c r="AC7274" s="780"/>
      <c r="AD7274" s="780"/>
      <c r="AE7274" s="780"/>
      <c r="AF7274" s="780"/>
    </row>
    <row r="7275" spans="19:32" x14ac:dyDescent="0.35">
      <c r="S7275" s="780"/>
      <c r="T7275" s="928"/>
      <c r="U7275" s="928"/>
      <c r="V7275" s="928"/>
      <c r="W7275" s="780"/>
      <c r="X7275" s="928"/>
      <c r="Y7275" s="780"/>
      <c r="Z7275" s="780"/>
      <c r="AA7275" s="780"/>
      <c r="AB7275" s="780"/>
      <c r="AC7275" s="780"/>
      <c r="AD7275" s="780"/>
      <c r="AE7275" s="780"/>
      <c r="AF7275" s="780"/>
    </row>
    <row r="7276" spans="19:32" x14ac:dyDescent="0.35">
      <c r="S7276" s="780"/>
      <c r="T7276" s="928"/>
      <c r="U7276" s="928"/>
      <c r="V7276" s="928"/>
      <c r="W7276" s="780"/>
      <c r="X7276" s="928"/>
      <c r="Y7276" s="780"/>
      <c r="Z7276" s="780"/>
      <c r="AA7276" s="780"/>
      <c r="AB7276" s="780"/>
      <c r="AC7276" s="780"/>
      <c r="AD7276" s="780"/>
      <c r="AE7276" s="780"/>
      <c r="AF7276" s="780"/>
    </row>
    <row r="7277" spans="19:32" x14ac:dyDescent="0.35">
      <c r="S7277" s="780"/>
      <c r="T7277" s="928"/>
      <c r="U7277" s="928"/>
      <c r="V7277" s="928"/>
      <c r="W7277" s="780"/>
      <c r="X7277" s="928"/>
      <c r="Y7277" s="780"/>
      <c r="Z7277" s="780"/>
      <c r="AA7277" s="780"/>
      <c r="AB7277" s="780"/>
      <c r="AC7277" s="780"/>
      <c r="AD7277" s="780"/>
      <c r="AE7277" s="780"/>
      <c r="AF7277" s="780"/>
    </row>
    <row r="7278" spans="19:32" x14ac:dyDescent="0.35">
      <c r="S7278" s="780"/>
      <c r="T7278" s="928"/>
      <c r="U7278" s="928"/>
      <c r="V7278" s="928"/>
      <c r="W7278" s="780"/>
      <c r="X7278" s="928"/>
      <c r="Y7278" s="780"/>
      <c r="Z7278" s="780"/>
      <c r="AA7278" s="780"/>
      <c r="AB7278" s="780"/>
      <c r="AC7278" s="780"/>
      <c r="AD7278" s="780"/>
      <c r="AE7278" s="780"/>
      <c r="AF7278" s="780"/>
    </row>
    <row r="7279" spans="19:32" x14ac:dyDescent="0.35">
      <c r="S7279" s="780"/>
      <c r="T7279" s="928"/>
      <c r="U7279" s="928"/>
      <c r="V7279" s="928"/>
      <c r="W7279" s="780"/>
      <c r="X7279" s="928"/>
      <c r="Y7279" s="780"/>
      <c r="Z7279" s="780"/>
      <c r="AA7279" s="780"/>
      <c r="AB7279" s="780"/>
      <c r="AC7279" s="780"/>
      <c r="AD7279" s="780"/>
      <c r="AE7279" s="780"/>
      <c r="AF7279" s="780"/>
    </row>
    <row r="7280" spans="19:32" x14ac:dyDescent="0.35">
      <c r="S7280" s="780"/>
      <c r="T7280" s="928"/>
      <c r="U7280" s="928"/>
      <c r="V7280" s="928"/>
      <c r="W7280" s="780"/>
      <c r="X7280" s="928"/>
      <c r="Y7280" s="780"/>
      <c r="Z7280" s="780"/>
      <c r="AA7280" s="780"/>
      <c r="AB7280" s="780"/>
      <c r="AC7280" s="780"/>
      <c r="AD7280" s="780"/>
      <c r="AE7280" s="780"/>
      <c r="AF7280" s="780"/>
    </row>
    <row r="7281" spans="19:32" x14ac:dyDescent="0.35">
      <c r="S7281" s="780"/>
      <c r="T7281" s="928"/>
      <c r="U7281" s="928"/>
      <c r="V7281" s="928"/>
      <c r="W7281" s="780"/>
      <c r="X7281" s="928"/>
      <c r="Y7281" s="780"/>
      <c r="Z7281" s="780"/>
      <c r="AA7281" s="780"/>
      <c r="AB7281" s="780"/>
      <c r="AC7281" s="780"/>
      <c r="AD7281" s="780"/>
      <c r="AE7281" s="780"/>
      <c r="AF7281" s="780"/>
    </row>
    <row r="7282" spans="19:32" x14ac:dyDescent="0.35">
      <c r="S7282" s="780"/>
      <c r="T7282" s="928"/>
      <c r="U7282" s="928"/>
      <c r="V7282" s="928"/>
      <c r="W7282" s="780"/>
      <c r="X7282" s="928"/>
      <c r="Y7282" s="780"/>
      <c r="Z7282" s="780"/>
      <c r="AA7282" s="780"/>
      <c r="AB7282" s="780"/>
      <c r="AC7282" s="780"/>
      <c r="AD7282" s="780"/>
      <c r="AE7282" s="780"/>
      <c r="AF7282" s="780"/>
    </row>
    <row r="7283" spans="19:32" x14ac:dyDescent="0.35">
      <c r="S7283" s="780"/>
      <c r="T7283" s="928"/>
      <c r="U7283" s="928"/>
      <c r="V7283" s="928"/>
      <c r="W7283" s="780"/>
      <c r="X7283" s="928"/>
      <c r="Y7283" s="780"/>
      <c r="Z7283" s="780"/>
      <c r="AA7283" s="780"/>
      <c r="AB7283" s="780"/>
      <c r="AC7283" s="780"/>
      <c r="AD7283" s="780"/>
      <c r="AE7283" s="780"/>
      <c r="AF7283" s="780"/>
    </row>
    <row r="7284" spans="19:32" x14ac:dyDescent="0.35">
      <c r="S7284" s="780"/>
      <c r="T7284" s="928"/>
      <c r="U7284" s="928"/>
      <c r="V7284" s="928"/>
      <c r="W7284" s="780"/>
      <c r="X7284" s="928"/>
      <c r="Y7284" s="780"/>
      <c r="Z7284" s="780"/>
      <c r="AA7284" s="780"/>
      <c r="AB7284" s="780"/>
      <c r="AC7284" s="780"/>
      <c r="AD7284" s="780"/>
      <c r="AE7284" s="780"/>
      <c r="AF7284" s="780"/>
    </row>
    <row r="7285" spans="19:32" x14ac:dyDescent="0.35">
      <c r="S7285" s="780"/>
      <c r="T7285" s="928"/>
      <c r="U7285" s="928"/>
      <c r="V7285" s="928"/>
      <c r="W7285" s="780"/>
      <c r="X7285" s="928"/>
      <c r="Y7285" s="780"/>
      <c r="Z7285" s="780"/>
      <c r="AA7285" s="780"/>
      <c r="AB7285" s="780"/>
      <c r="AC7285" s="780"/>
      <c r="AD7285" s="780"/>
      <c r="AE7285" s="780"/>
      <c r="AF7285" s="780"/>
    </row>
    <row r="7286" spans="19:32" x14ac:dyDescent="0.35">
      <c r="S7286" s="780"/>
      <c r="T7286" s="928"/>
      <c r="U7286" s="928"/>
      <c r="V7286" s="928"/>
      <c r="W7286" s="780"/>
      <c r="X7286" s="928"/>
      <c r="Y7286" s="780"/>
      <c r="Z7286" s="780"/>
      <c r="AA7286" s="780"/>
      <c r="AB7286" s="780"/>
      <c r="AC7286" s="780"/>
      <c r="AD7286" s="780"/>
      <c r="AE7286" s="780"/>
      <c r="AF7286" s="780"/>
    </row>
    <row r="7287" spans="19:32" x14ac:dyDescent="0.35">
      <c r="S7287" s="780"/>
      <c r="T7287" s="928"/>
      <c r="U7287" s="928"/>
      <c r="V7287" s="928"/>
      <c r="W7287" s="780"/>
      <c r="X7287" s="928"/>
      <c r="Y7287" s="780"/>
      <c r="Z7287" s="780"/>
      <c r="AA7287" s="780"/>
      <c r="AB7287" s="780"/>
      <c r="AC7287" s="780"/>
      <c r="AD7287" s="780"/>
      <c r="AE7287" s="780"/>
      <c r="AF7287" s="780"/>
    </row>
    <row r="7288" spans="19:32" x14ac:dyDescent="0.35">
      <c r="S7288" s="780"/>
      <c r="T7288" s="928"/>
      <c r="U7288" s="928"/>
      <c r="V7288" s="928"/>
      <c r="W7288" s="780"/>
      <c r="X7288" s="928"/>
      <c r="Y7288" s="780"/>
      <c r="Z7288" s="780"/>
      <c r="AA7288" s="780"/>
      <c r="AB7288" s="780"/>
      <c r="AC7288" s="780"/>
      <c r="AD7288" s="780"/>
      <c r="AE7288" s="780"/>
      <c r="AF7288" s="780"/>
    </row>
    <row r="7289" spans="19:32" x14ac:dyDescent="0.35">
      <c r="S7289" s="780"/>
      <c r="T7289" s="928"/>
      <c r="U7289" s="928"/>
      <c r="V7289" s="928"/>
      <c r="W7289" s="780"/>
      <c r="X7289" s="928"/>
      <c r="Y7289" s="780"/>
      <c r="Z7289" s="780"/>
      <c r="AA7289" s="780"/>
      <c r="AB7289" s="780"/>
      <c r="AC7289" s="780"/>
      <c r="AD7289" s="780"/>
      <c r="AE7289" s="780"/>
      <c r="AF7289" s="780"/>
    </row>
    <row r="7290" spans="19:32" x14ac:dyDescent="0.35">
      <c r="S7290" s="780"/>
      <c r="T7290" s="928"/>
      <c r="U7290" s="928"/>
      <c r="V7290" s="928"/>
      <c r="W7290" s="780"/>
      <c r="X7290" s="928"/>
      <c r="Y7290" s="780"/>
      <c r="Z7290" s="780"/>
      <c r="AA7290" s="780"/>
      <c r="AB7290" s="780"/>
      <c r="AC7290" s="780"/>
      <c r="AD7290" s="780"/>
      <c r="AE7290" s="780"/>
      <c r="AF7290" s="780"/>
    </row>
    <row r="7291" spans="19:32" x14ac:dyDescent="0.35">
      <c r="S7291" s="780"/>
      <c r="T7291" s="928"/>
      <c r="U7291" s="928"/>
      <c r="V7291" s="928"/>
      <c r="W7291" s="780"/>
      <c r="X7291" s="928"/>
      <c r="Y7291" s="780"/>
      <c r="Z7291" s="780"/>
      <c r="AA7291" s="780"/>
      <c r="AB7291" s="780"/>
      <c r="AC7291" s="780"/>
      <c r="AD7291" s="780"/>
      <c r="AE7291" s="780"/>
      <c r="AF7291" s="780"/>
    </row>
    <row r="7292" spans="19:32" x14ac:dyDescent="0.35">
      <c r="S7292" s="780"/>
      <c r="T7292" s="928"/>
      <c r="U7292" s="928"/>
      <c r="V7292" s="928"/>
      <c r="W7292" s="780"/>
      <c r="X7292" s="928"/>
      <c r="Y7292" s="780"/>
      <c r="Z7292" s="780"/>
      <c r="AA7292" s="780"/>
      <c r="AB7292" s="780"/>
      <c r="AC7292" s="780"/>
      <c r="AD7292" s="780"/>
      <c r="AE7292" s="780"/>
      <c r="AF7292" s="780"/>
    </row>
    <row r="7293" spans="19:32" x14ac:dyDescent="0.35">
      <c r="S7293" s="780"/>
      <c r="T7293" s="928"/>
      <c r="U7293" s="928"/>
      <c r="V7293" s="928"/>
      <c r="W7293" s="780"/>
      <c r="X7293" s="928"/>
      <c r="Y7293" s="780"/>
      <c r="Z7293" s="780"/>
      <c r="AA7293" s="780"/>
      <c r="AB7293" s="780"/>
      <c r="AC7293" s="780"/>
      <c r="AD7293" s="780"/>
      <c r="AE7293" s="780"/>
      <c r="AF7293" s="780"/>
    </row>
    <row r="7294" spans="19:32" x14ac:dyDescent="0.35">
      <c r="S7294" s="780"/>
      <c r="T7294" s="928"/>
      <c r="U7294" s="928"/>
      <c r="V7294" s="928"/>
      <c r="W7294" s="780"/>
      <c r="X7294" s="928"/>
      <c r="Y7294" s="780"/>
      <c r="Z7294" s="780"/>
      <c r="AA7294" s="780"/>
      <c r="AB7294" s="780"/>
      <c r="AC7294" s="780"/>
      <c r="AD7294" s="780"/>
      <c r="AE7294" s="780"/>
      <c r="AF7294" s="780"/>
    </row>
    <row r="7295" spans="19:32" x14ac:dyDescent="0.35">
      <c r="S7295" s="780"/>
      <c r="T7295" s="928"/>
      <c r="U7295" s="928"/>
      <c r="V7295" s="928"/>
      <c r="W7295" s="780"/>
      <c r="X7295" s="928"/>
      <c r="Y7295" s="780"/>
      <c r="Z7295" s="780"/>
      <c r="AA7295" s="780"/>
      <c r="AB7295" s="780"/>
      <c r="AC7295" s="780"/>
      <c r="AD7295" s="780"/>
      <c r="AE7295" s="780"/>
      <c r="AF7295" s="780"/>
    </row>
    <row r="7296" spans="19:32" x14ac:dyDescent="0.35">
      <c r="S7296" s="780"/>
      <c r="T7296" s="928"/>
      <c r="U7296" s="928"/>
      <c r="V7296" s="928"/>
      <c r="W7296" s="780"/>
      <c r="X7296" s="928"/>
      <c r="Y7296" s="780"/>
      <c r="Z7296" s="780"/>
      <c r="AA7296" s="780"/>
      <c r="AB7296" s="780"/>
      <c r="AC7296" s="780"/>
      <c r="AD7296" s="780"/>
      <c r="AE7296" s="780"/>
      <c r="AF7296" s="780"/>
    </row>
    <row r="7297" spans="19:32" x14ac:dyDescent="0.35">
      <c r="S7297" s="780"/>
      <c r="T7297" s="928"/>
      <c r="U7297" s="928"/>
      <c r="V7297" s="928"/>
      <c r="W7297" s="780"/>
      <c r="X7297" s="928"/>
      <c r="Y7297" s="780"/>
      <c r="Z7297" s="780"/>
      <c r="AA7297" s="780"/>
      <c r="AB7297" s="780"/>
      <c r="AC7297" s="780"/>
      <c r="AD7297" s="780"/>
      <c r="AE7297" s="780"/>
      <c r="AF7297" s="780"/>
    </row>
    <row r="7298" spans="19:32" x14ac:dyDescent="0.35">
      <c r="S7298" s="780"/>
      <c r="T7298" s="928"/>
      <c r="U7298" s="928"/>
      <c r="V7298" s="928"/>
      <c r="W7298" s="780"/>
      <c r="X7298" s="928"/>
      <c r="Y7298" s="780"/>
      <c r="Z7298" s="780"/>
      <c r="AA7298" s="780"/>
      <c r="AB7298" s="780"/>
      <c r="AC7298" s="780"/>
      <c r="AD7298" s="780"/>
      <c r="AE7298" s="780"/>
      <c r="AF7298" s="780"/>
    </row>
    <row r="7299" spans="19:32" x14ac:dyDescent="0.35">
      <c r="S7299" s="780"/>
      <c r="T7299" s="928"/>
      <c r="U7299" s="928"/>
      <c r="V7299" s="928"/>
      <c r="W7299" s="780"/>
      <c r="X7299" s="928"/>
      <c r="Y7299" s="780"/>
      <c r="Z7299" s="780"/>
      <c r="AA7299" s="780"/>
      <c r="AB7299" s="780"/>
      <c r="AC7299" s="780"/>
      <c r="AD7299" s="780"/>
      <c r="AE7299" s="780"/>
      <c r="AF7299" s="780"/>
    </row>
    <row r="7300" spans="19:32" x14ac:dyDescent="0.35">
      <c r="S7300" s="780"/>
      <c r="T7300" s="928"/>
      <c r="U7300" s="928"/>
      <c r="V7300" s="928"/>
      <c r="W7300" s="780"/>
      <c r="X7300" s="928"/>
      <c r="Y7300" s="780"/>
      <c r="Z7300" s="780"/>
      <c r="AA7300" s="780"/>
      <c r="AB7300" s="780"/>
      <c r="AC7300" s="780"/>
      <c r="AD7300" s="780"/>
      <c r="AE7300" s="780"/>
      <c r="AF7300" s="780"/>
    </row>
    <row r="7301" spans="19:32" x14ac:dyDescent="0.35">
      <c r="S7301" s="780"/>
      <c r="T7301" s="928"/>
      <c r="U7301" s="928"/>
      <c r="V7301" s="928"/>
      <c r="W7301" s="780"/>
      <c r="X7301" s="928"/>
      <c r="Y7301" s="780"/>
      <c r="Z7301" s="780"/>
      <c r="AA7301" s="780"/>
      <c r="AB7301" s="780"/>
      <c r="AC7301" s="780"/>
      <c r="AD7301" s="780"/>
      <c r="AE7301" s="780"/>
      <c r="AF7301" s="780"/>
    </row>
    <row r="7302" spans="19:32" x14ac:dyDescent="0.35">
      <c r="S7302" s="780"/>
      <c r="T7302" s="928"/>
      <c r="U7302" s="928"/>
      <c r="V7302" s="928"/>
      <c r="W7302" s="780"/>
      <c r="X7302" s="928"/>
      <c r="Y7302" s="780"/>
      <c r="Z7302" s="780"/>
      <c r="AA7302" s="780"/>
      <c r="AB7302" s="780"/>
      <c r="AC7302" s="780"/>
      <c r="AD7302" s="780"/>
      <c r="AE7302" s="780"/>
      <c r="AF7302" s="780"/>
    </row>
    <row r="7303" spans="19:32" x14ac:dyDescent="0.35">
      <c r="S7303" s="780"/>
      <c r="T7303" s="928"/>
      <c r="U7303" s="928"/>
      <c r="V7303" s="928"/>
      <c r="W7303" s="780"/>
      <c r="X7303" s="928"/>
      <c r="Y7303" s="780"/>
      <c r="Z7303" s="780"/>
      <c r="AA7303" s="780"/>
      <c r="AB7303" s="780"/>
      <c r="AC7303" s="780"/>
      <c r="AD7303" s="780"/>
      <c r="AE7303" s="780"/>
      <c r="AF7303" s="780"/>
    </row>
    <row r="7304" spans="19:32" x14ac:dyDescent="0.35">
      <c r="S7304" s="780"/>
      <c r="T7304" s="928"/>
      <c r="U7304" s="928"/>
      <c r="V7304" s="928"/>
      <c r="W7304" s="780"/>
      <c r="X7304" s="928"/>
      <c r="Y7304" s="780"/>
      <c r="Z7304" s="780"/>
      <c r="AA7304" s="780"/>
      <c r="AB7304" s="780"/>
      <c r="AC7304" s="780"/>
      <c r="AD7304" s="780"/>
      <c r="AE7304" s="780"/>
      <c r="AF7304" s="780"/>
    </row>
    <row r="7305" spans="19:32" x14ac:dyDescent="0.35">
      <c r="S7305" s="780"/>
      <c r="T7305" s="928"/>
      <c r="U7305" s="928"/>
      <c r="V7305" s="928"/>
      <c r="W7305" s="780"/>
      <c r="X7305" s="928"/>
      <c r="Y7305" s="780"/>
      <c r="Z7305" s="780"/>
      <c r="AA7305" s="780"/>
      <c r="AB7305" s="780"/>
      <c r="AC7305" s="780"/>
      <c r="AD7305" s="780"/>
      <c r="AE7305" s="780"/>
      <c r="AF7305" s="780"/>
    </row>
    <row r="7306" spans="19:32" x14ac:dyDescent="0.35">
      <c r="S7306" s="780"/>
      <c r="T7306" s="928"/>
      <c r="U7306" s="928"/>
      <c r="V7306" s="928"/>
      <c r="W7306" s="780"/>
      <c r="X7306" s="928"/>
      <c r="Y7306" s="780"/>
      <c r="Z7306" s="780"/>
      <c r="AA7306" s="780"/>
      <c r="AB7306" s="780"/>
      <c r="AC7306" s="780"/>
      <c r="AD7306" s="780"/>
      <c r="AE7306" s="780"/>
      <c r="AF7306" s="780"/>
    </row>
    <row r="7307" spans="19:32" x14ac:dyDescent="0.35">
      <c r="S7307" s="780"/>
      <c r="T7307" s="928"/>
      <c r="U7307" s="928"/>
      <c r="V7307" s="928"/>
      <c r="W7307" s="780"/>
      <c r="X7307" s="928"/>
      <c r="Y7307" s="780"/>
      <c r="Z7307" s="780"/>
      <c r="AA7307" s="780"/>
      <c r="AB7307" s="780"/>
      <c r="AC7307" s="780"/>
      <c r="AD7307" s="780"/>
      <c r="AE7307" s="780"/>
      <c r="AF7307" s="780"/>
    </row>
    <row r="7308" spans="19:32" x14ac:dyDescent="0.35">
      <c r="S7308" s="780"/>
      <c r="T7308" s="928"/>
      <c r="U7308" s="928"/>
      <c r="V7308" s="928"/>
      <c r="W7308" s="780"/>
      <c r="X7308" s="928"/>
      <c r="Y7308" s="780"/>
      <c r="Z7308" s="780"/>
      <c r="AA7308" s="780"/>
      <c r="AB7308" s="780"/>
      <c r="AC7308" s="780"/>
      <c r="AD7308" s="780"/>
      <c r="AE7308" s="780"/>
      <c r="AF7308" s="780"/>
    </row>
    <row r="7309" spans="19:32" x14ac:dyDescent="0.35">
      <c r="S7309" s="780"/>
      <c r="T7309" s="928"/>
      <c r="U7309" s="928"/>
      <c r="V7309" s="928"/>
      <c r="W7309" s="780"/>
      <c r="X7309" s="928"/>
      <c r="Y7309" s="780"/>
      <c r="Z7309" s="780"/>
      <c r="AA7309" s="780"/>
      <c r="AB7309" s="780"/>
      <c r="AC7309" s="780"/>
      <c r="AD7309" s="780"/>
      <c r="AE7309" s="780"/>
      <c r="AF7309" s="780"/>
    </row>
    <row r="7310" spans="19:32" x14ac:dyDescent="0.35">
      <c r="S7310" s="780"/>
      <c r="T7310" s="928"/>
      <c r="U7310" s="928"/>
      <c r="V7310" s="928"/>
      <c r="W7310" s="780"/>
      <c r="X7310" s="928"/>
      <c r="Y7310" s="780"/>
      <c r="Z7310" s="780"/>
      <c r="AA7310" s="780"/>
      <c r="AB7310" s="780"/>
      <c r="AC7310" s="780"/>
      <c r="AD7310" s="780"/>
      <c r="AE7310" s="780"/>
      <c r="AF7310" s="780"/>
    </row>
    <row r="7311" spans="19:32" x14ac:dyDescent="0.35">
      <c r="S7311" s="780"/>
      <c r="T7311" s="928"/>
      <c r="U7311" s="928"/>
      <c r="V7311" s="928"/>
      <c r="W7311" s="780"/>
      <c r="X7311" s="928"/>
      <c r="Y7311" s="780"/>
      <c r="Z7311" s="780"/>
      <c r="AA7311" s="780"/>
      <c r="AB7311" s="780"/>
      <c r="AC7311" s="780"/>
      <c r="AD7311" s="780"/>
      <c r="AE7311" s="780"/>
      <c r="AF7311" s="780"/>
    </row>
    <row r="7312" spans="19:32" x14ac:dyDescent="0.35">
      <c r="S7312" s="780"/>
      <c r="T7312" s="928"/>
      <c r="U7312" s="928"/>
      <c r="V7312" s="928"/>
      <c r="W7312" s="780"/>
      <c r="X7312" s="928"/>
      <c r="Y7312" s="780"/>
      <c r="Z7312" s="780"/>
      <c r="AA7312" s="780"/>
      <c r="AB7312" s="780"/>
      <c r="AC7312" s="780"/>
      <c r="AD7312" s="780"/>
      <c r="AE7312" s="780"/>
      <c r="AF7312" s="780"/>
    </row>
    <row r="7313" spans="19:32" x14ac:dyDescent="0.35">
      <c r="S7313" s="780"/>
      <c r="T7313" s="928"/>
      <c r="U7313" s="928"/>
      <c r="V7313" s="928"/>
      <c r="W7313" s="780"/>
      <c r="X7313" s="928"/>
      <c r="Y7313" s="780"/>
      <c r="Z7313" s="780"/>
      <c r="AA7313" s="780"/>
      <c r="AB7313" s="780"/>
      <c r="AC7313" s="780"/>
      <c r="AD7313" s="780"/>
      <c r="AE7313" s="780"/>
      <c r="AF7313" s="780"/>
    </row>
    <row r="7314" spans="19:32" x14ac:dyDescent="0.35">
      <c r="S7314" s="780"/>
      <c r="T7314" s="928"/>
      <c r="U7314" s="928"/>
      <c r="V7314" s="928"/>
      <c r="W7314" s="780"/>
      <c r="X7314" s="928"/>
      <c r="Y7314" s="780"/>
      <c r="Z7314" s="780"/>
      <c r="AA7314" s="780"/>
      <c r="AB7314" s="780"/>
      <c r="AC7314" s="780"/>
      <c r="AD7314" s="780"/>
      <c r="AE7314" s="780"/>
      <c r="AF7314" s="780"/>
    </row>
    <row r="7315" spans="19:32" x14ac:dyDescent="0.35">
      <c r="S7315" s="780"/>
      <c r="T7315" s="928"/>
      <c r="U7315" s="928"/>
      <c r="V7315" s="928"/>
      <c r="W7315" s="780"/>
      <c r="X7315" s="928"/>
      <c r="Y7315" s="780"/>
      <c r="Z7315" s="780"/>
      <c r="AA7315" s="780"/>
      <c r="AB7315" s="780"/>
      <c r="AC7315" s="780"/>
      <c r="AD7315" s="780"/>
      <c r="AE7315" s="780"/>
      <c r="AF7315" s="780"/>
    </row>
    <row r="7316" spans="19:32" x14ac:dyDescent="0.35">
      <c r="S7316" s="780"/>
      <c r="T7316" s="928"/>
      <c r="U7316" s="928"/>
      <c r="V7316" s="928"/>
      <c r="W7316" s="780"/>
      <c r="X7316" s="928"/>
      <c r="Y7316" s="780"/>
      <c r="Z7316" s="780"/>
      <c r="AA7316" s="780"/>
      <c r="AB7316" s="780"/>
      <c r="AC7316" s="780"/>
      <c r="AD7316" s="780"/>
      <c r="AE7316" s="780"/>
      <c r="AF7316" s="780"/>
    </row>
    <row r="7317" spans="19:32" x14ac:dyDescent="0.35">
      <c r="S7317" s="780"/>
      <c r="T7317" s="928"/>
      <c r="U7317" s="928"/>
      <c r="V7317" s="928"/>
      <c r="W7317" s="780"/>
      <c r="X7317" s="928"/>
      <c r="Y7317" s="780"/>
      <c r="Z7317" s="780"/>
      <c r="AA7317" s="780"/>
      <c r="AB7317" s="780"/>
      <c r="AC7317" s="780"/>
      <c r="AD7317" s="780"/>
      <c r="AE7317" s="780"/>
      <c r="AF7317" s="780"/>
    </row>
    <row r="7318" spans="19:32" x14ac:dyDescent="0.35">
      <c r="S7318" s="780"/>
      <c r="T7318" s="928"/>
      <c r="U7318" s="928"/>
      <c r="V7318" s="928"/>
      <c r="W7318" s="780"/>
      <c r="X7318" s="928"/>
      <c r="Y7318" s="780"/>
      <c r="Z7318" s="780"/>
      <c r="AA7318" s="780"/>
      <c r="AB7318" s="780"/>
      <c r="AC7318" s="780"/>
      <c r="AD7318" s="780"/>
      <c r="AE7318" s="780"/>
      <c r="AF7318" s="780"/>
    </row>
    <row r="7319" spans="19:32" x14ac:dyDescent="0.35">
      <c r="S7319" s="780"/>
      <c r="T7319" s="928"/>
      <c r="U7319" s="928"/>
      <c r="V7319" s="928"/>
      <c r="W7319" s="780"/>
      <c r="X7319" s="928"/>
      <c r="Y7319" s="780"/>
      <c r="Z7319" s="780"/>
      <c r="AA7319" s="780"/>
      <c r="AB7319" s="780"/>
      <c r="AC7319" s="780"/>
      <c r="AD7319" s="780"/>
      <c r="AE7319" s="780"/>
      <c r="AF7319" s="780"/>
    </row>
    <row r="7320" spans="19:32" x14ac:dyDescent="0.35">
      <c r="S7320" s="780"/>
      <c r="T7320" s="928"/>
      <c r="U7320" s="928"/>
      <c r="V7320" s="928"/>
      <c r="W7320" s="780"/>
      <c r="X7320" s="928"/>
      <c r="Y7320" s="780"/>
      <c r="Z7320" s="780"/>
      <c r="AA7320" s="780"/>
      <c r="AB7320" s="780"/>
      <c r="AC7320" s="780"/>
      <c r="AD7320" s="780"/>
      <c r="AE7320" s="780"/>
      <c r="AF7320" s="780"/>
    </row>
    <row r="7321" spans="19:32" x14ac:dyDescent="0.35">
      <c r="S7321" s="780"/>
      <c r="T7321" s="928"/>
      <c r="U7321" s="928"/>
      <c r="V7321" s="928"/>
      <c r="W7321" s="780"/>
      <c r="X7321" s="928"/>
      <c r="Y7321" s="780"/>
      <c r="Z7321" s="780"/>
      <c r="AA7321" s="780"/>
      <c r="AB7321" s="780"/>
      <c r="AC7321" s="780"/>
      <c r="AD7321" s="780"/>
      <c r="AE7321" s="780"/>
      <c r="AF7321" s="780"/>
    </row>
    <row r="7322" spans="19:32" x14ac:dyDescent="0.35">
      <c r="S7322" s="780"/>
      <c r="T7322" s="928"/>
      <c r="U7322" s="928"/>
      <c r="V7322" s="928"/>
      <c r="W7322" s="780"/>
      <c r="X7322" s="928"/>
      <c r="Y7322" s="780"/>
      <c r="Z7322" s="780"/>
      <c r="AA7322" s="780"/>
      <c r="AB7322" s="780"/>
      <c r="AC7322" s="780"/>
      <c r="AD7322" s="780"/>
      <c r="AE7322" s="780"/>
      <c r="AF7322" s="780"/>
    </row>
    <row r="7323" spans="19:32" x14ac:dyDescent="0.35">
      <c r="S7323" s="780"/>
      <c r="T7323" s="928"/>
      <c r="U7323" s="928"/>
      <c r="V7323" s="928"/>
      <c r="W7323" s="780"/>
      <c r="X7323" s="928"/>
      <c r="Y7323" s="780"/>
      <c r="Z7323" s="780"/>
      <c r="AA7323" s="780"/>
      <c r="AB7323" s="780"/>
      <c r="AC7323" s="780"/>
      <c r="AD7323" s="780"/>
      <c r="AE7323" s="780"/>
      <c r="AF7323" s="780"/>
    </row>
    <row r="7324" spans="19:32" x14ac:dyDescent="0.35">
      <c r="S7324" s="780"/>
      <c r="T7324" s="928"/>
      <c r="U7324" s="928"/>
      <c r="V7324" s="928"/>
      <c r="W7324" s="780"/>
      <c r="X7324" s="928"/>
      <c r="Y7324" s="780"/>
      <c r="Z7324" s="780"/>
      <c r="AA7324" s="780"/>
      <c r="AB7324" s="780"/>
      <c r="AC7324" s="780"/>
      <c r="AD7324" s="780"/>
      <c r="AE7324" s="780"/>
      <c r="AF7324" s="780"/>
    </row>
    <row r="7325" spans="19:32" x14ac:dyDescent="0.35">
      <c r="S7325" s="780"/>
      <c r="T7325" s="928"/>
      <c r="U7325" s="928"/>
      <c r="V7325" s="928"/>
      <c r="W7325" s="780"/>
      <c r="X7325" s="928"/>
      <c r="Y7325" s="780"/>
      <c r="Z7325" s="780"/>
      <c r="AA7325" s="780"/>
      <c r="AB7325" s="780"/>
      <c r="AC7325" s="780"/>
      <c r="AD7325" s="780"/>
      <c r="AE7325" s="780"/>
      <c r="AF7325" s="780"/>
    </row>
    <row r="7326" spans="19:32" x14ac:dyDescent="0.35">
      <c r="S7326" s="780"/>
      <c r="T7326" s="928"/>
      <c r="U7326" s="928"/>
      <c r="V7326" s="928"/>
      <c r="W7326" s="780"/>
      <c r="X7326" s="928"/>
      <c r="Y7326" s="780"/>
      <c r="Z7326" s="780"/>
      <c r="AA7326" s="780"/>
      <c r="AB7326" s="780"/>
      <c r="AC7326" s="780"/>
      <c r="AD7326" s="780"/>
      <c r="AE7326" s="780"/>
      <c r="AF7326" s="780"/>
    </row>
    <row r="7327" spans="19:32" x14ac:dyDescent="0.35">
      <c r="S7327" s="780"/>
      <c r="T7327" s="928"/>
      <c r="U7327" s="928"/>
      <c r="V7327" s="928"/>
      <c r="W7327" s="780"/>
      <c r="X7327" s="928"/>
      <c r="Y7327" s="780"/>
      <c r="Z7327" s="780"/>
      <c r="AA7327" s="780"/>
      <c r="AB7327" s="780"/>
      <c r="AC7327" s="780"/>
      <c r="AD7327" s="780"/>
      <c r="AE7327" s="780"/>
      <c r="AF7327" s="780"/>
    </row>
    <row r="7328" spans="19:32" x14ac:dyDescent="0.35">
      <c r="S7328" s="780"/>
      <c r="T7328" s="928"/>
      <c r="U7328" s="928"/>
      <c r="V7328" s="928"/>
      <c r="W7328" s="780"/>
      <c r="X7328" s="928"/>
      <c r="Y7328" s="780"/>
      <c r="Z7328" s="780"/>
      <c r="AA7328" s="780"/>
      <c r="AB7328" s="780"/>
      <c r="AC7328" s="780"/>
      <c r="AD7328" s="780"/>
      <c r="AE7328" s="780"/>
      <c r="AF7328" s="780"/>
    </row>
    <row r="7329" spans="19:32" x14ac:dyDescent="0.35">
      <c r="S7329" s="780"/>
      <c r="T7329" s="928"/>
      <c r="U7329" s="928"/>
      <c r="V7329" s="928"/>
      <c r="W7329" s="780"/>
      <c r="X7329" s="928"/>
      <c r="Y7329" s="780"/>
      <c r="Z7329" s="780"/>
      <c r="AA7329" s="780"/>
      <c r="AB7329" s="780"/>
      <c r="AC7329" s="780"/>
      <c r="AD7329" s="780"/>
      <c r="AE7329" s="780"/>
      <c r="AF7329" s="780"/>
    </row>
    <row r="7330" spans="19:32" x14ac:dyDescent="0.35">
      <c r="S7330" s="780"/>
      <c r="T7330" s="928"/>
      <c r="U7330" s="928"/>
      <c r="V7330" s="928"/>
      <c r="W7330" s="780"/>
      <c r="X7330" s="928"/>
      <c r="Y7330" s="780"/>
      <c r="Z7330" s="780"/>
      <c r="AA7330" s="780"/>
      <c r="AB7330" s="780"/>
      <c r="AC7330" s="780"/>
      <c r="AD7330" s="780"/>
      <c r="AE7330" s="780"/>
      <c r="AF7330" s="780"/>
    </row>
    <row r="7331" spans="19:32" x14ac:dyDescent="0.35">
      <c r="S7331" s="780"/>
      <c r="T7331" s="928"/>
      <c r="U7331" s="928"/>
      <c r="V7331" s="928"/>
      <c r="W7331" s="780"/>
      <c r="X7331" s="928"/>
      <c r="Y7331" s="780"/>
      <c r="Z7331" s="780"/>
      <c r="AA7331" s="780"/>
      <c r="AB7331" s="780"/>
      <c r="AC7331" s="780"/>
      <c r="AD7331" s="780"/>
      <c r="AE7331" s="780"/>
      <c r="AF7331" s="780"/>
    </row>
    <row r="7332" spans="19:32" x14ac:dyDescent="0.35">
      <c r="S7332" s="780"/>
      <c r="T7332" s="928"/>
      <c r="U7332" s="928"/>
      <c r="V7332" s="928"/>
      <c r="W7332" s="780"/>
      <c r="X7332" s="928"/>
      <c r="Y7332" s="780"/>
      <c r="Z7332" s="780"/>
      <c r="AA7332" s="780"/>
      <c r="AB7332" s="780"/>
      <c r="AC7332" s="780"/>
      <c r="AD7332" s="780"/>
      <c r="AE7332" s="780"/>
      <c r="AF7332" s="780"/>
    </row>
    <row r="7333" spans="19:32" x14ac:dyDescent="0.35">
      <c r="S7333" s="780"/>
      <c r="T7333" s="928"/>
      <c r="U7333" s="928"/>
      <c r="V7333" s="928"/>
      <c r="W7333" s="780"/>
      <c r="X7333" s="928"/>
      <c r="Y7333" s="780"/>
      <c r="Z7333" s="780"/>
      <c r="AA7333" s="780"/>
      <c r="AB7333" s="780"/>
      <c r="AC7333" s="780"/>
      <c r="AD7333" s="780"/>
      <c r="AE7333" s="780"/>
      <c r="AF7333" s="780"/>
    </row>
    <row r="7334" spans="19:32" x14ac:dyDescent="0.35">
      <c r="S7334" s="780"/>
      <c r="T7334" s="928"/>
      <c r="U7334" s="928"/>
      <c r="V7334" s="928"/>
      <c r="W7334" s="780"/>
      <c r="X7334" s="928"/>
      <c r="Y7334" s="780"/>
      <c r="Z7334" s="780"/>
      <c r="AA7334" s="780"/>
      <c r="AB7334" s="780"/>
      <c r="AC7334" s="780"/>
      <c r="AD7334" s="780"/>
      <c r="AE7334" s="780"/>
      <c r="AF7334" s="780"/>
    </row>
    <row r="7335" spans="19:32" x14ac:dyDescent="0.35">
      <c r="S7335" s="780"/>
      <c r="T7335" s="928"/>
      <c r="U7335" s="928"/>
      <c r="V7335" s="928"/>
      <c r="W7335" s="780"/>
      <c r="X7335" s="928"/>
      <c r="Y7335" s="780"/>
      <c r="Z7335" s="780"/>
      <c r="AA7335" s="780"/>
      <c r="AB7335" s="780"/>
      <c r="AC7335" s="780"/>
      <c r="AD7335" s="780"/>
      <c r="AE7335" s="780"/>
      <c r="AF7335" s="780"/>
    </row>
    <row r="7336" spans="19:32" x14ac:dyDescent="0.35">
      <c r="S7336" s="780"/>
      <c r="T7336" s="928"/>
      <c r="U7336" s="928"/>
      <c r="V7336" s="928"/>
      <c r="W7336" s="780"/>
      <c r="X7336" s="928"/>
      <c r="Y7336" s="780"/>
      <c r="Z7336" s="780"/>
      <c r="AA7336" s="780"/>
      <c r="AB7336" s="780"/>
      <c r="AC7336" s="780"/>
      <c r="AD7336" s="780"/>
      <c r="AE7336" s="780"/>
      <c r="AF7336" s="780"/>
    </row>
    <row r="7337" spans="19:32" x14ac:dyDescent="0.35">
      <c r="S7337" s="780"/>
      <c r="T7337" s="928"/>
      <c r="U7337" s="928"/>
      <c r="V7337" s="928"/>
      <c r="W7337" s="780"/>
      <c r="X7337" s="928"/>
      <c r="Y7337" s="780"/>
      <c r="Z7337" s="780"/>
      <c r="AA7337" s="780"/>
      <c r="AB7337" s="780"/>
      <c r="AC7337" s="780"/>
      <c r="AD7337" s="780"/>
      <c r="AE7337" s="780"/>
      <c r="AF7337" s="780"/>
    </row>
    <row r="7338" spans="19:32" x14ac:dyDescent="0.35">
      <c r="S7338" s="780"/>
      <c r="T7338" s="928"/>
      <c r="U7338" s="928"/>
      <c r="V7338" s="928"/>
      <c r="W7338" s="780"/>
      <c r="X7338" s="928"/>
      <c r="Y7338" s="780"/>
      <c r="Z7338" s="780"/>
      <c r="AA7338" s="780"/>
      <c r="AB7338" s="780"/>
      <c r="AC7338" s="780"/>
      <c r="AD7338" s="780"/>
      <c r="AE7338" s="780"/>
      <c r="AF7338" s="780"/>
    </row>
    <row r="7339" spans="19:32" x14ac:dyDescent="0.35">
      <c r="S7339" s="780"/>
      <c r="T7339" s="928"/>
      <c r="U7339" s="928"/>
      <c r="V7339" s="928"/>
      <c r="W7339" s="780"/>
      <c r="X7339" s="928"/>
      <c r="Y7339" s="780"/>
      <c r="Z7339" s="780"/>
      <c r="AA7339" s="780"/>
      <c r="AB7339" s="780"/>
      <c r="AC7339" s="780"/>
      <c r="AD7339" s="780"/>
      <c r="AE7339" s="780"/>
      <c r="AF7339" s="780"/>
    </row>
    <row r="7340" spans="19:32" x14ac:dyDescent="0.35">
      <c r="S7340" s="780"/>
      <c r="T7340" s="928"/>
      <c r="U7340" s="928"/>
      <c r="V7340" s="928"/>
      <c r="W7340" s="780"/>
      <c r="X7340" s="928"/>
      <c r="Y7340" s="780"/>
      <c r="Z7340" s="780"/>
      <c r="AA7340" s="780"/>
      <c r="AB7340" s="780"/>
      <c r="AC7340" s="780"/>
      <c r="AD7340" s="780"/>
      <c r="AE7340" s="780"/>
      <c r="AF7340" s="780"/>
    </row>
    <row r="7341" spans="19:32" x14ac:dyDescent="0.35">
      <c r="S7341" s="780"/>
      <c r="T7341" s="928"/>
      <c r="U7341" s="928"/>
      <c r="V7341" s="928"/>
      <c r="W7341" s="780"/>
      <c r="X7341" s="928"/>
      <c r="Y7341" s="780"/>
      <c r="Z7341" s="780"/>
      <c r="AA7341" s="780"/>
      <c r="AB7341" s="780"/>
      <c r="AC7341" s="780"/>
      <c r="AD7341" s="780"/>
      <c r="AE7341" s="780"/>
      <c r="AF7341" s="780"/>
    </row>
    <row r="7342" spans="19:32" x14ac:dyDescent="0.35">
      <c r="S7342" s="780"/>
      <c r="T7342" s="928"/>
      <c r="U7342" s="928"/>
      <c r="V7342" s="928"/>
      <c r="W7342" s="780"/>
      <c r="X7342" s="928"/>
      <c r="Y7342" s="780"/>
      <c r="Z7342" s="780"/>
      <c r="AA7342" s="780"/>
      <c r="AB7342" s="780"/>
      <c r="AC7342" s="780"/>
      <c r="AD7342" s="780"/>
      <c r="AE7342" s="780"/>
      <c r="AF7342" s="780"/>
    </row>
    <row r="7343" spans="19:32" x14ac:dyDescent="0.35">
      <c r="S7343" s="780"/>
      <c r="T7343" s="928"/>
      <c r="U7343" s="928"/>
      <c r="V7343" s="928"/>
      <c r="W7343" s="780"/>
      <c r="X7343" s="928"/>
      <c r="Y7343" s="780"/>
      <c r="Z7343" s="780"/>
      <c r="AA7343" s="780"/>
      <c r="AB7343" s="780"/>
      <c r="AC7343" s="780"/>
      <c r="AD7343" s="780"/>
      <c r="AE7343" s="780"/>
      <c r="AF7343" s="780"/>
    </row>
    <row r="7344" spans="19:32" x14ac:dyDescent="0.35">
      <c r="S7344" s="780"/>
      <c r="T7344" s="928"/>
      <c r="U7344" s="928"/>
      <c r="V7344" s="928"/>
      <c r="W7344" s="780"/>
      <c r="X7344" s="928"/>
      <c r="Y7344" s="780"/>
      <c r="Z7344" s="780"/>
      <c r="AA7344" s="780"/>
      <c r="AB7344" s="780"/>
      <c r="AC7344" s="780"/>
      <c r="AD7344" s="780"/>
      <c r="AE7344" s="780"/>
      <c r="AF7344" s="780"/>
    </row>
    <row r="7345" spans="19:32" x14ac:dyDescent="0.35">
      <c r="S7345" s="780"/>
      <c r="T7345" s="928"/>
      <c r="U7345" s="928"/>
      <c r="V7345" s="928"/>
      <c r="W7345" s="780"/>
      <c r="X7345" s="928"/>
      <c r="Y7345" s="780"/>
      <c r="Z7345" s="780"/>
      <c r="AA7345" s="780"/>
      <c r="AB7345" s="780"/>
      <c r="AC7345" s="780"/>
      <c r="AD7345" s="780"/>
      <c r="AE7345" s="780"/>
      <c r="AF7345" s="780"/>
    </row>
    <row r="7346" spans="19:32" x14ac:dyDescent="0.35">
      <c r="S7346" s="780"/>
      <c r="T7346" s="928"/>
      <c r="U7346" s="928"/>
      <c r="V7346" s="928"/>
      <c r="W7346" s="780"/>
      <c r="X7346" s="928"/>
      <c r="Y7346" s="780"/>
      <c r="Z7346" s="780"/>
      <c r="AA7346" s="780"/>
      <c r="AB7346" s="780"/>
      <c r="AC7346" s="780"/>
      <c r="AD7346" s="780"/>
      <c r="AE7346" s="780"/>
      <c r="AF7346" s="780"/>
    </row>
    <row r="7347" spans="19:32" x14ac:dyDescent="0.35">
      <c r="S7347" s="780"/>
      <c r="T7347" s="928"/>
      <c r="U7347" s="928"/>
      <c r="V7347" s="928"/>
      <c r="W7347" s="780"/>
      <c r="X7347" s="928"/>
      <c r="Y7347" s="780"/>
      <c r="Z7347" s="780"/>
      <c r="AA7347" s="780"/>
      <c r="AB7347" s="780"/>
      <c r="AC7347" s="780"/>
      <c r="AD7347" s="780"/>
      <c r="AE7347" s="780"/>
      <c r="AF7347" s="780"/>
    </row>
    <row r="7348" spans="19:32" x14ac:dyDescent="0.35">
      <c r="S7348" s="780"/>
      <c r="T7348" s="928"/>
      <c r="U7348" s="928"/>
      <c r="V7348" s="928"/>
      <c r="W7348" s="780"/>
      <c r="X7348" s="928"/>
      <c r="Y7348" s="780"/>
      <c r="Z7348" s="780"/>
      <c r="AA7348" s="780"/>
      <c r="AB7348" s="780"/>
      <c r="AC7348" s="780"/>
      <c r="AD7348" s="780"/>
      <c r="AE7348" s="780"/>
      <c r="AF7348" s="780"/>
    </row>
    <row r="7349" spans="19:32" x14ac:dyDescent="0.35">
      <c r="S7349" s="780"/>
      <c r="T7349" s="928"/>
      <c r="U7349" s="928"/>
      <c r="V7349" s="928"/>
      <c r="W7349" s="780"/>
      <c r="X7349" s="928"/>
      <c r="Y7349" s="780"/>
      <c r="Z7349" s="780"/>
      <c r="AA7349" s="780"/>
      <c r="AB7349" s="780"/>
      <c r="AC7349" s="780"/>
      <c r="AD7349" s="780"/>
      <c r="AE7349" s="780"/>
      <c r="AF7349" s="780"/>
    </row>
    <row r="7350" spans="19:32" x14ac:dyDescent="0.35">
      <c r="S7350" s="780"/>
      <c r="T7350" s="928"/>
      <c r="U7350" s="928"/>
      <c r="V7350" s="928"/>
      <c r="W7350" s="780"/>
      <c r="X7350" s="928"/>
      <c r="Y7350" s="780"/>
      <c r="Z7350" s="780"/>
      <c r="AA7350" s="780"/>
      <c r="AB7350" s="780"/>
      <c r="AC7350" s="780"/>
      <c r="AD7350" s="780"/>
      <c r="AE7350" s="780"/>
      <c r="AF7350" s="780"/>
    </row>
    <row r="7351" spans="19:32" x14ac:dyDescent="0.35">
      <c r="S7351" s="780"/>
      <c r="T7351" s="928"/>
      <c r="U7351" s="928"/>
      <c r="V7351" s="928"/>
      <c r="W7351" s="780"/>
      <c r="X7351" s="928"/>
      <c r="Y7351" s="780"/>
      <c r="Z7351" s="780"/>
      <c r="AA7351" s="780"/>
      <c r="AB7351" s="780"/>
      <c r="AC7351" s="780"/>
      <c r="AD7351" s="780"/>
      <c r="AE7351" s="780"/>
      <c r="AF7351" s="780"/>
    </row>
    <row r="7352" spans="19:32" x14ac:dyDescent="0.35">
      <c r="S7352" s="780"/>
      <c r="T7352" s="928"/>
      <c r="U7352" s="928"/>
      <c r="V7352" s="928"/>
      <c r="W7352" s="780"/>
      <c r="X7352" s="928"/>
      <c r="Y7352" s="780"/>
      <c r="Z7352" s="780"/>
      <c r="AA7352" s="780"/>
      <c r="AB7352" s="780"/>
      <c r="AC7352" s="780"/>
      <c r="AD7352" s="780"/>
      <c r="AE7352" s="780"/>
      <c r="AF7352" s="780"/>
    </row>
    <row r="7353" spans="19:32" x14ac:dyDescent="0.35">
      <c r="S7353" s="780"/>
      <c r="T7353" s="928"/>
      <c r="U7353" s="928"/>
      <c r="V7353" s="928"/>
      <c r="W7353" s="780"/>
      <c r="X7353" s="928"/>
      <c r="Y7353" s="780"/>
      <c r="Z7353" s="780"/>
      <c r="AA7353" s="780"/>
      <c r="AB7353" s="780"/>
      <c r="AC7353" s="780"/>
      <c r="AD7353" s="780"/>
      <c r="AE7353" s="780"/>
      <c r="AF7353" s="780"/>
    </row>
    <row r="7354" spans="19:32" x14ac:dyDescent="0.35">
      <c r="S7354" s="780"/>
      <c r="T7354" s="928"/>
      <c r="U7354" s="928"/>
      <c r="V7354" s="928"/>
      <c r="W7354" s="780"/>
      <c r="X7354" s="928"/>
      <c r="Y7354" s="780"/>
      <c r="Z7354" s="780"/>
      <c r="AA7354" s="780"/>
      <c r="AB7354" s="780"/>
      <c r="AC7354" s="780"/>
      <c r="AD7354" s="780"/>
      <c r="AE7354" s="780"/>
      <c r="AF7354" s="780"/>
    </row>
    <row r="7355" spans="19:32" x14ac:dyDescent="0.35">
      <c r="S7355" s="780"/>
      <c r="T7355" s="928"/>
      <c r="U7355" s="928"/>
      <c r="V7355" s="928"/>
      <c r="W7355" s="780"/>
      <c r="X7355" s="928"/>
      <c r="Y7355" s="780"/>
      <c r="Z7355" s="780"/>
      <c r="AA7355" s="780"/>
      <c r="AB7355" s="780"/>
      <c r="AC7355" s="780"/>
      <c r="AD7355" s="780"/>
      <c r="AE7355" s="780"/>
      <c r="AF7355" s="780"/>
    </row>
    <row r="7356" spans="19:32" x14ac:dyDescent="0.35">
      <c r="S7356" s="780"/>
      <c r="T7356" s="928"/>
      <c r="U7356" s="928"/>
      <c r="V7356" s="928"/>
      <c r="W7356" s="780"/>
      <c r="X7356" s="928"/>
      <c r="Y7356" s="780"/>
      <c r="Z7356" s="780"/>
      <c r="AA7356" s="780"/>
      <c r="AB7356" s="780"/>
      <c r="AC7356" s="780"/>
      <c r="AD7356" s="780"/>
      <c r="AE7356" s="780"/>
      <c r="AF7356" s="780"/>
    </row>
    <row r="7357" spans="19:32" x14ac:dyDescent="0.35">
      <c r="S7357" s="780"/>
      <c r="T7357" s="928"/>
      <c r="U7357" s="928"/>
      <c r="V7357" s="928"/>
      <c r="W7357" s="780"/>
      <c r="X7357" s="928"/>
      <c r="Y7357" s="780"/>
      <c r="Z7357" s="780"/>
      <c r="AA7357" s="780"/>
      <c r="AB7357" s="780"/>
      <c r="AC7357" s="780"/>
      <c r="AD7357" s="780"/>
      <c r="AE7357" s="780"/>
      <c r="AF7357" s="780"/>
    </row>
    <row r="7358" spans="19:32" x14ac:dyDescent="0.35">
      <c r="S7358" s="780"/>
      <c r="T7358" s="928"/>
      <c r="U7358" s="928"/>
      <c r="V7358" s="928"/>
      <c r="W7358" s="780"/>
      <c r="X7358" s="928"/>
      <c r="Y7358" s="780"/>
      <c r="Z7358" s="780"/>
      <c r="AA7358" s="780"/>
      <c r="AB7358" s="780"/>
      <c r="AC7358" s="780"/>
      <c r="AD7358" s="780"/>
      <c r="AE7358" s="780"/>
      <c r="AF7358" s="780"/>
    </row>
    <row r="7359" spans="19:32" x14ac:dyDescent="0.35">
      <c r="S7359" s="780"/>
      <c r="T7359" s="928"/>
      <c r="U7359" s="928"/>
      <c r="V7359" s="928"/>
      <c r="W7359" s="780"/>
      <c r="X7359" s="928"/>
      <c r="Y7359" s="780"/>
      <c r="Z7359" s="780"/>
      <c r="AA7359" s="780"/>
      <c r="AB7359" s="780"/>
      <c r="AC7359" s="780"/>
      <c r="AD7359" s="780"/>
      <c r="AE7359" s="780"/>
      <c r="AF7359" s="780"/>
    </row>
    <row r="7360" spans="19:32" x14ac:dyDescent="0.35">
      <c r="S7360" s="780"/>
      <c r="T7360" s="928"/>
      <c r="U7360" s="928"/>
      <c r="V7360" s="928"/>
      <c r="W7360" s="780"/>
      <c r="X7360" s="928"/>
      <c r="Y7360" s="780"/>
      <c r="Z7360" s="780"/>
      <c r="AA7360" s="780"/>
      <c r="AB7360" s="780"/>
      <c r="AC7360" s="780"/>
      <c r="AD7360" s="780"/>
      <c r="AE7360" s="780"/>
      <c r="AF7360" s="780"/>
    </row>
    <row r="7361" spans="19:32" x14ac:dyDescent="0.35">
      <c r="S7361" s="780"/>
      <c r="T7361" s="928"/>
      <c r="U7361" s="928"/>
      <c r="V7361" s="928"/>
      <c r="W7361" s="780"/>
      <c r="X7361" s="928"/>
      <c r="Y7361" s="780"/>
      <c r="Z7361" s="780"/>
      <c r="AA7361" s="780"/>
      <c r="AB7361" s="780"/>
      <c r="AC7361" s="780"/>
      <c r="AD7361" s="780"/>
      <c r="AE7361" s="780"/>
      <c r="AF7361" s="780"/>
    </row>
    <row r="7362" spans="19:32" x14ac:dyDescent="0.35">
      <c r="S7362" s="780"/>
      <c r="T7362" s="928"/>
      <c r="U7362" s="928"/>
      <c r="V7362" s="928"/>
      <c r="W7362" s="780"/>
      <c r="X7362" s="928"/>
      <c r="Y7362" s="780"/>
      <c r="Z7362" s="780"/>
      <c r="AA7362" s="780"/>
      <c r="AB7362" s="780"/>
      <c r="AC7362" s="780"/>
      <c r="AD7362" s="780"/>
      <c r="AE7362" s="780"/>
      <c r="AF7362" s="780"/>
    </row>
    <row r="7363" spans="19:32" x14ac:dyDescent="0.35">
      <c r="S7363" s="780"/>
      <c r="T7363" s="928"/>
      <c r="U7363" s="928"/>
      <c r="V7363" s="928"/>
      <c r="W7363" s="780"/>
      <c r="X7363" s="928"/>
      <c r="Y7363" s="780"/>
      <c r="Z7363" s="780"/>
      <c r="AA7363" s="780"/>
      <c r="AB7363" s="780"/>
      <c r="AC7363" s="780"/>
      <c r="AD7363" s="780"/>
      <c r="AE7363" s="780"/>
      <c r="AF7363" s="780"/>
    </row>
    <row r="7364" spans="19:32" x14ac:dyDescent="0.35">
      <c r="S7364" s="780"/>
      <c r="T7364" s="928"/>
      <c r="U7364" s="928"/>
      <c r="V7364" s="928"/>
      <c r="W7364" s="780"/>
      <c r="X7364" s="928"/>
      <c r="Y7364" s="780"/>
      <c r="Z7364" s="780"/>
      <c r="AA7364" s="780"/>
      <c r="AB7364" s="780"/>
      <c r="AC7364" s="780"/>
      <c r="AD7364" s="780"/>
      <c r="AE7364" s="780"/>
      <c r="AF7364" s="780"/>
    </row>
    <row r="7365" spans="19:32" x14ac:dyDescent="0.35">
      <c r="S7365" s="780"/>
      <c r="T7365" s="928"/>
      <c r="U7365" s="928"/>
      <c r="V7365" s="928"/>
      <c r="W7365" s="780"/>
      <c r="X7365" s="928"/>
      <c r="Y7365" s="780"/>
      <c r="Z7365" s="780"/>
      <c r="AA7365" s="780"/>
      <c r="AB7365" s="780"/>
      <c r="AC7365" s="780"/>
      <c r="AD7365" s="780"/>
      <c r="AE7365" s="780"/>
      <c r="AF7365" s="780"/>
    </row>
    <row r="7366" spans="19:32" x14ac:dyDescent="0.35">
      <c r="S7366" s="780"/>
      <c r="T7366" s="928"/>
      <c r="U7366" s="928"/>
      <c r="V7366" s="928"/>
      <c r="W7366" s="780"/>
      <c r="X7366" s="928"/>
      <c r="Y7366" s="780"/>
      <c r="Z7366" s="780"/>
      <c r="AA7366" s="780"/>
      <c r="AB7366" s="780"/>
      <c r="AC7366" s="780"/>
      <c r="AD7366" s="780"/>
      <c r="AE7366" s="780"/>
      <c r="AF7366" s="780"/>
    </row>
    <row r="7367" spans="19:32" x14ac:dyDescent="0.35">
      <c r="S7367" s="780"/>
      <c r="T7367" s="928"/>
      <c r="U7367" s="928"/>
      <c r="V7367" s="928"/>
      <c r="W7367" s="780"/>
      <c r="X7367" s="928"/>
      <c r="Y7367" s="780"/>
      <c r="Z7367" s="780"/>
      <c r="AA7367" s="780"/>
      <c r="AB7367" s="780"/>
      <c r="AC7367" s="780"/>
      <c r="AD7367" s="780"/>
      <c r="AE7367" s="780"/>
      <c r="AF7367" s="780"/>
    </row>
    <row r="7368" spans="19:32" x14ac:dyDescent="0.35">
      <c r="S7368" s="780"/>
      <c r="T7368" s="928"/>
      <c r="U7368" s="928"/>
      <c r="V7368" s="928"/>
      <c r="W7368" s="780"/>
      <c r="X7368" s="928"/>
      <c r="Y7368" s="780"/>
      <c r="Z7368" s="780"/>
      <c r="AA7368" s="780"/>
      <c r="AB7368" s="780"/>
      <c r="AC7368" s="780"/>
      <c r="AD7368" s="780"/>
      <c r="AE7368" s="780"/>
      <c r="AF7368" s="780"/>
    </row>
    <row r="7369" spans="19:32" x14ac:dyDescent="0.35">
      <c r="S7369" s="780"/>
      <c r="T7369" s="928"/>
      <c r="U7369" s="928"/>
      <c r="V7369" s="928"/>
      <c r="W7369" s="780"/>
      <c r="X7369" s="928"/>
      <c r="Y7369" s="780"/>
      <c r="Z7369" s="780"/>
      <c r="AA7369" s="780"/>
      <c r="AB7369" s="780"/>
      <c r="AC7369" s="780"/>
      <c r="AD7369" s="780"/>
      <c r="AE7369" s="780"/>
      <c r="AF7369" s="780"/>
    </row>
    <row r="7370" spans="19:32" x14ac:dyDescent="0.35">
      <c r="S7370" s="780"/>
      <c r="T7370" s="928"/>
      <c r="U7370" s="928"/>
      <c r="V7370" s="928"/>
      <c r="W7370" s="780"/>
      <c r="X7370" s="928"/>
      <c r="Y7370" s="780"/>
      <c r="Z7370" s="780"/>
      <c r="AA7370" s="780"/>
      <c r="AB7370" s="780"/>
      <c r="AC7370" s="780"/>
      <c r="AD7370" s="780"/>
      <c r="AE7370" s="780"/>
      <c r="AF7370" s="780"/>
    </row>
    <row r="7371" spans="19:32" x14ac:dyDescent="0.35">
      <c r="S7371" s="780"/>
      <c r="T7371" s="928"/>
      <c r="U7371" s="928"/>
      <c r="V7371" s="928"/>
      <c r="W7371" s="780"/>
      <c r="X7371" s="928"/>
      <c r="Y7371" s="780"/>
      <c r="Z7371" s="780"/>
      <c r="AA7371" s="780"/>
      <c r="AB7371" s="780"/>
      <c r="AC7371" s="780"/>
      <c r="AD7371" s="780"/>
      <c r="AE7371" s="780"/>
      <c r="AF7371" s="780"/>
    </row>
    <row r="7372" spans="19:32" x14ac:dyDescent="0.35">
      <c r="S7372" s="780"/>
      <c r="T7372" s="928"/>
      <c r="U7372" s="928"/>
      <c r="V7372" s="928"/>
      <c r="W7372" s="780"/>
      <c r="X7372" s="928"/>
      <c r="Y7372" s="780"/>
      <c r="Z7372" s="780"/>
      <c r="AA7372" s="780"/>
      <c r="AB7372" s="780"/>
      <c r="AC7372" s="780"/>
      <c r="AD7372" s="780"/>
      <c r="AE7372" s="780"/>
      <c r="AF7372" s="780"/>
    </row>
    <row r="7373" spans="19:32" x14ac:dyDescent="0.35">
      <c r="S7373" s="780"/>
      <c r="T7373" s="928"/>
      <c r="U7373" s="928"/>
      <c r="V7373" s="928"/>
      <c r="W7373" s="780"/>
      <c r="X7373" s="928"/>
      <c r="Y7373" s="780"/>
      <c r="Z7373" s="780"/>
      <c r="AA7373" s="780"/>
      <c r="AB7373" s="780"/>
      <c r="AC7373" s="780"/>
      <c r="AD7373" s="780"/>
      <c r="AE7373" s="780"/>
      <c r="AF7373" s="780"/>
    </row>
    <row r="7374" spans="19:32" x14ac:dyDescent="0.35">
      <c r="S7374" s="780"/>
      <c r="T7374" s="928"/>
      <c r="U7374" s="928"/>
      <c r="V7374" s="928"/>
      <c r="W7374" s="780"/>
      <c r="X7374" s="928"/>
      <c r="Y7374" s="780"/>
      <c r="Z7374" s="780"/>
      <c r="AA7374" s="780"/>
      <c r="AB7374" s="780"/>
      <c r="AC7374" s="780"/>
      <c r="AD7374" s="780"/>
      <c r="AE7374" s="780"/>
      <c r="AF7374" s="780"/>
    </row>
    <row r="7375" spans="19:32" x14ac:dyDescent="0.35">
      <c r="S7375" s="780"/>
      <c r="T7375" s="928"/>
      <c r="U7375" s="928"/>
      <c r="V7375" s="928"/>
      <c r="W7375" s="780"/>
      <c r="X7375" s="928"/>
      <c r="Y7375" s="780"/>
      <c r="Z7375" s="780"/>
      <c r="AA7375" s="780"/>
      <c r="AB7375" s="780"/>
      <c r="AC7375" s="780"/>
      <c r="AD7375" s="780"/>
      <c r="AE7375" s="780"/>
      <c r="AF7375" s="780"/>
    </row>
    <row r="7376" spans="19:32" x14ac:dyDescent="0.35">
      <c r="S7376" s="780"/>
      <c r="T7376" s="928"/>
      <c r="U7376" s="928"/>
      <c r="V7376" s="928"/>
      <c r="W7376" s="780"/>
      <c r="X7376" s="928"/>
      <c r="Y7376" s="780"/>
      <c r="Z7376" s="780"/>
      <c r="AA7376" s="780"/>
      <c r="AB7376" s="780"/>
      <c r="AC7376" s="780"/>
      <c r="AD7376" s="780"/>
      <c r="AE7376" s="780"/>
      <c r="AF7376" s="780"/>
    </row>
    <row r="7377" spans="19:32" x14ac:dyDescent="0.35">
      <c r="S7377" s="780"/>
      <c r="T7377" s="928"/>
      <c r="U7377" s="928"/>
      <c r="V7377" s="928"/>
      <c r="W7377" s="780"/>
      <c r="X7377" s="928"/>
      <c r="Y7377" s="780"/>
      <c r="Z7377" s="780"/>
      <c r="AA7377" s="780"/>
      <c r="AB7377" s="780"/>
      <c r="AC7377" s="780"/>
      <c r="AD7377" s="780"/>
      <c r="AE7377" s="780"/>
      <c r="AF7377" s="780"/>
    </row>
    <row r="7378" spans="19:32" x14ac:dyDescent="0.35">
      <c r="S7378" s="780"/>
      <c r="T7378" s="928"/>
      <c r="U7378" s="928"/>
      <c r="V7378" s="928"/>
      <c r="W7378" s="780"/>
      <c r="X7378" s="928"/>
      <c r="Y7378" s="780"/>
      <c r="Z7378" s="780"/>
      <c r="AA7378" s="780"/>
      <c r="AB7378" s="780"/>
      <c r="AC7378" s="780"/>
      <c r="AD7378" s="780"/>
      <c r="AE7378" s="780"/>
      <c r="AF7378" s="780"/>
    </row>
    <row r="7379" spans="19:32" x14ac:dyDescent="0.35">
      <c r="S7379" s="780"/>
      <c r="T7379" s="928"/>
      <c r="U7379" s="928"/>
      <c r="V7379" s="928"/>
      <c r="W7379" s="780"/>
      <c r="X7379" s="928"/>
      <c r="Y7379" s="780"/>
      <c r="Z7379" s="780"/>
      <c r="AA7379" s="780"/>
      <c r="AB7379" s="780"/>
      <c r="AC7379" s="780"/>
      <c r="AD7379" s="780"/>
      <c r="AE7379" s="780"/>
      <c r="AF7379" s="780"/>
    </row>
    <row r="7380" spans="19:32" x14ac:dyDescent="0.35">
      <c r="S7380" s="780"/>
      <c r="T7380" s="928"/>
      <c r="U7380" s="928"/>
      <c r="V7380" s="928"/>
      <c r="W7380" s="780"/>
      <c r="X7380" s="928"/>
      <c r="Y7380" s="780"/>
      <c r="Z7380" s="780"/>
      <c r="AA7380" s="780"/>
      <c r="AB7380" s="780"/>
      <c r="AC7380" s="780"/>
      <c r="AD7380" s="780"/>
      <c r="AE7380" s="780"/>
      <c r="AF7380" s="780"/>
    </row>
    <row r="7381" spans="19:32" x14ac:dyDescent="0.35">
      <c r="S7381" s="780"/>
      <c r="T7381" s="928"/>
      <c r="U7381" s="928"/>
      <c r="V7381" s="928"/>
      <c r="W7381" s="780"/>
      <c r="X7381" s="928"/>
      <c r="Y7381" s="780"/>
      <c r="Z7381" s="780"/>
      <c r="AA7381" s="780"/>
      <c r="AB7381" s="780"/>
      <c r="AC7381" s="780"/>
      <c r="AD7381" s="780"/>
      <c r="AE7381" s="780"/>
      <c r="AF7381" s="780"/>
    </row>
    <row r="7382" spans="19:32" x14ac:dyDescent="0.35">
      <c r="S7382" s="780"/>
      <c r="T7382" s="928"/>
      <c r="U7382" s="928"/>
      <c r="V7382" s="928"/>
      <c r="W7382" s="780"/>
      <c r="X7382" s="928"/>
      <c r="Y7382" s="780"/>
      <c r="Z7382" s="780"/>
      <c r="AA7382" s="780"/>
      <c r="AB7382" s="780"/>
      <c r="AC7382" s="780"/>
      <c r="AD7382" s="780"/>
      <c r="AE7382" s="780"/>
      <c r="AF7382" s="780"/>
    </row>
    <row r="7383" spans="19:32" x14ac:dyDescent="0.35">
      <c r="S7383" s="780"/>
      <c r="T7383" s="928"/>
      <c r="U7383" s="928"/>
      <c r="V7383" s="928"/>
      <c r="W7383" s="780"/>
      <c r="X7383" s="928"/>
      <c r="Y7383" s="780"/>
      <c r="Z7383" s="780"/>
      <c r="AA7383" s="780"/>
      <c r="AB7383" s="780"/>
      <c r="AC7383" s="780"/>
      <c r="AD7383" s="780"/>
      <c r="AE7383" s="780"/>
      <c r="AF7383" s="780"/>
    </row>
    <row r="7384" spans="19:32" x14ac:dyDescent="0.35">
      <c r="S7384" s="780"/>
      <c r="T7384" s="928"/>
      <c r="U7384" s="928"/>
      <c r="V7384" s="928"/>
      <c r="W7384" s="780"/>
      <c r="X7384" s="928"/>
      <c r="Y7384" s="780"/>
      <c r="Z7384" s="780"/>
      <c r="AA7384" s="780"/>
      <c r="AB7384" s="780"/>
      <c r="AC7384" s="780"/>
      <c r="AD7384" s="780"/>
      <c r="AE7384" s="780"/>
      <c r="AF7384" s="780"/>
    </row>
    <row r="7385" spans="19:32" x14ac:dyDescent="0.35">
      <c r="S7385" s="780"/>
      <c r="T7385" s="928"/>
      <c r="U7385" s="928"/>
      <c r="V7385" s="928"/>
      <c r="W7385" s="780"/>
      <c r="X7385" s="928"/>
      <c r="Y7385" s="780"/>
      <c r="Z7385" s="780"/>
      <c r="AA7385" s="780"/>
      <c r="AB7385" s="780"/>
      <c r="AC7385" s="780"/>
      <c r="AD7385" s="780"/>
      <c r="AE7385" s="780"/>
      <c r="AF7385" s="780"/>
    </row>
    <row r="7386" spans="19:32" x14ac:dyDescent="0.35">
      <c r="S7386" s="780"/>
      <c r="T7386" s="928"/>
      <c r="U7386" s="928"/>
      <c r="V7386" s="928"/>
      <c r="W7386" s="780"/>
      <c r="X7386" s="928"/>
      <c r="Y7386" s="780"/>
      <c r="Z7386" s="780"/>
      <c r="AA7386" s="780"/>
      <c r="AB7386" s="780"/>
      <c r="AC7386" s="780"/>
      <c r="AD7386" s="780"/>
      <c r="AE7386" s="780"/>
      <c r="AF7386" s="780"/>
    </row>
    <row r="7387" spans="19:32" x14ac:dyDescent="0.35">
      <c r="S7387" s="780"/>
      <c r="T7387" s="928"/>
      <c r="U7387" s="928"/>
      <c r="V7387" s="928"/>
      <c r="W7387" s="780"/>
      <c r="X7387" s="928"/>
      <c r="Y7387" s="780"/>
      <c r="Z7387" s="780"/>
      <c r="AA7387" s="780"/>
      <c r="AB7387" s="780"/>
      <c r="AC7387" s="780"/>
      <c r="AD7387" s="780"/>
      <c r="AE7387" s="780"/>
      <c r="AF7387" s="780"/>
    </row>
    <row r="7388" spans="19:32" x14ac:dyDescent="0.35">
      <c r="S7388" s="780"/>
      <c r="T7388" s="928"/>
      <c r="U7388" s="928"/>
      <c r="V7388" s="928"/>
      <c r="W7388" s="780"/>
      <c r="X7388" s="928"/>
      <c r="Y7388" s="780"/>
      <c r="Z7388" s="780"/>
      <c r="AA7388" s="780"/>
      <c r="AB7388" s="780"/>
      <c r="AC7388" s="780"/>
      <c r="AD7388" s="780"/>
      <c r="AE7388" s="780"/>
      <c r="AF7388" s="780"/>
    </row>
    <row r="7389" spans="19:32" x14ac:dyDescent="0.35">
      <c r="S7389" s="780"/>
      <c r="T7389" s="928"/>
      <c r="U7389" s="928"/>
      <c r="V7389" s="928"/>
      <c r="W7389" s="780"/>
      <c r="X7389" s="928"/>
      <c r="Y7389" s="780"/>
      <c r="Z7389" s="780"/>
      <c r="AA7389" s="780"/>
      <c r="AB7389" s="780"/>
      <c r="AC7389" s="780"/>
      <c r="AD7389" s="780"/>
      <c r="AE7389" s="780"/>
      <c r="AF7389" s="780"/>
    </row>
    <row r="7390" spans="19:32" x14ac:dyDescent="0.35">
      <c r="S7390" s="780"/>
      <c r="T7390" s="928"/>
      <c r="U7390" s="928"/>
      <c r="V7390" s="928"/>
      <c r="W7390" s="780"/>
      <c r="X7390" s="928"/>
      <c r="Y7390" s="780"/>
      <c r="Z7390" s="780"/>
      <c r="AA7390" s="780"/>
      <c r="AB7390" s="780"/>
      <c r="AC7390" s="780"/>
      <c r="AD7390" s="780"/>
      <c r="AE7390" s="780"/>
      <c r="AF7390" s="780"/>
    </row>
    <row r="7391" spans="19:32" x14ac:dyDescent="0.35">
      <c r="S7391" s="780"/>
      <c r="T7391" s="928"/>
      <c r="U7391" s="928"/>
      <c r="V7391" s="928"/>
      <c r="W7391" s="780"/>
      <c r="X7391" s="928"/>
      <c r="Y7391" s="780"/>
      <c r="Z7391" s="780"/>
      <c r="AA7391" s="780"/>
      <c r="AB7391" s="780"/>
      <c r="AC7391" s="780"/>
      <c r="AD7391" s="780"/>
      <c r="AE7391" s="780"/>
      <c r="AF7391" s="780"/>
    </row>
    <row r="7392" spans="19:32" x14ac:dyDescent="0.35">
      <c r="S7392" s="780"/>
      <c r="T7392" s="928"/>
      <c r="U7392" s="928"/>
      <c r="V7392" s="928"/>
      <c r="W7392" s="780"/>
      <c r="X7392" s="928"/>
      <c r="Y7392" s="780"/>
      <c r="Z7392" s="780"/>
      <c r="AA7392" s="780"/>
      <c r="AB7392" s="780"/>
      <c r="AC7392" s="780"/>
      <c r="AD7392" s="780"/>
      <c r="AE7392" s="780"/>
      <c r="AF7392" s="780"/>
    </row>
    <row r="7393" spans="19:32" x14ac:dyDescent="0.35">
      <c r="S7393" s="780"/>
      <c r="T7393" s="928"/>
      <c r="U7393" s="928"/>
      <c r="V7393" s="928"/>
      <c r="W7393" s="780"/>
      <c r="X7393" s="928"/>
      <c r="Y7393" s="780"/>
      <c r="Z7393" s="780"/>
      <c r="AA7393" s="780"/>
      <c r="AB7393" s="780"/>
      <c r="AC7393" s="780"/>
      <c r="AD7393" s="780"/>
      <c r="AE7393" s="780"/>
      <c r="AF7393" s="780"/>
    </row>
    <row r="7394" spans="19:32" x14ac:dyDescent="0.35">
      <c r="S7394" s="780"/>
      <c r="T7394" s="928"/>
      <c r="U7394" s="928"/>
      <c r="V7394" s="928"/>
      <c r="W7394" s="780"/>
      <c r="X7394" s="928"/>
      <c r="Y7394" s="780"/>
      <c r="Z7394" s="780"/>
      <c r="AA7394" s="780"/>
      <c r="AB7394" s="780"/>
      <c r="AC7394" s="780"/>
      <c r="AD7394" s="780"/>
      <c r="AE7394" s="780"/>
      <c r="AF7394" s="780"/>
    </row>
    <row r="7395" spans="19:32" x14ac:dyDescent="0.35">
      <c r="S7395" s="780"/>
      <c r="T7395" s="928"/>
      <c r="U7395" s="928"/>
      <c r="V7395" s="928"/>
      <c r="W7395" s="780"/>
      <c r="X7395" s="928"/>
      <c r="Y7395" s="780"/>
      <c r="Z7395" s="780"/>
      <c r="AA7395" s="780"/>
      <c r="AB7395" s="780"/>
      <c r="AC7395" s="780"/>
      <c r="AD7395" s="780"/>
      <c r="AE7395" s="780"/>
      <c r="AF7395" s="780"/>
    </row>
    <row r="7396" spans="19:32" x14ac:dyDescent="0.35">
      <c r="S7396" s="780"/>
      <c r="T7396" s="928"/>
      <c r="U7396" s="928"/>
      <c r="V7396" s="928"/>
      <c r="W7396" s="780"/>
      <c r="X7396" s="928"/>
      <c r="Y7396" s="780"/>
      <c r="Z7396" s="780"/>
      <c r="AA7396" s="780"/>
      <c r="AB7396" s="780"/>
      <c r="AC7396" s="780"/>
      <c r="AD7396" s="780"/>
      <c r="AE7396" s="780"/>
      <c r="AF7396" s="780"/>
    </row>
    <row r="7397" spans="19:32" x14ac:dyDescent="0.35">
      <c r="S7397" s="780"/>
      <c r="T7397" s="928"/>
      <c r="U7397" s="928"/>
      <c r="V7397" s="928"/>
      <c r="W7397" s="780"/>
      <c r="X7397" s="928"/>
      <c r="Y7397" s="780"/>
      <c r="Z7397" s="780"/>
      <c r="AA7397" s="780"/>
      <c r="AB7397" s="780"/>
      <c r="AC7397" s="780"/>
      <c r="AD7397" s="780"/>
      <c r="AE7397" s="780"/>
      <c r="AF7397" s="780"/>
    </row>
    <row r="7398" spans="19:32" x14ac:dyDescent="0.35">
      <c r="S7398" s="780"/>
      <c r="T7398" s="928"/>
      <c r="U7398" s="928"/>
      <c r="V7398" s="928"/>
      <c r="W7398" s="780"/>
      <c r="X7398" s="928"/>
      <c r="Y7398" s="780"/>
      <c r="Z7398" s="780"/>
      <c r="AA7398" s="780"/>
      <c r="AB7398" s="780"/>
      <c r="AC7398" s="780"/>
      <c r="AD7398" s="780"/>
      <c r="AE7398" s="780"/>
      <c r="AF7398" s="780"/>
    </row>
    <row r="7399" spans="19:32" x14ac:dyDescent="0.35">
      <c r="S7399" s="780"/>
      <c r="T7399" s="928"/>
      <c r="U7399" s="928"/>
      <c r="V7399" s="928"/>
      <c r="W7399" s="780"/>
      <c r="X7399" s="928"/>
      <c r="Y7399" s="780"/>
      <c r="Z7399" s="780"/>
      <c r="AA7399" s="780"/>
      <c r="AB7399" s="780"/>
      <c r="AC7399" s="780"/>
      <c r="AD7399" s="780"/>
      <c r="AE7399" s="780"/>
      <c r="AF7399" s="780"/>
    </row>
    <row r="7400" spans="19:32" x14ac:dyDescent="0.35">
      <c r="S7400" s="780"/>
      <c r="T7400" s="928"/>
      <c r="U7400" s="928"/>
      <c r="V7400" s="928"/>
      <c r="W7400" s="780"/>
      <c r="X7400" s="928"/>
      <c r="Y7400" s="780"/>
      <c r="Z7400" s="780"/>
      <c r="AA7400" s="780"/>
      <c r="AB7400" s="780"/>
      <c r="AC7400" s="780"/>
      <c r="AD7400" s="780"/>
      <c r="AE7400" s="780"/>
      <c r="AF7400" s="780"/>
    </row>
    <row r="7401" spans="19:32" x14ac:dyDescent="0.35">
      <c r="S7401" s="780"/>
      <c r="T7401" s="928"/>
      <c r="U7401" s="928"/>
      <c r="V7401" s="928"/>
      <c r="W7401" s="780"/>
      <c r="X7401" s="928"/>
      <c r="Y7401" s="780"/>
      <c r="Z7401" s="780"/>
      <c r="AA7401" s="780"/>
      <c r="AB7401" s="780"/>
      <c r="AC7401" s="780"/>
      <c r="AD7401" s="780"/>
      <c r="AE7401" s="780"/>
      <c r="AF7401" s="780"/>
    </row>
    <row r="7402" spans="19:32" x14ac:dyDescent="0.35">
      <c r="S7402" s="780"/>
      <c r="T7402" s="928"/>
      <c r="U7402" s="928"/>
      <c r="V7402" s="928"/>
      <c r="W7402" s="780"/>
      <c r="X7402" s="928"/>
      <c r="Y7402" s="780"/>
      <c r="Z7402" s="780"/>
      <c r="AA7402" s="780"/>
      <c r="AB7402" s="780"/>
      <c r="AC7402" s="780"/>
      <c r="AD7402" s="780"/>
      <c r="AE7402" s="780"/>
      <c r="AF7402" s="780"/>
    </row>
    <row r="7403" spans="19:32" x14ac:dyDescent="0.35">
      <c r="S7403" s="780"/>
      <c r="T7403" s="928"/>
      <c r="U7403" s="928"/>
      <c r="V7403" s="928"/>
      <c r="W7403" s="780"/>
      <c r="X7403" s="928"/>
      <c r="Y7403" s="780"/>
      <c r="Z7403" s="780"/>
      <c r="AA7403" s="780"/>
      <c r="AB7403" s="780"/>
      <c r="AC7403" s="780"/>
      <c r="AD7403" s="780"/>
      <c r="AE7403" s="780"/>
      <c r="AF7403" s="780"/>
    </row>
    <row r="7404" spans="19:32" x14ac:dyDescent="0.35">
      <c r="S7404" s="780"/>
      <c r="T7404" s="928"/>
      <c r="U7404" s="928"/>
      <c r="V7404" s="928"/>
      <c r="W7404" s="780"/>
      <c r="X7404" s="928"/>
      <c r="Y7404" s="780"/>
      <c r="Z7404" s="780"/>
      <c r="AA7404" s="780"/>
      <c r="AB7404" s="780"/>
      <c r="AC7404" s="780"/>
      <c r="AD7404" s="780"/>
      <c r="AE7404" s="780"/>
      <c r="AF7404" s="780"/>
    </row>
    <row r="7405" spans="19:32" x14ac:dyDescent="0.35">
      <c r="S7405" s="780"/>
      <c r="T7405" s="928"/>
      <c r="U7405" s="928"/>
      <c r="V7405" s="928"/>
      <c r="W7405" s="780"/>
      <c r="X7405" s="928"/>
      <c r="Y7405" s="780"/>
      <c r="Z7405" s="780"/>
      <c r="AA7405" s="780"/>
      <c r="AB7405" s="780"/>
      <c r="AC7405" s="780"/>
      <c r="AD7405" s="780"/>
      <c r="AE7405" s="780"/>
      <c r="AF7405" s="780"/>
    </row>
    <row r="7406" spans="19:32" x14ac:dyDescent="0.35">
      <c r="S7406" s="780"/>
      <c r="T7406" s="928"/>
      <c r="U7406" s="928"/>
      <c r="V7406" s="928"/>
      <c r="W7406" s="780"/>
      <c r="X7406" s="928"/>
      <c r="Y7406" s="780"/>
      <c r="Z7406" s="780"/>
      <c r="AA7406" s="780"/>
      <c r="AB7406" s="780"/>
      <c r="AC7406" s="780"/>
      <c r="AD7406" s="780"/>
      <c r="AE7406" s="780"/>
      <c r="AF7406" s="780"/>
    </row>
    <row r="7407" spans="19:32" x14ac:dyDescent="0.35">
      <c r="S7407" s="780"/>
      <c r="T7407" s="928"/>
      <c r="U7407" s="928"/>
      <c r="V7407" s="928"/>
      <c r="W7407" s="780"/>
      <c r="X7407" s="928"/>
      <c r="Y7407" s="780"/>
      <c r="Z7407" s="780"/>
      <c r="AA7407" s="780"/>
      <c r="AB7407" s="780"/>
      <c r="AC7407" s="780"/>
      <c r="AD7407" s="780"/>
      <c r="AE7407" s="780"/>
      <c r="AF7407" s="780"/>
    </row>
    <row r="7408" spans="19:32" x14ac:dyDescent="0.35">
      <c r="S7408" s="780"/>
      <c r="T7408" s="928"/>
      <c r="U7408" s="928"/>
      <c r="V7408" s="928"/>
      <c r="W7408" s="780"/>
      <c r="X7408" s="928"/>
      <c r="Y7408" s="780"/>
      <c r="Z7408" s="780"/>
      <c r="AA7408" s="780"/>
      <c r="AB7408" s="780"/>
      <c r="AC7408" s="780"/>
      <c r="AD7408" s="780"/>
      <c r="AE7408" s="780"/>
      <c r="AF7408" s="780"/>
    </row>
    <row r="7409" spans="19:32" x14ac:dyDescent="0.35">
      <c r="S7409" s="780"/>
      <c r="T7409" s="928"/>
      <c r="U7409" s="928"/>
      <c r="V7409" s="928"/>
      <c r="W7409" s="780"/>
      <c r="X7409" s="928"/>
      <c r="Y7409" s="780"/>
      <c r="Z7409" s="780"/>
      <c r="AA7409" s="780"/>
      <c r="AB7409" s="780"/>
      <c r="AC7409" s="780"/>
      <c r="AD7409" s="780"/>
      <c r="AE7409" s="780"/>
      <c r="AF7409" s="780"/>
    </row>
    <row r="7410" spans="19:32" x14ac:dyDescent="0.35">
      <c r="S7410" s="780"/>
      <c r="T7410" s="928"/>
      <c r="U7410" s="928"/>
      <c r="V7410" s="928"/>
      <c r="W7410" s="780"/>
      <c r="X7410" s="928"/>
      <c r="Y7410" s="780"/>
      <c r="Z7410" s="780"/>
      <c r="AA7410" s="780"/>
      <c r="AB7410" s="780"/>
      <c r="AC7410" s="780"/>
      <c r="AD7410" s="780"/>
      <c r="AE7410" s="780"/>
      <c r="AF7410" s="780"/>
    </row>
    <row r="7411" spans="19:32" x14ac:dyDescent="0.35">
      <c r="S7411" s="780"/>
      <c r="T7411" s="928"/>
      <c r="U7411" s="928"/>
      <c r="V7411" s="928"/>
      <c r="W7411" s="780"/>
      <c r="X7411" s="928"/>
      <c r="Y7411" s="780"/>
      <c r="Z7411" s="780"/>
      <c r="AA7411" s="780"/>
      <c r="AB7411" s="780"/>
      <c r="AC7411" s="780"/>
      <c r="AD7411" s="780"/>
      <c r="AE7411" s="780"/>
      <c r="AF7411" s="780"/>
    </row>
    <row r="7412" spans="19:32" x14ac:dyDescent="0.35">
      <c r="S7412" s="780"/>
      <c r="T7412" s="928"/>
      <c r="U7412" s="928"/>
      <c r="V7412" s="928"/>
      <c r="W7412" s="780"/>
      <c r="X7412" s="928"/>
      <c r="Y7412" s="780"/>
      <c r="Z7412" s="780"/>
      <c r="AA7412" s="780"/>
      <c r="AB7412" s="780"/>
      <c r="AC7412" s="780"/>
      <c r="AD7412" s="780"/>
      <c r="AE7412" s="780"/>
      <c r="AF7412" s="780"/>
    </row>
    <row r="7413" spans="19:32" x14ac:dyDescent="0.35">
      <c r="S7413" s="780"/>
      <c r="T7413" s="928"/>
      <c r="U7413" s="928"/>
      <c r="V7413" s="928"/>
      <c r="W7413" s="780"/>
      <c r="X7413" s="928"/>
      <c r="Y7413" s="780"/>
      <c r="Z7413" s="780"/>
      <c r="AA7413" s="780"/>
      <c r="AB7413" s="780"/>
      <c r="AC7413" s="780"/>
      <c r="AD7413" s="780"/>
      <c r="AE7413" s="780"/>
      <c r="AF7413" s="780"/>
    </row>
    <row r="7414" spans="19:32" x14ac:dyDescent="0.35">
      <c r="S7414" s="780"/>
      <c r="T7414" s="928"/>
      <c r="U7414" s="928"/>
      <c r="V7414" s="928"/>
      <c r="W7414" s="780"/>
      <c r="X7414" s="928"/>
      <c r="Y7414" s="780"/>
      <c r="Z7414" s="780"/>
      <c r="AA7414" s="780"/>
      <c r="AB7414" s="780"/>
      <c r="AC7414" s="780"/>
      <c r="AD7414" s="780"/>
      <c r="AE7414" s="780"/>
      <c r="AF7414" s="780"/>
    </row>
    <row r="7415" spans="19:32" x14ac:dyDescent="0.35">
      <c r="S7415" s="780"/>
      <c r="T7415" s="928"/>
      <c r="U7415" s="928"/>
      <c r="V7415" s="928"/>
      <c r="W7415" s="780"/>
      <c r="X7415" s="928"/>
      <c r="Y7415" s="780"/>
      <c r="Z7415" s="780"/>
      <c r="AA7415" s="780"/>
      <c r="AB7415" s="780"/>
      <c r="AC7415" s="780"/>
      <c r="AD7415" s="780"/>
      <c r="AE7415" s="780"/>
      <c r="AF7415" s="780"/>
    </row>
    <row r="7416" spans="19:32" x14ac:dyDescent="0.35">
      <c r="S7416" s="780"/>
      <c r="T7416" s="928"/>
      <c r="U7416" s="928"/>
      <c r="V7416" s="928"/>
      <c r="W7416" s="780"/>
      <c r="X7416" s="928"/>
      <c r="Y7416" s="780"/>
      <c r="Z7416" s="780"/>
      <c r="AA7416" s="780"/>
      <c r="AB7416" s="780"/>
      <c r="AC7416" s="780"/>
      <c r="AD7416" s="780"/>
      <c r="AE7416" s="780"/>
      <c r="AF7416" s="780"/>
    </row>
    <row r="7417" spans="19:32" x14ac:dyDescent="0.35">
      <c r="S7417" s="780"/>
      <c r="T7417" s="928"/>
      <c r="U7417" s="928"/>
      <c r="V7417" s="928"/>
      <c r="W7417" s="780"/>
      <c r="X7417" s="928"/>
      <c r="Y7417" s="780"/>
      <c r="Z7417" s="780"/>
      <c r="AA7417" s="780"/>
      <c r="AB7417" s="780"/>
      <c r="AC7417" s="780"/>
      <c r="AD7417" s="780"/>
      <c r="AE7417" s="780"/>
      <c r="AF7417" s="780"/>
    </row>
    <row r="7418" spans="19:32" x14ac:dyDescent="0.35">
      <c r="S7418" s="780"/>
      <c r="T7418" s="928"/>
      <c r="U7418" s="928"/>
      <c r="V7418" s="928"/>
      <c r="W7418" s="780"/>
      <c r="X7418" s="928"/>
      <c r="Y7418" s="780"/>
      <c r="Z7418" s="780"/>
      <c r="AA7418" s="780"/>
      <c r="AB7418" s="780"/>
      <c r="AC7418" s="780"/>
      <c r="AD7418" s="780"/>
      <c r="AE7418" s="780"/>
      <c r="AF7418" s="780"/>
    </row>
    <row r="7419" spans="19:32" x14ac:dyDescent="0.35">
      <c r="S7419" s="780"/>
      <c r="T7419" s="928"/>
      <c r="U7419" s="928"/>
      <c r="V7419" s="928"/>
      <c r="W7419" s="780"/>
      <c r="X7419" s="928"/>
      <c r="Y7419" s="780"/>
      <c r="Z7419" s="780"/>
      <c r="AA7419" s="780"/>
      <c r="AB7419" s="780"/>
      <c r="AC7419" s="780"/>
      <c r="AD7419" s="780"/>
      <c r="AE7419" s="780"/>
      <c r="AF7419" s="780"/>
    </row>
    <row r="7420" spans="19:32" x14ac:dyDescent="0.35">
      <c r="S7420" s="780"/>
      <c r="T7420" s="928"/>
      <c r="U7420" s="928"/>
      <c r="V7420" s="928"/>
      <c r="W7420" s="780"/>
      <c r="X7420" s="928"/>
      <c r="Y7420" s="780"/>
      <c r="Z7420" s="780"/>
      <c r="AA7420" s="780"/>
      <c r="AB7420" s="780"/>
      <c r="AC7420" s="780"/>
      <c r="AD7420" s="780"/>
      <c r="AE7420" s="780"/>
      <c r="AF7420" s="780"/>
    </row>
    <row r="7421" spans="19:32" x14ac:dyDescent="0.35">
      <c r="S7421" s="780"/>
      <c r="T7421" s="928"/>
      <c r="U7421" s="928"/>
      <c r="V7421" s="928"/>
      <c r="W7421" s="780"/>
      <c r="X7421" s="928"/>
      <c r="Y7421" s="780"/>
      <c r="Z7421" s="780"/>
      <c r="AA7421" s="780"/>
      <c r="AB7421" s="780"/>
      <c r="AC7421" s="780"/>
      <c r="AD7421" s="780"/>
      <c r="AE7421" s="780"/>
      <c r="AF7421" s="780"/>
    </row>
    <row r="7422" spans="19:32" x14ac:dyDescent="0.35">
      <c r="S7422" s="780"/>
      <c r="T7422" s="928"/>
      <c r="U7422" s="928"/>
      <c r="V7422" s="928"/>
      <c r="W7422" s="780"/>
      <c r="X7422" s="928"/>
      <c r="Y7422" s="780"/>
      <c r="Z7422" s="780"/>
      <c r="AA7422" s="780"/>
      <c r="AB7422" s="780"/>
      <c r="AC7422" s="780"/>
      <c r="AD7422" s="780"/>
      <c r="AE7422" s="780"/>
      <c r="AF7422" s="780"/>
    </row>
    <row r="7423" spans="19:32" x14ac:dyDescent="0.35">
      <c r="S7423" s="780"/>
      <c r="T7423" s="928"/>
      <c r="U7423" s="928"/>
      <c r="V7423" s="928"/>
      <c r="W7423" s="780"/>
      <c r="X7423" s="928"/>
      <c r="Y7423" s="780"/>
      <c r="Z7423" s="780"/>
      <c r="AA7423" s="780"/>
      <c r="AB7423" s="780"/>
      <c r="AC7423" s="780"/>
      <c r="AD7423" s="780"/>
      <c r="AE7423" s="780"/>
      <c r="AF7423" s="780"/>
    </row>
    <row r="7424" spans="19:32" x14ac:dyDescent="0.35">
      <c r="S7424" s="780"/>
      <c r="T7424" s="928"/>
      <c r="U7424" s="928"/>
      <c r="V7424" s="928"/>
      <c r="W7424" s="780"/>
      <c r="X7424" s="928"/>
      <c r="Y7424" s="780"/>
      <c r="Z7424" s="780"/>
      <c r="AA7424" s="780"/>
      <c r="AB7424" s="780"/>
      <c r="AC7424" s="780"/>
      <c r="AD7424" s="780"/>
      <c r="AE7424" s="780"/>
      <c r="AF7424" s="780"/>
    </row>
    <row r="7425" spans="19:32" x14ac:dyDescent="0.35">
      <c r="S7425" s="780"/>
      <c r="T7425" s="928"/>
      <c r="U7425" s="928"/>
      <c r="V7425" s="928"/>
      <c r="W7425" s="780"/>
      <c r="X7425" s="928"/>
      <c r="Y7425" s="780"/>
      <c r="Z7425" s="780"/>
      <c r="AA7425" s="780"/>
      <c r="AB7425" s="780"/>
      <c r="AC7425" s="780"/>
      <c r="AD7425" s="780"/>
      <c r="AE7425" s="780"/>
      <c r="AF7425" s="780"/>
    </row>
    <row r="7426" spans="19:32" x14ac:dyDescent="0.35">
      <c r="S7426" s="780"/>
      <c r="T7426" s="928"/>
      <c r="U7426" s="928"/>
      <c r="V7426" s="928"/>
      <c r="W7426" s="780"/>
      <c r="X7426" s="928"/>
      <c r="Y7426" s="780"/>
      <c r="Z7426" s="780"/>
      <c r="AA7426" s="780"/>
      <c r="AB7426" s="780"/>
      <c r="AC7426" s="780"/>
      <c r="AD7426" s="780"/>
      <c r="AE7426" s="780"/>
      <c r="AF7426" s="780"/>
    </row>
    <row r="7427" spans="19:32" x14ac:dyDescent="0.35">
      <c r="S7427" s="780"/>
      <c r="T7427" s="928"/>
      <c r="U7427" s="928"/>
      <c r="V7427" s="928"/>
      <c r="W7427" s="780"/>
      <c r="X7427" s="928"/>
      <c r="Y7427" s="780"/>
      <c r="Z7427" s="780"/>
      <c r="AA7427" s="780"/>
      <c r="AB7427" s="780"/>
      <c r="AC7427" s="780"/>
      <c r="AD7427" s="780"/>
      <c r="AE7427" s="780"/>
      <c r="AF7427" s="780"/>
    </row>
    <row r="7428" spans="19:32" x14ac:dyDescent="0.35">
      <c r="S7428" s="780"/>
      <c r="T7428" s="928"/>
      <c r="U7428" s="928"/>
      <c r="V7428" s="928"/>
      <c r="W7428" s="780"/>
      <c r="X7428" s="928"/>
      <c r="Y7428" s="780"/>
      <c r="Z7428" s="780"/>
      <c r="AA7428" s="780"/>
      <c r="AB7428" s="780"/>
      <c r="AC7428" s="780"/>
      <c r="AD7428" s="780"/>
      <c r="AE7428" s="780"/>
      <c r="AF7428" s="780"/>
    </row>
    <row r="7429" spans="19:32" x14ac:dyDescent="0.35">
      <c r="S7429" s="780"/>
      <c r="T7429" s="928"/>
      <c r="U7429" s="928"/>
      <c r="V7429" s="928"/>
      <c r="W7429" s="780"/>
      <c r="X7429" s="928"/>
      <c r="Y7429" s="780"/>
      <c r="Z7429" s="780"/>
      <c r="AA7429" s="780"/>
      <c r="AB7429" s="780"/>
      <c r="AC7429" s="780"/>
      <c r="AD7429" s="780"/>
      <c r="AE7429" s="780"/>
      <c r="AF7429" s="780"/>
    </row>
    <row r="7430" spans="19:32" x14ac:dyDescent="0.35">
      <c r="S7430" s="780"/>
      <c r="T7430" s="928"/>
      <c r="U7430" s="928"/>
      <c r="V7430" s="928"/>
      <c r="W7430" s="780"/>
      <c r="X7430" s="928"/>
      <c r="Y7430" s="780"/>
      <c r="Z7430" s="780"/>
      <c r="AA7430" s="780"/>
      <c r="AB7430" s="780"/>
      <c r="AC7430" s="780"/>
      <c r="AD7430" s="780"/>
      <c r="AE7430" s="780"/>
      <c r="AF7430" s="780"/>
    </row>
    <row r="7431" spans="19:32" x14ac:dyDescent="0.35">
      <c r="S7431" s="780"/>
      <c r="T7431" s="928"/>
      <c r="U7431" s="928"/>
      <c r="V7431" s="928"/>
      <c r="W7431" s="780"/>
      <c r="X7431" s="928"/>
      <c r="Y7431" s="780"/>
      <c r="Z7431" s="780"/>
      <c r="AA7431" s="780"/>
      <c r="AB7431" s="780"/>
      <c r="AC7431" s="780"/>
      <c r="AD7431" s="780"/>
      <c r="AE7431" s="780"/>
      <c r="AF7431" s="780"/>
    </row>
    <row r="7432" spans="19:32" x14ac:dyDescent="0.35">
      <c r="S7432" s="780"/>
      <c r="T7432" s="928"/>
      <c r="U7432" s="928"/>
      <c r="V7432" s="928"/>
      <c r="W7432" s="780"/>
      <c r="X7432" s="928"/>
      <c r="Y7432" s="780"/>
      <c r="Z7432" s="780"/>
      <c r="AA7432" s="780"/>
      <c r="AB7432" s="780"/>
      <c r="AC7432" s="780"/>
      <c r="AD7432" s="780"/>
      <c r="AE7432" s="780"/>
      <c r="AF7432" s="780"/>
    </row>
    <row r="7433" spans="19:32" x14ac:dyDescent="0.35">
      <c r="S7433" s="780"/>
      <c r="T7433" s="928"/>
      <c r="U7433" s="928"/>
      <c r="V7433" s="928"/>
      <c r="W7433" s="780"/>
      <c r="X7433" s="928"/>
      <c r="Y7433" s="780"/>
      <c r="Z7433" s="780"/>
      <c r="AA7433" s="780"/>
      <c r="AB7433" s="780"/>
      <c r="AC7433" s="780"/>
      <c r="AD7433" s="780"/>
      <c r="AE7433" s="780"/>
      <c r="AF7433" s="780"/>
    </row>
    <row r="7434" spans="19:32" x14ac:dyDescent="0.35">
      <c r="S7434" s="780"/>
      <c r="T7434" s="928"/>
      <c r="U7434" s="928"/>
      <c r="V7434" s="928"/>
      <c r="W7434" s="780"/>
      <c r="X7434" s="928"/>
      <c r="Y7434" s="780"/>
      <c r="Z7434" s="780"/>
      <c r="AA7434" s="780"/>
      <c r="AB7434" s="780"/>
      <c r="AC7434" s="780"/>
      <c r="AD7434" s="780"/>
      <c r="AE7434" s="780"/>
      <c r="AF7434" s="780"/>
    </row>
    <row r="7435" spans="19:32" x14ac:dyDescent="0.35">
      <c r="S7435" s="780"/>
      <c r="T7435" s="928"/>
      <c r="U7435" s="928"/>
      <c r="V7435" s="928"/>
      <c r="W7435" s="780"/>
      <c r="X7435" s="928"/>
      <c r="Y7435" s="780"/>
      <c r="Z7435" s="780"/>
      <c r="AA7435" s="780"/>
      <c r="AB7435" s="780"/>
      <c r="AC7435" s="780"/>
      <c r="AD7435" s="780"/>
      <c r="AE7435" s="780"/>
      <c r="AF7435" s="780"/>
    </row>
    <row r="7436" spans="19:32" x14ac:dyDescent="0.35">
      <c r="S7436" s="780"/>
      <c r="T7436" s="928"/>
      <c r="U7436" s="928"/>
      <c r="V7436" s="928"/>
      <c r="W7436" s="780"/>
      <c r="X7436" s="928"/>
      <c r="Y7436" s="780"/>
      <c r="Z7436" s="780"/>
      <c r="AA7436" s="780"/>
      <c r="AB7436" s="780"/>
      <c r="AC7436" s="780"/>
      <c r="AD7436" s="780"/>
      <c r="AE7436" s="780"/>
      <c r="AF7436" s="780"/>
    </row>
    <row r="7437" spans="19:32" x14ac:dyDescent="0.35">
      <c r="S7437" s="780"/>
      <c r="T7437" s="928"/>
      <c r="U7437" s="928"/>
      <c r="V7437" s="928"/>
      <c r="W7437" s="780"/>
      <c r="X7437" s="928"/>
      <c r="Y7437" s="780"/>
      <c r="Z7437" s="780"/>
      <c r="AA7437" s="780"/>
      <c r="AB7437" s="780"/>
      <c r="AC7437" s="780"/>
      <c r="AD7437" s="780"/>
      <c r="AE7437" s="780"/>
      <c r="AF7437" s="780"/>
    </row>
    <row r="7438" spans="19:32" x14ac:dyDescent="0.35">
      <c r="S7438" s="780"/>
      <c r="T7438" s="928"/>
      <c r="U7438" s="928"/>
      <c r="V7438" s="928"/>
      <c r="W7438" s="780"/>
      <c r="X7438" s="928"/>
      <c r="Y7438" s="780"/>
      <c r="Z7438" s="780"/>
      <c r="AA7438" s="780"/>
      <c r="AB7438" s="780"/>
      <c r="AC7438" s="780"/>
      <c r="AD7438" s="780"/>
      <c r="AE7438" s="780"/>
      <c r="AF7438" s="780"/>
    </row>
    <row r="7439" spans="19:32" x14ac:dyDescent="0.35">
      <c r="S7439" s="780"/>
      <c r="T7439" s="928"/>
      <c r="U7439" s="928"/>
      <c r="V7439" s="928"/>
      <c r="W7439" s="780"/>
      <c r="X7439" s="928"/>
      <c r="Y7439" s="780"/>
      <c r="Z7439" s="780"/>
      <c r="AA7439" s="780"/>
      <c r="AB7439" s="780"/>
      <c r="AC7439" s="780"/>
      <c r="AD7439" s="780"/>
      <c r="AE7439" s="780"/>
      <c r="AF7439" s="780"/>
    </row>
    <row r="7440" spans="19:32" x14ac:dyDescent="0.35">
      <c r="S7440" s="780"/>
      <c r="T7440" s="928"/>
      <c r="U7440" s="928"/>
      <c r="V7440" s="928"/>
      <c r="W7440" s="780"/>
      <c r="X7440" s="928"/>
      <c r="Y7440" s="780"/>
      <c r="Z7440" s="780"/>
      <c r="AA7440" s="780"/>
      <c r="AB7440" s="780"/>
      <c r="AC7440" s="780"/>
      <c r="AD7440" s="780"/>
      <c r="AE7440" s="780"/>
      <c r="AF7440" s="780"/>
    </row>
    <row r="7441" spans="19:32" x14ac:dyDescent="0.35">
      <c r="S7441" s="780"/>
      <c r="T7441" s="928"/>
      <c r="U7441" s="928"/>
      <c r="V7441" s="928"/>
      <c r="W7441" s="780"/>
      <c r="X7441" s="928"/>
      <c r="Y7441" s="780"/>
      <c r="Z7441" s="780"/>
      <c r="AA7441" s="780"/>
      <c r="AB7441" s="780"/>
      <c r="AC7441" s="780"/>
      <c r="AD7441" s="780"/>
      <c r="AE7441" s="780"/>
      <c r="AF7441" s="780"/>
    </row>
    <row r="7442" spans="19:32" x14ac:dyDescent="0.35">
      <c r="S7442" s="780"/>
      <c r="T7442" s="928"/>
      <c r="U7442" s="928"/>
      <c r="V7442" s="928"/>
      <c r="W7442" s="780"/>
      <c r="X7442" s="928"/>
      <c r="Y7442" s="780"/>
      <c r="Z7442" s="780"/>
      <c r="AA7442" s="780"/>
      <c r="AB7442" s="780"/>
      <c r="AC7442" s="780"/>
      <c r="AD7442" s="780"/>
      <c r="AE7442" s="780"/>
      <c r="AF7442" s="780"/>
    </row>
    <row r="7443" spans="19:32" x14ac:dyDescent="0.35">
      <c r="S7443" s="780"/>
      <c r="T7443" s="928"/>
      <c r="U7443" s="928"/>
      <c r="V7443" s="928"/>
      <c r="W7443" s="780"/>
      <c r="X7443" s="928"/>
      <c r="Y7443" s="780"/>
      <c r="Z7443" s="780"/>
      <c r="AA7443" s="780"/>
      <c r="AB7443" s="780"/>
      <c r="AC7443" s="780"/>
      <c r="AD7443" s="780"/>
      <c r="AE7443" s="780"/>
      <c r="AF7443" s="780"/>
    </row>
    <row r="7444" spans="19:32" x14ac:dyDescent="0.35">
      <c r="S7444" s="780"/>
      <c r="T7444" s="928"/>
      <c r="U7444" s="928"/>
      <c r="V7444" s="928"/>
      <c r="W7444" s="780"/>
      <c r="X7444" s="928"/>
      <c r="Y7444" s="780"/>
      <c r="Z7444" s="780"/>
      <c r="AA7444" s="780"/>
      <c r="AB7444" s="780"/>
      <c r="AC7444" s="780"/>
      <c r="AD7444" s="780"/>
      <c r="AE7444" s="780"/>
      <c r="AF7444" s="780"/>
    </row>
    <row r="7445" spans="19:32" x14ac:dyDescent="0.35">
      <c r="S7445" s="780"/>
      <c r="T7445" s="928"/>
      <c r="U7445" s="928"/>
      <c r="V7445" s="928"/>
      <c r="W7445" s="780"/>
      <c r="X7445" s="928"/>
      <c r="Y7445" s="780"/>
      <c r="Z7445" s="780"/>
      <c r="AA7445" s="780"/>
      <c r="AB7445" s="780"/>
      <c r="AC7445" s="780"/>
      <c r="AD7445" s="780"/>
      <c r="AE7445" s="780"/>
      <c r="AF7445" s="780"/>
    </row>
    <row r="7446" spans="19:32" x14ac:dyDescent="0.35">
      <c r="S7446" s="780"/>
      <c r="T7446" s="928"/>
      <c r="U7446" s="928"/>
      <c r="V7446" s="928"/>
      <c r="W7446" s="780"/>
      <c r="X7446" s="928"/>
      <c r="Y7446" s="780"/>
      <c r="Z7446" s="780"/>
      <c r="AA7446" s="780"/>
      <c r="AB7446" s="780"/>
      <c r="AC7446" s="780"/>
      <c r="AD7446" s="780"/>
      <c r="AE7446" s="780"/>
      <c r="AF7446" s="780"/>
    </row>
    <row r="7447" spans="19:32" x14ac:dyDescent="0.35">
      <c r="S7447" s="780"/>
      <c r="T7447" s="928"/>
      <c r="U7447" s="928"/>
      <c r="V7447" s="928"/>
      <c r="W7447" s="780"/>
      <c r="X7447" s="928"/>
      <c r="Y7447" s="780"/>
      <c r="Z7447" s="780"/>
      <c r="AA7447" s="780"/>
      <c r="AB7447" s="780"/>
      <c r="AC7447" s="780"/>
      <c r="AD7447" s="780"/>
      <c r="AE7447" s="780"/>
      <c r="AF7447" s="780"/>
    </row>
    <row r="7448" spans="19:32" x14ac:dyDescent="0.35">
      <c r="S7448" s="780"/>
      <c r="T7448" s="928"/>
      <c r="U7448" s="928"/>
      <c r="V7448" s="928"/>
      <c r="W7448" s="780"/>
      <c r="X7448" s="928"/>
      <c r="Y7448" s="780"/>
      <c r="Z7448" s="780"/>
      <c r="AA7448" s="780"/>
      <c r="AB7448" s="780"/>
      <c r="AC7448" s="780"/>
      <c r="AD7448" s="780"/>
      <c r="AE7448" s="780"/>
      <c r="AF7448" s="780"/>
    </row>
    <row r="7449" spans="19:32" x14ac:dyDescent="0.35">
      <c r="S7449" s="780"/>
      <c r="T7449" s="928"/>
      <c r="U7449" s="928"/>
      <c r="V7449" s="928"/>
      <c r="W7449" s="780"/>
      <c r="X7449" s="928"/>
      <c r="Y7449" s="780"/>
      <c r="Z7449" s="780"/>
      <c r="AA7449" s="780"/>
      <c r="AB7449" s="780"/>
      <c r="AC7449" s="780"/>
      <c r="AD7449" s="780"/>
      <c r="AE7449" s="780"/>
      <c r="AF7449" s="780"/>
    </row>
    <row r="7450" spans="19:32" x14ac:dyDescent="0.35">
      <c r="S7450" s="780"/>
      <c r="T7450" s="928"/>
      <c r="U7450" s="928"/>
      <c r="V7450" s="928"/>
      <c r="W7450" s="780"/>
      <c r="X7450" s="928"/>
      <c r="Y7450" s="780"/>
      <c r="Z7450" s="780"/>
      <c r="AA7450" s="780"/>
      <c r="AB7450" s="780"/>
      <c r="AC7450" s="780"/>
      <c r="AD7450" s="780"/>
      <c r="AE7450" s="780"/>
      <c r="AF7450" s="780"/>
    </row>
    <row r="7451" spans="19:32" x14ac:dyDescent="0.35">
      <c r="S7451" s="780"/>
      <c r="T7451" s="928"/>
      <c r="U7451" s="928"/>
      <c r="V7451" s="928"/>
      <c r="W7451" s="780"/>
      <c r="X7451" s="928"/>
      <c r="Y7451" s="780"/>
      <c r="Z7451" s="780"/>
      <c r="AA7451" s="780"/>
      <c r="AB7451" s="780"/>
      <c r="AC7451" s="780"/>
      <c r="AD7451" s="780"/>
      <c r="AE7451" s="780"/>
      <c r="AF7451" s="780"/>
    </row>
    <row r="7452" spans="19:32" x14ac:dyDescent="0.35">
      <c r="S7452" s="780"/>
      <c r="T7452" s="928"/>
      <c r="U7452" s="928"/>
      <c r="V7452" s="928"/>
      <c r="W7452" s="780"/>
      <c r="X7452" s="928"/>
      <c r="Y7452" s="780"/>
      <c r="Z7452" s="780"/>
      <c r="AA7452" s="780"/>
      <c r="AB7452" s="780"/>
      <c r="AC7452" s="780"/>
      <c r="AD7452" s="780"/>
      <c r="AE7452" s="780"/>
      <c r="AF7452" s="780"/>
    </row>
    <row r="7453" spans="19:32" x14ac:dyDescent="0.35">
      <c r="S7453" s="780"/>
      <c r="T7453" s="928"/>
      <c r="U7453" s="928"/>
      <c r="V7453" s="928"/>
      <c r="W7453" s="780"/>
      <c r="X7453" s="928"/>
      <c r="Y7453" s="780"/>
      <c r="Z7453" s="780"/>
      <c r="AA7453" s="780"/>
      <c r="AB7453" s="780"/>
      <c r="AC7453" s="780"/>
      <c r="AD7453" s="780"/>
      <c r="AE7453" s="780"/>
      <c r="AF7453" s="780"/>
    </row>
    <row r="7454" spans="19:32" x14ac:dyDescent="0.35">
      <c r="S7454" s="780"/>
      <c r="T7454" s="928"/>
      <c r="U7454" s="928"/>
      <c r="V7454" s="928"/>
      <c r="W7454" s="780"/>
      <c r="X7454" s="928"/>
      <c r="Y7454" s="780"/>
      <c r="Z7454" s="780"/>
      <c r="AA7454" s="780"/>
      <c r="AB7454" s="780"/>
      <c r="AC7454" s="780"/>
      <c r="AD7454" s="780"/>
      <c r="AE7454" s="780"/>
      <c r="AF7454" s="780"/>
    </row>
    <row r="7455" spans="19:32" x14ac:dyDescent="0.35">
      <c r="S7455" s="780"/>
      <c r="T7455" s="928"/>
      <c r="U7455" s="928"/>
      <c r="V7455" s="928"/>
      <c r="W7455" s="780"/>
      <c r="X7455" s="928"/>
      <c r="Y7455" s="780"/>
      <c r="Z7455" s="780"/>
      <c r="AA7455" s="780"/>
      <c r="AB7455" s="780"/>
      <c r="AC7455" s="780"/>
      <c r="AD7455" s="780"/>
      <c r="AE7455" s="780"/>
      <c r="AF7455" s="780"/>
    </row>
    <row r="7456" spans="19:32" x14ac:dyDescent="0.35">
      <c r="S7456" s="780"/>
      <c r="T7456" s="928"/>
      <c r="U7456" s="928"/>
      <c r="V7456" s="928"/>
      <c r="W7456" s="780"/>
      <c r="X7456" s="928"/>
      <c r="Y7456" s="780"/>
      <c r="Z7456" s="780"/>
      <c r="AA7456" s="780"/>
      <c r="AB7456" s="780"/>
      <c r="AC7456" s="780"/>
      <c r="AD7456" s="780"/>
      <c r="AE7456" s="780"/>
      <c r="AF7456" s="780"/>
    </row>
    <row r="7457" spans="19:32" x14ac:dyDescent="0.35">
      <c r="S7457" s="780"/>
      <c r="T7457" s="928"/>
      <c r="U7457" s="928"/>
      <c r="V7457" s="928"/>
      <c r="W7457" s="780"/>
      <c r="X7457" s="928"/>
      <c r="Y7457" s="780"/>
      <c r="Z7457" s="780"/>
      <c r="AA7457" s="780"/>
      <c r="AB7457" s="780"/>
      <c r="AC7457" s="780"/>
      <c r="AD7457" s="780"/>
      <c r="AE7457" s="780"/>
      <c r="AF7457" s="780"/>
    </row>
    <row r="7458" spans="19:32" x14ac:dyDescent="0.35">
      <c r="S7458" s="780"/>
      <c r="T7458" s="928"/>
      <c r="U7458" s="928"/>
      <c r="V7458" s="928"/>
      <c r="W7458" s="780"/>
      <c r="X7458" s="928"/>
      <c r="Y7458" s="780"/>
      <c r="Z7458" s="780"/>
      <c r="AA7458" s="780"/>
      <c r="AB7458" s="780"/>
      <c r="AC7458" s="780"/>
      <c r="AD7458" s="780"/>
      <c r="AE7458" s="780"/>
      <c r="AF7458" s="780"/>
    </row>
    <row r="7459" spans="19:32" x14ac:dyDescent="0.35">
      <c r="S7459" s="780"/>
      <c r="T7459" s="928"/>
      <c r="U7459" s="928"/>
      <c r="V7459" s="928"/>
      <c r="W7459" s="780"/>
      <c r="X7459" s="928"/>
      <c r="Y7459" s="780"/>
      <c r="Z7459" s="780"/>
      <c r="AA7459" s="780"/>
      <c r="AB7459" s="780"/>
      <c r="AC7459" s="780"/>
      <c r="AD7459" s="780"/>
      <c r="AE7459" s="780"/>
      <c r="AF7459" s="780"/>
    </row>
    <row r="7460" spans="19:32" x14ac:dyDescent="0.35">
      <c r="S7460" s="780"/>
      <c r="T7460" s="928"/>
      <c r="U7460" s="928"/>
      <c r="V7460" s="928"/>
      <c r="W7460" s="780"/>
      <c r="X7460" s="928"/>
      <c r="Y7460" s="780"/>
      <c r="Z7460" s="780"/>
      <c r="AA7460" s="780"/>
      <c r="AB7460" s="780"/>
      <c r="AC7460" s="780"/>
      <c r="AD7460" s="780"/>
      <c r="AE7460" s="780"/>
      <c r="AF7460" s="780"/>
    </row>
    <row r="7461" spans="19:32" x14ac:dyDescent="0.35">
      <c r="S7461" s="780"/>
      <c r="T7461" s="928"/>
      <c r="U7461" s="928"/>
      <c r="V7461" s="928"/>
      <c r="W7461" s="780"/>
      <c r="X7461" s="928"/>
      <c r="Y7461" s="780"/>
      <c r="Z7461" s="780"/>
      <c r="AA7461" s="780"/>
      <c r="AB7461" s="780"/>
      <c r="AC7461" s="780"/>
      <c r="AD7461" s="780"/>
      <c r="AE7461" s="780"/>
      <c r="AF7461" s="780"/>
    </row>
    <row r="7462" spans="19:32" x14ac:dyDescent="0.35">
      <c r="S7462" s="780"/>
      <c r="T7462" s="928"/>
      <c r="U7462" s="928"/>
      <c r="V7462" s="928"/>
      <c r="W7462" s="780"/>
      <c r="X7462" s="928"/>
      <c r="Y7462" s="780"/>
      <c r="Z7462" s="780"/>
      <c r="AA7462" s="780"/>
      <c r="AB7462" s="780"/>
      <c r="AC7462" s="780"/>
      <c r="AD7462" s="780"/>
      <c r="AE7462" s="780"/>
      <c r="AF7462" s="780"/>
    </row>
    <row r="7463" spans="19:32" x14ac:dyDescent="0.35">
      <c r="S7463" s="780"/>
      <c r="T7463" s="928"/>
      <c r="U7463" s="928"/>
      <c r="V7463" s="928"/>
      <c r="W7463" s="780"/>
      <c r="X7463" s="928"/>
      <c r="Y7463" s="780"/>
      <c r="Z7463" s="780"/>
      <c r="AA7463" s="780"/>
      <c r="AB7463" s="780"/>
      <c r="AC7463" s="780"/>
      <c r="AD7463" s="780"/>
      <c r="AE7463" s="780"/>
      <c r="AF7463" s="780"/>
    </row>
    <row r="7464" spans="19:32" x14ac:dyDescent="0.35">
      <c r="S7464" s="780"/>
      <c r="T7464" s="928"/>
      <c r="U7464" s="928"/>
      <c r="V7464" s="928"/>
      <c r="W7464" s="780"/>
      <c r="X7464" s="928"/>
      <c r="Y7464" s="780"/>
      <c r="Z7464" s="780"/>
      <c r="AA7464" s="780"/>
      <c r="AB7464" s="780"/>
      <c r="AC7464" s="780"/>
      <c r="AD7464" s="780"/>
      <c r="AE7464" s="780"/>
      <c r="AF7464" s="780"/>
    </row>
    <row r="7465" spans="19:32" x14ac:dyDescent="0.35">
      <c r="S7465" s="780"/>
      <c r="T7465" s="928"/>
      <c r="U7465" s="928"/>
      <c r="V7465" s="928"/>
      <c r="W7465" s="780"/>
      <c r="X7465" s="928"/>
      <c r="Y7465" s="780"/>
      <c r="Z7465" s="780"/>
      <c r="AA7465" s="780"/>
      <c r="AB7465" s="780"/>
      <c r="AC7465" s="780"/>
      <c r="AD7465" s="780"/>
      <c r="AE7465" s="780"/>
      <c r="AF7465" s="780"/>
    </row>
    <row r="7466" spans="19:32" x14ac:dyDescent="0.35">
      <c r="S7466" s="780"/>
      <c r="T7466" s="928"/>
      <c r="U7466" s="928"/>
      <c r="V7466" s="928"/>
      <c r="W7466" s="780"/>
      <c r="X7466" s="928"/>
      <c r="Y7466" s="780"/>
      <c r="Z7466" s="780"/>
      <c r="AA7466" s="780"/>
      <c r="AB7466" s="780"/>
      <c r="AC7466" s="780"/>
      <c r="AD7466" s="780"/>
      <c r="AE7466" s="780"/>
      <c r="AF7466" s="780"/>
    </row>
    <row r="7467" spans="19:32" x14ac:dyDescent="0.35">
      <c r="S7467" s="780"/>
      <c r="T7467" s="928"/>
      <c r="U7467" s="928"/>
      <c r="V7467" s="928"/>
      <c r="W7467" s="780"/>
      <c r="X7467" s="928"/>
      <c r="Y7467" s="780"/>
      <c r="Z7467" s="780"/>
      <c r="AA7467" s="780"/>
      <c r="AB7467" s="780"/>
      <c r="AC7467" s="780"/>
      <c r="AD7467" s="780"/>
      <c r="AE7467" s="780"/>
      <c r="AF7467" s="780"/>
    </row>
    <row r="7468" spans="19:32" x14ac:dyDescent="0.35">
      <c r="S7468" s="780"/>
      <c r="T7468" s="928"/>
      <c r="U7468" s="928"/>
      <c r="V7468" s="928"/>
      <c r="W7468" s="780"/>
      <c r="X7468" s="928"/>
      <c r="Y7468" s="780"/>
      <c r="Z7468" s="780"/>
      <c r="AA7468" s="780"/>
      <c r="AB7468" s="780"/>
      <c r="AC7468" s="780"/>
      <c r="AD7468" s="780"/>
      <c r="AE7468" s="780"/>
      <c r="AF7468" s="780"/>
    </row>
    <row r="7469" spans="19:32" x14ac:dyDescent="0.35">
      <c r="S7469" s="780"/>
      <c r="T7469" s="928"/>
      <c r="U7469" s="928"/>
      <c r="V7469" s="928"/>
      <c r="W7469" s="780"/>
      <c r="X7469" s="928"/>
      <c r="Y7469" s="780"/>
      <c r="Z7469" s="780"/>
      <c r="AA7469" s="780"/>
      <c r="AB7469" s="780"/>
      <c r="AC7469" s="780"/>
      <c r="AD7469" s="780"/>
      <c r="AE7469" s="780"/>
      <c r="AF7469" s="780"/>
    </row>
    <row r="7470" spans="19:32" x14ac:dyDescent="0.35">
      <c r="S7470" s="780"/>
      <c r="T7470" s="928"/>
      <c r="U7470" s="928"/>
      <c r="V7470" s="928"/>
      <c r="W7470" s="780"/>
      <c r="X7470" s="928"/>
      <c r="Y7470" s="780"/>
      <c r="Z7470" s="780"/>
      <c r="AA7470" s="780"/>
      <c r="AB7470" s="780"/>
      <c r="AC7470" s="780"/>
      <c r="AD7470" s="780"/>
      <c r="AE7470" s="780"/>
      <c r="AF7470" s="780"/>
    </row>
    <row r="7471" spans="19:32" x14ac:dyDescent="0.35">
      <c r="S7471" s="780"/>
      <c r="T7471" s="928"/>
      <c r="U7471" s="928"/>
      <c r="V7471" s="928"/>
      <c r="W7471" s="780"/>
      <c r="X7471" s="928"/>
      <c r="Y7471" s="780"/>
      <c r="Z7471" s="780"/>
      <c r="AA7471" s="780"/>
      <c r="AB7471" s="780"/>
      <c r="AC7471" s="780"/>
      <c r="AD7471" s="780"/>
      <c r="AE7471" s="780"/>
      <c r="AF7471" s="780"/>
    </row>
    <row r="7472" spans="19:32" x14ac:dyDescent="0.35">
      <c r="S7472" s="780"/>
      <c r="T7472" s="928"/>
      <c r="U7472" s="928"/>
      <c r="V7472" s="928"/>
      <c r="W7472" s="780"/>
      <c r="X7472" s="928"/>
      <c r="Y7472" s="780"/>
      <c r="Z7472" s="780"/>
      <c r="AA7472" s="780"/>
      <c r="AB7472" s="780"/>
      <c r="AC7472" s="780"/>
      <c r="AD7472" s="780"/>
      <c r="AE7472" s="780"/>
      <c r="AF7472" s="780"/>
    </row>
    <row r="7473" spans="19:32" x14ac:dyDescent="0.35">
      <c r="S7473" s="780"/>
      <c r="T7473" s="928"/>
      <c r="U7473" s="928"/>
      <c r="V7473" s="928"/>
      <c r="W7473" s="780"/>
      <c r="X7473" s="928"/>
      <c r="Y7473" s="780"/>
      <c r="Z7473" s="780"/>
      <c r="AA7473" s="780"/>
      <c r="AB7473" s="780"/>
      <c r="AC7473" s="780"/>
      <c r="AD7473" s="780"/>
      <c r="AE7473" s="780"/>
      <c r="AF7473" s="780"/>
    </row>
    <row r="7474" spans="19:32" x14ac:dyDescent="0.35">
      <c r="S7474" s="780"/>
      <c r="T7474" s="928"/>
      <c r="U7474" s="928"/>
      <c r="V7474" s="928"/>
      <c r="W7474" s="780"/>
      <c r="X7474" s="928"/>
      <c r="Y7474" s="780"/>
      <c r="Z7474" s="780"/>
      <c r="AA7474" s="780"/>
      <c r="AB7474" s="780"/>
      <c r="AC7474" s="780"/>
      <c r="AD7474" s="780"/>
      <c r="AE7474" s="780"/>
      <c r="AF7474" s="780"/>
    </row>
    <row r="7475" spans="19:32" x14ac:dyDescent="0.35">
      <c r="S7475" s="780"/>
      <c r="T7475" s="928"/>
      <c r="U7475" s="928"/>
      <c r="V7475" s="928"/>
      <c r="W7475" s="780"/>
      <c r="X7475" s="928"/>
      <c r="Y7475" s="780"/>
      <c r="Z7475" s="780"/>
      <c r="AA7475" s="780"/>
      <c r="AB7475" s="780"/>
      <c r="AC7475" s="780"/>
      <c r="AD7475" s="780"/>
      <c r="AE7475" s="780"/>
      <c r="AF7475" s="780"/>
    </row>
    <row r="7476" spans="19:32" x14ac:dyDescent="0.35">
      <c r="S7476" s="780"/>
      <c r="T7476" s="928"/>
      <c r="U7476" s="928"/>
      <c r="V7476" s="928"/>
      <c r="W7476" s="780"/>
      <c r="X7476" s="928"/>
      <c r="Y7476" s="780"/>
      <c r="Z7476" s="780"/>
      <c r="AA7476" s="780"/>
      <c r="AB7476" s="780"/>
      <c r="AC7476" s="780"/>
      <c r="AD7476" s="780"/>
      <c r="AE7476" s="780"/>
      <c r="AF7476" s="780"/>
    </row>
    <row r="7477" spans="19:32" x14ac:dyDescent="0.35">
      <c r="S7477" s="780"/>
      <c r="T7477" s="928"/>
      <c r="U7477" s="928"/>
      <c r="V7477" s="928"/>
      <c r="W7477" s="780"/>
      <c r="X7477" s="928"/>
      <c r="Y7477" s="780"/>
      <c r="Z7477" s="780"/>
      <c r="AA7477" s="780"/>
      <c r="AB7477" s="780"/>
      <c r="AC7477" s="780"/>
      <c r="AD7477" s="780"/>
      <c r="AE7477" s="780"/>
      <c r="AF7477" s="780"/>
    </row>
    <row r="7478" spans="19:32" x14ac:dyDescent="0.35">
      <c r="S7478" s="780"/>
      <c r="T7478" s="928"/>
      <c r="U7478" s="928"/>
      <c r="V7478" s="928"/>
      <c r="W7478" s="780"/>
      <c r="X7478" s="928"/>
      <c r="Y7478" s="780"/>
      <c r="Z7478" s="780"/>
      <c r="AA7478" s="780"/>
      <c r="AB7478" s="780"/>
      <c r="AC7478" s="780"/>
      <c r="AD7478" s="780"/>
      <c r="AE7478" s="780"/>
      <c r="AF7478" s="780"/>
    </row>
    <row r="7479" spans="19:32" x14ac:dyDescent="0.35">
      <c r="S7479" s="780"/>
      <c r="T7479" s="928"/>
      <c r="U7479" s="928"/>
      <c r="V7479" s="928"/>
      <c r="W7479" s="780"/>
      <c r="X7479" s="928"/>
      <c r="Y7479" s="780"/>
      <c r="Z7479" s="780"/>
      <c r="AA7479" s="780"/>
      <c r="AB7479" s="780"/>
      <c r="AC7479" s="780"/>
      <c r="AD7479" s="780"/>
      <c r="AE7479" s="780"/>
      <c r="AF7479" s="780"/>
    </row>
    <row r="7480" spans="19:32" x14ac:dyDescent="0.35">
      <c r="S7480" s="780"/>
      <c r="T7480" s="928"/>
      <c r="U7480" s="928"/>
      <c r="V7480" s="928"/>
      <c r="W7480" s="780"/>
      <c r="X7480" s="928"/>
      <c r="Y7480" s="780"/>
      <c r="Z7480" s="780"/>
      <c r="AA7480" s="780"/>
      <c r="AB7480" s="780"/>
      <c r="AC7480" s="780"/>
      <c r="AD7480" s="780"/>
      <c r="AE7480" s="780"/>
      <c r="AF7480" s="780"/>
    </row>
    <row r="7481" spans="19:32" x14ac:dyDescent="0.35">
      <c r="S7481" s="780"/>
      <c r="T7481" s="928"/>
      <c r="U7481" s="928"/>
      <c r="V7481" s="928"/>
      <c r="W7481" s="780"/>
      <c r="X7481" s="928"/>
      <c r="Y7481" s="780"/>
      <c r="Z7481" s="780"/>
      <c r="AA7481" s="780"/>
      <c r="AB7481" s="780"/>
      <c r="AC7481" s="780"/>
      <c r="AD7481" s="780"/>
      <c r="AE7481" s="780"/>
      <c r="AF7481" s="780"/>
    </row>
    <row r="7482" spans="19:32" x14ac:dyDescent="0.35">
      <c r="S7482" s="780"/>
      <c r="T7482" s="928"/>
      <c r="U7482" s="928"/>
      <c r="V7482" s="928"/>
      <c r="W7482" s="780"/>
      <c r="X7482" s="928"/>
      <c r="Y7482" s="780"/>
      <c r="Z7482" s="780"/>
      <c r="AA7482" s="780"/>
      <c r="AB7482" s="780"/>
      <c r="AC7482" s="780"/>
      <c r="AD7482" s="780"/>
      <c r="AE7482" s="780"/>
      <c r="AF7482" s="780"/>
    </row>
    <row r="7483" spans="19:32" x14ac:dyDescent="0.35">
      <c r="S7483" s="780"/>
      <c r="T7483" s="928"/>
      <c r="U7483" s="928"/>
      <c r="V7483" s="928"/>
      <c r="W7483" s="780"/>
      <c r="X7483" s="928"/>
      <c r="Y7483" s="780"/>
      <c r="Z7483" s="780"/>
      <c r="AA7483" s="780"/>
      <c r="AB7483" s="780"/>
      <c r="AC7483" s="780"/>
      <c r="AD7483" s="780"/>
      <c r="AE7483" s="780"/>
      <c r="AF7483" s="780"/>
    </row>
    <row r="7484" spans="19:32" x14ac:dyDescent="0.35">
      <c r="S7484" s="780"/>
      <c r="T7484" s="928"/>
      <c r="U7484" s="928"/>
      <c r="V7484" s="928"/>
      <c r="W7484" s="780"/>
      <c r="X7484" s="928"/>
      <c r="Y7484" s="780"/>
      <c r="Z7484" s="780"/>
      <c r="AA7484" s="780"/>
      <c r="AB7484" s="780"/>
      <c r="AC7484" s="780"/>
      <c r="AD7484" s="780"/>
      <c r="AE7484" s="780"/>
      <c r="AF7484" s="780"/>
    </row>
    <row r="7485" spans="19:32" x14ac:dyDescent="0.35">
      <c r="S7485" s="780"/>
      <c r="T7485" s="928"/>
      <c r="U7485" s="928"/>
      <c r="V7485" s="928"/>
      <c r="W7485" s="780"/>
      <c r="X7485" s="928"/>
      <c r="Y7485" s="780"/>
      <c r="Z7485" s="780"/>
      <c r="AA7485" s="780"/>
      <c r="AB7485" s="780"/>
      <c r="AC7485" s="780"/>
      <c r="AD7485" s="780"/>
      <c r="AE7485" s="780"/>
      <c r="AF7485" s="780"/>
    </row>
    <row r="7486" spans="19:32" x14ac:dyDescent="0.35">
      <c r="S7486" s="780"/>
      <c r="T7486" s="928"/>
      <c r="U7486" s="928"/>
      <c r="V7486" s="928"/>
      <c r="W7486" s="780"/>
      <c r="X7486" s="928"/>
      <c r="Y7486" s="780"/>
      <c r="Z7486" s="780"/>
      <c r="AA7486" s="780"/>
      <c r="AB7486" s="780"/>
      <c r="AC7486" s="780"/>
      <c r="AD7486" s="780"/>
      <c r="AE7486" s="780"/>
      <c r="AF7486" s="780"/>
    </row>
    <row r="7487" spans="19:32" x14ac:dyDescent="0.35">
      <c r="S7487" s="780"/>
      <c r="T7487" s="928"/>
      <c r="U7487" s="928"/>
      <c r="V7487" s="928"/>
      <c r="W7487" s="780"/>
      <c r="X7487" s="928"/>
      <c r="Y7487" s="780"/>
      <c r="Z7487" s="780"/>
      <c r="AA7487" s="780"/>
      <c r="AB7487" s="780"/>
      <c r="AC7487" s="780"/>
      <c r="AD7487" s="780"/>
      <c r="AE7487" s="780"/>
      <c r="AF7487" s="780"/>
    </row>
    <row r="7488" spans="19:32" x14ac:dyDescent="0.35">
      <c r="S7488" s="780"/>
      <c r="T7488" s="928"/>
      <c r="U7488" s="928"/>
      <c r="V7488" s="928"/>
      <c r="W7488" s="780"/>
      <c r="X7488" s="928"/>
      <c r="Y7488" s="780"/>
      <c r="Z7488" s="780"/>
      <c r="AA7488" s="780"/>
      <c r="AB7488" s="780"/>
      <c r="AC7488" s="780"/>
      <c r="AD7488" s="780"/>
      <c r="AE7488" s="780"/>
      <c r="AF7488" s="780"/>
    </row>
    <row r="7489" spans="19:32" x14ac:dyDescent="0.35">
      <c r="S7489" s="780"/>
      <c r="T7489" s="928"/>
      <c r="U7489" s="928"/>
      <c r="V7489" s="928"/>
      <c r="W7489" s="780"/>
      <c r="X7489" s="928"/>
      <c r="Y7489" s="780"/>
      <c r="Z7489" s="780"/>
      <c r="AA7489" s="780"/>
      <c r="AB7489" s="780"/>
      <c r="AC7489" s="780"/>
      <c r="AD7489" s="780"/>
      <c r="AE7489" s="780"/>
      <c r="AF7489" s="780"/>
    </row>
    <row r="7490" spans="19:32" x14ac:dyDescent="0.35">
      <c r="S7490" s="780"/>
      <c r="T7490" s="928"/>
      <c r="U7490" s="928"/>
      <c r="V7490" s="928"/>
      <c r="W7490" s="780"/>
      <c r="X7490" s="928"/>
      <c r="Y7490" s="780"/>
      <c r="Z7490" s="780"/>
      <c r="AA7490" s="780"/>
      <c r="AB7490" s="780"/>
      <c r="AC7490" s="780"/>
      <c r="AD7490" s="780"/>
      <c r="AE7490" s="780"/>
      <c r="AF7490" s="780"/>
    </row>
    <row r="7491" spans="19:32" x14ac:dyDescent="0.35">
      <c r="S7491" s="780"/>
      <c r="T7491" s="928"/>
      <c r="U7491" s="928"/>
      <c r="V7491" s="928"/>
      <c r="W7491" s="780"/>
      <c r="X7491" s="928"/>
      <c r="Y7491" s="780"/>
      <c r="Z7491" s="780"/>
      <c r="AA7491" s="780"/>
      <c r="AB7491" s="780"/>
      <c r="AC7491" s="780"/>
      <c r="AD7491" s="780"/>
      <c r="AE7491" s="780"/>
      <c r="AF7491" s="780"/>
    </row>
    <row r="7492" spans="19:32" x14ac:dyDescent="0.35">
      <c r="S7492" s="780"/>
      <c r="T7492" s="928"/>
      <c r="U7492" s="928"/>
      <c r="V7492" s="928"/>
      <c r="W7492" s="780"/>
      <c r="X7492" s="928"/>
      <c r="Y7492" s="780"/>
      <c r="Z7492" s="780"/>
      <c r="AA7492" s="780"/>
      <c r="AB7492" s="780"/>
      <c r="AC7492" s="780"/>
      <c r="AD7492" s="780"/>
      <c r="AE7492" s="780"/>
      <c r="AF7492" s="780"/>
    </row>
    <row r="7493" spans="19:32" x14ac:dyDescent="0.35">
      <c r="S7493" s="780"/>
      <c r="T7493" s="928"/>
      <c r="U7493" s="928"/>
      <c r="V7493" s="928"/>
      <c r="W7493" s="780"/>
      <c r="X7493" s="928"/>
      <c r="Y7493" s="780"/>
      <c r="Z7493" s="780"/>
      <c r="AA7493" s="780"/>
      <c r="AB7493" s="780"/>
      <c r="AC7493" s="780"/>
      <c r="AD7493" s="780"/>
      <c r="AE7493" s="780"/>
      <c r="AF7493" s="780"/>
    </row>
    <row r="7494" spans="19:32" x14ac:dyDescent="0.35">
      <c r="S7494" s="780"/>
      <c r="T7494" s="928"/>
      <c r="U7494" s="928"/>
      <c r="V7494" s="928"/>
      <c r="W7494" s="780"/>
      <c r="X7494" s="928"/>
      <c r="Y7494" s="780"/>
      <c r="Z7494" s="780"/>
      <c r="AA7494" s="780"/>
      <c r="AB7494" s="780"/>
      <c r="AC7494" s="780"/>
      <c r="AD7494" s="780"/>
      <c r="AE7494" s="780"/>
      <c r="AF7494" s="780"/>
    </row>
    <row r="7495" spans="19:32" x14ac:dyDescent="0.35">
      <c r="S7495" s="780"/>
      <c r="T7495" s="928"/>
      <c r="U7495" s="928"/>
      <c r="V7495" s="928"/>
      <c r="W7495" s="780"/>
      <c r="X7495" s="928"/>
      <c r="Y7495" s="780"/>
      <c r="Z7495" s="780"/>
      <c r="AA7495" s="780"/>
      <c r="AB7495" s="780"/>
      <c r="AC7495" s="780"/>
      <c r="AD7495" s="780"/>
      <c r="AE7495" s="780"/>
      <c r="AF7495" s="780"/>
    </row>
    <row r="7496" spans="19:32" x14ac:dyDescent="0.35">
      <c r="S7496" s="780"/>
      <c r="T7496" s="928"/>
      <c r="U7496" s="928"/>
      <c r="V7496" s="928"/>
      <c r="W7496" s="780"/>
      <c r="X7496" s="928"/>
      <c r="Y7496" s="780"/>
      <c r="Z7496" s="780"/>
      <c r="AA7496" s="780"/>
      <c r="AB7496" s="780"/>
      <c r="AC7496" s="780"/>
      <c r="AD7496" s="780"/>
      <c r="AE7496" s="780"/>
      <c r="AF7496" s="780"/>
    </row>
    <row r="7497" spans="19:32" x14ac:dyDescent="0.35">
      <c r="S7497" s="780"/>
      <c r="T7497" s="928"/>
      <c r="U7497" s="928"/>
      <c r="V7497" s="928"/>
      <c r="W7497" s="780"/>
      <c r="X7497" s="928"/>
      <c r="Y7497" s="780"/>
      <c r="Z7497" s="780"/>
      <c r="AA7497" s="780"/>
      <c r="AB7497" s="780"/>
      <c r="AC7497" s="780"/>
      <c r="AD7497" s="780"/>
      <c r="AE7497" s="780"/>
      <c r="AF7497" s="780"/>
    </row>
    <row r="7498" spans="19:32" x14ac:dyDescent="0.35">
      <c r="S7498" s="780"/>
      <c r="T7498" s="928"/>
      <c r="U7498" s="928"/>
      <c r="V7498" s="928"/>
      <c r="W7498" s="780"/>
      <c r="X7498" s="928"/>
      <c r="Y7498" s="780"/>
      <c r="Z7498" s="780"/>
      <c r="AA7498" s="780"/>
      <c r="AB7498" s="780"/>
      <c r="AC7498" s="780"/>
      <c r="AD7498" s="780"/>
      <c r="AE7498" s="780"/>
      <c r="AF7498" s="780"/>
    </row>
    <row r="7499" spans="19:32" x14ac:dyDescent="0.35">
      <c r="S7499" s="780"/>
      <c r="T7499" s="928"/>
      <c r="U7499" s="928"/>
      <c r="V7499" s="928"/>
      <c r="W7499" s="780"/>
      <c r="X7499" s="928"/>
      <c r="Y7499" s="780"/>
      <c r="Z7499" s="780"/>
      <c r="AA7499" s="780"/>
      <c r="AB7499" s="780"/>
      <c r="AC7499" s="780"/>
      <c r="AD7499" s="780"/>
      <c r="AE7499" s="780"/>
      <c r="AF7499" s="780"/>
    </row>
    <row r="7500" spans="19:32" x14ac:dyDescent="0.35">
      <c r="S7500" s="780"/>
      <c r="T7500" s="928"/>
      <c r="U7500" s="928"/>
      <c r="V7500" s="928"/>
      <c r="W7500" s="780"/>
      <c r="X7500" s="928"/>
      <c r="Y7500" s="780"/>
      <c r="Z7500" s="780"/>
      <c r="AA7500" s="780"/>
      <c r="AB7500" s="780"/>
      <c r="AC7500" s="780"/>
      <c r="AD7500" s="780"/>
      <c r="AE7500" s="780"/>
      <c r="AF7500" s="780"/>
    </row>
    <row r="7501" spans="19:32" x14ac:dyDescent="0.35">
      <c r="S7501" s="780"/>
      <c r="T7501" s="928"/>
      <c r="U7501" s="928"/>
      <c r="V7501" s="928"/>
      <c r="W7501" s="780"/>
      <c r="X7501" s="928"/>
      <c r="Y7501" s="780"/>
      <c r="Z7501" s="780"/>
      <c r="AA7501" s="780"/>
      <c r="AB7501" s="780"/>
      <c r="AC7501" s="780"/>
      <c r="AD7501" s="780"/>
      <c r="AE7501" s="780"/>
      <c r="AF7501" s="780"/>
    </row>
    <row r="7502" spans="19:32" x14ac:dyDescent="0.35">
      <c r="S7502" s="780"/>
      <c r="T7502" s="928"/>
      <c r="U7502" s="928"/>
      <c r="V7502" s="928"/>
      <c r="W7502" s="780"/>
      <c r="X7502" s="928"/>
      <c r="Y7502" s="780"/>
      <c r="Z7502" s="780"/>
      <c r="AA7502" s="780"/>
      <c r="AB7502" s="780"/>
      <c r="AC7502" s="780"/>
      <c r="AD7502" s="780"/>
      <c r="AE7502" s="780"/>
      <c r="AF7502" s="780"/>
    </row>
    <row r="7503" spans="19:32" x14ac:dyDescent="0.35">
      <c r="S7503" s="780"/>
      <c r="T7503" s="928"/>
      <c r="U7503" s="928"/>
      <c r="V7503" s="928"/>
      <c r="W7503" s="780"/>
      <c r="X7503" s="928"/>
      <c r="Y7503" s="780"/>
      <c r="Z7503" s="780"/>
      <c r="AA7503" s="780"/>
      <c r="AB7503" s="780"/>
      <c r="AC7503" s="780"/>
      <c r="AD7503" s="780"/>
      <c r="AE7503" s="780"/>
      <c r="AF7503" s="780"/>
    </row>
    <row r="7504" spans="19:32" x14ac:dyDescent="0.35">
      <c r="S7504" s="780"/>
      <c r="T7504" s="928"/>
      <c r="U7504" s="928"/>
      <c r="V7504" s="928"/>
      <c r="W7504" s="780"/>
      <c r="X7504" s="928"/>
      <c r="Y7504" s="780"/>
      <c r="Z7504" s="780"/>
      <c r="AA7504" s="780"/>
      <c r="AB7504" s="780"/>
      <c r="AC7504" s="780"/>
      <c r="AD7504" s="780"/>
      <c r="AE7504" s="780"/>
      <c r="AF7504" s="780"/>
    </row>
    <row r="7505" spans="19:32" x14ac:dyDescent="0.35">
      <c r="S7505" s="780"/>
      <c r="T7505" s="928"/>
      <c r="U7505" s="928"/>
      <c r="V7505" s="928"/>
      <c r="W7505" s="780"/>
      <c r="X7505" s="928"/>
      <c r="Y7505" s="780"/>
      <c r="Z7505" s="780"/>
      <c r="AA7505" s="780"/>
      <c r="AB7505" s="780"/>
      <c r="AC7505" s="780"/>
      <c r="AD7505" s="780"/>
      <c r="AE7505" s="780"/>
      <c r="AF7505" s="780"/>
    </row>
    <row r="7506" spans="19:32" x14ac:dyDescent="0.35">
      <c r="S7506" s="780"/>
      <c r="T7506" s="928"/>
      <c r="U7506" s="928"/>
      <c r="V7506" s="928"/>
      <c r="W7506" s="780"/>
      <c r="X7506" s="928"/>
      <c r="Y7506" s="780"/>
      <c r="Z7506" s="780"/>
      <c r="AA7506" s="780"/>
      <c r="AB7506" s="780"/>
      <c r="AC7506" s="780"/>
      <c r="AD7506" s="780"/>
      <c r="AE7506" s="780"/>
      <c r="AF7506" s="780"/>
    </row>
    <row r="7507" spans="19:32" x14ac:dyDescent="0.35">
      <c r="S7507" s="780"/>
      <c r="T7507" s="928"/>
      <c r="U7507" s="928"/>
      <c r="V7507" s="928"/>
      <c r="W7507" s="780"/>
      <c r="X7507" s="928"/>
      <c r="Y7507" s="780"/>
      <c r="Z7507" s="780"/>
      <c r="AA7507" s="780"/>
      <c r="AB7507" s="780"/>
      <c r="AC7507" s="780"/>
      <c r="AD7507" s="780"/>
      <c r="AE7507" s="780"/>
      <c r="AF7507" s="780"/>
    </row>
    <row r="7508" spans="19:32" x14ac:dyDescent="0.35">
      <c r="S7508" s="780"/>
      <c r="T7508" s="928"/>
      <c r="U7508" s="928"/>
      <c r="V7508" s="928"/>
      <c r="W7508" s="780"/>
      <c r="X7508" s="928"/>
      <c r="Y7508" s="780"/>
      <c r="Z7508" s="780"/>
      <c r="AA7508" s="780"/>
      <c r="AB7508" s="780"/>
      <c r="AC7508" s="780"/>
      <c r="AD7508" s="780"/>
      <c r="AE7508" s="780"/>
      <c r="AF7508" s="780"/>
    </row>
    <row r="7509" spans="19:32" x14ac:dyDescent="0.35">
      <c r="S7509" s="780"/>
      <c r="T7509" s="928"/>
      <c r="U7509" s="928"/>
      <c r="V7509" s="928"/>
      <c r="W7509" s="780"/>
      <c r="X7509" s="928"/>
      <c r="Y7509" s="780"/>
      <c r="Z7509" s="780"/>
      <c r="AA7509" s="780"/>
      <c r="AB7509" s="780"/>
      <c r="AC7509" s="780"/>
      <c r="AD7509" s="780"/>
      <c r="AE7509" s="780"/>
      <c r="AF7509" s="780"/>
    </row>
    <row r="7510" spans="19:32" x14ac:dyDescent="0.35">
      <c r="S7510" s="780"/>
      <c r="T7510" s="928"/>
      <c r="U7510" s="928"/>
      <c r="V7510" s="928"/>
      <c r="W7510" s="780"/>
      <c r="X7510" s="928"/>
      <c r="Y7510" s="780"/>
      <c r="Z7510" s="780"/>
      <c r="AA7510" s="780"/>
      <c r="AB7510" s="780"/>
      <c r="AC7510" s="780"/>
      <c r="AD7510" s="780"/>
      <c r="AE7510" s="780"/>
      <c r="AF7510" s="780"/>
    </row>
    <row r="7511" spans="19:32" x14ac:dyDescent="0.35">
      <c r="S7511" s="780"/>
      <c r="T7511" s="928"/>
      <c r="U7511" s="928"/>
      <c r="V7511" s="928"/>
      <c r="W7511" s="780"/>
      <c r="X7511" s="928"/>
      <c r="Y7511" s="780"/>
      <c r="Z7511" s="780"/>
      <c r="AA7511" s="780"/>
      <c r="AB7511" s="780"/>
      <c r="AC7511" s="780"/>
      <c r="AD7511" s="780"/>
      <c r="AE7511" s="780"/>
      <c r="AF7511" s="780"/>
    </row>
    <row r="7512" spans="19:32" x14ac:dyDescent="0.35">
      <c r="S7512" s="780"/>
      <c r="T7512" s="928"/>
      <c r="U7512" s="928"/>
      <c r="V7512" s="928"/>
      <c r="W7512" s="780"/>
      <c r="X7512" s="928"/>
      <c r="Y7512" s="780"/>
      <c r="Z7512" s="780"/>
      <c r="AA7512" s="780"/>
      <c r="AB7512" s="780"/>
      <c r="AC7512" s="780"/>
      <c r="AD7512" s="780"/>
      <c r="AE7512" s="780"/>
      <c r="AF7512" s="780"/>
    </row>
    <row r="7513" spans="19:32" x14ac:dyDescent="0.35">
      <c r="S7513" s="780"/>
      <c r="T7513" s="928"/>
      <c r="U7513" s="928"/>
      <c r="V7513" s="928"/>
      <c r="W7513" s="780"/>
      <c r="X7513" s="928"/>
      <c r="Y7513" s="780"/>
      <c r="Z7513" s="780"/>
      <c r="AA7513" s="780"/>
      <c r="AB7513" s="780"/>
      <c r="AC7513" s="780"/>
      <c r="AD7513" s="780"/>
      <c r="AE7513" s="780"/>
      <c r="AF7513" s="780"/>
    </row>
    <row r="7514" spans="19:32" x14ac:dyDescent="0.35">
      <c r="S7514" s="780"/>
      <c r="T7514" s="928"/>
      <c r="U7514" s="928"/>
      <c r="V7514" s="928"/>
      <c r="W7514" s="780"/>
      <c r="X7514" s="928"/>
      <c r="Y7514" s="780"/>
      <c r="Z7514" s="780"/>
      <c r="AA7514" s="780"/>
      <c r="AB7514" s="780"/>
      <c r="AC7514" s="780"/>
      <c r="AD7514" s="780"/>
      <c r="AE7514" s="780"/>
      <c r="AF7514" s="780"/>
    </row>
    <row r="7515" spans="19:32" x14ac:dyDescent="0.35">
      <c r="S7515" s="780"/>
      <c r="T7515" s="928"/>
      <c r="U7515" s="928"/>
      <c r="V7515" s="928"/>
      <c r="W7515" s="780"/>
      <c r="X7515" s="928"/>
      <c r="Y7515" s="780"/>
      <c r="Z7515" s="780"/>
      <c r="AA7515" s="780"/>
      <c r="AB7515" s="780"/>
      <c r="AC7515" s="780"/>
      <c r="AD7515" s="780"/>
      <c r="AE7515" s="780"/>
      <c r="AF7515" s="780"/>
    </row>
    <row r="7516" spans="19:32" x14ac:dyDescent="0.35">
      <c r="S7516" s="780"/>
      <c r="T7516" s="928"/>
      <c r="U7516" s="928"/>
      <c r="V7516" s="928"/>
      <c r="W7516" s="780"/>
      <c r="X7516" s="928"/>
      <c r="Y7516" s="780"/>
      <c r="Z7516" s="780"/>
      <c r="AA7516" s="780"/>
      <c r="AB7516" s="780"/>
      <c r="AC7516" s="780"/>
      <c r="AD7516" s="780"/>
      <c r="AE7516" s="780"/>
      <c r="AF7516" s="780"/>
    </row>
    <row r="7517" spans="19:32" x14ac:dyDescent="0.35">
      <c r="S7517" s="780"/>
      <c r="T7517" s="928"/>
      <c r="U7517" s="928"/>
      <c r="V7517" s="928"/>
      <c r="W7517" s="780"/>
      <c r="X7517" s="928"/>
      <c r="Y7517" s="780"/>
      <c r="Z7517" s="780"/>
      <c r="AA7517" s="780"/>
      <c r="AB7517" s="780"/>
      <c r="AC7517" s="780"/>
      <c r="AD7517" s="780"/>
      <c r="AE7517" s="780"/>
      <c r="AF7517" s="780"/>
    </row>
    <row r="7518" spans="19:32" x14ac:dyDescent="0.35">
      <c r="S7518" s="780"/>
      <c r="T7518" s="928"/>
      <c r="U7518" s="928"/>
      <c r="V7518" s="928"/>
      <c r="W7518" s="780"/>
      <c r="X7518" s="928"/>
      <c r="Y7518" s="780"/>
      <c r="Z7518" s="780"/>
      <c r="AA7518" s="780"/>
      <c r="AB7518" s="780"/>
      <c r="AC7518" s="780"/>
      <c r="AD7518" s="780"/>
      <c r="AE7518" s="780"/>
      <c r="AF7518" s="780"/>
    </row>
    <row r="7519" spans="19:32" x14ac:dyDescent="0.35">
      <c r="S7519" s="780"/>
      <c r="T7519" s="928"/>
      <c r="U7519" s="928"/>
      <c r="V7519" s="928"/>
      <c r="W7519" s="780"/>
      <c r="X7519" s="928"/>
      <c r="Y7519" s="780"/>
      <c r="Z7519" s="780"/>
      <c r="AA7519" s="780"/>
      <c r="AB7519" s="780"/>
      <c r="AC7519" s="780"/>
      <c r="AD7519" s="780"/>
      <c r="AE7519" s="780"/>
      <c r="AF7519" s="780"/>
    </row>
    <row r="7520" spans="19:32" x14ac:dyDescent="0.35">
      <c r="S7520" s="780"/>
      <c r="T7520" s="928"/>
      <c r="U7520" s="928"/>
      <c r="V7520" s="928"/>
      <c r="W7520" s="780"/>
      <c r="X7520" s="928"/>
      <c r="Y7520" s="780"/>
      <c r="Z7520" s="780"/>
      <c r="AA7520" s="780"/>
      <c r="AB7520" s="780"/>
      <c r="AC7520" s="780"/>
      <c r="AD7520" s="780"/>
      <c r="AE7520" s="780"/>
      <c r="AF7520" s="780"/>
    </row>
    <row r="7521" spans="19:32" x14ac:dyDescent="0.35">
      <c r="S7521" s="780"/>
      <c r="T7521" s="928"/>
      <c r="U7521" s="928"/>
      <c r="V7521" s="928"/>
      <c r="W7521" s="780"/>
      <c r="X7521" s="928"/>
      <c r="Y7521" s="780"/>
      <c r="Z7521" s="780"/>
      <c r="AA7521" s="780"/>
      <c r="AB7521" s="780"/>
      <c r="AC7521" s="780"/>
      <c r="AD7521" s="780"/>
      <c r="AE7521" s="780"/>
      <c r="AF7521" s="780"/>
    </row>
    <row r="7522" spans="19:32" x14ac:dyDescent="0.35">
      <c r="S7522" s="780"/>
      <c r="T7522" s="928"/>
      <c r="U7522" s="928"/>
      <c r="V7522" s="928"/>
      <c r="W7522" s="780"/>
      <c r="X7522" s="928"/>
      <c r="Y7522" s="780"/>
      <c r="Z7522" s="780"/>
      <c r="AA7522" s="780"/>
      <c r="AB7522" s="780"/>
      <c r="AC7522" s="780"/>
      <c r="AD7522" s="780"/>
      <c r="AE7522" s="780"/>
      <c r="AF7522" s="780"/>
    </row>
    <row r="7523" spans="19:32" x14ac:dyDescent="0.35">
      <c r="S7523" s="780"/>
      <c r="T7523" s="928"/>
      <c r="U7523" s="928"/>
      <c r="V7523" s="928"/>
      <c r="W7523" s="780"/>
      <c r="X7523" s="928"/>
      <c r="Y7523" s="780"/>
      <c r="Z7523" s="780"/>
      <c r="AA7523" s="780"/>
      <c r="AB7523" s="780"/>
      <c r="AC7523" s="780"/>
      <c r="AD7523" s="780"/>
      <c r="AE7523" s="780"/>
      <c r="AF7523" s="780"/>
    </row>
    <row r="7524" spans="19:32" x14ac:dyDescent="0.35">
      <c r="S7524" s="780"/>
      <c r="T7524" s="928"/>
      <c r="U7524" s="928"/>
      <c r="V7524" s="928"/>
      <c r="W7524" s="780"/>
      <c r="X7524" s="928"/>
      <c r="Y7524" s="780"/>
      <c r="Z7524" s="780"/>
      <c r="AA7524" s="780"/>
      <c r="AB7524" s="780"/>
      <c r="AC7524" s="780"/>
      <c r="AD7524" s="780"/>
      <c r="AE7524" s="780"/>
      <c r="AF7524" s="780"/>
    </row>
    <row r="7525" spans="19:32" x14ac:dyDescent="0.35">
      <c r="S7525" s="780"/>
      <c r="T7525" s="928"/>
      <c r="U7525" s="928"/>
      <c r="V7525" s="928"/>
      <c r="W7525" s="780"/>
      <c r="X7525" s="928"/>
      <c r="Y7525" s="780"/>
      <c r="Z7525" s="780"/>
      <c r="AA7525" s="780"/>
      <c r="AB7525" s="780"/>
      <c r="AC7525" s="780"/>
      <c r="AD7525" s="780"/>
      <c r="AE7525" s="780"/>
      <c r="AF7525" s="780"/>
    </row>
    <row r="7526" spans="19:32" x14ac:dyDescent="0.35">
      <c r="S7526" s="780"/>
      <c r="T7526" s="928"/>
      <c r="U7526" s="928"/>
      <c r="V7526" s="928"/>
      <c r="W7526" s="780"/>
      <c r="X7526" s="928"/>
      <c r="Y7526" s="780"/>
      <c r="Z7526" s="780"/>
      <c r="AA7526" s="780"/>
      <c r="AB7526" s="780"/>
      <c r="AC7526" s="780"/>
      <c r="AD7526" s="780"/>
      <c r="AE7526" s="780"/>
      <c r="AF7526" s="780"/>
    </row>
    <row r="7527" spans="19:32" x14ac:dyDescent="0.35">
      <c r="S7527" s="780"/>
      <c r="T7527" s="928"/>
      <c r="U7527" s="928"/>
      <c r="V7527" s="928"/>
      <c r="W7527" s="780"/>
      <c r="X7527" s="928"/>
      <c r="Y7527" s="780"/>
      <c r="Z7527" s="780"/>
      <c r="AA7527" s="780"/>
      <c r="AB7527" s="780"/>
      <c r="AC7527" s="780"/>
      <c r="AD7527" s="780"/>
      <c r="AE7527" s="780"/>
      <c r="AF7527" s="780"/>
    </row>
    <row r="7528" spans="19:32" x14ac:dyDescent="0.35">
      <c r="S7528" s="780"/>
      <c r="T7528" s="928"/>
      <c r="U7528" s="928"/>
      <c r="V7528" s="928"/>
      <c r="W7528" s="780"/>
      <c r="X7528" s="928"/>
      <c r="Y7528" s="780"/>
      <c r="Z7528" s="780"/>
      <c r="AA7528" s="780"/>
      <c r="AB7528" s="780"/>
      <c r="AC7528" s="780"/>
      <c r="AD7528" s="780"/>
      <c r="AE7528" s="780"/>
      <c r="AF7528" s="780"/>
    </row>
    <row r="7529" spans="19:32" x14ac:dyDescent="0.35">
      <c r="S7529" s="780"/>
      <c r="T7529" s="928"/>
      <c r="U7529" s="928"/>
      <c r="V7529" s="928"/>
      <c r="W7529" s="780"/>
      <c r="X7529" s="928"/>
      <c r="Y7529" s="780"/>
      <c r="Z7529" s="780"/>
      <c r="AA7529" s="780"/>
      <c r="AB7529" s="780"/>
      <c r="AC7529" s="780"/>
      <c r="AD7529" s="780"/>
      <c r="AE7529" s="780"/>
      <c r="AF7529" s="780"/>
    </row>
    <row r="7530" spans="19:32" x14ac:dyDescent="0.35">
      <c r="S7530" s="780"/>
      <c r="T7530" s="928"/>
      <c r="U7530" s="928"/>
      <c r="V7530" s="928"/>
      <c r="W7530" s="780"/>
      <c r="X7530" s="928"/>
      <c r="Y7530" s="780"/>
      <c r="Z7530" s="780"/>
      <c r="AA7530" s="780"/>
      <c r="AB7530" s="780"/>
      <c r="AC7530" s="780"/>
      <c r="AD7530" s="780"/>
      <c r="AE7530" s="780"/>
      <c r="AF7530" s="780"/>
    </row>
    <row r="7531" spans="19:32" x14ac:dyDescent="0.35">
      <c r="S7531" s="780"/>
      <c r="T7531" s="928"/>
      <c r="U7531" s="928"/>
      <c r="V7531" s="928"/>
      <c r="W7531" s="780"/>
      <c r="X7531" s="928"/>
      <c r="Y7531" s="780"/>
      <c r="Z7531" s="780"/>
      <c r="AA7531" s="780"/>
      <c r="AB7531" s="780"/>
      <c r="AC7531" s="780"/>
      <c r="AD7531" s="780"/>
      <c r="AE7531" s="780"/>
      <c r="AF7531" s="780"/>
    </row>
    <row r="7532" spans="19:32" x14ac:dyDescent="0.35">
      <c r="S7532" s="780"/>
      <c r="T7532" s="928"/>
      <c r="U7532" s="928"/>
      <c r="V7532" s="928"/>
      <c r="W7532" s="780"/>
      <c r="X7532" s="928"/>
      <c r="Y7532" s="780"/>
      <c r="Z7532" s="780"/>
      <c r="AA7532" s="780"/>
      <c r="AB7532" s="780"/>
      <c r="AC7532" s="780"/>
      <c r="AD7532" s="780"/>
      <c r="AE7532" s="780"/>
      <c r="AF7532" s="780"/>
    </row>
    <row r="7533" spans="19:32" x14ac:dyDescent="0.35">
      <c r="S7533" s="780"/>
      <c r="T7533" s="928"/>
      <c r="U7533" s="928"/>
      <c r="V7533" s="928"/>
      <c r="W7533" s="780"/>
      <c r="X7533" s="928"/>
      <c r="Y7533" s="780"/>
      <c r="Z7533" s="780"/>
      <c r="AA7533" s="780"/>
      <c r="AB7533" s="780"/>
      <c r="AC7533" s="780"/>
      <c r="AD7533" s="780"/>
      <c r="AE7533" s="780"/>
      <c r="AF7533" s="780"/>
    </row>
    <row r="7534" spans="19:32" x14ac:dyDescent="0.35">
      <c r="S7534" s="780"/>
      <c r="T7534" s="928"/>
      <c r="U7534" s="928"/>
      <c r="V7534" s="928"/>
      <c r="W7534" s="780"/>
      <c r="X7534" s="928"/>
      <c r="Y7534" s="780"/>
      <c r="Z7534" s="780"/>
      <c r="AA7534" s="780"/>
      <c r="AB7534" s="780"/>
      <c r="AC7534" s="780"/>
      <c r="AD7534" s="780"/>
      <c r="AE7534" s="780"/>
      <c r="AF7534" s="780"/>
    </row>
    <row r="7535" spans="19:32" x14ac:dyDescent="0.35">
      <c r="S7535" s="780"/>
      <c r="T7535" s="928"/>
      <c r="U7535" s="928"/>
      <c r="V7535" s="928"/>
      <c r="W7535" s="780"/>
      <c r="X7535" s="928"/>
      <c r="Y7535" s="780"/>
      <c r="Z7535" s="780"/>
      <c r="AA7535" s="780"/>
      <c r="AB7535" s="780"/>
      <c r="AC7535" s="780"/>
      <c r="AD7535" s="780"/>
      <c r="AE7535" s="780"/>
      <c r="AF7535" s="780"/>
    </row>
    <row r="7536" spans="19:32" x14ac:dyDescent="0.35">
      <c r="S7536" s="780"/>
      <c r="T7536" s="928"/>
      <c r="U7536" s="928"/>
      <c r="V7536" s="928"/>
      <c r="W7536" s="780"/>
      <c r="X7536" s="928"/>
      <c r="Y7536" s="780"/>
      <c r="Z7536" s="780"/>
      <c r="AA7536" s="780"/>
      <c r="AB7536" s="780"/>
      <c r="AC7536" s="780"/>
      <c r="AD7536" s="780"/>
      <c r="AE7536" s="780"/>
      <c r="AF7536" s="780"/>
    </row>
    <row r="7537" spans="19:32" x14ac:dyDescent="0.35">
      <c r="S7537" s="780"/>
      <c r="T7537" s="928"/>
      <c r="U7537" s="928"/>
      <c r="V7537" s="928"/>
      <c r="W7537" s="780"/>
      <c r="X7537" s="928"/>
      <c r="Y7537" s="780"/>
      <c r="Z7537" s="780"/>
      <c r="AA7537" s="780"/>
      <c r="AB7537" s="780"/>
      <c r="AC7537" s="780"/>
      <c r="AD7537" s="780"/>
      <c r="AE7537" s="780"/>
      <c r="AF7537" s="780"/>
    </row>
    <row r="7538" spans="19:32" x14ac:dyDescent="0.35">
      <c r="S7538" s="780"/>
      <c r="T7538" s="928"/>
      <c r="U7538" s="928"/>
      <c r="V7538" s="928"/>
      <c r="W7538" s="780"/>
      <c r="X7538" s="928"/>
      <c r="Y7538" s="780"/>
      <c r="Z7538" s="780"/>
      <c r="AA7538" s="780"/>
      <c r="AB7538" s="780"/>
      <c r="AC7538" s="780"/>
      <c r="AD7538" s="780"/>
      <c r="AE7538" s="780"/>
      <c r="AF7538" s="780"/>
    </row>
    <row r="7539" spans="19:32" x14ac:dyDescent="0.35">
      <c r="S7539" s="780"/>
      <c r="T7539" s="928"/>
      <c r="U7539" s="928"/>
      <c r="V7539" s="928"/>
      <c r="W7539" s="780"/>
      <c r="X7539" s="928"/>
      <c r="Y7539" s="780"/>
      <c r="Z7539" s="780"/>
      <c r="AA7539" s="780"/>
      <c r="AB7539" s="780"/>
      <c r="AC7539" s="780"/>
      <c r="AD7539" s="780"/>
      <c r="AE7539" s="780"/>
      <c r="AF7539" s="780"/>
    </row>
    <row r="7540" spans="19:32" x14ac:dyDescent="0.35">
      <c r="S7540" s="780"/>
      <c r="T7540" s="928"/>
      <c r="U7540" s="928"/>
      <c r="V7540" s="928"/>
      <c r="W7540" s="780"/>
      <c r="X7540" s="928"/>
      <c r="Y7540" s="780"/>
      <c r="Z7540" s="780"/>
      <c r="AA7540" s="780"/>
      <c r="AB7540" s="780"/>
      <c r="AC7540" s="780"/>
      <c r="AD7540" s="780"/>
      <c r="AE7540" s="780"/>
      <c r="AF7540" s="780"/>
    </row>
    <row r="7541" spans="19:32" x14ac:dyDescent="0.35">
      <c r="S7541" s="780"/>
      <c r="T7541" s="928"/>
      <c r="U7541" s="928"/>
      <c r="V7541" s="928"/>
      <c r="W7541" s="780"/>
      <c r="X7541" s="928"/>
      <c r="Y7541" s="780"/>
      <c r="Z7541" s="780"/>
      <c r="AA7541" s="780"/>
      <c r="AB7541" s="780"/>
      <c r="AC7541" s="780"/>
      <c r="AD7541" s="780"/>
      <c r="AE7541" s="780"/>
      <c r="AF7541" s="780"/>
    </row>
    <row r="7542" spans="19:32" x14ac:dyDescent="0.35">
      <c r="S7542" s="780"/>
      <c r="T7542" s="928"/>
      <c r="U7542" s="928"/>
      <c r="V7542" s="928"/>
      <c r="W7542" s="780"/>
      <c r="X7542" s="928"/>
      <c r="Y7542" s="780"/>
      <c r="Z7542" s="780"/>
      <c r="AA7542" s="780"/>
      <c r="AB7542" s="780"/>
      <c r="AC7542" s="780"/>
      <c r="AD7542" s="780"/>
      <c r="AE7542" s="780"/>
      <c r="AF7542" s="780"/>
    </row>
    <row r="7543" spans="19:32" x14ac:dyDescent="0.35">
      <c r="S7543" s="780"/>
      <c r="T7543" s="928"/>
      <c r="U7543" s="928"/>
      <c r="V7543" s="928"/>
      <c r="W7543" s="780"/>
      <c r="X7543" s="928"/>
      <c r="Y7543" s="780"/>
      <c r="Z7543" s="780"/>
      <c r="AA7543" s="780"/>
      <c r="AB7543" s="780"/>
      <c r="AC7543" s="780"/>
      <c r="AD7543" s="780"/>
      <c r="AE7543" s="780"/>
      <c r="AF7543" s="780"/>
    </row>
    <row r="7544" spans="19:32" x14ac:dyDescent="0.35">
      <c r="S7544" s="780"/>
      <c r="T7544" s="928"/>
      <c r="U7544" s="928"/>
      <c r="V7544" s="928"/>
      <c r="W7544" s="780"/>
      <c r="X7544" s="928"/>
      <c r="Y7544" s="780"/>
      <c r="Z7544" s="780"/>
      <c r="AA7544" s="780"/>
      <c r="AB7544" s="780"/>
      <c r="AC7544" s="780"/>
      <c r="AD7544" s="780"/>
      <c r="AE7544" s="780"/>
      <c r="AF7544" s="780"/>
    </row>
    <row r="7545" spans="19:32" x14ac:dyDescent="0.35">
      <c r="S7545" s="780"/>
      <c r="T7545" s="928"/>
      <c r="U7545" s="928"/>
      <c r="V7545" s="928"/>
      <c r="W7545" s="780"/>
      <c r="X7545" s="928"/>
      <c r="Y7545" s="780"/>
      <c r="Z7545" s="780"/>
      <c r="AA7545" s="780"/>
      <c r="AB7545" s="780"/>
      <c r="AC7545" s="780"/>
      <c r="AD7545" s="780"/>
      <c r="AE7545" s="780"/>
      <c r="AF7545" s="780"/>
    </row>
    <row r="7546" spans="19:32" x14ac:dyDescent="0.35">
      <c r="S7546" s="780"/>
      <c r="T7546" s="928"/>
      <c r="U7546" s="928"/>
      <c r="V7546" s="928"/>
      <c r="W7546" s="780"/>
      <c r="X7546" s="928"/>
      <c r="Y7546" s="780"/>
      <c r="Z7546" s="780"/>
      <c r="AA7546" s="780"/>
      <c r="AB7546" s="780"/>
      <c r="AC7546" s="780"/>
      <c r="AD7546" s="780"/>
      <c r="AE7546" s="780"/>
      <c r="AF7546" s="780"/>
    </row>
    <row r="7547" spans="19:32" x14ac:dyDescent="0.35">
      <c r="S7547" s="780"/>
      <c r="T7547" s="928"/>
      <c r="U7547" s="928"/>
      <c r="V7547" s="928"/>
      <c r="W7547" s="780"/>
      <c r="X7547" s="928"/>
      <c r="Y7547" s="780"/>
      <c r="Z7547" s="780"/>
      <c r="AA7547" s="780"/>
      <c r="AB7547" s="780"/>
      <c r="AC7547" s="780"/>
      <c r="AD7547" s="780"/>
      <c r="AE7547" s="780"/>
      <c r="AF7547" s="780"/>
    </row>
    <row r="7548" spans="19:32" x14ac:dyDescent="0.35">
      <c r="S7548" s="780"/>
      <c r="T7548" s="928"/>
      <c r="U7548" s="928"/>
      <c r="V7548" s="928"/>
      <c r="W7548" s="780"/>
      <c r="X7548" s="928"/>
      <c r="Y7548" s="780"/>
      <c r="Z7548" s="780"/>
      <c r="AA7548" s="780"/>
      <c r="AB7548" s="780"/>
      <c r="AC7548" s="780"/>
      <c r="AD7548" s="780"/>
      <c r="AE7548" s="780"/>
      <c r="AF7548" s="780"/>
    </row>
    <row r="7549" spans="19:32" x14ac:dyDescent="0.35">
      <c r="S7549" s="780"/>
      <c r="T7549" s="928"/>
      <c r="U7549" s="928"/>
      <c r="V7549" s="928"/>
      <c r="W7549" s="780"/>
      <c r="X7549" s="928"/>
      <c r="Y7549" s="780"/>
      <c r="Z7549" s="780"/>
      <c r="AA7549" s="780"/>
      <c r="AB7549" s="780"/>
      <c r="AC7549" s="780"/>
      <c r="AD7549" s="780"/>
      <c r="AE7549" s="780"/>
      <c r="AF7549" s="780"/>
    </row>
    <row r="7550" spans="19:32" x14ac:dyDescent="0.35">
      <c r="S7550" s="780"/>
      <c r="T7550" s="928"/>
      <c r="U7550" s="928"/>
      <c r="V7550" s="928"/>
      <c r="W7550" s="780"/>
      <c r="X7550" s="928"/>
      <c r="Y7550" s="780"/>
      <c r="Z7550" s="780"/>
      <c r="AA7550" s="780"/>
      <c r="AB7550" s="780"/>
      <c r="AC7550" s="780"/>
      <c r="AD7550" s="780"/>
      <c r="AE7550" s="780"/>
      <c r="AF7550" s="780"/>
    </row>
    <row r="7551" spans="19:32" x14ac:dyDescent="0.35">
      <c r="S7551" s="780"/>
      <c r="T7551" s="928"/>
      <c r="U7551" s="928"/>
      <c r="V7551" s="928"/>
      <c r="W7551" s="780"/>
      <c r="X7551" s="928"/>
      <c r="Y7551" s="780"/>
      <c r="Z7551" s="780"/>
      <c r="AA7551" s="780"/>
      <c r="AB7551" s="780"/>
      <c r="AC7551" s="780"/>
      <c r="AD7551" s="780"/>
      <c r="AE7551" s="780"/>
      <c r="AF7551" s="780"/>
    </row>
    <row r="7552" spans="19:32" x14ac:dyDescent="0.35">
      <c r="S7552" s="780"/>
      <c r="T7552" s="928"/>
      <c r="U7552" s="928"/>
      <c r="V7552" s="928"/>
      <c r="W7552" s="780"/>
      <c r="X7552" s="928"/>
      <c r="Y7552" s="780"/>
      <c r="Z7552" s="780"/>
      <c r="AA7552" s="780"/>
      <c r="AB7552" s="780"/>
      <c r="AC7552" s="780"/>
      <c r="AD7552" s="780"/>
      <c r="AE7552" s="780"/>
      <c r="AF7552" s="780"/>
    </row>
    <row r="7553" spans="19:32" x14ac:dyDescent="0.35">
      <c r="S7553" s="780"/>
      <c r="T7553" s="928"/>
      <c r="U7553" s="928"/>
      <c r="V7553" s="928"/>
      <c r="W7553" s="780"/>
      <c r="X7553" s="928"/>
      <c r="Y7553" s="780"/>
      <c r="Z7553" s="780"/>
      <c r="AA7553" s="780"/>
      <c r="AB7553" s="780"/>
      <c r="AC7553" s="780"/>
      <c r="AD7553" s="780"/>
      <c r="AE7553" s="780"/>
      <c r="AF7553" s="780"/>
    </row>
    <row r="7554" spans="19:32" x14ac:dyDescent="0.35">
      <c r="S7554" s="780"/>
      <c r="T7554" s="928"/>
      <c r="U7554" s="928"/>
      <c r="V7554" s="928"/>
      <c r="W7554" s="780"/>
      <c r="X7554" s="928"/>
      <c r="Y7554" s="780"/>
      <c r="Z7554" s="780"/>
      <c r="AA7554" s="780"/>
      <c r="AB7554" s="780"/>
      <c r="AC7554" s="780"/>
      <c r="AD7554" s="780"/>
      <c r="AE7554" s="780"/>
      <c r="AF7554" s="780"/>
    </row>
    <row r="7555" spans="19:32" x14ac:dyDescent="0.35">
      <c r="S7555" s="780"/>
      <c r="T7555" s="928"/>
      <c r="U7555" s="928"/>
      <c r="V7555" s="928"/>
      <c r="W7555" s="780"/>
      <c r="X7555" s="928"/>
      <c r="Y7555" s="780"/>
      <c r="Z7555" s="780"/>
      <c r="AA7555" s="780"/>
      <c r="AB7555" s="780"/>
      <c r="AC7555" s="780"/>
      <c r="AD7555" s="780"/>
      <c r="AE7555" s="780"/>
      <c r="AF7555" s="780"/>
    </row>
    <row r="7556" spans="19:32" x14ac:dyDescent="0.35">
      <c r="S7556" s="780"/>
      <c r="T7556" s="928"/>
      <c r="U7556" s="928"/>
      <c r="V7556" s="928"/>
      <c r="W7556" s="780"/>
      <c r="X7556" s="928"/>
      <c r="Y7556" s="780"/>
      <c r="Z7556" s="780"/>
      <c r="AA7556" s="780"/>
      <c r="AB7556" s="780"/>
      <c r="AC7556" s="780"/>
      <c r="AD7556" s="780"/>
      <c r="AE7556" s="780"/>
      <c r="AF7556" s="780"/>
    </row>
    <row r="7557" spans="19:32" x14ac:dyDescent="0.35">
      <c r="S7557" s="780"/>
      <c r="T7557" s="928"/>
      <c r="U7557" s="928"/>
      <c r="V7557" s="928"/>
      <c r="W7557" s="780"/>
      <c r="X7557" s="928"/>
      <c r="Y7557" s="780"/>
      <c r="Z7557" s="780"/>
      <c r="AA7557" s="780"/>
      <c r="AB7557" s="780"/>
      <c r="AC7557" s="780"/>
      <c r="AD7557" s="780"/>
      <c r="AE7557" s="780"/>
      <c r="AF7557" s="780"/>
    </row>
    <row r="7558" spans="19:32" x14ac:dyDescent="0.35">
      <c r="S7558" s="780"/>
      <c r="T7558" s="928"/>
      <c r="U7558" s="928"/>
      <c r="V7558" s="928"/>
      <c r="W7558" s="780"/>
      <c r="X7558" s="928"/>
      <c r="Y7558" s="780"/>
      <c r="Z7558" s="780"/>
      <c r="AA7558" s="780"/>
      <c r="AB7558" s="780"/>
      <c r="AC7558" s="780"/>
      <c r="AD7558" s="780"/>
      <c r="AE7558" s="780"/>
      <c r="AF7558" s="780"/>
    </row>
    <row r="7559" spans="19:32" x14ac:dyDescent="0.35">
      <c r="S7559" s="780"/>
      <c r="T7559" s="928"/>
      <c r="U7559" s="928"/>
      <c r="V7559" s="928"/>
      <c r="W7559" s="780"/>
      <c r="X7559" s="928"/>
      <c r="Y7559" s="780"/>
      <c r="Z7559" s="780"/>
      <c r="AA7559" s="780"/>
      <c r="AB7559" s="780"/>
      <c r="AC7559" s="780"/>
      <c r="AD7559" s="780"/>
      <c r="AE7559" s="780"/>
      <c r="AF7559" s="780"/>
    </row>
    <row r="7560" spans="19:32" x14ac:dyDescent="0.35">
      <c r="S7560" s="780"/>
      <c r="T7560" s="928"/>
      <c r="U7560" s="928"/>
      <c r="V7560" s="928"/>
      <c r="W7560" s="780"/>
      <c r="X7560" s="928"/>
      <c r="Y7560" s="780"/>
      <c r="Z7560" s="780"/>
      <c r="AA7560" s="780"/>
      <c r="AB7560" s="780"/>
      <c r="AC7560" s="780"/>
      <c r="AD7560" s="780"/>
      <c r="AE7560" s="780"/>
      <c r="AF7560" s="780"/>
    </row>
    <row r="7561" spans="19:32" x14ac:dyDescent="0.35">
      <c r="S7561" s="780"/>
      <c r="T7561" s="928"/>
      <c r="U7561" s="928"/>
      <c r="V7561" s="928"/>
      <c r="W7561" s="780"/>
      <c r="X7561" s="928"/>
      <c r="Y7561" s="780"/>
      <c r="Z7561" s="780"/>
      <c r="AA7561" s="780"/>
      <c r="AB7561" s="780"/>
      <c r="AC7561" s="780"/>
      <c r="AD7561" s="780"/>
      <c r="AE7561" s="780"/>
      <c r="AF7561" s="780"/>
    </row>
    <row r="7562" spans="19:32" x14ac:dyDescent="0.35">
      <c r="S7562" s="780"/>
      <c r="T7562" s="928"/>
      <c r="U7562" s="928"/>
      <c r="V7562" s="928"/>
      <c r="W7562" s="780"/>
      <c r="X7562" s="928"/>
      <c r="Y7562" s="780"/>
      <c r="Z7562" s="780"/>
      <c r="AA7562" s="780"/>
      <c r="AB7562" s="780"/>
      <c r="AC7562" s="780"/>
      <c r="AD7562" s="780"/>
      <c r="AE7562" s="780"/>
      <c r="AF7562" s="780"/>
    </row>
    <row r="7563" spans="19:32" x14ac:dyDescent="0.35">
      <c r="S7563" s="780"/>
      <c r="T7563" s="928"/>
      <c r="U7563" s="928"/>
      <c r="V7563" s="928"/>
      <c r="W7563" s="780"/>
      <c r="X7563" s="928"/>
      <c r="Y7563" s="780"/>
      <c r="Z7563" s="780"/>
      <c r="AA7563" s="780"/>
      <c r="AB7563" s="780"/>
      <c r="AC7563" s="780"/>
      <c r="AD7563" s="780"/>
      <c r="AE7563" s="780"/>
      <c r="AF7563" s="780"/>
    </row>
    <row r="7564" spans="19:32" x14ac:dyDescent="0.35">
      <c r="S7564" s="780"/>
      <c r="T7564" s="928"/>
      <c r="U7564" s="928"/>
      <c r="V7564" s="928"/>
      <c r="W7564" s="780"/>
      <c r="X7564" s="928"/>
      <c r="Y7564" s="780"/>
      <c r="Z7564" s="780"/>
      <c r="AA7564" s="780"/>
      <c r="AB7564" s="780"/>
      <c r="AC7564" s="780"/>
      <c r="AD7564" s="780"/>
      <c r="AE7564" s="780"/>
      <c r="AF7564" s="780"/>
    </row>
    <row r="7565" spans="19:32" x14ac:dyDescent="0.35">
      <c r="S7565" s="780"/>
      <c r="T7565" s="928"/>
      <c r="U7565" s="928"/>
      <c r="V7565" s="928"/>
      <c r="W7565" s="780"/>
      <c r="X7565" s="928"/>
      <c r="Y7565" s="780"/>
      <c r="Z7565" s="780"/>
      <c r="AA7565" s="780"/>
      <c r="AB7565" s="780"/>
      <c r="AC7565" s="780"/>
      <c r="AD7565" s="780"/>
      <c r="AE7565" s="780"/>
      <c r="AF7565" s="780"/>
    </row>
    <row r="7566" spans="19:32" x14ac:dyDescent="0.35">
      <c r="S7566" s="780"/>
      <c r="T7566" s="928"/>
      <c r="U7566" s="928"/>
      <c r="V7566" s="928"/>
      <c r="W7566" s="780"/>
      <c r="X7566" s="928"/>
      <c r="Y7566" s="780"/>
      <c r="Z7566" s="780"/>
      <c r="AA7566" s="780"/>
      <c r="AB7566" s="780"/>
      <c r="AC7566" s="780"/>
      <c r="AD7566" s="780"/>
      <c r="AE7566" s="780"/>
      <c r="AF7566" s="780"/>
    </row>
    <row r="7567" spans="19:32" x14ac:dyDescent="0.35">
      <c r="S7567" s="780"/>
      <c r="T7567" s="928"/>
      <c r="U7567" s="928"/>
      <c r="V7567" s="928"/>
      <c r="W7567" s="780"/>
      <c r="X7567" s="928"/>
      <c r="Y7567" s="780"/>
      <c r="Z7567" s="780"/>
      <c r="AA7567" s="780"/>
      <c r="AB7567" s="780"/>
      <c r="AC7567" s="780"/>
      <c r="AD7567" s="780"/>
      <c r="AE7567" s="780"/>
      <c r="AF7567" s="780"/>
    </row>
    <row r="7568" spans="19:32" x14ac:dyDescent="0.35">
      <c r="S7568" s="780"/>
      <c r="T7568" s="928"/>
      <c r="U7568" s="928"/>
      <c r="V7568" s="928"/>
      <c r="W7568" s="780"/>
      <c r="X7568" s="928"/>
      <c r="Y7568" s="780"/>
      <c r="Z7568" s="780"/>
      <c r="AA7568" s="780"/>
      <c r="AB7568" s="780"/>
      <c r="AC7568" s="780"/>
      <c r="AD7568" s="780"/>
      <c r="AE7568" s="780"/>
      <c r="AF7568" s="780"/>
    </row>
    <row r="7569" spans="19:32" x14ac:dyDescent="0.35">
      <c r="S7569" s="780"/>
      <c r="T7569" s="928"/>
      <c r="U7569" s="928"/>
      <c r="V7569" s="928"/>
      <c r="W7569" s="780"/>
      <c r="X7569" s="928"/>
      <c r="Y7569" s="780"/>
      <c r="Z7569" s="780"/>
      <c r="AA7569" s="780"/>
      <c r="AB7569" s="780"/>
      <c r="AC7569" s="780"/>
      <c r="AD7569" s="780"/>
      <c r="AE7569" s="780"/>
      <c r="AF7569" s="780"/>
    </row>
    <row r="7570" spans="19:32" x14ac:dyDescent="0.35">
      <c r="S7570" s="780"/>
      <c r="T7570" s="928"/>
      <c r="U7570" s="928"/>
      <c r="V7570" s="928"/>
      <c r="W7570" s="780"/>
      <c r="X7570" s="928"/>
      <c r="Y7570" s="780"/>
      <c r="Z7570" s="780"/>
      <c r="AA7570" s="780"/>
      <c r="AB7570" s="780"/>
      <c r="AC7570" s="780"/>
      <c r="AD7570" s="780"/>
      <c r="AE7570" s="780"/>
      <c r="AF7570" s="780"/>
    </row>
    <row r="7571" spans="19:32" x14ac:dyDescent="0.35">
      <c r="S7571" s="780"/>
      <c r="T7571" s="928"/>
      <c r="U7571" s="928"/>
      <c r="V7571" s="928"/>
      <c r="W7571" s="780"/>
      <c r="X7571" s="928"/>
      <c r="Y7571" s="780"/>
      <c r="Z7571" s="780"/>
      <c r="AA7571" s="780"/>
      <c r="AB7571" s="780"/>
      <c r="AC7571" s="780"/>
      <c r="AD7571" s="780"/>
      <c r="AE7571" s="780"/>
      <c r="AF7571" s="780"/>
    </row>
    <row r="7572" spans="19:32" x14ac:dyDescent="0.35">
      <c r="S7572" s="780"/>
      <c r="T7572" s="928"/>
      <c r="U7572" s="928"/>
      <c r="V7572" s="928"/>
      <c r="W7572" s="780"/>
      <c r="X7572" s="928"/>
      <c r="Y7572" s="780"/>
      <c r="Z7572" s="780"/>
      <c r="AA7572" s="780"/>
      <c r="AB7572" s="780"/>
      <c r="AC7572" s="780"/>
      <c r="AD7572" s="780"/>
      <c r="AE7572" s="780"/>
      <c r="AF7572" s="780"/>
    </row>
    <row r="7573" spans="19:32" x14ac:dyDescent="0.35">
      <c r="S7573" s="780"/>
      <c r="T7573" s="928"/>
      <c r="U7573" s="928"/>
      <c r="V7573" s="928"/>
      <c r="W7573" s="780"/>
      <c r="X7573" s="928"/>
      <c r="Y7573" s="780"/>
      <c r="Z7573" s="780"/>
      <c r="AA7573" s="780"/>
      <c r="AB7573" s="780"/>
      <c r="AC7573" s="780"/>
      <c r="AD7573" s="780"/>
      <c r="AE7573" s="780"/>
      <c r="AF7573" s="780"/>
    </row>
    <row r="7574" spans="19:32" x14ac:dyDescent="0.35">
      <c r="S7574" s="780"/>
      <c r="T7574" s="928"/>
      <c r="U7574" s="928"/>
      <c r="V7574" s="928"/>
      <c r="W7574" s="780"/>
      <c r="X7574" s="928"/>
      <c r="Y7574" s="780"/>
      <c r="Z7574" s="780"/>
      <c r="AA7574" s="780"/>
      <c r="AB7574" s="780"/>
      <c r="AC7574" s="780"/>
      <c r="AD7574" s="780"/>
      <c r="AE7574" s="780"/>
      <c r="AF7574" s="780"/>
    </row>
    <row r="7575" spans="19:32" x14ac:dyDescent="0.35">
      <c r="S7575" s="780"/>
      <c r="T7575" s="928"/>
      <c r="U7575" s="928"/>
      <c r="V7575" s="928"/>
      <c r="W7575" s="780"/>
      <c r="X7575" s="928"/>
      <c r="Y7575" s="780"/>
      <c r="Z7575" s="780"/>
      <c r="AA7575" s="780"/>
      <c r="AB7575" s="780"/>
      <c r="AC7575" s="780"/>
      <c r="AD7575" s="780"/>
      <c r="AE7575" s="780"/>
      <c r="AF7575" s="780"/>
    </row>
    <row r="7576" spans="19:32" x14ac:dyDescent="0.35">
      <c r="S7576" s="780"/>
      <c r="T7576" s="928"/>
      <c r="U7576" s="928"/>
      <c r="V7576" s="928"/>
      <c r="W7576" s="780"/>
      <c r="X7576" s="928"/>
      <c r="Y7576" s="780"/>
      <c r="Z7576" s="780"/>
      <c r="AA7576" s="780"/>
      <c r="AB7576" s="780"/>
      <c r="AC7576" s="780"/>
      <c r="AD7576" s="780"/>
      <c r="AE7576" s="780"/>
      <c r="AF7576" s="780"/>
    </row>
    <row r="7577" spans="19:32" x14ac:dyDescent="0.35">
      <c r="S7577" s="780"/>
      <c r="T7577" s="928"/>
      <c r="U7577" s="928"/>
      <c r="V7577" s="928"/>
      <c r="W7577" s="780"/>
      <c r="X7577" s="928"/>
      <c r="Y7577" s="780"/>
      <c r="Z7577" s="780"/>
      <c r="AA7577" s="780"/>
      <c r="AB7577" s="780"/>
      <c r="AC7577" s="780"/>
      <c r="AD7577" s="780"/>
      <c r="AE7577" s="780"/>
      <c r="AF7577" s="780"/>
    </row>
    <row r="7578" spans="19:32" x14ac:dyDescent="0.35">
      <c r="S7578" s="780"/>
      <c r="T7578" s="928"/>
      <c r="U7578" s="928"/>
      <c r="V7578" s="928"/>
      <c r="W7578" s="780"/>
      <c r="X7578" s="928"/>
      <c r="Y7578" s="780"/>
      <c r="Z7578" s="780"/>
      <c r="AA7578" s="780"/>
      <c r="AB7578" s="780"/>
      <c r="AC7578" s="780"/>
      <c r="AD7578" s="780"/>
      <c r="AE7578" s="780"/>
      <c r="AF7578" s="780"/>
    </row>
    <row r="7579" spans="19:32" x14ac:dyDescent="0.35">
      <c r="S7579" s="780"/>
      <c r="T7579" s="928"/>
      <c r="U7579" s="928"/>
      <c r="V7579" s="928"/>
      <c r="W7579" s="780"/>
      <c r="X7579" s="928"/>
      <c r="Y7579" s="780"/>
      <c r="Z7579" s="780"/>
      <c r="AA7579" s="780"/>
      <c r="AB7579" s="780"/>
      <c r="AC7579" s="780"/>
      <c r="AD7579" s="780"/>
      <c r="AE7579" s="780"/>
      <c r="AF7579" s="780"/>
    </row>
    <row r="7580" spans="19:32" x14ac:dyDescent="0.35">
      <c r="S7580" s="780"/>
      <c r="T7580" s="928"/>
      <c r="U7580" s="928"/>
      <c r="V7580" s="928"/>
      <c r="W7580" s="780"/>
      <c r="X7580" s="928"/>
      <c r="Y7580" s="780"/>
      <c r="Z7580" s="780"/>
      <c r="AA7580" s="780"/>
      <c r="AB7580" s="780"/>
      <c r="AC7580" s="780"/>
      <c r="AD7580" s="780"/>
      <c r="AE7580" s="780"/>
      <c r="AF7580" s="780"/>
    </row>
    <row r="7581" spans="19:32" x14ac:dyDescent="0.35">
      <c r="S7581" s="780"/>
      <c r="T7581" s="928"/>
      <c r="U7581" s="928"/>
      <c r="V7581" s="928"/>
      <c r="W7581" s="780"/>
      <c r="X7581" s="928"/>
      <c r="Y7581" s="780"/>
      <c r="Z7581" s="780"/>
      <c r="AA7581" s="780"/>
      <c r="AB7581" s="780"/>
      <c r="AC7581" s="780"/>
      <c r="AD7581" s="780"/>
      <c r="AE7581" s="780"/>
      <c r="AF7581" s="780"/>
    </row>
    <row r="7582" spans="19:32" x14ac:dyDescent="0.35">
      <c r="S7582" s="780"/>
      <c r="T7582" s="928"/>
      <c r="U7582" s="928"/>
      <c r="V7582" s="928"/>
      <c r="W7582" s="780"/>
      <c r="X7582" s="928"/>
      <c r="Y7582" s="780"/>
      <c r="Z7582" s="780"/>
      <c r="AA7582" s="780"/>
      <c r="AB7582" s="780"/>
      <c r="AC7582" s="780"/>
      <c r="AD7582" s="780"/>
      <c r="AE7582" s="780"/>
      <c r="AF7582" s="780"/>
    </row>
    <row r="7583" spans="19:32" x14ac:dyDescent="0.35">
      <c r="S7583" s="780"/>
      <c r="T7583" s="928"/>
      <c r="U7583" s="928"/>
      <c r="V7583" s="928"/>
      <c r="W7583" s="780"/>
      <c r="X7583" s="928"/>
      <c r="Y7583" s="780"/>
      <c r="Z7583" s="780"/>
      <c r="AA7583" s="780"/>
      <c r="AB7583" s="780"/>
      <c r="AC7583" s="780"/>
      <c r="AD7583" s="780"/>
      <c r="AE7583" s="780"/>
      <c r="AF7583" s="780"/>
    </row>
    <row r="7584" spans="19:32" x14ac:dyDescent="0.35">
      <c r="S7584" s="780"/>
      <c r="T7584" s="928"/>
      <c r="U7584" s="928"/>
      <c r="V7584" s="928"/>
      <c r="W7584" s="780"/>
      <c r="X7584" s="928"/>
      <c r="Y7584" s="780"/>
      <c r="Z7584" s="780"/>
      <c r="AA7584" s="780"/>
      <c r="AB7584" s="780"/>
      <c r="AC7584" s="780"/>
      <c r="AD7584" s="780"/>
      <c r="AE7584" s="780"/>
      <c r="AF7584" s="780"/>
    </row>
    <row r="7585" spans="19:32" x14ac:dyDescent="0.35">
      <c r="S7585" s="780"/>
      <c r="T7585" s="928"/>
      <c r="U7585" s="928"/>
      <c r="V7585" s="928"/>
      <c r="W7585" s="780"/>
      <c r="X7585" s="928"/>
      <c r="Y7585" s="780"/>
      <c r="Z7585" s="780"/>
      <c r="AA7585" s="780"/>
      <c r="AB7585" s="780"/>
      <c r="AC7585" s="780"/>
      <c r="AD7585" s="780"/>
      <c r="AE7585" s="780"/>
      <c r="AF7585" s="780"/>
    </row>
    <row r="7586" spans="19:32" x14ac:dyDescent="0.35">
      <c r="S7586" s="780"/>
      <c r="T7586" s="928"/>
      <c r="U7586" s="928"/>
      <c r="V7586" s="928"/>
      <c r="W7586" s="780"/>
      <c r="X7586" s="928"/>
      <c r="Y7586" s="780"/>
      <c r="Z7586" s="780"/>
      <c r="AA7586" s="780"/>
      <c r="AB7586" s="780"/>
      <c r="AC7586" s="780"/>
      <c r="AD7586" s="780"/>
      <c r="AE7586" s="780"/>
      <c r="AF7586" s="780"/>
    </row>
    <row r="7587" spans="19:32" x14ac:dyDescent="0.35">
      <c r="S7587" s="780"/>
      <c r="T7587" s="928"/>
      <c r="U7587" s="928"/>
      <c r="V7587" s="928"/>
      <c r="W7587" s="780"/>
      <c r="X7587" s="928"/>
      <c r="Y7587" s="780"/>
      <c r="Z7587" s="780"/>
      <c r="AA7587" s="780"/>
      <c r="AB7587" s="780"/>
      <c r="AC7587" s="780"/>
      <c r="AD7587" s="780"/>
      <c r="AE7587" s="780"/>
      <c r="AF7587" s="780"/>
    </row>
    <row r="7588" spans="19:32" x14ac:dyDescent="0.35">
      <c r="S7588" s="780"/>
      <c r="T7588" s="928"/>
      <c r="U7588" s="928"/>
      <c r="V7588" s="928"/>
      <c r="W7588" s="780"/>
      <c r="X7588" s="928"/>
      <c r="Y7588" s="780"/>
      <c r="Z7588" s="780"/>
      <c r="AA7588" s="780"/>
      <c r="AB7588" s="780"/>
      <c r="AC7588" s="780"/>
      <c r="AD7588" s="780"/>
      <c r="AE7588" s="780"/>
      <c r="AF7588" s="780"/>
    </row>
    <row r="7589" spans="19:32" x14ac:dyDescent="0.35">
      <c r="S7589" s="780"/>
      <c r="T7589" s="928"/>
      <c r="U7589" s="928"/>
      <c r="V7589" s="928"/>
      <c r="W7589" s="780"/>
      <c r="X7589" s="928"/>
      <c r="Y7589" s="780"/>
      <c r="Z7589" s="780"/>
      <c r="AA7589" s="780"/>
      <c r="AB7589" s="780"/>
      <c r="AC7589" s="780"/>
      <c r="AD7589" s="780"/>
      <c r="AE7589" s="780"/>
      <c r="AF7589" s="780"/>
    </row>
    <row r="7590" spans="19:32" x14ac:dyDescent="0.35">
      <c r="S7590" s="780"/>
      <c r="T7590" s="928"/>
      <c r="U7590" s="928"/>
      <c r="V7590" s="928"/>
      <c r="W7590" s="780"/>
      <c r="X7590" s="928"/>
      <c r="Y7590" s="780"/>
      <c r="Z7590" s="780"/>
      <c r="AA7590" s="780"/>
      <c r="AB7590" s="780"/>
      <c r="AC7590" s="780"/>
      <c r="AD7590" s="780"/>
      <c r="AE7590" s="780"/>
      <c r="AF7590" s="780"/>
    </row>
    <row r="7591" spans="19:32" x14ac:dyDescent="0.35">
      <c r="S7591" s="780"/>
      <c r="T7591" s="928"/>
      <c r="U7591" s="928"/>
      <c r="V7591" s="928"/>
      <c r="W7591" s="780"/>
      <c r="X7591" s="928"/>
      <c r="Y7591" s="780"/>
      <c r="Z7591" s="780"/>
      <c r="AA7591" s="780"/>
      <c r="AB7591" s="780"/>
      <c r="AC7591" s="780"/>
      <c r="AD7591" s="780"/>
      <c r="AE7591" s="780"/>
      <c r="AF7591" s="780"/>
    </row>
    <row r="7592" spans="19:32" x14ac:dyDescent="0.35">
      <c r="S7592" s="780"/>
      <c r="T7592" s="928"/>
      <c r="U7592" s="928"/>
      <c r="V7592" s="928"/>
      <c r="W7592" s="780"/>
      <c r="X7592" s="928"/>
      <c r="Y7592" s="780"/>
      <c r="Z7592" s="780"/>
      <c r="AA7592" s="780"/>
      <c r="AB7592" s="780"/>
      <c r="AC7592" s="780"/>
      <c r="AD7592" s="780"/>
      <c r="AE7592" s="780"/>
      <c r="AF7592" s="780"/>
    </row>
    <row r="7593" spans="19:32" x14ac:dyDescent="0.35">
      <c r="S7593" s="780"/>
      <c r="T7593" s="928"/>
      <c r="U7593" s="928"/>
      <c r="V7593" s="928"/>
      <c r="W7593" s="780"/>
      <c r="X7593" s="928"/>
      <c r="Y7593" s="780"/>
      <c r="Z7593" s="780"/>
      <c r="AA7593" s="780"/>
      <c r="AB7593" s="780"/>
      <c r="AC7593" s="780"/>
      <c r="AD7593" s="780"/>
      <c r="AE7593" s="780"/>
      <c r="AF7593" s="780"/>
    </row>
    <row r="7594" spans="19:32" x14ac:dyDescent="0.35">
      <c r="S7594" s="780"/>
      <c r="T7594" s="928"/>
      <c r="U7594" s="928"/>
      <c r="V7594" s="928"/>
      <c r="W7594" s="780"/>
      <c r="X7594" s="928"/>
      <c r="Y7594" s="780"/>
      <c r="Z7594" s="780"/>
      <c r="AA7594" s="780"/>
      <c r="AB7594" s="780"/>
      <c r="AC7594" s="780"/>
      <c r="AD7594" s="780"/>
      <c r="AE7594" s="780"/>
      <c r="AF7594" s="780"/>
    </row>
    <row r="7595" spans="19:32" x14ac:dyDescent="0.35">
      <c r="S7595" s="780"/>
      <c r="T7595" s="928"/>
      <c r="U7595" s="928"/>
      <c r="V7595" s="928"/>
      <c r="W7595" s="780"/>
      <c r="X7595" s="928"/>
      <c r="Y7595" s="780"/>
      <c r="Z7595" s="780"/>
      <c r="AA7595" s="780"/>
      <c r="AB7595" s="780"/>
      <c r="AC7595" s="780"/>
      <c r="AD7595" s="780"/>
      <c r="AE7595" s="780"/>
      <c r="AF7595" s="780"/>
    </row>
    <row r="7596" spans="19:32" x14ac:dyDescent="0.35">
      <c r="S7596" s="780"/>
      <c r="T7596" s="928"/>
      <c r="U7596" s="928"/>
      <c r="V7596" s="928"/>
      <c r="W7596" s="780"/>
      <c r="X7596" s="928"/>
      <c r="Y7596" s="780"/>
      <c r="Z7596" s="780"/>
      <c r="AA7596" s="780"/>
      <c r="AB7596" s="780"/>
      <c r="AC7596" s="780"/>
      <c r="AD7596" s="780"/>
      <c r="AE7596" s="780"/>
      <c r="AF7596" s="780"/>
    </row>
    <row r="7597" spans="19:32" x14ac:dyDescent="0.35">
      <c r="S7597" s="780"/>
      <c r="T7597" s="928"/>
      <c r="U7597" s="928"/>
      <c r="V7597" s="928"/>
      <c r="W7597" s="780"/>
      <c r="X7597" s="928"/>
      <c r="Y7597" s="780"/>
      <c r="Z7597" s="780"/>
      <c r="AA7597" s="780"/>
      <c r="AB7597" s="780"/>
      <c r="AC7597" s="780"/>
      <c r="AD7597" s="780"/>
      <c r="AE7597" s="780"/>
      <c r="AF7597" s="780"/>
    </row>
    <row r="7598" spans="19:32" x14ac:dyDescent="0.35">
      <c r="S7598" s="780"/>
      <c r="T7598" s="928"/>
      <c r="U7598" s="928"/>
      <c r="V7598" s="928"/>
      <c r="W7598" s="780"/>
      <c r="X7598" s="928"/>
      <c r="Y7598" s="780"/>
      <c r="Z7598" s="780"/>
      <c r="AA7598" s="780"/>
      <c r="AB7598" s="780"/>
      <c r="AC7598" s="780"/>
      <c r="AD7598" s="780"/>
      <c r="AE7598" s="780"/>
      <c r="AF7598" s="780"/>
    </row>
    <row r="7599" spans="19:32" x14ac:dyDescent="0.35">
      <c r="S7599" s="780"/>
      <c r="T7599" s="928"/>
      <c r="U7599" s="928"/>
      <c r="V7599" s="928"/>
      <c r="W7599" s="780"/>
      <c r="X7599" s="928"/>
      <c r="Y7599" s="780"/>
      <c r="Z7599" s="780"/>
      <c r="AA7599" s="780"/>
      <c r="AB7599" s="780"/>
      <c r="AC7599" s="780"/>
      <c r="AD7599" s="780"/>
      <c r="AE7599" s="780"/>
      <c r="AF7599" s="780"/>
    </row>
    <row r="7600" spans="19:32" x14ac:dyDescent="0.35">
      <c r="S7600" s="780"/>
      <c r="T7600" s="928"/>
      <c r="U7600" s="928"/>
      <c r="V7600" s="928"/>
      <c r="W7600" s="780"/>
      <c r="X7600" s="928"/>
      <c r="Y7600" s="780"/>
      <c r="Z7600" s="780"/>
      <c r="AA7600" s="780"/>
      <c r="AB7600" s="780"/>
      <c r="AC7600" s="780"/>
      <c r="AD7600" s="780"/>
      <c r="AE7600" s="780"/>
      <c r="AF7600" s="780"/>
    </row>
    <row r="7601" spans="19:32" x14ac:dyDescent="0.35">
      <c r="S7601" s="780"/>
      <c r="T7601" s="928"/>
      <c r="U7601" s="928"/>
      <c r="V7601" s="928"/>
      <c r="W7601" s="780"/>
      <c r="X7601" s="928"/>
      <c r="Y7601" s="780"/>
      <c r="Z7601" s="780"/>
      <c r="AA7601" s="780"/>
      <c r="AB7601" s="780"/>
      <c r="AC7601" s="780"/>
      <c r="AD7601" s="780"/>
      <c r="AE7601" s="780"/>
      <c r="AF7601" s="780"/>
    </row>
    <row r="7602" spans="19:32" x14ac:dyDescent="0.35">
      <c r="S7602" s="780"/>
      <c r="T7602" s="928"/>
      <c r="U7602" s="928"/>
      <c r="V7602" s="928"/>
      <c r="W7602" s="780"/>
      <c r="X7602" s="928"/>
      <c r="Y7602" s="780"/>
      <c r="Z7602" s="780"/>
      <c r="AA7602" s="780"/>
      <c r="AB7602" s="780"/>
      <c r="AC7602" s="780"/>
      <c r="AD7602" s="780"/>
      <c r="AE7602" s="780"/>
      <c r="AF7602" s="780"/>
    </row>
    <row r="7603" spans="19:32" x14ac:dyDescent="0.35">
      <c r="S7603" s="780"/>
      <c r="T7603" s="928"/>
      <c r="U7603" s="928"/>
      <c r="V7603" s="928"/>
      <c r="W7603" s="780"/>
      <c r="X7603" s="928"/>
      <c r="Y7603" s="780"/>
      <c r="Z7603" s="780"/>
      <c r="AA7603" s="780"/>
      <c r="AB7603" s="780"/>
      <c r="AC7603" s="780"/>
      <c r="AD7603" s="780"/>
      <c r="AE7603" s="780"/>
      <c r="AF7603" s="780"/>
    </row>
    <row r="7604" spans="19:32" x14ac:dyDescent="0.35">
      <c r="S7604" s="780"/>
      <c r="T7604" s="928"/>
      <c r="U7604" s="928"/>
      <c r="V7604" s="928"/>
      <c r="W7604" s="780"/>
      <c r="X7604" s="928"/>
      <c r="Y7604" s="780"/>
      <c r="Z7604" s="780"/>
      <c r="AA7604" s="780"/>
      <c r="AB7604" s="780"/>
      <c r="AC7604" s="780"/>
      <c r="AD7604" s="780"/>
      <c r="AE7604" s="780"/>
      <c r="AF7604" s="780"/>
    </row>
    <row r="7605" spans="19:32" x14ac:dyDescent="0.35">
      <c r="S7605" s="780"/>
      <c r="T7605" s="928"/>
      <c r="U7605" s="928"/>
      <c r="V7605" s="928"/>
      <c r="W7605" s="780"/>
      <c r="X7605" s="928"/>
      <c r="Y7605" s="780"/>
      <c r="Z7605" s="780"/>
      <c r="AA7605" s="780"/>
      <c r="AB7605" s="780"/>
      <c r="AC7605" s="780"/>
      <c r="AD7605" s="780"/>
      <c r="AE7605" s="780"/>
      <c r="AF7605" s="780"/>
    </row>
    <row r="7606" spans="19:32" x14ac:dyDescent="0.35">
      <c r="S7606" s="780"/>
      <c r="T7606" s="928"/>
      <c r="U7606" s="928"/>
      <c r="V7606" s="928"/>
      <c r="W7606" s="780"/>
      <c r="X7606" s="928"/>
      <c r="Y7606" s="780"/>
      <c r="Z7606" s="780"/>
      <c r="AA7606" s="780"/>
      <c r="AB7606" s="780"/>
      <c r="AC7606" s="780"/>
      <c r="AD7606" s="780"/>
      <c r="AE7606" s="780"/>
      <c r="AF7606" s="780"/>
    </row>
    <row r="7607" spans="19:32" x14ac:dyDescent="0.35">
      <c r="S7607" s="780"/>
      <c r="T7607" s="928"/>
      <c r="U7607" s="928"/>
      <c r="V7607" s="928"/>
      <c r="W7607" s="780"/>
      <c r="X7607" s="928"/>
      <c r="Y7607" s="780"/>
      <c r="Z7607" s="780"/>
      <c r="AA7607" s="780"/>
      <c r="AB7607" s="780"/>
      <c r="AC7607" s="780"/>
      <c r="AD7607" s="780"/>
      <c r="AE7607" s="780"/>
      <c r="AF7607" s="780"/>
    </row>
    <row r="7608" spans="19:32" x14ac:dyDescent="0.35">
      <c r="S7608" s="780"/>
      <c r="T7608" s="928"/>
      <c r="U7608" s="928"/>
      <c r="V7608" s="928"/>
      <c r="W7608" s="780"/>
      <c r="X7608" s="928"/>
      <c r="Y7608" s="780"/>
      <c r="Z7608" s="780"/>
      <c r="AA7608" s="780"/>
      <c r="AB7608" s="780"/>
      <c r="AC7608" s="780"/>
      <c r="AD7608" s="780"/>
      <c r="AE7608" s="780"/>
      <c r="AF7608" s="780"/>
    </row>
    <row r="7609" spans="19:32" x14ac:dyDescent="0.35">
      <c r="S7609" s="780"/>
      <c r="T7609" s="928"/>
      <c r="U7609" s="928"/>
      <c r="V7609" s="928"/>
      <c r="W7609" s="780"/>
      <c r="X7609" s="928"/>
      <c r="Y7609" s="780"/>
      <c r="Z7609" s="780"/>
      <c r="AA7609" s="780"/>
      <c r="AB7609" s="780"/>
      <c r="AC7609" s="780"/>
      <c r="AD7609" s="780"/>
      <c r="AE7609" s="780"/>
      <c r="AF7609" s="780"/>
    </row>
    <row r="7610" spans="19:32" x14ac:dyDescent="0.35">
      <c r="S7610" s="780"/>
      <c r="T7610" s="928"/>
      <c r="U7610" s="928"/>
      <c r="V7610" s="928"/>
      <c r="W7610" s="780"/>
      <c r="X7610" s="928"/>
      <c r="Y7610" s="780"/>
      <c r="Z7610" s="780"/>
      <c r="AA7610" s="780"/>
      <c r="AB7610" s="780"/>
      <c r="AC7610" s="780"/>
      <c r="AD7610" s="780"/>
      <c r="AE7610" s="780"/>
      <c r="AF7610" s="780"/>
    </row>
    <row r="7611" spans="19:32" x14ac:dyDescent="0.35">
      <c r="S7611" s="780"/>
      <c r="T7611" s="928"/>
      <c r="U7611" s="928"/>
      <c r="V7611" s="928"/>
      <c r="W7611" s="780"/>
      <c r="X7611" s="928"/>
      <c r="Y7611" s="780"/>
      <c r="Z7611" s="780"/>
      <c r="AA7611" s="780"/>
      <c r="AB7611" s="780"/>
      <c r="AC7611" s="780"/>
      <c r="AD7611" s="780"/>
      <c r="AE7611" s="780"/>
      <c r="AF7611" s="780"/>
    </row>
    <row r="7612" spans="19:32" x14ac:dyDescent="0.35">
      <c r="S7612" s="780"/>
      <c r="T7612" s="928"/>
      <c r="U7612" s="928"/>
      <c r="V7612" s="928"/>
      <c r="W7612" s="780"/>
      <c r="X7612" s="928"/>
      <c r="Y7612" s="780"/>
      <c r="Z7612" s="780"/>
      <c r="AA7612" s="780"/>
      <c r="AB7612" s="780"/>
      <c r="AC7612" s="780"/>
      <c r="AD7612" s="780"/>
      <c r="AE7612" s="780"/>
      <c r="AF7612" s="780"/>
    </row>
    <row r="7613" spans="19:32" x14ac:dyDescent="0.35">
      <c r="S7613" s="780"/>
      <c r="T7613" s="928"/>
      <c r="U7613" s="928"/>
      <c r="V7613" s="928"/>
      <c r="W7613" s="780"/>
      <c r="X7613" s="928"/>
      <c r="Y7613" s="780"/>
      <c r="Z7613" s="780"/>
      <c r="AA7613" s="780"/>
      <c r="AB7613" s="780"/>
      <c r="AC7613" s="780"/>
      <c r="AD7613" s="780"/>
      <c r="AE7613" s="780"/>
      <c r="AF7613" s="780"/>
    </row>
    <row r="7614" spans="19:32" x14ac:dyDescent="0.35">
      <c r="S7614" s="780"/>
      <c r="T7614" s="928"/>
      <c r="U7614" s="928"/>
      <c r="V7614" s="928"/>
      <c r="W7614" s="780"/>
      <c r="X7614" s="928"/>
      <c r="Y7614" s="780"/>
      <c r="Z7614" s="780"/>
      <c r="AA7614" s="780"/>
      <c r="AB7614" s="780"/>
      <c r="AC7614" s="780"/>
      <c r="AD7614" s="780"/>
      <c r="AE7614" s="780"/>
      <c r="AF7614" s="780"/>
    </row>
    <row r="7615" spans="19:32" x14ac:dyDescent="0.35">
      <c r="S7615" s="780"/>
      <c r="T7615" s="928"/>
      <c r="U7615" s="928"/>
      <c r="V7615" s="928"/>
      <c r="W7615" s="780"/>
      <c r="X7615" s="928"/>
      <c r="Y7615" s="780"/>
      <c r="Z7615" s="780"/>
      <c r="AA7615" s="780"/>
      <c r="AB7615" s="780"/>
      <c r="AC7615" s="780"/>
      <c r="AD7615" s="780"/>
      <c r="AE7615" s="780"/>
      <c r="AF7615" s="780"/>
    </row>
    <row r="7616" spans="19:32" x14ac:dyDescent="0.35">
      <c r="S7616" s="780"/>
      <c r="T7616" s="928"/>
      <c r="U7616" s="928"/>
      <c r="V7616" s="928"/>
      <c r="W7616" s="780"/>
      <c r="X7616" s="928"/>
      <c r="Y7616" s="780"/>
      <c r="Z7616" s="780"/>
      <c r="AA7616" s="780"/>
      <c r="AB7616" s="780"/>
      <c r="AC7616" s="780"/>
      <c r="AD7616" s="780"/>
      <c r="AE7616" s="780"/>
      <c r="AF7616" s="780"/>
    </row>
    <row r="7617" spans="19:32" x14ac:dyDescent="0.35">
      <c r="S7617" s="780"/>
      <c r="T7617" s="928"/>
      <c r="U7617" s="928"/>
      <c r="V7617" s="928"/>
      <c r="W7617" s="780"/>
      <c r="X7617" s="928"/>
      <c r="Y7617" s="780"/>
      <c r="Z7617" s="780"/>
      <c r="AA7617" s="780"/>
      <c r="AB7617" s="780"/>
      <c r="AC7617" s="780"/>
      <c r="AD7617" s="780"/>
      <c r="AE7617" s="780"/>
      <c r="AF7617" s="780"/>
    </row>
    <row r="7618" spans="19:32" x14ac:dyDescent="0.35">
      <c r="S7618" s="780"/>
      <c r="T7618" s="928"/>
      <c r="U7618" s="928"/>
      <c r="V7618" s="928"/>
      <c r="W7618" s="780"/>
      <c r="X7618" s="928"/>
      <c r="Y7618" s="780"/>
      <c r="Z7618" s="780"/>
      <c r="AA7618" s="780"/>
      <c r="AB7618" s="780"/>
      <c r="AC7618" s="780"/>
      <c r="AD7618" s="780"/>
      <c r="AE7618" s="780"/>
      <c r="AF7618" s="780"/>
    </row>
    <row r="7619" spans="19:32" x14ac:dyDescent="0.35">
      <c r="S7619" s="780"/>
      <c r="T7619" s="928"/>
      <c r="U7619" s="928"/>
      <c r="V7619" s="928"/>
      <c r="W7619" s="780"/>
      <c r="X7619" s="928"/>
      <c r="Y7619" s="780"/>
      <c r="Z7619" s="780"/>
      <c r="AA7619" s="780"/>
      <c r="AB7619" s="780"/>
      <c r="AC7619" s="780"/>
      <c r="AD7619" s="780"/>
      <c r="AE7619" s="780"/>
      <c r="AF7619" s="780"/>
    </row>
    <row r="7620" spans="19:32" x14ac:dyDescent="0.35">
      <c r="S7620" s="780"/>
      <c r="T7620" s="928"/>
      <c r="U7620" s="928"/>
      <c r="V7620" s="928"/>
      <c r="W7620" s="780"/>
      <c r="X7620" s="928"/>
      <c r="Y7620" s="780"/>
      <c r="Z7620" s="780"/>
      <c r="AA7620" s="780"/>
      <c r="AB7620" s="780"/>
      <c r="AC7620" s="780"/>
      <c r="AD7620" s="780"/>
      <c r="AE7620" s="780"/>
      <c r="AF7620" s="780"/>
    </row>
    <row r="7621" spans="19:32" x14ac:dyDescent="0.35">
      <c r="S7621" s="780"/>
      <c r="T7621" s="928"/>
      <c r="U7621" s="928"/>
      <c r="V7621" s="928"/>
      <c r="W7621" s="780"/>
      <c r="X7621" s="928"/>
      <c r="Y7621" s="780"/>
      <c r="Z7621" s="780"/>
      <c r="AA7621" s="780"/>
      <c r="AB7621" s="780"/>
      <c r="AC7621" s="780"/>
      <c r="AD7621" s="780"/>
      <c r="AE7621" s="780"/>
      <c r="AF7621" s="780"/>
    </row>
    <row r="7622" spans="19:32" x14ac:dyDescent="0.35">
      <c r="S7622" s="780"/>
      <c r="T7622" s="928"/>
      <c r="U7622" s="928"/>
      <c r="V7622" s="928"/>
      <c r="W7622" s="780"/>
      <c r="X7622" s="928"/>
      <c r="Y7622" s="780"/>
      <c r="Z7622" s="780"/>
      <c r="AA7622" s="780"/>
      <c r="AB7622" s="780"/>
      <c r="AC7622" s="780"/>
      <c r="AD7622" s="780"/>
      <c r="AE7622" s="780"/>
      <c r="AF7622" s="780"/>
    </row>
    <row r="7623" spans="19:32" x14ac:dyDescent="0.35">
      <c r="S7623" s="780"/>
      <c r="T7623" s="928"/>
      <c r="U7623" s="928"/>
      <c r="V7623" s="928"/>
      <c r="W7623" s="780"/>
      <c r="X7623" s="928"/>
      <c r="Y7623" s="780"/>
      <c r="Z7623" s="780"/>
      <c r="AA7623" s="780"/>
      <c r="AB7623" s="780"/>
      <c r="AC7623" s="780"/>
      <c r="AD7623" s="780"/>
      <c r="AE7623" s="780"/>
      <c r="AF7623" s="780"/>
    </row>
    <row r="7624" spans="19:32" x14ac:dyDescent="0.35">
      <c r="S7624" s="780"/>
      <c r="T7624" s="928"/>
      <c r="U7624" s="928"/>
      <c r="V7624" s="928"/>
      <c r="W7624" s="780"/>
      <c r="X7624" s="928"/>
      <c r="Y7624" s="780"/>
      <c r="Z7624" s="780"/>
      <c r="AA7624" s="780"/>
      <c r="AB7624" s="780"/>
      <c r="AC7624" s="780"/>
      <c r="AD7624" s="780"/>
      <c r="AE7624" s="780"/>
      <c r="AF7624" s="780"/>
    </row>
    <row r="7625" spans="19:32" x14ac:dyDescent="0.35">
      <c r="S7625" s="780"/>
      <c r="T7625" s="928"/>
      <c r="U7625" s="928"/>
      <c r="V7625" s="928"/>
      <c r="W7625" s="780"/>
      <c r="X7625" s="928"/>
      <c r="Y7625" s="780"/>
      <c r="Z7625" s="780"/>
      <c r="AA7625" s="780"/>
      <c r="AB7625" s="780"/>
      <c r="AC7625" s="780"/>
      <c r="AD7625" s="780"/>
      <c r="AE7625" s="780"/>
      <c r="AF7625" s="780"/>
    </row>
    <row r="7626" spans="19:32" x14ac:dyDescent="0.35">
      <c r="S7626" s="780"/>
      <c r="T7626" s="928"/>
      <c r="U7626" s="928"/>
      <c r="V7626" s="928"/>
      <c r="W7626" s="780"/>
      <c r="X7626" s="928"/>
      <c r="Y7626" s="780"/>
      <c r="Z7626" s="780"/>
      <c r="AA7626" s="780"/>
      <c r="AB7626" s="780"/>
      <c r="AC7626" s="780"/>
      <c r="AD7626" s="780"/>
      <c r="AE7626" s="780"/>
      <c r="AF7626" s="780"/>
    </row>
    <row r="7627" spans="19:32" x14ac:dyDescent="0.35">
      <c r="S7627" s="780"/>
      <c r="T7627" s="928"/>
      <c r="U7627" s="928"/>
      <c r="V7627" s="928"/>
      <c r="W7627" s="780"/>
      <c r="X7627" s="928"/>
      <c r="Y7627" s="780"/>
      <c r="Z7627" s="780"/>
      <c r="AA7627" s="780"/>
      <c r="AB7627" s="780"/>
      <c r="AC7627" s="780"/>
      <c r="AD7627" s="780"/>
      <c r="AE7627" s="780"/>
      <c r="AF7627" s="780"/>
    </row>
    <row r="7628" spans="19:32" x14ac:dyDescent="0.35">
      <c r="S7628" s="780"/>
      <c r="T7628" s="928"/>
      <c r="U7628" s="928"/>
      <c r="V7628" s="928"/>
      <c r="W7628" s="780"/>
      <c r="X7628" s="928"/>
      <c r="Y7628" s="780"/>
      <c r="Z7628" s="780"/>
      <c r="AA7628" s="780"/>
      <c r="AB7628" s="780"/>
      <c r="AC7628" s="780"/>
      <c r="AD7628" s="780"/>
      <c r="AE7628" s="780"/>
      <c r="AF7628" s="780"/>
    </row>
    <row r="7629" spans="19:32" x14ac:dyDescent="0.35">
      <c r="S7629" s="780"/>
      <c r="T7629" s="928"/>
      <c r="U7629" s="928"/>
      <c r="V7629" s="928"/>
      <c r="W7629" s="780"/>
      <c r="X7629" s="928"/>
      <c r="Y7629" s="780"/>
      <c r="Z7629" s="780"/>
      <c r="AA7629" s="780"/>
      <c r="AB7629" s="780"/>
      <c r="AC7629" s="780"/>
      <c r="AD7629" s="780"/>
      <c r="AE7629" s="780"/>
      <c r="AF7629" s="780"/>
    </row>
    <row r="7630" spans="19:32" x14ac:dyDescent="0.35">
      <c r="S7630" s="780"/>
      <c r="T7630" s="928"/>
      <c r="U7630" s="928"/>
      <c r="V7630" s="928"/>
      <c r="W7630" s="780"/>
      <c r="X7630" s="928"/>
      <c r="Y7630" s="780"/>
      <c r="Z7630" s="780"/>
      <c r="AA7630" s="780"/>
      <c r="AB7630" s="780"/>
      <c r="AC7630" s="780"/>
      <c r="AD7630" s="780"/>
      <c r="AE7630" s="780"/>
      <c r="AF7630" s="780"/>
    </row>
    <row r="7631" spans="19:32" x14ac:dyDescent="0.35">
      <c r="S7631" s="780"/>
      <c r="T7631" s="928"/>
      <c r="U7631" s="928"/>
      <c r="V7631" s="928"/>
      <c r="W7631" s="780"/>
      <c r="X7631" s="928"/>
      <c r="Y7631" s="780"/>
      <c r="Z7631" s="780"/>
      <c r="AA7631" s="780"/>
      <c r="AB7631" s="780"/>
      <c r="AC7631" s="780"/>
      <c r="AD7631" s="780"/>
      <c r="AE7631" s="780"/>
      <c r="AF7631" s="780"/>
    </row>
    <row r="7632" spans="19:32" x14ac:dyDescent="0.35">
      <c r="S7632" s="780"/>
      <c r="T7632" s="928"/>
      <c r="U7632" s="928"/>
      <c r="V7632" s="928"/>
      <c r="W7632" s="780"/>
      <c r="X7632" s="928"/>
      <c r="Y7632" s="780"/>
      <c r="Z7632" s="780"/>
      <c r="AA7632" s="780"/>
      <c r="AB7632" s="780"/>
      <c r="AC7632" s="780"/>
      <c r="AD7632" s="780"/>
      <c r="AE7632" s="780"/>
      <c r="AF7632" s="780"/>
    </row>
    <row r="7633" spans="19:32" x14ac:dyDescent="0.35">
      <c r="S7633" s="780"/>
      <c r="T7633" s="928"/>
      <c r="U7633" s="928"/>
      <c r="V7633" s="928"/>
      <c r="W7633" s="780"/>
      <c r="X7633" s="928"/>
      <c r="Y7633" s="780"/>
      <c r="Z7633" s="780"/>
      <c r="AA7633" s="780"/>
      <c r="AB7633" s="780"/>
      <c r="AC7633" s="780"/>
      <c r="AD7633" s="780"/>
      <c r="AE7633" s="780"/>
      <c r="AF7633" s="780"/>
    </row>
    <row r="7634" spans="19:32" x14ac:dyDescent="0.35">
      <c r="S7634" s="780"/>
      <c r="T7634" s="928"/>
      <c r="U7634" s="928"/>
      <c r="V7634" s="928"/>
      <c r="W7634" s="780"/>
      <c r="X7634" s="928"/>
      <c r="Y7634" s="780"/>
      <c r="Z7634" s="780"/>
      <c r="AA7634" s="780"/>
      <c r="AB7634" s="780"/>
      <c r="AC7634" s="780"/>
      <c r="AD7634" s="780"/>
      <c r="AE7634" s="780"/>
      <c r="AF7634" s="780"/>
    </row>
    <row r="7635" spans="19:32" x14ac:dyDescent="0.35">
      <c r="S7635" s="780"/>
      <c r="T7635" s="928"/>
      <c r="U7635" s="928"/>
      <c r="V7635" s="928"/>
      <c r="W7635" s="780"/>
      <c r="X7635" s="928"/>
      <c r="Y7635" s="780"/>
      <c r="Z7635" s="780"/>
      <c r="AA7635" s="780"/>
      <c r="AB7635" s="780"/>
      <c r="AC7635" s="780"/>
      <c r="AD7635" s="780"/>
      <c r="AE7635" s="780"/>
      <c r="AF7635" s="780"/>
    </row>
    <row r="7636" spans="19:32" x14ac:dyDescent="0.35">
      <c r="S7636" s="780"/>
      <c r="T7636" s="928"/>
      <c r="U7636" s="928"/>
      <c r="V7636" s="928"/>
      <c r="W7636" s="780"/>
      <c r="X7636" s="928"/>
      <c r="Y7636" s="780"/>
      <c r="Z7636" s="780"/>
      <c r="AA7636" s="780"/>
      <c r="AB7636" s="780"/>
      <c r="AC7636" s="780"/>
      <c r="AD7636" s="780"/>
      <c r="AE7636" s="780"/>
      <c r="AF7636" s="780"/>
    </row>
    <row r="7637" spans="19:32" x14ac:dyDescent="0.35">
      <c r="S7637" s="780"/>
      <c r="T7637" s="928"/>
      <c r="U7637" s="928"/>
      <c r="V7637" s="928"/>
      <c r="W7637" s="780"/>
      <c r="X7637" s="928"/>
      <c r="Y7637" s="780"/>
      <c r="Z7637" s="780"/>
      <c r="AA7637" s="780"/>
      <c r="AB7637" s="780"/>
      <c r="AC7637" s="780"/>
      <c r="AD7637" s="780"/>
      <c r="AE7637" s="780"/>
      <c r="AF7637" s="780"/>
    </row>
    <row r="7638" spans="19:32" x14ac:dyDescent="0.35">
      <c r="S7638" s="780"/>
      <c r="T7638" s="928"/>
      <c r="U7638" s="928"/>
      <c r="V7638" s="928"/>
      <c r="W7638" s="780"/>
      <c r="X7638" s="928"/>
      <c r="Y7638" s="780"/>
      <c r="Z7638" s="780"/>
      <c r="AA7638" s="780"/>
      <c r="AB7638" s="780"/>
      <c r="AC7638" s="780"/>
      <c r="AD7638" s="780"/>
      <c r="AE7638" s="780"/>
      <c r="AF7638" s="780"/>
    </row>
    <row r="7639" spans="19:32" x14ac:dyDescent="0.35">
      <c r="S7639" s="780"/>
      <c r="T7639" s="928"/>
      <c r="U7639" s="928"/>
      <c r="V7639" s="928"/>
      <c r="W7639" s="780"/>
      <c r="X7639" s="928"/>
      <c r="Y7639" s="780"/>
      <c r="Z7639" s="780"/>
      <c r="AA7639" s="780"/>
      <c r="AB7639" s="780"/>
      <c r="AC7639" s="780"/>
      <c r="AD7639" s="780"/>
      <c r="AE7639" s="780"/>
      <c r="AF7639" s="780"/>
    </row>
    <row r="7640" spans="19:32" x14ac:dyDescent="0.35">
      <c r="S7640" s="780"/>
      <c r="T7640" s="928"/>
      <c r="U7640" s="928"/>
      <c r="V7640" s="928"/>
      <c r="W7640" s="780"/>
      <c r="X7640" s="928"/>
      <c r="Y7640" s="780"/>
      <c r="Z7640" s="780"/>
      <c r="AA7640" s="780"/>
      <c r="AB7640" s="780"/>
      <c r="AC7640" s="780"/>
      <c r="AD7640" s="780"/>
      <c r="AE7640" s="780"/>
      <c r="AF7640" s="780"/>
    </row>
    <row r="7641" spans="19:32" x14ac:dyDescent="0.35">
      <c r="S7641" s="780"/>
      <c r="T7641" s="928"/>
      <c r="U7641" s="928"/>
      <c r="V7641" s="928"/>
      <c r="W7641" s="780"/>
      <c r="X7641" s="928"/>
      <c r="Y7641" s="780"/>
      <c r="Z7641" s="780"/>
      <c r="AA7641" s="780"/>
      <c r="AB7641" s="780"/>
      <c r="AC7641" s="780"/>
      <c r="AD7641" s="780"/>
      <c r="AE7641" s="780"/>
      <c r="AF7641" s="780"/>
    </row>
    <row r="7642" spans="19:32" x14ac:dyDescent="0.35">
      <c r="S7642" s="780"/>
      <c r="T7642" s="928"/>
      <c r="U7642" s="928"/>
      <c r="V7642" s="928"/>
      <c r="W7642" s="780"/>
      <c r="X7642" s="928"/>
      <c r="Y7642" s="780"/>
      <c r="Z7642" s="780"/>
      <c r="AA7642" s="780"/>
      <c r="AB7642" s="780"/>
      <c r="AC7642" s="780"/>
      <c r="AD7642" s="780"/>
      <c r="AE7642" s="780"/>
      <c r="AF7642" s="780"/>
    </row>
    <row r="7643" spans="19:32" x14ac:dyDescent="0.35">
      <c r="S7643" s="780"/>
      <c r="T7643" s="928"/>
      <c r="U7643" s="928"/>
      <c r="V7643" s="928"/>
      <c r="W7643" s="780"/>
      <c r="X7643" s="928"/>
      <c r="Y7643" s="780"/>
      <c r="Z7643" s="780"/>
      <c r="AA7643" s="780"/>
      <c r="AB7643" s="780"/>
      <c r="AC7643" s="780"/>
      <c r="AD7643" s="780"/>
      <c r="AE7643" s="780"/>
      <c r="AF7643" s="780"/>
    </row>
    <row r="7644" spans="19:32" x14ac:dyDescent="0.35">
      <c r="S7644" s="780"/>
      <c r="T7644" s="928"/>
      <c r="U7644" s="928"/>
      <c r="V7644" s="928"/>
      <c r="W7644" s="780"/>
      <c r="X7644" s="928"/>
      <c r="Y7644" s="780"/>
      <c r="Z7644" s="780"/>
      <c r="AA7644" s="780"/>
      <c r="AB7644" s="780"/>
      <c r="AC7644" s="780"/>
      <c r="AD7644" s="780"/>
      <c r="AE7644" s="780"/>
      <c r="AF7644" s="780"/>
    </row>
    <row r="7645" spans="19:32" x14ac:dyDescent="0.35">
      <c r="S7645" s="780"/>
      <c r="T7645" s="928"/>
      <c r="U7645" s="928"/>
      <c r="V7645" s="928"/>
      <c r="W7645" s="780"/>
      <c r="X7645" s="928"/>
      <c r="Y7645" s="780"/>
      <c r="Z7645" s="780"/>
      <c r="AA7645" s="780"/>
      <c r="AB7645" s="780"/>
      <c r="AC7645" s="780"/>
      <c r="AD7645" s="780"/>
      <c r="AE7645" s="780"/>
      <c r="AF7645" s="780"/>
    </row>
    <row r="7646" spans="19:32" x14ac:dyDescent="0.35">
      <c r="S7646" s="780"/>
      <c r="T7646" s="928"/>
      <c r="U7646" s="928"/>
      <c r="V7646" s="928"/>
      <c r="W7646" s="780"/>
      <c r="X7646" s="928"/>
      <c r="Y7646" s="780"/>
      <c r="Z7646" s="780"/>
      <c r="AA7646" s="780"/>
      <c r="AB7646" s="780"/>
      <c r="AC7646" s="780"/>
      <c r="AD7646" s="780"/>
      <c r="AE7646" s="780"/>
      <c r="AF7646" s="780"/>
    </row>
    <row r="7647" spans="19:32" x14ac:dyDescent="0.35">
      <c r="S7647" s="780"/>
      <c r="T7647" s="928"/>
      <c r="U7647" s="928"/>
      <c r="V7647" s="928"/>
      <c r="W7647" s="780"/>
      <c r="X7647" s="928"/>
      <c r="Y7647" s="780"/>
      <c r="Z7647" s="780"/>
      <c r="AA7647" s="780"/>
      <c r="AB7647" s="780"/>
      <c r="AC7647" s="780"/>
      <c r="AD7647" s="780"/>
      <c r="AE7647" s="780"/>
      <c r="AF7647" s="780"/>
    </row>
    <row r="7648" spans="19:32" x14ac:dyDescent="0.35">
      <c r="S7648" s="780"/>
      <c r="T7648" s="928"/>
      <c r="U7648" s="928"/>
      <c r="V7648" s="928"/>
      <c r="W7648" s="780"/>
      <c r="X7648" s="928"/>
      <c r="Y7648" s="780"/>
      <c r="Z7648" s="780"/>
      <c r="AA7648" s="780"/>
      <c r="AB7648" s="780"/>
      <c r="AC7648" s="780"/>
      <c r="AD7648" s="780"/>
      <c r="AE7648" s="780"/>
      <c r="AF7648" s="780"/>
    </row>
    <row r="7649" spans="19:32" x14ac:dyDescent="0.35">
      <c r="S7649" s="780"/>
      <c r="T7649" s="928"/>
      <c r="U7649" s="928"/>
      <c r="V7649" s="928"/>
      <c r="W7649" s="780"/>
      <c r="X7649" s="928"/>
      <c r="Y7649" s="780"/>
      <c r="Z7649" s="780"/>
      <c r="AA7649" s="780"/>
      <c r="AB7649" s="780"/>
      <c r="AC7649" s="780"/>
      <c r="AD7649" s="780"/>
      <c r="AE7649" s="780"/>
      <c r="AF7649" s="780"/>
    </row>
    <row r="7650" spans="19:32" x14ac:dyDescent="0.35">
      <c r="S7650" s="780"/>
      <c r="T7650" s="928"/>
      <c r="U7650" s="928"/>
      <c r="V7650" s="928"/>
      <c r="W7650" s="780"/>
      <c r="X7650" s="928"/>
      <c r="Y7650" s="780"/>
      <c r="Z7650" s="780"/>
      <c r="AA7650" s="780"/>
      <c r="AB7650" s="780"/>
      <c r="AC7650" s="780"/>
      <c r="AD7650" s="780"/>
      <c r="AE7650" s="780"/>
      <c r="AF7650" s="780"/>
    </row>
    <row r="7651" spans="19:32" x14ac:dyDescent="0.35">
      <c r="S7651" s="780"/>
      <c r="T7651" s="928"/>
      <c r="U7651" s="928"/>
      <c r="V7651" s="928"/>
      <c r="W7651" s="780"/>
      <c r="X7651" s="928"/>
      <c r="Y7651" s="780"/>
      <c r="Z7651" s="780"/>
      <c r="AA7651" s="780"/>
      <c r="AB7651" s="780"/>
      <c r="AC7651" s="780"/>
      <c r="AD7651" s="780"/>
      <c r="AE7651" s="780"/>
      <c r="AF7651" s="780"/>
    </row>
    <row r="7652" spans="19:32" x14ac:dyDescent="0.35">
      <c r="S7652" s="780"/>
      <c r="T7652" s="928"/>
      <c r="U7652" s="928"/>
      <c r="V7652" s="928"/>
      <c r="W7652" s="780"/>
      <c r="X7652" s="928"/>
      <c r="Y7652" s="780"/>
      <c r="Z7652" s="780"/>
      <c r="AA7652" s="780"/>
      <c r="AB7652" s="780"/>
      <c r="AC7652" s="780"/>
      <c r="AD7652" s="780"/>
      <c r="AE7652" s="780"/>
      <c r="AF7652" s="780"/>
    </row>
    <row r="7653" spans="19:32" x14ac:dyDescent="0.35">
      <c r="S7653" s="780"/>
      <c r="T7653" s="928"/>
      <c r="U7653" s="928"/>
      <c r="V7653" s="928"/>
      <c r="W7653" s="780"/>
      <c r="X7653" s="928"/>
      <c r="Y7653" s="780"/>
      <c r="Z7653" s="780"/>
      <c r="AA7653" s="780"/>
      <c r="AB7653" s="780"/>
      <c r="AC7653" s="780"/>
      <c r="AD7653" s="780"/>
      <c r="AE7653" s="780"/>
      <c r="AF7653" s="780"/>
    </row>
    <row r="7654" spans="19:32" x14ac:dyDescent="0.35">
      <c r="S7654" s="780"/>
      <c r="T7654" s="928"/>
      <c r="U7654" s="928"/>
      <c r="V7654" s="928"/>
      <c r="W7654" s="780"/>
      <c r="X7654" s="928"/>
      <c r="Y7654" s="780"/>
      <c r="Z7654" s="780"/>
      <c r="AA7654" s="780"/>
      <c r="AB7654" s="780"/>
      <c r="AC7654" s="780"/>
      <c r="AD7654" s="780"/>
      <c r="AE7654" s="780"/>
      <c r="AF7654" s="780"/>
    </row>
    <row r="7655" spans="19:32" x14ac:dyDescent="0.35">
      <c r="S7655" s="780"/>
      <c r="T7655" s="928"/>
      <c r="U7655" s="928"/>
      <c r="V7655" s="928"/>
      <c r="W7655" s="780"/>
      <c r="X7655" s="928"/>
      <c r="Y7655" s="780"/>
      <c r="Z7655" s="780"/>
      <c r="AA7655" s="780"/>
      <c r="AB7655" s="780"/>
      <c r="AC7655" s="780"/>
      <c r="AD7655" s="780"/>
      <c r="AE7655" s="780"/>
      <c r="AF7655" s="780"/>
    </row>
    <row r="7656" spans="19:32" x14ac:dyDescent="0.35">
      <c r="S7656" s="780"/>
      <c r="T7656" s="928"/>
      <c r="U7656" s="928"/>
      <c r="V7656" s="928"/>
      <c r="W7656" s="780"/>
      <c r="X7656" s="928"/>
      <c r="Y7656" s="780"/>
      <c r="Z7656" s="780"/>
      <c r="AA7656" s="780"/>
      <c r="AB7656" s="780"/>
      <c r="AC7656" s="780"/>
      <c r="AD7656" s="780"/>
      <c r="AE7656" s="780"/>
      <c r="AF7656" s="780"/>
    </row>
    <row r="7657" spans="19:32" x14ac:dyDescent="0.35">
      <c r="S7657" s="780"/>
      <c r="T7657" s="928"/>
      <c r="U7657" s="928"/>
      <c r="V7657" s="928"/>
      <c r="W7657" s="780"/>
      <c r="X7657" s="928"/>
      <c r="Y7657" s="780"/>
      <c r="Z7657" s="780"/>
      <c r="AA7657" s="780"/>
      <c r="AB7657" s="780"/>
      <c r="AC7657" s="780"/>
      <c r="AD7657" s="780"/>
      <c r="AE7657" s="780"/>
      <c r="AF7657" s="780"/>
    </row>
    <row r="7658" spans="19:32" x14ac:dyDescent="0.35">
      <c r="S7658" s="780"/>
      <c r="T7658" s="928"/>
      <c r="U7658" s="928"/>
      <c r="V7658" s="928"/>
      <c r="W7658" s="780"/>
      <c r="X7658" s="928"/>
      <c r="Y7658" s="780"/>
      <c r="Z7658" s="780"/>
      <c r="AA7658" s="780"/>
      <c r="AB7658" s="780"/>
      <c r="AC7658" s="780"/>
      <c r="AD7658" s="780"/>
      <c r="AE7658" s="780"/>
      <c r="AF7658" s="780"/>
    </row>
    <row r="7659" spans="19:32" x14ac:dyDescent="0.35">
      <c r="S7659" s="780"/>
      <c r="T7659" s="928"/>
      <c r="U7659" s="928"/>
      <c r="V7659" s="928"/>
      <c r="W7659" s="780"/>
      <c r="X7659" s="928"/>
      <c r="Y7659" s="780"/>
      <c r="Z7659" s="780"/>
      <c r="AA7659" s="780"/>
      <c r="AB7659" s="780"/>
      <c r="AC7659" s="780"/>
      <c r="AD7659" s="780"/>
      <c r="AE7659" s="780"/>
      <c r="AF7659" s="780"/>
    </row>
    <row r="7660" spans="19:32" x14ac:dyDescent="0.35">
      <c r="S7660" s="780"/>
      <c r="T7660" s="928"/>
      <c r="U7660" s="928"/>
      <c r="V7660" s="928"/>
      <c r="W7660" s="780"/>
      <c r="X7660" s="928"/>
      <c r="Y7660" s="780"/>
      <c r="Z7660" s="780"/>
      <c r="AA7660" s="780"/>
      <c r="AB7660" s="780"/>
      <c r="AC7660" s="780"/>
      <c r="AD7660" s="780"/>
      <c r="AE7660" s="780"/>
      <c r="AF7660" s="780"/>
    </row>
    <row r="7661" spans="19:32" x14ac:dyDescent="0.35">
      <c r="S7661" s="780"/>
      <c r="T7661" s="928"/>
      <c r="U7661" s="928"/>
      <c r="V7661" s="928"/>
      <c r="W7661" s="780"/>
      <c r="X7661" s="928"/>
      <c r="Y7661" s="780"/>
      <c r="Z7661" s="780"/>
      <c r="AA7661" s="780"/>
      <c r="AB7661" s="780"/>
      <c r="AC7661" s="780"/>
      <c r="AD7661" s="780"/>
      <c r="AE7661" s="780"/>
      <c r="AF7661" s="780"/>
    </row>
    <row r="7662" spans="19:32" x14ac:dyDescent="0.35">
      <c r="S7662" s="780"/>
      <c r="T7662" s="928"/>
      <c r="U7662" s="928"/>
      <c r="V7662" s="928"/>
      <c r="W7662" s="780"/>
      <c r="X7662" s="928"/>
      <c r="Y7662" s="780"/>
      <c r="Z7662" s="780"/>
      <c r="AA7662" s="780"/>
      <c r="AB7662" s="780"/>
      <c r="AC7662" s="780"/>
      <c r="AD7662" s="780"/>
      <c r="AE7662" s="780"/>
      <c r="AF7662" s="780"/>
    </row>
    <row r="7663" spans="19:32" x14ac:dyDescent="0.35">
      <c r="S7663" s="780"/>
      <c r="T7663" s="928"/>
      <c r="U7663" s="928"/>
      <c r="V7663" s="928"/>
      <c r="W7663" s="780"/>
      <c r="X7663" s="928"/>
      <c r="Y7663" s="780"/>
      <c r="Z7663" s="780"/>
      <c r="AA7663" s="780"/>
      <c r="AB7663" s="780"/>
      <c r="AC7663" s="780"/>
      <c r="AD7663" s="780"/>
      <c r="AE7663" s="780"/>
      <c r="AF7663" s="780"/>
    </row>
    <row r="7664" spans="19:32" x14ac:dyDescent="0.35">
      <c r="S7664" s="780"/>
      <c r="T7664" s="928"/>
      <c r="U7664" s="928"/>
      <c r="V7664" s="928"/>
      <c r="W7664" s="780"/>
      <c r="X7664" s="928"/>
      <c r="Y7664" s="780"/>
      <c r="Z7664" s="780"/>
      <c r="AA7664" s="780"/>
      <c r="AB7664" s="780"/>
      <c r="AC7664" s="780"/>
      <c r="AD7664" s="780"/>
      <c r="AE7664" s="780"/>
      <c r="AF7664" s="780"/>
    </row>
    <row r="7665" spans="19:32" x14ac:dyDescent="0.35">
      <c r="S7665" s="780"/>
      <c r="T7665" s="928"/>
      <c r="U7665" s="928"/>
      <c r="V7665" s="928"/>
      <c r="W7665" s="780"/>
      <c r="X7665" s="928"/>
      <c r="Y7665" s="780"/>
      <c r="Z7665" s="780"/>
      <c r="AA7665" s="780"/>
      <c r="AB7665" s="780"/>
      <c r="AC7665" s="780"/>
      <c r="AD7665" s="780"/>
      <c r="AE7665" s="780"/>
      <c r="AF7665" s="780"/>
    </row>
    <row r="7666" spans="19:32" x14ac:dyDescent="0.35">
      <c r="S7666" s="780"/>
      <c r="T7666" s="928"/>
      <c r="U7666" s="928"/>
      <c r="V7666" s="928"/>
      <c r="W7666" s="780"/>
      <c r="X7666" s="928"/>
      <c r="Y7666" s="780"/>
      <c r="Z7666" s="780"/>
      <c r="AA7666" s="780"/>
      <c r="AB7666" s="780"/>
      <c r="AC7666" s="780"/>
      <c r="AD7666" s="780"/>
      <c r="AE7666" s="780"/>
      <c r="AF7666" s="780"/>
    </row>
    <row r="7667" spans="19:32" x14ac:dyDescent="0.35">
      <c r="S7667" s="780"/>
      <c r="T7667" s="928"/>
      <c r="U7667" s="928"/>
      <c r="V7667" s="928"/>
      <c r="W7667" s="780"/>
      <c r="X7667" s="928"/>
      <c r="Y7667" s="780"/>
      <c r="Z7667" s="780"/>
      <c r="AA7667" s="780"/>
      <c r="AB7667" s="780"/>
      <c r="AC7667" s="780"/>
      <c r="AD7667" s="780"/>
      <c r="AE7667" s="780"/>
      <c r="AF7667" s="780"/>
    </row>
    <row r="7668" spans="19:32" x14ac:dyDescent="0.35">
      <c r="S7668" s="780"/>
      <c r="T7668" s="928"/>
      <c r="U7668" s="928"/>
      <c r="V7668" s="928"/>
      <c r="W7668" s="780"/>
      <c r="X7668" s="928"/>
      <c r="Y7668" s="780"/>
      <c r="Z7668" s="780"/>
      <c r="AA7668" s="780"/>
      <c r="AB7668" s="780"/>
      <c r="AC7668" s="780"/>
      <c r="AD7668" s="780"/>
      <c r="AE7668" s="780"/>
      <c r="AF7668" s="780"/>
    </row>
    <row r="7669" spans="19:32" x14ac:dyDescent="0.35">
      <c r="S7669" s="780"/>
      <c r="T7669" s="928"/>
      <c r="U7669" s="928"/>
      <c r="V7669" s="928"/>
      <c r="W7669" s="780"/>
      <c r="X7669" s="928"/>
      <c r="Y7669" s="780"/>
      <c r="Z7669" s="780"/>
      <c r="AA7669" s="780"/>
      <c r="AB7669" s="780"/>
      <c r="AC7669" s="780"/>
      <c r="AD7669" s="780"/>
      <c r="AE7669" s="780"/>
      <c r="AF7669" s="780"/>
    </row>
    <row r="7670" spans="19:32" x14ac:dyDescent="0.35">
      <c r="S7670" s="780"/>
      <c r="T7670" s="928"/>
      <c r="U7670" s="928"/>
      <c r="V7670" s="928"/>
      <c r="W7670" s="780"/>
      <c r="X7670" s="928"/>
      <c r="Y7670" s="780"/>
      <c r="Z7670" s="780"/>
      <c r="AA7670" s="780"/>
      <c r="AB7670" s="780"/>
      <c r="AC7670" s="780"/>
      <c r="AD7670" s="780"/>
      <c r="AE7670" s="780"/>
      <c r="AF7670" s="780"/>
    </row>
    <row r="7671" spans="19:32" x14ac:dyDescent="0.35">
      <c r="S7671" s="780"/>
      <c r="T7671" s="928"/>
      <c r="U7671" s="928"/>
      <c r="V7671" s="928"/>
      <c r="W7671" s="780"/>
      <c r="X7671" s="928"/>
      <c r="Y7671" s="780"/>
      <c r="Z7671" s="780"/>
      <c r="AA7671" s="780"/>
      <c r="AB7671" s="780"/>
      <c r="AC7671" s="780"/>
      <c r="AD7671" s="780"/>
      <c r="AE7671" s="780"/>
      <c r="AF7671" s="780"/>
    </row>
    <row r="7672" spans="19:32" x14ac:dyDescent="0.35">
      <c r="S7672" s="780"/>
      <c r="T7672" s="928"/>
      <c r="U7672" s="928"/>
      <c r="V7672" s="928"/>
      <c r="W7672" s="780"/>
      <c r="X7672" s="928"/>
      <c r="Y7672" s="780"/>
      <c r="Z7672" s="780"/>
      <c r="AA7672" s="780"/>
      <c r="AB7672" s="780"/>
      <c r="AC7672" s="780"/>
      <c r="AD7672" s="780"/>
      <c r="AE7672" s="780"/>
      <c r="AF7672" s="780"/>
    </row>
    <row r="7673" spans="19:32" x14ac:dyDescent="0.35">
      <c r="S7673" s="780"/>
      <c r="T7673" s="928"/>
      <c r="U7673" s="928"/>
      <c r="V7673" s="928"/>
      <c r="W7673" s="780"/>
      <c r="X7673" s="928"/>
      <c r="Y7673" s="780"/>
      <c r="Z7673" s="780"/>
      <c r="AA7673" s="780"/>
      <c r="AB7673" s="780"/>
      <c r="AC7673" s="780"/>
      <c r="AD7673" s="780"/>
      <c r="AE7673" s="780"/>
      <c r="AF7673" s="780"/>
    </row>
    <row r="7674" spans="19:32" x14ac:dyDescent="0.35">
      <c r="S7674" s="780"/>
      <c r="T7674" s="928"/>
      <c r="U7674" s="928"/>
      <c r="V7674" s="928"/>
      <c r="W7674" s="780"/>
      <c r="X7674" s="928"/>
      <c r="Y7674" s="780"/>
      <c r="Z7674" s="780"/>
      <c r="AA7674" s="780"/>
      <c r="AB7674" s="780"/>
      <c r="AC7674" s="780"/>
      <c r="AD7674" s="780"/>
      <c r="AE7674" s="780"/>
      <c r="AF7674" s="780"/>
    </row>
    <row r="7675" spans="19:32" x14ac:dyDescent="0.35">
      <c r="S7675" s="780"/>
      <c r="T7675" s="928"/>
      <c r="U7675" s="928"/>
      <c r="V7675" s="928"/>
      <c r="W7675" s="780"/>
      <c r="X7675" s="928"/>
      <c r="Y7675" s="780"/>
      <c r="Z7675" s="780"/>
      <c r="AA7675" s="780"/>
      <c r="AB7675" s="780"/>
      <c r="AC7675" s="780"/>
      <c r="AD7675" s="780"/>
      <c r="AE7675" s="780"/>
      <c r="AF7675" s="780"/>
    </row>
    <row r="7676" spans="19:32" x14ac:dyDescent="0.35">
      <c r="S7676" s="780"/>
      <c r="T7676" s="928"/>
      <c r="U7676" s="928"/>
      <c r="V7676" s="928"/>
      <c r="W7676" s="780"/>
      <c r="X7676" s="928"/>
      <c r="Y7676" s="780"/>
      <c r="Z7676" s="780"/>
      <c r="AA7676" s="780"/>
      <c r="AB7676" s="780"/>
      <c r="AC7676" s="780"/>
      <c r="AD7676" s="780"/>
      <c r="AE7676" s="780"/>
      <c r="AF7676" s="780"/>
    </row>
    <row r="7677" spans="19:32" x14ac:dyDescent="0.35">
      <c r="S7677" s="780"/>
      <c r="T7677" s="928"/>
      <c r="U7677" s="928"/>
      <c r="V7677" s="928"/>
      <c r="W7677" s="780"/>
      <c r="X7677" s="928"/>
      <c r="Y7677" s="780"/>
      <c r="Z7677" s="780"/>
      <c r="AA7677" s="780"/>
      <c r="AB7677" s="780"/>
      <c r="AC7677" s="780"/>
      <c r="AD7677" s="780"/>
      <c r="AE7677" s="780"/>
      <c r="AF7677" s="780"/>
    </row>
    <row r="7678" spans="19:32" x14ac:dyDescent="0.35">
      <c r="S7678" s="780"/>
      <c r="T7678" s="928"/>
      <c r="U7678" s="928"/>
      <c r="V7678" s="928"/>
      <c r="W7678" s="780"/>
      <c r="X7678" s="928"/>
      <c r="Y7678" s="780"/>
      <c r="Z7678" s="780"/>
      <c r="AA7678" s="780"/>
      <c r="AB7678" s="780"/>
      <c r="AC7678" s="780"/>
      <c r="AD7678" s="780"/>
      <c r="AE7678" s="780"/>
      <c r="AF7678" s="780"/>
    </row>
    <row r="7679" spans="19:32" x14ac:dyDescent="0.35">
      <c r="S7679" s="780"/>
      <c r="T7679" s="928"/>
      <c r="U7679" s="928"/>
      <c r="V7679" s="928"/>
      <c r="W7679" s="780"/>
      <c r="X7679" s="928"/>
      <c r="Y7679" s="780"/>
      <c r="Z7679" s="780"/>
      <c r="AA7679" s="780"/>
      <c r="AB7679" s="780"/>
      <c r="AC7679" s="780"/>
      <c r="AD7679" s="780"/>
      <c r="AE7679" s="780"/>
      <c r="AF7679" s="780"/>
    </row>
    <row r="7680" spans="19:32" x14ac:dyDescent="0.35">
      <c r="S7680" s="780"/>
      <c r="T7680" s="928"/>
      <c r="U7680" s="928"/>
      <c r="V7680" s="928"/>
      <c r="W7680" s="780"/>
      <c r="X7680" s="928"/>
      <c r="Y7680" s="780"/>
      <c r="Z7680" s="780"/>
      <c r="AA7680" s="780"/>
      <c r="AB7680" s="780"/>
      <c r="AC7680" s="780"/>
      <c r="AD7680" s="780"/>
      <c r="AE7680" s="780"/>
      <c r="AF7680" s="780"/>
    </row>
    <row r="7681" spans="19:32" x14ac:dyDescent="0.35">
      <c r="S7681" s="780"/>
      <c r="T7681" s="928"/>
      <c r="U7681" s="928"/>
      <c r="V7681" s="928"/>
      <c r="W7681" s="780"/>
      <c r="X7681" s="928"/>
      <c r="Y7681" s="780"/>
      <c r="Z7681" s="780"/>
      <c r="AA7681" s="780"/>
      <c r="AB7681" s="780"/>
      <c r="AC7681" s="780"/>
      <c r="AD7681" s="780"/>
      <c r="AE7681" s="780"/>
      <c r="AF7681" s="780"/>
    </row>
    <row r="7682" spans="19:32" x14ac:dyDescent="0.35">
      <c r="S7682" s="780"/>
      <c r="T7682" s="928"/>
      <c r="U7682" s="928"/>
      <c r="V7682" s="928"/>
      <c r="W7682" s="780"/>
      <c r="X7682" s="928"/>
      <c r="Y7682" s="780"/>
      <c r="Z7682" s="780"/>
      <c r="AA7682" s="780"/>
      <c r="AB7682" s="780"/>
      <c r="AC7682" s="780"/>
      <c r="AD7682" s="780"/>
      <c r="AE7682" s="780"/>
      <c r="AF7682" s="780"/>
    </row>
    <row r="7683" spans="19:32" x14ac:dyDescent="0.35">
      <c r="S7683" s="780"/>
      <c r="T7683" s="928"/>
      <c r="U7683" s="928"/>
      <c r="V7683" s="928"/>
      <c r="W7683" s="780"/>
      <c r="X7683" s="928"/>
      <c r="Y7683" s="780"/>
      <c r="Z7683" s="780"/>
      <c r="AA7683" s="780"/>
      <c r="AB7683" s="780"/>
      <c r="AC7683" s="780"/>
      <c r="AD7683" s="780"/>
      <c r="AE7683" s="780"/>
      <c r="AF7683" s="780"/>
    </row>
    <row r="7684" spans="19:32" x14ac:dyDescent="0.35">
      <c r="S7684" s="780"/>
      <c r="T7684" s="928"/>
      <c r="U7684" s="928"/>
      <c r="V7684" s="928"/>
      <c r="W7684" s="780"/>
      <c r="X7684" s="928"/>
      <c r="Y7684" s="780"/>
      <c r="Z7684" s="780"/>
      <c r="AA7684" s="780"/>
      <c r="AB7684" s="780"/>
      <c r="AC7684" s="780"/>
      <c r="AD7684" s="780"/>
      <c r="AE7684" s="780"/>
      <c r="AF7684" s="780"/>
    </row>
    <row r="7685" spans="19:32" x14ac:dyDescent="0.35">
      <c r="S7685" s="780"/>
      <c r="T7685" s="928"/>
      <c r="U7685" s="928"/>
      <c r="V7685" s="928"/>
      <c r="W7685" s="780"/>
      <c r="X7685" s="928"/>
      <c r="Y7685" s="780"/>
      <c r="Z7685" s="780"/>
      <c r="AA7685" s="780"/>
      <c r="AB7685" s="780"/>
      <c r="AC7685" s="780"/>
      <c r="AD7685" s="780"/>
      <c r="AE7685" s="780"/>
      <c r="AF7685" s="780"/>
    </row>
    <row r="7686" spans="19:32" x14ac:dyDescent="0.35">
      <c r="S7686" s="780"/>
      <c r="T7686" s="928"/>
      <c r="U7686" s="928"/>
      <c r="V7686" s="928"/>
      <c r="W7686" s="780"/>
      <c r="X7686" s="928"/>
      <c r="Y7686" s="780"/>
      <c r="Z7686" s="780"/>
      <c r="AA7686" s="780"/>
      <c r="AB7686" s="780"/>
      <c r="AC7686" s="780"/>
      <c r="AD7686" s="780"/>
      <c r="AE7686" s="780"/>
      <c r="AF7686" s="780"/>
    </row>
    <row r="7687" spans="19:32" x14ac:dyDescent="0.35">
      <c r="S7687" s="780"/>
      <c r="T7687" s="928"/>
      <c r="U7687" s="928"/>
      <c r="V7687" s="928"/>
      <c r="W7687" s="780"/>
      <c r="X7687" s="928"/>
      <c r="Y7687" s="780"/>
      <c r="Z7687" s="780"/>
      <c r="AA7687" s="780"/>
      <c r="AB7687" s="780"/>
      <c r="AC7687" s="780"/>
      <c r="AD7687" s="780"/>
      <c r="AE7687" s="780"/>
      <c r="AF7687" s="780"/>
    </row>
    <row r="7688" spans="19:32" x14ac:dyDescent="0.35">
      <c r="S7688" s="780"/>
      <c r="T7688" s="928"/>
      <c r="U7688" s="928"/>
      <c r="V7688" s="928"/>
      <c r="W7688" s="780"/>
      <c r="X7688" s="928"/>
      <c r="Y7688" s="780"/>
      <c r="Z7688" s="780"/>
      <c r="AA7688" s="780"/>
      <c r="AB7688" s="780"/>
      <c r="AC7688" s="780"/>
      <c r="AD7688" s="780"/>
      <c r="AE7688" s="780"/>
      <c r="AF7688" s="780"/>
    </row>
    <row r="7689" spans="19:32" x14ac:dyDescent="0.35">
      <c r="S7689" s="780"/>
      <c r="T7689" s="928"/>
      <c r="U7689" s="928"/>
      <c r="V7689" s="928"/>
      <c r="W7689" s="780"/>
      <c r="X7689" s="928"/>
      <c r="Y7689" s="780"/>
      <c r="Z7689" s="780"/>
      <c r="AA7689" s="780"/>
      <c r="AB7689" s="780"/>
      <c r="AC7689" s="780"/>
      <c r="AD7689" s="780"/>
      <c r="AE7689" s="780"/>
      <c r="AF7689" s="780"/>
    </row>
    <row r="7690" spans="19:32" x14ac:dyDescent="0.35">
      <c r="S7690" s="780"/>
      <c r="T7690" s="928"/>
      <c r="U7690" s="928"/>
      <c r="V7690" s="928"/>
      <c r="W7690" s="780"/>
      <c r="X7690" s="928"/>
      <c r="Y7690" s="780"/>
      <c r="Z7690" s="780"/>
      <c r="AA7690" s="780"/>
      <c r="AB7690" s="780"/>
      <c r="AC7690" s="780"/>
      <c r="AD7690" s="780"/>
      <c r="AE7690" s="780"/>
      <c r="AF7690" s="780"/>
    </row>
    <row r="7691" spans="19:32" x14ac:dyDescent="0.35">
      <c r="S7691" s="780"/>
      <c r="T7691" s="928"/>
      <c r="U7691" s="928"/>
      <c r="V7691" s="928"/>
      <c r="W7691" s="780"/>
      <c r="X7691" s="928"/>
      <c r="Y7691" s="780"/>
      <c r="Z7691" s="780"/>
      <c r="AA7691" s="780"/>
      <c r="AB7691" s="780"/>
      <c r="AC7691" s="780"/>
      <c r="AD7691" s="780"/>
      <c r="AE7691" s="780"/>
      <c r="AF7691" s="780"/>
    </row>
    <row r="7692" spans="19:32" x14ac:dyDescent="0.35">
      <c r="S7692" s="780"/>
      <c r="T7692" s="928"/>
      <c r="U7692" s="928"/>
      <c r="V7692" s="928"/>
      <c r="W7692" s="780"/>
      <c r="X7692" s="928"/>
      <c r="Y7692" s="780"/>
      <c r="Z7692" s="780"/>
      <c r="AA7692" s="780"/>
      <c r="AB7692" s="780"/>
      <c r="AC7692" s="780"/>
      <c r="AD7692" s="780"/>
      <c r="AE7692" s="780"/>
      <c r="AF7692" s="780"/>
    </row>
    <row r="7693" spans="19:32" x14ac:dyDescent="0.35">
      <c r="S7693" s="780"/>
      <c r="T7693" s="928"/>
      <c r="U7693" s="928"/>
      <c r="V7693" s="928"/>
      <c r="W7693" s="780"/>
      <c r="X7693" s="928"/>
      <c r="Y7693" s="780"/>
      <c r="Z7693" s="780"/>
      <c r="AA7693" s="780"/>
      <c r="AB7693" s="780"/>
      <c r="AC7693" s="780"/>
      <c r="AD7693" s="780"/>
      <c r="AE7693" s="780"/>
      <c r="AF7693" s="780"/>
    </row>
    <row r="7694" spans="19:32" x14ac:dyDescent="0.35">
      <c r="S7694" s="780"/>
      <c r="T7694" s="928"/>
      <c r="U7694" s="928"/>
      <c r="V7694" s="928"/>
      <c r="W7694" s="780"/>
      <c r="X7694" s="928"/>
      <c r="Y7694" s="780"/>
      <c r="Z7694" s="780"/>
      <c r="AA7694" s="780"/>
      <c r="AB7694" s="780"/>
      <c r="AC7694" s="780"/>
      <c r="AD7694" s="780"/>
      <c r="AE7694" s="780"/>
      <c r="AF7694" s="780"/>
    </row>
    <row r="7695" spans="19:32" x14ac:dyDescent="0.35">
      <c r="S7695" s="780"/>
      <c r="T7695" s="928"/>
      <c r="U7695" s="928"/>
      <c r="V7695" s="928"/>
      <c r="W7695" s="780"/>
      <c r="X7695" s="928"/>
      <c r="Y7695" s="780"/>
      <c r="Z7695" s="780"/>
      <c r="AA7695" s="780"/>
      <c r="AB7695" s="780"/>
      <c r="AC7695" s="780"/>
      <c r="AD7695" s="780"/>
      <c r="AE7695" s="780"/>
      <c r="AF7695" s="780"/>
    </row>
    <row r="7696" spans="19:32" x14ac:dyDescent="0.35">
      <c r="S7696" s="780"/>
      <c r="T7696" s="928"/>
      <c r="U7696" s="928"/>
      <c r="V7696" s="928"/>
      <c r="W7696" s="780"/>
      <c r="X7696" s="928"/>
      <c r="Y7696" s="780"/>
      <c r="Z7696" s="780"/>
      <c r="AA7696" s="780"/>
      <c r="AB7696" s="780"/>
      <c r="AC7696" s="780"/>
      <c r="AD7696" s="780"/>
      <c r="AE7696" s="780"/>
      <c r="AF7696" s="780"/>
    </row>
    <row r="7697" spans="19:32" x14ac:dyDescent="0.35">
      <c r="S7697" s="780"/>
      <c r="T7697" s="928"/>
      <c r="U7697" s="928"/>
      <c r="V7697" s="928"/>
      <c r="W7697" s="780"/>
      <c r="X7697" s="928"/>
      <c r="Y7697" s="780"/>
      <c r="Z7697" s="780"/>
      <c r="AA7697" s="780"/>
      <c r="AB7697" s="780"/>
      <c r="AC7697" s="780"/>
      <c r="AD7697" s="780"/>
      <c r="AE7697" s="780"/>
      <c r="AF7697" s="780"/>
    </row>
    <row r="7698" spans="19:32" x14ac:dyDescent="0.35">
      <c r="S7698" s="780"/>
      <c r="T7698" s="928"/>
      <c r="U7698" s="928"/>
      <c r="V7698" s="928"/>
      <c r="W7698" s="780"/>
      <c r="X7698" s="928"/>
      <c r="Y7698" s="780"/>
      <c r="Z7698" s="780"/>
      <c r="AA7698" s="780"/>
      <c r="AB7698" s="780"/>
      <c r="AC7698" s="780"/>
      <c r="AD7698" s="780"/>
      <c r="AE7698" s="780"/>
      <c r="AF7698" s="780"/>
    </row>
    <row r="7699" spans="19:32" x14ac:dyDescent="0.35">
      <c r="S7699" s="780"/>
      <c r="T7699" s="928"/>
      <c r="U7699" s="928"/>
      <c r="V7699" s="928"/>
      <c r="W7699" s="780"/>
      <c r="X7699" s="928"/>
      <c r="Y7699" s="780"/>
      <c r="Z7699" s="780"/>
      <c r="AA7699" s="780"/>
      <c r="AB7699" s="780"/>
      <c r="AC7699" s="780"/>
      <c r="AD7699" s="780"/>
      <c r="AE7699" s="780"/>
      <c r="AF7699" s="780"/>
    </row>
    <row r="7700" spans="19:32" x14ac:dyDescent="0.35">
      <c r="S7700" s="780"/>
      <c r="T7700" s="928"/>
      <c r="U7700" s="928"/>
      <c r="V7700" s="928"/>
      <c r="W7700" s="780"/>
      <c r="X7700" s="928"/>
      <c r="Y7700" s="780"/>
      <c r="Z7700" s="780"/>
      <c r="AA7700" s="780"/>
      <c r="AB7700" s="780"/>
      <c r="AC7700" s="780"/>
      <c r="AD7700" s="780"/>
      <c r="AE7700" s="780"/>
      <c r="AF7700" s="780"/>
    </row>
    <row r="7701" spans="19:32" x14ac:dyDescent="0.35">
      <c r="S7701" s="780"/>
      <c r="T7701" s="928"/>
      <c r="U7701" s="928"/>
      <c r="V7701" s="928"/>
      <c r="W7701" s="780"/>
      <c r="X7701" s="928"/>
      <c r="Y7701" s="780"/>
      <c r="Z7701" s="780"/>
      <c r="AA7701" s="780"/>
      <c r="AB7701" s="780"/>
      <c r="AC7701" s="780"/>
      <c r="AD7701" s="780"/>
      <c r="AE7701" s="780"/>
      <c r="AF7701" s="780"/>
    </row>
    <row r="7702" spans="19:32" x14ac:dyDescent="0.35">
      <c r="S7702" s="780"/>
      <c r="T7702" s="928"/>
      <c r="U7702" s="928"/>
      <c r="V7702" s="928"/>
      <c r="W7702" s="780"/>
      <c r="X7702" s="928"/>
      <c r="Y7702" s="780"/>
      <c r="Z7702" s="780"/>
      <c r="AA7702" s="780"/>
      <c r="AB7702" s="780"/>
      <c r="AC7702" s="780"/>
      <c r="AD7702" s="780"/>
      <c r="AE7702" s="780"/>
      <c r="AF7702" s="780"/>
    </row>
    <row r="7703" spans="19:32" x14ac:dyDescent="0.35">
      <c r="S7703" s="780"/>
      <c r="T7703" s="928"/>
      <c r="U7703" s="928"/>
      <c r="V7703" s="928"/>
      <c r="W7703" s="780"/>
      <c r="X7703" s="928"/>
      <c r="Y7703" s="780"/>
      <c r="Z7703" s="780"/>
      <c r="AA7703" s="780"/>
      <c r="AB7703" s="780"/>
      <c r="AC7703" s="780"/>
      <c r="AD7703" s="780"/>
      <c r="AE7703" s="780"/>
      <c r="AF7703" s="780"/>
    </row>
    <row r="7704" spans="19:32" x14ac:dyDescent="0.35">
      <c r="S7704" s="780"/>
      <c r="T7704" s="928"/>
      <c r="U7704" s="928"/>
      <c r="V7704" s="928"/>
      <c r="W7704" s="780"/>
      <c r="X7704" s="928"/>
      <c r="Y7704" s="780"/>
      <c r="Z7704" s="780"/>
      <c r="AA7704" s="780"/>
      <c r="AB7704" s="780"/>
      <c r="AC7704" s="780"/>
      <c r="AD7704" s="780"/>
      <c r="AE7704" s="780"/>
      <c r="AF7704" s="780"/>
    </row>
    <row r="7705" spans="19:32" x14ac:dyDescent="0.35">
      <c r="S7705" s="780"/>
      <c r="T7705" s="928"/>
      <c r="U7705" s="928"/>
      <c r="V7705" s="928"/>
      <c r="W7705" s="780"/>
      <c r="X7705" s="928"/>
      <c r="Y7705" s="780"/>
      <c r="Z7705" s="780"/>
      <c r="AA7705" s="780"/>
      <c r="AB7705" s="780"/>
      <c r="AC7705" s="780"/>
      <c r="AD7705" s="780"/>
      <c r="AE7705" s="780"/>
      <c r="AF7705" s="780"/>
    </row>
    <row r="7706" spans="19:32" x14ac:dyDescent="0.35">
      <c r="S7706" s="780"/>
      <c r="T7706" s="928"/>
      <c r="U7706" s="928"/>
      <c r="V7706" s="928"/>
      <c r="W7706" s="780"/>
      <c r="X7706" s="928"/>
      <c r="Y7706" s="780"/>
      <c r="Z7706" s="780"/>
      <c r="AA7706" s="780"/>
      <c r="AB7706" s="780"/>
      <c r="AC7706" s="780"/>
      <c r="AD7706" s="780"/>
      <c r="AE7706" s="780"/>
      <c r="AF7706" s="780"/>
    </row>
    <row r="7707" spans="19:32" x14ac:dyDescent="0.35">
      <c r="S7707" s="780"/>
      <c r="T7707" s="928"/>
      <c r="U7707" s="928"/>
      <c r="V7707" s="928"/>
      <c r="W7707" s="780"/>
      <c r="X7707" s="928"/>
      <c r="Y7707" s="780"/>
      <c r="Z7707" s="780"/>
      <c r="AA7707" s="780"/>
      <c r="AB7707" s="780"/>
      <c r="AC7707" s="780"/>
      <c r="AD7707" s="780"/>
      <c r="AE7707" s="780"/>
      <c r="AF7707" s="780"/>
    </row>
    <row r="7708" spans="19:32" x14ac:dyDescent="0.35">
      <c r="S7708" s="780"/>
      <c r="T7708" s="928"/>
      <c r="U7708" s="928"/>
      <c r="V7708" s="928"/>
      <c r="W7708" s="780"/>
      <c r="X7708" s="928"/>
      <c r="Y7708" s="780"/>
      <c r="Z7708" s="780"/>
      <c r="AA7708" s="780"/>
      <c r="AB7708" s="780"/>
      <c r="AC7708" s="780"/>
      <c r="AD7708" s="780"/>
      <c r="AE7708" s="780"/>
      <c r="AF7708" s="780"/>
    </row>
    <row r="7709" spans="19:32" x14ac:dyDescent="0.35">
      <c r="S7709" s="780"/>
      <c r="T7709" s="928"/>
      <c r="U7709" s="928"/>
      <c r="V7709" s="928"/>
      <c r="W7709" s="780"/>
      <c r="X7709" s="928"/>
      <c r="Y7709" s="780"/>
      <c r="Z7709" s="780"/>
      <c r="AA7709" s="780"/>
      <c r="AB7709" s="780"/>
      <c r="AC7709" s="780"/>
      <c r="AD7709" s="780"/>
      <c r="AE7709" s="780"/>
      <c r="AF7709" s="780"/>
    </row>
    <row r="7710" spans="19:32" x14ac:dyDescent="0.35">
      <c r="S7710" s="780"/>
      <c r="T7710" s="928"/>
      <c r="U7710" s="928"/>
      <c r="V7710" s="928"/>
      <c r="W7710" s="780"/>
      <c r="X7710" s="928"/>
      <c r="Y7710" s="780"/>
      <c r="Z7710" s="780"/>
      <c r="AA7710" s="780"/>
      <c r="AB7710" s="780"/>
      <c r="AC7710" s="780"/>
      <c r="AD7710" s="780"/>
      <c r="AE7710" s="780"/>
      <c r="AF7710" s="780"/>
    </row>
    <row r="7711" spans="19:32" x14ac:dyDescent="0.35">
      <c r="S7711" s="780"/>
      <c r="T7711" s="928"/>
      <c r="U7711" s="928"/>
      <c r="V7711" s="928"/>
      <c r="W7711" s="780"/>
      <c r="X7711" s="928"/>
      <c r="Y7711" s="780"/>
      <c r="Z7711" s="780"/>
      <c r="AA7711" s="780"/>
      <c r="AB7711" s="780"/>
      <c r="AC7711" s="780"/>
      <c r="AD7711" s="780"/>
      <c r="AE7711" s="780"/>
      <c r="AF7711" s="780"/>
    </row>
    <row r="7712" spans="19:32" x14ac:dyDescent="0.35">
      <c r="S7712" s="780"/>
      <c r="T7712" s="928"/>
      <c r="U7712" s="928"/>
      <c r="V7712" s="928"/>
      <c r="W7712" s="780"/>
      <c r="X7712" s="928"/>
      <c r="Y7712" s="780"/>
      <c r="Z7712" s="780"/>
      <c r="AA7712" s="780"/>
      <c r="AB7712" s="780"/>
      <c r="AC7712" s="780"/>
      <c r="AD7712" s="780"/>
      <c r="AE7712" s="780"/>
      <c r="AF7712" s="780"/>
    </row>
    <row r="7713" spans="19:32" x14ac:dyDescent="0.35">
      <c r="S7713" s="780"/>
      <c r="T7713" s="928"/>
      <c r="U7713" s="928"/>
      <c r="V7713" s="928"/>
      <c r="W7713" s="780"/>
      <c r="X7713" s="928"/>
      <c r="Y7713" s="780"/>
      <c r="Z7713" s="780"/>
      <c r="AA7713" s="780"/>
      <c r="AB7713" s="780"/>
      <c r="AC7713" s="780"/>
      <c r="AD7713" s="780"/>
      <c r="AE7713" s="780"/>
      <c r="AF7713" s="780"/>
    </row>
    <row r="7714" spans="19:32" x14ac:dyDescent="0.35">
      <c r="S7714" s="780"/>
      <c r="T7714" s="928"/>
      <c r="U7714" s="928"/>
      <c r="V7714" s="928"/>
      <c r="W7714" s="780"/>
      <c r="X7714" s="928"/>
      <c r="Y7714" s="780"/>
      <c r="Z7714" s="780"/>
      <c r="AA7714" s="780"/>
      <c r="AB7714" s="780"/>
      <c r="AC7714" s="780"/>
      <c r="AD7714" s="780"/>
      <c r="AE7714" s="780"/>
      <c r="AF7714" s="780"/>
    </row>
    <row r="7715" spans="19:32" x14ac:dyDescent="0.35">
      <c r="S7715" s="780"/>
      <c r="T7715" s="928"/>
      <c r="U7715" s="928"/>
      <c r="V7715" s="928"/>
      <c r="W7715" s="780"/>
      <c r="X7715" s="928"/>
      <c r="Y7715" s="780"/>
      <c r="Z7715" s="780"/>
      <c r="AA7715" s="780"/>
      <c r="AB7715" s="780"/>
      <c r="AC7715" s="780"/>
      <c r="AD7715" s="780"/>
      <c r="AE7715" s="780"/>
      <c r="AF7715" s="780"/>
    </row>
    <row r="7716" spans="19:32" x14ac:dyDescent="0.35">
      <c r="S7716" s="780"/>
      <c r="T7716" s="928"/>
      <c r="U7716" s="928"/>
      <c r="V7716" s="928"/>
      <c r="W7716" s="780"/>
      <c r="X7716" s="928"/>
      <c r="Y7716" s="780"/>
      <c r="Z7716" s="780"/>
      <c r="AA7716" s="780"/>
      <c r="AB7716" s="780"/>
      <c r="AC7716" s="780"/>
      <c r="AD7716" s="780"/>
      <c r="AE7716" s="780"/>
      <c r="AF7716" s="780"/>
    </row>
    <row r="7717" spans="19:32" x14ac:dyDescent="0.35">
      <c r="S7717" s="780"/>
      <c r="T7717" s="928"/>
      <c r="U7717" s="928"/>
      <c r="V7717" s="928"/>
      <c r="W7717" s="780"/>
      <c r="X7717" s="928"/>
      <c r="Y7717" s="780"/>
      <c r="Z7717" s="780"/>
      <c r="AA7717" s="780"/>
      <c r="AB7717" s="780"/>
      <c r="AC7717" s="780"/>
      <c r="AD7717" s="780"/>
      <c r="AE7717" s="780"/>
      <c r="AF7717" s="780"/>
    </row>
    <row r="7718" spans="19:32" x14ac:dyDescent="0.35">
      <c r="S7718" s="780"/>
      <c r="T7718" s="928"/>
      <c r="U7718" s="928"/>
      <c r="V7718" s="928"/>
      <c r="W7718" s="780"/>
      <c r="X7718" s="928"/>
      <c r="Y7718" s="780"/>
      <c r="Z7718" s="780"/>
      <c r="AA7718" s="780"/>
      <c r="AB7718" s="780"/>
      <c r="AC7718" s="780"/>
      <c r="AD7718" s="780"/>
      <c r="AE7718" s="780"/>
      <c r="AF7718" s="780"/>
    </row>
    <row r="7719" spans="19:32" x14ac:dyDescent="0.35">
      <c r="S7719" s="780"/>
      <c r="T7719" s="928"/>
      <c r="U7719" s="928"/>
      <c r="V7719" s="928"/>
      <c r="W7719" s="780"/>
      <c r="X7719" s="928"/>
      <c r="Y7719" s="780"/>
      <c r="Z7719" s="780"/>
      <c r="AA7719" s="780"/>
      <c r="AB7719" s="780"/>
      <c r="AC7719" s="780"/>
      <c r="AD7719" s="780"/>
      <c r="AE7719" s="780"/>
      <c r="AF7719" s="780"/>
    </row>
    <row r="7720" spans="19:32" x14ac:dyDescent="0.35">
      <c r="S7720" s="780"/>
      <c r="T7720" s="928"/>
      <c r="U7720" s="928"/>
      <c r="V7720" s="928"/>
      <c r="W7720" s="780"/>
      <c r="X7720" s="928"/>
      <c r="Y7720" s="780"/>
      <c r="Z7720" s="780"/>
      <c r="AA7720" s="780"/>
      <c r="AB7720" s="780"/>
      <c r="AC7720" s="780"/>
      <c r="AD7720" s="780"/>
      <c r="AE7720" s="780"/>
      <c r="AF7720" s="780"/>
    </row>
    <row r="7721" spans="19:32" x14ac:dyDescent="0.35">
      <c r="S7721" s="780"/>
      <c r="T7721" s="928"/>
      <c r="U7721" s="928"/>
      <c r="V7721" s="928"/>
      <c r="W7721" s="780"/>
      <c r="X7721" s="928"/>
      <c r="Y7721" s="780"/>
      <c r="Z7721" s="780"/>
      <c r="AA7721" s="780"/>
      <c r="AB7721" s="780"/>
      <c r="AC7721" s="780"/>
      <c r="AD7721" s="780"/>
      <c r="AE7721" s="780"/>
      <c r="AF7721" s="780"/>
    </row>
    <row r="7722" spans="19:32" x14ac:dyDescent="0.35">
      <c r="S7722" s="780"/>
      <c r="T7722" s="928"/>
      <c r="U7722" s="928"/>
      <c r="V7722" s="928"/>
      <c r="W7722" s="780"/>
      <c r="X7722" s="928"/>
      <c r="Y7722" s="780"/>
      <c r="Z7722" s="780"/>
      <c r="AA7722" s="780"/>
      <c r="AB7722" s="780"/>
      <c r="AC7722" s="780"/>
      <c r="AD7722" s="780"/>
      <c r="AE7722" s="780"/>
      <c r="AF7722" s="780"/>
    </row>
    <row r="7723" spans="19:32" x14ac:dyDescent="0.35">
      <c r="S7723" s="780"/>
      <c r="T7723" s="928"/>
      <c r="U7723" s="928"/>
      <c r="V7723" s="928"/>
      <c r="W7723" s="780"/>
      <c r="X7723" s="928"/>
      <c r="Y7723" s="780"/>
      <c r="Z7723" s="780"/>
      <c r="AA7723" s="780"/>
      <c r="AB7723" s="780"/>
      <c r="AC7723" s="780"/>
      <c r="AD7723" s="780"/>
      <c r="AE7723" s="780"/>
      <c r="AF7723" s="780"/>
    </row>
    <row r="7724" spans="19:32" x14ac:dyDescent="0.35">
      <c r="S7724" s="780"/>
      <c r="T7724" s="928"/>
      <c r="U7724" s="928"/>
      <c r="V7724" s="928"/>
      <c r="W7724" s="780"/>
      <c r="X7724" s="928"/>
      <c r="Y7724" s="780"/>
      <c r="Z7724" s="780"/>
      <c r="AA7724" s="780"/>
      <c r="AB7724" s="780"/>
      <c r="AC7724" s="780"/>
      <c r="AD7724" s="780"/>
      <c r="AE7724" s="780"/>
      <c r="AF7724" s="780"/>
    </row>
    <row r="7725" spans="19:32" x14ac:dyDescent="0.35">
      <c r="S7725" s="780"/>
      <c r="T7725" s="928"/>
      <c r="U7725" s="928"/>
      <c r="V7725" s="928"/>
      <c r="W7725" s="780"/>
      <c r="X7725" s="928"/>
      <c r="Y7725" s="780"/>
      <c r="Z7725" s="780"/>
      <c r="AA7725" s="780"/>
      <c r="AB7725" s="780"/>
      <c r="AC7725" s="780"/>
      <c r="AD7725" s="780"/>
      <c r="AE7725" s="780"/>
      <c r="AF7725" s="780"/>
    </row>
    <row r="7726" spans="19:32" x14ac:dyDescent="0.35">
      <c r="S7726" s="780"/>
      <c r="T7726" s="928"/>
      <c r="U7726" s="928"/>
      <c r="V7726" s="928"/>
      <c r="W7726" s="780"/>
      <c r="X7726" s="928"/>
      <c r="Y7726" s="780"/>
      <c r="Z7726" s="780"/>
      <c r="AA7726" s="780"/>
      <c r="AB7726" s="780"/>
      <c r="AC7726" s="780"/>
      <c r="AD7726" s="780"/>
      <c r="AE7726" s="780"/>
      <c r="AF7726" s="780"/>
    </row>
    <row r="7727" spans="19:32" x14ac:dyDescent="0.35">
      <c r="S7727" s="780"/>
      <c r="T7727" s="928"/>
      <c r="U7727" s="928"/>
      <c r="V7727" s="928"/>
      <c r="W7727" s="780"/>
      <c r="X7727" s="928"/>
      <c r="Y7727" s="780"/>
      <c r="Z7727" s="780"/>
      <c r="AA7727" s="780"/>
      <c r="AB7727" s="780"/>
      <c r="AC7727" s="780"/>
      <c r="AD7727" s="780"/>
      <c r="AE7727" s="780"/>
      <c r="AF7727" s="780"/>
    </row>
    <row r="7728" spans="19:32" x14ac:dyDescent="0.35">
      <c r="S7728" s="780"/>
      <c r="T7728" s="928"/>
      <c r="U7728" s="928"/>
      <c r="V7728" s="928"/>
      <c r="W7728" s="780"/>
      <c r="X7728" s="928"/>
      <c r="Y7728" s="780"/>
      <c r="Z7728" s="780"/>
      <c r="AA7728" s="780"/>
      <c r="AB7728" s="780"/>
      <c r="AC7728" s="780"/>
      <c r="AD7728" s="780"/>
      <c r="AE7728" s="780"/>
      <c r="AF7728" s="780"/>
    </row>
    <row r="7729" spans="19:32" x14ac:dyDescent="0.35">
      <c r="S7729" s="780"/>
      <c r="T7729" s="928"/>
      <c r="U7729" s="928"/>
      <c r="V7729" s="928"/>
      <c r="W7729" s="780"/>
      <c r="X7729" s="928"/>
      <c r="Y7729" s="780"/>
      <c r="Z7729" s="780"/>
      <c r="AA7729" s="780"/>
      <c r="AB7729" s="780"/>
      <c r="AC7729" s="780"/>
      <c r="AD7729" s="780"/>
      <c r="AE7729" s="780"/>
      <c r="AF7729" s="780"/>
    </row>
    <row r="7730" spans="19:32" x14ac:dyDescent="0.35">
      <c r="S7730" s="780"/>
      <c r="T7730" s="928"/>
      <c r="U7730" s="928"/>
      <c r="V7730" s="928"/>
      <c r="W7730" s="780"/>
      <c r="X7730" s="928"/>
      <c r="Y7730" s="780"/>
      <c r="Z7730" s="780"/>
      <c r="AA7730" s="780"/>
      <c r="AB7730" s="780"/>
      <c r="AC7730" s="780"/>
      <c r="AD7730" s="780"/>
      <c r="AE7730" s="780"/>
      <c r="AF7730" s="780"/>
    </row>
    <row r="7731" spans="19:32" x14ac:dyDescent="0.35">
      <c r="S7731" s="780"/>
      <c r="T7731" s="928"/>
      <c r="U7731" s="928"/>
      <c r="V7731" s="928"/>
      <c r="W7731" s="780"/>
      <c r="X7731" s="928"/>
      <c r="Y7731" s="780"/>
      <c r="Z7731" s="780"/>
      <c r="AA7731" s="780"/>
      <c r="AB7731" s="780"/>
      <c r="AC7731" s="780"/>
      <c r="AD7731" s="780"/>
      <c r="AE7731" s="780"/>
      <c r="AF7731" s="780"/>
    </row>
    <row r="7732" spans="19:32" x14ac:dyDescent="0.35">
      <c r="S7732" s="780"/>
      <c r="T7732" s="928"/>
      <c r="U7732" s="928"/>
      <c r="V7732" s="928"/>
      <c r="W7732" s="780"/>
      <c r="X7732" s="928"/>
      <c r="Y7732" s="780"/>
      <c r="Z7732" s="780"/>
      <c r="AA7732" s="780"/>
      <c r="AB7732" s="780"/>
      <c r="AC7732" s="780"/>
      <c r="AD7732" s="780"/>
      <c r="AE7732" s="780"/>
      <c r="AF7732" s="780"/>
    </row>
    <row r="7733" spans="19:32" x14ac:dyDescent="0.35">
      <c r="S7733" s="780"/>
      <c r="T7733" s="928"/>
      <c r="U7733" s="928"/>
      <c r="V7733" s="928"/>
      <c r="W7733" s="780"/>
      <c r="X7733" s="928"/>
      <c r="Y7733" s="780"/>
      <c r="Z7733" s="780"/>
      <c r="AA7733" s="780"/>
      <c r="AB7733" s="780"/>
      <c r="AC7733" s="780"/>
      <c r="AD7733" s="780"/>
      <c r="AE7733" s="780"/>
      <c r="AF7733" s="780"/>
    </row>
    <row r="7734" spans="19:32" x14ac:dyDescent="0.35">
      <c r="S7734" s="780"/>
      <c r="T7734" s="928"/>
      <c r="U7734" s="928"/>
      <c r="V7734" s="928"/>
      <c r="W7734" s="780"/>
      <c r="X7734" s="928"/>
      <c r="Y7734" s="780"/>
      <c r="Z7734" s="780"/>
      <c r="AA7734" s="780"/>
      <c r="AB7734" s="780"/>
      <c r="AC7734" s="780"/>
      <c r="AD7734" s="780"/>
      <c r="AE7734" s="780"/>
      <c r="AF7734" s="780"/>
    </row>
    <row r="7735" spans="19:32" x14ac:dyDescent="0.35">
      <c r="S7735" s="780"/>
      <c r="T7735" s="928"/>
      <c r="U7735" s="928"/>
      <c r="V7735" s="928"/>
      <c r="W7735" s="780"/>
      <c r="X7735" s="928"/>
      <c r="Y7735" s="780"/>
      <c r="Z7735" s="780"/>
      <c r="AA7735" s="780"/>
      <c r="AB7735" s="780"/>
      <c r="AC7735" s="780"/>
      <c r="AD7735" s="780"/>
      <c r="AE7735" s="780"/>
      <c r="AF7735" s="780"/>
    </row>
    <row r="7736" spans="19:32" x14ac:dyDescent="0.35">
      <c r="S7736" s="780"/>
      <c r="T7736" s="928"/>
      <c r="U7736" s="928"/>
      <c r="V7736" s="928"/>
      <c r="W7736" s="780"/>
      <c r="X7736" s="928"/>
      <c r="Y7736" s="780"/>
      <c r="Z7736" s="780"/>
      <c r="AA7736" s="780"/>
      <c r="AB7736" s="780"/>
      <c r="AC7736" s="780"/>
      <c r="AD7736" s="780"/>
      <c r="AE7736" s="780"/>
      <c r="AF7736" s="780"/>
    </row>
    <row r="7737" spans="19:32" x14ac:dyDescent="0.35">
      <c r="S7737" s="780"/>
      <c r="T7737" s="928"/>
      <c r="U7737" s="928"/>
      <c r="V7737" s="928"/>
      <c r="W7737" s="780"/>
      <c r="X7737" s="928"/>
      <c r="Y7737" s="780"/>
      <c r="Z7737" s="780"/>
      <c r="AA7737" s="780"/>
      <c r="AB7737" s="780"/>
      <c r="AC7737" s="780"/>
      <c r="AD7737" s="780"/>
      <c r="AE7737" s="780"/>
      <c r="AF7737" s="780"/>
    </row>
    <row r="7738" spans="19:32" x14ac:dyDescent="0.35">
      <c r="S7738" s="780"/>
      <c r="T7738" s="928"/>
      <c r="U7738" s="928"/>
      <c r="V7738" s="928"/>
      <c r="W7738" s="780"/>
      <c r="X7738" s="928"/>
      <c r="Y7738" s="780"/>
      <c r="Z7738" s="780"/>
      <c r="AA7738" s="780"/>
      <c r="AB7738" s="780"/>
      <c r="AC7738" s="780"/>
      <c r="AD7738" s="780"/>
      <c r="AE7738" s="780"/>
      <c r="AF7738" s="780"/>
    </row>
    <row r="7739" spans="19:32" x14ac:dyDescent="0.35">
      <c r="S7739" s="780"/>
      <c r="T7739" s="928"/>
      <c r="U7739" s="928"/>
      <c r="V7739" s="928"/>
      <c r="W7739" s="780"/>
      <c r="X7739" s="928"/>
      <c r="Y7739" s="780"/>
      <c r="Z7739" s="780"/>
      <c r="AA7739" s="780"/>
      <c r="AB7739" s="780"/>
      <c r="AC7739" s="780"/>
      <c r="AD7739" s="780"/>
      <c r="AE7739" s="780"/>
      <c r="AF7739" s="780"/>
    </row>
    <row r="7740" spans="19:32" x14ac:dyDescent="0.35">
      <c r="S7740" s="780"/>
      <c r="T7740" s="928"/>
      <c r="U7740" s="928"/>
      <c r="V7740" s="928"/>
      <c r="W7740" s="780"/>
      <c r="X7740" s="928"/>
      <c r="Y7740" s="780"/>
      <c r="Z7740" s="780"/>
      <c r="AA7740" s="780"/>
      <c r="AB7740" s="780"/>
      <c r="AC7740" s="780"/>
      <c r="AD7740" s="780"/>
      <c r="AE7740" s="780"/>
      <c r="AF7740" s="780"/>
    </row>
    <row r="7741" spans="19:32" x14ac:dyDescent="0.35">
      <c r="S7741" s="780"/>
      <c r="T7741" s="928"/>
      <c r="U7741" s="928"/>
      <c r="V7741" s="928"/>
      <c r="W7741" s="780"/>
      <c r="X7741" s="928"/>
      <c r="Y7741" s="780"/>
      <c r="Z7741" s="780"/>
      <c r="AA7741" s="780"/>
      <c r="AB7741" s="780"/>
      <c r="AC7741" s="780"/>
      <c r="AD7741" s="780"/>
      <c r="AE7741" s="780"/>
      <c r="AF7741" s="780"/>
    </row>
    <row r="7742" spans="19:32" x14ac:dyDescent="0.35">
      <c r="S7742" s="780"/>
      <c r="T7742" s="928"/>
      <c r="U7742" s="928"/>
      <c r="V7742" s="928"/>
      <c r="W7742" s="780"/>
      <c r="X7742" s="928"/>
      <c r="Y7742" s="780"/>
      <c r="Z7742" s="780"/>
      <c r="AA7742" s="780"/>
      <c r="AB7742" s="780"/>
      <c r="AC7742" s="780"/>
      <c r="AD7742" s="780"/>
      <c r="AE7742" s="780"/>
      <c r="AF7742" s="780"/>
    </row>
    <row r="7743" spans="19:32" x14ac:dyDescent="0.35">
      <c r="S7743" s="780"/>
      <c r="T7743" s="928"/>
      <c r="U7743" s="928"/>
      <c r="V7743" s="928"/>
      <c r="W7743" s="780"/>
      <c r="X7743" s="928"/>
      <c r="Y7743" s="780"/>
      <c r="Z7743" s="780"/>
      <c r="AA7743" s="780"/>
      <c r="AB7743" s="780"/>
      <c r="AC7743" s="780"/>
      <c r="AD7743" s="780"/>
      <c r="AE7743" s="780"/>
      <c r="AF7743" s="780"/>
    </row>
    <row r="7744" spans="19:32" x14ac:dyDescent="0.35">
      <c r="S7744" s="780"/>
      <c r="T7744" s="928"/>
      <c r="U7744" s="928"/>
      <c r="V7744" s="928"/>
      <c r="W7744" s="780"/>
      <c r="X7744" s="928"/>
      <c r="Y7744" s="780"/>
      <c r="Z7744" s="780"/>
      <c r="AA7744" s="780"/>
      <c r="AB7744" s="780"/>
      <c r="AC7744" s="780"/>
      <c r="AD7744" s="780"/>
      <c r="AE7744" s="780"/>
      <c r="AF7744" s="780"/>
    </row>
    <row r="7745" spans="19:32" x14ac:dyDescent="0.35">
      <c r="S7745" s="780"/>
      <c r="T7745" s="928"/>
      <c r="U7745" s="928"/>
      <c r="V7745" s="928"/>
      <c r="W7745" s="780"/>
      <c r="X7745" s="928"/>
      <c r="Y7745" s="780"/>
      <c r="Z7745" s="780"/>
      <c r="AA7745" s="780"/>
      <c r="AB7745" s="780"/>
      <c r="AC7745" s="780"/>
      <c r="AD7745" s="780"/>
      <c r="AE7745" s="780"/>
      <c r="AF7745" s="780"/>
    </row>
    <row r="7746" spans="19:32" x14ac:dyDescent="0.35">
      <c r="S7746" s="780"/>
      <c r="T7746" s="928"/>
      <c r="U7746" s="928"/>
      <c r="V7746" s="928"/>
      <c r="W7746" s="780"/>
      <c r="X7746" s="928"/>
      <c r="Y7746" s="780"/>
      <c r="Z7746" s="780"/>
      <c r="AA7746" s="780"/>
      <c r="AB7746" s="780"/>
      <c r="AC7746" s="780"/>
      <c r="AD7746" s="780"/>
      <c r="AE7746" s="780"/>
      <c r="AF7746" s="780"/>
    </row>
    <row r="7747" spans="19:32" x14ac:dyDescent="0.35">
      <c r="S7747" s="780"/>
      <c r="T7747" s="928"/>
      <c r="U7747" s="928"/>
      <c r="V7747" s="928"/>
      <c r="W7747" s="780"/>
      <c r="X7747" s="928"/>
      <c r="Y7747" s="780"/>
      <c r="Z7747" s="780"/>
      <c r="AA7747" s="780"/>
      <c r="AB7747" s="780"/>
      <c r="AC7747" s="780"/>
      <c r="AD7747" s="780"/>
      <c r="AE7747" s="780"/>
      <c r="AF7747" s="780"/>
    </row>
    <row r="7748" spans="19:32" x14ac:dyDescent="0.35">
      <c r="S7748" s="780"/>
      <c r="T7748" s="928"/>
      <c r="U7748" s="928"/>
      <c r="V7748" s="928"/>
      <c r="W7748" s="780"/>
      <c r="X7748" s="928"/>
      <c r="Y7748" s="780"/>
      <c r="Z7748" s="780"/>
      <c r="AA7748" s="780"/>
      <c r="AB7748" s="780"/>
      <c r="AC7748" s="780"/>
      <c r="AD7748" s="780"/>
      <c r="AE7748" s="780"/>
      <c r="AF7748" s="780"/>
    </row>
    <row r="7749" spans="19:32" x14ac:dyDescent="0.35">
      <c r="S7749" s="780"/>
      <c r="T7749" s="928"/>
      <c r="U7749" s="928"/>
      <c r="V7749" s="928"/>
      <c r="W7749" s="780"/>
      <c r="X7749" s="928"/>
      <c r="Y7749" s="780"/>
      <c r="Z7749" s="780"/>
      <c r="AA7749" s="780"/>
      <c r="AB7749" s="780"/>
      <c r="AC7749" s="780"/>
      <c r="AD7749" s="780"/>
      <c r="AE7749" s="780"/>
      <c r="AF7749" s="780"/>
    </row>
    <row r="7750" spans="19:32" x14ac:dyDescent="0.35">
      <c r="S7750" s="780"/>
      <c r="T7750" s="928"/>
      <c r="U7750" s="928"/>
      <c r="V7750" s="928"/>
      <c r="W7750" s="780"/>
      <c r="X7750" s="928"/>
      <c r="Y7750" s="780"/>
      <c r="Z7750" s="780"/>
      <c r="AA7750" s="780"/>
      <c r="AB7750" s="780"/>
      <c r="AC7750" s="780"/>
      <c r="AD7750" s="780"/>
      <c r="AE7750" s="780"/>
      <c r="AF7750" s="780"/>
    </row>
    <row r="7751" spans="19:32" x14ac:dyDescent="0.35">
      <c r="S7751" s="780"/>
      <c r="T7751" s="928"/>
      <c r="U7751" s="928"/>
      <c r="V7751" s="928"/>
      <c r="W7751" s="780"/>
      <c r="X7751" s="928"/>
      <c r="Y7751" s="780"/>
      <c r="Z7751" s="780"/>
      <c r="AA7751" s="780"/>
      <c r="AB7751" s="780"/>
      <c r="AC7751" s="780"/>
      <c r="AD7751" s="780"/>
      <c r="AE7751" s="780"/>
      <c r="AF7751" s="780"/>
    </row>
    <row r="7752" spans="19:32" x14ac:dyDescent="0.35">
      <c r="S7752" s="780"/>
      <c r="T7752" s="928"/>
      <c r="U7752" s="928"/>
      <c r="V7752" s="928"/>
      <c r="W7752" s="780"/>
      <c r="X7752" s="928"/>
      <c r="Y7752" s="780"/>
      <c r="Z7752" s="780"/>
      <c r="AA7752" s="780"/>
      <c r="AB7752" s="780"/>
      <c r="AC7752" s="780"/>
      <c r="AD7752" s="780"/>
      <c r="AE7752" s="780"/>
      <c r="AF7752" s="780"/>
    </row>
    <row r="7753" spans="19:32" x14ac:dyDescent="0.35">
      <c r="S7753" s="780"/>
      <c r="T7753" s="928"/>
      <c r="U7753" s="928"/>
      <c r="V7753" s="928"/>
      <c r="W7753" s="780"/>
      <c r="X7753" s="928"/>
      <c r="Y7753" s="780"/>
      <c r="Z7753" s="780"/>
      <c r="AA7753" s="780"/>
      <c r="AB7753" s="780"/>
      <c r="AC7753" s="780"/>
      <c r="AD7753" s="780"/>
      <c r="AE7753" s="780"/>
      <c r="AF7753" s="780"/>
    </row>
    <row r="7754" spans="19:32" x14ac:dyDescent="0.35">
      <c r="S7754" s="780"/>
      <c r="T7754" s="928"/>
      <c r="U7754" s="928"/>
      <c r="V7754" s="928"/>
      <c r="W7754" s="780"/>
      <c r="X7754" s="928"/>
      <c r="Y7754" s="780"/>
      <c r="Z7754" s="780"/>
      <c r="AA7754" s="780"/>
      <c r="AB7754" s="780"/>
      <c r="AC7754" s="780"/>
      <c r="AD7754" s="780"/>
      <c r="AE7754" s="780"/>
      <c r="AF7754" s="780"/>
    </row>
    <row r="7755" spans="19:32" x14ac:dyDescent="0.35">
      <c r="S7755" s="780"/>
      <c r="T7755" s="928"/>
      <c r="U7755" s="928"/>
      <c r="V7755" s="928"/>
      <c r="W7755" s="780"/>
      <c r="X7755" s="928"/>
      <c r="Y7755" s="780"/>
      <c r="Z7755" s="780"/>
      <c r="AA7755" s="780"/>
      <c r="AB7755" s="780"/>
      <c r="AC7755" s="780"/>
      <c r="AD7755" s="780"/>
      <c r="AE7755" s="780"/>
      <c r="AF7755" s="780"/>
    </row>
    <row r="7756" spans="19:32" x14ac:dyDescent="0.35">
      <c r="S7756" s="780"/>
      <c r="T7756" s="928"/>
      <c r="U7756" s="928"/>
      <c r="V7756" s="928"/>
      <c r="W7756" s="780"/>
      <c r="X7756" s="928"/>
      <c r="Y7756" s="780"/>
      <c r="Z7756" s="780"/>
      <c r="AA7756" s="780"/>
      <c r="AB7756" s="780"/>
      <c r="AC7756" s="780"/>
      <c r="AD7756" s="780"/>
      <c r="AE7756" s="780"/>
      <c r="AF7756" s="780"/>
    </row>
    <row r="7757" spans="19:32" x14ac:dyDescent="0.35">
      <c r="S7757" s="780"/>
      <c r="T7757" s="928"/>
      <c r="U7757" s="928"/>
      <c r="V7757" s="928"/>
      <c r="W7757" s="780"/>
      <c r="X7757" s="928"/>
      <c r="Y7757" s="780"/>
      <c r="Z7757" s="780"/>
      <c r="AA7757" s="780"/>
      <c r="AB7757" s="780"/>
      <c r="AC7757" s="780"/>
      <c r="AD7757" s="780"/>
      <c r="AE7757" s="780"/>
      <c r="AF7757" s="780"/>
    </row>
    <row r="7758" spans="19:32" x14ac:dyDescent="0.35">
      <c r="S7758" s="780"/>
      <c r="T7758" s="928"/>
      <c r="U7758" s="928"/>
      <c r="V7758" s="928"/>
      <c r="W7758" s="780"/>
      <c r="X7758" s="928"/>
      <c r="Y7758" s="780"/>
      <c r="Z7758" s="780"/>
      <c r="AA7758" s="780"/>
      <c r="AB7758" s="780"/>
      <c r="AC7758" s="780"/>
      <c r="AD7758" s="780"/>
      <c r="AE7758" s="780"/>
      <c r="AF7758" s="780"/>
    </row>
    <row r="7759" spans="19:32" x14ac:dyDescent="0.35">
      <c r="S7759" s="780"/>
      <c r="T7759" s="928"/>
      <c r="U7759" s="928"/>
      <c r="V7759" s="928"/>
      <c r="W7759" s="780"/>
      <c r="X7759" s="928"/>
      <c r="Y7759" s="780"/>
      <c r="Z7759" s="780"/>
      <c r="AA7759" s="780"/>
      <c r="AB7759" s="780"/>
      <c r="AC7759" s="780"/>
      <c r="AD7759" s="780"/>
      <c r="AE7759" s="780"/>
      <c r="AF7759" s="780"/>
    </row>
    <row r="7760" spans="19:32" x14ac:dyDescent="0.35">
      <c r="S7760" s="780"/>
      <c r="T7760" s="928"/>
      <c r="U7760" s="928"/>
      <c r="V7760" s="928"/>
      <c r="W7760" s="780"/>
      <c r="X7760" s="928"/>
      <c r="Y7760" s="780"/>
      <c r="Z7760" s="780"/>
      <c r="AA7760" s="780"/>
      <c r="AB7760" s="780"/>
      <c r="AC7760" s="780"/>
      <c r="AD7760" s="780"/>
      <c r="AE7760" s="780"/>
      <c r="AF7760" s="780"/>
    </row>
    <row r="7761" spans="19:32" x14ac:dyDescent="0.35">
      <c r="S7761" s="780"/>
      <c r="T7761" s="928"/>
      <c r="U7761" s="928"/>
      <c r="V7761" s="928"/>
      <c r="W7761" s="780"/>
      <c r="X7761" s="928"/>
      <c r="Y7761" s="780"/>
      <c r="Z7761" s="780"/>
      <c r="AA7761" s="780"/>
      <c r="AB7761" s="780"/>
      <c r="AC7761" s="780"/>
      <c r="AD7761" s="780"/>
      <c r="AE7761" s="780"/>
      <c r="AF7761" s="780"/>
    </row>
    <row r="7762" spans="19:32" x14ac:dyDescent="0.35">
      <c r="S7762" s="780"/>
      <c r="T7762" s="928"/>
      <c r="U7762" s="928"/>
      <c r="V7762" s="928"/>
      <c r="W7762" s="780"/>
      <c r="X7762" s="928"/>
      <c r="Y7762" s="780"/>
      <c r="Z7762" s="780"/>
      <c r="AA7762" s="780"/>
      <c r="AB7762" s="780"/>
      <c r="AC7762" s="780"/>
      <c r="AD7762" s="780"/>
      <c r="AE7762" s="780"/>
      <c r="AF7762" s="780"/>
    </row>
    <row r="7763" spans="19:32" x14ac:dyDescent="0.35">
      <c r="S7763" s="780"/>
      <c r="T7763" s="928"/>
      <c r="U7763" s="928"/>
      <c r="V7763" s="928"/>
      <c r="W7763" s="780"/>
      <c r="X7763" s="928"/>
      <c r="Y7763" s="780"/>
      <c r="Z7763" s="780"/>
      <c r="AA7763" s="780"/>
      <c r="AB7763" s="780"/>
      <c r="AC7763" s="780"/>
      <c r="AD7763" s="780"/>
      <c r="AE7763" s="780"/>
      <c r="AF7763" s="780"/>
    </row>
    <row r="7764" spans="19:32" x14ac:dyDescent="0.35">
      <c r="S7764" s="780"/>
      <c r="T7764" s="928"/>
      <c r="U7764" s="928"/>
      <c r="V7764" s="928"/>
      <c r="W7764" s="780"/>
      <c r="X7764" s="928"/>
      <c r="Y7764" s="780"/>
      <c r="Z7764" s="780"/>
      <c r="AA7764" s="780"/>
      <c r="AB7764" s="780"/>
      <c r="AC7764" s="780"/>
      <c r="AD7764" s="780"/>
      <c r="AE7764" s="780"/>
      <c r="AF7764" s="780"/>
    </row>
    <row r="7765" spans="19:32" x14ac:dyDescent="0.35">
      <c r="S7765" s="780"/>
      <c r="T7765" s="928"/>
      <c r="U7765" s="928"/>
      <c r="V7765" s="928"/>
      <c r="W7765" s="780"/>
      <c r="X7765" s="928"/>
      <c r="Y7765" s="780"/>
      <c r="Z7765" s="780"/>
      <c r="AA7765" s="780"/>
      <c r="AB7765" s="780"/>
      <c r="AC7765" s="780"/>
      <c r="AD7765" s="780"/>
      <c r="AE7765" s="780"/>
      <c r="AF7765" s="780"/>
    </row>
    <row r="7766" spans="19:32" x14ac:dyDescent="0.35">
      <c r="S7766" s="780"/>
      <c r="T7766" s="928"/>
      <c r="U7766" s="928"/>
      <c r="V7766" s="928"/>
      <c r="W7766" s="780"/>
      <c r="X7766" s="928"/>
      <c r="Y7766" s="780"/>
      <c r="Z7766" s="780"/>
      <c r="AA7766" s="780"/>
      <c r="AB7766" s="780"/>
      <c r="AC7766" s="780"/>
      <c r="AD7766" s="780"/>
      <c r="AE7766" s="780"/>
      <c r="AF7766" s="780"/>
    </row>
    <row r="7767" spans="19:32" x14ac:dyDescent="0.35">
      <c r="S7767" s="780"/>
      <c r="T7767" s="928"/>
      <c r="U7767" s="928"/>
      <c r="V7767" s="928"/>
      <c r="W7767" s="780"/>
      <c r="X7767" s="928"/>
      <c r="Y7767" s="780"/>
      <c r="Z7767" s="780"/>
      <c r="AA7767" s="780"/>
      <c r="AB7767" s="780"/>
      <c r="AC7767" s="780"/>
      <c r="AD7767" s="780"/>
      <c r="AE7767" s="780"/>
      <c r="AF7767" s="780"/>
    </row>
    <row r="7768" spans="19:32" x14ac:dyDescent="0.35">
      <c r="S7768" s="780"/>
      <c r="T7768" s="928"/>
      <c r="U7768" s="928"/>
      <c r="V7768" s="928"/>
      <c r="W7768" s="780"/>
      <c r="X7768" s="928"/>
      <c r="Y7768" s="780"/>
      <c r="Z7768" s="780"/>
      <c r="AA7768" s="780"/>
      <c r="AB7768" s="780"/>
      <c r="AC7768" s="780"/>
      <c r="AD7768" s="780"/>
      <c r="AE7768" s="780"/>
      <c r="AF7768" s="780"/>
    </row>
    <row r="7769" spans="19:32" x14ac:dyDescent="0.35">
      <c r="S7769" s="780"/>
      <c r="T7769" s="928"/>
      <c r="U7769" s="928"/>
      <c r="V7769" s="928"/>
      <c r="W7769" s="780"/>
      <c r="X7769" s="928"/>
      <c r="Y7769" s="780"/>
      <c r="Z7769" s="780"/>
      <c r="AA7769" s="780"/>
      <c r="AB7769" s="780"/>
      <c r="AC7769" s="780"/>
      <c r="AD7769" s="780"/>
      <c r="AE7769" s="780"/>
      <c r="AF7769" s="780"/>
    </row>
    <row r="7770" spans="19:32" x14ac:dyDescent="0.35">
      <c r="S7770" s="780"/>
      <c r="T7770" s="928"/>
      <c r="U7770" s="928"/>
      <c r="V7770" s="928"/>
      <c r="W7770" s="780"/>
      <c r="X7770" s="928"/>
      <c r="Y7770" s="780"/>
      <c r="Z7770" s="780"/>
      <c r="AA7770" s="780"/>
      <c r="AB7770" s="780"/>
      <c r="AC7770" s="780"/>
      <c r="AD7770" s="780"/>
      <c r="AE7770" s="780"/>
      <c r="AF7770" s="780"/>
    </row>
    <row r="7771" spans="19:32" x14ac:dyDescent="0.35">
      <c r="S7771" s="780"/>
      <c r="T7771" s="928"/>
      <c r="U7771" s="928"/>
      <c r="V7771" s="928"/>
      <c r="W7771" s="780"/>
      <c r="X7771" s="928"/>
      <c r="Y7771" s="780"/>
      <c r="Z7771" s="780"/>
      <c r="AA7771" s="780"/>
      <c r="AB7771" s="780"/>
      <c r="AC7771" s="780"/>
      <c r="AD7771" s="780"/>
      <c r="AE7771" s="780"/>
      <c r="AF7771" s="780"/>
    </row>
    <row r="7772" spans="19:32" x14ac:dyDescent="0.35">
      <c r="S7772" s="780"/>
      <c r="T7772" s="928"/>
      <c r="U7772" s="928"/>
      <c r="V7772" s="928"/>
      <c r="W7772" s="780"/>
      <c r="X7772" s="928"/>
      <c r="Y7772" s="780"/>
      <c r="Z7772" s="780"/>
      <c r="AA7772" s="780"/>
      <c r="AB7772" s="780"/>
      <c r="AC7772" s="780"/>
      <c r="AD7772" s="780"/>
      <c r="AE7772" s="780"/>
      <c r="AF7772" s="780"/>
    </row>
    <row r="7773" spans="19:32" x14ac:dyDescent="0.35">
      <c r="S7773" s="780"/>
      <c r="T7773" s="928"/>
      <c r="U7773" s="928"/>
      <c r="V7773" s="928"/>
      <c r="W7773" s="780"/>
      <c r="X7773" s="928"/>
      <c r="Y7773" s="780"/>
      <c r="Z7773" s="780"/>
      <c r="AA7773" s="780"/>
      <c r="AB7773" s="780"/>
      <c r="AC7773" s="780"/>
      <c r="AD7773" s="780"/>
      <c r="AE7773" s="780"/>
      <c r="AF7773" s="780"/>
    </row>
    <row r="7774" spans="19:32" x14ac:dyDescent="0.35">
      <c r="S7774" s="780"/>
      <c r="T7774" s="928"/>
      <c r="U7774" s="928"/>
      <c r="V7774" s="928"/>
      <c r="W7774" s="780"/>
      <c r="X7774" s="928"/>
      <c r="Y7774" s="780"/>
      <c r="Z7774" s="780"/>
      <c r="AA7774" s="780"/>
      <c r="AB7774" s="780"/>
      <c r="AC7774" s="780"/>
      <c r="AD7774" s="780"/>
      <c r="AE7774" s="780"/>
      <c r="AF7774" s="780"/>
    </row>
    <row r="7775" spans="19:32" x14ac:dyDescent="0.35">
      <c r="S7775" s="780"/>
      <c r="T7775" s="928"/>
      <c r="U7775" s="928"/>
      <c r="V7775" s="928"/>
      <c r="W7775" s="780"/>
      <c r="X7775" s="928"/>
      <c r="Y7775" s="780"/>
      <c r="Z7775" s="780"/>
      <c r="AA7775" s="780"/>
      <c r="AB7775" s="780"/>
      <c r="AC7775" s="780"/>
      <c r="AD7775" s="780"/>
      <c r="AE7775" s="780"/>
      <c r="AF7775" s="780"/>
    </row>
  </sheetData>
  <sheetProtection algorithmName="SHA-512" hashValue="xMna7Xv1qJ4elh599hk0KeR854ToMSs2iWVu5mGJbA1tMY57v2SAh8qN0D9tnpIXRGLAREWJrQComZR/EpKt8Q==" saltValue="C+a46s/uy2RcoeMbzBNzNQ==" spinCount="100000" sheet="1" objects="1" scenarios="1"/>
  <mergeCells count="15">
    <mergeCell ref="AO1:AQ1"/>
    <mergeCell ref="A27:G27"/>
    <mergeCell ref="I27:K27"/>
    <mergeCell ref="F45:I45"/>
    <mergeCell ref="K45:N45"/>
    <mergeCell ref="B2:F2"/>
    <mergeCell ref="G2:H2"/>
    <mergeCell ref="B1:O1"/>
    <mergeCell ref="P1:Q1"/>
    <mergeCell ref="E42:F42"/>
    <mergeCell ref="A245:G245"/>
    <mergeCell ref="E260:F260"/>
    <mergeCell ref="F72:I72"/>
    <mergeCell ref="G96:H96"/>
    <mergeCell ref="B45:D45"/>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3759" r:id="rId4" name="Drop Down 31">
              <controlPr defaultSize="0" autoLine="0" autoPict="0">
                <anchor moveWithCells="1">
                  <from>
                    <xdr:col>1</xdr:col>
                    <xdr:colOff>12700</xdr:colOff>
                    <xdr:row>3</xdr:row>
                    <xdr:rowOff>0</xdr:rowOff>
                  </from>
                  <to>
                    <xdr:col>2</xdr:col>
                    <xdr:colOff>12700</xdr:colOff>
                    <xdr:row>4</xdr:row>
                    <xdr:rowOff>0</xdr:rowOff>
                  </to>
                </anchor>
              </controlPr>
            </control>
          </mc:Choice>
        </mc:AlternateContent>
        <mc:AlternateContent xmlns:mc="http://schemas.openxmlformats.org/markup-compatibility/2006">
          <mc:Choice Requires="x14">
            <control shapeId="73760" r:id="rId5" name="Drop Down 32">
              <controlPr defaultSize="0" autoLine="0" autoPict="0">
                <anchor moveWithCells="1">
                  <from>
                    <xdr:col>1</xdr:col>
                    <xdr:colOff>12700</xdr:colOff>
                    <xdr:row>4</xdr:row>
                    <xdr:rowOff>0</xdr:rowOff>
                  </from>
                  <to>
                    <xdr:col>2</xdr:col>
                    <xdr:colOff>12700</xdr:colOff>
                    <xdr:row>5</xdr:row>
                    <xdr:rowOff>0</xdr:rowOff>
                  </to>
                </anchor>
              </controlPr>
            </control>
          </mc:Choice>
        </mc:AlternateContent>
        <mc:AlternateContent xmlns:mc="http://schemas.openxmlformats.org/markup-compatibility/2006">
          <mc:Choice Requires="x14">
            <control shapeId="73761" r:id="rId6" name="Drop Down 33">
              <controlPr defaultSize="0" autoLine="0" autoPict="0">
                <anchor moveWithCells="1">
                  <from>
                    <xdr:col>1</xdr:col>
                    <xdr:colOff>12700</xdr:colOff>
                    <xdr:row>5</xdr:row>
                    <xdr:rowOff>0</xdr:rowOff>
                  </from>
                  <to>
                    <xdr:col>2</xdr:col>
                    <xdr:colOff>12700</xdr:colOff>
                    <xdr:row>6</xdr:row>
                    <xdr:rowOff>0</xdr:rowOff>
                  </to>
                </anchor>
              </controlPr>
            </control>
          </mc:Choice>
        </mc:AlternateContent>
        <mc:AlternateContent xmlns:mc="http://schemas.openxmlformats.org/markup-compatibility/2006">
          <mc:Choice Requires="x14">
            <control shapeId="73763" r:id="rId7" name="Drop Down 35">
              <controlPr defaultSize="0" autoLine="0" autoPict="0">
                <anchor moveWithCells="1">
                  <from>
                    <xdr:col>1</xdr:col>
                    <xdr:colOff>12700</xdr:colOff>
                    <xdr:row>7</xdr:row>
                    <xdr:rowOff>0</xdr:rowOff>
                  </from>
                  <to>
                    <xdr:col>2</xdr:col>
                    <xdr:colOff>12700</xdr:colOff>
                    <xdr:row>8</xdr:row>
                    <xdr:rowOff>0</xdr:rowOff>
                  </to>
                </anchor>
              </controlPr>
            </control>
          </mc:Choice>
        </mc:AlternateContent>
        <mc:AlternateContent xmlns:mc="http://schemas.openxmlformats.org/markup-compatibility/2006">
          <mc:Choice Requires="x14">
            <control shapeId="73764" r:id="rId8" name="Drop Down 36">
              <controlPr defaultSize="0" autoLine="0" autoPict="0">
                <anchor moveWithCells="1">
                  <from>
                    <xdr:col>1</xdr:col>
                    <xdr:colOff>12700</xdr:colOff>
                    <xdr:row>8</xdr:row>
                    <xdr:rowOff>0</xdr:rowOff>
                  </from>
                  <to>
                    <xdr:col>2</xdr:col>
                    <xdr:colOff>12700</xdr:colOff>
                    <xdr:row>9</xdr:row>
                    <xdr:rowOff>0</xdr:rowOff>
                  </to>
                </anchor>
              </controlPr>
            </control>
          </mc:Choice>
        </mc:AlternateContent>
        <mc:AlternateContent xmlns:mc="http://schemas.openxmlformats.org/markup-compatibility/2006">
          <mc:Choice Requires="x14">
            <control shapeId="73765" r:id="rId9" name="Drop Down 37">
              <controlPr defaultSize="0" autoLine="0" autoPict="0">
                <anchor moveWithCells="1">
                  <from>
                    <xdr:col>1</xdr:col>
                    <xdr:colOff>12700</xdr:colOff>
                    <xdr:row>9</xdr:row>
                    <xdr:rowOff>0</xdr:rowOff>
                  </from>
                  <to>
                    <xdr:col>2</xdr:col>
                    <xdr:colOff>12700</xdr:colOff>
                    <xdr:row>10</xdr:row>
                    <xdr:rowOff>0</xdr:rowOff>
                  </to>
                </anchor>
              </controlPr>
            </control>
          </mc:Choice>
        </mc:AlternateContent>
        <mc:AlternateContent xmlns:mc="http://schemas.openxmlformats.org/markup-compatibility/2006">
          <mc:Choice Requires="x14">
            <control shapeId="73766" r:id="rId10" name="Drop Down 38">
              <controlPr defaultSize="0" autoLine="0" autoPict="0">
                <anchor moveWithCells="1">
                  <from>
                    <xdr:col>1</xdr:col>
                    <xdr:colOff>12700</xdr:colOff>
                    <xdr:row>10</xdr:row>
                    <xdr:rowOff>0</xdr:rowOff>
                  </from>
                  <to>
                    <xdr:col>2</xdr:col>
                    <xdr:colOff>12700</xdr:colOff>
                    <xdr:row>11</xdr:row>
                    <xdr:rowOff>0</xdr:rowOff>
                  </to>
                </anchor>
              </controlPr>
            </control>
          </mc:Choice>
        </mc:AlternateContent>
        <mc:AlternateContent xmlns:mc="http://schemas.openxmlformats.org/markup-compatibility/2006">
          <mc:Choice Requires="x14">
            <control shapeId="73767" r:id="rId11" name="Drop Down 39">
              <controlPr defaultSize="0" autoLine="0" autoPict="0">
                <anchor moveWithCells="1">
                  <from>
                    <xdr:col>1</xdr:col>
                    <xdr:colOff>12700</xdr:colOff>
                    <xdr:row>11</xdr:row>
                    <xdr:rowOff>0</xdr:rowOff>
                  </from>
                  <to>
                    <xdr:col>2</xdr:col>
                    <xdr:colOff>12700</xdr:colOff>
                    <xdr:row>12</xdr:row>
                    <xdr:rowOff>0</xdr:rowOff>
                  </to>
                </anchor>
              </controlPr>
            </control>
          </mc:Choice>
        </mc:AlternateContent>
        <mc:AlternateContent xmlns:mc="http://schemas.openxmlformats.org/markup-compatibility/2006">
          <mc:Choice Requires="x14">
            <control shapeId="73768" r:id="rId12" name="Drop Down 40">
              <controlPr defaultSize="0" autoLine="0" autoPict="0">
                <anchor moveWithCells="1">
                  <from>
                    <xdr:col>1</xdr:col>
                    <xdr:colOff>12700</xdr:colOff>
                    <xdr:row>12</xdr:row>
                    <xdr:rowOff>0</xdr:rowOff>
                  </from>
                  <to>
                    <xdr:col>2</xdr:col>
                    <xdr:colOff>12700</xdr:colOff>
                    <xdr:row>13</xdr:row>
                    <xdr:rowOff>0</xdr:rowOff>
                  </to>
                </anchor>
              </controlPr>
            </control>
          </mc:Choice>
        </mc:AlternateContent>
        <mc:AlternateContent xmlns:mc="http://schemas.openxmlformats.org/markup-compatibility/2006">
          <mc:Choice Requires="x14">
            <control shapeId="73769" r:id="rId13" name="Drop Down 41">
              <controlPr defaultSize="0" autoLine="0" autoPict="0">
                <anchor moveWithCells="1">
                  <from>
                    <xdr:col>1</xdr:col>
                    <xdr:colOff>12700</xdr:colOff>
                    <xdr:row>13</xdr:row>
                    <xdr:rowOff>0</xdr:rowOff>
                  </from>
                  <to>
                    <xdr:col>2</xdr:col>
                    <xdr:colOff>12700</xdr:colOff>
                    <xdr:row>14</xdr:row>
                    <xdr:rowOff>0</xdr:rowOff>
                  </to>
                </anchor>
              </controlPr>
            </control>
          </mc:Choice>
        </mc:AlternateContent>
        <mc:AlternateContent xmlns:mc="http://schemas.openxmlformats.org/markup-compatibility/2006">
          <mc:Choice Requires="x14">
            <control shapeId="73770" r:id="rId14" name="Drop Down 42">
              <controlPr defaultSize="0" autoLine="0" autoPict="0">
                <anchor moveWithCells="1">
                  <from>
                    <xdr:col>1</xdr:col>
                    <xdr:colOff>12700</xdr:colOff>
                    <xdr:row>14</xdr:row>
                    <xdr:rowOff>0</xdr:rowOff>
                  </from>
                  <to>
                    <xdr:col>2</xdr:col>
                    <xdr:colOff>12700</xdr:colOff>
                    <xdr:row>15</xdr:row>
                    <xdr:rowOff>0</xdr:rowOff>
                  </to>
                </anchor>
              </controlPr>
            </control>
          </mc:Choice>
        </mc:AlternateContent>
        <mc:AlternateContent xmlns:mc="http://schemas.openxmlformats.org/markup-compatibility/2006">
          <mc:Choice Requires="x14">
            <control shapeId="73771" r:id="rId15" name="Drop Down 43">
              <controlPr defaultSize="0" autoLine="0" autoPict="0">
                <anchor moveWithCells="1">
                  <from>
                    <xdr:col>1</xdr:col>
                    <xdr:colOff>12700</xdr:colOff>
                    <xdr:row>15</xdr:row>
                    <xdr:rowOff>0</xdr:rowOff>
                  </from>
                  <to>
                    <xdr:col>2</xdr:col>
                    <xdr:colOff>12700</xdr:colOff>
                    <xdr:row>16</xdr:row>
                    <xdr:rowOff>0</xdr:rowOff>
                  </to>
                </anchor>
              </controlPr>
            </control>
          </mc:Choice>
        </mc:AlternateContent>
        <mc:AlternateContent xmlns:mc="http://schemas.openxmlformats.org/markup-compatibility/2006">
          <mc:Choice Requires="x14">
            <control shapeId="73772" r:id="rId16" name="Drop Down 44">
              <controlPr defaultSize="0" autoLine="0" autoPict="0">
                <anchor moveWithCells="1">
                  <from>
                    <xdr:col>1</xdr:col>
                    <xdr:colOff>12700</xdr:colOff>
                    <xdr:row>16</xdr:row>
                    <xdr:rowOff>0</xdr:rowOff>
                  </from>
                  <to>
                    <xdr:col>2</xdr:col>
                    <xdr:colOff>12700</xdr:colOff>
                    <xdr:row>17</xdr:row>
                    <xdr:rowOff>0</xdr:rowOff>
                  </to>
                </anchor>
              </controlPr>
            </control>
          </mc:Choice>
        </mc:AlternateContent>
        <mc:AlternateContent xmlns:mc="http://schemas.openxmlformats.org/markup-compatibility/2006">
          <mc:Choice Requires="x14">
            <control shapeId="73773" r:id="rId17" name="Drop Down 45">
              <controlPr defaultSize="0" autoLine="0" autoPict="0">
                <anchor moveWithCells="1">
                  <from>
                    <xdr:col>1</xdr:col>
                    <xdr:colOff>12700</xdr:colOff>
                    <xdr:row>17</xdr:row>
                    <xdr:rowOff>0</xdr:rowOff>
                  </from>
                  <to>
                    <xdr:col>2</xdr:col>
                    <xdr:colOff>12700</xdr:colOff>
                    <xdr:row>18</xdr:row>
                    <xdr:rowOff>0</xdr:rowOff>
                  </to>
                </anchor>
              </controlPr>
            </control>
          </mc:Choice>
        </mc:AlternateContent>
        <mc:AlternateContent xmlns:mc="http://schemas.openxmlformats.org/markup-compatibility/2006">
          <mc:Choice Requires="x14">
            <control shapeId="73774" r:id="rId18" name="Drop Down 46">
              <controlPr defaultSize="0" autoLine="0" autoPict="0">
                <anchor moveWithCells="1">
                  <from>
                    <xdr:col>1</xdr:col>
                    <xdr:colOff>12700</xdr:colOff>
                    <xdr:row>18</xdr:row>
                    <xdr:rowOff>0</xdr:rowOff>
                  </from>
                  <to>
                    <xdr:col>2</xdr:col>
                    <xdr:colOff>12700</xdr:colOff>
                    <xdr:row>19</xdr:row>
                    <xdr:rowOff>0</xdr:rowOff>
                  </to>
                </anchor>
              </controlPr>
            </control>
          </mc:Choice>
        </mc:AlternateContent>
        <mc:AlternateContent xmlns:mc="http://schemas.openxmlformats.org/markup-compatibility/2006">
          <mc:Choice Requires="x14">
            <control shapeId="73775" r:id="rId19" name="Drop Down 47">
              <controlPr defaultSize="0" autoLine="0" autoPict="0">
                <anchor moveWithCells="1">
                  <from>
                    <xdr:col>1</xdr:col>
                    <xdr:colOff>12700</xdr:colOff>
                    <xdr:row>19</xdr:row>
                    <xdr:rowOff>0</xdr:rowOff>
                  </from>
                  <to>
                    <xdr:col>2</xdr:col>
                    <xdr:colOff>12700</xdr:colOff>
                    <xdr:row>20</xdr:row>
                    <xdr:rowOff>0</xdr:rowOff>
                  </to>
                </anchor>
              </controlPr>
            </control>
          </mc:Choice>
        </mc:AlternateContent>
        <mc:AlternateContent xmlns:mc="http://schemas.openxmlformats.org/markup-compatibility/2006">
          <mc:Choice Requires="x14">
            <control shapeId="73776" r:id="rId20" name="Drop Down 48">
              <controlPr defaultSize="0" autoLine="0" autoPict="0">
                <anchor moveWithCells="1">
                  <from>
                    <xdr:col>1</xdr:col>
                    <xdr:colOff>12700</xdr:colOff>
                    <xdr:row>20</xdr:row>
                    <xdr:rowOff>0</xdr:rowOff>
                  </from>
                  <to>
                    <xdr:col>2</xdr:col>
                    <xdr:colOff>12700</xdr:colOff>
                    <xdr:row>21</xdr:row>
                    <xdr:rowOff>0</xdr:rowOff>
                  </to>
                </anchor>
              </controlPr>
            </control>
          </mc:Choice>
        </mc:AlternateContent>
        <mc:AlternateContent xmlns:mc="http://schemas.openxmlformats.org/markup-compatibility/2006">
          <mc:Choice Requires="x14">
            <control shapeId="73777" r:id="rId21" name="Drop Down 49">
              <controlPr defaultSize="0" autoLine="0" autoPict="0">
                <anchor moveWithCells="1">
                  <from>
                    <xdr:col>1</xdr:col>
                    <xdr:colOff>12700</xdr:colOff>
                    <xdr:row>21</xdr:row>
                    <xdr:rowOff>0</xdr:rowOff>
                  </from>
                  <to>
                    <xdr:col>2</xdr:col>
                    <xdr:colOff>12700</xdr:colOff>
                    <xdr:row>22</xdr:row>
                    <xdr:rowOff>0</xdr:rowOff>
                  </to>
                </anchor>
              </controlPr>
            </control>
          </mc:Choice>
        </mc:AlternateContent>
        <mc:AlternateContent xmlns:mc="http://schemas.openxmlformats.org/markup-compatibility/2006">
          <mc:Choice Requires="x14">
            <control shapeId="73778" r:id="rId22" name="Drop Down 50">
              <controlPr defaultSize="0" autoLine="0" autoPict="0">
                <anchor moveWithCells="1">
                  <from>
                    <xdr:col>1</xdr:col>
                    <xdr:colOff>12700</xdr:colOff>
                    <xdr:row>22</xdr:row>
                    <xdr:rowOff>0</xdr:rowOff>
                  </from>
                  <to>
                    <xdr:col>2</xdr:col>
                    <xdr:colOff>12700</xdr:colOff>
                    <xdr:row>23</xdr:row>
                    <xdr:rowOff>0</xdr:rowOff>
                  </to>
                </anchor>
              </controlPr>
            </control>
          </mc:Choice>
        </mc:AlternateContent>
        <mc:AlternateContent xmlns:mc="http://schemas.openxmlformats.org/markup-compatibility/2006">
          <mc:Choice Requires="x14">
            <control shapeId="73779" r:id="rId23" name="Drop Down 51">
              <controlPr defaultSize="0" autoLine="0" autoPict="0">
                <anchor moveWithCells="1">
                  <from>
                    <xdr:col>6</xdr:col>
                    <xdr:colOff>12700</xdr:colOff>
                    <xdr:row>3</xdr:row>
                    <xdr:rowOff>0</xdr:rowOff>
                  </from>
                  <to>
                    <xdr:col>7</xdr:col>
                    <xdr:colOff>12700</xdr:colOff>
                    <xdr:row>4</xdr:row>
                    <xdr:rowOff>0</xdr:rowOff>
                  </to>
                </anchor>
              </controlPr>
            </control>
          </mc:Choice>
        </mc:AlternateContent>
        <mc:AlternateContent xmlns:mc="http://schemas.openxmlformats.org/markup-compatibility/2006">
          <mc:Choice Requires="x14">
            <control shapeId="73780" r:id="rId24" name="Drop Down 52">
              <controlPr defaultSize="0" autoLine="0" autoPict="0">
                <anchor moveWithCells="1">
                  <from>
                    <xdr:col>11</xdr:col>
                    <xdr:colOff>12700</xdr:colOff>
                    <xdr:row>3</xdr:row>
                    <xdr:rowOff>0</xdr:rowOff>
                  </from>
                  <to>
                    <xdr:col>12</xdr:col>
                    <xdr:colOff>12700</xdr:colOff>
                    <xdr:row>4</xdr:row>
                    <xdr:rowOff>0</xdr:rowOff>
                  </to>
                </anchor>
              </controlPr>
            </control>
          </mc:Choice>
        </mc:AlternateContent>
        <mc:AlternateContent xmlns:mc="http://schemas.openxmlformats.org/markup-compatibility/2006">
          <mc:Choice Requires="x14">
            <control shapeId="73781" r:id="rId25" name="Drop Down 53">
              <controlPr defaultSize="0" autoLine="0" autoPict="0">
                <anchor moveWithCells="1">
                  <from>
                    <xdr:col>11</xdr:col>
                    <xdr:colOff>12700</xdr:colOff>
                    <xdr:row>4</xdr:row>
                    <xdr:rowOff>0</xdr:rowOff>
                  </from>
                  <to>
                    <xdr:col>12</xdr:col>
                    <xdr:colOff>12700</xdr:colOff>
                    <xdr:row>5</xdr:row>
                    <xdr:rowOff>0</xdr:rowOff>
                  </to>
                </anchor>
              </controlPr>
            </control>
          </mc:Choice>
        </mc:AlternateContent>
        <mc:AlternateContent xmlns:mc="http://schemas.openxmlformats.org/markup-compatibility/2006">
          <mc:Choice Requires="x14">
            <control shapeId="73783" r:id="rId26" name="Drop Down 55">
              <controlPr defaultSize="0" autoLine="0" autoPict="0">
                <anchor moveWithCells="1">
                  <from>
                    <xdr:col>11</xdr:col>
                    <xdr:colOff>12700</xdr:colOff>
                    <xdr:row>6</xdr:row>
                    <xdr:rowOff>0</xdr:rowOff>
                  </from>
                  <to>
                    <xdr:col>12</xdr:col>
                    <xdr:colOff>12700</xdr:colOff>
                    <xdr:row>7</xdr:row>
                    <xdr:rowOff>0</xdr:rowOff>
                  </to>
                </anchor>
              </controlPr>
            </control>
          </mc:Choice>
        </mc:AlternateContent>
        <mc:AlternateContent xmlns:mc="http://schemas.openxmlformats.org/markup-compatibility/2006">
          <mc:Choice Requires="x14">
            <control shapeId="73784" r:id="rId27" name="Drop Down 56">
              <controlPr defaultSize="0" autoLine="0" autoPict="0">
                <anchor moveWithCells="1">
                  <from>
                    <xdr:col>11</xdr:col>
                    <xdr:colOff>12700</xdr:colOff>
                    <xdr:row>7</xdr:row>
                    <xdr:rowOff>0</xdr:rowOff>
                  </from>
                  <to>
                    <xdr:col>12</xdr:col>
                    <xdr:colOff>12700</xdr:colOff>
                    <xdr:row>8</xdr:row>
                    <xdr:rowOff>0</xdr:rowOff>
                  </to>
                </anchor>
              </controlPr>
            </control>
          </mc:Choice>
        </mc:AlternateContent>
        <mc:AlternateContent xmlns:mc="http://schemas.openxmlformats.org/markup-compatibility/2006">
          <mc:Choice Requires="x14">
            <control shapeId="73785" r:id="rId28" name="Drop Down 57">
              <controlPr defaultSize="0" autoLine="0" autoPict="0">
                <anchor moveWithCells="1">
                  <from>
                    <xdr:col>11</xdr:col>
                    <xdr:colOff>12700</xdr:colOff>
                    <xdr:row>8</xdr:row>
                    <xdr:rowOff>0</xdr:rowOff>
                  </from>
                  <to>
                    <xdr:col>12</xdr:col>
                    <xdr:colOff>12700</xdr:colOff>
                    <xdr:row>9</xdr:row>
                    <xdr:rowOff>0</xdr:rowOff>
                  </to>
                </anchor>
              </controlPr>
            </control>
          </mc:Choice>
        </mc:AlternateContent>
        <mc:AlternateContent xmlns:mc="http://schemas.openxmlformats.org/markup-compatibility/2006">
          <mc:Choice Requires="x14">
            <control shapeId="73786" r:id="rId29" name="Drop Down 58">
              <controlPr defaultSize="0" autoLine="0" autoPict="0">
                <anchor moveWithCells="1">
                  <from>
                    <xdr:col>11</xdr:col>
                    <xdr:colOff>12700</xdr:colOff>
                    <xdr:row>9</xdr:row>
                    <xdr:rowOff>0</xdr:rowOff>
                  </from>
                  <to>
                    <xdr:col>12</xdr:col>
                    <xdr:colOff>12700</xdr:colOff>
                    <xdr:row>10</xdr:row>
                    <xdr:rowOff>0</xdr:rowOff>
                  </to>
                </anchor>
              </controlPr>
            </control>
          </mc:Choice>
        </mc:AlternateContent>
        <mc:AlternateContent xmlns:mc="http://schemas.openxmlformats.org/markup-compatibility/2006">
          <mc:Choice Requires="x14">
            <control shapeId="73787" r:id="rId30" name="Drop Down 59">
              <controlPr defaultSize="0" autoLine="0" autoPict="0">
                <anchor moveWithCells="1">
                  <from>
                    <xdr:col>11</xdr:col>
                    <xdr:colOff>12700</xdr:colOff>
                    <xdr:row>10</xdr:row>
                    <xdr:rowOff>0</xdr:rowOff>
                  </from>
                  <to>
                    <xdr:col>12</xdr:col>
                    <xdr:colOff>12700</xdr:colOff>
                    <xdr:row>11</xdr:row>
                    <xdr:rowOff>0</xdr:rowOff>
                  </to>
                </anchor>
              </controlPr>
            </control>
          </mc:Choice>
        </mc:AlternateContent>
        <mc:AlternateContent xmlns:mc="http://schemas.openxmlformats.org/markup-compatibility/2006">
          <mc:Choice Requires="x14">
            <control shapeId="73788" r:id="rId31" name="Drop Down 60">
              <controlPr defaultSize="0" autoLine="0" autoPict="0">
                <anchor moveWithCells="1">
                  <from>
                    <xdr:col>11</xdr:col>
                    <xdr:colOff>12700</xdr:colOff>
                    <xdr:row>11</xdr:row>
                    <xdr:rowOff>0</xdr:rowOff>
                  </from>
                  <to>
                    <xdr:col>12</xdr:col>
                    <xdr:colOff>12700</xdr:colOff>
                    <xdr:row>12</xdr:row>
                    <xdr:rowOff>0</xdr:rowOff>
                  </to>
                </anchor>
              </controlPr>
            </control>
          </mc:Choice>
        </mc:AlternateContent>
        <mc:AlternateContent xmlns:mc="http://schemas.openxmlformats.org/markup-compatibility/2006">
          <mc:Choice Requires="x14">
            <control shapeId="73789" r:id="rId32" name="Drop Down 61">
              <controlPr defaultSize="0" autoLine="0" autoPict="0">
                <anchor moveWithCells="1">
                  <from>
                    <xdr:col>11</xdr:col>
                    <xdr:colOff>12700</xdr:colOff>
                    <xdr:row>12</xdr:row>
                    <xdr:rowOff>0</xdr:rowOff>
                  </from>
                  <to>
                    <xdr:col>12</xdr:col>
                    <xdr:colOff>12700</xdr:colOff>
                    <xdr:row>13</xdr:row>
                    <xdr:rowOff>0</xdr:rowOff>
                  </to>
                </anchor>
              </controlPr>
            </control>
          </mc:Choice>
        </mc:AlternateContent>
        <mc:AlternateContent xmlns:mc="http://schemas.openxmlformats.org/markup-compatibility/2006">
          <mc:Choice Requires="x14">
            <control shapeId="73790" r:id="rId33" name="Drop Down 62">
              <controlPr defaultSize="0" autoLine="0" autoPict="0">
                <anchor moveWithCells="1">
                  <from>
                    <xdr:col>11</xdr:col>
                    <xdr:colOff>12700</xdr:colOff>
                    <xdr:row>13</xdr:row>
                    <xdr:rowOff>0</xdr:rowOff>
                  </from>
                  <to>
                    <xdr:col>12</xdr:col>
                    <xdr:colOff>12700</xdr:colOff>
                    <xdr:row>14</xdr:row>
                    <xdr:rowOff>0</xdr:rowOff>
                  </to>
                </anchor>
              </controlPr>
            </control>
          </mc:Choice>
        </mc:AlternateContent>
        <mc:AlternateContent xmlns:mc="http://schemas.openxmlformats.org/markup-compatibility/2006">
          <mc:Choice Requires="x14">
            <control shapeId="73791" r:id="rId34" name="Drop Down 63">
              <controlPr defaultSize="0" autoLine="0" autoPict="0">
                <anchor moveWithCells="1">
                  <from>
                    <xdr:col>11</xdr:col>
                    <xdr:colOff>12700</xdr:colOff>
                    <xdr:row>14</xdr:row>
                    <xdr:rowOff>0</xdr:rowOff>
                  </from>
                  <to>
                    <xdr:col>12</xdr:col>
                    <xdr:colOff>12700</xdr:colOff>
                    <xdr:row>15</xdr:row>
                    <xdr:rowOff>0</xdr:rowOff>
                  </to>
                </anchor>
              </controlPr>
            </control>
          </mc:Choice>
        </mc:AlternateContent>
        <mc:AlternateContent xmlns:mc="http://schemas.openxmlformats.org/markup-compatibility/2006">
          <mc:Choice Requires="x14">
            <control shapeId="73792" r:id="rId35" name="Drop Down 64">
              <controlPr defaultSize="0" autoLine="0" autoPict="0">
                <anchor moveWithCells="1">
                  <from>
                    <xdr:col>11</xdr:col>
                    <xdr:colOff>12700</xdr:colOff>
                    <xdr:row>15</xdr:row>
                    <xdr:rowOff>0</xdr:rowOff>
                  </from>
                  <to>
                    <xdr:col>12</xdr:col>
                    <xdr:colOff>12700</xdr:colOff>
                    <xdr:row>16</xdr:row>
                    <xdr:rowOff>0</xdr:rowOff>
                  </to>
                </anchor>
              </controlPr>
            </control>
          </mc:Choice>
        </mc:AlternateContent>
        <mc:AlternateContent xmlns:mc="http://schemas.openxmlformats.org/markup-compatibility/2006">
          <mc:Choice Requires="x14">
            <control shapeId="73793" r:id="rId36" name="Drop Down 65">
              <controlPr defaultSize="0" autoLine="0" autoPict="0">
                <anchor moveWithCells="1">
                  <from>
                    <xdr:col>11</xdr:col>
                    <xdr:colOff>12700</xdr:colOff>
                    <xdr:row>16</xdr:row>
                    <xdr:rowOff>0</xdr:rowOff>
                  </from>
                  <to>
                    <xdr:col>12</xdr:col>
                    <xdr:colOff>12700</xdr:colOff>
                    <xdr:row>17</xdr:row>
                    <xdr:rowOff>0</xdr:rowOff>
                  </to>
                </anchor>
              </controlPr>
            </control>
          </mc:Choice>
        </mc:AlternateContent>
        <mc:AlternateContent xmlns:mc="http://schemas.openxmlformats.org/markup-compatibility/2006">
          <mc:Choice Requires="x14">
            <control shapeId="73794" r:id="rId37" name="Drop Down 66">
              <controlPr defaultSize="0" autoLine="0" autoPict="0">
                <anchor moveWithCells="1">
                  <from>
                    <xdr:col>11</xdr:col>
                    <xdr:colOff>12700</xdr:colOff>
                    <xdr:row>17</xdr:row>
                    <xdr:rowOff>0</xdr:rowOff>
                  </from>
                  <to>
                    <xdr:col>12</xdr:col>
                    <xdr:colOff>12700</xdr:colOff>
                    <xdr:row>18</xdr:row>
                    <xdr:rowOff>0</xdr:rowOff>
                  </to>
                </anchor>
              </controlPr>
            </control>
          </mc:Choice>
        </mc:AlternateContent>
        <mc:AlternateContent xmlns:mc="http://schemas.openxmlformats.org/markup-compatibility/2006">
          <mc:Choice Requires="x14">
            <control shapeId="73795" r:id="rId38" name="Drop Down 67">
              <controlPr defaultSize="0" autoLine="0" autoPict="0">
                <anchor moveWithCells="1">
                  <from>
                    <xdr:col>11</xdr:col>
                    <xdr:colOff>12700</xdr:colOff>
                    <xdr:row>18</xdr:row>
                    <xdr:rowOff>0</xdr:rowOff>
                  </from>
                  <to>
                    <xdr:col>12</xdr:col>
                    <xdr:colOff>12700</xdr:colOff>
                    <xdr:row>19</xdr:row>
                    <xdr:rowOff>0</xdr:rowOff>
                  </to>
                </anchor>
              </controlPr>
            </control>
          </mc:Choice>
        </mc:AlternateContent>
        <mc:AlternateContent xmlns:mc="http://schemas.openxmlformats.org/markup-compatibility/2006">
          <mc:Choice Requires="x14">
            <control shapeId="73796" r:id="rId39" name="Drop Down 68">
              <controlPr defaultSize="0" autoLine="0" autoPict="0">
                <anchor moveWithCells="1">
                  <from>
                    <xdr:col>11</xdr:col>
                    <xdr:colOff>12700</xdr:colOff>
                    <xdr:row>19</xdr:row>
                    <xdr:rowOff>0</xdr:rowOff>
                  </from>
                  <to>
                    <xdr:col>12</xdr:col>
                    <xdr:colOff>12700</xdr:colOff>
                    <xdr:row>20</xdr:row>
                    <xdr:rowOff>0</xdr:rowOff>
                  </to>
                </anchor>
              </controlPr>
            </control>
          </mc:Choice>
        </mc:AlternateContent>
        <mc:AlternateContent xmlns:mc="http://schemas.openxmlformats.org/markup-compatibility/2006">
          <mc:Choice Requires="x14">
            <control shapeId="73797" r:id="rId40" name="Drop Down 69">
              <controlPr defaultSize="0" autoLine="0" autoPict="0">
                <anchor moveWithCells="1">
                  <from>
                    <xdr:col>11</xdr:col>
                    <xdr:colOff>12700</xdr:colOff>
                    <xdr:row>20</xdr:row>
                    <xdr:rowOff>0</xdr:rowOff>
                  </from>
                  <to>
                    <xdr:col>12</xdr:col>
                    <xdr:colOff>12700</xdr:colOff>
                    <xdr:row>21</xdr:row>
                    <xdr:rowOff>0</xdr:rowOff>
                  </to>
                </anchor>
              </controlPr>
            </control>
          </mc:Choice>
        </mc:AlternateContent>
        <mc:AlternateContent xmlns:mc="http://schemas.openxmlformats.org/markup-compatibility/2006">
          <mc:Choice Requires="x14">
            <control shapeId="73798" r:id="rId41" name="Drop Down 70">
              <controlPr defaultSize="0" autoLine="0" autoPict="0">
                <anchor moveWithCells="1">
                  <from>
                    <xdr:col>11</xdr:col>
                    <xdr:colOff>12700</xdr:colOff>
                    <xdr:row>21</xdr:row>
                    <xdr:rowOff>0</xdr:rowOff>
                  </from>
                  <to>
                    <xdr:col>12</xdr:col>
                    <xdr:colOff>12700</xdr:colOff>
                    <xdr:row>22</xdr:row>
                    <xdr:rowOff>0</xdr:rowOff>
                  </to>
                </anchor>
              </controlPr>
            </control>
          </mc:Choice>
        </mc:AlternateContent>
        <mc:AlternateContent xmlns:mc="http://schemas.openxmlformats.org/markup-compatibility/2006">
          <mc:Choice Requires="x14">
            <control shapeId="73799" r:id="rId42" name="Drop Down 71">
              <controlPr defaultSize="0" autoLine="0" autoPict="0">
                <anchor moveWithCells="1">
                  <from>
                    <xdr:col>11</xdr:col>
                    <xdr:colOff>12700</xdr:colOff>
                    <xdr:row>22</xdr:row>
                    <xdr:rowOff>0</xdr:rowOff>
                  </from>
                  <to>
                    <xdr:col>12</xdr:col>
                    <xdr:colOff>12700</xdr:colOff>
                    <xdr:row>23</xdr:row>
                    <xdr:rowOff>0</xdr:rowOff>
                  </to>
                </anchor>
              </controlPr>
            </control>
          </mc:Choice>
        </mc:AlternateContent>
        <mc:AlternateContent xmlns:mc="http://schemas.openxmlformats.org/markup-compatibility/2006">
          <mc:Choice Requires="x14">
            <control shapeId="73800" r:id="rId43" name="Drop Down 72">
              <controlPr defaultSize="0" autoLine="0" autoPict="0">
                <anchor moveWithCells="1">
                  <from>
                    <xdr:col>6</xdr:col>
                    <xdr:colOff>12700</xdr:colOff>
                    <xdr:row>4</xdr:row>
                    <xdr:rowOff>0</xdr:rowOff>
                  </from>
                  <to>
                    <xdr:col>7</xdr:col>
                    <xdr:colOff>12700</xdr:colOff>
                    <xdr:row>5</xdr:row>
                    <xdr:rowOff>0</xdr:rowOff>
                  </to>
                </anchor>
              </controlPr>
            </control>
          </mc:Choice>
        </mc:AlternateContent>
        <mc:AlternateContent xmlns:mc="http://schemas.openxmlformats.org/markup-compatibility/2006">
          <mc:Choice Requires="x14">
            <control shapeId="73802" r:id="rId44" name="Drop Down 74">
              <controlPr defaultSize="0" autoLine="0" autoPict="0">
                <anchor moveWithCells="1">
                  <from>
                    <xdr:col>6</xdr:col>
                    <xdr:colOff>12700</xdr:colOff>
                    <xdr:row>6</xdr:row>
                    <xdr:rowOff>0</xdr:rowOff>
                  </from>
                  <to>
                    <xdr:col>7</xdr:col>
                    <xdr:colOff>12700</xdr:colOff>
                    <xdr:row>7</xdr:row>
                    <xdr:rowOff>0</xdr:rowOff>
                  </to>
                </anchor>
              </controlPr>
            </control>
          </mc:Choice>
        </mc:AlternateContent>
        <mc:AlternateContent xmlns:mc="http://schemas.openxmlformats.org/markup-compatibility/2006">
          <mc:Choice Requires="x14">
            <control shapeId="73803" r:id="rId45" name="Drop Down 75">
              <controlPr defaultSize="0" autoLine="0" autoPict="0">
                <anchor moveWithCells="1">
                  <from>
                    <xdr:col>6</xdr:col>
                    <xdr:colOff>12700</xdr:colOff>
                    <xdr:row>7</xdr:row>
                    <xdr:rowOff>0</xdr:rowOff>
                  </from>
                  <to>
                    <xdr:col>7</xdr:col>
                    <xdr:colOff>0</xdr:colOff>
                    <xdr:row>8</xdr:row>
                    <xdr:rowOff>0</xdr:rowOff>
                  </to>
                </anchor>
              </controlPr>
            </control>
          </mc:Choice>
        </mc:AlternateContent>
        <mc:AlternateContent xmlns:mc="http://schemas.openxmlformats.org/markup-compatibility/2006">
          <mc:Choice Requires="x14">
            <control shapeId="73804" r:id="rId46" name="Drop Down 76">
              <controlPr defaultSize="0" autoLine="0" autoPict="0">
                <anchor moveWithCells="1">
                  <from>
                    <xdr:col>6</xdr:col>
                    <xdr:colOff>12700</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73805" r:id="rId47" name="Drop Down 77">
              <controlPr defaultSize="0" autoLine="0" autoPict="0">
                <anchor moveWithCells="1">
                  <from>
                    <xdr:col>6</xdr:col>
                    <xdr:colOff>12700</xdr:colOff>
                    <xdr:row>9</xdr:row>
                    <xdr:rowOff>0</xdr:rowOff>
                  </from>
                  <to>
                    <xdr:col>7</xdr:col>
                    <xdr:colOff>12700</xdr:colOff>
                    <xdr:row>10</xdr:row>
                    <xdr:rowOff>0</xdr:rowOff>
                  </to>
                </anchor>
              </controlPr>
            </control>
          </mc:Choice>
        </mc:AlternateContent>
        <mc:AlternateContent xmlns:mc="http://schemas.openxmlformats.org/markup-compatibility/2006">
          <mc:Choice Requires="x14">
            <control shapeId="73806" r:id="rId48" name="Drop Down 78">
              <controlPr defaultSize="0" autoLine="0" autoPict="0">
                <anchor moveWithCells="1">
                  <from>
                    <xdr:col>6</xdr:col>
                    <xdr:colOff>12700</xdr:colOff>
                    <xdr:row>10</xdr:row>
                    <xdr:rowOff>0</xdr:rowOff>
                  </from>
                  <to>
                    <xdr:col>7</xdr:col>
                    <xdr:colOff>0</xdr:colOff>
                    <xdr:row>11</xdr:row>
                    <xdr:rowOff>0</xdr:rowOff>
                  </to>
                </anchor>
              </controlPr>
            </control>
          </mc:Choice>
        </mc:AlternateContent>
        <mc:AlternateContent xmlns:mc="http://schemas.openxmlformats.org/markup-compatibility/2006">
          <mc:Choice Requires="x14">
            <control shapeId="73807" r:id="rId49" name="Drop Down 79">
              <controlPr defaultSize="0" autoLine="0" autoPict="0">
                <anchor moveWithCells="1">
                  <from>
                    <xdr:col>6</xdr:col>
                    <xdr:colOff>12700</xdr:colOff>
                    <xdr:row>11</xdr:row>
                    <xdr:rowOff>0</xdr:rowOff>
                  </from>
                  <to>
                    <xdr:col>7</xdr:col>
                    <xdr:colOff>12700</xdr:colOff>
                    <xdr:row>12</xdr:row>
                    <xdr:rowOff>0</xdr:rowOff>
                  </to>
                </anchor>
              </controlPr>
            </control>
          </mc:Choice>
        </mc:AlternateContent>
        <mc:AlternateContent xmlns:mc="http://schemas.openxmlformats.org/markup-compatibility/2006">
          <mc:Choice Requires="x14">
            <control shapeId="73808" r:id="rId50" name="Drop Down 80">
              <controlPr defaultSize="0" autoLine="0" autoPict="0">
                <anchor moveWithCells="1">
                  <from>
                    <xdr:col>6</xdr:col>
                    <xdr:colOff>12700</xdr:colOff>
                    <xdr:row>12</xdr:row>
                    <xdr:rowOff>0</xdr:rowOff>
                  </from>
                  <to>
                    <xdr:col>7</xdr:col>
                    <xdr:colOff>12700</xdr:colOff>
                    <xdr:row>13</xdr:row>
                    <xdr:rowOff>0</xdr:rowOff>
                  </to>
                </anchor>
              </controlPr>
            </control>
          </mc:Choice>
        </mc:AlternateContent>
        <mc:AlternateContent xmlns:mc="http://schemas.openxmlformats.org/markup-compatibility/2006">
          <mc:Choice Requires="x14">
            <control shapeId="73809" r:id="rId51" name="Drop Down 81">
              <controlPr defaultSize="0" autoLine="0" autoPict="0">
                <anchor moveWithCells="1">
                  <from>
                    <xdr:col>6</xdr:col>
                    <xdr:colOff>12700</xdr:colOff>
                    <xdr:row>13</xdr:row>
                    <xdr:rowOff>0</xdr:rowOff>
                  </from>
                  <to>
                    <xdr:col>7</xdr:col>
                    <xdr:colOff>12700</xdr:colOff>
                    <xdr:row>14</xdr:row>
                    <xdr:rowOff>0</xdr:rowOff>
                  </to>
                </anchor>
              </controlPr>
            </control>
          </mc:Choice>
        </mc:AlternateContent>
        <mc:AlternateContent xmlns:mc="http://schemas.openxmlformats.org/markup-compatibility/2006">
          <mc:Choice Requires="x14">
            <control shapeId="73810" r:id="rId52" name="Drop Down 82">
              <controlPr defaultSize="0" autoLine="0" autoPict="0">
                <anchor moveWithCells="1">
                  <from>
                    <xdr:col>6</xdr:col>
                    <xdr:colOff>12700</xdr:colOff>
                    <xdr:row>14</xdr:row>
                    <xdr:rowOff>0</xdr:rowOff>
                  </from>
                  <to>
                    <xdr:col>7</xdr:col>
                    <xdr:colOff>12700</xdr:colOff>
                    <xdr:row>15</xdr:row>
                    <xdr:rowOff>0</xdr:rowOff>
                  </to>
                </anchor>
              </controlPr>
            </control>
          </mc:Choice>
        </mc:AlternateContent>
        <mc:AlternateContent xmlns:mc="http://schemas.openxmlformats.org/markup-compatibility/2006">
          <mc:Choice Requires="x14">
            <control shapeId="73811" r:id="rId53" name="Drop Down 83">
              <controlPr defaultSize="0" autoLine="0" autoPict="0">
                <anchor moveWithCells="1">
                  <from>
                    <xdr:col>6</xdr:col>
                    <xdr:colOff>12700</xdr:colOff>
                    <xdr:row>15</xdr:row>
                    <xdr:rowOff>0</xdr:rowOff>
                  </from>
                  <to>
                    <xdr:col>7</xdr:col>
                    <xdr:colOff>12700</xdr:colOff>
                    <xdr:row>16</xdr:row>
                    <xdr:rowOff>0</xdr:rowOff>
                  </to>
                </anchor>
              </controlPr>
            </control>
          </mc:Choice>
        </mc:AlternateContent>
        <mc:AlternateContent xmlns:mc="http://schemas.openxmlformats.org/markup-compatibility/2006">
          <mc:Choice Requires="x14">
            <control shapeId="73812" r:id="rId54" name="Drop Down 84">
              <controlPr defaultSize="0" autoLine="0" autoPict="0">
                <anchor moveWithCells="1">
                  <from>
                    <xdr:col>6</xdr:col>
                    <xdr:colOff>12700</xdr:colOff>
                    <xdr:row>16</xdr:row>
                    <xdr:rowOff>0</xdr:rowOff>
                  </from>
                  <to>
                    <xdr:col>7</xdr:col>
                    <xdr:colOff>12700</xdr:colOff>
                    <xdr:row>17</xdr:row>
                    <xdr:rowOff>0</xdr:rowOff>
                  </to>
                </anchor>
              </controlPr>
            </control>
          </mc:Choice>
        </mc:AlternateContent>
        <mc:AlternateContent xmlns:mc="http://schemas.openxmlformats.org/markup-compatibility/2006">
          <mc:Choice Requires="x14">
            <control shapeId="73813" r:id="rId55" name="Drop Down 85">
              <controlPr defaultSize="0" autoLine="0" autoPict="0">
                <anchor moveWithCells="1">
                  <from>
                    <xdr:col>6</xdr:col>
                    <xdr:colOff>12700</xdr:colOff>
                    <xdr:row>17</xdr:row>
                    <xdr:rowOff>0</xdr:rowOff>
                  </from>
                  <to>
                    <xdr:col>7</xdr:col>
                    <xdr:colOff>12700</xdr:colOff>
                    <xdr:row>18</xdr:row>
                    <xdr:rowOff>0</xdr:rowOff>
                  </to>
                </anchor>
              </controlPr>
            </control>
          </mc:Choice>
        </mc:AlternateContent>
        <mc:AlternateContent xmlns:mc="http://schemas.openxmlformats.org/markup-compatibility/2006">
          <mc:Choice Requires="x14">
            <control shapeId="73814" r:id="rId56" name="Drop Down 86">
              <controlPr defaultSize="0" autoLine="0" autoPict="0">
                <anchor moveWithCells="1">
                  <from>
                    <xdr:col>6</xdr:col>
                    <xdr:colOff>12700</xdr:colOff>
                    <xdr:row>18</xdr:row>
                    <xdr:rowOff>0</xdr:rowOff>
                  </from>
                  <to>
                    <xdr:col>7</xdr:col>
                    <xdr:colOff>12700</xdr:colOff>
                    <xdr:row>19</xdr:row>
                    <xdr:rowOff>0</xdr:rowOff>
                  </to>
                </anchor>
              </controlPr>
            </control>
          </mc:Choice>
        </mc:AlternateContent>
        <mc:AlternateContent xmlns:mc="http://schemas.openxmlformats.org/markup-compatibility/2006">
          <mc:Choice Requires="x14">
            <control shapeId="73815" r:id="rId57" name="Drop Down 87">
              <controlPr defaultSize="0" autoLine="0" autoPict="0">
                <anchor moveWithCells="1">
                  <from>
                    <xdr:col>6</xdr:col>
                    <xdr:colOff>12700</xdr:colOff>
                    <xdr:row>19</xdr:row>
                    <xdr:rowOff>0</xdr:rowOff>
                  </from>
                  <to>
                    <xdr:col>7</xdr:col>
                    <xdr:colOff>12700</xdr:colOff>
                    <xdr:row>20</xdr:row>
                    <xdr:rowOff>0</xdr:rowOff>
                  </to>
                </anchor>
              </controlPr>
            </control>
          </mc:Choice>
        </mc:AlternateContent>
        <mc:AlternateContent xmlns:mc="http://schemas.openxmlformats.org/markup-compatibility/2006">
          <mc:Choice Requires="x14">
            <control shapeId="73816" r:id="rId58" name="Drop Down 88">
              <controlPr defaultSize="0" autoLine="0" autoPict="0">
                <anchor moveWithCells="1">
                  <from>
                    <xdr:col>6</xdr:col>
                    <xdr:colOff>12700</xdr:colOff>
                    <xdr:row>20</xdr:row>
                    <xdr:rowOff>0</xdr:rowOff>
                  </from>
                  <to>
                    <xdr:col>7</xdr:col>
                    <xdr:colOff>12700</xdr:colOff>
                    <xdr:row>21</xdr:row>
                    <xdr:rowOff>0</xdr:rowOff>
                  </to>
                </anchor>
              </controlPr>
            </control>
          </mc:Choice>
        </mc:AlternateContent>
        <mc:AlternateContent xmlns:mc="http://schemas.openxmlformats.org/markup-compatibility/2006">
          <mc:Choice Requires="x14">
            <control shapeId="73817" r:id="rId59" name="Drop Down 89">
              <controlPr defaultSize="0" autoLine="0" autoPict="0">
                <anchor moveWithCells="1">
                  <from>
                    <xdr:col>6</xdr:col>
                    <xdr:colOff>12700</xdr:colOff>
                    <xdr:row>21</xdr:row>
                    <xdr:rowOff>0</xdr:rowOff>
                  </from>
                  <to>
                    <xdr:col>7</xdr:col>
                    <xdr:colOff>12700</xdr:colOff>
                    <xdr:row>22</xdr:row>
                    <xdr:rowOff>0</xdr:rowOff>
                  </to>
                </anchor>
              </controlPr>
            </control>
          </mc:Choice>
        </mc:AlternateContent>
        <mc:AlternateContent xmlns:mc="http://schemas.openxmlformats.org/markup-compatibility/2006">
          <mc:Choice Requires="x14">
            <control shapeId="73818" r:id="rId60" name="Drop Down 90">
              <controlPr defaultSize="0" autoLine="0" autoPict="0">
                <anchor moveWithCells="1">
                  <from>
                    <xdr:col>6</xdr:col>
                    <xdr:colOff>12700</xdr:colOff>
                    <xdr:row>22</xdr:row>
                    <xdr:rowOff>0</xdr:rowOff>
                  </from>
                  <to>
                    <xdr:col>7</xdr:col>
                    <xdr:colOff>12700</xdr:colOff>
                    <xdr:row>23</xdr:row>
                    <xdr:rowOff>0</xdr:rowOff>
                  </to>
                </anchor>
              </controlPr>
            </control>
          </mc:Choice>
        </mc:AlternateContent>
        <mc:AlternateContent xmlns:mc="http://schemas.openxmlformats.org/markup-compatibility/2006">
          <mc:Choice Requires="x14">
            <control shapeId="73819" r:id="rId61" name="Drop Down 91">
              <controlPr defaultSize="0" autoLine="0" autoPict="0">
                <anchor moveWithCells="1">
                  <from>
                    <xdr:col>6</xdr:col>
                    <xdr:colOff>12700</xdr:colOff>
                    <xdr:row>5</xdr:row>
                    <xdr:rowOff>0</xdr:rowOff>
                  </from>
                  <to>
                    <xdr:col>7</xdr:col>
                    <xdr:colOff>12700</xdr:colOff>
                    <xdr:row>6</xdr:row>
                    <xdr:rowOff>12700</xdr:rowOff>
                  </to>
                </anchor>
              </controlPr>
            </control>
          </mc:Choice>
        </mc:AlternateContent>
        <mc:AlternateContent xmlns:mc="http://schemas.openxmlformats.org/markup-compatibility/2006">
          <mc:Choice Requires="x14">
            <control shapeId="73820" r:id="rId62" name="Drop Down 92">
              <controlPr defaultSize="0" autoLine="0" autoPict="0">
                <anchor moveWithCells="1">
                  <from>
                    <xdr:col>11</xdr:col>
                    <xdr:colOff>12700</xdr:colOff>
                    <xdr:row>5</xdr:row>
                    <xdr:rowOff>0</xdr:rowOff>
                  </from>
                  <to>
                    <xdr:col>12</xdr:col>
                    <xdr:colOff>12700</xdr:colOff>
                    <xdr:row>6</xdr:row>
                    <xdr:rowOff>0</xdr:rowOff>
                  </to>
                </anchor>
              </controlPr>
            </control>
          </mc:Choice>
        </mc:AlternateContent>
        <mc:AlternateContent xmlns:mc="http://schemas.openxmlformats.org/markup-compatibility/2006">
          <mc:Choice Requires="x14">
            <control shapeId="73827" r:id="rId63" name="Drop Down 99">
              <controlPr defaultSize="0" autoLine="0" autoPict="0">
                <anchor moveWithCells="1">
                  <from>
                    <xdr:col>1</xdr:col>
                    <xdr:colOff>12700</xdr:colOff>
                    <xdr:row>6</xdr:row>
                    <xdr:rowOff>12700</xdr:rowOff>
                  </from>
                  <to>
                    <xdr:col>2</xdr:col>
                    <xdr:colOff>12700</xdr:colOff>
                    <xdr:row>7</xdr:row>
                    <xdr:rowOff>12700</xdr:rowOff>
                  </to>
                </anchor>
              </controlPr>
            </control>
          </mc:Choice>
        </mc:AlternateContent>
        <mc:AlternateContent xmlns:mc="http://schemas.openxmlformats.org/markup-compatibility/2006">
          <mc:Choice Requires="x14">
            <control shapeId="73907" r:id="rId64" name="Drop Down 179">
              <controlPr defaultSize="0" autoLine="0" autoPict="0">
                <anchor moveWithCells="1">
                  <from>
                    <xdr:col>1</xdr:col>
                    <xdr:colOff>12700</xdr:colOff>
                    <xdr:row>28</xdr:row>
                    <xdr:rowOff>0</xdr:rowOff>
                  </from>
                  <to>
                    <xdr:col>2</xdr:col>
                    <xdr:colOff>0</xdr:colOff>
                    <xdr:row>29</xdr:row>
                    <xdr:rowOff>12700</xdr:rowOff>
                  </to>
                </anchor>
              </controlPr>
            </control>
          </mc:Choice>
        </mc:AlternateContent>
        <mc:AlternateContent xmlns:mc="http://schemas.openxmlformats.org/markup-compatibility/2006">
          <mc:Choice Requires="x14">
            <control shapeId="73930" r:id="rId65" name="Drop Down 202">
              <controlPr defaultSize="0" autoLine="0" autoPict="0">
                <anchor moveWithCells="1">
                  <from>
                    <xdr:col>1</xdr:col>
                    <xdr:colOff>12700</xdr:colOff>
                    <xdr:row>30</xdr:row>
                    <xdr:rowOff>12700</xdr:rowOff>
                  </from>
                  <to>
                    <xdr:col>2</xdr:col>
                    <xdr:colOff>0</xdr:colOff>
                    <xdr:row>31</xdr:row>
                    <xdr:rowOff>0</xdr:rowOff>
                  </to>
                </anchor>
              </controlPr>
            </control>
          </mc:Choice>
        </mc:AlternateContent>
        <mc:AlternateContent xmlns:mc="http://schemas.openxmlformats.org/markup-compatibility/2006">
          <mc:Choice Requires="x14">
            <control shapeId="73931" r:id="rId66" name="Drop Down 203">
              <controlPr defaultSize="0" autoLine="0" autoPict="0">
                <anchor moveWithCells="1">
                  <from>
                    <xdr:col>1</xdr:col>
                    <xdr:colOff>12700</xdr:colOff>
                    <xdr:row>29</xdr:row>
                    <xdr:rowOff>0</xdr:rowOff>
                  </from>
                  <to>
                    <xdr:col>2</xdr:col>
                    <xdr:colOff>0</xdr:colOff>
                    <xdr:row>30</xdr:row>
                    <xdr:rowOff>12700</xdr:rowOff>
                  </to>
                </anchor>
              </controlPr>
            </control>
          </mc:Choice>
        </mc:AlternateContent>
        <mc:AlternateContent xmlns:mc="http://schemas.openxmlformats.org/markup-compatibility/2006">
          <mc:Choice Requires="x14">
            <control shapeId="73932" r:id="rId67" name="Drop Down 204">
              <controlPr defaultSize="0" autoLine="0" autoPict="0">
                <anchor moveWithCells="1">
                  <from>
                    <xdr:col>1</xdr:col>
                    <xdr:colOff>12700</xdr:colOff>
                    <xdr:row>31</xdr:row>
                    <xdr:rowOff>12700</xdr:rowOff>
                  </from>
                  <to>
                    <xdr:col>2</xdr:col>
                    <xdr:colOff>0</xdr:colOff>
                    <xdr:row>32</xdr:row>
                    <xdr:rowOff>0</xdr:rowOff>
                  </to>
                </anchor>
              </controlPr>
            </control>
          </mc:Choice>
        </mc:AlternateContent>
        <mc:AlternateContent xmlns:mc="http://schemas.openxmlformats.org/markup-compatibility/2006">
          <mc:Choice Requires="x14">
            <control shapeId="73933" r:id="rId68" name="Drop Down 205">
              <controlPr defaultSize="0" autoLine="0" autoPict="0">
                <anchor moveWithCells="1">
                  <from>
                    <xdr:col>1</xdr:col>
                    <xdr:colOff>12700</xdr:colOff>
                    <xdr:row>32</xdr:row>
                    <xdr:rowOff>12700</xdr:rowOff>
                  </from>
                  <to>
                    <xdr:col>2</xdr:col>
                    <xdr:colOff>0</xdr:colOff>
                    <xdr:row>33</xdr:row>
                    <xdr:rowOff>0</xdr:rowOff>
                  </to>
                </anchor>
              </controlPr>
            </control>
          </mc:Choice>
        </mc:AlternateContent>
        <mc:AlternateContent xmlns:mc="http://schemas.openxmlformats.org/markup-compatibility/2006">
          <mc:Choice Requires="x14">
            <control shapeId="73934" r:id="rId69" name="Drop Down 206">
              <controlPr defaultSize="0" autoLine="0" autoPict="0">
                <anchor moveWithCells="1">
                  <from>
                    <xdr:col>1</xdr:col>
                    <xdr:colOff>12700</xdr:colOff>
                    <xdr:row>33</xdr:row>
                    <xdr:rowOff>12700</xdr:rowOff>
                  </from>
                  <to>
                    <xdr:col>2</xdr:col>
                    <xdr:colOff>0</xdr:colOff>
                    <xdr:row>34</xdr:row>
                    <xdr:rowOff>0</xdr:rowOff>
                  </to>
                </anchor>
              </controlPr>
            </control>
          </mc:Choice>
        </mc:AlternateContent>
        <mc:AlternateContent xmlns:mc="http://schemas.openxmlformats.org/markup-compatibility/2006">
          <mc:Choice Requires="x14">
            <control shapeId="73935" r:id="rId70" name="Drop Down 207">
              <controlPr defaultSize="0" autoLine="0" autoPict="0">
                <anchor moveWithCells="1">
                  <from>
                    <xdr:col>1</xdr:col>
                    <xdr:colOff>12700</xdr:colOff>
                    <xdr:row>34</xdr:row>
                    <xdr:rowOff>12700</xdr:rowOff>
                  </from>
                  <to>
                    <xdr:col>2</xdr:col>
                    <xdr:colOff>0</xdr:colOff>
                    <xdr:row>35</xdr:row>
                    <xdr:rowOff>0</xdr:rowOff>
                  </to>
                </anchor>
              </controlPr>
            </control>
          </mc:Choice>
        </mc:AlternateContent>
        <mc:AlternateContent xmlns:mc="http://schemas.openxmlformats.org/markup-compatibility/2006">
          <mc:Choice Requires="x14">
            <control shapeId="73936" r:id="rId71" name="Drop Down 208">
              <controlPr defaultSize="0" autoLine="0" autoPict="0">
                <anchor moveWithCells="1">
                  <from>
                    <xdr:col>1</xdr:col>
                    <xdr:colOff>12700</xdr:colOff>
                    <xdr:row>35</xdr:row>
                    <xdr:rowOff>12700</xdr:rowOff>
                  </from>
                  <to>
                    <xdr:col>2</xdr:col>
                    <xdr:colOff>0</xdr:colOff>
                    <xdr:row>36</xdr:row>
                    <xdr:rowOff>0</xdr:rowOff>
                  </to>
                </anchor>
              </controlPr>
            </control>
          </mc:Choice>
        </mc:AlternateContent>
        <mc:AlternateContent xmlns:mc="http://schemas.openxmlformats.org/markup-compatibility/2006">
          <mc:Choice Requires="x14">
            <control shapeId="73937" r:id="rId72" name="Drop Down 209">
              <controlPr defaultSize="0" autoLine="0" autoPict="0">
                <anchor moveWithCells="1">
                  <from>
                    <xdr:col>1</xdr:col>
                    <xdr:colOff>12700</xdr:colOff>
                    <xdr:row>36</xdr:row>
                    <xdr:rowOff>12700</xdr:rowOff>
                  </from>
                  <to>
                    <xdr:col>2</xdr:col>
                    <xdr:colOff>0</xdr:colOff>
                    <xdr:row>37</xdr:row>
                    <xdr:rowOff>0</xdr:rowOff>
                  </to>
                </anchor>
              </controlPr>
            </control>
          </mc:Choice>
        </mc:AlternateContent>
        <mc:AlternateContent xmlns:mc="http://schemas.openxmlformats.org/markup-compatibility/2006">
          <mc:Choice Requires="x14">
            <control shapeId="73938" r:id="rId73" name="Drop Down 210">
              <controlPr defaultSize="0" autoLine="0" autoPict="0">
                <anchor moveWithCells="1">
                  <from>
                    <xdr:col>1</xdr:col>
                    <xdr:colOff>12700</xdr:colOff>
                    <xdr:row>37</xdr:row>
                    <xdr:rowOff>12700</xdr:rowOff>
                  </from>
                  <to>
                    <xdr:col>2</xdr:col>
                    <xdr:colOff>0</xdr:colOff>
                    <xdr:row>38</xdr:row>
                    <xdr:rowOff>0</xdr:rowOff>
                  </to>
                </anchor>
              </controlPr>
            </control>
          </mc:Choice>
        </mc:AlternateContent>
        <mc:AlternateContent xmlns:mc="http://schemas.openxmlformats.org/markup-compatibility/2006">
          <mc:Choice Requires="x14">
            <control shapeId="73939" r:id="rId74" name="Drop Down 211">
              <controlPr defaultSize="0" autoLine="0" autoPict="0">
                <anchor moveWithCells="1">
                  <from>
                    <xdr:col>1</xdr:col>
                    <xdr:colOff>12700</xdr:colOff>
                    <xdr:row>38</xdr:row>
                    <xdr:rowOff>12700</xdr:rowOff>
                  </from>
                  <to>
                    <xdr:col>2</xdr:col>
                    <xdr:colOff>0</xdr:colOff>
                    <xdr:row>39</xdr:row>
                    <xdr:rowOff>0</xdr:rowOff>
                  </to>
                </anchor>
              </controlPr>
            </control>
          </mc:Choice>
        </mc:AlternateContent>
        <mc:AlternateContent xmlns:mc="http://schemas.openxmlformats.org/markup-compatibility/2006">
          <mc:Choice Requires="x14">
            <control shapeId="73940" r:id="rId75" name="Drop Down 212">
              <controlPr defaultSize="0" autoLine="0" autoPict="0">
                <anchor moveWithCells="1">
                  <from>
                    <xdr:col>1</xdr:col>
                    <xdr:colOff>12700</xdr:colOff>
                    <xdr:row>39</xdr:row>
                    <xdr:rowOff>12700</xdr:rowOff>
                  </from>
                  <to>
                    <xdr:col>2</xdr:col>
                    <xdr:colOff>0</xdr:colOff>
                    <xdr:row>40</xdr:row>
                    <xdr:rowOff>0</xdr:rowOff>
                  </to>
                </anchor>
              </controlPr>
            </control>
          </mc:Choice>
        </mc:AlternateContent>
        <mc:AlternateContent xmlns:mc="http://schemas.openxmlformats.org/markup-compatibility/2006">
          <mc:Choice Requires="x14">
            <control shapeId="73952" r:id="rId76" name="Drop Down 224">
              <controlPr defaultSize="0" autoLine="0" autoPict="0">
                <anchor moveWithCells="1">
                  <from>
                    <xdr:col>1</xdr:col>
                    <xdr:colOff>12700</xdr:colOff>
                    <xdr:row>9</xdr:row>
                    <xdr:rowOff>0</xdr:rowOff>
                  </from>
                  <to>
                    <xdr:col>2</xdr:col>
                    <xdr:colOff>12700</xdr:colOff>
                    <xdr:row>10</xdr:row>
                    <xdr:rowOff>0</xdr:rowOff>
                  </to>
                </anchor>
              </controlPr>
            </control>
          </mc:Choice>
        </mc:AlternateContent>
        <mc:AlternateContent xmlns:mc="http://schemas.openxmlformats.org/markup-compatibility/2006">
          <mc:Choice Requires="x14">
            <control shapeId="73953" r:id="rId77" name="Drop Down 225">
              <controlPr defaultSize="0" autoLine="0" autoPict="0">
                <anchor moveWithCells="1">
                  <from>
                    <xdr:col>6</xdr:col>
                    <xdr:colOff>12700</xdr:colOff>
                    <xdr:row>46</xdr:row>
                    <xdr:rowOff>12700</xdr:rowOff>
                  </from>
                  <to>
                    <xdr:col>7</xdr:col>
                    <xdr:colOff>0</xdr:colOff>
                    <xdr:row>47</xdr:row>
                    <xdr:rowOff>0</xdr:rowOff>
                  </to>
                </anchor>
              </controlPr>
            </control>
          </mc:Choice>
        </mc:AlternateContent>
        <mc:AlternateContent xmlns:mc="http://schemas.openxmlformats.org/markup-compatibility/2006">
          <mc:Choice Requires="x14">
            <control shapeId="73954" r:id="rId78" name="Drop Down 226">
              <controlPr defaultSize="0" autoLine="0" autoPict="0">
                <anchor moveWithCells="1">
                  <from>
                    <xdr:col>6</xdr:col>
                    <xdr:colOff>12700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73955" r:id="rId79" name="Drop Down 227">
              <controlPr defaultSize="0" autoLine="0" autoPict="0">
                <anchor moveWithCells="1">
                  <from>
                    <xdr:col>6</xdr:col>
                    <xdr:colOff>12700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73956" r:id="rId80" name="Drop Down 228">
              <controlPr defaultSize="0" autoLine="0" autoPict="0">
                <anchor moveWithCells="1">
                  <from>
                    <xdr:col>6</xdr:col>
                    <xdr:colOff>12700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73957" r:id="rId81" name="Drop Down 229">
              <controlPr defaultSize="0" autoLine="0" autoPict="0">
                <anchor moveWithCells="1">
                  <from>
                    <xdr:col>6</xdr:col>
                    <xdr:colOff>12700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73958" r:id="rId82" name="Drop Down 230">
              <controlPr defaultSize="0" autoLine="0" autoPict="0">
                <anchor moveWithCells="1">
                  <from>
                    <xdr:col>6</xdr:col>
                    <xdr:colOff>12700</xdr:colOff>
                    <xdr:row>51</xdr:row>
                    <xdr:rowOff>0</xdr:rowOff>
                  </from>
                  <to>
                    <xdr:col>7</xdr:col>
                    <xdr:colOff>0</xdr:colOff>
                    <xdr:row>52</xdr:row>
                    <xdr:rowOff>12700</xdr:rowOff>
                  </to>
                </anchor>
              </controlPr>
            </control>
          </mc:Choice>
        </mc:AlternateContent>
        <mc:AlternateContent xmlns:mc="http://schemas.openxmlformats.org/markup-compatibility/2006">
          <mc:Choice Requires="x14">
            <control shapeId="73959" r:id="rId83" name="Drop Down 231">
              <controlPr defaultSize="0" autoLine="0" autoPict="0">
                <anchor moveWithCells="1">
                  <from>
                    <xdr:col>6</xdr:col>
                    <xdr:colOff>12700</xdr:colOff>
                    <xdr:row>52</xdr:row>
                    <xdr:rowOff>12700</xdr:rowOff>
                  </from>
                  <to>
                    <xdr:col>7</xdr:col>
                    <xdr:colOff>0</xdr:colOff>
                    <xdr:row>53</xdr:row>
                    <xdr:rowOff>0</xdr:rowOff>
                  </to>
                </anchor>
              </controlPr>
            </control>
          </mc:Choice>
        </mc:AlternateContent>
        <mc:AlternateContent xmlns:mc="http://schemas.openxmlformats.org/markup-compatibility/2006">
          <mc:Choice Requires="x14">
            <control shapeId="73960" r:id="rId84" name="Drop Down 232">
              <controlPr defaultSize="0" autoLine="0" autoPict="0">
                <anchor moveWithCells="1">
                  <from>
                    <xdr:col>6</xdr:col>
                    <xdr:colOff>12700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73961" r:id="rId85" name="Drop Down 233">
              <controlPr defaultSize="0" autoLine="0" autoPict="0">
                <anchor moveWithCells="1">
                  <from>
                    <xdr:col>6</xdr:col>
                    <xdr:colOff>12700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73962" r:id="rId86" name="Drop Down 234">
              <controlPr defaultSize="0" autoLine="0" autoPict="0">
                <anchor moveWithCells="1">
                  <from>
                    <xdr:col>6</xdr:col>
                    <xdr:colOff>12700</xdr:colOff>
                    <xdr:row>55</xdr:row>
                    <xdr:rowOff>0</xdr:rowOff>
                  </from>
                  <to>
                    <xdr:col>7</xdr:col>
                    <xdr:colOff>0</xdr:colOff>
                    <xdr:row>56</xdr:row>
                    <xdr:rowOff>12700</xdr:rowOff>
                  </to>
                </anchor>
              </controlPr>
            </control>
          </mc:Choice>
        </mc:AlternateContent>
        <mc:AlternateContent xmlns:mc="http://schemas.openxmlformats.org/markup-compatibility/2006">
          <mc:Choice Requires="x14">
            <control shapeId="73966" r:id="rId87" name="Drop Down 238">
              <controlPr defaultSize="0" autoLine="0" autoPict="0">
                <anchor moveWithCells="1">
                  <from>
                    <xdr:col>6</xdr:col>
                    <xdr:colOff>12700</xdr:colOff>
                    <xdr:row>56</xdr:row>
                    <xdr:rowOff>0</xdr:rowOff>
                  </from>
                  <to>
                    <xdr:col>7</xdr:col>
                    <xdr:colOff>0</xdr:colOff>
                    <xdr:row>57</xdr:row>
                    <xdr:rowOff>12700</xdr:rowOff>
                  </to>
                </anchor>
              </controlPr>
            </control>
          </mc:Choice>
        </mc:AlternateContent>
        <mc:AlternateContent xmlns:mc="http://schemas.openxmlformats.org/markup-compatibility/2006">
          <mc:Choice Requires="x14">
            <control shapeId="73970" r:id="rId88" name="Drop Down 242">
              <controlPr defaultSize="0" autoLine="0" autoPict="0">
                <anchor moveWithCells="1">
                  <from>
                    <xdr:col>6</xdr:col>
                    <xdr:colOff>12700</xdr:colOff>
                    <xdr:row>57</xdr:row>
                    <xdr:rowOff>12700</xdr:rowOff>
                  </from>
                  <to>
                    <xdr:col>7</xdr:col>
                    <xdr:colOff>0</xdr:colOff>
                    <xdr:row>58</xdr:row>
                    <xdr:rowOff>25400</xdr:rowOff>
                  </to>
                </anchor>
              </controlPr>
            </control>
          </mc:Choice>
        </mc:AlternateContent>
        <mc:AlternateContent xmlns:mc="http://schemas.openxmlformats.org/markup-compatibility/2006">
          <mc:Choice Requires="x14">
            <control shapeId="73976" r:id="rId89" name="Drop Down 248">
              <controlPr defaultSize="0" autoLine="0" autoPict="0">
                <anchor moveWithCells="1">
                  <from>
                    <xdr:col>6</xdr:col>
                    <xdr:colOff>12700</xdr:colOff>
                    <xdr:row>58</xdr:row>
                    <xdr:rowOff>0</xdr:rowOff>
                  </from>
                  <to>
                    <xdr:col>7</xdr:col>
                    <xdr:colOff>0</xdr:colOff>
                    <xdr:row>59</xdr:row>
                    <xdr:rowOff>12700</xdr:rowOff>
                  </to>
                </anchor>
              </controlPr>
            </control>
          </mc:Choice>
        </mc:AlternateContent>
        <mc:AlternateContent xmlns:mc="http://schemas.openxmlformats.org/markup-compatibility/2006">
          <mc:Choice Requires="x14">
            <control shapeId="73982" r:id="rId90" name="Drop Down 254">
              <controlPr defaultSize="0" autoLine="0" autoPict="0">
                <anchor moveWithCells="1">
                  <from>
                    <xdr:col>6</xdr:col>
                    <xdr:colOff>12700</xdr:colOff>
                    <xdr:row>59</xdr:row>
                    <xdr:rowOff>0</xdr:rowOff>
                  </from>
                  <to>
                    <xdr:col>7</xdr:col>
                    <xdr:colOff>0</xdr:colOff>
                    <xdr:row>60</xdr:row>
                    <xdr:rowOff>12700</xdr:rowOff>
                  </to>
                </anchor>
              </controlPr>
            </control>
          </mc:Choice>
        </mc:AlternateContent>
        <mc:AlternateContent xmlns:mc="http://schemas.openxmlformats.org/markup-compatibility/2006">
          <mc:Choice Requires="x14">
            <control shapeId="73988" r:id="rId91" name="Drop Down 260">
              <controlPr defaultSize="0" autoLine="0" autoPict="0">
                <anchor moveWithCells="1">
                  <from>
                    <xdr:col>6</xdr:col>
                    <xdr:colOff>12700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73994" r:id="rId92" name="Drop Down 266">
              <controlPr defaultSize="0" autoLine="0" autoPict="0">
                <anchor moveWithCells="1">
                  <from>
                    <xdr:col>6</xdr:col>
                    <xdr:colOff>12700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74000" r:id="rId93" name="Drop Down 272">
              <controlPr defaultSize="0" autoLine="0" autoPict="0">
                <anchor moveWithCells="1">
                  <from>
                    <xdr:col>6</xdr:col>
                    <xdr:colOff>12700</xdr:colOff>
                    <xdr:row>61</xdr:row>
                    <xdr:rowOff>177800</xdr:rowOff>
                  </from>
                  <to>
                    <xdr:col>7</xdr:col>
                    <xdr:colOff>0</xdr:colOff>
                    <xdr:row>63</xdr:row>
                    <xdr:rowOff>12700</xdr:rowOff>
                  </to>
                </anchor>
              </controlPr>
            </control>
          </mc:Choice>
        </mc:AlternateContent>
        <mc:AlternateContent xmlns:mc="http://schemas.openxmlformats.org/markup-compatibility/2006">
          <mc:Choice Requires="x14">
            <control shapeId="74006" r:id="rId94" name="Drop Down 278">
              <controlPr defaultSize="0" autoLine="0" autoPict="0">
                <anchor moveWithCells="1">
                  <from>
                    <xdr:col>6</xdr:col>
                    <xdr:colOff>12700</xdr:colOff>
                    <xdr:row>62</xdr:row>
                    <xdr:rowOff>177800</xdr:rowOff>
                  </from>
                  <to>
                    <xdr:col>7</xdr:col>
                    <xdr:colOff>0</xdr:colOff>
                    <xdr:row>64</xdr:row>
                    <xdr:rowOff>12700</xdr:rowOff>
                  </to>
                </anchor>
              </controlPr>
            </control>
          </mc:Choice>
        </mc:AlternateContent>
        <mc:AlternateContent xmlns:mc="http://schemas.openxmlformats.org/markup-compatibility/2006">
          <mc:Choice Requires="x14">
            <control shapeId="74012" r:id="rId95" name="Drop Down 284">
              <controlPr defaultSize="0" autoLine="0" autoPict="0">
                <anchor moveWithCells="1">
                  <from>
                    <xdr:col>6</xdr:col>
                    <xdr:colOff>12700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74018" r:id="rId96" name="Drop Down 290">
              <controlPr defaultSize="0" autoLine="0" autoPict="0">
                <anchor moveWithCells="1">
                  <from>
                    <xdr:col>6</xdr:col>
                    <xdr:colOff>12700</xdr:colOff>
                    <xdr:row>65</xdr:row>
                    <xdr:rowOff>0</xdr:rowOff>
                  </from>
                  <to>
                    <xdr:col>7</xdr:col>
                    <xdr:colOff>0</xdr:colOff>
                    <xdr:row>66</xdr:row>
                    <xdr:rowOff>12700</xdr:rowOff>
                  </to>
                </anchor>
              </controlPr>
            </control>
          </mc:Choice>
        </mc:AlternateContent>
        <mc:AlternateContent xmlns:mc="http://schemas.openxmlformats.org/markup-compatibility/2006">
          <mc:Choice Requires="x14">
            <control shapeId="74024" r:id="rId97" name="Drop Down 296">
              <controlPr defaultSize="0" autoLine="0" autoPict="0">
                <anchor moveWithCells="1">
                  <from>
                    <xdr:col>5</xdr:col>
                    <xdr:colOff>850900</xdr:colOff>
                    <xdr:row>66</xdr:row>
                    <xdr:rowOff>12700</xdr:rowOff>
                  </from>
                  <to>
                    <xdr:col>6</xdr:col>
                    <xdr:colOff>2616200</xdr:colOff>
                    <xdr:row>66</xdr:row>
                    <xdr:rowOff>266700</xdr:rowOff>
                  </to>
                </anchor>
              </controlPr>
            </control>
          </mc:Choice>
        </mc:AlternateContent>
        <mc:AlternateContent xmlns:mc="http://schemas.openxmlformats.org/markup-compatibility/2006">
          <mc:Choice Requires="x14">
            <control shapeId="74091" r:id="rId98" name="Drop Down 363">
              <controlPr defaultSize="0" autoLine="0" autoPict="0">
                <anchor moveWithCells="1">
                  <from>
                    <xdr:col>11</xdr:col>
                    <xdr:colOff>12700</xdr:colOff>
                    <xdr:row>46</xdr:row>
                    <xdr:rowOff>12700</xdr:rowOff>
                  </from>
                  <to>
                    <xdr:col>12</xdr:col>
                    <xdr:colOff>0</xdr:colOff>
                    <xdr:row>47</xdr:row>
                    <xdr:rowOff>0</xdr:rowOff>
                  </to>
                </anchor>
              </controlPr>
            </control>
          </mc:Choice>
        </mc:AlternateContent>
        <mc:AlternateContent xmlns:mc="http://schemas.openxmlformats.org/markup-compatibility/2006">
          <mc:Choice Requires="x14">
            <control shapeId="74092" r:id="rId99" name="Drop Down 364">
              <controlPr defaultSize="0" autoLine="0" autoPict="0">
                <anchor moveWithCells="1">
                  <from>
                    <xdr:col>11</xdr:col>
                    <xdr:colOff>12700</xdr:colOff>
                    <xdr:row>47</xdr:row>
                    <xdr:rowOff>0</xdr:rowOff>
                  </from>
                  <to>
                    <xdr:col>12</xdr:col>
                    <xdr:colOff>0</xdr:colOff>
                    <xdr:row>48</xdr:row>
                    <xdr:rowOff>0</xdr:rowOff>
                  </to>
                </anchor>
              </controlPr>
            </control>
          </mc:Choice>
        </mc:AlternateContent>
        <mc:AlternateContent xmlns:mc="http://schemas.openxmlformats.org/markup-compatibility/2006">
          <mc:Choice Requires="x14">
            <control shapeId="74093" r:id="rId100" name="Drop Down 365">
              <controlPr defaultSize="0" autoLine="0" autoPict="0">
                <anchor moveWithCells="1">
                  <from>
                    <xdr:col>11</xdr:col>
                    <xdr:colOff>12700</xdr:colOff>
                    <xdr:row>48</xdr:row>
                    <xdr:rowOff>0</xdr:rowOff>
                  </from>
                  <to>
                    <xdr:col>12</xdr:col>
                    <xdr:colOff>0</xdr:colOff>
                    <xdr:row>49</xdr:row>
                    <xdr:rowOff>0</xdr:rowOff>
                  </to>
                </anchor>
              </controlPr>
            </control>
          </mc:Choice>
        </mc:AlternateContent>
        <mc:AlternateContent xmlns:mc="http://schemas.openxmlformats.org/markup-compatibility/2006">
          <mc:Choice Requires="x14">
            <control shapeId="74094" r:id="rId101" name="Drop Down 366">
              <controlPr defaultSize="0" autoLine="0" autoPict="0">
                <anchor moveWithCells="1">
                  <from>
                    <xdr:col>11</xdr:col>
                    <xdr:colOff>12700</xdr:colOff>
                    <xdr:row>49</xdr:row>
                    <xdr:rowOff>0</xdr:rowOff>
                  </from>
                  <to>
                    <xdr:col>12</xdr:col>
                    <xdr:colOff>0</xdr:colOff>
                    <xdr:row>50</xdr:row>
                    <xdr:rowOff>0</xdr:rowOff>
                  </to>
                </anchor>
              </controlPr>
            </control>
          </mc:Choice>
        </mc:AlternateContent>
        <mc:AlternateContent xmlns:mc="http://schemas.openxmlformats.org/markup-compatibility/2006">
          <mc:Choice Requires="x14">
            <control shapeId="74095" r:id="rId102" name="Drop Down 367">
              <controlPr defaultSize="0" autoLine="0" autoPict="0">
                <anchor moveWithCells="1">
                  <from>
                    <xdr:col>11</xdr:col>
                    <xdr:colOff>12700</xdr:colOff>
                    <xdr:row>49</xdr:row>
                    <xdr:rowOff>254000</xdr:rowOff>
                  </from>
                  <to>
                    <xdr:col>12</xdr:col>
                    <xdr:colOff>0</xdr:colOff>
                    <xdr:row>51</xdr:row>
                    <xdr:rowOff>0</xdr:rowOff>
                  </to>
                </anchor>
              </controlPr>
            </control>
          </mc:Choice>
        </mc:AlternateContent>
        <mc:AlternateContent xmlns:mc="http://schemas.openxmlformats.org/markup-compatibility/2006">
          <mc:Choice Requires="x14">
            <control shapeId="74096" r:id="rId103" name="Drop Down 368">
              <controlPr defaultSize="0" autoLine="0" autoPict="0">
                <anchor moveWithCells="1">
                  <from>
                    <xdr:col>11</xdr:col>
                    <xdr:colOff>12700</xdr:colOff>
                    <xdr:row>51</xdr:row>
                    <xdr:rowOff>0</xdr:rowOff>
                  </from>
                  <to>
                    <xdr:col>12</xdr:col>
                    <xdr:colOff>0</xdr:colOff>
                    <xdr:row>52</xdr:row>
                    <xdr:rowOff>12700</xdr:rowOff>
                  </to>
                </anchor>
              </controlPr>
            </control>
          </mc:Choice>
        </mc:AlternateContent>
        <mc:AlternateContent xmlns:mc="http://schemas.openxmlformats.org/markup-compatibility/2006">
          <mc:Choice Requires="x14">
            <control shapeId="74097" r:id="rId104" name="Drop Down 369">
              <controlPr defaultSize="0" autoLine="0" autoPict="0">
                <anchor moveWithCells="1">
                  <from>
                    <xdr:col>11</xdr:col>
                    <xdr:colOff>12700</xdr:colOff>
                    <xdr:row>52</xdr:row>
                    <xdr:rowOff>0</xdr:rowOff>
                  </from>
                  <to>
                    <xdr:col>12</xdr:col>
                    <xdr:colOff>0</xdr:colOff>
                    <xdr:row>53</xdr:row>
                    <xdr:rowOff>0</xdr:rowOff>
                  </to>
                </anchor>
              </controlPr>
            </control>
          </mc:Choice>
        </mc:AlternateContent>
        <mc:AlternateContent xmlns:mc="http://schemas.openxmlformats.org/markup-compatibility/2006">
          <mc:Choice Requires="x14">
            <control shapeId="74098" r:id="rId105" name="Drop Down 370">
              <controlPr defaultSize="0" autoLine="0" autoPict="0">
                <anchor moveWithCells="1">
                  <from>
                    <xdr:col>11</xdr:col>
                    <xdr:colOff>12700</xdr:colOff>
                    <xdr:row>53</xdr:row>
                    <xdr:rowOff>0</xdr:rowOff>
                  </from>
                  <to>
                    <xdr:col>12</xdr:col>
                    <xdr:colOff>0</xdr:colOff>
                    <xdr:row>54</xdr:row>
                    <xdr:rowOff>0</xdr:rowOff>
                  </to>
                </anchor>
              </controlPr>
            </control>
          </mc:Choice>
        </mc:AlternateContent>
        <mc:AlternateContent xmlns:mc="http://schemas.openxmlformats.org/markup-compatibility/2006">
          <mc:Choice Requires="x14">
            <control shapeId="74099" r:id="rId106" name="Drop Down 371">
              <controlPr defaultSize="0" autoLine="0" autoPict="0">
                <anchor moveWithCells="1">
                  <from>
                    <xdr:col>11</xdr:col>
                    <xdr:colOff>12700</xdr:colOff>
                    <xdr:row>54</xdr:row>
                    <xdr:rowOff>0</xdr:rowOff>
                  </from>
                  <to>
                    <xdr:col>12</xdr:col>
                    <xdr:colOff>0</xdr:colOff>
                    <xdr:row>55</xdr:row>
                    <xdr:rowOff>0</xdr:rowOff>
                  </to>
                </anchor>
              </controlPr>
            </control>
          </mc:Choice>
        </mc:AlternateContent>
        <mc:AlternateContent xmlns:mc="http://schemas.openxmlformats.org/markup-compatibility/2006">
          <mc:Choice Requires="x14">
            <control shapeId="74100" r:id="rId107" name="Drop Down 372">
              <controlPr defaultSize="0" autoLine="0" autoPict="0">
                <anchor moveWithCells="1">
                  <from>
                    <xdr:col>11</xdr:col>
                    <xdr:colOff>12700</xdr:colOff>
                    <xdr:row>55</xdr:row>
                    <xdr:rowOff>0</xdr:rowOff>
                  </from>
                  <to>
                    <xdr:col>12</xdr:col>
                    <xdr:colOff>0</xdr:colOff>
                    <xdr:row>55</xdr:row>
                    <xdr:rowOff>152400</xdr:rowOff>
                  </to>
                </anchor>
              </controlPr>
            </control>
          </mc:Choice>
        </mc:AlternateContent>
        <mc:AlternateContent xmlns:mc="http://schemas.openxmlformats.org/markup-compatibility/2006">
          <mc:Choice Requires="x14">
            <control shapeId="74101" r:id="rId108" name="Drop Down 373">
              <controlPr defaultSize="0" autoLine="0" autoPict="0">
                <anchor moveWithCells="1">
                  <from>
                    <xdr:col>11</xdr:col>
                    <xdr:colOff>12700</xdr:colOff>
                    <xdr:row>55</xdr:row>
                    <xdr:rowOff>0</xdr:rowOff>
                  </from>
                  <to>
                    <xdr:col>12</xdr:col>
                    <xdr:colOff>0</xdr:colOff>
                    <xdr:row>55</xdr:row>
                    <xdr:rowOff>152400</xdr:rowOff>
                  </to>
                </anchor>
              </controlPr>
            </control>
          </mc:Choice>
        </mc:AlternateContent>
        <mc:AlternateContent xmlns:mc="http://schemas.openxmlformats.org/markup-compatibility/2006">
          <mc:Choice Requires="x14">
            <control shapeId="74102" r:id="rId109" name="Drop Down 374">
              <controlPr defaultSize="0" autoLine="0" autoPict="0">
                <anchor moveWithCells="1">
                  <from>
                    <xdr:col>11</xdr:col>
                    <xdr:colOff>12700</xdr:colOff>
                    <xdr:row>55</xdr:row>
                    <xdr:rowOff>12700</xdr:rowOff>
                  </from>
                  <to>
                    <xdr:col>12</xdr:col>
                    <xdr:colOff>0</xdr:colOff>
                    <xdr:row>56</xdr:row>
                    <xdr:rowOff>0</xdr:rowOff>
                  </to>
                </anchor>
              </controlPr>
            </control>
          </mc:Choice>
        </mc:AlternateContent>
        <mc:AlternateContent xmlns:mc="http://schemas.openxmlformats.org/markup-compatibility/2006">
          <mc:Choice Requires="x14">
            <control shapeId="74103" r:id="rId110" name="Drop Down 375">
              <controlPr defaultSize="0" autoLine="0" autoPict="0">
                <anchor moveWithCells="1">
                  <from>
                    <xdr:col>11</xdr:col>
                    <xdr:colOff>12700</xdr:colOff>
                    <xdr:row>56</xdr:row>
                    <xdr:rowOff>0</xdr:rowOff>
                  </from>
                  <to>
                    <xdr:col>12</xdr:col>
                    <xdr:colOff>0</xdr:colOff>
                    <xdr:row>57</xdr:row>
                    <xdr:rowOff>12700</xdr:rowOff>
                  </to>
                </anchor>
              </controlPr>
            </control>
          </mc:Choice>
        </mc:AlternateContent>
        <mc:AlternateContent xmlns:mc="http://schemas.openxmlformats.org/markup-compatibility/2006">
          <mc:Choice Requires="x14">
            <control shapeId="74104" r:id="rId111" name="Drop Down 376">
              <controlPr defaultSize="0" autoLine="0" autoPict="0">
                <anchor moveWithCells="1">
                  <from>
                    <xdr:col>11</xdr:col>
                    <xdr:colOff>12700</xdr:colOff>
                    <xdr:row>57</xdr:row>
                    <xdr:rowOff>12700</xdr:rowOff>
                  </from>
                  <to>
                    <xdr:col>12</xdr:col>
                    <xdr:colOff>0</xdr:colOff>
                    <xdr:row>58</xdr:row>
                    <xdr:rowOff>0</xdr:rowOff>
                  </to>
                </anchor>
              </controlPr>
            </control>
          </mc:Choice>
        </mc:AlternateContent>
        <mc:AlternateContent xmlns:mc="http://schemas.openxmlformats.org/markup-compatibility/2006">
          <mc:Choice Requires="x14">
            <control shapeId="74105" r:id="rId112" name="Drop Down 377">
              <controlPr defaultSize="0" autoLine="0" autoPict="0">
                <anchor moveWithCells="1">
                  <from>
                    <xdr:col>11</xdr:col>
                    <xdr:colOff>12700</xdr:colOff>
                    <xdr:row>58</xdr:row>
                    <xdr:rowOff>0</xdr:rowOff>
                  </from>
                  <to>
                    <xdr:col>12</xdr:col>
                    <xdr:colOff>0</xdr:colOff>
                    <xdr:row>59</xdr:row>
                    <xdr:rowOff>12700</xdr:rowOff>
                  </to>
                </anchor>
              </controlPr>
            </control>
          </mc:Choice>
        </mc:AlternateContent>
        <mc:AlternateContent xmlns:mc="http://schemas.openxmlformats.org/markup-compatibility/2006">
          <mc:Choice Requires="x14">
            <control shapeId="74106" r:id="rId113" name="Drop Down 378">
              <controlPr defaultSize="0" autoLine="0" autoPict="0">
                <anchor moveWithCells="1">
                  <from>
                    <xdr:col>11</xdr:col>
                    <xdr:colOff>12700</xdr:colOff>
                    <xdr:row>59</xdr:row>
                    <xdr:rowOff>0</xdr:rowOff>
                  </from>
                  <to>
                    <xdr:col>12</xdr:col>
                    <xdr:colOff>0</xdr:colOff>
                    <xdr:row>60</xdr:row>
                    <xdr:rowOff>12700</xdr:rowOff>
                  </to>
                </anchor>
              </controlPr>
            </control>
          </mc:Choice>
        </mc:AlternateContent>
        <mc:AlternateContent xmlns:mc="http://schemas.openxmlformats.org/markup-compatibility/2006">
          <mc:Choice Requires="x14">
            <control shapeId="74107" r:id="rId114" name="Drop Down 379">
              <controlPr defaultSize="0" autoLine="0" autoPict="0">
                <anchor moveWithCells="1">
                  <from>
                    <xdr:col>11</xdr:col>
                    <xdr:colOff>12700</xdr:colOff>
                    <xdr:row>60</xdr:row>
                    <xdr:rowOff>0</xdr:rowOff>
                  </from>
                  <to>
                    <xdr:col>12</xdr:col>
                    <xdr:colOff>0</xdr:colOff>
                    <xdr:row>61</xdr:row>
                    <xdr:rowOff>0</xdr:rowOff>
                  </to>
                </anchor>
              </controlPr>
            </control>
          </mc:Choice>
        </mc:AlternateContent>
        <mc:AlternateContent xmlns:mc="http://schemas.openxmlformats.org/markup-compatibility/2006">
          <mc:Choice Requires="x14">
            <control shapeId="74108" r:id="rId115" name="Drop Down 380">
              <controlPr defaultSize="0" autoLine="0" autoPict="0">
                <anchor moveWithCells="1">
                  <from>
                    <xdr:col>11</xdr:col>
                    <xdr:colOff>12700</xdr:colOff>
                    <xdr:row>61</xdr:row>
                    <xdr:rowOff>0</xdr:rowOff>
                  </from>
                  <to>
                    <xdr:col>12</xdr:col>
                    <xdr:colOff>0</xdr:colOff>
                    <xdr:row>62</xdr:row>
                    <xdr:rowOff>0</xdr:rowOff>
                  </to>
                </anchor>
              </controlPr>
            </control>
          </mc:Choice>
        </mc:AlternateContent>
        <mc:AlternateContent xmlns:mc="http://schemas.openxmlformats.org/markup-compatibility/2006">
          <mc:Choice Requires="x14">
            <control shapeId="74109" r:id="rId116" name="Drop Down 381">
              <controlPr defaultSize="0" autoLine="0" autoPict="0">
                <anchor moveWithCells="1">
                  <from>
                    <xdr:col>11</xdr:col>
                    <xdr:colOff>12700</xdr:colOff>
                    <xdr:row>62</xdr:row>
                    <xdr:rowOff>12700</xdr:rowOff>
                  </from>
                  <to>
                    <xdr:col>12</xdr:col>
                    <xdr:colOff>0</xdr:colOff>
                    <xdr:row>63</xdr:row>
                    <xdr:rowOff>12700</xdr:rowOff>
                  </to>
                </anchor>
              </controlPr>
            </control>
          </mc:Choice>
        </mc:AlternateContent>
        <mc:AlternateContent xmlns:mc="http://schemas.openxmlformats.org/markup-compatibility/2006">
          <mc:Choice Requires="x14">
            <control shapeId="74110" r:id="rId117" name="Drop Down 382">
              <controlPr defaultSize="0" autoLine="0" autoPict="0">
                <anchor moveWithCells="1">
                  <from>
                    <xdr:col>11</xdr:col>
                    <xdr:colOff>12700</xdr:colOff>
                    <xdr:row>63</xdr:row>
                    <xdr:rowOff>12700</xdr:rowOff>
                  </from>
                  <to>
                    <xdr:col>12</xdr:col>
                    <xdr:colOff>0</xdr:colOff>
                    <xdr:row>64</xdr:row>
                    <xdr:rowOff>0</xdr:rowOff>
                  </to>
                </anchor>
              </controlPr>
            </control>
          </mc:Choice>
        </mc:AlternateContent>
        <mc:AlternateContent xmlns:mc="http://schemas.openxmlformats.org/markup-compatibility/2006">
          <mc:Choice Requires="x14">
            <control shapeId="74111" r:id="rId118" name="Drop Down 383">
              <controlPr defaultSize="0" autoLine="0" autoPict="0">
                <anchor moveWithCells="1">
                  <from>
                    <xdr:col>11</xdr:col>
                    <xdr:colOff>12700</xdr:colOff>
                    <xdr:row>64</xdr:row>
                    <xdr:rowOff>0</xdr:rowOff>
                  </from>
                  <to>
                    <xdr:col>12</xdr:col>
                    <xdr:colOff>0</xdr:colOff>
                    <xdr:row>65</xdr:row>
                    <xdr:rowOff>0</xdr:rowOff>
                  </to>
                </anchor>
              </controlPr>
            </control>
          </mc:Choice>
        </mc:AlternateContent>
        <mc:AlternateContent xmlns:mc="http://schemas.openxmlformats.org/markup-compatibility/2006">
          <mc:Choice Requires="x14">
            <control shapeId="74112" r:id="rId119" name="Drop Down 384">
              <controlPr defaultSize="0" autoLine="0" autoPict="0">
                <anchor moveWithCells="1">
                  <from>
                    <xdr:col>11</xdr:col>
                    <xdr:colOff>12700</xdr:colOff>
                    <xdr:row>65</xdr:row>
                    <xdr:rowOff>0</xdr:rowOff>
                  </from>
                  <to>
                    <xdr:col>12</xdr:col>
                    <xdr:colOff>0</xdr:colOff>
                    <xdr:row>66</xdr:row>
                    <xdr:rowOff>12700</xdr:rowOff>
                  </to>
                </anchor>
              </controlPr>
            </control>
          </mc:Choice>
        </mc:AlternateContent>
        <mc:AlternateContent xmlns:mc="http://schemas.openxmlformats.org/markup-compatibility/2006">
          <mc:Choice Requires="x14">
            <control shapeId="74113" r:id="rId120" name="Drop Down 385">
              <controlPr defaultSize="0" autoLine="0" autoPict="0">
                <anchor moveWithCells="1">
                  <from>
                    <xdr:col>11</xdr:col>
                    <xdr:colOff>12700</xdr:colOff>
                    <xdr:row>66</xdr:row>
                    <xdr:rowOff>12700</xdr:rowOff>
                  </from>
                  <to>
                    <xdr:col>12</xdr:col>
                    <xdr:colOff>0</xdr:colOff>
                    <xdr:row>66</xdr:row>
                    <xdr:rowOff>266700</xdr:rowOff>
                  </to>
                </anchor>
              </controlPr>
            </control>
          </mc:Choice>
        </mc:AlternateContent>
        <mc:AlternateContent xmlns:mc="http://schemas.openxmlformats.org/markup-compatibility/2006">
          <mc:Choice Requires="x14">
            <control shapeId="74116" r:id="rId121" name="Drop Down 388">
              <controlPr defaultSize="0" autoLine="0" autoPict="0">
                <anchor moveWithCells="1">
                  <from>
                    <xdr:col>6</xdr:col>
                    <xdr:colOff>12700</xdr:colOff>
                    <xdr:row>73</xdr:row>
                    <xdr:rowOff>12700</xdr:rowOff>
                  </from>
                  <to>
                    <xdr:col>7</xdr:col>
                    <xdr:colOff>0</xdr:colOff>
                    <xdr:row>74</xdr:row>
                    <xdr:rowOff>12700</xdr:rowOff>
                  </to>
                </anchor>
              </controlPr>
            </control>
          </mc:Choice>
        </mc:AlternateContent>
        <mc:AlternateContent xmlns:mc="http://schemas.openxmlformats.org/markup-compatibility/2006">
          <mc:Choice Requires="x14">
            <control shapeId="74117" r:id="rId122" name="Drop Down 389">
              <controlPr defaultSize="0" autoLine="0" autoPict="0">
                <anchor moveWithCells="1">
                  <from>
                    <xdr:col>6</xdr:col>
                    <xdr:colOff>12700</xdr:colOff>
                    <xdr:row>74</xdr:row>
                    <xdr:rowOff>0</xdr:rowOff>
                  </from>
                  <to>
                    <xdr:col>7</xdr:col>
                    <xdr:colOff>0</xdr:colOff>
                    <xdr:row>75</xdr:row>
                    <xdr:rowOff>12700</xdr:rowOff>
                  </to>
                </anchor>
              </controlPr>
            </control>
          </mc:Choice>
        </mc:AlternateContent>
        <mc:AlternateContent xmlns:mc="http://schemas.openxmlformats.org/markup-compatibility/2006">
          <mc:Choice Requires="x14">
            <control shapeId="74118" r:id="rId123" name="Drop Down 390">
              <controlPr defaultSize="0" autoLine="0" autoPict="0">
                <anchor moveWithCells="1">
                  <from>
                    <xdr:col>6</xdr:col>
                    <xdr:colOff>12700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74119" r:id="rId124" name="Drop Down 391">
              <controlPr defaultSize="0" autoLine="0" autoPict="0">
                <anchor moveWithCells="1">
                  <from>
                    <xdr:col>6</xdr:col>
                    <xdr:colOff>12700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74120" r:id="rId125" name="Drop Down 392">
              <controlPr defaultSize="0" autoLine="0" autoPict="0">
                <anchor moveWithCells="1">
                  <from>
                    <xdr:col>6</xdr:col>
                    <xdr:colOff>12700</xdr:colOff>
                    <xdr:row>77</xdr:row>
                    <xdr:rowOff>12700</xdr:rowOff>
                  </from>
                  <to>
                    <xdr:col>7</xdr:col>
                    <xdr:colOff>0</xdr:colOff>
                    <xdr:row>78</xdr:row>
                    <xdr:rowOff>0</xdr:rowOff>
                  </to>
                </anchor>
              </controlPr>
            </control>
          </mc:Choice>
        </mc:AlternateContent>
        <mc:AlternateContent xmlns:mc="http://schemas.openxmlformats.org/markup-compatibility/2006">
          <mc:Choice Requires="x14">
            <control shapeId="74121" r:id="rId126" name="Drop Down 393">
              <controlPr defaultSize="0" autoLine="0" autoPict="0">
                <anchor moveWithCells="1">
                  <from>
                    <xdr:col>6</xdr:col>
                    <xdr:colOff>12700</xdr:colOff>
                    <xdr:row>78</xdr:row>
                    <xdr:rowOff>0</xdr:rowOff>
                  </from>
                  <to>
                    <xdr:col>7</xdr:col>
                    <xdr:colOff>0</xdr:colOff>
                    <xdr:row>79</xdr:row>
                    <xdr:rowOff>12700</xdr:rowOff>
                  </to>
                </anchor>
              </controlPr>
            </control>
          </mc:Choice>
        </mc:AlternateContent>
        <mc:AlternateContent xmlns:mc="http://schemas.openxmlformats.org/markup-compatibility/2006">
          <mc:Choice Requires="x14">
            <control shapeId="74122" r:id="rId127" name="Drop Down 394">
              <controlPr defaultSize="0" autoLine="0" autoPict="0">
                <anchor moveWithCells="1">
                  <from>
                    <xdr:col>6</xdr:col>
                    <xdr:colOff>12700</xdr:colOff>
                    <xdr:row>78</xdr:row>
                    <xdr:rowOff>254000</xdr:rowOff>
                  </from>
                  <to>
                    <xdr:col>7</xdr:col>
                    <xdr:colOff>0</xdr:colOff>
                    <xdr:row>79</xdr:row>
                    <xdr:rowOff>266700</xdr:rowOff>
                  </to>
                </anchor>
              </controlPr>
            </control>
          </mc:Choice>
        </mc:AlternateContent>
        <mc:AlternateContent xmlns:mc="http://schemas.openxmlformats.org/markup-compatibility/2006">
          <mc:Choice Requires="x14">
            <control shapeId="74123" r:id="rId128" name="Drop Down 395">
              <controlPr defaultSize="0" autoLine="0" autoPict="0">
                <anchor moveWithCells="1">
                  <from>
                    <xdr:col>6</xdr:col>
                    <xdr:colOff>12700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74124" r:id="rId129" name="Drop Down 396">
              <controlPr defaultSize="0" autoLine="0" autoPict="0">
                <anchor moveWithCells="1">
                  <from>
                    <xdr:col>6</xdr:col>
                    <xdr:colOff>12700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74125" r:id="rId130" name="Drop Down 397">
              <controlPr defaultSize="0" autoLine="0" autoPict="0">
                <anchor moveWithCells="1">
                  <from>
                    <xdr:col>6</xdr:col>
                    <xdr:colOff>12700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74128" r:id="rId131" name="Drop Down 400">
              <controlPr defaultSize="0" autoLine="0" autoPict="0">
                <anchor moveWithCells="1">
                  <from>
                    <xdr:col>6</xdr:col>
                    <xdr:colOff>12700</xdr:colOff>
                    <xdr:row>83</xdr:row>
                    <xdr:rowOff>0</xdr:rowOff>
                  </from>
                  <to>
                    <xdr:col>7</xdr:col>
                    <xdr:colOff>0</xdr:colOff>
                    <xdr:row>84</xdr:row>
                    <xdr:rowOff>12700</xdr:rowOff>
                  </to>
                </anchor>
              </controlPr>
            </control>
          </mc:Choice>
        </mc:AlternateContent>
        <mc:AlternateContent xmlns:mc="http://schemas.openxmlformats.org/markup-compatibility/2006">
          <mc:Choice Requires="x14">
            <control shapeId="74129" r:id="rId132" name="Drop Down 401">
              <controlPr defaultSize="0" autoLine="0" autoPict="0">
                <anchor moveWithCells="1">
                  <from>
                    <xdr:col>6</xdr:col>
                    <xdr:colOff>12700</xdr:colOff>
                    <xdr:row>84</xdr:row>
                    <xdr:rowOff>12700</xdr:rowOff>
                  </from>
                  <to>
                    <xdr:col>7</xdr:col>
                    <xdr:colOff>0</xdr:colOff>
                    <xdr:row>85</xdr:row>
                    <xdr:rowOff>12700</xdr:rowOff>
                  </to>
                </anchor>
              </controlPr>
            </control>
          </mc:Choice>
        </mc:AlternateContent>
        <mc:AlternateContent xmlns:mc="http://schemas.openxmlformats.org/markup-compatibility/2006">
          <mc:Choice Requires="x14">
            <control shapeId="74130" r:id="rId133" name="Drop Down 402">
              <controlPr defaultSize="0" autoLine="0" autoPict="0">
                <anchor moveWithCells="1">
                  <from>
                    <xdr:col>6</xdr:col>
                    <xdr:colOff>12700</xdr:colOff>
                    <xdr:row>85</xdr:row>
                    <xdr:rowOff>0</xdr:rowOff>
                  </from>
                  <to>
                    <xdr:col>7</xdr:col>
                    <xdr:colOff>0</xdr:colOff>
                    <xdr:row>86</xdr:row>
                    <xdr:rowOff>12700</xdr:rowOff>
                  </to>
                </anchor>
              </controlPr>
            </control>
          </mc:Choice>
        </mc:AlternateContent>
        <mc:AlternateContent xmlns:mc="http://schemas.openxmlformats.org/markup-compatibility/2006">
          <mc:Choice Requires="x14">
            <control shapeId="74131" r:id="rId134" name="Drop Down 403">
              <controlPr defaultSize="0" autoLine="0" autoPict="0">
                <anchor moveWithCells="1">
                  <from>
                    <xdr:col>6</xdr:col>
                    <xdr:colOff>12700</xdr:colOff>
                    <xdr:row>86</xdr:row>
                    <xdr:rowOff>0</xdr:rowOff>
                  </from>
                  <to>
                    <xdr:col>7</xdr:col>
                    <xdr:colOff>0</xdr:colOff>
                    <xdr:row>87</xdr:row>
                    <xdr:rowOff>12700</xdr:rowOff>
                  </to>
                </anchor>
              </controlPr>
            </control>
          </mc:Choice>
        </mc:AlternateContent>
        <mc:AlternateContent xmlns:mc="http://schemas.openxmlformats.org/markup-compatibility/2006">
          <mc:Choice Requires="x14">
            <control shapeId="74132" r:id="rId135" name="Drop Down 404">
              <controlPr defaultSize="0" autoLine="0" autoPict="0">
                <anchor moveWithCells="1">
                  <from>
                    <xdr:col>6</xdr:col>
                    <xdr:colOff>12700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74133" r:id="rId136" name="Drop Down 405">
              <controlPr defaultSize="0" autoLine="0" autoPict="0">
                <anchor moveWithCells="1">
                  <from>
                    <xdr:col>6</xdr:col>
                    <xdr:colOff>12700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74134" r:id="rId137" name="Drop Down 406">
              <controlPr defaultSize="0" autoLine="0" autoPict="0">
                <anchor moveWithCells="1">
                  <from>
                    <xdr:col>6</xdr:col>
                    <xdr:colOff>12700</xdr:colOff>
                    <xdr:row>88</xdr:row>
                    <xdr:rowOff>254000</xdr:rowOff>
                  </from>
                  <to>
                    <xdr:col>7</xdr:col>
                    <xdr:colOff>0</xdr:colOff>
                    <xdr:row>90</xdr:row>
                    <xdr:rowOff>12700</xdr:rowOff>
                  </to>
                </anchor>
              </controlPr>
            </control>
          </mc:Choice>
        </mc:AlternateContent>
        <mc:AlternateContent xmlns:mc="http://schemas.openxmlformats.org/markup-compatibility/2006">
          <mc:Choice Requires="x14">
            <control shapeId="74135" r:id="rId138" name="Drop Down 407">
              <controlPr defaultSize="0" autoLine="0" autoPict="0">
                <anchor moveWithCells="1">
                  <from>
                    <xdr:col>6</xdr:col>
                    <xdr:colOff>12700</xdr:colOff>
                    <xdr:row>90</xdr:row>
                    <xdr:rowOff>25400</xdr:rowOff>
                  </from>
                  <to>
                    <xdr:col>7</xdr:col>
                    <xdr:colOff>0</xdr:colOff>
                    <xdr:row>91</xdr:row>
                    <xdr:rowOff>0</xdr:rowOff>
                  </to>
                </anchor>
              </controlPr>
            </control>
          </mc:Choice>
        </mc:AlternateContent>
        <mc:AlternateContent xmlns:mc="http://schemas.openxmlformats.org/markup-compatibility/2006">
          <mc:Choice Requires="x14">
            <control shapeId="74136" r:id="rId139" name="Drop Down 408">
              <controlPr defaultSize="0" autoLine="0" autoPict="0">
                <anchor moveWithCells="1">
                  <from>
                    <xdr:col>6</xdr:col>
                    <xdr:colOff>12700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74137" r:id="rId140" name="Drop Down 409">
              <controlPr defaultSize="0" autoLine="0" autoPict="0">
                <anchor moveWithCells="1">
                  <from>
                    <xdr:col>6</xdr:col>
                    <xdr:colOff>12700</xdr:colOff>
                    <xdr:row>92</xdr:row>
                    <xdr:rowOff>0</xdr:rowOff>
                  </from>
                  <to>
                    <xdr:col>7</xdr:col>
                    <xdr:colOff>0</xdr:colOff>
                    <xdr:row>93</xdr:row>
                    <xdr:rowOff>12700</xdr:rowOff>
                  </to>
                </anchor>
              </controlPr>
            </control>
          </mc:Choice>
        </mc:AlternateContent>
        <mc:AlternateContent xmlns:mc="http://schemas.openxmlformats.org/markup-compatibility/2006">
          <mc:Choice Requires="x14">
            <control shapeId="74138" r:id="rId141" name="Drop Down 410">
              <controlPr defaultSize="0" autoLine="0" autoPict="0">
                <anchor moveWithCells="1">
                  <from>
                    <xdr:col>6</xdr:col>
                    <xdr:colOff>12700</xdr:colOff>
                    <xdr:row>92</xdr:row>
                    <xdr:rowOff>266700</xdr:rowOff>
                  </from>
                  <to>
                    <xdr:col>7</xdr:col>
                    <xdr:colOff>12700</xdr:colOff>
                    <xdr:row>93</xdr:row>
                    <xdr:rowOff>254000</xdr:rowOff>
                  </to>
                </anchor>
              </controlPr>
            </control>
          </mc:Choice>
        </mc:AlternateContent>
        <mc:AlternateContent xmlns:mc="http://schemas.openxmlformats.org/markup-compatibility/2006">
          <mc:Choice Requires="x14">
            <control shapeId="74139" r:id="rId142" name="Drop Down 411">
              <controlPr defaultSize="0" autoLine="0" autoPict="0">
                <anchor moveWithCells="1">
                  <from>
                    <xdr:col>1</xdr:col>
                    <xdr:colOff>12700</xdr:colOff>
                    <xdr:row>246</xdr:row>
                    <xdr:rowOff>0</xdr:rowOff>
                  </from>
                  <to>
                    <xdr:col>2</xdr:col>
                    <xdr:colOff>0</xdr:colOff>
                    <xdr:row>247</xdr:row>
                    <xdr:rowOff>12700</xdr:rowOff>
                  </to>
                </anchor>
              </controlPr>
            </control>
          </mc:Choice>
        </mc:AlternateContent>
        <mc:AlternateContent xmlns:mc="http://schemas.openxmlformats.org/markup-compatibility/2006">
          <mc:Choice Requires="x14">
            <control shapeId="74152" r:id="rId143" name="Drop Down 424">
              <controlPr defaultSize="0" autoLine="0" autoPict="0">
                <anchor moveWithCells="1">
                  <from>
                    <xdr:col>1</xdr:col>
                    <xdr:colOff>12700</xdr:colOff>
                    <xdr:row>247</xdr:row>
                    <xdr:rowOff>0</xdr:rowOff>
                  </from>
                  <to>
                    <xdr:col>2</xdr:col>
                    <xdr:colOff>0</xdr:colOff>
                    <xdr:row>248</xdr:row>
                    <xdr:rowOff>12700</xdr:rowOff>
                  </to>
                </anchor>
              </controlPr>
            </control>
          </mc:Choice>
        </mc:AlternateContent>
        <mc:AlternateContent xmlns:mc="http://schemas.openxmlformats.org/markup-compatibility/2006">
          <mc:Choice Requires="x14">
            <control shapeId="74153" r:id="rId144" name="Drop Down 425">
              <controlPr defaultSize="0" autoLine="0" autoPict="0">
                <anchor moveWithCells="1">
                  <from>
                    <xdr:col>1</xdr:col>
                    <xdr:colOff>12700</xdr:colOff>
                    <xdr:row>248</xdr:row>
                    <xdr:rowOff>0</xdr:rowOff>
                  </from>
                  <to>
                    <xdr:col>2</xdr:col>
                    <xdr:colOff>0</xdr:colOff>
                    <xdr:row>249</xdr:row>
                    <xdr:rowOff>12700</xdr:rowOff>
                  </to>
                </anchor>
              </controlPr>
            </control>
          </mc:Choice>
        </mc:AlternateContent>
        <mc:AlternateContent xmlns:mc="http://schemas.openxmlformats.org/markup-compatibility/2006">
          <mc:Choice Requires="x14">
            <control shapeId="74154" r:id="rId145" name="Drop Down 426">
              <controlPr defaultSize="0" autoLine="0" autoPict="0">
                <anchor moveWithCells="1">
                  <from>
                    <xdr:col>1</xdr:col>
                    <xdr:colOff>12700</xdr:colOff>
                    <xdr:row>249</xdr:row>
                    <xdr:rowOff>0</xdr:rowOff>
                  </from>
                  <to>
                    <xdr:col>2</xdr:col>
                    <xdr:colOff>0</xdr:colOff>
                    <xdr:row>250</xdr:row>
                    <xdr:rowOff>12700</xdr:rowOff>
                  </to>
                </anchor>
              </controlPr>
            </control>
          </mc:Choice>
        </mc:AlternateContent>
        <mc:AlternateContent xmlns:mc="http://schemas.openxmlformats.org/markup-compatibility/2006">
          <mc:Choice Requires="x14">
            <control shapeId="74155" r:id="rId146" name="Drop Down 427">
              <controlPr defaultSize="0" autoLine="0" autoPict="0">
                <anchor moveWithCells="1">
                  <from>
                    <xdr:col>1</xdr:col>
                    <xdr:colOff>12700</xdr:colOff>
                    <xdr:row>250</xdr:row>
                    <xdr:rowOff>0</xdr:rowOff>
                  </from>
                  <to>
                    <xdr:col>2</xdr:col>
                    <xdr:colOff>0</xdr:colOff>
                    <xdr:row>251</xdr:row>
                    <xdr:rowOff>12700</xdr:rowOff>
                  </to>
                </anchor>
              </controlPr>
            </control>
          </mc:Choice>
        </mc:AlternateContent>
        <mc:AlternateContent xmlns:mc="http://schemas.openxmlformats.org/markup-compatibility/2006">
          <mc:Choice Requires="x14">
            <control shapeId="74156" r:id="rId147" name="Drop Down 428">
              <controlPr defaultSize="0" autoLine="0" autoPict="0">
                <anchor moveWithCells="1">
                  <from>
                    <xdr:col>1</xdr:col>
                    <xdr:colOff>12700</xdr:colOff>
                    <xdr:row>251</xdr:row>
                    <xdr:rowOff>0</xdr:rowOff>
                  </from>
                  <to>
                    <xdr:col>2</xdr:col>
                    <xdr:colOff>0</xdr:colOff>
                    <xdr:row>252</xdr:row>
                    <xdr:rowOff>12700</xdr:rowOff>
                  </to>
                </anchor>
              </controlPr>
            </control>
          </mc:Choice>
        </mc:AlternateContent>
        <mc:AlternateContent xmlns:mc="http://schemas.openxmlformats.org/markup-compatibility/2006">
          <mc:Choice Requires="x14">
            <control shapeId="74157" r:id="rId148" name="Drop Down 429">
              <controlPr defaultSize="0" autoLine="0" autoPict="0">
                <anchor moveWithCells="1">
                  <from>
                    <xdr:col>1</xdr:col>
                    <xdr:colOff>12700</xdr:colOff>
                    <xdr:row>252</xdr:row>
                    <xdr:rowOff>0</xdr:rowOff>
                  </from>
                  <to>
                    <xdr:col>2</xdr:col>
                    <xdr:colOff>0</xdr:colOff>
                    <xdr:row>253</xdr:row>
                    <xdr:rowOff>12700</xdr:rowOff>
                  </to>
                </anchor>
              </controlPr>
            </control>
          </mc:Choice>
        </mc:AlternateContent>
        <mc:AlternateContent xmlns:mc="http://schemas.openxmlformats.org/markup-compatibility/2006">
          <mc:Choice Requires="x14">
            <control shapeId="74158" r:id="rId149" name="Drop Down 430">
              <controlPr defaultSize="0" autoLine="0" autoPict="0">
                <anchor moveWithCells="1">
                  <from>
                    <xdr:col>1</xdr:col>
                    <xdr:colOff>12700</xdr:colOff>
                    <xdr:row>253</xdr:row>
                    <xdr:rowOff>0</xdr:rowOff>
                  </from>
                  <to>
                    <xdr:col>2</xdr:col>
                    <xdr:colOff>0</xdr:colOff>
                    <xdr:row>254</xdr:row>
                    <xdr:rowOff>12700</xdr:rowOff>
                  </to>
                </anchor>
              </controlPr>
            </control>
          </mc:Choice>
        </mc:AlternateContent>
        <mc:AlternateContent xmlns:mc="http://schemas.openxmlformats.org/markup-compatibility/2006">
          <mc:Choice Requires="x14">
            <control shapeId="74159" r:id="rId150" name="Drop Down 431">
              <controlPr defaultSize="0" autoLine="0" autoPict="0">
                <anchor moveWithCells="1">
                  <from>
                    <xdr:col>1</xdr:col>
                    <xdr:colOff>12700</xdr:colOff>
                    <xdr:row>254</xdr:row>
                    <xdr:rowOff>0</xdr:rowOff>
                  </from>
                  <to>
                    <xdr:col>2</xdr:col>
                    <xdr:colOff>0</xdr:colOff>
                    <xdr:row>255</xdr:row>
                    <xdr:rowOff>12700</xdr:rowOff>
                  </to>
                </anchor>
              </controlPr>
            </control>
          </mc:Choice>
        </mc:AlternateContent>
        <mc:AlternateContent xmlns:mc="http://schemas.openxmlformats.org/markup-compatibility/2006">
          <mc:Choice Requires="x14">
            <control shapeId="74160" r:id="rId151" name="Drop Down 432">
              <controlPr defaultSize="0" autoLine="0" autoPict="0">
                <anchor moveWithCells="1">
                  <from>
                    <xdr:col>1</xdr:col>
                    <xdr:colOff>12700</xdr:colOff>
                    <xdr:row>255</xdr:row>
                    <xdr:rowOff>0</xdr:rowOff>
                  </from>
                  <to>
                    <xdr:col>2</xdr:col>
                    <xdr:colOff>0</xdr:colOff>
                    <xdr:row>256</xdr:row>
                    <xdr:rowOff>12700</xdr:rowOff>
                  </to>
                </anchor>
              </controlPr>
            </control>
          </mc:Choice>
        </mc:AlternateContent>
        <mc:AlternateContent xmlns:mc="http://schemas.openxmlformats.org/markup-compatibility/2006">
          <mc:Choice Requires="x14">
            <control shapeId="74161" r:id="rId152" name="Drop Down 433">
              <controlPr defaultSize="0" autoLine="0" autoPict="0">
                <anchor moveWithCells="1">
                  <from>
                    <xdr:col>1</xdr:col>
                    <xdr:colOff>12700</xdr:colOff>
                    <xdr:row>256</xdr:row>
                    <xdr:rowOff>0</xdr:rowOff>
                  </from>
                  <to>
                    <xdr:col>2</xdr:col>
                    <xdr:colOff>0</xdr:colOff>
                    <xdr:row>257</xdr:row>
                    <xdr:rowOff>12700</xdr:rowOff>
                  </to>
                </anchor>
              </controlPr>
            </control>
          </mc:Choice>
        </mc:AlternateContent>
        <mc:AlternateContent xmlns:mc="http://schemas.openxmlformats.org/markup-compatibility/2006">
          <mc:Choice Requires="x14">
            <control shapeId="74162" r:id="rId153" name="Drop Down 434">
              <controlPr defaultSize="0" autoLine="0" autoPict="0">
                <anchor moveWithCells="1">
                  <from>
                    <xdr:col>1</xdr:col>
                    <xdr:colOff>12700</xdr:colOff>
                    <xdr:row>257</xdr:row>
                    <xdr:rowOff>0</xdr:rowOff>
                  </from>
                  <to>
                    <xdr:col>2</xdr:col>
                    <xdr:colOff>0</xdr:colOff>
                    <xdr:row>258</xdr:row>
                    <xdr:rowOff>12700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5">
    <tabColor theme="5"/>
  </sheetPr>
  <dimension ref="A1:AN1135"/>
  <sheetViews>
    <sheetView zoomScale="80" zoomScaleNormal="80" workbookViewId="0">
      <selection sqref="A1:XFD1048576"/>
    </sheetView>
  </sheetViews>
  <sheetFormatPr defaultColWidth="8.6328125" defaultRowHeight="17.25" customHeight="1" x14ac:dyDescent="0.35"/>
  <cols>
    <col min="1" max="1" width="8.6328125" style="737"/>
    <col min="2" max="2" width="42.453125" style="737" customWidth="1"/>
    <col min="3" max="3" width="15.453125" style="825" customWidth="1"/>
    <col min="4" max="4" width="12.453125" style="703" customWidth="1"/>
    <col min="5" max="5" width="14.453125" style="825" customWidth="1"/>
    <col min="6" max="6" width="12" style="737" customWidth="1"/>
    <col min="7" max="7" width="9.81640625" style="737" customWidth="1"/>
    <col min="8" max="8" width="8.6328125" style="737"/>
    <col min="9" max="9" width="14.453125" style="825" customWidth="1"/>
    <col min="10" max="10" width="55.453125" style="825" customWidth="1"/>
    <col min="11" max="11" width="23" style="703" customWidth="1"/>
    <col min="12" max="12" width="14" style="804" customWidth="1"/>
    <col min="13" max="13" width="13.453125" style="805" customWidth="1"/>
    <col min="14" max="14" width="12.453125" style="703" customWidth="1"/>
    <col min="15" max="15" width="17.36328125" style="703" customWidth="1"/>
    <col min="16" max="16" width="15" style="1099" customWidth="1"/>
    <col min="17" max="17" width="14" style="804" customWidth="1"/>
    <col min="18" max="18" width="13.453125" style="805" customWidth="1"/>
    <col min="19" max="19" width="12.453125" style="703" customWidth="1"/>
    <col min="20" max="20" width="10.453125" style="737" customWidth="1"/>
    <col min="21" max="21" width="8.6328125" style="737"/>
    <col min="22" max="22" width="80.453125" style="737" customWidth="1"/>
    <col min="23" max="23" width="19.1796875" style="737" customWidth="1"/>
    <col min="24" max="24" width="17" style="763" customWidth="1"/>
    <col min="25" max="25" width="18.1796875" style="763" customWidth="1"/>
    <col min="26" max="28" width="8.6328125" style="737"/>
    <col min="29" max="29" width="85" style="737" customWidth="1"/>
    <col min="30" max="30" width="18.6328125" style="936" customWidth="1"/>
    <col min="31" max="31" width="21.81640625" style="737" customWidth="1"/>
    <col min="32" max="32" width="22.81640625" style="737" customWidth="1"/>
    <col min="33" max="33" width="14.453125" style="737" customWidth="1"/>
    <col min="34" max="34" width="20.81640625" style="737" customWidth="1"/>
    <col min="35" max="36" width="8.6328125" style="737"/>
    <col min="37" max="37" width="8.6328125" style="1042"/>
    <col min="38" max="38" width="8.6328125" style="737"/>
    <col min="39" max="39" width="44.1796875" style="737" customWidth="1"/>
    <col min="40" max="40" width="11.1796875" style="737" customWidth="1"/>
    <col min="41" max="41" width="8.6328125" style="737"/>
    <col min="42" max="42" width="17.453125" style="737" customWidth="1"/>
    <col min="43" max="43" width="14" style="737" customWidth="1"/>
    <col min="44" max="44" width="19.1796875" style="737" customWidth="1"/>
    <col min="45" max="45" width="14.6328125" style="737" customWidth="1"/>
    <col min="46" max="16384" width="8.6328125" style="737"/>
  </cols>
  <sheetData>
    <row r="1" spans="1:40" ht="31" customHeight="1" thickBot="1" x14ac:dyDescent="0.55000000000000004">
      <c r="A1" s="735" t="s">
        <v>89</v>
      </c>
      <c r="B1" s="1735" t="s">
        <v>8691</v>
      </c>
      <c r="C1" s="1736"/>
      <c r="D1" s="1736"/>
      <c r="E1" s="1736"/>
      <c r="F1" s="1736"/>
      <c r="G1" s="1736"/>
      <c r="H1" s="1736"/>
      <c r="I1" s="1736"/>
      <c r="J1" s="1736"/>
      <c r="M1" s="931"/>
      <c r="N1" s="932"/>
      <c r="O1" s="932"/>
      <c r="P1" s="933"/>
      <c r="Q1" s="934"/>
      <c r="R1" s="931"/>
      <c r="S1" s="932"/>
      <c r="T1" s="935"/>
      <c r="U1" s="935"/>
      <c r="AK1" s="1705" t="s">
        <v>8664</v>
      </c>
      <c r="AL1" s="1707"/>
      <c r="AM1" s="1734"/>
      <c r="AN1" s="937" t="str">
        <f>LOOKUP(' Preparation'!$F$4,Data!$B$2:$B$194,Data!$C$2:$C$194)</f>
        <v>€ (Euro)</v>
      </c>
    </row>
    <row r="2" spans="1:40" ht="23.5" customHeight="1" thickBot="1" x14ac:dyDescent="0.4">
      <c r="A2" s="938"/>
      <c r="B2" s="939" t="s">
        <v>8321</v>
      </c>
      <c r="C2" s="736" t="str">
        <f>LOOKUP(' Preparation'!$F$4,Data!$B$2:$B$194,Data!$C$2:$C$194)</f>
        <v>€ (Euro)</v>
      </c>
      <c r="D2" s="940">
        <f>' Preparation'!$H$4</f>
        <v>1</v>
      </c>
      <c r="E2" s="941"/>
      <c r="F2" s="938"/>
      <c r="G2" s="938"/>
      <c r="H2" s="942"/>
      <c r="I2" s="943"/>
      <c r="J2" s="944" t="s">
        <v>6922</v>
      </c>
      <c r="K2" s="945"/>
      <c r="L2" s="1688" t="s">
        <v>8323</v>
      </c>
      <c r="M2" s="1689"/>
      <c r="N2" s="1731" t="str">
        <f>LOOKUP(' Preparation'!$F$4,Data!$B$2:$B$194,Data!$C$2:$C$194)</f>
        <v>€ (Euro)</v>
      </c>
      <c r="O2" s="1732"/>
      <c r="P2" s="946"/>
      <c r="Q2" s="1739"/>
      <c r="R2" s="1739"/>
      <c r="S2" s="1739"/>
      <c r="T2" s="947"/>
      <c r="U2" s="947"/>
      <c r="V2" s="938" t="s">
        <v>6923</v>
      </c>
      <c r="W2" s="1688" t="s">
        <v>8664</v>
      </c>
      <c r="X2" s="1689"/>
      <c r="Y2" s="1731" t="str">
        <f>LOOKUP(' Preparation'!$F$4,Data!$B$2:$B$194,Data!$C$2:$C$194)</f>
        <v>€ (Euro)</v>
      </c>
      <c r="Z2" s="1732"/>
      <c r="AA2" s="938"/>
      <c r="AB2" s="938"/>
      <c r="AC2" s="938"/>
      <c r="AD2" s="1688" t="s">
        <v>8412</v>
      </c>
      <c r="AE2" s="1689"/>
      <c r="AF2" s="1731" t="str">
        <f>LOOKUP(' Preparation'!$F$4,Data!$B$2:$B$194,Data!$C$2:$C$194)</f>
        <v>€ (Euro)</v>
      </c>
      <c r="AG2" s="1732"/>
      <c r="AH2" s="938"/>
      <c r="AK2" s="1733" t="s">
        <v>7361</v>
      </c>
      <c r="AL2" s="1733"/>
      <c r="AM2" s="1733"/>
      <c r="AN2" s="1733"/>
    </row>
    <row r="3" spans="1:40" ht="82" customHeight="1" thickBot="1" x14ac:dyDescent="0.4">
      <c r="A3" s="948" t="s">
        <v>82</v>
      </c>
      <c r="B3" s="949" t="s">
        <v>2223</v>
      </c>
      <c r="C3" s="950" t="s">
        <v>5819</v>
      </c>
      <c r="D3" s="951" t="s">
        <v>8360</v>
      </c>
      <c r="E3" s="952" t="s">
        <v>8361</v>
      </c>
      <c r="F3" s="953"/>
      <c r="G3" s="954"/>
      <c r="H3" s="955"/>
      <c r="I3" s="956" t="s">
        <v>673</v>
      </c>
      <c r="J3" s="957" t="s">
        <v>5841</v>
      </c>
      <c r="K3" s="958" t="s">
        <v>8362</v>
      </c>
      <c r="L3" s="959"/>
      <c r="M3" s="960"/>
      <c r="N3" s="959"/>
      <c r="O3" s="961" t="s">
        <v>8363</v>
      </c>
      <c r="P3" s="962" t="s">
        <v>8364</v>
      </c>
      <c r="Q3" s="963" t="s">
        <v>8365</v>
      </c>
      <c r="R3" s="960"/>
      <c r="S3" s="959"/>
      <c r="T3" s="947"/>
      <c r="U3" s="964" t="s">
        <v>673</v>
      </c>
      <c r="V3" s="965" t="s">
        <v>6921</v>
      </c>
      <c r="W3" s="966" t="s">
        <v>8366</v>
      </c>
      <c r="X3" s="966" t="s">
        <v>8367</v>
      </c>
      <c r="Y3" s="966" t="s">
        <v>8368</v>
      </c>
      <c r="Z3" s="938"/>
      <c r="AA3" s="967"/>
      <c r="AB3" s="1741" t="s">
        <v>7039</v>
      </c>
      <c r="AC3" s="1741"/>
      <c r="AD3" s="1741"/>
      <c r="AE3" s="1741"/>
      <c r="AF3" s="1741"/>
      <c r="AG3" s="1741"/>
      <c r="AH3" s="1742"/>
      <c r="AK3" s="968" t="s">
        <v>82</v>
      </c>
      <c r="AL3" s="969" t="s">
        <v>673</v>
      </c>
      <c r="AM3" s="970" t="s">
        <v>6927</v>
      </c>
      <c r="AN3" s="971" t="s">
        <v>272</v>
      </c>
    </row>
    <row r="4" spans="1:40" ht="31" customHeight="1" thickBot="1" x14ac:dyDescent="0.4">
      <c r="A4" s="972">
        <v>1</v>
      </c>
      <c r="B4" s="1892">
        <v>1</v>
      </c>
      <c r="C4" s="1893"/>
      <c r="D4" s="973">
        <f ca="1">C4*LOOKUP(B4,G$4:G$4238,K$4:K$4239)</f>
        <v>0</v>
      </c>
      <c r="E4" s="974"/>
      <c r="F4" s="975"/>
      <c r="G4" s="976">
        <v>1</v>
      </c>
      <c r="H4" s="977" t="s">
        <v>5843</v>
      </c>
      <c r="I4" s="978"/>
      <c r="J4" s="979" t="s">
        <v>7458</v>
      </c>
      <c r="K4" s="980">
        <v>0</v>
      </c>
      <c r="L4" s="981"/>
      <c r="M4" s="982"/>
      <c r="N4" s="983"/>
      <c r="O4" s="984">
        <v>0</v>
      </c>
      <c r="P4" s="985">
        <v>0</v>
      </c>
      <c r="Q4" s="986">
        <v>0</v>
      </c>
      <c r="R4" s="982"/>
      <c r="S4" s="983"/>
      <c r="T4" s="987"/>
      <c r="U4" s="988"/>
      <c r="V4" s="938" t="s">
        <v>7458</v>
      </c>
      <c r="W4" s="989"/>
      <c r="X4" s="990"/>
      <c r="Y4" s="991"/>
      <c r="Z4" s="938"/>
      <c r="AA4" s="988"/>
      <c r="AB4" s="992"/>
      <c r="AC4" s="1740" t="s">
        <v>7904</v>
      </c>
      <c r="AD4" s="1740"/>
      <c r="AE4" s="1740"/>
      <c r="AF4" s="1744" t="s">
        <v>8378</v>
      </c>
      <c r="AG4" s="1746" t="s">
        <v>5833</v>
      </c>
      <c r="AH4" s="1748" t="s">
        <v>8369</v>
      </c>
      <c r="AK4" s="993">
        <v>1</v>
      </c>
      <c r="AL4" s="994"/>
      <c r="AM4" s="995" t="s">
        <v>7458</v>
      </c>
      <c r="AN4" s="996"/>
    </row>
    <row r="5" spans="1:40" ht="30.75" customHeight="1" thickBot="1" x14ac:dyDescent="0.4">
      <c r="A5" s="997">
        <v>2</v>
      </c>
      <c r="B5" s="1894">
        <v>1</v>
      </c>
      <c r="C5" s="1882"/>
      <c r="D5" s="998">
        <f t="shared" ref="D5:D23" ca="1" si="0">C5*LOOKUP(B5,G$4:G$4238,K$4:K$4239)</f>
        <v>0</v>
      </c>
      <c r="E5" s="999"/>
      <c r="F5" s="975"/>
      <c r="G5" s="976">
        <f>G4+1</f>
        <v>2</v>
      </c>
      <c r="H5" s="1000"/>
      <c r="I5" s="1001" t="s">
        <v>1056</v>
      </c>
      <c r="J5" s="979" t="s">
        <v>1057</v>
      </c>
      <c r="K5" s="1002">
        <f>IF(I!K5="","",$D$2*I!K5)</f>
        <v>9.1153647730000009E-2</v>
      </c>
      <c r="L5" s="981"/>
      <c r="M5" s="982"/>
      <c r="N5" s="1003"/>
      <c r="O5" s="1004">
        <f>IF(I!O5="","",$D$2*I!O5)</f>
        <v>0.52</v>
      </c>
      <c r="P5" s="1005">
        <f>IF(I!P5="","",$D$2*I!P5)</f>
        <v>4.0155359988999995E-2</v>
      </c>
      <c r="Q5" s="1006">
        <f>IF(I!Q5="","",$D$2*I!Q5)</f>
        <v>0</v>
      </c>
      <c r="R5" s="982"/>
      <c r="S5" s="1003"/>
      <c r="T5" s="1007"/>
      <c r="U5" s="1008"/>
      <c r="V5" s="1009" t="s">
        <v>5873</v>
      </c>
      <c r="W5" s="989"/>
      <c r="X5" s="990"/>
      <c r="Y5" s="1010"/>
      <c r="Z5" s="938"/>
      <c r="AA5" s="988"/>
      <c r="AB5" s="1011" t="s">
        <v>673</v>
      </c>
      <c r="AC5" s="1012" t="s">
        <v>7030</v>
      </c>
      <c r="AD5" s="1013" t="s">
        <v>7932</v>
      </c>
      <c r="AE5" s="1014" t="s">
        <v>8370</v>
      </c>
      <c r="AF5" s="1745"/>
      <c r="AG5" s="1747"/>
      <c r="AH5" s="1749"/>
      <c r="AK5" s="1015">
        <v>2</v>
      </c>
      <c r="AL5" s="1016" t="s">
        <v>1059</v>
      </c>
      <c r="AM5" s="737" t="s">
        <v>6999</v>
      </c>
      <c r="AN5" s="1017"/>
    </row>
    <row r="6" spans="1:40" ht="26.25" customHeight="1" x14ac:dyDescent="0.35">
      <c r="A6" s="997">
        <v>3</v>
      </c>
      <c r="B6" s="1894">
        <v>1</v>
      </c>
      <c r="C6" s="1882"/>
      <c r="D6" s="998">
        <f t="shared" ca="1" si="0"/>
        <v>0</v>
      </c>
      <c r="E6" s="999"/>
      <c r="F6" s="975"/>
      <c r="G6" s="976">
        <f t="shared" ref="G6:G69" si="1">G5+1</f>
        <v>3</v>
      </c>
      <c r="H6" s="1000"/>
      <c r="I6" s="1001" t="s">
        <v>1056</v>
      </c>
      <c r="J6" s="979" t="s">
        <v>1058</v>
      </c>
      <c r="K6" s="1002">
        <f>IF(I!K6="","",$D$2*I!K6)</f>
        <v>8.2913144351000003</v>
      </c>
      <c r="L6" s="981"/>
      <c r="M6" s="982"/>
      <c r="N6" s="1003"/>
      <c r="O6" s="1004">
        <f>IF(I!O6="","",$D$2*I!O6)</f>
        <v>8.7200000000000006</v>
      </c>
      <c r="P6" s="1005">
        <f>IF(I!P6="","",$D$2*I!P6)</f>
        <v>4.0155359988999995E-2</v>
      </c>
      <c r="Q6" s="1006">
        <f>IF(I!Q6="","",$D$2*I!Q6)</f>
        <v>0</v>
      </c>
      <c r="R6" s="982"/>
      <c r="S6" s="1003"/>
      <c r="T6" s="947"/>
      <c r="U6" s="1008" t="s">
        <v>1059</v>
      </c>
      <c r="V6" s="1018" t="s">
        <v>5874</v>
      </c>
      <c r="W6" s="1019">
        <f>IF(I!W6="","",$D$2*I!W6)</f>
        <v>0.53520223119999999</v>
      </c>
      <c r="X6" s="990">
        <f>IF(I!X6="","",$D$2*I!X6)</f>
        <v>0.21873034741</v>
      </c>
      <c r="Y6" s="1010">
        <f>IF(I!Y6="","",$D$2*I!Y6)</f>
        <v>0.77978750119999996</v>
      </c>
      <c r="Z6" s="938"/>
      <c r="AA6" s="988">
        <v>1</v>
      </c>
      <c r="AB6" s="1020" t="s">
        <v>7031</v>
      </c>
      <c r="AD6" s="448"/>
      <c r="AE6" s="449"/>
      <c r="AF6" s="450"/>
      <c r="AG6" s="451"/>
      <c r="AH6" s="450"/>
      <c r="AK6" s="1015">
        <v>3</v>
      </c>
      <c r="AL6" s="1016" t="s">
        <v>1059</v>
      </c>
      <c r="AM6" s="1021" t="s">
        <v>7362</v>
      </c>
      <c r="AN6" s="1017">
        <f>IF(I!AN7="","",$D$2*I!AN7)</f>
        <v>0.80556328656402298</v>
      </c>
    </row>
    <row r="7" spans="1:40" ht="26.25" customHeight="1" x14ac:dyDescent="0.35">
      <c r="A7" s="997">
        <v>4</v>
      </c>
      <c r="B7" s="1894">
        <v>1</v>
      </c>
      <c r="C7" s="1882"/>
      <c r="D7" s="998">
        <f t="shared" ca="1" si="0"/>
        <v>0</v>
      </c>
      <c r="E7" s="999"/>
      <c r="F7" s="975"/>
      <c r="G7" s="976">
        <f t="shared" si="1"/>
        <v>4</v>
      </c>
      <c r="H7" s="1000"/>
      <c r="I7" s="1001" t="s">
        <v>1059</v>
      </c>
      <c r="J7" s="979" t="s">
        <v>1060</v>
      </c>
      <c r="K7" s="1002">
        <f>IF(I!K7="","",$D$2*I!K7)</f>
        <v>3.5225117704909996</v>
      </c>
      <c r="L7" s="981"/>
      <c r="M7" s="982"/>
      <c r="N7" s="1003"/>
      <c r="O7" s="1004">
        <f>IF(I!O7="","",$D$2*I!O7)</f>
        <v>6.05</v>
      </c>
      <c r="P7" s="1005">
        <f>IF(I!P7="","",$D$2*I!P7)</f>
        <v>0.32266726545230001</v>
      </c>
      <c r="Q7" s="1006">
        <f>IF(I!Q7="","",$D$2*I!Q7)</f>
        <v>2.2360538999999999E-9</v>
      </c>
      <c r="R7" s="982"/>
      <c r="S7" s="1003"/>
      <c r="T7" s="947"/>
      <c r="U7" s="1008" t="s">
        <v>1059</v>
      </c>
      <c r="V7" s="1018" t="s">
        <v>5875</v>
      </c>
      <c r="W7" s="1019">
        <f>IF(I!W7="","",$D$2*I!W7)</f>
        <v>0.26216077039000002</v>
      </c>
      <c r="X7" s="990">
        <f>IF(I!X7="","",$D$2*I!X7)</f>
        <v>5.3555916396999997E-2</v>
      </c>
      <c r="Y7" s="1010">
        <f>IF(I!Y7="","",$D$2*I!Y7)</f>
        <v>0.40174060039000004</v>
      </c>
      <c r="Z7" s="938"/>
      <c r="AA7" s="988">
        <v>2</v>
      </c>
      <c r="AB7" s="1022" t="s">
        <v>1907</v>
      </c>
      <c r="AC7" s="1023" t="s">
        <v>7905</v>
      </c>
      <c r="AD7" s="1895"/>
      <c r="AE7" s="452">
        <f>IF(I!AE7="","",$D$2*I!AE7)</f>
        <v>0.3564462298169</v>
      </c>
      <c r="AF7" s="1895"/>
      <c r="AG7" s="1896"/>
      <c r="AH7" s="1024">
        <f>AD7*(AG7*AF7+(1-AG7)*AE7)</f>
        <v>0</v>
      </c>
      <c r="AK7" s="1015">
        <v>4</v>
      </c>
      <c r="AL7" s="1016" t="s">
        <v>1059</v>
      </c>
      <c r="AM7" s="1021" t="s">
        <v>7363</v>
      </c>
      <c r="AN7" s="1017">
        <f>IF(I!AN8="","",$D$2*I!AN8)</f>
        <v>0.48133851228532987</v>
      </c>
    </row>
    <row r="8" spans="1:40" ht="26.25" customHeight="1" x14ac:dyDescent="0.35">
      <c r="A8" s="1025">
        <v>5</v>
      </c>
      <c r="B8" s="1897">
        <v>1</v>
      </c>
      <c r="C8" s="1882"/>
      <c r="D8" s="998">
        <f t="shared" ca="1" si="0"/>
        <v>0</v>
      </c>
      <c r="E8" s="999"/>
      <c r="F8" s="975"/>
      <c r="G8" s="976">
        <f t="shared" si="1"/>
        <v>5</v>
      </c>
      <c r="H8" s="942" t="s">
        <v>1061</v>
      </c>
      <c r="I8" s="1026"/>
      <c r="J8" s="1027"/>
      <c r="K8" s="1002" t="str">
        <f>IF(I!K8="","",$D$2*I!K8)</f>
        <v/>
      </c>
      <c r="L8" s="981"/>
      <c r="M8" s="982"/>
      <c r="N8" s="1003"/>
      <c r="O8" s="1004" t="str">
        <f>IF(I!O8="","",$D$2*I!O8)</f>
        <v/>
      </c>
      <c r="P8" s="1005" t="str">
        <f>IF(I!P8="","",$D$2*I!P8)</f>
        <v/>
      </c>
      <c r="Q8" s="1006" t="str">
        <f>IF(I!Q8="","",$D$2*I!Q8)</f>
        <v/>
      </c>
      <c r="R8" s="982"/>
      <c r="S8" s="1003"/>
      <c r="T8" s="947"/>
      <c r="U8" s="1008" t="s">
        <v>1059</v>
      </c>
      <c r="V8" s="1018" t="s">
        <v>5876</v>
      </c>
      <c r="W8" s="1019">
        <f>IF(I!W8="","",$D$2*I!W8)</f>
        <v>1.1009874394000001</v>
      </c>
      <c r="X8" s="990">
        <f>IF(I!X8="","",$D$2*I!X8)</f>
        <v>0.44995958001000003</v>
      </c>
      <c r="Y8" s="1010">
        <f>IF(I!Y8="","",$D$2*I!Y8)</f>
        <v>1.6041342794000002</v>
      </c>
      <c r="Z8" s="938"/>
      <c r="AA8" s="988">
        <v>3</v>
      </c>
      <c r="AB8" s="1022" t="s">
        <v>1907</v>
      </c>
      <c r="AC8" s="1023" t="s">
        <v>7906</v>
      </c>
      <c r="AD8" s="1895"/>
      <c r="AE8" s="452">
        <f>IF(I!AE8="","",$D$2*I!AE8)</f>
        <v>0.15818242755299999</v>
      </c>
      <c r="AF8" s="1895"/>
      <c r="AG8" s="1896"/>
      <c r="AH8" s="1024">
        <f t="shared" ref="AH8:AH30" si="2">AD8*(AG8*AF8+(1-AG8)*AE8)</f>
        <v>0</v>
      </c>
      <c r="AK8" s="1015">
        <v>5</v>
      </c>
      <c r="AL8" s="1016" t="s">
        <v>1059</v>
      </c>
      <c r="AM8" s="1021" t="s">
        <v>7364</v>
      </c>
      <c r="AN8" s="1017">
        <f>IF(I!AN9="","",$D$2*I!AN9)</f>
        <v>0.18007927662229828</v>
      </c>
    </row>
    <row r="9" spans="1:40" ht="26.25" customHeight="1" x14ac:dyDescent="0.35">
      <c r="A9" s="1025">
        <v>6</v>
      </c>
      <c r="B9" s="1898">
        <v>1</v>
      </c>
      <c r="C9" s="1882"/>
      <c r="D9" s="998">
        <f t="shared" ca="1" si="0"/>
        <v>0</v>
      </c>
      <c r="E9" s="999"/>
      <c r="F9" s="975"/>
      <c r="G9" s="976">
        <f t="shared" si="1"/>
        <v>6</v>
      </c>
      <c r="H9" s="1000"/>
      <c r="I9" s="1001" t="s">
        <v>1059</v>
      </c>
      <c r="J9" s="979" t="s">
        <v>1051</v>
      </c>
      <c r="K9" s="1002">
        <f>IF(I!K9="","",$D$2*I!K9)</f>
        <v>0.13316695553499999</v>
      </c>
      <c r="L9" s="981"/>
      <c r="M9" s="982"/>
      <c r="N9" s="1003"/>
      <c r="O9" s="1004">
        <f>IF(I!O9="","",$D$2*I!O9)</f>
        <v>0.28999999999999998</v>
      </c>
      <c r="P9" s="1005">
        <f>IF(I!P9="","",$D$2*I!P9)</f>
        <v>0.51438712685499999</v>
      </c>
      <c r="Q9" s="1006">
        <f>IF(I!Q9="","",$D$2*I!Q9)</f>
        <v>6.2649317999999997E-10</v>
      </c>
      <c r="R9" s="982"/>
      <c r="S9" s="1003"/>
      <c r="T9" s="947"/>
      <c r="U9" s="1008" t="s">
        <v>1059</v>
      </c>
      <c r="V9" s="1018" t="s">
        <v>5877</v>
      </c>
      <c r="W9" s="1019">
        <f>IF(I!W9="","",$D$2*I!W9)</f>
        <v>0.53930215670000003</v>
      </c>
      <c r="X9" s="990">
        <f>IF(I!X9="","",$D$2*I!X9)</f>
        <v>0.11017216874000001</v>
      </c>
      <c r="Y9" s="1010">
        <f>IF(I!Y9="","",$D$2*I!Y9)</f>
        <v>0.8264378067</v>
      </c>
      <c r="Z9" s="938"/>
      <c r="AA9" s="988">
        <v>4</v>
      </c>
      <c r="AB9" s="1022" t="s">
        <v>1910</v>
      </c>
      <c r="AC9" s="1028" t="s">
        <v>7907</v>
      </c>
      <c r="AD9" s="1895"/>
      <c r="AE9" s="452">
        <f>IF(I!AE9="","",$D$2*I!AE9)</f>
        <v>5.9526520379422306E-2</v>
      </c>
      <c r="AF9" s="1895"/>
      <c r="AG9" s="1896"/>
      <c r="AH9" s="1024">
        <f t="shared" si="2"/>
        <v>0</v>
      </c>
      <c r="AK9" s="1015">
        <v>6</v>
      </c>
      <c r="AL9" s="1016" t="s">
        <v>1059</v>
      </c>
      <c r="AM9" s="1021" t="s">
        <v>7365</v>
      </c>
      <c r="AN9" s="1017">
        <f>IF(I!AN10="","",$D$2*I!AN10)</f>
        <v>0.19035990887282983</v>
      </c>
    </row>
    <row r="10" spans="1:40" ht="26.25" customHeight="1" thickBot="1" x14ac:dyDescent="0.4">
      <c r="A10" s="997">
        <v>7</v>
      </c>
      <c r="B10" s="1899">
        <v>1</v>
      </c>
      <c r="C10" s="1882"/>
      <c r="D10" s="998">
        <f t="shared" ca="1" si="0"/>
        <v>0</v>
      </c>
      <c r="E10" s="999"/>
      <c r="F10" s="975"/>
      <c r="G10" s="976">
        <f t="shared" si="1"/>
        <v>7</v>
      </c>
      <c r="H10" s="1000"/>
      <c r="I10" s="1001" t="s">
        <v>1059</v>
      </c>
      <c r="J10" s="979" t="s">
        <v>1062</v>
      </c>
      <c r="K10" s="1002">
        <f>IF(I!K10="","",$D$2*I!K10)</f>
        <v>0.30569596485549999</v>
      </c>
      <c r="L10" s="981"/>
      <c r="M10" s="982"/>
      <c r="N10" s="1003"/>
      <c r="O10" s="1004">
        <f>IF(I!O10="","",$D$2*I!O10)</f>
        <v>0.48</v>
      </c>
      <c r="P10" s="1005">
        <f>IF(I!P10="","",$D$2*I!P10)</f>
        <v>0</v>
      </c>
      <c r="Q10" s="1006">
        <f>IF(I!Q10="","",$D$2*I!Q10)</f>
        <v>0</v>
      </c>
      <c r="R10" s="982"/>
      <c r="S10" s="1003"/>
      <c r="T10" s="938"/>
      <c r="U10" s="1008" t="s">
        <v>1059</v>
      </c>
      <c r="V10" s="1018" t="s">
        <v>5878</v>
      </c>
      <c r="W10" s="1019">
        <f>IF(I!W10="","",$D$2*I!W10)</f>
        <v>0.56331594340000002</v>
      </c>
      <c r="X10" s="990">
        <f>IF(I!X10="","",$D$2*I!X10)</f>
        <v>0.28057108302</v>
      </c>
      <c r="Y10" s="1010">
        <f>IF(I!Y10="","",$D$2*I!Y10)</f>
        <v>0.87750490339999998</v>
      </c>
      <c r="Z10" s="938"/>
      <c r="AA10" s="988">
        <v>5</v>
      </c>
      <c r="AB10" s="1022" t="s">
        <v>1910</v>
      </c>
      <c r="AC10" s="1028" t="s">
        <v>7908</v>
      </c>
      <c r="AD10" s="1895"/>
      <c r="AE10" s="452">
        <f>IF(I!AE10="","",$D$2*I!AE10)</f>
        <v>2.6416465401351001E-2</v>
      </c>
      <c r="AF10" s="1895"/>
      <c r="AG10" s="1896"/>
      <c r="AH10" s="1024">
        <f t="shared" si="2"/>
        <v>0</v>
      </c>
      <c r="AK10" s="1015">
        <v>7</v>
      </c>
      <c r="AL10" s="1016" t="s">
        <v>1059</v>
      </c>
      <c r="AM10" s="1021" t="s">
        <v>7372</v>
      </c>
      <c r="AN10" s="1017">
        <f>IF(I!AN11="","",$D$2*I!AN11)</f>
        <v>0.25162748441890009</v>
      </c>
    </row>
    <row r="11" spans="1:40" ht="26.25" customHeight="1" x14ac:dyDescent="0.35">
      <c r="A11" s="997">
        <v>8</v>
      </c>
      <c r="B11" s="1899">
        <v>1</v>
      </c>
      <c r="C11" s="1882"/>
      <c r="D11" s="998">
        <f t="shared" ca="1" si="0"/>
        <v>0</v>
      </c>
      <c r="E11" s="999"/>
      <c r="F11" s="975"/>
      <c r="G11" s="976">
        <f t="shared" si="1"/>
        <v>8</v>
      </c>
      <c r="H11" s="1000"/>
      <c r="I11" s="1001" t="s">
        <v>1059</v>
      </c>
      <c r="J11" s="979" t="s">
        <v>1063</v>
      </c>
      <c r="K11" s="1002">
        <f>IF(I!K11="","",$D$2*I!K11)</f>
        <v>5.317257615309999E-2</v>
      </c>
      <c r="L11" s="981"/>
      <c r="M11" s="982"/>
      <c r="N11" s="1003"/>
      <c r="O11" s="1004">
        <f>IF(I!O11="","",$D$2*I!O11)</f>
        <v>0.12</v>
      </c>
      <c r="P11" s="1005">
        <f>IF(I!P11="","",$D$2*I!P11)</f>
        <v>4.6733539601599997E-2</v>
      </c>
      <c r="Q11" s="1006">
        <f>IF(I!Q11="","",$D$2*I!Q11)</f>
        <v>5.6941052999999998E-10</v>
      </c>
      <c r="R11" s="982"/>
      <c r="S11" s="1003"/>
      <c r="T11" s="938"/>
      <c r="U11" s="1008" t="s">
        <v>1059</v>
      </c>
      <c r="V11" s="1018" t="s">
        <v>5879</v>
      </c>
      <c r="W11" s="1019">
        <f>IF(I!W11="","",$D$2*I!W11)</f>
        <v>0.20803891934999999</v>
      </c>
      <c r="X11" s="990">
        <f>IF(I!X11="","",$D$2*I!X11)</f>
        <v>4.2207900669000001E-2</v>
      </c>
      <c r="Y11" s="1010">
        <f>IF(I!Y11="","",$D$2*I!Y11)</f>
        <v>0.32174602934999996</v>
      </c>
      <c r="Z11" s="938"/>
      <c r="AA11" s="988">
        <v>6</v>
      </c>
      <c r="AB11" s="1020" t="s">
        <v>7358</v>
      </c>
      <c r="AD11" s="1900"/>
      <c r="AE11" s="452" t="str">
        <f>IF(I!AE11="","",$D$2*I!AE11)</f>
        <v/>
      </c>
      <c r="AF11" s="1900"/>
      <c r="AG11" s="451"/>
      <c r="AH11" s="1024"/>
      <c r="AK11" s="1015">
        <v>8</v>
      </c>
      <c r="AL11" s="1016" t="s">
        <v>1059</v>
      </c>
      <c r="AM11" s="1021" t="s">
        <v>7366</v>
      </c>
      <c r="AN11" s="1017">
        <f>IF(I!AN12="","",$D$2*I!AN12)</f>
        <v>0.86509646204000001</v>
      </c>
    </row>
    <row r="12" spans="1:40" ht="26.25" customHeight="1" x14ac:dyDescent="0.35">
      <c r="A12" s="997">
        <v>9</v>
      </c>
      <c r="B12" s="1899">
        <v>1</v>
      </c>
      <c r="C12" s="1882"/>
      <c r="D12" s="998">
        <f t="shared" ca="1" si="0"/>
        <v>0</v>
      </c>
      <c r="E12" s="999"/>
      <c r="F12" s="975"/>
      <c r="G12" s="976">
        <f t="shared" si="1"/>
        <v>9</v>
      </c>
      <c r="H12" s="942" t="s">
        <v>1064</v>
      </c>
      <c r="I12" s="1001"/>
      <c r="J12" s="1027"/>
      <c r="K12" s="1002" t="str">
        <f>IF(I!K12="","",$D$2*I!K12)</f>
        <v/>
      </c>
      <c r="L12" s="981"/>
      <c r="M12" s="982"/>
      <c r="N12" s="1003"/>
      <c r="O12" s="1004" t="str">
        <f>IF(I!O12="","",$D$2*I!O12)</f>
        <v/>
      </c>
      <c r="P12" s="1005" t="str">
        <f>IF(I!P12="","",$D$2*I!P12)</f>
        <v/>
      </c>
      <c r="Q12" s="1006" t="str">
        <f>IF(I!Q12="","",$D$2*I!Q12)</f>
        <v/>
      </c>
      <c r="R12" s="982"/>
      <c r="S12" s="1003"/>
      <c r="T12" s="938"/>
      <c r="U12" s="1008" t="s">
        <v>1059</v>
      </c>
      <c r="V12" s="1018" t="s">
        <v>5880</v>
      </c>
      <c r="W12" s="1019">
        <f>IF(I!W12="","",$D$2*I!W12)</f>
        <v>8.1175979110000007</v>
      </c>
      <c r="X12" s="990">
        <f>IF(I!X12="","",$D$2*I!X12)</f>
        <v>3.3175591357999998</v>
      </c>
      <c r="Y12" s="1010">
        <f>IF(I!Y12="","",$D$2*I!Y12)</f>
        <v>11.827307511000001</v>
      </c>
      <c r="Z12" s="938"/>
      <c r="AA12" s="988">
        <v>7</v>
      </c>
      <c r="AB12" s="1029" t="s">
        <v>1907</v>
      </c>
      <c r="AC12" s="1023" t="s">
        <v>1914</v>
      </c>
      <c r="AD12" s="1895"/>
      <c r="AE12" s="452">
        <f>IF(I!AE12="","",$D$2*I!AE12)</f>
        <v>1.1200413255299999E-2</v>
      </c>
      <c r="AF12" s="1895"/>
      <c r="AG12" s="1896"/>
      <c r="AH12" s="1024">
        <f t="shared" si="2"/>
        <v>0</v>
      </c>
      <c r="AK12" s="1030">
        <v>9</v>
      </c>
      <c r="AL12" s="1016" t="s">
        <v>1059</v>
      </c>
      <c r="AM12" s="1021" t="s">
        <v>7367</v>
      </c>
      <c r="AN12" s="1017">
        <f>IF(I!AN13="","",$D$2*I!AN13)</f>
        <v>0.78828846345699999</v>
      </c>
    </row>
    <row r="13" spans="1:40" ht="26.25" customHeight="1" thickBot="1" x14ac:dyDescent="0.4">
      <c r="A13" s="997">
        <v>10</v>
      </c>
      <c r="B13" s="1899">
        <v>1</v>
      </c>
      <c r="C13" s="1882"/>
      <c r="D13" s="998">
        <f t="shared" ca="1" si="0"/>
        <v>0</v>
      </c>
      <c r="E13" s="999"/>
      <c r="F13" s="975"/>
      <c r="G13" s="976">
        <f t="shared" si="1"/>
        <v>10</v>
      </c>
      <c r="H13" s="1000"/>
      <c r="I13" s="1001" t="s">
        <v>1059</v>
      </c>
      <c r="J13" s="1031" t="s">
        <v>1065</v>
      </c>
      <c r="K13" s="1002">
        <f>IF(I!K13="","",$D$2*I!K13)</f>
        <v>8.0753871010000006E-2</v>
      </c>
      <c r="L13" s="981"/>
      <c r="M13" s="982"/>
      <c r="N13" s="1003"/>
      <c r="O13" s="1004">
        <f>IF(I!O13="","",$D$2*I!O13)</f>
        <v>0.49</v>
      </c>
      <c r="P13" s="1005">
        <f>IF(I!P13="","",$D$2*I!P13)</f>
        <v>5.1874190869900527E-3</v>
      </c>
      <c r="Q13" s="1006">
        <f>IF(I!Q13="","",$D$2*I!Q13)</f>
        <v>0.98293335999999998</v>
      </c>
      <c r="R13" s="982"/>
      <c r="S13" s="1003"/>
      <c r="T13" s="938"/>
      <c r="U13" s="1008" t="s">
        <v>1059</v>
      </c>
      <c r="V13" s="1018" t="s">
        <v>5881</v>
      </c>
      <c r="W13" s="1019">
        <f>IF(I!W13="","",$D$2*I!W13)</f>
        <v>7.4060057159999992</v>
      </c>
      <c r="X13" s="990">
        <f>IF(I!X13="","",$D$2*I!X13)</f>
        <v>3.6887134095</v>
      </c>
      <c r="Y13" s="1010">
        <f>IF(I!Y13="","",$D$2*I!Y13)</f>
        <v>11.536698716</v>
      </c>
      <c r="Z13" s="938"/>
      <c r="AA13" s="988">
        <v>8</v>
      </c>
      <c r="AB13" s="1029" t="s">
        <v>1907</v>
      </c>
      <c r="AC13" s="1023" t="s">
        <v>1915</v>
      </c>
      <c r="AD13" s="1895"/>
      <c r="AE13" s="452">
        <f>IF(I!AE13="","",$D$2*I!AE13)</f>
        <v>5.2617446852000005E-3</v>
      </c>
      <c r="AF13" s="1895"/>
      <c r="AG13" s="1896"/>
      <c r="AH13" s="1024">
        <f t="shared" si="2"/>
        <v>0</v>
      </c>
      <c r="AK13" s="1030">
        <v>10</v>
      </c>
      <c r="AL13" s="1016" t="s">
        <v>1059</v>
      </c>
      <c r="AM13" s="1021" t="s">
        <v>7368</v>
      </c>
      <c r="AN13" s="1017">
        <f>IF(I!AN14="","",$D$2*I!AN14)</f>
        <v>0.39643213371421798</v>
      </c>
    </row>
    <row r="14" spans="1:40" ht="26.25" customHeight="1" x14ac:dyDescent="0.35">
      <c r="A14" s="997">
        <v>11</v>
      </c>
      <c r="B14" s="1899">
        <v>1</v>
      </c>
      <c r="C14" s="1882"/>
      <c r="D14" s="998">
        <f t="shared" ca="1" si="0"/>
        <v>0</v>
      </c>
      <c r="E14" s="999"/>
      <c r="F14" s="938"/>
      <c r="G14" s="976">
        <f t="shared" si="1"/>
        <v>11</v>
      </c>
      <c r="H14" s="1000"/>
      <c r="I14" s="1001" t="s">
        <v>1059</v>
      </c>
      <c r="J14" s="1031" t="s">
        <v>1066</v>
      </c>
      <c r="K14" s="1002">
        <f>IF(I!K14="","",$D$2*I!K14)</f>
        <v>9.725581403200001E-2</v>
      </c>
      <c r="L14" s="981"/>
      <c r="M14" s="982"/>
      <c r="N14" s="1003"/>
      <c r="O14" s="1004">
        <f>IF(I!O14="","",$D$2*I!O14)</f>
        <v>0.86</v>
      </c>
      <c r="P14" s="1005">
        <f>IF(I!P14="","",$D$2*I!P14)</f>
        <v>1.0072042747999999E-2</v>
      </c>
      <c r="Q14" s="1006">
        <f>IF(I!Q14="","",$D$2*I!Q14)</f>
        <v>0.72576003</v>
      </c>
      <c r="R14" s="982"/>
      <c r="S14" s="1003"/>
      <c r="T14" s="938"/>
      <c r="U14" s="1008" t="s">
        <v>1059</v>
      </c>
      <c r="V14" s="1018" t="s">
        <v>5882</v>
      </c>
      <c r="W14" s="1019">
        <f>IF(I!W14="","",$D$2*I!W14)</f>
        <v>3.9762833639999999</v>
      </c>
      <c r="X14" s="990">
        <f>IF(I!X14="","",$D$2*I!X14)</f>
        <v>0.81230116429999999</v>
      </c>
      <c r="Y14" s="1010">
        <f>IF(I!Y14="","",$D$2*I!Y14)</f>
        <v>6.0933390640000002</v>
      </c>
      <c r="Z14" s="938"/>
      <c r="AA14" s="988">
        <v>9</v>
      </c>
      <c r="AB14" s="1020" t="s">
        <v>7359</v>
      </c>
      <c r="AD14" s="1900"/>
      <c r="AE14" s="452" t="str">
        <f>IF(I!AE14="","",$D$2*I!AE14)</f>
        <v/>
      </c>
      <c r="AF14" s="1900"/>
      <c r="AG14" s="451"/>
      <c r="AH14" s="1024"/>
      <c r="AK14" s="1030">
        <v>11</v>
      </c>
      <c r="AL14" s="1016" t="s">
        <v>1059</v>
      </c>
      <c r="AM14" s="1021" t="s">
        <v>7369</v>
      </c>
      <c r="AN14" s="1017">
        <f>IF(I!AN15="","",$D$2*I!AN15)</f>
        <v>0.92236029119829821</v>
      </c>
    </row>
    <row r="15" spans="1:40" ht="26.25" customHeight="1" x14ac:dyDescent="0.35">
      <c r="A15" s="997">
        <v>12</v>
      </c>
      <c r="B15" s="1901">
        <v>1</v>
      </c>
      <c r="C15" s="1882"/>
      <c r="D15" s="998">
        <f t="shared" ca="1" si="0"/>
        <v>0</v>
      </c>
      <c r="E15" s="999"/>
      <c r="F15" s="938"/>
      <c r="G15" s="976">
        <f t="shared" si="1"/>
        <v>12</v>
      </c>
      <c r="H15" s="1000"/>
      <c r="I15" s="1001" t="s">
        <v>1059</v>
      </c>
      <c r="J15" s="1031" t="s">
        <v>1067</v>
      </c>
      <c r="K15" s="1002">
        <f>IF(I!K15="","",$D$2*I!K15)</f>
        <v>0.23218196599000002</v>
      </c>
      <c r="L15" s="981"/>
      <c r="M15" s="982"/>
      <c r="N15" s="1003"/>
      <c r="O15" s="1004">
        <f>IF(I!O15="","",$D$2*I!O15)</f>
        <v>1.04</v>
      </c>
      <c r="P15" s="1005">
        <f>IF(I!P15="","",$D$2*I!P15)</f>
        <v>4.1007933720000111E-2</v>
      </c>
      <c r="Q15" s="1006">
        <f>IF(I!Q15="","",$D$2*I!Q15)</f>
        <v>0.98293335999999998</v>
      </c>
      <c r="R15" s="982"/>
      <c r="S15" s="1003"/>
      <c r="T15" s="938"/>
      <c r="U15" s="1008" t="s">
        <v>1059</v>
      </c>
      <c r="V15" s="1018" t="s">
        <v>5883</v>
      </c>
      <c r="W15" s="1019">
        <f>IF(I!W15="","",$D$2*I!W15)</f>
        <v>2.0906452242999998</v>
      </c>
      <c r="X15" s="990">
        <f>IF(I!X15="","",$D$2*I!X15)</f>
        <v>0.42415980961000005</v>
      </c>
      <c r="Y15" s="1010">
        <f>IF(I!Y15="","",$D$2*I!Y15)</f>
        <v>3.2333219242999998</v>
      </c>
      <c r="Z15" s="938"/>
      <c r="AA15" s="988">
        <v>10</v>
      </c>
      <c r="AB15" s="1032" t="s">
        <v>7032</v>
      </c>
      <c r="AC15" s="1028" t="s">
        <v>7038</v>
      </c>
      <c r="AD15" s="1895"/>
      <c r="AE15" s="452">
        <f>IF(I!AE15="","",$D$2*I!AE15)</f>
        <v>4.4075100000000006E-2</v>
      </c>
      <c r="AF15" s="1895"/>
      <c r="AG15" s="1896"/>
      <c r="AH15" s="1024">
        <f t="shared" si="2"/>
        <v>0</v>
      </c>
      <c r="AK15" s="1030">
        <v>12</v>
      </c>
      <c r="AL15" s="1016" t="s">
        <v>1059</v>
      </c>
      <c r="AM15" s="1021" t="s">
        <v>7370</v>
      </c>
      <c r="AN15" s="1017">
        <f>IF(I!AN16="","",$D$2*I!AN16)</f>
        <v>0.88334496778500005</v>
      </c>
    </row>
    <row r="16" spans="1:40" ht="26.25" customHeight="1" x14ac:dyDescent="0.35">
      <c r="A16" s="997">
        <v>13</v>
      </c>
      <c r="B16" s="947">
        <v>1</v>
      </c>
      <c r="C16" s="1882"/>
      <c r="D16" s="998">
        <f t="shared" ca="1" si="0"/>
        <v>0</v>
      </c>
      <c r="E16" s="999"/>
      <c r="F16" s="938"/>
      <c r="G16" s="976">
        <f t="shared" si="1"/>
        <v>13</v>
      </c>
      <c r="H16" s="1000"/>
      <c r="I16" s="1001" t="s">
        <v>1059</v>
      </c>
      <c r="J16" s="1031" t="s">
        <v>1068</v>
      </c>
      <c r="K16" s="1002">
        <f>IF(I!K16="","",$D$2*I!K16)</f>
        <v>0.23009422599000001</v>
      </c>
      <c r="L16" s="981"/>
      <c r="M16" s="982"/>
      <c r="N16" s="1003"/>
      <c r="O16" s="1004">
        <f>IF(I!O16="","",$D$2*I!O16)</f>
        <v>1.0900000000000001</v>
      </c>
      <c r="P16" s="1005">
        <f>IF(I!P16="","",$D$2*I!P16)</f>
        <v>3.9877999719999835E-2</v>
      </c>
      <c r="Q16" s="1006">
        <f>IF(I!Q16="","",$D$2*I!Q16)</f>
        <v>2.3471814000000002</v>
      </c>
      <c r="R16" s="982"/>
      <c r="S16" s="1003"/>
      <c r="T16" s="938"/>
      <c r="U16" s="1008" t="s">
        <v>1059</v>
      </c>
      <c r="V16" s="1018" t="s">
        <v>5884</v>
      </c>
      <c r="W16" s="1019">
        <f>IF(I!W16="","",$D$2*I!W16)</f>
        <v>4.4668298010000003</v>
      </c>
      <c r="X16" s="990">
        <f>IF(I!X16="","",$D$2*I!X16)</f>
        <v>2.0478343216999999</v>
      </c>
      <c r="Y16" s="1010">
        <f>IF(I!Y16="","",$D$2*I!Y16)</f>
        <v>7.0375597010000002</v>
      </c>
      <c r="Z16" s="938"/>
      <c r="AA16" s="988">
        <v>11</v>
      </c>
      <c r="AB16" s="1033" t="s">
        <v>1907</v>
      </c>
      <c r="AC16" s="1023" t="s">
        <v>7921</v>
      </c>
      <c r="AD16" s="1895"/>
      <c r="AE16" s="452">
        <f>IF(I!AE16="","",$D$2*I!AE16)</f>
        <v>5.6263976974876187E-2</v>
      </c>
      <c r="AF16" s="1895"/>
      <c r="AG16" s="1896"/>
      <c r="AH16" s="1024">
        <f t="shared" si="2"/>
        <v>0</v>
      </c>
      <c r="AK16" s="1030">
        <v>13</v>
      </c>
      <c r="AL16" s="1016" t="s">
        <v>1059</v>
      </c>
      <c r="AM16" s="1021" t="s">
        <v>7371</v>
      </c>
      <c r="AN16" s="1017">
        <f>IF(I!AN17="","",$D$2*I!AN17)</f>
        <v>0.96337519275129835</v>
      </c>
    </row>
    <row r="17" spans="1:40" ht="26.25" customHeight="1" x14ac:dyDescent="0.35">
      <c r="A17" s="1025">
        <v>14</v>
      </c>
      <c r="B17" s="947">
        <v>1</v>
      </c>
      <c r="C17" s="1882"/>
      <c r="D17" s="998">
        <f t="shared" ca="1" si="0"/>
        <v>0</v>
      </c>
      <c r="E17" s="999"/>
      <c r="F17" s="938"/>
      <c r="G17" s="976">
        <f t="shared" si="1"/>
        <v>14</v>
      </c>
      <c r="H17" s="1000"/>
      <c r="I17" s="1001" t="s">
        <v>1059</v>
      </c>
      <c r="J17" s="1031" t="s">
        <v>1069</v>
      </c>
      <c r="K17" s="1002">
        <f>IF(I!K17="","",$D$2*I!K17)</f>
        <v>0.23218196599000002</v>
      </c>
      <c r="L17" s="981"/>
      <c r="M17" s="982"/>
      <c r="N17" s="1003"/>
      <c r="O17" s="1004">
        <f>IF(I!O17="","",$D$2*I!O17)</f>
        <v>1.04</v>
      </c>
      <c r="P17" s="1005">
        <f>IF(I!P17="","",$D$2*I!P17)</f>
        <v>4.100793372E-2</v>
      </c>
      <c r="Q17" s="1006">
        <f>IF(I!Q17="","",$D$2*I!Q17)</f>
        <v>3.7054</v>
      </c>
      <c r="R17" s="982"/>
      <c r="S17" s="1003"/>
      <c r="T17" s="938"/>
      <c r="U17" s="1008" t="s">
        <v>1059</v>
      </c>
      <c r="V17" s="1018" t="s">
        <v>5885</v>
      </c>
      <c r="W17" s="1019">
        <f>IF(I!W17="","",$D$2*I!W17)</f>
        <v>4.4731724909999997</v>
      </c>
      <c r="X17" s="990">
        <f>IF(I!X17="","",$D$2*I!X17)</f>
        <v>2.0508296317000001</v>
      </c>
      <c r="Y17" s="1010">
        <f>IF(I!Y17="","",$D$2*I!Y17)</f>
        <v>7.0478563909999998</v>
      </c>
      <c r="Z17" s="938"/>
      <c r="AA17" s="988">
        <v>12</v>
      </c>
      <c r="AB17" s="1034" t="s">
        <v>1918</v>
      </c>
      <c r="AC17" s="1023" t="s">
        <v>7922</v>
      </c>
      <c r="AD17" s="1895"/>
      <c r="AE17" s="452">
        <f>IF(I!AE17="","",$D$2*I!AE17)</f>
        <v>2.8417006276235004E-4</v>
      </c>
      <c r="AF17" s="1895"/>
      <c r="AG17" s="1896"/>
      <c r="AH17" s="1024">
        <f t="shared" si="2"/>
        <v>0</v>
      </c>
      <c r="AK17" s="1030">
        <v>14</v>
      </c>
      <c r="AL17" s="1035" t="s">
        <v>1059</v>
      </c>
      <c r="AM17" s="1021" t="s">
        <v>7374</v>
      </c>
      <c r="AN17" s="1017">
        <f>IF(I!AN18="","",$D$2*I!AN18)</f>
        <v>0.89800000000000002</v>
      </c>
    </row>
    <row r="18" spans="1:40" ht="26.25" customHeight="1" x14ac:dyDescent="0.35">
      <c r="A18" s="1025">
        <v>15</v>
      </c>
      <c r="B18" s="947">
        <v>1</v>
      </c>
      <c r="C18" s="1882"/>
      <c r="D18" s="998">
        <f t="shared" ca="1" si="0"/>
        <v>0</v>
      </c>
      <c r="E18" s="999"/>
      <c r="F18" s="938"/>
      <c r="G18" s="976">
        <f t="shared" si="1"/>
        <v>15</v>
      </c>
      <c r="H18" s="1000"/>
      <c r="I18" s="1001" t="s">
        <v>1059</v>
      </c>
      <c r="J18" s="1031" t="s">
        <v>1070</v>
      </c>
      <c r="K18" s="1002">
        <f>IF(I!K18="","",$D$2*I!K18)</f>
        <v>0.22174329619000002</v>
      </c>
      <c r="L18" s="981"/>
      <c r="M18" s="982"/>
      <c r="N18" s="1003"/>
      <c r="O18" s="1004">
        <f>IF(I!O18="","",$D$2*I!O18)</f>
        <v>1.29</v>
      </c>
      <c r="P18" s="1005">
        <f>IF(I!P18="","",$D$2*I!P18)</f>
        <v>3.5358264720000032E-2</v>
      </c>
      <c r="Q18" s="1006">
        <f>IF(I!Q18="","",$D$2*I!Q18)</f>
        <v>0.72576003</v>
      </c>
      <c r="R18" s="982"/>
      <c r="S18" s="1003"/>
      <c r="T18" s="938"/>
      <c r="U18" s="1008" t="s">
        <v>1059</v>
      </c>
      <c r="V18" s="1018" t="s">
        <v>5886</v>
      </c>
      <c r="W18" s="1019">
        <f>IF(I!W18="","",$D$2*I!W18)</f>
        <v>4.46504104</v>
      </c>
      <c r="X18" s="990">
        <f>IF(I!X18="","",$D$2*I!X18)</f>
        <v>2.0505780665000004</v>
      </c>
      <c r="Y18" s="1010">
        <f>IF(I!Y18="","",$D$2*I!Y18)</f>
        <v>7.03245334</v>
      </c>
      <c r="Z18" s="938"/>
      <c r="AA18" s="988">
        <v>13</v>
      </c>
      <c r="AB18" s="1029" t="s">
        <v>1907</v>
      </c>
      <c r="AC18" s="1023" t="s">
        <v>7920</v>
      </c>
      <c r="AD18" s="1895"/>
      <c r="AE18" s="452">
        <f>IF(I!AE18="","",$D$2*I!AE18)</f>
        <v>2.0297861560597E-2</v>
      </c>
      <c r="AF18" s="1895"/>
      <c r="AG18" s="1896"/>
      <c r="AH18" s="1024">
        <f t="shared" si="2"/>
        <v>0</v>
      </c>
      <c r="AK18" s="1015"/>
      <c r="AN18" s="1017"/>
    </row>
    <row r="19" spans="1:40" ht="26.25" customHeight="1" thickBot="1" x14ac:dyDescent="0.4">
      <c r="A19" s="997">
        <v>16</v>
      </c>
      <c r="B19" s="947">
        <v>1</v>
      </c>
      <c r="C19" s="1882"/>
      <c r="D19" s="998">
        <f t="shared" ca="1" si="0"/>
        <v>0</v>
      </c>
      <c r="E19" s="999"/>
      <c r="F19" s="938"/>
      <c r="G19" s="976">
        <f t="shared" si="1"/>
        <v>16</v>
      </c>
      <c r="H19" s="1000"/>
      <c r="I19" s="1001" t="s">
        <v>1059</v>
      </c>
      <c r="J19" s="1031" t="s">
        <v>1071</v>
      </c>
      <c r="K19" s="1002">
        <f>IF(I!K19="","",$D$2*I!K19)</f>
        <v>1.0444288372E-2</v>
      </c>
      <c r="L19" s="981"/>
      <c r="M19" s="982"/>
      <c r="N19" s="1003"/>
      <c r="O19" s="1004">
        <f>IF(I!O19="","",$D$2*I!O19)</f>
        <v>0.12</v>
      </c>
      <c r="P19" s="1005">
        <f>IF(I!P19="","",$D$2*I!P19)</f>
        <v>1.4370695422999999E-2</v>
      </c>
      <c r="Q19" s="1006">
        <f>IF(I!Q19="","",$D$2*I!Q19)</f>
        <v>4.5123977000000003E-2</v>
      </c>
      <c r="R19" s="982"/>
      <c r="S19" s="1003"/>
      <c r="T19" s="938"/>
      <c r="U19" s="1008" t="s">
        <v>1059</v>
      </c>
      <c r="V19" s="1018" t="s">
        <v>5887</v>
      </c>
      <c r="W19" s="1019">
        <f>IF(I!W19="","",$D$2*I!W19)</f>
        <v>4.4626167949999997</v>
      </c>
      <c r="X19" s="990">
        <f>IF(I!X19="","",$D$2*I!X19)</f>
        <v>2.0487283153</v>
      </c>
      <c r="Y19" s="1010">
        <f>IF(I!Y19="","",$D$2*I!Y19)</f>
        <v>7.0278436949999996</v>
      </c>
      <c r="Z19" s="938"/>
      <c r="AA19" s="988">
        <v>14</v>
      </c>
      <c r="AB19" s="1029" t="s">
        <v>1907</v>
      </c>
      <c r="AC19" s="1023" t="s">
        <v>7919</v>
      </c>
      <c r="AD19" s="1895"/>
      <c r="AE19" s="452">
        <f>IF(I!AE19="","",$D$2*I!AE19)</f>
        <v>2.3680838507695999E-2</v>
      </c>
      <c r="AF19" s="1895"/>
      <c r="AG19" s="1896"/>
      <c r="AH19" s="1024">
        <f t="shared" si="2"/>
        <v>0</v>
      </c>
      <c r="AK19" s="1036"/>
      <c r="AL19" s="1037"/>
      <c r="AM19" s="1038"/>
      <c r="AN19" s="1039"/>
    </row>
    <row r="20" spans="1:40" ht="26.25" customHeight="1" x14ac:dyDescent="0.35">
      <c r="A20" s="997">
        <v>17</v>
      </c>
      <c r="B20" s="947">
        <v>1</v>
      </c>
      <c r="C20" s="1882"/>
      <c r="D20" s="998">
        <f t="shared" ca="1" si="0"/>
        <v>0</v>
      </c>
      <c r="E20" s="999"/>
      <c r="F20" s="938"/>
      <c r="G20" s="976">
        <f t="shared" si="1"/>
        <v>17</v>
      </c>
      <c r="H20" s="1000"/>
      <c r="I20" s="1001" t="s">
        <v>1059</v>
      </c>
      <c r="J20" s="1031" t="s">
        <v>1072</v>
      </c>
      <c r="K20" s="1002">
        <f>IF(I!K20="","",$D$2*I!K20)</f>
        <v>1.0444288372E-2</v>
      </c>
      <c r="L20" s="981"/>
      <c r="M20" s="982"/>
      <c r="N20" s="1003"/>
      <c r="O20" s="1004">
        <f>IF(I!O20="","",$D$2*I!O20)</f>
        <v>0.12</v>
      </c>
      <c r="P20" s="1005">
        <f>IF(I!P20="","",$D$2*I!P20)</f>
        <v>1.4370695423000002E-2</v>
      </c>
      <c r="Q20" s="1006">
        <f>IF(I!Q20="","",$D$2*I!Q20)</f>
        <v>6.1207216000000002E-3</v>
      </c>
      <c r="R20" s="982"/>
      <c r="S20" s="1003"/>
      <c r="T20" s="938"/>
      <c r="U20" s="1008"/>
      <c r="V20" s="1040"/>
      <c r="W20" s="1019" t="str">
        <f>IF(I!W20="","",$D$2*I!W20)</f>
        <v/>
      </c>
      <c r="X20" s="990" t="str">
        <f>IF(I!X20="","",$D$2*I!X20)</f>
        <v/>
      </c>
      <c r="Y20" s="1010" t="str">
        <f>IF(I!Y20="","",$D$2*I!Y20)</f>
        <v/>
      </c>
      <c r="Z20" s="938"/>
      <c r="AA20" s="988">
        <v>15</v>
      </c>
      <c r="AB20" s="1029" t="s">
        <v>1910</v>
      </c>
      <c r="AC20" s="1041" t="s">
        <v>7917</v>
      </c>
      <c r="AD20" s="1895"/>
      <c r="AE20" s="452">
        <f>IF(I!AE20="","",$D$2*I!AE20)</f>
        <v>8.3221232398447698E-3</v>
      </c>
      <c r="AF20" s="1895"/>
      <c r="AG20" s="1896"/>
      <c r="AH20" s="1024">
        <f t="shared" si="2"/>
        <v>0</v>
      </c>
    </row>
    <row r="21" spans="1:40" ht="26.25" customHeight="1" thickBot="1" x14ac:dyDescent="0.4">
      <c r="A21" s="997">
        <v>18</v>
      </c>
      <c r="B21" s="947">
        <v>1</v>
      </c>
      <c r="C21" s="1882"/>
      <c r="D21" s="998">
        <f t="shared" ca="1" si="0"/>
        <v>0</v>
      </c>
      <c r="E21" s="999"/>
      <c r="F21" s="938"/>
      <c r="G21" s="976">
        <f t="shared" si="1"/>
        <v>18</v>
      </c>
      <c r="H21" s="1000"/>
      <c r="I21" s="1001" t="s">
        <v>1059</v>
      </c>
      <c r="J21" s="1031" t="s">
        <v>1073</v>
      </c>
      <c r="K21" s="1002">
        <f>IF(I!K21="","",$D$2*I!K21)</f>
        <v>1.0444288372E-2</v>
      </c>
      <c r="L21" s="981"/>
      <c r="M21" s="982"/>
      <c r="N21" s="1003"/>
      <c r="O21" s="1004">
        <f>IF(I!O21="","",$D$2*I!O21)</f>
        <v>0.12</v>
      </c>
      <c r="P21" s="1005">
        <f>IF(I!P21="","",$D$2*I!P21)</f>
        <v>1.4370695423000013E-2</v>
      </c>
      <c r="Q21" s="1006">
        <f>IF(I!Q21="","",$D$2*I!Q21)</f>
        <v>0.43874381000000001</v>
      </c>
      <c r="R21" s="982"/>
      <c r="S21" s="1003"/>
      <c r="T21" s="938"/>
      <c r="U21" s="1008"/>
      <c r="V21" s="1009" t="s">
        <v>5888</v>
      </c>
      <c r="W21" s="1019" t="str">
        <f>IF(I!W21="","",$D$2*I!W21)</f>
        <v/>
      </c>
      <c r="X21" s="990" t="str">
        <f>IF(I!X21="","",$D$2*I!X21)</f>
        <v/>
      </c>
      <c r="Y21" s="1010" t="str">
        <f>IF(I!Y21="","",$D$2*I!Y21)</f>
        <v/>
      </c>
      <c r="Z21" s="938"/>
      <c r="AA21" s="988">
        <v>16</v>
      </c>
      <c r="AB21" s="1029" t="s">
        <v>1910</v>
      </c>
      <c r="AC21" s="1041" t="s">
        <v>7918</v>
      </c>
      <c r="AD21" s="1895"/>
      <c r="AE21" s="452">
        <f>IF(I!AE21="","",$D$2*I!AE21)</f>
        <v>7.5778683224627195E-3</v>
      </c>
      <c r="AF21" s="1895"/>
      <c r="AG21" s="1896"/>
      <c r="AH21" s="1024">
        <f t="shared" si="2"/>
        <v>0</v>
      </c>
    </row>
    <row r="22" spans="1:40" ht="26.25" customHeight="1" x14ac:dyDescent="0.35">
      <c r="A22" s="997">
        <v>19</v>
      </c>
      <c r="B22" s="947">
        <v>1</v>
      </c>
      <c r="C22" s="1882"/>
      <c r="D22" s="998">
        <f t="shared" ca="1" si="0"/>
        <v>0</v>
      </c>
      <c r="E22" s="999"/>
      <c r="F22" s="938"/>
      <c r="G22" s="976">
        <f t="shared" si="1"/>
        <v>19</v>
      </c>
      <c r="H22" s="1000"/>
      <c r="I22" s="1001" t="s">
        <v>1059</v>
      </c>
      <c r="J22" s="1031" t="s">
        <v>1074</v>
      </c>
      <c r="K22" s="1002">
        <f>IF(I!K22="","",$D$2*I!K22)</f>
        <v>1.0444288372E-2</v>
      </c>
      <c r="L22" s="981"/>
      <c r="M22" s="982"/>
      <c r="N22" s="1003"/>
      <c r="O22" s="1004">
        <f>IF(I!O22="","",$D$2*I!O22)</f>
        <v>0.12</v>
      </c>
      <c r="P22" s="1005">
        <f>IF(I!P22="","",$D$2*I!P22)</f>
        <v>1.4370695423000006E-2</v>
      </c>
      <c r="Q22" s="1006">
        <f>IF(I!Q22="","",$D$2*I!Q22)</f>
        <v>5.9512157000000003E-2</v>
      </c>
      <c r="R22" s="982"/>
      <c r="S22" s="1003"/>
      <c r="T22" s="938"/>
      <c r="U22" s="1008" t="s">
        <v>1059</v>
      </c>
      <c r="V22" s="1018" t="s">
        <v>5889</v>
      </c>
      <c r="W22" s="1019">
        <f>IF(I!W22="","",$D$2*I!W22)</f>
        <v>0.14056169872999999</v>
      </c>
      <c r="X22" s="990">
        <f>IF(I!X22="","",$D$2*I!X22)</f>
        <v>0.11642865047000001</v>
      </c>
      <c r="Y22" s="1010">
        <f>IF(I!Y22="","",$D$2*I!Y22)</f>
        <v>0.23713563972999999</v>
      </c>
      <c r="Z22" s="938"/>
      <c r="AA22" s="988">
        <v>17</v>
      </c>
      <c r="AB22" s="1020" t="s">
        <v>7360</v>
      </c>
      <c r="AD22" s="1900"/>
      <c r="AE22" s="452" t="str">
        <f>IF(I!AE22="","",$D$2*I!AE22)</f>
        <v/>
      </c>
      <c r="AF22" s="1900"/>
      <c r="AG22" s="451"/>
      <c r="AH22" s="1024"/>
      <c r="AK22" s="1043"/>
    </row>
    <row r="23" spans="1:40" ht="26.25" customHeight="1" thickBot="1" x14ac:dyDescent="0.4">
      <c r="A23" s="1044">
        <v>20</v>
      </c>
      <c r="B23" s="1902">
        <v>1</v>
      </c>
      <c r="C23" s="1903"/>
      <c r="D23" s="1045">
        <f t="shared" ca="1" si="0"/>
        <v>0</v>
      </c>
      <c r="E23" s="1046"/>
      <c r="F23" s="938"/>
      <c r="G23" s="976">
        <f t="shared" si="1"/>
        <v>20</v>
      </c>
      <c r="H23" s="1000"/>
      <c r="I23" s="1001" t="s">
        <v>1059</v>
      </c>
      <c r="J23" s="1031" t="s">
        <v>1052</v>
      </c>
      <c r="K23" s="1002">
        <f>IF(I!K23="","",$D$2*I!K23)</f>
        <v>1.0444288372E-2</v>
      </c>
      <c r="L23" s="981"/>
      <c r="M23" s="982"/>
      <c r="N23" s="1003"/>
      <c r="O23" s="1004">
        <f>IF(I!O23="","",$D$2*I!O23)</f>
        <v>0.12</v>
      </c>
      <c r="P23" s="1005">
        <f>IF(I!P23="","",$D$2*I!P23)</f>
        <v>1.4370695422999999E-2</v>
      </c>
      <c r="Q23" s="1006">
        <f>IF(I!Q23="","",$D$2*I!Q23)</f>
        <v>8.8454525000000006E-2</v>
      </c>
      <c r="R23" s="982"/>
      <c r="S23" s="1003"/>
      <c r="T23" s="938"/>
      <c r="U23" s="1008" t="s">
        <v>1059</v>
      </c>
      <c r="V23" s="1018" t="s">
        <v>5890</v>
      </c>
      <c r="W23" s="1019">
        <f>IF(I!W23="","",$D$2*I!W23)</f>
        <v>0.13352920929000001</v>
      </c>
      <c r="X23" s="990">
        <f>IF(I!X23="","",$D$2*I!X23)</f>
        <v>0.12429842546</v>
      </c>
      <c r="Y23" s="1010">
        <f>IF(I!Y23="","",$D$2*I!Y23)</f>
        <v>0.21037908328999999</v>
      </c>
      <c r="Z23" s="938"/>
      <c r="AA23" s="988">
        <v>18</v>
      </c>
      <c r="AB23" s="1022" t="s">
        <v>1907</v>
      </c>
      <c r="AC23" s="1023" t="s">
        <v>7916</v>
      </c>
      <c r="AD23" s="1895"/>
      <c r="AE23" s="452">
        <f>IF(I!AE23="","",$D$2*I!AE23)</f>
        <v>5.2233376165878274E-3</v>
      </c>
      <c r="AF23" s="1895"/>
      <c r="AG23" s="1896"/>
      <c r="AH23" s="1024">
        <f t="shared" si="2"/>
        <v>0</v>
      </c>
      <c r="AK23" s="1043"/>
    </row>
    <row r="24" spans="1:40" ht="26.25" customHeight="1" thickBot="1" x14ac:dyDescent="0.4">
      <c r="A24" s="938"/>
      <c r="B24" s="938"/>
      <c r="C24" s="941"/>
      <c r="D24" s="1047"/>
      <c r="E24" s="941"/>
      <c r="F24" s="938"/>
      <c r="G24" s="976">
        <f t="shared" si="1"/>
        <v>21</v>
      </c>
      <c r="H24" s="1000"/>
      <c r="I24" s="1001" t="s">
        <v>1059</v>
      </c>
      <c r="J24" s="1031" t="s">
        <v>1075</v>
      </c>
      <c r="K24" s="1002">
        <f>IF(I!K24="","",$D$2*I!K24)</f>
        <v>1.473057883E-2</v>
      </c>
      <c r="L24" s="981"/>
      <c r="M24" s="982"/>
      <c r="N24" s="1003"/>
      <c r="O24" s="1004">
        <f>IF(I!O24="","",$D$2*I!O24)</f>
        <v>0.06</v>
      </c>
      <c r="P24" s="1005">
        <f>IF(I!P24="","",$D$2*I!P24)</f>
        <v>2.0276044220000011E-2</v>
      </c>
      <c r="Q24" s="1006">
        <f>IF(I!Q24="","",$D$2*I!Q24)</f>
        <v>0.22012385000000001</v>
      </c>
      <c r="R24" s="982"/>
      <c r="S24" s="1003"/>
      <c r="T24" s="938"/>
      <c r="U24" s="1008" t="s">
        <v>1059</v>
      </c>
      <c r="V24" s="1018" t="s">
        <v>5891</v>
      </c>
      <c r="W24" s="1019">
        <f>IF(I!W24="","",$D$2*I!W24)</f>
        <v>0.15915490660000001</v>
      </c>
      <c r="X24" s="990">
        <f>IF(I!X24="","",$D$2*I!X24)</f>
        <v>0.11710111099999999</v>
      </c>
      <c r="Y24" s="1010">
        <f>IF(I!Y24="","",$D$2*I!Y24)</f>
        <v>0.26145661660000002</v>
      </c>
      <c r="Z24" s="938"/>
      <c r="AA24" s="988">
        <v>19</v>
      </c>
      <c r="AB24" s="1022" t="s">
        <v>1907</v>
      </c>
      <c r="AC24" s="1023" t="s">
        <v>7915</v>
      </c>
      <c r="AD24" s="1895"/>
      <c r="AE24" s="452">
        <f>IF(I!AE24="","",$D$2*I!AE24)</f>
        <v>1.5035381126119384E-3</v>
      </c>
      <c r="AF24" s="1895"/>
      <c r="AG24" s="1896"/>
      <c r="AH24" s="1024">
        <f t="shared" si="2"/>
        <v>0</v>
      </c>
      <c r="AK24" s="1043"/>
    </row>
    <row r="25" spans="1:40" ht="26.25" customHeight="1" thickBot="1" x14ac:dyDescent="0.4">
      <c r="A25" s="938"/>
      <c r="B25" s="1048" t="s">
        <v>5838</v>
      </c>
      <c r="C25" s="1049"/>
      <c r="D25" s="1050">
        <f ca="1">SUM(D4:D23)</f>
        <v>0</v>
      </c>
      <c r="E25" s="1049"/>
      <c r="F25" s="938"/>
      <c r="G25" s="976">
        <f t="shared" si="1"/>
        <v>22</v>
      </c>
      <c r="H25" s="1000"/>
      <c r="I25" s="1001" t="s">
        <v>1059</v>
      </c>
      <c r="J25" s="1031" t="s">
        <v>1076</v>
      </c>
      <c r="K25" s="1002">
        <f>IF(I!K25="","",$D$2*I!K25)</f>
        <v>1.473057883E-2</v>
      </c>
      <c r="L25" s="981"/>
      <c r="M25" s="982"/>
      <c r="N25" s="1003"/>
      <c r="O25" s="1004">
        <f>IF(I!O25="","",$D$2*I!O25)</f>
        <v>0.06</v>
      </c>
      <c r="P25" s="1005">
        <f>IF(I!P25="","",$D$2*I!P25)</f>
        <v>2.0276044220000011E-2</v>
      </c>
      <c r="Q25" s="1006">
        <f>IF(I!Q25="","",$D$2*I!Q25)</f>
        <v>0.18808051000000001</v>
      </c>
      <c r="R25" s="982"/>
      <c r="S25" s="1003"/>
      <c r="T25" s="938"/>
      <c r="U25" s="1008" t="s">
        <v>1059</v>
      </c>
      <c r="V25" s="1018" t="s">
        <v>5892</v>
      </c>
      <c r="W25" s="1019">
        <f>IF(I!W25="","",$D$2*I!W25)</f>
        <v>0.15245668030000001</v>
      </c>
      <c r="X25" s="990">
        <f>IF(I!X25="","",$D$2*I!X25)</f>
        <v>0.14439965595999998</v>
      </c>
      <c r="Y25" s="1010">
        <f>IF(I!Y25="","",$D$2*I!Y25)</f>
        <v>0.26996922030000003</v>
      </c>
      <c r="Z25" s="938"/>
      <c r="AA25" s="988">
        <v>20</v>
      </c>
      <c r="AB25" s="1022" t="s">
        <v>1907</v>
      </c>
      <c r="AC25" s="1023" t="s">
        <v>7914</v>
      </c>
      <c r="AD25" s="1895"/>
      <c r="AE25" s="452">
        <f>IF(I!AE25="","",$D$2*I!AE25)</f>
        <v>8.9925357618244402E-4</v>
      </c>
      <c r="AF25" s="1895"/>
      <c r="AG25" s="1896"/>
      <c r="AH25" s="1024">
        <f t="shared" si="2"/>
        <v>0</v>
      </c>
      <c r="AK25" s="1043"/>
    </row>
    <row r="26" spans="1:40" ht="17.25" customHeight="1" thickBot="1" x14ac:dyDescent="0.4">
      <c r="A26" s="938"/>
      <c r="B26" s="1048" t="s">
        <v>5839</v>
      </c>
      <c r="C26" s="1049"/>
      <c r="D26" s="1051"/>
      <c r="E26" s="1052">
        <f>SUM(E4:E23)</f>
        <v>0</v>
      </c>
      <c r="F26" s="1053"/>
      <c r="G26" s="976">
        <f t="shared" si="1"/>
        <v>23</v>
      </c>
      <c r="H26" s="1000"/>
      <c r="I26" s="1001" t="s">
        <v>1059</v>
      </c>
      <c r="J26" s="1031" t="s">
        <v>1077</v>
      </c>
      <c r="K26" s="1002">
        <f>IF(I!K26="","",$D$2*I!K26)</f>
        <v>1.6326295719999998E-2</v>
      </c>
      <c r="L26" s="981"/>
      <c r="M26" s="982"/>
      <c r="N26" s="1003"/>
      <c r="O26" s="1004">
        <f>IF(I!O26="","",$D$2*I!O26)</f>
        <v>0.05</v>
      </c>
      <c r="P26" s="1005">
        <f>IF(I!P26="","",$D$2*I!P26)</f>
        <v>0.10473437923000001</v>
      </c>
      <c r="Q26" s="1006">
        <f>IF(I!Q26="","",$D$2*I!Q26)</f>
        <v>1.1455352E-8</v>
      </c>
      <c r="R26" s="982"/>
      <c r="S26" s="1003"/>
      <c r="T26" s="938"/>
      <c r="U26" s="1008" t="s">
        <v>1059</v>
      </c>
      <c r="V26" s="1018" t="s">
        <v>5893</v>
      </c>
      <c r="W26" s="1019">
        <f>IF(I!W26="","",$D$2*I!W26)</f>
        <v>0.22010881630000001</v>
      </c>
      <c r="X26" s="990">
        <f>IF(I!X26="","",$D$2*I!X26)</f>
        <v>0.14605755536999998</v>
      </c>
      <c r="Y26" s="1010">
        <f>IF(I!Y26="","",$D$2*I!Y26)</f>
        <v>0.35939885630000001</v>
      </c>
      <c r="Z26" s="938"/>
      <c r="AA26" s="988">
        <v>21</v>
      </c>
      <c r="AB26" s="1022" t="s">
        <v>1907</v>
      </c>
      <c r="AC26" s="1023" t="s">
        <v>7913</v>
      </c>
      <c r="AD26" s="1895"/>
      <c r="AE26" s="452">
        <f>IF(I!AE26="","",$D$2*I!AE26)</f>
        <v>3.5245534405480609E-3</v>
      </c>
      <c r="AF26" s="1895"/>
      <c r="AG26" s="1896"/>
      <c r="AH26" s="1024">
        <f t="shared" si="2"/>
        <v>0</v>
      </c>
      <c r="AK26" s="1043"/>
    </row>
    <row r="27" spans="1:40" ht="17.25" customHeight="1" x14ac:dyDescent="0.35">
      <c r="A27" s="938"/>
      <c r="B27" s="938"/>
      <c r="C27" s="941"/>
      <c r="D27" s="1047"/>
      <c r="E27" s="941"/>
      <c r="F27" s="938"/>
      <c r="G27" s="976">
        <f t="shared" si="1"/>
        <v>24</v>
      </c>
      <c r="H27" s="1000"/>
      <c r="I27" s="1001"/>
      <c r="J27" s="1031"/>
      <c r="K27" s="1002" t="str">
        <f>IF(I!K27="","",$D$2*I!K27)</f>
        <v/>
      </c>
      <c r="L27" s="981"/>
      <c r="M27" s="982"/>
      <c r="N27" s="1003"/>
      <c r="O27" s="1004" t="str">
        <f>IF(I!O27="","",$D$2*I!O27)</f>
        <v/>
      </c>
      <c r="P27" s="1005" t="str">
        <f>IF(I!P27="","",$D$2*I!P27)</f>
        <v/>
      </c>
      <c r="Q27" s="1006" t="str">
        <f>IF(I!Q27="","",$D$2*I!Q27)</f>
        <v/>
      </c>
      <c r="R27" s="982"/>
      <c r="S27" s="1003"/>
      <c r="T27" s="938"/>
      <c r="U27" s="1008" t="s">
        <v>1059</v>
      </c>
      <c r="V27" s="1018" t="s">
        <v>5894</v>
      </c>
      <c r="W27" s="1019">
        <f>IF(I!W27="","",$D$2*I!W27)</f>
        <v>0.24165988079999998</v>
      </c>
      <c r="X27" s="990">
        <f>IF(I!X27="","",$D$2*I!X27)</f>
        <v>0.12129519197000001</v>
      </c>
      <c r="Y27" s="1010">
        <f>IF(I!Y27="","",$D$2*I!Y27)</f>
        <v>0.3293043658</v>
      </c>
      <c r="Z27" s="938"/>
      <c r="AA27" s="988">
        <v>22</v>
      </c>
      <c r="AB27" s="1022" t="s">
        <v>1907</v>
      </c>
      <c r="AC27" s="1023" t="s">
        <v>7912</v>
      </c>
      <c r="AD27" s="1895"/>
      <c r="AE27" s="452">
        <f>IF(I!AE27="","",$D$2*I!AE27)</f>
        <v>3.0784379010897331E-3</v>
      </c>
      <c r="AF27" s="1895"/>
      <c r="AG27" s="1896"/>
      <c r="AH27" s="1024">
        <f t="shared" si="2"/>
        <v>0</v>
      </c>
      <c r="AK27" s="1043"/>
    </row>
    <row r="28" spans="1:40" ht="17.25" customHeight="1" x14ac:dyDescent="0.35">
      <c r="A28" s="938"/>
      <c r="B28" s="938"/>
      <c r="C28" s="941"/>
      <c r="D28" s="1047"/>
      <c r="E28" s="941"/>
      <c r="F28" s="938"/>
      <c r="G28" s="976">
        <f t="shared" si="1"/>
        <v>25</v>
      </c>
      <c r="H28" s="942" t="s">
        <v>1078</v>
      </c>
      <c r="I28" s="1026"/>
      <c r="J28" s="1054"/>
      <c r="K28" s="1002" t="str">
        <f>IF(I!K28="","",$D$2*I!K28)</f>
        <v/>
      </c>
      <c r="L28" s="981"/>
      <c r="M28" s="982"/>
      <c r="N28" s="1003"/>
      <c r="O28" s="1004" t="str">
        <f>IF(I!O28="","",$D$2*I!O28)</f>
        <v/>
      </c>
      <c r="P28" s="1005" t="str">
        <f>IF(I!P28="","",$D$2*I!P28)</f>
        <v/>
      </c>
      <c r="Q28" s="1006" t="str">
        <f>IF(I!Q28="","",$D$2*I!Q28)</f>
        <v/>
      </c>
      <c r="R28" s="982"/>
      <c r="S28" s="1003"/>
      <c r="T28" s="938"/>
      <c r="U28" s="1008" t="s">
        <v>1059</v>
      </c>
      <c r="V28" s="1018" t="s">
        <v>5895</v>
      </c>
      <c r="W28" s="1019">
        <f>IF(I!W28="","",$D$2*I!W28)</f>
        <v>0.1164056757</v>
      </c>
      <c r="X28" s="990">
        <f>IF(I!X28="","",$D$2*I!X28)</f>
        <v>8.1609617549999999E-2</v>
      </c>
      <c r="Y28" s="1010">
        <f>IF(I!Y28="","",$D$2*I!Y28)</f>
        <v>0.20957478969999999</v>
      </c>
      <c r="Z28" s="938"/>
      <c r="AA28" s="988">
        <v>23</v>
      </c>
      <c r="AB28" s="1022" t="s">
        <v>1907</v>
      </c>
      <c r="AC28" s="1023" t="s">
        <v>7911</v>
      </c>
      <c r="AD28" s="1895"/>
      <c r="AE28" s="452">
        <f>IF(I!AE28="","",$D$2*I!AE28)</f>
        <v>1.3087809473484274E-3</v>
      </c>
      <c r="AF28" s="1895"/>
      <c r="AG28" s="1896"/>
      <c r="AH28" s="1024">
        <f t="shared" si="2"/>
        <v>0</v>
      </c>
      <c r="AK28" s="1043"/>
    </row>
    <row r="29" spans="1:40" ht="17.25" customHeight="1" x14ac:dyDescent="0.35">
      <c r="A29" s="938"/>
      <c r="B29" s="938"/>
      <c r="C29" s="941"/>
      <c r="D29" s="1047"/>
      <c r="E29" s="941"/>
      <c r="F29" s="938"/>
      <c r="G29" s="976">
        <f t="shared" si="1"/>
        <v>26</v>
      </c>
      <c r="H29" s="942"/>
      <c r="I29" s="1001" t="s">
        <v>1059</v>
      </c>
      <c r="J29" s="1031" t="s">
        <v>1079</v>
      </c>
      <c r="K29" s="1002">
        <f>IF(I!K29="","",$D$2*I!K29)</f>
        <v>0.21662732810000002</v>
      </c>
      <c r="L29" s="981"/>
      <c r="M29" s="982"/>
      <c r="N29" s="1003"/>
      <c r="O29" s="1004">
        <f>IF(I!O29="","",$D$2*I!O29)</f>
        <v>0.56000000000000005</v>
      </c>
      <c r="P29" s="1005">
        <f>IF(I!P29="","",$D$2*I!P29)</f>
        <v>0.40665175946999998</v>
      </c>
      <c r="Q29" s="1006">
        <f>IF(I!Q29="","",$D$2*I!Q29)</f>
        <v>9.2151264999999997E-10</v>
      </c>
      <c r="R29" s="982"/>
      <c r="S29" s="1003"/>
      <c r="T29" s="938"/>
      <c r="U29" s="1008" t="s">
        <v>1059</v>
      </c>
      <c r="V29" s="1018" t="s">
        <v>5896</v>
      </c>
      <c r="W29" s="1019">
        <f>IF(I!W29="","",$D$2*I!W29)</f>
        <v>0.11094260957999999</v>
      </c>
      <c r="X29" s="990">
        <f>IF(I!X29="","",$D$2*I!X29)</f>
        <v>8.9313660240000009E-2</v>
      </c>
      <c r="Y29" s="1010">
        <f>IF(I!Y29="","",$D$2*I!Y29)</f>
        <v>0.18717866757999999</v>
      </c>
      <c r="Z29" s="938"/>
      <c r="AA29" s="988">
        <v>24</v>
      </c>
      <c r="AB29" s="1022" t="s">
        <v>1907</v>
      </c>
      <c r="AC29" s="1023" t="s">
        <v>7910</v>
      </c>
      <c r="AD29" s="1895"/>
      <c r="AE29" s="452">
        <f>IF(I!AE29="","",$D$2*I!AE29)</f>
        <v>7.8848841788496887E-4</v>
      </c>
      <c r="AF29" s="1895"/>
      <c r="AG29" s="1896"/>
      <c r="AH29" s="1024">
        <f t="shared" si="2"/>
        <v>0</v>
      </c>
      <c r="AK29" s="1043"/>
    </row>
    <row r="30" spans="1:40" ht="17.25" customHeight="1" thickBot="1" x14ac:dyDescent="0.4">
      <c r="A30" s="938"/>
      <c r="B30" s="938"/>
      <c r="C30" s="941"/>
      <c r="D30" s="1047"/>
      <c r="E30" s="941"/>
      <c r="F30" s="938"/>
      <c r="G30" s="976">
        <f t="shared" si="1"/>
        <v>27</v>
      </c>
      <c r="H30" s="942"/>
      <c r="I30" s="1001" t="s">
        <v>1059</v>
      </c>
      <c r="J30" s="1031" t="s">
        <v>1080</v>
      </c>
      <c r="K30" s="1002">
        <f>IF(I!K30="","",$D$2*I!K30)</f>
        <v>0.26986277460000002</v>
      </c>
      <c r="L30" s="981"/>
      <c r="M30" s="982"/>
      <c r="N30" s="1003"/>
      <c r="O30" s="1004">
        <f>IF(I!O30="","",$D$2*I!O30)</f>
        <v>0.7</v>
      </c>
      <c r="P30" s="1005">
        <f>IF(I!P30="","",$D$2*I!P30)</f>
        <v>0.50658509186</v>
      </c>
      <c r="Q30" s="1006">
        <f>IF(I!Q30="","",$D$2*I!Q30)</f>
        <v>1.1479712999999999E-9</v>
      </c>
      <c r="R30" s="982"/>
      <c r="S30" s="1003"/>
      <c r="T30" s="938"/>
      <c r="U30" s="1008" t="s">
        <v>1059</v>
      </c>
      <c r="V30" s="1018" t="s">
        <v>5897</v>
      </c>
      <c r="W30" s="1019">
        <f>IF(I!W30="","",$D$2*I!W30)</f>
        <v>0.12410450524</v>
      </c>
      <c r="X30" s="990">
        <f>IF(I!X30="","",$D$2*I!X30)</f>
        <v>9.9785108390000002E-2</v>
      </c>
      <c r="Y30" s="1010">
        <f>IF(I!Y30="","",$D$2*I!Y30)</f>
        <v>0.23168314524</v>
      </c>
      <c r="Z30" s="938"/>
      <c r="AA30" s="1055">
        <v>25</v>
      </c>
      <c r="AB30" s="1056" t="s">
        <v>1910</v>
      </c>
      <c r="AC30" s="1057" t="s">
        <v>7909</v>
      </c>
      <c r="AD30" s="1895"/>
      <c r="AE30" s="452">
        <f>IF(I!AE30="","",$D$2*I!AE30)</f>
        <v>5.3660018841285523E-4</v>
      </c>
      <c r="AF30" s="1895"/>
      <c r="AG30" s="1896"/>
      <c r="AH30" s="1024">
        <f t="shared" si="2"/>
        <v>0</v>
      </c>
      <c r="AK30" s="1043"/>
    </row>
    <row r="31" spans="1:40" ht="17.25" customHeight="1" x14ac:dyDescent="0.35">
      <c r="A31" s="938"/>
      <c r="B31" s="938"/>
      <c r="C31" s="941"/>
      <c r="D31" s="1047"/>
      <c r="E31" s="941"/>
      <c r="F31" s="938"/>
      <c r="G31" s="976">
        <f t="shared" si="1"/>
        <v>28</v>
      </c>
      <c r="H31" s="942"/>
      <c r="I31" s="1001" t="s">
        <v>1059</v>
      </c>
      <c r="J31" s="1031" t="s">
        <v>1081</v>
      </c>
      <c r="K31" s="1002">
        <f>IF(I!K31="","",$D$2*I!K31)</f>
        <v>0.27081730069999999</v>
      </c>
      <c r="L31" s="981"/>
      <c r="M31" s="982"/>
      <c r="N31" s="1003"/>
      <c r="O31" s="1004">
        <f>IF(I!O31="","",$D$2*I!O31)</f>
        <v>1.64</v>
      </c>
      <c r="P31" s="1005">
        <f>IF(I!P31="","",$D$2*I!P31)</f>
        <v>1.8380381668E-3</v>
      </c>
      <c r="Q31" s="1006">
        <f>IF(I!Q31="","",$D$2*I!Q31)</f>
        <v>0</v>
      </c>
      <c r="R31" s="982"/>
      <c r="S31" s="1003"/>
      <c r="T31" s="938"/>
      <c r="U31" s="1008" t="s">
        <v>1059</v>
      </c>
      <c r="V31" s="1018" t="s">
        <v>5898</v>
      </c>
      <c r="W31" s="1019">
        <f>IF(I!W31="","",$D$2*I!W31)</f>
        <v>0.19058845300000002</v>
      </c>
      <c r="X31" s="990">
        <f>IF(I!X31="","",$D$2*I!X31)</f>
        <v>8.4309423950000004E-2</v>
      </c>
      <c r="Y31" s="1010">
        <f>IF(I!Y31="","",$D$2*I!Y31)</f>
        <v>0.27827211900000004</v>
      </c>
      <c r="Z31" s="938"/>
      <c r="AA31" s="938"/>
      <c r="AB31" s="938"/>
      <c r="AC31" s="938"/>
      <c r="AD31" s="1058"/>
      <c r="AE31" s="938"/>
      <c r="AF31" s="938"/>
      <c r="AG31" s="938"/>
      <c r="AH31" s="938"/>
      <c r="AK31" s="1043"/>
    </row>
    <row r="32" spans="1:40" ht="22.5" customHeight="1" x14ac:dyDescent="0.45">
      <c r="A32" s="938"/>
      <c r="B32" s="938"/>
      <c r="C32" s="941"/>
      <c r="D32" s="1047"/>
      <c r="E32" s="941"/>
      <c r="F32" s="938"/>
      <c r="G32" s="976">
        <f t="shared" si="1"/>
        <v>29</v>
      </c>
      <c r="H32" s="942"/>
      <c r="I32" s="1001" t="s">
        <v>1059</v>
      </c>
      <c r="J32" s="1031" t="s">
        <v>1082</v>
      </c>
      <c r="K32" s="1002">
        <f>IF(I!K32="","",$D$2*I!K32)</f>
        <v>7.5854045290000007</v>
      </c>
      <c r="L32" s="981"/>
      <c r="M32" s="982"/>
      <c r="N32" s="1003"/>
      <c r="O32" s="1004">
        <f>IF(I!O32="","",$D$2*I!O32)</f>
        <v>16.510000000000002</v>
      </c>
      <c r="P32" s="1005">
        <f>IF(I!P32="","",$D$2*I!P32)</f>
        <v>870.37928019269998</v>
      </c>
      <c r="Q32" s="1006">
        <f>IF(I!Q32="","",$D$2*I!Q32)</f>
        <v>0</v>
      </c>
      <c r="R32" s="982"/>
      <c r="S32" s="1003"/>
      <c r="T32" s="938"/>
      <c r="U32" s="1008" t="s">
        <v>1059</v>
      </c>
      <c r="V32" s="1018" t="s">
        <v>5899</v>
      </c>
      <c r="W32" s="1019">
        <f>IF(I!W32="","",$D$2*I!W32)</f>
        <v>0.17964011390000001</v>
      </c>
      <c r="X32" s="990">
        <f>IF(I!X32="","",$D$2*I!X32)</f>
        <v>0.16723400162000002</v>
      </c>
      <c r="Y32" s="1010">
        <f>IF(I!Y32="","",$D$2*I!Y32)</f>
        <v>0.27561543090000001</v>
      </c>
      <c r="Z32" s="938"/>
      <c r="AA32" s="938"/>
      <c r="AB32" s="938"/>
      <c r="AC32" s="938"/>
      <c r="AD32" s="1743" t="s">
        <v>8464</v>
      </c>
      <c r="AE32" s="1743"/>
      <c r="AF32" s="1743"/>
      <c r="AG32" s="1743"/>
      <c r="AH32" s="1059">
        <f>SUM(AH6:AH30)</f>
        <v>0</v>
      </c>
      <c r="AK32" s="1043"/>
    </row>
    <row r="33" spans="1:37" ht="17.25" customHeight="1" x14ac:dyDescent="0.35">
      <c r="A33" s="938"/>
      <c r="B33" s="938"/>
      <c r="C33" s="941"/>
      <c r="D33" s="1047"/>
      <c r="E33" s="941"/>
      <c r="F33" s="938"/>
      <c r="G33" s="976">
        <f t="shared" si="1"/>
        <v>30</v>
      </c>
      <c r="H33" s="942"/>
      <c r="I33" s="1001" t="s">
        <v>1059</v>
      </c>
      <c r="J33" s="1031" t="s">
        <v>1083</v>
      </c>
      <c r="K33" s="1002">
        <f>IF(I!K33="","",$D$2*I!K33)</f>
        <v>1.6459106584680001</v>
      </c>
      <c r="L33" s="981"/>
      <c r="M33" s="982"/>
      <c r="N33" s="1003"/>
      <c r="O33" s="1004">
        <f>IF(I!O33="","",$D$2*I!O33)</f>
        <v>1.65</v>
      </c>
      <c r="P33" s="1005">
        <f>IF(I!P33="","",$D$2*I!P33)</f>
        <v>0</v>
      </c>
      <c r="Q33" s="1006">
        <f>IF(I!Q33="","",$D$2*I!Q33)</f>
        <v>0</v>
      </c>
      <c r="R33" s="982"/>
      <c r="S33" s="1003"/>
      <c r="T33" s="938"/>
      <c r="U33" s="1008" t="s">
        <v>1059</v>
      </c>
      <c r="V33" s="1018" t="s">
        <v>5900</v>
      </c>
      <c r="W33" s="1019">
        <f>IF(I!W33="","",$D$2*I!W33)</f>
        <v>0.21229924820000001</v>
      </c>
      <c r="X33" s="990">
        <f>IF(I!X33="","",$D$2*I!X33)</f>
        <v>0.17386278952000001</v>
      </c>
      <c r="Y33" s="1010">
        <f>IF(I!Y33="","",$D$2*I!Y33)</f>
        <v>0.32742737820000001</v>
      </c>
      <c r="Z33" s="938"/>
      <c r="AA33" s="938"/>
      <c r="AB33" s="938"/>
      <c r="AC33" s="938"/>
      <c r="AD33" s="1058"/>
      <c r="AE33" s="938"/>
      <c r="AF33" s="938"/>
      <c r="AG33" s="938"/>
      <c r="AH33" s="938"/>
      <c r="AK33" s="1043"/>
    </row>
    <row r="34" spans="1:37" ht="17.25" customHeight="1" x14ac:dyDescent="0.35">
      <c r="A34" s="938"/>
      <c r="B34" s="938"/>
      <c r="C34" s="941"/>
      <c r="D34" s="1047"/>
      <c r="E34" s="941"/>
      <c r="F34" s="938"/>
      <c r="G34" s="976">
        <f t="shared" si="1"/>
        <v>31</v>
      </c>
      <c r="H34" s="1028">
        <v>1</v>
      </c>
      <c r="I34" s="1001" t="s">
        <v>1059</v>
      </c>
      <c r="J34" s="1031" t="s">
        <v>1084</v>
      </c>
      <c r="K34" s="1002">
        <f>IF(I!K34="","",$D$2*I!K34)</f>
        <v>1.5752150300999999E-2</v>
      </c>
      <c r="L34" s="981"/>
      <c r="M34" s="982"/>
      <c r="N34" s="1003"/>
      <c r="O34" s="1004">
        <f>IF(I!O34="","",$D$2*I!O34)</f>
        <v>0.06</v>
      </c>
      <c r="P34" s="1005">
        <f>IF(I!P34="","",$D$2*I!P34)</f>
        <v>4.9191607140000003E-3</v>
      </c>
      <c r="Q34" s="1006">
        <f>IF(I!Q34="","",$D$2*I!Q34)</f>
        <v>2.0900345999999999E-9</v>
      </c>
      <c r="R34" s="982"/>
      <c r="S34" s="1003"/>
      <c r="T34" s="938"/>
      <c r="U34" s="1008" t="s">
        <v>1059</v>
      </c>
      <c r="V34" s="1018" t="s">
        <v>5901</v>
      </c>
      <c r="W34" s="1019">
        <f>IF(I!W34="","",$D$2*I!W34)</f>
        <v>0.13662988719999999</v>
      </c>
      <c r="X34" s="990">
        <f>IF(I!X34="","",$D$2*I!X34)</f>
        <v>0.14227620794000001</v>
      </c>
      <c r="Y34" s="1010">
        <f>IF(I!Y34="","",$D$2*I!Y34)</f>
        <v>0.2149122732</v>
      </c>
      <c r="Z34" s="938"/>
      <c r="AA34" s="938"/>
      <c r="AB34" s="938"/>
      <c r="AC34" s="938"/>
      <c r="AD34" s="1058"/>
      <c r="AE34" s="938"/>
      <c r="AF34" s="938"/>
      <c r="AG34" s="938"/>
      <c r="AH34" s="938"/>
    </row>
    <row r="35" spans="1:37" ht="17.25" customHeight="1" x14ac:dyDescent="0.35">
      <c r="A35" s="938"/>
      <c r="B35" s="938"/>
      <c r="C35" s="941"/>
      <c r="D35" s="1047"/>
      <c r="E35" s="941"/>
      <c r="F35" s="938"/>
      <c r="G35" s="976">
        <f t="shared" si="1"/>
        <v>32</v>
      </c>
      <c r="H35" s="942"/>
      <c r="I35" s="1001" t="s">
        <v>1059</v>
      </c>
      <c r="J35" s="1031" t="s">
        <v>1085</v>
      </c>
      <c r="K35" s="1002">
        <f>IF(I!K35="","",$D$2*I!K35)</f>
        <v>37.732987729999998</v>
      </c>
      <c r="L35" s="981"/>
      <c r="M35" s="982"/>
      <c r="N35" s="1003"/>
      <c r="O35" s="1004">
        <f>IF(I!O35="","",$D$2*I!O35)</f>
        <v>63.6</v>
      </c>
      <c r="P35" s="1005">
        <f>IF(I!P35="","",$D$2*I!P35)</f>
        <v>5.1084496999999995</v>
      </c>
      <c r="Q35" s="1006">
        <f>IF(I!Q35="","",$D$2*I!Q35)</f>
        <v>0</v>
      </c>
      <c r="R35" s="982"/>
      <c r="S35" s="1003"/>
      <c r="T35" s="938"/>
      <c r="U35" s="1008" t="s">
        <v>1059</v>
      </c>
      <c r="V35" s="1018" t="s">
        <v>5902</v>
      </c>
      <c r="W35" s="1019">
        <f>IF(I!W35="","",$D$2*I!W35)</f>
        <v>0.1154156772</v>
      </c>
      <c r="X35" s="990">
        <f>IF(I!X35="","",$D$2*I!X35)</f>
        <v>0.12432501042999999</v>
      </c>
      <c r="Y35" s="1010">
        <f>IF(I!Y35="","",$D$2*I!Y35)</f>
        <v>0.17960386719999999</v>
      </c>
      <c r="Z35" s="938"/>
      <c r="AA35" s="938"/>
      <c r="AB35" s="938"/>
      <c r="AC35" s="938"/>
      <c r="AD35" s="1058"/>
      <c r="AE35" s="938"/>
      <c r="AF35" s="938"/>
      <c r="AG35" s="938"/>
      <c r="AH35" s="938"/>
    </row>
    <row r="36" spans="1:37" ht="17.25" customHeight="1" x14ac:dyDescent="0.35">
      <c r="A36" s="938"/>
      <c r="B36" s="938"/>
      <c r="C36" s="941"/>
      <c r="D36" s="1047"/>
      <c r="E36" s="941"/>
      <c r="F36" s="938"/>
      <c r="G36" s="976">
        <f t="shared" si="1"/>
        <v>33</v>
      </c>
      <c r="H36" s="942"/>
      <c r="I36" s="1001" t="s">
        <v>1059</v>
      </c>
      <c r="J36" s="1031" t="s">
        <v>1086</v>
      </c>
      <c r="K36" s="1002">
        <f>IF(I!K36="","",$D$2*I!K36)</f>
        <v>0.12430682299</v>
      </c>
      <c r="L36" s="981"/>
      <c r="M36" s="982"/>
      <c r="N36" s="1003"/>
      <c r="O36" s="1004">
        <f>IF(I!O36="","",$D$2*I!O36)</f>
        <v>0.75</v>
      </c>
      <c r="P36" s="1005">
        <f>IF(I!P36="","",$D$2*I!P36)</f>
        <v>8.4367092018000005E-4</v>
      </c>
      <c r="Q36" s="1006">
        <f>IF(I!Q36="","",$D$2*I!Q36)</f>
        <v>0</v>
      </c>
      <c r="R36" s="982"/>
      <c r="S36" s="1003"/>
      <c r="T36" s="938"/>
      <c r="U36" s="1008" t="s">
        <v>1059</v>
      </c>
      <c r="V36" s="1018" t="s">
        <v>5903</v>
      </c>
      <c r="W36" s="1019">
        <f>IF(I!W36="","",$D$2*I!W36)</f>
        <v>0.14836079790000001</v>
      </c>
      <c r="X36" s="990">
        <f>IF(I!X36="","",$D$2*I!X36)</f>
        <v>0.15546063313</v>
      </c>
      <c r="Y36" s="1010">
        <f>IF(I!Y36="","",$D$2*I!Y36)</f>
        <v>0.24949972790000002</v>
      </c>
      <c r="Z36" s="938"/>
      <c r="AA36" s="938"/>
      <c r="AB36" s="938"/>
      <c r="AC36" s="938"/>
      <c r="AD36" s="1058"/>
      <c r="AE36" s="938"/>
      <c r="AF36" s="938"/>
      <c r="AG36" s="938"/>
      <c r="AH36" s="938"/>
    </row>
    <row r="37" spans="1:37" ht="17.25" customHeight="1" x14ac:dyDescent="0.35">
      <c r="A37" s="938"/>
      <c r="B37" s="938"/>
      <c r="C37" s="941"/>
      <c r="D37" s="1047"/>
      <c r="E37" s="941"/>
      <c r="F37" s="938"/>
      <c r="G37" s="976">
        <f t="shared" si="1"/>
        <v>34</v>
      </c>
      <c r="H37" s="942"/>
      <c r="I37" s="1001" t="s">
        <v>1059</v>
      </c>
      <c r="J37" s="1031" t="s">
        <v>1087</v>
      </c>
      <c r="K37" s="1002">
        <f>IF(I!K37="","",$D$2*I!K37)</f>
        <v>0.11741023306000001</v>
      </c>
      <c r="L37" s="981"/>
      <c r="M37" s="982"/>
      <c r="N37" s="1003"/>
      <c r="O37" s="1004">
        <f>IF(I!O37="","",$D$2*I!O37)</f>
        <v>0.71</v>
      </c>
      <c r="P37" s="1005">
        <f>IF(I!P37="","",$D$2*I!P37)</f>
        <v>1.03079684710574</v>
      </c>
      <c r="Q37" s="1006">
        <f>IF(I!Q37="","",$D$2*I!Q37)</f>
        <v>0</v>
      </c>
      <c r="R37" s="982"/>
      <c r="S37" s="1003"/>
      <c r="T37" s="938"/>
      <c r="U37" s="1008" t="s">
        <v>1059</v>
      </c>
      <c r="V37" s="1018" t="s">
        <v>5904</v>
      </c>
      <c r="W37" s="1019">
        <f>IF(I!W37="","",$D$2*I!W37)</f>
        <v>0.13354320920000001</v>
      </c>
      <c r="X37" s="990">
        <f>IF(I!X37="","",$D$2*I!X37)</f>
        <v>9.5399729419999996E-2</v>
      </c>
      <c r="Y37" s="1010">
        <f>IF(I!Y37="","",$D$2*I!Y37)</f>
        <v>0.19833056520000003</v>
      </c>
      <c r="Z37" s="938"/>
      <c r="AA37" s="938"/>
      <c r="AB37" s="938"/>
      <c r="AC37" s="938"/>
      <c r="AD37" s="1058"/>
      <c r="AE37" s="938"/>
      <c r="AF37" s="938"/>
      <c r="AG37" s="938"/>
      <c r="AH37" s="938"/>
    </row>
    <row r="38" spans="1:37" ht="17.25" customHeight="1" x14ac:dyDescent="0.35">
      <c r="A38" s="938"/>
      <c r="B38" s="938"/>
      <c r="C38" s="941"/>
      <c r="D38" s="1047"/>
      <c r="E38" s="941"/>
      <c r="F38" s="938"/>
      <c r="G38" s="976">
        <f t="shared" si="1"/>
        <v>35</v>
      </c>
      <c r="H38" s="942"/>
      <c r="I38" s="1001" t="s">
        <v>1059</v>
      </c>
      <c r="J38" s="1031" t="s">
        <v>1088</v>
      </c>
      <c r="K38" s="1002">
        <f>IF(I!K38="","",$D$2*I!K38)</f>
        <v>0.2052155937</v>
      </c>
      <c r="L38" s="981"/>
      <c r="M38" s="982"/>
      <c r="N38" s="1003"/>
      <c r="O38" s="1004">
        <f>IF(I!O38="","",$D$2*I!O38)</f>
        <v>1.24</v>
      </c>
      <c r="P38" s="1005">
        <f>IF(I!P38="","",$D$2*I!P38)</f>
        <v>0.68119279582949999</v>
      </c>
      <c r="Q38" s="1006">
        <f>IF(I!Q38="","",$D$2*I!Q38)</f>
        <v>0</v>
      </c>
      <c r="R38" s="982"/>
      <c r="S38" s="1003"/>
      <c r="T38" s="938"/>
      <c r="U38" s="1008" t="s">
        <v>1059</v>
      </c>
      <c r="V38" s="1018" t="s">
        <v>5905</v>
      </c>
      <c r="W38" s="1019">
        <f>IF(I!W38="","",$D$2*I!W38)</f>
        <v>0.14501842920000002</v>
      </c>
      <c r="X38" s="990">
        <f>IF(I!X38="","",$D$2*I!X38)</f>
        <v>0.12024872566</v>
      </c>
      <c r="Y38" s="1010">
        <f>IF(I!Y38="","",$D$2*I!Y38)</f>
        <v>0.21503914420000003</v>
      </c>
      <c r="Z38" s="938"/>
      <c r="AA38" s="938"/>
      <c r="AB38" s="938"/>
      <c r="AC38" s="938"/>
      <c r="AD38" s="1058"/>
      <c r="AE38" s="938"/>
      <c r="AF38" s="938"/>
      <c r="AG38" s="938"/>
      <c r="AH38" s="938"/>
    </row>
    <row r="39" spans="1:37" ht="17.25" customHeight="1" x14ac:dyDescent="0.35">
      <c r="A39" s="938"/>
      <c r="B39" s="938"/>
      <c r="C39" s="941"/>
      <c r="D39" s="1047"/>
      <c r="E39" s="941"/>
      <c r="F39" s="938"/>
      <c r="G39" s="976">
        <f t="shared" si="1"/>
        <v>36</v>
      </c>
      <c r="H39" s="1028">
        <v>1</v>
      </c>
      <c r="I39" s="1001" t="s">
        <v>1059</v>
      </c>
      <c r="J39" s="1031" t="s">
        <v>1089</v>
      </c>
      <c r="K39" s="1002">
        <f>IF(I!K39="","",$D$2*I!K39)</f>
        <v>1.5401397924E-2</v>
      </c>
      <c r="L39" s="981"/>
      <c r="M39" s="982"/>
      <c r="N39" s="1003"/>
      <c r="O39" s="1004">
        <f>IF(I!O39="","",$D$2*I!O39)</f>
        <v>0.05</v>
      </c>
      <c r="P39" s="1005">
        <f>IF(I!P39="","",$D$2*I!P39)</f>
        <v>3.636944661E-3</v>
      </c>
      <c r="Q39" s="1006">
        <f>IF(I!Q39="","",$D$2*I!Q39)</f>
        <v>2.0751069000000001E-9</v>
      </c>
      <c r="R39" s="982"/>
      <c r="S39" s="1003"/>
      <c r="T39" s="938"/>
      <c r="U39" s="1008" t="s">
        <v>1059</v>
      </c>
      <c r="V39" s="1018" t="s">
        <v>5906</v>
      </c>
      <c r="W39" s="1019">
        <f>IF(I!W39="","",$D$2*I!W39)</f>
        <v>0.10856469370000001</v>
      </c>
      <c r="X39" s="990">
        <f>IF(I!X39="","",$D$2*I!X39)</f>
        <v>8.9053021420000003E-2</v>
      </c>
      <c r="Y39" s="1010">
        <f>IF(I!Y39="","",$D$2*I!Y39)</f>
        <v>0.1696910167</v>
      </c>
      <c r="Z39" s="938"/>
      <c r="AA39" s="938"/>
      <c r="AB39" s="938"/>
      <c r="AC39" s="938"/>
      <c r="AD39" s="1058"/>
      <c r="AE39" s="938"/>
      <c r="AF39" s="938"/>
      <c r="AG39" s="938"/>
      <c r="AH39" s="938"/>
    </row>
    <row r="40" spans="1:37" ht="17.25" customHeight="1" x14ac:dyDescent="0.35">
      <c r="A40" s="938"/>
      <c r="B40" s="938"/>
      <c r="C40" s="941"/>
      <c r="D40" s="1047"/>
      <c r="E40" s="941"/>
      <c r="F40" s="938"/>
      <c r="G40" s="976">
        <f t="shared" si="1"/>
        <v>37</v>
      </c>
      <c r="H40" s="1028"/>
      <c r="I40" s="1001" t="s">
        <v>1059</v>
      </c>
      <c r="J40" s="1031" t="s">
        <v>1090</v>
      </c>
      <c r="K40" s="1002">
        <f>IF(I!K40="","",$D$2*I!K40)</f>
        <v>0.23939592180000002</v>
      </c>
      <c r="L40" s="981"/>
      <c r="M40" s="982"/>
      <c r="N40" s="1003"/>
      <c r="O40" s="1004">
        <f>IF(I!O40="","",$D$2*I!O40)</f>
        <v>0.76</v>
      </c>
      <c r="P40" s="1005">
        <f>IF(I!P40="","",$D$2*I!P40)</f>
        <v>28.705803965719998</v>
      </c>
      <c r="Q40" s="1006">
        <f>IF(I!Q40="","",$D$2*I!Q40)</f>
        <v>0</v>
      </c>
      <c r="R40" s="982"/>
      <c r="S40" s="1003"/>
      <c r="T40" s="938"/>
      <c r="U40" s="1008" t="s">
        <v>1059</v>
      </c>
      <c r="V40" s="1018" t="s">
        <v>5907</v>
      </c>
      <c r="W40" s="1019">
        <f>IF(I!W40="","",$D$2*I!W40)</f>
        <v>0.16574972439999999</v>
      </c>
      <c r="X40" s="990">
        <f>IF(I!X40="","",$D$2*I!X40)</f>
        <v>0.18467343702</v>
      </c>
      <c r="Y40" s="1010">
        <f>IF(I!Y40="","",$D$2*I!Y40)</f>
        <v>0.2574590504</v>
      </c>
      <c r="Z40" s="938"/>
      <c r="AA40" s="938"/>
      <c r="AB40" s="938"/>
      <c r="AC40" s="938"/>
      <c r="AD40" s="1058"/>
      <c r="AE40" s="938"/>
      <c r="AF40" s="938"/>
      <c r="AG40" s="938"/>
      <c r="AH40" s="938"/>
    </row>
    <row r="41" spans="1:37" ht="17.25" customHeight="1" x14ac:dyDescent="0.35">
      <c r="A41" s="938"/>
      <c r="B41" s="938"/>
      <c r="C41" s="941"/>
      <c r="D41" s="1047"/>
      <c r="E41" s="941"/>
      <c r="F41" s="938"/>
      <c r="G41" s="976">
        <f t="shared" si="1"/>
        <v>38</v>
      </c>
      <c r="H41" s="1028"/>
      <c r="I41" s="1001" t="s">
        <v>1059</v>
      </c>
      <c r="J41" s="1031" t="s">
        <v>1091</v>
      </c>
      <c r="K41" s="1002">
        <f>IF(I!K41="","",$D$2*I!K41)</f>
        <v>0.15054750549000001</v>
      </c>
      <c r="L41" s="981"/>
      <c r="M41" s="982"/>
      <c r="N41" s="1003"/>
      <c r="O41" s="1004">
        <f>IF(I!O41="","",$D$2*I!O41)</f>
        <v>0.91</v>
      </c>
      <c r="P41" s="1005">
        <f>IF(I!P41="","",$D$2*I!P41)</f>
        <v>0.43022176796510003</v>
      </c>
      <c r="Q41" s="1006">
        <f>IF(I!Q41="","",$D$2*I!Q41)</f>
        <v>0</v>
      </c>
      <c r="R41" s="982"/>
      <c r="S41" s="1003"/>
      <c r="T41" s="938"/>
      <c r="U41" s="1008" t="s">
        <v>1059</v>
      </c>
      <c r="V41" s="1018" t="s">
        <v>5908</v>
      </c>
      <c r="W41" s="1019">
        <f>IF(I!W41="","",$D$2*I!W41)</f>
        <v>0.1068708839</v>
      </c>
      <c r="X41" s="990">
        <f>IF(I!X41="","",$D$2*I!X41)</f>
        <v>9.9594138489999998E-2</v>
      </c>
      <c r="Y41" s="1010">
        <f>IF(I!Y41="","",$D$2*I!Y41)</f>
        <v>0.16579658089999999</v>
      </c>
      <c r="Z41" s="938"/>
      <c r="AA41" s="938"/>
      <c r="AB41" s="938"/>
      <c r="AC41" s="938"/>
      <c r="AD41" s="1058"/>
      <c r="AE41" s="938"/>
      <c r="AF41" s="938"/>
      <c r="AG41" s="938"/>
      <c r="AH41" s="938"/>
    </row>
    <row r="42" spans="1:37" ht="17.25" customHeight="1" x14ac:dyDescent="0.35">
      <c r="A42" s="938"/>
      <c r="B42" s="938"/>
      <c r="C42" s="941"/>
      <c r="D42" s="1047"/>
      <c r="E42" s="941"/>
      <c r="F42" s="938"/>
      <c r="G42" s="976">
        <f t="shared" si="1"/>
        <v>39</v>
      </c>
      <c r="H42" s="1028"/>
      <c r="I42" s="1001"/>
      <c r="J42" s="1054"/>
      <c r="K42" s="1002" t="str">
        <f>IF(I!K42="","",$D$2*I!K42)</f>
        <v/>
      </c>
      <c r="L42" s="981"/>
      <c r="M42" s="982"/>
      <c r="N42" s="1003"/>
      <c r="O42" s="1004" t="str">
        <f>IF(I!O42="","",$D$2*I!O42)</f>
        <v/>
      </c>
      <c r="P42" s="1005" t="str">
        <f>IF(I!P42="","",$D$2*I!P42)</f>
        <v/>
      </c>
      <c r="Q42" s="1006" t="str">
        <f>IF(I!Q42="","",$D$2*I!Q42)</f>
        <v/>
      </c>
      <c r="R42" s="982"/>
      <c r="S42" s="1003"/>
      <c r="T42" s="938"/>
      <c r="U42" s="1008" t="s">
        <v>1059</v>
      </c>
      <c r="V42" s="1018" t="s">
        <v>5909</v>
      </c>
      <c r="W42" s="1019">
        <f>IF(I!W42="","",$D$2*I!W42)</f>
        <v>0.19384298629999999</v>
      </c>
      <c r="X42" s="990">
        <f>IF(I!X42="","",$D$2*I!X42)</f>
        <v>0.16053397987000001</v>
      </c>
      <c r="Y42" s="1010">
        <f>IF(I!Y42="","",$D$2*I!Y42)</f>
        <v>0.26512606529999999</v>
      </c>
      <c r="Z42" s="938"/>
      <c r="AA42" s="938"/>
      <c r="AB42" s="938"/>
      <c r="AC42" s="938"/>
      <c r="AD42" s="1058"/>
      <c r="AE42" s="938"/>
      <c r="AF42" s="938"/>
      <c r="AG42" s="938"/>
      <c r="AH42" s="938"/>
    </row>
    <row r="43" spans="1:37" ht="17.25" customHeight="1" x14ac:dyDescent="0.35">
      <c r="A43" s="938"/>
      <c r="B43" s="938"/>
      <c r="C43" s="941"/>
      <c r="D43" s="1047"/>
      <c r="E43" s="941"/>
      <c r="F43" s="938"/>
      <c r="G43" s="976">
        <f t="shared" si="1"/>
        <v>40</v>
      </c>
      <c r="H43" s="942" t="s">
        <v>1092</v>
      </c>
      <c r="I43" s="1026"/>
      <c r="J43" s="1027"/>
      <c r="K43" s="1002" t="str">
        <f>IF(I!K43="","",$D$2*I!K43)</f>
        <v/>
      </c>
      <c r="L43" s="981"/>
      <c r="M43" s="982"/>
      <c r="N43" s="1003"/>
      <c r="O43" s="1004" t="str">
        <f>IF(I!O43="","",$D$2*I!O43)</f>
        <v/>
      </c>
      <c r="P43" s="1005" t="str">
        <f>IF(I!P43="","",$D$2*I!P43)</f>
        <v/>
      </c>
      <c r="Q43" s="1006" t="str">
        <f>IF(I!Q43="","",$D$2*I!Q43)</f>
        <v/>
      </c>
      <c r="R43" s="982"/>
      <c r="S43" s="1003"/>
      <c r="T43" s="938"/>
      <c r="U43" s="1008" t="s">
        <v>1059</v>
      </c>
      <c r="V43" s="1018" t="s">
        <v>5910</v>
      </c>
      <c r="W43" s="1019">
        <f>IF(I!W43="","",$D$2*I!W43)</f>
        <v>0.13544548299999998</v>
      </c>
      <c r="X43" s="990">
        <f>IF(I!X43="","",$D$2*I!X43)</f>
        <v>0.15608896074</v>
      </c>
      <c r="Y43" s="1010">
        <f>IF(I!Y43="","",$D$2*I!Y43)</f>
        <v>0.20980313899999997</v>
      </c>
      <c r="Z43" s="938"/>
      <c r="AA43" s="938"/>
      <c r="AB43" s="938"/>
      <c r="AC43" s="938"/>
      <c r="AD43" s="1058"/>
      <c r="AE43" s="938"/>
      <c r="AF43" s="938"/>
      <c r="AG43" s="938"/>
      <c r="AH43" s="938"/>
    </row>
    <row r="44" spans="1:37" ht="17.25" customHeight="1" x14ac:dyDescent="0.35">
      <c r="A44" s="938"/>
      <c r="B44" s="938"/>
      <c r="C44" s="941"/>
      <c r="D44" s="1047"/>
      <c r="E44" s="941"/>
      <c r="F44" s="938"/>
      <c r="G44" s="976">
        <f t="shared" si="1"/>
        <v>41</v>
      </c>
      <c r="H44" s="1000"/>
      <c r="I44" s="1001" t="s">
        <v>1059</v>
      </c>
      <c r="J44" s="1031" t="s">
        <v>1093</v>
      </c>
      <c r="K44" s="1002">
        <f>IF(I!K44="","",$D$2*I!K44)</f>
        <v>2.6802569531700002E-3</v>
      </c>
      <c r="L44" s="981"/>
      <c r="M44" s="982"/>
      <c r="N44" s="1003"/>
      <c r="O44" s="1004">
        <f>IF(I!O44="","",$D$2*I!O44)</f>
        <v>0.02</v>
      </c>
      <c r="P44" s="1005">
        <f>IF(I!P44="","",$D$2*I!P44)</f>
        <v>5.9493157585979999E-2</v>
      </c>
      <c r="Q44" s="1006">
        <f>IF(I!Q44="","",$D$2*I!Q44)</f>
        <v>8.3520939999999999E-11</v>
      </c>
      <c r="R44" s="982"/>
      <c r="S44" s="1003"/>
      <c r="T44" s="938"/>
      <c r="U44" s="1008" t="s">
        <v>1059</v>
      </c>
      <c r="V44" s="1018" t="s">
        <v>5911</v>
      </c>
      <c r="W44" s="1019">
        <f>IF(I!W44="","",$D$2*I!W44)</f>
        <v>0.15214211829999999</v>
      </c>
      <c r="X44" s="990">
        <f>IF(I!X44="","",$D$2*I!X44)</f>
        <v>9.1364816549999991E-2</v>
      </c>
      <c r="Y44" s="1010">
        <f>IF(I!Y44="","",$D$2*I!Y44)</f>
        <v>0.22711430429999999</v>
      </c>
      <c r="Z44" s="938"/>
      <c r="AA44" s="938"/>
      <c r="AB44" s="938"/>
      <c r="AC44" s="938"/>
      <c r="AD44" s="1058"/>
      <c r="AE44" s="938"/>
      <c r="AF44" s="938"/>
      <c r="AG44" s="938"/>
      <c r="AH44" s="938"/>
    </row>
    <row r="45" spans="1:37" ht="17.25" customHeight="1" x14ac:dyDescent="0.35">
      <c r="A45" s="938"/>
      <c r="B45" s="938"/>
      <c r="C45" s="941"/>
      <c r="D45" s="1047"/>
      <c r="E45" s="941"/>
      <c r="F45" s="938"/>
      <c r="G45" s="976">
        <f t="shared" si="1"/>
        <v>42</v>
      </c>
      <c r="H45" s="1000"/>
      <c r="I45" s="1001" t="s">
        <v>1059</v>
      </c>
      <c r="J45" s="1031" t="s">
        <v>1053</v>
      </c>
      <c r="K45" s="1002">
        <f>IF(I!K45="","",$D$2*I!K45)</f>
        <v>8.2620361139999987E-2</v>
      </c>
      <c r="L45" s="981"/>
      <c r="M45" s="982"/>
      <c r="N45" s="1003"/>
      <c r="O45" s="1004">
        <f>IF(I!O45="","",$D$2*I!O45)</f>
        <v>0.14000000000000001</v>
      </c>
      <c r="P45" s="1005">
        <f>IF(I!P45="","",$D$2*I!P45)</f>
        <v>1.6796141195999999E-3</v>
      </c>
      <c r="Q45" s="1006">
        <f>IF(I!Q45="","",$D$2*I!Q45)</f>
        <v>2.5907544E-10</v>
      </c>
      <c r="R45" s="982"/>
      <c r="S45" s="1003"/>
      <c r="T45" s="938"/>
      <c r="U45" s="1008" t="s">
        <v>1059</v>
      </c>
      <c r="V45" s="1018" t="s">
        <v>5912</v>
      </c>
      <c r="W45" s="1019">
        <f>IF(I!W45="","",$D$2*I!W45)</f>
        <v>0.1381772003</v>
      </c>
      <c r="X45" s="990">
        <f>IF(I!X45="","",$D$2*I!X45)</f>
        <v>0.14889200539</v>
      </c>
      <c r="Y45" s="1010">
        <f>IF(I!Y45="","",$D$2*I!Y45)</f>
        <v>0.21380331429999999</v>
      </c>
      <c r="Z45" s="938"/>
      <c r="AA45" s="938"/>
      <c r="AB45" s="938"/>
      <c r="AC45" s="938"/>
      <c r="AD45" s="1058"/>
      <c r="AE45" s="938"/>
      <c r="AF45" s="938"/>
      <c r="AG45" s="938"/>
      <c r="AH45" s="938"/>
    </row>
    <row r="46" spans="1:37" ht="17.25" customHeight="1" x14ac:dyDescent="0.35">
      <c r="A46" s="938"/>
      <c r="B46" s="938"/>
      <c r="C46" s="941"/>
      <c r="D46" s="1047"/>
      <c r="E46" s="941"/>
      <c r="F46" s="938"/>
      <c r="G46" s="976">
        <f t="shared" si="1"/>
        <v>43</v>
      </c>
      <c r="H46" s="1000"/>
      <c r="I46" s="1001" t="s">
        <v>1059</v>
      </c>
      <c r="J46" s="1031" t="s">
        <v>1094</v>
      </c>
      <c r="K46" s="1002">
        <f>IF(I!K46="","",$D$2*I!K46)</f>
        <v>4.8888019895000003E-2</v>
      </c>
      <c r="L46" s="981"/>
      <c r="M46" s="982"/>
      <c r="N46" s="1003"/>
      <c r="O46" s="1004">
        <f>IF(I!O46="","",$D$2*I!O46)</f>
        <v>0.06</v>
      </c>
      <c r="P46" s="1005">
        <f>IF(I!P46="","",$D$2*I!P46)</f>
        <v>1.7788697474999999E-4</v>
      </c>
      <c r="Q46" s="1006">
        <f>IF(I!Q46="","",$D$2*I!Q46)</f>
        <v>1.6933035000000001E-10</v>
      </c>
      <c r="R46" s="982"/>
      <c r="S46" s="1003"/>
      <c r="T46" s="938"/>
      <c r="U46" s="1008" t="s">
        <v>1059</v>
      </c>
      <c r="V46" s="1018" t="s">
        <v>5913</v>
      </c>
      <c r="W46" s="1019">
        <f>IF(I!W46="","",$D$2*I!W46)</f>
        <v>0.14875282820000002</v>
      </c>
      <c r="X46" s="990">
        <f>IF(I!X46="","",$D$2*I!X46)</f>
        <v>0.14290608126000001</v>
      </c>
      <c r="Y46" s="1010">
        <f>IF(I!Y46="","",$D$2*I!Y46)</f>
        <v>0.23057687520000003</v>
      </c>
      <c r="Z46" s="938"/>
      <c r="AA46" s="938"/>
      <c r="AB46" s="938"/>
      <c r="AC46" s="938"/>
      <c r="AD46" s="1058"/>
      <c r="AE46" s="938"/>
      <c r="AF46" s="938"/>
      <c r="AG46" s="938"/>
      <c r="AH46" s="938"/>
    </row>
    <row r="47" spans="1:37" ht="17.25" customHeight="1" x14ac:dyDescent="0.35">
      <c r="A47" s="938"/>
      <c r="B47" s="938"/>
      <c r="C47" s="941"/>
      <c r="D47" s="1047"/>
      <c r="E47" s="941"/>
      <c r="F47" s="938"/>
      <c r="G47" s="976">
        <f t="shared" si="1"/>
        <v>44</v>
      </c>
      <c r="H47" s="942" t="s">
        <v>1095</v>
      </c>
      <c r="I47" s="1001"/>
      <c r="J47" s="1027"/>
      <c r="K47" s="1002" t="str">
        <f>IF(I!K47="","",$D$2*I!K47)</f>
        <v/>
      </c>
      <c r="L47" s="981"/>
      <c r="M47" s="982"/>
      <c r="N47" s="1003"/>
      <c r="O47" s="1004" t="str">
        <f>IF(I!O47="","",$D$2*I!O47)</f>
        <v/>
      </c>
      <c r="P47" s="1005" t="str">
        <f>IF(I!P47="","",$D$2*I!P47)</f>
        <v/>
      </c>
      <c r="Q47" s="1006" t="str">
        <f>IF(I!Q47="","",$D$2*I!Q47)</f>
        <v/>
      </c>
      <c r="R47" s="982"/>
      <c r="S47" s="1003"/>
      <c r="T47" s="938"/>
      <c r="U47" s="1008" t="s">
        <v>1059</v>
      </c>
      <c r="V47" s="1018" t="s">
        <v>5914</v>
      </c>
      <c r="W47" s="1019">
        <f>IF(I!W47="","",$D$2*I!W47)</f>
        <v>0.125266077</v>
      </c>
      <c r="X47" s="990">
        <f>IF(I!X47="","",$D$2*I!X47)</f>
        <v>0.20493291693000001</v>
      </c>
      <c r="Y47" s="1010">
        <f>IF(I!Y47="","",$D$2*I!Y47)</f>
        <v>0.20207179</v>
      </c>
      <c r="Z47" s="938"/>
      <c r="AA47" s="938"/>
      <c r="AB47" s="938"/>
      <c r="AC47" s="938"/>
      <c r="AD47" s="1058"/>
      <c r="AE47" s="938"/>
      <c r="AF47" s="938"/>
      <c r="AG47" s="938"/>
      <c r="AH47" s="938"/>
    </row>
    <row r="48" spans="1:37" ht="17.25" customHeight="1" x14ac:dyDescent="0.35">
      <c r="A48" s="938"/>
      <c r="B48" s="938"/>
      <c r="C48" s="941"/>
      <c r="D48" s="1047"/>
      <c r="E48" s="941"/>
      <c r="F48" s="938"/>
      <c r="G48" s="976">
        <f t="shared" si="1"/>
        <v>45</v>
      </c>
      <c r="H48" s="1000"/>
      <c r="I48" s="1001" t="s">
        <v>1059</v>
      </c>
      <c r="J48" s="1031" t="s">
        <v>1096</v>
      </c>
      <c r="K48" s="1002">
        <f>IF(I!K48="","",$D$2*I!K48)</f>
        <v>4.113066018E-2</v>
      </c>
      <c r="L48" s="981"/>
      <c r="M48" s="982"/>
      <c r="N48" s="1003"/>
      <c r="O48" s="1004">
        <f>IF(I!O48="","",$D$2*I!O48)</f>
        <v>0.25</v>
      </c>
      <c r="P48" s="1005">
        <f>IF(I!P48="","",$D$2*I!P48)</f>
        <v>1.33187037E-3</v>
      </c>
      <c r="Q48" s="1006">
        <f>IF(I!Q48="","",$D$2*I!Q48)</f>
        <v>2.5891490999999999E-11</v>
      </c>
      <c r="R48" s="982"/>
      <c r="S48" s="1003"/>
      <c r="T48" s="938"/>
      <c r="U48" s="1008" t="s">
        <v>1059</v>
      </c>
      <c r="V48" s="1018" t="s">
        <v>5915</v>
      </c>
      <c r="W48" s="1019">
        <f>IF(I!W48="","",$D$2*I!W48)</f>
        <v>0.1203985011</v>
      </c>
      <c r="X48" s="990">
        <f>IF(I!X48="","",$D$2*I!X48)</f>
        <v>8.8563304260000003E-2</v>
      </c>
      <c r="Y48" s="1010">
        <f>IF(I!Y48="","",$D$2*I!Y48)</f>
        <v>0.18499945709999999</v>
      </c>
      <c r="Z48" s="938"/>
      <c r="AA48" s="938"/>
      <c r="AB48" s="938"/>
      <c r="AC48" s="938"/>
      <c r="AD48" s="1058"/>
      <c r="AE48" s="938"/>
      <c r="AF48" s="938"/>
      <c r="AG48" s="938"/>
      <c r="AH48" s="938"/>
    </row>
    <row r="49" spans="1:34" ht="17.25" customHeight="1" x14ac:dyDescent="0.35">
      <c r="A49" s="938"/>
      <c r="B49" s="938"/>
      <c r="C49" s="941"/>
      <c r="D49" s="1047"/>
      <c r="E49" s="941"/>
      <c r="F49" s="938"/>
      <c r="G49" s="976">
        <f t="shared" si="1"/>
        <v>46</v>
      </c>
      <c r="H49" s="942" t="s">
        <v>1097</v>
      </c>
      <c r="I49" s="1060"/>
      <c r="J49" s="1027"/>
      <c r="K49" s="1002" t="str">
        <f>IF(I!K49="","",$D$2*I!K49)</f>
        <v/>
      </c>
      <c r="L49" s="981"/>
      <c r="M49" s="982"/>
      <c r="N49" s="1003"/>
      <c r="O49" s="1004" t="str">
        <f>IF(I!O49="","",$D$2*I!O49)</f>
        <v/>
      </c>
      <c r="P49" s="1005" t="str">
        <f>IF(I!P49="","",$D$2*I!P49)</f>
        <v/>
      </c>
      <c r="Q49" s="1006" t="str">
        <f>IF(I!Q49="","",$D$2*I!Q49)</f>
        <v/>
      </c>
      <c r="R49" s="982"/>
      <c r="S49" s="1003"/>
      <c r="T49" s="938"/>
      <c r="U49" s="1008" t="s">
        <v>1059</v>
      </c>
      <c r="V49" s="1018" t="s">
        <v>5916</v>
      </c>
      <c r="W49" s="1019">
        <f>IF(I!W49="","",$D$2*I!W49)</f>
        <v>0.13344107189999999</v>
      </c>
      <c r="X49" s="990">
        <f>IF(I!X49="","",$D$2*I!X49)</f>
        <v>9.8178095879999996E-2</v>
      </c>
      <c r="Y49" s="1010">
        <f>IF(I!Y49="","",$D$2*I!Y49)</f>
        <v>0.24957041189999998</v>
      </c>
      <c r="Z49" s="938"/>
      <c r="AA49" s="938"/>
      <c r="AB49" s="938"/>
      <c r="AC49" s="938"/>
      <c r="AD49" s="1058"/>
      <c r="AE49" s="938"/>
      <c r="AF49" s="938"/>
      <c r="AG49" s="938"/>
      <c r="AH49" s="938"/>
    </row>
    <row r="50" spans="1:34" ht="17.25" customHeight="1" x14ac:dyDescent="0.35">
      <c r="A50" s="938"/>
      <c r="B50" s="938"/>
      <c r="C50" s="941"/>
      <c r="D50" s="1047"/>
      <c r="E50" s="941"/>
      <c r="F50" s="938"/>
      <c r="G50" s="976">
        <f t="shared" si="1"/>
        <v>47</v>
      </c>
      <c r="H50" s="1000"/>
      <c r="I50" s="1001" t="s">
        <v>1059</v>
      </c>
      <c r="J50" s="1031" t="s">
        <v>1098</v>
      </c>
      <c r="K50" s="1002">
        <f>IF(I!K50="","",$D$2*I!K50)</f>
        <v>0.17776053356999999</v>
      </c>
      <c r="L50" s="981"/>
      <c r="M50" s="982"/>
      <c r="N50" s="1003"/>
      <c r="O50" s="1004">
        <f>IF(I!O50="","",$D$2*I!O50)</f>
        <v>0.63</v>
      </c>
      <c r="P50" s="1005">
        <f>IF(I!P50="","",$D$2*I!P50)</f>
        <v>2.5356868709999997E-2</v>
      </c>
      <c r="Q50" s="1006">
        <f>IF(I!Q50="","",$D$2*I!Q50)</f>
        <v>2.0393102000000001E-10</v>
      </c>
      <c r="R50" s="982"/>
      <c r="S50" s="1003"/>
      <c r="T50" s="938"/>
      <c r="U50" s="1008" t="s">
        <v>1059</v>
      </c>
      <c r="V50" s="1018" t="s">
        <v>5917</v>
      </c>
      <c r="W50" s="1019">
        <f>IF(I!W50="","",$D$2*I!W50)</f>
        <v>0.11022676469999999</v>
      </c>
      <c r="X50" s="990">
        <f>IF(I!X50="","",$D$2*I!X50)</f>
        <v>8.5488257449999994E-2</v>
      </c>
      <c r="Y50" s="1010">
        <f>IF(I!Y50="","",$D$2*I!Y50)</f>
        <v>0.23348054469999999</v>
      </c>
      <c r="Z50" s="938"/>
      <c r="AA50" s="938"/>
      <c r="AB50" s="938"/>
      <c r="AC50" s="938"/>
      <c r="AD50" s="1058"/>
      <c r="AE50" s="938"/>
      <c r="AF50" s="938"/>
      <c r="AG50" s="938"/>
      <c r="AH50" s="938"/>
    </row>
    <row r="51" spans="1:34" ht="17.25" customHeight="1" x14ac:dyDescent="0.35">
      <c r="A51" s="938"/>
      <c r="B51" s="938"/>
      <c r="C51" s="941"/>
      <c r="D51" s="1047"/>
      <c r="E51" s="941"/>
      <c r="F51" s="938"/>
      <c r="G51" s="976">
        <f t="shared" si="1"/>
        <v>48</v>
      </c>
      <c r="H51" s="1000"/>
      <c r="I51" s="1001" t="s">
        <v>1059</v>
      </c>
      <c r="J51" s="1031" t="s">
        <v>1099</v>
      </c>
      <c r="K51" s="1002">
        <f>IF(I!K51="","",$D$2*I!K51)</f>
        <v>6.3071089959999993E-2</v>
      </c>
      <c r="L51" s="981"/>
      <c r="M51" s="982"/>
      <c r="N51" s="1003"/>
      <c r="O51" s="1004">
        <f>IF(I!O51="","",$D$2*I!O51)</f>
        <v>0.2</v>
      </c>
      <c r="P51" s="1005">
        <f>IF(I!P51="","",$D$2*I!P51)</f>
        <v>2.6583360899999998E-2</v>
      </c>
      <c r="Q51" s="1006">
        <f>IF(I!Q51="","",$D$2*I!Q51)</f>
        <v>1.999064E-10</v>
      </c>
      <c r="R51" s="982"/>
      <c r="S51" s="1003"/>
      <c r="T51" s="938"/>
      <c r="U51" s="1008" t="s">
        <v>1059</v>
      </c>
      <c r="V51" s="1018" t="s">
        <v>5918</v>
      </c>
      <c r="W51" s="1019">
        <f>IF(I!W51="","",$D$2*I!W51)</f>
        <v>0.1728301445</v>
      </c>
      <c r="X51" s="990">
        <f>IF(I!X51="","",$D$2*I!X51)</f>
        <v>0.16887901964999999</v>
      </c>
      <c r="Y51" s="1010">
        <f>IF(I!Y51="","",$D$2*I!Y51)</f>
        <v>0.32629365450000003</v>
      </c>
      <c r="Z51" s="938"/>
      <c r="AA51" s="938"/>
      <c r="AB51" s="938"/>
      <c r="AC51" s="938"/>
      <c r="AD51" s="1058"/>
      <c r="AE51" s="938"/>
      <c r="AF51" s="938"/>
      <c r="AG51" s="938"/>
      <c r="AH51" s="938"/>
    </row>
    <row r="52" spans="1:34" ht="17.25" customHeight="1" x14ac:dyDescent="0.35">
      <c r="A52" s="938"/>
      <c r="B52" s="938"/>
      <c r="C52" s="941"/>
      <c r="D52" s="1047"/>
      <c r="E52" s="941"/>
      <c r="F52" s="938"/>
      <c r="G52" s="976">
        <f t="shared" si="1"/>
        <v>49</v>
      </c>
      <c r="H52" s="1000"/>
      <c r="I52" s="1001" t="s">
        <v>1059</v>
      </c>
      <c r="J52" s="1031" t="s">
        <v>1100</v>
      </c>
      <c r="K52" s="1002">
        <f>IF(I!K52="","",$D$2*I!K52)</f>
        <v>2.5802115130000001E-2</v>
      </c>
      <c r="L52" s="981"/>
      <c r="M52" s="982"/>
      <c r="N52" s="1003"/>
      <c r="O52" s="1004">
        <f>IF(I!O52="","",$D$2*I!O52)</f>
        <v>0.11</v>
      </c>
      <c r="P52" s="1005">
        <f>IF(I!P52="","",$D$2*I!P52)</f>
        <v>9.9295134779999999E-3</v>
      </c>
      <c r="Q52" s="1006">
        <f>IF(I!Q52="","",$D$2*I!Q52)</f>
        <v>8.0805537999999999E-11</v>
      </c>
      <c r="R52" s="982"/>
      <c r="S52" s="1003"/>
      <c r="T52" s="938"/>
      <c r="U52" s="1008" t="s">
        <v>1059</v>
      </c>
      <c r="V52" s="1018" t="s">
        <v>5919</v>
      </c>
      <c r="W52" s="1019">
        <f>IF(I!W52="","",$D$2*I!W52)</f>
        <v>0.1090141802</v>
      </c>
      <c r="X52" s="990">
        <f>IF(I!X52="","",$D$2*I!X52)</f>
        <v>0.10681001992</v>
      </c>
      <c r="Y52" s="1010">
        <f>IF(I!Y52="","",$D$2*I!Y52)</f>
        <v>0.21498455020000001</v>
      </c>
      <c r="Z52" s="938"/>
      <c r="AA52" s="938"/>
      <c r="AB52" s="938"/>
      <c r="AC52" s="938"/>
      <c r="AD52" s="1058"/>
      <c r="AE52" s="938"/>
      <c r="AF52" s="938"/>
      <c r="AG52" s="938"/>
      <c r="AH52" s="938"/>
    </row>
    <row r="53" spans="1:34" ht="17.25" customHeight="1" x14ac:dyDescent="0.35">
      <c r="A53" s="938"/>
      <c r="B53" s="938"/>
      <c r="C53" s="941"/>
      <c r="D53" s="1047"/>
      <c r="E53" s="941"/>
      <c r="F53" s="938"/>
      <c r="G53" s="976">
        <f t="shared" si="1"/>
        <v>50</v>
      </c>
      <c r="H53" s="1000"/>
      <c r="I53" s="1026" t="s">
        <v>1101</v>
      </c>
      <c r="J53" s="1027"/>
      <c r="K53" s="1002" t="str">
        <f>IF(I!K53="","",$D$2*I!K53)</f>
        <v/>
      </c>
      <c r="L53" s="981"/>
      <c r="M53" s="982"/>
      <c r="N53" s="1003"/>
      <c r="O53" s="1004" t="str">
        <f>IF(I!O53="","",$D$2*I!O53)</f>
        <v/>
      </c>
      <c r="P53" s="1005" t="str">
        <f>IF(I!P53="","",$D$2*I!P53)</f>
        <v/>
      </c>
      <c r="Q53" s="1006" t="str">
        <f>IF(I!Q53="","",$D$2*I!Q53)</f>
        <v/>
      </c>
      <c r="R53" s="982"/>
      <c r="S53" s="1003"/>
      <c r="T53" s="938"/>
      <c r="U53" s="1008" t="s">
        <v>1059</v>
      </c>
      <c r="V53" s="1018" t="s">
        <v>5920</v>
      </c>
      <c r="W53" s="1019">
        <f>IF(I!W53="","",$D$2*I!W53)</f>
        <v>0.14120139379999999</v>
      </c>
      <c r="X53" s="990">
        <f>IF(I!X53="","",$D$2*I!X53)</f>
        <v>0.1392418453</v>
      </c>
      <c r="Y53" s="1010">
        <f>IF(I!Y53="","",$D$2*I!Y53)</f>
        <v>0.27978151379999999</v>
      </c>
      <c r="Z53" s="938"/>
      <c r="AA53" s="938"/>
      <c r="AB53" s="938"/>
      <c r="AC53" s="938"/>
      <c r="AD53" s="1058"/>
      <c r="AE53" s="938"/>
      <c r="AF53" s="938"/>
      <c r="AG53" s="938"/>
      <c r="AH53" s="938"/>
    </row>
    <row r="54" spans="1:34" ht="17.25" customHeight="1" x14ac:dyDescent="0.35">
      <c r="A54" s="938"/>
      <c r="B54" s="938"/>
      <c r="C54" s="941"/>
      <c r="D54" s="1047"/>
      <c r="E54" s="941"/>
      <c r="F54" s="938"/>
      <c r="G54" s="976">
        <f t="shared" si="1"/>
        <v>51</v>
      </c>
      <c r="H54" s="1000"/>
      <c r="I54" s="1001" t="s">
        <v>1059</v>
      </c>
      <c r="J54" s="1031" t="s">
        <v>1102</v>
      </c>
      <c r="K54" s="1002">
        <f>IF(I!K54="","",$D$2*I!K54)</f>
        <v>7.4631473609999999E-2</v>
      </c>
      <c r="L54" s="981"/>
      <c r="M54" s="982"/>
      <c r="N54" s="1003"/>
      <c r="O54" s="1004">
        <f>IF(I!O54="","",$D$2*I!O54)</f>
        <v>0.24</v>
      </c>
      <c r="P54" s="1005">
        <f>IF(I!P54="","",$D$2*I!P54)</f>
        <v>5.8100389320000001E-2</v>
      </c>
      <c r="Q54" s="1006">
        <f>IF(I!Q54="","",$D$2*I!Q54)</f>
        <v>5.1782983000000003E-10</v>
      </c>
      <c r="R54" s="982"/>
      <c r="S54" s="1003"/>
      <c r="T54" s="938"/>
      <c r="U54" s="1008" t="s">
        <v>1059</v>
      </c>
      <c r="V54" s="1018" t="s">
        <v>5921</v>
      </c>
      <c r="W54" s="1019">
        <f>IF(I!W54="","",$D$2*I!W54)</f>
        <v>0.14505295380000002</v>
      </c>
      <c r="X54" s="990">
        <f>IF(I!X54="","",$D$2*I!X54)</f>
        <v>8.2780717799999987E-2</v>
      </c>
      <c r="Y54" s="1010">
        <f>IF(I!Y54="","",$D$2*I!Y54)</f>
        <v>0.27811218380000002</v>
      </c>
      <c r="Z54" s="938"/>
      <c r="AA54" s="938"/>
      <c r="AB54" s="938"/>
      <c r="AC54" s="938"/>
      <c r="AD54" s="1058"/>
      <c r="AE54" s="938"/>
      <c r="AF54" s="938"/>
      <c r="AG54" s="938"/>
      <c r="AH54" s="938"/>
    </row>
    <row r="55" spans="1:34" ht="17.25" customHeight="1" x14ac:dyDescent="0.35">
      <c r="A55" s="938"/>
      <c r="B55" s="938"/>
      <c r="C55" s="941"/>
      <c r="D55" s="1047"/>
      <c r="E55" s="941"/>
      <c r="F55" s="938"/>
      <c r="G55" s="976">
        <f t="shared" si="1"/>
        <v>52</v>
      </c>
      <c r="H55" s="1000"/>
      <c r="I55" s="1001" t="s">
        <v>1059</v>
      </c>
      <c r="J55" s="1031" t="s">
        <v>1103</v>
      </c>
      <c r="K55" s="1002">
        <f>IF(I!K55="","",$D$2*I!K55)</f>
        <v>1.8703435454000002E-2</v>
      </c>
      <c r="L55" s="981"/>
      <c r="M55" s="982"/>
      <c r="N55" s="1003"/>
      <c r="O55" s="1004">
        <f>IF(I!O55="","",$D$2*I!O55)</f>
        <v>0.06</v>
      </c>
      <c r="P55" s="1005">
        <f>IF(I!P55="","",$D$2*I!P55)</f>
        <v>1.4832700576E-2</v>
      </c>
      <c r="Q55" s="1006">
        <f>IF(I!Q55="","",$D$2*I!Q55)</f>
        <v>5.1782983000000003E-10</v>
      </c>
      <c r="R55" s="982"/>
      <c r="S55" s="1003"/>
      <c r="T55" s="938"/>
      <c r="U55" s="1008" t="s">
        <v>1059</v>
      </c>
      <c r="V55" s="1018" t="s">
        <v>5922</v>
      </c>
      <c r="W55" s="1019">
        <f>IF(I!W55="","",$D$2*I!W55)</f>
        <v>0.12576525090000001</v>
      </c>
      <c r="X55" s="990">
        <f>IF(I!X55="","",$D$2*I!X55)</f>
        <v>8.3765852720000006E-2</v>
      </c>
      <c r="Y55" s="1010">
        <f>IF(I!Y55="","",$D$2*I!Y55)</f>
        <v>0.2487086409</v>
      </c>
      <c r="Z55" s="938"/>
      <c r="AA55" s="938"/>
      <c r="AB55" s="938"/>
      <c r="AC55" s="938"/>
      <c r="AD55" s="1058"/>
      <c r="AE55" s="938"/>
      <c r="AF55" s="938"/>
      <c r="AG55" s="938"/>
      <c r="AH55" s="938"/>
    </row>
    <row r="56" spans="1:34" ht="17.25" customHeight="1" x14ac:dyDescent="0.35">
      <c r="A56" s="938"/>
      <c r="B56" s="938"/>
      <c r="C56" s="941"/>
      <c r="D56" s="1047"/>
      <c r="E56" s="941"/>
      <c r="F56" s="938"/>
      <c r="G56" s="976">
        <f t="shared" si="1"/>
        <v>53</v>
      </c>
      <c r="H56" s="1000"/>
      <c r="I56" s="1001" t="s">
        <v>1059</v>
      </c>
      <c r="J56" s="1031" t="s">
        <v>1104</v>
      </c>
      <c r="K56" s="1002">
        <f>IF(I!K56="","",$D$2*I!K56)</f>
        <v>0.1617077019939</v>
      </c>
      <c r="L56" s="981"/>
      <c r="M56" s="982"/>
      <c r="N56" s="1003"/>
      <c r="O56" s="1004">
        <f>IF(I!O56="","",$D$2*I!O56)</f>
        <v>1.29</v>
      </c>
      <c r="P56" s="1005">
        <f>IF(I!P56="","",$D$2*I!P56)</f>
        <v>7.6288914330000009E-3</v>
      </c>
      <c r="Q56" s="1006">
        <f>IF(I!Q56="","",$D$2*I!Q56)</f>
        <v>5.1782983000000003E-10</v>
      </c>
      <c r="R56" s="982"/>
      <c r="S56" s="1003"/>
      <c r="T56" s="938"/>
      <c r="U56" s="1008"/>
      <c r="V56" s="1040"/>
      <c r="W56" s="1019" t="str">
        <f>IF(I!W56="","",$D$2*I!W56)</f>
        <v/>
      </c>
      <c r="X56" s="990" t="str">
        <f>IF(I!X56="","",$D$2*I!X56)</f>
        <v/>
      </c>
      <c r="Y56" s="1010" t="str">
        <f>IF(I!Y56="","",$D$2*I!Y56)</f>
        <v/>
      </c>
      <c r="Z56" s="938"/>
      <c r="AA56" s="938"/>
      <c r="AB56" s="938"/>
      <c r="AC56" s="938"/>
      <c r="AD56" s="1058"/>
      <c r="AE56" s="938"/>
      <c r="AF56" s="938"/>
      <c r="AG56" s="938"/>
      <c r="AH56" s="938"/>
    </row>
    <row r="57" spans="1:34" ht="17.25" customHeight="1" x14ac:dyDescent="0.35">
      <c r="A57" s="938"/>
      <c r="B57" s="938"/>
      <c r="C57" s="941"/>
      <c r="D57" s="1047"/>
      <c r="E57" s="941"/>
      <c r="F57" s="938"/>
      <c r="G57" s="976">
        <f t="shared" si="1"/>
        <v>54</v>
      </c>
      <c r="H57" s="1000"/>
      <c r="I57" s="1001" t="s">
        <v>1059</v>
      </c>
      <c r="J57" s="1031" t="s">
        <v>1105</v>
      </c>
      <c r="K57" s="1002">
        <f>IF(I!K57="","",$D$2*I!K57)</f>
        <v>1.0547263171E-2</v>
      </c>
      <c r="L57" s="981"/>
      <c r="M57" s="982"/>
      <c r="N57" s="1003"/>
      <c r="O57" s="1004">
        <f>IF(I!O57="","",$D$2*I!O57)</f>
        <v>0.03</v>
      </c>
      <c r="P57" s="1005">
        <f>IF(I!P57="","",$D$2*I!P57)</f>
        <v>8.5228290150000021E-3</v>
      </c>
      <c r="Q57" s="1006">
        <f>IF(I!Q57="","",$D$2*I!Q57)</f>
        <v>5.1782983000000003E-10</v>
      </c>
      <c r="R57" s="982"/>
      <c r="S57" s="1003"/>
      <c r="T57" s="938"/>
      <c r="U57" s="1008"/>
      <c r="V57" s="1061" t="s">
        <v>5923</v>
      </c>
      <c r="W57" s="1019" t="str">
        <f>IF(I!W57="","",$D$2*I!W57)</f>
        <v/>
      </c>
      <c r="X57" s="990" t="str">
        <f>IF(I!X57="","",$D$2*I!X57)</f>
        <v/>
      </c>
      <c r="Y57" s="1010" t="str">
        <f>IF(I!Y57="","",$D$2*I!Y57)</f>
        <v/>
      </c>
      <c r="Z57" s="938"/>
      <c r="AA57" s="938"/>
      <c r="AB57" s="938"/>
      <c r="AC57" s="938"/>
      <c r="AD57" s="1058"/>
      <c r="AE57" s="938"/>
      <c r="AF57" s="938"/>
      <c r="AG57" s="938"/>
      <c r="AH57" s="938"/>
    </row>
    <row r="58" spans="1:34" ht="17.25" customHeight="1" x14ac:dyDescent="0.35">
      <c r="A58" s="938"/>
      <c r="B58" s="938"/>
      <c r="C58" s="941"/>
      <c r="D58" s="1047"/>
      <c r="E58" s="941"/>
      <c r="F58" s="938"/>
      <c r="G58" s="976">
        <f t="shared" si="1"/>
        <v>55</v>
      </c>
      <c r="H58" s="1000"/>
      <c r="I58" s="1001" t="s">
        <v>1059</v>
      </c>
      <c r="J58" s="1031" t="s">
        <v>1106</v>
      </c>
      <c r="K58" s="1002">
        <f>IF(I!K58="","",$D$2*I!K58)</f>
        <v>1.5453231518E-2</v>
      </c>
      <c r="L58" s="981"/>
      <c r="M58" s="982"/>
      <c r="N58" s="1003"/>
      <c r="O58" s="1004">
        <f>IF(I!O58="","",$D$2*I!O58)</f>
        <v>0.05</v>
      </c>
      <c r="P58" s="1005">
        <f>IF(I!P58="","",$D$2*I!P58)</f>
        <v>1.2318240353999999E-2</v>
      </c>
      <c r="Q58" s="1006">
        <f>IF(I!Q58="","",$D$2*I!Q58)</f>
        <v>5.1782983000000003E-10</v>
      </c>
      <c r="R58" s="982"/>
      <c r="S58" s="1003"/>
      <c r="T58" s="938"/>
      <c r="U58" s="1008" t="s">
        <v>1059</v>
      </c>
      <c r="V58" s="1018" t="s">
        <v>5924</v>
      </c>
      <c r="W58" s="1019">
        <f>IF(I!W58="","",$D$2*I!W58)</f>
        <v>2.3442352452999997</v>
      </c>
      <c r="X58" s="990">
        <f>IF(I!X58="","",$D$2*I!X58)</f>
        <v>0.47653107643999998</v>
      </c>
      <c r="Y58" s="1010">
        <f>IF(I!Y58="","",$D$2*I!Y58)</f>
        <v>3.5777114452999994</v>
      </c>
      <c r="Z58" s="938"/>
      <c r="AA58" s="938"/>
      <c r="AB58" s="938"/>
      <c r="AC58" s="938"/>
      <c r="AD58" s="1058"/>
      <c r="AE58" s="938"/>
      <c r="AF58" s="938"/>
      <c r="AG58" s="938"/>
      <c r="AH58" s="938"/>
    </row>
    <row r="59" spans="1:34" ht="17.25" customHeight="1" x14ac:dyDescent="0.35">
      <c r="A59" s="938"/>
      <c r="B59" s="938"/>
      <c r="C59" s="941"/>
      <c r="D59" s="1047"/>
      <c r="E59" s="941"/>
      <c r="F59" s="938"/>
      <c r="G59" s="976">
        <f t="shared" si="1"/>
        <v>56</v>
      </c>
      <c r="H59" s="1000"/>
      <c r="I59" s="1026" t="s">
        <v>1107</v>
      </c>
      <c r="J59" s="1027"/>
      <c r="K59" s="1002" t="str">
        <f>IF(I!K59="","",$D$2*I!K59)</f>
        <v/>
      </c>
      <c r="L59" s="981"/>
      <c r="M59" s="982"/>
      <c r="N59" s="1003"/>
      <c r="O59" s="1004" t="str">
        <f>IF(I!O59="","",$D$2*I!O59)</f>
        <v/>
      </c>
      <c r="P59" s="1005" t="str">
        <f>IF(I!P59="","",$D$2*I!P59)</f>
        <v/>
      </c>
      <c r="Q59" s="1006" t="str">
        <f>IF(I!Q59="","",$D$2*I!Q59)</f>
        <v/>
      </c>
      <c r="R59" s="982"/>
      <c r="S59" s="1003"/>
      <c r="T59" s="938"/>
      <c r="U59" s="1008" t="s">
        <v>1059</v>
      </c>
      <c r="V59" s="1018" t="s">
        <v>5925</v>
      </c>
      <c r="W59" s="1019">
        <f>IF(I!W59="","",$D$2*I!W59)</f>
        <v>0.89311583960000007</v>
      </c>
      <c r="X59" s="990">
        <f>IF(I!X59="","",$D$2*I!X59)</f>
        <v>0.18134371545</v>
      </c>
      <c r="Y59" s="1010">
        <f>IF(I!Y59="","",$D$2*I!Y59)</f>
        <v>1.3570249196000002</v>
      </c>
      <c r="Z59" s="938"/>
      <c r="AA59" s="938"/>
      <c r="AB59" s="938"/>
      <c r="AC59" s="938"/>
      <c r="AD59" s="1058"/>
      <c r="AE59" s="938"/>
      <c r="AF59" s="938"/>
      <c r="AG59" s="938"/>
      <c r="AH59" s="938"/>
    </row>
    <row r="60" spans="1:34" ht="17.25" customHeight="1" x14ac:dyDescent="0.35">
      <c r="A60" s="938"/>
      <c r="B60" s="938"/>
      <c r="C60" s="941"/>
      <c r="D60" s="1047"/>
      <c r="E60" s="941"/>
      <c r="F60" s="938"/>
      <c r="G60" s="976">
        <f t="shared" si="1"/>
        <v>57</v>
      </c>
      <c r="H60" s="1000"/>
      <c r="I60" s="1001" t="s">
        <v>1059</v>
      </c>
      <c r="J60" s="1031" t="s">
        <v>1108</v>
      </c>
      <c r="K60" s="1002">
        <f>IF(I!K60="","",$D$2*I!K60)</f>
        <v>0.71215668109999997</v>
      </c>
      <c r="L60" s="981"/>
      <c r="M60" s="982"/>
      <c r="N60" s="1003"/>
      <c r="O60" s="1004">
        <f>IF(I!O60="","",$D$2*I!O60)</f>
        <v>2.25</v>
      </c>
      <c r="P60" s="1005">
        <f>IF(I!P60="","",$D$2*I!P60)</f>
        <v>0.70104358059999994</v>
      </c>
      <c r="Q60" s="1006">
        <f>IF(I!Q60="","",$D$2*I!Q60)</f>
        <v>0</v>
      </c>
      <c r="R60" s="982"/>
      <c r="S60" s="1003"/>
      <c r="T60" s="938"/>
      <c r="U60" s="1008" t="s">
        <v>1059</v>
      </c>
      <c r="V60" s="1018" t="s">
        <v>5926</v>
      </c>
      <c r="W60" s="1019">
        <f>IF(I!W60="","",$D$2*I!W60)</f>
        <v>0.82836457120000007</v>
      </c>
      <c r="X60" s="990">
        <f>IF(I!X60="","",$D$2*I!X60)</f>
        <v>0.16819621653</v>
      </c>
      <c r="Y60" s="1010">
        <f>IF(I!Y60="","",$D$2*I!Y60)</f>
        <v>1.2586400512</v>
      </c>
      <c r="Z60" s="938"/>
      <c r="AA60" s="938"/>
      <c r="AB60" s="938"/>
      <c r="AC60" s="938"/>
      <c r="AD60" s="1058"/>
      <c r="AE60" s="938"/>
      <c r="AF60" s="938"/>
      <c r="AG60" s="938"/>
      <c r="AH60" s="938"/>
    </row>
    <row r="61" spans="1:34" ht="17.25" customHeight="1" x14ac:dyDescent="0.35">
      <c r="A61" s="938"/>
      <c r="B61" s="938"/>
      <c r="C61" s="941"/>
      <c r="D61" s="1047"/>
      <c r="E61" s="941"/>
      <c r="F61" s="938"/>
      <c r="G61" s="976">
        <f t="shared" si="1"/>
        <v>58</v>
      </c>
      <c r="H61" s="1000"/>
      <c r="I61" s="1001" t="s">
        <v>1059</v>
      </c>
      <c r="J61" s="1031" t="s">
        <v>1109</v>
      </c>
      <c r="K61" s="1002">
        <f>IF(I!K61="","",$D$2*I!K61)</f>
        <v>0.62762036809999999</v>
      </c>
      <c r="L61" s="981"/>
      <c r="M61" s="982"/>
      <c r="N61" s="1003"/>
      <c r="O61" s="1004">
        <f>IF(I!O61="","",$D$2*I!O61)</f>
        <v>1.21</v>
      </c>
      <c r="P61" s="1005">
        <f>IF(I!P61="","",$D$2*I!P61)</f>
        <v>27.655840143999999</v>
      </c>
      <c r="Q61" s="1006">
        <f>IF(I!Q61="","",$D$2*I!Q61)</f>
        <v>0</v>
      </c>
      <c r="R61" s="982"/>
      <c r="S61" s="1003"/>
      <c r="T61" s="938"/>
      <c r="U61" s="1008" t="s">
        <v>1059</v>
      </c>
      <c r="V61" s="1018" t="s">
        <v>5927</v>
      </c>
      <c r="W61" s="1019">
        <f>IF(I!W61="","",$D$2*I!W61)</f>
        <v>2.9222055455000002</v>
      </c>
      <c r="X61" s="990">
        <f>IF(I!X61="","",$D$2*I!X61)</f>
        <v>0.59420179109999993</v>
      </c>
      <c r="Y61" s="1010">
        <f>IF(I!Y61="","",$D$2*I!Y61)</f>
        <v>4.5232722455000003</v>
      </c>
      <c r="Z61" s="938"/>
      <c r="AA61" s="938"/>
      <c r="AB61" s="938"/>
      <c r="AC61" s="938"/>
      <c r="AD61" s="1058"/>
      <c r="AE61" s="938"/>
      <c r="AF61" s="938"/>
      <c r="AG61" s="938"/>
      <c r="AH61" s="938"/>
    </row>
    <row r="62" spans="1:34" ht="17.25" customHeight="1" x14ac:dyDescent="0.35">
      <c r="A62" s="938"/>
      <c r="B62" s="938"/>
      <c r="C62" s="941"/>
      <c r="D62" s="1047"/>
      <c r="E62" s="941"/>
      <c r="F62" s="938"/>
      <c r="G62" s="976">
        <f t="shared" si="1"/>
        <v>59</v>
      </c>
      <c r="H62" s="1000"/>
      <c r="I62" s="1001" t="s">
        <v>1059</v>
      </c>
      <c r="J62" s="1031" t="s">
        <v>1110</v>
      </c>
      <c r="K62" s="1002">
        <f>IF(I!K62="","",$D$2*I!K62)</f>
        <v>0.89028691299999985</v>
      </c>
      <c r="L62" s="981"/>
      <c r="M62" s="982"/>
      <c r="N62" s="1003"/>
      <c r="O62" s="1004">
        <f>IF(I!O62="","",$D$2*I!O62)</f>
        <v>1.74</v>
      </c>
      <c r="P62" s="1005">
        <f>IF(I!P62="","",$D$2*I!P62)</f>
        <v>0.12863470626000001</v>
      </c>
      <c r="Q62" s="1006">
        <f>IF(I!Q62="","",$D$2*I!Q62)</f>
        <v>0</v>
      </c>
      <c r="R62" s="982"/>
      <c r="S62" s="1003"/>
      <c r="T62" s="938"/>
      <c r="U62" s="1008" t="s">
        <v>1059</v>
      </c>
      <c r="V62" s="1018" t="s">
        <v>5928</v>
      </c>
      <c r="W62" s="1019">
        <f>IF(I!W62="","",$D$2*I!W62)</f>
        <v>2.6308518509000001</v>
      </c>
      <c r="X62" s="990">
        <f>IF(I!X62="","",$D$2*I!X62)</f>
        <v>0.53486394463999998</v>
      </c>
      <c r="Y62" s="1010">
        <f>IF(I!Y62="","",$D$2*I!Y62)</f>
        <v>4.0631927508999999</v>
      </c>
      <c r="Z62" s="938"/>
      <c r="AA62" s="938"/>
      <c r="AB62" s="938"/>
      <c r="AC62" s="938"/>
      <c r="AD62" s="1058"/>
      <c r="AE62" s="938"/>
      <c r="AF62" s="938"/>
      <c r="AG62" s="938"/>
      <c r="AH62" s="938"/>
    </row>
    <row r="63" spans="1:34" ht="17.25" customHeight="1" x14ac:dyDescent="0.35">
      <c r="A63" s="938"/>
      <c r="B63" s="938"/>
      <c r="C63" s="941"/>
      <c r="D63" s="1047"/>
      <c r="E63" s="941"/>
      <c r="F63" s="938"/>
      <c r="G63" s="976">
        <f t="shared" si="1"/>
        <v>60</v>
      </c>
      <c r="H63" s="1000"/>
      <c r="I63" s="1001" t="s">
        <v>1059</v>
      </c>
      <c r="J63" s="1031" t="s">
        <v>1111</v>
      </c>
      <c r="K63" s="1002">
        <f>IF(I!K63="","",$D$2*I!K63)</f>
        <v>7.6051875E-3</v>
      </c>
      <c r="L63" s="981"/>
      <c r="M63" s="982"/>
      <c r="N63" s="1003"/>
      <c r="O63" s="1004">
        <f>IF(I!O63="","",$D$2*I!O63)</f>
        <v>7.0000000000000007E-2</v>
      </c>
      <c r="P63" s="1005">
        <f>IF(I!P63="","",$D$2*I!P63)</f>
        <v>0</v>
      </c>
      <c r="Q63" s="1006">
        <f>IF(I!Q63="","",$D$2*I!Q63)</f>
        <v>0</v>
      </c>
      <c r="R63" s="982"/>
      <c r="S63" s="1003"/>
      <c r="T63" s="938"/>
      <c r="U63" s="1008" t="s">
        <v>1059</v>
      </c>
      <c r="V63" s="1018" t="s">
        <v>5929</v>
      </c>
      <c r="W63" s="1019">
        <f>IF(I!W63="","",$D$2*I!W63)</f>
        <v>0.32699131740000004</v>
      </c>
      <c r="X63" s="990">
        <f>IF(I!X63="","",$D$2*I!X63)</f>
        <v>6.6394320679999994E-2</v>
      </c>
      <c r="Y63" s="1010">
        <f>IF(I!Y63="","",$D$2*I!Y63)</f>
        <v>0.49683965740000002</v>
      </c>
      <c r="Z63" s="938"/>
      <c r="AA63" s="938"/>
      <c r="AB63" s="938"/>
      <c r="AC63" s="938"/>
      <c r="AD63" s="1058"/>
      <c r="AE63" s="938"/>
      <c r="AF63" s="938"/>
      <c r="AG63" s="938"/>
      <c r="AH63" s="938"/>
    </row>
    <row r="64" spans="1:34" ht="17.25" customHeight="1" x14ac:dyDescent="0.35">
      <c r="A64" s="938"/>
      <c r="B64" s="938"/>
      <c r="C64" s="941"/>
      <c r="D64" s="1047"/>
      <c r="E64" s="941"/>
      <c r="F64" s="938"/>
      <c r="G64" s="976">
        <f t="shared" si="1"/>
        <v>61</v>
      </c>
      <c r="H64" s="1000"/>
      <c r="I64" s="1001" t="s">
        <v>1059</v>
      </c>
      <c r="J64" s="1031" t="s">
        <v>1112</v>
      </c>
      <c r="K64" s="1002">
        <f>IF(I!K64="","",$D$2*I!K64)</f>
        <v>6.8622232259999999E-2</v>
      </c>
      <c r="L64" s="981"/>
      <c r="M64" s="982"/>
      <c r="N64" s="1003"/>
      <c r="O64" s="1004">
        <f>IF(I!O64="","",$D$2*I!O64)</f>
        <v>0.22</v>
      </c>
      <c r="P64" s="1005">
        <f>IF(I!P64="","",$D$2*I!P64)</f>
        <v>5.3088315392999998E-2</v>
      </c>
      <c r="Q64" s="1006">
        <f>IF(I!Q64="","",$D$2*I!Q64)</f>
        <v>0</v>
      </c>
      <c r="R64" s="982"/>
      <c r="S64" s="1003"/>
      <c r="T64" s="938"/>
      <c r="U64" s="1008" t="s">
        <v>1059</v>
      </c>
      <c r="V64" s="1018" t="s">
        <v>5930</v>
      </c>
      <c r="W64" s="1019">
        <f>IF(I!W64="","",$D$2*I!W64)</f>
        <v>0.30362139444000003</v>
      </c>
      <c r="X64" s="990">
        <f>IF(I!X64="","",$D$2*I!X64)</f>
        <v>6.1649149189999988E-2</v>
      </c>
      <c r="Y64" s="1010">
        <f>IF(I!Y64="","",$D$2*I!Y64)</f>
        <v>0.46133074444</v>
      </c>
      <c r="Z64" s="938"/>
      <c r="AA64" s="938"/>
      <c r="AB64" s="938"/>
      <c r="AC64" s="938"/>
      <c r="AD64" s="1058"/>
      <c r="AE64" s="938"/>
      <c r="AF64" s="938"/>
      <c r="AG64" s="938"/>
      <c r="AH64" s="938"/>
    </row>
    <row r="65" spans="1:34" ht="17.25" customHeight="1" x14ac:dyDescent="0.35">
      <c r="A65" s="938"/>
      <c r="B65" s="938"/>
      <c r="C65" s="941"/>
      <c r="D65" s="1047"/>
      <c r="E65" s="941"/>
      <c r="F65" s="938"/>
      <c r="G65" s="976">
        <f t="shared" si="1"/>
        <v>62</v>
      </c>
      <c r="H65" s="1028">
        <v>1</v>
      </c>
      <c r="I65" s="1001" t="s">
        <v>1059</v>
      </c>
      <c r="J65" s="1031" t="s">
        <v>1113</v>
      </c>
      <c r="K65" s="1002">
        <f>IF(I!K65="","",$D$2*I!K65)</f>
        <v>5.2163417859999991E-2</v>
      </c>
      <c r="L65" s="981"/>
      <c r="M65" s="982"/>
      <c r="N65" s="1003"/>
      <c r="O65" s="1004">
        <f>IF(I!O65="","",$D$2*I!O65)</f>
        <v>0.12</v>
      </c>
      <c r="P65" s="1005">
        <f>IF(I!P65="","",$D$2*I!P65)</f>
        <v>4.7470691190000004E-3</v>
      </c>
      <c r="Q65" s="1006">
        <f>IF(I!Q65="","",$D$2*I!Q65)</f>
        <v>2.7023491E-11</v>
      </c>
      <c r="R65" s="982"/>
      <c r="S65" s="1003"/>
      <c r="T65" s="938"/>
      <c r="U65" s="1008"/>
      <c r="V65" s="1040"/>
      <c r="W65" s="1019" t="str">
        <f>IF(I!W65="","",$D$2*I!W65)</f>
        <v/>
      </c>
      <c r="X65" s="990" t="str">
        <f>IF(I!X65="","",$D$2*I!X65)</f>
        <v/>
      </c>
      <c r="Y65" s="1010" t="str">
        <f>IF(I!Y65="","",$D$2*I!Y65)</f>
        <v/>
      </c>
      <c r="Z65" s="938"/>
      <c r="AA65" s="938"/>
      <c r="AB65" s="938"/>
      <c r="AC65" s="938"/>
      <c r="AD65" s="1058"/>
      <c r="AE65" s="938"/>
      <c r="AF65" s="938"/>
      <c r="AG65" s="938"/>
      <c r="AH65" s="938"/>
    </row>
    <row r="66" spans="1:34" ht="17.25" customHeight="1" x14ac:dyDescent="0.35">
      <c r="A66" s="938"/>
      <c r="B66" s="938"/>
      <c r="C66" s="941"/>
      <c r="D66" s="1047"/>
      <c r="E66" s="941"/>
      <c r="F66" s="938"/>
      <c r="G66" s="976">
        <f t="shared" si="1"/>
        <v>63</v>
      </c>
      <c r="H66" s="1028"/>
      <c r="I66" s="1001" t="s">
        <v>1059</v>
      </c>
      <c r="J66" s="1031" t="s">
        <v>1114</v>
      </c>
      <c r="K66" s="1002">
        <f>IF(I!K66="","",$D$2*I!K66)</f>
        <v>8.4215448700000015E-2</v>
      </c>
      <c r="L66" s="981"/>
      <c r="M66" s="982"/>
      <c r="N66" s="1003"/>
      <c r="O66" s="1004">
        <f>IF(I!O66="","",$D$2*I!O66)</f>
        <v>0.21</v>
      </c>
      <c r="P66" s="1005">
        <f>IF(I!P66="","",$D$2*I!P66)</f>
        <v>0.31918328747899999</v>
      </c>
      <c r="Q66" s="1006">
        <f>IF(I!Q66="","",$D$2*I!Q66)</f>
        <v>0</v>
      </c>
      <c r="R66" s="982"/>
      <c r="S66" s="1003"/>
      <c r="T66" s="938"/>
      <c r="U66" s="1008"/>
      <c r="V66" s="1061" t="s">
        <v>5931</v>
      </c>
      <c r="W66" s="1019" t="str">
        <f>IF(I!W66="","",$D$2*I!W66)</f>
        <v/>
      </c>
      <c r="X66" s="990" t="str">
        <f>IF(I!X66="","",$D$2*I!X66)</f>
        <v/>
      </c>
      <c r="Y66" s="1010" t="str">
        <f>IF(I!Y66="","",$D$2*I!Y66)</f>
        <v/>
      </c>
      <c r="Z66" s="938"/>
      <c r="AA66" s="938"/>
      <c r="AB66" s="938"/>
      <c r="AC66" s="938"/>
      <c r="AD66" s="1058"/>
      <c r="AE66" s="938"/>
      <c r="AF66" s="938"/>
      <c r="AG66" s="938"/>
      <c r="AH66" s="938"/>
    </row>
    <row r="67" spans="1:34" ht="17.25" customHeight="1" x14ac:dyDescent="0.35">
      <c r="A67" s="938"/>
      <c r="B67" s="938"/>
      <c r="C67" s="941"/>
      <c r="D67" s="1047"/>
      <c r="E67" s="941"/>
      <c r="F67" s="938"/>
      <c r="G67" s="976">
        <f t="shared" si="1"/>
        <v>64</v>
      </c>
      <c r="H67" s="1000"/>
      <c r="I67" s="1001" t="s">
        <v>1059</v>
      </c>
      <c r="J67" s="1031" t="s">
        <v>1115</v>
      </c>
      <c r="K67" s="1002">
        <f>IF(I!K67="","",$D$2*I!K67)</f>
        <v>8.714406911E-2</v>
      </c>
      <c r="L67" s="981"/>
      <c r="M67" s="982"/>
      <c r="N67" s="1003"/>
      <c r="O67" s="1004">
        <f>IF(I!O67="","",$D$2*I!O67)</f>
        <v>0.45</v>
      </c>
      <c r="P67" s="1005">
        <f>IF(I!P67="","",$D$2*I!P67)</f>
        <v>5.3963895902000008E-4</v>
      </c>
      <c r="Q67" s="1006">
        <f>IF(I!Q67="","",$D$2*I!Q67)</f>
        <v>5.6996596999999997E-11</v>
      </c>
      <c r="R67" s="982"/>
      <c r="S67" s="1003"/>
      <c r="T67" s="938"/>
      <c r="U67" s="1062" t="s">
        <v>1176</v>
      </c>
      <c r="V67" s="1018" t="s">
        <v>5932</v>
      </c>
      <c r="W67" s="1019">
        <f>IF(I!W67="","",$D$2*I!W67)</f>
        <v>3.2253640859999998E-3</v>
      </c>
      <c r="X67" s="990">
        <f>IF(I!X67="","",$D$2*I!X67)</f>
        <v>9.8369533540000002E-4</v>
      </c>
      <c r="Y67" s="1010">
        <f>IF(I!Y67="","",$D$2*I!Y67)</f>
        <v>4.3430803860000002E-3</v>
      </c>
      <c r="Z67" s="938"/>
      <c r="AA67" s="938"/>
      <c r="AB67" s="938"/>
      <c r="AC67" s="938"/>
      <c r="AD67" s="1058"/>
      <c r="AE67" s="938"/>
      <c r="AF67" s="938"/>
      <c r="AG67" s="938"/>
      <c r="AH67" s="938"/>
    </row>
    <row r="68" spans="1:34" ht="17.25" customHeight="1" x14ac:dyDescent="0.35">
      <c r="A68" s="938"/>
      <c r="B68" s="938"/>
      <c r="C68" s="941"/>
      <c r="D68" s="1047"/>
      <c r="E68" s="941"/>
      <c r="F68" s="938"/>
      <c r="G68" s="976">
        <f t="shared" si="1"/>
        <v>65</v>
      </c>
      <c r="H68" s="1000"/>
      <c r="I68" s="1001" t="s">
        <v>1059</v>
      </c>
      <c r="J68" s="1031" t="s">
        <v>1116</v>
      </c>
      <c r="K68" s="1002">
        <f>IF(I!K68="","",$D$2*I!K68)</f>
        <v>2.6913520429999997E-2</v>
      </c>
      <c r="L68" s="981"/>
      <c r="M68" s="982"/>
      <c r="N68" s="1003"/>
      <c r="O68" s="1004">
        <f>IF(I!O68="","",$D$2*I!O68)</f>
        <v>0.16</v>
      </c>
      <c r="P68" s="1005">
        <f>IF(I!P68="","",$D$2*I!P68)</f>
        <v>1.8266217632999999E-4</v>
      </c>
      <c r="Q68" s="1006">
        <f>IF(I!Q68="","",$D$2*I!Q68)</f>
        <v>0</v>
      </c>
      <c r="R68" s="982"/>
      <c r="S68" s="1003"/>
      <c r="T68" s="938"/>
      <c r="U68" s="1062" t="s">
        <v>1176</v>
      </c>
      <c r="V68" s="1018" t="s">
        <v>5933</v>
      </c>
      <c r="W68" s="1019">
        <f>IF(I!W68="","",$D$2*I!W68)</f>
        <v>4.4233548589999991E-2</v>
      </c>
      <c r="X68" s="990">
        <f>IF(I!X68="","",$D$2*I!X68)</f>
        <v>1.6295832549000001E-2</v>
      </c>
      <c r="Y68" s="1010">
        <f>IF(I!Y68="","",$D$2*I!Y68)</f>
        <v>6.9395784589999995E-2</v>
      </c>
      <c r="Z68" s="938"/>
      <c r="AA68" s="938"/>
      <c r="AB68" s="938"/>
      <c r="AC68" s="938"/>
      <c r="AD68" s="1058"/>
      <c r="AE68" s="938"/>
      <c r="AF68" s="938"/>
      <c r="AG68" s="938"/>
      <c r="AH68" s="938"/>
    </row>
    <row r="69" spans="1:34" ht="17.25" customHeight="1" x14ac:dyDescent="0.35">
      <c r="A69" s="938"/>
      <c r="B69" s="938"/>
      <c r="C69" s="941"/>
      <c r="D69" s="1047"/>
      <c r="E69" s="941"/>
      <c r="F69" s="938"/>
      <c r="G69" s="976">
        <f t="shared" si="1"/>
        <v>66</v>
      </c>
      <c r="H69" s="1000"/>
      <c r="I69" s="1001" t="s">
        <v>1059</v>
      </c>
      <c r="J69" s="1031" t="s">
        <v>1117</v>
      </c>
      <c r="K69" s="1002">
        <f>IF(I!K69="","",$D$2*I!K69)</f>
        <v>8.7215264260000008E-2</v>
      </c>
      <c r="L69" s="981"/>
      <c r="M69" s="982"/>
      <c r="N69" s="1003"/>
      <c r="O69" s="1004">
        <f>IF(I!O69="","",$D$2*I!O69)</f>
        <v>0.45</v>
      </c>
      <c r="P69" s="1005">
        <f>IF(I!P69="","",$D$2*I!P69)</f>
        <v>5.4007984075999998E-4</v>
      </c>
      <c r="Q69" s="1006">
        <f>IF(I!Q69="","",$D$2*I!Q69)</f>
        <v>5.7043163000000001E-11</v>
      </c>
      <c r="R69" s="982"/>
      <c r="S69" s="1003"/>
      <c r="T69" s="938"/>
      <c r="U69" s="1008"/>
      <c r="V69" s="1040"/>
      <c r="W69" s="1019" t="str">
        <f>IF(I!W69="","",$D$2*I!W69)</f>
        <v/>
      </c>
      <c r="X69" s="990" t="str">
        <f>IF(I!X69="","",$D$2*I!X69)</f>
        <v/>
      </c>
      <c r="Y69" s="1010" t="str">
        <f>IF(I!Y69="","",$D$2*I!Y69)</f>
        <v/>
      </c>
      <c r="Z69" s="938"/>
      <c r="AA69" s="938"/>
      <c r="AB69" s="938"/>
      <c r="AC69" s="938"/>
      <c r="AD69" s="1058"/>
      <c r="AE69" s="938"/>
      <c r="AF69" s="938"/>
      <c r="AG69" s="938"/>
      <c r="AH69" s="938"/>
    </row>
    <row r="70" spans="1:34" ht="17.25" customHeight="1" x14ac:dyDescent="0.35">
      <c r="A70" s="938"/>
      <c r="B70" s="938"/>
      <c r="C70" s="941"/>
      <c r="D70" s="1047"/>
      <c r="E70" s="941"/>
      <c r="F70" s="938"/>
      <c r="G70" s="976">
        <f t="shared" ref="G70:G133" si="3">G69+1</f>
        <v>67</v>
      </c>
      <c r="H70" s="1000"/>
      <c r="I70" s="1001" t="s">
        <v>1059</v>
      </c>
      <c r="J70" s="1031" t="s">
        <v>1054</v>
      </c>
      <c r="K70" s="1002">
        <f>IF(I!K70="","",$D$2*I!K70)</f>
        <v>3.6410086039999998E-2</v>
      </c>
      <c r="L70" s="981"/>
      <c r="M70" s="982"/>
      <c r="N70" s="1003"/>
      <c r="O70" s="1004">
        <f>IF(I!O70="","",$D$2*I!O70)</f>
        <v>0.1</v>
      </c>
      <c r="P70" s="1005">
        <f>IF(I!P70="","",$D$2*I!P70)</f>
        <v>5.782111135E-4</v>
      </c>
      <c r="Q70" s="1006">
        <f>IF(I!Q70="","",$D$2*I!Q70)</f>
        <v>5.1782983000000003E-10</v>
      </c>
      <c r="R70" s="982"/>
      <c r="S70" s="1003"/>
      <c r="T70" s="938"/>
      <c r="U70" s="1008"/>
      <c r="V70" s="1061" t="s">
        <v>5934</v>
      </c>
      <c r="W70" s="1019" t="str">
        <f>IF(I!W70="","",$D$2*I!W70)</f>
        <v/>
      </c>
      <c r="X70" s="990" t="str">
        <f>IF(I!X70="","",$D$2*I!X70)</f>
        <v/>
      </c>
      <c r="Y70" s="1010" t="str">
        <f>IF(I!Y70="","",$D$2*I!Y70)</f>
        <v/>
      </c>
      <c r="Z70" s="938"/>
      <c r="AA70" s="938"/>
      <c r="AB70" s="938"/>
      <c r="AC70" s="938"/>
      <c r="AD70" s="1058"/>
      <c r="AE70" s="938"/>
      <c r="AF70" s="938"/>
      <c r="AG70" s="938"/>
      <c r="AH70" s="938"/>
    </row>
    <row r="71" spans="1:34" ht="17.25" customHeight="1" x14ac:dyDescent="0.35">
      <c r="A71" s="938"/>
      <c r="B71" s="938"/>
      <c r="C71" s="941"/>
      <c r="D71" s="1047"/>
      <c r="E71" s="941"/>
      <c r="F71" s="938"/>
      <c r="G71" s="976">
        <f t="shared" si="3"/>
        <v>68</v>
      </c>
      <c r="H71" s="1000"/>
      <c r="I71" s="1001" t="s">
        <v>1059</v>
      </c>
      <c r="J71" s="1031" t="s">
        <v>1118</v>
      </c>
      <c r="K71" s="1002">
        <f>IF(I!K71="","",$D$2*I!K71)</f>
        <v>0.14349957251000001</v>
      </c>
      <c r="L71" s="981"/>
      <c r="M71" s="982"/>
      <c r="N71" s="1003"/>
      <c r="O71" s="1004">
        <f>IF(I!O71="","",$D$2*I!O71)</f>
        <v>0.45</v>
      </c>
      <c r="P71" s="1005">
        <f>IF(I!P71="","",$D$2*I!P71)</f>
        <v>8.0710157908099998</v>
      </c>
      <c r="Q71" s="1006">
        <f>IF(I!Q71="","",$D$2*I!Q71)</f>
        <v>0</v>
      </c>
      <c r="R71" s="982"/>
      <c r="S71" s="1003"/>
      <c r="T71" s="938"/>
      <c r="U71" s="1008" t="s">
        <v>1059</v>
      </c>
      <c r="V71" s="1018" t="s">
        <v>5935</v>
      </c>
      <c r="W71" s="1019">
        <f>IF(I!W71="","",$D$2*I!W71)</f>
        <v>0.13135951479999999</v>
      </c>
      <c r="X71" s="990">
        <f>IF(I!X71="","",$D$2*I!X71)</f>
        <v>0.15557091655999999</v>
      </c>
      <c r="Y71" s="1010">
        <f>IF(I!Y71="","",$D$2*I!Y71)</f>
        <v>0.28134877479999998</v>
      </c>
      <c r="Z71" s="938"/>
      <c r="AA71" s="938"/>
      <c r="AB71" s="938"/>
      <c r="AC71" s="938"/>
      <c r="AD71" s="1058"/>
      <c r="AE71" s="938"/>
      <c r="AF71" s="938"/>
      <c r="AG71" s="938"/>
      <c r="AH71" s="938"/>
    </row>
    <row r="72" spans="1:34" ht="17.25" customHeight="1" x14ac:dyDescent="0.35">
      <c r="A72" s="938"/>
      <c r="B72" s="938"/>
      <c r="C72" s="941"/>
      <c r="D72" s="1047"/>
      <c r="E72" s="941"/>
      <c r="F72" s="938"/>
      <c r="G72" s="976">
        <f t="shared" si="3"/>
        <v>69</v>
      </c>
      <c r="H72" s="1000"/>
      <c r="I72" s="1001" t="s">
        <v>1059</v>
      </c>
      <c r="J72" s="1031" t="s">
        <v>1119</v>
      </c>
      <c r="K72" s="1002">
        <f>IF(I!K72="","",$D$2*I!K72)</f>
        <v>8.1769845899999999E-2</v>
      </c>
      <c r="L72" s="981"/>
      <c r="M72" s="982"/>
      <c r="N72" s="1003"/>
      <c r="O72" s="1004">
        <f>IF(I!O72="","",$D$2*I!O72)</f>
        <v>0.28999999999999998</v>
      </c>
      <c r="P72" s="1005">
        <f>IF(I!P72="","",$D$2*I!P72)</f>
        <v>1.1664159715000001E-2</v>
      </c>
      <c r="Q72" s="1006">
        <f>IF(I!Q72="","",$D$2*I!Q72)</f>
        <v>9.3808269E-11</v>
      </c>
      <c r="R72" s="982"/>
      <c r="S72" s="1003"/>
      <c r="T72" s="938"/>
      <c r="U72" s="1008" t="s">
        <v>1059</v>
      </c>
      <c r="V72" s="1018" t="s">
        <v>5936</v>
      </c>
      <c r="W72" s="1019">
        <f>IF(I!W72="","",$D$2*I!W72)</f>
        <v>0.10756712719999999</v>
      </c>
      <c r="X72" s="990">
        <f>IF(I!X72="","",$D$2*I!X72)</f>
        <v>0.42007295442999998</v>
      </c>
      <c r="Y72" s="1010">
        <f>IF(I!Y72="","",$D$2*I!Y72)</f>
        <v>0.3543083272</v>
      </c>
      <c r="Z72" s="938"/>
      <c r="AA72" s="938"/>
      <c r="AB72" s="938"/>
      <c r="AC72" s="938"/>
      <c r="AD72" s="1058"/>
      <c r="AE72" s="938"/>
      <c r="AF72" s="938"/>
      <c r="AG72" s="938"/>
      <c r="AH72" s="938"/>
    </row>
    <row r="73" spans="1:34" ht="17.25" customHeight="1" x14ac:dyDescent="0.35">
      <c r="A73" s="938"/>
      <c r="B73" s="938"/>
      <c r="C73" s="941"/>
      <c r="D73" s="1047"/>
      <c r="E73" s="941"/>
      <c r="F73" s="938"/>
      <c r="G73" s="976">
        <f t="shared" si="3"/>
        <v>70</v>
      </c>
      <c r="H73" s="1000"/>
      <c r="I73" s="1001" t="s">
        <v>1059</v>
      </c>
      <c r="J73" s="1031" t="s">
        <v>1120</v>
      </c>
      <c r="K73" s="1002">
        <f>IF(I!K73="","",$D$2*I!K73)</f>
        <v>0.26264015699999999</v>
      </c>
      <c r="L73" s="981"/>
      <c r="M73" s="982"/>
      <c r="N73" s="1003"/>
      <c r="O73" s="1004">
        <f>IF(I!O73="","",$D$2*I!O73)</f>
        <v>0.57999999999999996</v>
      </c>
      <c r="P73" s="1005">
        <f>IF(I!P73="","",$D$2*I!P73)</f>
        <v>0.92306068452699996</v>
      </c>
      <c r="Q73" s="1006">
        <f>IF(I!Q73="","",$D$2*I!Q73)</f>
        <v>1.2327035E-9</v>
      </c>
      <c r="R73" s="982"/>
      <c r="S73" s="1003"/>
      <c r="T73" s="938"/>
      <c r="U73" s="1008" t="s">
        <v>1059</v>
      </c>
      <c r="V73" s="1018" t="s">
        <v>5937</v>
      </c>
      <c r="W73" s="1019">
        <f>IF(I!W73="","",$D$2*I!W73)</f>
        <v>7.6270262199999994E-2</v>
      </c>
      <c r="X73" s="990">
        <f>IF(I!X73="","",$D$2*I!X73)</f>
        <v>0.24078076210000002</v>
      </c>
      <c r="Y73" s="1010">
        <f>IF(I!Y73="","",$D$2*I!Y73)</f>
        <v>0.28188111220000001</v>
      </c>
      <c r="Z73" s="938"/>
      <c r="AA73" s="938"/>
      <c r="AB73" s="938"/>
      <c r="AC73" s="938"/>
      <c r="AD73" s="1058"/>
      <c r="AE73" s="938"/>
      <c r="AF73" s="938"/>
      <c r="AG73" s="938"/>
      <c r="AH73" s="938"/>
    </row>
    <row r="74" spans="1:34" ht="17.25" customHeight="1" x14ac:dyDescent="0.35">
      <c r="A74" s="938"/>
      <c r="B74" s="938"/>
      <c r="C74" s="941"/>
      <c r="D74" s="1047"/>
      <c r="E74" s="941"/>
      <c r="F74" s="938"/>
      <c r="G74" s="976">
        <f t="shared" si="3"/>
        <v>71</v>
      </c>
      <c r="H74" s="942" t="s">
        <v>1121</v>
      </c>
      <c r="I74" s="1026"/>
      <c r="J74" s="1031"/>
      <c r="K74" s="1002" t="str">
        <f>IF(I!K74="","",$D$2*I!K74)</f>
        <v/>
      </c>
      <c r="L74" s="981"/>
      <c r="M74" s="982"/>
      <c r="N74" s="1003"/>
      <c r="O74" s="1004" t="str">
        <f>IF(I!O74="","",$D$2*I!O74)</f>
        <v/>
      </c>
      <c r="P74" s="1005" t="str">
        <f>IF(I!P74="","",$D$2*I!P74)</f>
        <v/>
      </c>
      <c r="Q74" s="1006" t="str">
        <f>IF(I!Q74="","",$D$2*I!Q74)</f>
        <v/>
      </c>
      <c r="R74" s="982"/>
      <c r="S74" s="1003"/>
      <c r="T74" s="938"/>
      <c r="U74" s="1008" t="s">
        <v>1059</v>
      </c>
      <c r="V74" s="1018" t="s">
        <v>5938</v>
      </c>
      <c r="W74" s="1019">
        <f>IF(I!W74="","",$D$2*I!W74)</f>
        <v>4.32956049E-2</v>
      </c>
      <c r="X74" s="990">
        <f>IF(I!X74="","",$D$2*I!X74)</f>
        <v>0.12572356741999999</v>
      </c>
      <c r="Y74" s="1010">
        <f>IF(I!Y74="","",$D$2*I!Y74)</f>
        <v>0.20485970489999999</v>
      </c>
      <c r="Z74" s="938"/>
      <c r="AA74" s="938"/>
      <c r="AB74" s="938"/>
      <c r="AC74" s="938"/>
      <c r="AD74" s="1058"/>
      <c r="AE74" s="938"/>
      <c r="AF74" s="938"/>
      <c r="AG74" s="938"/>
      <c r="AH74" s="938"/>
    </row>
    <row r="75" spans="1:34" ht="17.25" customHeight="1" x14ac:dyDescent="0.35">
      <c r="A75" s="938"/>
      <c r="B75" s="938"/>
      <c r="C75" s="941"/>
      <c r="D75" s="1047"/>
      <c r="E75" s="941"/>
      <c r="F75" s="938"/>
      <c r="G75" s="976">
        <f t="shared" si="3"/>
        <v>72</v>
      </c>
      <c r="H75" s="1000"/>
      <c r="I75" s="1001" t="s">
        <v>1059</v>
      </c>
      <c r="J75" s="1031" t="s">
        <v>1122</v>
      </c>
      <c r="K75" s="1002">
        <f>IF(I!K75="","",$D$2*I!K75)</f>
        <v>4.2552128979999992E-2</v>
      </c>
      <c r="L75" s="981"/>
      <c r="M75" s="982"/>
      <c r="N75" s="1003"/>
      <c r="O75" s="1004">
        <f>IF(I!O75="","",$D$2*I!O75)</f>
        <v>0.21</v>
      </c>
      <c r="P75" s="1005">
        <f>IF(I!P75="","",$D$2*I!P75)</f>
        <v>0.46541404776000006</v>
      </c>
      <c r="Q75" s="1006">
        <f>IF(I!Q75="","",$D$2*I!Q75)</f>
        <v>3.4062846000000001E-10</v>
      </c>
      <c r="R75" s="982"/>
      <c r="S75" s="1003"/>
      <c r="T75" s="938"/>
      <c r="U75" s="1008" t="s">
        <v>1059</v>
      </c>
      <c r="V75" s="1018" t="s">
        <v>5939</v>
      </c>
      <c r="W75" s="1019">
        <f>IF(I!W75="","",$D$2*I!W75)</f>
        <v>0.2195218384</v>
      </c>
      <c r="X75" s="990">
        <f>IF(I!X75="","",$D$2*I!X75)</f>
        <v>0.69143448614999992</v>
      </c>
      <c r="Y75" s="1010">
        <f>IF(I!Y75="","",$D$2*I!Y75)</f>
        <v>0.42419774840000002</v>
      </c>
      <c r="Z75" s="938"/>
      <c r="AA75" s="938"/>
      <c r="AB75" s="938"/>
      <c r="AC75" s="938"/>
      <c r="AD75" s="1058"/>
      <c r="AE75" s="938"/>
      <c r="AF75" s="938"/>
      <c r="AG75" s="938"/>
      <c r="AH75" s="938"/>
    </row>
    <row r="76" spans="1:34" ht="17.25" customHeight="1" x14ac:dyDescent="0.35">
      <c r="A76" s="938"/>
      <c r="B76" s="938"/>
      <c r="C76" s="941"/>
      <c r="D76" s="1047"/>
      <c r="E76" s="941"/>
      <c r="F76" s="938"/>
      <c r="G76" s="976">
        <f t="shared" si="3"/>
        <v>73</v>
      </c>
      <c r="H76" s="1000"/>
      <c r="I76" s="1001" t="s">
        <v>1059</v>
      </c>
      <c r="J76" s="1031" t="s">
        <v>1123</v>
      </c>
      <c r="K76" s="1002">
        <f>IF(I!K76="","",$D$2*I!K76)</f>
        <v>2.4631674663999997E-2</v>
      </c>
      <c r="L76" s="981"/>
      <c r="M76" s="982"/>
      <c r="N76" s="1003"/>
      <c r="O76" s="1004">
        <f>IF(I!O76="","",$D$2*I!O76)</f>
        <v>0.08</v>
      </c>
      <c r="P76" s="1005">
        <f>IF(I!P76="","",$D$2*I!P76)</f>
        <v>0.450634596956</v>
      </c>
      <c r="Q76" s="1006">
        <f>IF(I!Q76="","",$D$2*I!Q76)</f>
        <v>2.2318465000000001E-10</v>
      </c>
      <c r="R76" s="982"/>
      <c r="S76" s="1003"/>
      <c r="T76" s="938"/>
      <c r="U76" s="1008" t="s">
        <v>1059</v>
      </c>
      <c r="V76" s="1018" t="s">
        <v>5940</v>
      </c>
      <c r="W76" s="1019">
        <f>IF(I!W76="","",$D$2*I!W76)</f>
        <v>8.4978787200000003E-2</v>
      </c>
      <c r="X76" s="990">
        <f>IF(I!X76="","",$D$2*I!X76)</f>
        <v>9.9946700969999996E-2</v>
      </c>
      <c r="Y76" s="1010">
        <f>IF(I!Y76="","",$D$2*I!Y76)</f>
        <v>0.2022371372</v>
      </c>
      <c r="Z76" s="938"/>
      <c r="AA76" s="938"/>
      <c r="AB76" s="938"/>
      <c r="AC76" s="938"/>
      <c r="AD76" s="1058"/>
      <c r="AE76" s="938"/>
      <c r="AF76" s="938"/>
      <c r="AG76" s="938"/>
      <c r="AH76" s="938"/>
    </row>
    <row r="77" spans="1:34" ht="17.25" customHeight="1" x14ac:dyDescent="0.35">
      <c r="A77" s="938"/>
      <c r="B77" s="938"/>
      <c r="C77" s="941"/>
      <c r="D77" s="1047"/>
      <c r="E77" s="941"/>
      <c r="F77" s="938"/>
      <c r="G77" s="976">
        <f t="shared" si="3"/>
        <v>74</v>
      </c>
      <c r="H77" s="1000"/>
      <c r="I77" s="1001" t="s">
        <v>1059</v>
      </c>
      <c r="J77" s="1031" t="s">
        <v>1124</v>
      </c>
      <c r="K77" s="1002">
        <f>IF(I!K77="","",$D$2*I!K77)</f>
        <v>7.4410714480000001E-2</v>
      </c>
      <c r="L77" s="981"/>
      <c r="M77" s="982"/>
      <c r="N77" s="1003"/>
      <c r="O77" s="1004">
        <f>IF(I!O77="","",$D$2*I!O77)</f>
        <v>0.45</v>
      </c>
      <c r="P77" s="1005">
        <f>IF(I!P77="","",$D$2*I!P77)</f>
        <v>0.49168864024999998</v>
      </c>
      <c r="Q77" s="1006">
        <f>IF(I!Q77="","",$D$2*I!Q77)</f>
        <v>5.4941744999999996E-10</v>
      </c>
      <c r="R77" s="982"/>
      <c r="S77" s="1003"/>
      <c r="T77" s="938"/>
      <c r="U77" s="1008" t="s">
        <v>1059</v>
      </c>
      <c r="V77" s="1018" t="s">
        <v>5941</v>
      </c>
      <c r="W77" s="1019">
        <f>IF(I!W77="","",$D$2*I!W77)</f>
        <v>6.6069319300000012E-2</v>
      </c>
      <c r="X77" s="990">
        <f>IF(I!X77="","",$D$2*I!X77)</f>
        <v>0.12464913037999999</v>
      </c>
      <c r="Y77" s="1010">
        <f>IF(I!Y77="","",$D$2*I!Y77)</f>
        <v>0.11585816230000001</v>
      </c>
      <c r="Z77" s="938"/>
      <c r="AA77" s="938"/>
      <c r="AB77" s="938"/>
      <c r="AC77" s="938"/>
      <c r="AD77" s="1058"/>
      <c r="AE77" s="938"/>
      <c r="AF77" s="938"/>
      <c r="AG77" s="938"/>
      <c r="AH77" s="938"/>
    </row>
    <row r="78" spans="1:34" ht="17.25" customHeight="1" x14ac:dyDescent="0.35">
      <c r="A78" s="938"/>
      <c r="B78" s="938"/>
      <c r="C78" s="941"/>
      <c r="D78" s="1047"/>
      <c r="E78" s="941"/>
      <c r="F78" s="938"/>
      <c r="G78" s="976">
        <f t="shared" si="3"/>
        <v>75</v>
      </c>
      <c r="H78" s="1000"/>
      <c r="I78" s="1001" t="s">
        <v>1059</v>
      </c>
      <c r="J78" s="1031" t="s">
        <v>1125</v>
      </c>
      <c r="K78" s="1002">
        <f>IF(I!K78="","",$D$2*I!K78)</f>
        <v>0.14026837879999998</v>
      </c>
      <c r="L78" s="981"/>
      <c r="M78" s="982"/>
      <c r="N78" s="1003"/>
      <c r="O78" s="1004">
        <f>IF(I!O78="","",$D$2*I!O78)</f>
        <v>0.41</v>
      </c>
      <c r="P78" s="1005">
        <f>IF(I!P78="","",$D$2*I!P78)</f>
        <v>0.64324501000000001</v>
      </c>
      <c r="Q78" s="1006">
        <f>IF(I!Q78="","",$D$2*I!Q78)</f>
        <v>0</v>
      </c>
      <c r="R78" s="982"/>
      <c r="S78" s="1003"/>
      <c r="T78" s="938"/>
      <c r="U78" s="1008" t="s">
        <v>1059</v>
      </c>
      <c r="V78" s="1018" t="s">
        <v>5942</v>
      </c>
      <c r="W78" s="1019">
        <f>IF(I!W78="","",$D$2*I!W78)</f>
        <v>0.13045795200000002</v>
      </c>
      <c r="X78" s="990">
        <f>IF(I!X78="","",$D$2*I!X78)</f>
        <v>0.25805862245</v>
      </c>
      <c r="Y78" s="1010">
        <f>IF(I!Y78="","",$D$2*I!Y78)</f>
        <v>0.22071832700000002</v>
      </c>
      <c r="Z78" s="938"/>
      <c r="AA78" s="938"/>
      <c r="AB78" s="938"/>
      <c r="AC78" s="938"/>
      <c r="AD78" s="1058"/>
      <c r="AE78" s="938"/>
      <c r="AF78" s="938"/>
      <c r="AG78" s="938"/>
      <c r="AH78" s="938"/>
    </row>
    <row r="79" spans="1:34" ht="17.25" customHeight="1" x14ac:dyDescent="0.35">
      <c r="A79" s="938"/>
      <c r="B79" s="938"/>
      <c r="C79" s="941"/>
      <c r="D79" s="1047"/>
      <c r="E79" s="941"/>
      <c r="F79" s="938"/>
      <c r="G79" s="976">
        <f t="shared" si="3"/>
        <v>76</v>
      </c>
      <c r="H79" s="1000"/>
      <c r="I79" s="1001" t="s">
        <v>1059</v>
      </c>
      <c r="J79" s="1031" t="s">
        <v>1126</v>
      </c>
      <c r="K79" s="1002">
        <f>IF(I!K79="","",$D$2*I!K79)</f>
        <v>5.5230978659999999E-2</v>
      </c>
      <c r="L79" s="981"/>
      <c r="M79" s="982"/>
      <c r="N79" s="1003"/>
      <c r="O79" s="1004">
        <f>IF(I!O79="","",$D$2*I!O79)</f>
        <v>0.22</v>
      </c>
      <c r="P79" s="1005">
        <f>IF(I!P79="","",$D$2*I!P79)</f>
        <v>3.4105330359999997E-4</v>
      </c>
      <c r="Q79" s="1006">
        <f>IF(I!Q79="","",$D$2*I!Q79)</f>
        <v>0</v>
      </c>
      <c r="R79" s="982"/>
      <c r="S79" s="1003"/>
      <c r="T79" s="938"/>
      <c r="U79" s="1008" t="s">
        <v>1059</v>
      </c>
      <c r="V79" s="1018" t="s">
        <v>5943</v>
      </c>
      <c r="W79" s="1019">
        <f>IF(I!W79="","",$D$2*I!W79)</f>
        <v>0.21979052269999999</v>
      </c>
      <c r="X79" s="990">
        <f>IF(I!X79="","",$D$2*I!X79)</f>
        <v>0.43471891651</v>
      </c>
      <c r="Y79" s="1010">
        <f>IF(I!Y79="","",$D$2*I!Y79)</f>
        <v>0.37192717269999997</v>
      </c>
      <c r="Z79" s="938"/>
      <c r="AA79" s="938"/>
      <c r="AB79" s="938"/>
      <c r="AC79" s="938"/>
      <c r="AD79" s="1058"/>
      <c r="AE79" s="938"/>
      <c r="AF79" s="938"/>
      <c r="AG79" s="938"/>
      <c r="AH79" s="938"/>
    </row>
    <row r="80" spans="1:34" ht="17.25" customHeight="1" x14ac:dyDescent="0.35">
      <c r="A80" s="938"/>
      <c r="B80" s="938"/>
      <c r="C80" s="941"/>
      <c r="D80" s="1047"/>
      <c r="E80" s="941"/>
      <c r="F80" s="938"/>
      <c r="G80" s="976">
        <f t="shared" si="3"/>
        <v>77</v>
      </c>
      <c r="H80" s="1000"/>
      <c r="I80" s="1001" t="s">
        <v>1059</v>
      </c>
      <c r="J80" s="1031" t="s">
        <v>1127</v>
      </c>
      <c r="K80" s="1002">
        <f>IF(I!K80="","",$D$2*I!K80)</f>
        <v>3.4430115980000002E-2</v>
      </c>
      <c r="L80" s="981"/>
      <c r="M80" s="982"/>
      <c r="N80" s="1003"/>
      <c r="O80" s="1004">
        <f>IF(I!O80="","",$D$2*I!O80)</f>
        <v>0.18</v>
      </c>
      <c r="P80" s="1005">
        <f>IF(I!P80="","",$D$2*I!P80)</f>
        <v>7.2876419680000006E-3</v>
      </c>
      <c r="Q80" s="1006">
        <f>IF(I!Q80="","",$D$2*I!Q80)</f>
        <v>0</v>
      </c>
      <c r="R80" s="982"/>
      <c r="S80" s="1003"/>
      <c r="T80" s="938"/>
      <c r="U80" s="1008" t="s">
        <v>1059</v>
      </c>
      <c r="V80" s="1018" t="s">
        <v>5944</v>
      </c>
      <c r="W80" s="1019">
        <f>IF(I!W80="","",$D$2*I!W80)</f>
        <v>0.46537801200000006</v>
      </c>
      <c r="X80" s="990">
        <f>IF(I!X80="","",$D$2*I!X80)</f>
        <v>0.77733915539999998</v>
      </c>
      <c r="Y80" s="1010">
        <f>IF(I!Y80="","",$D$2*I!Y80)</f>
        <v>0.91624143200000008</v>
      </c>
      <c r="Z80" s="938"/>
      <c r="AA80" s="938"/>
      <c r="AB80" s="938"/>
      <c r="AC80" s="938"/>
      <c r="AD80" s="1058"/>
      <c r="AE80" s="938"/>
      <c r="AF80" s="938"/>
      <c r="AG80" s="938"/>
      <c r="AH80" s="938"/>
    </row>
    <row r="81" spans="1:34" ht="17.25" customHeight="1" x14ac:dyDescent="0.35">
      <c r="A81" s="938"/>
      <c r="B81" s="938"/>
      <c r="C81" s="941"/>
      <c r="D81" s="1047"/>
      <c r="E81" s="941"/>
      <c r="F81" s="938"/>
      <c r="G81" s="976">
        <f t="shared" si="3"/>
        <v>78</v>
      </c>
      <c r="H81" s="1000"/>
      <c r="I81" s="1001" t="s">
        <v>1059</v>
      </c>
      <c r="J81" s="1031" t="s">
        <v>1128</v>
      </c>
      <c r="K81" s="1002">
        <f>IF(I!K81="","",$D$2*I!K81)</f>
        <v>5.5234208775400001E-2</v>
      </c>
      <c r="L81" s="981"/>
      <c r="M81" s="982"/>
      <c r="N81" s="1003"/>
      <c r="O81" s="1004">
        <f>IF(I!O81="","",$D$2*I!O81)</f>
        <v>0.19</v>
      </c>
      <c r="P81" s="1005">
        <f>IF(I!P81="","",$D$2*I!P81)</f>
        <v>3.9852542204999999E-3</v>
      </c>
      <c r="Q81" s="1006">
        <f>IF(I!Q81="","",$D$2*I!Q81)</f>
        <v>0</v>
      </c>
      <c r="R81" s="982"/>
      <c r="S81" s="1003"/>
      <c r="T81" s="938"/>
      <c r="U81" s="1008" t="s">
        <v>1059</v>
      </c>
      <c r="V81" s="1018" t="s">
        <v>5945</v>
      </c>
      <c r="W81" s="1019">
        <f>IF(I!W81="","",$D$2*I!W81)</f>
        <v>9.9871597399999998E-2</v>
      </c>
      <c r="X81" s="990">
        <f>IF(I!X81="","",$D$2*I!X81)</f>
        <v>0.16681944563000001</v>
      </c>
      <c r="Y81" s="1010">
        <f>IF(I!Y81="","",$D$2*I!Y81)</f>
        <v>0.1966283184</v>
      </c>
      <c r="Z81" s="938"/>
      <c r="AA81" s="938"/>
      <c r="AB81" s="938"/>
      <c r="AC81" s="938"/>
      <c r="AD81" s="1058"/>
      <c r="AE81" s="938"/>
      <c r="AF81" s="938"/>
      <c r="AG81" s="938"/>
      <c r="AH81" s="938"/>
    </row>
    <row r="82" spans="1:34" ht="17.25" customHeight="1" x14ac:dyDescent="0.35">
      <c r="A82" s="938"/>
      <c r="B82" s="938"/>
      <c r="C82" s="941"/>
      <c r="D82" s="1047"/>
      <c r="E82" s="941"/>
      <c r="F82" s="938"/>
      <c r="G82" s="976">
        <f t="shared" si="3"/>
        <v>79</v>
      </c>
      <c r="H82" s="1000" t="s">
        <v>1129</v>
      </c>
      <c r="I82" s="1001" t="s">
        <v>1059</v>
      </c>
      <c r="J82" s="1031" t="s">
        <v>1130</v>
      </c>
      <c r="K82" s="1002">
        <f>IF(I!K82="","",$D$2*I!K82)</f>
        <v>0.12503341615000002</v>
      </c>
      <c r="L82" s="981"/>
      <c r="M82" s="982"/>
      <c r="N82" s="1003"/>
      <c r="O82" s="1004">
        <f>IF(I!O82="","",$D$2*I!O82)</f>
        <v>0.39</v>
      </c>
      <c r="P82" s="1005">
        <f>IF(I!P82="","",$D$2*I!P82)</f>
        <v>0.72553401334400003</v>
      </c>
      <c r="Q82" s="1006">
        <f>IF(I!Q82="","",$D$2*I!Q82)</f>
        <v>0</v>
      </c>
      <c r="R82" s="982"/>
      <c r="S82" s="1003"/>
      <c r="T82" s="938"/>
      <c r="U82" s="1008" t="s">
        <v>1059</v>
      </c>
      <c r="V82" s="1018" t="s">
        <v>5946</v>
      </c>
      <c r="W82" s="1019">
        <f>IF(I!W82="","",$D$2*I!W82)</f>
        <v>0.15891026550000004</v>
      </c>
      <c r="X82" s="990">
        <f>IF(I!X82="","",$D$2*I!X82)</f>
        <v>0.32740477270000001</v>
      </c>
      <c r="Y82" s="1010">
        <f>IF(I!Y82="","",$D$2*I!Y82)</f>
        <v>1.1350230354999999</v>
      </c>
      <c r="Z82" s="938"/>
      <c r="AA82" s="938"/>
      <c r="AB82" s="938"/>
      <c r="AC82" s="938"/>
      <c r="AD82" s="1058"/>
      <c r="AE82" s="938"/>
      <c r="AF82" s="938"/>
      <c r="AG82" s="938"/>
      <c r="AH82" s="938"/>
    </row>
    <row r="83" spans="1:34" ht="17.25" customHeight="1" x14ac:dyDescent="0.35">
      <c r="A83" s="938"/>
      <c r="B83" s="938"/>
      <c r="C83" s="941"/>
      <c r="D83" s="1047"/>
      <c r="E83" s="941"/>
      <c r="F83" s="938"/>
      <c r="G83" s="976">
        <f t="shared" si="3"/>
        <v>80</v>
      </c>
      <c r="H83" s="1000"/>
      <c r="I83" s="1001" t="s">
        <v>1059</v>
      </c>
      <c r="J83" s="1031" t="s">
        <v>1131</v>
      </c>
      <c r="K83" s="1002">
        <f>IF(I!K83="","",$D$2*I!K83)</f>
        <v>5.4707796109999998E-2</v>
      </c>
      <c r="L83" s="981"/>
      <c r="M83" s="982"/>
      <c r="N83" s="1003"/>
      <c r="O83" s="1004">
        <f>IF(I!O83="","",$D$2*I!O83)</f>
        <v>0.21</v>
      </c>
      <c r="P83" s="1005">
        <f>IF(I!P83="","",$D$2*I!P83)</f>
        <v>0.80037794657100003</v>
      </c>
      <c r="Q83" s="1006">
        <f>IF(I!Q83="","",$D$2*I!Q83)</f>
        <v>0</v>
      </c>
      <c r="R83" s="982"/>
      <c r="S83" s="1003"/>
      <c r="T83" s="938"/>
      <c r="U83" s="1008" t="s">
        <v>1059</v>
      </c>
      <c r="V83" s="1018" t="s">
        <v>5947</v>
      </c>
      <c r="W83" s="1019">
        <f>IF(I!W83="","",$D$2*I!W83)</f>
        <v>0.1873806871</v>
      </c>
      <c r="X83" s="990">
        <f>IF(I!X83="","",$D$2*I!X83)</f>
        <v>0.29627302737</v>
      </c>
      <c r="Y83" s="1010">
        <f>IF(I!Y83="","",$D$2*I!Y83)</f>
        <v>0.96392342710000001</v>
      </c>
      <c r="Z83" s="938"/>
      <c r="AA83" s="938"/>
      <c r="AB83" s="938"/>
      <c r="AC83" s="938"/>
      <c r="AD83" s="1058"/>
      <c r="AE83" s="938"/>
      <c r="AF83" s="938"/>
      <c r="AG83" s="938"/>
      <c r="AH83" s="938"/>
    </row>
    <row r="84" spans="1:34" ht="17.25" customHeight="1" x14ac:dyDescent="0.35">
      <c r="A84" s="938"/>
      <c r="B84" s="938"/>
      <c r="C84" s="941"/>
      <c r="D84" s="1047"/>
      <c r="E84" s="941"/>
      <c r="F84" s="938"/>
      <c r="G84" s="976">
        <f t="shared" si="3"/>
        <v>81</v>
      </c>
      <c r="H84" s="1000"/>
      <c r="I84" s="1001" t="s">
        <v>1059</v>
      </c>
      <c r="J84" s="1031" t="s">
        <v>1132</v>
      </c>
      <c r="K84" s="1002">
        <f>IF(I!K84="","",$D$2*I!K84)</f>
        <v>0.11647740737999999</v>
      </c>
      <c r="L84" s="981"/>
      <c r="M84" s="982"/>
      <c r="N84" s="1003"/>
      <c r="O84" s="1004">
        <f>IF(I!O84="","",$D$2*I!O84)</f>
        <v>0.49</v>
      </c>
      <c r="P84" s="1005">
        <f>IF(I!P84="","",$D$2*I!P84)</f>
        <v>0.93790468490000001</v>
      </c>
      <c r="Q84" s="1006">
        <f>IF(I!Q84="","",$D$2*I!Q84)</f>
        <v>0</v>
      </c>
      <c r="R84" s="982"/>
      <c r="S84" s="1003"/>
      <c r="T84" s="938"/>
      <c r="U84" s="1008" t="s">
        <v>1059</v>
      </c>
      <c r="V84" s="1018" t="s">
        <v>5948</v>
      </c>
      <c r="W84" s="1019">
        <f>IF(I!W84="","",$D$2*I!W84)</f>
        <v>0.19121228330000001</v>
      </c>
      <c r="X84" s="990">
        <f>IF(I!X84="","",$D$2*I!X84)</f>
        <v>0.31700943985000002</v>
      </c>
      <c r="Y84" s="1010">
        <f>IF(I!Y84="","",$D$2*I!Y84)</f>
        <v>0.67196782329999993</v>
      </c>
      <c r="Z84" s="938"/>
      <c r="AA84" s="938"/>
      <c r="AB84" s="938"/>
      <c r="AC84" s="938"/>
      <c r="AD84" s="1058"/>
      <c r="AE84" s="938"/>
      <c r="AF84" s="938"/>
      <c r="AG84" s="938"/>
      <c r="AH84" s="938"/>
    </row>
    <row r="85" spans="1:34" ht="17.25" customHeight="1" x14ac:dyDescent="0.35">
      <c r="A85" s="938"/>
      <c r="B85" s="938"/>
      <c r="C85" s="941"/>
      <c r="D85" s="1047"/>
      <c r="E85" s="941"/>
      <c r="F85" s="938"/>
      <c r="G85" s="976">
        <f t="shared" si="3"/>
        <v>82</v>
      </c>
      <c r="H85" s="942" t="s">
        <v>1133</v>
      </c>
      <c r="I85" s="1026"/>
      <c r="J85" s="1031"/>
      <c r="K85" s="1002" t="str">
        <f>IF(I!K85="","",$D$2*I!K85)</f>
        <v/>
      </c>
      <c r="L85" s="981"/>
      <c r="M85" s="982"/>
      <c r="N85" s="1003"/>
      <c r="O85" s="1004" t="str">
        <f>IF(I!O85="","",$D$2*I!O85)</f>
        <v/>
      </c>
      <c r="P85" s="1005" t="str">
        <f>IF(I!P85="","",$D$2*I!P85)</f>
        <v/>
      </c>
      <c r="Q85" s="1006" t="str">
        <f>IF(I!Q85="","",$D$2*I!Q85)</f>
        <v/>
      </c>
      <c r="R85" s="982"/>
      <c r="S85" s="1003"/>
      <c r="T85" s="938"/>
      <c r="U85" s="1008" t="s">
        <v>1059</v>
      </c>
      <c r="V85" s="1018" t="s">
        <v>5949</v>
      </c>
      <c r="W85" s="1019">
        <f>IF(I!W85="","",$D$2*I!W85)</f>
        <v>0.248322814</v>
      </c>
      <c r="X85" s="990">
        <f>IF(I!X85="","",$D$2*I!X85)</f>
        <v>0.31807856494999998</v>
      </c>
      <c r="Y85" s="1010">
        <f>IF(I!Y85="","",$D$2*I!Y85)</f>
        <v>0.91468886400000005</v>
      </c>
      <c r="Z85" s="938"/>
      <c r="AA85" s="938"/>
      <c r="AB85" s="938"/>
      <c r="AC85" s="938"/>
      <c r="AD85" s="1058"/>
      <c r="AE85" s="938"/>
      <c r="AF85" s="938"/>
      <c r="AG85" s="938"/>
      <c r="AH85" s="938"/>
    </row>
    <row r="86" spans="1:34" ht="17.25" customHeight="1" x14ac:dyDescent="0.35">
      <c r="A86" s="938"/>
      <c r="B86" s="938"/>
      <c r="C86" s="941"/>
      <c r="D86" s="1047"/>
      <c r="E86" s="941"/>
      <c r="F86" s="938"/>
      <c r="G86" s="976">
        <f t="shared" si="3"/>
        <v>83</v>
      </c>
      <c r="H86" s="1000"/>
      <c r="I86" s="1001" t="s">
        <v>1059</v>
      </c>
      <c r="J86" s="1031" t="s">
        <v>1134</v>
      </c>
      <c r="K86" s="1002">
        <f>IF(I!K86="","",$D$2*I!K86)</f>
        <v>0.10278127902899999</v>
      </c>
      <c r="L86" s="981"/>
      <c r="M86" s="982"/>
      <c r="N86" s="1003"/>
      <c r="O86" s="1004">
        <f>IF(I!O86="","",$D$2*I!O86)</f>
        <v>0.33</v>
      </c>
      <c r="P86" s="1005">
        <f>IF(I!P86="","",$D$2*I!P86)</f>
        <v>7.01346946195E-4</v>
      </c>
      <c r="Q86" s="1006">
        <f>IF(I!Q86="","",$D$2*I!Q86)</f>
        <v>0</v>
      </c>
      <c r="R86" s="982"/>
      <c r="S86" s="1003"/>
      <c r="T86" s="938"/>
      <c r="U86" s="1008" t="s">
        <v>1059</v>
      </c>
      <c r="V86" s="1018" t="s">
        <v>5950</v>
      </c>
      <c r="W86" s="1019">
        <f>IF(I!W86="","",$D$2*I!W86)</f>
        <v>0.19314717139999998</v>
      </c>
      <c r="X86" s="990">
        <f>IF(I!X86="","",$D$2*I!X86)</f>
        <v>0.33116053791</v>
      </c>
      <c r="Y86" s="1010">
        <f>IF(I!Y86="","",$D$2*I!Y86)</f>
        <v>0.60418373140000003</v>
      </c>
      <c r="Z86" s="938"/>
      <c r="AA86" s="938"/>
      <c r="AB86" s="938"/>
      <c r="AC86" s="938"/>
      <c r="AD86" s="1058"/>
      <c r="AE86" s="938"/>
      <c r="AF86" s="938"/>
      <c r="AG86" s="938"/>
      <c r="AH86" s="938"/>
    </row>
    <row r="87" spans="1:34" ht="17.25" customHeight="1" x14ac:dyDescent="0.35">
      <c r="A87" s="938"/>
      <c r="B87" s="938"/>
      <c r="C87" s="941"/>
      <c r="D87" s="1047"/>
      <c r="E87" s="941"/>
      <c r="F87" s="938"/>
      <c r="G87" s="976">
        <f t="shared" si="3"/>
        <v>84</v>
      </c>
      <c r="H87" s="1000"/>
      <c r="I87" s="1001" t="s">
        <v>1059</v>
      </c>
      <c r="J87" s="1031" t="s">
        <v>1135</v>
      </c>
      <c r="K87" s="1002">
        <f>IF(I!K87="","",$D$2*I!K87)</f>
        <v>0.47002232399999999</v>
      </c>
      <c r="L87" s="981"/>
      <c r="M87" s="982"/>
      <c r="N87" s="1003"/>
      <c r="O87" s="1004">
        <f>IF(I!O87="","",$D$2*I!O87)</f>
        <v>0.86</v>
      </c>
      <c r="P87" s="1005">
        <f>IF(I!P87="","",$D$2*I!P87)</f>
        <v>1.9806399796014</v>
      </c>
      <c r="Q87" s="1006">
        <f>IF(I!Q87="","",$D$2*I!Q87)</f>
        <v>1.5890913E-2</v>
      </c>
      <c r="R87" s="982"/>
      <c r="S87" s="1003"/>
      <c r="T87" s="938"/>
      <c r="U87" s="1008" t="s">
        <v>1059</v>
      </c>
      <c r="V87" s="1018" t="s">
        <v>5951</v>
      </c>
      <c r="W87" s="1019">
        <f>IF(I!W87="","",$D$2*I!W87)</f>
        <v>0.2480986348</v>
      </c>
      <c r="X87" s="990">
        <f>IF(I!X87="","",$D$2*I!X87)</f>
        <v>0.28204140119999999</v>
      </c>
      <c r="Y87" s="1010">
        <f>IF(I!Y87="","",$D$2*I!Y87)</f>
        <v>0.67757678480000005</v>
      </c>
      <c r="Z87" s="938"/>
      <c r="AA87" s="938"/>
      <c r="AB87" s="938"/>
      <c r="AC87" s="938"/>
      <c r="AD87" s="1058"/>
      <c r="AE87" s="938"/>
      <c r="AF87" s="938"/>
      <c r="AG87" s="938"/>
      <c r="AH87" s="938"/>
    </row>
    <row r="88" spans="1:34" ht="17.25" customHeight="1" x14ac:dyDescent="0.35">
      <c r="A88" s="938"/>
      <c r="B88" s="938"/>
      <c r="C88" s="941"/>
      <c r="D88" s="1047"/>
      <c r="E88" s="941"/>
      <c r="F88" s="938"/>
      <c r="G88" s="976">
        <f t="shared" si="3"/>
        <v>85</v>
      </c>
      <c r="H88" s="1000"/>
      <c r="I88" s="1001" t="s">
        <v>1059</v>
      </c>
      <c r="J88" s="1031" t="s">
        <v>1136</v>
      </c>
      <c r="K88" s="1002">
        <f>IF(I!K88="","",$D$2*I!K88)</f>
        <v>4.5607347000000006E-2</v>
      </c>
      <c r="L88" s="981"/>
      <c r="M88" s="982"/>
      <c r="N88" s="1003"/>
      <c r="O88" s="1004">
        <f>IF(I!O88="","",$D$2*I!O88)</f>
        <v>0.08</v>
      </c>
      <c r="P88" s="1005">
        <f>IF(I!P88="","",$D$2*I!P88)</f>
        <v>0.80011923848000011</v>
      </c>
      <c r="Q88" s="1006">
        <f>IF(I!Q88="","",$D$2*I!Q88)</f>
        <v>0</v>
      </c>
      <c r="R88" s="982"/>
      <c r="S88" s="1003"/>
      <c r="T88" s="938"/>
      <c r="U88" s="1008" t="s">
        <v>1059</v>
      </c>
      <c r="V88" s="1018" t="s">
        <v>5952</v>
      </c>
      <c r="W88" s="1019">
        <f>IF(I!W88="","",$D$2*I!W88)</f>
        <v>0.19130506329999999</v>
      </c>
      <c r="X88" s="990">
        <f>IF(I!X88="","",$D$2*I!X88)</f>
        <v>0.30922701896000004</v>
      </c>
      <c r="Y88" s="1010">
        <f>IF(I!Y88="","",$D$2*I!Y88)</f>
        <v>0.71041574330000001</v>
      </c>
      <c r="Z88" s="938"/>
      <c r="AA88" s="938"/>
      <c r="AB88" s="938"/>
      <c r="AC88" s="938"/>
      <c r="AD88" s="1058"/>
      <c r="AE88" s="938"/>
      <c r="AF88" s="938"/>
      <c r="AG88" s="938"/>
      <c r="AH88" s="938"/>
    </row>
    <row r="89" spans="1:34" ht="17.25" customHeight="1" x14ac:dyDescent="0.35">
      <c r="A89" s="938"/>
      <c r="B89" s="938"/>
      <c r="C89" s="941"/>
      <c r="D89" s="1047"/>
      <c r="E89" s="941"/>
      <c r="F89" s="938"/>
      <c r="G89" s="976">
        <f t="shared" si="3"/>
        <v>86</v>
      </c>
      <c r="H89" s="942" t="s">
        <v>1137</v>
      </c>
      <c r="I89" s="1001"/>
      <c r="J89" s="1027"/>
      <c r="K89" s="1002" t="str">
        <f>IF(I!K89="","",$D$2*I!K89)</f>
        <v/>
      </c>
      <c r="L89" s="981"/>
      <c r="M89" s="982"/>
      <c r="N89" s="1003"/>
      <c r="O89" s="1004" t="str">
        <f>IF(I!O89="","",$D$2*I!O89)</f>
        <v/>
      </c>
      <c r="P89" s="1005" t="str">
        <f>IF(I!P89="","",$D$2*I!P89)</f>
        <v/>
      </c>
      <c r="Q89" s="1006" t="str">
        <f>IF(I!Q89="","",$D$2*I!Q89)</f>
        <v/>
      </c>
      <c r="R89" s="982"/>
      <c r="S89" s="1003"/>
      <c r="T89" s="938"/>
      <c r="U89" s="1008" t="s">
        <v>1059</v>
      </c>
      <c r="V89" s="1018" t="s">
        <v>5953</v>
      </c>
      <c r="W89" s="1019">
        <f>IF(I!W89="","",$D$2*I!W89)</f>
        <v>0.21200145079999999</v>
      </c>
      <c r="X89" s="990">
        <f>IF(I!X89="","",$D$2*I!X89)</f>
        <v>0.30560790567000001</v>
      </c>
      <c r="Y89" s="1010">
        <f>IF(I!Y89="","",$D$2*I!Y89)</f>
        <v>0.80848523080000001</v>
      </c>
      <c r="Z89" s="938"/>
      <c r="AA89" s="938"/>
      <c r="AB89" s="938"/>
      <c r="AC89" s="938"/>
      <c r="AD89" s="1058"/>
      <c r="AE89" s="938"/>
      <c r="AF89" s="938"/>
      <c r="AG89" s="938"/>
      <c r="AH89" s="938"/>
    </row>
    <row r="90" spans="1:34" ht="17.25" customHeight="1" x14ac:dyDescent="0.35">
      <c r="A90" s="938"/>
      <c r="B90" s="938"/>
      <c r="C90" s="941"/>
      <c r="D90" s="1047"/>
      <c r="E90" s="941"/>
      <c r="F90" s="938"/>
      <c r="G90" s="976">
        <f t="shared" si="3"/>
        <v>87</v>
      </c>
      <c r="H90" s="1000"/>
      <c r="I90" s="1001" t="s">
        <v>1059</v>
      </c>
      <c r="J90" s="1031" t="s">
        <v>1138</v>
      </c>
      <c r="K90" s="1002">
        <f>IF(I!K90="","",$D$2*I!K90)</f>
        <v>0.32900000000000001</v>
      </c>
      <c r="L90" s="981"/>
      <c r="M90" s="982"/>
      <c r="N90" s="1003"/>
      <c r="O90" s="1004">
        <f>IF(I!O90="","",$D$2*I!O90)</f>
        <v>1.77</v>
      </c>
      <c r="P90" s="1005">
        <f>IF(I!P90="","",$D$2*I!P90)</f>
        <v>0.81056528000000005</v>
      </c>
      <c r="Q90" s="1006">
        <f>IF(I!Q90="","",$D$2*I!Q90)</f>
        <v>0</v>
      </c>
      <c r="R90" s="982"/>
      <c r="S90" s="1003"/>
      <c r="T90" s="938"/>
      <c r="U90" s="1008" t="s">
        <v>1059</v>
      </c>
      <c r="V90" s="1018" t="s">
        <v>5954</v>
      </c>
      <c r="W90" s="1019">
        <f>IF(I!W90="","",$D$2*I!W90)</f>
        <v>0.20753695210000001</v>
      </c>
      <c r="X90" s="990">
        <f>IF(I!X90="","",$D$2*I!X90)</f>
        <v>0.30802486256</v>
      </c>
      <c r="Y90" s="1010">
        <f>IF(I!Y90="","",$D$2*I!Y90)</f>
        <v>0.88751616209999995</v>
      </c>
      <c r="Z90" s="938"/>
      <c r="AA90" s="938"/>
      <c r="AB90" s="938"/>
      <c r="AC90" s="938"/>
      <c r="AD90" s="1058"/>
      <c r="AE90" s="938"/>
      <c r="AF90" s="938"/>
      <c r="AG90" s="938"/>
      <c r="AH90" s="938"/>
    </row>
    <row r="91" spans="1:34" ht="17.25" customHeight="1" x14ac:dyDescent="0.35">
      <c r="A91" s="938"/>
      <c r="B91" s="938"/>
      <c r="C91" s="941"/>
      <c r="D91" s="1047"/>
      <c r="E91" s="941"/>
      <c r="F91" s="938"/>
      <c r="G91" s="976">
        <f t="shared" si="3"/>
        <v>88</v>
      </c>
      <c r="H91" s="1000"/>
      <c r="I91" s="1001"/>
      <c r="J91" s="1027"/>
      <c r="K91" s="1002" t="str">
        <f>IF(I!K91="","",$D$2*I!K91)</f>
        <v/>
      </c>
      <c r="L91" s="981"/>
      <c r="M91" s="982"/>
      <c r="N91" s="1003"/>
      <c r="O91" s="1004" t="str">
        <f>IF(I!O91="","",$D$2*I!O91)</f>
        <v/>
      </c>
      <c r="P91" s="1005" t="str">
        <f>IF(I!P91="","",$D$2*I!P91)</f>
        <v/>
      </c>
      <c r="Q91" s="1006" t="str">
        <f>IF(I!Q91="","",$D$2*I!Q91)</f>
        <v/>
      </c>
      <c r="R91" s="982"/>
      <c r="S91" s="1003"/>
      <c r="T91" s="938"/>
      <c r="U91" s="1008"/>
      <c r="V91" s="1040"/>
      <c r="W91" s="1019" t="str">
        <f>IF(I!W91="","",$D$2*I!W91)</f>
        <v/>
      </c>
      <c r="X91" s="990" t="str">
        <f>IF(I!X91="","",$D$2*I!X91)</f>
        <v/>
      </c>
      <c r="Y91" s="1010" t="str">
        <f>IF(I!Y91="","",$D$2*I!Y91)</f>
        <v/>
      </c>
      <c r="Z91" s="938"/>
      <c r="AA91" s="938"/>
      <c r="AB91" s="938"/>
      <c r="AC91" s="938"/>
      <c r="AD91" s="1058"/>
      <c r="AE91" s="938"/>
      <c r="AF91" s="938"/>
      <c r="AG91" s="938"/>
      <c r="AH91" s="938"/>
    </row>
    <row r="92" spans="1:34" ht="17.25" customHeight="1" x14ac:dyDescent="0.35">
      <c r="A92" s="938"/>
      <c r="B92" s="938"/>
      <c r="C92" s="941"/>
      <c r="D92" s="1047"/>
      <c r="E92" s="941"/>
      <c r="F92" s="938"/>
      <c r="G92" s="976">
        <f t="shared" si="3"/>
        <v>89</v>
      </c>
      <c r="H92" s="942" t="s">
        <v>1139</v>
      </c>
      <c r="I92" s="1001"/>
      <c r="J92" s="1027"/>
      <c r="K92" s="1002" t="str">
        <f>IF(I!K92="","",$D$2*I!K92)</f>
        <v/>
      </c>
      <c r="L92" s="981"/>
      <c r="M92" s="982"/>
      <c r="N92" s="1003"/>
      <c r="O92" s="1004" t="str">
        <f>IF(I!O92="","",$D$2*I!O92)</f>
        <v/>
      </c>
      <c r="P92" s="1005" t="str">
        <f>IF(I!P92="","",$D$2*I!P92)</f>
        <v/>
      </c>
      <c r="Q92" s="1006" t="str">
        <f>IF(I!Q92="","",$D$2*I!Q92)</f>
        <v/>
      </c>
      <c r="R92" s="982"/>
      <c r="S92" s="1003"/>
      <c r="T92" s="938"/>
      <c r="U92" s="1008"/>
      <c r="V92" s="1061" t="s">
        <v>5955</v>
      </c>
      <c r="W92" s="1019" t="str">
        <f>IF(I!W92="","",$D$2*I!W92)</f>
        <v/>
      </c>
      <c r="X92" s="990" t="str">
        <f>IF(I!X92="","",$D$2*I!X92)</f>
        <v/>
      </c>
      <c r="Y92" s="1010" t="str">
        <f>IF(I!Y92="","",$D$2*I!Y92)</f>
        <v/>
      </c>
      <c r="Z92" s="938"/>
      <c r="AA92" s="938"/>
      <c r="AB92" s="938"/>
      <c r="AC92" s="938"/>
      <c r="AD92" s="1058"/>
      <c r="AE92" s="938"/>
      <c r="AF92" s="938"/>
      <c r="AG92" s="938"/>
      <c r="AH92" s="938"/>
    </row>
    <row r="93" spans="1:34" ht="17.25" customHeight="1" x14ac:dyDescent="0.35">
      <c r="A93" s="938"/>
      <c r="B93" s="938"/>
      <c r="C93" s="941"/>
      <c r="D93" s="1047"/>
      <c r="E93" s="941"/>
      <c r="F93" s="938"/>
      <c r="G93" s="976">
        <f t="shared" si="3"/>
        <v>90</v>
      </c>
      <c r="H93" s="1000">
        <v>1</v>
      </c>
      <c r="I93" s="1001" t="s">
        <v>1059</v>
      </c>
      <c r="J93" s="1063" t="s">
        <v>1140</v>
      </c>
      <c r="K93" s="1002">
        <f>IF(I!K93="","",$D$2*I!K93)</f>
        <v>1.4767563316E-2</v>
      </c>
      <c r="L93" s="981"/>
      <c r="M93" s="982"/>
      <c r="N93" s="1003"/>
      <c r="O93" s="1004">
        <f>IF(I!O93="","",$D$2*I!O93)</f>
        <v>0.04</v>
      </c>
      <c r="P93" s="1005">
        <f>IF(I!P93="","",$D$2*I!P93)</f>
        <v>2.1260035089999997E-3</v>
      </c>
      <c r="Q93" s="1006">
        <f>IF(I!Q93="","",$D$2*I!Q93)</f>
        <v>1.9143246000000001E-11</v>
      </c>
      <c r="R93" s="982"/>
      <c r="S93" s="1003"/>
      <c r="T93" s="938"/>
      <c r="U93" s="1008" t="s">
        <v>1059</v>
      </c>
      <c r="V93" s="1018" t="s">
        <v>5956</v>
      </c>
      <c r="W93" s="1019">
        <f>IF(I!W93="","",$D$2*I!W93)</f>
        <v>0.1007322079</v>
      </c>
      <c r="X93" s="990">
        <f>IF(I!X93="","",$D$2*I!X93)</f>
        <v>0.14900794697000003</v>
      </c>
      <c r="Y93" s="1010">
        <f>IF(I!Y93="","",$D$2*I!Y93)</f>
        <v>0.19595028589999999</v>
      </c>
      <c r="Z93" s="938"/>
      <c r="AA93" s="938"/>
      <c r="AB93" s="938"/>
      <c r="AC93" s="938"/>
      <c r="AD93" s="1058"/>
      <c r="AE93" s="938"/>
      <c r="AF93" s="938"/>
      <c r="AG93" s="938"/>
      <c r="AH93" s="938"/>
    </row>
    <row r="94" spans="1:34" ht="17.25" customHeight="1" x14ac:dyDescent="0.35">
      <c r="A94" s="938"/>
      <c r="B94" s="938"/>
      <c r="C94" s="941"/>
      <c r="D94" s="1047"/>
      <c r="E94" s="941"/>
      <c r="F94" s="938"/>
      <c r="G94" s="976">
        <f t="shared" si="3"/>
        <v>91</v>
      </c>
      <c r="H94" s="1000">
        <v>1</v>
      </c>
      <c r="I94" s="1001" t="s">
        <v>1059</v>
      </c>
      <c r="J94" s="1063" t="s">
        <v>1141</v>
      </c>
      <c r="K94" s="1002">
        <f>IF(I!K94="","",$D$2*I!K94)</f>
        <v>3.6312528089999997E-2</v>
      </c>
      <c r="L94" s="981"/>
      <c r="M94" s="982"/>
      <c r="N94" s="1003"/>
      <c r="O94" s="1004">
        <f>IF(I!O94="","",$D$2*I!O94)</f>
        <v>0.14000000000000001</v>
      </c>
      <c r="P94" s="1005">
        <f>IF(I!P94="","",$D$2*I!P94)</f>
        <v>9.7809372574999987E-3</v>
      </c>
      <c r="Q94" s="1006">
        <f>IF(I!Q94="","",$D$2*I!Q94)</f>
        <v>5.1782983000000003E-10</v>
      </c>
      <c r="R94" s="982"/>
      <c r="S94" s="1003"/>
      <c r="T94" s="938"/>
      <c r="U94" s="1008" t="s">
        <v>1059</v>
      </c>
      <c r="V94" s="1018" t="s">
        <v>5957</v>
      </c>
      <c r="W94" s="1019">
        <f>IF(I!W94="","",$D$2*I!W94)</f>
        <v>0.1095284171</v>
      </c>
      <c r="X94" s="990">
        <f>IF(I!X94="","",$D$2*I!X94)</f>
        <v>0.15697183317000002</v>
      </c>
      <c r="Y94" s="1010">
        <f>IF(I!Y94="","",$D$2*I!Y94)</f>
        <v>0.21945522709999998</v>
      </c>
      <c r="Z94" s="938"/>
      <c r="AA94" s="938"/>
      <c r="AB94" s="938"/>
      <c r="AC94" s="938"/>
      <c r="AD94" s="1058"/>
      <c r="AE94" s="938"/>
      <c r="AF94" s="938"/>
      <c r="AG94" s="938"/>
      <c r="AH94" s="938"/>
    </row>
    <row r="95" spans="1:34" ht="17.25" customHeight="1" x14ac:dyDescent="0.35">
      <c r="A95" s="938"/>
      <c r="B95" s="938"/>
      <c r="C95" s="941"/>
      <c r="D95" s="1047"/>
      <c r="E95" s="941"/>
      <c r="F95" s="938"/>
      <c r="G95" s="976">
        <f t="shared" si="3"/>
        <v>92</v>
      </c>
      <c r="H95" s="1000">
        <v>1</v>
      </c>
      <c r="I95" s="1001" t="s">
        <v>1059</v>
      </c>
      <c r="J95" s="1031" t="s">
        <v>1142</v>
      </c>
      <c r="K95" s="1002">
        <f>IF(I!K95="","",$D$2*I!K95)</f>
        <v>3.6624170869999995E-4</v>
      </c>
      <c r="L95" s="981"/>
      <c r="M95" s="982"/>
      <c r="N95" s="1003"/>
      <c r="O95" s="1004">
        <f>IF(I!O95="","",$D$2*I!O95)</f>
        <v>0</v>
      </c>
      <c r="P95" s="1005">
        <f>IF(I!P95="","",$D$2*I!P95)</f>
        <v>1.3727398989000002E-3</v>
      </c>
      <c r="Q95" s="1006">
        <f>IF(I!Q95="","",$D$2*I!Q95)</f>
        <v>1.5534895E-9</v>
      </c>
      <c r="R95" s="982"/>
      <c r="S95" s="1003"/>
      <c r="T95" s="938"/>
      <c r="U95" s="1008"/>
      <c r="V95" s="1040"/>
      <c r="W95" s="1019" t="str">
        <f>IF(I!W95="","",$D$2*I!W95)</f>
        <v/>
      </c>
      <c r="X95" s="990" t="str">
        <f>IF(I!X95="","",$D$2*I!X95)</f>
        <v/>
      </c>
      <c r="Y95" s="1010" t="str">
        <f>IF(I!Y95="","",$D$2*I!Y95)</f>
        <v/>
      </c>
      <c r="Z95" s="938"/>
      <c r="AA95" s="938"/>
      <c r="AB95" s="938"/>
      <c r="AC95" s="938"/>
      <c r="AD95" s="1058"/>
      <c r="AE95" s="938"/>
      <c r="AF95" s="938"/>
      <c r="AG95" s="938"/>
      <c r="AH95" s="938"/>
    </row>
    <row r="96" spans="1:34" ht="17.25" customHeight="1" x14ac:dyDescent="0.35">
      <c r="A96" s="938"/>
      <c r="B96" s="938"/>
      <c r="C96" s="941"/>
      <c r="D96" s="1047"/>
      <c r="E96" s="941"/>
      <c r="F96" s="938"/>
      <c r="G96" s="976">
        <f t="shared" si="3"/>
        <v>93</v>
      </c>
      <c r="H96" s="942" t="s">
        <v>1143</v>
      </c>
      <c r="I96" s="1026"/>
      <c r="J96" s="1027"/>
      <c r="K96" s="1002" t="str">
        <f>IF(I!K96="","",$D$2*I!K96)</f>
        <v/>
      </c>
      <c r="L96" s="981"/>
      <c r="M96" s="982"/>
      <c r="N96" s="1003"/>
      <c r="O96" s="1004" t="str">
        <f>IF(I!O96="","",$D$2*I!O96)</f>
        <v/>
      </c>
      <c r="P96" s="1005" t="str">
        <f>IF(I!P96="","",$D$2*I!P96)</f>
        <v/>
      </c>
      <c r="Q96" s="1006" t="str">
        <f>IF(I!Q96="","",$D$2*I!Q96)</f>
        <v/>
      </c>
      <c r="R96" s="982"/>
      <c r="S96" s="1003"/>
      <c r="T96" s="938"/>
      <c r="U96" s="1008"/>
      <c r="V96" s="1061" t="s">
        <v>5958</v>
      </c>
      <c r="W96" s="1019" t="str">
        <f>IF(I!W96="","",$D$2*I!W96)</f>
        <v/>
      </c>
      <c r="X96" s="990" t="str">
        <f>IF(I!X96="","",$D$2*I!X96)</f>
        <v/>
      </c>
      <c r="Y96" s="1010" t="str">
        <f>IF(I!Y96="","",$D$2*I!Y96)</f>
        <v/>
      </c>
      <c r="Z96" s="938"/>
      <c r="AA96" s="938"/>
      <c r="AB96" s="938"/>
      <c r="AC96" s="938"/>
      <c r="AD96" s="1058"/>
      <c r="AE96" s="938"/>
      <c r="AF96" s="938"/>
      <c r="AG96" s="938"/>
      <c r="AH96" s="938"/>
    </row>
    <row r="97" spans="1:34" ht="17.25" customHeight="1" x14ac:dyDescent="0.35">
      <c r="A97" s="938"/>
      <c r="B97" s="938"/>
      <c r="C97" s="941"/>
      <c r="D97" s="1047"/>
      <c r="E97" s="941"/>
      <c r="F97" s="938"/>
      <c r="G97" s="976">
        <f t="shared" si="3"/>
        <v>94</v>
      </c>
      <c r="H97" s="1000">
        <v>1</v>
      </c>
      <c r="I97" s="1001" t="s">
        <v>1059</v>
      </c>
      <c r="J97" s="1031" t="s">
        <v>1144</v>
      </c>
      <c r="K97" s="1002">
        <f>IF(I!K97="","",$D$2*I!K97)</f>
        <v>0.15906561973390002</v>
      </c>
      <c r="L97" s="981"/>
      <c r="M97" s="982"/>
      <c r="N97" s="1003"/>
      <c r="O97" s="1004">
        <f>IF(I!O97="","",$D$2*I!O97)</f>
        <v>0.22</v>
      </c>
      <c r="P97" s="1005">
        <f>IF(I!P97="","",$D$2*I!P97)</f>
        <v>0.80340222003299999</v>
      </c>
      <c r="Q97" s="1006">
        <f>IF(I!Q97="","",$D$2*I!Q97)</f>
        <v>5.1782983000000003E-10</v>
      </c>
      <c r="R97" s="982"/>
      <c r="S97" s="1003"/>
      <c r="T97" s="938"/>
      <c r="U97" s="1008" t="s">
        <v>1059</v>
      </c>
      <c r="V97" s="1018" t="s">
        <v>5959</v>
      </c>
      <c r="W97" s="1019">
        <f>IF(I!W97="","",$D$2*I!W97)</f>
        <v>0.85671918259999991</v>
      </c>
      <c r="X97" s="990">
        <f>IF(I!X97="","",$D$2*I!X97)</f>
        <v>0.35832789337999998</v>
      </c>
      <c r="Y97" s="1010">
        <f>IF(I!Y97="","",$D$2*I!Y97)</f>
        <v>1.5845846425999999</v>
      </c>
      <c r="Z97" s="938"/>
      <c r="AA97" s="938"/>
      <c r="AB97" s="938"/>
      <c r="AC97" s="938"/>
      <c r="AD97" s="1058"/>
      <c r="AE97" s="938"/>
      <c r="AF97" s="938"/>
      <c r="AG97" s="938"/>
      <c r="AH97" s="938"/>
    </row>
    <row r="98" spans="1:34" ht="17.25" customHeight="1" x14ac:dyDescent="0.35">
      <c r="A98" s="938"/>
      <c r="B98" s="938"/>
      <c r="C98" s="941"/>
      <c r="D98" s="1047"/>
      <c r="E98" s="941"/>
      <c r="F98" s="938"/>
      <c r="G98" s="976">
        <f t="shared" si="3"/>
        <v>95</v>
      </c>
      <c r="H98" s="942" t="s">
        <v>1145</v>
      </c>
      <c r="I98" s="1001"/>
      <c r="J98" s="1027"/>
      <c r="K98" s="1002" t="str">
        <f>IF(I!K98="","",$D$2*I!K98)</f>
        <v/>
      </c>
      <c r="L98" s="981"/>
      <c r="M98" s="982"/>
      <c r="N98" s="1003"/>
      <c r="O98" s="1004" t="str">
        <f>IF(I!O98="","",$D$2*I!O98)</f>
        <v/>
      </c>
      <c r="P98" s="1005" t="str">
        <f>IF(I!P98="","",$D$2*I!P98)</f>
        <v/>
      </c>
      <c r="Q98" s="1006" t="str">
        <f>IF(I!Q98="","",$D$2*I!Q98)</f>
        <v/>
      </c>
      <c r="R98" s="982"/>
      <c r="S98" s="1003"/>
      <c r="T98" s="938"/>
      <c r="U98" s="1008" t="s">
        <v>1059</v>
      </c>
      <c r="V98" s="1018" t="s">
        <v>5960</v>
      </c>
      <c r="W98" s="1019">
        <f>IF(I!W98="","",$D$2*I!W98)</f>
        <v>0.86306187960000003</v>
      </c>
      <c r="X98" s="990">
        <f>IF(I!X98="","",$D$2*I!X98)</f>
        <v>0.36132319343000002</v>
      </c>
      <c r="Y98" s="1010">
        <f>IF(I!Y98="","",$D$2*I!Y98)</f>
        <v>1.5948812796</v>
      </c>
      <c r="Z98" s="938"/>
      <c r="AA98" s="938"/>
      <c r="AB98" s="938"/>
      <c r="AC98" s="938"/>
      <c r="AD98" s="1058"/>
      <c r="AE98" s="938"/>
      <c r="AF98" s="938"/>
      <c r="AG98" s="938"/>
      <c r="AH98" s="938"/>
    </row>
    <row r="99" spans="1:34" ht="17.25" customHeight="1" x14ac:dyDescent="0.35">
      <c r="A99" s="938"/>
      <c r="B99" s="938"/>
      <c r="C99" s="941"/>
      <c r="D99" s="1047"/>
      <c r="E99" s="941"/>
      <c r="F99" s="938"/>
      <c r="G99" s="976">
        <f t="shared" si="3"/>
        <v>96</v>
      </c>
      <c r="H99" s="1000">
        <v>1</v>
      </c>
      <c r="I99" s="1001" t="s">
        <v>1059</v>
      </c>
      <c r="J99" s="1031" t="s">
        <v>1146</v>
      </c>
      <c r="K99" s="1002">
        <f>IF(I!K99="","",$D$2*I!K99)</f>
        <v>6.7159070000000001E-3</v>
      </c>
      <c r="L99" s="981"/>
      <c r="M99" s="982"/>
      <c r="N99" s="1003"/>
      <c r="O99" s="1004">
        <f>IF(I!O99="","",$D$2*I!O99)</f>
        <v>0.04</v>
      </c>
      <c r="P99" s="1005">
        <f>IF(I!P99="","",$D$2*I!P99)</f>
        <v>7.4759999999999996E-5</v>
      </c>
      <c r="Q99" s="1006">
        <f>IF(I!Q99="","",$D$2*I!Q99)</f>
        <v>0</v>
      </c>
      <c r="R99" s="982"/>
      <c r="S99" s="1003"/>
      <c r="T99" s="938"/>
      <c r="U99" s="1008" t="s">
        <v>1059</v>
      </c>
      <c r="V99" s="1018" t="s">
        <v>5961</v>
      </c>
      <c r="W99" s="1019">
        <f>IF(I!W99="","",$D$2*I!W99)</f>
        <v>0.85493046770000014</v>
      </c>
      <c r="X99" s="990">
        <f>IF(I!X99="","",$D$2*I!X99)</f>
        <v>0.36107161808999999</v>
      </c>
      <c r="Y99" s="1010">
        <f>IF(I!Y99="","",$D$2*I!Y99)</f>
        <v>1.5794783277000002</v>
      </c>
      <c r="Z99" s="938"/>
      <c r="AA99" s="938"/>
      <c r="AB99" s="938"/>
      <c r="AC99" s="938"/>
      <c r="AD99" s="1058"/>
      <c r="AE99" s="938"/>
      <c r="AF99" s="938"/>
      <c r="AG99" s="938"/>
      <c r="AH99" s="938"/>
    </row>
    <row r="100" spans="1:34" ht="17.25" customHeight="1" x14ac:dyDescent="0.35">
      <c r="A100" s="938"/>
      <c r="B100" s="938"/>
      <c r="C100" s="941"/>
      <c r="D100" s="1047"/>
      <c r="E100" s="941"/>
      <c r="F100" s="938"/>
      <c r="G100" s="976">
        <f t="shared" si="3"/>
        <v>97</v>
      </c>
      <c r="H100" s="1000"/>
      <c r="I100" s="1001" t="s">
        <v>1059</v>
      </c>
      <c r="J100" s="1031" t="s">
        <v>1147</v>
      </c>
      <c r="K100" s="1002">
        <f>IF(I!K100="","",$D$2*I!K100)</f>
        <v>7.4821391100000001E-3</v>
      </c>
      <c r="L100" s="981"/>
      <c r="M100" s="982"/>
      <c r="N100" s="1003"/>
      <c r="O100" s="1004">
        <f>IF(I!O100="","",$D$2*I!O100)</f>
        <v>0.03</v>
      </c>
      <c r="P100" s="1005">
        <f>IF(I!P100="","",$D$2*I!P100)</f>
        <v>2.0601367000000001E-10</v>
      </c>
      <c r="Q100" s="1006">
        <f>IF(I!Q100="","",$D$2*I!Q100)</f>
        <v>0</v>
      </c>
      <c r="R100" s="982"/>
      <c r="S100" s="1003"/>
      <c r="T100" s="938"/>
      <c r="U100" s="1008" t="s">
        <v>1059</v>
      </c>
      <c r="V100" s="1018" t="s">
        <v>5962</v>
      </c>
      <c r="W100" s="1019">
        <f>IF(I!W100="","",$D$2*I!W100)</f>
        <v>0.85250620399999999</v>
      </c>
      <c r="X100" s="990">
        <f>IF(I!X100="","",$D$2*I!X100)</f>
        <v>0.35922186693000002</v>
      </c>
      <c r="Y100" s="1010">
        <f>IF(I!Y100="","",$D$2*I!Y100)</f>
        <v>1.5748686439999999</v>
      </c>
      <c r="Z100" s="938"/>
      <c r="AA100" s="938"/>
      <c r="AB100" s="938"/>
      <c r="AC100" s="938"/>
      <c r="AD100" s="1058"/>
      <c r="AE100" s="938"/>
      <c r="AF100" s="938"/>
      <c r="AG100" s="938"/>
      <c r="AH100" s="938"/>
    </row>
    <row r="101" spans="1:34" ht="17.25" customHeight="1" x14ac:dyDescent="0.35">
      <c r="A101" s="938"/>
      <c r="B101" s="938"/>
      <c r="C101" s="941"/>
      <c r="D101" s="1047"/>
      <c r="E101" s="941"/>
      <c r="F101" s="938"/>
      <c r="G101" s="976">
        <f t="shared" si="3"/>
        <v>98</v>
      </c>
      <c r="H101" s="1000">
        <v>1</v>
      </c>
      <c r="I101" s="1001" t="s">
        <v>1059</v>
      </c>
      <c r="J101" s="1031" t="s">
        <v>1148</v>
      </c>
      <c r="K101" s="1002">
        <f>IF(I!K101="","",$D$2*I!K101)</f>
        <v>3.6794209000000004E-3</v>
      </c>
      <c r="L101" s="981"/>
      <c r="M101" s="982"/>
      <c r="N101" s="1003"/>
      <c r="O101" s="1004">
        <f>IF(I!O101="","",$D$2*I!O101)</f>
        <v>0.05</v>
      </c>
      <c r="P101" s="1005">
        <f>IF(I!P101="","",$D$2*I!P101)</f>
        <v>3.2928000000000001E-5</v>
      </c>
      <c r="Q101" s="1006">
        <f>IF(I!Q101="","",$D$2*I!Q101)</f>
        <v>0</v>
      </c>
      <c r="R101" s="982"/>
      <c r="S101" s="1003"/>
      <c r="T101" s="938"/>
      <c r="U101" s="1008" t="s">
        <v>1059</v>
      </c>
      <c r="V101" s="1018" t="s">
        <v>5963</v>
      </c>
      <c r="W101" s="1019">
        <f>IF(I!W101="","",$D$2*I!W101)</f>
        <v>8.3157546019999987E-2</v>
      </c>
      <c r="X101" s="990">
        <f>IF(I!X101="","",$D$2*I!X101)</f>
        <v>3.4756200268999997E-2</v>
      </c>
      <c r="Y101" s="1010">
        <f>IF(I!Y101="","",$D$2*I!Y101)</f>
        <v>0.14588830401999997</v>
      </c>
      <c r="Z101" s="938"/>
      <c r="AA101" s="938"/>
      <c r="AB101" s="938"/>
      <c r="AC101" s="938"/>
      <c r="AD101" s="1058"/>
      <c r="AE101" s="938"/>
      <c r="AF101" s="938"/>
      <c r="AG101" s="938"/>
      <c r="AH101" s="938"/>
    </row>
    <row r="102" spans="1:34" ht="17.25" customHeight="1" x14ac:dyDescent="0.35">
      <c r="A102" s="938"/>
      <c r="B102" s="938"/>
      <c r="C102" s="941"/>
      <c r="D102" s="1047"/>
      <c r="E102" s="941"/>
      <c r="F102" s="938"/>
      <c r="G102" s="976">
        <f t="shared" si="3"/>
        <v>99</v>
      </c>
      <c r="H102" s="1000">
        <v>1</v>
      </c>
      <c r="I102" s="1001" t="s">
        <v>1059</v>
      </c>
      <c r="J102" s="1031" t="s">
        <v>1149</v>
      </c>
      <c r="K102" s="1002">
        <f>IF(I!K102="","",$D$2*I!K102)</f>
        <v>9.8349799999999997E-4</v>
      </c>
      <c r="L102" s="981"/>
      <c r="M102" s="982"/>
      <c r="N102" s="1003"/>
      <c r="O102" s="1004">
        <f>IF(I!O102="","",$D$2*I!O102)</f>
        <v>0.02</v>
      </c>
      <c r="P102" s="1005">
        <f>IF(I!P102="","",$D$2*I!P102)</f>
        <v>0</v>
      </c>
      <c r="Q102" s="1006">
        <f>IF(I!Q102="","",$D$2*I!Q102)</f>
        <v>0</v>
      </c>
      <c r="R102" s="982"/>
      <c r="S102" s="1003"/>
      <c r="T102" s="938"/>
      <c r="U102" s="1008" t="s">
        <v>1059</v>
      </c>
      <c r="V102" s="1018" t="s">
        <v>5964</v>
      </c>
      <c r="W102" s="1019">
        <f>IF(I!W102="","",$D$2*I!W102)</f>
        <v>1.038974745</v>
      </c>
      <c r="X102" s="990">
        <f>IF(I!X102="","",$D$2*I!X102)</f>
        <v>0.43424578793000002</v>
      </c>
      <c r="Y102" s="1010">
        <f>IF(I!Y102="","",$D$2*I!Y102)</f>
        <v>1.822736135</v>
      </c>
      <c r="Z102" s="938"/>
      <c r="AA102" s="938"/>
      <c r="AB102" s="938"/>
      <c r="AC102" s="938"/>
      <c r="AD102" s="1058"/>
      <c r="AE102" s="938"/>
      <c r="AF102" s="938"/>
      <c r="AG102" s="938"/>
      <c r="AH102" s="938"/>
    </row>
    <row r="103" spans="1:34" ht="17.25" customHeight="1" x14ac:dyDescent="0.35">
      <c r="A103" s="938"/>
      <c r="B103" s="938"/>
      <c r="C103" s="941"/>
      <c r="D103" s="1047"/>
      <c r="E103" s="941"/>
      <c r="F103" s="938"/>
      <c r="G103" s="976">
        <f t="shared" si="3"/>
        <v>100</v>
      </c>
      <c r="H103" s="942" t="s">
        <v>1150</v>
      </c>
      <c r="I103" s="1026"/>
      <c r="J103" s="1027"/>
      <c r="K103" s="1002" t="str">
        <f>IF(I!K103="","",$D$2*I!K103)</f>
        <v/>
      </c>
      <c r="L103" s="981"/>
      <c r="M103" s="982"/>
      <c r="N103" s="1003"/>
      <c r="O103" s="1004" t="str">
        <f>IF(I!O103="","",$D$2*I!O103)</f>
        <v/>
      </c>
      <c r="P103" s="1005" t="str">
        <f>IF(I!P103="","",$D$2*I!P103)</f>
        <v/>
      </c>
      <c r="Q103" s="1006" t="str">
        <f>IF(I!Q103="","",$D$2*I!Q103)</f>
        <v/>
      </c>
      <c r="R103" s="982"/>
      <c r="S103" s="1003"/>
      <c r="T103" s="938"/>
      <c r="U103" s="1008"/>
      <c r="V103" s="1040"/>
      <c r="W103" s="1019" t="str">
        <f>IF(I!W103="","",$D$2*I!W103)</f>
        <v/>
      </c>
      <c r="X103" s="990" t="str">
        <f>IF(I!X103="","",$D$2*I!X103)</f>
        <v/>
      </c>
      <c r="Y103" s="1010" t="str">
        <f>IF(I!Y103="","",$D$2*I!Y103)</f>
        <v/>
      </c>
      <c r="Z103" s="938"/>
      <c r="AA103" s="938"/>
      <c r="AB103" s="938"/>
      <c r="AC103" s="938"/>
      <c r="AD103" s="1058"/>
      <c r="AE103" s="938"/>
      <c r="AF103" s="938"/>
      <c r="AG103" s="938"/>
      <c r="AH103" s="938"/>
    </row>
    <row r="104" spans="1:34" ht="17.25" customHeight="1" x14ac:dyDescent="0.35">
      <c r="A104" s="938"/>
      <c r="B104" s="938"/>
      <c r="C104" s="941"/>
      <c r="D104" s="1047"/>
      <c r="E104" s="941"/>
      <c r="F104" s="938"/>
      <c r="G104" s="976">
        <f t="shared" si="3"/>
        <v>101</v>
      </c>
      <c r="H104" s="1000">
        <v>1</v>
      </c>
      <c r="I104" s="1001" t="s">
        <v>1151</v>
      </c>
      <c r="J104" s="1031" t="s">
        <v>1152</v>
      </c>
      <c r="K104" s="1002">
        <f>IF(I!K104="","",$D$2*I!K104)</f>
        <v>12.163638689999999</v>
      </c>
      <c r="L104" s="981"/>
      <c r="M104" s="982"/>
      <c r="N104" s="1003"/>
      <c r="O104" s="1004">
        <f>IF(I!O104="","",$D$2*I!O104)</f>
        <v>48.09</v>
      </c>
      <c r="P104" s="1005">
        <f>IF(I!P104="","",$D$2*I!P104)</f>
        <v>4.5349720784000001</v>
      </c>
      <c r="Q104" s="1006">
        <f>IF(I!Q104="","",$D$2*I!Q104)</f>
        <v>3.4135795000000001E-7</v>
      </c>
      <c r="R104" s="982"/>
      <c r="S104" s="1003"/>
      <c r="T104" s="938"/>
      <c r="U104" s="1008"/>
      <c r="V104" s="1061" t="s">
        <v>5965</v>
      </c>
      <c r="W104" s="1019" t="str">
        <f>IF(I!W104="","",$D$2*I!W104)</f>
        <v/>
      </c>
      <c r="X104" s="990" t="str">
        <f>IF(I!X104="","",$D$2*I!X104)</f>
        <v/>
      </c>
      <c r="Y104" s="1010" t="str">
        <f>IF(I!Y104="","",$D$2*I!Y104)</f>
        <v/>
      </c>
      <c r="Z104" s="938"/>
      <c r="AA104" s="938"/>
      <c r="AB104" s="938"/>
      <c r="AC104" s="938"/>
      <c r="AD104" s="1058"/>
      <c r="AE104" s="938"/>
      <c r="AF104" s="938"/>
      <c r="AG104" s="938"/>
      <c r="AH104" s="938"/>
    </row>
    <row r="105" spans="1:34" ht="17.25" customHeight="1" x14ac:dyDescent="0.35">
      <c r="A105" s="938"/>
      <c r="B105" s="938"/>
      <c r="C105" s="941"/>
      <c r="D105" s="1047"/>
      <c r="E105" s="941"/>
      <c r="F105" s="938"/>
      <c r="G105" s="976">
        <f t="shared" si="3"/>
        <v>102</v>
      </c>
      <c r="H105" s="1000">
        <v>1</v>
      </c>
      <c r="I105" s="1001" t="s">
        <v>1151</v>
      </c>
      <c r="J105" s="1031" t="s">
        <v>1153</v>
      </c>
      <c r="K105" s="1002">
        <f>IF(I!K105="","",$D$2*I!K105)</f>
        <v>19.272994260000001</v>
      </c>
      <c r="L105" s="981"/>
      <c r="M105" s="982"/>
      <c r="N105" s="1003"/>
      <c r="O105" s="1004">
        <f>IF(I!O105="","",$D$2*I!O105)</f>
        <v>77.2</v>
      </c>
      <c r="P105" s="1005">
        <f>IF(I!P105="","",$D$2*I!P105)</f>
        <v>12.798391222999999</v>
      </c>
      <c r="Q105" s="1006">
        <f>IF(I!Q105="","",$D$2*I!Q105)</f>
        <v>4.9559433000000004E-7</v>
      </c>
      <c r="R105" s="982"/>
      <c r="S105" s="1003"/>
      <c r="T105" s="938"/>
      <c r="U105" s="1008" t="s">
        <v>1059</v>
      </c>
      <c r="V105" s="1018" t="s">
        <v>5966</v>
      </c>
      <c r="W105" s="1019">
        <f>IF(I!W105="","",$D$2*I!W105)</f>
        <v>0.20424261672999999</v>
      </c>
      <c r="X105" s="990">
        <f>IF(I!X105="","",$D$2*I!X105)</f>
        <v>0.1248959441</v>
      </c>
      <c r="Y105" s="1010">
        <f>IF(I!Y105="","",$D$2*I!Y105)</f>
        <v>0.44248209673</v>
      </c>
      <c r="Z105" s="938"/>
      <c r="AA105" s="938"/>
      <c r="AB105" s="938"/>
      <c r="AC105" s="938"/>
      <c r="AD105" s="1058"/>
      <c r="AE105" s="938"/>
      <c r="AF105" s="938"/>
      <c r="AG105" s="938"/>
      <c r="AH105" s="938"/>
    </row>
    <row r="106" spans="1:34" ht="17.25" customHeight="1" x14ac:dyDescent="0.35">
      <c r="A106" s="938"/>
      <c r="B106" s="938"/>
      <c r="C106" s="941"/>
      <c r="D106" s="1047"/>
      <c r="E106" s="941"/>
      <c r="F106" s="938"/>
      <c r="G106" s="976">
        <f t="shared" si="3"/>
        <v>103</v>
      </c>
      <c r="H106" s="942" t="s">
        <v>1154</v>
      </c>
      <c r="I106" s="1026"/>
      <c r="J106" s="1027"/>
      <c r="K106" s="1002" t="str">
        <f>IF(I!K106="","",$D$2*I!K106)</f>
        <v/>
      </c>
      <c r="L106" s="981"/>
      <c r="M106" s="982"/>
      <c r="N106" s="1003"/>
      <c r="O106" s="1004" t="str">
        <f>IF(I!O106="","",$D$2*I!O106)</f>
        <v/>
      </c>
      <c r="P106" s="1005" t="str">
        <f>IF(I!P106="","",$D$2*I!P106)</f>
        <v/>
      </c>
      <c r="Q106" s="1006" t="str">
        <f>IF(I!Q106="","",$D$2*I!Q106)</f>
        <v/>
      </c>
      <c r="R106" s="982"/>
      <c r="S106" s="1003"/>
      <c r="T106" s="938"/>
      <c r="U106" s="1008" t="s">
        <v>1059</v>
      </c>
      <c r="V106" s="1018" t="s">
        <v>5967</v>
      </c>
      <c r="W106" s="1019">
        <f>IF(I!W106="","",$D$2*I!W106)</f>
        <v>0.36958480719000003</v>
      </c>
      <c r="X106" s="990">
        <f>IF(I!X106="","",$D$2*I!X106)</f>
        <v>0.12106011793000002</v>
      </c>
      <c r="Y106" s="1010">
        <f>IF(I!Y106="","",$D$2*I!Y106)</f>
        <v>0.63362898719000005</v>
      </c>
      <c r="Z106" s="938"/>
      <c r="AA106" s="938"/>
      <c r="AB106" s="938"/>
      <c r="AC106" s="938"/>
      <c r="AD106" s="1058"/>
      <c r="AE106" s="938"/>
      <c r="AF106" s="938"/>
      <c r="AG106" s="938"/>
      <c r="AH106" s="938"/>
    </row>
    <row r="107" spans="1:34" ht="17.25" customHeight="1" x14ac:dyDescent="0.35">
      <c r="A107" s="938"/>
      <c r="B107" s="938"/>
      <c r="C107" s="941"/>
      <c r="D107" s="1047"/>
      <c r="E107" s="941"/>
      <c r="F107" s="938"/>
      <c r="G107" s="976">
        <f t="shared" si="3"/>
        <v>104</v>
      </c>
      <c r="H107" s="1000">
        <v>1</v>
      </c>
      <c r="I107" s="1001" t="s">
        <v>1059</v>
      </c>
      <c r="J107" s="1031" t="s">
        <v>1155</v>
      </c>
      <c r="K107" s="1002">
        <f>IF(I!K107="","",$D$2*I!K107)</f>
        <v>4.6138010359999995E-2</v>
      </c>
      <c r="L107" s="981"/>
      <c r="M107" s="982"/>
      <c r="N107" s="1003"/>
      <c r="O107" s="1004">
        <f>IF(I!O107="","",$D$2*I!O107)</f>
        <v>0.16</v>
      </c>
      <c r="P107" s="1005">
        <f>IF(I!P107="","",$D$2*I!P107)</f>
        <v>0.11058273326</v>
      </c>
      <c r="Q107" s="1006">
        <f>IF(I!Q107="","",$D$2*I!Q107)</f>
        <v>2.5872056E-8</v>
      </c>
      <c r="R107" s="982"/>
      <c r="S107" s="1003"/>
      <c r="T107" s="938"/>
      <c r="U107" s="1008" t="s">
        <v>1059</v>
      </c>
      <c r="V107" s="1018" t="s">
        <v>5968</v>
      </c>
      <c r="W107" s="1019">
        <f>IF(I!W107="","",$D$2*I!W107)</f>
        <v>0.10209227914999999</v>
      </c>
      <c r="X107" s="990">
        <f>IF(I!X107="","",$D$2*I!X107)</f>
        <v>6.2430222164000002E-2</v>
      </c>
      <c r="Y107" s="1010">
        <f>IF(I!Y107="","",$D$2*I!Y107)</f>
        <v>0.22117815915</v>
      </c>
      <c r="Z107" s="938"/>
      <c r="AA107" s="938"/>
      <c r="AB107" s="938"/>
      <c r="AC107" s="938"/>
      <c r="AD107" s="1058"/>
      <c r="AE107" s="938"/>
      <c r="AF107" s="938"/>
      <c r="AG107" s="938"/>
      <c r="AH107" s="938"/>
    </row>
    <row r="108" spans="1:34" ht="17.25" customHeight="1" x14ac:dyDescent="0.35">
      <c r="A108" s="938"/>
      <c r="B108" s="938"/>
      <c r="C108" s="941"/>
      <c r="D108" s="1047"/>
      <c r="E108" s="941"/>
      <c r="F108" s="938"/>
      <c r="G108" s="976">
        <f t="shared" si="3"/>
        <v>105</v>
      </c>
      <c r="H108" s="1000">
        <v>1</v>
      </c>
      <c r="I108" s="1001" t="s">
        <v>1059</v>
      </c>
      <c r="J108" s="1031" t="s">
        <v>1156</v>
      </c>
      <c r="K108" s="1002">
        <f>IF(I!K108="","",$D$2*I!K108)</f>
        <v>0.18450359570000002</v>
      </c>
      <c r="L108" s="981"/>
      <c r="M108" s="982"/>
      <c r="N108" s="1003"/>
      <c r="O108" s="1004">
        <f>IF(I!O108="","",$D$2*I!O108)</f>
        <v>0.53</v>
      </c>
      <c r="P108" s="1005">
        <f>IF(I!P108="","",$D$2*I!P108)</f>
        <v>2.3739621290000002E-2</v>
      </c>
      <c r="Q108" s="1006">
        <f>IF(I!Q108="","",$D$2*I!Q108)</f>
        <v>2.4165392000000001E-8</v>
      </c>
      <c r="R108" s="982"/>
      <c r="S108" s="1003"/>
      <c r="T108" s="938"/>
      <c r="U108" s="1008" t="s">
        <v>1059</v>
      </c>
      <c r="V108" s="1018" t="s">
        <v>5969</v>
      </c>
      <c r="W108" s="1019">
        <f>IF(I!W108="","",$D$2*I!W108)</f>
        <v>0.18473987647000001</v>
      </c>
      <c r="X108" s="990">
        <f>IF(I!X108="","",$D$2*I!X108)</f>
        <v>6.0512855710999999E-2</v>
      </c>
      <c r="Y108" s="1010">
        <f>IF(I!Y108="","",$D$2*I!Y108)</f>
        <v>0.31672443647000004</v>
      </c>
      <c r="Z108" s="938"/>
      <c r="AA108" s="938"/>
      <c r="AB108" s="938"/>
      <c r="AC108" s="938"/>
      <c r="AD108" s="1058"/>
      <c r="AE108" s="938"/>
      <c r="AF108" s="938"/>
      <c r="AG108" s="938"/>
      <c r="AH108" s="938"/>
    </row>
    <row r="109" spans="1:34" ht="17.25" customHeight="1" x14ac:dyDescent="0.35">
      <c r="A109" s="938"/>
      <c r="B109" s="938"/>
      <c r="C109" s="941"/>
      <c r="D109" s="1047"/>
      <c r="E109" s="941"/>
      <c r="F109" s="938"/>
      <c r="G109" s="976">
        <f t="shared" si="3"/>
        <v>106</v>
      </c>
      <c r="H109" s="1000">
        <v>1</v>
      </c>
      <c r="I109" s="1001" t="s">
        <v>1059</v>
      </c>
      <c r="J109" s="1031" t="s">
        <v>1157</v>
      </c>
      <c r="K109" s="1002">
        <f>IF(I!K109="","",$D$2*I!K109)</f>
        <v>9.7760233599999996E-2</v>
      </c>
      <c r="L109" s="981"/>
      <c r="M109" s="982"/>
      <c r="N109" s="1003"/>
      <c r="O109" s="1004">
        <f>IF(I!O109="","",$D$2*I!O109)</f>
        <v>0.25</v>
      </c>
      <c r="P109" s="1005">
        <f>IF(I!P109="","",$D$2*I!P109)</f>
        <v>3.0962998590000002E-2</v>
      </c>
      <c r="Q109" s="1006">
        <f>IF(I!Q109="","",$D$2*I!Q109)</f>
        <v>2.4165392000000001E-8</v>
      </c>
      <c r="R109" s="982"/>
      <c r="S109" s="1003"/>
      <c r="T109" s="938"/>
      <c r="U109" s="1008"/>
      <c r="V109" s="1040"/>
      <c r="W109" s="1019" t="str">
        <f>IF(I!W109="","",$D$2*I!W109)</f>
        <v/>
      </c>
      <c r="X109" s="990" t="str">
        <f>IF(I!X109="","",$D$2*I!X109)</f>
        <v/>
      </c>
      <c r="Y109" s="1010" t="str">
        <f>IF(I!Y109="","",$D$2*I!Y109)</f>
        <v/>
      </c>
      <c r="Z109" s="938"/>
      <c r="AA109" s="938"/>
      <c r="AB109" s="938"/>
      <c r="AC109" s="938"/>
      <c r="AD109" s="1058"/>
      <c r="AE109" s="938"/>
      <c r="AF109" s="938"/>
      <c r="AG109" s="938"/>
      <c r="AH109" s="938"/>
    </row>
    <row r="110" spans="1:34" ht="17.25" customHeight="1" x14ac:dyDescent="0.35">
      <c r="A110" s="938"/>
      <c r="B110" s="938"/>
      <c r="C110" s="941"/>
      <c r="D110" s="1047"/>
      <c r="E110" s="941"/>
      <c r="F110" s="938"/>
      <c r="G110" s="976">
        <f t="shared" si="3"/>
        <v>107</v>
      </c>
      <c r="H110" s="942" t="s">
        <v>1158</v>
      </c>
      <c r="I110" s="1026"/>
      <c r="J110" s="1027"/>
      <c r="K110" s="1002" t="str">
        <f>IF(I!K110="","",$D$2*I!K110)</f>
        <v/>
      </c>
      <c r="L110" s="981"/>
      <c r="M110" s="982"/>
      <c r="N110" s="1003"/>
      <c r="O110" s="1004" t="str">
        <f>IF(I!O110="","",$D$2*I!O110)</f>
        <v/>
      </c>
      <c r="P110" s="1005" t="str">
        <f>IF(I!P110="","",$D$2*I!P110)</f>
        <v/>
      </c>
      <c r="Q110" s="1006" t="str">
        <f>IF(I!Q110="","",$D$2*I!Q110)</f>
        <v/>
      </c>
      <c r="R110" s="982"/>
      <c r="S110" s="1003"/>
      <c r="T110" s="938"/>
      <c r="U110" s="1008"/>
      <c r="V110" s="1061" t="s">
        <v>5970</v>
      </c>
      <c r="W110" s="1019" t="str">
        <f>IF(I!W110="","",$D$2*I!W110)</f>
        <v/>
      </c>
      <c r="X110" s="990" t="str">
        <f>IF(I!X110="","",$D$2*I!X110)</f>
        <v/>
      </c>
      <c r="Y110" s="1010" t="str">
        <f>IF(I!Y110="","",$D$2*I!Y110)</f>
        <v/>
      </c>
      <c r="Z110" s="938"/>
      <c r="AA110" s="938"/>
      <c r="AB110" s="938"/>
      <c r="AC110" s="938"/>
      <c r="AD110" s="1058"/>
      <c r="AE110" s="938"/>
      <c r="AF110" s="938"/>
      <c r="AG110" s="938"/>
      <c r="AH110" s="938"/>
    </row>
    <row r="111" spans="1:34" ht="17.25" customHeight="1" x14ac:dyDescent="0.35">
      <c r="A111" s="938"/>
      <c r="B111" s="938"/>
      <c r="C111" s="941"/>
      <c r="D111" s="1047"/>
      <c r="E111" s="941"/>
      <c r="F111" s="938"/>
      <c r="G111" s="976">
        <f t="shared" si="3"/>
        <v>108</v>
      </c>
      <c r="H111" s="1000">
        <v>1</v>
      </c>
      <c r="I111" s="1001" t="s">
        <v>1059</v>
      </c>
      <c r="J111" s="1063" t="s">
        <v>1159</v>
      </c>
      <c r="K111" s="1002">
        <f>IF(I!K111="","",$D$2*I!K111)</f>
        <v>2.0011920756000002E-4</v>
      </c>
      <c r="L111" s="981"/>
      <c r="M111" s="982"/>
      <c r="N111" s="1003"/>
      <c r="O111" s="1004">
        <f>IF(I!O111="","",$D$2*I!O111)</f>
        <v>0</v>
      </c>
      <c r="P111" s="1005">
        <f>IF(I!P111="","",$D$2*I!P111)</f>
        <v>2.705941931762E-4</v>
      </c>
      <c r="Q111" s="1006">
        <f>IF(I!Q111="","",$D$2*I!Q111)</f>
        <v>1.6491395999999999E-12</v>
      </c>
      <c r="R111" s="982"/>
      <c r="S111" s="1003"/>
      <c r="T111" s="938"/>
      <c r="U111" s="1008" t="s">
        <v>1059</v>
      </c>
      <c r="V111" s="1018" t="s">
        <v>5971</v>
      </c>
      <c r="W111" s="1019">
        <f>IF(I!W111="","",$D$2*I!W111)</f>
        <v>0.29877984030000004</v>
      </c>
      <c r="X111" s="990">
        <f>IF(I!X111="","",$D$2*I!X111)</f>
        <v>0.13316954781999996</v>
      </c>
      <c r="Y111" s="1010">
        <f>IF(I!Y111="","",$D$2*I!Y111)</f>
        <v>0.59284474030000012</v>
      </c>
      <c r="Z111" s="938"/>
      <c r="AA111" s="938"/>
      <c r="AB111" s="938"/>
      <c r="AC111" s="938"/>
      <c r="AD111" s="1058"/>
      <c r="AE111" s="938"/>
      <c r="AF111" s="938"/>
      <c r="AG111" s="938"/>
      <c r="AH111" s="938"/>
    </row>
    <row r="112" spans="1:34" ht="17.25" customHeight="1" x14ac:dyDescent="0.35">
      <c r="A112" s="938"/>
      <c r="B112" s="938"/>
      <c r="C112" s="941"/>
      <c r="D112" s="1047"/>
      <c r="E112" s="941"/>
      <c r="F112" s="938"/>
      <c r="G112" s="976">
        <f t="shared" si="3"/>
        <v>109</v>
      </c>
      <c r="H112" s="1000">
        <v>1</v>
      </c>
      <c r="I112" s="1001" t="s">
        <v>1059</v>
      </c>
      <c r="J112" s="1031" t="s">
        <v>1160</v>
      </c>
      <c r="K112" s="1002">
        <f>IF(I!K112="","",$D$2*I!K112)</f>
        <v>7.6475175200000009E-3</v>
      </c>
      <c r="L112" s="981"/>
      <c r="M112" s="982"/>
      <c r="N112" s="1003"/>
      <c r="O112" s="1004">
        <f>IF(I!O112="","",$D$2*I!O112)</f>
        <v>0.04</v>
      </c>
      <c r="P112" s="1005">
        <f>IF(I!P112="","",$D$2*I!P112)</f>
        <v>1.8549141688999999E-3</v>
      </c>
      <c r="Q112" s="1006">
        <f>IF(I!Q112="","",$D$2*I!Q112)</f>
        <v>6.0292654E-11</v>
      </c>
      <c r="R112" s="982"/>
      <c r="S112" s="1003"/>
      <c r="T112" s="938"/>
      <c r="U112" s="1008" t="s">
        <v>1059</v>
      </c>
      <c r="V112" s="1018" t="s">
        <v>5972</v>
      </c>
      <c r="W112" s="1019">
        <f>IF(I!W112="","",$D$2*I!W112)</f>
        <v>0.74753169599999991</v>
      </c>
      <c r="X112" s="990">
        <f>IF(I!X112="","",$D$2*I!X112)</f>
        <v>0.33318332373999998</v>
      </c>
      <c r="Y112" s="1010">
        <f>IF(I!Y112="","",$D$2*I!Y112)</f>
        <v>1.483266856</v>
      </c>
      <c r="Z112" s="938"/>
      <c r="AA112" s="938"/>
      <c r="AB112" s="938"/>
      <c r="AC112" s="938"/>
      <c r="AD112" s="1058"/>
      <c r="AE112" s="938"/>
      <c r="AF112" s="938"/>
      <c r="AG112" s="938"/>
      <c r="AH112" s="938"/>
    </row>
    <row r="113" spans="1:34" ht="17.25" customHeight="1" x14ac:dyDescent="0.35">
      <c r="A113" s="938"/>
      <c r="B113" s="938"/>
      <c r="C113" s="941"/>
      <c r="D113" s="1047"/>
      <c r="E113" s="941"/>
      <c r="F113" s="938"/>
      <c r="G113" s="976">
        <f t="shared" si="3"/>
        <v>110</v>
      </c>
      <c r="H113" s="1000">
        <v>1</v>
      </c>
      <c r="I113" s="1001" t="s">
        <v>1059</v>
      </c>
      <c r="J113" s="1063" t="s">
        <v>1161</v>
      </c>
      <c r="K113" s="1002">
        <f>IF(I!K113="","",$D$2*I!K113)</f>
        <v>2.4617117089999999E-4</v>
      </c>
      <c r="L113" s="981"/>
      <c r="M113" s="982"/>
      <c r="N113" s="1003"/>
      <c r="O113" s="1004">
        <f>IF(I!O113="","",$D$2*I!O113)</f>
        <v>0</v>
      </c>
      <c r="P113" s="1005">
        <f>IF(I!P113="","",$D$2*I!P113)</f>
        <v>9.4665507929999997E-4</v>
      </c>
      <c r="Q113" s="1006">
        <f>IF(I!Q113="","",$D$2*I!Q113)</f>
        <v>5.2281584000000004E-10</v>
      </c>
      <c r="R113" s="982"/>
      <c r="S113" s="1003"/>
      <c r="T113" s="938"/>
      <c r="U113" s="1008" t="s">
        <v>1059</v>
      </c>
      <c r="V113" s="1018" t="s">
        <v>5973</v>
      </c>
      <c r="W113" s="1019">
        <f>IF(I!W113="","",$D$2*I!W113)</f>
        <v>0.6235647338000001</v>
      </c>
      <c r="X113" s="990">
        <f>IF(I!X113="","",$D$2*I!X113)</f>
        <v>0.27747791679</v>
      </c>
      <c r="Y113" s="1010">
        <f>IF(I!Y113="","",$D$2*I!Y113)</f>
        <v>1.3130092038000001</v>
      </c>
      <c r="Z113" s="938"/>
      <c r="AA113" s="938"/>
      <c r="AB113" s="938"/>
      <c r="AC113" s="938"/>
      <c r="AD113" s="1058"/>
      <c r="AE113" s="938"/>
      <c r="AF113" s="938"/>
      <c r="AG113" s="938"/>
      <c r="AH113" s="938"/>
    </row>
    <row r="114" spans="1:34" ht="17.25" customHeight="1" x14ac:dyDescent="0.35">
      <c r="A114" s="938"/>
      <c r="B114" s="938"/>
      <c r="C114" s="941"/>
      <c r="D114" s="1047"/>
      <c r="E114" s="941"/>
      <c r="F114" s="938"/>
      <c r="G114" s="976">
        <f t="shared" si="3"/>
        <v>111</v>
      </c>
      <c r="H114" s="1000">
        <v>1</v>
      </c>
      <c r="I114" s="1001" t="s">
        <v>1059</v>
      </c>
      <c r="J114" s="1031" t="s">
        <v>1162</v>
      </c>
      <c r="K114" s="1002">
        <f>IF(I!K114="","",$D$2*I!K114)</f>
        <v>1.7201078510000001E-4</v>
      </c>
      <c r="L114" s="981"/>
      <c r="M114" s="982"/>
      <c r="N114" s="1003"/>
      <c r="O114" s="1004">
        <f>IF(I!O114="","",$D$2*I!O114)</f>
        <v>0</v>
      </c>
      <c r="P114" s="1005">
        <f>IF(I!P114="","",$D$2*I!P114)</f>
        <v>7.5006247929999999E-4</v>
      </c>
      <c r="Q114" s="1006">
        <f>IF(I!Q114="","",$D$2*I!Q114)</f>
        <v>7.9990799000000002E-12</v>
      </c>
      <c r="R114" s="982"/>
      <c r="S114" s="1003"/>
      <c r="T114" s="938"/>
      <c r="U114" s="1008" t="s">
        <v>1059</v>
      </c>
      <c r="V114" s="1018" t="s">
        <v>5974</v>
      </c>
      <c r="W114" s="1019">
        <f>IF(I!W114="","",$D$2*I!W114)</f>
        <v>0.62990744060000003</v>
      </c>
      <c r="X114" s="990">
        <f>IF(I!X114="","",$D$2*I!X114)</f>
        <v>0.28047322583000001</v>
      </c>
      <c r="Y114" s="1010">
        <f>IF(I!Y114="","",$D$2*I!Y114)</f>
        <v>1.3233058606000001</v>
      </c>
      <c r="Z114" s="938"/>
      <c r="AA114" s="938"/>
      <c r="AB114" s="938"/>
      <c r="AC114" s="938"/>
      <c r="AD114" s="1058"/>
      <c r="AE114" s="938"/>
      <c r="AF114" s="938"/>
      <c r="AG114" s="938"/>
      <c r="AH114" s="938"/>
    </row>
    <row r="115" spans="1:34" ht="17.25" customHeight="1" x14ac:dyDescent="0.35">
      <c r="A115" s="938"/>
      <c r="B115" s="938"/>
      <c r="C115" s="941"/>
      <c r="D115" s="1047"/>
      <c r="E115" s="941"/>
      <c r="F115" s="938"/>
      <c r="G115" s="976">
        <f t="shared" si="3"/>
        <v>112</v>
      </c>
      <c r="H115" s="1000"/>
      <c r="I115" s="1001" t="s">
        <v>1059</v>
      </c>
      <c r="J115" s="1031" t="s">
        <v>1163</v>
      </c>
      <c r="K115" s="1002">
        <f>IF(I!K115="","",$D$2*I!K115)</f>
        <v>3.032800269E-6</v>
      </c>
      <c r="L115" s="981"/>
      <c r="M115" s="982"/>
      <c r="N115" s="1003"/>
      <c r="O115" s="1004">
        <f>IF(I!O115="","",$D$2*I!O115)</f>
        <v>0</v>
      </c>
      <c r="P115" s="1005">
        <f>IF(I!P115="","",$D$2*I!P115)</f>
        <v>2.7809257614999998E-5</v>
      </c>
      <c r="Q115" s="1006">
        <f>IF(I!Q115="","",$D$2*I!Q115)</f>
        <v>3.2105449000000002E-13</v>
      </c>
      <c r="R115" s="982"/>
      <c r="S115" s="1003"/>
      <c r="T115" s="938"/>
      <c r="U115" s="1008" t="s">
        <v>1059</v>
      </c>
      <c r="V115" s="1018" t="s">
        <v>5975</v>
      </c>
      <c r="W115" s="1019">
        <f>IF(I!W115="","",$D$2*I!W115)</f>
        <v>0.62177602880000005</v>
      </c>
      <c r="X115" s="990">
        <f>IF(I!X115="","",$D$2*I!X115)</f>
        <v>0.28022165049000003</v>
      </c>
      <c r="Y115" s="1010">
        <f>IF(I!Y115="","",$D$2*I!Y115)</f>
        <v>1.3079029088</v>
      </c>
      <c r="Z115" s="938"/>
      <c r="AA115" s="938"/>
      <c r="AB115" s="938"/>
      <c r="AC115" s="938"/>
      <c r="AD115" s="1058"/>
      <c r="AE115" s="938"/>
      <c r="AF115" s="938"/>
      <c r="AG115" s="938"/>
      <c r="AH115" s="938"/>
    </row>
    <row r="116" spans="1:34" ht="17.25" customHeight="1" x14ac:dyDescent="0.35">
      <c r="A116" s="938"/>
      <c r="B116" s="938"/>
      <c r="C116" s="941"/>
      <c r="D116" s="1047"/>
      <c r="E116" s="941"/>
      <c r="F116" s="938"/>
      <c r="G116" s="976">
        <f t="shared" si="3"/>
        <v>113</v>
      </c>
      <c r="H116" s="1000">
        <v>1</v>
      </c>
      <c r="I116" s="1001" t="s">
        <v>1059</v>
      </c>
      <c r="J116" s="1031" t="s">
        <v>1164</v>
      </c>
      <c r="K116" s="1002">
        <f>IF(I!K116="","",$D$2*I!K116)</f>
        <v>9.0755456700000015E-2</v>
      </c>
      <c r="L116" s="981"/>
      <c r="M116" s="982"/>
      <c r="N116" s="1003"/>
      <c r="O116" s="1004">
        <f>IF(I!O116="","",$D$2*I!O116)</f>
        <v>0.27</v>
      </c>
      <c r="P116" s="1005">
        <f>IF(I!P116="","",$D$2*I!P116)</f>
        <v>0.58738704639999995</v>
      </c>
      <c r="Q116" s="1006">
        <f>IF(I!Q116="","",$D$2*I!Q116)</f>
        <v>6.3640780999999994E-8</v>
      </c>
      <c r="R116" s="982"/>
      <c r="S116" s="1003"/>
      <c r="T116" s="938"/>
      <c r="U116" s="1008" t="s">
        <v>1059</v>
      </c>
      <c r="V116" s="1018" t="s">
        <v>5976</v>
      </c>
      <c r="W116" s="1019">
        <f>IF(I!W116="","",$D$2*I!W116)</f>
        <v>0.61935175479999993</v>
      </c>
      <c r="X116" s="990">
        <f>IF(I!X116="","",$D$2*I!X116)</f>
        <v>0.27837189932999995</v>
      </c>
      <c r="Y116" s="1010">
        <f>IF(I!Y116="","",$D$2*I!Y116)</f>
        <v>1.3032932047999999</v>
      </c>
      <c r="Z116" s="938"/>
      <c r="AA116" s="938"/>
      <c r="AB116" s="938"/>
      <c r="AC116" s="938"/>
      <c r="AD116" s="1058"/>
      <c r="AE116" s="938"/>
      <c r="AF116" s="938"/>
      <c r="AG116" s="938"/>
      <c r="AH116" s="938"/>
    </row>
    <row r="117" spans="1:34" ht="17.25" customHeight="1" x14ac:dyDescent="0.35">
      <c r="A117" s="938"/>
      <c r="B117" s="938"/>
      <c r="C117" s="941"/>
      <c r="D117" s="1047"/>
      <c r="E117" s="941"/>
      <c r="F117" s="938"/>
      <c r="G117" s="976">
        <f t="shared" si="3"/>
        <v>114</v>
      </c>
      <c r="H117" s="1000">
        <v>1</v>
      </c>
      <c r="I117" s="1001" t="s">
        <v>1059</v>
      </c>
      <c r="J117" s="1031" t="s">
        <v>1165</v>
      </c>
      <c r="K117" s="1002">
        <f>IF(I!K117="","",$D$2*I!K117)</f>
        <v>2.8370948E-2</v>
      </c>
      <c r="L117" s="981"/>
      <c r="M117" s="982"/>
      <c r="N117" s="1003"/>
      <c r="O117" s="1004">
        <f>IF(I!O117="","",$D$2*I!O117)</f>
        <v>0.25</v>
      </c>
      <c r="P117" s="1005">
        <f>IF(I!P117="","",$D$2*I!P117)</f>
        <v>8.7999999999999995E-2</v>
      </c>
      <c r="Q117" s="1006">
        <f>IF(I!Q117="","",$D$2*I!Q117)</f>
        <v>0</v>
      </c>
      <c r="R117" s="982"/>
      <c r="S117" s="1003"/>
      <c r="T117" s="938"/>
      <c r="U117" s="1008"/>
      <c r="V117" s="1040"/>
      <c r="W117" s="1019" t="str">
        <f>IF(I!W117="","",$D$2*I!W117)</f>
        <v/>
      </c>
      <c r="X117" s="990" t="str">
        <f>IF(I!X117="","",$D$2*I!X117)</f>
        <v/>
      </c>
      <c r="Y117" s="1010" t="str">
        <f>IF(I!Y117="","",$D$2*I!Y117)</f>
        <v/>
      </c>
      <c r="Z117" s="938"/>
      <c r="AA117" s="938"/>
      <c r="AB117" s="938"/>
      <c r="AC117" s="938"/>
      <c r="AD117" s="1058"/>
      <c r="AE117" s="938"/>
      <c r="AF117" s="938"/>
      <c r="AG117" s="938"/>
      <c r="AH117" s="938"/>
    </row>
    <row r="118" spans="1:34" ht="17.25" customHeight="1" x14ac:dyDescent="0.35">
      <c r="A118" s="938"/>
      <c r="B118" s="938"/>
      <c r="C118" s="941"/>
      <c r="D118" s="1047"/>
      <c r="E118" s="941"/>
      <c r="F118" s="938"/>
      <c r="G118" s="976">
        <f t="shared" si="3"/>
        <v>115</v>
      </c>
      <c r="H118" s="1000">
        <v>1</v>
      </c>
      <c r="I118" s="1001" t="s">
        <v>1059</v>
      </c>
      <c r="J118" s="1031" t="s">
        <v>1166</v>
      </c>
      <c r="K118" s="1002">
        <f>IF(I!K118="","",$D$2*I!K118)</f>
        <v>9.8165050420000009E-5</v>
      </c>
      <c r="L118" s="981"/>
      <c r="M118" s="982"/>
      <c r="N118" s="1003"/>
      <c r="O118" s="1004">
        <f>IF(I!O118="","",$D$2*I!O118)</f>
        <v>0</v>
      </c>
      <c r="P118" s="1005">
        <f>IF(I!P118="","",$D$2*I!P118)</f>
        <v>2.4745347194999999E-4</v>
      </c>
      <c r="Q118" s="1006">
        <f>IF(I!Q118="","",$D$2*I!Q118)</f>
        <v>2.2415143999999999E-12</v>
      </c>
      <c r="R118" s="982"/>
      <c r="S118" s="1003"/>
      <c r="T118" s="938"/>
      <c r="U118" s="1008"/>
      <c r="V118" s="1061" t="s">
        <v>5977</v>
      </c>
      <c r="W118" s="1019" t="str">
        <f>IF(I!W118="","",$D$2*I!W118)</f>
        <v/>
      </c>
      <c r="X118" s="990" t="str">
        <f>IF(I!X118="","",$D$2*I!X118)</f>
        <v/>
      </c>
      <c r="Y118" s="1010" t="str">
        <f>IF(I!Y118="","",$D$2*I!Y118)</f>
        <v/>
      </c>
      <c r="Z118" s="938"/>
      <c r="AA118" s="938"/>
      <c r="AB118" s="938"/>
      <c r="AC118" s="938"/>
      <c r="AD118" s="1058"/>
      <c r="AE118" s="938"/>
      <c r="AF118" s="938"/>
      <c r="AG118" s="938"/>
      <c r="AH118" s="938"/>
    </row>
    <row r="119" spans="1:34" ht="17.25" customHeight="1" x14ac:dyDescent="0.35">
      <c r="A119" s="938"/>
      <c r="B119" s="938"/>
      <c r="C119" s="941"/>
      <c r="D119" s="1047"/>
      <c r="E119" s="941"/>
      <c r="F119" s="938"/>
      <c r="G119" s="976">
        <f t="shared" si="3"/>
        <v>116</v>
      </c>
      <c r="H119" s="942" t="s">
        <v>1167</v>
      </c>
      <c r="I119" s="1026"/>
      <c r="J119" s="1027"/>
      <c r="K119" s="1002" t="str">
        <f>IF(I!K119="","",$D$2*I!K119)</f>
        <v/>
      </c>
      <c r="L119" s="981"/>
      <c r="M119" s="982"/>
      <c r="N119" s="1003"/>
      <c r="O119" s="1004" t="str">
        <f>IF(I!O119="","",$D$2*I!O119)</f>
        <v/>
      </c>
      <c r="P119" s="1005" t="str">
        <f>IF(I!P119="","",$D$2*I!P119)</f>
        <v/>
      </c>
      <c r="Q119" s="1006" t="str">
        <f>IF(I!Q119="","",$D$2*I!Q119)</f>
        <v/>
      </c>
      <c r="R119" s="982"/>
      <c r="S119" s="1003"/>
      <c r="T119" s="938"/>
      <c r="U119" s="1008" t="s">
        <v>1059</v>
      </c>
      <c r="V119" s="1018" t="s">
        <v>5978</v>
      </c>
      <c r="W119" s="1019">
        <f>IF(I!W119="","",$D$2*I!W119)</f>
        <v>0.28425777130000002</v>
      </c>
      <c r="X119" s="990">
        <f>IF(I!X119="","",$D$2*I!X119)</f>
        <v>0.1322477842</v>
      </c>
      <c r="Y119" s="1010">
        <f>IF(I!Y119="","",$D$2*I!Y119)</f>
        <v>0.5504413413</v>
      </c>
      <c r="Z119" s="938"/>
      <c r="AA119" s="938"/>
      <c r="AB119" s="938"/>
      <c r="AC119" s="938"/>
      <c r="AD119" s="1058"/>
      <c r="AE119" s="938"/>
      <c r="AF119" s="938"/>
      <c r="AG119" s="938"/>
      <c r="AH119" s="938"/>
    </row>
    <row r="120" spans="1:34" ht="17.25" customHeight="1" x14ac:dyDescent="0.35">
      <c r="A120" s="938"/>
      <c r="B120" s="938"/>
      <c r="C120" s="941"/>
      <c r="D120" s="1047"/>
      <c r="E120" s="941"/>
      <c r="F120" s="938"/>
      <c r="G120" s="976">
        <f t="shared" si="3"/>
        <v>117</v>
      </c>
      <c r="H120" s="1000">
        <v>1</v>
      </c>
      <c r="I120" s="1001" t="s">
        <v>1059</v>
      </c>
      <c r="J120" s="1031" t="s">
        <v>1168</v>
      </c>
      <c r="K120" s="1002">
        <f>IF(I!K120="","",$D$2*I!K120)</f>
        <v>8.8726355300000004E-2</v>
      </c>
      <c r="L120" s="981"/>
      <c r="M120" s="982"/>
      <c r="N120" s="1003"/>
      <c r="O120" s="1004">
        <f>IF(I!O120="","",$D$2*I!O120)</f>
        <v>0.21</v>
      </c>
      <c r="P120" s="1005">
        <f>IF(I!P120="","",$D$2*I!P120)</f>
        <v>0.56210248723139999</v>
      </c>
      <c r="Q120" s="1006">
        <f>IF(I!Q120="","",$D$2*I!Q120)</f>
        <v>6.0725596999999997E-3</v>
      </c>
      <c r="R120" s="982"/>
      <c r="S120" s="1003"/>
      <c r="T120" s="938"/>
      <c r="U120" s="1008" t="s">
        <v>1059</v>
      </c>
      <c r="V120" s="1018" t="s">
        <v>5979</v>
      </c>
      <c r="W120" s="1019">
        <f>IF(I!W120="","",$D$2*I!W120)</f>
        <v>0.31999050389999995</v>
      </c>
      <c r="X120" s="990">
        <f>IF(I!X120="","",$D$2*I!X120)</f>
        <v>0.13312110156000001</v>
      </c>
      <c r="Y120" s="1010">
        <f>IF(I!Y120="","",$D$2*I!Y120)</f>
        <v>0.61712317389999993</v>
      </c>
      <c r="Z120" s="938"/>
      <c r="AA120" s="938"/>
      <c r="AB120" s="938"/>
      <c r="AC120" s="938"/>
      <c r="AD120" s="1058"/>
      <c r="AE120" s="938"/>
      <c r="AF120" s="938"/>
      <c r="AG120" s="938"/>
      <c r="AH120" s="938"/>
    </row>
    <row r="121" spans="1:34" ht="17.25" customHeight="1" x14ac:dyDescent="0.35">
      <c r="A121" s="938"/>
      <c r="B121" s="938"/>
      <c r="C121" s="941"/>
      <c r="D121" s="1047"/>
      <c r="E121" s="941"/>
      <c r="F121" s="938"/>
      <c r="G121" s="976">
        <f t="shared" si="3"/>
        <v>118</v>
      </c>
      <c r="H121" s="1000">
        <v>1</v>
      </c>
      <c r="I121" s="1001" t="s">
        <v>1059</v>
      </c>
      <c r="J121" s="1031" t="s">
        <v>1169</v>
      </c>
      <c r="K121" s="1002">
        <f>IF(I!K121="","",$D$2*I!K121)</f>
        <v>0.245508116</v>
      </c>
      <c r="L121" s="981"/>
      <c r="M121" s="982"/>
      <c r="N121" s="1003"/>
      <c r="O121" s="1004">
        <f>IF(I!O121="","",$D$2*I!O121)</f>
        <v>0.48</v>
      </c>
      <c r="P121" s="1005">
        <f>IF(I!P121="","",$D$2*I!P121)</f>
        <v>1.5107811313014001</v>
      </c>
      <c r="Q121" s="1006">
        <f>IF(I!Q121="","",$D$2*I!Q121)</f>
        <v>1.3487993E-2</v>
      </c>
      <c r="R121" s="982"/>
      <c r="S121" s="1003"/>
      <c r="T121" s="938"/>
      <c r="U121" s="1008" t="s">
        <v>1059</v>
      </c>
      <c r="V121" s="1018" t="s">
        <v>5980</v>
      </c>
      <c r="W121" s="1019">
        <f>IF(I!W121="","",$D$2*I!W121)</f>
        <v>0.2488162106</v>
      </c>
      <c r="X121" s="990">
        <f>IF(I!X121="","",$D$2*I!X121)</f>
        <v>0.13113728575</v>
      </c>
      <c r="Y121" s="1010">
        <f>IF(I!Y121="","",$D$2*I!Y121)</f>
        <v>0.4842639406</v>
      </c>
      <c r="Z121" s="938"/>
      <c r="AA121" s="938"/>
      <c r="AB121" s="938"/>
      <c r="AC121" s="938"/>
      <c r="AD121" s="1058"/>
      <c r="AE121" s="938"/>
      <c r="AF121" s="938"/>
      <c r="AG121" s="938"/>
      <c r="AH121" s="938"/>
    </row>
    <row r="122" spans="1:34" ht="17.25" customHeight="1" x14ac:dyDescent="0.35">
      <c r="A122" s="938"/>
      <c r="B122" s="938"/>
      <c r="C122" s="941"/>
      <c r="D122" s="1047"/>
      <c r="E122" s="941"/>
      <c r="F122" s="938"/>
      <c r="G122" s="976">
        <f t="shared" si="3"/>
        <v>119</v>
      </c>
      <c r="H122" s="1000">
        <v>1</v>
      </c>
      <c r="I122" s="1001" t="s">
        <v>1059</v>
      </c>
      <c r="J122" s="1031" t="s">
        <v>1170</v>
      </c>
      <c r="K122" s="1002">
        <f>IF(I!K122="","",$D$2*I!K122)</f>
        <v>0.36628517799999999</v>
      </c>
      <c r="L122" s="981"/>
      <c r="M122" s="982"/>
      <c r="N122" s="1003"/>
      <c r="O122" s="1004">
        <f>IF(I!O122="","",$D$2*I!O122)</f>
        <v>0.72</v>
      </c>
      <c r="P122" s="1005">
        <f>IF(I!P122="","",$D$2*I!P122)</f>
        <v>0.95891648771630011</v>
      </c>
      <c r="Q122" s="1006">
        <f>IF(I!Q122="","",$D$2*I!Q122)</f>
        <v>8.4564189999999997E-3</v>
      </c>
      <c r="R122" s="982"/>
      <c r="S122" s="1003"/>
      <c r="T122" s="938"/>
      <c r="U122" s="1008" t="s">
        <v>1059</v>
      </c>
      <c r="V122" s="1018" t="s">
        <v>5981</v>
      </c>
      <c r="W122" s="1019">
        <f>IF(I!W122="","",$D$2*I!W122)</f>
        <v>4.3255615860000001</v>
      </c>
      <c r="X122" s="990">
        <f>IF(I!X122="","",$D$2*I!X122)</f>
        <v>1.7212453694999998</v>
      </c>
      <c r="Y122" s="1010">
        <f>IF(I!Y122="","",$D$2*I!Y122)</f>
        <v>9.5738064860000005</v>
      </c>
      <c r="Z122" s="938"/>
      <c r="AA122" s="938"/>
      <c r="AB122" s="938"/>
      <c r="AC122" s="938"/>
      <c r="AD122" s="1058"/>
      <c r="AE122" s="938"/>
      <c r="AF122" s="938"/>
      <c r="AG122" s="938"/>
      <c r="AH122" s="938"/>
    </row>
    <row r="123" spans="1:34" ht="17.25" customHeight="1" x14ac:dyDescent="0.35">
      <c r="A123" s="938"/>
      <c r="B123" s="938"/>
      <c r="C123" s="941"/>
      <c r="D123" s="1047"/>
      <c r="E123" s="941"/>
      <c r="F123" s="938"/>
      <c r="G123" s="976">
        <f t="shared" si="3"/>
        <v>120</v>
      </c>
      <c r="H123" s="1000">
        <v>1</v>
      </c>
      <c r="I123" s="1001" t="s">
        <v>1059</v>
      </c>
      <c r="J123" s="1031" t="s">
        <v>1171</v>
      </c>
      <c r="K123" s="1002">
        <f>IF(I!K123="","",$D$2*I!K123)</f>
        <v>0.3197134479</v>
      </c>
      <c r="L123" s="981"/>
      <c r="M123" s="982"/>
      <c r="N123" s="1003"/>
      <c r="O123" s="1004">
        <f>IF(I!O123="","",$D$2*I!O123)</f>
        <v>0.56000000000000005</v>
      </c>
      <c r="P123" s="1005">
        <f>IF(I!P123="","",$D$2*I!P123)</f>
        <v>0.49179187571630001</v>
      </c>
      <c r="Q123" s="1006">
        <f>IF(I!Q123="","",$D$2*I!Q123)</f>
        <v>4.8606724999999996E-3</v>
      </c>
      <c r="R123" s="982"/>
      <c r="S123" s="1003"/>
      <c r="T123" s="938"/>
      <c r="U123" s="1008" t="s">
        <v>1059</v>
      </c>
      <c r="V123" s="1018" t="s">
        <v>5982</v>
      </c>
      <c r="W123" s="1019">
        <f>IF(I!W123="","",$D$2*I!W123)</f>
        <v>0.10011882790999999</v>
      </c>
      <c r="X123" s="990">
        <f>IF(I!X123="","",$D$2*I!X123)</f>
        <v>3.9839697946000001E-2</v>
      </c>
      <c r="Y123" s="1010">
        <f>IF(I!Y123="","",$D$2*I!Y123)</f>
        <v>0.22159394790999998</v>
      </c>
      <c r="Z123" s="938"/>
      <c r="AA123" s="938"/>
      <c r="AB123" s="938"/>
      <c r="AC123" s="938"/>
      <c r="AD123" s="1058"/>
      <c r="AE123" s="938"/>
      <c r="AF123" s="938"/>
      <c r="AG123" s="938"/>
      <c r="AH123" s="938"/>
    </row>
    <row r="124" spans="1:34" ht="17.25" customHeight="1" x14ac:dyDescent="0.35">
      <c r="A124" s="938"/>
      <c r="B124" s="938"/>
      <c r="C124" s="941"/>
      <c r="D124" s="1047"/>
      <c r="E124" s="941"/>
      <c r="F124" s="938"/>
      <c r="G124" s="976">
        <f t="shared" si="3"/>
        <v>121</v>
      </c>
      <c r="H124" s="1000">
        <v>1</v>
      </c>
      <c r="I124" s="1001" t="s">
        <v>1059</v>
      </c>
      <c r="J124" s="1031" t="s">
        <v>1172</v>
      </c>
      <c r="K124" s="1002">
        <f>IF(I!K124="","",$D$2*I!K124)</f>
        <v>0.50262252600000001</v>
      </c>
      <c r="L124" s="981"/>
      <c r="M124" s="982"/>
      <c r="N124" s="1003"/>
      <c r="O124" s="1004">
        <f>IF(I!O124="","",$D$2*I!O124)</f>
        <v>0.98</v>
      </c>
      <c r="P124" s="1005">
        <f>IF(I!P124="","",$D$2*I!P124)</f>
        <v>2.3076272356013998</v>
      </c>
      <c r="Q124" s="1006">
        <f>IF(I!Q124="","",$D$2*I!Q124)</f>
        <v>1.8407936E-2</v>
      </c>
      <c r="R124" s="982"/>
      <c r="S124" s="1003"/>
      <c r="T124" s="938"/>
      <c r="U124" s="1008" t="s">
        <v>1059</v>
      </c>
      <c r="V124" s="1018" t="s">
        <v>5983</v>
      </c>
      <c r="W124" s="1019">
        <f>IF(I!W124="","",$D$2*I!W124)</f>
        <v>0.28646213819999999</v>
      </c>
      <c r="X124" s="990">
        <f>IF(I!X124="","",$D$2*I!X124)</f>
        <v>0.14134852245999999</v>
      </c>
      <c r="Y124" s="1010">
        <f>IF(I!Y124="","",$D$2*I!Y124)</f>
        <v>0.55880261819999999</v>
      </c>
      <c r="Z124" s="938"/>
      <c r="AA124" s="938"/>
      <c r="AB124" s="938"/>
      <c r="AC124" s="938"/>
      <c r="AD124" s="1058"/>
      <c r="AE124" s="938"/>
      <c r="AF124" s="938"/>
      <c r="AG124" s="938"/>
      <c r="AH124" s="938"/>
    </row>
    <row r="125" spans="1:34" ht="17.25" customHeight="1" x14ac:dyDescent="0.35">
      <c r="A125" s="938"/>
      <c r="B125" s="938"/>
      <c r="C125" s="941"/>
      <c r="D125" s="1047"/>
      <c r="E125" s="941"/>
      <c r="F125" s="938"/>
      <c r="G125" s="976">
        <f t="shared" si="3"/>
        <v>122</v>
      </c>
      <c r="H125" s="1000">
        <v>1</v>
      </c>
      <c r="I125" s="1001" t="s">
        <v>1059</v>
      </c>
      <c r="J125" s="1031" t="s">
        <v>1173</v>
      </c>
      <c r="K125" s="1002">
        <f>IF(I!K125="","",$D$2*I!K125)</f>
        <v>0.47002232399999999</v>
      </c>
      <c r="L125" s="981"/>
      <c r="M125" s="982"/>
      <c r="N125" s="1003"/>
      <c r="O125" s="1004">
        <f>IF(I!O125="","",$D$2*I!O125)</f>
        <v>0.86</v>
      </c>
      <c r="P125" s="1005">
        <f>IF(I!P125="","",$D$2*I!P125)</f>
        <v>1.9806399796014</v>
      </c>
      <c r="Q125" s="1006">
        <f>IF(I!Q125="","",$D$2*I!Q125)</f>
        <v>1.5890913E-2</v>
      </c>
      <c r="R125" s="982"/>
      <c r="S125" s="1003"/>
      <c r="T125" s="938"/>
      <c r="U125" s="1008" t="s">
        <v>1059</v>
      </c>
      <c r="V125" s="1018" t="s">
        <v>5984</v>
      </c>
      <c r="W125" s="1019">
        <f>IF(I!W125="","",$D$2*I!W125)</f>
        <v>0.31679956460000003</v>
      </c>
      <c r="X125" s="990">
        <f>IF(I!X125="","",$D$2*I!X125)</f>
        <v>0.14161378341000003</v>
      </c>
      <c r="Y125" s="1010">
        <f>IF(I!Y125="","",$D$2*I!Y125)</f>
        <v>0.6163014846</v>
      </c>
      <c r="Z125" s="938"/>
      <c r="AA125" s="938"/>
      <c r="AB125" s="938"/>
      <c r="AC125" s="938"/>
      <c r="AD125" s="1058"/>
      <c r="AE125" s="938"/>
      <c r="AF125" s="938"/>
      <c r="AG125" s="938"/>
      <c r="AH125" s="938"/>
    </row>
    <row r="126" spans="1:34" ht="17.25" customHeight="1" x14ac:dyDescent="0.35">
      <c r="A126" s="938"/>
      <c r="B126" s="938"/>
      <c r="C126" s="941"/>
      <c r="D126" s="1047"/>
      <c r="E126" s="941"/>
      <c r="F126" s="938"/>
      <c r="G126" s="976">
        <f t="shared" si="3"/>
        <v>123</v>
      </c>
      <c r="H126" s="1000">
        <v>1</v>
      </c>
      <c r="I126" s="1001" t="s">
        <v>1059</v>
      </c>
      <c r="J126" s="1031" t="s">
        <v>1174</v>
      </c>
      <c r="K126" s="1002">
        <f>IF(I!K126="","",$D$2*I!K126)</f>
        <v>1.156467627684</v>
      </c>
      <c r="L126" s="981"/>
      <c r="M126" s="982"/>
      <c r="N126" s="1003"/>
      <c r="O126" s="1004">
        <f>IF(I!O126="","",$D$2*I!O126)</f>
        <v>1.1599999999999999</v>
      </c>
      <c r="P126" s="1005">
        <f>IF(I!P126="","",$D$2*I!P126)</f>
        <v>0</v>
      </c>
      <c r="Q126" s="1006">
        <f>IF(I!Q126="","",$D$2*I!Q126)</f>
        <v>0</v>
      </c>
      <c r="R126" s="982"/>
      <c r="S126" s="1003"/>
      <c r="T126" s="938"/>
      <c r="U126" s="1008" t="s">
        <v>1059</v>
      </c>
      <c r="V126" s="1018" t="s">
        <v>5985</v>
      </c>
      <c r="W126" s="1019">
        <f>IF(I!W126="","",$D$2*I!W126)</f>
        <v>0.2560810141</v>
      </c>
      <c r="X126" s="990">
        <f>IF(I!X126="","",$D$2*I!X126)</f>
        <v>0.14108273733999999</v>
      </c>
      <c r="Y126" s="1010">
        <f>IF(I!Y126="","",$D$2*I!Y126)</f>
        <v>0.50122090409999998</v>
      </c>
      <c r="Z126" s="938"/>
      <c r="AA126" s="938"/>
      <c r="AB126" s="938"/>
      <c r="AC126" s="938"/>
      <c r="AD126" s="1058"/>
      <c r="AE126" s="938"/>
      <c r="AF126" s="938"/>
      <c r="AG126" s="938"/>
      <c r="AH126" s="938"/>
    </row>
    <row r="127" spans="1:34" ht="17.25" customHeight="1" x14ac:dyDescent="0.35">
      <c r="A127" s="938"/>
      <c r="B127" s="938"/>
      <c r="C127" s="941"/>
      <c r="D127" s="1047"/>
      <c r="E127" s="941"/>
      <c r="F127" s="938"/>
      <c r="G127" s="976">
        <f t="shared" si="3"/>
        <v>124</v>
      </c>
      <c r="H127" s="1000"/>
      <c r="I127" s="1001"/>
      <c r="J127" s="1027"/>
      <c r="K127" s="1002" t="str">
        <f>IF(I!K127="","",$D$2*I!K127)</f>
        <v/>
      </c>
      <c r="L127" s="981"/>
      <c r="M127" s="982"/>
      <c r="N127" s="1003"/>
      <c r="O127" s="1004" t="str">
        <f>IF(I!O127="","",$D$2*I!O127)</f>
        <v/>
      </c>
      <c r="P127" s="1005" t="str">
        <f>IF(I!P127="","",$D$2*I!P127)</f>
        <v/>
      </c>
      <c r="Q127" s="1006" t="str">
        <f>IF(I!Q127="","",$D$2*I!Q127)</f>
        <v/>
      </c>
      <c r="R127" s="982"/>
      <c r="S127" s="1003"/>
      <c r="T127" s="938"/>
      <c r="U127" s="1008" t="s">
        <v>1059</v>
      </c>
      <c r="V127" s="1018" t="s">
        <v>5986</v>
      </c>
      <c r="W127" s="1019">
        <f>IF(I!W127="","",$D$2*I!W127)</f>
        <v>0.33713125290000001</v>
      </c>
      <c r="X127" s="990">
        <f>IF(I!X127="","",$D$2*I!X127)</f>
        <v>0.15684659139999999</v>
      </c>
      <c r="Y127" s="1010">
        <f>IF(I!Y127="","",$D$2*I!Y127)</f>
        <v>0.65282641289999999</v>
      </c>
      <c r="Z127" s="938"/>
      <c r="AA127" s="938"/>
      <c r="AB127" s="938"/>
      <c r="AC127" s="938"/>
      <c r="AD127" s="1058"/>
      <c r="AE127" s="938"/>
      <c r="AF127" s="938"/>
      <c r="AG127" s="938"/>
      <c r="AH127" s="938"/>
    </row>
    <row r="128" spans="1:34" ht="17.25" customHeight="1" x14ac:dyDescent="0.35">
      <c r="A128" s="938"/>
      <c r="B128" s="938"/>
      <c r="C128" s="941"/>
      <c r="D128" s="1047"/>
      <c r="E128" s="941"/>
      <c r="F128" s="938"/>
      <c r="G128" s="976">
        <f t="shared" si="3"/>
        <v>125</v>
      </c>
      <c r="H128" s="942" t="s">
        <v>1175</v>
      </c>
      <c r="I128" s="1026"/>
      <c r="J128" s="1027"/>
      <c r="K128" s="1002" t="str">
        <f>IF(I!K128="","",$D$2*I!K128)</f>
        <v/>
      </c>
      <c r="L128" s="981"/>
      <c r="M128" s="982"/>
      <c r="N128" s="1003"/>
      <c r="O128" s="1004" t="str">
        <f>IF(I!O128="","",$D$2*I!O128)</f>
        <v/>
      </c>
      <c r="P128" s="1005" t="str">
        <f>IF(I!P128="","",$D$2*I!P128)</f>
        <v/>
      </c>
      <c r="Q128" s="1006" t="str">
        <f>IF(I!Q128="","",$D$2*I!Q128)</f>
        <v/>
      </c>
      <c r="R128" s="982"/>
      <c r="S128" s="1003"/>
      <c r="T128" s="938"/>
      <c r="U128" s="1008" t="s">
        <v>1059</v>
      </c>
      <c r="V128" s="1018" t="s">
        <v>5987</v>
      </c>
      <c r="W128" s="1019">
        <f>IF(I!W128="","",$D$2*I!W128)</f>
        <v>0.37475723849999998</v>
      </c>
      <c r="X128" s="990">
        <f>IF(I!X128="","",$D$2*I!X128)</f>
        <v>0.15590493042999998</v>
      </c>
      <c r="Y128" s="1010">
        <f>IF(I!Y128="","",$D$2*I!Y128)</f>
        <v>0.7227444985</v>
      </c>
      <c r="Z128" s="938"/>
      <c r="AA128" s="938"/>
      <c r="AB128" s="938"/>
      <c r="AC128" s="938"/>
      <c r="AD128" s="1058"/>
      <c r="AE128" s="938"/>
      <c r="AF128" s="938"/>
      <c r="AG128" s="938"/>
      <c r="AH128" s="938"/>
    </row>
    <row r="129" spans="1:34" ht="17.25" customHeight="1" x14ac:dyDescent="0.35">
      <c r="A129" s="938"/>
      <c r="B129" s="938"/>
      <c r="C129" s="941"/>
      <c r="D129" s="1047"/>
      <c r="E129" s="941"/>
      <c r="F129" s="938"/>
      <c r="G129" s="976">
        <f t="shared" si="3"/>
        <v>126</v>
      </c>
      <c r="H129" s="1000"/>
      <c r="I129" s="1001" t="s">
        <v>1176</v>
      </c>
      <c r="J129" s="1031" t="s">
        <v>1177</v>
      </c>
      <c r="K129" s="1002">
        <f>IF(I!K129="","",$D$2*I!K129)</f>
        <v>9.5985647910000003E-3</v>
      </c>
      <c r="L129" s="981"/>
      <c r="M129" s="982"/>
      <c r="N129" s="1003"/>
      <c r="O129" s="1004">
        <f>IF(I!O129="","",$D$2*I!O129)</f>
        <v>0.02</v>
      </c>
      <c r="P129" s="1005">
        <f>IF(I!P129="","",$D$2*I!P129)</f>
        <v>1.0121222569999999E-2</v>
      </c>
      <c r="Q129" s="1006">
        <f>IF(I!Q129="","",$D$2*I!Q129)</f>
        <v>0</v>
      </c>
      <c r="R129" s="982"/>
      <c r="S129" s="1003"/>
      <c r="T129" s="938"/>
      <c r="U129" s="1008" t="s">
        <v>1059</v>
      </c>
      <c r="V129" s="1018" t="s">
        <v>5988</v>
      </c>
      <c r="W129" s="1019">
        <f>IF(I!W129="","",$D$2*I!W129)</f>
        <v>0.29944711830000004</v>
      </c>
      <c r="X129" s="990">
        <f>IF(I!X129="","",$D$2*I!X129)</f>
        <v>0.15782203142000001</v>
      </c>
      <c r="Y129" s="1010">
        <f>IF(I!Y129="","",$D$2*I!Y129)</f>
        <v>0.58280542830000004</v>
      </c>
      <c r="Z129" s="938"/>
      <c r="AA129" s="938"/>
      <c r="AB129" s="938"/>
      <c r="AC129" s="938"/>
      <c r="AD129" s="1058"/>
      <c r="AE129" s="938"/>
      <c r="AF129" s="938"/>
      <c r="AG129" s="938"/>
      <c r="AH129" s="938"/>
    </row>
    <row r="130" spans="1:34" ht="17.25" customHeight="1" x14ac:dyDescent="0.35">
      <c r="A130" s="938"/>
      <c r="B130" s="938"/>
      <c r="C130" s="941"/>
      <c r="D130" s="1047"/>
      <c r="E130" s="941"/>
      <c r="F130" s="938"/>
      <c r="G130" s="976">
        <f t="shared" si="3"/>
        <v>127</v>
      </c>
      <c r="H130" s="1000"/>
      <c r="I130" s="1001" t="s">
        <v>1176</v>
      </c>
      <c r="J130" s="1031" t="s">
        <v>1178</v>
      </c>
      <c r="K130" s="1002">
        <f>IF(I!K130="","",$D$2*I!K130)</f>
        <v>7.7929635560000002E-2</v>
      </c>
      <c r="L130" s="981"/>
      <c r="M130" s="982"/>
      <c r="N130" s="1003"/>
      <c r="O130" s="1004">
        <f>IF(I!O130="","",$D$2*I!O130)</f>
        <v>0.1</v>
      </c>
      <c r="P130" s="1005">
        <f>IF(I!P130="","",$D$2*I!P130)</f>
        <v>7.917046157709999E-2</v>
      </c>
      <c r="Q130" s="1006">
        <f>IF(I!Q130="","",$D$2*I!Q130)</f>
        <v>0</v>
      </c>
      <c r="R130" s="982"/>
      <c r="S130" s="1003"/>
      <c r="T130" s="938"/>
      <c r="U130" s="1008"/>
      <c r="V130" s="1040"/>
      <c r="W130" s="1019" t="str">
        <f>IF(I!W130="","",$D$2*I!W130)</f>
        <v/>
      </c>
      <c r="X130" s="990" t="str">
        <f>IF(I!X130="","",$D$2*I!X130)</f>
        <v/>
      </c>
      <c r="Y130" s="1010" t="str">
        <f>IF(I!Y130="","",$D$2*I!Y130)</f>
        <v/>
      </c>
      <c r="Z130" s="938"/>
      <c r="AA130" s="938"/>
      <c r="AB130" s="938"/>
      <c r="AC130" s="938"/>
      <c r="AD130" s="1058"/>
      <c r="AE130" s="938"/>
      <c r="AF130" s="938"/>
      <c r="AG130" s="938"/>
      <c r="AH130" s="938"/>
    </row>
    <row r="131" spans="1:34" ht="17.25" customHeight="1" x14ac:dyDescent="0.35">
      <c r="A131" s="938"/>
      <c r="B131" s="938"/>
      <c r="C131" s="941"/>
      <c r="D131" s="1047"/>
      <c r="E131" s="941"/>
      <c r="F131" s="938"/>
      <c r="G131" s="976">
        <f t="shared" si="3"/>
        <v>128</v>
      </c>
      <c r="H131" s="1000"/>
      <c r="I131" s="1001" t="s">
        <v>1176</v>
      </c>
      <c r="J131" s="1031" t="s">
        <v>1179</v>
      </c>
      <c r="K131" s="1002">
        <f>IF(I!K131="","",$D$2*I!K131)</f>
        <v>21.756725979999999</v>
      </c>
      <c r="L131" s="981"/>
      <c r="M131" s="982"/>
      <c r="N131" s="1003"/>
      <c r="O131" s="1004">
        <f>IF(I!O131="","",$D$2*I!O131)</f>
        <v>131.97</v>
      </c>
      <c r="P131" s="1005">
        <f>IF(I!P131="","",$D$2*I!P131)</f>
        <v>8.6144356945555991</v>
      </c>
      <c r="Q131" s="1006">
        <f>IF(I!Q131="","",$D$2*I!Q131)</f>
        <v>0</v>
      </c>
      <c r="R131" s="982"/>
      <c r="S131" s="1003"/>
      <c r="T131" s="938"/>
      <c r="U131" s="1008"/>
      <c r="V131" s="1061" t="s">
        <v>5989</v>
      </c>
      <c r="W131" s="1019" t="str">
        <f>IF(I!W131="","",$D$2*I!W131)</f>
        <v/>
      </c>
      <c r="X131" s="990" t="str">
        <f>IF(I!X131="","",$D$2*I!X131)</f>
        <v/>
      </c>
      <c r="Y131" s="1010" t="str">
        <f>IF(I!Y131="","",$D$2*I!Y131)</f>
        <v/>
      </c>
      <c r="Z131" s="938"/>
      <c r="AA131" s="938"/>
      <c r="AB131" s="938"/>
      <c r="AC131" s="938"/>
      <c r="AD131" s="1058"/>
      <c r="AE131" s="938"/>
      <c r="AF131" s="938"/>
      <c r="AG131" s="938"/>
      <c r="AH131" s="938"/>
    </row>
    <row r="132" spans="1:34" ht="17.25" customHeight="1" x14ac:dyDescent="0.35">
      <c r="A132" s="938"/>
      <c r="B132" s="938"/>
      <c r="C132" s="941"/>
      <c r="D132" s="1047"/>
      <c r="E132" s="941"/>
      <c r="F132" s="938"/>
      <c r="G132" s="976">
        <f t="shared" si="3"/>
        <v>129</v>
      </c>
      <c r="H132" s="1000"/>
      <c r="I132" s="1001" t="s">
        <v>1176</v>
      </c>
      <c r="J132" s="1031" t="s">
        <v>1180</v>
      </c>
      <c r="K132" s="1002">
        <f>IF(I!K132="","",$D$2*I!K132)</f>
        <v>11.24178178</v>
      </c>
      <c r="L132" s="981"/>
      <c r="M132" s="982"/>
      <c r="N132" s="1003"/>
      <c r="O132" s="1004">
        <f>IF(I!O132="","",$D$2*I!O132)</f>
        <v>68.19</v>
      </c>
      <c r="P132" s="1005">
        <f>IF(I!P132="","",$D$2*I!P132)</f>
        <v>8.1626307857765994</v>
      </c>
      <c r="Q132" s="1006">
        <f>IF(I!Q132="","",$D$2*I!Q132)</f>
        <v>0</v>
      </c>
      <c r="R132" s="982"/>
      <c r="S132" s="1003"/>
      <c r="T132" s="938"/>
      <c r="U132" s="1008" t="s">
        <v>1059</v>
      </c>
      <c r="V132" s="1018" t="s">
        <v>5990</v>
      </c>
      <c r="W132" s="1019">
        <f>IF(I!W132="","",$D$2*I!W132)</f>
        <v>0.1523747433</v>
      </c>
      <c r="X132" s="990">
        <f>IF(I!X132="","",$D$2*I!X132)</f>
        <v>6.8573425849999994E-2</v>
      </c>
      <c r="Y132" s="1010">
        <f>IF(I!Y132="","",$D$2*I!Y132)</f>
        <v>0.25953062329999999</v>
      </c>
      <c r="Z132" s="938"/>
      <c r="AA132" s="938"/>
      <c r="AB132" s="938"/>
      <c r="AC132" s="938"/>
      <c r="AD132" s="1058"/>
      <c r="AE132" s="938"/>
      <c r="AF132" s="938"/>
      <c r="AG132" s="938"/>
      <c r="AH132" s="938"/>
    </row>
    <row r="133" spans="1:34" ht="17.25" customHeight="1" x14ac:dyDescent="0.35">
      <c r="A133" s="938"/>
      <c r="B133" s="938"/>
      <c r="C133" s="941"/>
      <c r="D133" s="1047"/>
      <c r="E133" s="941"/>
      <c r="F133" s="938"/>
      <c r="G133" s="976">
        <f t="shared" si="3"/>
        <v>130</v>
      </c>
      <c r="H133" s="1000"/>
      <c r="I133" s="1001" t="s">
        <v>1181</v>
      </c>
      <c r="J133" s="1031" t="s">
        <v>1182</v>
      </c>
      <c r="K133" s="1002">
        <f>IF(I!K133="","",$D$2*I!K133)</f>
        <v>5.61461563E-2</v>
      </c>
      <c r="L133" s="981"/>
      <c r="M133" s="982"/>
      <c r="N133" s="1003"/>
      <c r="O133" s="1004">
        <f>IF(I!O133="","",$D$2*I!O133)</f>
        <v>7.0000000000000007E-2</v>
      </c>
      <c r="P133" s="1005">
        <f>IF(I!P133="","",$D$2*I!P133)</f>
        <v>7.4018397890009996E-2</v>
      </c>
      <c r="Q133" s="1006">
        <f>IF(I!Q133="","",$D$2*I!Q133)</f>
        <v>2.8739379000000001E-5</v>
      </c>
      <c r="R133" s="982"/>
      <c r="S133" s="1003"/>
      <c r="T133" s="938"/>
      <c r="U133" s="1008" t="s">
        <v>1059</v>
      </c>
      <c r="V133" s="1018" t="s">
        <v>5991</v>
      </c>
      <c r="W133" s="1019">
        <f>IF(I!W133="","",$D$2*I!W133)</f>
        <v>0.1020143466</v>
      </c>
      <c r="X133" s="990">
        <f>IF(I!X133="","",$D$2*I!X133)</f>
        <v>7.4147639890000006E-2</v>
      </c>
      <c r="Y133" s="1010">
        <f>IF(I!Y133="","",$D$2*I!Y133)</f>
        <v>0.1984651586</v>
      </c>
      <c r="Z133" s="938"/>
      <c r="AA133" s="938"/>
      <c r="AB133" s="938"/>
      <c r="AC133" s="938"/>
      <c r="AD133" s="1058"/>
      <c r="AE133" s="938"/>
      <c r="AF133" s="938"/>
      <c r="AG133" s="938"/>
      <c r="AH133" s="938"/>
    </row>
    <row r="134" spans="1:34" ht="17.25" customHeight="1" x14ac:dyDescent="0.35">
      <c r="A134" s="938"/>
      <c r="B134" s="938"/>
      <c r="C134" s="941"/>
      <c r="D134" s="1047"/>
      <c r="E134" s="941"/>
      <c r="F134" s="938"/>
      <c r="G134" s="976">
        <f t="shared" ref="G134:G197" si="4">G133+1</f>
        <v>131</v>
      </c>
      <c r="H134" s="1000"/>
      <c r="I134" s="1001" t="s">
        <v>1059</v>
      </c>
      <c r="J134" s="1031" t="s">
        <v>1183</v>
      </c>
      <c r="K134" s="1002">
        <f>IF(I!K134="","",$D$2*I!K134)</f>
        <v>0.92988773100000011</v>
      </c>
      <c r="L134" s="981"/>
      <c r="M134" s="982"/>
      <c r="N134" s="1003"/>
      <c r="O134" s="1004">
        <f>IF(I!O134="","",$D$2*I!O134)</f>
        <v>1.43</v>
      </c>
      <c r="P134" s="1005">
        <f>IF(I!P134="","",$D$2*I!P134)</f>
        <v>1.13585471193</v>
      </c>
      <c r="Q134" s="1006">
        <f>IF(I!Q134="","",$D$2*I!Q134)</f>
        <v>4.3110364E-4</v>
      </c>
      <c r="R134" s="982"/>
      <c r="S134" s="1003"/>
      <c r="T134" s="938"/>
      <c r="U134" s="1008" t="s">
        <v>1059</v>
      </c>
      <c r="V134" s="1018" t="s">
        <v>5992</v>
      </c>
      <c r="W134" s="1019">
        <f>IF(I!W134="","",$D$2*I!W134)</f>
        <v>9.7221334150000005E-2</v>
      </c>
      <c r="X134" s="990">
        <f>IF(I!X134="","",$D$2*I!X134)</f>
        <v>5.9753189570000032E-2</v>
      </c>
      <c r="Y134" s="1010">
        <f>IF(I!Y134="","",$D$2*I!Y134)</f>
        <v>0.19592968515</v>
      </c>
      <c r="Z134" s="938"/>
      <c r="AA134" s="938"/>
      <c r="AB134" s="938"/>
      <c r="AC134" s="938"/>
      <c r="AD134" s="1058"/>
      <c r="AE134" s="938"/>
      <c r="AF134" s="938"/>
      <c r="AG134" s="938"/>
      <c r="AH134" s="938"/>
    </row>
    <row r="135" spans="1:34" ht="17.25" customHeight="1" x14ac:dyDescent="0.35">
      <c r="A135" s="938"/>
      <c r="B135" s="938"/>
      <c r="C135" s="941"/>
      <c r="D135" s="1047"/>
      <c r="E135" s="941"/>
      <c r="F135" s="938"/>
      <c r="G135" s="976">
        <f t="shared" si="4"/>
        <v>132</v>
      </c>
      <c r="H135" s="1000"/>
      <c r="I135" s="1001" t="s">
        <v>1059</v>
      </c>
      <c r="J135" s="1031" t="s">
        <v>1184</v>
      </c>
      <c r="K135" s="1002">
        <f>IF(I!K135="","",$D$2*I!K135)</f>
        <v>973.52808089999996</v>
      </c>
      <c r="L135" s="981"/>
      <c r="M135" s="982"/>
      <c r="N135" s="1003"/>
      <c r="O135" s="1004">
        <f>IF(I!O135="","",$D$2*I!O135)</f>
        <v>3072.14</v>
      </c>
      <c r="P135" s="1005">
        <f>IF(I!P135="","",$D$2*I!P135)</f>
        <v>753.15193120000004</v>
      </c>
      <c r="Q135" s="1006">
        <f>IF(I!Q135="","",$D$2*I!Q135)</f>
        <v>0</v>
      </c>
      <c r="R135" s="982"/>
      <c r="S135" s="1003"/>
      <c r="T135" s="938"/>
      <c r="U135" s="1008" t="s">
        <v>1059</v>
      </c>
      <c r="V135" s="1018" t="s">
        <v>5993</v>
      </c>
      <c r="W135" s="1019">
        <f>IF(I!W135="","",$D$2*I!W135)</f>
        <v>8.1578058849999996E-2</v>
      </c>
      <c r="X135" s="990">
        <f>IF(I!X135="","",$D$2*I!X135)</f>
        <v>6.2144414310000007E-2</v>
      </c>
      <c r="Y135" s="1010">
        <f>IF(I!Y135="","",$D$2*I!Y135)</f>
        <v>0.17229454184999998</v>
      </c>
      <c r="Z135" s="938"/>
      <c r="AA135" s="938"/>
      <c r="AB135" s="938"/>
      <c r="AC135" s="938"/>
      <c r="AD135" s="1058"/>
      <c r="AE135" s="938"/>
      <c r="AF135" s="938"/>
      <c r="AG135" s="938"/>
      <c r="AH135" s="938"/>
    </row>
    <row r="136" spans="1:34" ht="17.25" customHeight="1" x14ac:dyDescent="0.35">
      <c r="A136" s="938"/>
      <c r="B136" s="938"/>
      <c r="C136" s="941"/>
      <c r="D136" s="1047"/>
      <c r="E136" s="941"/>
      <c r="F136" s="938"/>
      <c r="G136" s="976">
        <f t="shared" si="4"/>
        <v>133</v>
      </c>
      <c r="H136" s="1000"/>
      <c r="I136" s="1001" t="s">
        <v>1059</v>
      </c>
      <c r="J136" s="1031" t="s">
        <v>1185</v>
      </c>
      <c r="K136" s="1002">
        <f>IF(I!K136="","",$D$2*I!K136)</f>
        <v>40.014303859999998</v>
      </c>
      <c r="L136" s="981"/>
      <c r="M136" s="982"/>
      <c r="N136" s="1003"/>
      <c r="O136" s="1004">
        <f>IF(I!O136="","",$D$2*I!O136)</f>
        <v>126.27</v>
      </c>
      <c r="P136" s="1005">
        <f>IF(I!P136="","",$D$2*I!P136)</f>
        <v>30.956323093000002</v>
      </c>
      <c r="Q136" s="1006">
        <f>IF(I!Q136="","",$D$2*I!Q136)</f>
        <v>0</v>
      </c>
      <c r="R136" s="982"/>
      <c r="S136" s="1003"/>
      <c r="T136" s="938"/>
      <c r="U136" s="1008" t="s">
        <v>1059</v>
      </c>
      <c r="V136" s="1018" t="s">
        <v>5994</v>
      </c>
      <c r="W136" s="1019">
        <f>IF(I!W136="","",$D$2*I!W136)</f>
        <v>0.10502184909999999</v>
      </c>
      <c r="X136" s="990">
        <f>IF(I!X136="","",$D$2*I!X136)</f>
        <v>8.911239705E-2</v>
      </c>
      <c r="Y136" s="1010">
        <f>IF(I!Y136="","",$D$2*I!Y136)</f>
        <v>0.21021560909999998</v>
      </c>
      <c r="Z136" s="938"/>
      <c r="AA136" s="938"/>
      <c r="AB136" s="938"/>
      <c r="AC136" s="938"/>
      <c r="AD136" s="1058"/>
      <c r="AE136" s="938"/>
      <c r="AF136" s="938"/>
      <c r="AG136" s="938"/>
      <c r="AH136" s="938"/>
    </row>
    <row r="137" spans="1:34" ht="17.25" customHeight="1" x14ac:dyDescent="0.35">
      <c r="A137" s="938"/>
      <c r="B137" s="938"/>
      <c r="C137" s="941"/>
      <c r="D137" s="1047"/>
      <c r="E137" s="941"/>
      <c r="F137" s="938"/>
      <c r="G137" s="976">
        <f t="shared" si="4"/>
        <v>134</v>
      </c>
      <c r="H137" s="1000"/>
      <c r="I137" s="1001" t="s">
        <v>1176</v>
      </c>
      <c r="J137" s="1031" t="s">
        <v>1186</v>
      </c>
      <c r="K137" s="1002">
        <f>IF(I!K137="","",$D$2*I!K137)</f>
        <v>6.9555741200000005</v>
      </c>
      <c r="L137" s="981"/>
      <c r="M137" s="982"/>
      <c r="N137" s="1003"/>
      <c r="O137" s="1004">
        <f>IF(I!O137="","",$D$2*I!O137)</f>
        <v>42.18</v>
      </c>
      <c r="P137" s="1005">
        <f>IF(I!P137="","",$D$2*I!P137)</f>
        <v>1.8163731783416999</v>
      </c>
      <c r="Q137" s="1006">
        <f>IF(I!Q137="","",$D$2*I!Q137)</f>
        <v>1.3754855000000001E-10</v>
      </c>
      <c r="R137" s="982"/>
      <c r="S137" s="1003"/>
      <c r="T137" s="938"/>
      <c r="U137" s="1008" t="s">
        <v>1059</v>
      </c>
      <c r="V137" s="1018" t="s">
        <v>5995</v>
      </c>
      <c r="W137" s="1019">
        <f>IF(I!W137="","",$D$2*I!W137)</f>
        <v>0.39489431600000002</v>
      </c>
      <c r="X137" s="990">
        <f>IF(I!X137="","",$D$2*I!X137)</f>
        <v>8.8621616649999999E-2</v>
      </c>
      <c r="Y137" s="1010">
        <f>IF(I!Y137="","",$D$2*I!Y137)</f>
        <v>0.51415878599999998</v>
      </c>
      <c r="Z137" s="938"/>
      <c r="AA137" s="938"/>
      <c r="AB137" s="938"/>
      <c r="AC137" s="938"/>
      <c r="AD137" s="1058"/>
      <c r="AE137" s="938"/>
      <c r="AF137" s="938"/>
      <c r="AG137" s="938"/>
      <c r="AH137" s="938"/>
    </row>
    <row r="138" spans="1:34" ht="17.25" customHeight="1" x14ac:dyDescent="0.35">
      <c r="A138" s="938"/>
      <c r="B138" s="938"/>
      <c r="C138" s="941"/>
      <c r="D138" s="1047"/>
      <c r="E138" s="941"/>
      <c r="F138" s="938"/>
      <c r="G138" s="976">
        <f t="shared" si="4"/>
        <v>135</v>
      </c>
      <c r="H138" s="942"/>
      <c r="I138" s="1001" t="s">
        <v>1059</v>
      </c>
      <c r="J138" s="1031" t="s">
        <v>1187</v>
      </c>
      <c r="K138" s="1002">
        <f>IF(I!K138="","",$D$2*I!K138)</f>
        <v>9.3636138760000001E-2</v>
      </c>
      <c r="L138" s="981"/>
      <c r="M138" s="982"/>
      <c r="N138" s="1003"/>
      <c r="O138" s="1004">
        <f>IF(I!O138="","",$D$2*I!O138)</f>
        <v>0.2</v>
      </c>
      <c r="P138" s="1005">
        <f>IF(I!P138="","",$D$2*I!P138)</f>
        <v>0.35943007471799993</v>
      </c>
      <c r="Q138" s="1006">
        <f>IF(I!Q138="","",$D$2*I!Q138)</f>
        <v>3.5118768999999999E-9</v>
      </c>
      <c r="R138" s="982"/>
      <c r="S138" s="1003"/>
      <c r="T138" s="938"/>
      <c r="U138" s="1008" t="s">
        <v>1059</v>
      </c>
      <c r="V138" s="1018" t="s">
        <v>5996</v>
      </c>
      <c r="W138" s="1019">
        <f>IF(I!W138="","",$D$2*I!W138)</f>
        <v>9.2135628489999996E-2</v>
      </c>
      <c r="X138" s="990">
        <f>IF(I!X138="","",$D$2*I!X138)</f>
        <v>7.5158605959999999E-2</v>
      </c>
      <c r="Y138" s="1010">
        <f>IF(I!Y138="","",$D$2*I!Y138)</f>
        <v>0.19095022848999998</v>
      </c>
      <c r="Z138" s="938"/>
      <c r="AA138" s="938"/>
      <c r="AB138" s="938"/>
      <c r="AC138" s="938"/>
      <c r="AD138" s="1058"/>
      <c r="AE138" s="938"/>
      <c r="AF138" s="938"/>
      <c r="AG138" s="938"/>
      <c r="AH138" s="938"/>
    </row>
    <row r="139" spans="1:34" ht="17.25" customHeight="1" x14ac:dyDescent="0.35">
      <c r="A139" s="938"/>
      <c r="B139" s="938"/>
      <c r="C139" s="941"/>
      <c r="D139" s="1047"/>
      <c r="E139" s="941"/>
      <c r="F139" s="938"/>
      <c r="G139" s="976">
        <f t="shared" si="4"/>
        <v>136</v>
      </c>
      <c r="H139" s="1000"/>
      <c r="I139" s="1001" t="s">
        <v>1176</v>
      </c>
      <c r="J139" s="1031" t="s">
        <v>1188</v>
      </c>
      <c r="K139" s="1002">
        <f>IF(I!K139="","",$D$2*I!K139)</f>
        <v>0.45935248410000001</v>
      </c>
      <c r="L139" s="981"/>
      <c r="M139" s="982"/>
      <c r="N139" s="1003"/>
      <c r="O139" s="1004">
        <f>IF(I!O139="","",$D$2*I!O139)</f>
        <v>1.41</v>
      </c>
      <c r="P139" s="1005">
        <f>IF(I!P139="","",$D$2*I!P139)</f>
        <v>1.07578856094</v>
      </c>
      <c r="Q139" s="1006">
        <f>IF(I!Q139="","",$D$2*I!Q139)</f>
        <v>7.4005644000000004E-6</v>
      </c>
      <c r="R139" s="982"/>
      <c r="S139" s="1003"/>
      <c r="T139" s="938"/>
      <c r="U139" s="1008" t="s">
        <v>1059</v>
      </c>
      <c r="V139" s="1018" t="s">
        <v>5997</v>
      </c>
      <c r="W139" s="1019">
        <f>IF(I!W139="","",$D$2*I!W139)</f>
        <v>0.13431677717999999</v>
      </c>
      <c r="X139" s="990">
        <f>IF(I!X139="","",$D$2*I!X139)</f>
        <v>4.8528475930000002E-2</v>
      </c>
      <c r="Y139" s="1010">
        <f>IF(I!Y139="","",$D$2*I!Y139)</f>
        <v>0.20483940917999999</v>
      </c>
      <c r="Z139" s="938"/>
      <c r="AA139" s="938"/>
      <c r="AB139" s="938"/>
      <c r="AC139" s="938"/>
      <c r="AD139" s="1058"/>
      <c r="AE139" s="938"/>
      <c r="AF139" s="938"/>
      <c r="AG139" s="938"/>
      <c r="AH139" s="938"/>
    </row>
    <row r="140" spans="1:34" ht="17.25" customHeight="1" x14ac:dyDescent="0.35">
      <c r="A140" s="938"/>
      <c r="B140" s="938"/>
      <c r="C140" s="941"/>
      <c r="D140" s="1047"/>
      <c r="E140" s="941"/>
      <c r="F140" s="938"/>
      <c r="G140" s="976">
        <f t="shared" si="4"/>
        <v>137</v>
      </c>
      <c r="H140" s="1000"/>
      <c r="I140" s="1001" t="s">
        <v>1059</v>
      </c>
      <c r="J140" s="1031" t="s">
        <v>1189</v>
      </c>
      <c r="K140" s="1002">
        <f>IF(I!K140="","",$D$2*I!K140)</f>
        <v>2.656319994</v>
      </c>
      <c r="L140" s="981"/>
      <c r="M140" s="982"/>
      <c r="N140" s="1003"/>
      <c r="O140" s="1004">
        <f>IF(I!O140="","",$D$2*I!O140)</f>
        <v>8.02</v>
      </c>
      <c r="P140" s="1005">
        <f>IF(I!P140="","",$D$2*I!P140)</f>
        <v>17.997907469499999</v>
      </c>
      <c r="Q140" s="1006">
        <f>IF(I!Q140="","",$D$2*I!Q140)</f>
        <v>2.1442577E-10</v>
      </c>
      <c r="R140" s="982"/>
      <c r="S140" s="1003"/>
      <c r="T140" s="938"/>
      <c r="U140" s="1008" t="s">
        <v>1059</v>
      </c>
      <c r="V140" s="1018" t="s">
        <v>5998</v>
      </c>
      <c r="W140" s="1019">
        <f>IF(I!W140="","",$D$2*I!W140)</f>
        <v>9.2443413269999997E-2</v>
      </c>
      <c r="X140" s="990">
        <f>IF(I!X140="","",$D$2*I!X140)</f>
        <v>6.5233090769999974E-2</v>
      </c>
      <c r="Y140" s="1010">
        <f>IF(I!Y140="","",$D$2*I!Y140)</f>
        <v>0.17795309927</v>
      </c>
      <c r="Z140" s="938"/>
      <c r="AA140" s="938"/>
      <c r="AB140" s="938"/>
      <c r="AC140" s="938"/>
      <c r="AD140" s="1058"/>
      <c r="AE140" s="938"/>
      <c r="AF140" s="938"/>
      <c r="AG140" s="938"/>
      <c r="AH140" s="938"/>
    </row>
    <row r="141" spans="1:34" ht="17.25" customHeight="1" x14ac:dyDescent="0.35">
      <c r="A141" s="938"/>
      <c r="B141" s="938"/>
      <c r="C141" s="941"/>
      <c r="D141" s="1047"/>
      <c r="E141" s="941"/>
      <c r="F141" s="938"/>
      <c r="G141" s="976">
        <f t="shared" si="4"/>
        <v>138</v>
      </c>
      <c r="H141" s="1000"/>
      <c r="I141" s="1001" t="s">
        <v>1059</v>
      </c>
      <c r="J141" s="1031" t="s">
        <v>1190</v>
      </c>
      <c r="K141" s="1002">
        <f>IF(I!K141="","",$D$2*I!K141)</f>
        <v>2.7760824539999995</v>
      </c>
      <c r="L141" s="981"/>
      <c r="M141" s="982"/>
      <c r="N141" s="1003"/>
      <c r="O141" s="1004">
        <f>IF(I!O141="","",$D$2*I!O141)</f>
        <v>8.76</v>
      </c>
      <c r="P141" s="1005">
        <f>IF(I!P141="","",$D$2*I!P141)</f>
        <v>3.3404263598999999</v>
      </c>
      <c r="Q141" s="1006">
        <f>IF(I!Q141="","",$D$2*I!Q141)</f>
        <v>0</v>
      </c>
      <c r="R141" s="982"/>
      <c r="S141" s="1003"/>
      <c r="T141" s="938"/>
      <c r="U141" s="1008" t="s">
        <v>1059</v>
      </c>
      <c r="V141" s="1018" t="s">
        <v>5999</v>
      </c>
      <c r="W141" s="1019">
        <f>IF(I!W141="","",$D$2*I!W141)</f>
        <v>0.102037493524</v>
      </c>
      <c r="X141" s="990">
        <f>IF(I!X141="","",$D$2*I!X141)</f>
        <v>6.9950257360000004E-2</v>
      </c>
      <c r="Y141" s="1010">
        <f>IF(I!Y141="","",$D$2*I!Y141)</f>
        <v>0.31676937352400003</v>
      </c>
      <c r="Z141" s="938"/>
      <c r="AA141" s="938"/>
      <c r="AB141" s="938"/>
      <c r="AC141" s="938"/>
      <c r="AD141" s="1058"/>
      <c r="AE141" s="938"/>
      <c r="AF141" s="938"/>
      <c r="AG141" s="938"/>
      <c r="AH141" s="938"/>
    </row>
    <row r="142" spans="1:34" ht="17.25" customHeight="1" x14ac:dyDescent="0.35">
      <c r="A142" s="938"/>
      <c r="B142" s="938"/>
      <c r="C142" s="941"/>
      <c r="D142" s="1047"/>
      <c r="E142" s="941"/>
      <c r="F142" s="938"/>
      <c r="G142" s="976">
        <f t="shared" si="4"/>
        <v>139</v>
      </c>
      <c r="H142" s="1000"/>
      <c r="I142" s="1001" t="s">
        <v>1059</v>
      </c>
      <c r="J142" s="1031" t="s">
        <v>1191</v>
      </c>
      <c r="K142" s="1002">
        <f>IF(I!K142="","",$D$2*I!K142)</f>
        <v>1.6619544276</v>
      </c>
      <c r="L142" s="981"/>
      <c r="M142" s="982"/>
      <c r="N142" s="1003"/>
      <c r="O142" s="1004">
        <f>IF(I!O142="","",$D$2*I!O142)</f>
        <v>5.63</v>
      </c>
      <c r="P142" s="1005">
        <f>IF(I!P142="","",$D$2*I!P142)</f>
        <v>7.2297393710249986</v>
      </c>
      <c r="Q142" s="1006">
        <f>IF(I!Q142="","",$D$2*I!Q142)</f>
        <v>1.6112958000000001E-10</v>
      </c>
      <c r="R142" s="982"/>
      <c r="S142" s="1003"/>
      <c r="T142" s="938"/>
      <c r="U142" s="1008" t="s">
        <v>1059</v>
      </c>
      <c r="V142" s="1018" t="s">
        <v>6000</v>
      </c>
      <c r="W142" s="1019">
        <f>IF(I!W142="","",$D$2*I!W142)</f>
        <v>0.12084071594000001</v>
      </c>
      <c r="X142" s="990">
        <f>IF(I!X142="","",$D$2*I!X142)</f>
        <v>7.9712428310000027E-2</v>
      </c>
      <c r="Y142" s="1010">
        <f>IF(I!Y142="","",$D$2*I!Y142)</f>
        <v>0.22062560894</v>
      </c>
      <c r="Z142" s="938"/>
      <c r="AA142" s="938"/>
      <c r="AB142" s="938"/>
      <c r="AC142" s="938"/>
      <c r="AD142" s="1058"/>
      <c r="AE142" s="938"/>
      <c r="AF142" s="938"/>
      <c r="AG142" s="938"/>
      <c r="AH142" s="938"/>
    </row>
    <row r="143" spans="1:34" ht="17.25" customHeight="1" x14ac:dyDescent="0.35">
      <c r="A143" s="938"/>
      <c r="B143" s="938"/>
      <c r="C143" s="941"/>
      <c r="D143" s="1047"/>
      <c r="E143" s="941"/>
      <c r="F143" s="938"/>
      <c r="G143" s="976">
        <f t="shared" si="4"/>
        <v>140</v>
      </c>
      <c r="H143" s="942"/>
      <c r="I143" s="1001" t="s">
        <v>1059</v>
      </c>
      <c r="J143" s="1031" t="s">
        <v>1192</v>
      </c>
      <c r="K143" s="1002">
        <f>IF(I!K143="","",$D$2*I!K143)</f>
        <v>7.0921904630000004E-2</v>
      </c>
      <c r="L143" s="981"/>
      <c r="M143" s="982"/>
      <c r="N143" s="1003"/>
      <c r="O143" s="1004">
        <f>IF(I!O143="","",$D$2*I!O143)</f>
        <v>0.22</v>
      </c>
      <c r="P143" s="1005">
        <f>IF(I!P143="","",$D$2*I!P143)</f>
        <v>5.4867414310000001E-2</v>
      </c>
      <c r="Q143" s="1006">
        <f>IF(I!Q143="","",$D$2*I!Q143)</f>
        <v>0</v>
      </c>
      <c r="R143" s="982"/>
      <c r="S143" s="1003"/>
      <c r="T143" s="938"/>
      <c r="U143" s="1008" t="s">
        <v>1059</v>
      </c>
      <c r="V143" s="1018" t="s">
        <v>6001</v>
      </c>
      <c r="W143" s="1019">
        <f>IF(I!W143="","",$D$2*I!W143)</f>
        <v>0.163255066255</v>
      </c>
      <c r="X143" s="990">
        <f>IF(I!X143="","",$D$2*I!X143)</f>
        <v>0.10551210068999994</v>
      </c>
      <c r="Y143" s="1010">
        <f>IF(I!Y143="","",$D$2*I!Y143)</f>
        <v>0.33690878625499998</v>
      </c>
      <c r="Z143" s="938"/>
      <c r="AA143" s="938"/>
      <c r="AB143" s="938"/>
      <c r="AC143" s="938"/>
      <c r="AD143" s="1058"/>
      <c r="AE143" s="938"/>
      <c r="AF143" s="938"/>
      <c r="AG143" s="938"/>
      <c r="AH143" s="938"/>
    </row>
    <row r="144" spans="1:34" ht="17.25" customHeight="1" x14ac:dyDescent="0.35">
      <c r="A144" s="938"/>
      <c r="B144" s="938"/>
      <c r="C144" s="941"/>
      <c r="D144" s="1047"/>
      <c r="E144" s="941"/>
      <c r="F144" s="938"/>
      <c r="G144" s="976">
        <f t="shared" si="4"/>
        <v>141</v>
      </c>
      <c r="H144" s="1000"/>
      <c r="I144" s="1001" t="s">
        <v>1176</v>
      </c>
      <c r="J144" s="1031" t="s">
        <v>1193</v>
      </c>
      <c r="K144" s="1002">
        <f>IF(I!K144="","",$D$2*I!K144)</f>
        <v>8.432163212999999E-2</v>
      </c>
      <c r="L144" s="981"/>
      <c r="M144" s="982"/>
      <c r="N144" s="1003"/>
      <c r="O144" s="1004">
        <f>IF(I!O144="","",$D$2*I!O144)</f>
        <v>0.11</v>
      </c>
      <c r="P144" s="1005">
        <f>IF(I!P144="","",$D$2*I!P144)</f>
        <v>0.13615116334000002</v>
      </c>
      <c r="Q144" s="1006">
        <f>IF(I!Q144="","",$D$2*I!Q144)</f>
        <v>0</v>
      </c>
      <c r="R144" s="982"/>
      <c r="S144" s="1003"/>
      <c r="T144" s="938"/>
      <c r="U144" s="1008" t="s">
        <v>1059</v>
      </c>
      <c r="V144" s="1018" t="s">
        <v>6002</v>
      </c>
      <c r="W144" s="1019">
        <f>IF(I!W144="","",$D$2*I!W144)</f>
        <v>7.2697977210000014E-2</v>
      </c>
      <c r="X144" s="990">
        <f>IF(I!X144="","",$D$2*I!X144)</f>
        <v>5.5865837479999986E-2</v>
      </c>
      <c r="Y144" s="1010">
        <f>IF(I!Y144="","",$D$2*I!Y144)</f>
        <v>0.15249404521000001</v>
      </c>
      <c r="Z144" s="938"/>
      <c r="AA144" s="938"/>
      <c r="AB144" s="938"/>
      <c r="AC144" s="938"/>
      <c r="AD144" s="1058"/>
      <c r="AE144" s="938"/>
      <c r="AF144" s="938"/>
      <c r="AG144" s="938"/>
      <c r="AH144" s="938"/>
    </row>
    <row r="145" spans="1:34" ht="17.25" customHeight="1" x14ac:dyDescent="0.35">
      <c r="A145" s="938"/>
      <c r="B145" s="938"/>
      <c r="C145" s="941"/>
      <c r="D145" s="1047"/>
      <c r="E145" s="941"/>
      <c r="F145" s="938"/>
      <c r="G145" s="976">
        <f t="shared" si="4"/>
        <v>142</v>
      </c>
      <c r="H145" s="1000"/>
      <c r="I145" s="1001" t="s">
        <v>1176</v>
      </c>
      <c r="J145" s="1031" t="s">
        <v>1194</v>
      </c>
      <c r="K145" s="1002">
        <f>IF(I!K145="","",$D$2*I!K145)</f>
        <v>0.15886433816999998</v>
      </c>
      <c r="L145" s="981"/>
      <c r="M145" s="982"/>
      <c r="N145" s="1003"/>
      <c r="O145" s="1004">
        <f>IF(I!O145="","",$D$2*I!O145)</f>
        <v>0.21</v>
      </c>
      <c r="P145" s="1005">
        <f>IF(I!P145="","",$D$2*I!P145)</f>
        <v>0.58293693219999998</v>
      </c>
      <c r="Q145" s="1006">
        <f>IF(I!Q145="","",$D$2*I!Q145)</f>
        <v>0</v>
      </c>
      <c r="R145" s="982"/>
      <c r="S145" s="1003"/>
      <c r="T145" s="938"/>
      <c r="U145" s="1008" t="s">
        <v>1059</v>
      </c>
      <c r="V145" s="1018" t="s">
        <v>6003</v>
      </c>
      <c r="W145" s="1019">
        <f>IF(I!W145="","",$D$2*I!W145)</f>
        <v>0.11649320452</v>
      </c>
      <c r="X145" s="990">
        <f>IF(I!X145="","",$D$2*I!X145)</f>
        <v>7.2241897720000003E-2</v>
      </c>
      <c r="Y145" s="1010">
        <f>IF(I!Y145="","",$D$2*I!Y145)</f>
        <v>0.20837893752</v>
      </c>
      <c r="Z145" s="938"/>
      <c r="AA145" s="938"/>
      <c r="AB145" s="938"/>
      <c r="AC145" s="938"/>
      <c r="AD145" s="1058"/>
      <c r="AE145" s="938"/>
      <c r="AF145" s="938"/>
      <c r="AG145" s="938"/>
      <c r="AH145" s="938"/>
    </row>
    <row r="146" spans="1:34" ht="17.25" customHeight="1" x14ac:dyDescent="0.35">
      <c r="A146" s="938"/>
      <c r="B146" s="938"/>
      <c r="C146" s="941"/>
      <c r="D146" s="1047"/>
      <c r="E146" s="941"/>
      <c r="F146" s="938"/>
      <c r="G146" s="976">
        <f t="shared" si="4"/>
        <v>143</v>
      </c>
      <c r="H146" s="1000"/>
      <c r="I146" s="1001" t="s">
        <v>1059</v>
      </c>
      <c r="J146" s="1031" t="s">
        <v>1195</v>
      </c>
      <c r="K146" s="1002">
        <f>IF(I!K146="","",$D$2*I!K146)</f>
        <v>1.7999693403999999</v>
      </c>
      <c r="L146" s="981"/>
      <c r="M146" s="982"/>
      <c r="N146" s="1003"/>
      <c r="O146" s="1004">
        <f>IF(I!O146="","",$D$2*I!O146)</f>
        <v>5.68</v>
      </c>
      <c r="P146" s="1005">
        <f>IF(I!P146="","",$D$2*I!P146)</f>
        <v>14.922910302099998</v>
      </c>
      <c r="Q146" s="1006">
        <f>IF(I!Q146="","",$D$2*I!Q146)</f>
        <v>0</v>
      </c>
      <c r="R146" s="982"/>
      <c r="S146" s="1003"/>
      <c r="T146" s="938"/>
      <c r="U146" s="1008"/>
      <c r="V146" s="1040"/>
      <c r="W146" s="1019" t="str">
        <f>IF(I!W146="","",$D$2*I!W146)</f>
        <v/>
      </c>
      <c r="X146" s="990" t="str">
        <f>IF(I!X146="","",$D$2*I!X146)</f>
        <v/>
      </c>
      <c r="Y146" s="1010" t="str">
        <f>IF(I!Y146="","",$D$2*I!Y146)</f>
        <v/>
      </c>
      <c r="Z146" s="938"/>
      <c r="AA146" s="938"/>
      <c r="AB146" s="938"/>
      <c r="AC146" s="938"/>
      <c r="AD146" s="1058"/>
      <c r="AE146" s="938"/>
      <c r="AF146" s="938"/>
      <c r="AG146" s="938"/>
      <c r="AH146" s="938"/>
    </row>
    <row r="147" spans="1:34" ht="17.25" customHeight="1" x14ac:dyDescent="0.35">
      <c r="A147" s="938"/>
      <c r="B147" s="938"/>
      <c r="C147" s="941"/>
      <c r="D147" s="1047"/>
      <c r="E147" s="941"/>
      <c r="F147" s="938"/>
      <c r="G147" s="976">
        <f t="shared" si="4"/>
        <v>144</v>
      </c>
      <c r="H147" s="1000"/>
      <c r="I147" s="1001" t="s">
        <v>1059</v>
      </c>
      <c r="J147" s="1031" t="s">
        <v>1196</v>
      </c>
      <c r="K147" s="1002">
        <f>IF(I!K147="","",$D$2*I!K147)</f>
        <v>14.011752113</v>
      </c>
      <c r="L147" s="981"/>
      <c r="M147" s="982"/>
      <c r="N147" s="1003"/>
      <c r="O147" s="1004">
        <f>IF(I!O147="","",$D$2*I!O147)</f>
        <v>44.22</v>
      </c>
      <c r="P147" s="1005">
        <f>IF(I!P147="","",$D$2*I!P147)</f>
        <v>32.517338046999996</v>
      </c>
      <c r="Q147" s="1006">
        <f>IF(I!Q147="","",$D$2*I!Q147)</f>
        <v>0</v>
      </c>
      <c r="R147" s="982"/>
      <c r="S147" s="1003"/>
      <c r="T147" s="938"/>
      <c r="U147" s="1008"/>
      <c r="V147" s="1061" t="s">
        <v>6004</v>
      </c>
      <c r="W147" s="1019" t="str">
        <f>IF(I!W147="","",$D$2*I!W147)</f>
        <v/>
      </c>
      <c r="X147" s="990" t="str">
        <f>IF(I!X147="","",$D$2*I!X147)</f>
        <v/>
      </c>
      <c r="Y147" s="1010" t="str">
        <f>IF(I!Y147="","",$D$2*I!Y147)</f>
        <v/>
      </c>
      <c r="Z147" s="938"/>
      <c r="AA147" s="938"/>
      <c r="AB147" s="938"/>
      <c r="AC147" s="938"/>
      <c r="AD147" s="1058"/>
      <c r="AE147" s="938"/>
      <c r="AF147" s="938"/>
      <c r="AG147" s="938"/>
      <c r="AH147" s="938"/>
    </row>
    <row r="148" spans="1:34" ht="17.25" customHeight="1" x14ac:dyDescent="0.35">
      <c r="A148" s="938"/>
      <c r="B148" s="938"/>
      <c r="C148" s="941"/>
      <c r="D148" s="1047"/>
      <c r="E148" s="941"/>
      <c r="F148" s="938"/>
      <c r="G148" s="976">
        <f t="shared" si="4"/>
        <v>145</v>
      </c>
      <c r="H148" s="1000"/>
      <c r="I148" s="1001" t="s">
        <v>1056</v>
      </c>
      <c r="J148" s="1031" t="s">
        <v>1197</v>
      </c>
      <c r="K148" s="1002">
        <f>IF(I!K148="","",$D$2*I!K148)</f>
        <v>11.78506372</v>
      </c>
      <c r="L148" s="981"/>
      <c r="M148" s="982"/>
      <c r="N148" s="1003"/>
      <c r="O148" s="1004">
        <f>IF(I!O148="","",$D$2*I!O148)</f>
        <v>26.87</v>
      </c>
      <c r="P148" s="1005">
        <f>IF(I!P148="","",$D$2*I!P148)</f>
        <v>4.3846208866014003</v>
      </c>
      <c r="Q148" s="1006">
        <f>IF(I!Q148="","",$D$2*I!Q148)</f>
        <v>1.8072608999999999</v>
      </c>
      <c r="R148" s="982"/>
      <c r="S148" s="1003"/>
      <c r="T148" s="938"/>
      <c r="U148" s="1008" t="s">
        <v>1059</v>
      </c>
      <c r="V148" s="1064" t="s">
        <v>6005</v>
      </c>
      <c r="W148" s="1019">
        <f>IF(I!W148="","",$D$2*I!W148)</f>
        <v>0.96662245520000001</v>
      </c>
      <c r="X148" s="990">
        <f>IF(I!X148="","",$D$2*I!X148)</f>
        <v>0.34451823060000003</v>
      </c>
      <c r="Y148" s="1010">
        <f>IF(I!Y148="","",$D$2*I!Y148)</f>
        <v>1.8278786852</v>
      </c>
      <c r="Z148" s="938"/>
      <c r="AA148" s="938"/>
      <c r="AB148" s="938"/>
      <c r="AC148" s="938"/>
      <c r="AD148" s="1058"/>
      <c r="AE148" s="938"/>
      <c r="AF148" s="938"/>
      <c r="AG148" s="938"/>
      <c r="AH148" s="938"/>
    </row>
    <row r="149" spans="1:34" ht="17.25" customHeight="1" x14ac:dyDescent="0.35">
      <c r="A149" s="938"/>
      <c r="B149" s="938"/>
      <c r="C149" s="941"/>
      <c r="D149" s="1047"/>
      <c r="E149" s="941"/>
      <c r="F149" s="938"/>
      <c r="G149" s="976">
        <f t="shared" si="4"/>
        <v>146</v>
      </c>
      <c r="H149" s="1000"/>
      <c r="I149" s="1001" t="s">
        <v>1059</v>
      </c>
      <c r="J149" s="1031" t="s">
        <v>1198</v>
      </c>
      <c r="K149" s="1002">
        <f>IF(I!K149="","",$D$2*I!K149)</f>
        <v>2.5152176225999998</v>
      </c>
      <c r="L149" s="981"/>
      <c r="M149" s="982"/>
      <c r="N149" s="1003"/>
      <c r="O149" s="1004">
        <f>IF(I!O149="","",$D$2*I!O149)</f>
        <v>3.77</v>
      </c>
      <c r="P149" s="1005">
        <f>IF(I!P149="","",$D$2*I!P149)</f>
        <v>11.60716717503078</v>
      </c>
      <c r="Q149" s="1006">
        <f>IF(I!Q149="","",$D$2*I!Q149)</f>
        <v>5.5019419000000002E-11</v>
      </c>
      <c r="R149" s="982"/>
      <c r="S149" s="1003"/>
      <c r="T149" s="938"/>
      <c r="U149" s="1008" t="s">
        <v>1059</v>
      </c>
      <c r="V149" s="1064" t="s">
        <v>6006</v>
      </c>
      <c r="W149" s="1019">
        <f>IF(I!W149="","",$D$2*I!W149)</f>
        <v>0.52879905739999999</v>
      </c>
      <c r="X149" s="990">
        <f>IF(I!X149="","",$D$2*I!X149)</f>
        <v>1.1699685258999999</v>
      </c>
      <c r="Y149" s="1010">
        <f>IF(I!Y149="","",$D$2*I!Y149)</f>
        <v>1.5094882074</v>
      </c>
      <c r="Z149" s="938"/>
      <c r="AA149" s="938"/>
      <c r="AB149" s="938"/>
      <c r="AC149" s="938"/>
      <c r="AD149" s="1058"/>
      <c r="AE149" s="938"/>
      <c r="AF149" s="938"/>
      <c r="AG149" s="938"/>
      <c r="AH149" s="938"/>
    </row>
    <row r="150" spans="1:34" ht="17.25" customHeight="1" x14ac:dyDescent="0.35">
      <c r="A150" s="938"/>
      <c r="B150" s="938"/>
      <c r="C150" s="941"/>
      <c r="D150" s="1047"/>
      <c r="E150" s="941"/>
      <c r="F150" s="938"/>
      <c r="G150" s="976">
        <f t="shared" si="4"/>
        <v>147</v>
      </c>
      <c r="H150" s="1000"/>
      <c r="I150" s="1001" t="s">
        <v>1059</v>
      </c>
      <c r="J150" s="1031" t="s">
        <v>1199</v>
      </c>
      <c r="K150" s="1002">
        <f>IF(I!K150="","",$D$2*I!K150)</f>
        <v>4.3191894365000003</v>
      </c>
      <c r="L150" s="981"/>
      <c r="M150" s="982"/>
      <c r="N150" s="1003"/>
      <c r="O150" s="1004">
        <f>IF(I!O150="","",$D$2*I!O150)</f>
        <v>6.39</v>
      </c>
      <c r="P150" s="1005">
        <f>IF(I!P150="","",$D$2*I!P150)</f>
        <v>25.128934466698997</v>
      </c>
      <c r="Q150" s="1006">
        <f>IF(I!Q150="","",$D$2*I!Q150)</f>
        <v>0</v>
      </c>
      <c r="R150" s="982"/>
      <c r="S150" s="1003"/>
      <c r="T150" s="938"/>
      <c r="U150" s="1008" t="s">
        <v>1059</v>
      </c>
      <c r="V150" s="1018" t="s">
        <v>6007</v>
      </c>
      <c r="W150" s="1019">
        <f>IF(I!W150="","",$D$2*I!W150)</f>
        <v>0.50135525390000002</v>
      </c>
      <c r="X150" s="990">
        <f>IF(I!X150="","",$D$2*I!X150)</f>
        <v>1.3572541841000001</v>
      </c>
      <c r="Y150" s="1010">
        <f>IF(I!Y150="","",$D$2*I!Y150)</f>
        <v>1.0604352439</v>
      </c>
      <c r="Z150" s="938"/>
      <c r="AA150" s="938"/>
      <c r="AB150" s="938"/>
      <c r="AC150" s="938"/>
      <c r="AD150" s="1058"/>
      <c r="AE150" s="938"/>
      <c r="AF150" s="938"/>
      <c r="AG150" s="938"/>
      <c r="AH150" s="938"/>
    </row>
    <row r="151" spans="1:34" ht="17.25" customHeight="1" x14ac:dyDescent="0.35">
      <c r="A151" s="938"/>
      <c r="B151" s="938"/>
      <c r="C151" s="941"/>
      <c r="D151" s="1047"/>
      <c r="E151" s="941"/>
      <c r="F151" s="938"/>
      <c r="G151" s="976">
        <f t="shared" si="4"/>
        <v>148</v>
      </c>
      <c r="H151" s="1000"/>
      <c r="I151" s="1001" t="s">
        <v>1059</v>
      </c>
      <c r="J151" s="1031" t="s">
        <v>1200</v>
      </c>
      <c r="K151" s="1002">
        <f>IF(I!K151="","",$D$2*I!K151)</f>
        <v>2.6234767347000001</v>
      </c>
      <c r="L151" s="981"/>
      <c r="M151" s="982"/>
      <c r="N151" s="1003"/>
      <c r="O151" s="1004">
        <f>IF(I!O151="","",$D$2*I!O151)</f>
        <v>3.93</v>
      </c>
      <c r="P151" s="1005">
        <f>IF(I!P151="","",$D$2*I!P151)</f>
        <v>12.11533616690355</v>
      </c>
      <c r="Q151" s="1006">
        <f>IF(I!Q151="","",$D$2*I!Q151)</f>
        <v>5.0892962000000002E-11</v>
      </c>
      <c r="R151" s="982"/>
      <c r="S151" s="1003"/>
      <c r="T151" s="938"/>
      <c r="U151" s="1008" t="s">
        <v>1059</v>
      </c>
      <c r="V151" s="1018" t="s">
        <v>6008</v>
      </c>
      <c r="W151" s="1019">
        <f>IF(I!W151="","",$D$2*I!W151)</f>
        <v>0.63970467000000009</v>
      </c>
      <c r="X151" s="990">
        <f>IF(I!X151="","",$D$2*I!X151)</f>
        <v>1.6587663671999999</v>
      </c>
      <c r="Y151" s="1010">
        <f>IF(I!Y151="","",$D$2*I!Y151)</f>
        <v>1.2677383799999999</v>
      </c>
      <c r="Z151" s="938"/>
      <c r="AA151" s="938"/>
      <c r="AB151" s="938"/>
      <c r="AC151" s="938"/>
      <c r="AD151" s="1058"/>
      <c r="AE151" s="938"/>
      <c r="AF151" s="938"/>
      <c r="AG151" s="938"/>
      <c r="AH151" s="938"/>
    </row>
    <row r="152" spans="1:34" ht="17.25" customHeight="1" x14ac:dyDescent="0.35">
      <c r="A152" s="938"/>
      <c r="B152" s="938"/>
      <c r="C152" s="941"/>
      <c r="D152" s="1047"/>
      <c r="E152" s="941"/>
      <c r="F152" s="938"/>
      <c r="G152" s="976">
        <f t="shared" si="4"/>
        <v>149</v>
      </c>
      <c r="H152" s="1000"/>
      <c r="I152" s="1001"/>
      <c r="J152" s="1054"/>
      <c r="K152" s="1002" t="str">
        <f>IF(I!K152="","",$D$2*I!K152)</f>
        <v/>
      </c>
      <c r="L152" s="981"/>
      <c r="M152" s="982"/>
      <c r="N152" s="1003"/>
      <c r="O152" s="1004" t="str">
        <f>IF(I!O152="","",$D$2*I!O152)</f>
        <v/>
      </c>
      <c r="P152" s="1005" t="str">
        <f>IF(I!P152="","",$D$2*I!P152)</f>
        <v/>
      </c>
      <c r="Q152" s="1006" t="str">
        <f>IF(I!Q152="","",$D$2*I!Q152)</f>
        <v/>
      </c>
      <c r="R152" s="982"/>
      <c r="S152" s="1003"/>
      <c r="T152" s="938"/>
      <c r="U152" s="1008" t="s">
        <v>1059</v>
      </c>
      <c r="V152" s="1018" t="s">
        <v>6009</v>
      </c>
      <c r="W152" s="1019">
        <f>IF(I!W152="","",$D$2*I!W152)</f>
        <v>0.48610625350000003</v>
      </c>
      <c r="X152" s="990">
        <f>IF(I!X152="","",$D$2*I!X152)</f>
        <v>0.35751811030000002</v>
      </c>
      <c r="Y152" s="1010">
        <f>IF(I!Y152="","",$D$2*I!Y152)</f>
        <v>0.89596451350000006</v>
      </c>
      <c r="Z152" s="938"/>
      <c r="AA152" s="938"/>
      <c r="AB152" s="938"/>
      <c r="AC152" s="938"/>
      <c r="AD152" s="1058"/>
      <c r="AE152" s="938"/>
      <c r="AF152" s="938"/>
      <c r="AG152" s="938"/>
      <c r="AH152" s="938"/>
    </row>
    <row r="153" spans="1:34" ht="17.25" customHeight="1" x14ac:dyDescent="0.35">
      <c r="A153" s="938"/>
      <c r="B153" s="938"/>
      <c r="C153" s="941"/>
      <c r="D153" s="1047"/>
      <c r="E153" s="941"/>
      <c r="F153" s="938"/>
      <c r="G153" s="976">
        <f t="shared" si="4"/>
        <v>150</v>
      </c>
      <c r="H153" s="942" t="s">
        <v>1201</v>
      </c>
      <c r="I153" s="1026"/>
      <c r="J153" s="1027"/>
      <c r="K153" s="1002" t="str">
        <f>IF(I!K153="","",$D$2*I!K153)</f>
        <v/>
      </c>
      <c r="L153" s="981"/>
      <c r="M153" s="982"/>
      <c r="N153" s="1003"/>
      <c r="O153" s="1004" t="str">
        <f>IF(I!O153="","",$D$2*I!O153)</f>
        <v/>
      </c>
      <c r="P153" s="1005" t="str">
        <f>IF(I!P153="","",$D$2*I!P153)</f>
        <v/>
      </c>
      <c r="Q153" s="1006" t="str">
        <f>IF(I!Q153="","",$D$2*I!Q153)</f>
        <v/>
      </c>
      <c r="R153" s="982"/>
      <c r="S153" s="1003"/>
      <c r="T153" s="938"/>
      <c r="U153" s="1008" t="s">
        <v>1059</v>
      </c>
      <c r="V153" s="1018" t="s">
        <v>6010</v>
      </c>
      <c r="W153" s="1019">
        <f>IF(I!W153="","",$D$2*I!W153)</f>
        <v>0.46848306970000003</v>
      </c>
      <c r="X153" s="990">
        <f>IF(I!X153="","",$D$2*I!X153)</f>
        <v>0.3880718688</v>
      </c>
      <c r="Y153" s="1010">
        <f>IF(I!Y153="","",$D$2*I!Y153)</f>
        <v>0.81263778970000011</v>
      </c>
      <c r="Z153" s="938"/>
      <c r="AA153" s="938"/>
      <c r="AB153" s="938"/>
      <c r="AC153" s="938"/>
      <c r="AD153" s="1058"/>
      <c r="AE153" s="938"/>
      <c r="AF153" s="938"/>
      <c r="AG153" s="938"/>
      <c r="AH153" s="938"/>
    </row>
    <row r="154" spans="1:34" ht="17.25" customHeight="1" x14ac:dyDescent="0.35">
      <c r="A154" s="938"/>
      <c r="B154" s="938"/>
      <c r="C154" s="941"/>
      <c r="D154" s="1047"/>
      <c r="E154" s="941"/>
      <c r="F154" s="938"/>
      <c r="G154" s="976">
        <f t="shared" si="4"/>
        <v>151</v>
      </c>
      <c r="H154" s="1000"/>
      <c r="I154" s="1001" t="s">
        <v>1059</v>
      </c>
      <c r="J154" s="1031" t="s">
        <v>1202</v>
      </c>
      <c r="K154" s="1002">
        <f>IF(I!K154="","",$D$2*I!K154)</f>
        <v>0.66966247388</v>
      </c>
      <c r="L154" s="981"/>
      <c r="M154" s="982"/>
      <c r="N154" s="1003"/>
      <c r="O154" s="1004">
        <f>IF(I!O154="","",$D$2*I!O154)</f>
        <v>2.2999999999999998</v>
      </c>
      <c r="P154" s="1005">
        <f>IF(I!P154="","",$D$2*I!P154)</f>
        <v>16.550984708200001</v>
      </c>
      <c r="Q154" s="1006">
        <f>IF(I!Q154="","",$D$2*I!Q154)</f>
        <v>0</v>
      </c>
      <c r="R154" s="982"/>
      <c r="S154" s="1003"/>
      <c r="T154" s="938"/>
      <c r="U154" s="1008" t="s">
        <v>1059</v>
      </c>
      <c r="V154" s="1018" t="s">
        <v>6011</v>
      </c>
      <c r="W154" s="1019">
        <f>IF(I!W154="","",$D$2*I!W154)</f>
        <v>0.5190663579</v>
      </c>
      <c r="X154" s="990">
        <f>IF(I!X154="","",$D$2*I!X154)</f>
        <v>0.43924766430000001</v>
      </c>
      <c r="Y154" s="1010">
        <f>IF(I!Y154="","",$D$2*I!Y154)</f>
        <v>0.98807214789999998</v>
      </c>
      <c r="Z154" s="938"/>
      <c r="AA154" s="938"/>
      <c r="AB154" s="938"/>
      <c r="AC154" s="938"/>
      <c r="AD154" s="1058"/>
      <c r="AE154" s="938"/>
      <c r="AF154" s="938"/>
      <c r="AG154" s="938"/>
      <c r="AH154" s="938"/>
    </row>
    <row r="155" spans="1:34" ht="17.25" customHeight="1" x14ac:dyDescent="0.35">
      <c r="A155" s="938"/>
      <c r="B155" s="938"/>
      <c r="C155" s="941"/>
      <c r="D155" s="1047"/>
      <c r="E155" s="941"/>
      <c r="F155" s="938"/>
      <c r="G155" s="976">
        <f t="shared" si="4"/>
        <v>152</v>
      </c>
      <c r="H155" s="942"/>
      <c r="I155" s="1001" t="s">
        <v>1059</v>
      </c>
      <c r="J155" s="1031" t="s">
        <v>1055</v>
      </c>
      <c r="K155" s="1002">
        <f>IF(I!K155="","",$D$2*I!K155)</f>
        <v>2.6216268419999995</v>
      </c>
      <c r="L155" s="981"/>
      <c r="M155" s="982"/>
      <c r="N155" s="1003"/>
      <c r="O155" s="1004">
        <f>IF(I!O155="","",$D$2*I!O155)</f>
        <v>8.27</v>
      </c>
      <c r="P155" s="1005">
        <f>IF(I!P155="","",$D$2*I!P155)</f>
        <v>2.0281729420999999</v>
      </c>
      <c r="Q155" s="1006">
        <f>IF(I!Q155="","",$D$2*I!Q155)</f>
        <v>0</v>
      </c>
      <c r="R155" s="982"/>
      <c r="S155" s="1003"/>
      <c r="T155" s="938"/>
      <c r="U155" s="1008" t="s">
        <v>1059</v>
      </c>
      <c r="V155" s="1018" t="s">
        <v>6012</v>
      </c>
      <c r="W155" s="1019">
        <f>IF(I!W155="","",$D$2*I!W155)</f>
        <v>0.807239716</v>
      </c>
      <c r="X155" s="990">
        <f>IF(I!X155="","",$D$2*I!X155)</f>
        <v>0.37052835160000008</v>
      </c>
      <c r="Y155" s="1010">
        <f>IF(I!Y155="","",$D$2*I!Y155)</f>
        <v>1.192213156</v>
      </c>
      <c r="Z155" s="938"/>
      <c r="AA155" s="938"/>
      <c r="AB155" s="938"/>
      <c r="AC155" s="938"/>
      <c r="AD155" s="1058"/>
      <c r="AE155" s="938"/>
      <c r="AF155" s="938"/>
      <c r="AG155" s="938"/>
      <c r="AH155" s="938"/>
    </row>
    <row r="156" spans="1:34" ht="17.25" customHeight="1" x14ac:dyDescent="0.35">
      <c r="A156" s="938"/>
      <c r="B156" s="938"/>
      <c r="C156" s="941"/>
      <c r="D156" s="1047"/>
      <c r="E156" s="941"/>
      <c r="F156" s="938"/>
      <c r="G156" s="976">
        <f t="shared" si="4"/>
        <v>153</v>
      </c>
      <c r="H156" s="1000"/>
      <c r="I156" s="1001" t="s">
        <v>1059</v>
      </c>
      <c r="J156" s="1031" t="s">
        <v>1203</v>
      </c>
      <c r="K156" s="1002">
        <f>IF(I!K156="","",$D$2*I!K156)</f>
        <v>0.10226225429000001</v>
      </c>
      <c r="L156" s="981"/>
      <c r="M156" s="982"/>
      <c r="N156" s="1003"/>
      <c r="O156" s="1004">
        <f>IF(I!O156="","",$D$2*I!O156)</f>
        <v>0.34</v>
      </c>
      <c r="P156" s="1005">
        <f>IF(I!P156="","",$D$2*I!P156)</f>
        <v>0.152880286112</v>
      </c>
      <c r="Q156" s="1006">
        <f>IF(I!Q156="","",$D$2*I!Q156)</f>
        <v>0</v>
      </c>
      <c r="R156" s="982"/>
      <c r="S156" s="1003"/>
      <c r="T156" s="938"/>
      <c r="U156" s="1008" t="s">
        <v>1059</v>
      </c>
      <c r="V156" s="1018" t="s">
        <v>6013</v>
      </c>
      <c r="W156" s="1019">
        <f>IF(I!W156="","",$D$2*I!W156)</f>
        <v>0.41263730590000003</v>
      </c>
      <c r="X156" s="990">
        <f>IF(I!X156="","",$D$2*I!X156)</f>
        <v>0.29281068119999998</v>
      </c>
      <c r="Y156" s="1010">
        <f>IF(I!Y156="","",$D$2*I!Y156)</f>
        <v>0.76698384590000002</v>
      </c>
      <c r="Z156" s="938"/>
      <c r="AA156" s="938"/>
      <c r="AB156" s="938"/>
      <c r="AC156" s="938"/>
      <c r="AD156" s="1058"/>
      <c r="AE156" s="938"/>
      <c r="AF156" s="938"/>
      <c r="AG156" s="938"/>
      <c r="AH156" s="938"/>
    </row>
    <row r="157" spans="1:34" ht="17.25" customHeight="1" x14ac:dyDescent="0.35">
      <c r="A157" s="938"/>
      <c r="B157" s="938"/>
      <c r="C157" s="941"/>
      <c r="D157" s="1047"/>
      <c r="E157" s="941"/>
      <c r="F157" s="938"/>
      <c r="G157" s="976">
        <f t="shared" si="4"/>
        <v>154</v>
      </c>
      <c r="H157" s="1000"/>
      <c r="I157" s="1001"/>
      <c r="J157" s="1054"/>
      <c r="K157" s="1002" t="str">
        <f>IF(I!K157="","",$D$2*I!K157)</f>
        <v/>
      </c>
      <c r="L157" s="981"/>
      <c r="M157" s="982"/>
      <c r="N157" s="1003"/>
      <c r="O157" s="1004" t="str">
        <f>IF(I!O157="","",$D$2*I!O157)</f>
        <v/>
      </c>
      <c r="P157" s="1005" t="str">
        <f>IF(I!P157="","",$D$2*I!P157)</f>
        <v/>
      </c>
      <c r="Q157" s="1006" t="str">
        <f>IF(I!Q157="","",$D$2*I!Q157)</f>
        <v/>
      </c>
      <c r="R157" s="982"/>
      <c r="S157" s="1003"/>
      <c r="T157" s="938"/>
      <c r="U157" s="1008" t="s">
        <v>1059</v>
      </c>
      <c r="V157" s="1018" t="s">
        <v>6014</v>
      </c>
      <c r="W157" s="1019">
        <f>IF(I!W157="","",$D$2*I!W157)</f>
        <v>0.40019272240000003</v>
      </c>
      <c r="X157" s="990">
        <f>IF(I!X157="","",$D$2*I!X157)</f>
        <v>0.3166987725</v>
      </c>
      <c r="Y157" s="1010">
        <f>IF(I!Y157="","",$D$2*I!Y157)</f>
        <v>0.70357739240000006</v>
      </c>
      <c r="Z157" s="938"/>
      <c r="AA157" s="938"/>
      <c r="AB157" s="938"/>
      <c r="AC157" s="938"/>
      <c r="AD157" s="1058"/>
      <c r="AE157" s="938"/>
      <c r="AF157" s="938"/>
      <c r="AG157" s="938"/>
      <c r="AH157" s="938"/>
    </row>
    <row r="158" spans="1:34" ht="17.25" customHeight="1" x14ac:dyDescent="0.35">
      <c r="A158" s="938"/>
      <c r="B158" s="938"/>
      <c r="C158" s="941"/>
      <c r="D158" s="1047"/>
      <c r="E158" s="941"/>
      <c r="F158" s="938"/>
      <c r="G158" s="976">
        <f t="shared" si="4"/>
        <v>155</v>
      </c>
      <c r="H158" s="942" t="s">
        <v>1204</v>
      </c>
      <c r="I158" s="1026"/>
      <c r="J158" s="1054"/>
      <c r="K158" s="1002" t="str">
        <f>IF(I!K158="","",$D$2*I!K158)</f>
        <v/>
      </c>
      <c r="L158" s="981"/>
      <c r="M158" s="982"/>
      <c r="N158" s="1003"/>
      <c r="O158" s="1004" t="str">
        <f>IF(I!O158="","",$D$2*I!O158)</f>
        <v/>
      </c>
      <c r="P158" s="1005" t="str">
        <f>IF(I!P158="","",$D$2*I!P158)</f>
        <v/>
      </c>
      <c r="Q158" s="1006" t="str">
        <f>IF(I!Q158="","",$D$2*I!Q158)</f>
        <v/>
      </c>
      <c r="R158" s="982"/>
      <c r="S158" s="1003"/>
      <c r="T158" s="938"/>
      <c r="U158" s="1008" t="s">
        <v>1059</v>
      </c>
      <c r="V158" s="1018" t="s">
        <v>6015</v>
      </c>
      <c r="W158" s="1019">
        <f>IF(I!W158="","",$D$2*I!W158)</f>
        <v>0.43939110889999999</v>
      </c>
      <c r="X158" s="990">
        <f>IF(I!X158="","",$D$2*I!X158)</f>
        <v>0.360374627</v>
      </c>
      <c r="Y158" s="1010">
        <f>IF(I!Y158="","",$D$2*I!Y158)</f>
        <v>0.84090119889999992</v>
      </c>
      <c r="Z158" s="938"/>
      <c r="AA158" s="938"/>
      <c r="AB158" s="938"/>
      <c r="AC158" s="938"/>
      <c r="AD158" s="1058"/>
      <c r="AE158" s="938"/>
      <c r="AF158" s="938"/>
      <c r="AG158" s="938"/>
      <c r="AH158" s="938"/>
    </row>
    <row r="159" spans="1:34" ht="17.25" customHeight="1" x14ac:dyDescent="0.35">
      <c r="A159" s="938"/>
      <c r="B159" s="938"/>
      <c r="C159" s="941"/>
      <c r="D159" s="1047"/>
      <c r="E159" s="941"/>
      <c r="F159" s="938"/>
      <c r="G159" s="976">
        <f t="shared" si="4"/>
        <v>156</v>
      </c>
      <c r="H159" s="1000"/>
      <c r="I159" s="1001" t="s">
        <v>1059</v>
      </c>
      <c r="J159" s="1031" t="s">
        <v>1205</v>
      </c>
      <c r="K159" s="1002">
        <f>IF(I!K159="","",$D$2*I!K159)</f>
        <v>0.13328903733899999</v>
      </c>
      <c r="L159" s="981"/>
      <c r="M159" s="982"/>
      <c r="N159" s="1003"/>
      <c r="O159" s="1004">
        <f>IF(I!O159="","",$D$2*I!O159)</f>
        <v>0.28999999999999998</v>
      </c>
      <c r="P159" s="1005">
        <f>IF(I!P159="","",$D$2*I!P159)</f>
        <v>0.51484469808069999</v>
      </c>
      <c r="Q159" s="1006">
        <f>IF(I!Q159="","",$D$2*I!Q159)</f>
        <v>1.144323E-9</v>
      </c>
      <c r="R159" s="982"/>
      <c r="S159" s="1003"/>
      <c r="T159" s="938"/>
      <c r="U159" s="1008" t="s">
        <v>1059</v>
      </c>
      <c r="V159" s="1018" t="s">
        <v>6016</v>
      </c>
      <c r="W159" s="1019">
        <f>IF(I!W159="","",$D$2*I!W159)</f>
        <v>0.67411805889999998</v>
      </c>
      <c r="X159" s="990">
        <f>IF(I!X159="","",$D$2*I!X159)</f>
        <v>0.30385350880000001</v>
      </c>
      <c r="Y159" s="1010">
        <f>IF(I!Y159="","",$D$2*I!Y159)</f>
        <v>1.0078240088999999</v>
      </c>
      <c r="Z159" s="938"/>
      <c r="AA159" s="938"/>
      <c r="AB159" s="938"/>
      <c r="AC159" s="938"/>
      <c r="AD159" s="1058"/>
      <c r="AE159" s="938"/>
      <c r="AF159" s="938"/>
      <c r="AG159" s="938"/>
      <c r="AH159" s="938"/>
    </row>
    <row r="160" spans="1:34" ht="17.25" customHeight="1" x14ac:dyDescent="0.35">
      <c r="A160" s="938"/>
      <c r="B160" s="938"/>
      <c r="C160" s="941"/>
      <c r="D160" s="1047"/>
      <c r="E160" s="941"/>
      <c r="F160" s="938"/>
      <c r="G160" s="976">
        <f t="shared" si="4"/>
        <v>157</v>
      </c>
      <c r="H160" s="1000"/>
      <c r="I160" s="1001" t="s">
        <v>1059</v>
      </c>
      <c r="J160" s="1031" t="s">
        <v>1206</v>
      </c>
      <c r="K160" s="1002">
        <f>IF(I!K160="","",$D$2*I!K160)</f>
        <v>0.30581804179450001</v>
      </c>
      <c r="L160" s="981"/>
      <c r="M160" s="982"/>
      <c r="N160" s="1003"/>
      <c r="O160" s="1004">
        <f>IF(I!O160="","",$D$2*I!O160)</f>
        <v>0.48</v>
      </c>
      <c r="P160" s="1005">
        <f>IF(I!P160="","",$D$2*I!P160)</f>
        <v>4.5757997300000002E-4</v>
      </c>
      <c r="Q160" s="1006">
        <f>IF(I!Q160="","",$D$2*I!Q160)</f>
        <v>5.1782983000000003E-10</v>
      </c>
      <c r="R160" s="982"/>
      <c r="S160" s="1003"/>
      <c r="T160" s="938"/>
      <c r="U160" s="1008" t="s">
        <v>1059</v>
      </c>
      <c r="V160" s="1018" t="s">
        <v>6017</v>
      </c>
      <c r="W160" s="1019">
        <f>IF(I!W160="","",$D$2*I!W160)</f>
        <v>0.2311011389</v>
      </c>
      <c r="X160" s="990">
        <f>IF(I!X160="","",$D$2*I!X160)</f>
        <v>0.21640060773</v>
      </c>
      <c r="Y160" s="1010">
        <f>IF(I!Y160="","",$D$2*I!Y160)</f>
        <v>1.9156403388999999</v>
      </c>
      <c r="Z160" s="938"/>
      <c r="AA160" s="938"/>
      <c r="AB160" s="938"/>
      <c r="AC160" s="938"/>
      <c r="AD160" s="1058"/>
      <c r="AE160" s="938"/>
      <c r="AF160" s="938"/>
      <c r="AG160" s="938"/>
      <c r="AH160" s="938"/>
    </row>
    <row r="161" spans="1:34" ht="17.25" customHeight="1" x14ac:dyDescent="0.35">
      <c r="A161" s="938"/>
      <c r="B161" s="938"/>
      <c r="C161" s="941"/>
      <c r="D161" s="1047"/>
      <c r="E161" s="941"/>
      <c r="F161" s="938"/>
      <c r="G161" s="976">
        <f t="shared" si="4"/>
        <v>158</v>
      </c>
      <c r="H161" s="1000"/>
      <c r="I161" s="1001" t="s">
        <v>1059</v>
      </c>
      <c r="J161" s="1031" t="s">
        <v>1207</v>
      </c>
      <c r="K161" s="1002">
        <f>IF(I!K161="","",$D$2*I!K161)</f>
        <v>6.0774493488999999E-2</v>
      </c>
      <c r="L161" s="981"/>
      <c r="M161" s="982"/>
      <c r="N161" s="1003"/>
      <c r="O161" s="1004">
        <f>IF(I!O161="","",$D$2*I!O161)</f>
        <v>0.14000000000000001</v>
      </c>
      <c r="P161" s="1005">
        <f>IF(I!P161="","",$D$2*I!P161)</f>
        <v>4.0484535954999998E-2</v>
      </c>
      <c r="Q161" s="1006">
        <f>IF(I!Q161="","",$D$2*I!Q161)</f>
        <v>5.1782983000000001E-9</v>
      </c>
      <c r="R161" s="982"/>
      <c r="S161" s="1003"/>
      <c r="T161" s="938"/>
      <c r="U161" s="1008" t="s">
        <v>1059</v>
      </c>
      <c r="V161" s="1018" t="s">
        <v>6018</v>
      </c>
      <c r="W161" s="1019">
        <f>IF(I!W161="","",$D$2*I!W161)</f>
        <v>0.2286418435</v>
      </c>
      <c r="X161" s="990">
        <f>IF(I!X161="","",$D$2*I!X161)</f>
        <v>0.17547055131</v>
      </c>
      <c r="Y161" s="1010">
        <f>IF(I!Y161="","",$D$2*I!Y161)</f>
        <v>1.0234266734999999</v>
      </c>
      <c r="Z161" s="938"/>
      <c r="AA161" s="938"/>
      <c r="AB161" s="938"/>
      <c r="AC161" s="938"/>
      <c r="AD161" s="1058"/>
      <c r="AE161" s="938"/>
      <c r="AF161" s="938"/>
      <c r="AG161" s="938"/>
      <c r="AH161" s="938"/>
    </row>
    <row r="162" spans="1:34" ht="17.25" customHeight="1" x14ac:dyDescent="0.35">
      <c r="A162" s="938"/>
      <c r="B162" s="938"/>
      <c r="C162" s="941"/>
      <c r="D162" s="1047"/>
      <c r="E162" s="941"/>
      <c r="F162" s="938"/>
      <c r="G162" s="976">
        <f t="shared" si="4"/>
        <v>159</v>
      </c>
      <c r="H162" s="1000"/>
      <c r="I162" s="1001" t="s">
        <v>1059</v>
      </c>
      <c r="J162" s="1031" t="s">
        <v>1208</v>
      </c>
      <c r="K162" s="1002">
        <f>IF(I!K162="","",$D$2*I!K162)</f>
        <v>3.4552196350000002E-2</v>
      </c>
      <c r="L162" s="981"/>
      <c r="M162" s="982"/>
      <c r="N162" s="1003"/>
      <c r="O162" s="1004">
        <f>IF(I!O162="","",$D$2*I!O162)</f>
        <v>0.18</v>
      </c>
      <c r="P162" s="1005">
        <f>IF(I!P162="","",$D$2*I!P162)</f>
        <v>7.7452220049999999E-3</v>
      </c>
      <c r="Q162" s="1006">
        <f>IF(I!Q162="","",$D$2*I!Q162)</f>
        <v>5.1782983000000003E-10</v>
      </c>
      <c r="R162" s="982"/>
      <c r="S162" s="1003"/>
      <c r="T162" s="938"/>
      <c r="U162" s="1008" t="s">
        <v>1059</v>
      </c>
      <c r="V162" s="1018" t="s">
        <v>6019</v>
      </c>
      <c r="W162" s="1019">
        <f>IF(I!W162="","",$D$2*I!W162)</f>
        <v>0.28119544879999997</v>
      </c>
      <c r="X162" s="990">
        <f>IF(I!X162="","",$D$2*I!X162)</f>
        <v>0.17084069975999999</v>
      </c>
      <c r="Y162" s="1010">
        <f>IF(I!Y162="","",$D$2*I!Y162)</f>
        <v>1.3136536487999999</v>
      </c>
      <c r="Z162" s="938"/>
      <c r="AA162" s="938"/>
      <c r="AB162" s="938"/>
      <c r="AC162" s="938"/>
      <c r="AD162" s="1058"/>
      <c r="AE162" s="938"/>
      <c r="AF162" s="938"/>
      <c r="AG162" s="938"/>
      <c r="AH162" s="938"/>
    </row>
    <row r="163" spans="1:34" ht="17.25" customHeight="1" x14ac:dyDescent="0.35">
      <c r="A163" s="938"/>
      <c r="B163" s="938"/>
      <c r="C163" s="941"/>
      <c r="D163" s="1047"/>
      <c r="E163" s="941"/>
      <c r="F163" s="938"/>
      <c r="G163" s="976">
        <f t="shared" si="4"/>
        <v>160</v>
      </c>
      <c r="H163" s="1000"/>
      <c r="I163" s="1001" t="s">
        <v>1059</v>
      </c>
      <c r="J163" s="1031" t="s">
        <v>1209</v>
      </c>
      <c r="K163" s="1002">
        <f>IF(I!K163="","",$D$2*I!K163)</f>
        <v>3.754594864E-2</v>
      </c>
      <c r="L163" s="981"/>
      <c r="M163" s="982"/>
      <c r="N163" s="1003"/>
      <c r="O163" s="1004">
        <f>IF(I!O163="","",$D$2*I!O163)</f>
        <v>0.18</v>
      </c>
      <c r="P163" s="1005">
        <f>IF(I!P163="","",$D$2*I!P163)</f>
        <v>7.3373004562000008E-2</v>
      </c>
      <c r="Q163" s="1006">
        <f>IF(I!Q163="","",$D$2*I!Q163)</f>
        <v>1.2169001E-9</v>
      </c>
      <c r="R163" s="982"/>
      <c r="S163" s="1003"/>
      <c r="T163" s="938"/>
      <c r="U163" s="1008" t="s">
        <v>1059</v>
      </c>
      <c r="V163" s="1018" t="s">
        <v>6020</v>
      </c>
      <c r="W163" s="1019">
        <f>IF(I!W163="","",$D$2*I!W163)</f>
        <v>0.59835342199999997</v>
      </c>
      <c r="X163" s="990">
        <f>IF(I!X163="","",$D$2*I!X163)</f>
        <v>0.7946589718</v>
      </c>
      <c r="Y163" s="1010">
        <f>IF(I!Y163="","",$D$2*I!Y163)</f>
        <v>1.217692462</v>
      </c>
      <c r="Z163" s="938"/>
      <c r="AA163" s="938"/>
      <c r="AB163" s="938"/>
      <c r="AC163" s="938"/>
      <c r="AD163" s="1058"/>
      <c r="AE163" s="938"/>
      <c r="AF163" s="938"/>
      <c r="AG163" s="938"/>
      <c r="AH163" s="938"/>
    </row>
    <row r="164" spans="1:34" ht="17.25" customHeight="1" x14ac:dyDescent="0.35">
      <c r="A164" s="938"/>
      <c r="B164" s="938"/>
      <c r="C164" s="941"/>
      <c r="D164" s="1047"/>
      <c r="E164" s="941"/>
      <c r="F164" s="938"/>
      <c r="G164" s="976">
        <f t="shared" si="4"/>
        <v>161</v>
      </c>
      <c r="H164" s="942" t="s">
        <v>1210</v>
      </c>
      <c r="I164" s="1026"/>
      <c r="J164" s="1027"/>
      <c r="K164" s="1002" t="str">
        <f>IF(I!K164="","",$D$2*I!K164)</f>
        <v/>
      </c>
      <c r="L164" s="981"/>
      <c r="M164" s="982"/>
      <c r="N164" s="1003"/>
      <c r="O164" s="1004" t="str">
        <f>IF(I!O164="","",$D$2*I!O164)</f>
        <v/>
      </c>
      <c r="P164" s="1005" t="str">
        <f>IF(I!P164="","",$D$2*I!P164)</f>
        <v/>
      </c>
      <c r="Q164" s="1006" t="str">
        <f>IF(I!Q164="","",$D$2*I!Q164)</f>
        <v/>
      </c>
      <c r="R164" s="982"/>
      <c r="S164" s="1003"/>
      <c r="T164" s="938"/>
      <c r="U164" s="1008" t="s">
        <v>1059</v>
      </c>
      <c r="V164" s="1018" t="s">
        <v>6021</v>
      </c>
      <c r="W164" s="1019">
        <f>IF(I!W164="","",$D$2*I!W164)</f>
        <v>0.55455084079999994</v>
      </c>
      <c r="X164" s="990">
        <f>IF(I!X164="","",$D$2*I!X164)</f>
        <v>0.53032606683999994</v>
      </c>
      <c r="Y164" s="1010">
        <f>IF(I!Y164="","",$D$2*I!Y164)</f>
        <v>0.89666214079999995</v>
      </c>
      <c r="Z164" s="938"/>
      <c r="AA164" s="938"/>
      <c r="AB164" s="938"/>
      <c r="AC164" s="938"/>
      <c r="AD164" s="1058"/>
      <c r="AE164" s="938"/>
      <c r="AF164" s="938"/>
      <c r="AG164" s="938"/>
      <c r="AH164" s="938"/>
    </row>
    <row r="165" spans="1:34" ht="17.25" customHeight="1" x14ac:dyDescent="0.35">
      <c r="A165" s="938"/>
      <c r="B165" s="938"/>
      <c r="C165" s="941"/>
      <c r="D165" s="1047"/>
      <c r="E165" s="941"/>
      <c r="F165" s="938"/>
      <c r="G165" s="976">
        <f t="shared" si="4"/>
        <v>162</v>
      </c>
      <c r="H165" s="942"/>
      <c r="I165" s="1001" t="s">
        <v>1059</v>
      </c>
      <c r="J165" s="1031" t="s">
        <v>1211</v>
      </c>
      <c r="K165" s="1002">
        <f>IF(I!K165="","",$D$2*I!K165)</f>
        <v>2.0422568554999999E-2</v>
      </c>
      <c r="L165" s="981"/>
      <c r="M165" s="982"/>
      <c r="N165" s="1003"/>
      <c r="O165" s="1004">
        <f>IF(I!O165="","",$D$2*I!O165)</f>
        <v>0.06</v>
      </c>
      <c r="P165" s="1005">
        <f>IF(I!P165="","",$D$2*I!P165)</f>
        <v>4.5847699900000003E-6</v>
      </c>
      <c r="Q165" s="1006">
        <f>IF(I!Q165="","",$D$2*I!Q165)</f>
        <v>0</v>
      </c>
      <c r="R165" s="982"/>
      <c r="S165" s="1003"/>
      <c r="T165" s="938"/>
      <c r="U165" s="1008" t="s">
        <v>1059</v>
      </c>
      <c r="V165" s="1018" t="s">
        <v>6022</v>
      </c>
      <c r="W165" s="1019">
        <f>IF(I!W165="","",$D$2*I!W165)</f>
        <v>0.57890745290000001</v>
      </c>
      <c r="X165" s="990">
        <f>IF(I!X165="","",$D$2*I!X165)</f>
        <v>0.79126223251999994</v>
      </c>
      <c r="Y165" s="1010">
        <f>IF(I!Y165="","",$D$2*I!Y165)</f>
        <v>1.1813024629</v>
      </c>
      <c r="Z165" s="938"/>
      <c r="AA165" s="938"/>
      <c r="AB165" s="938"/>
      <c r="AC165" s="938"/>
      <c r="AD165" s="1058"/>
      <c r="AE165" s="938"/>
      <c r="AF165" s="938"/>
      <c r="AG165" s="938"/>
      <c r="AH165" s="938"/>
    </row>
    <row r="166" spans="1:34" ht="17.25" customHeight="1" x14ac:dyDescent="0.35">
      <c r="A166" s="938"/>
      <c r="B166" s="938"/>
      <c r="C166" s="941"/>
      <c r="D166" s="1047"/>
      <c r="E166" s="941"/>
      <c r="F166" s="938"/>
      <c r="G166" s="976">
        <f t="shared" si="4"/>
        <v>163</v>
      </c>
      <c r="H166" s="942" t="s">
        <v>1212</v>
      </c>
      <c r="I166" s="1026"/>
      <c r="J166" s="1027"/>
      <c r="K166" s="1002" t="str">
        <f>IF(I!K166="","",$D$2*I!K166)</f>
        <v/>
      </c>
      <c r="L166" s="981"/>
      <c r="M166" s="982"/>
      <c r="N166" s="1003"/>
      <c r="O166" s="1004" t="str">
        <f>IF(I!O166="","",$D$2*I!O166)</f>
        <v/>
      </c>
      <c r="P166" s="1005" t="str">
        <f>IF(I!P166="","",$D$2*I!P166)</f>
        <v/>
      </c>
      <c r="Q166" s="1006" t="str">
        <f>IF(I!Q166="","",$D$2*I!Q166)</f>
        <v/>
      </c>
      <c r="R166" s="982"/>
      <c r="S166" s="1003"/>
      <c r="T166" s="938"/>
      <c r="U166" s="1008" t="s">
        <v>1059</v>
      </c>
      <c r="V166" s="1018" t="s">
        <v>6023</v>
      </c>
      <c r="W166" s="1019">
        <f>IF(I!W166="","",$D$2*I!W166)</f>
        <v>0.5116675906999999</v>
      </c>
      <c r="X166" s="990">
        <f>IF(I!X166="","",$D$2*I!X166)</f>
        <v>0.66532850097999996</v>
      </c>
      <c r="Y166" s="1010">
        <f>IF(I!Y166="","",$D$2*I!Y166)</f>
        <v>1.0496111206999998</v>
      </c>
      <c r="Z166" s="938"/>
      <c r="AA166" s="938"/>
      <c r="AB166" s="938"/>
      <c r="AC166" s="938"/>
      <c r="AD166" s="1058"/>
      <c r="AE166" s="938"/>
      <c r="AF166" s="938"/>
      <c r="AG166" s="938"/>
      <c r="AH166" s="938"/>
    </row>
    <row r="167" spans="1:34" ht="17.25" customHeight="1" x14ac:dyDescent="0.35">
      <c r="A167" s="938"/>
      <c r="B167" s="938"/>
      <c r="C167" s="941"/>
      <c r="D167" s="1047"/>
      <c r="E167" s="941"/>
      <c r="F167" s="938"/>
      <c r="G167" s="976">
        <f t="shared" si="4"/>
        <v>164</v>
      </c>
      <c r="H167" s="1000"/>
      <c r="I167" s="1001" t="s">
        <v>1059</v>
      </c>
      <c r="J167" s="1031" t="s">
        <v>1213</v>
      </c>
      <c r="K167" s="1002">
        <f>IF(I!K167="","",$D$2*I!K167)</f>
        <v>2.2099541737899998E-2</v>
      </c>
      <c r="L167" s="981"/>
      <c r="M167" s="982"/>
      <c r="N167" s="1003"/>
      <c r="O167" s="1004">
        <f>IF(I!O167="","",$D$2*I!O167)</f>
        <v>0.03</v>
      </c>
      <c r="P167" s="1005">
        <f>IF(I!P167="","",$D$2*I!P167)</f>
        <v>1.0689184499999998E-6</v>
      </c>
      <c r="Q167" s="1006">
        <f>IF(I!Q167="","",$D$2*I!Q167)</f>
        <v>0</v>
      </c>
      <c r="R167" s="982"/>
      <c r="S167" s="1003"/>
      <c r="T167" s="938"/>
      <c r="U167" s="1008" t="s">
        <v>1059</v>
      </c>
      <c r="V167" s="1018" t="s">
        <v>6024</v>
      </c>
      <c r="W167" s="1019">
        <f>IF(I!W167="","",$D$2*I!W167)</f>
        <v>0.47372048990000004</v>
      </c>
      <c r="X167" s="990">
        <f>IF(I!X167="","",$D$2*I!X167)</f>
        <v>0.44428419829999999</v>
      </c>
      <c r="Y167" s="1010">
        <f>IF(I!Y167="","",$D$2*I!Y167)</f>
        <v>0.77874859990000012</v>
      </c>
      <c r="Z167" s="938"/>
      <c r="AA167" s="938"/>
      <c r="AB167" s="938"/>
      <c r="AC167" s="938"/>
      <c r="AD167" s="1058"/>
      <c r="AE167" s="938"/>
      <c r="AF167" s="938"/>
      <c r="AG167" s="938"/>
      <c r="AH167" s="938"/>
    </row>
    <row r="168" spans="1:34" ht="17.25" customHeight="1" x14ac:dyDescent="0.35">
      <c r="A168" s="938"/>
      <c r="B168" s="938"/>
      <c r="C168" s="941"/>
      <c r="D168" s="1047"/>
      <c r="E168" s="941"/>
      <c r="F168" s="938"/>
      <c r="G168" s="976">
        <f t="shared" si="4"/>
        <v>165</v>
      </c>
      <c r="H168" s="942" t="s">
        <v>1214</v>
      </c>
      <c r="I168" s="1026"/>
      <c r="J168" s="1027"/>
      <c r="K168" s="1002" t="str">
        <f>IF(I!K168="","",$D$2*I!K168)</f>
        <v/>
      </c>
      <c r="L168" s="981"/>
      <c r="M168" s="982"/>
      <c r="N168" s="1003"/>
      <c r="O168" s="1004" t="str">
        <f>IF(I!O168="","",$D$2*I!O168)</f>
        <v/>
      </c>
      <c r="P168" s="1005" t="str">
        <f>IF(I!P168="","",$D$2*I!P168)</f>
        <v/>
      </c>
      <c r="Q168" s="1006" t="str">
        <f>IF(I!Q168="","",$D$2*I!Q168)</f>
        <v/>
      </c>
      <c r="R168" s="982"/>
      <c r="S168" s="1003"/>
      <c r="T168" s="938"/>
      <c r="U168" s="1008" t="s">
        <v>1059</v>
      </c>
      <c r="V168" s="1018" t="s">
        <v>6025</v>
      </c>
      <c r="W168" s="1019">
        <f>IF(I!W168="","",$D$2*I!W168)</f>
        <v>0.49381231469999998</v>
      </c>
      <c r="X168" s="990">
        <f>IF(I!X168="","",$D$2*I!X168)</f>
        <v>0.66344506553999993</v>
      </c>
      <c r="Y168" s="1010">
        <f>IF(I!Y168="","",$D$2*I!Y168)</f>
        <v>1.0157889747</v>
      </c>
      <c r="Z168" s="938"/>
      <c r="AA168" s="938"/>
      <c r="AB168" s="938"/>
      <c r="AC168" s="938"/>
      <c r="AD168" s="1058"/>
      <c r="AE168" s="938"/>
      <c r="AF168" s="938"/>
      <c r="AG168" s="938"/>
      <c r="AH168" s="938"/>
    </row>
    <row r="169" spans="1:34" ht="17.25" customHeight="1" x14ac:dyDescent="0.35">
      <c r="A169" s="938"/>
      <c r="B169" s="938"/>
      <c r="C169" s="941"/>
      <c r="D169" s="1047"/>
      <c r="E169" s="941"/>
      <c r="F169" s="938"/>
      <c r="G169" s="976">
        <f t="shared" si="4"/>
        <v>166</v>
      </c>
      <c r="H169" s="1000"/>
      <c r="I169" s="1001" t="s">
        <v>1059</v>
      </c>
      <c r="J169" s="1031" t="s">
        <v>1215</v>
      </c>
      <c r="K169" s="1002">
        <f>IF(I!K169="","",$D$2*I!K169)</f>
        <v>4.5607347000000006E-2</v>
      </c>
      <c r="L169" s="981"/>
      <c r="M169" s="982"/>
      <c r="N169" s="1003"/>
      <c r="O169" s="1004">
        <f>IF(I!O169="","",$D$2*I!O169)</f>
        <v>0.08</v>
      </c>
      <c r="P169" s="1005">
        <f>IF(I!P169="","",$D$2*I!P169)</f>
        <v>0.44016911504</v>
      </c>
      <c r="Q169" s="1006">
        <f>IF(I!Q169="","",$D$2*I!Q169)</f>
        <v>0</v>
      </c>
      <c r="R169" s="982"/>
      <c r="S169" s="1003"/>
      <c r="T169" s="938"/>
      <c r="U169" s="1008" t="s">
        <v>1059</v>
      </c>
      <c r="V169" s="1018" t="s">
        <v>6026</v>
      </c>
      <c r="W169" s="1019">
        <f>IF(I!W169="","",$D$2*I!W169)</f>
        <v>0.89730382639999995</v>
      </c>
      <c r="X169" s="990">
        <f>IF(I!X169="","",$D$2*I!X169)</f>
        <v>0.72430710000999998</v>
      </c>
      <c r="Y169" s="1010">
        <f>IF(I!Y169="","",$D$2*I!Y169)</f>
        <v>1.3561197264</v>
      </c>
      <c r="Z169" s="938"/>
      <c r="AA169" s="938"/>
      <c r="AB169" s="938"/>
      <c r="AC169" s="938"/>
      <c r="AD169" s="1058"/>
      <c r="AE169" s="938"/>
      <c r="AF169" s="938"/>
      <c r="AG169" s="938"/>
      <c r="AH169" s="938"/>
    </row>
    <row r="170" spans="1:34" ht="17.25" customHeight="1" x14ac:dyDescent="0.35">
      <c r="A170" s="938"/>
      <c r="B170" s="938"/>
      <c r="C170" s="941"/>
      <c r="D170" s="1047"/>
      <c r="E170" s="941"/>
      <c r="F170" s="938"/>
      <c r="G170" s="976">
        <f t="shared" si="4"/>
        <v>167</v>
      </c>
      <c r="H170" s="1000"/>
      <c r="I170" s="1001" t="s">
        <v>1059</v>
      </c>
      <c r="J170" s="1031" t="s">
        <v>1216</v>
      </c>
      <c r="K170" s="1002">
        <f>IF(I!K170="","",$D$2*I!K170)</f>
        <v>4.5607347000000006E-2</v>
      </c>
      <c r="L170" s="981"/>
      <c r="M170" s="982"/>
      <c r="N170" s="1003"/>
      <c r="O170" s="1004">
        <f>IF(I!O170="","",$D$2*I!O170)</f>
        <v>0.42</v>
      </c>
      <c r="P170" s="1005">
        <f>IF(I!P170="","",$D$2*I!P170)</f>
        <v>0.44016911504</v>
      </c>
      <c r="Q170" s="1006">
        <f>IF(I!Q170="","",$D$2*I!Q170)</f>
        <v>0</v>
      </c>
      <c r="R170" s="982"/>
      <c r="S170" s="1003"/>
      <c r="T170" s="938"/>
      <c r="U170" s="1008" t="s">
        <v>1059</v>
      </c>
      <c r="V170" s="1018" t="s">
        <v>6027</v>
      </c>
      <c r="W170" s="1019">
        <f>IF(I!W170="","",$D$2*I!W170)</f>
        <v>0.61843339080000004</v>
      </c>
      <c r="X170" s="990">
        <f>IF(I!X170="","",$D$2*I!X170)</f>
        <v>0.26956729547000002</v>
      </c>
      <c r="Y170" s="1010">
        <f>IF(I!Y170="","",$D$2*I!Y170)</f>
        <v>1.1973960508000001</v>
      </c>
      <c r="Z170" s="938"/>
      <c r="AA170" s="938"/>
      <c r="AB170" s="938"/>
      <c r="AC170" s="938"/>
      <c r="AD170" s="1058"/>
      <c r="AE170" s="938"/>
      <c r="AF170" s="938"/>
      <c r="AG170" s="938"/>
      <c r="AH170" s="938"/>
    </row>
    <row r="171" spans="1:34" ht="17.25" customHeight="1" x14ac:dyDescent="0.35">
      <c r="A171" s="938"/>
      <c r="B171" s="938"/>
      <c r="C171" s="941"/>
      <c r="D171" s="1047"/>
      <c r="E171" s="941"/>
      <c r="F171" s="938"/>
      <c r="G171" s="976">
        <f t="shared" si="4"/>
        <v>168</v>
      </c>
      <c r="H171" s="942" t="s">
        <v>1217</v>
      </c>
      <c r="I171" s="1026"/>
      <c r="J171" s="1027"/>
      <c r="K171" s="1002" t="str">
        <f>IF(I!K171="","",$D$2*I!K171)</f>
        <v/>
      </c>
      <c r="L171" s="981"/>
      <c r="M171" s="982"/>
      <c r="N171" s="1003"/>
      <c r="O171" s="1004" t="str">
        <f>IF(I!O171="","",$D$2*I!O171)</f>
        <v/>
      </c>
      <c r="P171" s="1005" t="str">
        <f>IF(I!P171="","",$D$2*I!P171)</f>
        <v/>
      </c>
      <c r="Q171" s="1006" t="str">
        <f>IF(I!Q171="","",$D$2*I!Q171)</f>
        <v/>
      </c>
      <c r="R171" s="982"/>
      <c r="S171" s="1003"/>
      <c r="T171" s="938"/>
      <c r="U171" s="1008" t="s">
        <v>1059</v>
      </c>
      <c r="V171" s="1018" t="s">
        <v>6028</v>
      </c>
      <c r="W171" s="1019">
        <f>IF(I!W171="","",$D$2*I!W171)</f>
        <v>0.14904334850000001</v>
      </c>
      <c r="X171" s="990">
        <f>IF(I!X171="","",$D$2*I!X171)</f>
        <v>0.69060921015999999</v>
      </c>
      <c r="Y171" s="1010">
        <f>IF(I!Y171="","",$D$2*I!Y171)</f>
        <v>2.0795792485</v>
      </c>
      <c r="Z171" s="938"/>
      <c r="AA171" s="938"/>
      <c r="AB171" s="938"/>
      <c r="AC171" s="938"/>
      <c r="AD171" s="1058"/>
      <c r="AE171" s="938"/>
      <c r="AF171" s="938"/>
      <c r="AG171" s="938"/>
      <c r="AH171" s="938"/>
    </row>
    <row r="172" spans="1:34" ht="17.25" customHeight="1" x14ac:dyDescent="0.35">
      <c r="A172" s="938"/>
      <c r="B172" s="938"/>
      <c r="C172" s="941"/>
      <c r="D172" s="1047"/>
      <c r="E172" s="941"/>
      <c r="F172" s="938"/>
      <c r="G172" s="976">
        <f t="shared" si="4"/>
        <v>169</v>
      </c>
      <c r="H172" s="1000"/>
      <c r="I172" s="1001" t="s">
        <v>1059</v>
      </c>
      <c r="J172" s="1031" t="s">
        <v>1218</v>
      </c>
      <c r="K172" s="1002">
        <f>IF(I!K172="","",$D$2*I!K172)</f>
        <v>2.0743383007000002E-2</v>
      </c>
      <c r="L172" s="981"/>
      <c r="M172" s="982"/>
      <c r="N172" s="1003"/>
      <c r="O172" s="1004">
        <f>IF(I!O172="","",$D$2*I!O172)</f>
        <v>0.08</v>
      </c>
      <c r="P172" s="1005">
        <f>IF(I!P172="","",$D$2*I!P172)</f>
        <v>0.38563272045000002</v>
      </c>
      <c r="Q172" s="1006">
        <f>IF(I!Q172="","",$D$2*I!Q172)</f>
        <v>0</v>
      </c>
      <c r="R172" s="982"/>
      <c r="S172" s="1003"/>
      <c r="T172" s="938"/>
      <c r="U172" s="1008" t="s">
        <v>1059</v>
      </c>
      <c r="V172" s="1018" t="s">
        <v>6029</v>
      </c>
      <c r="W172" s="1019">
        <f>IF(I!W172="","",$D$2*I!W172)</f>
        <v>0.2387051449</v>
      </c>
      <c r="X172" s="990">
        <f>IF(I!X172="","",$D$2*I!X172)</f>
        <v>0.62562561538000006</v>
      </c>
      <c r="Y172" s="1010">
        <f>IF(I!Y172="","",$D$2*I!Y172)</f>
        <v>1.7870697448999999</v>
      </c>
      <c r="Z172" s="938"/>
      <c r="AA172" s="938"/>
      <c r="AB172" s="938"/>
      <c r="AC172" s="938"/>
      <c r="AD172" s="1058"/>
      <c r="AE172" s="938"/>
      <c r="AF172" s="938"/>
      <c r="AG172" s="938"/>
      <c r="AH172" s="938"/>
    </row>
    <row r="173" spans="1:34" ht="17.25" customHeight="1" x14ac:dyDescent="0.35">
      <c r="A173" s="938"/>
      <c r="B173" s="938"/>
      <c r="C173" s="941"/>
      <c r="D173" s="1047"/>
      <c r="E173" s="941"/>
      <c r="F173" s="938"/>
      <c r="G173" s="976">
        <f t="shared" si="4"/>
        <v>170</v>
      </c>
      <c r="H173" s="942"/>
      <c r="I173" s="1001" t="s">
        <v>1059</v>
      </c>
      <c r="J173" s="1031" t="s">
        <v>1219</v>
      </c>
      <c r="K173" s="1002">
        <f>IF(I!K173="","",$D$2*I!K173)</f>
        <v>2.0743383007000002E-2</v>
      </c>
      <c r="L173" s="981"/>
      <c r="M173" s="982"/>
      <c r="N173" s="1003"/>
      <c r="O173" s="1004">
        <f>IF(I!O173="","",$D$2*I!O173)</f>
        <v>0.4</v>
      </c>
      <c r="P173" s="1005">
        <f>IF(I!P173="","",$D$2*I!P173)</f>
        <v>0.38563272045000002</v>
      </c>
      <c r="Q173" s="1006">
        <f>IF(I!Q173="","",$D$2*I!Q173)</f>
        <v>0</v>
      </c>
      <c r="R173" s="982"/>
      <c r="S173" s="1003"/>
      <c r="T173" s="938"/>
      <c r="U173" s="1008" t="s">
        <v>1059</v>
      </c>
      <c r="V173" s="1018" t="s">
        <v>6030</v>
      </c>
      <c r="W173" s="1019">
        <f>IF(I!W173="","",$D$2*I!W173)</f>
        <v>0.23877996429999998</v>
      </c>
      <c r="X173" s="990">
        <f>IF(I!X173="","",$D$2*I!X173)</f>
        <v>0.62589278857999997</v>
      </c>
      <c r="Y173" s="1010">
        <f>IF(I!Y173="","",$D$2*I!Y173)</f>
        <v>1.7898860642999999</v>
      </c>
      <c r="Z173" s="938"/>
      <c r="AA173" s="938"/>
      <c r="AB173" s="938"/>
      <c r="AC173" s="938"/>
      <c r="AD173" s="1058"/>
      <c r="AE173" s="938"/>
      <c r="AF173" s="938"/>
      <c r="AG173" s="938"/>
      <c r="AH173" s="938"/>
    </row>
    <row r="174" spans="1:34" ht="17.25" customHeight="1" x14ac:dyDescent="0.35">
      <c r="A174" s="938"/>
      <c r="B174" s="938"/>
      <c r="C174" s="941"/>
      <c r="D174" s="1047"/>
      <c r="E174" s="941"/>
      <c r="F174" s="938"/>
      <c r="G174" s="976">
        <f t="shared" si="4"/>
        <v>171</v>
      </c>
      <c r="H174" s="1000"/>
      <c r="I174" s="1001" t="s">
        <v>1059</v>
      </c>
      <c r="J174" s="1031" t="s">
        <v>1220</v>
      </c>
      <c r="K174" s="1002">
        <f>IF(I!K174="","",$D$2*I!K174)</f>
        <v>1.9413687641000002E-2</v>
      </c>
      <c r="L174" s="981"/>
      <c r="M174" s="982"/>
      <c r="N174" s="1003"/>
      <c r="O174" s="1004">
        <f>IF(I!O174="","",$D$2*I!O174)</f>
        <v>0.08</v>
      </c>
      <c r="P174" s="1005">
        <f>IF(I!P174="","",$D$2*I!P174)</f>
        <v>3.6433607321800001E-4</v>
      </c>
      <c r="Q174" s="1006">
        <f>IF(I!Q174="","",$D$2*I!Q174)</f>
        <v>0</v>
      </c>
      <c r="R174" s="982"/>
      <c r="S174" s="1003"/>
      <c r="T174" s="938"/>
      <c r="U174" s="1008" t="s">
        <v>1059</v>
      </c>
      <c r="V174" s="1018" t="s">
        <v>6031</v>
      </c>
      <c r="W174" s="1019">
        <f>IF(I!W174="","",$D$2*I!W174)</f>
        <v>0.15318213899999999</v>
      </c>
      <c r="X174" s="990">
        <f>IF(I!X174="","",$D$2*I!X174)</f>
        <v>0.61958805094000002</v>
      </c>
      <c r="Y174" s="1010">
        <f>IF(I!Y174="","",$D$2*I!Y174)</f>
        <v>1.9187321389999998</v>
      </c>
      <c r="Z174" s="938"/>
      <c r="AA174" s="938"/>
      <c r="AB174" s="938"/>
      <c r="AC174" s="938"/>
      <c r="AD174" s="1058"/>
      <c r="AE174" s="938"/>
      <c r="AF174" s="938"/>
      <c r="AG174" s="938"/>
      <c r="AH174" s="938"/>
    </row>
    <row r="175" spans="1:34" ht="17.25" customHeight="1" x14ac:dyDescent="0.35">
      <c r="A175" s="938"/>
      <c r="B175" s="938"/>
      <c r="C175" s="941"/>
      <c r="D175" s="1047"/>
      <c r="E175" s="941"/>
      <c r="F175" s="938"/>
      <c r="G175" s="976">
        <f t="shared" si="4"/>
        <v>172</v>
      </c>
      <c r="H175" s="1000"/>
      <c r="I175" s="1001" t="s">
        <v>1059</v>
      </c>
      <c r="J175" s="1031" t="s">
        <v>1221</v>
      </c>
      <c r="K175" s="1002">
        <f>IF(I!K175="","",$D$2*I!K175)</f>
        <v>1.9413687641000002E-2</v>
      </c>
      <c r="L175" s="981"/>
      <c r="M175" s="982"/>
      <c r="N175" s="1003"/>
      <c r="O175" s="1004">
        <f>IF(I!O175="","",$D$2*I!O175)</f>
        <v>0.4</v>
      </c>
      <c r="P175" s="1005">
        <f>IF(I!P175="","",$D$2*I!P175)</f>
        <v>3.6433607321800001E-4</v>
      </c>
      <c r="Q175" s="1006">
        <f>IF(I!Q175="","",$D$2*I!Q175)</f>
        <v>0</v>
      </c>
      <c r="R175" s="982"/>
      <c r="S175" s="1003"/>
      <c r="T175" s="938"/>
      <c r="U175" s="1008" t="s">
        <v>1059</v>
      </c>
      <c r="V175" s="1018" t="s">
        <v>6032</v>
      </c>
      <c r="W175" s="1019">
        <f>IF(I!W175="","",$D$2*I!W175)</f>
        <v>0.2302756339</v>
      </c>
      <c r="X175" s="990">
        <f>IF(I!X175="","",$D$2*I!X175)</f>
        <v>0.5612184067899999</v>
      </c>
      <c r="Y175" s="1010">
        <f>IF(I!Y175="","",$D$2*I!Y175)</f>
        <v>1.6486334338999999</v>
      </c>
      <c r="Z175" s="938"/>
      <c r="AA175" s="938"/>
      <c r="AB175" s="938"/>
      <c r="AC175" s="938"/>
      <c r="AD175" s="1058"/>
      <c r="AE175" s="938"/>
      <c r="AF175" s="938"/>
      <c r="AG175" s="938"/>
      <c r="AH175" s="938"/>
    </row>
    <row r="176" spans="1:34" ht="17.25" customHeight="1" x14ac:dyDescent="0.35">
      <c r="A176" s="938"/>
      <c r="B176" s="938"/>
      <c r="C176" s="941"/>
      <c r="D176" s="1047"/>
      <c r="E176" s="941"/>
      <c r="F176" s="938"/>
      <c r="G176" s="976">
        <f t="shared" si="4"/>
        <v>173</v>
      </c>
      <c r="H176" s="942" t="s">
        <v>1222</v>
      </c>
      <c r="I176" s="1026"/>
      <c r="J176" s="1054"/>
      <c r="K176" s="1002" t="str">
        <f>IF(I!K176="","",$D$2*I!K176)</f>
        <v/>
      </c>
      <c r="L176" s="981"/>
      <c r="M176" s="982"/>
      <c r="N176" s="1003"/>
      <c r="O176" s="1004" t="str">
        <f>IF(I!O176="","",$D$2*I!O176)</f>
        <v/>
      </c>
      <c r="P176" s="1005" t="str">
        <f>IF(I!P176="","",$D$2*I!P176)</f>
        <v/>
      </c>
      <c r="Q176" s="1006" t="str">
        <f>IF(I!Q176="","",$D$2*I!Q176)</f>
        <v/>
      </c>
      <c r="R176" s="982"/>
      <c r="S176" s="1003"/>
      <c r="T176" s="938"/>
      <c r="U176" s="1008" t="s">
        <v>1059</v>
      </c>
      <c r="V176" s="1018" t="s">
        <v>6033</v>
      </c>
      <c r="W176" s="1019">
        <f>IF(I!W176="","",$D$2*I!W176)</f>
        <v>0.2117713386</v>
      </c>
      <c r="X176" s="990">
        <f>IF(I!X176="","",$D$2*I!X176)</f>
        <v>0.53096669568999999</v>
      </c>
      <c r="Y176" s="1010">
        <f>IF(I!Y176="","",$D$2*I!Y176)</f>
        <v>1.0151022686</v>
      </c>
      <c r="Z176" s="938"/>
      <c r="AA176" s="938"/>
      <c r="AB176" s="938"/>
      <c r="AC176" s="938"/>
      <c r="AD176" s="1058"/>
      <c r="AE176" s="938"/>
      <c r="AF176" s="938"/>
      <c r="AG176" s="938"/>
      <c r="AH176" s="938"/>
    </row>
    <row r="177" spans="1:34" ht="17.25" customHeight="1" x14ac:dyDescent="0.35">
      <c r="A177" s="938"/>
      <c r="B177" s="938"/>
      <c r="C177" s="941"/>
      <c r="D177" s="1047"/>
      <c r="E177" s="941"/>
      <c r="F177" s="938"/>
      <c r="G177" s="976">
        <f t="shared" si="4"/>
        <v>174</v>
      </c>
      <c r="H177" s="942"/>
      <c r="I177" s="1001" t="s">
        <v>1059</v>
      </c>
      <c r="J177" s="1031" t="s">
        <v>1223</v>
      </c>
      <c r="K177" s="1002">
        <f>IF(I!K177="","",$D$2*I!K177)</f>
        <v>1.0578512467544099E-2</v>
      </c>
      <c r="L177" s="981"/>
      <c r="M177" s="982"/>
      <c r="N177" s="1003"/>
      <c r="O177" s="1004">
        <f>IF(I!O177="","",$D$2*I!O177)</f>
        <v>0.03</v>
      </c>
      <c r="P177" s="1005">
        <f>IF(I!P177="","",$D$2*I!P177)</f>
        <v>1.4329193466699999E-3</v>
      </c>
      <c r="Q177" s="1006">
        <f>IF(I!Q177="","",$D$2*I!Q177)</f>
        <v>0</v>
      </c>
      <c r="R177" s="982"/>
      <c r="S177" s="1003"/>
      <c r="T177" s="938"/>
      <c r="U177" s="1008" t="s">
        <v>1059</v>
      </c>
      <c r="V177" s="1018" t="s">
        <v>6034</v>
      </c>
      <c r="W177" s="1019">
        <f>IF(I!W177="","",$D$2*I!W177)</f>
        <v>5.7670709700000003E-2</v>
      </c>
      <c r="X177" s="990">
        <f>IF(I!X177="","",$D$2*I!X177)</f>
        <v>0.1068843998</v>
      </c>
      <c r="Y177" s="1010">
        <f>IF(I!Y177="","",$D$2*I!Y177)</f>
        <v>0.3896233697</v>
      </c>
      <c r="Z177" s="938"/>
      <c r="AA177" s="938"/>
      <c r="AB177" s="938"/>
      <c r="AC177" s="938"/>
      <c r="AD177" s="1058"/>
      <c r="AE177" s="938"/>
      <c r="AF177" s="938"/>
      <c r="AG177" s="938"/>
      <c r="AH177" s="938"/>
    </row>
    <row r="178" spans="1:34" ht="17.25" customHeight="1" x14ac:dyDescent="0.35">
      <c r="A178" s="938"/>
      <c r="B178" s="938"/>
      <c r="C178" s="941"/>
      <c r="D178" s="1047"/>
      <c r="E178" s="941"/>
      <c r="F178" s="938"/>
      <c r="G178" s="976">
        <f t="shared" si="4"/>
        <v>175</v>
      </c>
      <c r="H178" s="942"/>
      <c r="I178" s="1001" t="s">
        <v>1059</v>
      </c>
      <c r="J178" s="1031" t="s">
        <v>1224</v>
      </c>
      <c r="K178" s="1002">
        <f>IF(I!K178="","",$D$2*I!K178)</f>
        <v>1.4993057508E-2</v>
      </c>
      <c r="L178" s="981"/>
      <c r="M178" s="982"/>
      <c r="N178" s="1003"/>
      <c r="O178" s="1004">
        <f>IF(I!O178="","",$D$2*I!O178)</f>
        <v>0.05</v>
      </c>
      <c r="P178" s="1005">
        <f>IF(I!P178="","",$D$2*I!P178)</f>
        <v>5.8189559000000005E-4</v>
      </c>
      <c r="Q178" s="1006">
        <f>IF(I!Q178="","",$D$2*I!Q178)</f>
        <v>0</v>
      </c>
      <c r="R178" s="982"/>
      <c r="S178" s="1003"/>
      <c r="T178" s="938"/>
      <c r="U178" s="1008" t="s">
        <v>1059</v>
      </c>
      <c r="V178" s="1018" t="s">
        <v>6035</v>
      </c>
      <c r="W178" s="1019">
        <f>IF(I!W178="","",$D$2*I!W178)</f>
        <v>6.5120529400000002E-2</v>
      </c>
      <c r="X178" s="990">
        <f>IF(I!X178="","",$D$2*I!X178)</f>
        <v>9.6719513579999999E-2</v>
      </c>
      <c r="Y178" s="1010">
        <f>IF(I!Y178="","",$D$2*I!Y178)</f>
        <v>0.32981027940000002</v>
      </c>
      <c r="Z178" s="938"/>
      <c r="AA178" s="938"/>
      <c r="AB178" s="938"/>
      <c r="AC178" s="938"/>
      <c r="AD178" s="1058"/>
      <c r="AE178" s="938"/>
      <c r="AF178" s="938"/>
      <c r="AG178" s="938"/>
      <c r="AH178" s="938"/>
    </row>
    <row r="179" spans="1:34" ht="17.25" customHeight="1" x14ac:dyDescent="0.35">
      <c r="A179" s="938"/>
      <c r="B179" s="938"/>
      <c r="C179" s="941"/>
      <c r="D179" s="1047"/>
      <c r="E179" s="941"/>
      <c r="F179" s="938"/>
      <c r="G179" s="976">
        <f t="shared" si="4"/>
        <v>176</v>
      </c>
      <c r="H179" s="942"/>
      <c r="I179" s="1001" t="s">
        <v>1059</v>
      </c>
      <c r="J179" s="1031" t="s">
        <v>1225</v>
      </c>
      <c r="K179" s="1002">
        <f>IF(I!K179="","",$D$2*I!K179)</f>
        <v>4.8916133270000002E-2</v>
      </c>
      <c r="L179" s="981"/>
      <c r="M179" s="982"/>
      <c r="N179" s="1003"/>
      <c r="O179" s="1004">
        <f>IF(I!O179="","",$D$2*I!O179)</f>
        <v>0.11</v>
      </c>
      <c r="P179" s="1005">
        <f>IF(I!P179="","",$D$2*I!P179)</f>
        <v>0.44853642275</v>
      </c>
      <c r="Q179" s="1006">
        <f>IF(I!Q179="","",$D$2*I!Q179)</f>
        <v>5.1782983000000001E-9</v>
      </c>
      <c r="R179" s="982"/>
      <c r="S179" s="1003"/>
      <c r="T179" s="938"/>
      <c r="U179" s="1008" t="s">
        <v>1059</v>
      </c>
      <c r="V179" s="1018" t="s">
        <v>6036</v>
      </c>
      <c r="W179" s="1019">
        <f>IF(I!W179="","",$D$2*I!W179)</f>
        <v>6.6746643999999994E-2</v>
      </c>
      <c r="X179" s="990">
        <f>IF(I!X179="","",$D$2*I!X179)</f>
        <v>0.10439492398</v>
      </c>
      <c r="Y179" s="1010">
        <f>IF(I!Y179="","",$D$2*I!Y179)</f>
        <v>0.238132654</v>
      </c>
      <c r="Z179" s="938"/>
      <c r="AA179" s="938"/>
      <c r="AB179" s="938"/>
      <c r="AC179" s="938"/>
      <c r="AD179" s="1058"/>
      <c r="AE179" s="938"/>
      <c r="AF179" s="938"/>
      <c r="AG179" s="938"/>
      <c r="AH179" s="938"/>
    </row>
    <row r="180" spans="1:34" ht="17.25" customHeight="1" x14ac:dyDescent="0.35">
      <c r="A180" s="938"/>
      <c r="B180" s="938"/>
      <c r="C180" s="941"/>
      <c r="D180" s="1047"/>
      <c r="E180" s="941"/>
      <c r="F180" s="938"/>
      <c r="G180" s="976">
        <f t="shared" si="4"/>
        <v>177</v>
      </c>
      <c r="H180" s="1000">
        <v>1</v>
      </c>
      <c r="I180" s="1001" t="s">
        <v>1059</v>
      </c>
      <c r="J180" s="1031" t="s">
        <v>1226</v>
      </c>
      <c r="K180" s="1002">
        <f>IF(I!K180="","",$D$2*I!K180)</f>
        <v>4.8916133270000002E-2</v>
      </c>
      <c r="L180" s="981"/>
      <c r="M180" s="982"/>
      <c r="N180" s="1003"/>
      <c r="O180" s="1004">
        <f>IF(I!O180="","",$D$2*I!O180)</f>
        <v>0.47</v>
      </c>
      <c r="P180" s="1005">
        <f>IF(I!P180="","",$D$2*I!P180)</f>
        <v>0.44853642275</v>
      </c>
      <c r="Q180" s="1006">
        <f>IF(I!Q180="","",$D$2*I!Q180)</f>
        <v>5.1782983000000001E-9</v>
      </c>
      <c r="R180" s="982"/>
      <c r="S180" s="1003"/>
      <c r="T180" s="938"/>
      <c r="U180" s="1008" t="s">
        <v>1059</v>
      </c>
      <c r="V180" s="1018" t="s">
        <v>6037</v>
      </c>
      <c r="W180" s="1019">
        <f>IF(I!W180="","",$D$2*I!W180)</f>
        <v>8.6707149600000005E-2</v>
      </c>
      <c r="X180" s="990">
        <f>IF(I!X180="","",$D$2*I!X180)</f>
        <v>0.10469160327999999</v>
      </c>
      <c r="Y180" s="1010">
        <f>IF(I!Y180="","",$D$2*I!Y180)</f>
        <v>0.31813159960000004</v>
      </c>
      <c r="Z180" s="938"/>
      <c r="AA180" s="938"/>
      <c r="AB180" s="938"/>
      <c r="AC180" s="938"/>
      <c r="AD180" s="1058"/>
      <c r="AE180" s="938"/>
      <c r="AF180" s="938"/>
      <c r="AG180" s="938"/>
      <c r="AH180" s="938"/>
    </row>
    <row r="181" spans="1:34" ht="17.25" customHeight="1" x14ac:dyDescent="0.35">
      <c r="A181" s="938"/>
      <c r="B181" s="938"/>
      <c r="C181" s="941"/>
      <c r="D181" s="1047"/>
      <c r="E181" s="941"/>
      <c r="F181" s="938"/>
      <c r="G181" s="976">
        <f t="shared" si="4"/>
        <v>178</v>
      </c>
      <c r="H181" s="942"/>
      <c r="I181" s="1001" t="s">
        <v>1227</v>
      </c>
      <c r="J181" s="1031" t="s">
        <v>1228</v>
      </c>
      <c r="K181" s="1002">
        <f>IF(I!K181="","",$D$2*I!K181)</f>
        <v>1.1375845140000002E-3</v>
      </c>
      <c r="L181" s="981"/>
      <c r="M181" s="982"/>
      <c r="N181" s="1003"/>
      <c r="O181" s="1004">
        <f>IF(I!O181="","",$D$2*I!O181)</f>
        <v>0.01</v>
      </c>
      <c r="P181" s="1005">
        <f>IF(I!P181="","",$D$2*I!P181)</f>
        <v>1.0431079947999999E-2</v>
      </c>
      <c r="Q181" s="1006">
        <f>IF(I!Q181="","",$D$2*I!Q181)</f>
        <v>1.2042554E-10</v>
      </c>
      <c r="R181" s="982"/>
      <c r="S181" s="1003"/>
      <c r="T181" s="938"/>
      <c r="U181" s="1008" t="s">
        <v>1059</v>
      </c>
      <c r="V181" s="1018" t="s">
        <v>6038</v>
      </c>
      <c r="W181" s="1019">
        <f>IF(I!W181="","",$D$2*I!W181)</f>
        <v>8.6000399899999996E-2</v>
      </c>
      <c r="X181" s="990">
        <f>IF(I!X181="","",$D$2*I!X181)</f>
        <v>9.2335293939999993E-2</v>
      </c>
      <c r="Y181" s="1010">
        <f>IF(I!Y181="","",$D$2*I!Y181)</f>
        <v>0.24076892989999998</v>
      </c>
      <c r="Z181" s="938"/>
      <c r="AA181" s="938"/>
      <c r="AB181" s="938"/>
      <c r="AC181" s="938"/>
      <c r="AD181" s="1058"/>
      <c r="AE181" s="938"/>
      <c r="AF181" s="938"/>
      <c r="AG181" s="938"/>
      <c r="AH181" s="938"/>
    </row>
    <row r="182" spans="1:34" ht="17.25" customHeight="1" x14ac:dyDescent="0.35">
      <c r="A182" s="938"/>
      <c r="B182" s="938"/>
      <c r="C182" s="941"/>
      <c r="D182" s="1047"/>
      <c r="E182" s="941"/>
      <c r="F182" s="938"/>
      <c r="G182" s="976">
        <f t="shared" si="4"/>
        <v>179</v>
      </c>
      <c r="H182" s="942"/>
      <c r="I182" s="1001" t="s">
        <v>1059</v>
      </c>
      <c r="J182" s="1031" t="s">
        <v>1229</v>
      </c>
      <c r="K182" s="1002">
        <f>IF(I!K182="","",$D$2*I!K182)</f>
        <v>3.4173148469999998E-2</v>
      </c>
      <c r="L182" s="981"/>
      <c r="M182" s="982"/>
      <c r="N182" s="1003"/>
      <c r="O182" s="1004">
        <f>IF(I!O182="","",$D$2*I!O182)</f>
        <v>0.09</v>
      </c>
      <c r="P182" s="1005">
        <f>IF(I!P182="","",$D$2*I!P182)</f>
        <v>0.44479030252399998</v>
      </c>
      <c r="Q182" s="1006">
        <f>IF(I!Q182="","",$D$2*I!Q182)</f>
        <v>5.1782983000000001E-9</v>
      </c>
      <c r="R182" s="982"/>
      <c r="S182" s="1003"/>
      <c r="T182" s="938"/>
      <c r="U182" s="1008" t="s">
        <v>1059</v>
      </c>
      <c r="V182" s="1018" t="s">
        <v>6039</v>
      </c>
      <c r="W182" s="1019">
        <f>IF(I!W182="","",$D$2*I!W182)</f>
        <v>6.646838590000001E-2</v>
      </c>
      <c r="X182" s="990">
        <f>IF(I!X182="","",$D$2*I!X182)</f>
        <v>0.10118885041</v>
      </c>
      <c r="Y182" s="1010">
        <f>IF(I!Y182="","",$D$2*I!Y182)</f>
        <v>0.25039087589999998</v>
      </c>
      <c r="Z182" s="938"/>
      <c r="AA182" s="938"/>
      <c r="AB182" s="938"/>
      <c r="AC182" s="938"/>
      <c r="AD182" s="1058"/>
      <c r="AE182" s="938"/>
      <c r="AF182" s="938"/>
      <c r="AG182" s="938"/>
      <c r="AH182" s="938"/>
    </row>
    <row r="183" spans="1:34" ht="17.25" customHeight="1" x14ac:dyDescent="0.35">
      <c r="A183" s="938"/>
      <c r="B183" s="938"/>
      <c r="C183" s="941"/>
      <c r="D183" s="1047"/>
      <c r="E183" s="941"/>
      <c r="F183" s="938"/>
      <c r="G183" s="976">
        <f t="shared" si="4"/>
        <v>180</v>
      </c>
      <c r="H183" s="942"/>
      <c r="I183" s="1001" t="s">
        <v>1059</v>
      </c>
      <c r="J183" s="1031" t="s">
        <v>1230</v>
      </c>
      <c r="K183" s="1002">
        <f>IF(I!K183="","",$D$2*I!K183)</f>
        <v>3.2103481519999998E-2</v>
      </c>
      <c r="L183" s="981"/>
      <c r="M183" s="982"/>
      <c r="N183" s="1003"/>
      <c r="O183" s="1004">
        <f>IF(I!O183="","",$D$2*I!O183)</f>
        <v>0.08</v>
      </c>
      <c r="P183" s="1005">
        <f>IF(I!P183="","",$D$2*I!P183)</f>
        <v>0.440200326265</v>
      </c>
      <c r="Q183" s="1006">
        <f>IF(I!Q183="","",$D$2*I!Q183)</f>
        <v>0</v>
      </c>
      <c r="R183" s="982"/>
      <c r="S183" s="1003"/>
      <c r="T183" s="938"/>
      <c r="U183" s="1008" t="s">
        <v>1059</v>
      </c>
      <c r="V183" s="1018" t="s">
        <v>6040</v>
      </c>
      <c r="W183" s="1019">
        <f>IF(I!W183="","",$D$2*I!W183)</f>
        <v>7.5263222299999988E-2</v>
      </c>
      <c r="X183" s="990">
        <f>IF(I!X183="","",$D$2*I!X183)</f>
        <v>9.9694888359999997E-2</v>
      </c>
      <c r="Y183" s="1010">
        <f>IF(I!Y183="","",$D$2*I!Y183)</f>
        <v>0.28464599229999998</v>
      </c>
      <c r="Z183" s="938"/>
      <c r="AA183" s="938"/>
      <c r="AB183" s="938"/>
      <c r="AC183" s="938"/>
      <c r="AD183" s="1058"/>
      <c r="AE183" s="938"/>
      <c r="AF183" s="938"/>
      <c r="AG183" s="938"/>
      <c r="AH183" s="938"/>
    </row>
    <row r="184" spans="1:34" ht="17.25" customHeight="1" x14ac:dyDescent="0.35">
      <c r="A184" s="938"/>
      <c r="B184" s="938"/>
      <c r="C184" s="941"/>
      <c r="D184" s="1047"/>
      <c r="E184" s="941"/>
      <c r="F184" s="938"/>
      <c r="G184" s="976">
        <f t="shared" si="4"/>
        <v>181</v>
      </c>
      <c r="H184" s="942"/>
      <c r="I184" s="1001" t="s">
        <v>1059</v>
      </c>
      <c r="J184" s="1031" t="s">
        <v>1231</v>
      </c>
      <c r="K184" s="1002">
        <f>IF(I!K184="","",$D$2*I!K184)</f>
        <v>3.2103481519999998E-2</v>
      </c>
      <c r="L184" s="981"/>
      <c r="M184" s="982"/>
      <c r="N184" s="1003"/>
      <c r="O184" s="1004">
        <f>IF(I!O184="","",$D$2*I!O184)</f>
        <v>0.44</v>
      </c>
      <c r="P184" s="1005">
        <f>IF(I!P184="","",$D$2*I!P184)</f>
        <v>0.440200326265</v>
      </c>
      <c r="Q184" s="1006">
        <f>IF(I!Q184="","",$D$2*I!Q184)</f>
        <v>0</v>
      </c>
      <c r="R184" s="982"/>
      <c r="S184" s="1003"/>
      <c r="T184" s="938"/>
      <c r="U184" s="1008" t="s">
        <v>1059</v>
      </c>
      <c r="V184" s="1018" t="s">
        <v>6041</v>
      </c>
      <c r="W184" s="1019">
        <f>IF(I!W184="","",$D$2*I!W184)</f>
        <v>7.2905670000000006E-2</v>
      </c>
      <c r="X184" s="990">
        <f>IF(I!X184="","",$D$2*I!X184)</f>
        <v>0.10130205746</v>
      </c>
      <c r="Y184" s="1010">
        <f>IF(I!Y184="","",$D$2*I!Y184)</f>
        <v>0.30871360999999997</v>
      </c>
      <c r="Z184" s="938"/>
      <c r="AA184" s="938"/>
      <c r="AB184" s="938"/>
      <c r="AC184" s="938"/>
      <c r="AD184" s="1058"/>
      <c r="AE184" s="938"/>
      <c r="AF184" s="938"/>
      <c r="AG184" s="938"/>
      <c r="AH184" s="938"/>
    </row>
    <row r="185" spans="1:34" ht="17.25" customHeight="1" x14ac:dyDescent="0.35">
      <c r="A185" s="938"/>
      <c r="B185" s="938"/>
      <c r="C185" s="941"/>
      <c r="D185" s="1047"/>
      <c r="E185" s="941"/>
      <c r="F185" s="938"/>
      <c r="G185" s="976">
        <f t="shared" si="4"/>
        <v>182</v>
      </c>
      <c r="H185" s="942"/>
      <c r="I185" s="1001" t="s">
        <v>1059</v>
      </c>
      <c r="J185" s="1031" t="s">
        <v>1232</v>
      </c>
      <c r="K185" s="1002">
        <f>IF(I!K185="","",$D$2*I!K185)</f>
        <v>8.6084807980000011E-2</v>
      </c>
      <c r="L185" s="981"/>
      <c r="M185" s="982"/>
      <c r="N185" s="1003"/>
      <c r="O185" s="1004">
        <f>IF(I!O185="","",$D$2*I!O185)</f>
        <v>0.12</v>
      </c>
      <c r="P185" s="1005">
        <f>IF(I!P185="","",$D$2*I!P185)</f>
        <v>0.44159482999999999</v>
      </c>
      <c r="Q185" s="1006">
        <f>IF(I!Q185="","",$D$2*I!Q185)</f>
        <v>0</v>
      </c>
      <c r="R185" s="982"/>
      <c r="S185" s="1003"/>
      <c r="T185" s="938"/>
      <c r="U185" s="1008" t="s">
        <v>1059</v>
      </c>
      <c r="V185" s="1018" t="s">
        <v>6042</v>
      </c>
      <c r="W185" s="1019">
        <f>IF(I!W185="","",$D$2*I!W185)</f>
        <v>0.33974174769999999</v>
      </c>
      <c r="X185" s="990">
        <f>IF(I!X185="","",$D$2*I!X185)</f>
        <v>1.32902221</v>
      </c>
      <c r="Y185" s="1010">
        <f>IF(I!Y185="","",$D$2*I!Y185)</f>
        <v>0.76841650770000003</v>
      </c>
      <c r="Z185" s="938"/>
      <c r="AA185" s="938"/>
      <c r="AB185" s="938"/>
      <c r="AC185" s="938"/>
      <c r="AD185" s="1058"/>
      <c r="AE185" s="938"/>
      <c r="AF185" s="938"/>
      <c r="AG185" s="938"/>
      <c r="AH185" s="938"/>
    </row>
    <row r="186" spans="1:34" ht="17.25" customHeight="1" x14ac:dyDescent="0.35">
      <c r="A186" s="938"/>
      <c r="B186" s="938"/>
      <c r="C186" s="941"/>
      <c r="D186" s="1047"/>
      <c r="E186" s="941"/>
      <c r="F186" s="938"/>
      <c r="G186" s="976">
        <f t="shared" si="4"/>
        <v>183</v>
      </c>
      <c r="H186" s="1000"/>
      <c r="I186" s="1001" t="s">
        <v>1059</v>
      </c>
      <c r="J186" s="1031" t="s">
        <v>1233</v>
      </c>
      <c r="K186" s="1002">
        <f>IF(I!K186="","",$D$2*I!K186)</f>
        <v>5.4510542240000001E-2</v>
      </c>
      <c r="L186" s="981"/>
      <c r="M186" s="982"/>
      <c r="N186" s="1003"/>
      <c r="O186" s="1004">
        <f>IF(I!O186="","",$D$2*I!O186)</f>
        <v>0.15</v>
      </c>
      <c r="P186" s="1005">
        <f>IF(I!P186="","",$D$2*I!P186)</f>
        <v>0.44526377533299999</v>
      </c>
      <c r="Q186" s="1006">
        <f>IF(I!Q186="","",$D$2*I!Q186)</f>
        <v>5.1782983000000001E-9</v>
      </c>
      <c r="R186" s="982"/>
      <c r="S186" s="1003"/>
      <c r="T186" s="938"/>
      <c r="U186" s="1008" t="s">
        <v>1059</v>
      </c>
      <c r="V186" s="1018" t="s">
        <v>6043</v>
      </c>
      <c r="W186" s="1019">
        <f>IF(I!W186="","",$D$2*I!W186)</f>
        <v>0.96415165899999988</v>
      </c>
      <c r="X186" s="990">
        <f>IF(I!X186="","",$D$2*I!X186)</f>
        <v>0.95572158490000003</v>
      </c>
      <c r="Y186" s="1010">
        <f>IF(I!Y186="","",$D$2*I!Y186)</f>
        <v>1.5285353389999998</v>
      </c>
      <c r="Z186" s="938"/>
      <c r="AA186" s="938"/>
      <c r="AB186" s="938"/>
      <c r="AC186" s="938"/>
      <c r="AD186" s="1058"/>
      <c r="AE186" s="938"/>
      <c r="AF186" s="938"/>
      <c r="AG186" s="938"/>
      <c r="AH186" s="938"/>
    </row>
    <row r="187" spans="1:34" ht="17.25" customHeight="1" x14ac:dyDescent="0.35">
      <c r="A187" s="938"/>
      <c r="B187" s="938"/>
      <c r="C187" s="941"/>
      <c r="D187" s="1047"/>
      <c r="E187" s="941"/>
      <c r="F187" s="938"/>
      <c r="G187" s="976">
        <f t="shared" si="4"/>
        <v>184</v>
      </c>
      <c r="H187" s="1000">
        <v>1</v>
      </c>
      <c r="I187" s="1001" t="s">
        <v>1059</v>
      </c>
      <c r="J187" s="1031" t="s">
        <v>1234</v>
      </c>
      <c r="K187" s="1002">
        <f>IF(I!K187="","",$D$2*I!K187)</f>
        <v>5.4510542240000001E-2</v>
      </c>
      <c r="L187" s="981"/>
      <c r="M187" s="982"/>
      <c r="N187" s="1003"/>
      <c r="O187" s="1004">
        <f>IF(I!O187="","",$D$2*I!O187)</f>
        <v>0.52</v>
      </c>
      <c r="P187" s="1005">
        <f>IF(I!P187="","",$D$2*I!P187)</f>
        <v>0.44526377533299999</v>
      </c>
      <c r="Q187" s="1006">
        <f>IF(I!Q187="","",$D$2*I!Q187)</f>
        <v>5.1782983000000001E-9</v>
      </c>
      <c r="R187" s="982"/>
      <c r="S187" s="1003"/>
      <c r="T187" s="938"/>
      <c r="U187" s="1008" t="s">
        <v>1059</v>
      </c>
      <c r="V187" s="1018" t="s">
        <v>6044</v>
      </c>
      <c r="W187" s="1019">
        <f>IF(I!W187="","",$D$2*I!W187)</f>
        <v>0.60452048599999997</v>
      </c>
      <c r="X187" s="990">
        <f>IF(I!X187="","",$D$2*I!X187)</f>
        <v>1.3517469992</v>
      </c>
      <c r="Y187" s="1010">
        <f>IF(I!Y187="","",$D$2*I!Y187)</f>
        <v>1.227740386</v>
      </c>
      <c r="Z187" s="938"/>
      <c r="AA187" s="938"/>
      <c r="AB187" s="938"/>
      <c r="AC187" s="938"/>
      <c r="AD187" s="1058"/>
      <c r="AE187" s="938"/>
      <c r="AF187" s="938"/>
      <c r="AG187" s="938"/>
      <c r="AH187" s="938"/>
    </row>
    <row r="188" spans="1:34" ht="17.25" customHeight="1" x14ac:dyDescent="0.35">
      <c r="A188" s="938"/>
      <c r="B188" s="938"/>
      <c r="C188" s="941"/>
      <c r="D188" s="1047"/>
      <c r="E188" s="941"/>
      <c r="F188" s="938"/>
      <c r="G188" s="976">
        <f t="shared" si="4"/>
        <v>185</v>
      </c>
      <c r="H188" s="942"/>
      <c r="I188" s="1026"/>
      <c r="J188" s="1065"/>
      <c r="K188" s="1002" t="str">
        <f>IF(I!K188="","",$D$2*I!K188)</f>
        <v/>
      </c>
      <c r="L188" s="981"/>
      <c r="M188" s="982"/>
      <c r="N188" s="1003"/>
      <c r="O188" s="1004" t="str">
        <f>IF(I!O188="","",$D$2*I!O188)</f>
        <v/>
      </c>
      <c r="P188" s="1005" t="str">
        <f>IF(I!P188="","",$D$2*I!P188)</f>
        <v/>
      </c>
      <c r="Q188" s="1006" t="str">
        <f>IF(I!Q188="","",$D$2*I!Q188)</f>
        <v/>
      </c>
      <c r="R188" s="982"/>
      <c r="S188" s="1003"/>
      <c r="T188" s="938"/>
      <c r="U188" s="1008" t="s">
        <v>1059</v>
      </c>
      <c r="V188" s="1018" t="s">
        <v>6045</v>
      </c>
      <c r="W188" s="1019">
        <f>IF(I!W188="","",$D$2*I!W188)</f>
        <v>0.3105490554</v>
      </c>
      <c r="X188" s="990">
        <f>IF(I!X188="","",$D$2*I!X188)</f>
        <v>1.1371059583000001</v>
      </c>
      <c r="Y188" s="1010">
        <f>IF(I!Y188="","",$D$2*I!Y188)</f>
        <v>0.6991079254</v>
      </c>
      <c r="Z188" s="938"/>
      <c r="AA188" s="938"/>
      <c r="AB188" s="938"/>
      <c r="AC188" s="938"/>
      <c r="AD188" s="1058"/>
      <c r="AE188" s="938"/>
      <c r="AF188" s="938"/>
      <c r="AG188" s="938"/>
      <c r="AH188" s="938"/>
    </row>
    <row r="189" spans="1:34" ht="17.25" customHeight="1" x14ac:dyDescent="0.35">
      <c r="A189" s="938"/>
      <c r="B189" s="938"/>
      <c r="C189" s="941"/>
      <c r="D189" s="1047"/>
      <c r="E189" s="941"/>
      <c r="F189" s="938"/>
      <c r="G189" s="976">
        <f t="shared" si="4"/>
        <v>186</v>
      </c>
      <c r="H189" s="942" t="s">
        <v>1235</v>
      </c>
      <c r="I189" s="1026"/>
      <c r="J189" s="1027"/>
      <c r="K189" s="1002" t="str">
        <f>IF(I!K189="","",$D$2*I!K189)</f>
        <v/>
      </c>
      <c r="L189" s="981"/>
      <c r="M189" s="982"/>
      <c r="N189" s="1003"/>
      <c r="O189" s="1004" t="str">
        <f>IF(I!O189="","",$D$2*I!O189)</f>
        <v/>
      </c>
      <c r="P189" s="1005" t="str">
        <f>IF(I!P189="","",$D$2*I!P189)</f>
        <v/>
      </c>
      <c r="Q189" s="1006" t="str">
        <f>IF(I!Q189="","",$D$2*I!Q189)</f>
        <v/>
      </c>
      <c r="R189" s="982"/>
      <c r="S189" s="1003"/>
      <c r="T189" s="938"/>
      <c r="U189" s="1008" t="s">
        <v>1059</v>
      </c>
      <c r="V189" s="1018" t="s">
        <v>6046</v>
      </c>
      <c r="W189" s="1019">
        <f>IF(I!W189="","",$D$2*I!W189)</f>
        <v>0.84883466199999991</v>
      </c>
      <c r="X189" s="990">
        <f>IF(I!X189="","",$D$2*I!X189)</f>
        <v>0.81688867759999995</v>
      </c>
      <c r="Y189" s="1010">
        <f>IF(I!Y189="","",$D$2*I!Y189)</f>
        <v>1.3554339419999999</v>
      </c>
      <c r="Z189" s="938"/>
      <c r="AA189" s="938"/>
      <c r="AB189" s="938"/>
      <c r="AC189" s="938"/>
      <c r="AD189" s="1058"/>
      <c r="AE189" s="938"/>
      <c r="AF189" s="938"/>
      <c r="AG189" s="938"/>
      <c r="AH189" s="938"/>
    </row>
    <row r="190" spans="1:34" ht="17.25" customHeight="1" x14ac:dyDescent="0.35">
      <c r="A190" s="938"/>
      <c r="B190" s="938"/>
      <c r="C190" s="941"/>
      <c r="D190" s="1047"/>
      <c r="E190" s="941"/>
      <c r="F190" s="938"/>
      <c r="G190" s="976">
        <f t="shared" si="4"/>
        <v>187</v>
      </c>
      <c r="H190" s="1000">
        <v>1</v>
      </c>
      <c r="I190" s="1001" t="s">
        <v>1059</v>
      </c>
      <c r="J190" s="1031" t="s">
        <v>1236</v>
      </c>
      <c r="K190" s="1002">
        <f>IF(I!K190="","",$D$2*I!K190)</f>
        <v>5.890136721E-2</v>
      </c>
      <c r="L190" s="981"/>
      <c r="M190" s="982"/>
      <c r="N190" s="1003"/>
      <c r="O190" s="1004">
        <f>IF(I!O190="","",$D$2*I!O190)</f>
        <v>0.19</v>
      </c>
      <c r="P190" s="1005">
        <f>IF(I!P190="","",$D$2*I!P190)</f>
        <v>4.5742390073000003E-2</v>
      </c>
      <c r="Q190" s="1006">
        <f>IF(I!Q190="","",$D$2*I!Q190)</f>
        <v>2.2798153E-12</v>
      </c>
      <c r="R190" s="982"/>
      <c r="S190" s="1003"/>
      <c r="T190" s="938"/>
      <c r="U190" s="1008" t="s">
        <v>1059</v>
      </c>
      <c r="V190" s="1018" t="s">
        <v>6047</v>
      </c>
      <c r="W190" s="1019">
        <f>IF(I!W190="","",$D$2*I!W190)</f>
        <v>0.536942849</v>
      </c>
      <c r="X190" s="990">
        <f>IF(I!X190="","",$D$2*I!X190)</f>
        <v>1.1564760928</v>
      </c>
      <c r="Y190" s="1010">
        <f>IF(I!Y190="","",$D$2*I!Y190)</f>
        <v>1.091912309</v>
      </c>
      <c r="Z190" s="938"/>
      <c r="AA190" s="938"/>
      <c r="AB190" s="938"/>
      <c r="AC190" s="938"/>
      <c r="AD190" s="1058"/>
      <c r="AE190" s="938"/>
      <c r="AF190" s="938"/>
      <c r="AG190" s="938"/>
      <c r="AH190" s="938"/>
    </row>
    <row r="191" spans="1:34" ht="17.25" customHeight="1" x14ac:dyDescent="0.35">
      <c r="A191" s="938"/>
      <c r="B191" s="938"/>
      <c r="C191" s="941"/>
      <c r="D191" s="1047"/>
      <c r="E191" s="941"/>
      <c r="F191" s="938"/>
      <c r="G191" s="976">
        <f t="shared" si="4"/>
        <v>188</v>
      </c>
      <c r="H191" s="942" t="s">
        <v>1237</v>
      </c>
      <c r="I191" s="1026"/>
      <c r="J191" s="1027"/>
      <c r="K191" s="1002" t="str">
        <f>IF(I!K191="","",$D$2*I!K191)</f>
        <v/>
      </c>
      <c r="L191" s="981"/>
      <c r="M191" s="982"/>
      <c r="N191" s="1003"/>
      <c r="O191" s="1004" t="str">
        <f>IF(I!O191="","",$D$2*I!O191)</f>
        <v/>
      </c>
      <c r="P191" s="1005" t="str">
        <f>IF(I!P191="","",$D$2*I!P191)</f>
        <v/>
      </c>
      <c r="Q191" s="1006" t="str">
        <f>IF(I!Q191="","",$D$2*I!Q191)</f>
        <v/>
      </c>
      <c r="R191" s="982"/>
      <c r="S191" s="1003"/>
      <c r="T191" s="938"/>
      <c r="U191" s="1008"/>
      <c r="V191" s="1066"/>
      <c r="W191" s="1019" t="str">
        <f>IF(I!W191="","",$D$2*I!W191)</f>
        <v/>
      </c>
      <c r="X191" s="990" t="str">
        <f>IF(I!X191="","",$D$2*I!X191)</f>
        <v/>
      </c>
      <c r="Y191" s="1010" t="str">
        <f>IF(I!Y191="","",$D$2*I!Y191)</f>
        <v/>
      </c>
      <c r="Z191" s="938"/>
      <c r="AA191" s="938"/>
      <c r="AB191" s="938"/>
      <c r="AC191" s="938"/>
      <c r="AD191" s="1058"/>
      <c r="AE191" s="938"/>
      <c r="AF191" s="938"/>
      <c r="AG191" s="938"/>
      <c r="AH191" s="938"/>
    </row>
    <row r="192" spans="1:34" ht="17.25" customHeight="1" x14ac:dyDescent="0.35">
      <c r="A192" s="938"/>
      <c r="B192" s="938"/>
      <c r="C192" s="941"/>
      <c r="D192" s="1047"/>
      <c r="E192" s="941"/>
      <c r="F192" s="938"/>
      <c r="G192" s="976">
        <f t="shared" si="4"/>
        <v>189</v>
      </c>
      <c r="H192" s="1000"/>
      <c r="I192" s="1001" t="s">
        <v>1059</v>
      </c>
      <c r="J192" s="1031" t="s">
        <v>1238</v>
      </c>
      <c r="K192" s="1002">
        <f>IF(I!K192="","",$D$2*I!K192)</f>
        <v>4.8360232009999997E-2</v>
      </c>
      <c r="L192" s="981"/>
      <c r="M192" s="982"/>
      <c r="N192" s="1003"/>
      <c r="O192" s="1004">
        <f>IF(I!O192="","",$D$2*I!O192)</f>
        <v>0.28999999999999998</v>
      </c>
      <c r="P192" s="1005">
        <f>IF(I!P192="","",$D$2*I!P192)</f>
        <v>3.2822109621999997E-4</v>
      </c>
      <c r="Q192" s="1006">
        <f>IF(I!Q192="","",$D$2*I!Q192)</f>
        <v>0</v>
      </c>
      <c r="R192" s="982"/>
      <c r="S192" s="1003"/>
      <c r="T192" s="938"/>
      <c r="U192" s="1008"/>
      <c r="V192" s="1009" t="s">
        <v>6048</v>
      </c>
      <c r="W192" s="1019" t="str">
        <f>IF(I!W192="","",$D$2*I!W192)</f>
        <v/>
      </c>
      <c r="X192" s="990" t="str">
        <f>IF(I!X192="","",$D$2*I!X192)</f>
        <v/>
      </c>
      <c r="Y192" s="1010" t="str">
        <f>IF(I!Y192="","",$D$2*I!Y192)</f>
        <v/>
      </c>
      <c r="Z192" s="938"/>
      <c r="AA192" s="938"/>
      <c r="AB192" s="938"/>
      <c r="AC192" s="938"/>
      <c r="AD192" s="1058"/>
      <c r="AE192" s="938"/>
      <c r="AF192" s="938"/>
      <c r="AG192" s="938"/>
      <c r="AH192" s="938"/>
    </row>
    <row r="193" spans="1:34" ht="17.25" customHeight="1" x14ac:dyDescent="0.35">
      <c r="A193" s="938"/>
      <c r="B193" s="938"/>
      <c r="C193" s="941"/>
      <c r="D193" s="1047"/>
      <c r="E193" s="941"/>
      <c r="F193" s="938"/>
      <c r="G193" s="976">
        <f t="shared" si="4"/>
        <v>190</v>
      </c>
      <c r="H193" s="1000"/>
      <c r="I193" s="1001" t="s">
        <v>1059</v>
      </c>
      <c r="J193" s="1031" t="s">
        <v>1239</v>
      </c>
      <c r="K193" s="1002">
        <f>IF(I!K193="","",$D$2*I!K193)</f>
        <v>6.6442753689999995E-2</v>
      </c>
      <c r="L193" s="981"/>
      <c r="M193" s="982"/>
      <c r="N193" s="1003"/>
      <c r="O193" s="1004">
        <f>IF(I!O193="","",$D$2*I!O193)</f>
        <v>0.4</v>
      </c>
      <c r="P193" s="1005">
        <f>IF(I!P193="","",$D$2*I!P193)</f>
        <v>4.4450946789069995E-2</v>
      </c>
      <c r="Q193" s="1006">
        <f>IF(I!Q193="","",$D$2*I!Q193)</f>
        <v>0</v>
      </c>
      <c r="R193" s="982"/>
      <c r="S193" s="1003"/>
      <c r="T193" s="938"/>
      <c r="U193" s="1008" t="s">
        <v>1059</v>
      </c>
      <c r="V193" s="1018" t="s">
        <v>6049</v>
      </c>
      <c r="W193" s="1019">
        <f>IF(I!W193="","",$D$2*I!W193)</f>
        <v>8.1701069580000008E-2</v>
      </c>
      <c r="X193" s="990">
        <f>IF(I!X193="","",$D$2*I!X193)</f>
        <v>2.9337088669999997E-2</v>
      </c>
      <c r="Y193" s="1010">
        <f>IF(I!Y193="","",$D$2*I!Y193)</f>
        <v>0.17679246858</v>
      </c>
      <c r="Z193" s="938"/>
      <c r="AA193" s="938"/>
      <c r="AB193" s="938"/>
      <c r="AC193" s="938"/>
      <c r="AD193" s="1058"/>
      <c r="AE193" s="938"/>
      <c r="AF193" s="938"/>
      <c r="AG193" s="938"/>
      <c r="AH193" s="938"/>
    </row>
    <row r="194" spans="1:34" ht="17.25" customHeight="1" x14ac:dyDescent="0.35">
      <c r="A194" s="938"/>
      <c r="B194" s="938"/>
      <c r="C194" s="941"/>
      <c r="D194" s="1047"/>
      <c r="E194" s="941"/>
      <c r="F194" s="938"/>
      <c r="G194" s="976">
        <f t="shared" si="4"/>
        <v>191</v>
      </c>
      <c r="H194" s="1000"/>
      <c r="I194" s="1001" t="s">
        <v>1059</v>
      </c>
      <c r="J194" s="1031" t="s">
        <v>1240</v>
      </c>
      <c r="K194" s="1002">
        <f>IF(I!K194="","",$D$2*I!K194)</f>
        <v>3.751071894E-2</v>
      </c>
      <c r="L194" s="981"/>
      <c r="M194" s="982"/>
      <c r="N194" s="1003"/>
      <c r="O194" s="1004">
        <f>IF(I!O194="","",$D$2*I!O194)</f>
        <v>0.23</v>
      </c>
      <c r="P194" s="1005">
        <f>IF(I!P194="","",$D$2*I!P194)</f>
        <v>2.5458540851000001E-4</v>
      </c>
      <c r="Q194" s="1006">
        <f>IF(I!Q194="","",$D$2*I!Q194)</f>
        <v>0</v>
      </c>
      <c r="R194" s="982"/>
      <c r="S194" s="1003"/>
      <c r="T194" s="938"/>
      <c r="U194" s="1008" t="s">
        <v>1059</v>
      </c>
      <c r="V194" s="1018" t="s">
        <v>6050</v>
      </c>
      <c r="W194" s="1019">
        <f>IF(I!W194="","",$D$2*I!W194)</f>
        <v>9.9612369800000017E-2</v>
      </c>
      <c r="X194" s="990">
        <f>IF(I!X194="","",$D$2*I!X194)</f>
        <v>4.9613988594E-2</v>
      </c>
      <c r="Y194" s="1010">
        <f>IF(I!Y194="","",$D$2*I!Y194)</f>
        <v>0.15517107880000003</v>
      </c>
      <c r="Z194" s="938"/>
      <c r="AA194" s="938"/>
      <c r="AB194" s="938"/>
      <c r="AC194" s="938"/>
      <c r="AD194" s="1058"/>
      <c r="AE194" s="938"/>
      <c r="AF194" s="938"/>
      <c r="AG194" s="938"/>
      <c r="AH194" s="938"/>
    </row>
    <row r="195" spans="1:34" ht="17.25" customHeight="1" x14ac:dyDescent="0.35">
      <c r="A195" s="938"/>
      <c r="B195" s="938"/>
      <c r="C195" s="941"/>
      <c r="D195" s="1047"/>
      <c r="E195" s="941"/>
      <c r="F195" s="938"/>
      <c r="G195" s="976">
        <f t="shared" si="4"/>
        <v>192</v>
      </c>
      <c r="H195" s="1000"/>
      <c r="I195" s="1001" t="s">
        <v>1059</v>
      </c>
      <c r="J195" s="1031" t="s">
        <v>1241</v>
      </c>
      <c r="K195" s="1002">
        <f>IF(I!K195="","",$D$2*I!K195)</f>
        <v>5.1303898380000004E-2</v>
      </c>
      <c r="L195" s="981"/>
      <c r="M195" s="982"/>
      <c r="N195" s="1003"/>
      <c r="O195" s="1004">
        <f>IF(I!O195="","",$D$2*I!O195)</f>
        <v>0.31</v>
      </c>
      <c r="P195" s="1005">
        <f>IF(I!P195="","",$D$2*I!P195)</f>
        <v>3.4819976738000003E-4</v>
      </c>
      <c r="Q195" s="1006">
        <f>IF(I!Q195="","",$D$2*I!Q195)</f>
        <v>0</v>
      </c>
      <c r="R195" s="982"/>
      <c r="S195" s="1003"/>
      <c r="T195" s="938"/>
      <c r="U195" s="1008" t="s">
        <v>1059</v>
      </c>
      <c r="V195" s="1018" t="s">
        <v>6051</v>
      </c>
      <c r="W195" s="1019">
        <f>IF(I!W195="","",$D$2*I!W195)</f>
        <v>3.4561304369999997E-2</v>
      </c>
      <c r="X195" s="990">
        <f>IF(I!X195="","",$D$2*I!X195)</f>
        <v>7.0119578109999999E-3</v>
      </c>
      <c r="Y195" s="1010">
        <f>IF(I!Y195="","",$D$2*I!Y195)</f>
        <v>5.3451356369999994E-2</v>
      </c>
      <c r="Z195" s="938"/>
      <c r="AA195" s="938"/>
      <c r="AB195" s="938"/>
      <c r="AC195" s="938"/>
      <c r="AD195" s="1058"/>
      <c r="AE195" s="938"/>
      <c r="AF195" s="938"/>
      <c r="AG195" s="938"/>
      <c r="AH195" s="938"/>
    </row>
    <row r="196" spans="1:34" ht="17.25" customHeight="1" x14ac:dyDescent="0.35">
      <c r="A196" s="938"/>
      <c r="B196" s="938"/>
      <c r="C196" s="941"/>
      <c r="D196" s="1047"/>
      <c r="E196" s="941"/>
      <c r="F196" s="938"/>
      <c r="G196" s="976">
        <f t="shared" si="4"/>
        <v>193</v>
      </c>
      <c r="H196" s="1000"/>
      <c r="I196" s="1001" t="s">
        <v>1059</v>
      </c>
      <c r="J196" s="1031" t="s">
        <v>1242</v>
      </c>
      <c r="K196" s="1002">
        <f>IF(I!K196="","",$D$2*I!K196)</f>
        <v>6.6274544069999997E-2</v>
      </c>
      <c r="L196" s="981"/>
      <c r="M196" s="982"/>
      <c r="N196" s="1003"/>
      <c r="O196" s="1004">
        <f>IF(I!O196="","",$D$2*I!O196)</f>
        <v>0.4</v>
      </c>
      <c r="P196" s="1005">
        <f>IF(I!P196="","",$D$2*I!P196)</f>
        <v>4.4980560871E-4</v>
      </c>
      <c r="Q196" s="1006">
        <f>IF(I!Q196="","",$D$2*I!Q196)</f>
        <v>0</v>
      </c>
      <c r="R196" s="982"/>
      <c r="S196" s="1003"/>
      <c r="T196" s="938"/>
      <c r="U196" s="1008" t="s">
        <v>1059</v>
      </c>
      <c r="V196" s="1018" t="s">
        <v>6052</v>
      </c>
      <c r="W196" s="1019">
        <f>IF(I!W196="","",$D$2*I!W196)</f>
        <v>0.2138824577</v>
      </c>
      <c r="X196" s="990">
        <f>IF(I!X196="","",$D$2*I!X196)</f>
        <v>7.8256970809999993E-2</v>
      </c>
      <c r="Y196" s="1010">
        <f>IF(I!Y196="","",$D$2*I!Y196)</f>
        <v>0.4955184977</v>
      </c>
      <c r="Z196" s="938"/>
      <c r="AA196" s="938"/>
      <c r="AB196" s="938"/>
      <c r="AC196" s="938"/>
      <c r="AD196" s="1058"/>
      <c r="AE196" s="938"/>
      <c r="AF196" s="938"/>
      <c r="AG196" s="938"/>
      <c r="AH196" s="938"/>
    </row>
    <row r="197" spans="1:34" ht="17.25" customHeight="1" x14ac:dyDescent="0.35">
      <c r="A197" s="938"/>
      <c r="B197" s="938"/>
      <c r="C197" s="941"/>
      <c r="D197" s="1047"/>
      <c r="E197" s="941"/>
      <c r="F197" s="938"/>
      <c r="G197" s="976">
        <f t="shared" si="4"/>
        <v>194</v>
      </c>
      <c r="H197" s="1000"/>
      <c r="I197" s="1001" t="s">
        <v>1059</v>
      </c>
      <c r="J197" s="1031" t="s">
        <v>1243</v>
      </c>
      <c r="K197" s="1002">
        <f>IF(I!K197="","",$D$2*I!K197)</f>
        <v>1.5056037284E-2</v>
      </c>
      <c r="L197" s="981"/>
      <c r="M197" s="982"/>
      <c r="N197" s="1003"/>
      <c r="O197" s="1004">
        <f>IF(I!O197="","",$D$2*I!O197)</f>
        <v>0.09</v>
      </c>
      <c r="P197" s="1005">
        <f>IF(I!P197="","",$D$2*I!P197)</f>
        <v>4.6696995090000004E-3</v>
      </c>
      <c r="Q197" s="1006">
        <f>IF(I!Q197="","",$D$2*I!Q197)</f>
        <v>5.1782983000000001E-9</v>
      </c>
      <c r="R197" s="982"/>
      <c r="S197" s="1003"/>
      <c r="T197" s="938"/>
      <c r="U197" s="1008" t="s">
        <v>1059</v>
      </c>
      <c r="V197" s="1018" t="s">
        <v>6053</v>
      </c>
      <c r="W197" s="1019">
        <f>IF(I!W197="","",$D$2*I!W197)</f>
        <v>0</v>
      </c>
      <c r="X197" s="990">
        <f>IF(I!X197="","",$D$2*I!X197)</f>
        <v>0</v>
      </c>
      <c r="Y197" s="1010">
        <f>IF(I!Y197="","",$D$2*I!Y197)</f>
        <v>0</v>
      </c>
      <c r="Z197" s="938"/>
      <c r="AA197" s="938"/>
      <c r="AB197" s="938"/>
      <c r="AC197" s="938"/>
      <c r="AD197" s="1058"/>
      <c r="AE197" s="938"/>
      <c r="AF197" s="938"/>
      <c r="AG197" s="938"/>
      <c r="AH197" s="938"/>
    </row>
    <row r="198" spans="1:34" ht="17.25" customHeight="1" x14ac:dyDescent="0.35">
      <c r="A198" s="938"/>
      <c r="B198" s="938"/>
      <c r="C198" s="941"/>
      <c r="D198" s="1047"/>
      <c r="E198" s="941"/>
      <c r="F198" s="938"/>
      <c r="G198" s="976">
        <f t="shared" ref="G198:G261" si="5">G197+1</f>
        <v>195</v>
      </c>
      <c r="H198" s="1000"/>
      <c r="I198" s="1001" t="s">
        <v>1059</v>
      </c>
      <c r="J198" s="1031" t="s">
        <v>1244</v>
      </c>
      <c r="K198" s="1002">
        <f>IF(I!K198="","",$D$2*I!K198)</f>
        <v>5.890136721E-2</v>
      </c>
      <c r="L198" s="981"/>
      <c r="M198" s="982"/>
      <c r="N198" s="1003"/>
      <c r="O198" s="1004">
        <f>IF(I!O198="","",$D$2*I!O198)</f>
        <v>0.19</v>
      </c>
      <c r="P198" s="1005">
        <f>IF(I!P198="","",$D$2*I!P198)</f>
        <v>4.5742390073000003E-2</v>
      </c>
      <c r="Q198" s="1006">
        <f>IF(I!Q198="","",$D$2*I!Q198)</f>
        <v>2.2798153E-12</v>
      </c>
      <c r="R198" s="982"/>
      <c r="S198" s="1003"/>
      <c r="T198" s="938"/>
      <c r="U198" s="1008" t="s">
        <v>1059</v>
      </c>
      <c r="V198" s="1018" t="s">
        <v>6054</v>
      </c>
      <c r="W198" s="1019">
        <f>IF(I!W198="","",$D$2*I!W198)</f>
        <v>2.5321315610000002E-2</v>
      </c>
      <c r="X198" s="990">
        <f>IF(I!X198="","",$D$2*I!X198)</f>
        <v>9.8885227088000016E-2</v>
      </c>
      <c r="Y198" s="1010">
        <f>IF(I!Y198="","",$D$2*I!Y198)</f>
        <v>8.3404224610000008E-2</v>
      </c>
      <c r="Z198" s="938"/>
      <c r="AA198" s="938"/>
      <c r="AB198" s="938"/>
      <c r="AC198" s="938"/>
      <c r="AD198" s="1058"/>
      <c r="AE198" s="938"/>
      <c r="AF198" s="938"/>
      <c r="AG198" s="938"/>
      <c r="AH198" s="938"/>
    </row>
    <row r="199" spans="1:34" ht="17.25" customHeight="1" x14ac:dyDescent="0.35">
      <c r="A199" s="938"/>
      <c r="B199" s="938"/>
      <c r="C199" s="941"/>
      <c r="D199" s="1047"/>
      <c r="E199" s="941"/>
      <c r="F199" s="938"/>
      <c r="G199" s="976">
        <f t="shared" si="5"/>
        <v>196</v>
      </c>
      <c r="H199" s="1000"/>
      <c r="I199" s="1060"/>
      <c r="J199" s="1027"/>
      <c r="K199" s="1002" t="str">
        <f>IF(I!K199="","",$D$2*I!K199)</f>
        <v/>
      </c>
      <c r="L199" s="981"/>
      <c r="M199" s="982"/>
      <c r="N199" s="1003"/>
      <c r="O199" s="1004" t="str">
        <f>IF(I!O199="","",$D$2*I!O199)</f>
        <v/>
      </c>
      <c r="P199" s="1005" t="str">
        <f>IF(I!P199="","",$D$2*I!P199)</f>
        <v/>
      </c>
      <c r="Q199" s="1006" t="str">
        <f>IF(I!Q199="","",$D$2*I!Q199)</f>
        <v/>
      </c>
      <c r="R199" s="982"/>
      <c r="S199" s="1003"/>
      <c r="T199" s="938"/>
      <c r="U199" s="1008" t="s">
        <v>1059</v>
      </c>
      <c r="V199" s="1018" t="s">
        <v>6055</v>
      </c>
      <c r="W199" s="1019">
        <f>IF(I!W199="","",$D$2*I!W199)</f>
        <v>7.0689268899999996E-3</v>
      </c>
      <c r="X199" s="990">
        <f>IF(I!X199="","",$D$2*I!X199)</f>
        <v>1.045669841E-2</v>
      </c>
      <c r="Y199" s="1010">
        <f>IF(I!Y199="","",$D$2*I!Y199)</f>
        <v>1.3750897289999999E-2</v>
      </c>
      <c r="Z199" s="938"/>
      <c r="AA199" s="938"/>
      <c r="AB199" s="938"/>
      <c r="AC199" s="938"/>
      <c r="AD199" s="1058"/>
      <c r="AE199" s="938"/>
      <c r="AF199" s="938"/>
      <c r="AG199" s="938"/>
      <c r="AH199" s="938"/>
    </row>
    <row r="200" spans="1:34" ht="17.25" customHeight="1" x14ac:dyDescent="0.35">
      <c r="A200" s="938"/>
      <c r="B200" s="938"/>
      <c r="C200" s="941"/>
      <c r="D200" s="1047"/>
      <c r="E200" s="941"/>
      <c r="F200" s="938"/>
      <c r="G200" s="976">
        <f t="shared" si="5"/>
        <v>197</v>
      </c>
      <c r="H200" s="942" t="s">
        <v>1245</v>
      </c>
      <c r="I200" s="1026"/>
      <c r="J200" s="1027"/>
      <c r="K200" s="1002" t="str">
        <f>IF(I!K200="","",$D$2*I!K200)</f>
        <v/>
      </c>
      <c r="L200" s="981"/>
      <c r="M200" s="982"/>
      <c r="N200" s="1003"/>
      <c r="O200" s="1004" t="str">
        <f>IF(I!O200="","",$D$2*I!O200)</f>
        <v/>
      </c>
      <c r="P200" s="1005" t="str">
        <f>IF(I!P200="","",$D$2*I!P200)</f>
        <v/>
      </c>
      <c r="Q200" s="1006" t="str">
        <f>IF(I!Q200="","",$D$2*I!Q200)</f>
        <v/>
      </c>
      <c r="R200" s="982"/>
      <c r="S200" s="1003"/>
      <c r="T200" s="938"/>
      <c r="U200" s="1008" t="s">
        <v>1059</v>
      </c>
      <c r="V200" s="1018" t="s">
        <v>6056</v>
      </c>
      <c r="W200" s="1019">
        <f>IF(I!W200="","",$D$2*I!W200)</f>
        <v>4.2413561509999998E-3</v>
      </c>
      <c r="X200" s="990">
        <f>IF(I!X200="","",$D$2*I!X200)</f>
        <v>6.2740190649999998E-3</v>
      </c>
      <c r="Y200" s="1010">
        <f>IF(I!Y200="","",$D$2*I!Y200)</f>
        <v>8.2505383509999999E-3</v>
      </c>
      <c r="Z200" s="938"/>
      <c r="AA200" s="938"/>
      <c r="AB200" s="938"/>
      <c r="AC200" s="938"/>
      <c r="AD200" s="1058"/>
      <c r="AE200" s="938"/>
      <c r="AF200" s="938"/>
      <c r="AG200" s="938"/>
      <c r="AH200" s="938"/>
    </row>
    <row r="201" spans="1:34" ht="17.25" customHeight="1" x14ac:dyDescent="0.35">
      <c r="A201" s="938"/>
      <c r="B201" s="938"/>
      <c r="C201" s="941"/>
      <c r="D201" s="1047"/>
      <c r="E201" s="941"/>
      <c r="F201" s="938"/>
      <c r="G201" s="976">
        <f t="shared" si="5"/>
        <v>198</v>
      </c>
      <c r="H201" s="1000"/>
      <c r="I201" s="1001" t="s">
        <v>1059</v>
      </c>
      <c r="J201" s="1031" t="s">
        <v>1246</v>
      </c>
      <c r="K201" s="1002">
        <f>IF(I!K201="","",$D$2*I!K201)</f>
        <v>0.61294174800000001</v>
      </c>
      <c r="L201" s="981"/>
      <c r="M201" s="982"/>
      <c r="N201" s="1003"/>
      <c r="O201" s="1004">
        <f>IF(I!O201="","",$D$2*I!O201)</f>
        <v>1.98</v>
      </c>
      <c r="P201" s="1005">
        <f>IF(I!P201="","",$D$2*I!P201)</f>
        <v>0.96810892184000008</v>
      </c>
      <c r="Q201" s="1006">
        <f>IF(I!Q201="","",$D$2*I!Q201)</f>
        <v>2.1775615E-5</v>
      </c>
      <c r="R201" s="982"/>
      <c r="S201" s="1003"/>
      <c r="T201" s="938"/>
      <c r="U201" s="1008" t="s">
        <v>1059</v>
      </c>
      <c r="V201" s="1018" t="s">
        <v>6057</v>
      </c>
      <c r="W201" s="1019">
        <f>IF(I!W201="","",$D$2*I!W201)</f>
        <v>6.3379980910000008E-2</v>
      </c>
      <c r="X201" s="990">
        <f>IF(I!X201="","",$D$2*I!X201)</f>
        <v>0.10216404007</v>
      </c>
      <c r="Y201" s="1010">
        <f>IF(I!Y201="","",$D$2*I!Y201)</f>
        <v>0.14999208791000002</v>
      </c>
      <c r="Z201" s="938"/>
      <c r="AA201" s="938"/>
      <c r="AB201" s="938"/>
      <c r="AC201" s="938"/>
      <c r="AD201" s="1058"/>
      <c r="AE201" s="938"/>
      <c r="AF201" s="938"/>
      <c r="AG201" s="938"/>
      <c r="AH201" s="938"/>
    </row>
    <row r="202" spans="1:34" ht="17.25" customHeight="1" x14ac:dyDescent="0.35">
      <c r="A202" s="938"/>
      <c r="B202" s="938"/>
      <c r="C202" s="941"/>
      <c r="D202" s="1047"/>
      <c r="E202" s="941"/>
      <c r="F202" s="938"/>
      <c r="G202" s="976">
        <f t="shared" si="5"/>
        <v>199</v>
      </c>
      <c r="H202" s="1000"/>
      <c r="I202" s="1001" t="s">
        <v>1059</v>
      </c>
      <c r="J202" s="1031" t="s">
        <v>1247</v>
      </c>
      <c r="K202" s="1002">
        <f>IF(I!K202="","",$D$2*I!K202)</f>
        <v>0.50688675399999994</v>
      </c>
      <c r="L202" s="981"/>
      <c r="M202" s="982"/>
      <c r="N202" s="1003"/>
      <c r="O202" s="1004">
        <f>IF(I!O202="","",$D$2*I!O202)</f>
        <v>1.58</v>
      </c>
      <c r="P202" s="1005">
        <f>IF(I!P202="","",$D$2*I!P202)</f>
        <v>0.72426744316000002</v>
      </c>
      <c r="Q202" s="1006">
        <f>IF(I!Q202="","",$D$2*I!Q202)</f>
        <v>3.9950168999999998E-5</v>
      </c>
      <c r="R202" s="982"/>
      <c r="S202" s="1003"/>
      <c r="T202" s="938"/>
      <c r="U202" s="1008" t="s">
        <v>1059</v>
      </c>
      <c r="V202" s="1018" t="s">
        <v>6058</v>
      </c>
      <c r="W202" s="1019">
        <f>IF(I!W202="","",$D$2*I!W202)</f>
        <v>4.9661539269999999E-2</v>
      </c>
      <c r="X202" s="990">
        <f>IF(I!X202="","",$D$2*I!X202)</f>
        <v>2.2134709697000002E-2</v>
      </c>
      <c r="Y202" s="1010">
        <f>IF(I!Y202="","",$D$2*I!Y202)</f>
        <v>9.8539387270000001E-2</v>
      </c>
      <c r="Z202" s="938"/>
      <c r="AA202" s="938"/>
      <c r="AB202" s="938"/>
      <c r="AC202" s="938"/>
      <c r="AD202" s="1058"/>
      <c r="AE202" s="938"/>
      <c r="AF202" s="938"/>
      <c r="AG202" s="938"/>
      <c r="AH202" s="938"/>
    </row>
    <row r="203" spans="1:34" ht="17.25" customHeight="1" x14ac:dyDescent="0.35">
      <c r="A203" s="938"/>
      <c r="B203" s="938"/>
      <c r="C203" s="941"/>
      <c r="D203" s="1047"/>
      <c r="E203" s="941"/>
      <c r="F203" s="938"/>
      <c r="G203" s="976">
        <f t="shared" si="5"/>
        <v>200</v>
      </c>
      <c r="H203" s="1000"/>
      <c r="I203" s="1001" t="s">
        <v>1059</v>
      </c>
      <c r="J203" s="1031" t="s">
        <v>1248</v>
      </c>
      <c r="K203" s="1002">
        <f>IF(I!K203="","",$D$2*I!K203)</f>
        <v>0.459758528</v>
      </c>
      <c r="L203" s="981"/>
      <c r="M203" s="982"/>
      <c r="N203" s="1003"/>
      <c r="O203" s="1004">
        <f>IF(I!O203="","",$D$2*I!O203)</f>
        <v>1.25</v>
      </c>
      <c r="P203" s="1005">
        <f>IF(I!P203="","",$D$2*I!P203)</f>
        <v>0.72201614251000013</v>
      </c>
      <c r="Q203" s="1006">
        <f>IF(I!Q203="","",$D$2*I!Q203)</f>
        <v>4.6294732000000003E-5</v>
      </c>
      <c r="R203" s="982"/>
      <c r="S203" s="1003"/>
      <c r="T203" s="938"/>
      <c r="U203" s="1008" t="s">
        <v>1059</v>
      </c>
      <c r="V203" s="1018" t="s">
        <v>6059</v>
      </c>
      <c r="W203" s="1019">
        <f>IF(I!W203="","",$D$2*I!W203)</f>
        <v>1.3817385399000001E-2</v>
      </c>
      <c r="X203" s="990">
        <f>IF(I!X203="","",$D$2*I!X203)</f>
        <v>7.5361582501500002E-4</v>
      </c>
      <c r="Y203" s="1010">
        <f>IF(I!Y203="","",$D$2*I!Y203)</f>
        <v>7.8339786398999994E-2</v>
      </c>
      <c r="Z203" s="938"/>
      <c r="AA203" s="938"/>
      <c r="AB203" s="938"/>
      <c r="AC203" s="938"/>
      <c r="AD203" s="1058"/>
      <c r="AE203" s="938"/>
      <c r="AF203" s="938"/>
      <c r="AG203" s="938"/>
      <c r="AH203" s="938"/>
    </row>
    <row r="204" spans="1:34" ht="17.25" customHeight="1" x14ac:dyDescent="0.35">
      <c r="A204" s="938"/>
      <c r="B204" s="938"/>
      <c r="C204" s="941"/>
      <c r="D204" s="1047"/>
      <c r="E204" s="941"/>
      <c r="F204" s="938"/>
      <c r="G204" s="976">
        <f t="shared" si="5"/>
        <v>201</v>
      </c>
      <c r="H204" s="942"/>
      <c r="I204" s="1001" t="s">
        <v>1059</v>
      </c>
      <c r="J204" s="1031" t="s">
        <v>1249</v>
      </c>
      <c r="K204" s="1002">
        <f>IF(I!K204="","",$D$2*I!K204)</f>
        <v>1.629373325</v>
      </c>
      <c r="L204" s="981"/>
      <c r="M204" s="982"/>
      <c r="N204" s="1003"/>
      <c r="O204" s="1004">
        <f>IF(I!O204="","",$D$2*I!O204)</f>
        <v>4.49</v>
      </c>
      <c r="P204" s="1005">
        <f>IF(I!P204="","",$D$2*I!P204)</f>
        <v>2.6350533993999998</v>
      </c>
      <c r="Q204" s="1006">
        <f>IF(I!Q204="","",$D$2*I!Q204)</f>
        <v>1.5975262E-4</v>
      </c>
      <c r="R204" s="982"/>
      <c r="S204" s="1003"/>
      <c r="T204" s="938"/>
      <c r="U204" s="1008" t="s">
        <v>1059</v>
      </c>
      <c r="V204" s="1018" t="s">
        <v>6060</v>
      </c>
      <c r="W204" s="1019">
        <f>IF(I!W204="","",$D$2*I!W204)</f>
        <v>3.065205751E-2</v>
      </c>
      <c r="X204" s="990">
        <f>IF(I!X204="","",$D$2*I!X204)</f>
        <v>2.7132168557310004E-3</v>
      </c>
      <c r="Y204" s="1010">
        <f>IF(I!Y204="","",$D$2*I!Y204)</f>
        <v>0.10761944850999999</v>
      </c>
      <c r="Z204" s="938"/>
      <c r="AA204" s="938"/>
      <c r="AB204" s="938"/>
      <c r="AC204" s="938"/>
      <c r="AD204" s="1058"/>
      <c r="AE204" s="938"/>
      <c r="AF204" s="938"/>
      <c r="AG204" s="938"/>
      <c r="AH204" s="938"/>
    </row>
    <row r="205" spans="1:34" ht="17.25" customHeight="1" x14ac:dyDescent="0.35">
      <c r="A205" s="938"/>
      <c r="B205" s="938"/>
      <c r="C205" s="941"/>
      <c r="D205" s="1047"/>
      <c r="E205" s="941"/>
      <c r="F205" s="938"/>
      <c r="G205" s="976">
        <f t="shared" si="5"/>
        <v>202</v>
      </c>
      <c r="H205" s="1000"/>
      <c r="I205" s="1001" t="s">
        <v>1059</v>
      </c>
      <c r="J205" s="1031" t="s">
        <v>1250</v>
      </c>
      <c r="K205" s="1002">
        <f>IF(I!K205="","",$D$2*I!K205)</f>
        <v>1.2434075627376999</v>
      </c>
      <c r="L205" s="981"/>
      <c r="M205" s="982"/>
      <c r="N205" s="1003"/>
      <c r="O205" s="1004">
        <f>IF(I!O205="","",$D$2*I!O205)</f>
        <v>2.72</v>
      </c>
      <c r="P205" s="1005">
        <f>IF(I!P205="","",$D$2*I!P205)</f>
        <v>1.2369027705344</v>
      </c>
      <c r="Q205" s="1006">
        <f>IF(I!Q205="","",$D$2*I!Q205)</f>
        <v>0</v>
      </c>
      <c r="R205" s="982"/>
      <c r="S205" s="1003"/>
      <c r="T205" s="938"/>
      <c r="U205" s="1008" t="s">
        <v>1059</v>
      </c>
      <c r="V205" s="1018" t="s">
        <v>6061</v>
      </c>
      <c r="W205" s="1019">
        <f>IF(I!W205="","",$D$2*I!W205)</f>
        <v>7.9821506299999997E-2</v>
      </c>
      <c r="X205" s="990">
        <f>IF(I!X205="","",$D$2*I!X205)</f>
        <v>0.17935014502000002</v>
      </c>
      <c r="Y205" s="1010">
        <f>IF(I!Y205="","",$D$2*I!Y205)</f>
        <v>0.2280257463</v>
      </c>
      <c r="Z205" s="938"/>
      <c r="AA205" s="938"/>
      <c r="AB205" s="938"/>
      <c r="AC205" s="938"/>
      <c r="AD205" s="1058"/>
      <c r="AE205" s="938"/>
      <c r="AF205" s="938"/>
      <c r="AG205" s="938"/>
      <c r="AH205" s="938"/>
    </row>
    <row r="206" spans="1:34" ht="17.25" customHeight="1" x14ac:dyDescent="0.35">
      <c r="A206" s="938"/>
      <c r="B206" s="938"/>
      <c r="C206" s="941"/>
      <c r="D206" s="1047"/>
      <c r="E206" s="941"/>
      <c r="F206" s="938"/>
      <c r="G206" s="976">
        <f t="shared" si="5"/>
        <v>203</v>
      </c>
      <c r="H206" s="942"/>
      <c r="I206" s="1026"/>
      <c r="J206" s="1027"/>
      <c r="K206" s="1002" t="str">
        <f>IF(I!K206="","",$D$2*I!K206)</f>
        <v/>
      </c>
      <c r="L206" s="981"/>
      <c r="M206" s="982"/>
      <c r="N206" s="1003"/>
      <c r="O206" s="1004" t="str">
        <f>IF(I!O206="","",$D$2*I!O206)</f>
        <v/>
      </c>
      <c r="P206" s="1005" t="str">
        <f>IF(I!P206="","",$D$2*I!P206)</f>
        <v/>
      </c>
      <c r="Q206" s="1006" t="str">
        <f>IF(I!Q206="","",$D$2*I!Q206)</f>
        <v/>
      </c>
      <c r="R206" s="982"/>
      <c r="S206" s="1003"/>
      <c r="T206" s="938"/>
      <c r="U206" s="1008" t="s">
        <v>1059</v>
      </c>
      <c r="V206" s="1018" t="s">
        <v>6062</v>
      </c>
      <c r="W206" s="1019">
        <f>IF(I!W206="","",$D$2*I!W206)</f>
        <v>7.5231189030000006E-2</v>
      </c>
      <c r="X206" s="990">
        <f>IF(I!X206="","",$D$2*I!X206)</f>
        <v>0.20805416859</v>
      </c>
      <c r="Y206" s="1010">
        <f>IF(I!Y206="","",$D$2*I!Y206)</f>
        <v>0.15865240603000003</v>
      </c>
      <c r="Z206" s="938"/>
      <c r="AA206" s="938"/>
      <c r="AB206" s="938"/>
      <c r="AC206" s="938"/>
      <c r="AD206" s="1058"/>
      <c r="AE206" s="938"/>
      <c r="AF206" s="938"/>
      <c r="AG206" s="938"/>
      <c r="AH206" s="938"/>
    </row>
    <row r="207" spans="1:34" ht="17.25" customHeight="1" x14ac:dyDescent="0.35">
      <c r="A207" s="938"/>
      <c r="B207" s="938"/>
      <c r="C207" s="941"/>
      <c r="D207" s="1047"/>
      <c r="E207" s="941"/>
      <c r="F207" s="938"/>
      <c r="G207" s="976">
        <f t="shared" si="5"/>
        <v>204</v>
      </c>
      <c r="H207" s="942" t="s">
        <v>1251</v>
      </c>
      <c r="I207" s="1026"/>
      <c r="J207" s="1027"/>
      <c r="K207" s="1002" t="str">
        <f>IF(I!K207="","",$D$2*I!K207)</f>
        <v/>
      </c>
      <c r="L207" s="981"/>
      <c r="M207" s="982"/>
      <c r="N207" s="1003"/>
      <c r="O207" s="1004" t="str">
        <f>IF(I!O207="","",$D$2*I!O207)</f>
        <v/>
      </c>
      <c r="P207" s="1005" t="str">
        <f>IF(I!P207="","",$D$2*I!P207)</f>
        <v/>
      </c>
      <c r="Q207" s="1006" t="str">
        <f>IF(I!Q207="","",$D$2*I!Q207)</f>
        <v/>
      </c>
      <c r="R207" s="982"/>
      <c r="S207" s="1003"/>
      <c r="T207" s="938"/>
      <c r="U207" s="1008" t="s">
        <v>1059</v>
      </c>
      <c r="V207" s="1018" t="s">
        <v>6063</v>
      </c>
      <c r="W207" s="1019">
        <f>IF(I!W207="","",$D$2*I!W207)</f>
        <v>9.691906539999999E-2</v>
      </c>
      <c r="X207" s="990">
        <f>IF(I!X207="","",$D$2*I!X207)</f>
        <v>0.25431179173000001</v>
      </c>
      <c r="Y207" s="1010">
        <f>IF(I!Y207="","",$D$2*I!Y207)</f>
        <v>0.19116567639999998</v>
      </c>
      <c r="Z207" s="938"/>
      <c r="AA207" s="938"/>
      <c r="AB207" s="938"/>
      <c r="AC207" s="938"/>
      <c r="AD207" s="1058"/>
      <c r="AE207" s="938"/>
      <c r="AF207" s="938"/>
      <c r="AG207" s="938"/>
      <c r="AH207" s="938"/>
    </row>
    <row r="208" spans="1:34" ht="17.25" customHeight="1" x14ac:dyDescent="0.35">
      <c r="A208" s="938"/>
      <c r="B208" s="938"/>
      <c r="C208" s="941"/>
      <c r="D208" s="1047"/>
      <c r="E208" s="941"/>
      <c r="F208" s="938"/>
      <c r="G208" s="976">
        <f t="shared" si="5"/>
        <v>205</v>
      </c>
      <c r="H208" s="1000"/>
      <c r="I208" s="1001" t="s">
        <v>1059</v>
      </c>
      <c r="J208" s="1031" t="s">
        <v>1252</v>
      </c>
      <c r="K208" s="1002">
        <f>IF(I!K208="","",$D$2*I!K208)</f>
        <v>9.1856633699999996E-2</v>
      </c>
      <c r="L208" s="981"/>
      <c r="M208" s="982"/>
      <c r="N208" s="1003"/>
      <c r="O208" s="1004">
        <f>IF(I!O208="","",$D$2*I!O208)</f>
        <v>0.36</v>
      </c>
      <c r="P208" s="1005">
        <f>IF(I!P208="","",$D$2*I!P208)</f>
        <v>6.5521085399999998E-2</v>
      </c>
      <c r="Q208" s="1006">
        <f>IF(I!Q208="","",$D$2*I!Q208)</f>
        <v>0</v>
      </c>
      <c r="R208" s="982"/>
      <c r="S208" s="1003"/>
      <c r="T208" s="938"/>
      <c r="U208" s="1008" t="s">
        <v>1059</v>
      </c>
      <c r="V208" s="1018" t="s">
        <v>6064</v>
      </c>
      <c r="W208" s="1019">
        <f>IF(I!W208="","",$D$2*I!W208)</f>
        <v>0.17419725020000001</v>
      </c>
      <c r="X208" s="990">
        <f>IF(I!X208="","",$D$2*I!X208)</f>
        <v>0.50299546658000005</v>
      </c>
      <c r="Y208" s="1010">
        <f>IF(I!Y208="","",$D$2*I!Y208)</f>
        <v>1.3258170502</v>
      </c>
      <c r="Z208" s="938"/>
      <c r="AA208" s="938"/>
      <c r="AB208" s="938"/>
      <c r="AC208" s="938"/>
      <c r="AD208" s="1058"/>
      <c r="AE208" s="938"/>
      <c r="AF208" s="938"/>
      <c r="AG208" s="938"/>
      <c r="AH208" s="938"/>
    </row>
    <row r="209" spans="1:34" ht="17.25" customHeight="1" x14ac:dyDescent="0.35">
      <c r="A209" s="938"/>
      <c r="B209" s="938"/>
      <c r="C209" s="941"/>
      <c r="D209" s="1047"/>
      <c r="E209" s="941"/>
      <c r="F209" s="938"/>
      <c r="G209" s="976">
        <f t="shared" si="5"/>
        <v>206</v>
      </c>
      <c r="H209" s="1000"/>
      <c r="I209" s="1001" t="s">
        <v>1059</v>
      </c>
      <c r="J209" s="1031" t="s">
        <v>1253</v>
      </c>
      <c r="K209" s="1002">
        <f>IF(I!K209="","",$D$2*I!K209)</f>
        <v>6.2774593010000004E-2</v>
      </c>
      <c r="L209" s="981"/>
      <c r="M209" s="982"/>
      <c r="N209" s="1003"/>
      <c r="O209" s="1004">
        <f>IF(I!O209="","",$D$2*I!O209)</f>
        <v>0.3</v>
      </c>
      <c r="P209" s="1005">
        <f>IF(I!P209="","",$D$2*I!P209)</f>
        <v>8.4881610794200008E-2</v>
      </c>
      <c r="Q209" s="1006">
        <f>IF(I!Q209="","",$D$2*I!Q209)</f>
        <v>5.1731199999999996E-10</v>
      </c>
      <c r="R209" s="982"/>
      <c r="S209" s="1003"/>
      <c r="T209" s="938"/>
      <c r="U209" s="1008" t="s">
        <v>1059</v>
      </c>
      <c r="V209" s="1018" t="s">
        <v>6065</v>
      </c>
      <c r="W209" s="1019">
        <f>IF(I!W209="","",$D$2*I!W209)</f>
        <v>0.25493163139999997</v>
      </c>
      <c r="X209" s="990">
        <f>IF(I!X209="","",$D$2*I!X209)</f>
        <v>1.74102349911</v>
      </c>
      <c r="Y209" s="1010">
        <f>IF(I!Y209="","",$D$2*I!Y209)</f>
        <v>4.9677859313999999</v>
      </c>
      <c r="Z209" s="938"/>
      <c r="AA209" s="938"/>
      <c r="AB209" s="938"/>
      <c r="AC209" s="938"/>
      <c r="AD209" s="1058"/>
      <c r="AE209" s="938"/>
      <c r="AF209" s="938"/>
      <c r="AG209" s="938"/>
      <c r="AH209" s="938"/>
    </row>
    <row r="210" spans="1:34" ht="17.25" customHeight="1" x14ac:dyDescent="0.35">
      <c r="A210" s="938"/>
      <c r="B210" s="938"/>
      <c r="C210" s="941"/>
      <c r="D210" s="1047"/>
      <c r="E210" s="941"/>
      <c r="F210" s="938"/>
      <c r="G210" s="976">
        <f t="shared" si="5"/>
        <v>207</v>
      </c>
      <c r="H210" s="1000"/>
      <c r="I210" s="1001" t="s">
        <v>1059</v>
      </c>
      <c r="J210" s="1031" t="s">
        <v>1254</v>
      </c>
      <c r="K210" s="1002">
        <f>IF(I!K210="","",$D$2*I!K210)</f>
        <v>2.7587773279999998E-2</v>
      </c>
      <c r="L210" s="981"/>
      <c r="M210" s="982"/>
      <c r="N210" s="1003"/>
      <c r="O210" s="1004">
        <f>IF(I!O210="","",$D$2*I!O210)</f>
        <v>0.09</v>
      </c>
      <c r="P210" s="1005">
        <f>IF(I!P210="","",$D$2*I!P210)</f>
        <v>2.4683606943000001E-2</v>
      </c>
      <c r="Q210" s="1006">
        <f>IF(I!Q210="","",$D$2*I!Q210)</f>
        <v>4.7640343999999999E-9</v>
      </c>
      <c r="R210" s="982"/>
      <c r="S210" s="1003"/>
      <c r="T210" s="938"/>
      <c r="U210" s="1008" t="s">
        <v>1059</v>
      </c>
      <c r="V210" s="1018" t="s">
        <v>6066</v>
      </c>
      <c r="W210" s="1019">
        <f>IF(I!W210="","",$D$2*I!W210)</f>
        <v>0.32783679369999996</v>
      </c>
      <c r="X210" s="990">
        <f>IF(I!X210="","",$D$2*I!X210)</f>
        <v>1.7955429413299999</v>
      </c>
      <c r="Y210" s="1010">
        <f>IF(I!Y210="","",$D$2*I!Y210)</f>
        <v>0.61350976369999999</v>
      </c>
      <c r="Z210" s="938"/>
      <c r="AA210" s="938"/>
      <c r="AB210" s="938"/>
      <c r="AC210" s="938"/>
      <c r="AD210" s="1058"/>
      <c r="AE210" s="938"/>
      <c r="AF210" s="938"/>
      <c r="AG210" s="938"/>
      <c r="AH210" s="938"/>
    </row>
    <row r="211" spans="1:34" ht="17.25" customHeight="1" x14ac:dyDescent="0.35">
      <c r="A211" s="938"/>
      <c r="B211" s="938"/>
      <c r="C211" s="941"/>
      <c r="D211" s="1047"/>
      <c r="E211" s="941"/>
      <c r="F211" s="938"/>
      <c r="G211" s="976">
        <f t="shared" si="5"/>
        <v>208</v>
      </c>
      <c r="H211" s="1000">
        <v>1</v>
      </c>
      <c r="I211" s="1001" t="s">
        <v>1059</v>
      </c>
      <c r="J211" s="1031" t="s">
        <v>1255</v>
      </c>
      <c r="K211" s="1002">
        <f>IF(I!K211="","",$D$2*I!K211)</f>
        <v>7.9123969239999994E-2</v>
      </c>
      <c r="L211" s="981"/>
      <c r="M211" s="982"/>
      <c r="N211" s="1003"/>
      <c r="O211" s="1004">
        <f>IF(I!O211="","",$D$2*I!O211)</f>
        <v>0.32</v>
      </c>
      <c r="P211" s="1005">
        <f>IF(I!P211="","",$D$2*I!P211)</f>
        <v>8.7966853403000006E-2</v>
      </c>
      <c r="Q211" s="1006">
        <f>IF(I!Q211="","",$D$2*I!Q211)</f>
        <v>1.7488615E-9</v>
      </c>
      <c r="R211" s="982"/>
      <c r="S211" s="1003"/>
      <c r="T211" s="938"/>
      <c r="U211" s="1008" t="s">
        <v>1059</v>
      </c>
      <c r="V211" s="1018" t="s">
        <v>6067</v>
      </c>
      <c r="W211" s="1019">
        <f>IF(I!W211="","",$D$2*I!W211)</f>
        <v>0.37490326890000003</v>
      </c>
      <c r="X211" s="990">
        <f>IF(I!X211="","",$D$2*I!X211)</f>
        <v>1.9182775355500001</v>
      </c>
      <c r="Y211" s="1010">
        <f>IF(I!Y211="","",$D$2*I!Y211)</f>
        <v>3.0767717688999996</v>
      </c>
      <c r="Z211" s="938"/>
      <c r="AA211" s="938"/>
      <c r="AB211" s="938"/>
      <c r="AC211" s="938"/>
      <c r="AD211" s="1058"/>
      <c r="AE211" s="938"/>
      <c r="AF211" s="938"/>
      <c r="AG211" s="938"/>
      <c r="AH211" s="938"/>
    </row>
    <row r="212" spans="1:34" ht="17.25" customHeight="1" x14ac:dyDescent="0.35">
      <c r="A212" s="938"/>
      <c r="B212" s="938"/>
      <c r="C212" s="941"/>
      <c r="D212" s="1047"/>
      <c r="E212" s="941"/>
      <c r="F212" s="938"/>
      <c r="G212" s="976">
        <f t="shared" si="5"/>
        <v>209</v>
      </c>
      <c r="H212" s="942" t="s">
        <v>1256</v>
      </c>
      <c r="I212" s="1026"/>
      <c r="J212" s="1027"/>
      <c r="K212" s="1002" t="str">
        <f>IF(I!K212="","",$D$2*I!K212)</f>
        <v/>
      </c>
      <c r="L212" s="981"/>
      <c r="M212" s="982"/>
      <c r="N212" s="1003"/>
      <c r="O212" s="1004" t="str">
        <f>IF(I!O212="","",$D$2*I!O212)</f>
        <v/>
      </c>
      <c r="P212" s="1005" t="str">
        <f>IF(I!P212="","",$D$2*I!P212)</f>
        <v/>
      </c>
      <c r="Q212" s="1006" t="str">
        <f>IF(I!Q212="","",$D$2*I!Q212)</f>
        <v/>
      </c>
      <c r="R212" s="982"/>
      <c r="S212" s="1003"/>
      <c r="T212" s="938"/>
      <c r="U212" s="1008" t="s">
        <v>1059</v>
      </c>
      <c r="V212" s="1018" t="s">
        <v>6068</v>
      </c>
      <c r="W212" s="1019">
        <f>IF(I!W212="","",$D$2*I!W212)</f>
        <v>0.31644844820000001</v>
      </c>
      <c r="X212" s="990">
        <f>IF(I!X212="","",$D$2*I!X212)</f>
        <v>0.44331064859999997</v>
      </c>
      <c r="Y212" s="1010">
        <f>IF(I!Y212="","",$D$2*I!Y212)</f>
        <v>0.61383616819999998</v>
      </c>
      <c r="Z212" s="938"/>
      <c r="AA212" s="938"/>
      <c r="AB212" s="938"/>
      <c r="AC212" s="938"/>
      <c r="AD212" s="1058"/>
      <c r="AE212" s="938"/>
      <c r="AF212" s="938"/>
      <c r="AG212" s="938"/>
      <c r="AH212" s="938"/>
    </row>
    <row r="213" spans="1:34" ht="17.25" customHeight="1" x14ac:dyDescent="0.35">
      <c r="A213" s="938"/>
      <c r="B213" s="938"/>
      <c r="C213" s="941"/>
      <c r="D213" s="1047"/>
      <c r="E213" s="941"/>
      <c r="F213" s="938"/>
      <c r="G213" s="976">
        <f t="shared" si="5"/>
        <v>210</v>
      </c>
      <c r="H213" s="1000"/>
      <c r="I213" s="1001" t="s">
        <v>1059</v>
      </c>
      <c r="J213" s="1031" t="s">
        <v>1257</v>
      </c>
      <c r="K213" s="1002">
        <f>IF(I!K213="","",$D$2*I!K213)</f>
        <v>4.7568249379999997E-2</v>
      </c>
      <c r="L213" s="981"/>
      <c r="M213" s="982"/>
      <c r="N213" s="1003"/>
      <c r="O213" s="1004">
        <f>IF(I!O213="","",$D$2*I!O213)</f>
        <v>0.22</v>
      </c>
      <c r="P213" s="1005">
        <f>IF(I!P213="","",$D$2*I!P213)</f>
        <v>3.4905884392440002E-2</v>
      </c>
      <c r="Q213" s="1006">
        <f>IF(I!Q213="","",$D$2*I!Q213)</f>
        <v>7.3052946999999997E-11</v>
      </c>
      <c r="R213" s="982"/>
      <c r="S213" s="1003"/>
      <c r="T213" s="938"/>
      <c r="U213" s="1008" t="s">
        <v>1059</v>
      </c>
      <c r="V213" s="1018" t="s">
        <v>6069</v>
      </c>
      <c r="W213" s="1019">
        <f>IF(I!W213="","",$D$2*I!W213)</f>
        <v>0.8780062112</v>
      </c>
      <c r="X213" s="990">
        <f>IF(I!X213="","",$D$2*I!X213)</f>
        <v>0.70230262061000004</v>
      </c>
      <c r="Y213" s="1010">
        <f>IF(I!Y213="","",$D$2*I!Y213)</f>
        <v>1.3218806912000001</v>
      </c>
      <c r="Z213" s="938"/>
      <c r="AA213" s="938"/>
      <c r="AB213" s="938"/>
      <c r="AC213" s="938"/>
      <c r="AD213" s="1058"/>
      <c r="AE213" s="938"/>
      <c r="AF213" s="938"/>
      <c r="AG213" s="938"/>
      <c r="AH213" s="938"/>
    </row>
    <row r="214" spans="1:34" ht="17.25" customHeight="1" x14ac:dyDescent="0.35">
      <c r="A214" s="938"/>
      <c r="B214" s="938"/>
      <c r="C214" s="941"/>
      <c r="D214" s="1047"/>
      <c r="E214" s="941"/>
      <c r="F214" s="938"/>
      <c r="G214" s="976">
        <f t="shared" si="5"/>
        <v>211</v>
      </c>
      <c r="H214" s="1000">
        <v>1</v>
      </c>
      <c r="I214" s="1001" t="s">
        <v>1059</v>
      </c>
      <c r="J214" s="1031" t="s">
        <v>1258</v>
      </c>
      <c r="K214" s="1002">
        <f>IF(I!K214="","",$D$2*I!K214)</f>
        <v>4.7568249379999997E-2</v>
      </c>
      <c r="L214" s="981"/>
      <c r="M214" s="982"/>
      <c r="N214" s="1003"/>
      <c r="O214" s="1004">
        <f>IF(I!O214="","",$D$2*I!O214)</f>
        <v>0.22</v>
      </c>
      <c r="P214" s="1005">
        <f>IF(I!P214="","",$D$2*I!P214)</f>
        <v>3.4905884392440002E-2</v>
      </c>
      <c r="Q214" s="1006">
        <f>IF(I!Q214="","",$D$2*I!Q214)</f>
        <v>7.3052946999999997E-11</v>
      </c>
      <c r="R214" s="982"/>
      <c r="S214" s="1003"/>
      <c r="T214" s="938"/>
      <c r="U214" s="1008" t="s">
        <v>1059</v>
      </c>
      <c r="V214" s="1018" t="s">
        <v>6070</v>
      </c>
      <c r="W214" s="1019">
        <f>IF(I!W214="","",$D$2*I!W214)</f>
        <v>4.4887952493528005E-2</v>
      </c>
      <c r="X214" s="990">
        <f>IF(I!X214="","",$D$2*I!X214)</f>
        <v>1.070582413E-2</v>
      </c>
      <c r="Y214" s="1010">
        <f>IF(I!Y214="","",$D$2*I!Y214)</f>
        <v>7.9515138493528009E-2</v>
      </c>
      <c r="Z214" s="938"/>
      <c r="AA214" s="938"/>
      <c r="AB214" s="938"/>
      <c r="AC214" s="938"/>
      <c r="AD214" s="1058"/>
      <c r="AE214" s="938"/>
      <c r="AF214" s="938"/>
      <c r="AG214" s="938"/>
      <c r="AH214" s="938"/>
    </row>
    <row r="215" spans="1:34" ht="17.25" customHeight="1" x14ac:dyDescent="0.35">
      <c r="A215" s="938"/>
      <c r="B215" s="938"/>
      <c r="C215" s="941"/>
      <c r="D215" s="1047"/>
      <c r="E215" s="941"/>
      <c r="F215" s="938"/>
      <c r="G215" s="976">
        <f t="shared" si="5"/>
        <v>212</v>
      </c>
      <c r="H215" s="1000"/>
      <c r="I215" s="1001" t="s">
        <v>1059</v>
      </c>
      <c r="J215" s="1031" t="s">
        <v>1259</v>
      </c>
      <c r="K215" s="1002">
        <f>IF(I!K215="","",$D$2*I!K215)</f>
        <v>0.31568264983</v>
      </c>
      <c r="L215" s="981"/>
      <c r="M215" s="982"/>
      <c r="N215" s="1003"/>
      <c r="O215" s="1004">
        <f>IF(I!O215="","",$D$2*I!O215)</f>
        <v>1.1399999999999999</v>
      </c>
      <c r="P215" s="1005">
        <f>IF(I!P215="","",$D$2*I!P215)</f>
        <v>0.87391112884618005</v>
      </c>
      <c r="Q215" s="1006">
        <f>IF(I!Q215="","",$D$2*I!Q215)</f>
        <v>2.3803029E-10</v>
      </c>
      <c r="R215" s="982"/>
      <c r="S215" s="1003"/>
      <c r="T215" s="938"/>
      <c r="U215" s="1008" t="s">
        <v>1059</v>
      </c>
      <c r="V215" s="1018" t="s">
        <v>6070</v>
      </c>
      <c r="W215" s="1019">
        <f>IF(I!W215="","",$D$2*I!W215)</f>
        <v>4.4887952493528005E-2</v>
      </c>
      <c r="X215" s="990">
        <f>IF(I!X215="","",$D$2*I!X215)</f>
        <v>1.070582413E-2</v>
      </c>
      <c r="Y215" s="1010">
        <f>IF(I!Y215="","",$D$2*I!Y215)</f>
        <v>7.9515138493528009E-2</v>
      </c>
      <c r="Z215" s="938"/>
      <c r="AA215" s="938"/>
      <c r="AB215" s="938"/>
      <c r="AC215" s="938"/>
      <c r="AD215" s="1058"/>
      <c r="AE215" s="938"/>
      <c r="AF215" s="938"/>
      <c r="AG215" s="938"/>
      <c r="AH215" s="938"/>
    </row>
    <row r="216" spans="1:34" ht="17.25" customHeight="1" x14ac:dyDescent="0.35">
      <c r="A216" s="938"/>
      <c r="B216" s="938"/>
      <c r="C216" s="941"/>
      <c r="D216" s="1047"/>
      <c r="E216" s="941"/>
      <c r="F216" s="938"/>
      <c r="G216" s="976">
        <f t="shared" si="5"/>
        <v>213</v>
      </c>
      <c r="H216" s="1000"/>
      <c r="I216" s="1001" t="s">
        <v>1059</v>
      </c>
      <c r="J216" s="1031" t="s">
        <v>1260</v>
      </c>
      <c r="K216" s="1002">
        <f>IF(I!K216="","",$D$2*I!K216)</f>
        <v>0.31954786263000001</v>
      </c>
      <c r="L216" s="981"/>
      <c r="M216" s="982"/>
      <c r="N216" s="1003"/>
      <c r="O216" s="1004">
        <f>IF(I!O216="","",$D$2*I!O216)</f>
        <v>1.17</v>
      </c>
      <c r="P216" s="1005">
        <f>IF(I!P216="","",$D$2*I!P216)</f>
        <v>0.88576006162150001</v>
      </c>
      <c r="Q216" s="1006">
        <f>IF(I!Q216="","",$D$2*I!Q216)</f>
        <v>3.1108323999999998E-10</v>
      </c>
      <c r="R216" s="982"/>
      <c r="S216" s="1003"/>
      <c r="T216" s="938"/>
      <c r="U216" s="1008" t="s">
        <v>1059</v>
      </c>
      <c r="V216" s="1018" t="s">
        <v>6070</v>
      </c>
      <c r="W216" s="1019">
        <f>IF(I!W216="","",$D$2*I!W216)</f>
        <v>4.4887952493528005E-2</v>
      </c>
      <c r="X216" s="990">
        <f>IF(I!X216="","",$D$2*I!X216)</f>
        <v>1.070582413E-2</v>
      </c>
      <c r="Y216" s="1010">
        <f>IF(I!Y216="","",$D$2*I!Y216)</f>
        <v>7.9515138493528009E-2</v>
      </c>
      <c r="Z216" s="938"/>
      <c r="AA216" s="938"/>
      <c r="AB216" s="938"/>
      <c r="AC216" s="938"/>
      <c r="AD216" s="1058"/>
      <c r="AE216" s="938"/>
      <c r="AF216" s="938"/>
      <c r="AG216" s="938"/>
      <c r="AH216" s="938"/>
    </row>
    <row r="217" spans="1:34" ht="17.25" customHeight="1" x14ac:dyDescent="0.35">
      <c r="A217" s="938"/>
      <c r="B217" s="938"/>
      <c r="C217" s="941"/>
      <c r="D217" s="1047"/>
      <c r="E217" s="941"/>
      <c r="F217" s="938"/>
      <c r="G217" s="976">
        <f t="shared" si="5"/>
        <v>214</v>
      </c>
      <c r="H217" s="942"/>
      <c r="I217" s="1001" t="s">
        <v>1059</v>
      </c>
      <c r="J217" s="1031" t="s">
        <v>1261</v>
      </c>
      <c r="K217" s="1002">
        <f>IF(I!K217="","",$D$2*I!K217)</f>
        <v>4.7568249379999997E-2</v>
      </c>
      <c r="L217" s="981"/>
      <c r="M217" s="982"/>
      <c r="N217" s="1003"/>
      <c r="O217" s="1004">
        <f>IF(I!O217="","",$D$2*I!O217)</f>
        <v>0.22</v>
      </c>
      <c r="P217" s="1005">
        <f>IF(I!P217="","",$D$2*I!P217)</f>
        <v>3.4905884392440002E-2</v>
      </c>
      <c r="Q217" s="1006">
        <f>IF(I!Q217="","",$D$2*I!Q217)</f>
        <v>7.3052946999999997E-11</v>
      </c>
      <c r="R217" s="982"/>
      <c r="S217" s="1003"/>
      <c r="T217" s="938"/>
      <c r="U217" s="1008" t="s">
        <v>1059</v>
      </c>
      <c r="V217" s="1018" t="s">
        <v>6071</v>
      </c>
      <c r="W217" s="1019">
        <f>IF(I!W217="","",$D$2*I!W217)</f>
        <v>6.9842890778000002E-2</v>
      </c>
      <c r="X217" s="990">
        <f>IF(I!X217="","",$D$2*I!X217)</f>
        <v>3.8149501080000002E-2</v>
      </c>
      <c r="Y217" s="1010">
        <f>IF(I!Y217="","",$D$2*I!Y217)</f>
        <v>0.15347366377800001</v>
      </c>
      <c r="Z217" s="938"/>
      <c r="AA217" s="938"/>
      <c r="AB217" s="938"/>
      <c r="AC217" s="938"/>
      <c r="AD217" s="1058"/>
      <c r="AE217" s="938"/>
      <c r="AF217" s="938"/>
      <c r="AG217" s="938"/>
      <c r="AH217" s="938"/>
    </row>
    <row r="218" spans="1:34" ht="17.25" customHeight="1" x14ac:dyDescent="0.35">
      <c r="A218" s="938"/>
      <c r="B218" s="938"/>
      <c r="C218" s="941"/>
      <c r="D218" s="1047"/>
      <c r="E218" s="941"/>
      <c r="F218" s="938"/>
      <c r="G218" s="976">
        <f t="shared" si="5"/>
        <v>215</v>
      </c>
      <c r="H218" s="1000"/>
      <c r="I218" s="1001" t="s">
        <v>1059</v>
      </c>
      <c r="J218" s="1031" t="s">
        <v>1262</v>
      </c>
      <c r="K218" s="1002">
        <f>IF(I!K218="","",$D$2*I!K218)</f>
        <v>0.1098836614</v>
      </c>
      <c r="L218" s="981"/>
      <c r="M218" s="982"/>
      <c r="N218" s="1003"/>
      <c r="O218" s="1004">
        <f>IF(I!O218="","",$D$2*I!O218)</f>
        <v>0.31</v>
      </c>
      <c r="P218" s="1005">
        <f>IF(I!P218="","",$D$2*I!P218)</f>
        <v>3.4910104423190001E-2</v>
      </c>
      <c r="Q218" s="1006">
        <f>IF(I!Q218="","",$D$2*I!Q218)</f>
        <v>7.3052946999999997E-11</v>
      </c>
      <c r="R218" s="982"/>
      <c r="S218" s="1003"/>
      <c r="T218" s="938"/>
      <c r="U218" s="1008" t="s">
        <v>1059</v>
      </c>
      <c r="V218" s="1018" t="s">
        <v>6072</v>
      </c>
      <c r="W218" s="1019">
        <f>IF(I!W218="","",$D$2*I!W218)</f>
        <v>0.21009114340000001</v>
      </c>
      <c r="X218" s="990">
        <f>IF(I!X218="","",$D$2*I!X218)</f>
        <v>7.5439188909999996E-2</v>
      </c>
      <c r="Y218" s="1010">
        <f>IF(I!Y218="","",$D$2*I!Y218)</f>
        <v>0.45461500340000005</v>
      </c>
      <c r="Z218" s="938"/>
      <c r="AA218" s="938"/>
      <c r="AB218" s="938"/>
      <c r="AC218" s="938"/>
      <c r="AD218" s="1058"/>
      <c r="AE218" s="938"/>
      <c r="AF218" s="938"/>
      <c r="AG218" s="938"/>
      <c r="AH218" s="938"/>
    </row>
    <row r="219" spans="1:34" ht="17.25" customHeight="1" x14ac:dyDescent="0.35">
      <c r="A219" s="938"/>
      <c r="B219" s="938"/>
      <c r="C219" s="941"/>
      <c r="D219" s="1047"/>
      <c r="E219" s="941"/>
      <c r="F219" s="938"/>
      <c r="G219" s="976">
        <f t="shared" si="5"/>
        <v>216</v>
      </c>
      <c r="H219" s="942"/>
      <c r="I219" s="1001" t="s">
        <v>1059</v>
      </c>
      <c r="J219" s="1031" t="s">
        <v>1263</v>
      </c>
      <c r="K219" s="1002">
        <f>IF(I!K219="","",$D$2*I!K219)</f>
        <v>5.0214329510000003E-2</v>
      </c>
      <c r="L219" s="981"/>
      <c r="M219" s="982"/>
      <c r="N219" s="1003"/>
      <c r="O219" s="1004">
        <f>IF(I!O219="","",$D$2*I!O219)</f>
        <v>0.23</v>
      </c>
      <c r="P219" s="1005">
        <f>IF(I!P219="","",$D$2*I!P219)</f>
        <v>3.8740198592440003E-2</v>
      </c>
      <c r="Q219" s="1006">
        <f>IF(I!Q219="","",$D$2*I!Q219)</f>
        <v>7.3052946999999997E-11</v>
      </c>
      <c r="R219" s="982"/>
      <c r="S219" s="1003"/>
      <c r="T219" s="938"/>
      <c r="U219" s="1008" t="s">
        <v>1059</v>
      </c>
      <c r="V219" s="1018" t="s">
        <v>6073</v>
      </c>
      <c r="W219" s="1019">
        <f>IF(I!W219="","",$D$2*I!W219)</f>
        <v>0.221240202</v>
      </c>
      <c r="X219" s="990">
        <f>IF(I!X219="","",$D$2*I!X219)</f>
        <v>0.13441479633</v>
      </c>
      <c r="Y219" s="1010">
        <f>IF(I!Y219="","",$D$2*I!Y219)</f>
        <v>1.0335622819999999</v>
      </c>
      <c r="Z219" s="938"/>
      <c r="AA219" s="938"/>
      <c r="AB219" s="938"/>
      <c r="AC219" s="938"/>
      <c r="AD219" s="1058"/>
      <c r="AE219" s="938"/>
      <c r="AF219" s="938"/>
      <c r="AG219" s="938"/>
      <c r="AH219" s="938"/>
    </row>
    <row r="220" spans="1:34" ht="17.25" customHeight="1" x14ac:dyDescent="0.35">
      <c r="A220" s="938"/>
      <c r="B220" s="938"/>
      <c r="C220" s="941"/>
      <c r="D220" s="1047"/>
      <c r="E220" s="941"/>
      <c r="F220" s="938"/>
      <c r="G220" s="976">
        <f t="shared" si="5"/>
        <v>217</v>
      </c>
      <c r="H220" s="1000"/>
      <c r="I220" s="1001" t="s">
        <v>1059</v>
      </c>
      <c r="J220" s="1031" t="s">
        <v>1264</v>
      </c>
      <c r="K220" s="1002">
        <f>IF(I!K220="","",$D$2*I!K220)</f>
        <v>0.26042521497999999</v>
      </c>
      <c r="L220" s="981"/>
      <c r="M220" s="982"/>
      <c r="N220" s="1003"/>
      <c r="O220" s="1004">
        <f>IF(I!O220="","",$D$2*I!O220)</f>
        <v>0.94</v>
      </c>
      <c r="P220" s="1005">
        <f>IF(I!P220="","",$D$2*I!P220)</f>
        <v>0.68792758458407999</v>
      </c>
      <c r="Q220" s="1006">
        <f>IF(I!Q220="","",$D$2*I!Q220)</f>
        <v>3.5925985000000002E-6</v>
      </c>
      <c r="R220" s="982"/>
      <c r="S220" s="1003"/>
      <c r="T220" s="938"/>
      <c r="U220" s="1008" t="s">
        <v>1059</v>
      </c>
      <c r="V220" s="1018" t="s">
        <v>6074</v>
      </c>
      <c r="W220" s="1019">
        <f>IF(I!W220="","",$D$2*I!W220)</f>
        <v>0.1258732746</v>
      </c>
      <c r="X220" s="990">
        <f>IF(I!X220="","",$D$2*I!X220)</f>
        <v>8.8272947660000007E-3</v>
      </c>
      <c r="Y220" s="1010">
        <f>IF(I!Y220="","",$D$2*I!Y220)</f>
        <v>0.2753351946</v>
      </c>
      <c r="Z220" s="938"/>
      <c r="AA220" s="938"/>
      <c r="AB220" s="938"/>
      <c r="AC220" s="938"/>
      <c r="AD220" s="1058"/>
      <c r="AE220" s="938"/>
      <c r="AF220" s="938"/>
      <c r="AG220" s="938"/>
      <c r="AH220" s="938"/>
    </row>
    <row r="221" spans="1:34" ht="17.25" customHeight="1" x14ac:dyDescent="0.35">
      <c r="A221" s="938"/>
      <c r="B221" s="938"/>
      <c r="C221" s="941"/>
      <c r="D221" s="1047"/>
      <c r="E221" s="941"/>
      <c r="F221" s="938"/>
      <c r="G221" s="976">
        <f t="shared" si="5"/>
        <v>218</v>
      </c>
      <c r="H221" s="942" t="s">
        <v>1265</v>
      </c>
      <c r="I221" s="1026"/>
      <c r="J221" s="1027"/>
      <c r="K221" s="1002" t="str">
        <f>IF(I!K221="","",$D$2*I!K221)</f>
        <v/>
      </c>
      <c r="L221" s="981"/>
      <c r="M221" s="982"/>
      <c r="N221" s="1003"/>
      <c r="O221" s="1004" t="str">
        <f>IF(I!O221="","",$D$2*I!O221)</f>
        <v/>
      </c>
      <c r="P221" s="1005" t="str">
        <f>IF(I!P221="","",$D$2*I!P221)</f>
        <v/>
      </c>
      <c r="Q221" s="1006" t="str">
        <f>IF(I!Q221="","",$D$2*I!Q221)</f>
        <v/>
      </c>
      <c r="R221" s="982"/>
      <c r="S221" s="1003"/>
      <c r="T221" s="938"/>
      <c r="U221" s="1008" t="s">
        <v>1059</v>
      </c>
      <c r="V221" s="1018" t="s">
        <v>6075</v>
      </c>
      <c r="W221" s="1019">
        <f>IF(I!W221="","",$D$2*I!W221)</f>
        <v>0.1216623288</v>
      </c>
      <c r="X221" s="990">
        <f>IF(I!X221="","",$D$2*I!X221)</f>
        <v>8.2507902120000001E-3</v>
      </c>
      <c r="Y221" s="1010">
        <f>IF(I!Y221="","",$D$2*I!Y221)</f>
        <v>0.2731767188</v>
      </c>
      <c r="Z221" s="938"/>
      <c r="AA221" s="938"/>
      <c r="AB221" s="938"/>
      <c r="AC221" s="938"/>
      <c r="AD221" s="1058"/>
      <c r="AE221" s="938"/>
      <c r="AF221" s="938"/>
      <c r="AG221" s="938"/>
      <c r="AH221" s="938"/>
    </row>
    <row r="222" spans="1:34" ht="17.25" customHeight="1" x14ac:dyDescent="0.35">
      <c r="A222" s="938"/>
      <c r="B222" s="938"/>
      <c r="C222" s="941"/>
      <c r="D222" s="1047"/>
      <c r="E222" s="941"/>
      <c r="F222" s="938"/>
      <c r="G222" s="976">
        <f t="shared" si="5"/>
        <v>219</v>
      </c>
      <c r="H222" s="1000"/>
      <c r="I222" s="1001" t="s">
        <v>1059</v>
      </c>
      <c r="J222" s="1031" t="s">
        <v>1266</v>
      </c>
      <c r="K222" s="1002">
        <f>IF(I!K222="","",$D$2*I!K222)</f>
        <v>3.6403624970000006E-2</v>
      </c>
      <c r="L222" s="981"/>
      <c r="M222" s="982"/>
      <c r="N222" s="1003"/>
      <c r="O222" s="1004">
        <f>IF(I!O222="","",$D$2*I!O222)</f>
        <v>0.22</v>
      </c>
      <c r="P222" s="1005">
        <f>IF(I!P222="","",$D$2*I!P222)</f>
        <v>1.1209105875E-2</v>
      </c>
      <c r="Q222" s="1006">
        <f>IF(I!Q222="","",$D$2*I!Q222)</f>
        <v>1.2427916E-8</v>
      </c>
      <c r="R222" s="982"/>
      <c r="S222" s="1003"/>
      <c r="T222" s="938"/>
      <c r="U222" s="1008" t="s">
        <v>1059</v>
      </c>
      <c r="V222" s="1018" t="s">
        <v>6076</v>
      </c>
      <c r="W222" s="1019">
        <f>IF(I!W222="","",$D$2*I!W222)</f>
        <v>0.12149507632999999</v>
      </c>
      <c r="X222" s="990">
        <f>IF(I!X222="","",$D$2*I!X222)</f>
        <v>4.3356726969999999E-3</v>
      </c>
      <c r="Y222" s="1010">
        <f>IF(I!Y222="","",$D$2*I!Y222)</f>
        <v>0.27443004633000001</v>
      </c>
      <c r="Z222" s="938"/>
      <c r="AA222" s="938"/>
      <c r="AB222" s="938"/>
      <c r="AC222" s="938"/>
      <c r="AD222" s="1058"/>
      <c r="AE222" s="938"/>
      <c r="AF222" s="938"/>
      <c r="AG222" s="938"/>
      <c r="AH222" s="938"/>
    </row>
    <row r="223" spans="1:34" ht="17.25" customHeight="1" x14ac:dyDescent="0.35">
      <c r="A223" s="938"/>
      <c r="B223" s="938"/>
      <c r="C223" s="941"/>
      <c r="D223" s="1047"/>
      <c r="E223" s="941"/>
      <c r="F223" s="938"/>
      <c r="G223" s="976">
        <f t="shared" si="5"/>
        <v>220</v>
      </c>
      <c r="H223" s="1000"/>
      <c r="I223" s="1001" t="s">
        <v>1059</v>
      </c>
      <c r="J223" s="1031" t="s">
        <v>1267</v>
      </c>
      <c r="K223" s="1002">
        <f>IF(I!K223="","",$D$2*I!K223)</f>
        <v>0.1415737222</v>
      </c>
      <c r="L223" s="981"/>
      <c r="M223" s="982"/>
      <c r="N223" s="1003"/>
      <c r="O223" s="1004">
        <f>IF(I!O223="","",$D$2*I!O223)</f>
        <v>0.59</v>
      </c>
      <c r="P223" s="1005">
        <f>IF(I!P223="","",$D$2*I!P223)</f>
        <v>0.22127956652</v>
      </c>
      <c r="Q223" s="1006">
        <f>IF(I!Q223="","",$D$2*I!Q223)</f>
        <v>3.0994206999999998E-10</v>
      </c>
      <c r="R223" s="982"/>
      <c r="S223" s="1003"/>
      <c r="T223" s="938"/>
      <c r="U223" s="1008" t="s">
        <v>1059</v>
      </c>
      <c r="V223" s="1018" t="s">
        <v>6077</v>
      </c>
      <c r="W223" s="1019">
        <f>IF(I!W223="","",$D$2*I!W223)</f>
        <v>0.11849821537999999</v>
      </c>
      <c r="X223" s="990">
        <f>IF(I!X223="","",$D$2*I!X223)</f>
        <v>4.3087905320000003E-3</v>
      </c>
      <c r="Y223" s="1010">
        <f>IF(I!Y223="","",$D$2*I!Y223)</f>
        <v>0.25819470538</v>
      </c>
      <c r="Z223" s="938"/>
      <c r="AA223" s="938"/>
      <c r="AB223" s="938"/>
      <c r="AC223" s="938"/>
      <c r="AD223" s="1058"/>
      <c r="AE223" s="938"/>
      <c r="AF223" s="938"/>
      <c r="AG223" s="938"/>
      <c r="AH223" s="938"/>
    </row>
    <row r="224" spans="1:34" ht="17.25" customHeight="1" x14ac:dyDescent="0.35">
      <c r="A224" s="938"/>
      <c r="B224" s="938"/>
      <c r="C224" s="941"/>
      <c r="D224" s="1047"/>
      <c r="E224" s="941"/>
      <c r="F224" s="938"/>
      <c r="G224" s="976">
        <f t="shared" si="5"/>
        <v>221</v>
      </c>
      <c r="H224" s="1000"/>
      <c r="I224" s="1001" t="s">
        <v>1059</v>
      </c>
      <c r="J224" s="1031" t="s">
        <v>1268</v>
      </c>
      <c r="K224" s="1002">
        <f>IF(I!K224="","",$D$2*I!K224)</f>
        <v>0.31939045669999999</v>
      </c>
      <c r="L224" s="981"/>
      <c r="M224" s="982"/>
      <c r="N224" s="1003"/>
      <c r="O224" s="1004">
        <f>IF(I!O224="","",$D$2*I!O224)</f>
        <v>1.21</v>
      </c>
      <c r="P224" s="1005">
        <f>IF(I!P224="","",$D$2*I!P224)</f>
        <v>0.72048718167800008</v>
      </c>
      <c r="Q224" s="1006">
        <f>IF(I!Q224="","",$D$2*I!Q224)</f>
        <v>3.5108439000000001E-10</v>
      </c>
      <c r="R224" s="982"/>
      <c r="S224" s="1003"/>
      <c r="T224" s="938"/>
      <c r="U224" s="1008" t="s">
        <v>1059</v>
      </c>
      <c r="V224" s="1018" t="s">
        <v>6078</v>
      </c>
      <c r="W224" s="1019">
        <f>IF(I!W224="","",$D$2*I!W224)</f>
        <v>0.1414619436</v>
      </c>
      <c r="X224" s="990">
        <f>IF(I!X224="","",$D$2*I!X224)</f>
        <v>9.3862890059999999E-3</v>
      </c>
      <c r="Y224" s="1010">
        <f>IF(I!Y224="","",$D$2*I!Y224)</f>
        <v>0.30740953360000001</v>
      </c>
      <c r="Z224" s="938"/>
      <c r="AA224" s="938"/>
      <c r="AB224" s="938"/>
      <c r="AC224" s="938"/>
      <c r="AD224" s="1058"/>
      <c r="AE224" s="938"/>
      <c r="AF224" s="938"/>
      <c r="AG224" s="938"/>
      <c r="AH224" s="938"/>
    </row>
    <row r="225" spans="1:34" ht="17.25" customHeight="1" x14ac:dyDescent="0.35">
      <c r="A225" s="938"/>
      <c r="B225" s="938"/>
      <c r="C225" s="941"/>
      <c r="D225" s="1047"/>
      <c r="E225" s="941"/>
      <c r="F225" s="938"/>
      <c r="G225" s="976">
        <f t="shared" si="5"/>
        <v>222</v>
      </c>
      <c r="H225" s="1000"/>
      <c r="I225" s="1001" t="s">
        <v>1059</v>
      </c>
      <c r="J225" s="1031" t="s">
        <v>1269</v>
      </c>
      <c r="K225" s="1002">
        <f>IF(I!K225="","",$D$2*I!K225)</f>
        <v>0.1543095427</v>
      </c>
      <c r="L225" s="981"/>
      <c r="M225" s="982"/>
      <c r="N225" s="1003"/>
      <c r="O225" s="1004">
        <f>IF(I!O225="","",$D$2*I!O225)</f>
        <v>0.68</v>
      </c>
      <c r="P225" s="1005">
        <f>IF(I!P225="","",$D$2*I!P225)</f>
        <v>0.25449446272260001</v>
      </c>
      <c r="Q225" s="1006">
        <f>IF(I!Q225="","",$D$2*I!Q225)</f>
        <v>6.3317850000000002E-10</v>
      </c>
      <c r="R225" s="982"/>
      <c r="S225" s="1003"/>
      <c r="T225" s="938"/>
      <c r="U225" s="1008" t="s">
        <v>1059</v>
      </c>
      <c r="V225" s="1018" t="s">
        <v>6079</v>
      </c>
      <c r="W225" s="1019">
        <f>IF(I!W225="","",$D$2*I!W225)</f>
        <v>0.12491243374000001</v>
      </c>
      <c r="X225" s="990">
        <f>IF(I!X225="","",$D$2*I!X225)</f>
        <v>7.5794760959999995E-3</v>
      </c>
      <c r="Y225" s="1010">
        <f>IF(I!Y225="","",$D$2*I!Y225)</f>
        <v>0.27565692374</v>
      </c>
      <c r="Z225" s="938"/>
      <c r="AA225" s="938"/>
      <c r="AB225" s="938"/>
      <c r="AC225" s="938"/>
      <c r="AD225" s="1058"/>
      <c r="AE225" s="938"/>
      <c r="AF225" s="938"/>
      <c r="AG225" s="938"/>
      <c r="AH225" s="938"/>
    </row>
    <row r="226" spans="1:34" ht="17.25" customHeight="1" x14ac:dyDescent="0.35">
      <c r="A226" s="938"/>
      <c r="B226" s="938"/>
      <c r="C226" s="941"/>
      <c r="D226" s="1047"/>
      <c r="E226" s="941"/>
      <c r="F226" s="938"/>
      <c r="G226" s="976">
        <f t="shared" si="5"/>
        <v>223</v>
      </c>
      <c r="H226" s="1000"/>
      <c r="I226" s="1001" t="s">
        <v>1059</v>
      </c>
      <c r="J226" s="1031" t="s">
        <v>1270</v>
      </c>
      <c r="K226" s="1002">
        <f>IF(I!K226="","",$D$2*I!K226)</f>
        <v>0.40218616280000008</v>
      </c>
      <c r="L226" s="981"/>
      <c r="M226" s="982"/>
      <c r="N226" s="1003"/>
      <c r="O226" s="1004">
        <f>IF(I!O226="","",$D$2*I!O226)</f>
        <v>1.46</v>
      </c>
      <c r="P226" s="1005">
        <f>IF(I!P226="","",$D$2*I!P226)</f>
        <v>1.5482270230956003</v>
      </c>
      <c r="Q226" s="1006">
        <f>IF(I!Q226="","",$D$2*I!Q226)</f>
        <v>6.5894911000000005E-10</v>
      </c>
      <c r="R226" s="982"/>
      <c r="S226" s="1003"/>
      <c r="T226" s="938"/>
      <c r="U226" s="1008" t="s">
        <v>1059</v>
      </c>
      <c r="V226" s="1018" t="s">
        <v>6080</v>
      </c>
      <c r="W226" s="1019">
        <f>IF(I!W226="","",$D$2*I!W226)</f>
        <v>8.6083546479999995E-2</v>
      </c>
      <c r="X226" s="990">
        <f>IF(I!X226="","",$D$2*I!X226)</f>
        <v>6.0369037150000008E-3</v>
      </c>
      <c r="Y226" s="1010">
        <f>IF(I!Y226="","",$D$2*I!Y226)</f>
        <v>0.18829914648000001</v>
      </c>
      <c r="Z226" s="938"/>
      <c r="AA226" s="938"/>
      <c r="AB226" s="938"/>
      <c r="AC226" s="938"/>
      <c r="AD226" s="1058"/>
      <c r="AE226" s="938"/>
      <c r="AF226" s="938"/>
      <c r="AG226" s="938"/>
      <c r="AH226" s="938"/>
    </row>
    <row r="227" spans="1:34" ht="17.25" customHeight="1" x14ac:dyDescent="0.35">
      <c r="A227" s="938"/>
      <c r="B227" s="938"/>
      <c r="C227" s="941"/>
      <c r="D227" s="1047"/>
      <c r="E227" s="941"/>
      <c r="F227" s="938"/>
      <c r="G227" s="976">
        <f t="shared" si="5"/>
        <v>224</v>
      </c>
      <c r="H227" s="1000"/>
      <c r="I227" s="1001" t="s">
        <v>1059</v>
      </c>
      <c r="J227" s="1031" t="s">
        <v>1271</v>
      </c>
      <c r="K227" s="1002">
        <f>IF(I!K227="","",$D$2*I!K227)</f>
        <v>0.29733751149999998</v>
      </c>
      <c r="L227" s="981"/>
      <c r="M227" s="982"/>
      <c r="N227" s="1003"/>
      <c r="O227" s="1004">
        <f>IF(I!O227="","",$D$2*I!O227)</f>
        <v>1.1299999999999999</v>
      </c>
      <c r="P227" s="1005">
        <f>IF(I!P227="","",$D$2*I!P227)</f>
        <v>0.66211399468910015</v>
      </c>
      <c r="Q227" s="1006">
        <f>IF(I!Q227="","",$D$2*I!Q227)</f>
        <v>3.2748390999999999E-10</v>
      </c>
      <c r="R227" s="982"/>
      <c r="S227" s="1003"/>
      <c r="T227" s="938"/>
      <c r="U227" s="1008" t="s">
        <v>1059</v>
      </c>
      <c r="V227" s="1018" t="s">
        <v>6081</v>
      </c>
      <c r="W227" s="1019">
        <f>IF(I!W227="","",$D$2*I!W227)</f>
        <v>8.3203719000000009E-2</v>
      </c>
      <c r="X227" s="990">
        <f>IF(I!X227="","",$D$2*I!X227)</f>
        <v>5.6426377140000004E-3</v>
      </c>
      <c r="Y227" s="1010">
        <f>IF(I!Y227="","",$D$2*I!Y227)</f>
        <v>0.186822979</v>
      </c>
      <c r="Z227" s="938"/>
      <c r="AA227" s="938"/>
      <c r="AB227" s="938"/>
      <c r="AC227" s="938"/>
      <c r="AD227" s="1058"/>
      <c r="AE227" s="938"/>
      <c r="AF227" s="938"/>
      <c r="AG227" s="938"/>
      <c r="AH227" s="938"/>
    </row>
    <row r="228" spans="1:34" ht="17.25" customHeight="1" x14ac:dyDescent="0.35">
      <c r="A228" s="938"/>
      <c r="B228" s="938"/>
      <c r="C228" s="941"/>
      <c r="D228" s="1047"/>
      <c r="E228" s="941"/>
      <c r="F228" s="938"/>
      <c r="G228" s="976">
        <f t="shared" si="5"/>
        <v>225</v>
      </c>
      <c r="H228" s="1000"/>
      <c r="I228" s="1001" t="s">
        <v>1059</v>
      </c>
      <c r="J228" s="1031" t="s">
        <v>1272</v>
      </c>
      <c r="K228" s="1002">
        <f>IF(I!K228="","",$D$2*I!K228)</f>
        <v>0.1263609322</v>
      </c>
      <c r="L228" s="981"/>
      <c r="M228" s="982"/>
      <c r="N228" s="1003"/>
      <c r="O228" s="1004">
        <f>IF(I!O228="","",$D$2*I!O228)</f>
        <v>0.54</v>
      </c>
      <c r="P228" s="1005">
        <f>IF(I!P228="","",$D$2*I!P228)</f>
        <v>0.17383361737917</v>
      </c>
      <c r="Q228" s="1006">
        <f>IF(I!Q228="","",$D$2*I!Q228)</f>
        <v>3.0078275000000002E-10</v>
      </c>
      <c r="R228" s="982"/>
      <c r="S228" s="1003"/>
      <c r="T228" s="938"/>
      <c r="U228" s="1008" t="s">
        <v>1059</v>
      </c>
      <c r="V228" s="1018" t="s">
        <v>6082</v>
      </c>
      <c r="W228" s="1019">
        <f>IF(I!W228="","",$D$2*I!W228)</f>
        <v>8.3089337040000003E-2</v>
      </c>
      <c r="X228" s="990">
        <f>IF(I!X228="","",$D$2*I!X228)</f>
        <v>2.9651257769999998E-3</v>
      </c>
      <c r="Y228" s="1010">
        <f>IF(I!Y228="","",$D$2*I!Y228)</f>
        <v>0.18768012704000001</v>
      </c>
      <c r="Z228" s="938"/>
      <c r="AA228" s="938"/>
      <c r="AB228" s="938"/>
      <c r="AC228" s="938"/>
      <c r="AD228" s="1058"/>
      <c r="AE228" s="938"/>
      <c r="AF228" s="938"/>
      <c r="AG228" s="938"/>
      <c r="AH228" s="938"/>
    </row>
    <row r="229" spans="1:34" ht="17.25" customHeight="1" x14ac:dyDescent="0.35">
      <c r="A229" s="938"/>
      <c r="B229" s="938"/>
      <c r="C229" s="941"/>
      <c r="D229" s="1047"/>
      <c r="E229" s="941"/>
      <c r="F229" s="938"/>
      <c r="G229" s="976">
        <f t="shared" si="5"/>
        <v>226</v>
      </c>
      <c r="H229" s="1000"/>
      <c r="I229" s="1001" t="s">
        <v>1059</v>
      </c>
      <c r="J229" s="1031" t="s">
        <v>1273</v>
      </c>
      <c r="K229" s="1002">
        <f>IF(I!K229="","",$D$2*I!K229)</f>
        <v>0.1263609322</v>
      </c>
      <c r="L229" s="981"/>
      <c r="M229" s="982"/>
      <c r="N229" s="1003"/>
      <c r="O229" s="1004">
        <f>IF(I!O229="","",$D$2*I!O229)</f>
        <v>0.54</v>
      </c>
      <c r="P229" s="1005">
        <f>IF(I!P229="","",$D$2*I!P229)</f>
        <v>0.17383361737917</v>
      </c>
      <c r="Q229" s="1006">
        <f>IF(I!Q229="","",$D$2*I!Q229)</f>
        <v>3.0078275000000002E-10</v>
      </c>
      <c r="R229" s="982"/>
      <c r="S229" s="1003"/>
      <c r="T229" s="938"/>
      <c r="U229" s="1008" t="s">
        <v>1059</v>
      </c>
      <c r="V229" s="1018" t="s">
        <v>6083</v>
      </c>
      <c r="W229" s="1019">
        <f>IF(I!W229="","",$D$2*I!W229)</f>
        <v>8.1039812850000004E-2</v>
      </c>
      <c r="X229" s="990">
        <f>IF(I!X229="","",$D$2*I!X229)</f>
        <v>2.9467412650000004E-3</v>
      </c>
      <c r="Y229" s="1010">
        <f>IF(I!Y229="","",$D$2*I!Y229)</f>
        <v>0.17657692685000001</v>
      </c>
      <c r="Z229" s="938"/>
      <c r="AA229" s="938"/>
      <c r="AB229" s="938"/>
      <c r="AC229" s="938"/>
      <c r="AD229" s="1058"/>
      <c r="AE229" s="938"/>
      <c r="AF229" s="938"/>
      <c r="AG229" s="938"/>
      <c r="AH229" s="938"/>
    </row>
    <row r="230" spans="1:34" ht="17.25" customHeight="1" x14ac:dyDescent="0.35">
      <c r="A230" s="938"/>
      <c r="B230" s="938"/>
      <c r="C230" s="941"/>
      <c r="D230" s="1047"/>
      <c r="E230" s="941"/>
      <c r="F230" s="938"/>
      <c r="G230" s="976">
        <f t="shared" si="5"/>
        <v>227</v>
      </c>
      <c r="H230" s="1000"/>
      <c r="I230" s="1001" t="s">
        <v>1059</v>
      </c>
      <c r="J230" s="1031" t="s">
        <v>1274</v>
      </c>
      <c r="K230" s="1002">
        <f>IF(I!K230="","",$D$2*I!K230)</f>
        <v>0.18060999580000003</v>
      </c>
      <c r="L230" s="981"/>
      <c r="M230" s="982"/>
      <c r="N230" s="1003"/>
      <c r="O230" s="1004">
        <f>IF(I!O230="","",$D$2*I!O230)</f>
        <v>0.65</v>
      </c>
      <c r="P230" s="1005">
        <f>IF(I!P230="","",$D$2*I!P230)</f>
        <v>0.38939729551669999</v>
      </c>
      <c r="Q230" s="1006">
        <f>IF(I!Q230="","",$D$2*I!Q230)</f>
        <v>2.9880353999999999E-10</v>
      </c>
      <c r="R230" s="982"/>
      <c r="S230" s="1003"/>
      <c r="T230" s="938"/>
      <c r="U230" s="1008" t="s">
        <v>1059</v>
      </c>
      <c r="V230" s="1018" t="s">
        <v>6084</v>
      </c>
      <c r="W230" s="1019">
        <f>IF(I!W230="","",$D$2*I!W230)</f>
        <v>9.6744490429999996E-2</v>
      </c>
      <c r="X230" s="990">
        <f>IF(I!X230="","",$D$2*I!X230)</f>
        <v>6.4191945719999999E-3</v>
      </c>
      <c r="Y230" s="1010">
        <f>IF(I!Y230="","",$D$2*I!Y230)</f>
        <v>0.21023448042999998</v>
      </c>
      <c r="Z230" s="938"/>
      <c r="AA230" s="938"/>
      <c r="AB230" s="938"/>
      <c r="AC230" s="938"/>
      <c r="AD230" s="1058"/>
      <c r="AE230" s="938"/>
      <c r="AF230" s="938"/>
      <c r="AG230" s="938"/>
      <c r="AH230" s="938"/>
    </row>
    <row r="231" spans="1:34" ht="17.25" customHeight="1" x14ac:dyDescent="0.35">
      <c r="A231" s="938"/>
      <c r="B231" s="938"/>
      <c r="C231" s="941"/>
      <c r="D231" s="1047"/>
      <c r="E231" s="941"/>
      <c r="F231" s="938"/>
      <c r="G231" s="976">
        <f t="shared" si="5"/>
        <v>228</v>
      </c>
      <c r="H231" s="1000"/>
      <c r="I231" s="1001" t="s">
        <v>1059</v>
      </c>
      <c r="J231" s="1031" t="s">
        <v>1275</v>
      </c>
      <c r="K231" s="1002">
        <f>IF(I!K231="","",$D$2*I!K231)</f>
        <v>0.17376375430000002</v>
      </c>
      <c r="L231" s="981"/>
      <c r="M231" s="982"/>
      <c r="N231" s="1003"/>
      <c r="O231" s="1004">
        <f>IF(I!O231="","",$D$2*I!O231)</f>
        <v>0.71</v>
      </c>
      <c r="P231" s="1005">
        <f>IF(I!P231="","",$D$2*I!P231)</f>
        <v>0.29214132528205999</v>
      </c>
      <c r="Q231" s="1006">
        <f>IF(I!Q231="","",$D$2*I!Q231)</f>
        <v>3.0500418999999998E-10</v>
      </c>
      <c r="R231" s="982"/>
      <c r="S231" s="1003"/>
      <c r="T231" s="938"/>
      <c r="U231" s="1008" t="s">
        <v>1059</v>
      </c>
      <c r="V231" s="1018" t="s">
        <v>6085</v>
      </c>
      <c r="W231" s="1019">
        <f>IF(I!W231="","",$D$2*I!W231)</f>
        <v>8.5426436699999997E-2</v>
      </c>
      <c r="X231" s="990">
        <f>IF(I!X231="","",$D$2*I!X231)</f>
        <v>5.183532288E-3</v>
      </c>
      <c r="Y231" s="1010">
        <f>IF(I!Y231="","",$D$2*I!Y231)</f>
        <v>0.18851917670000001</v>
      </c>
      <c r="Z231" s="938"/>
      <c r="AA231" s="938"/>
      <c r="AB231" s="938"/>
      <c r="AC231" s="938"/>
      <c r="AD231" s="1058"/>
      <c r="AE231" s="938"/>
      <c r="AF231" s="938"/>
      <c r="AG231" s="938"/>
      <c r="AH231" s="938"/>
    </row>
    <row r="232" spans="1:34" ht="17.25" customHeight="1" x14ac:dyDescent="0.35">
      <c r="A232" s="938"/>
      <c r="B232" s="938"/>
      <c r="C232" s="941"/>
      <c r="D232" s="1047"/>
      <c r="E232" s="941"/>
      <c r="F232" s="938"/>
      <c r="G232" s="976">
        <f t="shared" si="5"/>
        <v>229</v>
      </c>
      <c r="H232" s="1000"/>
      <c r="I232" s="1001" t="s">
        <v>1059</v>
      </c>
      <c r="J232" s="1031" t="s">
        <v>1276</v>
      </c>
      <c r="K232" s="1002">
        <f>IF(I!K232="","",$D$2*I!K232)</f>
        <v>0.36097017900000006</v>
      </c>
      <c r="L232" s="981"/>
      <c r="M232" s="982"/>
      <c r="N232" s="1003"/>
      <c r="O232" s="1004">
        <f>IF(I!O232="","",$D$2*I!O232)</f>
        <v>1.25</v>
      </c>
      <c r="P232" s="1005">
        <f>IF(I!P232="","",$D$2*I!P232)</f>
        <v>1.5364303977872</v>
      </c>
      <c r="Q232" s="1006">
        <f>IF(I!Q232="","",$D$2*I!Q232)</f>
        <v>3.4688857000000002E-10</v>
      </c>
      <c r="R232" s="982"/>
      <c r="S232" s="1003"/>
      <c r="T232" s="938"/>
      <c r="U232" s="1008" t="s">
        <v>1059</v>
      </c>
      <c r="V232" s="1018" t="s">
        <v>6086</v>
      </c>
      <c r="W232" s="1019">
        <f>IF(I!W232="","",$D$2*I!W232)</f>
        <v>2.2744748299999999E-2</v>
      </c>
      <c r="X232" s="990">
        <f>IF(I!X232="","",$D$2*I!X232)</f>
        <v>8.5998862409999988E-3</v>
      </c>
      <c r="Y232" s="1010">
        <f>IF(I!Y232="","",$D$2*I!Y232)</f>
        <v>2.8903187899999998E-2</v>
      </c>
      <c r="Z232" s="938"/>
      <c r="AA232" s="938"/>
      <c r="AB232" s="938"/>
      <c r="AC232" s="938"/>
      <c r="AD232" s="1058"/>
      <c r="AE232" s="938"/>
      <c r="AF232" s="938"/>
      <c r="AG232" s="938"/>
      <c r="AH232" s="938"/>
    </row>
    <row r="233" spans="1:34" ht="17.25" customHeight="1" x14ac:dyDescent="0.35">
      <c r="A233" s="938"/>
      <c r="B233" s="938"/>
      <c r="C233" s="941"/>
      <c r="D233" s="1047"/>
      <c r="E233" s="941"/>
      <c r="F233" s="938"/>
      <c r="G233" s="976">
        <f t="shared" si="5"/>
        <v>230</v>
      </c>
      <c r="H233" s="1000"/>
      <c r="I233" s="1001" t="s">
        <v>1059</v>
      </c>
      <c r="J233" s="1031" t="s">
        <v>1277</v>
      </c>
      <c r="K233" s="1002">
        <f>IF(I!K233="","",$D$2*I!K233)</f>
        <v>0.1261914841</v>
      </c>
      <c r="L233" s="981"/>
      <c r="M233" s="982"/>
      <c r="N233" s="1003"/>
      <c r="O233" s="1004">
        <f>IF(I!O233="","",$D$2*I!O233)</f>
        <v>0.54</v>
      </c>
      <c r="P233" s="1005">
        <f>IF(I!P233="","",$D$2*I!P233)</f>
        <v>0.17314995192843002</v>
      </c>
      <c r="Q233" s="1006">
        <f>IF(I!Q233="","",$D$2*I!Q233)</f>
        <v>3.0156184000000002E-10</v>
      </c>
      <c r="R233" s="982"/>
      <c r="S233" s="1003"/>
      <c r="T233" s="938"/>
      <c r="U233" s="1008" t="s">
        <v>1059</v>
      </c>
      <c r="V233" s="1018" t="s">
        <v>6087</v>
      </c>
      <c r="W233" s="1019">
        <f>IF(I!W233="","",$D$2*I!W233)</f>
        <v>0.23328216059999998</v>
      </c>
      <c r="X233" s="990">
        <f>IF(I!X233="","",$D$2*I!X233)</f>
        <v>8.3145136640000006E-2</v>
      </c>
      <c r="Y233" s="1010">
        <f>IF(I!Y233="","",$D$2*I!Y233)</f>
        <v>0.44113550059999995</v>
      </c>
      <c r="Z233" s="938"/>
      <c r="AA233" s="938"/>
      <c r="AB233" s="938"/>
      <c r="AC233" s="938"/>
      <c r="AD233" s="1058"/>
      <c r="AE233" s="938"/>
      <c r="AF233" s="938"/>
      <c r="AG233" s="938"/>
      <c r="AH233" s="938"/>
    </row>
    <row r="234" spans="1:34" ht="17.25" customHeight="1" x14ac:dyDescent="0.35">
      <c r="A234" s="938"/>
      <c r="B234" s="938"/>
      <c r="C234" s="941"/>
      <c r="D234" s="1047"/>
      <c r="E234" s="941"/>
      <c r="F234" s="938"/>
      <c r="G234" s="976">
        <f t="shared" si="5"/>
        <v>231</v>
      </c>
      <c r="H234" s="1000"/>
      <c r="I234" s="1001" t="s">
        <v>1059</v>
      </c>
      <c r="J234" s="1031" t="s">
        <v>1278</v>
      </c>
      <c r="K234" s="1002">
        <f>IF(I!K234="","",$D$2*I!K234)</f>
        <v>0.15957072480000001</v>
      </c>
      <c r="L234" s="981"/>
      <c r="M234" s="982"/>
      <c r="N234" s="1003"/>
      <c r="O234" s="1004">
        <f>IF(I!O234="","",$D$2*I!O234)</f>
        <v>0.63</v>
      </c>
      <c r="P234" s="1005">
        <f>IF(I!P234="","",$D$2*I!P234)</f>
        <v>0.47247254714081999</v>
      </c>
      <c r="Q234" s="1006">
        <f>IF(I!Q234="","",$D$2*I!Q234)</f>
        <v>2.8909648999999999E-10</v>
      </c>
      <c r="R234" s="982"/>
      <c r="S234" s="1003"/>
      <c r="T234" s="938"/>
      <c r="U234" s="1008" t="s">
        <v>1059</v>
      </c>
      <c r="V234" s="1018" t="s">
        <v>6088</v>
      </c>
      <c r="W234" s="1019">
        <f>IF(I!W234="","",$D$2*I!W234)</f>
        <v>6.8147283099999997E-2</v>
      </c>
      <c r="X234" s="990">
        <f>IF(I!X234="","",$D$2*I!X234)</f>
        <v>0.19677563370000001</v>
      </c>
      <c r="Y234" s="1010">
        <f>IF(I!Y234="","",$D$2*I!Y234)</f>
        <v>0.51866965310000002</v>
      </c>
      <c r="Z234" s="938"/>
      <c r="AA234" s="938"/>
      <c r="AB234" s="938"/>
      <c r="AC234" s="938"/>
      <c r="AD234" s="1058"/>
      <c r="AE234" s="938"/>
      <c r="AF234" s="938"/>
      <c r="AG234" s="938"/>
      <c r="AH234" s="938"/>
    </row>
    <row r="235" spans="1:34" ht="17.25" customHeight="1" x14ac:dyDescent="0.35">
      <c r="A235" s="938"/>
      <c r="B235" s="938"/>
      <c r="C235" s="941"/>
      <c r="D235" s="1047"/>
      <c r="E235" s="941"/>
      <c r="F235" s="938"/>
      <c r="G235" s="976">
        <f t="shared" si="5"/>
        <v>232</v>
      </c>
      <c r="H235" s="1000"/>
      <c r="I235" s="1001" t="s">
        <v>1059</v>
      </c>
      <c r="J235" s="1031" t="s">
        <v>1279</v>
      </c>
      <c r="K235" s="1002">
        <f>IF(I!K235="","",$D$2*I!K235)</f>
        <v>0.31905659019999999</v>
      </c>
      <c r="L235" s="981"/>
      <c r="M235" s="982"/>
      <c r="N235" s="1003"/>
      <c r="O235" s="1004">
        <f>IF(I!O235="","",$D$2*I!O235)</f>
        <v>1.21</v>
      </c>
      <c r="P235" s="1005">
        <f>IF(I!P235="","",$D$2*I!P235)</f>
        <v>0.7203389069852999</v>
      </c>
      <c r="Q235" s="1006">
        <f>IF(I!Q235="","",$D$2*I!Q235)</f>
        <v>3.3118962999999998E-10</v>
      </c>
      <c r="R235" s="982"/>
      <c r="S235" s="1003"/>
      <c r="T235" s="938"/>
      <c r="U235" s="1008" t="s">
        <v>1059</v>
      </c>
      <c r="V235" s="1018" t="s">
        <v>6089</v>
      </c>
      <c r="W235" s="1019">
        <f>IF(I!W235="","",$D$2*I!W235)</f>
        <v>9.9731183100000009E-2</v>
      </c>
      <c r="X235" s="990">
        <f>IF(I!X235="","",$D$2*I!X235)</f>
        <v>0.68110157498000001</v>
      </c>
      <c r="Y235" s="1010">
        <f>IF(I!Y235="","",$D$2*I!Y235)</f>
        <v>1.9434354831</v>
      </c>
      <c r="Z235" s="938"/>
      <c r="AA235" s="938"/>
      <c r="AB235" s="938"/>
      <c r="AC235" s="938"/>
      <c r="AD235" s="1058"/>
      <c r="AE235" s="938"/>
      <c r="AF235" s="938"/>
      <c r="AG235" s="938"/>
      <c r="AH235" s="938"/>
    </row>
    <row r="236" spans="1:34" ht="17.25" customHeight="1" x14ac:dyDescent="0.35">
      <c r="A236" s="938"/>
      <c r="B236" s="938"/>
      <c r="C236" s="941"/>
      <c r="D236" s="1047"/>
      <c r="E236" s="941"/>
      <c r="F236" s="938"/>
      <c r="G236" s="976">
        <f t="shared" si="5"/>
        <v>233</v>
      </c>
      <c r="H236" s="942"/>
      <c r="I236" s="1001" t="s">
        <v>1059</v>
      </c>
      <c r="J236" s="1031" t="s">
        <v>1280</v>
      </c>
      <c r="K236" s="1002">
        <f>IF(I!K236="","",$D$2*I!K236)</f>
        <v>0.37324130075</v>
      </c>
      <c r="L236" s="981"/>
      <c r="M236" s="982"/>
      <c r="N236" s="1003"/>
      <c r="O236" s="1004">
        <f>IF(I!O236="","",$D$2*I!O236)</f>
        <v>1.31</v>
      </c>
      <c r="P236" s="1005">
        <f>IF(I!P236="","",$D$2*I!P236)</f>
        <v>1.4526825609861997</v>
      </c>
      <c r="Q236" s="1006">
        <f>IF(I!Q236="","",$D$2*I!Q236)</f>
        <v>3.3022084999999998E-10</v>
      </c>
      <c r="R236" s="982"/>
      <c r="S236" s="1003"/>
      <c r="T236" s="938"/>
      <c r="U236" s="1008" t="s">
        <v>1059</v>
      </c>
      <c r="V236" s="1018" t="s">
        <v>6090</v>
      </c>
      <c r="W236" s="1019">
        <f>IF(I!W236="","",$D$2*I!W236)</f>
        <v>0.12825223549999998</v>
      </c>
      <c r="X236" s="990">
        <f>IF(I!X236="","",$D$2*I!X236)</f>
        <v>0.70243000348999995</v>
      </c>
      <c r="Y236" s="1010">
        <f>IF(I!Y236="","",$D$2*I!Y236)</f>
        <v>0.24000966549999997</v>
      </c>
      <c r="Z236" s="938"/>
      <c r="AA236" s="938"/>
      <c r="AB236" s="938"/>
      <c r="AC236" s="938"/>
      <c r="AD236" s="1058"/>
      <c r="AE236" s="938"/>
      <c r="AF236" s="938"/>
      <c r="AG236" s="938"/>
      <c r="AH236" s="938"/>
    </row>
    <row r="237" spans="1:34" ht="17.25" customHeight="1" x14ac:dyDescent="0.35">
      <c r="A237" s="938"/>
      <c r="B237" s="938"/>
      <c r="C237" s="941"/>
      <c r="D237" s="1047"/>
      <c r="E237" s="941"/>
      <c r="F237" s="938"/>
      <c r="G237" s="976">
        <f t="shared" si="5"/>
        <v>234</v>
      </c>
      <c r="H237" s="1000"/>
      <c r="I237" s="1001" t="s">
        <v>1059</v>
      </c>
      <c r="J237" s="1031" t="s">
        <v>1281</v>
      </c>
      <c r="K237" s="1002">
        <f>IF(I!K237="","",$D$2*I!K237)</f>
        <v>0.1441852944</v>
      </c>
      <c r="L237" s="981"/>
      <c r="M237" s="982"/>
      <c r="N237" s="1003"/>
      <c r="O237" s="1004">
        <f>IF(I!O237="","",$D$2*I!O237)</f>
        <v>0.61</v>
      </c>
      <c r="P237" s="1005">
        <f>IF(I!P237="","",$D$2*I!P237)</f>
        <v>0.19933388733774998</v>
      </c>
      <c r="Q237" s="1006">
        <f>IF(I!Q237="","",$D$2*I!Q237)</f>
        <v>2.9221283000000001E-10</v>
      </c>
      <c r="R237" s="982"/>
      <c r="S237" s="1003"/>
      <c r="T237" s="938"/>
      <c r="U237" s="1008" t="s">
        <v>1059</v>
      </c>
      <c r="V237" s="1018" t="s">
        <v>6091</v>
      </c>
      <c r="W237" s="1019">
        <f>IF(I!W237="","",$D$2*I!W237)</f>
        <v>0.14666499750000001</v>
      </c>
      <c r="X237" s="990">
        <f>IF(I!X237="","",$D$2*I!X237)</f>
        <v>0.75044469696999994</v>
      </c>
      <c r="Y237" s="1010">
        <f>IF(I!Y237="","",$D$2*I!Y237)</f>
        <v>1.2036563975000001</v>
      </c>
      <c r="Z237" s="938"/>
      <c r="AA237" s="938"/>
      <c r="AB237" s="938"/>
      <c r="AC237" s="938"/>
      <c r="AD237" s="1058"/>
      <c r="AE237" s="938"/>
      <c r="AF237" s="938"/>
      <c r="AG237" s="938"/>
      <c r="AH237" s="938"/>
    </row>
    <row r="238" spans="1:34" ht="17.25" customHeight="1" x14ac:dyDescent="0.35">
      <c r="A238" s="938"/>
      <c r="B238" s="938"/>
      <c r="C238" s="941"/>
      <c r="D238" s="1047"/>
      <c r="E238" s="941"/>
      <c r="F238" s="938"/>
      <c r="G238" s="976">
        <f t="shared" si="5"/>
        <v>235</v>
      </c>
      <c r="H238" s="942"/>
      <c r="I238" s="1001" t="s">
        <v>1059</v>
      </c>
      <c r="J238" s="1031" t="s">
        <v>1282</v>
      </c>
      <c r="K238" s="1002">
        <f>IF(I!K238="","",$D$2*I!K238)</f>
        <v>0.31905659019999999</v>
      </c>
      <c r="L238" s="981"/>
      <c r="M238" s="982"/>
      <c r="N238" s="1003"/>
      <c r="O238" s="1004">
        <f>IF(I!O238="","",$D$2*I!O238)</f>
        <v>1.21</v>
      </c>
      <c r="P238" s="1005">
        <f>IF(I!P238="","",$D$2*I!P238)</f>
        <v>0.7203389069852999</v>
      </c>
      <c r="Q238" s="1006">
        <f>IF(I!Q238="","",$D$2*I!Q238)</f>
        <v>3.3118962999999998E-10</v>
      </c>
      <c r="R238" s="982"/>
      <c r="S238" s="1003"/>
      <c r="T238" s="938"/>
      <c r="U238" s="1008" t="s">
        <v>1059</v>
      </c>
      <c r="V238" s="1018" t="s">
        <v>6092</v>
      </c>
      <c r="W238" s="1019">
        <f>IF(I!W238="","",$D$2*I!W238)</f>
        <v>0.1237970259</v>
      </c>
      <c r="X238" s="990">
        <f>IF(I!X238="","",$D$2*I!X238)</f>
        <v>0.17342648454000004</v>
      </c>
      <c r="Y238" s="1010">
        <f>IF(I!Y238="","",$D$2*I!Y238)</f>
        <v>0.24013735590000002</v>
      </c>
      <c r="Z238" s="938"/>
      <c r="AA238" s="938"/>
      <c r="AB238" s="938"/>
      <c r="AC238" s="938"/>
      <c r="AD238" s="1058"/>
      <c r="AE238" s="938"/>
      <c r="AF238" s="938"/>
      <c r="AG238" s="938"/>
      <c r="AH238" s="938"/>
    </row>
    <row r="239" spans="1:34" ht="17.25" customHeight="1" x14ac:dyDescent="0.35">
      <c r="A239" s="938"/>
      <c r="B239" s="938"/>
      <c r="C239" s="941"/>
      <c r="D239" s="1047"/>
      <c r="E239" s="941"/>
      <c r="F239" s="938"/>
      <c r="G239" s="976">
        <f t="shared" si="5"/>
        <v>236</v>
      </c>
      <c r="H239" s="1000"/>
      <c r="I239" s="1001" t="s">
        <v>1059</v>
      </c>
      <c r="J239" s="1031" t="s">
        <v>1283</v>
      </c>
      <c r="K239" s="1002">
        <f>IF(I!K239="","",$D$2*I!K239)</f>
        <v>0.12660922899999999</v>
      </c>
      <c r="L239" s="981"/>
      <c r="M239" s="982"/>
      <c r="N239" s="1003"/>
      <c r="O239" s="1004">
        <f>IF(I!O239="","",$D$2*I!O239)</f>
        <v>0.54</v>
      </c>
      <c r="P239" s="1005">
        <f>IF(I!P239="","",$D$2*I!P239)</f>
        <v>0.17397384846469999</v>
      </c>
      <c r="Q239" s="1006">
        <f>IF(I!Q239="","",$D$2*I!Q239)</f>
        <v>3.0303735E-10</v>
      </c>
      <c r="R239" s="982"/>
      <c r="S239" s="1003"/>
      <c r="T239" s="938"/>
      <c r="U239" s="1008" t="s">
        <v>1059</v>
      </c>
      <c r="V239" s="1018" t="s">
        <v>6093</v>
      </c>
      <c r="W239" s="1019">
        <f>IF(I!W239="","",$D$2*I!W239)</f>
        <v>1.5798153729000002E-2</v>
      </c>
      <c r="X239" s="990">
        <f>IF(I!X239="","",$D$2*I!X239)</f>
        <v>5.6650619819999996E-4</v>
      </c>
      <c r="Y239" s="1010">
        <f>IF(I!Y239="","",$D$2*I!Y239)</f>
        <v>3.2505367729000006E-2</v>
      </c>
      <c r="Z239" s="938"/>
      <c r="AA239" s="938"/>
      <c r="AB239" s="938"/>
      <c r="AC239" s="938"/>
      <c r="AD239" s="1058"/>
      <c r="AE239" s="938"/>
      <c r="AF239" s="938"/>
      <c r="AG239" s="938"/>
      <c r="AH239" s="938"/>
    </row>
    <row r="240" spans="1:34" ht="17.25" customHeight="1" x14ac:dyDescent="0.35">
      <c r="A240" s="938"/>
      <c r="B240" s="938"/>
      <c r="C240" s="941"/>
      <c r="D240" s="1047"/>
      <c r="E240" s="941"/>
      <c r="F240" s="938"/>
      <c r="G240" s="976">
        <f t="shared" si="5"/>
        <v>237</v>
      </c>
      <c r="H240" s="1000"/>
      <c r="I240" s="1001" t="s">
        <v>1059</v>
      </c>
      <c r="J240" s="1031" t="s">
        <v>1284</v>
      </c>
      <c r="K240" s="1002">
        <f>IF(I!K240="","",$D$2*I!K240)</f>
        <v>0.1973261</v>
      </c>
      <c r="L240" s="981"/>
      <c r="M240" s="982"/>
      <c r="N240" s="1003"/>
      <c r="O240" s="1004">
        <f>IF(I!O240="","",$D$2*I!O240)</f>
        <v>0.72</v>
      </c>
      <c r="P240" s="1005">
        <f>IF(I!P240="","",$D$2*I!P240)</f>
        <v>0.36357188830639997</v>
      </c>
      <c r="Q240" s="1006">
        <f>IF(I!Q240="","",$D$2*I!Q240)</f>
        <v>2.8914289E-10</v>
      </c>
      <c r="R240" s="982"/>
      <c r="S240" s="1003"/>
      <c r="T240" s="938"/>
      <c r="U240" s="1008" t="s">
        <v>1059</v>
      </c>
      <c r="V240" s="1018" t="s">
        <v>6094</v>
      </c>
      <c r="W240" s="1019">
        <f>IF(I!W240="","",$D$2*I!W240)</f>
        <v>1.5798153729000002E-2</v>
      </c>
      <c r="X240" s="990">
        <f>IF(I!X240="","",$D$2*I!X240)</f>
        <v>5.6650619819999996E-4</v>
      </c>
      <c r="Y240" s="1010">
        <f>IF(I!Y240="","",$D$2*I!Y240)</f>
        <v>3.2505367729000006E-2</v>
      </c>
      <c r="Z240" s="938"/>
      <c r="AA240" s="938"/>
      <c r="AB240" s="938"/>
      <c r="AC240" s="938"/>
      <c r="AD240" s="1058"/>
      <c r="AE240" s="938"/>
      <c r="AF240" s="938"/>
      <c r="AG240" s="938"/>
      <c r="AH240" s="938"/>
    </row>
    <row r="241" spans="1:34" ht="17.25" customHeight="1" x14ac:dyDescent="0.35">
      <c r="A241" s="938"/>
      <c r="B241" s="938"/>
      <c r="C241" s="941"/>
      <c r="D241" s="1047"/>
      <c r="E241" s="941"/>
      <c r="F241" s="938"/>
      <c r="G241" s="976">
        <f t="shared" si="5"/>
        <v>238</v>
      </c>
      <c r="H241" s="1000"/>
      <c r="I241" s="1001" t="s">
        <v>1059</v>
      </c>
      <c r="J241" s="1031" t="s">
        <v>1285</v>
      </c>
      <c r="K241" s="1002">
        <f>IF(I!K241="","",$D$2*I!K241)</f>
        <v>0.1540897185</v>
      </c>
      <c r="L241" s="981"/>
      <c r="M241" s="982"/>
      <c r="N241" s="1003"/>
      <c r="O241" s="1004">
        <f>IF(I!O241="","",$D$2*I!O241)</f>
        <v>0.61</v>
      </c>
      <c r="P241" s="1005">
        <f>IF(I!P241="","",$D$2*I!P241)</f>
        <v>0.19169201153419999</v>
      </c>
      <c r="Q241" s="1006">
        <f>IF(I!Q241="","",$D$2*I!Q241)</f>
        <v>2.6350951999999998E-10</v>
      </c>
      <c r="R241" s="982"/>
      <c r="S241" s="1003"/>
      <c r="T241" s="938"/>
      <c r="U241" s="1008" t="s">
        <v>1059</v>
      </c>
      <c r="V241" s="1018" t="s">
        <v>6095</v>
      </c>
      <c r="W241" s="1019">
        <f>IF(I!W241="","",$D$2*I!W241)</f>
        <v>1.5798153729000002E-2</v>
      </c>
      <c r="X241" s="990">
        <f>IF(I!X241="","",$D$2*I!X241)</f>
        <v>5.6650619819999996E-4</v>
      </c>
      <c r="Y241" s="1010">
        <f>IF(I!Y241="","",$D$2*I!Y241)</f>
        <v>3.2505367729000006E-2</v>
      </c>
      <c r="Z241" s="938"/>
      <c r="AA241" s="938"/>
      <c r="AB241" s="938"/>
      <c r="AC241" s="938"/>
      <c r="AD241" s="1058"/>
      <c r="AE241" s="938"/>
      <c r="AF241" s="938"/>
      <c r="AG241" s="938"/>
      <c r="AH241" s="938"/>
    </row>
    <row r="242" spans="1:34" ht="17.25" customHeight="1" x14ac:dyDescent="0.35">
      <c r="A242" s="938"/>
      <c r="B242" s="938"/>
      <c r="C242" s="941"/>
      <c r="D242" s="1047"/>
      <c r="E242" s="941"/>
      <c r="F242" s="938"/>
      <c r="G242" s="976">
        <f t="shared" si="5"/>
        <v>239</v>
      </c>
      <c r="H242" s="942" t="s">
        <v>1286</v>
      </c>
      <c r="I242" s="1026"/>
      <c r="J242" s="1027"/>
      <c r="K242" s="1002" t="str">
        <f>IF(I!K242="","",$D$2*I!K242)</f>
        <v/>
      </c>
      <c r="L242" s="981"/>
      <c r="M242" s="982"/>
      <c r="N242" s="1003"/>
      <c r="O242" s="1004" t="str">
        <f>IF(I!O242="","",$D$2*I!O242)</f>
        <v/>
      </c>
      <c r="P242" s="1005" t="str">
        <f>IF(I!P242="","",$D$2*I!P242)</f>
        <v/>
      </c>
      <c r="Q242" s="1006" t="str">
        <f>IF(I!Q242="","",$D$2*I!Q242)</f>
        <v/>
      </c>
      <c r="R242" s="982"/>
      <c r="S242" s="1003"/>
      <c r="T242" s="938"/>
      <c r="U242" s="1008" t="s">
        <v>1059</v>
      </c>
      <c r="V242" s="1018" t="s">
        <v>6096</v>
      </c>
      <c r="W242" s="1019">
        <f>IF(I!W242="","",$D$2*I!W242)</f>
        <v>1.5798153729000002E-2</v>
      </c>
      <c r="X242" s="990">
        <f>IF(I!X242="","",$D$2*I!X242)</f>
        <v>5.6650619819999996E-4</v>
      </c>
      <c r="Y242" s="1010">
        <f>IF(I!Y242="","",$D$2*I!Y242)</f>
        <v>3.2505367729000006E-2</v>
      </c>
      <c r="Z242" s="938"/>
      <c r="AA242" s="938"/>
      <c r="AB242" s="938"/>
      <c r="AC242" s="938"/>
      <c r="AD242" s="1058"/>
      <c r="AE242" s="938"/>
      <c r="AF242" s="938"/>
      <c r="AG242" s="938"/>
      <c r="AH242" s="938"/>
    </row>
    <row r="243" spans="1:34" ht="17.25" customHeight="1" x14ac:dyDescent="0.35">
      <c r="A243" s="938"/>
      <c r="B243" s="938"/>
      <c r="C243" s="941"/>
      <c r="D243" s="1047"/>
      <c r="E243" s="941"/>
      <c r="F243" s="938"/>
      <c r="G243" s="976">
        <f t="shared" si="5"/>
        <v>240</v>
      </c>
      <c r="H243" s="1000"/>
      <c r="I243" s="1001" t="s">
        <v>1059</v>
      </c>
      <c r="J243" s="1031" t="s">
        <v>1287</v>
      </c>
      <c r="K243" s="1002">
        <f>IF(I!K243="","",$D$2*I!K243)</f>
        <v>6.5120021569999992E-2</v>
      </c>
      <c r="L243" s="981"/>
      <c r="M243" s="982"/>
      <c r="N243" s="1003"/>
      <c r="O243" s="1004">
        <f>IF(I!O243="","",$D$2*I!O243)</f>
        <v>0.31</v>
      </c>
      <c r="P243" s="1005">
        <f>IF(I!P243="","",$D$2*I!P243)</f>
        <v>9.3849358997199997E-2</v>
      </c>
      <c r="Q243" s="1006">
        <f>IF(I!Q243="","",$D$2*I!Q243)</f>
        <v>5.2666748999999999E-10</v>
      </c>
      <c r="R243" s="982"/>
      <c r="S243" s="1003"/>
      <c r="T243" s="938"/>
      <c r="U243" s="1008" t="s">
        <v>1059</v>
      </c>
      <c r="V243" s="1018" t="s">
        <v>6097</v>
      </c>
      <c r="W243" s="1019">
        <f>IF(I!W243="","",$D$2*I!W243)</f>
        <v>1.5857130105999998E-2</v>
      </c>
      <c r="X243" s="990">
        <f>IF(I!X243="","",$D$2*I!X243)</f>
        <v>5.6862102589999998E-4</v>
      </c>
      <c r="Y243" s="1010">
        <f>IF(I!Y243="","",$D$2*I!Y243)</f>
        <v>3.2626714106000002E-2</v>
      </c>
      <c r="Z243" s="938"/>
      <c r="AA243" s="938"/>
      <c r="AB243" s="938"/>
      <c r="AC243" s="938"/>
      <c r="AD243" s="1058"/>
      <c r="AE243" s="938"/>
      <c r="AF243" s="938"/>
      <c r="AG243" s="938"/>
      <c r="AH243" s="938"/>
    </row>
    <row r="244" spans="1:34" ht="17.25" customHeight="1" x14ac:dyDescent="0.35">
      <c r="A244" s="938"/>
      <c r="B244" s="938"/>
      <c r="C244" s="941"/>
      <c r="D244" s="1047"/>
      <c r="E244" s="941"/>
      <c r="F244" s="938"/>
      <c r="G244" s="976">
        <f t="shared" si="5"/>
        <v>241</v>
      </c>
      <c r="H244" s="1000"/>
      <c r="I244" s="1001" t="s">
        <v>1059</v>
      </c>
      <c r="J244" s="1031" t="s">
        <v>1288</v>
      </c>
      <c r="K244" s="1002">
        <f>IF(I!K244="","",$D$2*I!K244)</f>
        <v>6.4705362129999999E-2</v>
      </c>
      <c r="L244" s="981"/>
      <c r="M244" s="982"/>
      <c r="N244" s="1003"/>
      <c r="O244" s="1004">
        <f>IF(I!O244="","",$D$2*I!O244)</f>
        <v>0.31</v>
      </c>
      <c r="P244" s="1005">
        <f>IF(I!P244="","",$D$2*I!P244)</f>
        <v>9.0920693890300011E-2</v>
      </c>
      <c r="Q244" s="1006">
        <f>IF(I!Q244="","",$D$2*I!Q244)</f>
        <v>5.2995304999999995E-10</v>
      </c>
      <c r="R244" s="982"/>
      <c r="S244" s="1003"/>
      <c r="T244" s="938"/>
      <c r="U244" s="1008" t="s">
        <v>1059</v>
      </c>
      <c r="V244" s="1018" t="s">
        <v>6098</v>
      </c>
      <c r="W244" s="1019">
        <f>IF(I!W244="","",$D$2*I!W244)</f>
        <v>1.5798153729000002E-2</v>
      </c>
      <c r="X244" s="990">
        <f>IF(I!X244="","",$D$2*I!X244)</f>
        <v>5.6650619819999996E-4</v>
      </c>
      <c r="Y244" s="1010">
        <f>IF(I!Y244="","",$D$2*I!Y244)</f>
        <v>3.2505367729000006E-2</v>
      </c>
      <c r="Z244" s="938"/>
      <c r="AA244" s="938"/>
      <c r="AB244" s="938"/>
      <c r="AC244" s="938"/>
      <c r="AD244" s="1058"/>
      <c r="AE244" s="938"/>
      <c r="AF244" s="938"/>
      <c r="AG244" s="938"/>
      <c r="AH244" s="938"/>
    </row>
    <row r="245" spans="1:34" ht="17.25" customHeight="1" x14ac:dyDescent="0.35">
      <c r="A245" s="938"/>
      <c r="B245" s="938"/>
      <c r="C245" s="941"/>
      <c r="D245" s="1047"/>
      <c r="E245" s="941"/>
      <c r="F245" s="938"/>
      <c r="G245" s="976">
        <f t="shared" si="5"/>
        <v>242</v>
      </c>
      <c r="H245" s="942"/>
      <c r="I245" s="1001" t="s">
        <v>1059</v>
      </c>
      <c r="J245" s="1031" t="s">
        <v>1289</v>
      </c>
      <c r="K245" s="1002">
        <f>IF(I!K245="","",$D$2*I!K245)</f>
        <v>7.1998416719999986E-2</v>
      </c>
      <c r="L245" s="981"/>
      <c r="M245" s="982"/>
      <c r="N245" s="1003"/>
      <c r="O245" s="1004">
        <f>IF(I!O245="","",$D$2*I!O245)</f>
        <v>0.31</v>
      </c>
      <c r="P245" s="1005">
        <f>IF(I!P245="","",$D$2*I!P245)</f>
        <v>0.12749505075149997</v>
      </c>
      <c r="Q245" s="1006">
        <f>IF(I!Q245="","",$D$2*I!Q245)</f>
        <v>5.0480803000000005E-10</v>
      </c>
      <c r="R245" s="982"/>
      <c r="S245" s="1003"/>
      <c r="T245" s="938"/>
      <c r="U245" s="1008" t="s">
        <v>1059</v>
      </c>
      <c r="V245" s="1018" t="s">
        <v>6099</v>
      </c>
      <c r="W245" s="1019">
        <f>IF(I!W245="","",$D$2*I!W245)</f>
        <v>4.0440376629999997E-2</v>
      </c>
      <c r="X245" s="990">
        <f>IF(I!X245="","",$D$2*I!X245)</f>
        <v>6.3060350589999994E-2</v>
      </c>
      <c r="Y245" s="1010">
        <f>IF(I!Y245="","",$D$2*I!Y245)</f>
        <v>7.1939012629999993E-2</v>
      </c>
      <c r="Z245" s="938"/>
      <c r="AA245" s="938"/>
      <c r="AB245" s="938"/>
      <c r="AC245" s="938"/>
      <c r="AD245" s="1058"/>
      <c r="AE245" s="938"/>
      <c r="AF245" s="938"/>
      <c r="AG245" s="938"/>
      <c r="AH245" s="938"/>
    </row>
    <row r="246" spans="1:34" ht="17.25" customHeight="1" x14ac:dyDescent="0.35">
      <c r="A246" s="938"/>
      <c r="B246" s="938"/>
      <c r="C246" s="941"/>
      <c r="D246" s="1047"/>
      <c r="E246" s="941"/>
      <c r="F246" s="938"/>
      <c r="G246" s="976">
        <f t="shared" si="5"/>
        <v>243</v>
      </c>
      <c r="H246" s="1000"/>
      <c r="I246" s="1001" t="s">
        <v>1059</v>
      </c>
      <c r="J246" s="1031" t="s">
        <v>1290</v>
      </c>
      <c r="K246" s="1002">
        <f>IF(I!K246="","",$D$2*I!K246)</f>
        <v>6.4966454539999996E-2</v>
      </c>
      <c r="L246" s="981"/>
      <c r="M246" s="982"/>
      <c r="N246" s="1003"/>
      <c r="O246" s="1004">
        <f>IF(I!O246="","",$D$2*I!O246)</f>
        <v>0.3</v>
      </c>
      <c r="P246" s="1005">
        <f>IF(I!P246="","",$D$2*I!P246)</f>
        <v>9.4008419471900001E-2</v>
      </c>
      <c r="Q246" s="1006">
        <f>IF(I!Q246="","",$D$2*I!Q246)</f>
        <v>5.1249401000000003E-10</v>
      </c>
      <c r="R246" s="982"/>
      <c r="S246" s="1003"/>
      <c r="T246" s="938"/>
      <c r="U246" s="1008" t="s">
        <v>1059</v>
      </c>
      <c r="V246" s="1018" t="s">
        <v>6100</v>
      </c>
      <c r="W246" s="1019">
        <f>IF(I!W246="","",$D$2*I!W246)</f>
        <v>0.11056975842000001</v>
      </c>
      <c r="X246" s="990">
        <f>IF(I!X246="","",$D$2*I!X246)</f>
        <v>7.0329584318000002E-2</v>
      </c>
      <c r="Y246" s="1010">
        <f>IF(I!Y246="","",$D$2*I!Y246)</f>
        <v>0.16099647242000001</v>
      </c>
      <c r="Z246" s="938"/>
      <c r="AA246" s="938"/>
      <c r="AB246" s="938"/>
      <c r="AC246" s="938"/>
      <c r="AD246" s="1058"/>
      <c r="AE246" s="938"/>
      <c r="AF246" s="938"/>
      <c r="AG246" s="938"/>
      <c r="AH246" s="938"/>
    </row>
    <row r="247" spans="1:34" ht="17.25" customHeight="1" x14ac:dyDescent="0.35">
      <c r="A247" s="938"/>
      <c r="B247" s="938"/>
      <c r="C247" s="941"/>
      <c r="D247" s="1047"/>
      <c r="E247" s="941"/>
      <c r="F247" s="938"/>
      <c r="G247" s="976">
        <f t="shared" si="5"/>
        <v>244</v>
      </c>
      <c r="H247" s="942" t="s">
        <v>1291</v>
      </c>
      <c r="I247" s="1001"/>
      <c r="J247" s="1027"/>
      <c r="K247" s="1002" t="str">
        <f>IF(I!K247="","",$D$2*I!K247)</f>
        <v/>
      </c>
      <c r="L247" s="981"/>
      <c r="M247" s="982"/>
      <c r="N247" s="1003"/>
      <c r="O247" s="1004" t="str">
        <f>IF(I!O247="","",$D$2*I!O247)</f>
        <v/>
      </c>
      <c r="P247" s="1005" t="str">
        <f>IF(I!P247="","",$D$2*I!P247)</f>
        <v/>
      </c>
      <c r="Q247" s="1006" t="str">
        <f>IF(I!Q247="","",$D$2*I!Q247)</f>
        <v/>
      </c>
      <c r="R247" s="982"/>
      <c r="S247" s="1003"/>
      <c r="T247" s="938"/>
      <c r="U247" s="1008" t="s">
        <v>1059</v>
      </c>
      <c r="V247" s="1018" t="s">
        <v>6101</v>
      </c>
      <c r="W247" s="1019">
        <f>IF(I!W247="","",$D$2*I!W247)</f>
        <v>6.6249870899999994E-2</v>
      </c>
      <c r="X247" s="990">
        <f>IF(I!X247="","",$D$2*I!X247)</f>
        <v>0.20866919645400001</v>
      </c>
      <c r="Y247" s="1010">
        <f>IF(I!Y247="","",$D$2*I!Y247)</f>
        <v>0.12801936289999999</v>
      </c>
      <c r="Z247" s="938"/>
      <c r="AA247" s="938"/>
      <c r="AB247" s="938"/>
      <c r="AC247" s="938"/>
      <c r="AD247" s="1058"/>
      <c r="AE247" s="938"/>
      <c r="AF247" s="938"/>
      <c r="AG247" s="938"/>
      <c r="AH247" s="938"/>
    </row>
    <row r="248" spans="1:34" ht="17.25" customHeight="1" x14ac:dyDescent="0.35">
      <c r="A248" s="938"/>
      <c r="B248" s="938"/>
      <c r="C248" s="941"/>
      <c r="D248" s="1047"/>
      <c r="E248" s="941"/>
      <c r="F248" s="938"/>
      <c r="G248" s="976">
        <f t="shared" si="5"/>
        <v>245</v>
      </c>
      <c r="H248" s="942"/>
      <c r="I248" s="1001" t="s">
        <v>1059</v>
      </c>
      <c r="J248" s="1031" t="s">
        <v>1292</v>
      </c>
      <c r="K248" s="1002">
        <f>IF(I!K248="","",$D$2*I!K248)</f>
        <v>0.1045299304</v>
      </c>
      <c r="L248" s="981"/>
      <c r="M248" s="982"/>
      <c r="N248" s="1003"/>
      <c r="O248" s="1004">
        <f>IF(I!O248="","",$D$2*I!O248)</f>
        <v>0.44</v>
      </c>
      <c r="P248" s="1005">
        <f>IF(I!P248="","",$D$2*I!P248)</f>
        <v>0.21634547286990002</v>
      </c>
      <c r="Q248" s="1006">
        <f>IF(I!Q248="","",$D$2*I!Q248)</f>
        <v>5.3543138000000003E-10</v>
      </c>
      <c r="R248" s="982"/>
      <c r="S248" s="1003"/>
      <c r="T248" s="938"/>
      <c r="U248" s="1008" t="s">
        <v>1059</v>
      </c>
      <c r="V248" s="1018" t="s">
        <v>6102</v>
      </c>
      <c r="W248" s="1019">
        <f>IF(I!W248="","",$D$2*I!W248)</f>
        <v>0.11531550900000001</v>
      </c>
      <c r="X248" s="990">
        <f>IF(I!X248="","",$D$2*I!X248)</f>
        <v>4.9295157369999995E-2</v>
      </c>
      <c r="Y248" s="1010">
        <f>IF(I!Y248="","",$D$2*I!Y248)</f>
        <v>0.23197003900000002</v>
      </c>
      <c r="Z248" s="938"/>
      <c r="AA248" s="938"/>
      <c r="AB248" s="938"/>
      <c r="AC248" s="938"/>
      <c r="AD248" s="1058"/>
      <c r="AE248" s="938"/>
      <c r="AF248" s="938"/>
      <c r="AG248" s="938"/>
      <c r="AH248" s="938"/>
    </row>
    <row r="249" spans="1:34" ht="17.25" customHeight="1" x14ac:dyDescent="0.35">
      <c r="A249" s="938"/>
      <c r="B249" s="938"/>
      <c r="C249" s="941"/>
      <c r="D249" s="1047"/>
      <c r="E249" s="941"/>
      <c r="F249" s="938"/>
      <c r="G249" s="976">
        <f t="shared" si="5"/>
        <v>246</v>
      </c>
      <c r="H249" s="1000"/>
      <c r="I249" s="1001" t="s">
        <v>1059</v>
      </c>
      <c r="J249" s="1031" t="s">
        <v>1293</v>
      </c>
      <c r="K249" s="1002">
        <f>IF(I!K249="","",$D$2*I!K249)</f>
        <v>7.4611767070000001E-2</v>
      </c>
      <c r="L249" s="981"/>
      <c r="M249" s="982"/>
      <c r="N249" s="1003"/>
      <c r="O249" s="1004">
        <f>IF(I!O249="","",$D$2*I!O249)</f>
        <v>0.34</v>
      </c>
      <c r="P249" s="1005">
        <f>IF(I!P249="","",$D$2*I!P249)</f>
        <v>0.19005249102130001</v>
      </c>
      <c r="Q249" s="1006">
        <f>IF(I!Q249="","",$D$2*I!Q249)</f>
        <v>5.4426819999999997E-10</v>
      </c>
      <c r="R249" s="982"/>
      <c r="S249" s="1003"/>
      <c r="T249" s="938"/>
      <c r="U249" s="1008" t="s">
        <v>1059</v>
      </c>
      <c r="V249" s="1018" t="s">
        <v>6103</v>
      </c>
      <c r="W249" s="1019">
        <f>IF(I!W249="","",$D$2*I!W249)</f>
        <v>0.11147547720000001</v>
      </c>
      <c r="X249" s="990">
        <f>IF(I!X249="","",$D$2*I!X249)</f>
        <v>5.6252276499999997E-2</v>
      </c>
      <c r="Y249" s="1010">
        <f>IF(I!Y249="","",$D$2*I!Y249)</f>
        <v>0.21468514720000001</v>
      </c>
      <c r="Z249" s="938"/>
      <c r="AA249" s="938"/>
      <c r="AB249" s="938"/>
      <c r="AC249" s="938"/>
      <c r="AD249" s="1058"/>
      <c r="AE249" s="938"/>
      <c r="AF249" s="938"/>
      <c r="AG249" s="938"/>
      <c r="AH249" s="938"/>
    </row>
    <row r="250" spans="1:34" ht="17.25" customHeight="1" x14ac:dyDescent="0.35">
      <c r="A250" s="938"/>
      <c r="B250" s="938"/>
      <c r="C250" s="941"/>
      <c r="D250" s="1047"/>
      <c r="E250" s="941"/>
      <c r="F250" s="938"/>
      <c r="G250" s="976">
        <f t="shared" si="5"/>
        <v>247</v>
      </c>
      <c r="H250" s="942"/>
      <c r="I250" s="1001" t="s">
        <v>1059</v>
      </c>
      <c r="J250" s="1031" t="s">
        <v>1294</v>
      </c>
      <c r="K250" s="1002">
        <f>IF(I!K250="","",$D$2*I!K250)</f>
        <v>0.23119427450000002</v>
      </c>
      <c r="L250" s="981"/>
      <c r="M250" s="982"/>
      <c r="N250" s="1003"/>
      <c r="O250" s="1004">
        <f>IF(I!O250="","",$D$2*I!O250)</f>
        <v>0.87</v>
      </c>
      <c r="P250" s="1005">
        <f>IF(I!P250="","",$D$2*I!P250)</f>
        <v>0.68304199629259998</v>
      </c>
      <c r="Q250" s="1006">
        <f>IF(I!Q250="","",$D$2*I!Q250)</f>
        <v>6.1221588999999997E-10</v>
      </c>
      <c r="R250" s="982"/>
      <c r="S250" s="1003"/>
      <c r="T250" s="938"/>
      <c r="U250" s="1008" t="s">
        <v>1059</v>
      </c>
      <c r="V250" s="1018" t="s">
        <v>6104</v>
      </c>
      <c r="W250" s="1019">
        <f>IF(I!W250="","",$D$2*I!W250)</f>
        <v>0.1191837978</v>
      </c>
      <c r="X250" s="990">
        <f>IF(I!X250="","",$D$2*I!X250)</f>
        <v>5.8497987260000009E-2</v>
      </c>
      <c r="Y250" s="1010">
        <f>IF(I!Y250="","",$D$2*I!Y250)</f>
        <v>0.24409827779999999</v>
      </c>
      <c r="Z250" s="938"/>
      <c r="AA250" s="938"/>
      <c r="AB250" s="938"/>
      <c r="AC250" s="938"/>
      <c r="AD250" s="1058"/>
      <c r="AE250" s="938"/>
      <c r="AF250" s="938"/>
      <c r="AG250" s="938"/>
      <c r="AH250" s="938"/>
    </row>
    <row r="251" spans="1:34" ht="17.25" customHeight="1" x14ac:dyDescent="0.35">
      <c r="A251" s="938"/>
      <c r="B251" s="938"/>
      <c r="C251" s="941"/>
      <c r="D251" s="1047"/>
      <c r="E251" s="941"/>
      <c r="F251" s="938"/>
      <c r="G251" s="976">
        <f t="shared" si="5"/>
        <v>248</v>
      </c>
      <c r="H251" s="1000"/>
      <c r="I251" s="1001" t="s">
        <v>1059</v>
      </c>
      <c r="J251" s="1031" t="s">
        <v>1295</v>
      </c>
      <c r="K251" s="1002">
        <f>IF(I!K251="","",$D$2*I!K251)</f>
        <v>6.6702567849999991E-2</v>
      </c>
      <c r="L251" s="981"/>
      <c r="M251" s="982"/>
      <c r="N251" s="1003"/>
      <c r="O251" s="1004">
        <f>IF(I!O251="","",$D$2*I!O251)</f>
        <v>0.32</v>
      </c>
      <c r="P251" s="1005">
        <f>IF(I!P251="","",$D$2*I!P251)</f>
        <v>9.8341574252200012E-2</v>
      </c>
      <c r="Q251" s="1006">
        <f>IF(I!Q251="","",$D$2*I!Q251)</f>
        <v>5.4194029000000004E-10</v>
      </c>
      <c r="R251" s="982"/>
      <c r="S251" s="1003"/>
      <c r="T251" s="938"/>
      <c r="U251" s="1008" t="s">
        <v>1059</v>
      </c>
      <c r="V251" s="1018" t="s">
        <v>6105</v>
      </c>
      <c r="W251" s="1019">
        <f>IF(I!W251="","",$D$2*I!W251)</f>
        <v>0.162883948</v>
      </c>
      <c r="X251" s="990">
        <f>IF(I!X251="","",$D$2*I!X251)</f>
        <v>5.0115957069999995E-2</v>
      </c>
      <c r="Y251" s="1010">
        <f>IF(I!Y251="","",$D$2*I!Y251)</f>
        <v>0.27713350800000003</v>
      </c>
      <c r="Z251" s="938"/>
      <c r="AA251" s="938"/>
      <c r="AB251" s="938"/>
      <c r="AC251" s="938"/>
      <c r="AD251" s="1058"/>
      <c r="AE251" s="938"/>
      <c r="AF251" s="938"/>
      <c r="AG251" s="938"/>
      <c r="AH251" s="938"/>
    </row>
    <row r="252" spans="1:34" ht="17.25" customHeight="1" x14ac:dyDescent="0.35">
      <c r="A252" s="938"/>
      <c r="B252" s="938"/>
      <c r="C252" s="941"/>
      <c r="D252" s="1047"/>
      <c r="E252" s="941"/>
      <c r="F252" s="938"/>
      <c r="G252" s="976">
        <f t="shared" si="5"/>
        <v>249</v>
      </c>
      <c r="H252" s="1000"/>
      <c r="I252" s="1001" t="s">
        <v>1059</v>
      </c>
      <c r="J252" s="1031" t="s">
        <v>1296</v>
      </c>
      <c r="K252" s="1002">
        <f>IF(I!K252="","",$D$2*I!K252)</f>
        <v>6.0373516219999999E-2</v>
      </c>
      <c r="L252" s="981"/>
      <c r="M252" s="982"/>
      <c r="N252" s="1003"/>
      <c r="O252" s="1004">
        <f>IF(I!O252="","",$D$2*I!O252)</f>
        <v>0.28999999999999998</v>
      </c>
      <c r="P252" s="1005">
        <f>IF(I!P252="","",$D$2*I!P252)</f>
        <v>8.5306849493300002E-2</v>
      </c>
      <c r="Q252" s="1006">
        <f>IF(I!Q252="","",$D$2*I!Q252)</f>
        <v>4.9922765999999996E-10</v>
      </c>
      <c r="R252" s="982"/>
      <c r="S252" s="1003"/>
      <c r="T252" s="938"/>
      <c r="U252" s="1008" t="s">
        <v>1059</v>
      </c>
      <c r="V252" s="1018" t="s">
        <v>6106</v>
      </c>
      <c r="W252" s="1019">
        <f>IF(I!W252="","",$D$2*I!W252)</f>
        <v>0.12384236370000001</v>
      </c>
      <c r="X252" s="990">
        <f>IF(I!X252="","",$D$2*I!X252)</f>
        <v>5.1885318119999996E-2</v>
      </c>
      <c r="Y252" s="1010">
        <f>IF(I!Y252="","",$D$2*I!Y252)</f>
        <v>0.23147455370000003</v>
      </c>
      <c r="Z252" s="938"/>
      <c r="AA252" s="938"/>
      <c r="AB252" s="938"/>
      <c r="AC252" s="938"/>
      <c r="AD252" s="1058"/>
      <c r="AE252" s="938"/>
      <c r="AF252" s="938"/>
      <c r="AG252" s="938"/>
      <c r="AH252" s="938"/>
    </row>
    <row r="253" spans="1:34" ht="17.25" customHeight="1" x14ac:dyDescent="0.35">
      <c r="A253" s="938"/>
      <c r="B253" s="938"/>
      <c r="C253" s="941"/>
      <c r="D253" s="1047"/>
      <c r="E253" s="941"/>
      <c r="F253" s="938"/>
      <c r="G253" s="976">
        <f t="shared" si="5"/>
        <v>250</v>
      </c>
      <c r="H253" s="942"/>
      <c r="I253" s="1001" t="s">
        <v>1059</v>
      </c>
      <c r="J253" s="1031" t="s">
        <v>1297</v>
      </c>
      <c r="K253" s="1002">
        <f>IF(I!K253="","",$D$2*I!K253)</f>
        <v>0.63974862519999998</v>
      </c>
      <c r="L253" s="981"/>
      <c r="M253" s="982"/>
      <c r="N253" s="1003"/>
      <c r="O253" s="1004">
        <f>IF(I!O253="","",$D$2*I!O253)</f>
        <v>2.34</v>
      </c>
      <c r="P253" s="1005">
        <f>IF(I!P253="","",$D$2*I!P253)</f>
        <v>1.6686859690411999</v>
      </c>
      <c r="Q253" s="1006">
        <f>IF(I!Q253="","",$D$2*I!Q253)</f>
        <v>5.0991194999999995E-10</v>
      </c>
      <c r="R253" s="982"/>
      <c r="S253" s="1003"/>
      <c r="T253" s="938"/>
      <c r="U253" s="1008" t="s">
        <v>1059</v>
      </c>
      <c r="V253" s="1018" t="s">
        <v>6107</v>
      </c>
      <c r="W253" s="1019">
        <f>IF(I!W253="","",$D$2*I!W253)</f>
        <v>3.3623610970000002E-2</v>
      </c>
      <c r="X253" s="990">
        <f>IF(I!X253="","",$D$2*I!X253)</f>
        <v>1.6632036292E-2</v>
      </c>
      <c r="Y253" s="1010">
        <f>IF(I!Y253="","",$D$2*I!Y253)</f>
        <v>4.9607168970000004E-2</v>
      </c>
      <c r="Z253" s="938"/>
      <c r="AA253" s="938"/>
      <c r="AB253" s="938"/>
      <c r="AC253" s="938"/>
      <c r="AD253" s="1058"/>
      <c r="AE253" s="938"/>
      <c r="AF253" s="938"/>
      <c r="AG253" s="938"/>
      <c r="AH253" s="938"/>
    </row>
    <row r="254" spans="1:34" ht="17.25" customHeight="1" x14ac:dyDescent="0.35">
      <c r="A254" s="938"/>
      <c r="B254" s="938"/>
      <c r="C254" s="941"/>
      <c r="D254" s="1047"/>
      <c r="E254" s="941"/>
      <c r="F254" s="938"/>
      <c r="G254" s="976">
        <f t="shared" si="5"/>
        <v>251</v>
      </c>
      <c r="H254" s="1000"/>
      <c r="I254" s="1001" t="s">
        <v>1059</v>
      </c>
      <c r="J254" s="1031" t="s">
        <v>1298</v>
      </c>
      <c r="K254" s="1002">
        <f>IF(I!K254="","",$D$2*I!K254)</f>
        <v>0.18104013529999999</v>
      </c>
      <c r="L254" s="981"/>
      <c r="M254" s="982"/>
      <c r="N254" s="1003"/>
      <c r="O254" s="1004">
        <f>IF(I!O254="","",$D$2*I!O254)</f>
        <v>0.68</v>
      </c>
      <c r="P254" s="1005">
        <f>IF(I!P254="","",$D$2*I!P254)</f>
        <v>0.71629853672369992</v>
      </c>
      <c r="Q254" s="1006">
        <f>IF(I!Q254="","",$D$2*I!Q254)</f>
        <v>4.6247692000000002E-10</v>
      </c>
      <c r="R254" s="982"/>
      <c r="S254" s="1003"/>
      <c r="T254" s="938"/>
      <c r="U254" s="1008" t="s">
        <v>1059</v>
      </c>
      <c r="V254" s="1018" t="s">
        <v>6108</v>
      </c>
      <c r="W254" s="1019">
        <f>IF(I!W254="","",$D$2*I!W254)</f>
        <v>5.1084946040000009E-2</v>
      </c>
      <c r="X254" s="990">
        <f>IF(I!X254="","",$D$2*I!X254)</f>
        <v>3.7715932670000001E-2</v>
      </c>
      <c r="Y254" s="1010">
        <f>IF(I!Y254="","",$D$2*I!Y254)</f>
        <v>9.3158229040000012E-2</v>
      </c>
      <c r="Z254" s="938"/>
      <c r="AA254" s="938"/>
      <c r="AB254" s="938"/>
      <c r="AC254" s="938"/>
      <c r="AD254" s="1058"/>
      <c r="AE254" s="938"/>
      <c r="AF254" s="938"/>
      <c r="AG254" s="938"/>
      <c r="AH254" s="938"/>
    </row>
    <row r="255" spans="1:34" ht="17.25" customHeight="1" x14ac:dyDescent="0.35">
      <c r="A255" s="938"/>
      <c r="B255" s="938"/>
      <c r="C255" s="941"/>
      <c r="D255" s="1047"/>
      <c r="E255" s="941"/>
      <c r="F255" s="938"/>
      <c r="G255" s="976">
        <f t="shared" si="5"/>
        <v>252</v>
      </c>
      <c r="H255" s="1000"/>
      <c r="I255" s="1001" t="s">
        <v>1059</v>
      </c>
      <c r="J255" s="1031" t="s">
        <v>1299</v>
      </c>
      <c r="K255" s="1002">
        <f>IF(I!K255="","",$D$2*I!K255)</f>
        <v>1.14041583455</v>
      </c>
      <c r="L255" s="981"/>
      <c r="M255" s="982"/>
      <c r="N255" s="1003"/>
      <c r="O255" s="1004">
        <f>IF(I!O255="","",$D$2*I!O255)</f>
        <v>4</v>
      </c>
      <c r="P255" s="1005">
        <f>IF(I!P255="","",$D$2*I!P255)</f>
        <v>3.4135946817158</v>
      </c>
      <c r="Q255" s="1006">
        <f>IF(I!Q255="","",$D$2*I!Q255)</f>
        <v>8.2210929000000001E-10</v>
      </c>
      <c r="R255" s="982"/>
      <c r="S255" s="1003"/>
      <c r="T255" s="938"/>
      <c r="U255" s="1008" t="s">
        <v>1059</v>
      </c>
      <c r="V255" s="1018" t="s">
        <v>6109</v>
      </c>
      <c r="W255" s="1019">
        <f>IF(I!W255="","",$D$2*I!W255)</f>
        <v>4.9271892410000004E-2</v>
      </c>
      <c r="X255" s="990">
        <f>IF(I!X255="","",$D$2*I!X255)</f>
        <v>4.0767476689999999E-2</v>
      </c>
      <c r="Y255" s="1010">
        <f>IF(I!Y255="","",$D$2*I!Y255)</f>
        <v>8.4661003410000005E-2</v>
      </c>
      <c r="Z255" s="938"/>
      <c r="AA255" s="938"/>
      <c r="AB255" s="938"/>
      <c r="AC255" s="938"/>
      <c r="AD255" s="1058"/>
      <c r="AE255" s="938"/>
      <c r="AF255" s="938"/>
      <c r="AG255" s="938"/>
      <c r="AH255" s="938"/>
    </row>
    <row r="256" spans="1:34" ht="17.25" customHeight="1" x14ac:dyDescent="0.35">
      <c r="A256" s="938"/>
      <c r="B256" s="938"/>
      <c r="C256" s="941"/>
      <c r="D256" s="1047"/>
      <c r="E256" s="941"/>
      <c r="F256" s="938"/>
      <c r="G256" s="976">
        <f t="shared" si="5"/>
        <v>253</v>
      </c>
      <c r="H256" s="942" t="s">
        <v>1300</v>
      </c>
      <c r="I256" s="1001"/>
      <c r="J256" s="1027"/>
      <c r="K256" s="1002" t="str">
        <f>IF(I!K256="","",$D$2*I!K256)</f>
        <v/>
      </c>
      <c r="L256" s="981"/>
      <c r="M256" s="982"/>
      <c r="N256" s="1003"/>
      <c r="O256" s="1004" t="str">
        <f>IF(I!O256="","",$D$2*I!O256)</f>
        <v/>
      </c>
      <c r="P256" s="1005" t="str">
        <f>IF(I!P256="","",$D$2*I!P256)</f>
        <v/>
      </c>
      <c r="Q256" s="1006" t="str">
        <f>IF(I!Q256="","",$D$2*I!Q256)</f>
        <v/>
      </c>
      <c r="R256" s="982"/>
      <c r="S256" s="1003"/>
      <c r="T256" s="938"/>
      <c r="U256" s="1008" t="s">
        <v>1059</v>
      </c>
      <c r="V256" s="1018" t="s">
        <v>6110</v>
      </c>
      <c r="W256" s="1019">
        <f>IF(I!W256="","",$D$2*I!W256)</f>
        <v>5.4610156250000007E-2</v>
      </c>
      <c r="X256" s="990">
        <f>IF(I!X256="","",$D$2*I!X256)</f>
        <v>4.6448278900000001E-2</v>
      </c>
      <c r="Y256" s="1010">
        <f>IF(I!Y256="","",$D$2*I!Y256)</f>
        <v>0.10293977025000001</v>
      </c>
      <c r="Z256" s="938"/>
      <c r="AA256" s="938"/>
      <c r="AB256" s="938"/>
      <c r="AC256" s="938"/>
      <c r="AD256" s="1058"/>
      <c r="AE256" s="938"/>
      <c r="AF256" s="938"/>
      <c r="AG256" s="938"/>
      <c r="AH256" s="938"/>
    </row>
    <row r="257" spans="1:34" ht="17.25" customHeight="1" x14ac:dyDescent="0.35">
      <c r="A257" s="938"/>
      <c r="B257" s="938"/>
      <c r="C257" s="941"/>
      <c r="D257" s="1047"/>
      <c r="E257" s="941"/>
      <c r="F257" s="938"/>
      <c r="G257" s="976">
        <f t="shared" si="5"/>
        <v>254</v>
      </c>
      <c r="H257" s="1000"/>
      <c r="I257" s="1001" t="s">
        <v>1059</v>
      </c>
      <c r="J257" s="1031" t="s">
        <v>1301</v>
      </c>
      <c r="K257" s="1002">
        <f>IF(I!K257="","",$D$2*I!K257)</f>
        <v>6.1105291219999996E-2</v>
      </c>
      <c r="L257" s="981"/>
      <c r="M257" s="982"/>
      <c r="N257" s="1003"/>
      <c r="O257" s="1004">
        <f>IF(I!O257="","",$D$2*I!O257)</f>
        <v>0.28999999999999998</v>
      </c>
      <c r="P257" s="1005">
        <f>IF(I!P257="","",$D$2*I!P257)</f>
        <v>8.54915419446E-2</v>
      </c>
      <c r="Q257" s="1006">
        <f>IF(I!Q257="","",$D$2*I!Q257)</f>
        <v>5.0390001000000003E-10</v>
      </c>
      <c r="R257" s="982"/>
      <c r="S257" s="1003"/>
      <c r="T257" s="938"/>
      <c r="U257" s="1008" t="s">
        <v>1059</v>
      </c>
      <c r="V257" s="1018" t="s">
        <v>6111</v>
      </c>
      <c r="W257" s="1019">
        <f>IF(I!W257="","",$D$2*I!W257)</f>
        <v>8.4876873000000005E-2</v>
      </c>
      <c r="X257" s="990">
        <f>IF(I!X257="","",$D$2*I!X257)</f>
        <v>3.9144916949999997E-2</v>
      </c>
      <c r="Y257" s="1010">
        <f>IF(I!Y257="","",$D$2*I!Y257)</f>
        <v>0.12427750900000001</v>
      </c>
      <c r="Z257" s="938"/>
      <c r="AA257" s="938"/>
      <c r="AB257" s="938"/>
      <c r="AC257" s="938"/>
      <c r="AD257" s="1058"/>
      <c r="AE257" s="938"/>
      <c r="AF257" s="938"/>
      <c r="AG257" s="938"/>
      <c r="AH257" s="938"/>
    </row>
    <row r="258" spans="1:34" ht="17.25" customHeight="1" x14ac:dyDescent="0.35">
      <c r="A258" s="938"/>
      <c r="B258" s="938"/>
      <c r="C258" s="941"/>
      <c r="D258" s="1047"/>
      <c r="E258" s="941"/>
      <c r="F258" s="938"/>
      <c r="G258" s="976">
        <f t="shared" si="5"/>
        <v>255</v>
      </c>
      <c r="H258" s="1000"/>
      <c r="I258" s="1001" t="s">
        <v>1059</v>
      </c>
      <c r="J258" s="1031" t="s">
        <v>1302</v>
      </c>
      <c r="K258" s="1002">
        <f>IF(I!K258="","",$D$2*I!K258)</f>
        <v>6.1105291219999996E-2</v>
      </c>
      <c r="L258" s="981"/>
      <c r="M258" s="982"/>
      <c r="N258" s="1003"/>
      <c r="O258" s="1004">
        <f>IF(I!O258="","",$D$2*I!O258)</f>
        <v>0.28999999999999998</v>
      </c>
      <c r="P258" s="1005">
        <f>IF(I!P258="","",$D$2*I!P258)</f>
        <v>8.54915419446E-2</v>
      </c>
      <c r="Q258" s="1006">
        <f>IF(I!Q258="","",$D$2*I!Q258)</f>
        <v>5.0390001000000003E-10</v>
      </c>
      <c r="R258" s="982"/>
      <c r="S258" s="1003"/>
      <c r="T258" s="938"/>
      <c r="U258" s="1008" t="s">
        <v>1059</v>
      </c>
      <c r="V258" s="1018" t="s">
        <v>6112</v>
      </c>
      <c r="W258" s="1019">
        <f>IF(I!W258="","",$D$2*I!W258)</f>
        <v>4.2330221799999998E-2</v>
      </c>
      <c r="X258" s="990">
        <f>IF(I!X258="","",$D$2*I!X258)</f>
        <v>3.0168416850000001E-2</v>
      </c>
      <c r="Y258" s="1010">
        <f>IF(I!Y258="","",$D$2*I!Y258)</f>
        <v>7.7710696800000006E-2</v>
      </c>
      <c r="Z258" s="938"/>
      <c r="AA258" s="938"/>
      <c r="AB258" s="938"/>
      <c r="AC258" s="938"/>
      <c r="AD258" s="1058"/>
      <c r="AE258" s="938"/>
      <c r="AF258" s="938"/>
      <c r="AG258" s="938"/>
      <c r="AH258" s="938"/>
    </row>
    <row r="259" spans="1:34" ht="17.25" customHeight="1" x14ac:dyDescent="0.35">
      <c r="A259" s="938"/>
      <c r="B259" s="938"/>
      <c r="C259" s="941"/>
      <c r="D259" s="1047"/>
      <c r="E259" s="941"/>
      <c r="F259" s="938"/>
      <c r="G259" s="976">
        <f t="shared" si="5"/>
        <v>256</v>
      </c>
      <c r="H259" s="1000"/>
      <c r="I259" s="1001" t="s">
        <v>1059</v>
      </c>
      <c r="J259" s="1031" t="s">
        <v>1303</v>
      </c>
      <c r="K259" s="1002">
        <f>IF(I!K259="","",$D$2*I!K259)</f>
        <v>6.1105291219999996E-2</v>
      </c>
      <c r="L259" s="981"/>
      <c r="M259" s="982"/>
      <c r="N259" s="1003"/>
      <c r="O259" s="1004">
        <f>IF(I!O259="","",$D$2*I!O259)</f>
        <v>0.28999999999999998</v>
      </c>
      <c r="P259" s="1005">
        <f>IF(I!P259="","",$D$2*I!P259)</f>
        <v>8.54915419446E-2</v>
      </c>
      <c r="Q259" s="1006">
        <f>IF(I!Q259="","",$D$2*I!Q259)</f>
        <v>5.0390001000000003E-10</v>
      </c>
      <c r="R259" s="982"/>
      <c r="S259" s="1003"/>
      <c r="T259" s="938"/>
      <c r="U259" s="1008" t="s">
        <v>1059</v>
      </c>
      <c r="V259" s="1018" t="s">
        <v>6113</v>
      </c>
      <c r="W259" s="1019">
        <f>IF(I!W259="","",$D$2*I!W259)</f>
        <v>4.1094175489999996E-2</v>
      </c>
      <c r="X259" s="990">
        <f>IF(I!X259="","",$D$2*I!X259)</f>
        <v>3.2461166429999994E-2</v>
      </c>
      <c r="Y259" s="1010">
        <f>IF(I!Y259="","",$D$2*I!Y259)</f>
        <v>7.1467167489999997E-2</v>
      </c>
      <c r="Z259" s="938"/>
      <c r="AA259" s="938"/>
      <c r="AB259" s="938"/>
      <c r="AC259" s="938"/>
      <c r="AD259" s="1058"/>
      <c r="AE259" s="938"/>
      <c r="AF259" s="938"/>
      <c r="AG259" s="938"/>
      <c r="AH259" s="938"/>
    </row>
    <row r="260" spans="1:34" ht="17.25" customHeight="1" x14ac:dyDescent="0.35">
      <c r="A260" s="938"/>
      <c r="B260" s="938"/>
      <c r="C260" s="941"/>
      <c r="D260" s="1047"/>
      <c r="E260" s="941"/>
      <c r="F260" s="938"/>
      <c r="G260" s="976">
        <f t="shared" si="5"/>
        <v>257</v>
      </c>
      <c r="H260" s="1000"/>
      <c r="I260" s="1001" t="s">
        <v>1059</v>
      </c>
      <c r="J260" s="1031" t="s">
        <v>1304</v>
      </c>
      <c r="K260" s="1002">
        <f>IF(I!K260="","",$D$2*I!K260)</f>
        <v>6.1105291219999996E-2</v>
      </c>
      <c r="L260" s="981"/>
      <c r="M260" s="982"/>
      <c r="N260" s="1003"/>
      <c r="O260" s="1004">
        <f>IF(I!O260="","",$D$2*I!O260)</f>
        <v>0.28999999999999998</v>
      </c>
      <c r="P260" s="1005">
        <f>IF(I!P260="","",$D$2*I!P260)</f>
        <v>8.54915419446E-2</v>
      </c>
      <c r="Q260" s="1006">
        <f>IF(I!Q260="","",$D$2*I!Q260)</f>
        <v>5.0390001000000003E-10</v>
      </c>
      <c r="R260" s="982"/>
      <c r="S260" s="1003"/>
      <c r="T260" s="938"/>
      <c r="U260" s="1008" t="s">
        <v>1059</v>
      </c>
      <c r="V260" s="1018" t="s">
        <v>6114</v>
      </c>
      <c r="W260" s="1019">
        <f>IF(I!W260="","",$D$2*I!W260)</f>
        <v>4.5133592920000007E-2</v>
      </c>
      <c r="X260" s="990">
        <f>IF(I!X260="","",$D$2*I!X260)</f>
        <v>3.7237813470000006E-2</v>
      </c>
      <c r="Y260" s="1010">
        <f>IF(I!Y260="","",$D$2*I!Y260)</f>
        <v>8.538891992E-2</v>
      </c>
      <c r="Z260" s="938"/>
      <c r="AA260" s="938"/>
      <c r="AB260" s="938"/>
      <c r="AC260" s="938"/>
      <c r="AD260" s="1058"/>
      <c r="AE260" s="938"/>
      <c r="AF260" s="938"/>
      <c r="AG260" s="938"/>
      <c r="AH260" s="938"/>
    </row>
    <row r="261" spans="1:34" ht="17.25" customHeight="1" x14ac:dyDescent="0.35">
      <c r="A261" s="938"/>
      <c r="B261" s="938"/>
      <c r="C261" s="941"/>
      <c r="D261" s="1047"/>
      <c r="E261" s="941"/>
      <c r="F261" s="938"/>
      <c r="G261" s="976">
        <f t="shared" si="5"/>
        <v>258</v>
      </c>
      <c r="H261" s="942" t="s">
        <v>1305</v>
      </c>
      <c r="I261" s="1001"/>
      <c r="J261" s="1027"/>
      <c r="K261" s="1002" t="str">
        <f>IF(I!K261="","",$D$2*I!K261)</f>
        <v/>
      </c>
      <c r="L261" s="981"/>
      <c r="M261" s="982"/>
      <c r="N261" s="1003"/>
      <c r="O261" s="1004" t="str">
        <f>IF(I!O261="","",$D$2*I!O261)</f>
        <v/>
      </c>
      <c r="P261" s="1005" t="str">
        <f>IF(I!P261="","",$D$2*I!P261)</f>
        <v/>
      </c>
      <c r="Q261" s="1006" t="str">
        <f>IF(I!Q261="","",$D$2*I!Q261)</f>
        <v/>
      </c>
      <c r="R261" s="982"/>
      <c r="S261" s="1003"/>
      <c r="T261" s="938"/>
      <c r="U261" s="1008" t="s">
        <v>1059</v>
      </c>
      <c r="V261" s="1018" t="s">
        <v>6115</v>
      </c>
      <c r="W261" s="1019">
        <f>IF(I!W261="","",$D$2*I!W261)</f>
        <v>6.9186142269999987E-2</v>
      </c>
      <c r="X261" s="990">
        <f>IF(I!X261="","",$D$2*I!X261)</f>
        <v>3.1361592469999998E-2</v>
      </c>
      <c r="Y261" s="1010">
        <f>IF(I!Y261="","",$D$2*I!Y261)</f>
        <v>0.10239347826999998</v>
      </c>
      <c r="Z261" s="938"/>
      <c r="AA261" s="938"/>
      <c r="AB261" s="938"/>
      <c r="AC261" s="938"/>
      <c r="AD261" s="1058"/>
      <c r="AE261" s="938"/>
      <c r="AF261" s="938"/>
      <c r="AG261" s="938"/>
      <c r="AH261" s="938"/>
    </row>
    <row r="262" spans="1:34" ht="17.25" customHeight="1" x14ac:dyDescent="0.35">
      <c r="A262" s="938"/>
      <c r="B262" s="938"/>
      <c r="C262" s="941"/>
      <c r="D262" s="1047"/>
      <c r="E262" s="941"/>
      <c r="F262" s="938"/>
      <c r="G262" s="976">
        <f t="shared" ref="G262:G325" si="6">G261+1</f>
        <v>259</v>
      </c>
      <c r="H262" s="1000"/>
      <c r="I262" s="1001" t="s">
        <v>1059</v>
      </c>
      <c r="J262" s="1031" t="s">
        <v>1306</v>
      </c>
      <c r="K262" s="1002">
        <f>IF(I!K262="","",$D$2*I!K262)</f>
        <v>7.9040064320000006E-2</v>
      </c>
      <c r="L262" s="981"/>
      <c r="M262" s="982"/>
      <c r="N262" s="1003"/>
      <c r="O262" s="1004">
        <f>IF(I!O262="","",$D$2*I!O262)</f>
        <v>0.35</v>
      </c>
      <c r="P262" s="1005">
        <f>IF(I!P262="","",$D$2*I!P262)</f>
        <v>0.23081183352449999</v>
      </c>
      <c r="Q262" s="1006">
        <f>IF(I!Q262="","",$D$2*I!Q262)</f>
        <v>5.4100913000000003E-10</v>
      </c>
      <c r="R262" s="982"/>
      <c r="S262" s="1003"/>
      <c r="T262" s="938"/>
      <c r="U262" s="1008" t="s">
        <v>1059</v>
      </c>
      <c r="V262" s="1018" t="s">
        <v>6116</v>
      </c>
      <c r="W262" s="1019">
        <f>IF(I!W262="","",$D$2*I!W262)</f>
        <v>0.18671199899999996</v>
      </c>
      <c r="X262" s="990">
        <f>IF(I!X262="","",$D$2*I!X262)</f>
        <v>0.13722354504000001</v>
      </c>
      <c r="Y262" s="1010">
        <f>IF(I!Y262="","",$D$2*I!Y262)</f>
        <v>0.33665137899999997</v>
      </c>
      <c r="Z262" s="938"/>
      <c r="AA262" s="938"/>
      <c r="AB262" s="938"/>
      <c r="AC262" s="938"/>
      <c r="AD262" s="1058"/>
      <c r="AE262" s="938"/>
      <c r="AF262" s="938"/>
      <c r="AG262" s="938"/>
      <c r="AH262" s="938"/>
    </row>
    <row r="263" spans="1:34" ht="17.25" customHeight="1" x14ac:dyDescent="0.35">
      <c r="A263" s="938"/>
      <c r="B263" s="938"/>
      <c r="C263" s="941"/>
      <c r="D263" s="1047"/>
      <c r="E263" s="941"/>
      <c r="F263" s="938"/>
      <c r="G263" s="976">
        <f t="shared" si="6"/>
        <v>260</v>
      </c>
      <c r="H263" s="1000"/>
      <c r="I263" s="1001" t="s">
        <v>1059</v>
      </c>
      <c r="J263" s="1031" t="s">
        <v>1307</v>
      </c>
      <c r="K263" s="1002">
        <f>IF(I!K263="","",$D$2*I!K263)</f>
        <v>8.5947532229999998E-2</v>
      </c>
      <c r="L263" s="981"/>
      <c r="M263" s="982"/>
      <c r="N263" s="1003"/>
      <c r="O263" s="1004">
        <f>IF(I!O263="","",$D$2*I!O263)</f>
        <v>0.36</v>
      </c>
      <c r="P263" s="1005">
        <f>IF(I!P263="","",$D$2*I!P263)</f>
        <v>0.19785968429999998</v>
      </c>
      <c r="Q263" s="1006">
        <f>IF(I!Q263="","",$D$2*I!Q263)</f>
        <v>5.2508534999999996E-10</v>
      </c>
      <c r="R263" s="982"/>
      <c r="S263" s="1003"/>
      <c r="T263" s="938"/>
      <c r="U263" s="1008" t="s">
        <v>1059</v>
      </c>
      <c r="V263" s="1018" t="s">
        <v>6117</v>
      </c>
      <c r="W263" s="1019">
        <f>IF(I!W263="","",$D$2*I!W263)</f>
        <v>0.18078719770000001</v>
      </c>
      <c r="X263" s="990">
        <f>IF(I!X263="","",$D$2*I!X263)</f>
        <v>0.14588974123999998</v>
      </c>
      <c r="Y263" s="1010">
        <f>IF(I!Y263="","",$D$2*I!Y263)</f>
        <v>0.30995535770000004</v>
      </c>
      <c r="Z263" s="938"/>
      <c r="AA263" s="938"/>
      <c r="AB263" s="938"/>
      <c r="AC263" s="938"/>
      <c r="AD263" s="1058"/>
      <c r="AE263" s="938"/>
      <c r="AF263" s="938"/>
      <c r="AG263" s="938"/>
      <c r="AH263" s="938"/>
    </row>
    <row r="264" spans="1:34" ht="17.25" customHeight="1" x14ac:dyDescent="0.35">
      <c r="A264" s="938"/>
      <c r="B264" s="938"/>
      <c r="C264" s="941"/>
      <c r="D264" s="1047"/>
      <c r="E264" s="941"/>
      <c r="F264" s="938"/>
      <c r="G264" s="976">
        <f t="shared" si="6"/>
        <v>261</v>
      </c>
      <c r="H264" s="1000"/>
      <c r="I264" s="1001" t="s">
        <v>1059</v>
      </c>
      <c r="J264" s="1031" t="s">
        <v>1308</v>
      </c>
      <c r="K264" s="1002">
        <f>IF(I!K264="","",$D$2*I!K264)</f>
        <v>6.1105291219999996E-2</v>
      </c>
      <c r="L264" s="981"/>
      <c r="M264" s="982"/>
      <c r="N264" s="1003"/>
      <c r="O264" s="1004">
        <f>IF(I!O264="","",$D$2*I!O264)</f>
        <v>0.28999999999999998</v>
      </c>
      <c r="P264" s="1005">
        <f>IF(I!P264="","",$D$2*I!P264)</f>
        <v>8.54915419446E-2</v>
      </c>
      <c r="Q264" s="1006">
        <f>IF(I!Q264="","",$D$2*I!Q264)</f>
        <v>5.0390001000000003E-10</v>
      </c>
      <c r="R264" s="982"/>
      <c r="S264" s="1003"/>
      <c r="T264" s="938"/>
      <c r="U264" s="1008" t="s">
        <v>1059</v>
      </c>
      <c r="V264" s="1018" t="s">
        <v>6118</v>
      </c>
      <c r="W264" s="1019">
        <f>IF(I!W264="","",$D$2*I!W264)</f>
        <v>0.2001424899</v>
      </c>
      <c r="X264" s="990">
        <f>IF(I!X264="","",$D$2*I!X264)</f>
        <v>0.17037000349</v>
      </c>
      <c r="Y264" s="1010">
        <f>IF(I!Y264="","",$D$2*I!Y264)</f>
        <v>0.37296339989999999</v>
      </c>
      <c r="Z264" s="938"/>
      <c r="AA264" s="938"/>
      <c r="AB264" s="938"/>
      <c r="AC264" s="938"/>
      <c r="AD264" s="1058"/>
      <c r="AE264" s="938"/>
      <c r="AF264" s="938"/>
      <c r="AG264" s="938"/>
      <c r="AH264" s="938"/>
    </row>
    <row r="265" spans="1:34" ht="17.25" customHeight="1" x14ac:dyDescent="0.35">
      <c r="A265" s="938"/>
      <c r="B265" s="938"/>
      <c r="C265" s="941"/>
      <c r="D265" s="1047"/>
      <c r="E265" s="941"/>
      <c r="F265" s="938"/>
      <c r="G265" s="976">
        <f t="shared" si="6"/>
        <v>262</v>
      </c>
      <c r="H265" s="1000"/>
      <c r="I265" s="1001" t="s">
        <v>1059</v>
      </c>
      <c r="J265" s="1031" t="s">
        <v>1309</v>
      </c>
      <c r="K265" s="1002">
        <f>IF(I!K265="","",$D$2*I!K265)</f>
        <v>6.1105291219999996E-2</v>
      </c>
      <c r="L265" s="981"/>
      <c r="M265" s="982"/>
      <c r="N265" s="1003"/>
      <c r="O265" s="1004">
        <f>IF(I!O265="","",$D$2*I!O265)</f>
        <v>0.28999999999999998</v>
      </c>
      <c r="P265" s="1005">
        <f>IF(I!P265="","",$D$2*I!P265)</f>
        <v>8.54915419446E-2</v>
      </c>
      <c r="Q265" s="1006">
        <f>IF(I!Q265="","",$D$2*I!Q265)</f>
        <v>5.0390001000000003E-10</v>
      </c>
      <c r="R265" s="982"/>
      <c r="S265" s="1003"/>
      <c r="T265" s="938"/>
      <c r="U265" s="1008" t="s">
        <v>1059</v>
      </c>
      <c r="V265" s="1018" t="s">
        <v>6119</v>
      </c>
      <c r="W265" s="1019">
        <f>IF(I!W265="","",$D$2*I!W265)</f>
        <v>0.30539695859999999</v>
      </c>
      <c r="X265" s="990">
        <f>IF(I!X265="","",$D$2*I!X265)</f>
        <v>0.1431671753</v>
      </c>
      <c r="Y265" s="1010">
        <f>IF(I!Y265="","",$D$2*I!Y265)</f>
        <v>0.44483106859999999</v>
      </c>
      <c r="Z265" s="938"/>
      <c r="AA265" s="938"/>
      <c r="AB265" s="938"/>
      <c r="AC265" s="938"/>
      <c r="AD265" s="1058"/>
      <c r="AE265" s="938"/>
      <c r="AF265" s="938"/>
      <c r="AG265" s="938"/>
      <c r="AH265" s="938"/>
    </row>
    <row r="266" spans="1:34" ht="17.25" customHeight="1" x14ac:dyDescent="0.35">
      <c r="A266" s="938"/>
      <c r="B266" s="938"/>
      <c r="C266" s="941"/>
      <c r="D266" s="1047"/>
      <c r="E266" s="941"/>
      <c r="F266" s="938"/>
      <c r="G266" s="976">
        <f t="shared" si="6"/>
        <v>263</v>
      </c>
      <c r="H266" s="942" t="s">
        <v>1310</v>
      </c>
      <c r="I266" s="1001"/>
      <c r="J266" s="1027"/>
      <c r="K266" s="1002" t="str">
        <f>IF(I!K266="","",$D$2*I!K266)</f>
        <v/>
      </c>
      <c r="L266" s="981"/>
      <c r="M266" s="982"/>
      <c r="N266" s="1003"/>
      <c r="O266" s="1004" t="str">
        <f>IF(I!O266="","",$D$2*I!O266)</f>
        <v/>
      </c>
      <c r="P266" s="1005" t="str">
        <f>IF(I!P266="","",$D$2*I!P266)</f>
        <v/>
      </c>
      <c r="Q266" s="1006" t="str">
        <f>IF(I!Q266="","",$D$2*I!Q266)</f>
        <v/>
      </c>
      <c r="R266" s="982"/>
      <c r="S266" s="1003"/>
      <c r="T266" s="938"/>
      <c r="U266" s="1008" t="s">
        <v>1059</v>
      </c>
      <c r="V266" s="1018" t="s">
        <v>6120</v>
      </c>
      <c r="W266" s="1019">
        <f>IF(I!W266="","",$D$2*I!W266)</f>
        <v>0.12504680610000002</v>
      </c>
      <c r="X266" s="990">
        <f>IF(I!X266="","",$D$2*I!X266)</f>
        <v>4.7876685260000003E-2</v>
      </c>
      <c r="Y266" s="1010">
        <f>IF(I!Y266="","",$D$2*I!Y266)</f>
        <v>0.30869903610000005</v>
      </c>
      <c r="Z266" s="938"/>
      <c r="AA266" s="938"/>
      <c r="AB266" s="938"/>
      <c r="AC266" s="938"/>
      <c r="AD266" s="1058"/>
      <c r="AE266" s="938"/>
      <c r="AF266" s="938"/>
      <c r="AG266" s="938"/>
      <c r="AH266" s="938"/>
    </row>
    <row r="267" spans="1:34" ht="17.25" customHeight="1" x14ac:dyDescent="0.35">
      <c r="A267" s="938"/>
      <c r="B267" s="938"/>
      <c r="C267" s="941"/>
      <c r="D267" s="1047"/>
      <c r="E267" s="941"/>
      <c r="F267" s="938"/>
      <c r="G267" s="976">
        <f t="shared" si="6"/>
        <v>264</v>
      </c>
      <c r="H267" s="942"/>
      <c r="I267" s="1001" t="s">
        <v>1059</v>
      </c>
      <c r="J267" s="1031" t="s">
        <v>1311</v>
      </c>
      <c r="K267" s="1002">
        <f>IF(I!K267="","",$D$2*I!K267)</f>
        <v>0.1705186819</v>
      </c>
      <c r="L267" s="981"/>
      <c r="M267" s="982"/>
      <c r="N267" s="1003"/>
      <c r="O267" s="1004">
        <f>IF(I!O267="","",$D$2*I!O267)</f>
        <v>0.68</v>
      </c>
      <c r="P267" s="1005">
        <f>IF(I!P267="","",$D$2*I!P267)</f>
        <v>0.39904549199349998</v>
      </c>
      <c r="Q267" s="1006">
        <f>IF(I!Q267="","",$D$2*I!Q267)</f>
        <v>5.6164208E-10</v>
      </c>
      <c r="R267" s="982"/>
      <c r="S267" s="1003"/>
      <c r="T267" s="938"/>
      <c r="U267" s="1008" t="s">
        <v>1059</v>
      </c>
      <c r="V267" s="1018" t="s">
        <v>6121</v>
      </c>
      <c r="W267" s="1019">
        <f>IF(I!W267="","",$D$2*I!W267)</f>
        <v>0.12709415800000001</v>
      </c>
      <c r="X267" s="990">
        <f>IF(I!X267="","",$D$2*I!X267)</f>
        <v>5.5738114350000006E-2</v>
      </c>
      <c r="Y267" s="1010">
        <f>IF(I!Y267="","",$D$2*I!Y267)</f>
        <v>0.30040946800000001</v>
      </c>
      <c r="Z267" s="938"/>
      <c r="AA267" s="938"/>
      <c r="AB267" s="938"/>
      <c r="AC267" s="938"/>
      <c r="AD267" s="1058"/>
      <c r="AE267" s="938"/>
      <c r="AF267" s="938"/>
      <c r="AG267" s="938"/>
      <c r="AH267" s="938"/>
    </row>
    <row r="268" spans="1:34" ht="17.25" customHeight="1" x14ac:dyDescent="0.35">
      <c r="A268" s="938"/>
      <c r="B268" s="938"/>
      <c r="C268" s="941"/>
      <c r="D268" s="1047"/>
      <c r="E268" s="941"/>
      <c r="F268" s="938"/>
      <c r="G268" s="976">
        <f t="shared" si="6"/>
        <v>265</v>
      </c>
      <c r="H268" s="1000"/>
      <c r="I268" s="1001" t="s">
        <v>1059</v>
      </c>
      <c r="J268" s="1031" t="s">
        <v>1312</v>
      </c>
      <c r="K268" s="1002">
        <f>IF(I!K268="","",$D$2*I!K268)</f>
        <v>7.0715794849999999E-2</v>
      </c>
      <c r="L268" s="981"/>
      <c r="M268" s="982"/>
      <c r="N268" s="1003"/>
      <c r="O268" s="1004">
        <f>IF(I!O268="","",$D$2*I!O268)</f>
        <v>0.33</v>
      </c>
      <c r="P268" s="1005">
        <f>IF(I!P268="","",$D$2*I!P268)</f>
        <v>9.9153108982399998E-2</v>
      </c>
      <c r="Q268" s="1006">
        <f>IF(I!Q268="","",$D$2*I!Q268)</f>
        <v>5.2640308000000003E-10</v>
      </c>
      <c r="R268" s="982"/>
      <c r="S268" s="1003"/>
      <c r="T268" s="938"/>
      <c r="U268" s="1008" t="s">
        <v>1059</v>
      </c>
      <c r="V268" s="1018" t="s">
        <v>6122</v>
      </c>
      <c r="W268" s="1019">
        <f>IF(I!W268="","",$D$2*I!W268)</f>
        <v>0.12666007379999999</v>
      </c>
      <c r="X268" s="990">
        <f>IF(I!X268="","",$D$2*I!X268)</f>
        <v>5.6209967749999999E-2</v>
      </c>
      <c r="Y268" s="1010">
        <f>IF(I!Y268="","",$D$2*I!Y268)</f>
        <v>0.31347713379999997</v>
      </c>
      <c r="Z268" s="938"/>
      <c r="AA268" s="938"/>
      <c r="AB268" s="938"/>
      <c r="AC268" s="938"/>
      <c r="AD268" s="1058"/>
      <c r="AE268" s="938"/>
      <c r="AF268" s="938"/>
      <c r="AG268" s="938"/>
      <c r="AH268" s="938"/>
    </row>
    <row r="269" spans="1:34" ht="17.25" customHeight="1" x14ac:dyDescent="0.35">
      <c r="A269" s="938"/>
      <c r="B269" s="938"/>
      <c r="C269" s="941"/>
      <c r="D269" s="1047"/>
      <c r="E269" s="941"/>
      <c r="F269" s="938"/>
      <c r="G269" s="976">
        <f t="shared" si="6"/>
        <v>266</v>
      </c>
      <c r="H269" s="1000"/>
      <c r="I269" s="1001" t="s">
        <v>1059</v>
      </c>
      <c r="J269" s="1031" t="s">
        <v>1313</v>
      </c>
      <c r="K269" s="1002">
        <f>IF(I!K269="","",$D$2*I!K269)</f>
        <v>0.1363513415</v>
      </c>
      <c r="L269" s="981"/>
      <c r="M269" s="982"/>
      <c r="N269" s="1003"/>
      <c r="O269" s="1004">
        <f>IF(I!O269="","",$D$2*I!O269)</f>
        <v>0.56000000000000005</v>
      </c>
      <c r="P269" s="1005">
        <f>IF(I!P269="","",$D$2*I!P269)</f>
        <v>0.28304233813230006</v>
      </c>
      <c r="Q269" s="1006">
        <f>IF(I!Q269="","",$D$2*I!Q269)</f>
        <v>5.4206860000000004E-10</v>
      </c>
      <c r="R269" s="982"/>
      <c r="S269" s="1003"/>
      <c r="T269" s="938"/>
      <c r="U269" s="1008" t="s">
        <v>1059</v>
      </c>
      <c r="V269" s="1018" t="s">
        <v>6123</v>
      </c>
      <c r="W269" s="1019">
        <f>IF(I!W269="","",$D$2*I!W269)</f>
        <v>0.17613728040000001</v>
      </c>
      <c r="X269" s="990">
        <f>IF(I!X269="","",$D$2*I!X269)</f>
        <v>4.8504715059999995E-2</v>
      </c>
      <c r="Y269" s="1010">
        <f>IF(I!Y269="","",$D$2*I!Y269)</f>
        <v>0.35823951040000002</v>
      </c>
      <c r="Z269" s="938"/>
      <c r="AA269" s="938"/>
      <c r="AB269" s="938"/>
      <c r="AC269" s="938"/>
      <c r="AD269" s="1058"/>
      <c r="AE269" s="938"/>
      <c r="AF269" s="938"/>
      <c r="AG269" s="938"/>
      <c r="AH269" s="938"/>
    </row>
    <row r="270" spans="1:34" ht="17.25" customHeight="1" x14ac:dyDescent="0.35">
      <c r="A270" s="938"/>
      <c r="B270" s="938"/>
      <c r="C270" s="941"/>
      <c r="D270" s="1047"/>
      <c r="E270" s="941"/>
      <c r="F270" s="938"/>
      <c r="G270" s="976">
        <f t="shared" si="6"/>
        <v>267</v>
      </c>
      <c r="H270" s="1000"/>
      <c r="I270" s="1001" t="s">
        <v>1059</v>
      </c>
      <c r="J270" s="1031" t="s">
        <v>1314</v>
      </c>
      <c r="K270" s="1002">
        <f>IF(I!K270="","",$D$2*I!K270)</f>
        <v>8.1083377839999998E-2</v>
      </c>
      <c r="L270" s="981"/>
      <c r="M270" s="982"/>
      <c r="N270" s="1003"/>
      <c r="O270" s="1004">
        <f>IF(I!O270="","",$D$2*I!O270)</f>
        <v>0.36</v>
      </c>
      <c r="P270" s="1005">
        <f>IF(I!P270="","",$D$2*I!P270)</f>
        <v>0.21830103211599999</v>
      </c>
      <c r="Q270" s="1006">
        <f>IF(I!Q270="","",$D$2*I!Q270)</f>
        <v>5.2304054999999995E-10</v>
      </c>
      <c r="R270" s="982"/>
      <c r="S270" s="1003"/>
      <c r="T270" s="938"/>
      <c r="U270" s="1008" t="s">
        <v>1059</v>
      </c>
      <c r="V270" s="1018" t="s">
        <v>6124</v>
      </c>
      <c r="W270" s="1019">
        <f>IF(I!W270="","",$D$2*I!W270)</f>
        <v>3.2943985340000002E-2</v>
      </c>
      <c r="X270" s="990">
        <f>IF(I!X270="","",$D$2*I!X270)</f>
        <v>2.0891048719000001E-2</v>
      </c>
      <c r="Y270" s="1010">
        <f>IF(I!Y270="","",$D$2*I!Y270)</f>
        <v>9.0238897340000013E-2</v>
      </c>
      <c r="Z270" s="938"/>
      <c r="AA270" s="938"/>
      <c r="AB270" s="938"/>
      <c r="AC270" s="938"/>
      <c r="AD270" s="1058"/>
      <c r="AE270" s="938"/>
      <c r="AF270" s="938"/>
      <c r="AG270" s="938"/>
      <c r="AH270" s="938"/>
    </row>
    <row r="271" spans="1:34" ht="17.25" customHeight="1" x14ac:dyDescent="0.35">
      <c r="A271" s="938"/>
      <c r="B271" s="938"/>
      <c r="C271" s="941"/>
      <c r="D271" s="1047"/>
      <c r="E271" s="941"/>
      <c r="F271" s="938"/>
      <c r="G271" s="976">
        <f t="shared" si="6"/>
        <v>268</v>
      </c>
      <c r="H271" s="1000"/>
      <c r="I271" s="1001" t="s">
        <v>1059</v>
      </c>
      <c r="J271" s="1031" t="s">
        <v>1315</v>
      </c>
      <c r="K271" s="1002">
        <f>IF(I!K271="","",$D$2*I!K271)</f>
        <v>0.14656726710000001</v>
      </c>
      <c r="L271" s="981"/>
      <c r="M271" s="982"/>
      <c r="N271" s="1003"/>
      <c r="O271" s="1004">
        <f>IF(I!O271="","",$D$2*I!O271)</f>
        <v>0.56999999999999995</v>
      </c>
      <c r="P271" s="1005">
        <f>IF(I!P271="","",$D$2*I!P271)</f>
        <v>0.4644064127375</v>
      </c>
      <c r="Q271" s="1006">
        <f>IF(I!Q271="","",$D$2*I!Q271)</f>
        <v>5.3999935E-10</v>
      </c>
      <c r="R271" s="982"/>
      <c r="S271" s="1003"/>
      <c r="T271" s="938"/>
      <c r="U271" s="1008" t="s">
        <v>1059</v>
      </c>
      <c r="V271" s="1018" t="s">
        <v>6125</v>
      </c>
      <c r="W271" s="1019">
        <f>IF(I!W271="","",$D$2*I!W271)</f>
        <v>3.4295083890000001E-2</v>
      </c>
      <c r="X271" s="990">
        <f>IF(I!X271="","",$D$2*I!X271)</f>
        <v>2.3284476906000003E-2</v>
      </c>
      <c r="Y271" s="1010">
        <f>IF(I!Y271="","",$D$2*I!Y271)</f>
        <v>8.8677166889999992E-2</v>
      </c>
      <c r="Z271" s="938"/>
      <c r="AA271" s="938"/>
      <c r="AB271" s="938"/>
      <c r="AC271" s="938"/>
      <c r="AD271" s="1058"/>
      <c r="AE271" s="938"/>
      <c r="AF271" s="938"/>
      <c r="AG271" s="938"/>
      <c r="AH271" s="938"/>
    </row>
    <row r="272" spans="1:34" ht="17.25" customHeight="1" x14ac:dyDescent="0.35">
      <c r="A272" s="938"/>
      <c r="B272" s="938"/>
      <c r="C272" s="941"/>
      <c r="D272" s="1047"/>
      <c r="E272" s="941"/>
      <c r="F272" s="938"/>
      <c r="G272" s="976">
        <f t="shared" si="6"/>
        <v>269</v>
      </c>
      <c r="H272" s="1000"/>
      <c r="I272" s="1001" t="s">
        <v>1059</v>
      </c>
      <c r="J272" s="1031" t="s">
        <v>1316</v>
      </c>
      <c r="K272" s="1002">
        <f>IF(I!K272="","",$D$2*I!K272)</f>
        <v>7.6701911479999996E-2</v>
      </c>
      <c r="L272" s="981"/>
      <c r="M272" s="982"/>
      <c r="N272" s="1003"/>
      <c r="O272" s="1004">
        <f>IF(I!O272="","",$D$2*I!O272)</f>
        <v>0.36</v>
      </c>
      <c r="P272" s="1005">
        <f>IF(I!P272="","",$D$2*I!P272)</f>
        <v>0.11052445852160001</v>
      </c>
      <c r="Q272" s="1006">
        <f>IF(I!Q272="","",$D$2*I!Q272)</f>
        <v>5.5994487000000001E-10</v>
      </c>
      <c r="R272" s="982"/>
      <c r="S272" s="1003"/>
      <c r="T272" s="938"/>
      <c r="U272" s="1008" t="s">
        <v>1059</v>
      </c>
      <c r="V272" s="1018" t="s">
        <v>6126</v>
      </c>
      <c r="W272" s="1019">
        <f>IF(I!W272="","",$D$2*I!W272)</f>
        <v>3.3941731449999998E-2</v>
      </c>
      <c r="X272" s="990">
        <f>IF(I!X272="","",$D$2*I!X272)</f>
        <v>2.5347592489999998E-2</v>
      </c>
      <c r="Y272" s="1010">
        <f>IF(I!Y272="","",$D$2*I!Y272)</f>
        <v>9.2658879449999995E-2</v>
      </c>
      <c r="Z272" s="938"/>
      <c r="AA272" s="938"/>
      <c r="AB272" s="938"/>
      <c r="AC272" s="938"/>
      <c r="AD272" s="1058"/>
      <c r="AE272" s="938"/>
      <c r="AF272" s="938"/>
      <c r="AG272" s="938"/>
      <c r="AH272" s="938"/>
    </row>
    <row r="273" spans="1:34" ht="17.25" customHeight="1" x14ac:dyDescent="0.35">
      <c r="A273" s="938"/>
      <c r="B273" s="938"/>
      <c r="C273" s="941"/>
      <c r="D273" s="1047"/>
      <c r="E273" s="941"/>
      <c r="F273" s="938"/>
      <c r="G273" s="976">
        <f t="shared" si="6"/>
        <v>270</v>
      </c>
      <c r="H273" s="1000"/>
      <c r="I273" s="1001" t="s">
        <v>1059</v>
      </c>
      <c r="J273" s="1031" t="s">
        <v>1317</v>
      </c>
      <c r="K273" s="1002">
        <f>IF(I!K273="","",$D$2*I!K273)</f>
        <v>8.2299443530000002E-2</v>
      </c>
      <c r="L273" s="981"/>
      <c r="M273" s="982"/>
      <c r="N273" s="1003"/>
      <c r="O273" s="1004">
        <f>IF(I!O273="","",$D$2*I!O273)</f>
        <v>0.37</v>
      </c>
      <c r="P273" s="1005">
        <f>IF(I!P273="","",$D$2*I!P273)</f>
        <v>0.1176228094847</v>
      </c>
      <c r="Q273" s="1006">
        <f>IF(I!Q273="","",$D$2*I!Q273)</f>
        <v>5.3302802999999998E-10</v>
      </c>
      <c r="R273" s="982"/>
      <c r="S273" s="1003"/>
      <c r="T273" s="938"/>
      <c r="U273" s="1008" t="s">
        <v>1059</v>
      </c>
      <c r="V273" s="1018" t="s">
        <v>6127</v>
      </c>
      <c r="W273" s="1019">
        <f>IF(I!W273="","",$D$2*I!W273)</f>
        <v>5.415586252E-2</v>
      </c>
      <c r="X273" s="990">
        <f>IF(I!X273="","",$D$2*I!X273)</f>
        <v>2.1540263307000002E-2</v>
      </c>
      <c r="Y273" s="1010">
        <f>IF(I!Y273="","",$D$2*I!Y273)</f>
        <v>0.11037379552</v>
      </c>
      <c r="Z273" s="938"/>
      <c r="AA273" s="938"/>
      <c r="AB273" s="938"/>
      <c r="AC273" s="938"/>
      <c r="AD273" s="1058"/>
      <c r="AE273" s="938"/>
      <c r="AF273" s="938"/>
      <c r="AG273" s="938"/>
      <c r="AH273" s="938"/>
    </row>
    <row r="274" spans="1:34" ht="17.25" customHeight="1" x14ac:dyDescent="0.35">
      <c r="A274" s="938"/>
      <c r="B274" s="938"/>
      <c r="C274" s="941"/>
      <c r="D274" s="1047"/>
      <c r="E274" s="941"/>
      <c r="F274" s="938"/>
      <c r="G274" s="976">
        <f t="shared" si="6"/>
        <v>271</v>
      </c>
      <c r="H274" s="1000"/>
      <c r="I274" s="1001" t="s">
        <v>1059</v>
      </c>
      <c r="J274" s="1031" t="s">
        <v>1318</v>
      </c>
      <c r="K274" s="1002">
        <f>IF(I!K274="","",$D$2*I!K274)</f>
        <v>0.19462445249999999</v>
      </c>
      <c r="L274" s="981"/>
      <c r="M274" s="982"/>
      <c r="N274" s="1003"/>
      <c r="O274" s="1004">
        <f>IF(I!O274="","",$D$2*I!O274)</f>
        <v>0.76</v>
      </c>
      <c r="P274" s="1005">
        <f>IF(I!P274="","",$D$2*I!P274)</f>
        <v>0.4783127167693999</v>
      </c>
      <c r="Q274" s="1006">
        <f>IF(I!Q274="","",$D$2*I!Q274)</f>
        <v>5.7400131999999997E-10</v>
      </c>
      <c r="R274" s="982"/>
      <c r="S274" s="1003"/>
      <c r="T274" s="938"/>
      <c r="U274" s="1008" t="s">
        <v>1059</v>
      </c>
      <c r="V274" s="1018" t="s">
        <v>6128</v>
      </c>
      <c r="W274" s="1019">
        <f>IF(I!W274="","",$D$2*I!W274)</f>
        <v>0.1549535112</v>
      </c>
      <c r="X274" s="990">
        <f>IF(I!X274="","",$D$2*I!X274)</f>
        <v>0.10560515337</v>
      </c>
      <c r="Y274" s="1010">
        <f>IF(I!Y274="","",$D$2*I!Y274)</f>
        <v>0.28278076120000001</v>
      </c>
      <c r="Z274" s="938"/>
      <c r="AA274" s="938"/>
      <c r="AB274" s="938"/>
      <c r="AC274" s="938"/>
      <c r="AD274" s="1058"/>
      <c r="AE274" s="938"/>
      <c r="AF274" s="938"/>
      <c r="AG274" s="938"/>
      <c r="AH274" s="938"/>
    </row>
    <row r="275" spans="1:34" ht="17.25" customHeight="1" x14ac:dyDescent="0.35">
      <c r="A275" s="938"/>
      <c r="B275" s="938"/>
      <c r="C275" s="941"/>
      <c r="D275" s="1047"/>
      <c r="E275" s="941"/>
      <c r="F275" s="938"/>
      <c r="G275" s="976">
        <f t="shared" si="6"/>
        <v>272</v>
      </c>
      <c r="H275" s="1000"/>
      <c r="I275" s="1001" t="s">
        <v>1059</v>
      </c>
      <c r="J275" s="1031" t="s">
        <v>1319</v>
      </c>
      <c r="K275" s="1002">
        <f>IF(I!K275="","",$D$2*I!K275)</f>
        <v>0.10836793630000001</v>
      </c>
      <c r="L275" s="981"/>
      <c r="M275" s="982"/>
      <c r="N275" s="1003"/>
      <c r="O275" s="1004">
        <f>IF(I!O275="","",$D$2*I!O275)</f>
        <v>0.46</v>
      </c>
      <c r="P275" s="1005">
        <f>IF(I!P275="","",$D$2*I!P275)</f>
        <v>0.22022721792319999</v>
      </c>
      <c r="Q275" s="1006">
        <f>IF(I!Q275="","",$D$2*I!Q275)</f>
        <v>5.4416597000000003E-10</v>
      </c>
      <c r="R275" s="982"/>
      <c r="S275" s="1003"/>
      <c r="T275" s="938"/>
      <c r="U275" s="1008" t="s">
        <v>1059</v>
      </c>
      <c r="V275" s="1018" t="s">
        <v>6129</v>
      </c>
      <c r="W275" s="1019">
        <f>IF(I!W275="","",$D$2*I!W275)</f>
        <v>0.14748656500000001</v>
      </c>
      <c r="X275" s="990">
        <f>IF(I!X275="","",$D$2*I!X275)</f>
        <v>0.11709896875</v>
      </c>
      <c r="Y275" s="1010">
        <f>IF(I!Y275="","",$D$2*I!Y275)</f>
        <v>0.25120536500000001</v>
      </c>
      <c r="Z275" s="938"/>
      <c r="AA275" s="938"/>
      <c r="AB275" s="938"/>
      <c r="AC275" s="938"/>
      <c r="AD275" s="1058"/>
      <c r="AE275" s="938"/>
      <c r="AF275" s="938"/>
      <c r="AG275" s="938"/>
      <c r="AH275" s="938"/>
    </row>
    <row r="276" spans="1:34" ht="17.25" customHeight="1" x14ac:dyDescent="0.35">
      <c r="A276" s="938"/>
      <c r="B276" s="938"/>
      <c r="C276" s="941"/>
      <c r="D276" s="1047"/>
      <c r="E276" s="941"/>
      <c r="F276" s="938"/>
      <c r="G276" s="976">
        <f t="shared" si="6"/>
        <v>273</v>
      </c>
      <c r="H276" s="942"/>
      <c r="I276" s="1001" t="s">
        <v>1059</v>
      </c>
      <c r="J276" s="1031" t="s">
        <v>1320</v>
      </c>
      <c r="K276" s="1002">
        <f>IF(I!K276="","",$D$2*I!K276)</f>
        <v>6.8603625259999995E-2</v>
      </c>
      <c r="L276" s="981"/>
      <c r="M276" s="982"/>
      <c r="N276" s="1003"/>
      <c r="O276" s="1004">
        <f>IF(I!O276="","",$D$2*I!O276)</f>
        <v>0.33</v>
      </c>
      <c r="P276" s="1005">
        <f>IF(I!P276="","",$D$2*I!P276)</f>
        <v>0.10322568497500001</v>
      </c>
      <c r="Q276" s="1006">
        <f>IF(I!Q276="","",$D$2*I!Q276)</f>
        <v>5.8300257000000003E-10</v>
      </c>
      <c r="R276" s="982"/>
      <c r="S276" s="1003"/>
      <c r="T276" s="938"/>
      <c r="U276" s="1008" t="s">
        <v>1059</v>
      </c>
      <c r="V276" s="1018" t="s">
        <v>6130</v>
      </c>
      <c r="W276" s="1019">
        <f>IF(I!W276="","",$D$2*I!W276)</f>
        <v>0.16451154270000001</v>
      </c>
      <c r="X276" s="990">
        <f>IF(I!X276="","",$D$2*I!X276)</f>
        <v>0.12821396404999999</v>
      </c>
      <c r="Y276" s="1010">
        <f>IF(I!Y276="","",$D$2*I!Y276)</f>
        <v>0.31086565269999999</v>
      </c>
      <c r="Z276" s="938"/>
      <c r="AA276" s="938"/>
      <c r="AB276" s="938"/>
      <c r="AC276" s="938"/>
      <c r="AD276" s="1058"/>
      <c r="AE276" s="938"/>
      <c r="AF276" s="938"/>
      <c r="AG276" s="938"/>
      <c r="AH276" s="938"/>
    </row>
    <row r="277" spans="1:34" ht="17.25" customHeight="1" x14ac:dyDescent="0.35">
      <c r="A277" s="938"/>
      <c r="B277" s="938"/>
      <c r="C277" s="941"/>
      <c r="D277" s="1047"/>
      <c r="E277" s="941"/>
      <c r="F277" s="938"/>
      <c r="G277" s="976">
        <f t="shared" si="6"/>
        <v>274</v>
      </c>
      <c r="H277" s="1000"/>
      <c r="I277" s="1001" t="s">
        <v>1059</v>
      </c>
      <c r="J277" s="1031" t="s">
        <v>1321</v>
      </c>
      <c r="K277" s="1002">
        <f>IF(I!K277="","",$D$2*I!K277)</f>
        <v>7.4810937750000001E-2</v>
      </c>
      <c r="L277" s="981"/>
      <c r="M277" s="982"/>
      <c r="N277" s="1003"/>
      <c r="O277" s="1004">
        <f>IF(I!O277="","",$D$2*I!O277)</f>
        <v>0.35</v>
      </c>
      <c r="P277" s="1005">
        <f>IF(I!P277="","",$D$2*I!P277)</f>
        <v>0.105402436239</v>
      </c>
      <c r="Q277" s="1006">
        <f>IF(I!Q277="","",$D$2*I!Q277)</f>
        <v>5.2381651999999996E-10</v>
      </c>
      <c r="R277" s="982"/>
      <c r="S277" s="1003"/>
      <c r="T277" s="938"/>
      <c r="U277" s="1008" t="s">
        <v>1059</v>
      </c>
      <c r="V277" s="1018" t="s">
        <v>6131</v>
      </c>
      <c r="W277" s="1019">
        <f>IF(I!W277="","",$D$2*I!W277)</f>
        <v>0.25348673269999999</v>
      </c>
      <c r="X277" s="990">
        <f>IF(I!X277="","",$D$2*I!X277)</f>
        <v>0.10862203975999998</v>
      </c>
      <c r="Y277" s="1010">
        <f>IF(I!Y277="","",$D$2*I!Y277)</f>
        <v>0.37472339269999999</v>
      </c>
      <c r="Z277" s="938"/>
      <c r="AA277" s="938"/>
      <c r="AB277" s="938"/>
      <c r="AC277" s="938"/>
      <c r="AD277" s="1058"/>
      <c r="AE277" s="938"/>
      <c r="AF277" s="938"/>
      <c r="AG277" s="938"/>
      <c r="AH277" s="938"/>
    </row>
    <row r="278" spans="1:34" ht="17.25" customHeight="1" x14ac:dyDescent="0.35">
      <c r="A278" s="938"/>
      <c r="B278" s="938"/>
      <c r="C278" s="941"/>
      <c r="D278" s="1047"/>
      <c r="E278" s="941"/>
      <c r="F278" s="938"/>
      <c r="G278" s="976">
        <f t="shared" si="6"/>
        <v>275</v>
      </c>
      <c r="H278" s="1000"/>
      <c r="I278" s="1001" t="s">
        <v>1059</v>
      </c>
      <c r="J278" s="1031" t="s">
        <v>1322</v>
      </c>
      <c r="K278" s="1002">
        <f>IF(I!K278="","",$D$2*I!K278)</f>
        <v>0.11054153606</v>
      </c>
      <c r="L278" s="981"/>
      <c r="M278" s="982"/>
      <c r="N278" s="1003"/>
      <c r="O278" s="1004">
        <f>IF(I!O278="","",$D$2*I!O278)</f>
        <v>0.42</v>
      </c>
      <c r="P278" s="1005">
        <f>IF(I!P278="","",$D$2*I!P278)</f>
        <v>0.12546974143199999</v>
      </c>
      <c r="Q278" s="1006">
        <f>IF(I!Q278="","",$D$2*I!Q278)</f>
        <v>5.2359638000000004E-10</v>
      </c>
      <c r="R278" s="982"/>
      <c r="S278" s="1003"/>
      <c r="T278" s="938"/>
      <c r="U278" s="1008" t="s">
        <v>1059</v>
      </c>
      <c r="V278" s="1018" t="s">
        <v>6132</v>
      </c>
      <c r="W278" s="1019">
        <f>IF(I!W278="","",$D$2*I!W278)</f>
        <v>4.684410671E-2</v>
      </c>
      <c r="X278" s="990">
        <f>IF(I!X278="","",$D$2*I!X278)</f>
        <v>3.8801438709999997E-2</v>
      </c>
      <c r="Y278" s="1010">
        <f>IF(I!Y278="","",$D$2*I!Y278)</f>
        <v>7.9028691710000001E-2</v>
      </c>
      <c r="Z278" s="938"/>
      <c r="AA278" s="938"/>
      <c r="AB278" s="938"/>
      <c r="AC278" s="938"/>
      <c r="AD278" s="1058"/>
      <c r="AE278" s="938"/>
      <c r="AF278" s="938"/>
      <c r="AG278" s="938"/>
      <c r="AH278" s="938"/>
    </row>
    <row r="279" spans="1:34" ht="17.25" customHeight="1" x14ac:dyDescent="0.35">
      <c r="A279" s="938"/>
      <c r="B279" s="938"/>
      <c r="C279" s="941"/>
      <c r="D279" s="1047"/>
      <c r="E279" s="941"/>
      <c r="F279" s="938"/>
      <c r="G279" s="976">
        <f t="shared" si="6"/>
        <v>276</v>
      </c>
      <c r="H279" s="1000"/>
      <c r="I279" s="1001" t="s">
        <v>1059</v>
      </c>
      <c r="J279" s="1031" t="s">
        <v>1323</v>
      </c>
      <c r="K279" s="1002">
        <f>IF(I!K279="","",$D$2*I!K279)</f>
        <v>6.4244020319999998E-2</v>
      </c>
      <c r="L279" s="981"/>
      <c r="M279" s="982"/>
      <c r="N279" s="1003"/>
      <c r="O279" s="1004">
        <f>IF(I!O279="","",$D$2*I!O279)</f>
        <v>0.31</v>
      </c>
      <c r="P279" s="1005">
        <f>IF(I!P279="","",$D$2*I!P279)</f>
        <v>8.9735622478800001E-2</v>
      </c>
      <c r="Q279" s="1006">
        <f>IF(I!Q279="","",$D$2*I!Q279)</f>
        <v>5.2976561000000001E-10</v>
      </c>
      <c r="R279" s="982"/>
      <c r="S279" s="1003"/>
      <c r="T279" s="938"/>
      <c r="U279" s="1008" t="s">
        <v>1059</v>
      </c>
      <c r="V279" s="1018" t="s">
        <v>6133</v>
      </c>
      <c r="W279" s="1019">
        <f>IF(I!W279="","",$D$2*I!W279)</f>
        <v>4.4500432950000002E-2</v>
      </c>
      <c r="X279" s="990">
        <f>IF(I!X279="","",$D$2*I!X279)</f>
        <v>4.1424148309999999E-2</v>
      </c>
      <c r="Y279" s="1010">
        <f>IF(I!Y279="","",$D$2*I!Y279)</f>
        <v>7.0111702949999993E-2</v>
      </c>
      <c r="Z279" s="938"/>
      <c r="AA279" s="938"/>
      <c r="AB279" s="938"/>
      <c r="AC279" s="938"/>
      <c r="AD279" s="1058"/>
      <c r="AE279" s="938"/>
      <c r="AF279" s="938"/>
      <c r="AG279" s="938"/>
      <c r="AH279" s="938"/>
    </row>
    <row r="280" spans="1:34" ht="17.25" customHeight="1" x14ac:dyDescent="0.35">
      <c r="A280" s="938"/>
      <c r="B280" s="938"/>
      <c r="C280" s="941"/>
      <c r="D280" s="1047"/>
      <c r="E280" s="941"/>
      <c r="F280" s="938"/>
      <c r="G280" s="976">
        <f t="shared" si="6"/>
        <v>277</v>
      </c>
      <c r="H280" s="1000"/>
      <c r="I280" s="1001" t="s">
        <v>1059</v>
      </c>
      <c r="J280" s="1031" t="s">
        <v>1324</v>
      </c>
      <c r="K280" s="1002">
        <f>IF(I!K280="","",$D$2*I!K280)</f>
        <v>8.1219465399999996E-2</v>
      </c>
      <c r="L280" s="981"/>
      <c r="M280" s="982"/>
      <c r="N280" s="1003"/>
      <c r="O280" s="1004">
        <f>IF(I!O280="","",$D$2*I!O280)</f>
        <v>0.36</v>
      </c>
      <c r="P280" s="1005">
        <f>IF(I!P280="","",$D$2*I!P280)</f>
        <v>0.17373798183679998</v>
      </c>
      <c r="Q280" s="1006">
        <f>IF(I!Q280="","",$D$2*I!Q280)</f>
        <v>5.3170889000000004E-10</v>
      </c>
      <c r="R280" s="982"/>
      <c r="S280" s="1003"/>
      <c r="T280" s="938"/>
      <c r="U280" s="1008" t="s">
        <v>1059</v>
      </c>
      <c r="V280" s="1018" t="s">
        <v>6134</v>
      </c>
      <c r="W280" s="1019">
        <f>IF(I!W280="","",$D$2*I!W280)</f>
        <v>5.3040545250000001E-2</v>
      </c>
      <c r="X280" s="990">
        <f>IF(I!X280="","",$D$2*I!X280)</f>
        <v>3.9025545779999997E-2</v>
      </c>
      <c r="Y280" s="1010">
        <f>IF(I!Y280="","",$D$2*I!Y280)</f>
        <v>8.7133989250000002E-2</v>
      </c>
      <c r="Z280" s="938"/>
      <c r="AA280" s="938"/>
      <c r="AB280" s="938"/>
      <c r="AC280" s="938"/>
      <c r="AD280" s="1058"/>
      <c r="AE280" s="938"/>
      <c r="AF280" s="938"/>
      <c r="AG280" s="938"/>
      <c r="AH280" s="938"/>
    </row>
    <row r="281" spans="1:34" ht="17.25" customHeight="1" x14ac:dyDescent="0.35">
      <c r="A281" s="938"/>
      <c r="B281" s="938"/>
      <c r="C281" s="941"/>
      <c r="D281" s="1047"/>
      <c r="E281" s="941"/>
      <c r="F281" s="938"/>
      <c r="G281" s="976">
        <f t="shared" si="6"/>
        <v>278</v>
      </c>
      <c r="H281" s="1000"/>
      <c r="I281" s="1001" t="s">
        <v>1059</v>
      </c>
      <c r="J281" s="1031" t="s">
        <v>1325</v>
      </c>
      <c r="K281" s="1002">
        <f>IF(I!K281="","",$D$2*I!K281)</f>
        <v>8.133197939999999E-2</v>
      </c>
      <c r="L281" s="981"/>
      <c r="M281" s="982"/>
      <c r="N281" s="1003"/>
      <c r="O281" s="1004">
        <f>IF(I!O281="","",$D$2*I!O281)</f>
        <v>0.36</v>
      </c>
      <c r="P281" s="1005">
        <f>IF(I!P281="","",$D$2*I!P281)</f>
        <v>0.17419193338819999</v>
      </c>
      <c r="Q281" s="1006">
        <f>IF(I!Q281="","",$D$2*I!Q281)</f>
        <v>5.3119158000000001E-10</v>
      </c>
      <c r="R281" s="982"/>
      <c r="S281" s="1003"/>
      <c r="T281" s="938"/>
      <c r="U281" s="1008" t="s">
        <v>1059</v>
      </c>
      <c r="V281" s="1018" t="s">
        <v>6135</v>
      </c>
      <c r="W281" s="1019">
        <f>IF(I!W281="","",$D$2*I!W281)</f>
        <v>5.0808271709999998E-2</v>
      </c>
      <c r="X281" s="990">
        <f>IF(I!X281="","",$D$2*I!X281)</f>
        <v>4.812315709E-2</v>
      </c>
      <c r="Y281" s="1010">
        <f>IF(I!Y281="","",$D$2*I!Y281)</f>
        <v>8.9970929710000008E-2</v>
      </c>
      <c r="Z281" s="938"/>
      <c r="AA281" s="938"/>
      <c r="AB281" s="938"/>
      <c r="AC281" s="938"/>
      <c r="AD281" s="1058"/>
      <c r="AE281" s="938"/>
      <c r="AF281" s="938"/>
      <c r="AG281" s="938"/>
      <c r="AH281" s="938"/>
    </row>
    <row r="282" spans="1:34" ht="17.25" customHeight="1" x14ac:dyDescent="0.35">
      <c r="A282" s="938"/>
      <c r="B282" s="938"/>
      <c r="C282" s="941"/>
      <c r="D282" s="1047"/>
      <c r="E282" s="941"/>
      <c r="F282" s="938"/>
      <c r="G282" s="976">
        <f t="shared" si="6"/>
        <v>279</v>
      </c>
      <c r="H282" s="942"/>
      <c r="I282" s="1001" t="s">
        <v>1059</v>
      </c>
      <c r="J282" s="1031" t="s">
        <v>1326</v>
      </c>
      <c r="K282" s="1002">
        <f>IF(I!K282="","",$D$2*I!K282)</f>
        <v>6.4356534380000011E-2</v>
      </c>
      <c r="L282" s="981"/>
      <c r="M282" s="982"/>
      <c r="N282" s="1003"/>
      <c r="O282" s="1004">
        <f>IF(I!O282="","",$D$2*I!O282)</f>
        <v>0.31</v>
      </c>
      <c r="P282" s="1005">
        <f>IF(I!P282="","",$D$2*I!P282)</f>
        <v>9.0189574100199996E-2</v>
      </c>
      <c r="Q282" s="1006">
        <f>IF(I!Q282="","",$D$2*I!Q282)</f>
        <v>5.2924829000000004E-10</v>
      </c>
      <c r="R282" s="982"/>
      <c r="S282" s="1003"/>
      <c r="T282" s="938"/>
      <c r="U282" s="1008" t="s">
        <v>1059</v>
      </c>
      <c r="V282" s="1018" t="s">
        <v>6136</v>
      </c>
      <c r="W282" s="1019">
        <f>IF(I!W282="","",$D$2*I!W282)</f>
        <v>7.3354270220000004E-2</v>
      </c>
      <c r="X282" s="990">
        <f>IF(I!X282="","",$D$2*I!X282)</f>
        <v>4.8675676750000001E-2</v>
      </c>
      <c r="Y282" s="1010">
        <f>IF(I!Y282="","",$D$2*I!Y282)</f>
        <v>0.11977457822000001</v>
      </c>
      <c r="Z282" s="938"/>
      <c r="AA282" s="938"/>
      <c r="AB282" s="938"/>
      <c r="AC282" s="938"/>
      <c r="AD282" s="1058"/>
      <c r="AE282" s="938"/>
      <c r="AF282" s="938"/>
      <c r="AG282" s="938"/>
      <c r="AH282" s="938"/>
    </row>
    <row r="283" spans="1:34" ht="17.25" customHeight="1" x14ac:dyDescent="0.35">
      <c r="A283" s="938"/>
      <c r="B283" s="938"/>
      <c r="C283" s="941"/>
      <c r="D283" s="1047"/>
      <c r="E283" s="941"/>
      <c r="F283" s="938"/>
      <c r="G283" s="976">
        <f t="shared" si="6"/>
        <v>280</v>
      </c>
      <c r="H283" s="1000"/>
      <c r="I283" s="1001" t="s">
        <v>1059</v>
      </c>
      <c r="J283" s="1031" t="s">
        <v>1327</v>
      </c>
      <c r="K283" s="1002">
        <f>IF(I!K283="","",$D$2*I!K283)</f>
        <v>6.4356534380000011E-2</v>
      </c>
      <c r="L283" s="981"/>
      <c r="M283" s="982"/>
      <c r="N283" s="1003"/>
      <c r="O283" s="1004">
        <f>IF(I!O283="","",$D$2*I!O283)</f>
        <v>0.31</v>
      </c>
      <c r="P283" s="1005">
        <f>IF(I!P283="","",$D$2*I!P283)</f>
        <v>9.0189574100199996E-2</v>
      </c>
      <c r="Q283" s="1006">
        <f>IF(I!Q283="","",$D$2*I!Q283)</f>
        <v>5.2924829000000004E-10</v>
      </c>
      <c r="R283" s="982"/>
      <c r="S283" s="1003"/>
      <c r="T283" s="938"/>
      <c r="U283" s="1008" t="s">
        <v>1059</v>
      </c>
      <c r="V283" s="1018" t="s">
        <v>6137</v>
      </c>
      <c r="W283" s="1019">
        <f>IF(I!W283="","",$D$2*I!W283)</f>
        <v>8.0536457439999987E-2</v>
      </c>
      <c r="X283" s="990">
        <f>IF(I!X283="","",$D$2*I!X283)</f>
        <v>4.0423280382000007E-2</v>
      </c>
      <c r="Y283" s="1010">
        <f>IF(I!Y283="","",$D$2*I!Y283)</f>
        <v>0.10974517943999998</v>
      </c>
      <c r="Z283" s="938"/>
      <c r="AA283" s="938"/>
      <c r="AB283" s="938"/>
      <c r="AC283" s="938"/>
      <c r="AD283" s="1058"/>
      <c r="AE283" s="938"/>
      <c r="AF283" s="938"/>
      <c r="AG283" s="938"/>
      <c r="AH283" s="938"/>
    </row>
    <row r="284" spans="1:34" ht="17.25" customHeight="1" x14ac:dyDescent="0.35">
      <c r="A284" s="938"/>
      <c r="B284" s="938"/>
      <c r="C284" s="941"/>
      <c r="D284" s="1047"/>
      <c r="E284" s="941"/>
      <c r="F284" s="938"/>
      <c r="G284" s="976">
        <f t="shared" si="6"/>
        <v>281</v>
      </c>
      <c r="H284" s="942" t="s">
        <v>1328</v>
      </c>
      <c r="I284" s="1001"/>
      <c r="J284" s="1027"/>
      <c r="K284" s="1002" t="str">
        <f>IF(I!K284="","",$D$2*I!K284)</f>
        <v/>
      </c>
      <c r="L284" s="981"/>
      <c r="M284" s="982"/>
      <c r="N284" s="1003"/>
      <c r="O284" s="1004" t="str">
        <f>IF(I!O284="","",$D$2*I!O284)</f>
        <v/>
      </c>
      <c r="P284" s="1005" t="str">
        <f>IF(I!P284="","",$D$2*I!P284)</f>
        <v/>
      </c>
      <c r="Q284" s="1006" t="str">
        <f>IF(I!Q284="","",$D$2*I!Q284)</f>
        <v/>
      </c>
      <c r="R284" s="982"/>
      <c r="S284" s="1003"/>
      <c r="T284" s="938"/>
      <c r="U284" s="1008" t="s">
        <v>1059</v>
      </c>
      <c r="V284" s="1018" t="s">
        <v>6138</v>
      </c>
      <c r="W284" s="1019">
        <f>IF(I!W284="","",$D$2*I!W284)</f>
        <v>4.6873150749999995E-2</v>
      </c>
      <c r="X284" s="990">
        <f>IF(I!X284="","",$D$2*I!X284)</f>
        <v>2.2239265039999997E-2</v>
      </c>
      <c r="Y284" s="1010">
        <f>IF(I!Y284="","",$D$2*I!Y284)</f>
        <v>0.17768788074999997</v>
      </c>
      <c r="Z284" s="938"/>
      <c r="AA284" s="938"/>
      <c r="AB284" s="938"/>
      <c r="AC284" s="938"/>
      <c r="AD284" s="1058"/>
      <c r="AE284" s="938"/>
      <c r="AF284" s="938"/>
      <c r="AG284" s="938"/>
      <c r="AH284" s="938"/>
    </row>
    <row r="285" spans="1:34" ht="17.25" customHeight="1" x14ac:dyDescent="0.35">
      <c r="A285" s="938"/>
      <c r="B285" s="938"/>
      <c r="C285" s="941"/>
      <c r="D285" s="1047"/>
      <c r="E285" s="941"/>
      <c r="F285" s="938"/>
      <c r="G285" s="976">
        <f t="shared" si="6"/>
        <v>282</v>
      </c>
      <c r="H285" s="1000"/>
      <c r="I285" s="1001" t="s">
        <v>1059</v>
      </c>
      <c r="J285" s="1031" t="s">
        <v>1329</v>
      </c>
      <c r="K285" s="1002">
        <f>IF(I!K285="","",$D$2*I!K285)</f>
        <v>8.5409842299999997E-2</v>
      </c>
      <c r="L285" s="981"/>
      <c r="M285" s="982"/>
      <c r="N285" s="1003"/>
      <c r="O285" s="1004">
        <f>IF(I!O285="","",$D$2*I!O285)</f>
        <v>0.36</v>
      </c>
      <c r="P285" s="1005">
        <f>IF(I!P285="","",$D$2*I!P285)</f>
        <v>0.32856446401509998</v>
      </c>
      <c r="Q285" s="1006">
        <f>IF(I!Q285="","",$D$2*I!Q285)</f>
        <v>5.2166780999999998E-10</v>
      </c>
      <c r="R285" s="982"/>
      <c r="S285" s="1003"/>
      <c r="T285" s="938"/>
      <c r="U285" s="1008" t="s">
        <v>1059</v>
      </c>
      <c r="V285" s="1018" t="s">
        <v>6139</v>
      </c>
      <c r="W285" s="1019">
        <f>IF(I!W285="","",$D$2*I!W285)</f>
        <v>5.4191749079999997E-2</v>
      </c>
      <c r="X285" s="990">
        <f>IF(I!X285="","",$D$2*I!X285)</f>
        <v>2.585420661E-2</v>
      </c>
      <c r="Y285" s="1010">
        <f>IF(I!Y285="","",$D$2*I!Y285)</f>
        <v>0.18474527907999999</v>
      </c>
      <c r="Z285" s="938"/>
      <c r="AA285" s="938"/>
      <c r="AB285" s="938"/>
      <c r="AC285" s="938"/>
      <c r="AD285" s="1058"/>
      <c r="AE285" s="938"/>
      <c r="AF285" s="938"/>
      <c r="AG285" s="938"/>
      <c r="AH285" s="938"/>
    </row>
    <row r="286" spans="1:34" ht="17.25" customHeight="1" x14ac:dyDescent="0.35">
      <c r="A286" s="938"/>
      <c r="B286" s="938"/>
      <c r="C286" s="941"/>
      <c r="D286" s="1047"/>
      <c r="E286" s="941"/>
      <c r="F286" s="938"/>
      <c r="G286" s="976">
        <f t="shared" si="6"/>
        <v>283</v>
      </c>
      <c r="H286" s="1000"/>
      <c r="I286" s="1001" t="s">
        <v>1059</v>
      </c>
      <c r="J286" s="1031" t="s">
        <v>1330</v>
      </c>
      <c r="K286" s="1002">
        <f>IF(I!K286="","",$D$2*I!K286)</f>
        <v>0.2072590886</v>
      </c>
      <c r="L286" s="981"/>
      <c r="M286" s="982"/>
      <c r="N286" s="1003"/>
      <c r="O286" s="1004">
        <f>IF(I!O286="","",$D$2*I!O286)</f>
        <v>0.61</v>
      </c>
      <c r="P286" s="1005">
        <f>IF(I!P286="","",$D$2*I!P286)</f>
        <v>0.3949833791981</v>
      </c>
      <c r="Q286" s="1006">
        <f>IF(I!Q286="","",$D$2*I!Q286)</f>
        <v>5.2283722999999999E-10</v>
      </c>
      <c r="R286" s="982"/>
      <c r="S286" s="1003"/>
      <c r="T286" s="938"/>
      <c r="U286" s="1008" t="s">
        <v>1059</v>
      </c>
      <c r="V286" s="1018" t="s">
        <v>6140</v>
      </c>
      <c r="W286" s="1019">
        <f>IF(I!W286="","",$D$2*I!W286)</f>
        <v>4.5778105870000002E-2</v>
      </c>
      <c r="X286" s="990">
        <f>IF(I!X286="","",$D$2*I!X286)</f>
        <v>2.6415466980000003E-2</v>
      </c>
      <c r="Y286" s="1010">
        <f>IF(I!Y286="","",$D$2*I!Y286)</f>
        <v>0.17318600586999999</v>
      </c>
      <c r="Z286" s="938"/>
      <c r="AA286" s="938"/>
      <c r="AB286" s="938"/>
      <c r="AC286" s="938"/>
      <c r="AD286" s="1058"/>
      <c r="AE286" s="938"/>
      <c r="AF286" s="938"/>
      <c r="AG286" s="938"/>
      <c r="AH286" s="938"/>
    </row>
    <row r="287" spans="1:34" ht="17.25" customHeight="1" x14ac:dyDescent="0.35">
      <c r="A287" s="938"/>
      <c r="B287" s="938"/>
      <c r="C287" s="941"/>
      <c r="D287" s="1047"/>
      <c r="E287" s="941"/>
      <c r="F287" s="938"/>
      <c r="G287" s="976">
        <f t="shared" si="6"/>
        <v>284</v>
      </c>
      <c r="H287" s="1000"/>
      <c r="I287" s="1001" t="s">
        <v>1059</v>
      </c>
      <c r="J287" s="1031" t="s">
        <v>1331</v>
      </c>
      <c r="K287" s="1002">
        <f>IF(I!K287="","",$D$2*I!K287)</f>
        <v>7.3508745540000003E-2</v>
      </c>
      <c r="L287" s="981"/>
      <c r="M287" s="982"/>
      <c r="N287" s="1003"/>
      <c r="O287" s="1004">
        <f>IF(I!O287="","",$D$2*I!O287)</f>
        <v>0.32</v>
      </c>
      <c r="P287" s="1005">
        <f>IF(I!P287="","",$D$2*I!P287)</f>
        <v>0.24962423072080001</v>
      </c>
      <c r="Q287" s="1006">
        <f>IF(I!Q287="","",$D$2*I!Q287)</f>
        <v>5.2859151999999998E-10</v>
      </c>
      <c r="R287" s="982"/>
      <c r="S287" s="1003"/>
      <c r="T287" s="938"/>
      <c r="U287" s="1008" t="s">
        <v>1059</v>
      </c>
      <c r="V287" s="1018" t="s">
        <v>6141</v>
      </c>
      <c r="W287" s="1019">
        <f>IF(I!W287="","",$D$2*I!W287)</f>
        <v>7.4367052820000001E-2</v>
      </c>
      <c r="X287" s="990">
        <f>IF(I!X287="","",$D$2*I!X287)</f>
        <v>2.2778754799999999E-2</v>
      </c>
      <c r="Y287" s="1010">
        <f>IF(I!Y287="","",$D$2*I!Y287)</f>
        <v>0.20481041282000001</v>
      </c>
      <c r="Z287" s="938"/>
      <c r="AA287" s="938"/>
      <c r="AB287" s="938"/>
      <c r="AC287" s="938"/>
      <c r="AD287" s="1058"/>
      <c r="AE287" s="938"/>
      <c r="AF287" s="938"/>
      <c r="AG287" s="938"/>
      <c r="AH287" s="938"/>
    </row>
    <row r="288" spans="1:34" ht="17.25" customHeight="1" x14ac:dyDescent="0.35">
      <c r="A288" s="938"/>
      <c r="B288" s="938"/>
      <c r="C288" s="941"/>
      <c r="D288" s="1047"/>
      <c r="E288" s="941"/>
      <c r="F288" s="938"/>
      <c r="G288" s="976">
        <f t="shared" si="6"/>
        <v>285</v>
      </c>
      <c r="H288" s="942"/>
      <c r="I288" s="1001" t="s">
        <v>1059</v>
      </c>
      <c r="J288" s="1031" t="s">
        <v>1332</v>
      </c>
      <c r="K288" s="1002">
        <f>IF(I!K288="","",$D$2*I!K288)</f>
        <v>0.1004609347</v>
      </c>
      <c r="L288" s="981"/>
      <c r="M288" s="982"/>
      <c r="N288" s="1003"/>
      <c r="O288" s="1004">
        <f>IF(I!O288="","",$D$2*I!O288)</f>
        <v>0.42</v>
      </c>
      <c r="P288" s="1005">
        <f>IF(I!P288="","",$D$2*I!P288)</f>
        <v>0.29693244248960005</v>
      </c>
      <c r="Q288" s="1006">
        <f>IF(I!Q288="","",$D$2*I!Q288)</f>
        <v>5.4089885999999995E-10</v>
      </c>
      <c r="R288" s="982"/>
      <c r="S288" s="1003"/>
      <c r="T288" s="938"/>
      <c r="U288" s="1008" t="s">
        <v>1059</v>
      </c>
      <c r="V288" s="1018" t="s">
        <v>6142</v>
      </c>
      <c r="W288" s="1019">
        <f>IF(I!W288="","",$D$2*I!W288)</f>
        <v>5.9880036979999995E-2</v>
      </c>
      <c r="X288" s="990">
        <f>IF(I!X288="","",$D$2*I!X288)</f>
        <v>5.5744666515999998E-2</v>
      </c>
      <c r="Y288" s="1010">
        <f>IF(I!Y288="","",$D$2*I!Y288)</f>
        <v>9.1871808979999997E-2</v>
      </c>
      <c r="Z288" s="938"/>
      <c r="AA288" s="938"/>
      <c r="AB288" s="938"/>
      <c r="AC288" s="938"/>
      <c r="AD288" s="1058"/>
      <c r="AE288" s="938"/>
      <c r="AF288" s="938"/>
      <c r="AG288" s="938"/>
      <c r="AH288" s="938"/>
    </row>
    <row r="289" spans="1:34" ht="17.25" customHeight="1" x14ac:dyDescent="0.35">
      <c r="A289" s="938"/>
      <c r="B289" s="938"/>
      <c r="C289" s="941"/>
      <c r="D289" s="1047"/>
      <c r="E289" s="941"/>
      <c r="F289" s="938"/>
      <c r="G289" s="976">
        <f t="shared" si="6"/>
        <v>286</v>
      </c>
      <c r="H289" s="942" t="s">
        <v>1333</v>
      </c>
      <c r="I289" s="1001"/>
      <c r="J289" s="1027"/>
      <c r="K289" s="1002" t="str">
        <f>IF(I!K289="","",$D$2*I!K289)</f>
        <v/>
      </c>
      <c r="L289" s="981"/>
      <c r="M289" s="982"/>
      <c r="N289" s="1003"/>
      <c r="O289" s="1004" t="str">
        <f>IF(I!O289="","",$D$2*I!O289)</f>
        <v/>
      </c>
      <c r="P289" s="1005" t="str">
        <f>IF(I!P289="","",$D$2*I!P289)</f>
        <v/>
      </c>
      <c r="Q289" s="1006" t="str">
        <f>IF(I!Q289="","",$D$2*I!Q289)</f>
        <v/>
      </c>
      <c r="R289" s="982"/>
      <c r="S289" s="1003"/>
      <c r="T289" s="938"/>
      <c r="U289" s="1008" t="s">
        <v>1059</v>
      </c>
      <c r="V289" s="1018" t="s">
        <v>6143</v>
      </c>
      <c r="W289" s="1019">
        <f>IF(I!W289="","",$D$2*I!W289)</f>
        <v>7.0766416920000005E-2</v>
      </c>
      <c r="X289" s="990">
        <f>IF(I!X289="","",$D$2*I!X289)</f>
        <v>5.7954263806000002E-2</v>
      </c>
      <c r="Y289" s="1010">
        <f>IF(I!Y289="","",$D$2*I!Y289)</f>
        <v>0.10914245892</v>
      </c>
      <c r="Z289" s="938"/>
      <c r="AA289" s="938"/>
      <c r="AB289" s="938"/>
      <c r="AC289" s="938"/>
      <c r="AD289" s="1058"/>
      <c r="AE289" s="938"/>
      <c r="AF289" s="938"/>
      <c r="AG289" s="938"/>
      <c r="AH289" s="938"/>
    </row>
    <row r="290" spans="1:34" ht="17.25" customHeight="1" x14ac:dyDescent="0.35">
      <c r="A290" s="938"/>
      <c r="B290" s="938"/>
      <c r="C290" s="941"/>
      <c r="D290" s="1047"/>
      <c r="E290" s="941"/>
      <c r="F290" s="938"/>
      <c r="G290" s="976">
        <f t="shared" si="6"/>
        <v>287</v>
      </c>
      <c r="H290" s="1000"/>
      <c r="I290" s="1001" t="s">
        <v>1059</v>
      </c>
      <c r="J290" s="1031" t="s">
        <v>1334</v>
      </c>
      <c r="K290" s="1002">
        <f>IF(I!K290="","",$D$2*I!K290)</f>
        <v>0.1025891092</v>
      </c>
      <c r="L290" s="981"/>
      <c r="M290" s="982"/>
      <c r="N290" s="1003"/>
      <c r="O290" s="1004">
        <f>IF(I!O290="","",$D$2*I!O290)</f>
        <v>0.44</v>
      </c>
      <c r="P290" s="1005">
        <f>IF(I!P290="","",$D$2*I!P290)</f>
        <v>0.2093051637974</v>
      </c>
      <c r="Q290" s="1006">
        <f>IF(I!Q290="","",$D$2*I!Q290)</f>
        <v>5.5050399E-10</v>
      </c>
      <c r="R290" s="982"/>
      <c r="S290" s="1003"/>
      <c r="T290" s="938"/>
      <c r="U290" s="1008" t="s">
        <v>1059</v>
      </c>
      <c r="V290" s="1018" t="s">
        <v>6144</v>
      </c>
      <c r="W290" s="1019">
        <f>IF(I!W290="","",$D$2*I!W290)</f>
        <v>0.11976007430000002</v>
      </c>
      <c r="X290" s="990">
        <f>IF(I!X290="","",$D$2*I!X290)</f>
        <v>0.11148933111999999</v>
      </c>
      <c r="Y290" s="1010">
        <f>IF(I!Y290="","",$D$2*I!Y290)</f>
        <v>0.18374361830000002</v>
      </c>
      <c r="Z290" s="938"/>
      <c r="AA290" s="938"/>
      <c r="AB290" s="938"/>
      <c r="AC290" s="938"/>
      <c r="AD290" s="1058"/>
      <c r="AE290" s="938"/>
      <c r="AF290" s="938"/>
      <c r="AG290" s="938"/>
      <c r="AH290" s="938"/>
    </row>
    <row r="291" spans="1:34" ht="17.25" customHeight="1" x14ac:dyDescent="0.35">
      <c r="A291" s="938"/>
      <c r="B291" s="938"/>
      <c r="C291" s="941"/>
      <c r="D291" s="1047"/>
      <c r="E291" s="941"/>
      <c r="F291" s="938"/>
      <c r="G291" s="976">
        <f t="shared" si="6"/>
        <v>288</v>
      </c>
      <c r="H291" s="1000"/>
      <c r="I291" s="1001" t="s">
        <v>1059</v>
      </c>
      <c r="J291" s="1031" t="s">
        <v>1335</v>
      </c>
      <c r="K291" s="1002">
        <f>IF(I!K291="","",$D$2*I!K291)</f>
        <v>7.6501060910000002E-2</v>
      </c>
      <c r="L291" s="981"/>
      <c r="M291" s="982"/>
      <c r="N291" s="1003"/>
      <c r="O291" s="1004">
        <f>IF(I!O291="","",$D$2*I!O291)</f>
        <v>0.34</v>
      </c>
      <c r="P291" s="1005">
        <f>IF(I!P291="","",$D$2*I!P291)</f>
        <v>0.20765706419410002</v>
      </c>
      <c r="Q291" s="1006">
        <f>IF(I!Q291="","",$D$2*I!Q291)</f>
        <v>5.0753479999999998E-10</v>
      </c>
      <c r="R291" s="982"/>
      <c r="S291" s="1003"/>
      <c r="T291" s="938"/>
      <c r="U291" s="1008" t="s">
        <v>1059</v>
      </c>
      <c r="V291" s="1018" t="s">
        <v>6145</v>
      </c>
      <c r="W291" s="1019">
        <f>IF(I!W291="","",$D$2*I!W291)</f>
        <v>0.14153283530000002</v>
      </c>
      <c r="X291" s="990">
        <f>IF(I!X291="","",$D$2*I!X291)</f>
        <v>0.1159085297</v>
      </c>
      <c r="Y291" s="1010">
        <f>IF(I!Y291="","",$D$2*I!Y291)</f>
        <v>0.21828491930000002</v>
      </c>
      <c r="Z291" s="938"/>
      <c r="AA291" s="938"/>
      <c r="AB291" s="938"/>
      <c r="AC291" s="938"/>
      <c r="AD291" s="1058"/>
      <c r="AE291" s="938"/>
      <c r="AF291" s="938"/>
      <c r="AG291" s="938"/>
      <c r="AH291" s="938"/>
    </row>
    <row r="292" spans="1:34" ht="17.25" customHeight="1" x14ac:dyDescent="0.35">
      <c r="A292" s="938"/>
      <c r="B292" s="938"/>
      <c r="C292" s="941"/>
      <c r="D292" s="1047"/>
      <c r="E292" s="941"/>
      <c r="F292" s="938"/>
      <c r="G292" s="976">
        <f t="shared" si="6"/>
        <v>289</v>
      </c>
      <c r="H292" s="1000"/>
      <c r="I292" s="1001" t="s">
        <v>1059</v>
      </c>
      <c r="J292" s="1031" t="s">
        <v>1336</v>
      </c>
      <c r="K292" s="1002">
        <f>IF(I!K292="","",$D$2*I!K292)</f>
        <v>6.4400204909999995E-2</v>
      </c>
      <c r="L292" s="981"/>
      <c r="M292" s="982"/>
      <c r="N292" s="1003"/>
      <c r="O292" s="1004">
        <f>IF(I!O292="","",$D$2*I!O292)</f>
        <v>0.31</v>
      </c>
      <c r="P292" s="1005">
        <f>IF(I!P292="","",$D$2*I!P292)</f>
        <v>9.00473754136E-2</v>
      </c>
      <c r="Q292" s="1006">
        <f>IF(I!Q292="","",$D$2*I!Q292)</f>
        <v>5.3473925999999997E-10</v>
      </c>
      <c r="R292" s="982"/>
      <c r="S292" s="1003"/>
      <c r="T292" s="938"/>
      <c r="U292" s="1008" t="s">
        <v>1059</v>
      </c>
      <c r="V292" s="1018" t="s">
        <v>6146</v>
      </c>
      <c r="W292" s="1019">
        <f>IF(I!W292="","",$D$2*I!W292)</f>
        <v>0</v>
      </c>
      <c r="X292" s="990">
        <f>IF(I!X292="","",$D$2*I!X292)</f>
        <v>0</v>
      </c>
      <c r="Y292" s="1010">
        <f>IF(I!Y292="","",$D$2*I!Y292)</f>
        <v>0</v>
      </c>
      <c r="Z292" s="938"/>
      <c r="AA292" s="938"/>
      <c r="AB292" s="938"/>
      <c r="AC292" s="938"/>
      <c r="AD292" s="1058"/>
      <c r="AE292" s="938"/>
      <c r="AF292" s="938"/>
      <c r="AG292" s="938"/>
      <c r="AH292" s="938"/>
    </row>
    <row r="293" spans="1:34" ht="17.25" customHeight="1" x14ac:dyDescent="0.35">
      <c r="A293" s="938"/>
      <c r="B293" s="938"/>
      <c r="C293" s="941"/>
      <c r="D293" s="1047"/>
      <c r="E293" s="941"/>
      <c r="F293" s="938"/>
      <c r="G293" s="976">
        <f t="shared" si="6"/>
        <v>290</v>
      </c>
      <c r="H293" s="1000"/>
      <c r="I293" s="1001" t="s">
        <v>1059</v>
      </c>
      <c r="J293" s="1031" t="s">
        <v>1337</v>
      </c>
      <c r="K293" s="1002">
        <f>IF(I!K293="","",$D$2*I!K293)</f>
        <v>0.48247571820000001</v>
      </c>
      <c r="L293" s="981"/>
      <c r="M293" s="982"/>
      <c r="N293" s="1003"/>
      <c r="O293" s="1004">
        <f>IF(I!O293="","",$D$2*I!O293)</f>
        <v>1.81</v>
      </c>
      <c r="P293" s="1005">
        <f>IF(I!P293="","",$D$2*I!P293)</f>
        <v>1.1038081239802</v>
      </c>
      <c r="Q293" s="1006">
        <f>IF(I!Q293="","",$D$2*I!Q293)</f>
        <v>5.7147546999999996E-10</v>
      </c>
      <c r="R293" s="982"/>
      <c r="S293" s="1003"/>
      <c r="T293" s="938"/>
      <c r="U293" s="1008" t="s">
        <v>1059</v>
      </c>
      <c r="V293" s="1018" t="s">
        <v>6147</v>
      </c>
      <c r="W293" s="1019">
        <f>IF(I!W293="","",$D$2*I!W293)</f>
        <v>0</v>
      </c>
      <c r="X293" s="990">
        <f>IF(I!X293="","",$D$2*I!X293)</f>
        <v>0</v>
      </c>
      <c r="Y293" s="1010">
        <f>IF(I!Y293="","",$D$2*I!Y293)</f>
        <v>0</v>
      </c>
      <c r="Z293" s="938"/>
      <c r="AA293" s="938"/>
      <c r="AB293" s="938"/>
      <c r="AC293" s="938"/>
      <c r="AD293" s="1058"/>
      <c r="AE293" s="938"/>
      <c r="AF293" s="938"/>
      <c r="AG293" s="938"/>
      <c r="AH293" s="938"/>
    </row>
    <row r="294" spans="1:34" ht="17.25" customHeight="1" x14ac:dyDescent="0.35">
      <c r="A294" s="938"/>
      <c r="B294" s="938"/>
      <c r="C294" s="941"/>
      <c r="D294" s="1047"/>
      <c r="E294" s="941"/>
      <c r="F294" s="938"/>
      <c r="G294" s="976">
        <f t="shared" si="6"/>
        <v>291</v>
      </c>
      <c r="H294" s="1000"/>
      <c r="I294" s="1001" t="s">
        <v>1059</v>
      </c>
      <c r="J294" s="1031" t="s">
        <v>1338</v>
      </c>
      <c r="K294" s="1002">
        <f>IF(I!K294="","",$D$2*I!K294)</f>
        <v>0.10105295699999998</v>
      </c>
      <c r="L294" s="981"/>
      <c r="M294" s="982"/>
      <c r="N294" s="1003"/>
      <c r="O294" s="1004">
        <f>IF(I!O294="","",$D$2*I!O294)</f>
        <v>0.43</v>
      </c>
      <c r="P294" s="1005">
        <f>IF(I!P294="","",$D$2*I!P294)</f>
        <v>0.20910312694960001</v>
      </c>
      <c r="Q294" s="1006">
        <f>IF(I!Q294="","",$D$2*I!Q294)</f>
        <v>5.2969545000000004E-10</v>
      </c>
      <c r="R294" s="982"/>
      <c r="S294" s="1003"/>
      <c r="T294" s="938"/>
      <c r="U294" s="1008" t="s">
        <v>1059</v>
      </c>
      <c r="V294" s="1018" t="s">
        <v>6148</v>
      </c>
      <c r="W294" s="1019">
        <f>IF(I!W294="","",$D$2*I!W294)</f>
        <v>0</v>
      </c>
      <c r="X294" s="990">
        <f>IF(I!X294="","",$D$2*I!X294)</f>
        <v>0</v>
      </c>
      <c r="Y294" s="1010">
        <f>IF(I!Y294="","",$D$2*I!Y294)</f>
        <v>0</v>
      </c>
      <c r="Z294" s="938"/>
      <c r="AA294" s="938"/>
      <c r="AB294" s="938"/>
      <c r="AC294" s="938"/>
      <c r="AD294" s="1058"/>
      <c r="AE294" s="938"/>
      <c r="AF294" s="938"/>
      <c r="AG294" s="938"/>
      <c r="AH294" s="938"/>
    </row>
    <row r="295" spans="1:34" ht="17.25" customHeight="1" x14ac:dyDescent="0.35">
      <c r="A295" s="938"/>
      <c r="B295" s="938"/>
      <c r="C295" s="941"/>
      <c r="D295" s="1047"/>
      <c r="E295" s="941"/>
      <c r="F295" s="938"/>
      <c r="G295" s="976">
        <f t="shared" si="6"/>
        <v>292</v>
      </c>
      <c r="H295" s="1000"/>
      <c r="I295" s="1001" t="s">
        <v>1059</v>
      </c>
      <c r="J295" s="1031" t="s">
        <v>1339</v>
      </c>
      <c r="K295" s="1002">
        <f>IF(I!K295="","",$D$2*I!K295)</f>
        <v>0.30006271330000001</v>
      </c>
      <c r="L295" s="981"/>
      <c r="M295" s="982"/>
      <c r="N295" s="1003"/>
      <c r="O295" s="1004">
        <f>IF(I!O295="","",$D$2*I!O295)</f>
        <v>1.1100000000000001</v>
      </c>
      <c r="P295" s="1005">
        <f>IF(I!P295="","",$D$2*I!P295)</f>
        <v>0.83230828834850001</v>
      </c>
      <c r="Q295" s="1006">
        <f>IF(I!Q295="","",$D$2*I!Q295)</f>
        <v>6.4800032000000001E-10</v>
      </c>
      <c r="R295" s="982"/>
      <c r="S295" s="1003"/>
      <c r="T295" s="938"/>
      <c r="U295" s="1008" t="s">
        <v>1059</v>
      </c>
      <c r="V295" s="1018" t="s">
        <v>6149</v>
      </c>
      <c r="W295" s="1019">
        <f>IF(I!W295="","",$D$2*I!W295)</f>
        <v>0</v>
      </c>
      <c r="X295" s="990">
        <f>IF(I!X295="","",$D$2*I!X295)</f>
        <v>0</v>
      </c>
      <c r="Y295" s="1010">
        <f>IF(I!Y295="","",$D$2*I!Y295)</f>
        <v>0</v>
      </c>
      <c r="Z295" s="938"/>
      <c r="AA295" s="938"/>
      <c r="AB295" s="938"/>
      <c r="AC295" s="938"/>
      <c r="AD295" s="1058"/>
      <c r="AE295" s="938"/>
      <c r="AF295" s="938"/>
      <c r="AG295" s="938"/>
      <c r="AH295" s="938"/>
    </row>
    <row r="296" spans="1:34" ht="17.25" customHeight="1" x14ac:dyDescent="0.35">
      <c r="A296" s="938"/>
      <c r="B296" s="938"/>
      <c r="C296" s="941"/>
      <c r="D296" s="1047"/>
      <c r="E296" s="941"/>
      <c r="F296" s="938"/>
      <c r="G296" s="976">
        <f t="shared" si="6"/>
        <v>293</v>
      </c>
      <c r="H296" s="942" t="s">
        <v>1340</v>
      </c>
      <c r="I296" s="1001"/>
      <c r="J296" s="1027"/>
      <c r="K296" s="1002" t="str">
        <f>IF(I!K296="","",$D$2*I!K296)</f>
        <v/>
      </c>
      <c r="L296" s="981"/>
      <c r="M296" s="982"/>
      <c r="N296" s="1003"/>
      <c r="O296" s="1004" t="str">
        <f>IF(I!O296="","",$D$2*I!O296)</f>
        <v/>
      </c>
      <c r="P296" s="1005" t="str">
        <f>IF(I!P296="","",$D$2*I!P296)</f>
        <v/>
      </c>
      <c r="Q296" s="1006" t="str">
        <f>IF(I!Q296="","",$D$2*I!Q296)</f>
        <v/>
      </c>
      <c r="R296" s="982"/>
      <c r="S296" s="1003"/>
      <c r="T296" s="938"/>
      <c r="U296" s="1008" t="s">
        <v>1059</v>
      </c>
      <c r="V296" s="1018" t="s">
        <v>6150</v>
      </c>
      <c r="W296" s="1019">
        <f>IF(I!W296="","",$D$2*I!W296)</f>
        <v>0</v>
      </c>
      <c r="X296" s="990">
        <f>IF(I!X296="","",$D$2*I!X296)</f>
        <v>0</v>
      </c>
      <c r="Y296" s="1010">
        <f>IF(I!Y296="","",$D$2*I!Y296)</f>
        <v>0</v>
      </c>
      <c r="Z296" s="938"/>
      <c r="AA296" s="938"/>
      <c r="AB296" s="938"/>
      <c r="AC296" s="938"/>
      <c r="AD296" s="1058"/>
      <c r="AE296" s="938"/>
      <c r="AF296" s="938"/>
      <c r="AG296" s="938"/>
      <c r="AH296" s="938"/>
    </row>
    <row r="297" spans="1:34" ht="17.25" customHeight="1" x14ac:dyDescent="0.35">
      <c r="A297" s="938"/>
      <c r="B297" s="938"/>
      <c r="C297" s="941"/>
      <c r="D297" s="1047"/>
      <c r="E297" s="941"/>
      <c r="F297" s="938"/>
      <c r="G297" s="976">
        <f t="shared" si="6"/>
        <v>294</v>
      </c>
      <c r="H297" s="1000"/>
      <c r="I297" s="1001" t="s">
        <v>1059</v>
      </c>
      <c r="J297" s="1031" t="s">
        <v>1341</v>
      </c>
      <c r="K297" s="1002">
        <f>IF(I!K297="","",$D$2*I!K297)</f>
        <v>6.8544032970000002E-2</v>
      </c>
      <c r="L297" s="981"/>
      <c r="M297" s="982"/>
      <c r="N297" s="1003"/>
      <c r="O297" s="1004">
        <f>IF(I!O297="","",$D$2*I!O297)</f>
        <v>0.33</v>
      </c>
      <c r="P297" s="1005">
        <f>IF(I!P297="","",$D$2*I!P297)</f>
        <v>0.10218925330669999</v>
      </c>
      <c r="Q297" s="1006">
        <f>IF(I!Q297="","",$D$2*I!Q297)</f>
        <v>5.9750596999999997E-10</v>
      </c>
      <c r="R297" s="982"/>
      <c r="S297" s="1003"/>
      <c r="T297" s="938"/>
      <c r="U297" s="1008" t="s">
        <v>1059</v>
      </c>
      <c r="V297" s="1018" t="s">
        <v>6151</v>
      </c>
      <c r="W297" s="1019">
        <f>IF(I!W297="","",$D$2*I!W297)</f>
        <v>2.1140098810000001E-2</v>
      </c>
      <c r="X297" s="990">
        <f>IF(I!X297="","",$D$2*I!X297)</f>
        <v>2.0761810637E-2</v>
      </c>
      <c r="Y297" s="1010">
        <f>IF(I!Y297="","",$D$2*I!Y297)</f>
        <v>0.18163230881</v>
      </c>
      <c r="Z297" s="938"/>
      <c r="AA297" s="938"/>
      <c r="AB297" s="938"/>
      <c r="AC297" s="938"/>
      <c r="AD297" s="1058"/>
      <c r="AE297" s="938"/>
      <c r="AF297" s="938"/>
      <c r="AG297" s="938"/>
      <c r="AH297" s="938"/>
    </row>
    <row r="298" spans="1:34" ht="17.25" customHeight="1" x14ac:dyDescent="0.35">
      <c r="A298" s="938"/>
      <c r="B298" s="938"/>
      <c r="C298" s="941"/>
      <c r="D298" s="1047"/>
      <c r="E298" s="941"/>
      <c r="F298" s="938"/>
      <c r="G298" s="976">
        <f t="shared" si="6"/>
        <v>295</v>
      </c>
      <c r="H298" s="1000"/>
      <c r="I298" s="1001" t="s">
        <v>1059</v>
      </c>
      <c r="J298" s="1031" t="s">
        <v>1342</v>
      </c>
      <c r="K298" s="1002">
        <f>IF(I!K298="","",$D$2*I!K298)</f>
        <v>0.13004026868999999</v>
      </c>
      <c r="L298" s="981"/>
      <c r="M298" s="982"/>
      <c r="N298" s="1003"/>
      <c r="O298" s="1004">
        <f>IF(I!O298="","",$D$2*I!O298)</f>
        <v>0.47</v>
      </c>
      <c r="P298" s="1005">
        <f>IF(I!P298="","",$D$2*I!P298)</f>
        <v>0.13965011029419999</v>
      </c>
      <c r="Q298" s="1006">
        <f>IF(I!Q298="","",$D$2*I!Q298)</f>
        <v>5.2827064000000004E-10</v>
      </c>
      <c r="R298" s="982"/>
      <c r="S298" s="1003"/>
      <c r="T298" s="938"/>
      <c r="U298" s="1008" t="s">
        <v>1059</v>
      </c>
      <c r="V298" s="1018" t="s">
        <v>6152</v>
      </c>
      <c r="W298" s="1019">
        <f>IF(I!W298="","",$D$2*I!W298)</f>
        <v>2.087057141E-2</v>
      </c>
      <c r="X298" s="990">
        <f>IF(I!X298="","",$D$2*I!X298)</f>
        <v>1.6826975247000001E-2</v>
      </c>
      <c r="Y298" s="1010">
        <f>IF(I!Y298="","",$D$2*I!Y298)</f>
        <v>9.5799381409999995E-2</v>
      </c>
      <c r="Z298" s="938"/>
      <c r="AA298" s="938"/>
      <c r="AB298" s="938"/>
      <c r="AC298" s="938"/>
      <c r="AD298" s="1058"/>
      <c r="AE298" s="938"/>
      <c r="AF298" s="938"/>
      <c r="AG298" s="938"/>
      <c r="AH298" s="938"/>
    </row>
    <row r="299" spans="1:34" ht="17.25" customHeight="1" x14ac:dyDescent="0.35">
      <c r="A299" s="938"/>
      <c r="B299" s="938"/>
      <c r="C299" s="941"/>
      <c r="D299" s="1047"/>
      <c r="E299" s="941"/>
      <c r="F299" s="938"/>
      <c r="G299" s="976">
        <f t="shared" si="6"/>
        <v>296</v>
      </c>
      <c r="H299" s="1000"/>
      <c r="I299" s="1001" t="s">
        <v>1059</v>
      </c>
      <c r="J299" s="1031" t="s">
        <v>1343</v>
      </c>
      <c r="K299" s="1002">
        <f>IF(I!K299="","",$D$2*I!K299)</f>
        <v>6.932912678E-2</v>
      </c>
      <c r="L299" s="981"/>
      <c r="M299" s="982"/>
      <c r="N299" s="1003"/>
      <c r="O299" s="1004">
        <f>IF(I!O299="","",$D$2*I!O299)</f>
        <v>0.34</v>
      </c>
      <c r="P299" s="1005">
        <f>IF(I!P299="","",$D$2*I!P299)</f>
        <v>0.1047598314839</v>
      </c>
      <c r="Q299" s="1006">
        <f>IF(I!Q299="","",$D$2*I!Q299)</f>
        <v>6.0456833999999996E-10</v>
      </c>
      <c r="R299" s="982"/>
      <c r="S299" s="1003"/>
      <c r="T299" s="938"/>
      <c r="U299" s="1008" t="s">
        <v>1059</v>
      </c>
      <c r="V299" s="1018" t="s">
        <v>6153</v>
      </c>
      <c r="W299" s="1019">
        <f>IF(I!W299="","",$D$2*I!W299)</f>
        <v>6.1772397699999995E-2</v>
      </c>
      <c r="X299" s="990">
        <f>IF(I!X299="","",$D$2*I!X299)</f>
        <v>0.12219185795000001</v>
      </c>
      <c r="Y299" s="1010">
        <f>IF(I!Y299="","",$D$2*I!Y299)</f>
        <v>0.10451107069999999</v>
      </c>
      <c r="Z299" s="938"/>
      <c r="AA299" s="938"/>
      <c r="AB299" s="938"/>
      <c r="AC299" s="938"/>
      <c r="AD299" s="1058"/>
      <c r="AE299" s="938"/>
      <c r="AF299" s="938"/>
      <c r="AG299" s="938"/>
      <c r="AH299" s="938"/>
    </row>
    <row r="300" spans="1:34" ht="17.25" customHeight="1" x14ac:dyDescent="0.35">
      <c r="A300" s="938"/>
      <c r="B300" s="938"/>
      <c r="C300" s="941"/>
      <c r="D300" s="1047"/>
      <c r="E300" s="941"/>
      <c r="F300" s="938"/>
      <c r="G300" s="976">
        <f t="shared" si="6"/>
        <v>297</v>
      </c>
      <c r="H300" s="942"/>
      <c r="I300" s="1001" t="s">
        <v>1059</v>
      </c>
      <c r="J300" s="1031" t="s">
        <v>1344</v>
      </c>
      <c r="K300" s="1002">
        <f>IF(I!K300="","",$D$2*I!K300)</f>
        <v>7.2119233189999993E-2</v>
      </c>
      <c r="L300" s="981"/>
      <c r="M300" s="982"/>
      <c r="N300" s="1003"/>
      <c r="O300" s="1004">
        <f>IF(I!O300="","",$D$2*I!O300)</f>
        <v>0.35</v>
      </c>
      <c r="P300" s="1005">
        <f>IF(I!P300="","",$D$2*I!P300)</f>
        <v>0.10456853336459999</v>
      </c>
      <c r="Q300" s="1006">
        <f>IF(I!Q300="","",$D$2*I!Q300)</f>
        <v>5.8714107000000001E-10</v>
      </c>
      <c r="R300" s="982"/>
      <c r="S300" s="1003"/>
      <c r="T300" s="938"/>
      <c r="U300" s="1008" t="s">
        <v>1059</v>
      </c>
      <c r="V300" s="1018" t="s">
        <v>6154</v>
      </c>
      <c r="W300" s="1019">
        <f>IF(I!W300="","",$D$2*I!W300)</f>
        <v>2.5689801259999999E-2</v>
      </c>
      <c r="X300" s="990">
        <f>IF(I!X300="","",$D$2*I!X300)</f>
        <v>5.0811302666000001E-2</v>
      </c>
      <c r="Y300" s="1010">
        <f>IF(I!Y300="","",$D$2*I!Y300)</f>
        <v>4.3472006260000001E-2</v>
      </c>
      <c r="Z300" s="938"/>
      <c r="AA300" s="938"/>
      <c r="AB300" s="938"/>
      <c r="AC300" s="938"/>
      <c r="AD300" s="1058"/>
      <c r="AE300" s="938"/>
      <c r="AF300" s="938"/>
      <c r="AG300" s="938"/>
      <c r="AH300" s="938"/>
    </row>
    <row r="301" spans="1:34" ht="17.25" customHeight="1" x14ac:dyDescent="0.35">
      <c r="A301" s="938"/>
      <c r="B301" s="938"/>
      <c r="C301" s="941"/>
      <c r="D301" s="1047"/>
      <c r="E301" s="941"/>
      <c r="F301" s="938"/>
      <c r="G301" s="976">
        <f t="shared" si="6"/>
        <v>298</v>
      </c>
      <c r="H301" s="1000"/>
      <c r="I301" s="1001"/>
      <c r="J301" s="1054"/>
      <c r="K301" s="1002" t="str">
        <f>IF(I!K301="","",$D$2*I!K301)</f>
        <v/>
      </c>
      <c r="L301" s="981"/>
      <c r="M301" s="982"/>
      <c r="N301" s="1003"/>
      <c r="O301" s="1004" t="str">
        <f>IF(I!O301="","",$D$2*I!O301)</f>
        <v/>
      </c>
      <c r="P301" s="1005" t="str">
        <f>IF(I!P301="","",$D$2*I!P301)</f>
        <v/>
      </c>
      <c r="Q301" s="1006" t="str">
        <f>IF(I!Q301="","",$D$2*I!Q301)</f>
        <v/>
      </c>
      <c r="R301" s="982"/>
      <c r="S301" s="1003"/>
      <c r="T301" s="938"/>
      <c r="U301" s="1008" t="s">
        <v>1059</v>
      </c>
      <c r="V301" s="1018" t="s">
        <v>6155</v>
      </c>
      <c r="W301" s="1019">
        <f>IF(I!W301="","",$D$2*I!W301)</f>
        <v>3.5457371969999998E-2</v>
      </c>
      <c r="X301" s="990">
        <f>IF(I!X301="","",$D$2*I!X301)</f>
        <v>5.9225839997999997E-2</v>
      </c>
      <c r="Y301" s="1010">
        <f>IF(I!Y301="","",$D$2*I!Y301)</f>
        <v>6.9808870969999992E-2</v>
      </c>
      <c r="Z301" s="938"/>
      <c r="AA301" s="938"/>
      <c r="AB301" s="938"/>
      <c r="AC301" s="938"/>
      <c r="AD301" s="1058"/>
      <c r="AE301" s="938"/>
      <c r="AF301" s="938"/>
      <c r="AG301" s="938"/>
      <c r="AH301" s="938"/>
    </row>
    <row r="302" spans="1:34" ht="17.25" customHeight="1" x14ac:dyDescent="0.35">
      <c r="A302" s="938"/>
      <c r="B302" s="938"/>
      <c r="C302" s="941"/>
      <c r="D302" s="1047"/>
      <c r="E302" s="941"/>
      <c r="F302" s="938"/>
      <c r="G302" s="976">
        <f t="shared" si="6"/>
        <v>299</v>
      </c>
      <c r="H302" s="942" t="s">
        <v>1345</v>
      </c>
      <c r="I302" s="1001"/>
      <c r="J302" s="1027"/>
      <c r="K302" s="1002" t="str">
        <f>IF(I!K302="","",$D$2*I!K302)</f>
        <v/>
      </c>
      <c r="L302" s="981"/>
      <c r="M302" s="982"/>
      <c r="N302" s="1003"/>
      <c r="O302" s="1004" t="str">
        <f>IF(I!O302="","",$D$2*I!O302)</f>
        <v/>
      </c>
      <c r="P302" s="1005" t="str">
        <f>IF(I!P302="","",$D$2*I!P302)</f>
        <v/>
      </c>
      <c r="Q302" s="1006" t="str">
        <f>IF(I!Q302="","",$D$2*I!Q302)</f>
        <v/>
      </c>
      <c r="R302" s="982"/>
      <c r="S302" s="1003"/>
      <c r="T302" s="938"/>
      <c r="U302" s="1008" t="s">
        <v>1059</v>
      </c>
      <c r="V302" s="1018" t="s">
        <v>6156</v>
      </c>
      <c r="W302" s="1019">
        <f>IF(I!W302="","",$D$2*I!W302)</f>
        <v>0</v>
      </c>
      <c r="X302" s="990">
        <f>IF(I!X302="","",$D$2*I!X302)</f>
        <v>0</v>
      </c>
      <c r="Y302" s="1010">
        <f>IF(I!Y302="","",$D$2*I!Y302)</f>
        <v>0</v>
      </c>
      <c r="Z302" s="938"/>
      <c r="AA302" s="938"/>
      <c r="AB302" s="938"/>
      <c r="AC302" s="938"/>
      <c r="AD302" s="1058"/>
      <c r="AE302" s="938"/>
      <c r="AF302" s="938"/>
      <c r="AG302" s="938"/>
      <c r="AH302" s="938"/>
    </row>
    <row r="303" spans="1:34" ht="17.25" customHeight="1" x14ac:dyDescent="0.35">
      <c r="A303" s="938"/>
      <c r="B303" s="938"/>
      <c r="C303" s="941"/>
      <c r="D303" s="1047"/>
      <c r="E303" s="941"/>
      <c r="F303" s="938"/>
      <c r="G303" s="976">
        <f t="shared" si="6"/>
        <v>300</v>
      </c>
      <c r="H303" s="1000"/>
      <c r="I303" s="1001" t="s">
        <v>1059</v>
      </c>
      <c r="J303" s="1031" t="s">
        <v>1346</v>
      </c>
      <c r="K303" s="1002">
        <f>IF(I!K303="","",$D$2*I!K303)</f>
        <v>0.59125376399999996</v>
      </c>
      <c r="L303" s="981"/>
      <c r="M303" s="982"/>
      <c r="N303" s="1003"/>
      <c r="O303" s="1004">
        <f>IF(I!O303="","",$D$2*I!O303)</f>
        <v>1.43</v>
      </c>
      <c r="P303" s="1005">
        <f>IF(I!P303="","",$D$2*I!P303)</f>
        <v>1.1622420974599998</v>
      </c>
      <c r="Q303" s="1006">
        <f>IF(I!Q303="","",$D$2*I!Q303)</f>
        <v>5.0229493000000002E-11</v>
      </c>
      <c r="R303" s="982"/>
      <c r="S303" s="1003"/>
      <c r="T303" s="938"/>
      <c r="U303" s="1008" t="s">
        <v>1059</v>
      </c>
      <c r="V303" s="1018" t="s">
        <v>6157</v>
      </c>
      <c r="W303" s="1019">
        <f>IF(I!W303="","",$D$2*I!W303)</f>
        <v>1.5223585969999998E-2</v>
      </c>
      <c r="X303" s="990">
        <f>IF(I!X303="","",$D$2*I!X303)</f>
        <v>3.0110400995000002E-2</v>
      </c>
      <c r="Y303" s="1010">
        <f>IF(I!Y303="","",$D$2*I!Y303)</f>
        <v>2.5761188969999998E-2</v>
      </c>
      <c r="Z303" s="938"/>
      <c r="AA303" s="938"/>
      <c r="AB303" s="938"/>
      <c r="AC303" s="938"/>
      <c r="AD303" s="1058"/>
      <c r="AE303" s="938"/>
      <c r="AF303" s="938"/>
      <c r="AG303" s="938"/>
      <c r="AH303" s="938"/>
    </row>
    <row r="304" spans="1:34" ht="17.25" customHeight="1" x14ac:dyDescent="0.35">
      <c r="A304" s="938"/>
      <c r="B304" s="938"/>
      <c r="C304" s="941"/>
      <c r="D304" s="1047"/>
      <c r="E304" s="941"/>
      <c r="F304" s="938"/>
      <c r="G304" s="976">
        <f t="shared" si="6"/>
        <v>301</v>
      </c>
      <c r="H304" s="1000"/>
      <c r="I304" s="1001" t="s">
        <v>1059</v>
      </c>
      <c r="J304" s="1031" t="s">
        <v>1347</v>
      </c>
      <c r="K304" s="1002">
        <f>IF(I!K304="","",$D$2*I!K304)</f>
        <v>5.8412037699999995E-2</v>
      </c>
      <c r="L304" s="981"/>
      <c r="M304" s="982"/>
      <c r="N304" s="1003"/>
      <c r="O304" s="1004">
        <f>IF(I!O304="","",$D$2*I!O304)</f>
        <v>0.35</v>
      </c>
      <c r="P304" s="1005">
        <f>IF(I!P304="","",$D$2*I!P304)</f>
        <v>4.9639568519999995E-3</v>
      </c>
      <c r="Q304" s="1006">
        <f>IF(I!Q304="","",$D$2*I!Q304)</f>
        <v>5.1782983000000001E-9</v>
      </c>
      <c r="R304" s="982"/>
      <c r="S304" s="1003"/>
      <c r="T304" s="938"/>
      <c r="U304" s="1008" t="s">
        <v>1059</v>
      </c>
      <c r="V304" s="1018" t="s">
        <v>6158</v>
      </c>
      <c r="W304" s="1019">
        <f>IF(I!W304="","",$D$2*I!W304)</f>
        <v>2.3864614690000001E-2</v>
      </c>
      <c r="X304" s="990">
        <f>IF(I!X304="","",$D$2*I!X304)</f>
        <v>9.9743603680000001E-3</v>
      </c>
      <c r="Y304" s="1010">
        <f>IF(I!Y304="","",$D$2*I!Y304)</f>
        <v>4.1867134690000002E-2</v>
      </c>
      <c r="Z304" s="938"/>
      <c r="AA304" s="938"/>
      <c r="AB304" s="938"/>
      <c r="AC304" s="938"/>
      <c r="AD304" s="1058"/>
      <c r="AE304" s="938"/>
      <c r="AF304" s="938"/>
      <c r="AG304" s="938"/>
      <c r="AH304" s="938"/>
    </row>
    <row r="305" spans="1:34" ht="17.25" customHeight="1" x14ac:dyDescent="0.35">
      <c r="A305" s="938"/>
      <c r="B305" s="938"/>
      <c r="C305" s="941"/>
      <c r="D305" s="1047"/>
      <c r="E305" s="941"/>
      <c r="F305" s="938"/>
      <c r="G305" s="976">
        <f t="shared" si="6"/>
        <v>302</v>
      </c>
      <c r="H305" s="1000">
        <v>1</v>
      </c>
      <c r="I305" s="1001" t="s">
        <v>1059</v>
      </c>
      <c r="J305" s="1031" t="s">
        <v>1348</v>
      </c>
      <c r="K305" s="1002">
        <f>IF(I!K305="","",$D$2*I!K305)</f>
        <v>0.40950345100000002</v>
      </c>
      <c r="L305" s="981"/>
      <c r="M305" s="982"/>
      <c r="N305" s="1003"/>
      <c r="O305" s="1004">
        <f>IF(I!O305="","",$D$2*I!O305)</f>
        <v>1.06</v>
      </c>
      <c r="P305" s="1005">
        <f>IF(I!P305="","",$D$2*I!P305)</f>
        <v>0.76871788389000006</v>
      </c>
      <c r="Q305" s="1006">
        <f>IF(I!Q305="","",$D$2*I!Q305)</f>
        <v>1.7419899000000001E-9</v>
      </c>
      <c r="R305" s="982"/>
      <c r="S305" s="1003"/>
      <c r="T305" s="938"/>
      <c r="U305" s="1008" t="s">
        <v>1059</v>
      </c>
      <c r="V305" s="1018" t="s">
        <v>6159</v>
      </c>
      <c r="W305" s="1019">
        <f>IF(I!W305="","",$D$2*I!W305)</f>
        <v>5.0911395950000004E-3</v>
      </c>
      <c r="X305" s="990">
        <f>IF(I!X305="","",$D$2*I!X305)</f>
        <v>3.1132714050999999E-3</v>
      </c>
      <c r="Y305" s="1010">
        <f>IF(I!Y305="","",$D$2*I!Y305)</f>
        <v>1.1029716495000001E-2</v>
      </c>
      <c r="Z305" s="938"/>
      <c r="AA305" s="938"/>
      <c r="AB305" s="938"/>
      <c r="AC305" s="938"/>
      <c r="AD305" s="1058"/>
      <c r="AE305" s="938"/>
      <c r="AF305" s="938"/>
      <c r="AG305" s="938"/>
      <c r="AH305" s="938"/>
    </row>
    <row r="306" spans="1:34" ht="17.25" customHeight="1" x14ac:dyDescent="0.35">
      <c r="A306" s="938"/>
      <c r="B306" s="938"/>
      <c r="C306" s="941"/>
      <c r="D306" s="1047"/>
      <c r="E306" s="941"/>
      <c r="F306" s="938"/>
      <c r="G306" s="976">
        <f t="shared" si="6"/>
        <v>303</v>
      </c>
      <c r="H306" s="1000"/>
      <c r="I306" s="1001" t="s">
        <v>1059</v>
      </c>
      <c r="J306" s="1031" t="s">
        <v>1349</v>
      </c>
      <c r="K306" s="1002">
        <f>IF(I!K306="","",$D$2*I!K306)</f>
        <v>1.5640009492</v>
      </c>
      <c r="L306" s="981"/>
      <c r="M306" s="982"/>
      <c r="N306" s="1003"/>
      <c r="O306" s="1004">
        <f>IF(I!O306="","",$D$2*I!O306)</f>
        <v>3.4</v>
      </c>
      <c r="P306" s="1005">
        <f>IF(I!P306="","",$D$2*I!P306)</f>
        <v>7.9319142768499997</v>
      </c>
      <c r="Q306" s="1006">
        <f>IF(I!Q306="","",$D$2*I!Q306)</f>
        <v>0</v>
      </c>
      <c r="R306" s="982"/>
      <c r="S306" s="1003"/>
      <c r="T306" s="938"/>
      <c r="U306" s="1008" t="s">
        <v>1059</v>
      </c>
      <c r="V306" s="1018" t="s">
        <v>6160</v>
      </c>
      <c r="W306" s="1019">
        <f>IF(I!W306="","",$D$2*I!W306)</f>
        <v>9.2126116080000001E-3</v>
      </c>
      <c r="X306" s="990">
        <f>IF(I!X306="","",$D$2*I!X306)</f>
        <v>3.0176561185000002E-3</v>
      </c>
      <c r="Y306" s="1010">
        <f>IF(I!Y306="","",$D$2*I!Y306)</f>
        <v>1.5794420207999999E-2</v>
      </c>
      <c r="Z306" s="938"/>
      <c r="AA306" s="938"/>
      <c r="AB306" s="938"/>
      <c r="AC306" s="938"/>
      <c r="AD306" s="1058"/>
      <c r="AE306" s="938"/>
      <c r="AF306" s="938"/>
      <c r="AG306" s="938"/>
      <c r="AH306" s="938"/>
    </row>
    <row r="307" spans="1:34" ht="17.25" customHeight="1" x14ac:dyDescent="0.35">
      <c r="A307" s="938"/>
      <c r="B307" s="938"/>
      <c r="C307" s="941"/>
      <c r="D307" s="1047"/>
      <c r="E307" s="941"/>
      <c r="F307" s="938"/>
      <c r="G307" s="976">
        <f t="shared" si="6"/>
        <v>304</v>
      </c>
      <c r="H307" s="1000"/>
      <c r="I307" s="1001" t="s">
        <v>1059</v>
      </c>
      <c r="J307" s="1031" t="s">
        <v>1350</v>
      </c>
      <c r="K307" s="1002">
        <f>IF(I!K307="","",$D$2*I!K307)</f>
        <v>0.36812373300000001</v>
      </c>
      <c r="L307" s="981"/>
      <c r="M307" s="982"/>
      <c r="N307" s="1003"/>
      <c r="O307" s="1004">
        <f>IF(I!O307="","",$D$2*I!O307)</f>
        <v>0.75</v>
      </c>
      <c r="P307" s="1005">
        <f>IF(I!P307="","",$D$2*I!P307)</f>
        <v>17.022066018630941</v>
      </c>
      <c r="Q307" s="1006">
        <f>IF(I!Q307="","",$D$2*I!Q307)</f>
        <v>1.3754855000000001E-10</v>
      </c>
      <c r="R307" s="982"/>
      <c r="S307" s="1003"/>
      <c r="T307" s="938"/>
      <c r="U307" s="1008" t="s">
        <v>1059</v>
      </c>
      <c r="V307" s="1018" t="s">
        <v>6161</v>
      </c>
      <c r="W307" s="1019">
        <f>IF(I!W307="","",$D$2*I!W307)</f>
        <v>3.5832925749999999E-3</v>
      </c>
      <c r="X307" s="990">
        <f>IF(I!X307="","",$D$2*I!X307)</f>
        <v>2.1912112009999998E-3</v>
      </c>
      <c r="Y307" s="1010">
        <f>IF(I!Y307="","",$D$2*I!Y307)</f>
        <v>7.7630361749999998E-3</v>
      </c>
      <c r="Z307" s="938"/>
      <c r="AA307" s="938"/>
      <c r="AB307" s="938"/>
      <c r="AC307" s="938"/>
      <c r="AD307" s="1058"/>
      <c r="AE307" s="938"/>
      <c r="AF307" s="938"/>
      <c r="AG307" s="938"/>
      <c r="AH307" s="938"/>
    </row>
    <row r="308" spans="1:34" ht="17.25" customHeight="1" x14ac:dyDescent="0.35">
      <c r="A308" s="938"/>
      <c r="B308" s="938"/>
      <c r="C308" s="941"/>
      <c r="D308" s="1047"/>
      <c r="E308" s="941"/>
      <c r="F308" s="938"/>
      <c r="G308" s="976">
        <f t="shared" si="6"/>
        <v>305</v>
      </c>
      <c r="H308" s="1000"/>
      <c r="I308" s="1001" t="s">
        <v>1059</v>
      </c>
      <c r="J308" s="1031" t="s">
        <v>1351</v>
      </c>
      <c r="K308" s="1002">
        <f>IF(I!K308="","",$D$2*I!K308)</f>
        <v>1.058432104</v>
      </c>
      <c r="L308" s="981"/>
      <c r="M308" s="982"/>
      <c r="N308" s="1003"/>
      <c r="O308" s="1004">
        <f>IF(I!O308="","",$D$2*I!O308)</f>
        <v>4.0999999999999996</v>
      </c>
      <c r="P308" s="1005">
        <f>IF(I!P308="","",$D$2*I!P308)</f>
        <v>1.5337256500000001</v>
      </c>
      <c r="Q308" s="1006">
        <f>IF(I!Q308="","",$D$2*I!Q308)</f>
        <v>0</v>
      </c>
      <c r="R308" s="982"/>
      <c r="S308" s="1003"/>
      <c r="T308" s="938"/>
      <c r="U308" s="1008" t="s">
        <v>1059</v>
      </c>
      <c r="V308" s="1018" t="s">
        <v>6162</v>
      </c>
      <c r="W308" s="1019">
        <f>IF(I!W308="","",$D$2*I!W308)</f>
        <v>6.4841046370000006E-3</v>
      </c>
      <c r="X308" s="990">
        <f>IF(I!X308="","",$D$2*I!X308)</f>
        <v>2.1239143970000003E-3</v>
      </c>
      <c r="Y308" s="1010">
        <f>IF(I!Y308="","",$D$2*I!Y308)</f>
        <v>1.1116573437E-2</v>
      </c>
      <c r="Z308" s="938"/>
      <c r="AA308" s="938"/>
      <c r="AB308" s="938"/>
      <c r="AC308" s="938"/>
      <c r="AD308" s="1058"/>
      <c r="AE308" s="938"/>
      <c r="AF308" s="938"/>
      <c r="AG308" s="938"/>
      <c r="AH308" s="938"/>
    </row>
    <row r="309" spans="1:34" ht="17.25" customHeight="1" x14ac:dyDescent="0.35">
      <c r="A309" s="938"/>
      <c r="B309" s="938"/>
      <c r="C309" s="941"/>
      <c r="D309" s="1047"/>
      <c r="E309" s="941"/>
      <c r="F309" s="938"/>
      <c r="G309" s="976">
        <f t="shared" si="6"/>
        <v>306</v>
      </c>
      <c r="H309" s="1000"/>
      <c r="I309" s="1001" t="s">
        <v>1059</v>
      </c>
      <c r="J309" s="1031" t="s">
        <v>1352</v>
      </c>
      <c r="K309" s="1002">
        <f>IF(I!K309="","",$D$2*I!K309)</f>
        <v>0.96556980019999994</v>
      </c>
      <c r="L309" s="981"/>
      <c r="M309" s="982"/>
      <c r="N309" s="1003"/>
      <c r="O309" s="1004">
        <f>IF(I!O309="","",$D$2*I!O309)</f>
        <v>1.86</v>
      </c>
      <c r="P309" s="1005">
        <f>IF(I!P309="","",$D$2*I!P309)</f>
        <v>42.547446379999997</v>
      </c>
      <c r="Q309" s="1006">
        <f>IF(I!Q309="","",$D$2*I!Q309)</f>
        <v>0</v>
      </c>
      <c r="R309" s="982"/>
      <c r="S309" s="1003"/>
      <c r="T309" s="938"/>
      <c r="U309" s="1008" t="s">
        <v>1059</v>
      </c>
      <c r="V309" s="1018" t="s">
        <v>6163</v>
      </c>
      <c r="W309" s="1019">
        <f>IF(I!W309="","",$D$2*I!W309)</f>
        <v>2.6315316889999999E-2</v>
      </c>
      <c r="X309" s="990">
        <f>IF(I!X309="","",$D$2*I!X309)</f>
        <v>1.2064473709999999E-2</v>
      </c>
      <c r="Y309" s="1010">
        <f>IF(I!Y309="","",$D$2*I!Y309)</f>
        <v>0.11314125689</v>
      </c>
      <c r="Z309" s="938"/>
      <c r="AA309" s="938"/>
      <c r="AB309" s="938"/>
      <c r="AC309" s="938"/>
      <c r="AD309" s="1058"/>
      <c r="AE309" s="938"/>
      <c r="AF309" s="938"/>
      <c r="AG309" s="938"/>
      <c r="AH309" s="938"/>
    </row>
    <row r="310" spans="1:34" ht="17.25" customHeight="1" x14ac:dyDescent="0.35">
      <c r="A310" s="938"/>
      <c r="B310" s="938"/>
      <c r="C310" s="941"/>
      <c r="D310" s="1047"/>
      <c r="E310" s="941"/>
      <c r="F310" s="938"/>
      <c r="G310" s="976">
        <f t="shared" si="6"/>
        <v>307</v>
      </c>
      <c r="H310" s="942"/>
      <c r="I310" s="1001" t="s">
        <v>1059</v>
      </c>
      <c r="J310" s="1031" t="s">
        <v>1353</v>
      </c>
      <c r="K310" s="1002">
        <f>IF(I!K310="","",$D$2*I!K310)</f>
        <v>4.6383667850000005</v>
      </c>
      <c r="L310" s="981"/>
      <c r="M310" s="982"/>
      <c r="N310" s="1003"/>
      <c r="O310" s="1004">
        <f>IF(I!O310="","",$D$2*I!O310)</f>
        <v>5.0599999999999996</v>
      </c>
      <c r="P310" s="1005">
        <f>IF(I!P310="","",$D$2*I!P310)</f>
        <v>3.7227762631600001</v>
      </c>
      <c r="Q310" s="1006">
        <f>IF(I!Q310="","",$D$2*I!Q310)</f>
        <v>2.5660094999999999E-3</v>
      </c>
      <c r="R310" s="982"/>
      <c r="S310" s="1003"/>
      <c r="T310" s="938"/>
      <c r="U310" s="1008" t="s">
        <v>1059</v>
      </c>
      <c r="V310" s="1018" t="s">
        <v>6164</v>
      </c>
      <c r="W310" s="1019">
        <f>IF(I!W310="","",$D$2*I!W310)</f>
        <v>3.9380103149999998E-2</v>
      </c>
      <c r="X310" s="990">
        <f>IF(I!X310="","",$D$2*I!X310)</f>
        <v>1.1569488777999999E-2</v>
      </c>
      <c r="Y310" s="1010">
        <f>IF(I!Y310="","",$D$2*I!Y310)</f>
        <v>0.12241540014999999</v>
      </c>
      <c r="Z310" s="938"/>
      <c r="AA310" s="938"/>
      <c r="AB310" s="938"/>
      <c r="AC310" s="938"/>
      <c r="AD310" s="1058"/>
      <c r="AE310" s="938"/>
      <c r="AF310" s="938"/>
      <c r="AG310" s="938"/>
      <c r="AH310" s="938"/>
    </row>
    <row r="311" spans="1:34" ht="17.25" customHeight="1" x14ac:dyDescent="0.35">
      <c r="A311" s="938"/>
      <c r="B311" s="938"/>
      <c r="C311" s="941"/>
      <c r="D311" s="1047"/>
      <c r="E311" s="941"/>
      <c r="F311" s="938"/>
      <c r="G311" s="976">
        <f t="shared" si="6"/>
        <v>308</v>
      </c>
      <c r="H311" s="1000"/>
      <c r="I311" s="1001" t="s">
        <v>1059</v>
      </c>
      <c r="J311" s="1031" t="s">
        <v>1354</v>
      </c>
      <c r="K311" s="1002">
        <f>IF(I!K311="","",$D$2*I!K311)</f>
        <v>5.1683656250000001E-2</v>
      </c>
      <c r="L311" s="981"/>
      <c r="M311" s="982"/>
      <c r="N311" s="1003"/>
      <c r="O311" s="1004">
        <f>IF(I!O311="","",$D$2*I!O311)</f>
        <v>0.31</v>
      </c>
      <c r="P311" s="1005">
        <f>IF(I!P311="","",$D$2*I!P311)</f>
        <v>4.9182913079999996E-3</v>
      </c>
      <c r="Q311" s="1006">
        <f>IF(I!Q311="","",$D$2*I!Q311)</f>
        <v>5.1782983000000001E-9</v>
      </c>
      <c r="R311" s="982"/>
      <c r="S311" s="1003"/>
      <c r="T311" s="938"/>
      <c r="U311" s="1008" t="s">
        <v>1059</v>
      </c>
      <c r="V311" s="1018" t="s">
        <v>6165</v>
      </c>
      <c r="W311" s="1019">
        <f>IF(I!W311="","",$D$2*I!W311)</f>
        <v>0.12314224260000001</v>
      </c>
      <c r="X311" s="990">
        <f>IF(I!X311="","",$D$2*I!X311)</f>
        <v>0.16370894132</v>
      </c>
      <c r="Y311" s="1010">
        <f>IF(I!Y311="","",$D$2*I!Y311)</f>
        <v>0.24967625260000001</v>
      </c>
      <c r="Z311" s="938"/>
      <c r="AA311" s="938"/>
      <c r="AB311" s="938"/>
      <c r="AC311" s="938"/>
      <c r="AD311" s="1058"/>
      <c r="AE311" s="938"/>
      <c r="AF311" s="938"/>
      <c r="AG311" s="938"/>
      <c r="AH311" s="938"/>
    </row>
    <row r="312" spans="1:34" ht="17.25" customHeight="1" x14ac:dyDescent="0.35">
      <c r="A312" s="938"/>
      <c r="B312" s="938"/>
      <c r="C312" s="941"/>
      <c r="D312" s="1047"/>
      <c r="E312" s="941"/>
      <c r="F312" s="938"/>
      <c r="G312" s="976">
        <f t="shared" si="6"/>
        <v>309</v>
      </c>
      <c r="H312" s="1000">
        <v>1</v>
      </c>
      <c r="I312" s="1001" t="s">
        <v>1059</v>
      </c>
      <c r="J312" s="1031" t="s">
        <v>1355</v>
      </c>
      <c r="K312" s="1002">
        <f>IF(I!K312="","",$D$2*I!K312)</f>
        <v>2.6202262730000001</v>
      </c>
      <c r="L312" s="981"/>
      <c r="M312" s="982"/>
      <c r="N312" s="1003"/>
      <c r="O312" s="1004">
        <f>IF(I!O312="","",$D$2*I!O312)</f>
        <v>2.97</v>
      </c>
      <c r="P312" s="1005">
        <f>IF(I!P312="","",$D$2*I!P312)</f>
        <v>2.0869187657773995</v>
      </c>
      <c r="Q312" s="1006">
        <f>IF(I!Q312="","",$D$2*I!Q312)</f>
        <v>1.4369675999999999E-3</v>
      </c>
      <c r="R312" s="982"/>
      <c r="S312" s="1003"/>
      <c r="T312" s="938"/>
      <c r="U312" s="1008" t="s">
        <v>1059</v>
      </c>
      <c r="V312" s="1018" t="s">
        <v>6166</v>
      </c>
      <c r="W312" s="1019">
        <f>IF(I!W312="","",$D$2*I!W312)</f>
        <v>0.11407202884000001</v>
      </c>
      <c r="X312" s="990">
        <f>IF(I!X312="","",$D$2*I!X312)</f>
        <v>0.10927795646000001</v>
      </c>
      <c r="Y312" s="1010">
        <f>IF(I!Y312="","",$D$2*I!Y312)</f>
        <v>0.18317151883999999</v>
      </c>
      <c r="Z312" s="938"/>
      <c r="AA312" s="938"/>
      <c r="AB312" s="938"/>
      <c r="AC312" s="938"/>
      <c r="AD312" s="1058"/>
      <c r="AE312" s="938"/>
      <c r="AF312" s="938"/>
      <c r="AG312" s="938"/>
      <c r="AH312" s="938"/>
    </row>
    <row r="313" spans="1:34" ht="17.25" customHeight="1" x14ac:dyDescent="0.35">
      <c r="A313" s="938"/>
      <c r="B313" s="938"/>
      <c r="C313" s="941"/>
      <c r="D313" s="1047"/>
      <c r="E313" s="941"/>
      <c r="F313" s="938"/>
      <c r="G313" s="976">
        <f t="shared" si="6"/>
        <v>310</v>
      </c>
      <c r="H313" s="1000"/>
      <c r="I313" s="1001" t="s">
        <v>1059</v>
      </c>
      <c r="J313" s="1031" t="s">
        <v>1356</v>
      </c>
      <c r="K313" s="1002">
        <f>IF(I!K313="","",$D$2*I!K313)</f>
        <v>16.590863389999999</v>
      </c>
      <c r="L313" s="981"/>
      <c r="M313" s="982"/>
      <c r="N313" s="1003"/>
      <c r="O313" s="1004">
        <f>IF(I!O313="","",$D$2*I!O313)</f>
        <v>38.18</v>
      </c>
      <c r="P313" s="1005">
        <f>IF(I!P313="","",$D$2*I!P313)</f>
        <v>117.624557</v>
      </c>
      <c r="Q313" s="1006">
        <f>IF(I!Q313="","",$D$2*I!Q313)</f>
        <v>0</v>
      </c>
      <c r="R313" s="982"/>
      <c r="S313" s="1003"/>
      <c r="T313" s="938"/>
      <c r="U313" s="1008" t="s">
        <v>1059</v>
      </c>
      <c r="V313" s="1018" t="s">
        <v>6167</v>
      </c>
      <c r="W313" s="1019">
        <f>IF(I!W313="","",$D$2*I!W313)</f>
        <v>0.11914417620000001</v>
      </c>
      <c r="X313" s="990">
        <f>IF(I!X313="","",$D$2*I!X313)</f>
        <v>0.16324932217999999</v>
      </c>
      <c r="Y313" s="1010">
        <f>IF(I!Y313="","",$D$2*I!Y313)</f>
        <v>0.24197161620000002</v>
      </c>
      <c r="Z313" s="938"/>
      <c r="AA313" s="938"/>
      <c r="AB313" s="938"/>
      <c r="AC313" s="938"/>
      <c r="AD313" s="1058"/>
      <c r="AE313" s="938"/>
      <c r="AF313" s="938"/>
      <c r="AG313" s="938"/>
      <c r="AH313" s="938"/>
    </row>
    <row r="314" spans="1:34" ht="17.25" customHeight="1" x14ac:dyDescent="0.35">
      <c r="A314" s="938"/>
      <c r="B314" s="938"/>
      <c r="C314" s="941"/>
      <c r="D314" s="1047"/>
      <c r="E314" s="941"/>
      <c r="F314" s="938"/>
      <c r="G314" s="976">
        <f t="shared" si="6"/>
        <v>311</v>
      </c>
      <c r="H314" s="1000"/>
      <c r="I314" s="1001" t="s">
        <v>1059</v>
      </c>
      <c r="J314" s="1031" t="s">
        <v>1357</v>
      </c>
      <c r="K314" s="1002">
        <f>IF(I!K314="","",$D$2*I!K314)</f>
        <v>3133.4671420000004</v>
      </c>
      <c r="L314" s="981"/>
      <c r="M314" s="982"/>
      <c r="N314" s="1003"/>
      <c r="O314" s="1004">
        <f>IF(I!O314="","",$D$2*I!O314)</f>
        <v>5210.22</v>
      </c>
      <c r="P314" s="1005">
        <f>IF(I!P314="","",$D$2*I!P314)</f>
        <v>23908.084589999999</v>
      </c>
      <c r="Q314" s="1006">
        <f>IF(I!Q314="","",$D$2*I!Q314)</f>
        <v>0</v>
      </c>
      <c r="R314" s="982"/>
      <c r="S314" s="1003"/>
      <c r="T314" s="938"/>
      <c r="U314" s="1008" t="s">
        <v>1059</v>
      </c>
      <c r="V314" s="1018" t="s">
        <v>6168</v>
      </c>
      <c r="W314" s="1019">
        <f>IF(I!W314="","",$D$2*I!W314)</f>
        <v>8.6654679849999999E-2</v>
      </c>
      <c r="X314" s="990">
        <f>IF(I!X314="","",$D$2*I!X314)</f>
        <v>0.10238794141</v>
      </c>
      <c r="Y314" s="1010">
        <f>IF(I!Y314="","",$D$2*I!Y314)</f>
        <v>0.14030092085000001</v>
      </c>
      <c r="Z314" s="938"/>
      <c r="AA314" s="938"/>
      <c r="AB314" s="938"/>
      <c r="AC314" s="938"/>
      <c r="AD314" s="1058"/>
      <c r="AE314" s="938"/>
      <c r="AF314" s="938"/>
      <c r="AG314" s="938"/>
      <c r="AH314" s="938"/>
    </row>
    <row r="315" spans="1:34" ht="17.25" customHeight="1" x14ac:dyDescent="0.35">
      <c r="A315" s="938"/>
      <c r="B315" s="938"/>
      <c r="C315" s="941"/>
      <c r="D315" s="1047"/>
      <c r="E315" s="941"/>
      <c r="F315" s="938"/>
      <c r="G315" s="976">
        <f t="shared" si="6"/>
        <v>312</v>
      </c>
      <c r="H315" s="1000"/>
      <c r="I315" s="1001" t="s">
        <v>1059</v>
      </c>
      <c r="J315" s="1031" t="s">
        <v>1358</v>
      </c>
      <c r="K315" s="1002">
        <f>IF(I!K315="","",$D$2*I!K315)</f>
        <v>21.386955521999997</v>
      </c>
      <c r="L315" s="981"/>
      <c r="M315" s="982"/>
      <c r="N315" s="1003"/>
      <c r="O315" s="1004">
        <f>IF(I!O315="","",$D$2*I!O315)</f>
        <v>67.489999999999995</v>
      </c>
      <c r="P315" s="1005">
        <f>IF(I!P315="","",$D$2*I!P315)</f>
        <v>16.545621018999999</v>
      </c>
      <c r="Q315" s="1006">
        <f>IF(I!Q315="","",$D$2*I!Q315)</f>
        <v>0</v>
      </c>
      <c r="R315" s="982"/>
      <c r="S315" s="1003"/>
      <c r="T315" s="938"/>
      <c r="U315" s="1008" t="s">
        <v>1059</v>
      </c>
      <c r="V315" s="1018" t="s">
        <v>6169</v>
      </c>
      <c r="W315" s="1019">
        <f>IF(I!W315="","",$D$2*I!W315)</f>
        <v>0.11100786189999999</v>
      </c>
      <c r="X315" s="990">
        <f>IF(I!X315="","",$D$2*I!X315)</f>
        <v>0.14450911591000001</v>
      </c>
      <c r="Y315" s="1010">
        <f>IF(I!Y315="","",$D$2*I!Y315)</f>
        <v>0.2267453619</v>
      </c>
      <c r="Z315" s="938"/>
      <c r="AA315" s="938"/>
      <c r="AB315" s="938"/>
      <c r="AC315" s="938"/>
      <c r="AD315" s="1058"/>
      <c r="AE315" s="938"/>
      <c r="AF315" s="938"/>
      <c r="AG315" s="938"/>
      <c r="AH315" s="938"/>
    </row>
    <row r="316" spans="1:34" ht="17.25" customHeight="1" x14ac:dyDescent="0.35">
      <c r="A316" s="938"/>
      <c r="B316" s="938"/>
      <c r="C316" s="941"/>
      <c r="D316" s="1047"/>
      <c r="E316" s="941"/>
      <c r="F316" s="938"/>
      <c r="G316" s="976">
        <f t="shared" si="6"/>
        <v>313</v>
      </c>
      <c r="H316" s="1000"/>
      <c r="I316" s="1001" t="s">
        <v>1059</v>
      </c>
      <c r="J316" s="1031" t="s">
        <v>1359</v>
      </c>
      <c r="K316" s="1002">
        <f>IF(I!K316="","",$D$2*I!K316)</f>
        <v>1484.0646355900001</v>
      </c>
      <c r="L316" s="981"/>
      <c r="M316" s="982"/>
      <c r="N316" s="1003"/>
      <c r="O316" s="1004">
        <f>IF(I!O316="","",$D$2*I!O316)</f>
        <v>2484.58</v>
      </c>
      <c r="P316" s="1005">
        <f>IF(I!P316="","",$D$2*I!P316)</f>
        <v>11245.568498213001</v>
      </c>
      <c r="Q316" s="1006">
        <f>IF(I!Q316="","",$D$2*I!Q316)</f>
        <v>0</v>
      </c>
      <c r="R316" s="982"/>
      <c r="S316" s="1003"/>
      <c r="T316" s="938"/>
      <c r="U316" s="1008" t="s">
        <v>1059</v>
      </c>
      <c r="V316" s="1018" t="s">
        <v>6170</v>
      </c>
      <c r="W316" s="1019">
        <f>IF(I!W316="","",$D$2*I!W316)</f>
        <v>0.22746164680000003</v>
      </c>
      <c r="X316" s="990">
        <f>IF(I!X316="","",$D$2*I!X316)</f>
        <v>0.18194280305999999</v>
      </c>
      <c r="Y316" s="1010">
        <f>IF(I!Y316="","",$D$2*I!Y316)</f>
        <v>0.34245447680000002</v>
      </c>
      <c r="Z316" s="938"/>
      <c r="AA316" s="938"/>
      <c r="AB316" s="938"/>
      <c r="AC316" s="938"/>
      <c r="AD316" s="1058"/>
      <c r="AE316" s="938"/>
      <c r="AF316" s="938"/>
      <c r="AG316" s="938"/>
      <c r="AH316" s="938"/>
    </row>
    <row r="317" spans="1:34" ht="17.25" customHeight="1" x14ac:dyDescent="0.35">
      <c r="A317" s="938"/>
      <c r="B317" s="938"/>
      <c r="C317" s="941"/>
      <c r="D317" s="1047"/>
      <c r="E317" s="941"/>
      <c r="F317" s="938"/>
      <c r="G317" s="976">
        <f t="shared" si="6"/>
        <v>314</v>
      </c>
      <c r="H317" s="1000"/>
      <c r="I317" s="1001" t="s">
        <v>1059</v>
      </c>
      <c r="J317" s="1031" t="s">
        <v>1360</v>
      </c>
      <c r="K317" s="1002">
        <f>IF(I!K317="","",$D$2*I!K317)</f>
        <v>22.531421599999998</v>
      </c>
      <c r="L317" s="981"/>
      <c r="M317" s="982"/>
      <c r="N317" s="1003"/>
      <c r="O317" s="1004">
        <f>IF(I!O317="","",$D$2*I!O317)</f>
        <v>39.840000000000003</v>
      </c>
      <c r="P317" s="1005">
        <f>IF(I!P317="","",$D$2*I!P317)</f>
        <v>628.42137760000003</v>
      </c>
      <c r="Q317" s="1006">
        <f>IF(I!Q317="","",$D$2*I!Q317)</f>
        <v>0</v>
      </c>
      <c r="R317" s="982"/>
      <c r="S317" s="1003"/>
      <c r="T317" s="938"/>
      <c r="U317" s="1008" t="s">
        <v>1059</v>
      </c>
      <c r="V317" s="1018" t="s">
        <v>6171</v>
      </c>
      <c r="W317" s="1019">
        <f>IF(I!W317="","",$D$2*I!W317)</f>
        <v>0.10149753075</v>
      </c>
      <c r="X317" s="990">
        <f>IF(I!X317="","",$D$2*I!X317)</f>
        <v>9.5381614020000005E-2</v>
      </c>
      <c r="Y317" s="1010">
        <f>IF(I!Y317="","",$D$2*I!Y317)</f>
        <v>0.14906657174999999</v>
      </c>
      <c r="Z317" s="938"/>
      <c r="AA317" s="938"/>
      <c r="AB317" s="938"/>
      <c r="AC317" s="938"/>
      <c r="AD317" s="1058"/>
      <c r="AE317" s="938"/>
      <c r="AF317" s="938"/>
      <c r="AG317" s="938"/>
      <c r="AH317" s="938"/>
    </row>
    <row r="318" spans="1:34" ht="17.25" customHeight="1" x14ac:dyDescent="0.35">
      <c r="A318" s="938"/>
      <c r="B318" s="938"/>
      <c r="C318" s="941"/>
      <c r="D318" s="1047"/>
      <c r="E318" s="941"/>
      <c r="F318" s="938"/>
      <c r="G318" s="976">
        <f t="shared" si="6"/>
        <v>315</v>
      </c>
      <c r="H318" s="1000"/>
      <c r="I318" s="1001" t="s">
        <v>1059</v>
      </c>
      <c r="J318" s="1031" t="s">
        <v>1361</v>
      </c>
      <c r="K318" s="1002">
        <f>IF(I!K318="","",$D$2*I!K318)</f>
        <v>0.35003393729999999</v>
      </c>
      <c r="L318" s="981"/>
      <c r="M318" s="982"/>
      <c r="N318" s="1003"/>
      <c r="O318" s="1004">
        <f>IF(I!O318="","",$D$2*I!O318)</f>
        <v>0.56999999999999995</v>
      </c>
      <c r="P318" s="1005">
        <f>IF(I!P318="","",$D$2*I!P318)</f>
        <v>1.44378549257694</v>
      </c>
      <c r="Q318" s="1006">
        <f>IF(I!Q318="","",$D$2*I!Q318)</f>
        <v>1.3754855000000001E-10</v>
      </c>
      <c r="R318" s="982"/>
      <c r="S318" s="1003"/>
      <c r="T318" s="938"/>
      <c r="U318" s="1008" t="s">
        <v>1059</v>
      </c>
      <c r="V318" s="1018" t="s">
        <v>6172</v>
      </c>
      <c r="W318" s="1019">
        <f>IF(I!W318="","",$D$2*I!W318)</f>
        <v>0.10271611155999999</v>
      </c>
      <c r="X318" s="990">
        <f>IF(I!X318="","",$D$2*I!X318)</f>
        <v>9.652452739999999E-2</v>
      </c>
      <c r="Y318" s="1010">
        <f>IF(I!Y318="","",$D$2*I!Y318)</f>
        <v>0.16752394455999997</v>
      </c>
      <c r="Z318" s="938"/>
      <c r="AA318" s="938"/>
      <c r="AB318" s="938"/>
      <c r="AC318" s="938"/>
      <c r="AD318" s="1058"/>
      <c r="AE318" s="938"/>
      <c r="AF318" s="938"/>
      <c r="AG318" s="938"/>
      <c r="AH318" s="938"/>
    </row>
    <row r="319" spans="1:34" ht="17.25" customHeight="1" x14ac:dyDescent="0.35">
      <c r="A319" s="938"/>
      <c r="B319" s="938"/>
      <c r="C319" s="941"/>
      <c r="D319" s="1047"/>
      <c r="E319" s="941"/>
      <c r="F319" s="938"/>
      <c r="G319" s="976">
        <f t="shared" si="6"/>
        <v>316</v>
      </c>
      <c r="H319" s="942"/>
      <c r="I319" s="1001" t="s">
        <v>1059</v>
      </c>
      <c r="J319" s="1031" t="s">
        <v>1362</v>
      </c>
      <c r="K319" s="1002">
        <f>IF(I!K319="","",$D$2*I!K319)</f>
        <v>1.4172937272000002E-2</v>
      </c>
      <c r="L319" s="981"/>
      <c r="M319" s="982"/>
      <c r="N319" s="1003"/>
      <c r="O319" s="1004">
        <f>IF(I!O319="","",$D$2*I!O319)</f>
        <v>0.08</v>
      </c>
      <c r="P319" s="1005">
        <f>IF(I!P319="","",$D$2*I!P319)</f>
        <v>4.6637059000000005E-3</v>
      </c>
      <c r="Q319" s="1006">
        <f>IF(I!Q319="","",$D$2*I!Q319)</f>
        <v>5.1782982E-9</v>
      </c>
      <c r="R319" s="982"/>
      <c r="S319" s="1003"/>
      <c r="T319" s="938"/>
      <c r="U319" s="1008" t="s">
        <v>1059</v>
      </c>
      <c r="V319" s="1018" t="s">
        <v>6173</v>
      </c>
      <c r="W319" s="1019">
        <f>IF(I!W319="","",$D$2*I!W319)</f>
        <v>0.1037511529</v>
      </c>
      <c r="X319" s="990">
        <f>IF(I!X319="","",$D$2*I!X319)</f>
        <v>9.0972787190000001E-2</v>
      </c>
      <c r="Y319" s="1010">
        <f>IF(I!Y319="","",$D$2*I!Y319)</f>
        <v>0.15369209890000002</v>
      </c>
      <c r="Z319" s="938"/>
      <c r="AA319" s="938"/>
      <c r="AB319" s="938"/>
      <c r="AC319" s="938"/>
      <c r="AD319" s="1058"/>
      <c r="AE319" s="938"/>
      <c r="AF319" s="938"/>
      <c r="AG319" s="938"/>
      <c r="AH319" s="938"/>
    </row>
    <row r="320" spans="1:34" ht="17.25" customHeight="1" x14ac:dyDescent="0.35">
      <c r="A320" s="938"/>
      <c r="B320" s="938"/>
      <c r="C320" s="941"/>
      <c r="D320" s="1047"/>
      <c r="E320" s="941"/>
      <c r="F320" s="938"/>
      <c r="G320" s="976">
        <f t="shared" si="6"/>
        <v>317</v>
      </c>
      <c r="H320" s="1000">
        <v>1</v>
      </c>
      <c r="I320" s="1001" t="s">
        <v>1059</v>
      </c>
      <c r="J320" s="1031" t="s">
        <v>1363</v>
      </c>
      <c r="K320" s="1002">
        <f>IF(I!K320="","",$D$2*I!K320)</f>
        <v>9.8138185899999994E-2</v>
      </c>
      <c r="L320" s="981"/>
      <c r="M320" s="982"/>
      <c r="N320" s="1003"/>
      <c r="O320" s="1004">
        <f>IF(I!O320="","",$D$2*I!O320)</f>
        <v>0.21</v>
      </c>
      <c r="P320" s="1005">
        <f>IF(I!P320="","",$D$2*I!P320)</f>
        <v>0.36444415228700006</v>
      </c>
      <c r="Q320" s="1006">
        <f>IF(I!Q320="","",$D$2*I!Q320)</f>
        <v>3.9181107999999997E-9</v>
      </c>
      <c r="R320" s="982"/>
      <c r="S320" s="1003"/>
      <c r="T320" s="938"/>
      <c r="U320" s="1008" t="s">
        <v>1059</v>
      </c>
      <c r="V320" s="1018" t="s">
        <v>6174</v>
      </c>
      <c r="W320" s="1019">
        <f>IF(I!W320="","",$D$2*I!W320)</f>
        <v>9.9822061970000001E-2</v>
      </c>
      <c r="X320" s="990">
        <f>IF(I!X320="","",$D$2*I!X320)</f>
        <v>9.8373911539999997E-2</v>
      </c>
      <c r="Y320" s="1010">
        <f>IF(I!Y320="","",$D$2*I!Y320)</f>
        <v>0.17036364497000001</v>
      </c>
      <c r="Z320" s="938"/>
      <c r="AA320" s="938"/>
      <c r="AB320" s="938"/>
      <c r="AC320" s="938"/>
      <c r="AD320" s="1058"/>
      <c r="AE320" s="938"/>
      <c r="AF320" s="938"/>
      <c r="AG320" s="938"/>
      <c r="AH320" s="938"/>
    </row>
    <row r="321" spans="1:34" ht="17.25" customHeight="1" x14ac:dyDescent="0.35">
      <c r="A321" s="938"/>
      <c r="B321" s="938"/>
      <c r="C321" s="941"/>
      <c r="D321" s="1047"/>
      <c r="E321" s="941"/>
      <c r="F321" s="938"/>
      <c r="G321" s="976">
        <f t="shared" si="6"/>
        <v>318</v>
      </c>
      <c r="H321" s="1000"/>
      <c r="I321" s="1001" t="s">
        <v>1059</v>
      </c>
      <c r="J321" s="1031" t="s">
        <v>1364</v>
      </c>
      <c r="K321" s="1002">
        <f>IF(I!K321="","",$D$2*I!K321)</f>
        <v>0.6942306989</v>
      </c>
      <c r="L321" s="981"/>
      <c r="M321" s="982"/>
      <c r="N321" s="1003"/>
      <c r="O321" s="1004">
        <f>IF(I!O321="","",$D$2*I!O321)</f>
        <v>2.82</v>
      </c>
      <c r="P321" s="1005">
        <f>IF(I!P321="","",$D$2*I!P321)</f>
        <v>4.9613776000000005</v>
      </c>
      <c r="Q321" s="1006">
        <f>IF(I!Q321="","",$D$2*I!Q321)</f>
        <v>0</v>
      </c>
      <c r="R321" s="982"/>
      <c r="S321" s="1003"/>
      <c r="T321" s="938"/>
      <c r="U321" s="1008" t="s">
        <v>1059</v>
      </c>
      <c r="V321" s="1018" t="s">
        <v>6175</v>
      </c>
      <c r="W321" s="1019">
        <f>IF(I!W321="","",$D$2*I!W321)</f>
        <v>0.10713725600000001</v>
      </c>
      <c r="X321" s="990">
        <f>IF(I!X321="","",$D$2*I!X321)</f>
        <v>0.14435388832999999</v>
      </c>
      <c r="Y321" s="1010">
        <f>IF(I!Y321="","",$D$2*I!Y321)</f>
        <v>0.21917799600000001</v>
      </c>
      <c r="Z321" s="938"/>
      <c r="AA321" s="938"/>
      <c r="AB321" s="938"/>
      <c r="AC321" s="938"/>
      <c r="AD321" s="1058"/>
      <c r="AE321" s="938"/>
      <c r="AF321" s="938"/>
      <c r="AG321" s="938"/>
      <c r="AH321" s="938"/>
    </row>
    <row r="322" spans="1:34" ht="17.25" customHeight="1" x14ac:dyDescent="0.35">
      <c r="A322" s="938"/>
      <c r="B322" s="938"/>
      <c r="C322" s="941"/>
      <c r="D322" s="1047"/>
      <c r="E322" s="941"/>
      <c r="F322" s="938"/>
      <c r="G322" s="976">
        <f t="shared" si="6"/>
        <v>319</v>
      </c>
      <c r="H322" s="1000"/>
      <c r="I322" s="1001" t="s">
        <v>1059</v>
      </c>
      <c r="J322" s="1031" t="s">
        <v>1365</v>
      </c>
      <c r="K322" s="1002">
        <f>IF(I!K322="","",$D$2*I!K322)</f>
        <v>0.40310601190000001</v>
      </c>
      <c r="L322" s="981"/>
      <c r="M322" s="982"/>
      <c r="N322" s="1003"/>
      <c r="O322" s="1004">
        <f>IF(I!O322="","",$D$2*I!O322)</f>
        <v>8.8800000000000008</v>
      </c>
      <c r="P322" s="1005">
        <f>IF(I!P322="","",$D$2*I!P322)</f>
        <v>0.44928513999999997</v>
      </c>
      <c r="Q322" s="1006">
        <f>IF(I!Q322="","",$D$2*I!Q322)</f>
        <v>0</v>
      </c>
      <c r="R322" s="982"/>
      <c r="S322" s="1003"/>
      <c r="T322" s="938"/>
      <c r="U322" s="1008" t="s">
        <v>1059</v>
      </c>
      <c r="V322" s="1018" t="s">
        <v>6176</v>
      </c>
      <c r="W322" s="1019">
        <f>IF(I!W322="","",$D$2*I!W322)</f>
        <v>0.1169891542</v>
      </c>
      <c r="X322" s="990">
        <f>IF(I!X322="","",$D$2*I!X322)</f>
        <v>0.11696691841000001</v>
      </c>
      <c r="Y322" s="1010">
        <f>IF(I!Y322="","",$D$2*I!Y322)</f>
        <v>0.1746540932</v>
      </c>
      <c r="Z322" s="938"/>
      <c r="AA322" s="938"/>
      <c r="AB322" s="938"/>
      <c r="AC322" s="938"/>
      <c r="AD322" s="1058"/>
      <c r="AE322" s="938"/>
      <c r="AF322" s="938"/>
      <c r="AG322" s="938"/>
      <c r="AH322" s="938"/>
    </row>
    <row r="323" spans="1:34" ht="17.25" customHeight="1" x14ac:dyDescent="0.35">
      <c r="A323" s="938"/>
      <c r="B323" s="938"/>
      <c r="C323" s="941"/>
      <c r="D323" s="1047"/>
      <c r="E323" s="941"/>
      <c r="F323" s="938"/>
      <c r="G323" s="976">
        <f t="shared" si="6"/>
        <v>320</v>
      </c>
      <c r="H323" s="1000"/>
      <c r="I323" s="1001" t="s">
        <v>1059</v>
      </c>
      <c r="J323" s="1031" t="s">
        <v>1366</v>
      </c>
      <c r="K323" s="1002">
        <f>IF(I!K323="","",$D$2*I!K323)</f>
        <v>0.46724527699999996</v>
      </c>
      <c r="L323" s="981"/>
      <c r="M323" s="982"/>
      <c r="N323" s="1003"/>
      <c r="O323" s="1004">
        <f>IF(I!O323="","",$D$2*I!O323)</f>
        <v>1.02</v>
      </c>
      <c r="P323" s="1005">
        <f>IF(I!P323="","",$D$2*I!P323)</f>
        <v>5.7189696900000005E-4</v>
      </c>
      <c r="Q323" s="1006">
        <f>IF(I!Q323="","",$D$2*I!Q323)</f>
        <v>0</v>
      </c>
      <c r="R323" s="982"/>
      <c r="S323" s="1003"/>
      <c r="T323" s="938"/>
      <c r="U323" s="1008" t="s">
        <v>1059</v>
      </c>
      <c r="V323" s="1018" t="s">
        <v>6177</v>
      </c>
      <c r="W323" s="1019">
        <f>IF(I!W323="","",$D$2*I!W323)</f>
        <v>0.11476647237</v>
      </c>
      <c r="X323" s="990">
        <f>IF(I!X323="","",$D$2*I!X323)</f>
        <v>8.7100682450000008E-2</v>
      </c>
      <c r="Y323" s="1010">
        <f>IF(I!Y323="","",$D$2*I!Y323)</f>
        <v>0.16889087937</v>
      </c>
      <c r="Z323" s="938"/>
      <c r="AA323" s="938"/>
      <c r="AB323" s="938"/>
      <c r="AC323" s="938"/>
      <c r="AD323" s="1058"/>
      <c r="AE323" s="938"/>
      <c r="AF323" s="938"/>
      <c r="AG323" s="938"/>
      <c r="AH323" s="938"/>
    </row>
    <row r="324" spans="1:34" ht="17.25" customHeight="1" x14ac:dyDescent="0.35">
      <c r="A324" s="938"/>
      <c r="B324" s="938"/>
      <c r="C324" s="941"/>
      <c r="D324" s="1047"/>
      <c r="E324" s="941"/>
      <c r="F324" s="938"/>
      <c r="G324" s="976">
        <f t="shared" si="6"/>
        <v>321</v>
      </c>
      <c r="H324" s="1000"/>
      <c r="I324" s="1001" t="s">
        <v>1059</v>
      </c>
      <c r="J324" s="1031" t="s">
        <v>1367</v>
      </c>
      <c r="K324" s="1002">
        <f>IF(I!K324="","",$D$2*I!K324)</f>
        <v>0.43068590699999998</v>
      </c>
      <c r="L324" s="981"/>
      <c r="M324" s="982"/>
      <c r="N324" s="1003"/>
      <c r="O324" s="1004">
        <f>IF(I!O324="","",$D$2*I!O324)</f>
        <v>5.5</v>
      </c>
      <c r="P324" s="1005">
        <f>IF(I!P324="","",$D$2*I!P324)</f>
        <v>0.25633844602700001</v>
      </c>
      <c r="Q324" s="1006">
        <f>IF(I!Q324="","",$D$2*I!Q324)</f>
        <v>0</v>
      </c>
      <c r="R324" s="982"/>
      <c r="S324" s="1003"/>
      <c r="T324" s="938"/>
      <c r="U324" s="1008" t="s">
        <v>1059</v>
      </c>
      <c r="V324" s="1018" t="s">
        <v>6178</v>
      </c>
      <c r="W324" s="1019">
        <f>IF(I!W324="","",$D$2*I!W324)</f>
        <v>0.22582712729999999</v>
      </c>
      <c r="X324" s="990">
        <f>IF(I!X324="","",$D$2*I!X324)</f>
        <v>0.18223714611000003</v>
      </c>
      <c r="Y324" s="1010">
        <f>IF(I!Y324="","",$D$2*I!Y324)</f>
        <v>0.33990979729999998</v>
      </c>
      <c r="Z324" s="938"/>
      <c r="AA324" s="938"/>
      <c r="AB324" s="938"/>
      <c r="AC324" s="938"/>
      <c r="AD324" s="1058"/>
      <c r="AE324" s="938"/>
      <c r="AF324" s="938"/>
      <c r="AG324" s="938"/>
      <c r="AH324" s="938"/>
    </row>
    <row r="325" spans="1:34" ht="17.25" customHeight="1" x14ac:dyDescent="0.35">
      <c r="A325" s="938"/>
      <c r="B325" s="938"/>
      <c r="C325" s="941"/>
      <c r="D325" s="1047"/>
      <c r="E325" s="941"/>
      <c r="F325" s="938"/>
      <c r="G325" s="976">
        <f t="shared" si="6"/>
        <v>322</v>
      </c>
      <c r="H325" s="942"/>
      <c r="I325" s="1001" t="s">
        <v>1059</v>
      </c>
      <c r="J325" s="1031" t="s">
        <v>1368</v>
      </c>
      <c r="K325" s="1002">
        <f>IF(I!K325="","",$D$2*I!K325)</f>
        <v>0.17528843920000001</v>
      </c>
      <c r="L325" s="981"/>
      <c r="M325" s="982"/>
      <c r="N325" s="1003"/>
      <c r="O325" s="1004">
        <f>IF(I!O325="","",$D$2*I!O325)</f>
        <v>0.47</v>
      </c>
      <c r="P325" s="1005">
        <f>IF(I!P325="","",$D$2*I!P325)</f>
        <v>0.53883336000000004</v>
      </c>
      <c r="Q325" s="1006">
        <f>IF(I!Q325="","",$D$2*I!Q325)</f>
        <v>0</v>
      </c>
      <c r="R325" s="982"/>
      <c r="S325" s="1003"/>
      <c r="T325" s="938"/>
      <c r="U325" s="1008" t="s">
        <v>1059</v>
      </c>
      <c r="V325" s="1018" t="s">
        <v>6179</v>
      </c>
      <c r="W325" s="1019">
        <f>IF(I!W325="","",$D$2*I!W325)</f>
        <v>6.9427359899999999E-2</v>
      </c>
      <c r="X325" s="990">
        <f>IF(I!X325="","",$D$2*I!X325)</f>
        <v>3.0734718145999998E-2</v>
      </c>
      <c r="Y325" s="1010">
        <f>IF(I!Y325="","",$D$2*I!Y325)</f>
        <v>0.1338760729</v>
      </c>
      <c r="Z325" s="938"/>
      <c r="AA325" s="938"/>
      <c r="AB325" s="938"/>
      <c r="AC325" s="938"/>
      <c r="AD325" s="1058"/>
      <c r="AE325" s="938"/>
      <c r="AF325" s="938"/>
      <c r="AG325" s="938"/>
      <c r="AH325" s="938"/>
    </row>
    <row r="326" spans="1:34" ht="17.25" customHeight="1" x14ac:dyDescent="0.35">
      <c r="A326" s="938"/>
      <c r="B326" s="938"/>
      <c r="C326" s="941"/>
      <c r="D326" s="1047"/>
      <c r="E326" s="941"/>
      <c r="F326" s="938"/>
      <c r="G326" s="976">
        <f t="shared" ref="G326:G389" si="7">G325+1</f>
        <v>323</v>
      </c>
      <c r="H326" s="1000"/>
      <c r="I326" s="1001" t="s">
        <v>1059</v>
      </c>
      <c r="J326" s="1031" t="s">
        <v>1369</v>
      </c>
      <c r="K326" s="1002">
        <f>IF(I!K326="","",$D$2*I!K326)</f>
        <v>1592.9462714399999</v>
      </c>
      <c r="L326" s="981"/>
      <c r="M326" s="982"/>
      <c r="N326" s="1003"/>
      <c r="O326" s="1004">
        <f>IF(I!O326="","",$D$2*I!O326)</f>
        <v>1606.33</v>
      </c>
      <c r="P326" s="1005">
        <f>IF(I!P326="","",$D$2*I!P326)</f>
        <v>35.504560419999997</v>
      </c>
      <c r="Q326" s="1006">
        <f>IF(I!Q326="","",$D$2*I!Q326)</f>
        <v>0</v>
      </c>
      <c r="R326" s="982"/>
      <c r="S326" s="1003"/>
      <c r="T326" s="938"/>
      <c r="U326" s="1008" t="s">
        <v>1059</v>
      </c>
      <c r="V326" s="1018" t="s">
        <v>6180</v>
      </c>
      <c r="W326" s="1019">
        <f>IF(I!W326="","",$D$2*I!W326)</f>
        <v>5.9369543949999992E-2</v>
      </c>
      <c r="X326" s="990">
        <f>IF(I!X326="","",$D$2*I!X326)</f>
        <v>2.7621024014999999E-2</v>
      </c>
      <c r="Y326" s="1010">
        <f>IF(I!Y326="","",$D$2*I!Y326)</f>
        <v>0.11496414594999999</v>
      </c>
      <c r="Z326" s="938"/>
      <c r="AA326" s="938"/>
      <c r="AB326" s="938"/>
      <c r="AC326" s="938"/>
      <c r="AD326" s="1058"/>
      <c r="AE326" s="938"/>
      <c r="AF326" s="938"/>
      <c r="AG326" s="938"/>
      <c r="AH326" s="938"/>
    </row>
    <row r="327" spans="1:34" ht="17.25" customHeight="1" x14ac:dyDescent="0.35">
      <c r="A327" s="938"/>
      <c r="B327" s="938"/>
      <c r="C327" s="941"/>
      <c r="D327" s="1047"/>
      <c r="E327" s="941"/>
      <c r="F327" s="938"/>
      <c r="G327" s="976">
        <f t="shared" si="7"/>
        <v>324</v>
      </c>
      <c r="H327" s="1000"/>
      <c r="I327" s="1001" t="s">
        <v>1059</v>
      </c>
      <c r="J327" s="1031" t="s">
        <v>1370</v>
      </c>
      <c r="K327" s="1002">
        <f>IF(I!K327="","",$D$2*I!K327)</f>
        <v>2.6167560940000003</v>
      </c>
      <c r="L327" s="981"/>
      <c r="M327" s="982"/>
      <c r="N327" s="1003"/>
      <c r="O327" s="1004">
        <f>IF(I!O327="","",$D$2*I!O327)</f>
        <v>3.62</v>
      </c>
      <c r="P327" s="1005">
        <f>IF(I!P327="","",$D$2*I!P327)</f>
        <v>45.425900349999999</v>
      </c>
      <c r="Q327" s="1006">
        <f>IF(I!Q327="","",$D$2*I!Q327)</f>
        <v>0</v>
      </c>
      <c r="R327" s="982"/>
      <c r="S327" s="1003"/>
      <c r="T327" s="938"/>
      <c r="U327" s="1008" t="s">
        <v>1059</v>
      </c>
      <c r="V327" s="1018" t="s">
        <v>6181</v>
      </c>
      <c r="W327" s="1019">
        <f>IF(I!W327="","",$D$2*I!W327)</f>
        <v>0.12281936560000001</v>
      </c>
      <c r="X327" s="990">
        <f>IF(I!X327="","",$D$2*I!X327)</f>
        <v>4.8872789809999997E-2</v>
      </c>
      <c r="Y327" s="1010">
        <f>IF(I!Y327="","",$D$2*I!Y327)</f>
        <v>0.27183726559999999</v>
      </c>
      <c r="Z327" s="938"/>
      <c r="AA327" s="938"/>
      <c r="AB327" s="938"/>
      <c r="AC327" s="938"/>
      <c r="AD327" s="1058"/>
      <c r="AE327" s="938"/>
      <c r="AF327" s="938"/>
      <c r="AG327" s="938"/>
      <c r="AH327" s="938"/>
    </row>
    <row r="328" spans="1:34" ht="17.25" customHeight="1" x14ac:dyDescent="0.35">
      <c r="A328" s="938"/>
      <c r="B328" s="938"/>
      <c r="C328" s="941"/>
      <c r="D328" s="1047"/>
      <c r="E328" s="941"/>
      <c r="F328" s="938"/>
      <c r="G328" s="976">
        <f t="shared" si="7"/>
        <v>325</v>
      </c>
      <c r="H328" s="1000"/>
      <c r="I328" s="1001" t="s">
        <v>1059</v>
      </c>
      <c r="J328" s="1031" t="s">
        <v>1371</v>
      </c>
      <c r="K328" s="1002">
        <f>IF(I!K328="","",$D$2*I!K328)</f>
        <v>3.7956828396090003</v>
      </c>
      <c r="L328" s="981"/>
      <c r="M328" s="982"/>
      <c r="N328" s="1003"/>
      <c r="O328" s="1004">
        <f>IF(I!O328="","",$D$2*I!O328)</f>
        <v>12.98</v>
      </c>
      <c r="P328" s="1005">
        <f>IF(I!P328="","",$D$2*I!P328)</f>
        <v>11.856996486562839</v>
      </c>
      <c r="Q328" s="1006">
        <f>IF(I!Q328="","",$D$2*I!Q328)</f>
        <v>1.3754855000000001E-10</v>
      </c>
      <c r="R328" s="982"/>
      <c r="S328" s="1003"/>
      <c r="T328" s="938"/>
      <c r="U328" s="1008" t="s">
        <v>1059</v>
      </c>
      <c r="V328" s="1018" t="s">
        <v>6182</v>
      </c>
      <c r="W328" s="1019">
        <f>IF(I!W328="","",$D$2*I!W328)</f>
        <v>2.4578978959999997E-2</v>
      </c>
      <c r="X328" s="990">
        <f>IF(I!X328="","",$D$2*I!X328)</f>
        <v>1.2127963800000001E-2</v>
      </c>
      <c r="Y328" s="1010">
        <f>IF(I!Y328="","",$D$2*I!Y328)</f>
        <v>4.7946292959999998E-2</v>
      </c>
      <c r="Z328" s="938"/>
      <c r="AA328" s="938"/>
      <c r="AB328" s="938"/>
      <c r="AC328" s="938"/>
      <c r="AD328" s="1058"/>
      <c r="AE328" s="938"/>
      <c r="AF328" s="938"/>
      <c r="AG328" s="938"/>
      <c r="AH328" s="938"/>
    </row>
    <row r="329" spans="1:34" ht="17.25" customHeight="1" x14ac:dyDescent="0.35">
      <c r="A329" s="938"/>
      <c r="B329" s="938"/>
      <c r="C329" s="941"/>
      <c r="D329" s="1047"/>
      <c r="E329" s="941"/>
      <c r="F329" s="938"/>
      <c r="G329" s="976">
        <f t="shared" si="7"/>
        <v>326</v>
      </c>
      <c r="H329" s="1000"/>
      <c r="I329" s="1001" t="s">
        <v>1059</v>
      </c>
      <c r="J329" s="1031" t="s">
        <v>1372</v>
      </c>
      <c r="K329" s="1002">
        <f>IF(I!K329="","",$D$2*I!K329)</f>
        <v>5.1683656250000001E-2</v>
      </c>
      <c r="L329" s="981"/>
      <c r="M329" s="982"/>
      <c r="N329" s="1003"/>
      <c r="O329" s="1004">
        <f>IF(I!O329="","",$D$2*I!O329)</f>
        <v>0.31</v>
      </c>
      <c r="P329" s="1005">
        <f>IF(I!P329="","",$D$2*I!P329)</f>
        <v>4.9182913079999996E-3</v>
      </c>
      <c r="Q329" s="1006">
        <f>IF(I!Q329="","",$D$2*I!Q329)</f>
        <v>5.1782983000000001E-9</v>
      </c>
      <c r="R329" s="982"/>
      <c r="S329" s="1003"/>
      <c r="T329" s="938"/>
      <c r="U329" s="1008" t="s">
        <v>1059</v>
      </c>
      <c r="V329" s="1018" t="s">
        <v>6183</v>
      </c>
      <c r="W329" s="1019">
        <f>IF(I!W329="","",$D$2*I!W329)</f>
        <v>2.8108149129999996E-2</v>
      </c>
      <c r="X329" s="990">
        <f>IF(I!X329="","",$D$2*I!X329)</f>
        <v>1.2564730931000001E-2</v>
      </c>
      <c r="Y329" s="1010">
        <f>IF(I!Y329="","",$D$2*I!Y329)</f>
        <v>5.4681559129999995E-2</v>
      </c>
      <c r="Z329" s="938"/>
      <c r="AA329" s="938"/>
      <c r="AB329" s="938"/>
      <c r="AC329" s="938"/>
      <c r="AD329" s="1058"/>
      <c r="AE329" s="938"/>
      <c r="AF329" s="938"/>
      <c r="AG329" s="938"/>
      <c r="AH329" s="938"/>
    </row>
    <row r="330" spans="1:34" ht="17.25" customHeight="1" x14ac:dyDescent="0.35">
      <c r="A330" s="938"/>
      <c r="B330" s="938"/>
      <c r="C330" s="941"/>
      <c r="D330" s="1047"/>
      <c r="E330" s="941"/>
      <c r="F330" s="938"/>
      <c r="G330" s="976">
        <f t="shared" si="7"/>
        <v>327</v>
      </c>
      <c r="H330" s="1000"/>
      <c r="I330" s="1001" t="s">
        <v>1059</v>
      </c>
      <c r="J330" s="1031" t="s">
        <v>1373</v>
      </c>
      <c r="K330" s="1002">
        <f>IF(I!K330="","",$D$2*I!K330)</f>
        <v>2.6724831152500004</v>
      </c>
      <c r="L330" s="981"/>
      <c r="M330" s="982"/>
      <c r="N330" s="1003"/>
      <c r="O330" s="1004">
        <f>IF(I!O330="","",$D$2*I!O330)</f>
        <v>9.18</v>
      </c>
      <c r="P330" s="1005">
        <f>IF(I!P330="","",$D$2*I!P330)</f>
        <v>8.3013731855377006</v>
      </c>
      <c r="Q330" s="1006">
        <f>IF(I!Q330="","",$D$2*I!Q330)</f>
        <v>1.6497735000000001E-9</v>
      </c>
      <c r="R330" s="982"/>
      <c r="S330" s="1003"/>
      <c r="T330" s="938"/>
      <c r="U330" s="1008" t="s">
        <v>1059</v>
      </c>
      <c r="V330" s="1018" t="s">
        <v>6184</v>
      </c>
      <c r="W330" s="1019">
        <f>IF(I!W330="","",$D$2*I!W330)</f>
        <v>2.1224637770000002E-2</v>
      </c>
      <c r="X330" s="990">
        <f>IF(I!X330="","",$D$2*I!X330)</f>
        <v>1.1693292611E-2</v>
      </c>
      <c r="Y330" s="1010">
        <f>IF(I!Y330="","",$D$2*I!Y330)</f>
        <v>4.1542447770000004E-2</v>
      </c>
      <c r="Z330" s="938"/>
      <c r="AA330" s="938"/>
      <c r="AB330" s="938"/>
      <c r="AC330" s="938"/>
      <c r="AD330" s="1058"/>
      <c r="AE330" s="938"/>
      <c r="AF330" s="938"/>
      <c r="AG330" s="938"/>
      <c r="AH330" s="938"/>
    </row>
    <row r="331" spans="1:34" ht="17.25" customHeight="1" x14ac:dyDescent="0.35">
      <c r="A331" s="938"/>
      <c r="B331" s="938"/>
      <c r="C331" s="941"/>
      <c r="D331" s="1047"/>
      <c r="E331" s="941"/>
      <c r="F331" s="938"/>
      <c r="G331" s="976">
        <f t="shared" si="7"/>
        <v>328</v>
      </c>
      <c r="H331" s="1000"/>
      <c r="I331" s="1001" t="s">
        <v>1059</v>
      </c>
      <c r="J331" s="1031" t="s">
        <v>1374</v>
      </c>
      <c r="K331" s="1002">
        <f>IF(I!K331="","",$D$2*I!K331)</f>
        <v>79594.059913999998</v>
      </c>
      <c r="L331" s="981"/>
      <c r="M331" s="982"/>
      <c r="N331" s="1003"/>
      <c r="O331" s="1004">
        <f>IF(I!O331="","",$D$2*I!O331)</f>
        <v>80676.990000000005</v>
      </c>
      <c r="P331" s="1005">
        <f>IF(I!P331="","",$D$2*I!P331)</f>
        <v>8130.95</v>
      </c>
      <c r="Q331" s="1006">
        <f>IF(I!Q331="","",$D$2*I!Q331)</f>
        <v>0</v>
      </c>
      <c r="R331" s="982"/>
      <c r="S331" s="1003"/>
      <c r="T331" s="938"/>
      <c r="U331" s="1008" t="s">
        <v>1059</v>
      </c>
      <c r="V331" s="1018" t="s">
        <v>6185</v>
      </c>
      <c r="W331" s="1019">
        <f>IF(I!W331="","",$D$2*I!W331)</f>
        <v>9.533445900000001E-2</v>
      </c>
      <c r="X331" s="990">
        <f>IF(I!X331="","",$D$2*I!X331)</f>
        <v>9.927421635E-2</v>
      </c>
      <c r="Y331" s="1010">
        <f>IF(I!Y331="","",$D$2*I!Y331)</f>
        <v>0.14995654200000003</v>
      </c>
      <c r="Z331" s="938"/>
      <c r="AA331" s="938"/>
      <c r="AB331" s="938"/>
      <c r="AC331" s="938"/>
      <c r="AD331" s="1058"/>
      <c r="AE331" s="938"/>
      <c r="AF331" s="938"/>
      <c r="AG331" s="938"/>
      <c r="AH331" s="938"/>
    </row>
    <row r="332" spans="1:34" ht="17.25" customHeight="1" x14ac:dyDescent="0.35">
      <c r="A332" s="938"/>
      <c r="B332" s="938"/>
      <c r="C332" s="941"/>
      <c r="D332" s="1047"/>
      <c r="E332" s="941"/>
      <c r="F332" s="938"/>
      <c r="G332" s="976">
        <f t="shared" si="7"/>
        <v>329</v>
      </c>
      <c r="H332" s="1000"/>
      <c r="I332" s="1001" t="s">
        <v>1059</v>
      </c>
      <c r="J332" s="1031" t="s">
        <v>1375</v>
      </c>
      <c r="K332" s="1002">
        <f>IF(I!K332="","",$D$2*I!K332)</f>
        <v>9.299876182000002</v>
      </c>
      <c r="L332" s="981"/>
      <c r="M332" s="982"/>
      <c r="N332" s="1003"/>
      <c r="O332" s="1004">
        <f>IF(I!O332="","",$D$2*I!O332)</f>
        <v>29.35</v>
      </c>
      <c r="P332" s="1005">
        <f>IF(I!P332="","",$D$2*I!P332)</f>
        <v>7.194676587</v>
      </c>
      <c r="Q332" s="1006">
        <f>IF(I!Q332="","",$D$2*I!Q332)</f>
        <v>0</v>
      </c>
      <c r="R332" s="982"/>
      <c r="S332" s="1003"/>
      <c r="T332" s="938"/>
      <c r="U332" s="1008" t="s">
        <v>1059</v>
      </c>
      <c r="V332" s="1018" t="s">
        <v>6186</v>
      </c>
      <c r="W332" s="1019">
        <f>IF(I!W332="","",$D$2*I!W332)</f>
        <v>8.053209489999999E-2</v>
      </c>
      <c r="X332" s="990">
        <f>IF(I!X332="","",$D$2*I!X332)</f>
        <v>8.674864266E-2</v>
      </c>
      <c r="Y332" s="1010">
        <f>IF(I!Y332="","",$D$2*I!Y332)</f>
        <v>0.1253198539</v>
      </c>
      <c r="Z332" s="938"/>
      <c r="AA332" s="938"/>
      <c r="AB332" s="938"/>
      <c r="AC332" s="938"/>
      <c r="AD332" s="1058"/>
      <c r="AE332" s="938"/>
      <c r="AF332" s="938"/>
      <c r="AG332" s="938"/>
      <c r="AH332" s="938"/>
    </row>
    <row r="333" spans="1:34" ht="17.25" customHeight="1" x14ac:dyDescent="0.35">
      <c r="A333" s="938"/>
      <c r="B333" s="938"/>
      <c r="C333" s="941"/>
      <c r="D333" s="1047"/>
      <c r="E333" s="941"/>
      <c r="F333" s="938"/>
      <c r="G333" s="976">
        <f t="shared" si="7"/>
        <v>330</v>
      </c>
      <c r="H333" s="1000"/>
      <c r="I333" s="1001" t="s">
        <v>1059</v>
      </c>
      <c r="J333" s="1031" t="s">
        <v>1376</v>
      </c>
      <c r="K333" s="1002">
        <f>IF(I!K333="","",$D$2*I!K333)</f>
        <v>77206.517328652</v>
      </c>
      <c r="L333" s="981"/>
      <c r="M333" s="982"/>
      <c r="N333" s="1003"/>
      <c r="O333" s="1004">
        <f>IF(I!O333="","",$D$2*I!O333)</f>
        <v>78257.570000000007</v>
      </c>
      <c r="P333" s="1005">
        <f>IF(I!P333="","",$D$2*I!P333)</f>
        <v>7887.2373609046999</v>
      </c>
      <c r="Q333" s="1006">
        <f>IF(I!Q333="","",$D$2*I!Q333)</f>
        <v>0</v>
      </c>
      <c r="R333" s="982"/>
      <c r="S333" s="1003"/>
      <c r="T333" s="938"/>
      <c r="U333" s="1008" t="s">
        <v>1059</v>
      </c>
      <c r="V333" s="1018" t="s">
        <v>6187</v>
      </c>
      <c r="W333" s="1019">
        <f>IF(I!W333="","",$D$2*I!W333)</f>
        <v>0.103519784</v>
      </c>
      <c r="X333" s="990">
        <f>IF(I!X333="","",$D$2*I!X333)</f>
        <v>0.10847373908999999</v>
      </c>
      <c r="Y333" s="1010">
        <f>IF(I!Y333="","",$D$2*I!Y333)</f>
        <v>0.17409018200000001</v>
      </c>
      <c r="Z333" s="938"/>
      <c r="AA333" s="938"/>
      <c r="AB333" s="938"/>
      <c r="AC333" s="938"/>
      <c r="AD333" s="1058"/>
      <c r="AE333" s="938"/>
      <c r="AF333" s="938"/>
      <c r="AG333" s="938"/>
      <c r="AH333" s="938"/>
    </row>
    <row r="334" spans="1:34" ht="17.25" customHeight="1" x14ac:dyDescent="0.35">
      <c r="A334" s="938"/>
      <c r="B334" s="938"/>
      <c r="C334" s="941"/>
      <c r="D334" s="1047"/>
      <c r="E334" s="941"/>
      <c r="F334" s="938"/>
      <c r="G334" s="976">
        <f t="shared" si="7"/>
        <v>331</v>
      </c>
      <c r="H334" s="1000"/>
      <c r="I334" s="1001" t="s">
        <v>1059</v>
      </c>
      <c r="J334" s="1031" t="s">
        <v>1377</v>
      </c>
      <c r="K334" s="1002">
        <f>IF(I!K334="","",$D$2*I!K334)</f>
        <v>118437.895084</v>
      </c>
      <c r="L334" s="981"/>
      <c r="M334" s="982"/>
      <c r="N334" s="1003"/>
      <c r="O334" s="1004">
        <f>IF(I!O334="","",$D$2*I!O334)</f>
        <v>120049.32</v>
      </c>
      <c r="P334" s="1005">
        <f>IF(I!P334="","",$D$2*I!P334)</f>
        <v>8447.5071900000003</v>
      </c>
      <c r="Q334" s="1006">
        <f>IF(I!Q334="","",$D$2*I!Q334)</f>
        <v>0</v>
      </c>
      <c r="R334" s="982"/>
      <c r="S334" s="1003"/>
      <c r="T334" s="938"/>
      <c r="U334" s="1008" t="s">
        <v>1059</v>
      </c>
      <c r="V334" s="1018" t="s">
        <v>6188</v>
      </c>
      <c r="W334" s="1019">
        <f>IF(I!W334="","",$D$2*I!W334)</f>
        <v>4.5970898810000008E-2</v>
      </c>
      <c r="X334" s="990">
        <f>IF(I!X334="","",$D$2*I!X334)</f>
        <v>0.21895095817999999</v>
      </c>
      <c r="Y334" s="1010">
        <f>IF(I!Y334="","",$D$2*I!Y334)</f>
        <v>0.65542841881000002</v>
      </c>
      <c r="Z334" s="938"/>
      <c r="AA334" s="938"/>
      <c r="AB334" s="938"/>
      <c r="AC334" s="938"/>
      <c r="AD334" s="1058"/>
      <c r="AE334" s="938"/>
      <c r="AF334" s="938"/>
      <c r="AG334" s="938"/>
      <c r="AH334" s="938"/>
    </row>
    <row r="335" spans="1:34" ht="17.25" customHeight="1" x14ac:dyDescent="0.35">
      <c r="A335" s="938"/>
      <c r="B335" s="938"/>
      <c r="C335" s="941"/>
      <c r="D335" s="1047"/>
      <c r="E335" s="941"/>
      <c r="F335" s="938"/>
      <c r="G335" s="976">
        <f t="shared" si="7"/>
        <v>332</v>
      </c>
      <c r="H335" s="1000"/>
      <c r="I335" s="1001" t="s">
        <v>1059</v>
      </c>
      <c r="J335" s="1031" t="s">
        <v>1378</v>
      </c>
      <c r="K335" s="1002">
        <f>IF(I!K335="","",$D$2*I!K335)</f>
        <v>32.839325029999998</v>
      </c>
      <c r="L335" s="981"/>
      <c r="M335" s="982"/>
      <c r="N335" s="1003"/>
      <c r="O335" s="1004">
        <f>IF(I!O335="","",$D$2*I!O335)</f>
        <v>103.63</v>
      </c>
      <c r="P335" s="1005">
        <f>IF(I!P335="","",$D$2*I!P335)</f>
        <v>25.405534248000002</v>
      </c>
      <c r="Q335" s="1006">
        <f>IF(I!Q335="","",$D$2*I!Q335)</f>
        <v>0</v>
      </c>
      <c r="R335" s="982"/>
      <c r="S335" s="1003"/>
      <c r="T335" s="938"/>
      <c r="U335" s="1008" t="s">
        <v>1059</v>
      </c>
      <c r="V335" s="1018" t="s">
        <v>6189</v>
      </c>
      <c r="W335" s="1019">
        <f>IF(I!W335="","",$D$2*I!W335)</f>
        <v>7.4989057900000003E-2</v>
      </c>
      <c r="X335" s="990">
        <f>IF(I!X335="","",$D$2*I!X335)</f>
        <v>0.19835129475999999</v>
      </c>
      <c r="Y335" s="1010">
        <f>IF(I!Y335="","",$D$2*I!Y335)</f>
        <v>0.56397681789999998</v>
      </c>
      <c r="Z335" s="938"/>
      <c r="AA335" s="938"/>
      <c r="AB335" s="938"/>
      <c r="AC335" s="938"/>
      <c r="AD335" s="1058"/>
      <c r="AE335" s="938"/>
      <c r="AF335" s="938"/>
      <c r="AG335" s="938"/>
      <c r="AH335" s="938"/>
    </row>
    <row r="336" spans="1:34" ht="17.25" customHeight="1" x14ac:dyDescent="0.35">
      <c r="A336" s="938"/>
      <c r="B336" s="938"/>
      <c r="C336" s="941"/>
      <c r="D336" s="1047"/>
      <c r="E336" s="941"/>
      <c r="F336" s="938"/>
      <c r="G336" s="976">
        <f t="shared" si="7"/>
        <v>333</v>
      </c>
      <c r="H336" s="1000"/>
      <c r="I336" s="1001" t="s">
        <v>1059</v>
      </c>
      <c r="J336" s="1031" t="s">
        <v>1379</v>
      </c>
      <c r="K336" s="1002">
        <f>IF(I!K336="","",$D$2*I!K336)</f>
        <v>112517.6446705</v>
      </c>
      <c r="L336" s="981"/>
      <c r="M336" s="982"/>
      <c r="N336" s="1003"/>
      <c r="O336" s="1004">
        <f>IF(I!O336="","",$D$2*I!O336)</f>
        <v>114052.04</v>
      </c>
      <c r="P336" s="1005">
        <f>IF(I!P336="","",$D$2*I!P336)</f>
        <v>8026.4020693728999</v>
      </c>
      <c r="Q336" s="1006">
        <f>IF(I!Q336="","",$D$2*I!Q336)</f>
        <v>0</v>
      </c>
      <c r="R336" s="982"/>
      <c r="S336" s="1003"/>
      <c r="T336" s="938"/>
      <c r="U336" s="1008" t="s">
        <v>1059</v>
      </c>
      <c r="V336" s="1018" t="s">
        <v>6190</v>
      </c>
      <c r="W336" s="1019">
        <f>IF(I!W336="","",$D$2*I!W336)</f>
        <v>7.5866087599999993E-2</v>
      </c>
      <c r="X336" s="990">
        <f>IF(I!X336="","",$D$2*I!X336)</f>
        <v>0.20708949743999999</v>
      </c>
      <c r="Y336" s="1010">
        <f>IF(I!Y336="","",$D$2*I!Y336)</f>
        <v>0.35113106760000001</v>
      </c>
      <c r="Z336" s="938"/>
      <c r="AA336" s="938"/>
      <c r="AB336" s="938"/>
      <c r="AC336" s="938"/>
      <c r="AD336" s="1058"/>
      <c r="AE336" s="938"/>
      <c r="AF336" s="938"/>
      <c r="AG336" s="938"/>
      <c r="AH336" s="938"/>
    </row>
    <row r="337" spans="1:34" ht="17.25" customHeight="1" x14ac:dyDescent="0.35">
      <c r="A337" s="938"/>
      <c r="B337" s="938"/>
      <c r="C337" s="941"/>
      <c r="D337" s="1047"/>
      <c r="E337" s="941"/>
      <c r="F337" s="938"/>
      <c r="G337" s="976">
        <f t="shared" si="7"/>
        <v>334</v>
      </c>
      <c r="H337" s="1000"/>
      <c r="I337" s="1001" t="s">
        <v>1059</v>
      </c>
      <c r="J337" s="1031" t="s">
        <v>1380</v>
      </c>
      <c r="K337" s="1002">
        <f>IF(I!K337="","",$D$2*I!K337)</f>
        <v>259478.300582</v>
      </c>
      <c r="L337" s="981"/>
      <c r="M337" s="982"/>
      <c r="N337" s="1003"/>
      <c r="O337" s="1004">
        <f>IF(I!O337="","",$D$2*I!O337)</f>
        <v>263007.93</v>
      </c>
      <c r="P337" s="1005">
        <f>IF(I!P337="","",$D$2*I!P337)</f>
        <v>8824.2414800000006</v>
      </c>
      <c r="Q337" s="1006">
        <f>IF(I!Q337="","",$D$2*I!Q337)</f>
        <v>0</v>
      </c>
      <c r="R337" s="982"/>
      <c r="S337" s="1003"/>
      <c r="T337" s="938"/>
      <c r="U337" s="1008" t="s">
        <v>1059</v>
      </c>
      <c r="V337" s="1018" t="s">
        <v>6191</v>
      </c>
      <c r="W337" s="1019">
        <f>IF(I!W337="","",$D$2*I!W337)</f>
        <v>0.1059848577</v>
      </c>
      <c r="X337" s="990">
        <f>IF(I!X337="","",$D$2*I!X337)</f>
        <v>0.20807933177000001</v>
      </c>
      <c r="Y337" s="1010">
        <f>IF(I!Y337="","",$D$2*I!Y337)</f>
        <v>0.50645822770000004</v>
      </c>
      <c r="Z337" s="938"/>
      <c r="AA337" s="938"/>
      <c r="AB337" s="938"/>
      <c r="AC337" s="938"/>
      <c r="AD337" s="1058"/>
      <c r="AE337" s="938"/>
      <c r="AF337" s="938"/>
      <c r="AG337" s="938"/>
      <c r="AH337" s="938"/>
    </row>
    <row r="338" spans="1:34" ht="17.25" customHeight="1" x14ac:dyDescent="0.35">
      <c r="A338" s="938"/>
      <c r="B338" s="938"/>
      <c r="C338" s="941"/>
      <c r="D338" s="1047"/>
      <c r="E338" s="941"/>
      <c r="F338" s="938"/>
      <c r="G338" s="976">
        <f t="shared" si="7"/>
        <v>335</v>
      </c>
      <c r="H338" s="1000"/>
      <c r="I338" s="1001" t="s">
        <v>1059</v>
      </c>
      <c r="J338" s="1031" t="s">
        <v>1381</v>
      </c>
      <c r="K338" s="1002">
        <f>IF(I!K338="","",$D$2*I!K338)</f>
        <v>92.722800509999985</v>
      </c>
      <c r="L338" s="981"/>
      <c r="M338" s="982"/>
      <c r="N338" s="1003"/>
      <c r="O338" s="1004">
        <f>IF(I!O338="","",$D$2*I!O338)</f>
        <v>292.60000000000002</v>
      </c>
      <c r="P338" s="1005">
        <f>IF(I!P338="","",$D$2*I!P338)</f>
        <v>71.733273850000003</v>
      </c>
      <c r="Q338" s="1006">
        <f>IF(I!Q338="","",$D$2*I!Q338)</f>
        <v>0</v>
      </c>
      <c r="R338" s="982"/>
      <c r="S338" s="1003"/>
      <c r="T338" s="938"/>
      <c r="U338" s="1008" t="s">
        <v>1059</v>
      </c>
      <c r="V338" s="1018" t="s">
        <v>6192</v>
      </c>
      <c r="W338" s="1019">
        <f>IF(I!W338="","",$D$2*I!W338)</f>
        <v>7.9354157099999989E-2</v>
      </c>
      <c r="X338" s="990">
        <f>IF(I!X338="","",$D$2*I!X338)</f>
        <v>0.20706918397000001</v>
      </c>
      <c r="Y338" s="1010">
        <f>IF(I!Y338="","",$D$2*I!Y338)</f>
        <v>0.32149961709999997</v>
      </c>
      <c r="Z338" s="938"/>
      <c r="AA338" s="938"/>
      <c r="AB338" s="938"/>
      <c r="AC338" s="938"/>
      <c r="AD338" s="1058"/>
      <c r="AE338" s="938"/>
      <c r="AF338" s="938"/>
      <c r="AG338" s="938"/>
      <c r="AH338" s="938"/>
    </row>
    <row r="339" spans="1:34" ht="17.25" customHeight="1" x14ac:dyDescent="0.35">
      <c r="A339" s="938"/>
      <c r="B339" s="938"/>
      <c r="C339" s="941"/>
      <c r="D339" s="1047"/>
      <c r="E339" s="941"/>
      <c r="F339" s="938"/>
      <c r="G339" s="976">
        <f t="shared" si="7"/>
        <v>336</v>
      </c>
      <c r="H339" s="1000"/>
      <c r="I339" s="1001" t="s">
        <v>1059</v>
      </c>
      <c r="J339" s="1031" t="s">
        <v>1382</v>
      </c>
      <c r="K339" s="1002">
        <f>IF(I!K339="","",$D$2*I!K339)</f>
        <v>220570.46315969998</v>
      </c>
      <c r="L339" s="981"/>
      <c r="M339" s="982"/>
      <c r="N339" s="1003"/>
      <c r="O339" s="1004">
        <f>IF(I!O339="","",$D$2*I!O339)</f>
        <v>223600.63</v>
      </c>
      <c r="P339" s="1005">
        <f>IF(I!P339="","",$D$2*I!P339)</f>
        <v>7511.3652511580012</v>
      </c>
      <c r="Q339" s="1006">
        <f>IF(I!Q339="","",$D$2*I!Q339)</f>
        <v>0</v>
      </c>
      <c r="R339" s="982"/>
      <c r="S339" s="1003"/>
      <c r="T339" s="938"/>
      <c r="U339" s="1008" t="s">
        <v>1059</v>
      </c>
      <c r="V339" s="1018" t="s">
        <v>6193</v>
      </c>
      <c r="W339" s="1019">
        <f>IF(I!W339="","",$D$2*I!W339)</f>
        <v>0.1094500195</v>
      </c>
      <c r="X339" s="990">
        <f>IF(I!X339="","",$D$2*I!X339)</f>
        <v>0.18749444395000001</v>
      </c>
      <c r="Y339" s="1010">
        <f>IF(I!Y339="","",$D$2*I!Y339)</f>
        <v>0.34952256949999999</v>
      </c>
      <c r="Z339" s="938"/>
      <c r="AA339" s="938"/>
      <c r="AB339" s="938"/>
      <c r="AC339" s="938"/>
      <c r="AD339" s="1058"/>
      <c r="AE339" s="938"/>
      <c r="AF339" s="938"/>
      <c r="AG339" s="938"/>
      <c r="AH339" s="938"/>
    </row>
    <row r="340" spans="1:34" ht="17.25" customHeight="1" x14ac:dyDescent="0.35">
      <c r="A340" s="938"/>
      <c r="B340" s="938"/>
      <c r="C340" s="941"/>
      <c r="D340" s="1047"/>
      <c r="E340" s="941"/>
      <c r="F340" s="938"/>
      <c r="G340" s="976">
        <f t="shared" si="7"/>
        <v>337</v>
      </c>
      <c r="H340" s="1000"/>
      <c r="I340" s="1001" t="s">
        <v>1059</v>
      </c>
      <c r="J340" s="1031" t="s">
        <v>1383</v>
      </c>
      <c r="K340" s="1002">
        <f>IF(I!K340="","",$D$2*I!K340)</f>
        <v>0.39864783580000002</v>
      </c>
      <c r="L340" s="981"/>
      <c r="M340" s="982"/>
      <c r="N340" s="1003"/>
      <c r="O340" s="1004">
        <f>IF(I!O340="","",$D$2*I!O340)</f>
        <v>2.41</v>
      </c>
      <c r="P340" s="1005">
        <f>IF(I!P340="","",$D$2*I!P340)</f>
        <v>1.0420122894770001</v>
      </c>
      <c r="Q340" s="1006">
        <f>IF(I!Q340="","",$D$2*I!Q340)</f>
        <v>6.0877454999999996E-9</v>
      </c>
      <c r="R340" s="982"/>
      <c r="S340" s="1003"/>
      <c r="T340" s="938"/>
      <c r="U340" s="1008" t="s">
        <v>1059</v>
      </c>
      <c r="V340" s="1018" t="s">
        <v>6194</v>
      </c>
      <c r="W340" s="1019">
        <f>IF(I!W340="","",$D$2*I!W340)</f>
        <v>7.7818375199999998E-2</v>
      </c>
      <c r="X340" s="990">
        <f>IF(I!X340="","",$D$2*I!X340)</f>
        <v>0.20561682652000002</v>
      </c>
      <c r="Y340" s="1010">
        <f>IF(I!Y340="","",$D$2*I!Y340)</f>
        <v>0.3788568652</v>
      </c>
      <c r="Z340" s="938"/>
      <c r="AA340" s="938"/>
      <c r="AB340" s="938"/>
      <c r="AC340" s="938"/>
      <c r="AD340" s="1058"/>
      <c r="AE340" s="938"/>
      <c r="AF340" s="938"/>
      <c r="AG340" s="938"/>
      <c r="AH340" s="938"/>
    </row>
    <row r="341" spans="1:34" ht="17.25" customHeight="1" x14ac:dyDescent="0.35">
      <c r="A341" s="938"/>
      <c r="B341" s="938"/>
      <c r="C341" s="941"/>
      <c r="D341" s="1047"/>
      <c r="E341" s="941"/>
      <c r="F341" s="938"/>
      <c r="G341" s="976">
        <f t="shared" si="7"/>
        <v>338</v>
      </c>
      <c r="H341" s="1000"/>
      <c r="I341" s="1001" t="s">
        <v>1059</v>
      </c>
      <c r="J341" s="1031" t="s">
        <v>1384</v>
      </c>
      <c r="K341" s="1002">
        <f>IF(I!K341="","",$D$2*I!K341)</f>
        <v>39.735177129999997</v>
      </c>
      <c r="L341" s="981"/>
      <c r="M341" s="982"/>
      <c r="N341" s="1003"/>
      <c r="O341" s="1004">
        <f>IF(I!O341="","",$D$2*I!O341)</f>
        <v>54.08</v>
      </c>
      <c r="P341" s="1005">
        <f>IF(I!P341="","",$D$2*I!P341)</f>
        <v>568.88063196999997</v>
      </c>
      <c r="Q341" s="1006">
        <f>IF(I!Q341="","",$D$2*I!Q341)</f>
        <v>0</v>
      </c>
      <c r="R341" s="982"/>
      <c r="S341" s="1003"/>
      <c r="T341" s="938"/>
      <c r="U341" s="1008" t="s">
        <v>1059</v>
      </c>
      <c r="V341" s="1018" t="s">
        <v>6195</v>
      </c>
      <c r="W341" s="1019">
        <f>IF(I!W341="","",$D$2*I!W341)</f>
        <v>7.9679544099999999E-2</v>
      </c>
      <c r="X341" s="990">
        <f>IF(I!X341="","",$D$2*I!X341)</f>
        <v>0.20495144522</v>
      </c>
      <c r="Y341" s="1010">
        <f>IF(I!Y341="","",$D$2*I!Y341)</f>
        <v>0.4296439541</v>
      </c>
      <c r="Z341" s="938"/>
      <c r="AA341" s="938"/>
      <c r="AB341" s="938"/>
      <c r="AC341" s="938"/>
      <c r="AD341" s="1058"/>
      <c r="AE341" s="938"/>
      <c r="AF341" s="938"/>
      <c r="AG341" s="938"/>
      <c r="AH341" s="938"/>
    </row>
    <row r="342" spans="1:34" ht="17.25" customHeight="1" x14ac:dyDescent="0.35">
      <c r="A342" s="938"/>
      <c r="B342" s="938"/>
      <c r="C342" s="941"/>
      <c r="D342" s="1047"/>
      <c r="E342" s="941"/>
      <c r="F342" s="938"/>
      <c r="G342" s="976">
        <f t="shared" si="7"/>
        <v>339</v>
      </c>
      <c r="H342" s="1000"/>
      <c r="I342" s="1001" t="s">
        <v>1059</v>
      </c>
      <c r="J342" s="1031" t="s">
        <v>1385</v>
      </c>
      <c r="K342" s="1002">
        <f>IF(I!K342="","",$D$2*I!K342)</f>
        <v>0.38358540010000003</v>
      </c>
      <c r="L342" s="981"/>
      <c r="M342" s="982"/>
      <c r="N342" s="1003"/>
      <c r="O342" s="1004">
        <f>IF(I!O342="","",$D$2*I!O342)</f>
        <v>1.21</v>
      </c>
      <c r="P342" s="1005">
        <f>IF(I!P342="","",$D$2*I!P342)</f>
        <v>0.29675372057000005</v>
      </c>
      <c r="Q342" s="1006">
        <f>IF(I!Q342="","",$D$2*I!Q342)</f>
        <v>0</v>
      </c>
      <c r="R342" s="982"/>
      <c r="S342" s="1003"/>
      <c r="T342" s="938"/>
      <c r="U342" s="1008" t="s">
        <v>1059</v>
      </c>
      <c r="V342" s="1018" t="s">
        <v>6196</v>
      </c>
      <c r="W342" s="1019">
        <f>IF(I!W342="","",$D$2*I!W342)</f>
        <v>8.2213261799999993E-2</v>
      </c>
      <c r="X342" s="990">
        <f>IF(I!X342="","",$D$2*I!X342)</f>
        <v>0.20203420008999998</v>
      </c>
      <c r="Y342" s="1010">
        <f>IF(I!Y342="","",$D$2*I!Y342)</f>
        <v>0.49306770179999998</v>
      </c>
      <c r="Z342" s="938"/>
      <c r="AA342" s="938"/>
      <c r="AB342" s="938"/>
      <c r="AC342" s="938"/>
      <c r="AD342" s="1058"/>
      <c r="AE342" s="938"/>
      <c r="AF342" s="938"/>
      <c r="AG342" s="938"/>
      <c r="AH342" s="938"/>
    </row>
    <row r="343" spans="1:34" ht="17.25" customHeight="1" x14ac:dyDescent="0.35">
      <c r="A343" s="938"/>
      <c r="B343" s="938"/>
      <c r="C343" s="941"/>
      <c r="D343" s="1047"/>
      <c r="E343" s="941"/>
      <c r="F343" s="938"/>
      <c r="G343" s="976">
        <f t="shared" si="7"/>
        <v>340</v>
      </c>
      <c r="H343" s="1000"/>
      <c r="I343" s="1001" t="s">
        <v>1059</v>
      </c>
      <c r="J343" s="1031" t="s">
        <v>1386</v>
      </c>
      <c r="K343" s="1002">
        <f>IF(I!K343="","",$D$2*I!K343)</f>
        <v>13.763126562</v>
      </c>
      <c r="L343" s="981"/>
      <c r="M343" s="982"/>
      <c r="N343" s="1003"/>
      <c r="O343" s="1004">
        <f>IF(I!O343="","",$D$2*I!O343)</f>
        <v>19.190000000000001</v>
      </c>
      <c r="P343" s="1005">
        <f>IF(I!P343="","",$D$2*I!P343)</f>
        <v>193.61527704828001</v>
      </c>
      <c r="Q343" s="1006">
        <f>IF(I!Q343="","",$D$2*I!Q343)</f>
        <v>0</v>
      </c>
      <c r="R343" s="982"/>
      <c r="S343" s="1003"/>
      <c r="T343" s="938"/>
      <c r="U343" s="1008" t="s">
        <v>1059</v>
      </c>
      <c r="V343" s="1018" t="s">
        <v>6197</v>
      </c>
      <c r="W343" s="1019">
        <f>IF(I!W343="","",$D$2*I!W343)</f>
        <v>2.6302525509999997E-2</v>
      </c>
      <c r="X343" s="990">
        <f>IF(I!X343="","",$D$2*I!X343)</f>
        <v>0.10925837891</v>
      </c>
      <c r="Y343" s="1010">
        <f>IF(I!Y343="","",$D$2*I!Y343)</f>
        <v>0.33619968551000001</v>
      </c>
      <c r="Z343" s="938"/>
      <c r="AA343" s="938"/>
      <c r="AB343" s="938"/>
      <c r="AC343" s="938"/>
      <c r="AD343" s="1058"/>
      <c r="AE343" s="938"/>
      <c r="AF343" s="938"/>
      <c r="AG343" s="938"/>
      <c r="AH343" s="938"/>
    </row>
    <row r="344" spans="1:34" ht="17.25" customHeight="1" x14ac:dyDescent="0.35">
      <c r="A344" s="938"/>
      <c r="B344" s="938"/>
      <c r="C344" s="941"/>
      <c r="D344" s="1047"/>
      <c r="E344" s="941"/>
      <c r="F344" s="938"/>
      <c r="G344" s="976">
        <f t="shared" si="7"/>
        <v>341</v>
      </c>
      <c r="H344" s="942"/>
      <c r="I344" s="1001" t="s">
        <v>1059</v>
      </c>
      <c r="J344" s="1031" t="s">
        <v>1387</v>
      </c>
      <c r="K344" s="1002">
        <f>IF(I!K344="","",$D$2*I!K344)</f>
        <v>15.326236723999999</v>
      </c>
      <c r="L344" s="981"/>
      <c r="M344" s="982"/>
      <c r="N344" s="1003"/>
      <c r="O344" s="1004">
        <f>IF(I!O344="","",$D$2*I!O344)</f>
        <v>42.33</v>
      </c>
      <c r="P344" s="1005">
        <f>IF(I!P344="","",$D$2*I!P344)</f>
        <v>1281.9914800000001</v>
      </c>
      <c r="Q344" s="1006">
        <f>IF(I!Q344="","",$D$2*I!Q344)</f>
        <v>0</v>
      </c>
      <c r="R344" s="982"/>
      <c r="S344" s="1003"/>
      <c r="T344" s="938"/>
      <c r="U344" s="1008" t="s">
        <v>1059</v>
      </c>
      <c r="V344" s="1018" t="s">
        <v>6198</v>
      </c>
      <c r="W344" s="1019">
        <f>IF(I!W344="","",$D$2*I!W344)</f>
        <v>4.0225812599999994E-2</v>
      </c>
      <c r="X344" s="990">
        <f>IF(I!X344="","",$D$2*I!X344)</f>
        <v>9.8966975250000006E-2</v>
      </c>
      <c r="Y344" s="1010">
        <f>IF(I!Y344="","",$D$2*I!Y344)</f>
        <v>0.28928424259999996</v>
      </c>
      <c r="Z344" s="938"/>
      <c r="AA344" s="938"/>
      <c r="AB344" s="938"/>
      <c r="AC344" s="938"/>
      <c r="AD344" s="1058"/>
      <c r="AE344" s="938"/>
      <c r="AF344" s="938"/>
      <c r="AG344" s="938"/>
      <c r="AH344" s="938"/>
    </row>
    <row r="345" spans="1:34" ht="17.25" customHeight="1" x14ac:dyDescent="0.35">
      <c r="A345" s="938"/>
      <c r="B345" s="938"/>
      <c r="C345" s="941"/>
      <c r="D345" s="1047"/>
      <c r="E345" s="941"/>
      <c r="F345" s="938"/>
      <c r="G345" s="976">
        <f t="shared" si="7"/>
        <v>342</v>
      </c>
      <c r="H345" s="942"/>
      <c r="I345" s="1001" t="s">
        <v>1059</v>
      </c>
      <c r="J345" s="1031" t="s">
        <v>1388</v>
      </c>
      <c r="K345" s="1002">
        <f>IF(I!K345="","",$D$2*I!K345)</f>
        <v>4.2521275489999999</v>
      </c>
      <c r="L345" s="981"/>
      <c r="M345" s="982"/>
      <c r="N345" s="1003"/>
      <c r="O345" s="1004">
        <f>IF(I!O345="","",$D$2*I!O345)</f>
        <v>9.25</v>
      </c>
      <c r="P345" s="1005">
        <f>IF(I!P345="","",$D$2*I!P345)</f>
        <v>101.40520597143001</v>
      </c>
      <c r="Q345" s="1006">
        <f>IF(I!Q345="","",$D$2*I!Q345)</f>
        <v>0</v>
      </c>
      <c r="R345" s="982"/>
      <c r="S345" s="1003"/>
      <c r="T345" s="938"/>
      <c r="U345" s="1008" t="s">
        <v>1059</v>
      </c>
      <c r="V345" s="1018" t="s">
        <v>6199</v>
      </c>
      <c r="W345" s="1019">
        <f>IF(I!W345="","",$D$2*I!W345)</f>
        <v>7.8395063099999995E-2</v>
      </c>
      <c r="X345" s="990">
        <f>IF(I!X345="","",$D$2*I!X345)</f>
        <v>0.20315422078000001</v>
      </c>
      <c r="Y345" s="1010">
        <f>IF(I!Y345="","",$D$2*I!Y345)</f>
        <v>0.35539888310000001</v>
      </c>
      <c r="Z345" s="938"/>
      <c r="AA345" s="938"/>
      <c r="AB345" s="938"/>
      <c r="AC345" s="938"/>
      <c r="AD345" s="1058"/>
      <c r="AE345" s="938"/>
      <c r="AF345" s="938"/>
      <c r="AG345" s="938"/>
      <c r="AH345" s="938"/>
    </row>
    <row r="346" spans="1:34" ht="17.25" customHeight="1" x14ac:dyDescent="0.35">
      <c r="A346" s="938"/>
      <c r="B346" s="938"/>
      <c r="C346" s="941"/>
      <c r="D346" s="1047"/>
      <c r="E346" s="941"/>
      <c r="F346" s="938"/>
      <c r="G346" s="976">
        <f t="shared" si="7"/>
        <v>343</v>
      </c>
      <c r="H346" s="1000"/>
      <c r="I346" s="1001" t="s">
        <v>1059</v>
      </c>
      <c r="J346" s="1031" t="s">
        <v>1389</v>
      </c>
      <c r="K346" s="1002">
        <f>IF(I!K346="","",$D$2*I!K346)</f>
        <v>3.9586733445999998</v>
      </c>
      <c r="L346" s="981"/>
      <c r="M346" s="982"/>
      <c r="N346" s="1003"/>
      <c r="O346" s="1004">
        <f>IF(I!O346="","",$D$2*I!O346)</f>
        <v>5.9</v>
      </c>
      <c r="P346" s="1005">
        <f>IF(I!P346="","",$D$2*I!P346)</f>
        <v>18.38275436</v>
      </c>
      <c r="Q346" s="1006">
        <f>IF(I!Q346="","",$D$2*I!Q346)</f>
        <v>0</v>
      </c>
      <c r="R346" s="982"/>
      <c r="S346" s="1003"/>
      <c r="T346" s="938"/>
      <c r="U346" s="1008" t="s">
        <v>1059</v>
      </c>
      <c r="V346" s="1018" t="s">
        <v>6200</v>
      </c>
      <c r="W346" s="1019">
        <f>IF(I!W346="","",$D$2*I!W346)</f>
        <v>0.10803126199999999</v>
      </c>
      <c r="X346" s="990">
        <f>IF(I!X346="","",$D$2*I!X346)</f>
        <v>0.20412087059</v>
      </c>
      <c r="Y346" s="1010">
        <f>IF(I!Y346="","",$D$2*I!Y346)</f>
        <v>0.50777507199999994</v>
      </c>
      <c r="Z346" s="938"/>
      <c r="AA346" s="938"/>
      <c r="AB346" s="938"/>
      <c r="AC346" s="938"/>
      <c r="AD346" s="1058"/>
      <c r="AE346" s="938"/>
      <c r="AF346" s="938"/>
      <c r="AG346" s="938"/>
      <c r="AH346" s="938"/>
    </row>
    <row r="347" spans="1:34" ht="17.25" customHeight="1" x14ac:dyDescent="0.35">
      <c r="A347" s="938"/>
      <c r="B347" s="938"/>
      <c r="C347" s="941"/>
      <c r="D347" s="1047"/>
      <c r="E347" s="941"/>
      <c r="F347" s="938"/>
      <c r="G347" s="976">
        <f t="shared" si="7"/>
        <v>344</v>
      </c>
      <c r="H347" s="1000"/>
      <c r="I347" s="1001" t="s">
        <v>1059</v>
      </c>
      <c r="J347" s="1031" t="s">
        <v>1390</v>
      </c>
      <c r="K347" s="1002">
        <f>IF(I!K347="","",$D$2*I!K347)</f>
        <v>0.85401412710000013</v>
      </c>
      <c r="L347" s="981"/>
      <c r="M347" s="982"/>
      <c r="N347" s="1003"/>
      <c r="O347" s="1004">
        <f>IF(I!O347="","",$D$2*I!O347)</f>
        <v>4.03</v>
      </c>
      <c r="P347" s="1005">
        <f>IF(I!P347="","",$D$2*I!P347)</f>
        <v>14.03382117</v>
      </c>
      <c r="Q347" s="1006">
        <f>IF(I!Q347="","",$D$2*I!Q347)</f>
        <v>0</v>
      </c>
      <c r="R347" s="982"/>
      <c r="S347" s="1003"/>
      <c r="T347" s="938"/>
      <c r="U347" s="1008" t="s">
        <v>1059</v>
      </c>
      <c r="V347" s="1018" t="s">
        <v>6201</v>
      </c>
      <c r="W347" s="1019">
        <f>IF(I!W347="","",$D$2*I!W347)</f>
        <v>8.1973749000000012E-2</v>
      </c>
      <c r="X347" s="990">
        <f>IF(I!X347="","",$D$2*I!X347)</f>
        <v>0.20330948333999999</v>
      </c>
      <c r="Y347" s="1010">
        <f>IF(I!Y347="","",$D$2*I!Y347)</f>
        <v>0.32665628899999999</v>
      </c>
      <c r="Z347" s="938"/>
      <c r="AA347" s="938"/>
      <c r="AB347" s="938"/>
      <c r="AC347" s="938"/>
      <c r="AD347" s="1058"/>
      <c r="AE347" s="938"/>
      <c r="AF347" s="938"/>
      <c r="AG347" s="938"/>
      <c r="AH347" s="938"/>
    </row>
    <row r="348" spans="1:34" ht="17.25" customHeight="1" x14ac:dyDescent="0.35">
      <c r="A348" s="938"/>
      <c r="B348" s="938"/>
      <c r="C348" s="941"/>
      <c r="D348" s="1047"/>
      <c r="E348" s="941"/>
      <c r="F348" s="938"/>
      <c r="G348" s="976">
        <f t="shared" si="7"/>
        <v>345</v>
      </c>
      <c r="H348" s="942"/>
      <c r="I348" s="1001" t="s">
        <v>1059</v>
      </c>
      <c r="J348" s="1031" t="s">
        <v>1391</v>
      </c>
      <c r="K348" s="1002">
        <f>IF(I!K348="","",$D$2*I!K348)</f>
        <v>0.24008582350000002</v>
      </c>
      <c r="L348" s="981"/>
      <c r="M348" s="982"/>
      <c r="N348" s="1003"/>
      <c r="O348" s="1004">
        <f>IF(I!O348="","",$D$2*I!O348)</f>
        <v>0.76</v>
      </c>
      <c r="P348" s="1005">
        <f>IF(I!P348="","",$D$2*I!P348)</f>
        <v>0.18573794476</v>
      </c>
      <c r="Q348" s="1006">
        <f>IF(I!Q348="","",$D$2*I!Q348)</f>
        <v>0</v>
      </c>
      <c r="R348" s="982"/>
      <c r="S348" s="1003"/>
      <c r="T348" s="938"/>
      <c r="U348" s="1008" t="s">
        <v>1059</v>
      </c>
      <c r="V348" s="1018" t="s">
        <v>6202</v>
      </c>
      <c r="W348" s="1019">
        <f>IF(I!W348="","",$D$2*I!W348)</f>
        <v>0.11126782640000001</v>
      </c>
      <c r="X348" s="990">
        <f>IF(I!X348="","",$D$2*I!X348)</f>
        <v>0.18388045780000001</v>
      </c>
      <c r="Y348" s="1010">
        <f>IF(I!Y348="","",$D$2*I!Y348)</f>
        <v>0.35435686640000003</v>
      </c>
      <c r="Z348" s="938"/>
      <c r="AA348" s="938"/>
      <c r="AB348" s="938"/>
      <c r="AC348" s="938"/>
      <c r="AD348" s="1058"/>
      <c r="AE348" s="938"/>
      <c r="AF348" s="938"/>
      <c r="AG348" s="938"/>
      <c r="AH348" s="938"/>
    </row>
    <row r="349" spans="1:34" ht="17.25" customHeight="1" x14ac:dyDescent="0.35">
      <c r="A349" s="938"/>
      <c r="B349" s="938"/>
      <c r="C349" s="941"/>
      <c r="D349" s="1047"/>
      <c r="E349" s="941"/>
      <c r="F349" s="938"/>
      <c r="G349" s="976">
        <f t="shared" si="7"/>
        <v>346</v>
      </c>
      <c r="H349" s="1000"/>
      <c r="I349" s="1001" t="s">
        <v>1059</v>
      </c>
      <c r="J349" s="1031" t="s">
        <v>1392</v>
      </c>
      <c r="K349" s="1002">
        <f>IF(I!K349="","",$D$2*I!K349)</f>
        <v>0.71281061459999995</v>
      </c>
      <c r="L349" s="981"/>
      <c r="M349" s="982"/>
      <c r="N349" s="1003"/>
      <c r="O349" s="1004">
        <f>IF(I!O349="","",$D$2*I!O349)</f>
        <v>3.28</v>
      </c>
      <c r="P349" s="1005">
        <f>IF(I!P349="","",$D$2*I!P349)</f>
        <v>10.860360818849001</v>
      </c>
      <c r="Q349" s="1006">
        <f>IF(I!Q349="","",$D$2*I!Q349)</f>
        <v>0</v>
      </c>
      <c r="R349" s="982"/>
      <c r="S349" s="1003"/>
      <c r="T349" s="938"/>
      <c r="U349" s="1008" t="s">
        <v>1059</v>
      </c>
      <c r="V349" s="1018" t="s">
        <v>6203</v>
      </c>
      <c r="W349" s="1019">
        <f>IF(I!W349="","",$D$2*I!W349)</f>
        <v>7.9610100200000006E-2</v>
      </c>
      <c r="X349" s="990">
        <f>IF(I!X349="","",$D$2*I!X349)</f>
        <v>0.20164137379000002</v>
      </c>
      <c r="Y349" s="1010">
        <f>IF(I!Y349="","",$D$2*I!Y349)</f>
        <v>0.38130453019999999</v>
      </c>
      <c r="Z349" s="938"/>
      <c r="AA349" s="938"/>
      <c r="AB349" s="938"/>
      <c r="AC349" s="938"/>
      <c r="AD349" s="1058"/>
      <c r="AE349" s="938"/>
      <c r="AF349" s="938"/>
      <c r="AG349" s="938"/>
      <c r="AH349" s="938"/>
    </row>
    <row r="350" spans="1:34" ht="17.25" customHeight="1" x14ac:dyDescent="0.35">
      <c r="A350" s="938"/>
      <c r="B350" s="938"/>
      <c r="C350" s="941"/>
      <c r="D350" s="1047"/>
      <c r="E350" s="941"/>
      <c r="F350" s="938"/>
      <c r="G350" s="976">
        <f t="shared" si="7"/>
        <v>347</v>
      </c>
      <c r="H350" s="1000"/>
      <c r="I350" s="1001" t="s">
        <v>1059</v>
      </c>
      <c r="J350" s="1031" t="s">
        <v>1393</v>
      </c>
      <c r="K350" s="1002">
        <f>IF(I!K350="","",$D$2*I!K350)</f>
        <v>5.5853232029999997</v>
      </c>
      <c r="L350" s="981"/>
      <c r="M350" s="982"/>
      <c r="N350" s="1003"/>
      <c r="O350" s="1004">
        <f>IF(I!O350="","",$D$2*I!O350)</f>
        <v>5.92</v>
      </c>
      <c r="P350" s="1005">
        <f>IF(I!P350="","",$D$2*I!P350)</f>
        <v>31.053821169999999</v>
      </c>
      <c r="Q350" s="1006">
        <f>IF(I!Q350="","",$D$2*I!Q350)</f>
        <v>0</v>
      </c>
      <c r="R350" s="982"/>
      <c r="S350" s="1003"/>
      <c r="T350" s="938"/>
      <c r="U350" s="1008" t="s">
        <v>1059</v>
      </c>
      <c r="V350" s="1018" t="s">
        <v>6204</v>
      </c>
      <c r="W350" s="1019">
        <f>IF(I!W350="","",$D$2*I!W350)</f>
        <v>8.2268446600000003E-2</v>
      </c>
      <c r="X350" s="990">
        <f>IF(I!X350="","",$D$2*I!X350)</f>
        <v>0.20095651059000003</v>
      </c>
      <c r="Y350" s="1010">
        <f>IF(I!Y350="","",$D$2*I!Y350)</f>
        <v>0.43329256659999998</v>
      </c>
      <c r="Z350" s="938"/>
      <c r="AA350" s="938"/>
      <c r="AB350" s="938"/>
      <c r="AC350" s="938"/>
      <c r="AD350" s="1058"/>
      <c r="AE350" s="938"/>
      <c r="AF350" s="938"/>
      <c r="AG350" s="938"/>
      <c r="AH350" s="938"/>
    </row>
    <row r="351" spans="1:34" ht="17.25" customHeight="1" x14ac:dyDescent="0.35">
      <c r="A351" s="938"/>
      <c r="B351" s="938"/>
      <c r="C351" s="941"/>
      <c r="D351" s="1047"/>
      <c r="E351" s="941"/>
      <c r="F351" s="938"/>
      <c r="G351" s="976">
        <f t="shared" si="7"/>
        <v>348</v>
      </c>
      <c r="H351" s="942"/>
      <c r="I351" s="1001" t="s">
        <v>1059</v>
      </c>
      <c r="J351" s="1031" t="s">
        <v>1394</v>
      </c>
      <c r="K351" s="1002">
        <f>IF(I!K351="","",$D$2*I!K351)</f>
        <v>36.291200786999994</v>
      </c>
      <c r="L351" s="981"/>
      <c r="M351" s="982"/>
      <c r="N351" s="1003"/>
      <c r="O351" s="1004">
        <f>IF(I!O351="","",$D$2*I!O351)</f>
        <v>78.95</v>
      </c>
      <c r="P351" s="1005">
        <f>IF(I!P351="","",$D$2*I!P351)</f>
        <v>20.876612914376661</v>
      </c>
      <c r="Q351" s="1006">
        <f>IF(I!Q351="","",$D$2*I!Q351)</f>
        <v>3.8513592999999998E-11</v>
      </c>
      <c r="R351" s="982"/>
      <c r="S351" s="1003"/>
      <c r="T351" s="938"/>
      <c r="U351" s="1008" t="s">
        <v>1059</v>
      </c>
      <c r="V351" s="1018" t="s">
        <v>6205</v>
      </c>
      <c r="W351" s="1019">
        <f>IF(I!W351="","",$D$2*I!W351)</f>
        <v>8.4090697800000003E-2</v>
      </c>
      <c r="X351" s="990">
        <f>IF(I!X351="","",$D$2*I!X351)</f>
        <v>0.19816532640000001</v>
      </c>
      <c r="Y351" s="1010">
        <f>IF(I!Y351="","",$D$2*I!Y351)</f>
        <v>0.49360416779999999</v>
      </c>
      <c r="Z351" s="938"/>
      <c r="AA351" s="938"/>
      <c r="AB351" s="938"/>
      <c r="AC351" s="938"/>
      <c r="AD351" s="1058"/>
      <c r="AE351" s="938"/>
      <c r="AF351" s="938"/>
      <c r="AG351" s="938"/>
      <c r="AH351" s="938"/>
    </row>
    <row r="352" spans="1:34" ht="17.25" customHeight="1" x14ac:dyDescent="0.35">
      <c r="A352" s="938"/>
      <c r="B352" s="938"/>
      <c r="C352" s="941"/>
      <c r="D352" s="1047"/>
      <c r="E352" s="941"/>
      <c r="F352" s="938"/>
      <c r="G352" s="976">
        <f t="shared" si="7"/>
        <v>349</v>
      </c>
      <c r="H352" s="1000"/>
      <c r="I352" s="1001" t="s">
        <v>1059</v>
      </c>
      <c r="J352" s="1031" t="s">
        <v>1395</v>
      </c>
      <c r="K352" s="1002">
        <f>IF(I!K352="","",$D$2*I!K352)</f>
        <v>0.36812373300000001</v>
      </c>
      <c r="L352" s="981"/>
      <c r="M352" s="982"/>
      <c r="N352" s="1003"/>
      <c r="O352" s="1004">
        <f>IF(I!O352="","",$D$2*I!O352)</f>
        <v>0.75</v>
      </c>
      <c r="P352" s="1005">
        <f>IF(I!P352="","",$D$2*I!P352)</f>
        <v>1.45206641863094</v>
      </c>
      <c r="Q352" s="1006">
        <f>IF(I!Q352="","",$D$2*I!Q352)</f>
        <v>1.3754855000000001E-10</v>
      </c>
      <c r="R352" s="982"/>
      <c r="S352" s="1003"/>
      <c r="T352" s="938"/>
      <c r="U352" s="1008" t="s">
        <v>1059</v>
      </c>
      <c r="V352" s="1018" t="s">
        <v>6206</v>
      </c>
      <c r="W352" s="1019">
        <f>IF(I!W352="","",$D$2*I!W352)</f>
        <v>3.8377714289999997E-2</v>
      </c>
      <c r="X352" s="990">
        <f>IF(I!X352="","",$D$2*I!X352)</f>
        <v>0.10950368638999999</v>
      </c>
      <c r="Y352" s="1010">
        <f>IF(I!Y352="","",$D$2*I!Y352)</f>
        <v>6.7876140289999998E-2</v>
      </c>
      <c r="Z352" s="938"/>
      <c r="AA352" s="938"/>
      <c r="AB352" s="938"/>
      <c r="AC352" s="938"/>
      <c r="AD352" s="1058"/>
      <c r="AE352" s="938"/>
      <c r="AF352" s="938"/>
      <c r="AG352" s="938"/>
      <c r="AH352" s="938"/>
    </row>
    <row r="353" spans="1:34" ht="17.25" customHeight="1" x14ac:dyDescent="0.35">
      <c r="A353" s="938"/>
      <c r="B353" s="938"/>
      <c r="C353" s="941"/>
      <c r="D353" s="1047"/>
      <c r="E353" s="941"/>
      <c r="F353" s="938"/>
      <c r="G353" s="976">
        <f t="shared" si="7"/>
        <v>350</v>
      </c>
      <c r="H353" s="942"/>
      <c r="I353" s="1001" t="s">
        <v>1059</v>
      </c>
      <c r="J353" s="1031" t="s">
        <v>1396</v>
      </c>
      <c r="K353" s="1002">
        <f>IF(I!K353="","",$D$2*I!K353)</f>
        <v>2.0304431130000002E-2</v>
      </c>
      <c r="L353" s="981"/>
      <c r="M353" s="982"/>
      <c r="N353" s="1003"/>
      <c r="O353" s="1004">
        <f>IF(I!O353="","",$D$2*I!O353)</f>
        <v>0.12</v>
      </c>
      <c r="P353" s="1005">
        <f>IF(I!P353="","",$D$2*I!P353)</f>
        <v>5.6188232180000002E-3</v>
      </c>
      <c r="Q353" s="1006">
        <f>IF(I!Q353="","",$D$2*I!Q353)</f>
        <v>6.2139579000000001E-9</v>
      </c>
      <c r="R353" s="982"/>
      <c r="S353" s="1003"/>
      <c r="T353" s="938"/>
      <c r="U353" s="1008" t="s">
        <v>1059</v>
      </c>
      <c r="V353" s="1018" t="s">
        <v>6207</v>
      </c>
      <c r="W353" s="1019">
        <f>IF(I!W353="","",$D$2*I!W353)</f>
        <v>1.7845840779999997E-2</v>
      </c>
      <c r="X353" s="990">
        <f>IF(I!X353="","",$D$2*I!X353)</f>
        <v>3.6768005189000003E-2</v>
      </c>
      <c r="Y353" s="1010">
        <f>IF(I!Y353="","",$D$2*I!Y353)</f>
        <v>0.12746464078</v>
      </c>
      <c r="Z353" s="938"/>
      <c r="AA353" s="938"/>
      <c r="AB353" s="938"/>
      <c r="AC353" s="938"/>
      <c r="AD353" s="1058"/>
      <c r="AE353" s="938"/>
      <c r="AF353" s="938"/>
      <c r="AG353" s="938"/>
      <c r="AH353" s="938"/>
    </row>
    <row r="354" spans="1:34" ht="17.25" customHeight="1" x14ac:dyDescent="0.35">
      <c r="A354" s="938"/>
      <c r="B354" s="938"/>
      <c r="C354" s="941"/>
      <c r="D354" s="1047"/>
      <c r="E354" s="941"/>
      <c r="F354" s="938"/>
      <c r="G354" s="976">
        <f t="shared" si="7"/>
        <v>351</v>
      </c>
      <c r="H354" s="1000">
        <v>1</v>
      </c>
      <c r="I354" s="1001" t="s">
        <v>1059</v>
      </c>
      <c r="J354" s="1031" t="s">
        <v>1397</v>
      </c>
      <c r="K354" s="1002">
        <f>IF(I!K354="","",$D$2*I!K354)</f>
        <v>0.28812529100000001</v>
      </c>
      <c r="L354" s="981"/>
      <c r="M354" s="982"/>
      <c r="N354" s="1003"/>
      <c r="O354" s="1004">
        <f>IF(I!O354="","",$D$2*I!O354)</f>
        <v>0.61</v>
      </c>
      <c r="P354" s="1005">
        <f>IF(I!P354="","",$D$2*I!P354)</f>
        <v>1.1193834471446997</v>
      </c>
      <c r="Q354" s="1006">
        <f>IF(I!Q354="","",$D$2*I!Q354)</f>
        <v>1.5351227E-9</v>
      </c>
      <c r="R354" s="982"/>
      <c r="S354" s="1003"/>
      <c r="T354" s="938"/>
      <c r="U354" s="1008" t="s">
        <v>1059</v>
      </c>
      <c r="V354" s="1018" t="s">
        <v>6208</v>
      </c>
      <c r="W354" s="1019">
        <f>IF(I!W354="","",$D$2*I!W354)</f>
        <v>2.1043108140000003E-2</v>
      </c>
      <c r="X354" s="990">
        <f>IF(I!X354="","",$D$2*I!X354)</f>
        <v>3.3271868261000002E-2</v>
      </c>
      <c r="Y354" s="1010">
        <f>IF(I!Y354="","",$D$2*I!Y354)</f>
        <v>0.10824992314</v>
      </c>
      <c r="Z354" s="938"/>
      <c r="AA354" s="938"/>
      <c r="AB354" s="938"/>
      <c r="AC354" s="938"/>
      <c r="AD354" s="1058"/>
      <c r="AE354" s="938"/>
      <c r="AF354" s="938"/>
      <c r="AG354" s="938"/>
      <c r="AH354" s="938"/>
    </row>
    <row r="355" spans="1:34" ht="17.25" customHeight="1" x14ac:dyDescent="0.35">
      <c r="A355" s="938"/>
      <c r="B355" s="938"/>
      <c r="C355" s="941"/>
      <c r="D355" s="1047"/>
      <c r="E355" s="941"/>
      <c r="F355" s="938"/>
      <c r="G355" s="976">
        <f t="shared" si="7"/>
        <v>352</v>
      </c>
      <c r="H355" s="1000"/>
      <c r="I355" s="1001" t="s">
        <v>1059</v>
      </c>
      <c r="J355" s="1031" t="s">
        <v>1398</v>
      </c>
      <c r="K355" s="1002">
        <f>IF(I!K355="","",$D$2*I!K355)</f>
        <v>2.4685675315999998</v>
      </c>
      <c r="L355" s="981"/>
      <c r="M355" s="982"/>
      <c r="N355" s="1003"/>
      <c r="O355" s="1004">
        <f>IF(I!O355="","",$D$2*I!O355)</f>
        <v>5.38</v>
      </c>
      <c r="P355" s="1005">
        <f>IF(I!P355="","",$D$2*I!P355)</f>
        <v>97.162446606233004</v>
      </c>
      <c r="Q355" s="1006">
        <f>IF(I!Q355="","",$D$2*I!Q355)</f>
        <v>8.4262645000000004E-9</v>
      </c>
      <c r="R355" s="982"/>
      <c r="S355" s="1003"/>
      <c r="T355" s="938"/>
      <c r="U355" s="1008" t="s">
        <v>1059</v>
      </c>
      <c r="V355" s="1018" t="s">
        <v>6209</v>
      </c>
      <c r="W355" s="1019">
        <f>IF(I!W355="","",$D$2*I!W355)</f>
        <v>2.1473401769999997E-2</v>
      </c>
      <c r="X355" s="990">
        <f>IF(I!X355="","",$D$2*I!X355)</f>
        <v>3.5600594788999997E-2</v>
      </c>
      <c r="Y355" s="1010">
        <f>IF(I!Y355="","",$D$2*I!Y355)</f>
        <v>7.5462907770000004E-2</v>
      </c>
      <c r="Z355" s="938"/>
      <c r="AA355" s="938"/>
      <c r="AB355" s="938"/>
      <c r="AC355" s="938"/>
      <c r="AD355" s="1058"/>
      <c r="AE355" s="938"/>
      <c r="AF355" s="938"/>
      <c r="AG355" s="938"/>
      <c r="AH355" s="938"/>
    </row>
    <row r="356" spans="1:34" ht="17.25" customHeight="1" x14ac:dyDescent="0.35">
      <c r="A356" s="938"/>
      <c r="B356" s="938"/>
      <c r="C356" s="941"/>
      <c r="D356" s="1047"/>
      <c r="E356" s="941"/>
      <c r="F356" s="938"/>
      <c r="G356" s="976">
        <f t="shared" si="7"/>
        <v>353</v>
      </c>
      <c r="H356" s="1000"/>
      <c r="I356" s="1001" t="s">
        <v>1059</v>
      </c>
      <c r="J356" s="1031" t="s">
        <v>1399</v>
      </c>
      <c r="K356" s="1002">
        <f>IF(I!K356="","",$D$2*I!K356)</f>
        <v>11.442022794</v>
      </c>
      <c r="L356" s="981"/>
      <c r="M356" s="982"/>
      <c r="N356" s="1003"/>
      <c r="O356" s="1004">
        <f>IF(I!O356="","",$D$2*I!O356)</f>
        <v>24.91</v>
      </c>
      <c r="P356" s="1005">
        <f>IF(I!P356="","",$D$2*I!P356)</f>
        <v>1081.5734029321432</v>
      </c>
      <c r="Q356" s="1006">
        <f>IF(I!Q356="","",$D$2*I!Q356)</f>
        <v>8.4262645000000004E-9</v>
      </c>
      <c r="R356" s="982"/>
      <c r="S356" s="1003"/>
      <c r="T356" s="938"/>
      <c r="U356" s="1008" t="s">
        <v>1059</v>
      </c>
      <c r="V356" s="1018" t="s">
        <v>6210</v>
      </c>
      <c r="W356" s="1019">
        <f>IF(I!W356="","",$D$2*I!W356)</f>
        <v>2.7886992669999999E-2</v>
      </c>
      <c r="X356" s="990">
        <f>IF(I!X356="","",$D$2*I!X356)</f>
        <v>3.5720659715999997E-2</v>
      </c>
      <c r="Y356" s="1010">
        <f>IF(I!Y356="","",$D$2*I!Y356)</f>
        <v>0.10272081466999999</v>
      </c>
      <c r="Z356" s="938"/>
      <c r="AA356" s="938"/>
      <c r="AB356" s="938"/>
      <c r="AC356" s="938"/>
      <c r="AD356" s="1058"/>
      <c r="AE356" s="938"/>
      <c r="AF356" s="938"/>
      <c r="AG356" s="938"/>
      <c r="AH356" s="938"/>
    </row>
    <row r="357" spans="1:34" ht="17.25" customHeight="1" x14ac:dyDescent="0.35">
      <c r="A357" s="938"/>
      <c r="B357" s="938"/>
      <c r="C357" s="941"/>
      <c r="D357" s="1047"/>
      <c r="E357" s="941"/>
      <c r="F357" s="938"/>
      <c r="G357" s="976">
        <f t="shared" si="7"/>
        <v>354</v>
      </c>
      <c r="H357" s="1000"/>
      <c r="I357" s="1001" t="s">
        <v>1059</v>
      </c>
      <c r="J357" s="1031" t="s">
        <v>1400</v>
      </c>
      <c r="K357" s="1002">
        <f>IF(I!K357="","",$D$2*I!K357)</f>
        <v>9.3306215419999994</v>
      </c>
      <c r="L357" s="981"/>
      <c r="M357" s="982"/>
      <c r="N357" s="1003"/>
      <c r="O357" s="1004">
        <f>IF(I!O357="","",$D$2*I!O357)</f>
        <v>20.32</v>
      </c>
      <c r="P357" s="1005">
        <f>IF(I!P357="","",$D$2*I!P357)</f>
        <v>161.610847208443</v>
      </c>
      <c r="Q357" s="1006">
        <f>IF(I!Q357="","",$D$2*I!Q357)</f>
        <v>8.4262645000000004E-9</v>
      </c>
      <c r="R357" s="982"/>
      <c r="S357" s="1003"/>
      <c r="T357" s="938"/>
      <c r="U357" s="1008" t="s">
        <v>1059</v>
      </c>
      <c r="V357" s="1018" t="s">
        <v>6211</v>
      </c>
      <c r="W357" s="1019">
        <f>IF(I!W357="","",$D$2*I!W357)</f>
        <v>2.169069228E-2</v>
      </c>
      <c r="X357" s="990">
        <f>IF(I!X357="","",$D$2*I!X357)</f>
        <v>3.7189782498E-2</v>
      </c>
      <c r="Y357" s="1010">
        <f>IF(I!Y357="","",$D$2*I!Y357)</f>
        <v>6.7850661280000002E-2</v>
      </c>
      <c r="Z357" s="938"/>
      <c r="AA357" s="938"/>
      <c r="AB357" s="938"/>
      <c r="AC357" s="938"/>
      <c r="AD357" s="1058"/>
      <c r="AE357" s="938"/>
      <c r="AF357" s="938"/>
      <c r="AG357" s="938"/>
      <c r="AH357" s="938"/>
    </row>
    <row r="358" spans="1:34" ht="17.25" customHeight="1" x14ac:dyDescent="0.35">
      <c r="A358" s="938"/>
      <c r="B358" s="938"/>
      <c r="C358" s="941"/>
      <c r="D358" s="1047"/>
      <c r="E358" s="941"/>
      <c r="F358" s="938"/>
      <c r="G358" s="976">
        <f t="shared" si="7"/>
        <v>355</v>
      </c>
      <c r="H358" s="1000"/>
      <c r="I358" s="1001" t="s">
        <v>1059</v>
      </c>
      <c r="J358" s="1031" t="s">
        <v>1401</v>
      </c>
      <c r="K358" s="1002">
        <f>IF(I!K358="","",$D$2*I!K358)</f>
        <v>75.761561630000003</v>
      </c>
      <c r="L358" s="981"/>
      <c r="M358" s="982"/>
      <c r="N358" s="1003"/>
      <c r="O358" s="1004">
        <f>IF(I!O358="","",$D$2*I!O358)</f>
        <v>164.87</v>
      </c>
      <c r="P358" s="1005">
        <f>IF(I!P358="","",$D$2*I!P358)</f>
        <v>2132.742125442443</v>
      </c>
      <c r="Q358" s="1006">
        <f>IF(I!Q358="","",$D$2*I!Q358)</f>
        <v>8.4262645000000004E-9</v>
      </c>
      <c r="R358" s="982"/>
      <c r="S358" s="1003"/>
      <c r="T358" s="938"/>
      <c r="U358" s="1008" t="s">
        <v>1059</v>
      </c>
      <c r="V358" s="1018" t="s">
        <v>6212</v>
      </c>
      <c r="W358" s="1019">
        <f>IF(I!W358="","",$D$2*I!W358)</f>
        <v>2.7861817270000002E-2</v>
      </c>
      <c r="X358" s="990">
        <f>IF(I!X358="","",$D$2*I!X358)</f>
        <v>3.1673635644000005E-2</v>
      </c>
      <c r="Y358" s="1010">
        <f>IF(I!Y358="","",$D$2*I!Y358)</f>
        <v>7.6092802269999996E-2</v>
      </c>
      <c r="Z358" s="938"/>
      <c r="AA358" s="938"/>
      <c r="AB358" s="938"/>
      <c r="AC358" s="938"/>
      <c r="AD358" s="1058"/>
      <c r="AE358" s="938"/>
      <c r="AF358" s="938"/>
      <c r="AG358" s="938"/>
      <c r="AH358" s="938"/>
    </row>
    <row r="359" spans="1:34" ht="17.25" customHeight="1" x14ac:dyDescent="0.35">
      <c r="A359" s="938"/>
      <c r="B359" s="938"/>
      <c r="C359" s="941"/>
      <c r="D359" s="1047"/>
      <c r="E359" s="941"/>
      <c r="F359" s="938"/>
      <c r="G359" s="976">
        <f t="shared" si="7"/>
        <v>356</v>
      </c>
      <c r="H359" s="1000"/>
      <c r="I359" s="1001" t="s">
        <v>1059</v>
      </c>
      <c r="J359" s="1031" t="s">
        <v>1402</v>
      </c>
      <c r="K359" s="1002">
        <f>IF(I!K359="","",$D$2*I!K359)</f>
        <v>8.9396213370000002</v>
      </c>
      <c r="L359" s="981"/>
      <c r="M359" s="982"/>
      <c r="N359" s="1003"/>
      <c r="O359" s="1004">
        <f>IF(I!O359="","",$D$2*I!O359)</f>
        <v>19.46</v>
      </c>
      <c r="P359" s="1005">
        <f>IF(I!P359="","",$D$2*I!P359)</f>
        <v>38.490366889143004</v>
      </c>
      <c r="Q359" s="1006">
        <f>IF(I!Q359="","",$D$2*I!Q359)</f>
        <v>8.4262645000000004E-9</v>
      </c>
      <c r="R359" s="982"/>
      <c r="S359" s="1003"/>
      <c r="T359" s="938"/>
      <c r="U359" s="1008" t="s">
        <v>1059</v>
      </c>
      <c r="V359" s="1018" t="s">
        <v>6213</v>
      </c>
      <c r="W359" s="1019">
        <f>IF(I!W359="","",$D$2*I!W359)</f>
        <v>2.1483820930000001E-2</v>
      </c>
      <c r="X359" s="990">
        <f>IF(I!X359="","",$D$2*I!X359)</f>
        <v>3.4726618497999996E-2</v>
      </c>
      <c r="Y359" s="1010">
        <f>IF(I!Y359="","",$D$2*I!Y359)</f>
        <v>7.9780661929999996E-2</v>
      </c>
      <c r="Z359" s="938"/>
      <c r="AA359" s="938"/>
      <c r="AB359" s="938"/>
      <c r="AC359" s="938"/>
      <c r="AD359" s="1058"/>
      <c r="AE359" s="938"/>
      <c r="AF359" s="938"/>
      <c r="AG359" s="938"/>
      <c r="AH359" s="938"/>
    </row>
    <row r="360" spans="1:34" ht="17.25" customHeight="1" x14ac:dyDescent="0.35">
      <c r="A360" s="938"/>
      <c r="B360" s="938"/>
      <c r="C360" s="941"/>
      <c r="D360" s="1047"/>
      <c r="E360" s="941"/>
      <c r="F360" s="938"/>
      <c r="G360" s="976">
        <f t="shared" si="7"/>
        <v>357</v>
      </c>
      <c r="H360" s="1000"/>
      <c r="I360" s="1001" t="s">
        <v>1059</v>
      </c>
      <c r="J360" s="1031" t="s">
        <v>1403</v>
      </c>
      <c r="K360" s="1002">
        <f>IF(I!K360="","",$D$2*I!K360)</f>
        <v>2.1068922834000001</v>
      </c>
      <c r="L360" s="981"/>
      <c r="M360" s="982"/>
      <c r="N360" s="1003"/>
      <c r="O360" s="1004">
        <f>IF(I!O360="","",$D$2*I!O360)</f>
        <v>4.5999999999999996</v>
      </c>
      <c r="P360" s="1005">
        <f>IF(I!P360="","",$D$2*I!P360)</f>
        <v>97.762003810962995</v>
      </c>
      <c r="Q360" s="1006">
        <f>IF(I!Q360="","",$D$2*I!Q360)</f>
        <v>8.4262645000000004E-9</v>
      </c>
      <c r="R360" s="982"/>
      <c r="S360" s="1003"/>
      <c r="T360" s="938"/>
      <c r="U360" s="1008" t="s">
        <v>1059</v>
      </c>
      <c r="V360" s="1018" t="s">
        <v>6214</v>
      </c>
      <c r="W360" s="1019">
        <f>IF(I!W360="","",$D$2*I!W360)</f>
        <v>2.380805381E-2</v>
      </c>
      <c r="X360" s="990">
        <f>IF(I!X360="","",$D$2*I!X360)</f>
        <v>3.4320186507E-2</v>
      </c>
      <c r="Y360" s="1010">
        <f>IF(I!Y360="","",$D$2*I!Y360)</f>
        <v>9.0793999809999998E-2</v>
      </c>
      <c r="Z360" s="938"/>
      <c r="AA360" s="938"/>
      <c r="AB360" s="938"/>
      <c r="AC360" s="938"/>
      <c r="AD360" s="1058"/>
      <c r="AE360" s="938"/>
      <c r="AF360" s="938"/>
      <c r="AG360" s="938"/>
      <c r="AH360" s="938"/>
    </row>
    <row r="361" spans="1:34" ht="17.25" customHeight="1" x14ac:dyDescent="0.35">
      <c r="A361" s="938"/>
      <c r="B361" s="938"/>
      <c r="C361" s="941"/>
      <c r="D361" s="1047"/>
      <c r="E361" s="941"/>
      <c r="F361" s="938"/>
      <c r="G361" s="976">
        <f t="shared" si="7"/>
        <v>358</v>
      </c>
      <c r="H361" s="1000"/>
      <c r="I361" s="1001" t="s">
        <v>1059</v>
      </c>
      <c r="J361" s="1031" t="s">
        <v>1404</v>
      </c>
      <c r="K361" s="1002">
        <f>IF(I!K361="","",$D$2*I!K361)</f>
        <v>2.5193975871999998</v>
      </c>
      <c r="L361" s="981"/>
      <c r="M361" s="982"/>
      <c r="N361" s="1003"/>
      <c r="O361" s="1004">
        <f>IF(I!O361="","",$D$2*I!O361)</f>
        <v>5.49</v>
      </c>
      <c r="P361" s="1005">
        <f>IF(I!P361="","",$D$2*I!P361)</f>
        <v>106.70720644773299</v>
      </c>
      <c r="Q361" s="1006">
        <f>IF(I!Q361="","",$D$2*I!Q361)</f>
        <v>8.4262645000000004E-9</v>
      </c>
      <c r="R361" s="982"/>
      <c r="S361" s="1003"/>
      <c r="T361" s="938"/>
      <c r="U361" s="1008" t="s">
        <v>1059</v>
      </c>
      <c r="V361" s="1018" t="s">
        <v>6215</v>
      </c>
      <c r="W361" s="1019">
        <f>IF(I!W361="","",$D$2*I!W361)</f>
        <v>2.330668449E-2</v>
      </c>
      <c r="X361" s="990">
        <f>IF(I!X361="","",$D$2*I!X361)</f>
        <v>3.4591614553E-2</v>
      </c>
      <c r="Y361" s="1010">
        <f>IF(I!Y361="","",$D$2*I!Y361)</f>
        <v>9.966928349000001E-2</v>
      </c>
      <c r="Z361" s="938"/>
      <c r="AA361" s="938"/>
      <c r="AB361" s="938"/>
      <c r="AC361" s="938"/>
      <c r="AD361" s="1058"/>
      <c r="AE361" s="938"/>
      <c r="AF361" s="938"/>
      <c r="AG361" s="938"/>
      <c r="AH361" s="938"/>
    </row>
    <row r="362" spans="1:34" ht="17.25" customHeight="1" x14ac:dyDescent="0.35">
      <c r="A362" s="938"/>
      <c r="B362" s="938"/>
      <c r="C362" s="941"/>
      <c r="D362" s="1047"/>
      <c r="E362" s="941"/>
      <c r="F362" s="938"/>
      <c r="G362" s="976">
        <f t="shared" si="7"/>
        <v>359</v>
      </c>
      <c r="H362" s="1000"/>
      <c r="I362" s="1001" t="s">
        <v>1059</v>
      </c>
      <c r="J362" s="1031" t="s">
        <v>1405</v>
      </c>
      <c r="K362" s="1002">
        <f>IF(I!K362="","",$D$2*I!K362)</f>
        <v>3.3678680549000002</v>
      </c>
      <c r="L362" s="981"/>
      <c r="M362" s="982"/>
      <c r="N362" s="1003"/>
      <c r="O362" s="1004">
        <f>IF(I!O362="","",$D$2*I!O362)</f>
        <v>7.34</v>
      </c>
      <c r="P362" s="1005">
        <f>IF(I!P362="","",$D$2*I!P362)</f>
        <v>183.173547340423</v>
      </c>
      <c r="Q362" s="1006">
        <f>IF(I!Q362="","",$D$2*I!Q362)</f>
        <v>8.4262645000000004E-9</v>
      </c>
      <c r="R362" s="982"/>
      <c r="S362" s="1003"/>
      <c r="T362" s="938"/>
      <c r="U362" s="1008" t="s">
        <v>1059</v>
      </c>
      <c r="V362" s="1018" t="s">
        <v>6216</v>
      </c>
      <c r="W362" s="1019">
        <f>IF(I!W362="","",$D$2*I!W362)</f>
        <v>0.1589954321</v>
      </c>
      <c r="X362" s="990">
        <f>IF(I!X362="","",$D$2*I!X362)</f>
        <v>0.41202330355</v>
      </c>
      <c r="Y362" s="1010">
        <f>IF(I!Y362="","",$D$2*I!Y362)</f>
        <v>0.72079538210000005</v>
      </c>
      <c r="Z362" s="938"/>
      <c r="AA362" s="938"/>
      <c r="AB362" s="938"/>
      <c r="AC362" s="938"/>
      <c r="AD362" s="1058"/>
      <c r="AE362" s="938"/>
      <c r="AF362" s="938"/>
      <c r="AG362" s="938"/>
      <c r="AH362" s="938"/>
    </row>
    <row r="363" spans="1:34" ht="17.25" customHeight="1" x14ac:dyDescent="0.35">
      <c r="A363" s="938"/>
      <c r="B363" s="938"/>
      <c r="C363" s="941"/>
      <c r="D363" s="1047"/>
      <c r="E363" s="941"/>
      <c r="F363" s="938"/>
      <c r="G363" s="976">
        <f t="shared" si="7"/>
        <v>360</v>
      </c>
      <c r="H363" s="1000"/>
      <c r="I363" s="1001" t="s">
        <v>1059</v>
      </c>
      <c r="J363" s="1031" t="s">
        <v>1406</v>
      </c>
      <c r="K363" s="1002">
        <f>IF(I!K363="","",$D$2*I!K363)</f>
        <v>3.6806682011999996</v>
      </c>
      <c r="L363" s="981"/>
      <c r="M363" s="982"/>
      <c r="N363" s="1003"/>
      <c r="O363" s="1004">
        <f>IF(I!O363="","",$D$2*I!O363)</f>
        <v>8.02</v>
      </c>
      <c r="P363" s="1005">
        <f>IF(I!P363="","",$D$2*I!P363)</f>
        <v>95.343929595792986</v>
      </c>
      <c r="Q363" s="1006">
        <f>IF(I!Q363="","",$D$2*I!Q363)</f>
        <v>8.4262645000000004E-9</v>
      </c>
      <c r="R363" s="982"/>
      <c r="S363" s="1003"/>
      <c r="T363" s="938"/>
      <c r="U363" s="1008" t="s">
        <v>1059</v>
      </c>
      <c r="V363" s="1018" t="s">
        <v>6217</v>
      </c>
      <c r="W363" s="1019">
        <f>IF(I!W363="","",$D$2*I!W363)</f>
        <v>0.2191015171</v>
      </c>
      <c r="X363" s="990">
        <f>IF(I!X363="","",$D$2*I!X363)</f>
        <v>0.41398379095999999</v>
      </c>
      <c r="Y363" s="1010">
        <f>IF(I!Y363="","",$D$2*I!Y363)</f>
        <v>1.0298341971</v>
      </c>
      <c r="Z363" s="938"/>
      <c r="AA363" s="938"/>
      <c r="AB363" s="938"/>
      <c r="AC363" s="938"/>
      <c r="AD363" s="1058"/>
      <c r="AE363" s="938"/>
      <c r="AF363" s="938"/>
      <c r="AG363" s="938"/>
      <c r="AH363" s="938"/>
    </row>
    <row r="364" spans="1:34" ht="17.25" customHeight="1" x14ac:dyDescent="0.35">
      <c r="A364" s="938"/>
      <c r="B364" s="938"/>
      <c r="C364" s="941"/>
      <c r="D364" s="1047"/>
      <c r="E364" s="941"/>
      <c r="F364" s="938"/>
      <c r="G364" s="976">
        <f t="shared" si="7"/>
        <v>361</v>
      </c>
      <c r="H364" s="1000"/>
      <c r="I364" s="1001" t="s">
        <v>1059</v>
      </c>
      <c r="J364" s="1031" t="s">
        <v>1407</v>
      </c>
      <c r="K364" s="1002">
        <f>IF(I!K364="","",$D$2*I!K364)</f>
        <v>11.344272748</v>
      </c>
      <c r="L364" s="981"/>
      <c r="M364" s="982"/>
      <c r="N364" s="1003"/>
      <c r="O364" s="1004">
        <f>IF(I!O364="","",$D$2*I!O364)</f>
        <v>24.7</v>
      </c>
      <c r="P364" s="1005">
        <f>IF(I!P364="","",$D$2*I!P364)</f>
        <v>101.653307852343</v>
      </c>
      <c r="Q364" s="1006">
        <f>IF(I!Q364="","",$D$2*I!Q364)</f>
        <v>8.4262645000000004E-9</v>
      </c>
      <c r="R364" s="982"/>
      <c r="S364" s="1003"/>
      <c r="T364" s="938"/>
      <c r="U364" s="1008" t="s">
        <v>1059</v>
      </c>
      <c r="V364" s="1018" t="s">
        <v>6218</v>
      </c>
      <c r="W364" s="1019">
        <f>IF(I!W364="","",$D$2*I!W364)</f>
        <v>0.1662534735</v>
      </c>
      <c r="X364" s="990">
        <f>IF(I!X364="","",$D$2*I!X364)</f>
        <v>0.41233820246000003</v>
      </c>
      <c r="Y364" s="1010">
        <f>IF(I!Y364="","",$D$2*I!Y364)</f>
        <v>0.66250164349999996</v>
      </c>
      <c r="Z364" s="938"/>
      <c r="AA364" s="938"/>
      <c r="AB364" s="938"/>
      <c r="AC364" s="938"/>
      <c r="AD364" s="1058"/>
      <c r="AE364" s="938"/>
      <c r="AF364" s="938"/>
      <c r="AG364" s="938"/>
      <c r="AH364" s="938"/>
    </row>
    <row r="365" spans="1:34" ht="17.25" customHeight="1" x14ac:dyDescent="0.35">
      <c r="A365" s="938"/>
      <c r="B365" s="938"/>
      <c r="C365" s="941"/>
      <c r="D365" s="1047"/>
      <c r="E365" s="941"/>
      <c r="F365" s="938"/>
      <c r="G365" s="976">
        <f t="shared" si="7"/>
        <v>362</v>
      </c>
      <c r="H365" s="1000"/>
      <c r="I365" s="1001" t="s">
        <v>1059</v>
      </c>
      <c r="J365" s="1031" t="s">
        <v>1408</v>
      </c>
      <c r="K365" s="1002">
        <f>IF(I!K365="","",$D$2*I!K365)</f>
        <v>0.82890802099999994</v>
      </c>
      <c r="L365" s="981"/>
      <c r="M365" s="982"/>
      <c r="N365" s="1003"/>
      <c r="O365" s="1004">
        <f>IF(I!O365="","",$D$2*I!O365)</f>
        <v>1.82</v>
      </c>
      <c r="P365" s="1005">
        <f>IF(I!P365="","",$D$2*I!P365)</f>
        <v>2992.750465657623</v>
      </c>
      <c r="Q365" s="1006">
        <f>IF(I!Q365="","",$D$2*I!Q365)</f>
        <v>8.4262645000000004E-9</v>
      </c>
      <c r="R365" s="982"/>
      <c r="S365" s="1003"/>
      <c r="T365" s="938"/>
      <c r="U365" s="1008" t="s">
        <v>1059</v>
      </c>
      <c r="V365" s="1018" t="s">
        <v>6219</v>
      </c>
      <c r="W365" s="1019">
        <f>IF(I!W365="","",$D$2*I!W365)</f>
        <v>0.2256656913</v>
      </c>
      <c r="X365" s="990">
        <f>IF(I!X365="","",$D$2*I!X365)</f>
        <v>0.37293359021</v>
      </c>
      <c r="Y365" s="1010">
        <f>IF(I!Y365="","",$D$2*I!Y365)</f>
        <v>0.71868203129999997</v>
      </c>
      <c r="Z365" s="938"/>
      <c r="AA365" s="938"/>
      <c r="AB365" s="938"/>
      <c r="AC365" s="938"/>
      <c r="AD365" s="1058"/>
      <c r="AE365" s="938"/>
      <c r="AF365" s="938"/>
      <c r="AG365" s="938"/>
      <c r="AH365" s="938"/>
    </row>
    <row r="366" spans="1:34" ht="17.25" customHeight="1" x14ac:dyDescent="0.35">
      <c r="A366" s="938"/>
      <c r="B366" s="938"/>
      <c r="C366" s="941"/>
      <c r="D366" s="1047"/>
      <c r="E366" s="941"/>
      <c r="F366" s="938"/>
      <c r="G366" s="976">
        <f t="shared" si="7"/>
        <v>363</v>
      </c>
      <c r="H366" s="1000"/>
      <c r="I366" s="1001" t="s">
        <v>1059</v>
      </c>
      <c r="J366" s="1031" t="s">
        <v>1409</v>
      </c>
      <c r="K366" s="1002">
        <f>IF(I!K366="","",$D$2*I!K366)</f>
        <v>56.895800490000006</v>
      </c>
      <c r="L366" s="981"/>
      <c r="M366" s="982"/>
      <c r="N366" s="1003"/>
      <c r="O366" s="1004">
        <f>IF(I!O366="","",$D$2*I!O366)</f>
        <v>123.82</v>
      </c>
      <c r="P366" s="1005">
        <f>IF(I!P366="","",$D$2*I!P366)</f>
        <v>1559.2490150405431</v>
      </c>
      <c r="Q366" s="1006">
        <f>IF(I!Q366="","",$D$2*I!Q366)</f>
        <v>8.4262645000000004E-9</v>
      </c>
      <c r="R366" s="982"/>
      <c r="S366" s="1003"/>
      <c r="T366" s="938"/>
      <c r="U366" s="1008" t="s">
        <v>1059</v>
      </c>
      <c r="V366" s="1018" t="s">
        <v>6220</v>
      </c>
      <c r="W366" s="1019">
        <f>IF(I!W366="","",$D$2*I!W366)</f>
        <v>0.1614596851</v>
      </c>
      <c r="X366" s="990">
        <f>IF(I!X366="","",$D$2*I!X366)</f>
        <v>0.40895505968000001</v>
      </c>
      <c r="Y366" s="1010">
        <f>IF(I!Y366="","",$D$2*I!Y366)</f>
        <v>0.77333541509999992</v>
      </c>
      <c r="Z366" s="938"/>
      <c r="AA366" s="938"/>
      <c r="AB366" s="938"/>
      <c r="AC366" s="938"/>
      <c r="AD366" s="1058"/>
      <c r="AE366" s="938"/>
      <c r="AF366" s="938"/>
      <c r="AG366" s="938"/>
      <c r="AH366" s="938"/>
    </row>
    <row r="367" spans="1:34" ht="17.25" customHeight="1" x14ac:dyDescent="0.35">
      <c r="A367" s="938"/>
      <c r="B367" s="938"/>
      <c r="C367" s="941"/>
      <c r="D367" s="1047"/>
      <c r="E367" s="941"/>
      <c r="F367" s="938"/>
      <c r="G367" s="976">
        <f t="shared" si="7"/>
        <v>364</v>
      </c>
      <c r="H367" s="1000"/>
      <c r="I367" s="1001" t="s">
        <v>1059</v>
      </c>
      <c r="J367" s="1031" t="s">
        <v>1410</v>
      </c>
      <c r="K367" s="1002">
        <f>IF(I!K367="","",$D$2*I!K367)</f>
        <v>23.954030046999996</v>
      </c>
      <c r="L367" s="981"/>
      <c r="M367" s="982"/>
      <c r="N367" s="1003"/>
      <c r="O367" s="1004">
        <f>IF(I!O367="","",$D$2*I!O367)</f>
        <v>52.14</v>
      </c>
      <c r="P367" s="1005">
        <f>IF(I!P367="","",$D$2*I!P367)</f>
        <v>56.778744146943005</v>
      </c>
      <c r="Q367" s="1006">
        <f>IF(I!Q367="","",$D$2*I!Q367)</f>
        <v>8.4262645000000004E-9</v>
      </c>
      <c r="R367" s="982"/>
      <c r="S367" s="1003"/>
      <c r="T367" s="938"/>
      <c r="U367" s="1008" t="s">
        <v>1059</v>
      </c>
      <c r="V367" s="1018" t="s">
        <v>6221</v>
      </c>
      <c r="W367" s="1019">
        <f>IF(I!W367="","",$D$2*I!W367)</f>
        <v>0.16685116119999999</v>
      </c>
      <c r="X367" s="990">
        <f>IF(I!X367="","",$D$2*I!X367)</f>
        <v>0.40756605593</v>
      </c>
      <c r="Y367" s="1010">
        <f>IF(I!Y367="","",$D$2*I!Y367)</f>
        <v>0.87877394119999996</v>
      </c>
      <c r="Z367" s="938"/>
      <c r="AA367" s="938"/>
      <c r="AB367" s="938"/>
      <c r="AC367" s="938"/>
      <c r="AD367" s="1058"/>
      <c r="AE367" s="938"/>
      <c r="AF367" s="938"/>
      <c r="AG367" s="938"/>
      <c r="AH367" s="938"/>
    </row>
    <row r="368" spans="1:34" ht="17.25" customHeight="1" x14ac:dyDescent="0.35">
      <c r="A368" s="938"/>
      <c r="B368" s="938"/>
      <c r="C368" s="941"/>
      <c r="D368" s="1047"/>
      <c r="E368" s="941"/>
      <c r="F368" s="938"/>
      <c r="G368" s="976">
        <f t="shared" si="7"/>
        <v>365</v>
      </c>
      <c r="H368" s="1000"/>
      <c r="I368" s="1001" t="s">
        <v>1059</v>
      </c>
      <c r="J368" s="1031" t="s">
        <v>1411</v>
      </c>
      <c r="K368" s="1002">
        <f>IF(I!K368="","",$D$2*I!K368)</f>
        <v>2.8888927525000003</v>
      </c>
      <c r="L368" s="981"/>
      <c r="M368" s="982"/>
      <c r="N368" s="1003"/>
      <c r="O368" s="1004">
        <f>IF(I!O368="","",$D$2*I!O368)</f>
        <v>6.3</v>
      </c>
      <c r="P368" s="1005">
        <f>IF(I!P368="","",$D$2*I!P368)</f>
        <v>133.68296344939301</v>
      </c>
      <c r="Q368" s="1006">
        <f>IF(I!Q368="","",$D$2*I!Q368)</f>
        <v>8.4262645000000004E-9</v>
      </c>
      <c r="R368" s="982"/>
      <c r="S368" s="1003"/>
      <c r="T368" s="938"/>
      <c r="U368" s="1008" t="s">
        <v>1059</v>
      </c>
      <c r="V368" s="1018" t="s">
        <v>6222</v>
      </c>
      <c r="W368" s="1019">
        <f>IF(I!W368="","",$D$2*I!W368)</f>
        <v>0.1705469248</v>
      </c>
      <c r="X368" s="990">
        <f>IF(I!X368="","",$D$2*I!X368)</f>
        <v>0.40190517516999996</v>
      </c>
      <c r="Y368" s="1010">
        <f>IF(I!Y368="","",$D$2*I!Y368)</f>
        <v>1.0010937547999998</v>
      </c>
      <c r="Z368" s="938"/>
      <c r="AA368" s="938"/>
      <c r="AB368" s="938"/>
      <c r="AC368" s="938"/>
      <c r="AD368" s="1058"/>
      <c r="AE368" s="938"/>
      <c r="AF368" s="938"/>
      <c r="AG368" s="938"/>
      <c r="AH368" s="938"/>
    </row>
    <row r="369" spans="1:34" ht="17.25" customHeight="1" x14ac:dyDescent="0.35">
      <c r="A369" s="938"/>
      <c r="B369" s="938"/>
      <c r="C369" s="941"/>
      <c r="D369" s="1047"/>
      <c r="E369" s="941"/>
      <c r="F369" s="938"/>
      <c r="G369" s="976">
        <f t="shared" si="7"/>
        <v>366</v>
      </c>
      <c r="H369" s="942" t="s">
        <v>1412</v>
      </c>
      <c r="I369" s="1001"/>
      <c r="J369" s="1027"/>
      <c r="K369" s="1002" t="str">
        <f>IF(I!K369="","",$D$2*I!K369)</f>
        <v/>
      </c>
      <c r="L369" s="981"/>
      <c r="M369" s="982"/>
      <c r="N369" s="1003"/>
      <c r="O369" s="1004" t="str">
        <f>IF(I!O369="","",$D$2*I!O369)</f>
        <v/>
      </c>
      <c r="P369" s="1005" t="str">
        <f>IF(I!P369="","",$D$2*I!P369)</f>
        <v/>
      </c>
      <c r="Q369" s="1006" t="str">
        <f>IF(I!Q369="","",$D$2*I!Q369)</f>
        <v/>
      </c>
      <c r="R369" s="982"/>
      <c r="S369" s="1003"/>
      <c r="T369" s="938"/>
      <c r="U369" s="1008" t="s">
        <v>1059</v>
      </c>
      <c r="V369" s="1018" t="s">
        <v>6223</v>
      </c>
      <c r="W369" s="1019">
        <f>IF(I!W369="","",$D$2*I!W369)</f>
        <v>5.231565190000001E-2</v>
      </c>
      <c r="X369" s="990">
        <f>IF(I!X369="","",$D$2*I!X369)</f>
        <v>0.21731462401000001</v>
      </c>
      <c r="Y369" s="1010">
        <f>IF(I!Y369="","",$D$2*I!Y369)</f>
        <v>0.66870027190000003</v>
      </c>
      <c r="Z369" s="938"/>
      <c r="AA369" s="938"/>
      <c r="AB369" s="938"/>
      <c r="AC369" s="938"/>
      <c r="AD369" s="1058"/>
      <c r="AE369" s="938"/>
      <c r="AF369" s="938"/>
      <c r="AG369" s="938"/>
      <c r="AH369" s="938"/>
    </row>
    <row r="370" spans="1:34" ht="17.25" customHeight="1" x14ac:dyDescent="0.35">
      <c r="A370" s="938"/>
      <c r="B370" s="938"/>
      <c r="C370" s="941"/>
      <c r="D370" s="1047"/>
      <c r="E370" s="941"/>
      <c r="F370" s="938"/>
      <c r="G370" s="976">
        <f t="shared" si="7"/>
        <v>367</v>
      </c>
      <c r="H370" s="1000"/>
      <c r="I370" s="1001" t="s">
        <v>1059</v>
      </c>
      <c r="J370" s="1031" t="s">
        <v>1413</v>
      </c>
      <c r="K370" s="1002">
        <f>IF(I!K370="","",$D$2*I!K370)</f>
        <v>0.40950345100000002</v>
      </c>
      <c r="L370" s="981"/>
      <c r="M370" s="982"/>
      <c r="N370" s="1003"/>
      <c r="O370" s="1004">
        <f>IF(I!O370="","",$D$2*I!O370)</f>
        <v>1.06</v>
      </c>
      <c r="P370" s="1005">
        <f>IF(I!P370="","",$D$2*I!P370)</f>
        <v>0.76871788389000006</v>
      </c>
      <c r="Q370" s="1006">
        <f>IF(I!Q370="","",$D$2*I!Q370)</f>
        <v>1.7419899000000001E-9</v>
      </c>
      <c r="R370" s="982"/>
      <c r="S370" s="1003"/>
      <c r="T370" s="938"/>
      <c r="U370" s="1008" t="s">
        <v>1059</v>
      </c>
      <c r="V370" s="1018" t="s">
        <v>6224</v>
      </c>
      <c r="W370" s="1019">
        <f>IF(I!W370="","",$D$2*I!W370)</f>
        <v>8.0009032499999994E-2</v>
      </c>
      <c r="X370" s="990">
        <f>IF(I!X370="","",$D$2*I!X370)</f>
        <v>0.19684504172</v>
      </c>
      <c r="Y370" s="1010">
        <f>IF(I!Y370="","",$D$2*I!Y370)</f>
        <v>0.57538558250000005</v>
      </c>
      <c r="Z370" s="938"/>
      <c r="AA370" s="938"/>
      <c r="AB370" s="938"/>
      <c r="AC370" s="938"/>
      <c r="AD370" s="1058"/>
      <c r="AE370" s="938"/>
      <c r="AF370" s="938"/>
      <c r="AG370" s="938"/>
      <c r="AH370" s="938"/>
    </row>
    <row r="371" spans="1:34" ht="17.25" customHeight="1" x14ac:dyDescent="0.35">
      <c r="A371" s="938"/>
      <c r="B371" s="938"/>
      <c r="C371" s="941"/>
      <c r="D371" s="1047"/>
      <c r="E371" s="941"/>
      <c r="F371" s="938"/>
      <c r="G371" s="976">
        <f t="shared" si="7"/>
        <v>368</v>
      </c>
      <c r="H371" s="942"/>
      <c r="I371" s="1001" t="s">
        <v>1059</v>
      </c>
      <c r="J371" s="1031" t="s">
        <v>1414</v>
      </c>
      <c r="K371" s="1002">
        <f>IF(I!K371="","",$D$2*I!K371)</f>
        <v>0.49637627400000006</v>
      </c>
      <c r="L371" s="981"/>
      <c r="M371" s="982"/>
      <c r="N371" s="1003"/>
      <c r="O371" s="1004">
        <f>IF(I!O371="","",$D$2*I!O371)</f>
        <v>1.17</v>
      </c>
      <c r="P371" s="1005">
        <f>IF(I!P371="","",$D$2*I!P371)</f>
        <v>0.81787273553000006</v>
      </c>
      <c r="Q371" s="1006">
        <f>IF(I!Q371="","",$D$2*I!Q371)</f>
        <v>5.7480372999999999E-5</v>
      </c>
      <c r="R371" s="982"/>
      <c r="S371" s="1003"/>
      <c r="T371" s="938"/>
      <c r="U371" s="1008" t="s">
        <v>1059</v>
      </c>
      <c r="V371" s="1018" t="s">
        <v>6225</v>
      </c>
      <c r="W371" s="1019">
        <f>IF(I!W371="","",$D$2*I!W371)</f>
        <v>7.8419237100000011E-2</v>
      </c>
      <c r="X371" s="990">
        <f>IF(I!X371="","",$D$2*I!X371)</f>
        <v>0.20321686799999999</v>
      </c>
      <c r="Y371" s="1010">
        <f>IF(I!Y371="","",$D$2*I!Y371)</f>
        <v>0.3555084771</v>
      </c>
      <c r="Z371" s="938"/>
      <c r="AA371" s="938"/>
      <c r="AB371" s="938"/>
      <c r="AC371" s="938"/>
      <c r="AD371" s="1058"/>
      <c r="AE371" s="938"/>
      <c r="AF371" s="938"/>
      <c r="AG371" s="938"/>
      <c r="AH371" s="938"/>
    </row>
    <row r="372" spans="1:34" ht="17.25" customHeight="1" x14ac:dyDescent="0.35">
      <c r="A372" s="938"/>
      <c r="B372" s="938"/>
      <c r="C372" s="941"/>
      <c r="D372" s="1047"/>
      <c r="E372" s="941"/>
      <c r="F372" s="938"/>
      <c r="G372" s="976">
        <f t="shared" si="7"/>
        <v>369</v>
      </c>
      <c r="H372" s="1000"/>
      <c r="I372" s="1001" t="s">
        <v>1059</v>
      </c>
      <c r="J372" s="1031" t="s">
        <v>1415</v>
      </c>
      <c r="K372" s="1002">
        <f>IF(I!K372="","",$D$2*I!K372)</f>
        <v>0.50568770899999993</v>
      </c>
      <c r="L372" s="981"/>
      <c r="M372" s="982"/>
      <c r="N372" s="1003"/>
      <c r="O372" s="1004">
        <f>IF(I!O372="","",$D$2*I!O372)</f>
        <v>1.21</v>
      </c>
      <c r="P372" s="1005">
        <f>IF(I!P372="","",$D$2*I!P372)</f>
        <v>0.81765372374000012</v>
      </c>
      <c r="Q372" s="1006">
        <f>IF(I!Q372="","",$D$2*I!Q372)</f>
        <v>6.3228202000000004E-5</v>
      </c>
      <c r="R372" s="982"/>
      <c r="S372" s="1003"/>
      <c r="T372" s="938"/>
      <c r="U372" s="1008" t="s">
        <v>1059</v>
      </c>
      <c r="V372" s="1018" t="s">
        <v>6226</v>
      </c>
      <c r="W372" s="1019">
        <f>IF(I!W372="","",$D$2*I!W372)</f>
        <v>0.10806457479999999</v>
      </c>
      <c r="X372" s="990">
        <f>IF(I!X372="","",$D$2*I!X372)</f>
        <v>0.20418381085000001</v>
      </c>
      <c r="Y372" s="1010">
        <f>IF(I!Y372="","",$D$2*I!Y372)</f>
        <v>0.50793164479999997</v>
      </c>
      <c r="Z372" s="938"/>
      <c r="AA372" s="938"/>
      <c r="AB372" s="938"/>
      <c r="AC372" s="938"/>
      <c r="AD372" s="1058"/>
      <c r="AE372" s="938"/>
      <c r="AF372" s="938"/>
      <c r="AG372" s="938"/>
      <c r="AH372" s="938"/>
    </row>
    <row r="373" spans="1:34" ht="17.25" customHeight="1" x14ac:dyDescent="0.35">
      <c r="A373" s="938"/>
      <c r="B373" s="938"/>
      <c r="C373" s="941"/>
      <c r="D373" s="1047"/>
      <c r="E373" s="941"/>
      <c r="F373" s="938"/>
      <c r="G373" s="976">
        <f t="shared" si="7"/>
        <v>370</v>
      </c>
      <c r="H373" s="1000"/>
      <c r="I373" s="1001" t="s">
        <v>1059</v>
      </c>
      <c r="J373" s="1031" t="s">
        <v>1416</v>
      </c>
      <c r="K373" s="1002">
        <f>IF(I!K373="","",$D$2*I!K373)</f>
        <v>0.512901151</v>
      </c>
      <c r="L373" s="981"/>
      <c r="M373" s="982"/>
      <c r="N373" s="1003"/>
      <c r="O373" s="1004">
        <f>IF(I!O373="","",$D$2*I!O373)</f>
        <v>1.21</v>
      </c>
      <c r="P373" s="1005">
        <f>IF(I!P373="","",$D$2*I!P373)</f>
        <v>0.87074478305999992</v>
      </c>
      <c r="Q373" s="1006">
        <f>IF(I!Q373="","",$D$2*I!Q373)</f>
        <v>6.0354272000000003E-5</v>
      </c>
      <c r="R373" s="982"/>
      <c r="S373" s="1003"/>
      <c r="T373" s="938"/>
      <c r="U373" s="1008" t="s">
        <v>1059</v>
      </c>
      <c r="V373" s="1018" t="s">
        <v>6227</v>
      </c>
      <c r="W373" s="1019">
        <f>IF(I!W373="","",$D$2*I!W373)</f>
        <v>8.1999026000000003E-2</v>
      </c>
      <c r="X373" s="990">
        <f>IF(I!X373="","",$D$2*I!X373)</f>
        <v>0.20337217821999998</v>
      </c>
      <c r="Y373" s="1010">
        <f>IF(I!Y373="","",$D$2*I!Y373)</f>
        <v>0.32675701600000001</v>
      </c>
      <c r="Z373" s="938"/>
      <c r="AA373" s="938"/>
      <c r="AB373" s="938"/>
      <c r="AC373" s="938"/>
      <c r="AD373" s="1058"/>
      <c r="AE373" s="938"/>
      <c r="AF373" s="938"/>
      <c r="AG373" s="938"/>
      <c r="AH373" s="938"/>
    </row>
    <row r="374" spans="1:34" ht="17.25" customHeight="1" x14ac:dyDescent="0.35">
      <c r="A374" s="938"/>
      <c r="B374" s="938"/>
      <c r="C374" s="941"/>
      <c r="D374" s="1047"/>
      <c r="E374" s="941"/>
      <c r="F374" s="938"/>
      <c r="G374" s="976">
        <f t="shared" si="7"/>
        <v>371</v>
      </c>
      <c r="H374" s="1000"/>
      <c r="I374" s="1001" t="s">
        <v>1059</v>
      </c>
      <c r="J374" s="1031" t="s">
        <v>1417</v>
      </c>
      <c r="K374" s="1002">
        <f>IF(I!K374="","",$D$2*I!K374)</f>
        <v>0.46622532900000002</v>
      </c>
      <c r="L374" s="981"/>
      <c r="M374" s="982"/>
      <c r="N374" s="1003"/>
      <c r="O374" s="1004">
        <f>IF(I!O374="","",$D$2*I!O374)</f>
        <v>1.1200000000000001</v>
      </c>
      <c r="P374" s="1005">
        <f>IF(I!P374="","",$D$2*I!P374)</f>
        <v>0.80366792805999998</v>
      </c>
      <c r="Q374" s="1006">
        <f>IF(I!Q374="","",$D$2*I!Q374)</f>
        <v>3.7362869999999999E-5</v>
      </c>
      <c r="R374" s="982"/>
      <c r="S374" s="1003"/>
      <c r="T374" s="938"/>
      <c r="U374" s="1008" t="s">
        <v>1059</v>
      </c>
      <c r="V374" s="1018" t="s">
        <v>6228</v>
      </c>
      <c r="W374" s="1019">
        <f>IF(I!W374="","",$D$2*I!W374)</f>
        <v>0.1113021372</v>
      </c>
      <c r="X374" s="990">
        <f>IF(I!X374="","",$D$2*I!X374)</f>
        <v>0.18393715526000001</v>
      </c>
      <c r="Y374" s="1010">
        <f>IF(I!Y374="","",$D$2*I!Y374)</f>
        <v>0.35446613719999998</v>
      </c>
      <c r="Z374" s="938"/>
      <c r="AA374" s="938"/>
      <c r="AB374" s="938"/>
      <c r="AC374" s="938"/>
      <c r="AD374" s="1058"/>
      <c r="AE374" s="938"/>
      <c r="AF374" s="938"/>
      <c r="AG374" s="938"/>
      <c r="AH374" s="938"/>
    </row>
    <row r="375" spans="1:34" ht="17.25" customHeight="1" x14ac:dyDescent="0.35">
      <c r="A375" s="938"/>
      <c r="B375" s="938"/>
      <c r="C375" s="941"/>
      <c r="D375" s="1047"/>
      <c r="E375" s="941"/>
      <c r="F375" s="938"/>
      <c r="G375" s="976">
        <f t="shared" si="7"/>
        <v>372</v>
      </c>
      <c r="H375" s="942"/>
      <c r="I375" s="1001" t="s">
        <v>1059</v>
      </c>
      <c r="J375" s="1031" t="s">
        <v>1418</v>
      </c>
      <c r="K375" s="1002">
        <f>IF(I!K375="","",$D$2*I!K375)</f>
        <v>0.40971528400000001</v>
      </c>
      <c r="L375" s="981"/>
      <c r="M375" s="982"/>
      <c r="N375" s="1003"/>
      <c r="O375" s="1004">
        <f>IF(I!O375="","",$D$2*I!O375)</f>
        <v>1.1100000000000001</v>
      </c>
      <c r="P375" s="1005">
        <f>IF(I!P375="","",$D$2*I!P375)</f>
        <v>0.76359409943000012</v>
      </c>
      <c r="Q375" s="1006">
        <f>IF(I!Q375="","",$D$2*I!Q375)</f>
        <v>1.72457E-9</v>
      </c>
      <c r="R375" s="982"/>
      <c r="S375" s="1003"/>
      <c r="T375" s="938"/>
      <c r="U375" s="1008" t="s">
        <v>1059</v>
      </c>
      <c r="V375" s="1018" t="s">
        <v>6229</v>
      </c>
      <c r="W375" s="1019">
        <f>IF(I!W375="","",$D$2*I!W375)</f>
        <v>7.9634647099999997E-2</v>
      </c>
      <c r="X375" s="990">
        <f>IF(I!X375="","",$D$2*I!X375)</f>
        <v>0.20170355570000001</v>
      </c>
      <c r="Y375" s="1010">
        <f>IF(I!Y375="","",$D$2*I!Y375)</f>
        <v>0.38142210710000002</v>
      </c>
      <c r="Z375" s="938"/>
      <c r="AA375" s="938"/>
      <c r="AB375" s="938"/>
      <c r="AC375" s="938"/>
      <c r="AD375" s="1058"/>
      <c r="AE375" s="938"/>
      <c r="AF375" s="938"/>
      <c r="AG375" s="938"/>
      <c r="AH375" s="938"/>
    </row>
    <row r="376" spans="1:34" ht="17.25" customHeight="1" x14ac:dyDescent="0.35">
      <c r="A376" s="938"/>
      <c r="B376" s="938"/>
      <c r="C376" s="941"/>
      <c r="D376" s="1047"/>
      <c r="E376" s="941"/>
      <c r="F376" s="938"/>
      <c r="G376" s="976">
        <f t="shared" si="7"/>
        <v>373</v>
      </c>
      <c r="H376" s="1000"/>
      <c r="I376" s="1001" t="s">
        <v>1059</v>
      </c>
      <c r="J376" s="1031" t="s">
        <v>1419</v>
      </c>
      <c r="K376" s="1002">
        <f>IF(I!K376="","",$D$2*I!K376)</f>
        <v>0.39826286500000002</v>
      </c>
      <c r="L376" s="981"/>
      <c r="M376" s="982"/>
      <c r="N376" s="1003"/>
      <c r="O376" s="1004">
        <f>IF(I!O376="","",$D$2*I!O376)</f>
        <v>1.17</v>
      </c>
      <c r="P376" s="1005">
        <f>IF(I!P376="","",$D$2*I!P376)</f>
        <v>0.73034538644000002</v>
      </c>
      <c r="Q376" s="1006">
        <f>IF(I!Q376="","",$D$2*I!Q376)</f>
        <v>1.6287606000000001E-9</v>
      </c>
      <c r="R376" s="982"/>
      <c r="S376" s="1003"/>
      <c r="T376" s="938"/>
      <c r="U376" s="1008" t="s">
        <v>1059</v>
      </c>
      <c r="V376" s="1018" t="s">
        <v>6230</v>
      </c>
      <c r="W376" s="1019">
        <f>IF(I!W376="","",$D$2*I!W376)</f>
        <v>8.22938161E-2</v>
      </c>
      <c r="X376" s="990">
        <f>IF(I!X376="","",$D$2*I!X376)</f>
        <v>0.20101847346999999</v>
      </c>
      <c r="Y376" s="1010">
        <f>IF(I!Y376="","",$D$2*I!Y376)</f>
        <v>0.4334261761</v>
      </c>
      <c r="Z376" s="938"/>
      <c r="AA376" s="938"/>
      <c r="AB376" s="938"/>
      <c r="AC376" s="938"/>
      <c r="AD376" s="1058"/>
      <c r="AE376" s="938"/>
      <c r="AF376" s="938"/>
      <c r="AG376" s="938"/>
      <c r="AH376" s="938"/>
    </row>
    <row r="377" spans="1:34" ht="17.25" customHeight="1" x14ac:dyDescent="0.35">
      <c r="A377" s="938"/>
      <c r="B377" s="938"/>
      <c r="C377" s="941"/>
      <c r="D377" s="1047"/>
      <c r="E377" s="941"/>
      <c r="F377" s="938"/>
      <c r="G377" s="976">
        <f t="shared" si="7"/>
        <v>374</v>
      </c>
      <c r="H377" s="1000"/>
      <c r="I377" s="1001" t="s">
        <v>1059</v>
      </c>
      <c r="J377" s="1031" t="s">
        <v>1420</v>
      </c>
      <c r="K377" s="1002">
        <f>IF(I!K377="","",$D$2*I!K377)</f>
        <v>0.40951980519999998</v>
      </c>
      <c r="L377" s="981"/>
      <c r="M377" s="982"/>
      <c r="N377" s="1003"/>
      <c r="O377" s="1004">
        <f>IF(I!O377="","",$D$2*I!O377)</f>
        <v>1.26</v>
      </c>
      <c r="P377" s="1005">
        <f>IF(I!P377="","",$D$2*I!P377)</f>
        <v>0.7447412713399999</v>
      </c>
      <c r="Q377" s="1006">
        <f>IF(I!Q377="","",$D$2*I!Q377)</f>
        <v>1.6566324E-9</v>
      </c>
      <c r="R377" s="982"/>
      <c r="S377" s="1003"/>
      <c r="T377" s="938"/>
      <c r="U377" s="1008" t="s">
        <v>1059</v>
      </c>
      <c r="V377" s="1018" t="s">
        <v>6231</v>
      </c>
      <c r="W377" s="1019">
        <f>IF(I!W377="","",$D$2*I!W377)</f>
        <v>8.4116627700000002E-2</v>
      </c>
      <c r="X377" s="990">
        <f>IF(I!X377="","",$D$2*I!X377)</f>
        <v>0.19822643528</v>
      </c>
      <c r="Y377" s="1010">
        <f>IF(I!Y377="","",$D$2*I!Y377)</f>
        <v>0.49375637770000003</v>
      </c>
      <c r="Z377" s="938"/>
      <c r="AA377" s="938"/>
      <c r="AB377" s="938"/>
      <c r="AC377" s="938"/>
      <c r="AD377" s="1058"/>
      <c r="AE377" s="938"/>
      <c r="AF377" s="938"/>
      <c r="AG377" s="938"/>
      <c r="AH377" s="938"/>
    </row>
    <row r="378" spans="1:34" ht="17.25" customHeight="1" x14ac:dyDescent="0.35">
      <c r="A378" s="938"/>
      <c r="B378" s="938"/>
      <c r="C378" s="941"/>
      <c r="D378" s="1047"/>
      <c r="E378" s="941"/>
      <c r="F378" s="938"/>
      <c r="G378" s="976">
        <f t="shared" si="7"/>
        <v>375</v>
      </c>
      <c r="H378" s="1000"/>
      <c r="I378" s="1001" t="s">
        <v>1059</v>
      </c>
      <c r="J378" s="1031" t="s">
        <v>1421</v>
      </c>
      <c r="K378" s="1002">
        <f>IF(I!K378="","",$D$2*I!K378)</f>
        <v>0.44687510499999999</v>
      </c>
      <c r="L378" s="981"/>
      <c r="M378" s="982"/>
      <c r="N378" s="1003"/>
      <c r="O378" s="1004">
        <f>IF(I!O378="","",$D$2*I!O378)</f>
        <v>1.45</v>
      </c>
      <c r="P378" s="1005">
        <f>IF(I!P378="","",$D$2*I!P378)</f>
        <v>0.82594824829000002</v>
      </c>
      <c r="Q378" s="1006">
        <f>IF(I!Q378="","",$D$2*I!Q378)</f>
        <v>2.0289573E-9</v>
      </c>
      <c r="R378" s="982"/>
      <c r="S378" s="1003"/>
      <c r="T378" s="938"/>
      <c r="U378" s="1008" t="s">
        <v>1059</v>
      </c>
      <c r="V378" s="1018" t="s">
        <v>6232</v>
      </c>
      <c r="W378" s="1019">
        <f>IF(I!W378="","",$D$2*I!W378)</f>
        <v>7.6333168699999995E-2</v>
      </c>
      <c r="X378" s="990">
        <f>IF(I!X378="","",$D$2*I!X378)</f>
        <v>0.21780253554000001</v>
      </c>
      <c r="Y378" s="1010">
        <f>IF(I!Y378="","",$D$2*I!Y378)</f>
        <v>0.1350054577</v>
      </c>
      <c r="Z378" s="938"/>
      <c r="AA378" s="938"/>
      <c r="AB378" s="938"/>
      <c r="AC378" s="938"/>
      <c r="AD378" s="1058"/>
      <c r="AE378" s="938"/>
      <c r="AF378" s="938"/>
      <c r="AG378" s="938"/>
      <c r="AH378" s="938"/>
    </row>
    <row r="379" spans="1:34" ht="17.25" customHeight="1" x14ac:dyDescent="0.35">
      <c r="A379" s="938"/>
      <c r="B379" s="938"/>
      <c r="C379" s="941"/>
      <c r="D379" s="1047"/>
      <c r="E379" s="941"/>
      <c r="F379" s="938"/>
      <c r="G379" s="976">
        <f t="shared" si="7"/>
        <v>376</v>
      </c>
      <c r="H379" s="1000"/>
      <c r="I379" s="1001" t="s">
        <v>1059</v>
      </c>
      <c r="J379" s="1031" t="s">
        <v>1422</v>
      </c>
      <c r="K379" s="1002">
        <f>IF(I!K379="","",$D$2*I!K379)</f>
        <v>0.40955455799999996</v>
      </c>
      <c r="L379" s="981"/>
      <c r="M379" s="982"/>
      <c r="N379" s="1003"/>
      <c r="O379" s="1004">
        <f>IF(I!O379="","",$D$2*I!O379)</f>
        <v>1.1000000000000001</v>
      </c>
      <c r="P379" s="1005">
        <f>IF(I!P379="","",$D$2*I!P379)</f>
        <v>0.76755667005000006</v>
      </c>
      <c r="Q379" s="1006">
        <f>IF(I!Q379="","",$D$2*I!Q379)</f>
        <v>1.7619582E-9</v>
      </c>
      <c r="R379" s="982"/>
      <c r="S379" s="1003"/>
      <c r="T379" s="938"/>
      <c r="U379" s="1008" t="s">
        <v>1059</v>
      </c>
      <c r="V379" s="1018" t="s">
        <v>6233</v>
      </c>
      <c r="W379" s="1019">
        <f>IF(I!W379="","",$D$2*I!W379)</f>
        <v>9.0361032299999991E-2</v>
      </c>
      <c r="X379" s="990">
        <f>IF(I!X379="","",$D$2*I!X379)</f>
        <v>0.26706347677000003</v>
      </c>
      <c r="Y379" s="1010">
        <f>IF(I!Y379="","",$D$2*I!Y379)</f>
        <v>0.56826950229999995</v>
      </c>
      <c r="Z379" s="938"/>
      <c r="AA379" s="938"/>
      <c r="AB379" s="938"/>
      <c r="AC379" s="938"/>
      <c r="AD379" s="1058"/>
      <c r="AE379" s="938"/>
      <c r="AF379" s="938"/>
      <c r="AG379" s="938"/>
      <c r="AH379" s="938"/>
    </row>
    <row r="380" spans="1:34" ht="17.25" customHeight="1" x14ac:dyDescent="0.35">
      <c r="A380" s="938"/>
      <c r="B380" s="938"/>
      <c r="C380" s="941"/>
      <c r="D380" s="1047"/>
      <c r="E380" s="941"/>
      <c r="F380" s="938"/>
      <c r="G380" s="976">
        <f t="shared" si="7"/>
        <v>377</v>
      </c>
      <c r="H380" s="1000"/>
      <c r="I380" s="1001" t="s">
        <v>1059</v>
      </c>
      <c r="J380" s="1031" t="s">
        <v>1423</v>
      </c>
      <c r="K380" s="1002">
        <f>IF(I!K380="","",$D$2*I!K380)</f>
        <v>0.40716130900000003</v>
      </c>
      <c r="L380" s="981"/>
      <c r="M380" s="982"/>
      <c r="N380" s="1003"/>
      <c r="O380" s="1004">
        <f>IF(I!O380="","",$D$2*I!O380)</f>
        <v>1.06</v>
      </c>
      <c r="P380" s="1005">
        <f>IF(I!P380="","",$D$2*I!P380)</f>
        <v>0.76641903953000001</v>
      </c>
      <c r="Q380" s="1006">
        <f>IF(I!Q380="","",$D$2*I!Q380)</f>
        <v>1.72457E-9</v>
      </c>
      <c r="R380" s="982"/>
      <c r="S380" s="1003"/>
      <c r="T380" s="938"/>
      <c r="U380" s="1008" t="s">
        <v>1059</v>
      </c>
      <c r="V380" s="1018" t="s">
        <v>6234</v>
      </c>
      <c r="W380" s="1019">
        <f>IF(I!W380="","",$D$2*I!W380)</f>
        <v>6.4285475710000005E-3</v>
      </c>
      <c r="X380" s="990">
        <f>IF(I!X380="","",$D$2*I!X380)</f>
        <v>1.5319333875E-3</v>
      </c>
      <c r="Y380" s="1010">
        <f>IF(I!Y380="","",$D$2*I!Y380)</f>
        <v>5.9460946570999998E-2</v>
      </c>
      <c r="Z380" s="938"/>
      <c r="AA380" s="938"/>
      <c r="AB380" s="938"/>
      <c r="AC380" s="938"/>
      <c r="AD380" s="1058"/>
      <c r="AE380" s="938"/>
      <c r="AF380" s="938"/>
      <c r="AG380" s="938"/>
      <c r="AH380" s="938"/>
    </row>
    <row r="381" spans="1:34" ht="17.25" customHeight="1" x14ac:dyDescent="0.35">
      <c r="A381" s="938"/>
      <c r="B381" s="938"/>
      <c r="C381" s="941"/>
      <c r="D381" s="1047"/>
      <c r="E381" s="941"/>
      <c r="F381" s="938"/>
      <c r="G381" s="976">
        <f t="shared" si="7"/>
        <v>378</v>
      </c>
      <c r="H381" s="942"/>
      <c r="I381" s="1001" t="s">
        <v>1059</v>
      </c>
      <c r="J381" s="1031" t="s">
        <v>1424</v>
      </c>
      <c r="K381" s="1002">
        <f>IF(I!K381="","",$D$2*I!K381)</f>
        <v>0.40690470200000001</v>
      </c>
      <c r="L381" s="981"/>
      <c r="M381" s="982"/>
      <c r="N381" s="1003"/>
      <c r="O381" s="1004">
        <f>IF(I!O381="","",$D$2*I!O381)</f>
        <v>1.1000000000000001</v>
      </c>
      <c r="P381" s="1005">
        <f>IF(I!P381="","",$D$2*I!P381)</f>
        <v>0.76083547625999992</v>
      </c>
      <c r="Q381" s="1006">
        <f>IF(I!Q381="","",$D$2*I!Q381)</f>
        <v>1.7036661E-9</v>
      </c>
      <c r="R381" s="982"/>
      <c r="S381" s="1003"/>
      <c r="T381" s="938"/>
      <c r="U381" s="1008" t="s">
        <v>1059</v>
      </c>
      <c r="V381" s="1018" t="s">
        <v>6235</v>
      </c>
      <c r="W381" s="1019">
        <f>IF(I!W381="","",$D$2*I!W381)</f>
        <v>3.8653080579999998E-3</v>
      </c>
      <c r="X381" s="990">
        <f>IF(I!X381="","",$D$2*I!X381)</f>
        <v>1.2880104856400002E-4</v>
      </c>
      <c r="Y381" s="1010">
        <f>IF(I!Y381="","",$D$2*I!Y381)</f>
        <v>5.3582601058000001E-2</v>
      </c>
      <c r="Z381" s="938"/>
      <c r="AA381" s="938"/>
      <c r="AB381" s="938"/>
      <c r="AC381" s="938"/>
      <c r="AD381" s="1058"/>
      <c r="AE381" s="938"/>
      <c r="AF381" s="938"/>
      <c r="AG381" s="938"/>
      <c r="AH381" s="938"/>
    </row>
    <row r="382" spans="1:34" ht="17.25" customHeight="1" x14ac:dyDescent="0.35">
      <c r="A382" s="938"/>
      <c r="B382" s="938"/>
      <c r="C382" s="941"/>
      <c r="D382" s="1047"/>
      <c r="E382" s="941"/>
      <c r="F382" s="938"/>
      <c r="G382" s="976">
        <f t="shared" si="7"/>
        <v>379</v>
      </c>
      <c r="H382" s="942"/>
      <c r="I382" s="1001" t="s">
        <v>1059</v>
      </c>
      <c r="J382" s="1031" t="s">
        <v>1425</v>
      </c>
      <c r="K382" s="1002">
        <f>IF(I!K382="","",$D$2*I!K382)</f>
        <v>0.40857427499999999</v>
      </c>
      <c r="L382" s="981"/>
      <c r="M382" s="982"/>
      <c r="N382" s="1003"/>
      <c r="O382" s="1004">
        <f>IF(I!O382="","",$D$2*I!O382)</f>
        <v>1.1000000000000001</v>
      </c>
      <c r="P382" s="1005">
        <f>IF(I!P382="","",$D$2*I!P382)</f>
        <v>0.76773031051999996</v>
      </c>
      <c r="Q382" s="1006">
        <f>IF(I!Q382="","",$D$2*I!Q382)</f>
        <v>1.7723733E-9</v>
      </c>
      <c r="R382" s="982"/>
      <c r="S382" s="1003"/>
      <c r="T382" s="938"/>
      <c r="U382" s="1008" t="s">
        <v>1059</v>
      </c>
      <c r="V382" s="1018" t="s">
        <v>6236</v>
      </c>
      <c r="W382" s="1019">
        <f>IF(I!W382="","",$D$2*I!W382)</f>
        <v>0</v>
      </c>
      <c r="X382" s="990">
        <f>IF(I!X382="","",$D$2*I!X382)</f>
        <v>0</v>
      </c>
      <c r="Y382" s="1010">
        <f>IF(I!Y382="","",$D$2*I!Y382)</f>
        <v>0</v>
      </c>
      <c r="Z382" s="938"/>
      <c r="AA382" s="938"/>
      <c r="AB382" s="938"/>
      <c r="AC382" s="938"/>
      <c r="AD382" s="1058"/>
      <c r="AE382" s="938"/>
      <c r="AF382" s="938"/>
      <c r="AG382" s="938"/>
      <c r="AH382" s="938"/>
    </row>
    <row r="383" spans="1:34" ht="17.25" customHeight="1" x14ac:dyDescent="0.35">
      <c r="A383" s="938"/>
      <c r="B383" s="938"/>
      <c r="C383" s="941"/>
      <c r="D383" s="1047"/>
      <c r="E383" s="941"/>
      <c r="F383" s="938"/>
      <c r="G383" s="976">
        <f t="shared" si="7"/>
        <v>380</v>
      </c>
      <c r="H383" s="942"/>
      <c r="I383" s="1001" t="s">
        <v>1059</v>
      </c>
      <c r="J383" s="1031" t="s">
        <v>1426</v>
      </c>
      <c r="K383" s="1002">
        <f>IF(I!K383="","",$D$2*I!K383)</f>
        <v>0.43683787900000004</v>
      </c>
      <c r="L383" s="981"/>
      <c r="M383" s="982"/>
      <c r="N383" s="1003"/>
      <c r="O383" s="1004">
        <f>IF(I!O383="","",$D$2*I!O383)</f>
        <v>1.18</v>
      </c>
      <c r="P383" s="1005">
        <f>IF(I!P383="","",$D$2*I!P383)</f>
        <v>0.79475046845999997</v>
      </c>
      <c r="Q383" s="1006">
        <f>IF(I!Q383="","",$D$2*I!Q383)</f>
        <v>2.2993109999999999E-5</v>
      </c>
      <c r="R383" s="982"/>
      <c r="S383" s="1003"/>
      <c r="T383" s="938"/>
      <c r="U383" s="1008" t="s">
        <v>1059</v>
      </c>
      <c r="V383" s="1018" t="s">
        <v>6237</v>
      </c>
      <c r="W383" s="1019">
        <f>IF(I!W383="","",$D$2*I!W383)</f>
        <v>0</v>
      </c>
      <c r="X383" s="990">
        <f>IF(I!X383="","",$D$2*I!X383)</f>
        <v>0</v>
      </c>
      <c r="Y383" s="1010">
        <f>IF(I!Y383="","",$D$2*I!Y383)</f>
        <v>0</v>
      </c>
      <c r="Z383" s="938"/>
      <c r="AA383" s="938"/>
      <c r="AB383" s="938"/>
      <c r="AC383" s="938"/>
      <c r="AD383" s="1058"/>
      <c r="AE383" s="938"/>
      <c r="AF383" s="938"/>
      <c r="AG383" s="938"/>
      <c r="AH383" s="938"/>
    </row>
    <row r="384" spans="1:34" ht="17.25" customHeight="1" x14ac:dyDescent="0.35">
      <c r="A384" s="938"/>
      <c r="B384" s="938"/>
      <c r="C384" s="941"/>
      <c r="D384" s="1047"/>
      <c r="E384" s="941"/>
      <c r="F384" s="938"/>
      <c r="G384" s="976">
        <f t="shared" si="7"/>
        <v>381</v>
      </c>
      <c r="H384" s="1000"/>
      <c r="I384" s="1001" t="s">
        <v>1059</v>
      </c>
      <c r="J384" s="1031" t="s">
        <v>1427</v>
      </c>
      <c r="K384" s="1002">
        <f>IF(I!K384="","",$D$2*I!K384)</f>
        <v>0.50807468700000002</v>
      </c>
      <c r="L384" s="981"/>
      <c r="M384" s="982"/>
      <c r="N384" s="1003"/>
      <c r="O384" s="1004">
        <f>IF(I!O384="","",$D$2*I!O384)</f>
        <v>1.1599999999999999</v>
      </c>
      <c r="P384" s="1005">
        <f>IF(I!P384="","",$D$2*I!P384)</f>
        <v>0.82642680014000003</v>
      </c>
      <c r="Q384" s="1006">
        <f>IF(I!Q384="","",$D$2*I!Q384)</f>
        <v>6.4665205999999995E-5</v>
      </c>
      <c r="R384" s="982"/>
      <c r="S384" s="1003"/>
      <c r="T384" s="938"/>
      <c r="U384" s="1008" t="s">
        <v>1059</v>
      </c>
      <c r="V384" s="1018" t="s">
        <v>6238</v>
      </c>
      <c r="W384" s="1019">
        <f>IF(I!W384="","",$D$2*I!W384)</f>
        <v>0</v>
      </c>
      <c r="X384" s="990">
        <f>IF(I!X384="","",$D$2*I!X384)</f>
        <v>0</v>
      </c>
      <c r="Y384" s="1010">
        <f>IF(I!Y384="","",$D$2*I!Y384)</f>
        <v>0</v>
      </c>
      <c r="Z384" s="938"/>
      <c r="AA384" s="938"/>
      <c r="AB384" s="938"/>
      <c r="AC384" s="938"/>
      <c r="AD384" s="1058"/>
      <c r="AE384" s="938"/>
      <c r="AF384" s="938"/>
      <c r="AG384" s="938"/>
      <c r="AH384" s="938"/>
    </row>
    <row r="385" spans="1:34" ht="17.25" customHeight="1" x14ac:dyDescent="0.35">
      <c r="A385" s="938"/>
      <c r="B385" s="938"/>
      <c r="C385" s="941"/>
      <c r="D385" s="1047"/>
      <c r="E385" s="941"/>
      <c r="F385" s="938"/>
      <c r="G385" s="976">
        <f t="shared" si="7"/>
        <v>382</v>
      </c>
      <c r="H385" s="1000"/>
      <c r="I385" s="1001" t="s">
        <v>1059</v>
      </c>
      <c r="J385" s="1031" t="s">
        <v>1428</v>
      </c>
      <c r="K385" s="1002">
        <f>IF(I!K385="","",$D$2*I!K385)</f>
        <v>0.40927606399999999</v>
      </c>
      <c r="L385" s="981"/>
      <c r="M385" s="982"/>
      <c r="N385" s="1003"/>
      <c r="O385" s="1004">
        <f>IF(I!O385="","",$D$2*I!O385)</f>
        <v>1.2</v>
      </c>
      <c r="P385" s="1005">
        <f>IF(I!P385="","",$D$2*I!P385)</f>
        <v>0.75261250056999995</v>
      </c>
      <c r="Q385" s="1006">
        <f>IF(I!Q385="","",$D$2*I!Q385)</f>
        <v>7.2018629999999996E-7</v>
      </c>
      <c r="R385" s="982"/>
      <c r="S385" s="1003"/>
      <c r="T385" s="938"/>
      <c r="U385" s="1008" t="s">
        <v>1059</v>
      </c>
      <c r="V385" s="1018" t="s">
        <v>6239</v>
      </c>
      <c r="W385" s="1019">
        <f>IF(I!W385="","",$D$2*I!W385)</f>
        <v>0</v>
      </c>
      <c r="X385" s="990">
        <f>IF(I!X385="","",$D$2*I!X385)</f>
        <v>0</v>
      </c>
      <c r="Y385" s="1010">
        <f>IF(I!Y385="","",$D$2*I!Y385)</f>
        <v>0</v>
      </c>
      <c r="Z385" s="938"/>
      <c r="AA385" s="938"/>
      <c r="AB385" s="938"/>
      <c r="AC385" s="938"/>
      <c r="AD385" s="1058"/>
      <c r="AE385" s="938"/>
      <c r="AF385" s="938"/>
      <c r="AG385" s="938"/>
      <c r="AH385" s="938"/>
    </row>
    <row r="386" spans="1:34" ht="17.25" customHeight="1" x14ac:dyDescent="0.35">
      <c r="A386" s="938"/>
      <c r="B386" s="938"/>
      <c r="C386" s="941"/>
      <c r="D386" s="1047"/>
      <c r="E386" s="941"/>
      <c r="F386" s="938"/>
      <c r="G386" s="976">
        <f t="shared" si="7"/>
        <v>383</v>
      </c>
      <c r="H386" s="1000"/>
      <c r="I386" s="1001" t="s">
        <v>1059</v>
      </c>
      <c r="J386" s="1031" t="s">
        <v>1429</v>
      </c>
      <c r="K386" s="1002">
        <f>IF(I!K386="","",$D$2*I!K386)</f>
        <v>0.47450652799999998</v>
      </c>
      <c r="L386" s="981"/>
      <c r="M386" s="982"/>
      <c r="N386" s="1003"/>
      <c r="O386" s="1004">
        <f>IF(I!O386="","",$D$2*I!O386)</f>
        <v>1.34</v>
      </c>
      <c r="P386" s="1005">
        <f>IF(I!P386="","",$D$2*I!P386)</f>
        <v>0.78048312155999999</v>
      </c>
      <c r="Q386" s="1006">
        <f>IF(I!Q386="","",$D$2*I!Q386)</f>
        <v>4.3110642000000002E-5</v>
      </c>
      <c r="R386" s="982"/>
      <c r="S386" s="1003"/>
      <c r="T386" s="938"/>
      <c r="U386" s="1008" t="s">
        <v>1059</v>
      </c>
      <c r="V386" s="1018" t="s">
        <v>6240</v>
      </c>
      <c r="W386" s="1019">
        <f>IF(I!W386="","",$D$2*I!W386)</f>
        <v>0</v>
      </c>
      <c r="X386" s="990">
        <f>IF(I!X386="","",$D$2*I!X386)</f>
        <v>0</v>
      </c>
      <c r="Y386" s="1010">
        <f>IF(I!Y386="","",$D$2*I!Y386)</f>
        <v>0</v>
      </c>
      <c r="Z386" s="938"/>
      <c r="AA386" s="938"/>
      <c r="AB386" s="938"/>
      <c r="AC386" s="938"/>
      <c r="AD386" s="1058"/>
      <c r="AE386" s="938"/>
      <c r="AF386" s="938"/>
      <c r="AG386" s="938"/>
      <c r="AH386" s="938"/>
    </row>
    <row r="387" spans="1:34" ht="17.25" customHeight="1" x14ac:dyDescent="0.35">
      <c r="A387" s="938"/>
      <c r="B387" s="938"/>
      <c r="C387" s="941"/>
      <c r="D387" s="1047"/>
      <c r="E387" s="941"/>
      <c r="F387" s="938"/>
      <c r="G387" s="976">
        <f t="shared" si="7"/>
        <v>384</v>
      </c>
      <c r="H387" s="1000"/>
      <c r="I387" s="1001" t="s">
        <v>1059</v>
      </c>
      <c r="J387" s="1031" t="s">
        <v>1430</v>
      </c>
      <c r="K387" s="1002">
        <f>IF(I!K387="","",$D$2*I!K387)</f>
        <v>0.41694153800000006</v>
      </c>
      <c r="L387" s="981"/>
      <c r="M387" s="982"/>
      <c r="N387" s="1003"/>
      <c r="O387" s="1004">
        <f>IF(I!O387="","",$D$2*I!O387)</f>
        <v>1.23</v>
      </c>
      <c r="P387" s="1005">
        <f>IF(I!P387="","",$D$2*I!P387)</f>
        <v>0.80431975265</v>
      </c>
      <c r="Q387" s="1006">
        <f>IF(I!Q387="","",$D$2*I!Q387)</f>
        <v>7.1870820000000001E-6</v>
      </c>
      <c r="R387" s="982"/>
      <c r="S387" s="1003"/>
      <c r="T387" s="938"/>
      <c r="U387" s="1008" t="s">
        <v>1059</v>
      </c>
      <c r="V387" s="1018" t="s">
        <v>6241</v>
      </c>
      <c r="W387" s="1019">
        <f>IF(I!W387="","",$D$2*I!W387)</f>
        <v>0</v>
      </c>
      <c r="X387" s="990">
        <f>IF(I!X387="","",$D$2*I!X387)</f>
        <v>0</v>
      </c>
      <c r="Y387" s="1010">
        <f>IF(I!Y387="","",$D$2*I!Y387)</f>
        <v>0</v>
      </c>
      <c r="Z387" s="938"/>
      <c r="AA387" s="938"/>
      <c r="AB387" s="938"/>
      <c r="AC387" s="938"/>
      <c r="AD387" s="1058"/>
      <c r="AE387" s="938"/>
      <c r="AF387" s="938"/>
      <c r="AG387" s="938"/>
      <c r="AH387" s="938"/>
    </row>
    <row r="388" spans="1:34" ht="17.25" customHeight="1" x14ac:dyDescent="0.35">
      <c r="A388" s="938"/>
      <c r="B388" s="938"/>
      <c r="C388" s="941"/>
      <c r="D388" s="1047"/>
      <c r="E388" s="941"/>
      <c r="F388" s="938"/>
      <c r="G388" s="976">
        <f t="shared" si="7"/>
        <v>385</v>
      </c>
      <c r="H388" s="1000"/>
      <c r="I388" s="1001" t="s">
        <v>1059</v>
      </c>
      <c r="J388" s="1031" t="s">
        <v>1431</v>
      </c>
      <c r="K388" s="1002">
        <f>IF(I!K388="","",$D$2*I!K388)</f>
        <v>0.42689508499999995</v>
      </c>
      <c r="L388" s="981"/>
      <c r="M388" s="982"/>
      <c r="N388" s="1003"/>
      <c r="O388" s="1004">
        <f>IF(I!O388="","",$D$2*I!O388)</f>
        <v>1.25</v>
      </c>
      <c r="P388" s="1005">
        <f>IF(I!P388="","",$D$2*I!P388)</f>
        <v>0.80699774205000008</v>
      </c>
      <c r="Q388" s="1006">
        <f>IF(I!Q388="","",$D$2*I!Q388)</f>
        <v>1.4371901999999999E-5</v>
      </c>
      <c r="R388" s="982"/>
      <c r="S388" s="1003"/>
      <c r="T388" s="938"/>
      <c r="U388" s="1008" t="s">
        <v>1059</v>
      </c>
      <c r="V388" s="1018" t="s">
        <v>6242</v>
      </c>
      <c r="W388" s="1019">
        <f>IF(I!W388="","",$D$2*I!W388)</f>
        <v>0</v>
      </c>
      <c r="X388" s="990">
        <f>IF(I!X388="","",$D$2*I!X388)</f>
        <v>0</v>
      </c>
      <c r="Y388" s="1010">
        <f>IF(I!Y388="","",$D$2*I!Y388)</f>
        <v>0</v>
      </c>
      <c r="Z388" s="938"/>
      <c r="AA388" s="938"/>
      <c r="AB388" s="938"/>
      <c r="AC388" s="938"/>
      <c r="AD388" s="1058"/>
      <c r="AE388" s="938"/>
      <c r="AF388" s="938"/>
      <c r="AG388" s="938"/>
      <c r="AH388" s="938"/>
    </row>
    <row r="389" spans="1:34" ht="17.25" customHeight="1" x14ac:dyDescent="0.35">
      <c r="A389" s="938"/>
      <c r="B389" s="938"/>
      <c r="C389" s="941"/>
      <c r="D389" s="1047"/>
      <c r="E389" s="941"/>
      <c r="F389" s="938"/>
      <c r="G389" s="976">
        <f t="shared" si="7"/>
        <v>386</v>
      </c>
      <c r="H389" s="1000"/>
      <c r="I389" s="1001" t="s">
        <v>1059</v>
      </c>
      <c r="J389" s="1031" t="s">
        <v>1432</v>
      </c>
      <c r="K389" s="1002">
        <f>IF(I!K389="","",$D$2*I!K389)</f>
        <v>0.40886341599999998</v>
      </c>
      <c r="L389" s="981"/>
      <c r="M389" s="982"/>
      <c r="N389" s="1003"/>
      <c r="O389" s="1004">
        <f>IF(I!O389="","",$D$2*I!O389)</f>
        <v>1.17</v>
      </c>
      <c r="P389" s="1005">
        <f>IF(I!P389="","",$D$2*I!P389)</f>
        <v>0.78572357427000006</v>
      </c>
      <c r="Q389" s="1006">
        <f>IF(I!Q389="","",$D$2*I!Q389)</f>
        <v>7.2051947999999996E-7</v>
      </c>
      <c r="R389" s="982"/>
      <c r="S389" s="1003"/>
      <c r="T389" s="938"/>
      <c r="U389" s="1008" t="s">
        <v>1059</v>
      </c>
      <c r="V389" s="1018" t="s">
        <v>6243</v>
      </c>
      <c r="W389" s="1019">
        <f>IF(I!W389="","",$D$2*I!W389)</f>
        <v>0</v>
      </c>
      <c r="X389" s="990">
        <f>IF(I!X389="","",$D$2*I!X389)</f>
        <v>0</v>
      </c>
      <c r="Y389" s="1010">
        <f>IF(I!Y389="","",$D$2*I!Y389)</f>
        <v>0</v>
      </c>
      <c r="Z389" s="938"/>
      <c r="AA389" s="938"/>
      <c r="AB389" s="938"/>
      <c r="AC389" s="938"/>
      <c r="AD389" s="1058"/>
      <c r="AE389" s="938"/>
      <c r="AF389" s="938"/>
      <c r="AG389" s="938"/>
      <c r="AH389" s="938"/>
    </row>
    <row r="390" spans="1:34" ht="17.25" customHeight="1" x14ac:dyDescent="0.35">
      <c r="A390" s="938"/>
      <c r="B390" s="938"/>
      <c r="C390" s="941"/>
      <c r="D390" s="1047"/>
      <c r="E390" s="941"/>
      <c r="F390" s="938"/>
      <c r="G390" s="976">
        <f t="shared" ref="G390:G453" si="8">G389+1</f>
        <v>387</v>
      </c>
      <c r="H390" s="1000"/>
      <c r="I390" s="1001" t="s">
        <v>1059</v>
      </c>
      <c r="J390" s="1031" t="s">
        <v>1433</v>
      </c>
      <c r="K390" s="1002">
        <f>IF(I!K390="","",$D$2*I!K390)</f>
        <v>0.46983182899999998</v>
      </c>
      <c r="L390" s="981"/>
      <c r="M390" s="982"/>
      <c r="N390" s="1003"/>
      <c r="O390" s="1004">
        <f>IF(I!O390="","",$D$2*I!O390)</f>
        <v>1.22</v>
      </c>
      <c r="P390" s="1005">
        <f>IF(I!P390="","",$D$2*I!P390)</f>
        <v>0.8269204616200001</v>
      </c>
      <c r="Q390" s="1006">
        <f>IF(I!Q390="","",$D$2*I!Q390)</f>
        <v>4.3111042000000003E-5</v>
      </c>
      <c r="R390" s="982"/>
      <c r="S390" s="1003"/>
      <c r="T390" s="938"/>
      <c r="U390" s="1008" t="s">
        <v>1059</v>
      </c>
      <c r="V390" s="1018" t="s">
        <v>6244</v>
      </c>
      <c r="W390" s="1019">
        <f>IF(I!W390="","",$D$2*I!W390)</f>
        <v>0</v>
      </c>
      <c r="X390" s="990">
        <f>IF(I!X390="","",$D$2*I!X390)</f>
        <v>0</v>
      </c>
      <c r="Y390" s="1010">
        <f>IF(I!Y390="","",$D$2*I!Y390)</f>
        <v>0</v>
      </c>
      <c r="Z390" s="938"/>
      <c r="AA390" s="938"/>
      <c r="AB390" s="938"/>
      <c r="AC390" s="938"/>
      <c r="AD390" s="1058"/>
      <c r="AE390" s="938"/>
      <c r="AF390" s="938"/>
      <c r="AG390" s="938"/>
      <c r="AH390" s="938"/>
    </row>
    <row r="391" spans="1:34" ht="17.25" customHeight="1" x14ac:dyDescent="0.35">
      <c r="A391" s="938"/>
      <c r="B391" s="938"/>
      <c r="C391" s="941"/>
      <c r="D391" s="1047"/>
      <c r="E391" s="941"/>
      <c r="F391" s="938"/>
      <c r="G391" s="976">
        <f t="shared" si="8"/>
        <v>388</v>
      </c>
      <c r="H391" s="942" t="s">
        <v>1434</v>
      </c>
      <c r="I391" s="1001"/>
      <c r="J391" s="1027"/>
      <c r="K391" s="1002" t="str">
        <f>IF(I!K391="","",$D$2*I!K391)</f>
        <v/>
      </c>
      <c r="L391" s="981"/>
      <c r="M391" s="982"/>
      <c r="N391" s="1003"/>
      <c r="O391" s="1004" t="str">
        <f>IF(I!O391="","",$D$2*I!O391)</f>
        <v/>
      </c>
      <c r="P391" s="1005" t="str">
        <f>IF(I!P391="","",$D$2*I!P391)</f>
        <v/>
      </c>
      <c r="Q391" s="1006" t="str">
        <f>IF(I!Q391="","",$D$2*I!Q391)</f>
        <v/>
      </c>
      <c r="R391" s="982"/>
      <c r="S391" s="1003"/>
      <c r="T391" s="938"/>
      <c r="U391" s="1008" t="s">
        <v>1059</v>
      </c>
      <c r="V391" s="1018" t="s">
        <v>6245</v>
      </c>
      <c r="W391" s="1019">
        <f>IF(I!W391="","",$D$2*I!W391)</f>
        <v>6.5887296400000003E-2</v>
      </c>
      <c r="X391" s="990">
        <f>IF(I!X391="","",$D$2*I!X391)</f>
        <v>0.26448392254999997</v>
      </c>
      <c r="Y391" s="1010">
        <f>IF(I!Y391="","",$D$2*I!Y391)</f>
        <v>0.14714912940000002</v>
      </c>
      <c r="Z391" s="938"/>
      <c r="AA391" s="938"/>
      <c r="AB391" s="938"/>
      <c r="AC391" s="938"/>
      <c r="AD391" s="1058"/>
      <c r="AE391" s="938"/>
      <c r="AF391" s="938"/>
      <c r="AG391" s="938"/>
      <c r="AH391" s="938"/>
    </row>
    <row r="392" spans="1:34" ht="17.25" customHeight="1" x14ac:dyDescent="0.35">
      <c r="A392" s="938"/>
      <c r="B392" s="938"/>
      <c r="C392" s="941"/>
      <c r="D392" s="1047"/>
      <c r="E392" s="941"/>
      <c r="F392" s="938"/>
      <c r="G392" s="976">
        <f t="shared" si="8"/>
        <v>389</v>
      </c>
      <c r="H392" s="942"/>
      <c r="I392" s="1001" t="s">
        <v>1059</v>
      </c>
      <c r="J392" s="1067" t="s">
        <v>1435</v>
      </c>
      <c r="K392" s="1002" t="str">
        <f>IF(I!K392="","",$D$2*I!K392)</f>
        <v/>
      </c>
      <c r="L392" s="981"/>
      <c r="M392" s="982"/>
      <c r="N392" s="1003"/>
      <c r="O392" s="1004" t="str">
        <f>IF(I!O392="","",$D$2*I!O392)</f>
        <v/>
      </c>
      <c r="P392" s="1005" t="str">
        <f>IF(I!P392="","",$D$2*I!P392)</f>
        <v/>
      </c>
      <c r="Q392" s="1006" t="str">
        <f>IF(I!Q392="","",$D$2*I!Q392)</f>
        <v/>
      </c>
      <c r="R392" s="982"/>
      <c r="S392" s="1003"/>
      <c r="T392" s="938"/>
      <c r="U392" s="1008" t="s">
        <v>1059</v>
      </c>
      <c r="V392" s="1018" t="s">
        <v>6246</v>
      </c>
      <c r="W392" s="1019">
        <f>IF(I!W392="","",$D$2*I!W392)</f>
        <v>0.18879145539999997</v>
      </c>
      <c r="X392" s="990">
        <f>IF(I!X392="","",$D$2*I!X392)</f>
        <v>0.19017434499000002</v>
      </c>
      <c r="Y392" s="1010">
        <f>IF(I!Y392="","",$D$2*I!Y392)</f>
        <v>0.29648644539999996</v>
      </c>
      <c r="Z392" s="938"/>
      <c r="AA392" s="938"/>
      <c r="AB392" s="938"/>
      <c r="AC392" s="938"/>
      <c r="AD392" s="1058"/>
      <c r="AE392" s="938"/>
      <c r="AF392" s="938"/>
      <c r="AG392" s="938"/>
      <c r="AH392" s="938"/>
    </row>
    <row r="393" spans="1:34" ht="17.25" customHeight="1" x14ac:dyDescent="0.35">
      <c r="A393" s="938"/>
      <c r="B393" s="938"/>
      <c r="C393" s="941"/>
      <c r="D393" s="1047"/>
      <c r="E393" s="941"/>
      <c r="F393" s="938"/>
      <c r="G393" s="976">
        <f t="shared" si="8"/>
        <v>390</v>
      </c>
      <c r="H393" s="1000"/>
      <c r="I393" s="1001" t="s">
        <v>1059</v>
      </c>
      <c r="J393" s="1031" t="s">
        <v>1436</v>
      </c>
      <c r="K393" s="1002">
        <f>IF(I!K393="","",$D$2*I!K393)</f>
        <v>2.6202262730000001</v>
      </c>
      <c r="L393" s="981"/>
      <c r="M393" s="982"/>
      <c r="N393" s="1003"/>
      <c r="O393" s="1004">
        <f>IF(I!O393="","",$D$2*I!O393)</f>
        <v>2.97</v>
      </c>
      <c r="P393" s="1005">
        <f>IF(I!P393="","",$D$2*I!P393)</f>
        <v>2.0869187657773995</v>
      </c>
      <c r="Q393" s="1006">
        <f>IF(I!Q393="","",$D$2*I!Q393)</f>
        <v>1.4369675999999999E-3</v>
      </c>
      <c r="R393" s="982"/>
      <c r="S393" s="1003"/>
      <c r="T393" s="938"/>
      <c r="U393" s="1008" t="s">
        <v>1059</v>
      </c>
      <c r="V393" s="1018" t="s">
        <v>6247</v>
      </c>
      <c r="W393" s="1019">
        <f>IF(I!W393="","",$D$2*I!W393)</f>
        <v>0.1180136068</v>
      </c>
      <c r="X393" s="990">
        <f>IF(I!X393="","",$D$2*I!X393)</f>
        <v>0.26860221267999995</v>
      </c>
      <c r="Y393" s="1010">
        <f>IF(I!Y393="","",$D$2*I!Y393)</f>
        <v>0.23798005680000001</v>
      </c>
      <c r="Z393" s="938"/>
      <c r="AA393" s="938"/>
      <c r="AB393" s="938"/>
      <c r="AC393" s="938"/>
      <c r="AD393" s="1058"/>
      <c r="AE393" s="938"/>
      <c r="AF393" s="938"/>
      <c r="AG393" s="938"/>
      <c r="AH393" s="938"/>
    </row>
    <row r="394" spans="1:34" ht="17.25" customHeight="1" x14ac:dyDescent="0.35">
      <c r="A394" s="938"/>
      <c r="B394" s="938"/>
      <c r="C394" s="941"/>
      <c r="D394" s="1047"/>
      <c r="E394" s="941"/>
      <c r="F394" s="938"/>
      <c r="G394" s="976">
        <f t="shared" si="8"/>
        <v>391</v>
      </c>
      <c r="H394" s="1000"/>
      <c r="I394" s="1001" t="s">
        <v>1059</v>
      </c>
      <c r="J394" s="1031" t="s">
        <v>1437</v>
      </c>
      <c r="K394" s="1002">
        <f>IF(I!K394="","",$D$2*I!K394)</f>
        <v>2.6339893519999995</v>
      </c>
      <c r="L394" s="981"/>
      <c r="M394" s="982"/>
      <c r="N394" s="1003"/>
      <c r="O394" s="1004">
        <f>IF(I!O394="","",$D$2*I!O394)</f>
        <v>2.99</v>
      </c>
      <c r="P394" s="1005">
        <f>IF(I!P394="","",$D$2*I!P394)</f>
        <v>2.2805340532030001</v>
      </c>
      <c r="Q394" s="1006">
        <f>IF(I!Q394="","",$D$2*I!Q394)</f>
        <v>1.4369675999999999E-3</v>
      </c>
      <c r="R394" s="982"/>
      <c r="S394" s="1003"/>
      <c r="T394" s="938"/>
      <c r="U394" s="1008" t="s">
        <v>1059</v>
      </c>
      <c r="V394" s="1018" t="s">
        <v>6248</v>
      </c>
      <c r="W394" s="1019">
        <f>IF(I!W394="","",$D$2*I!W394)</f>
        <v>6.0078673749999999E-2</v>
      </c>
      <c r="X394" s="990">
        <f>IF(I!X394="","",$D$2*I!X394)</f>
        <v>0.22628465671</v>
      </c>
      <c r="Y394" s="1010">
        <f>IF(I!Y394="","",$D$2*I!Y394)</f>
        <v>0.13335774075000001</v>
      </c>
      <c r="Z394" s="938"/>
      <c r="AA394" s="938"/>
      <c r="AB394" s="938"/>
      <c r="AC394" s="938"/>
      <c r="AD394" s="1058"/>
      <c r="AE394" s="938"/>
      <c r="AF394" s="938"/>
      <c r="AG394" s="938"/>
      <c r="AH394" s="938"/>
    </row>
    <row r="395" spans="1:34" ht="17.25" customHeight="1" x14ac:dyDescent="0.35">
      <c r="A395" s="938"/>
      <c r="B395" s="938"/>
      <c r="C395" s="941"/>
      <c r="D395" s="1047"/>
      <c r="E395" s="941"/>
      <c r="F395" s="938"/>
      <c r="G395" s="976">
        <f t="shared" si="8"/>
        <v>392</v>
      </c>
      <c r="H395" s="1000"/>
      <c r="I395" s="1001" t="s">
        <v>1059</v>
      </c>
      <c r="J395" s="1031" t="s">
        <v>1438</v>
      </c>
      <c r="K395" s="1002">
        <f>IF(I!K395="","",$D$2*I!K395)</f>
        <v>2.4868298859999998</v>
      </c>
      <c r="L395" s="981"/>
      <c r="M395" s="982"/>
      <c r="N395" s="1003"/>
      <c r="O395" s="1004">
        <f>IF(I!O395="","",$D$2*I!O395)</f>
        <v>2.9</v>
      </c>
      <c r="P395" s="1005">
        <f>IF(I!P395="","",$D$2*I!P395)</f>
        <v>2.0563929080799999</v>
      </c>
      <c r="Q395" s="1006">
        <f>IF(I!Q395="","",$D$2*I!Q395)</f>
        <v>1.3392539E-3</v>
      </c>
      <c r="R395" s="982"/>
      <c r="S395" s="1003"/>
      <c r="T395" s="938"/>
      <c r="U395" s="1008" t="s">
        <v>1059</v>
      </c>
      <c r="V395" s="1018" t="s">
        <v>6249</v>
      </c>
      <c r="W395" s="1019">
        <f>IF(I!W395="","",$D$2*I!W395)</f>
        <v>0.12357339929999998</v>
      </c>
      <c r="X395" s="990">
        <f>IF(I!X395="","",$D$2*I!X395)</f>
        <v>0.20280272419000001</v>
      </c>
      <c r="Y395" s="1010">
        <f>IF(I!Y395="","",$D$2*I!Y395)</f>
        <v>0.22547818929999996</v>
      </c>
      <c r="Z395" s="938"/>
      <c r="AA395" s="938"/>
      <c r="AB395" s="938"/>
      <c r="AC395" s="938"/>
      <c r="AD395" s="1058"/>
      <c r="AE395" s="938"/>
      <c r="AF395" s="938"/>
      <c r="AG395" s="938"/>
      <c r="AH395" s="938"/>
    </row>
    <row r="396" spans="1:34" ht="17.25" customHeight="1" x14ac:dyDescent="0.35">
      <c r="A396" s="938"/>
      <c r="B396" s="938"/>
      <c r="C396" s="941"/>
      <c r="D396" s="1047"/>
      <c r="E396" s="941"/>
      <c r="F396" s="938"/>
      <c r="G396" s="976">
        <f t="shared" si="8"/>
        <v>393</v>
      </c>
      <c r="H396" s="1000"/>
      <c r="I396" s="1001" t="s">
        <v>1059</v>
      </c>
      <c r="J396" s="1031" t="s">
        <v>1439</v>
      </c>
      <c r="K396" s="1002">
        <f>IF(I!K396="","",$D$2*I!K396)</f>
        <v>2.5724205490000003</v>
      </c>
      <c r="L396" s="981"/>
      <c r="M396" s="982"/>
      <c r="N396" s="1003"/>
      <c r="O396" s="1004">
        <f>IF(I!O396="","",$D$2*I!O396)</f>
        <v>3.53</v>
      </c>
      <c r="P396" s="1005">
        <f>IF(I!P396="","",$D$2*I!P396)</f>
        <v>2.6690451624089997</v>
      </c>
      <c r="Q396" s="1006">
        <f>IF(I!Q396="","",$D$2*I!Q396)</f>
        <v>1.2630947E-3</v>
      </c>
      <c r="R396" s="982"/>
      <c r="S396" s="1003"/>
      <c r="T396" s="938"/>
      <c r="U396" s="1008" t="s">
        <v>1059</v>
      </c>
      <c r="V396" s="1018" t="s">
        <v>6250</v>
      </c>
      <c r="W396" s="1019">
        <f>IF(I!W396="","",$D$2*I!W396)</f>
        <v>0.16584085579999999</v>
      </c>
      <c r="X396" s="990">
        <f>IF(I!X396="","",$D$2*I!X396)</f>
        <v>0.16254078228000002</v>
      </c>
      <c r="Y396" s="1010">
        <f>IF(I!Y396="","",$D$2*I!Y396)</f>
        <v>0.2620364738</v>
      </c>
      <c r="Z396" s="938"/>
      <c r="AA396" s="938"/>
      <c r="AB396" s="938"/>
      <c r="AC396" s="938"/>
      <c r="AD396" s="1058"/>
      <c r="AE396" s="938"/>
      <c r="AF396" s="938"/>
      <c r="AG396" s="938"/>
      <c r="AH396" s="938"/>
    </row>
    <row r="397" spans="1:34" ht="17.25" customHeight="1" x14ac:dyDescent="0.35">
      <c r="A397" s="938"/>
      <c r="B397" s="938"/>
      <c r="C397" s="941"/>
      <c r="D397" s="1047"/>
      <c r="E397" s="941"/>
      <c r="F397" s="938"/>
      <c r="G397" s="976">
        <f t="shared" si="8"/>
        <v>394</v>
      </c>
      <c r="H397" s="942"/>
      <c r="I397" s="1001" t="s">
        <v>1059</v>
      </c>
      <c r="J397" s="1031" t="s">
        <v>1440</v>
      </c>
      <c r="K397" s="1002">
        <f>IF(I!K397="","",$D$2*I!K397)</f>
        <v>2.1632122890000001</v>
      </c>
      <c r="L397" s="981"/>
      <c r="M397" s="982"/>
      <c r="N397" s="1003"/>
      <c r="O397" s="1004">
        <f>IF(I!O397="","",$D$2*I!O397)</f>
        <v>3.61</v>
      </c>
      <c r="P397" s="1005">
        <f>IF(I!P397="","",$D$2*I!P397)</f>
        <v>3.0120135334600002</v>
      </c>
      <c r="Q397" s="1006">
        <f>IF(I!Q397="","",$D$2*I!Q397)</f>
        <v>8.9092049999999997E-4</v>
      </c>
      <c r="R397" s="982"/>
      <c r="S397" s="1003"/>
      <c r="T397" s="938"/>
      <c r="U397" s="1008" t="s">
        <v>1059</v>
      </c>
      <c r="V397" s="1018" t="s">
        <v>6251</v>
      </c>
      <c r="W397" s="1019">
        <f>IF(I!W397="","",$D$2*I!W397)</f>
        <v>0.10593257319999999</v>
      </c>
      <c r="X397" s="990">
        <f>IF(I!X397="","",$D$2*I!X397)</f>
        <v>0.18941420004000001</v>
      </c>
      <c r="Y397" s="1010">
        <f>IF(I!Y397="","",$D$2*I!Y397)</f>
        <v>0.1956396232</v>
      </c>
      <c r="Z397" s="938"/>
      <c r="AA397" s="938"/>
      <c r="AB397" s="938"/>
      <c r="AC397" s="938"/>
      <c r="AD397" s="1058"/>
      <c r="AE397" s="938"/>
      <c r="AF397" s="938"/>
      <c r="AG397" s="938"/>
      <c r="AH397" s="938"/>
    </row>
    <row r="398" spans="1:34" ht="17.25" customHeight="1" x14ac:dyDescent="0.35">
      <c r="A398" s="938"/>
      <c r="B398" s="938"/>
      <c r="C398" s="941"/>
      <c r="D398" s="1047"/>
      <c r="E398" s="941"/>
      <c r="F398" s="938"/>
      <c r="G398" s="976">
        <f t="shared" si="8"/>
        <v>395</v>
      </c>
      <c r="H398" s="1000"/>
      <c r="I398" s="1001" t="s">
        <v>1059</v>
      </c>
      <c r="J398" s="1031" t="s">
        <v>1441</v>
      </c>
      <c r="K398" s="1002">
        <f>IF(I!K398="","",$D$2*I!K398)</f>
        <v>2.6059826450000001</v>
      </c>
      <c r="L398" s="981"/>
      <c r="M398" s="982"/>
      <c r="N398" s="1003"/>
      <c r="O398" s="1004">
        <f>IF(I!O398="","",$D$2*I!O398)</f>
        <v>5.66</v>
      </c>
      <c r="P398" s="1005">
        <f>IF(I!P398="","",$D$2*I!P398)</f>
        <v>4.7957877158135993</v>
      </c>
      <c r="Q398" s="1006">
        <f>IF(I!Q398="","",$D$2*I!Q398)</f>
        <v>7.8314805999999998E-4</v>
      </c>
      <c r="R398" s="982"/>
      <c r="S398" s="1003"/>
      <c r="T398" s="938"/>
      <c r="U398" s="1008" t="s">
        <v>1059</v>
      </c>
      <c r="V398" s="1018" t="s">
        <v>6252</v>
      </c>
      <c r="W398" s="1019">
        <f>IF(I!W398="","",$D$2*I!W398)</f>
        <v>0.13272512459999999</v>
      </c>
      <c r="X398" s="990">
        <f>IF(I!X398="","",$D$2*I!X398)</f>
        <v>0.31399889103000006</v>
      </c>
      <c r="Y398" s="1010">
        <f>IF(I!Y398="","",$D$2*I!Y398)</f>
        <v>0.22594575359999999</v>
      </c>
      <c r="Z398" s="938"/>
      <c r="AA398" s="938"/>
      <c r="AB398" s="938"/>
      <c r="AC398" s="938"/>
      <c r="AD398" s="1058"/>
      <c r="AE398" s="938"/>
      <c r="AF398" s="938"/>
      <c r="AG398" s="938"/>
      <c r="AH398" s="938"/>
    </row>
    <row r="399" spans="1:34" ht="17.25" customHeight="1" x14ac:dyDescent="0.35">
      <c r="A399" s="938"/>
      <c r="B399" s="938"/>
      <c r="C399" s="941"/>
      <c r="D399" s="1047"/>
      <c r="E399" s="941"/>
      <c r="F399" s="938"/>
      <c r="G399" s="976">
        <f t="shared" si="8"/>
        <v>396</v>
      </c>
      <c r="H399" s="942"/>
      <c r="I399" s="1001" t="s">
        <v>1059</v>
      </c>
      <c r="J399" s="1031" t="s">
        <v>1442</v>
      </c>
      <c r="K399" s="1002">
        <f>IF(I!K399="","",$D$2*I!K399)</f>
        <v>2.7072820049999997</v>
      </c>
      <c r="L399" s="981"/>
      <c r="M399" s="982"/>
      <c r="N399" s="1003"/>
      <c r="O399" s="1004">
        <f>IF(I!O399="","",$D$2*I!O399)</f>
        <v>3.16</v>
      </c>
      <c r="P399" s="1005">
        <f>IF(I!P399="","",$D$2*I!P399)</f>
        <v>3.1766528107703995</v>
      </c>
      <c r="Q399" s="1006">
        <f>IF(I!Q399="","",$D$2*I!Q399)</f>
        <v>1.3392537999999999E-3</v>
      </c>
      <c r="R399" s="982"/>
      <c r="S399" s="1003"/>
      <c r="T399" s="938"/>
      <c r="U399" s="1008" t="s">
        <v>1059</v>
      </c>
      <c r="V399" s="1018" t="s">
        <v>6253</v>
      </c>
      <c r="W399" s="1019">
        <f>IF(I!W399="","",$D$2*I!W399)</f>
        <v>8.5753685300000021E-2</v>
      </c>
      <c r="X399" s="990">
        <f>IF(I!X399="","",$D$2*I!X399)</f>
        <v>0.18477983978999998</v>
      </c>
      <c r="Y399" s="1010">
        <f>IF(I!Y399="","",$D$2*I!Y399)</f>
        <v>0.14983091230000001</v>
      </c>
      <c r="Z399" s="938"/>
      <c r="AA399" s="938"/>
      <c r="AB399" s="938"/>
      <c r="AC399" s="938"/>
      <c r="AD399" s="1058"/>
      <c r="AE399" s="938"/>
      <c r="AF399" s="938"/>
      <c r="AG399" s="938"/>
      <c r="AH399" s="938"/>
    </row>
    <row r="400" spans="1:34" ht="17.25" customHeight="1" x14ac:dyDescent="0.35">
      <c r="A400" s="938"/>
      <c r="B400" s="938"/>
      <c r="C400" s="941"/>
      <c r="D400" s="1047"/>
      <c r="E400" s="941"/>
      <c r="F400" s="938"/>
      <c r="G400" s="976">
        <f t="shared" si="8"/>
        <v>397</v>
      </c>
      <c r="H400" s="1000"/>
      <c r="I400" s="1001" t="s">
        <v>1059</v>
      </c>
      <c r="J400" s="1031" t="s">
        <v>1443</v>
      </c>
      <c r="K400" s="1002">
        <f>IF(I!K400="","",$D$2*I!K400)</f>
        <v>2.7273020089999997</v>
      </c>
      <c r="L400" s="981"/>
      <c r="M400" s="982"/>
      <c r="N400" s="1003"/>
      <c r="O400" s="1004">
        <f>IF(I!O400="","",$D$2*I!O400)</f>
        <v>3.2</v>
      </c>
      <c r="P400" s="1005">
        <f>IF(I!P400="","",$D$2*I!P400)</f>
        <v>3.3905856653556001</v>
      </c>
      <c r="Q400" s="1006">
        <f>IF(I!Q400="","",$D$2*I!Q400)</f>
        <v>1.3220102000000001E-3</v>
      </c>
      <c r="R400" s="982"/>
      <c r="S400" s="1003"/>
      <c r="T400" s="938"/>
      <c r="U400" s="1008" t="s">
        <v>1059</v>
      </c>
      <c r="V400" s="1018" t="s">
        <v>6254</v>
      </c>
      <c r="W400" s="1019">
        <f>IF(I!W400="","",$D$2*I!W400)</f>
        <v>9.9118183999999998E-2</v>
      </c>
      <c r="X400" s="990">
        <f>IF(I!X400="","",$D$2*I!X400)</f>
        <v>0.18025524019</v>
      </c>
      <c r="Y400" s="1010">
        <f>IF(I!Y400="","",$D$2*I!Y400)</f>
        <v>0.18661607899999999</v>
      </c>
      <c r="Z400" s="938"/>
      <c r="AA400" s="938"/>
      <c r="AB400" s="938"/>
      <c r="AC400" s="938"/>
      <c r="AD400" s="1058"/>
      <c r="AE400" s="938"/>
      <c r="AF400" s="938"/>
      <c r="AG400" s="938"/>
      <c r="AH400" s="938"/>
    </row>
    <row r="401" spans="1:34" ht="17.25" customHeight="1" x14ac:dyDescent="0.35">
      <c r="A401" s="938"/>
      <c r="B401" s="938"/>
      <c r="C401" s="941"/>
      <c r="D401" s="1047"/>
      <c r="E401" s="941"/>
      <c r="F401" s="938"/>
      <c r="G401" s="976">
        <f t="shared" si="8"/>
        <v>398</v>
      </c>
      <c r="H401" s="1000"/>
      <c r="I401" s="1001" t="s">
        <v>1059</v>
      </c>
      <c r="J401" s="1031" t="s">
        <v>1444</v>
      </c>
      <c r="K401" s="1002">
        <f>IF(I!K401="","",$D$2*I!K401)</f>
        <v>2.270411094</v>
      </c>
      <c r="L401" s="981"/>
      <c r="M401" s="982"/>
      <c r="N401" s="1003"/>
      <c r="O401" s="1004">
        <f>IF(I!O401="","",$D$2*I!O401)</f>
        <v>2.61</v>
      </c>
      <c r="P401" s="1005">
        <f>IF(I!P401="","",$D$2*I!P401)</f>
        <v>1.9417884330200001</v>
      </c>
      <c r="Q401" s="1006">
        <f>IF(I!Q401="","",$D$2*I!Q401)</f>
        <v>1.2214227E-3</v>
      </c>
      <c r="R401" s="982"/>
      <c r="S401" s="1003"/>
      <c r="T401" s="938"/>
      <c r="U401" s="1008" t="s">
        <v>1059</v>
      </c>
      <c r="V401" s="1018" t="s">
        <v>6255</v>
      </c>
      <c r="W401" s="1019">
        <f>IF(I!W401="","",$D$2*I!W401)</f>
        <v>0.12858960349999998</v>
      </c>
      <c r="X401" s="990">
        <f>IF(I!X401="","",$D$2*I!X401)</f>
        <v>0.19801840587</v>
      </c>
      <c r="Y401" s="1010">
        <f>IF(I!Y401="","",$D$2*I!Y401)</f>
        <v>0.22295207449999999</v>
      </c>
      <c r="Z401" s="938"/>
      <c r="AA401" s="938"/>
      <c r="AB401" s="938"/>
      <c r="AC401" s="938"/>
      <c r="AD401" s="1058"/>
      <c r="AE401" s="938"/>
      <c r="AF401" s="938"/>
      <c r="AG401" s="938"/>
      <c r="AH401" s="938"/>
    </row>
    <row r="402" spans="1:34" ht="17.25" customHeight="1" x14ac:dyDescent="0.35">
      <c r="A402" s="938"/>
      <c r="B402" s="938"/>
      <c r="C402" s="941"/>
      <c r="D402" s="1047"/>
      <c r="E402" s="941"/>
      <c r="F402" s="938"/>
      <c r="G402" s="976">
        <f t="shared" si="8"/>
        <v>399</v>
      </c>
      <c r="H402" s="942"/>
      <c r="I402" s="1001" t="s">
        <v>1059</v>
      </c>
      <c r="J402" s="1031" t="s">
        <v>1445</v>
      </c>
      <c r="K402" s="1002">
        <f>IF(I!K402="","",$D$2*I!K402)</f>
        <v>1.9205959639999999</v>
      </c>
      <c r="L402" s="981"/>
      <c r="M402" s="982"/>
      <c r="N402" s="1003"/>
      <c r="O402" s="1004">
        <f>IF(I!O402="","",$D$2*I!O402)</f>
        <v>2.2599999999999998</v>
      </c>
      <c r="P402" s="1005">
        <f>IF(I!P402="","",$D$2*I!P402)</f>
        <v>1.79665820036</v>
      </c>
      <c r="Q402" s="1006">
        <f>IF(I!Q402="","",$D$2*I!Q402)</f>
        <v>1.0058777999999999E-3</v>
      </c>
      <c r="R402" s="982"/>
      <c r="S402" s="1003"/>
      <c r="T402" s="938"/>
      <c r="U402" s="1008" t="s">
        <v>1059</v>
      </c>
      <c r="V402" s="1018" t="s">
        <v>6256</v>
      </c>
      <c r="W402" s="1019">
        <f>IF(I!W402="","",$D$2*I!W402)</f>
        <v>0.113425055</v>
      </c>
      <c r="X402" s="990">
        <f>IF(I!X402="","",$D$2*I!X402)</f>
        <v>0.19841252204999998</v>
      </c>
      <c r="Y402" s="1010">
        <f>IF(I!Y402="","",$D$2*I!Y402)</f>
        <v>0.20955270100000001</v>
      </c>
      <c r="Z402" s="938"/>
      <c r="AA402" s="938"/>
      <c r="AB402" s="938"/>
      <c r="AC402" s="938"/>
      <c r="AD402" s="1058"/>
      <c r="AE402" s="938"/>
      <c r="AF402" s="938"/>
      <c r="AG402" s="938"/>
      <c r="AH402" s="938"/>
    </row>
    <row r="403" spans="1:34" ht="17.25" customHeight="1" x14ac:dyDescent="0.35">
      <c r="A403" s="938"/>
      <c r="B403" s="938"/>
      <c r="C403" s="941"/>
      <c r="D403" s="1047"/>
      <c r="E403" s="941"/>
      <c r="F403" s="938"/>
      <c r="G403" s="976">
        <f t="shared" si="8"/>
        <v>400</v>
      </c>
      <c r="H403" s="1000"/>
      <c r="I403" s="1001" t="s">
        <v>1059</v>
      </c>
      <c r="J403" s="1031" t="s">
        <v>1446</v>
      </c>
      <c r="K403" s="1002">
        <f>IF(I!K403="","",$D$2*I!K403)</f>
        <v>1.7573488780000002</v>
      </c>
      <c r="L403" s="981"/>
      <c r="M403" s="982"/>
      <c r="N403" s="1003"/>
      <c r="O403" s="1004">
        <f>IF(I!O403="","",$D$2*I!O403)</f>
        <v>2.09</v>
      </c>
      <c r="P403" s="1005">
        <f>IF(I!P403="","",$D$2*I!P403)</f>
        <v>1.7289307447</v>
      </c>
      <c r="Q403" s="1006">
        <f>IF(I!Q403="","",$D$2*I!Q403)</f>
        <v>9.0529013999999998E-4</v>
      </c>
      <c r="R403" s="982"/>
      <c r="S403" s="1003"/>
      <c r="T403" s="938"/>
      <c r="U403" s="1008" t="s">
        <v>1059</v>
      </c>
      <c r="V403" s="1018" t="s">
        <v>6257</v>
      </c>
      <c r="W403" s="1019">
        <f>IF(I!W403="","",$D$2*I!W403)</f>
        <v>0.1319640933</v>
      </c>
      <c r="X403" s="990">
        <f>IF(I!X403="","",$D$2*I!X403)</f>
        <v>0.22617944138000001</v>
      </c>
      <c r="Y403" s="1010">
        <f>IF(I!Y403="","",$D$2*I!Y403)</f>
        <v>0.2412655333</v>
      </c>
      <c r="Z403" s="938"/>
      <c r="AA403" s="938"/>
      <c r="AB403" s="938"/>
      <c r="AC403" s="938"/>
      <c r="AD403" s="1058"/>
      <c r="AE403" s="938"/>
      <c r="AF403" s="938"/>
      <c r="AG403" s="938"/>
      <c r="AH403" s="938"/>
    </row>
    <row r="404" spans="1:34" ht="17.25" customHeight="1" x14ac:dyDescent="0.35">
      <c r="A404" s="938"/>
      <c r="B404" s="938"/>
      <c r="C404" s="941"/>
      <c r="D404" s="1047"/>
      <c r="E404" s="941"/>
      <c r="F404" s="938"/>
      <c r="G404" s="976">
        <f t="shared" si="8"/>
        <v>401</v>
      </c>
      <c r="H404" s="1000"/>
      <c r="I404" s="1001" t="s">
        <v>1059</v>
      </c>
      <c r="J404" s="1031" t="s">
        <v>1447</v>
      </c>
      <c r="K404" s="1002">
        <f>IF(I!K404="","",$D$2*I!K404)</f>
        <v>1.687385854</v>
      </c>
      <c r="L404" s="981"/>
      <c r="M404" s="982"/>
      <c r="N404" s="1003"/>
      <c r="O404" s="1004">
        <f>IF(I!O404="","",$D$2*I!O404)</f>
        <v>2.02</v>
      </c>
      <c r="P404" s="1005">
        <f>IF(I!P404="","",$D$2*I!P404)</f>
        <v>1.69990467819</v>
      </c>
      <c r="Q404" s="1006">
        <f>IF(I!Q404="","",$D$2*I!Q404)</f>
        <v>8.6218115999999996E-4</v>
      </c>
      <c r="R404" s="982"/>
      <c r="S404" s="1003"/>
      <c r="T404" s="938"/>
      <c r="U404" s="1008" t="s">
        <v>1059</v>
      </c>
      <c r="V404" s="1018" t="s">
        <v>6258</v>
      </c>
      <c r="W404" s="1019">
        <f>IF(I!W404="","",$D$2*I!W404)</f>
        <v>0.10456473900000002</v>
      </c>
      <c r="X404" s="990">
        <f>IF(I!X404="","",$D$2*I!X404)</f>
        <v>0.22973519632</v>
      </c>
      <c r="Y404" s="1010">
        <f>IF(I!Y404="","",$D$2*I!Y404)</f>
        <v>0.21094848900000002</v>
      </c>
      <c r="Z404" s="938"/>
      <c r="AA404" s="938"/>
      <c r="AB404" s="938"/>
      <c r="AC404" s="938"/>
      <c r="AD404" s="1058"/>
      <c r="AE404" s="938"/>
      <c r="AF404" s="938"/>
      <c r="AG404" s="938"/>
      <c r="AH404" s="938"/>
    </row>
    <row r="405" spans="1:34" ht="17.25" customHeight="1" x14ac:dyDescent="0.35">
      <c r="A405" s="938"/>
      <c r="B405" s="938"/>
      <c r="C405" s="941"/>
      <c r="D405" s="1047"/>
      <c r="E405" s="941"/>
      <c r="F405" s="938"/>
      <c r="G405" s="976">
        <f t="shared" si="8"/>
        <v>402</v>
      </c>
      <c r="H405" s="1000">
        <v>1</v>
      </c>
      <c r="I405" s="1001" t="s">
        <v>1059</v>
      </c>
      <c r="J405" s="1031" t="s">
        <v>1448</v>
      </c>
      <c r="K405" s="1002">
        <f>IF(I!K405="","",$D$2*I!K405)</f>
        <v>1.635604796</v>
      </c>
      <c r="L405" s="981"/>
      <c r="M405" s="982"/>
      <c r="N405" s="1003"/>
      <c r="O405" s="1004">
        <f>IF(I!O405="","",$D$2*I!O405)</f>
        <v>1.97</v>
      </c>
      <c r="P405" s="1005">
        <f>IF(I!P405="","",$D$2*I!P405)</f>
        <v>1.6873834344599998</v>
      </c>
      <c r="Q405" s="1006">
        <f>IF(I!Q405="","",$D$2*I!Q405)</f>
        <v>8.2913089999999995E-4</v>
      </c>
      <c r="R405" s="982"/>
      <c r="S405" s="1003"/>
      <c r="T405" s="938"/>
      <c r="U405" s="1008" t="s">
        <v>1059</v>
      </c>
      <c r="V405" s="1018" t="s">
        <v>6259</v>
      </c>
      <c r="W405" s="1019">
        <f>IF(I!W405="","",$D$2*I!W405)</f>
        <v>4.1958570780000003E-2</v>
      </c>
      <c r="X405" s="990">
        <f>IF(I!X405="","",$D$2*I!X405)</f>
        <v>1.8179717829999997E-2</v>
      </c>
      <c r="Y405" s="1010">
        <f>IF(I!Y405="","",$D$2*I!Y405)</f>
        <v>0.13251604278000001</v>
      </c>
      <c r="Z405" s="938"/>
      <c r="AA405" s="938"/>
      <c r="AB405" s="938"/>
      <c r="AC405" s="938"/>
      <c r="AD405" s="1058"/>
      <c r="AE405" s="938"/>
      <c r="AF405" s="938"/>
      <c r="AG405" s="938"/>
      <c r="AH405" s="938"/>
    </row>
    <row r="406" spans="1:34" ht="17.25" customHeight="1" x14ac:dyDescent="0.35">
      <c r="A406" s="938"/>
      <c r="B406" s="938"/>
      <c r="C406" s="941"/>
      <c r="D406" s="1047"/>
      <c r="E406" s="941"/>
      <c r="F406" s="938"/>
      <c r="G406" s="976">
        <f t="shared" si="8"/>
        <v>403</v>
      </c>
      <c r="H406" s="1000"/>
      <c r="I406" s="1001" t="s">
        <v>1059</v>
      </c>
      <c r="J406" s="1031" t="s">
        <v>1449</v>
      </c>
      <c r="K406" s="1002">
        <f>IF(I!K406="","",$D$2*I!K406)</f>
        <v>2.3224303720000004</v>
      </c>
      <c r="L406" s="981"/>
      <c r="M406" s="982"/>
      <c r="N406" s="1003"/>
      <c r="O406" s="1004">
        <f>IF(I!O406="","",$D$2*I!O406)</f>
        <v>2.7</v>
      </c>
      <c r="P406" s="1005">
        <f>IF(I!P406="","",$D$2*I!P406)</f>
        <v>1.8950375823099999</v>
      </c>
      <c r="Q406" s="1006">
        <f>IF(I!Q406="","",$D$2*I!Q406)</f>
        <v>1.250162E-3</v>
      </c>
      <c r="R406" s="982"/>
      <c r="S406" s="1003"/>
      <c r="T406" s="938"/>
      <c r="U406" s="1008" t="s">
        <v>1059</v>
      </c>
      <c r="V406" s="1018" t="s">
        <v>6260</v>
      </c>
      <c r="W406" s="1019">
        <f>IF(I!W406="","",$D$2*I!W406)</f>
        <v>1.9976568583999998E-2</v>
      </c>
      <c r="X406" s="990">
        <f>IF(I!X406="","",$D$2*I!X406)</f>
        <v>1.0911577149E-2</v>
      </c>
      <c r="Y406" s="1010">
        <f>IF(I!Y406="","",$D$2*I!Y406)</f>
        <v>4.3896767583999997E-2</v>
      </c>
      <c r="Z406" s="938"/>
      <c r="AA406" s="938"/>
      <c r="AB406" s="938"/>
      <c r="AC406" s="938"/>
      <c r="AD406" s="1058"/>
      <c r="AE406" s="938"/>
      <c r="AF406" s="938"/>
      <c r="AG406" s="938"/>
      <c r="AH406" s="938"/>
    </row>
    <row r="407" spans="1:34" ht="17.25" customHeight="1" x14ac:dyDescent="0.35">
      <c r="A407" s="938"/>
      <c r="B407" s="938"/>
      <c r="C407" s="941"/>
      <c r="D407" s="1047"/>
      <c r="E407" s="941"/>
      <c r="F407" s="938"/>
      <c r="G407" s="976">
        <f t="shared" si="8"/>
        <v>404</v>
      </c>
      <c r="H407" s="1000"/>
      <c r="I407" s="1001" t="s">
        <v>1059</v>
      </c>
      <c r="J407" s="1031" t="s">
        <v>1450</v>
      </c>
      <c r="K407" s="1002">
        <f>IF(I!K407="","",$D$2*I!K407)</f>
        <v>2.2869427670000002</v>
      </c>
      <c r="L407" s="981"/>
      <c r="M407" s="982"/>
      <c r="N407" s="1003"/>
      <c r="O407" s="1004">
        <f>IF(I!O407="","",$D$2*I!O407)</f>
        <v>3</v>
      </c>
      <c r="P407" s="1005">
        <f>IF(I!P407="","",$D$2*I!P407)</f>
        <v>2.2068020018999999</v>
      </c>
      <c r="Q407" s="1006">
        <f>IF(I!Q407="","",$D$2*I!Q407)</f>
        <v>1.1495743000000001E-3</v>
      </c>
      <c r="R407" s="982"/>
      <c r="S407" s="1003"/>
      <c r="T407" s="938"/>
      <c r="U407" s="1008" t="s">
        <v>1059</v>
      </c>
      <c r="V407" s="1018" t="s">
        <v>6261</v>
      </c>
      <c r="W407" s="1019">
        <f>IF(I!W407="","",$D$2*I!W407)</f>
        <v>6.0958116859999995E-2</v>
      </c>
      <c r="X407" s="990">
        <f>IF(I!X407="","",$D$2*I!X407)</f>
        <v>4.3546863342999995E-2</v>
      </c>
      <c r="Y407" s="1010">
        <f>IF(I!Y407="","",$D$2*I!Y407)</f>
        <v>9.0531430859999998E-2</v>
      </c>
      <c r="Z407" s="938"/>
      <c r="AA407" s="938"/>
      <c r="AB407" s="938"/>
      <c r="AC407" s="938"/>
      <c r="AD407" s="1058"/>
      <c r="AE407" s="938"/>
      <c r="AF407" s="938"/>
      <c r="AG407" s="938"/>
      <c r="AH407" s="938"/>
    </row>
    <row r="408" spans="1:34" ht="17.25" customHeight="1" x14ac:dyDescent="0.35">
      <c r="A408" s="938"/>
      <c r="B408" s="938"/>
      <c r="C408" s="941"/>
      <c r="D408" s="1047"/>
      <c r="E408" s="941"/>
      <c r="F408" s="938"/>
      <c r="G408" s="976">
        <f t="shared" si="8"/>
        <v>405</v>
      </c>
      <c r="H408" s="1000"/>
      <c r="I408" s="1001" t="s">
        <v>1059</v>
      </c>
      <c r="J408" s="1031" t="s">
        <v>1451</v>
      </c>
      <c r="K408" s="1002">
        <f>IF(I!K408="","",$D$2*I!K408)</f>
        <v>2.554642764</v>
      </c>
      <c r="L408" s="981"/>
      <c r="M408" s="982"/>
      <c r="N408" s="1003"/>
      <c r="O408" s="1004">
        <f>IF(I!O408="","",$D$2*I!O408)</f>
        <v>3.52</v>
      </c>
      <c r="P408" s="1005">
        <f>IF(I!P408="","",$D$2*I!P408)</f>
        <v>2.6588948416390998</v>
      </c>
      <c r="Q408" s="1006">
        <f>IF(I!Q408="","",$D$2*I!Q408)</f>
        <v>1.2523174000000001E-3</v>
      </c>
      <c r="R408" s="982"/>
      <c r="S408" s="1003"/>
      <c r="T408" s="938"/>
      <c r="U408" s="1008" t="s">
        <v>1059</v>
      </c>
      <c r="V408" s="1018" t="s">
        <v>6262</v>
      </c>
      <c r="W408" s="1019">
        <f>IF(I!W408="","",$D$2*I!W408)</f>
        <v>6.619618121000001E-2</v>
      </c>
      <c r="X408" s="990">
        <f>IF(I!X408="","",$D$2*I!X408)</f>
        <v>5.4889619356000001E-2</v>
      </c>
      <c r="Y408" s="1010">
        <f>IF(I!Y408="","",$D$2*I!Y408)</f>
        <v>9.8158352210000008E-2</v>
      </c>
      <c r="Z408" s="938"/>
      <c r="AA408" s="938"/>
      <c r="AB408" s="938"/>
      <c r="AC408" s="938"/>
      <c r="AD408" s="1058"/>
      <c r="AE408" s="938"/>
      <c r="AF408" s="938"/>
      <c r="AG408" s="938"/>
      <c r="AH408" s="938"/>
    </row>
    <row r="409" spans="1:34" ht="17.25" customHeight="1" x14ac:dyDescent="0.35">
      <c r="A409" s="938"/>
      <c r="B409" s="938"/>
      <c r="C409" s="941"/>
      <c r="D409" s="1047"/>
      <c r="E409" s="941"/>
      <c r="F409" s="938"/>
      <c r="G409" s="976">
        <f t="shared" si="8"/>
        <v>406</v>
      </c>
      <c r="H409" s="1000"/>
      <c r="I409" s="1001" t="s">
        <v>1059</v>
      </c>
      <c r="J409" s="1031" t="s">
        <v>1452</v>
      </c>
      <c r="K409" s="1002">
        <f>IF(I!K409="","",$D$2*I!K409)</f>
        <v>2.7540709459999997</v>
      </c>
      <c r="L409" s="981"/>
      <c r="M409" s="982"/>
      <c r="N409" s="1003"/>
      <c r="O409" s="1004">
        <f>IF(I!O409="","",$D$2*I!O409)</f>
        <v>3.26</v>
      </c>
      <c r="P409" s="1005">
        <f>IF(I!P409="","",$D$2*I!P409)</f>
        <v>3.7165023649977003</v>
      </c>
      <c r="Q409" s="1006">
        <f>IF(I!Q409="","",$D$2*I!Q409)</f>
        <v>1.2932708000000001E-3</v>
      </c>
      <c r="R409" s="982"/>
      <c r="S409" s="1003"/>
      <c r="T409" s="938"/>
      <c r="U409" s="1008" t="s">
        <v>1059</v>
      </c>
      <c r="V409" s="1018" t="s">
        <v>6263</v>
      </c>
      <c r="W409" s="1019">
        <f>IF(I!W409="","",$D$2*I!W409)</f>
        <v>4.9556240250000001E-2</v>
      </c>
      <c r="X409" s="990">
        <f>IF(I!X409="","",$D$2*I!X409)</f>
        <v>4.0649798096999999E-2</v>
      </c>
      <c r="Y409" s="1010">
        <f>IF(I!Y409="","",$D$2*I!Y409)</f>
        <v>7.7458412249999997E-2</v>
      </c>
      <c r="Z409" s="938"/>
      <c r="AA409" s="938"/>
      <c r="AB409" s="938"/>
      <c r="AC409" s="938"/>
      <c r="AD409" s="1058"/>
      <c r="AE409" s="938"/>
      <c r="AF409" s="938"/>
      <c r="AG409" s="938"/>
      <c r="AH409" s="938"/>
    </row>
    <row r="410" spans="1:34" ht="17.25" customHeight="1" x14ac:dyDescent="0.35">
      <c r="A410" s="938"/>
      <c r="B410" s="938"/>
      <c r="C410" s="941"/>
      <c r="D410" s="1047"/>
      <c r="E410" s="941"/>
      <c r="F410" s="938"/>
      <c r="G410" s="976">
        <f t="shared" si="8"/>
        <v>407</v>
      </c>
      <c r="H410" s="1000"/>
      <c r="I410" s="1001" t="s">
        <v>1059</v>
      </c>
      <c r="J410" s="1031" t="s">
        <v>1453</v>
      </c>
      <c r="K410" s="1002">
        <f>IF(I!K410="","",$D$2*I!K410)</f>
        <v>2.780839882</v>
      </c>
      <c r="L410" s="981"/>
      <c r="M410" s="982"/>
      <c r="N410" s="1003"/>
      <c r="O410" s="1004">
        <f>IF(I!O410="","",$D$2*I!O410)</f>
        <v>3.32</v>
      </c>
      <c r="P410" s="1005">
        <f>IF(I!P410="","",$D$2*I!P410)</f>
        <v>4.0424190656497005</v>
      </c>
      <c r="Q410" s="1006">
        <f>IF(I!Q410="","",$D$2*I!Q410)</f>
        <v>1.2645314999999999E-3</v>
      </c>
      <c r="R410" s="982"/>
      <c r="S410" s="1003"/>
      <c r="T410" s="938"/>
      <c r="U410" s="1008" t="s">
        <v>1059</v>
      </c>
      <c r="V410" s="1018" t="s">
        <v>6264</v>
      </c>
      <c r="W410" s="1019">
        <f>IF(I!W410="","",$D$2*I!W410)</f>
        <v>7.5659338990000005E-2</v>
      </c>
      <c r="X410" s="990">
        <f>IF(I!X410="","",$D$2*I!X410)</f>
        <v>8.4297398279999991E-2</v>
      </c>
      <c r="Y410" s="1010">
        <f>IF(I!Y410="","",$D$2*I!Y410)</f>
        <v>0.11752165299</v>
      </c>
      <c r="Z410" s="938"/>
      <c r="AA410" s="938"/>
      <c r="AB410" s="938"/>
      <c r="AC410" s="938"/>
      <c r="AD410" s="1058"/>
      <c r="AE410" s="938"/>
      <c r="AF410" s="938"/>
      <c r="AG410" s="938"/>
      <c r="AH410" s="938"/>
    </row>
    <row r="411" spans="1:34" ht="17.25" customHeight="1" x14ac:dyDescent="0.35">
      <c r="A411" s="938"/>
      <c r="B411" s="938"/>
      <c r="C411" s="941"/>
      <c r="D411" s="1047"/>
      <c r="E411" s="941"/>
      <c r="F411" s="938"/>
      <c r="G411" s="976">
        <f t="shared" si="8"/>
        <v>408</v>
      </c>
      <c r="H411" s="1000"/>
      <c r="I411" s="1001" t="s">
        <v>1059</v>
      </c>
      <c r="J411" s="1031" t="s">
        <v>1454</v>
      </c>
      <c r="K411" s="1002">
        <f>IF(I!K411="","",$D$2*I!K411)</f>
        <v>2.4570339699999999</v>
      </c>
      <c r="L411" s="981"/>
      <c r="M411" s="982"/>
      <c r="N411" s="1003"/>
      <c r="O411" s="1004">
        <f>IF(I!O411="","",$D$2*I!O411)</f>
        <v>2.88</v>
      </c>
      <c r="P411" s="1005">
        <f>IF(I!P411="","",$D$2*I!P411)</f>
        <v>2.8211771063100004</v>
      </c>
      <c r="Q411" s="1006">
        <f>IF(I!Q411="","",$D$2*I!Q411)</f>
        <v>1.2214225E-3</v>
      </c>
      <c r="R411" s="982"/>
      <c r="S411" s="1003"/>
      <c r="T411" s="938"/>
      <c r="U411" s="1008" t="s">
        <v>1059</v>
      </c>
      <c r="V411" s="1018" t="s">
        <v>6265</v>
      </c>
      <c r="W411" s="1019">
        <f>IF(I!W411="","",$D$2*I!W411)</f>
        <v>4.8783070969999995E-2</v>
      </c>
      <c r="X411" s="990">
        <f>IF(I!X411="","",$D$2*I!X411)</f>
        <v>4.5461473850999995E-2</v>
      </c>
      <c r="Y411" s="1010">
        <f>IF(I!Y411="","",$D$2*I!Y411)</f>
        <v>7.568072897E-2</v>
      </c>
      <c r="Z411" s="938"/>
      <c r="AA411" s="938"/>
      <c r="AB411" s="938"/>
      <c r="AC411" s="938"/>
      <c r="AD411" s="1058"/>
      <c r="AE411" s="938"/>
      <c r="AF411" s="938"/>
      <c r="AG411" s="938"/>
      <c r="AH411" s="938"/>
    </row>
    <row r="412" spans="1:34" ht="17.25" customHeight="1" x14ac:dyDescent="0.35">
      <c r="A412" s="938"/>
      <c r="B412" s="938"/>
      <c r="C412" s="941"/>
      <c r="D412" s="1047"/>
      <c r="E412" s="941"/>
      <c r="F412" s="938"/>
      <c r="G412" s="976">
        <f t="shared" si="8"/>
        <v>409</v>
      </c>
      <c r="H412" s="942"/>
      <c r="I412" s="1001" t="s">
        <v>1059</v>
      </c>
      <c r="J412" s="1031" t="s">
        <v>1455</v>
      </c>
      <c r="K412" s="1002">
        <f>IF(I!K412="","",$D$2*I!K412)</f>
        <v>2.270411094</v>
      </c>
      <c r="L412" s="981"/>
      <c r="M412" s="982"/>
      <c r="N412" s="1003"/>
      <c r="O412" s="1004">
        <f>IF(I!O412="","",$D$2*I!O412)</f>
        <v>2.61</v>
      </c>
      <c r="P412" s="1005">
        <f>IF(I!P412="","",$D$2*I!P412)</f>
        <v>1.9417884330200001</v>
      </c>
      <c r="Q412" s="1006">
        <f>IF(I!Q412="","",$D$2*I!Q412)</f>
        <v>1.2214227E-3</v>
      </c>
      <c r="R412" s="982"/>
      <c r="S412" s="1003"/>
      <c r="T412" s="938"/>
      <c r="U412" s="1008" t="s">
        <v>1059</v>
      </c>
      <c r="V412" s="1018" t="s">
        <v>6266</v>
      </c>
      <c r="W412" s="1019">
        <f>IF(I!W412="","",$D$2*I!W412)</f>
        <v>8.848299828999999E-2</v>
      </c>
      <c r="X412" s="990">
        <f>IF(I!X412="","",$D$2*I!X412)</f>
        <v>7.3278522819999997E-2</v>
      </c>
      <c r="Y412" s="1010">
        <f>IF(I!Y412="","",$D$2*I!Y412)</f>
        <v>0.12102139729</v>
      </c>
      <c r="Z412" s="938"/>
      <c r="AA412" s="938"/>
      <c r="AB412" s="938"/>
      <c r="AC412" s="938"/>
      <c r="AD412" s="1058"/>
      <c r="AE412" s="938"/>
      <c r="AF412" s="938"/>
      <c r="AG412" s="938"/>
      <c r="AH412" s="938"/>
    </row>
    <row r="413" spans="1:34" ht="17.25" customHeight="1" x14ac:dyDescent="0.35">
      <c r="A413" s="938"/>
      <c r="B413" s="938"/>
      <c r="C413" s="941"/>
      <c r="D413" s="1047"/>
      <c r="E413" s="941"/>
      <c r="F413" s="938"/>
      <c r="G413" s="976">
        <f t="shared" si="8"/>
        <v>410</v>
      </c>
      <c r="H413" s="1000"/>
      <c r="I413" s="1001" t="s">
        <v>1059</v>
      </c>
      <c r="J413" s="1031" t="s">
        <v>1456</v>
      </c>
      <c r="K413" s="1002">
        <f>IF(I!K413="","",$D$2*I!K413)</f>
        <v>1.7122423849999999</v>
      </c>
      <c r="L413" s="981"/>
      <c r="M413" s="982"/>
      <c r="N413" s="1003"/>
      <c r="O413" s="1004">
        <f>IF(I!O413="","",$D$2*I!O413)</f>
        <v>2.0499999999999998</v>
      </c>
      <c r="P413" s="1005">
        <f>IF(I!P413="","",$D$2*I!P413)</f>
        <v>1.71269268562</v>
      </c>
      <c r="Q413" s="1006">
        <f>IF(I!Q413="","",$D$2*I!Q413)</f>
        <v>8.7655079999999998E-4</v>
      </c>
      <c r="R413" s="982"/>
      <c r="S413" s="1003"/>
      <c r="T413" s="938"/>
      <c r="U413" s="1008" t="s">
        <v>1059</v>
      </c>
      <c r="V413" s="1018" t="s">
        <v>6267</v>
      </c>
      <c r="W413" s="1019">
        <f>IF(I!W413="","",$D$2*I!W413)</f>
        <v>6.1826443410000001E-2</v>
      </c>
      <c r="X413" s="990">
        <f>IF(I!X413="","",$D$2*I!X413)</f>
        <v>7.1249516279999994E-2</v>
      </c>
      <c r="Y413" s="1010">
        <f>IF(I!Y413="","",$D$2*I!Y413)</f>
        <v>9.576828641E-2</v>
      </c>
      <c r="Z413" s="938"/>
      <c r="AA413" s="938"/>
      <c r="AB413" s="938"/>
      <c r="AC413" s="938"/>
      <c r="AD413" s="1058"/>
      <c r="AE413" s="938"/>
      <c r="AF413" s="938"/>
      <c r="AG413" s="938"/>
      <c r="AH413" s="938"/>
    </row>
    <row r="414" spans="1:34" ht="17.25" customHeight="1" x14ac:dyDescent="0.35">
      <c r="A414" s="938"/>
      <c r="B414" s="938"/>
      <c r="C414" s="941"/>
      <c r="D414" s="1047"/>
      <c r="E414" s="941"/>
      <c r="F414" s="938"/>
      <c r="G414" s="976">
        <f t="shared" si="8"/>
        <v>411</v>
      </c>
      <c r="H414" s="1000"/>
      <c r="I414" s="1001" t="s">
        <v>1059</v>
      </c>
      <c r="J414" s="1031" t="s">
        <v>1457</v>
      </c>
      <c r="K414" s="1002">
        <f>IF(I!K414="","",$D$2*I!K414)</f>
        <v>1.687385854</v>
      </c>
      <c r="L414" s="981"/>
      <c r="M414" s="982"/>
      <c r="N414" s="1003"/>
      <c r="O414" s="1004">
        <f>IF(I!O414="","",$D$2*I!O414)</f>
        <v>2.02</v>
      </c>
      <c r="P414" s="1005">
        <f>IF(I!P414="","",$D$2*I!P414)</f>
        <v>1.69990467819</v>
      </c>
      <c r="Q414" s="1006">
        <f>IF(I!Q414="","",$D$2*I!Q414)</f>
        <v>8.6218115999999996E-4</v>
      </c>
      <c r="R414" s="982"/>
      <c r="S414" s="1003"/>
      <c r="T414" s="938"/>
      <c r="U414" s="1008" t="s">
        <v>1059</v>
      </c>
      <c r="V414" s="1018" t="s">
        <v>6268</v>
      </c>
      <c r="W414" s="1019">
        <f>IF(I!W414="","",$D$2*I!W414)</f>
        <v>6.9447910419999995E-2</v>
      </c>
      <c r="X414" s="990">
        <f>IF(I!X414="","",$D$2*I!X414)</f>
        <v>4.1705057375E-2</v>
      </c>
      <c r="Y414" s="1010">
        <f>IF(I!Y414="","",$D$2*I!Y414)</f>
        <v>0.10367026641999999</v>
      </c>
      <c r="Z414" s="938"/>
      <c r="AA414" s="938"/>
      <c r="AB414" s="938"/>
      <c r="AC414" s="938"/>
      <c r="AD414" s="1058"/>
      <c r="AE414" s="938"/>
      <c r="AF414" s="938"/>
      <c r="AG414" s="938"/>
      <c r="AH414" s="938"/>
    </row>
    <row r="415" spans="1:34" ht="17.25" customHeight="1" x14ac:dyDescent="0.35">
      <c r="A415" s="938"/>
      <c r="B415" s="938"/>
      <c r="C415" s="941"/>
      <c r="D415" s="1047"/>
      <c r="E415" s="941"/>
      <c r="F415" s="938"/>
      <c r="G415" s="976">
        <f t="shared" si="8"/>
        <v>412</v>
      </c>
      <c r="H415" s="942" t="s">
        <v>1458</v>
      </c>
      <c r="I415" s="1001"/>
      <c r="J415" s="1027"/>
      <c r="K415" s="1002" t="str">
        <f>IF(I!K415="","",$D$2*I!K415)</f>
        <v/>
      </c>
      <c r="L415" s="981"/>
      <c r="M415" s="982"/>
      <c r="N415" s="1003"/>
      <c r="O415" s="1004" t="str">
        <f>IF(I!O415="","",$D$2*I!O415)</f>
        <v/>
      </c>
      <c r="P415" s="1005" t="str">
        <f>IF(I!P415="","",$D$2*I!P415)</f>
        <v/>
      </c>
      <c r="Q415" s="1006" t="str">
        <f>IF(I!Q415="","",$D$2*I!Q415)</f>
        <v/>
      </c>
      <c r="R415" s="982"/>
      <c r="S415" s="1003"/>
      <c r="T415" s="938"/>
      <c r="U415" s="1008" t="s">
        <v>1059</v>
      </c>
      <c r="V415" s="1018" t="s">
        <v>6269</v>
      </c>
      <c r="W415" s="1019">
        <f>IF(I!W415="","",$D$2*I!W415)</f>
        <v>6.3073381940000006E-2</v>
      </c>
      <c r="X415" s="990">
        <f>IF(I!X415="","",$D$2*I!X415)</f>
        <v>6.79643422E-2</v>
      </c>
      <c r="Y415" s="1010">
        <f>IF(I!Y415="","",$D$2*I!Y415)</f>
        <v>9.7594234939999996E-2</v>
      </c>
      <c r="Z415" s="938"/>
      <c r="AA415" s="938"/>
      <c r="AB415" s="938"/>
      <c r="AC415" s="938"/>
      <c r="AD415" s="1058"/>
      <c r="AE415" s="938"/>
      <c r="AF415" s="938"/>
      <c r="AG415" s="938"/>
      <c r="AH415" s="938"/>
    </row>
    <row r="416" spans="1:34" ht="17.25" customHeight="1" x14ac:dyDescent="0.35">
      <c r="A416" s="938"/>
      <c r="B416" s="938"/>
      <c r="C416" s="941"/>
      <c r="D416" s="1047"/>
      <c r="E416" s="941"/>
      <c r="F416" s="938"/>
      <c r="G416" s="976">
        <f t="shared" si="8"/>
        <v>413</v>
      </c>
      <c r="H416" s="1000"/>
      <c r="I416" s="1001" t="s">
        <v>1059</v>
      </c>
      <c r="J416" s="1031" t="s">
        <v>1459</v>
      </c>
      <c r="K416" s="1002">
        <f>IF(I!K416="","",$D$2*I!K416)</f>
        <v>0.4283122533</v>
      </c>
      <c r="L416" s="981"/>
      <c r="M416" s="982"/>
      <c r="N416" s="1003"/>
      <c r="O416" s="1004">
        <f>IF(I!O416="","",$D$2*I!O416)</f>
        <v>5.05</v>
      </c>
      <c r="P416" s="1005">
        <f>IF(I!P416="","",$D$2*I!P416)</f>
        <v>0.30785888790900001</v>
      </c>
      <c r="Q416" s="1006">
        <f>IF(I!Q416="","",$D$2*I!Q416)</f>
        <v>1.7419899E-10</v>
      </c>
      <c r="R416" s="982"/>
      <c r="S416" s="1003"/>
      <c r="T416" s="938"/>
      <c r="U416" s="1008" t="s">
        <v>1059</v>
      </c>
      <c r="V416" s="1018" t="s">
        <v>6270</v>
      </c>
      <c r="W416" s="1019">
        <f>IF(I!W416="","",$D$2*I!W416)</f>
        <v>6.7900811370000008E-2</v>
      </c>
      <c r="X416" s="990">
        <f>IF(I!X416="","",$D$2*I!X416)</f>
        <v>6.5231960409999998E-2</v>
      </c>
      <c r="Y416" s="1010">
        <f>IF(I!Y416="","",$D$2*I!Y416)</f>
        <v>0.10525081837</v>
      </c>
      <c r="Z416" s="938"/>
      <c r="AA416" s="938"/>
      <c r="AB416" s="938"/>
      <c r="AC416" s="938"/>
      <c r="AD416" s="1058"/>
      <c r="AE416" s="938"/>
      <c r="AF416" s="938"/>
      <c r="AG416" s="938"/>
      <c r="AH416" s="938"/>
    </row>
    <row r="417" spans="1:34" ht="17.25" customHeight="1" x14ac:dyDescent="0.35">
      <c r="A417" s="938"/>
      <c r="B417" s="938"/>
      <c r="C417" s="941"/>
      <c r="D417" s="1047"/>
      <c r="E417" s="941"/>
      <c r="F417" s="938"/>
      <c r="G417" s="976">
        <f t="shared" si="8"/>
        <v>414</v>
      </c>
      <c r="H417" s="1000"/>
      <c r="I417" s="1001" t="s">
        <v>1059</v>
      </c>
      <c r="J417" s="1031" t="s">
        <v>1460</v>
      </c>
      <c r="K417" s="1002">
        <f>IF(I!K417="","",$D$2*I!K417)</f>
        <v>0.42762112600000002</v>
      </c>
      <c r="L417" s="981"/>
      <c r="M417" s="982"/>
      <c r="N417" s="1003"/>
      <c r="O417" s="1004">
        <f>IF(I!O417="","",$D$2*I!O417)</f>
        <v>5.44</v>
      </c>
      <c r="P417" s="1005">
        <f>IF(I!P417="","",$D$2*I!P417)</f>
        <v>0.25972838508700002</v>
      </c>
      <c r="Q417" s="1006">
        <f>IF(I!Q417="","",$D$2*I!Q417)</f>
        <v>0</v>
      </c>
      <c r="R417" s="982"/>
      <c r="S417" s="1003"/>
      <c r="T417" s="938"/>
      <c r="U417" s="1008" t="s">
        <v>1059</v>
      </c>
      <c r="V417" s="1018" t="s">
        <v>6271</v>
      </c>
      <c r="W417" s="1019">
        <f>IF(I!W417="","",$D$2*I!W417)</f>
        <v>5.7179876120000001E-2</v>
      </c>
      <c r="X417" s="990">
        <f>IF(I!X417="","",$D$2*I!X417)</f>
        <v>9.3545188740000007E-2</v>
      </c>
      <c r="Y417" s="1010">
        <f>IF(I!Y417="","",$D$2*I!Y417)</f>
        <v>9.2239177120000002E-2</v>
      </c>
      <c r="Z417" s="938"/>
      <c r="AA417" s="938"/>
      <c r="AB417" s="938"/>
      <c r="AC417" s="938"/>
      <c r="AD417" s="1058"/>
      <c r="AE417" s="938"/>
      <c r="AF417" s="938"/>
      <c r="AG417" s="938"/>
      <c r="AH417" s="938"/>
    </row>
    <row r="418" spans="1:34" ht="17.25" customHeight="1" x14ac:dyDescent="0.35">
      <c r="A418" s="938"/>
      <c r="B418" s="938"/>
      <c r="C418" s="941"/>
      <c r="D418" s="1047"/>
      <c r="E418" s="941"/>
      <c r="F418" s="938"/>
      <c r="G418" s="976">
        <f t="shared" si="8"/>
        <v>415</v>
      </c>
      <c r="H418" s="1000"/>
      <c r="I418" s="1001" t="s">
        <v>1059</v>
      </c>
      <c r="J418" s="1031" t="s">
        <v>1461</v>
      </c>
      <c r="K418" s="1002">
        <f>IF(I!K418="","",$D$2*I!K418)</f>
        <v>0.4248827328</v>
      </c>
      <c r="L418" s="981"/>
      <c r="M418" s="982"/>
      <c r="N418" s="1003"/>
      <c r="O418" s="1004">
        <f>IF(I!O418="","",$D$2*I!O418)</f>
        <v>5.08</v>
      </c>
      <c r="P418" s="1005">
        <f>IF(I!P418="","",$D$2*I!P418)</f>
        <v>0.31325506550000004</v>
      </c>
      <c r="Q418" s="1006">
        <f>IF(I!Q418="","",$D$2*I!Q418)</f>
        <v>1.5057307E-10</v>
      </c>
      <c r="R418" s="982"/>
      <c r="S418" s="1003"/>
      <c r="T418" s="938"/>
      <c r="U418" s="1008" t="s">
        <v>1059</v>
      </c>
      <c r="V418" s="1018" t="s">
        <v>6272</v>
      </c>
      <c r="W418" s="1019">
        <f>IF(I!W418="","",$D$2*I!W418)</f>
        <v>5.4957986440000009E-2</v>
      </c>
      <c r="X418" s="990">
        <f>IF(I!X418="","",$D$2*I!X418)</f>
        <v>4.0426257943000005E-2</v>
      </c>
      <c r="Y418" s="1010">
        <f>IF(I!Y418="","",$D$2*I!Y418)</f>
        <v>8.444621444E-2</v>
      </c>
      <c r="Z418" s="938"/>
      <c r="AA418" s="938"/>
      <c r="AB418" s="938"/>
      <c r="AC418" s="938"/>
      <c r="AD418" s="1058"/>
      <c r="AE418" s="938"/>
      <c r="AF418" s="938"/>
      <c r="AG418" s="938"/>
      <c r="AH418" s="938"/>
    </row>
    <row r="419" spans="1:34" ht="17.25" customHeight="1" x14ac:dyDescent="0.35">
      <c r="A419" s="938"/>
      <c r="B419" s="938"/>
      <c r="C419" s="941"/>
      <c r="D419" s="1047"/>
      <c r="E419" s="941"/>
      <c r="F419" s="938"/>
      <c r="G419" s="976">
        <f t="shared" si="8"/>
        <v>416</v>
      </c>
      <c r="H419" s="1000"/>
      <c r="I419" s="1001" t="s">
        <v>1059</v>
      </c>
      <c r="J419" s="1031" t="s">
        <v>1462</v>
      </c>
      <c r="K419" s="1002">
        <f>IF(I!K419="","",$D$2*I!K419)</f>
        <v>0.42774608870000003</v>
      </c>
      <c r="L419" s="981"/>
      <c r="M419" s="982"/>
      <c r="N419" s="1003"/>
      <c r="O419" s="1004">
        <f>IF(I!O419="","",$D$2*I!O419)</f>
        <v>5.12</v>
      </c>
      <c r="P419" s="1005">
        <f>IF(I!P419="","",$D$2*I!P419)</f>
        <v>0.30168784528600001</v>
      </c>
      <c r="Q419" s="1006">
        <f>IF(I!Q419="","",$D$2*I!Q419)</f>
        <v>1.4313709E-10</v>
      </c>
      <c r="R419" s="982"/>
      <c r="S419" s="1003"/>
      <c r="T419" s="938"/>
      <c r="U419" s="1008" t="s">
        <v>1059</v>
      </c>
      <c r="V419" s="1018" t="s">
        <v>6273</v>
      </c>
      <c r="W419" s="1019">
        <f>IF(I!W419="","",$D$2*I!W419)</f>
        <v>6.1910310489999995E-2</v>
      </c>
      <c r="X419" s="990">
        <f>IF(I!X419="","",$D$2*I!X419)</f>
        <v>4.5549967109E-2</v>
      </c>
      <c r="Y419" s="1010">
        <f>IF(I!Y419="","",$D$2*I!Y419)</f>
        <v>0.11578880249</v>
      </c>
      <c r="Z419" s="938"/>
      <c r="AA419" s="938"/>
      <c r="AB419" s="938"/>
      <c r="AC419" s="938"/>
      <c r="AD419" s="1058"/>
      <c r="AE419" s="938"/>
      <c r="AF419" s="938"/>
      <c r="AG419" s="938"/>
      <c r="AH419" s="938"/>
    </row>
    <row r="420" spans="1:34" ht="17.25" customHeight="1" x14ac:dyDescent="0.35">
      <c r="A420" s="938"/>
      <c r="B420" s="938"/>
      <c r="C420" s="941"/>
      <c r="D420" s="1047"/>
      <c r="E420" s="941"/>
      <c r="F420" s="938"/>
      <c r="G420" s="976">
        <f t="shared" si="8"/>
        <v>417</v>
      </c>
      <c r="H420" s="1000"/>
      <c r="I420" s="1001" t="s">
        <v>1059</v>
      </c>
      <c r="J420" s="1031" t="s">
        <v>1463</v>
      </c>
      <c r="K420" s="1002">
        <f>IF(I!K420="","",$D$2*I!K420)</f>
        <v>0.42567287180000002</v>
      </c>
      <c r="L420" s="981"/>
      <c r="M420" s="982"/>
      <c r="N420" s="1003"/>
      <c r="O420" s="1004">
        <f>IF(I!O420="","",$D$2*I!O420)</f>
        <v>5</v>
      </c>
      <c r="P420" s="1005">
        <f>IF(I!P420="","",$D$2*I!P420)</f>
        <v>0.31999598695100001</v>
      </c>
      <c r="Q420" s="1006">
        <f>IF(I!Q420="","",$D$2*I!Q420)</f>
        <v>1.8748153999999999E-10</v>
      </c>
      <c r="R420" s="982"/>
      <c r="S420" s="1003"/>
      <c r="T420" s="938"/>
      <c r="U420" s="1008" t="s">
        <v>1059</v>
      </c>
      <c r="V420" s="1018" t="s">
        <v>6274</v>
      </c>
      <c r="W420" s="1019">
        <f>IF(I!W420="","",$D$2*I!W420)</f>
        <v>5.1139976520000005E-2</v>
      </c>
      <c r="X420" s="990">
        <f>IF(I!X420="","",$D$2*I!X420)</f>
        <v>3.9662485532000004E-2</v>
      </c>
      <c r="Y420" s="1010">
        <f>IF(I!Y420="","",$D$2*I!Y420)</f>
        <v>0.10832387052</v>
      </c>
      <c r="Z420" s="938"/>
      <c r="AA420" s="938"/>
      <c r="AB420" s="938"/>
      <c r="AC420" s="938"/>
      <c r="AD420" s="1058"/>
      <c r="AE420" s="938"/>
      <c r="AF420" s="938"/>
      <c r="AG420" s="938"/>
      <c r="AH420" s="938"/>
    </row>
    <row r="421" spans="1:34" ht="17.25" customHeight="1" x14ac:dyDescent="0.35">
      <c r="A421" s="938"/>
      <c r="B421" s="938"/>
      <c r="C421" s="941"/>
      <c r="D421" s="1047"/>
      <c r="E421" s="941"/>
      <c r="F421" s="938"/>
      <c r="G421" s="976">
        <f t="shared" si="8"/>
        <v>418</v>
      </c>
      <c r="H421" s="1000"/>
      <c r="I421" s="1001" t="s">
        <v>1059</v>
      </c>
      <c r="J421" s="1031" t="s">
        <v>1464</v>
      </c>
      <c r="K421" s="1002">
        <f>IF(I!K421="","",$D$2*I!K421)</f>
        <v>0.42744953669999997</v>
      </c>
      <c r="L421" s="981"/>
      <c r="M421" s="982"/>
      <c r="N421" s="1003"/>
      <c r="O421" s="1004">
        <f>IF(I!O421="","",$D$2*I!O421)</f>
        <v>5.0599999999999996</v>
      </c>
      <c r="P421" s="1005">
        <f>IF(I!P421="","",$D$2*I!P421)</f>
        <v>0.30886115342100001</v>
      </c>
      <c r="Q421" s="1006">
        <f>IF(I!Q421="","",$D$2*I!Q421)</f>
        <v>1.6752495000000001E-10</v>
      </c>
      <c r="R421" s="982"/>
      <c r="S421" s="1003"/>
      <c r="T421" s="938"/>
      <c r="U421" s="1008" t="s">
        <v>1059</v>
      </c>
      <c r="V421" s="1018" t="s">
        <v>6275</v>
      </c>
      <c r="W421" s="1019">
        <f>IF(I!W421="","",$D$2*I!W421)</f>
        <v>8.01849689E-2</v>
      </c>
      <c r="X421" s="990">
        <f>IF(I!X421="","",$D$2*I!X421)</f>
        <v>7.8351831600000005E-2</v>
      </c>
      <c r="Y421" s="1010">
        <f>IF(I!Y421="","",$D$2*I!Y421)</f>
        <v>0.15138473790000001</v>
      </c>
      <c r="Z421" s="938"/>
      <c r="AA421" s="938"/>
      <c r="AB421" s="938"/>
      <c r="AC421" s="938"/>
      <c r="AD421" s="1058"/>
      <c r="AE421" s="938"/>
      <c r="AF421" s="938"/>
      <c r="AG421" s="938"/>
      <c r="AH421" s="938"/>
    </row>
    <row r="422" spans="1:34" ht="17.25" customHeight="1" x14ac:dyDescent="0.35">
      <c r="A422" s="938"/>
      <c r="B422" s="938"/>
      <c r="C422" s="941"/>
      <c r="D422" s="1047"/>
      <c r="E422" s="941"/>
      <c r="F422" s="938"/>
      <c r="G422" s="976">
        <f t="shared" si="8"/>
        <v>419</v>
      </c>
      <c r="H422" s="1000"/>
      <c r="I422" s="1001" t="s">
        <v>1059</v>
      </c>
      <c r="J422" s="1031" t="s">
        <v>1465</v>
      </c>
      <c r="K422" s="1002">
        <f>IF(I!K422="","",$D$2*I!K422)</f>
        <v>0.42811403250000002</v>
      </c>
      <c r="L422" s="981"/>
      <c r="M422" s="982"/>
      <c r="N422" s="1003"/>
      <c r="O422" s="1004">
        <f>IF(I!O422="","",$D$2*I!O422)</f>
        <v>5.31</v>
      </c>
      <c r="P422" s="1005">
        <f>IF(I!P422="","",$D$2*I!P422)</f>
        <v>0.280905271914</v>
      </c>
      <c r="Q422" s="1006">
        <f>IF(I!Q422="","",$D$2*I!Q422)</f>
        <v>6.7610924000000003E-11</v>
      </c>
      <c r="R422" s="982"/>
      <c r="S422" s="1003"/>
      <c r="T422" s="938"/>
      <c r="U422" s="1008" t="s">
        <v>1059</v>
      </c>
      <c r="V422" s="1018" t="s">
        <v>6276</v>
      </c>
      <c r="W422" s="1019">
        <f>IF(I!W422="","",$D$2*I!W422)</f>
        <v>5.0577394740000003E-2</v>
      </c>
      <c r="X422" s="990">
        <f>IF(I!X422="","",$D$2*I!X422)</f>
        <v>4.9554769732000001E-2</v>
      </c>
      <c r="Y422" s="1010">
        <f>IF(I!Y422="","",$D$2*I!Y422)</f>
        <v>9.9742604740000004E-2</v>
      </c>
      <c r="Z422" s="938"/>
      <c r="AA422" s="938"/>
      <c r="AB422" s="938"/>
      <c r="AC422" s="938"/>
      <c r="AD422" s="1058"/>
      <c r="AE422" s="938"/>
      <c r="AF422" s="938"/>
      <c r="AG422" s="938"/>
      <c r="AH422" s="938"/>
    </row>
    <row r="423" spans="1:34" ht="17.25" customHeight="1" x14ac:dyDescent="0.35">
      <c r="A423" s="938"/>
      <c r="B423" s="938"/>
      <c r="C423" s="941"/>
      <c r="D423" s="1047"/>
      <c r="E423" s="941"/>
      <c r="F423" s="938"/>
      <c r="G423" s="976">
        <f t="shared" si="8"/>
        <v>420</v>
      </c>
      <c r="H423" s="1000"/>
      <c r="I423" s="1001" t="s">
        <v>1059</v>
      </c>
      <c r="J423" s="1031" t="s">
        <v>1466</v>
      </c>
      <c r="K423" s="1002">
        <f>IF(I!K423="","",$D$2*I!K423)</f>
        <v>0.4275003382</v>
      </c>
      <c r="L423" s="981"/>
      <c r="M423" s="982"/>
      <c r="N423" s="1003"/>
      <c r="O423" s="1004">
        <f>IF(I!O423="","",$D$2*I!O423)</f>
        <v>5.16</v>
      </c>
      <c r="P423" s="1005">
        <f>IF(I!P423="","",$D$2*I!P423)</f>
        <v>0.29869730376699993</v>
      </c>
      <c r="Q423" s="1006">
        <f>IF(I!Q423="","",$D$2*I!Q423)</f>
        <v>1.2858056999999999E-10</v>
      </c>
      <c r="R423" s="982"/>
      <c r="S423" s="1003"/>
      <c r="T423" s="938"/>
      <c r="U423" s="1008" t="s">
        <v>1059</v>
      </c>
      <c r="V423" s="1018" t="s">
        <v>6277</v>
      </c>
      <c r="W423" s="1019">
        <f>IF(I!W423="","",$D$2*I!W423)</f>
        <v>6.5510730699999992E-2</v>
      </c>
      <c r="X423" s="990">
        <f>IF(I!X423="","",$D$2*I!X423)</f>
        <v>6.4601592629999996E-2</v>
      </c>
      <c r="Y423" s="1010">
        <f>IF(I!Y423="","",$D$2*I!Y423)</f>
        <v>0.12980531569999998</v>
      </c>
      <c r="Z423" s="938"/>
      <c r="AA423" s="938"/>
      <c r="AB423" s="938"/>
      <c r="AC423" s="938"/>
      <c r="AD423" s="1058"/>
      <c r="AE423" s="938"/>
      <c r="AF423" s="938"/>
      <c r="AG423" s="938"/>
      <c r="AH423" s="938"/>
    </row>
    <row r="424" spans="1:34" ht="17.25" customHeight="1" x14ac:dyDescent="0.35">
      <c r="A424" s="938"/>
      <c r="B424" s="938"/>
      <c r="C424" s="941"/>
      <c r="D424" s="1047"/>
      <c r="E424" s="941"/>
      <c r="F424" s="938"/>
      <c r="G424" s="976">
        <f t="shared" si="8"/>
        <v>421</v>
      </c>
      <c r="H424" s="1000"/>
      <c r="I424" s="1001" t="s">
        <v>1059</v>
      </c>
      <c r="J424" s="1031" t="s">
        <v>1467</v>
      </c>
      <c r="K424" s="1002">
        <f>IF(I!K424="","",$D$2*I!K424)</f>
        <v>0.42685494079999997</v>
      </c>
      <c r="L424" s="981"/>
      <c r="M424" s="982"/>
      <c r="N424" s="1003"/>
      <c r="O424" s="1004">
        <f>IF(I!O424="","",$D$2*I!O424)</f>
        <v>5.43</v>
      </c>
      <c r="P424" s="1005">
        <f>IF(I!P424="","",$D$2*I!P424)</f>
        <v>0.26057586710199998</v>
      </c>
      <c r="Q424" s="1006">
        <f>IF(I!Q424="","",$D$2*I!Q424)</f>
        <v>0</v>
      </c>
      <c r="R424" s="982"/>
      <c r="S424" s="1003"/>
      <c r="T424" s="938"/>
      <c r="U424" s="1008" t="s">
        <v>1059</v>
      </c>
      <c r="V424" s="1018" t="s">
        <v>6278</v>
      </c>
      <c r="W424" s="1019">
        <f>IF(I!W424="","",$D$2*I!W424)</f>
        <v>6.7297671739999995E-2</v>
      </c>
      <c r="X424" s="990">
        <f>IF(I!X424="","",$D$2*I!X424)</f>
        <v>3.8406315813999996E-2</v>
      </c>
      <c r="Y424" s="1010">
        <f>IF(I!Y424="","",$D$2*I!Y424)</f>
        <v>0.12903082673999999</v>
      </c>
      <c r="Z424" s="938"/>
      <c r="AA424" s="938"/>
      <c r="AB424" s="938"/>
      <c r="AC424" s="938"/>
      <c r="AD424" s="1058"/>
      <c r="AE424" s="938"/>
      <c r="AF424" s="938"/>
      <c r="AG424" s="938"/>
      <c r="AH424" s="938"/>
    </row>
    <row r="425" spans="1:34" ht="17.25" customHeight="1" x14ac:dyDescent="0.35">
      <c r="A425" s="938"/>
      <c r="B425" s="938"/>
      <c r="C425" s="941"/>
      <c r="D425" s="1047"/>
      <c r="E425" s="941"/>
      <c r="F425" s="938"/>
      <c r="G425" s="976">
        <f t="shared" si="8"/>
        <v>422</v>
      </c>
      <c r="H425" s="1000"/>
      <c r="I425" s="1001" t="s">
        <v>1059</v>
      </c>
      <c r="J425" s="1031" t="s">
        <v>1468</v>
      </c>
      <c r="K425" s="1002">
        <f>IF(I!K425="","",$D$2*I!K425)</f>
        <v>0.42284506929999999</v>
      </c>
      <c r="L425" s="981"/>
      <c r="M425" s="982"/>
      <c r="N425" s="1003"/>
      <c r="O425" s="1004">
        <f>IF(I!O425="","",$D$2*I!O425)</f>
        <v>5.23</v>
      </c>
      <c r="P425" s="1005">
        <f>IF(I!P425="","",$D$2*I!P425)</f>
        <v>0.30406692444796002</v>
      </c>
      <c r="Q425" s="1006">
        <f>IF(I!Q425="","",$D$2*I!Q425)</f>
        <v>8.4431748999999995E-11</v>
      </c>
      <c r="R425" s="982"/>
      <c r="S425" s="1003"/>
      <c r="T425" s="938"/>
      <c r="U425" s="1008" t="s">
        <v>1059</v>
      </c>
      <c r="V425" s="1018" t="s">
        <v>6279</v>
      </c>
      <c r="W425" s="1019">
        <f>IF(I!W425="","",$D$2*I!W425)</f>
        <v>5.8349095269999998E-2</v>
      </c>
      <c r="X425" s="990">
        <f>IF(I!X425="","",$D$2*I!X425)</f>
        <v>3.8863372144E-2</v>
      </c>
      <c r="Y425" s="1010">
        <f>IF(I!Y425="","",$D$2*I!Y425)</f>
        <v>0.11538898127</v>
      </c>
      <c r="Z425" s="938"/>
      <c r="AA425" s="938"/>
      <c r="AB425" s="938"/>
      <c r="AC425" s="938"/>
      <c r="AD425" s="1058"/>
      <c r="AE425" s="938"/>
      <c r="AF425" s="938"/>
      <c r="AG425" s="938"/>
      <c r="AH425" s="938"/>
    </row>
    <row r="426" spans="1:34" ht="17.25" customHeight="1" x14ac:dyDescent="0.35">
      <c r="A426" s="938"/>
      <c r="B426" s="938"/>
      <c r="C426" s="941"/>
      <c r="D426" s="1047"/>
      <c r="E426" s="941"/>
      <c r="F426" s="938"/>
      <c r="G426" s="976">
        <f t="shared" si="8"/>
        <v>423</v>
      </c>
      <c r="H426" s="942" t="s">
        <v>1469</v>
      </c>
      <c r="I426" s="1001"/>
      <c r="J426" s="1027"/>
      <c r="K426" s="1002" t="str">
        <f>IF(I!K426="","",$D$2*I!K426)</f>
        <v/>
      </c>
      <c r="L426" s="981"/>
      <c r="M426" s="982"/>
      <c r="N426" s="1003"/>
      <c r="O426" s="1004" t="str">
        <f>IF(I!O426="","",$D$2*I!O426)</f>
        <v/>
      </c>
      <c r="P426" s="1005" t="str">
        <f>IF(I!P426="","",$D$2*I!P426)</f>
        <v/>
      </c>
      <c r="Q426" s="1006" t="str">
        <f>IF(I!Q426="","",$D$2*I!Q426)</f>
        <v/>
      </c>
      <c r="R426" s="982"/>
      <c r="S426" s="1003"/>
      <c r="T426" s="938"/>
      <c r="U426" s="1008" t="s">
        <v>1059</v>
      </c>
      <c r="V426" s="1018" t="s">
        <v>6280</v>
      </c>
      <c r="W426" s="1019">
        <f>IF(I!W426="","",$D$2*I!W426)</f>
        <v>0.18519656400000004</v>
      </c>
      <c r="X426" s="990">
        <f>IF(I!X426="","",$D$2*I!X426)</f>
        <v>0.13229951956</v>
      </c>
      <c r="Y426" s="1010">
        <f>IF(I!Y426="","",$D$2*I!Y426)</f>
        <v>0.27504310800000004</v>
      </c>
      <c r="Z426" s="938"/>
      <c r="AA426" s="938"/>
      <c r="AB426" s="938"/>
      <c r="AC426" s="938"/>
      <c r="AD426" s="1058"/>
      <c r="AE426" s="938"/>
      <c r="AF426" s="938"/>
      <c r="AG426" s="938"/>
      <c r="AH426" s="938"/>
    </row>
    <row r="427" spans="1:34" ht="17.25" customHeight="1" x14ac:dyDescent="0.35">
      <c r="A427" s="938"/>
      <c r="B427" s="938"/>
      <c r="C427" s="941"/>
      <c r="D427" s="1047"/>
      <c r="E427" s="941"/>
      <c r="F427" s="938"/>
      <c r="G427" s="976">
        <f t="shared" si="8"/>
        <v>424</v>
      </c>
      <c r="H427" s="942"/>
      <c r="I427" s="1001" t="s">
        <v>1059</v>
      </c>
      <c r="J427" s="1031" t="s">
        <v>1470</v>
      </c>
      <c r="K427" s="1002">
        <f>IF(I!K427="","",$D$2*I!K427)</f>
        <v>2.5419557044999999</v>
      </c>
      <c r="L427" s="981"/>
      <c r="M427" s="982"/>
      <c r="N427" s="1003"/>
      <c r="O427" s="1004">
        <f>IF(I!O427="","",$D$2*I!O427)</f>
        <v>8.73</v>
      </c>
      <c r="P427" s="1005">
        <f>IF(I!P427="","",$D$2*I!P427)</f>
        <v>7.9243440265930003</v>
      </c>
      <c r="Q427" s="1006">
        <f>IF(I!Q427="","",$D$2*I!Q427)</f>
        <v>1.6627247999999999E-9</v>
      </c>
      <c r="R427" s="982"/>
      <c r="S427" s="1003"/>
      <c r="T427" s="938"/>
      <c r="U427" s="1008" t="s">
        <v>1059</v>
      </c>
      <c r="V427" s="1018" t="s">
        <v>6281</v>
      </c>
      <c r="W427" s="1019">
        <f>IF(I!W427="","",$D$2*I!W427)</f>
        <v>0.20111030100000002</v>
      </c>
      <c r="X427" s="990">
        <f>IF(I!X427="","",$D$2*I!X427)</f>
        <v>0.16675989020999998</v>
      </c>
      <c r="Y427" s="1010">
        <f>IF(I!Y427="","",$D$2*I!Y427)</f>
        <v>0.29821442100000001</v>
      </c>
      <c r="Z427" s="938"/>
      <c r="AA427" s="938"/>
      <c r="AB427" s="938"/>
      <c r="AC427" s="938"/>
      <c r="AD427" s="1058"/>
      <c r="AE427" s="938"/>
      <c r="AF427" s="938"/>
      <c r="AG427" s="938"/>
      <c r="AH427" s="938"/>
    </row>
    <row r="428" spans="1:34" ht="17.25" customHeight="1" x14ac:dyDescent="0.35">
      <c r="A428" s="938"/>
      <c r="B428" s="938"/>
      <c r="C428" s="941"/>
      <c r="D428" s="1047"/>
      <c r="E428" s="941"/>
      <c r="F428" s="938"/>
      <c r="G428" s="976">
        <f t="shared" si="8"/>
        <v>425</v>
      </c>
      <c r="H428" s="1000"/>
      <c r="I428" s="1001" t="s">
        <v>1059</v>
      </c>
      <c r="J428" s="1031" t="s">
        <v>1471</v>
      </c>
      <c r="K428" s="1002">
        <f>IF(I!K428="","",$D$2*I!K428)</f>
        <v>1.2241761420000001</v>
      </c>
      <c r="L428" s="981"/>
      <c r="M428" s="982"/>
      <c r="N428" s="1003"/>
      <c r="O428" s="1004">
        <f>IF(I!O428="","",$D$2*I!O428)</f>
        <v>3.98</v>
      </c>
      <c r="P428" s="1005">
        <f>IF(I!P428="","",$D$2*I!P428)</f>
        <v>3.48047383801</v>
      </c>
      <c r="Q428" s="1006">
        <f>IF(I!Q428="","",$D$2*I!Q428)</f>
        <v>1.7087920000000001E-9</v>
      </c>
      <c r="R428" s="982"/>
      <c r="S428" s="1003"/>
      <c r="T428" s="938"/>
      <c r="U428" s="1008" t="s">
        <v>1059</v>
      </c>
      <c r="V428" s="1018" t="s">
        <v>6282</v>
      </c>
      <c r="W428" s="1019">
        <f>IF(I!W428="","",$D$2*I!W428)</f>
        <v>0.15055657130000002</v>
      </c>
      <c r="X428" s="990">
        <f>IF(I!X428="","",$D$2*I!X428)</f>
        <v>0.12349796195</v>
      </c>
      <c r="Y428" s="1010">
        <f>IF(I!Y428="","",$D$2*I!Y428)</f>
        <v>0.23532602630000002</v>
      </c>
      <c r="Z428" s="938"/>
      <c r="AA428" s="938"/>
      <c r="AB428" s="938"/>
      <c r="AC428" s="938"/>
      <c r="AD428" s="1058"/>
      <c r="AE428" s="938"/>
      <c r="AF428" s="938"/>
      <c r="AG428" s="938"/>
      <c r="AH428" s="938"/>
    </row>
    <row r="429" spans="1:34" ht="17.25" customHeight="1" x14ac:dyDescent="0.35">
      <c r="A429" s="938"/>
      <c r="B429" s="938"/>
      <c r="C429" s="941"/>
      <c r="D429" s="1047"/>
      <c r="E429" s="941"/>
      <c r="F429" s="938"/>
      <c r="G429" s="976">
        <f t="shared" si="8"/>
        <v>426</v>
      </c>
      <c r="H429" s="1000"/>
      <c r="I429" s="1001" t="s">
        <v>1059</v>
      </c>
      <c r="J429" s="1031" t="s">
        <v>1472</v>
      </c>
      <c r="K429" s="1002">
        <f>IF(I!K429="","",$D$2*I!K429)</f>
        <v>2.2193344684</v>
      </c>
      <c r="L429" s="981"/>
      <c r="M429" s="982"/>
      <c r="N429" s="1003"/>
      <c r="O429" s="1004">
        <f>IF(I!O429="","",$D$2*I!O429)</f>
        <v>7.35</v>
      </c>
      <c r="P429" s="1005">
        <f>IF(I!P429="","",$D$2*I!P429)</f>
        <v>6.5985768682479993</v>
      </c>
      <c r="Q429" s="1006">
        <f>IF(I!Q429="","",$D$2*I!Q429)</f>
        <v>7.1849734000000004E-5</v>
      </c>
      <c r="R429" s="982"/>
      <c r="S429" s="1003"/>
      <c r="T429" s="938"/>
      <c r="U429" s="1008" t="s">
        <v>1059</v>
      </c>
      <c r="V429" s="1018" t="s">
        <v>6283</v>
      </c>
      <c r="W429" s="1019">
        <f>IF(I!W429="","",$D$2*I!W429)</f>
        <v>0.22986028020000002</v>
      </c>
      <c r="X429" s="990">
        <f>IF(I!X429="","",$D$2*I!X429)</f>
        <v>0.25610352478000004</v>
      </c>
      <c r="Y429" s="1010">
        <f>IF(I!Y429="","",$D$2*I!Y429)</f>
        <v>0.3570419802</v>
      </c>
      <c r="Z429" s="938"/>
      <c r="AA429" s="938"/>
      <c r="AB429" s="938"/>
      <c r="AC429" s="938"/>
      <c r="AD429" s="1058"/>
      <c r="AE429" s="938"/>
      <c r="AF429" s="938"/>
      <c r="AG429" s="938"/>
      <c r="AH429" s="938"/>
    </row>
    <row r="430" spans="1:34" ht="17.25" customHeight="1" x14ac:dyDescent="0.35">
      <c r="A430" s="938"/>
      <c r="B430" s="938"/>
      <c r="C430" s="941"/>
      <c r="D430" s="1047"/>
      <c r="E430" s="941"/>
      <c r="F430" s="938"/>
      <c r="G430" s="976">
        <f t="shared" si="8"/>
        <v>427</v>
      </c>
      <c r="H430" s="1000"/>
      <c r="I430" s="1001" t="s">
        <v>1059</v>
      </c>
      <c r="J430" s="1031" t="s">
        <v>1473</v>
      </c>
      <c r="K430" s="1002">
        <f>IF(I!K430="","",$D$2*I!K430)</f>
        <v>2.6724831052500004</v>
      </c>
      <c r="L430" s="981"/>
      <c r="M430" s="982"/>
      <c r="N430" s="1003"/>
      <c r="O430" s="1004">
        <f>IF(I!O430="","",$D$2*I!O430)</f>
        <v>9.18</v>
      </c>
      <c r="P430" s="1005">
        <f>IF(I!P430="","",$D$2*I!P430)</f>
        <v>8.3013731855377006</v>
      </c>
      <c r="Q430" s="1006">
        <f>IF(I!Q430="","",$D$2*I!Q430)</f>
        <v>1.6497735000000001E-9</v>
      </c>
      <c r="R430" s="982"/>
      <c r="S430" s="1003"/>
      <c r="T430" s="938"/>
      <c r="U430" s="1008" t="s">
        <v>1059</v>
      </c>
      <c r="V430" s="1018" t="s">
        <v>6284</v>
      </c>
      <c r="W430" s="1019">
        <f>IF(I!W430="","",$D$2*I!W430)</f>
        <v>0.14820761169999999</v>
      </c>
      <c r="X430" s="990">
        <f>IF(I!X430="","",$D$2*I!X430)</f>
        <v>0.13811629022999999</v>
      </c>
      <c r="Y430" s="1010">
        <f>IF(I!Y430="","",$D$2*I!Y430)</f>
        <v>0.2299252577</v>
      </c>
      <c r="Z430" s="938"/>
      <c r="AA430" s="938"/>
      <c r="AB430" s="938"/>
      <c r="AC430" s="938"/>
      <c r="AD430" s="1058"/>
      <c r="AE430" s="938"/>
      <c r="AF430" s="938"/>
      <c r="AG430" s="938"/>
      <c r="AH430" s="938"/>
    </row>
    <row r="431" spans="1:34" ht="17.25" customHeight="1" x14ac:dyDescent="0.35">
      <c r="A431" s="938"/>
      <c r="B431" s="938"/>
      <c r="C431" s="941"/>
      <c r="D431" s="1047"/>
      <c r="E431" s="941"/>
      <c r="F431" s="938"/>
      <c r="G431" s="976">
        <f t="shared" si="8"/>
        <v>428</v>
      </c>
      <c r="H431" s="1000"/>
      <c r="I431" s="1001" t="s">
        <v>1059</v>
      </c>
      <c r="J431" s="1031" t="s">
        <v>1474</v>
      </c>
      <c r="K431" s="1002">
        <f>IF(I!K431="","",$D$2*I!K431)</f>
        <v>1.2282545057999998</v>
      </c>
      <c r="L431" s="981"/>
      <c r="M431" s="982"/>
      <c r="N431" s="1003"/>
      <c r="O431" s="1004">
        <f>IF(I!O431="","",$D$2*I!O431)</f>
        <v>4.3</v>
      </c>
      <c r="P431" s="1005">
        <f>IF(I!P431="","",$D$2*I!P431)</f>
        <v>3.8785239382511003</v>
      </c>
      <c r="Q431" s="1006">
        <f>IF(I!Q431="","",$D$2*I!Q431)</f>
        <v>9.5923618000000003E-10</v>
      </c>
      <c r="R431" s="982"/>
      <c r="S431" s="1003"/>
      <c r="T431" s="938"/>
      <c r="U431" s="1008" t="s">
        <v>1059</v>
      </c>
      <c r="V431" s="1018" t="s">
        <v>6285</v>
      </c>
      <c r="W431" s="1019">
        <f>IF(I!W431="","",$D$2*I!W431)</f>
        <v>0.26881977510000005</v>
      </c>
      <c r="X431" s="990">
        <f>IF(I!X431="","",$D$2*I!X431)</f>
        <v>0.22262713448999999</v>
      </c>
      <c r="Y431" s="1010">
        <f>IF(I!Y431="","",$D$2*I!Y431)</f>
        <v>0.36767453110000003</v>
      </c>
      <c r="Z431" s="938"/>
      <c r="AA431" s="938"/>
      <c r="AB431" s="938"/>
      <c r="AC431" s="938"/>
      <c r="AD431" s="1058"/>
      <c r="AE431" s="938"/>
      <c r="AF431" s="938"/>
      <c r="AG431" s="938"/>
      <c r="AH431" s="938"/>
    </row>
    <row r="432" spans="1:34" ht="17.25" customHeight="1" x14ac:dyDescent="0.35">
      <c r="A432" s="938"/>
      <c r="B432" s="938"/>
      <c r="C432" s="941"/>
      <c r="D432" s="1047"/>
      <c r="E432" s="941"/>
      <c r="F432" s="938"/>
      <c r="G432" s="976">
        <f t="shared" si="8"/>
        <v>429</v>
      </c>
      <c r="H432" s="1000"/>
      <c r="I432" s="1001" t="s">
        <v>1059</v>
      </c>
      <c r="J432" s="1031" t="s">
        <v>1475</v>
      </c>
      <c r="K432" s="1002">
        <f>IF(I!K432="","",$D$2*I!K432)</f>
        <v>2.3496728993999998</v>
      </c>
      <c r="L432" s="981"/>
      <c r="M432" s="982"/>
      <c r="N432" s="1003"/>
      <c r="O432" s="1004">
        <f>IF(I!O432="","",$D$2*I!O432)</f>
        <v>8.16</v>
      </c>
      <c r="P432" s="1005">
        <f>IF(I!P432="","",$D$2*I!P432)</f>
        <v>6.9478437152302002</v>
      </c>
      <c r="Q432" s="1006">
        <f>IF(I!Q432="","",$D$2*I!Q432)</f>
        <v>1.3198187999999999E-9</v>
      </c>
      <c r="R432" s="982"/>
      <c r="S432" s="1003"/>
      <c r="T432" s="938"/>
      <c r="U432" s="1008" t="s">
        <v>1059</v>
      </c>
      <c r="V432" s="1018" t="s">
        <v>6286</v>
      </c>
      <c r="W432" s="1019">
        <f>IF(I!W432="","",$D$2*I!W432)</f>
        <v>0.18783462340000001</v>
      </c>
      <c r="X432" s="990">
        <f>IF(I!X432="","",$D$2*I!X432)</f>
        <v>0.21646281373999998</v>
      </c>
      <c r="Y432" s="1010">
        <f>IF(I!Y432="","",$D$2*I!Y432)</f>
        <v>0.29095317340000004</v>
      </c>
      <c r="Z432" s="938"/>
      <c r="AA432" s="938"/>
      <c r="AB432" s="938"/>
      <c r="AC432" s="938"/>
      <c r="AD432" s="1058"/>
      <c r="AE432" s="938"/>
      <c r="AF432" s="938"/>
      <c r="AG432" s="938"/>
      <c r="AH432" s="938"/>
    </row>
    <row r="433" spans="1:34" ht="17.25" customHeight="1" x14ac:dyDescent="0.35">
      <c r="A433" s="938"/>
      <c r="B433" s="938"/>
      <c r="C433" s="941"/>
      <c r="D433" s="1047"/>
      <c r="E433" s="941"/>
      <c r="F433" s="938"/>
      <c r="G433" s="976">
        <f t="shared" si="8"/>
        <v>430</v>
      </c>
      <c r="H433" s="1000"/>
      <c r="I433" s="1001" t="s">
        <v>1059</v>
      </c>
      <c r="J433" s="1031" t="s">
        <v>1476</v>
      </c>
      <c r="K433" s="1002">
        <f>IF(I!K433="","",$D$2*I!K433)</f>
        <v>1.9661445364600001</v>
      </c>
      <c r="L433" s="981"/>
      <c r="M433" s="982"/>
      <c r="N433" s="1003"/>
      <c r="O433" s="1004">
        <f>IF(I!O433="","",$D$2*I!O433)</f>
        <v>6.63</v>
      </c>
      <c r="P433" s="1005">
        <f>IF(I!P433="","",$D$2*I!P433)</f>
        <v>12.492193970112602</v>
      </c>
      <c r="Q433" s="1006">
        <f>IF(I!Q433="","",$D$2*I!Q433)</f>
        <v>9.8086737000000001E-10</v>
      </c>
      <c r="R433" s="982"/>
      <c r="S433" s="1003"/>
      <c r="T433" s="938"/>
      <c r="U433" s="1008" t="s">
        <v>1059</v>
      </c>
      <c r="V433" s="1018" t="s">
        <v>6287</v>
      </c>
      <c r="W433" s="1019">
        <f>IF(I!W433="","",$D$2*I!W433)</f>
        <v>0.21098936900000001</v>
      </c>
      <c r="X433" s="990">
        <f>IF(I!X433="","",$D$2*I!X433)</f>
        <v>0.12670393738999999</v>
      </c>
      <c r="Y433" s="1010">
        <f>IF(I!Y433="","",$D$2*I!Y433)</f>
        <v>0.31496014900000002</v>
      </c>
      <c r="Z433" s="938"/>
      <c r="AA433" s="938"/>
      <c r="AB433" s="938"/>
      <c r="AC433" s="938"/>
      <c r="AD433" s="1058"/>
      <c r="AE433" s="938"/>
      <c r="AF433" s="938"/>
      <c r="AG433" s="938"/>
      <c r="AH433" s="938"/>
    </row>
    <row r="434" spans="1:34" ht="17.25" customHeight="1" x14ac:dyDescent="0.35">
      <c r="A434" s="938"/>
      <c r="B434" s="938"/>
      <c r="C434" s="941"/>
      <c r="D434" s="1047"/>
      <c r="E434" s="941"/>
      <c r="F434" s="938"/>
      <c r="G434" s="976">
        <f t="shared" si="8"/>
        <v>431</v>
      </c>
      <c r="H434" s="942"/>
      <c r="I434" s="1001" t="s">
        <v>1059</v>
      </c>
      <c r="J434" s="1031" t="s">
        <v>1477</v>
      </c>
      <c r="K434" s="1002">
        <f>IF(I!K434="","",$D$2*I!K434)</f>
        <v>2.2661752491399998</v>
      </c>
      <c r="L434" s="981"/>
      <c r="M434" s="982"/>
      <c r="N434" s="1003"/>
      <c r="O434" s="1004">
        <f>IF(I!O434="","",$D$2*I!O434)</f>
        <v>7.89</v>
      </c>
      <c r="P434" s="1005">
        <f>IF(I!P434="","",$D$2*I!P434)</f>
        <v>6.8930140709560002</v>
      </c>
      <c r="Q434" s="1006">
        <f>IF(I!Q434="","",$D$2*I!Q434)</f>
        <v>1.2790867E-9</v>
      </c>
      <c r="R434" s="982"/>
      <c r="S434" s="1003"/>
      <c r="T434" s="938"/>
      <c r="U434" s="1008" t="s">
        <v>1059</v>
      </c>
      <c r="V434" s="1018" t="s">
        <v>6288</v>
      </c>
      <c r="W434" s="1019">
        <f>IF(I!W434="","",$D$2*I!W434)</f>
        <v>0.19162293920000001</v>
      </c>
      <c r="X434" s="990">
        <f>IF(I!X434="","",$D$2*I!X434)</f>
        <v>0.20648213974000001</v>
      </c>
      <c r="Y434" s="1010">
        <f>IF(I!Y434="","",$D$2*I!Y434)</f>
        <v>0.2965005792</v>
      </c>
      <c r="Z434" s="938"/>
      <c r="AA434" s="938"/>
      <c r="AB434" s="938"/>
      <c r="AC434" s="938"/>
      <c r="AD434" s="1058"/>
      <c r="AE434" s="938"/>
      <c r="AF434" s="938"/>
      <c r="AG434" s="938"/>
      <c r="AH434" s="938"/>
    </row>
    <row r="435" spans="1:34" ht="17.25" customHeight="1" x14ac:dyDescent="0.35">
      <c r="A435" s="938"/>
      <c r="B435" s="938"/>
      <c r="C435" s="941"/>
      <c r="D435" s="1047"/>
      <c r="E435" s="941"/>
      <c r="F435" s="938"/>
      <c r="G435" s="976">
        <f t="shared" si="8"/>
        <v>432</v>
      </c>
      <c r="H435" s="1000"/>
      <c r="I435" s="1001" t="s">
        <v>1059</v>
      </c>
      <c r="J435" s="1031" t="s">
        <v>1478</v>
      </c>
      <c r="K435" s="1002">
        <f>IF(I!K435="","",$D$2*I!K435)</f>
        <v>2.6046210299999997</v>
      </c>
      <c r="L435" s="981"/>
      <c r="M435" s="982"/>
      <c r="N435" s="1003"/>
      <c r="O435" s="1004">
        <f>IF(I!O435="","",$D$2*I!O435)</f>
        <v>7.21</v>
      </c>
      <c r="P435" s="1005">
        <f>IF(I!P435="","",$D$2*I!P435)</f>
        <v>6.8092800799700006</v>
      </c>
      <c r="Q435" s="1006">
        <f>IF(I!Q435="","",$D$2*I!Q435)</f>
        <v>4.2390658E-4</v>
      </c>
      <c r="R435" s="982"/>
      <c r="S435" s="1003"/>
      <c r="T435" s="938"/>
      <c r="U435" s="1008" t="s">
        <v>1059</v>
      </c>
      <c r="V435" s="1018" t="s">
        <v>6289</v>
      </c>
      <c r="W435" s="1019">
        <f>IF(I!W435="","",$D$2*I!W435)</f>
        <v>0.20628913440000002</v>
      </c>
      <c r="X435" s="990">
        <f>IF(I!X435="","",$D$2*I!X435)</f>
        <v>0.19818091414</v>
      </c>
      <c r="Y435" s="1010">
        <f>IF(I!Y435="","",$D$2*I!Y435)</f>
        <v>0.31976201440000002</v>
      </c>
      <c r="Z435" s="938"/>
      <c r="AA435" s="938"/>
      <c r="AB435" s="938"/>
      <c r="AC435" s="938"/>
      <c r="AD435" s="1058"/>
      <c r="AE435" s="938"/>
      <c r="AF435" s="938"/>
      <c r="AG435" s="938"/>
      <c r="AH435" s="938"/>
    </row>
    <row r="436" spans="1:34" ht="17.25" customHeight="1" x14ac:dyDescent="0.35">
      <c r="A436" s="938"/>
      <c r="B436" s="938"/>
      <c r="C436" s="941"/>
      <c r="D436" s="1047"/>
      <c r="E436" s="941"/>
      <c r="F436" s="938"/>
      <c r="G436" s="976">
        <f t="shared" si="8"/>
        <v>433</v>
      </c>
      <c r="H436" s="1000"/>
      <c r="I436" s="1001" t="s">
        <v>1059</v>
      </c>
      <c r="J436" s="1031" t="s">
        <v>1479</v>
      </c>
      <c r="K436" s="1002">
        <f>IF(I!K436="","",$D$2*I!K436)</f>
        <v>2.6038280200000004</v>
      </c>
      <c r="L436" s="981"/>
      <c r="M436" s="982"/>
      <c r="N436" s="1003"/>
      <c r="O436" s="1004">
        <f>IF(I!O436="","",$D$2*I!O436)</f>
        <v>7.05</v>
      </c>
      <c r="P436" s="1005">
        <f>IF(I!P436="","",$D$2*I!P436)</f>
        <v>6.1794902001710996</v>
      </c>
      <c r="Q436" s="1006">
        <f>IF(I!Q436="","",$D$2*I!Q436)</f>
        <v>4.5264589000000002E-4</v>
      </c>
      <c r="R436" s="982"/>
      <c r="S436" s="1003"/>
      <c r="T436" s="938"/>
      <c r="U436" s="1008" t="s">
        <v>1059</v>
      </c>
      <c r="V436" s="1018" t="s">
        <v>6290</v>
      </c>
      <c r="W436" s="1019">
        <f>IF(I!W436="","",$D$2*I!W436)</f>
        <v>0.17371790500000001</v>
      </c>
      <c r="X436" s="990">
        <f>IF(I!X436="","",$D$2*I!X436)</f>
        <v>0.28419919630000001</v>
      </c>
      <c r="Y436" s="1010">
        <f>IF(I!Y436="","",$D$2*I!Y436)</f>
        <v>0.28023140499999999</v>
      </c>
      <c r="Z436" s="938"/>
      <c r="AA436" s="938"/>
      <c r="AB436" s="938"/>
      <c r="AC436" s="938"/>
      <c r="AD436" s="1058"/>
      <c r="AE436" s="938"/>
      <c r="AF436" s="938"/>
      <c r="AG436" s="938"/>
      <c r="AH436" s="938"/>
    </row>
    <row r="437" spans="1:34" ht="17.25" customHeight="1" x14ac:dyDescent="0.35">
      <c r="A437" s="938"/>
      <c r="B437" s="938"/>
      <c r="C437" s="941"/>
      <c r="D437" s="1047"/>
      <c r="E437" s="941"/>
      <c r="F437" s="938"/>
      <c r="G437" s="976">
        <f t="shared" si="8"/>
        <v>434</v>
      </c>
      <c r="H437" s="1000"/>
      <c r="I437" s="1001" t="s">
        <v>1059</v>
      </c>
      <c r="J437" s="1031" t="s">
        <v>1480</v>
      </c>
      <c r="K437" s="1002">
        <f>IF(I!K437="","",$D$2*I!K437)</f>
        <v>1.3676288413000002</v>
      </c>
      <c r="L437" s="981"/>
      <c r="M437" s="982"/>
      <c r="N437" s="1003"/>
      <c r="O437" s="1004">
        <f>IF(I!O437="","",$D$2*I!O437)</f>
        <v>4.74</v>
      </c>
      <c r="P437" s="1005">
        <f>IF(I!P437="","",$D$2*I!P437)</f>
        <v>4.1931274586108991</v>
      </c>
      <c r="Q437" s="1006">
        <f>IF(I!Q437="","",$D$2*I!Q437)</f>
        <v>1.0835427E-9</v>
      </c>
      <c r="R437" s="982"/>
      <c r="S437" s="1003"/>
      <c r="T437" s="938"/>
      <c r="U437" s="1008" t="s">
        <v>1059</v>
      </c>
      <c r="V437" s="1018" t="s">
        <v>6291</v>
      </c>
      <c r="W437" s="1019">
        <f>IF(I!W437="","",$D$2*I!W437)</f>
        <v>0.16696759389999999</v>
      </c>
      <c r="X437" s="990">
        <f>IF(I!X437="","",$D$2*I!X437)</f>
        <v>0.12281882617000001</v>
      </c>
      <c r="Y437" s="1010">
        <f>IF(I!Y437="","",$D$2*I!Y437)</f>
        <v>0.25655563989999997</v>
      </c>
      <c r="Z437" s="938"/>
      <c r="AA437" s="938"/>
      <c r="AB437" s="938"/>
      <c r="AC437" s="938"/>
      <c r="AD437" s="1058"/>
      <c r="AE437" s="938"/>
      <c r="AF437" s="938"/>
      <c r="AG437" s="938"/>
      <c r="AH437" s="938"/>
    </row>
    <row r="438" spans="1:34" ht="17.25" customHeight="1" x14ac:dyDescent="0.35">
      <c r="A438" s="938"/>
      <c r="B438" s="938"/>
      <c r="C438" s="941"/>
      <c r="D438" s="1047"/>
      <c r="E438" s="941"/>
      <c r="F438" s="938"/>
      <c r="G438" s="976">
        <f t="shared" si="8"/>
        <v>435</v>
      </c>
      <c r="H438" s="1000"/>
      <c r="I438" s="1001" t="s">
        <v>1059</v>
      </c>
      <c r="J438" s="1031" t="s">
        <v>1481</v>
      </c>
      <c r="K438" s="1002">
        <f>IF(I!K438="","",$D$2*I!K438)</f>
        <v>2.6550595112999997</v>
      </c>
      <c r="L438" s="981"/>
      <c r="M438" s="982"/>
      <c r="N438" s="1003"/>
      <c r="O438" s="1004">
        <f>IF(I!O438="","",$D$2*I!O438)</f>
        <v>7.45</v>
      </c>
      <c r="P438" s="1005">
        <f>IF(I!P438="","",$D$2*I!P438)</f>
        <v>19.383440501316297</v>
      </c>
      <c r="Q438" s="1006">
        <f>IF(I!Q438="","",$D$2*I!Q438)</f>
        <v>1.1101477E-9</v>
      </c>
      <c r="R438" s="982"/>
      <c r="S438" s="1003"/>
      <c r="T438" s="938"/>
      <c r="U438" s="1008" t="s">
        <v>1059</v>
      </c>
      <c r="V438" s="1018" t="s">
        <v>6292</v>
      </c>
      <c r="W438" s="1019">
        <f>IF(I!W438="","",$D$2*I!W438)</f>
        <v>8.5482499890000008E-2</v>
      </c>
      <c r="X438" s="990">
        <f>IF(I!X438="","",$D$2*I!X438)</f>
        <v>6.2892998700000008E-2</v>
      </c>
      <c r="Y438" s="1010">
        <f>IF(I!Y438="","",$D$2*I!Y438)</f>
        <v>0.15987508788999999</v>
      </c>
      <c r="Z438" s="938"/>
      <c r="AA438" s="938"/>
      <c r="AB438" s="938"/>
      <c r="AC438" s="938"/>
      <c r="AD438" s="1058"/>
      <c r="AE438" s="938"/>
      <c r="AF438" s="938"/>
      <c r="AG438" s="938"/>
      <c r="AH438" s="938"/>
    </row>
    <row r="439" spans="1:34" ht="17.25" customHeight="1" x14ac:dyDescent="0.35">
      <c r="A439" s="938"/>
      <c r="B439" s="938"/>
      <c r="C439" s="941"/>
      <c r="D439" s="1047"/>
      <c r="E439" s="941"/>
      <c r="F439" s="938"/>
      <c r="G439" s="976">
        <f t="shared" si="8"/>
        <v>436</v>
      </c>
      <c r="H439" s="1000"/>
      <c r="I439" s="1001" t="s">
        <v>1059</v>
      </c>
      <c r="J439" s="1031" t="s">
        <v>1482</v>
      </c>
      <c r="K439" s="1002">
        <f>IF(I!K439="","",$D$2*I!K439)</f>
        <v>2.1477550805500001</v>
      </c>
      <c r="L439" s="981"/>
      <c r="M439" s="982"/>
      <c r="N439" s="1003"/>
      <c r="O439" s="1004">
        <f>IF(I!O439="","",$D$2*I!O439)</f>
        <v>7.13</v>
      </c>
      <c r="P439" s="1005">
        <f>IF(I!P439="","",$D$2*I!P439)</f>
        <v>8.5143012531401006</v>
      </c>
      <c r="Q439" s="1006">
        <f>IF(I!Q439="","",$D$2*I!Q439)</f>
        <v>1.3407925000000001E-9</v>
      </c>
      <c r="R439" s="982"/>
      <c r="S439" s="1003"/>
      <c r="T439" s="938"/>
      <c r="U439" s="1008" t="s">
        <v>1059</v>
      </c>
      <c r="V439" s="1018" t="s">
        <v>6293</v>
      </c>
      <c r="W439" s="1019">
        <f>IF(I!W439="","",$D$2*I!W439)</f>
        <v>7.0611389679999997E-2</v>
      </c>
      <c r="X439" s="990">
        <f>IF(I!X439="","",$D$2*I!X439)</f>
        <v>5.4763873650000003E-2</v>
      </c>
      <c r="Y439" s="1010">
        <f>IF(I!Y439="","",$D$2*I!Y439)</f>
        <v>0.14956790268</v>
      </c>
      <c r="Z439" s="938"/>
      <c r="AA439" s="938"/>
      <c r="AB439" s="938"/>
      <c r="AC439" s="938"/>
      <c r="AD439" s="1058"/>
      <c r="AE439" s="938"/>
      <c r="AF439" s="938"/>
      <c r="AG439" s="938"/>
      <c r="AH439" s="938"/>
    </row>
    <row r="440" spans="1:34" ht="17.25" customHeight="1" x14ac:dyDescent="0.35">
      <c r="A440" s="938"/>
      <c r="B440" s="938"/>
      <c r="C440" s="941"/>
      <c r="D440" s="1047"/>
      <c r="E440" s="941"/>
      <c r="F440" s="938"/>
      <c r="G440" s="976">
        <f t="shared" si="8"/>
        <v>437</v>
      </c>
      <c r="H440" s="942" t="s">
        <v>1483</v>
      </c>
      <c r="I440" s="1001"/>
      <c r="J440" s="1027"/>
      <c r="K440" s="1002" t="str">
        <f>IF(I!K440="","",$D$2*I!K440)</f>
        <v/>
      </c>
      <c r="L440" s="981"/>
      <c r="M440" s="982"/>
      <c r="N440" s="1003"/>
      <c r="O440" s="1004" t="str">
        <f>IF(I!O440="","",$D$2*I!O440)</f>
        <v/>
      </c>
      <c r="P440" s="1005" t="str">
        <f>IF(I!P440="","",$D$2*I!P440)</f>
        <v/>
      </c>
      <c r="Q440" s="1006" t="str">
        <f>IF(I!Q440="","",$D$2*I!Q440)</f>
        <v/>
      </c>
      <c r="R440" s="982"/>
      <c r="S440" s="1003"/>
      <c r="T440" s="938"/>
      <c r="U440" s="1008" t="s">
        <v>1059</v>
      </c>
      <c r="V440" s="1018" t="s">
        <v>6294</v>
      </c>
      <c r="W440" s="1019">
        <f>IF(I!W440="","",$D$2*I!W440)</f>
        <v>0.11071518659999999</v>
      </c>
      <c r="X440" s="990">
        <f>IF(I!X440="","",$D$2*I!X440)</f>
        <v>0.10818408768</v>
      </c>
      <c r="Y440" s="1010">
        <f>IF(I!Y440="","",$D$2*I!Y440)</f>
        <v>0.20902408259999999</v>
      </c>
      <c r="Z440" s="938"/>
      <c r="AA440" s="938"/>
      <c r="AB440" s="938"/>
      <c r="AC440" s="938"/>
      <c r="AD440" s="1058"/>
      <c r="AE440" s="938"/>
      <c r="AF440" s="938"/>
      <c r="AG440" s="938"/>
      <c r="AH440" s="938"/>
    </row>
    <row r="441" spans="1:34" ht="17.25" customHeight="1" x14ac:dyDescent="0.35">
      <c r="A441" s="938"/>
      <c r="B441" s="938"/>
      <c r="C441" s="941"/>
      <c r="D441" s="1047"/>
      <c r="E441" s="941"/>
      <c r="F441" s="938"/>
      <c r="G441" s="976">
        <f t="shared" si="8"/>
        <v>438</v>
      </c>
      <c r="H441" s="1000"/>
      <c r="I441" s="1001" t="s">
        <v>1059</v>
      </c>
      <c r="J441" s="1031" t="s">
        <v>1484</v>
      </c>
      <c r="K441" s="1002">
        <f>IF(I!K441="","",$D$2*I!K441)</f>
        <v>0.7787918291</v>
      </c>
      <c r="L441" s="981"/>
      <c r="M441" s="982"/>
      <c r="N441" s="1003"/>
      <c r="O441" s="1004">
        <f>IF(I!O441="","",$D$2*I!O441)</f>
        <v>3.23</v>
      </c>
      <c r="P441" s="1005">
        <f>IF(I!P441="","",$D$2*I!P441)</f>
        <v>10.543838881515001</v>
      </c>
      <c r="Q441" s="1006">
        <f>IF(I!Q441="","",$D$2*I!Q441)</f>
        <v>8.7099493999999994E-11</v>
      </c>
      <c r="R441" s="982"/>
      <c r="S441" s="1003"/>
      <c r="T441" s="938"/>
      <c r="U441" s="1008" t="s">
        <v>1059</v>
      </c>
      <c r="V441" s="1018" t="s">
        <v>6295</v>
      </c>
      <c r="W441" s="1019">
        <f>IF(I!W441="","",$D$2*I!W441)</f>
        <v>6.9834606520000009E-2</v>
      </c>
      <c r="X441" s="990">
        <f>IF(I!X441="","",$D$2*I!X441)</f>
        <v>6.8422618510000005E-2</v>
      </c>
      <c r="Y441" s="1010">
        <f>IF(I!Y441="","",$D$2*I!Y441)</f>
        <v>0.13771934252000001</v>
      </c>
      <c r="Z441" s="938"/>
      <c r="AA441" s="938"/>
      <c r="AB441" s="938"/>
      <c r="AC441" s="938"/>
      <c r="AD441" s="1058"/>
      <c r="AE441" s="938"/>
      <c r="AF441" s="938"/>
      <c r="AG441" s="938"/>
      <c r="AH441" s="938"/>
    </row>
    <row r="442" spans="1:34" ht="17.25" customHeight="1" x14ac:dyDescent="0.35">
      <c r="A442" s="938"/>
      <c r="B442" s="938"/>
      <c r="C442" s="941"/>
      <c r="D442" s="1047"/>
      <c r="E442" s="941"/>
      <c r="F442" s="938"/>
      <c r="G442" s="976">
        <f t="shared" si="8"/>
        <v>439</v>
      </c>
      <c r="H442" s="1000"/>
      <c r="I442" s="1001" t="s">
        <v>1059</v>
      </c>
      <c r="J442" s="1031" t="s">
        <v>1485</v>
      </c>
      <c r="K442" s="1002">
        <f>IF(I!K442="","",$D$2*I!K442)</f>
        <v>2.1177477439999999</v>
      </c>
      <c r="L442" s="981"/>
      <c r="M442" s="982"/>
      <c r="N442" s="1003"/>
      <c r="O442" s="1004">
        <f>IF(I!O442="","",$D$2*I!O442)</f>
        <v>6.17</v>
      </c>
      <c r="P442" s="1005">
        <f>IF(I!P442="","",$D$2*I!P442)</f>
        <v>10.655513126180001</v>
      </c>
      <c r="Q442" s="1006">
        <f>IF(I!Q442="","",$D$2*I!Q442)</f>
        <v>1.0605994E-10</v>
      </c>
      <c r="R442" s="982"/>
      <c r="S442" s="1003"/>
      <c r="T442" s="938"/>
      <c r="U442" s="1008" t="s">
        <v>1059</v>
      </c>
      <c r="V442" s="1018" t="s">
        <v>6296</v>
      </c>
      <c r="W442" s="1019">
        <f>IF(I!W442="","",$D$2*I!W442)</f>
        <v>9.0453771299999985E-2</v>
      </c>
      <c r="X442" s="990">
        <f>IF(I!X442="","",$D$2*I!X442)</f>
        <v>8.9198480489999996E-2</v>
      </c>
      <c r="Y442" s="1010">
        <f>IF(I!Y442="","",$D$2*I!Y442)</f>
        <v>0.1792283523</v>
      </c>
      <c r="Z442" s="938"/>
      <c r="AA442" s="938"/>
      <c r="AB442" s="938"/>
      <c r="AC442" s="938"/>
      <c r="AD442" s="1058"/>
      <c r="AE442" s="938"/>
      <c r="AF442" s="938"/>
      <c r="AG442" s="938"/>
      <c r="AH442" s="938"/>
    </row>
    <row r="443" spans="1:34" ht="17.25" customHeight="1" x14ac:dyDescent="0.35">
      <c r="A443" s="938"/>
      <c r="B443" s="938"/>
      <c r="C443" s="941"/>
      <c r="D443" s="1047"/>
      <c r="E443" s="941"/>
      <c r="F443" s="938"/>
      <c r="G443" s="976">
        <f t="shared" si="8"/>
        <v>440</v>
      </c>
      <c r="H443" s="1000"/>
      <c r="I443" s="1001" t="s">
        <v>1059</v>
      </c>
      <c r="J443" s="1031" t="s">
        <v>1486</v>
      </c>
      <c r="K443" s="1002">
        <f>IF(I!K443="","",$D$2*I!K443)</f>
        <v>6.1482145049999994</v>
      </c>
      <c r="L443" s="981"/>
      <c r="M443" s="982"/>
      <c r="N443" s="1003"/>
      <c r="O443" s="1004">
        <f>IF(I!O443="","",$D$2*I!O443)</f>
        <v>14.67</v>
      </c>
      <c r="P443" s="1005">
        <f>IF(I!P443="","",$D$2*I!P443)</f>
        <v>12.005921905504</v>
      </c>
      <c r="Q443" s="1006">
        <f>IF(I!Q443="","",$D$2*I!Q443)</f>
        <v>5.8036735999999997E-11</v>
      </c>
      <c r="R443" s="982"/>
      <c r="S443" s="1003"/>
      <c r="T443" s="938"/>
      <c r="U443" s="1008" t="s">
        <v>1059</v>
      </c>
      <c r="V443" s="1018" t="s">
        <v>6297</v>
      </c>
      <c r="W443" s="1019">
        <f>IF(I!W443="","",$D$2*I!W443)</f>
        <v>9.2921085520000002E-2</v>
      </c>
      <c r="X443" s="990">
        <f>IF(I!X443="","",$D$2*I!X443)</f>
        <v>5.3029420700000003E-2</v>
      </c>
      <c r="Y443" s="1010">
        <f>IF(I!Y443="","",$D$2*I!Y443)</f>
        <v>0.17815897852000001</v>
      </c>
      <c r="Z443" s="938"/>
      <c r="AA443" s="938"/>
      <c r="AB443" s="938"/>
      <c r="AC443" s="938"/>
      <c r="AD443" s="1058"/>
      <c r="AE443" s="938"/>
      <c r="AF443" s="938"/>
      <c r="AG443" s="938"/>
      <c r="AH443" s="938"/>
    </row>
    <row r="444" spans="1:34" ht="17.25" customHeight="1" x14ac:dyDescent="0.35">
      <c r="A444" s="938"/>
      <c r="B444" s="938"/>
      <c r="C444" s="941"/>
      <c r="D444" s="1047"/>
      <c r="E444" s="941"/>
      <c r="F444" s="938"/>
      <c r="G444" s="976">
        <f t="shared" si="8"/>
        <v>441</v>
      </c>
      <c r="H444" s="942" t="s">
        <v>1487</v>
      </c>
      <c r="I444" s="1001"/>
      <c r="J444" s="1027"/>
      <c r="K444" s="1002" t="str">
        <f>IF(I!K444="","",$D$2*I!K444)</f>
        <v/>
      </c>
      <c r="L444" s="981"/>
      <c r="M444" s="982"/>
      <c r="N444" s="1003"/>
      <c r="O444" s="1004" t="str">
        <f>IF(I!O444="","",$D$2*I!O444)</f>
        <v/>
      </c>
      <c r="P444" s="1005" t="str">
        <f>IF(I!P444="","",$D$2*I!P444)</f>
        <v/>
      </c>
      <c r="Q444" s="1006" t="str">
        <f>IF(I!Q444="","",$D$2*I!Q444)</f>
        <v/>
      </c>
      <c r="R444" s="982"/>
      <c r="S444" s="1003"/>
      <c r="T444" s="938"/>
      <c r="U444" s="1008" t="s">
        <v>1059</v>
      </c>
      <c r="V444" s="1018" t="s">
        <v>6298</v>
      </c>
      <c r="W444" s="1019">
        <f>IF(I!W444="","",$D$2*I!W444)</f>
        <v>8.0565360200000005E-2</v>
      </c>
      <c r="X444" s="990">
        <f>IF(I!X444="","",$D$2*I!X444)</f>
        <v>5.3660499590000001E-2</v>
      </c>
      <c r="Y444" s="1010">
        <f>IF(I!Y444="","",$D$2*I!Y444)</f>
        <v>0.15932303520000002</v>
      </c>
      <c r="Z444" s="938"/>
      <c r="AA444" s="938"/>
      <c r="AB444" s="938"/>
      <c r="AC444" s="938"/>
      <c r="AD444" s="1058"/>
      <c r="AE444" s="938"/>
      <c r="AF444" s="938"/>
      <c r="AG444" s="938"/>
      <c r="AH444" s="938"/>
    </row>
    <row r="445" spans="1:34" ht="17.25" customHeight="1" x14ac:dyDescent="0.35">
      <c r="A445" s="938"/>
      <c r="B445" s="938"/>
      <c r="C445" s="941"/>
      <c r="D445" s="1047"/>
      <c r="E445" s="941"/>
      <c r="F445" s="938"/>
      <c r="G445" s="976">
        <f t="shared" si="8"/>
        <v>442</v>
      </c>
      <c r="H445" s="1000"/>
      <c r="I445" s="1001" t="s">
        <v>1059</v>
      </c>
      <c r="J445" s="1031" t="s">
        <v>1488</v>
      </c>
      <c r="K445" s="1002">
        <f>IF(I!K445="","",$D$2*I!K445)</f>
        <v>0.27335513</v>
      </c>
      <c r="L445" s="981"/>
      <c r="M445" s="982"/>
      <c r="N445" s="1003"/>
      <c r="O445" s="1004">
        <f>IF(I!O445="","",$D$2*I!O445)</f>
        <v>0.54</v>
      </c>
      <c r="P445" s="1005">
        <f>IF(I!P445="","",$D$2*I!P445)</f>
        <v>0.85005991667799996</v>
      </c>
      <c r="Q445" s="1006">
        <f>IF(I!Q445="","",$D$2*I!Q445)</f>
        <v>3.1614410000000001E-5</v>
      </c>
      <c r="R445" s="982"/>
      <c r="S445" s="1003"/>
      <c r="T445" s="938"/>
      <c r="U445" s="1008" t="s">
        <v>1059</v>
      </c>
      <c r="V445" s="1018" t="s">
        <v>6299</v>
      </c>
      <c r="W445" s="1019">
        <f>IF(I!W445="","",$D$2*I!W445)</f>
        <v>0.41363596879999998</v>
      </c>
      <c r="X445" s="990">
        <f>IF(I!X445="","",$D$2*I!X445)</f>
        <v>0.30432902543000001</v>
      </c>
      <c r="Y445" s="1010">
        <f>IF(I!Y445="","",$D$2*I!Y445)</f>
        <v>0.77360964879999994</v>
      </c>
      <c r="Z445" s="938"/>
      <c r="AA445" s="938"/>
      <c r="AB445" s="938"/>
      <c r="AC445" s="938"/>
      <c r="AD445" s="1058"/>
      <c r="AE445" s="938"/>
      <c r="AF445" s="938"/>
      <c r="AG445" s="938"/>
      <c r="AH445" s="938"/>
    </row>
    <row r="446" spans="1:34" ht="17.25" customHeight="1" x14ac:dyDescent="0.35">
      <c r="A446" s="938"/>
      <c r="B446" s="938"/>
      <c r="C446" s="941"/>
      <c r="D446" s="1047"/>
      <c r="E446" s="941"/>
      <c r="F446" s="938"/>
      <c r="G446" s="976">
        <f t="shared" si="8"/>
        <v>443</v>
      </c>
      <c r="H446" s="1000"/>
      <c r="I446" s="1001" t="s">
        <v>1059</v>
      </c>
      <c r="J446" s="1031" t="s">
        <v>1489</v>
      </c>
      <c r="K446" s="1002">
        <f>IF(I!K446="","",$D$2*I!K446)</f>
        <v>0.22213534700000001</v>
      </c>
      <c r="L446" s="981"/>
      <c r="M446" s="982"/>
      <c r="N446" s="1003"/>
      <c r="O446" s="1004">
        <f>IF(I!O446="","",$D$2*I!O446)</f>
        <v>0.48</v>
      </c>
      <c r="P446" s="1005">
        <f>IF(I!P446="","",$D$2*I!P446)</f>
        <v>0.82910995770700002</v>
      </c>
      <c r="Q446" s="1006">
        <f>IF(I!Q446="","",$D$2*I!Q446)</f>
        <v>1.157548E-9</v>
      </c>
      <c r="R446" s="982"/>
      <c r="S446" s="1003"/>
      <c r="T446" s="938"/>
      <c r="U446" s="1008" t="s">
        <v>1059</v>
      </c>
      <c r="V446" s="1018" t="s">
        <v>6300</v>
      </c>
      <c r="W446" s="1019">
        <f>IF(I!W446="","",$D$2*I!W446)</f>
        <v>0.34167707330000002</v>
      </c>
      <c r="X446" s="990">
        <f>IF(I!X446="","",$D$2*I!X446)</f>
        <v>0.26499350624000001</v>
      </c>
      <c r="Y446" s="1010">
        <f>IF(I!Y446="","",$D$2*I!Y446)</f>
        <v>0.72373484330000004</v>
      </c>
      <c r="Z446" s="938"/>
      <c r="AA446" s="938"/>
      <c r="AB446" s="938"/>
      <c r="AC446" s="938"/>
      <c r="AD446" s="1058"/>
      <c r="AE446" s="938"/>
      <c r="AF446" s="938"/>
      <c r="AG446" s="938"/>
      <c r="AH446" s="938"/>
    </row>
    <row r="447" spans="1:34" ht="17.25" customHeight="1" x14ac:dyDescent="0.35">
      <c r="A447" s="938"/>
      <c r="B447" s="938"/>
      <c r="C447" s="941"/>
      <c r="D447" s="1047"/>
      <c r="E447" s="941"/>
      <c r="F447" s="938"/>
      <c r="G447" s="976">
        <f t="shared" si="8"/>
        <v>444</v>
      </c>
      <c r="H447" s="1000"/>
      <c r="I447" s="1001" t="s">
        <v>1059</v>
      </c>
      <c r="J447" s="1031" t="s">
        <v>1490</v>
      </c>
      <c r="K447" s="1002">
        <f>IF(I!K447="","",$D$2*I!K447)</f>
        <v>0.23953966700000001</v>
      </c>
      <c r="L447" s="981"/>
      <c r="M447" s="982"/>
      <c r="N447" s="1003"/>
      <c r="O447" s="1004">
        <f>IF(I!O447="","",$D$2*I!O447)</f>
        <v>0.5</v>
      </c>
      <c r="P447" s="1005">
        <f>IF(I!P447="","",$D$2*I!P447)</f>
        <v>0.83603065027900003</v>
      </c>
      <c r="Q447" s="1006">
        <f>IF(I!Q447="","",$D$2*I!Q447)</f>
        <v>1.0778402E-5</v>
      </c>
      <c r="R447" s="982"/>
      <c r="S447" s="1003"/>
      <c r="T447" s="938"/>
      <c r="U447" s="1008" t="s">
        <v>1059</v>
      </c>
      <c r="V447" s="1018" t="s">
        <v>6301</v>
      </c>
      <c r="W447" s="1019">
        <f>IF(I!W447="","",$D$2*I!W447)</f>
        <v>0.53573284060000004</v>
      </c>
      <c r="X447" s="990">
        <f>IF(I!X447="","",$D$2*I!X447)</f>
        <v>0.52348527172000003</v>
      </c>
      <c r="Y447" s="1010">
        <f>IF(I!Y447="","",$D$2*I!Y447)</f>
        <v>1.0114336505999999</v>
      </c>
      <c r="Z447" s="938"/>
      <c r="AA447" s="938"/>
      <c r="AB447" s="938"/>
      <c r="AC447" s="938"/>
      <c r="AD447" s="1058"/>
      <c r="AE447" s="938"/>
      <c r="AF447" s="938"/>
      <c r="AG447" s="938"/>
      <c r="AH447" s="938"/>
    </row>
    <row r="448" spans="1:34" ht="17.25" customHeight="1" x14ac:dyDescent="0.35">
      <c r="A448" s="938"/>
      <c r="B448" s="938"/>
      <c r="C448" s="941"/>
      <c r="D448" s="1047"/>
      <c r="E448" s="941"/>
      <c r="F448" s="938"/>
      <c r="G448" s="976">
        <f t="shared" si="8"/>
        <v>445</v>
      </c>
      <c r="H448" s="1000"/>
      <c r="I448" s="1001" t="s">
        <v>1059</v>
      </c>
      <c r="J448" s="1031" t="s">
        <v>1491</v>
      </c>
      <c r="K448" s="1002">
        <f>IF(I!K448="","",$D$2*I!K448)</f>
        <v>0.238392194</v>
      </c>
      <c r="L448" s="981"/>
      <c r="M448" s="982"/>
      <c r="N448" s="1003"/>
      <c r="O448" s="1004">
        <f>IF(I!O448="","",$D$2*I!O448)</f>
        <v>0.54</v>
      </c>
      <c r="P448" s="1005">
        <f>IF(I!P448="","",$D$2*I!P448)</f>
        <v>0.78169319890000011</v>
      </c>
      <c r="Q448" s="1006">
        <f>IF(I!Q448="","",$D$2*I!Q448)</f>
        <v>1.1854751E-9</v>
      </c>
      <c r="R448" s="982"/>
      <c r="S448" s="1003"/>
      <c r="T448" s="938"/>
      <c r="U448" s="1008" t="s">
        <v>1059</v>
      </c>
      <c r="V448" s="1018" t="s">
        <v>6302</v>
      </c>
      <c r="W448" s="1019">
        <f>IF(I!W448="","",$D$2*I!W448)</f>
        <v>0.33791834369999996</v>
      </c>
      <c r="X448" s="990">
        <f>IF(I!X448="","",$D$2*I!X448)</f>
        <v>0.33108596493000003</v>
      </c>
      <c r="Y448" s="1010">
        <f>IF(I!Y448="","",$D$2*I!Y448)</f>
        <v>0.66640158369999991</v>
      </c>
      <c r="Z448" s="938"/>
      <c r="AA448" s="938"/>
      <c r="AB448" s="938"/>
      <c r="AC448" s="938"/>
      <c r="AD448" s="1058"/>
      <c r="AE448" s="938"/>
      <c r="AF448" s="938"/>
      <c r="AG448" s="938"/>
      <c r="AH448" s="938"/>
    </row>
    <row r="449" spans="1:34" ht="17.25" customHeight="1" x14ac:dyDescent="0.35">
      <c r="A449" s="938"/>
      <c r="B449" s="938"/>
      <c r="C449" s="941"/>
      <c r="D449" s="1047"/>
      <c r="E449" s="941"/>
      <c r="F449" s="938"/>
      <c r="G449" s="976">
        <f t="shared" si="8"/>
        <v>446</v>
      </c>
      <c r="H449" s="1000"/>
      <c r="I449" s="1001" t="s">
        <v>1059</v>
      </c>
      <c r="J449" s="1031" t="s">
        <v>1492</v>
      </c>
      <c r="K449" s="1002">
        <f>IF(I!K449="","",$D$2*I!K449)</f>
        <v>0.239040694</v>
      </c>
      <c r="L449" s="981"/>
      <c r="M449" s="982"/>
      <c r="N449" s="1003"/>
      <c r="O449" s="1004">
        <f>IF(I!O449="","",$D$2*I!O449)</f>
        <v>0.51</v>
      </c>
      <c r="P449" s="1005">
        <f>IF(I!P449="","",$D$2*I!P449)</f>
        <v>0.91986686665400008</v>
      </c>
      <c r="Q449" s="1006">
        <f>IF(I!Q449="","",$D$2*I!Q449)</f>
        <v>1.0778385000000001E-5</v>
      </c>
      <c r="R449" s="982"/>
      <c r="S449" s="1003"/>
      <c r="T449" s="938"/>
      <c r="U449" s="1008" t="s">
        <v>1059</v>
      </c>
      <c r="V449" s="1018" t="s">
        <v>6303</v>
      </c>
      <c r="W449" s="1019">
        <f>IF(I!W449="","",$D$2*I!W449)</f>
        <v>0.43769113720000002</v>
      </c>
      <c r="X449" s="990">
        <f>IF(I!X449="","",$D$2*I!X449)</f>
        <v>0.43161699361999994</v>
      </c>
      <c r="Y449" s="1010">
        <f>IF(I!Y449="","",$D$2*I!Y449)</f>
        <v>0.86725694720000002</v>
      </c>
      <c r="Z449" s="938"/>
      <c r="AA449" s="938"/>
      <c r="AB449" s="938"/>
      <c r="AC449" s="938"/>
      <c r="AD449" s="1058"/>
      <c r="AE449" s="938"/>
      <c r="AF449" s="938"/>
      <c r="AG449" s="938"/>
      <c r="AH449" s="938"/>
    </row>
    <row r="450" spans="1:34" ht="17.25" customHeight="1" x14ac:dyDescent="0.35">
      <c r="A450" s="938"/>
      <c r="B450" s="938"/>
      <c r="C450" s="941"/>
      <c r="D450" s="1047"/>
      <c r="E450" s="941"/>
      <c r="F450" s="938"/>
      <c r="G450" s="976">
        <f t="shared" si="8"/>
        <v>447</v>
      </c>
      <c r="H450" s="942" t="s">
        <v>1493</v>
      </c>
      <c r="I450" s="1026"/>
      <c r="J450" s="1054"/>
      <c r="K450" s="1002" t="str">
        <f>IF(I!K450="","",$D$2*I!K450)</f>
        <v/>
      </c>
      <c r="L450" s="981"/>
      <c r="M450" s="982"/>
      <c r="N450" s="1003"/>
      <c r="O450" s="1004" t="str">
        <f>IF(I!O450="","",$D$2*I!O450)</f>
        <v/>
      </c>
      <c r="P450" s="1005" t="str">
        <f>IF(I!P450="","",$D$2*I!P450)</f>
        <v/>
      </c>
      <c r="Q450" s="1006" t="str">
        <f>IF(I!Q450="","",$D$2*I!Q450)</f>
        <v/>
      </c>
      <c r="R450" s="982"/>
      <c r="S450" s="1003"/>
      <c r="T450" s="938"/>
      <c r="U450" s="1008" t="s">
        <v>1059</v>
      </c>
      <c r="V450" s="1018" t="s">
        <v>6304</v>
      </c>
      <c r="W450" s="1019">
        <f>IF(I!W450="","",$D$2*I!W450)</f>
        <v>0.44963006680000001</v>
      </c>
      <c r="X450" s="990">
        <f>IF(I!X450="","",$D$2*I!X450)</f>
        <v>0.25660077513000001</v>
      </c>
      <c r="Y450" s="1010">
        <f>IF(I!Y450="","",$D$2*I!Y450)</f>
        <v>0.86208241680000008</v>
      </c>
      <c r="Z450" s="938"/>
      <c r="AA450" s="938"/>
      <c r="AB450" s="938"/>
      <c r="AC450" s="938"/>
      <c r="AD450" s="1058"/>
      <c r="AE450" s="938"/>
      <c r="AF450" s="938"/>
      <c r="AG450" s="938"/>
      <c r="AH450" s="938"/>
    </row>
    <row r="451" spans="1:34" ht="17.25" customHeight="1" x14ac:dyDescent="0.35">
      <c r="A451" s="938"/>
      <c r="B451" s="938"/>
      <c r="C451" s="941"/>
      <c r="D451" s="1047"/>
      <c r="E451" s="941"/>
      <c r="F451" s="938"/>
      <c r="G451" s="976">
        <f t="shared" si="8"/>
        <v>448</v>
      </c>
      <c r="H451" s="1000"/>
      <c r="I451" s="1001" t="s">
        <v>1059</v>
      </c>
      <c r="J451" s="1031" t="s">
        <v>1494</v>
      </c>
      <c r="K451" s="1002">
        <f>IF(I!K451="","",$D$2*I!K451)</f>
        <v>0.28748294399999996</v>
      </c>
      <c r="L451" s="981"/>
      <c r="M451" s="982"/>
      <c r="N451" s="1003"/>
      <c r="O451" s="1004">
        <f>IF(I!O451="","",$D$2*I!O451)</f>
        <v>0.98</v>
      </c>
      <c r="P451" s="1005">
        <f>IF(I!P451="","",$D$2*I!P451)</f>
        <v>0.25546090192999993</v>
      </c>
      <c r="Q451" s="1006">
        <f>IF(I!Q451="","",$D$2*I!Q451)</f>
        <v>3.4763365999999999E-10</v>
      </c>
      <c r="R451" s="982"/>
      <c r="S451" s="1003"/>
      <c r="T451" s="938"/>
      <c r="U451" s="1008" t="s">
        <v>1059</v>
      </c>
      <c r="V451" s="1018" t="s">
        <v>6305</v>
      </c>
      <c r="W451" s="1019">
        <f>IF(I!W451="","",$D$2*I!W451)</f>
        <v>0.38984272349999993</v>
      </c>
      <c r="X451" s="990">
        <f>IF(I!X451="","",$D$2*I!X451)</f>
        <v>0.25965446218999999</v>
      </c>
      <c r="Y451" s="1010">
        <f>IF(I!Y451="","",$D$2*I!Y451)</f>
        <v>0.7709383434999999</v>
      </c>
      <c r="Z451" s="938"/>
      <c r="AA451" s="938"/>
      <c r="AB451" s="938"/>
      <c r="AC451" s="938"/>
      <c r="AD451" s="1058"/>
      <c r="AE451" s="938"/>
      <c r="AF451" s="938"/>
      <c r="AG451" s="938"/>
      <c r="AH451" s="938"/>
    </row>
    <row r="452" spans="1:34" ht="17.25" customHeight="1" x14ac:dyDescent="0.35">
      <c r="A452" s="938"/>
      <c r="B452" s="938"/>
      <c r="C452" s="941"/>
      <c r="D452" s="1047"/>
      <c r="E452" s="941"/>
      <c r="F452" s="938"/>
      <c r="G452" s="976">
        <f t="shared" si="8"/>
        <v>449</v>
      </c>
      <c r="H452" s="1000"/>
      <c r="I452" s="1001" t="s">
        <v>1059</v>
      </c>
      <c r="J452" s="1031" t="s">
        <v>1495</v>
      </c>
      <c r="K452" s="1002">
        <f>IF(I!K452="","",$D$2*I!K452)</f>
        <v>1.1297825131000001</v>
      </c>
      <c r="L452" s="981"/>
      <c r="M452" s="982"/>
      <c r="N452" s="1003"/>
      <c r="O452" s="1004">
        <f>IF(I!O452="","",$D$2*I!O452)</f>
        <v>2.58</v>
      </c>
      <c r="P452" s="1005">
        <f>IF(I!P452="","",$D$2*I!P452)</f>
        <v>58.68388032156799</v>
      </c>
      <c r="Q452" s="1006">
        <f>IF(I!Q452="","",$D$2*I!Q452)</f>
        <v>3.0405678000000001E-9</v>
      </c>
      <c r="R452" s="982"/>
      <c r="S452" s="1003"/>
      <c r="T452" s="938"/>
      <c r="U452" s="1008" t="s">
        <v>1059</v>
      </c>
      <c r="V452" s="1018" t="s">
        <v>6306</v>
      </c>
      <c r="W452" s="1019">
        <f>IF(I!W452="","",$D$2*I!W452)</f>
        <v>6.0842005790000001E-2</v>
      </c>
      <c r="X452" s="990">
        <f>IF(I!X452="","",$D$2*I!X452)</f>
        <v>4.3463917260999997E-2</v>
      </c>
      <c r="Y452" s="1010">
        <f>IF(I!Y452="","",$D$2*I!Y452)</f>
        <v>9.0358989789999997E-2</v>
      </c>
      <c r="Z452" s="938"/>
      <c r="AA452" s="938"/>
      <c r="AB452" s="938"/>
      <c r="AC452" s="938"/>
      <c r="AD452" s="1058"/>
      <c r="AE452" s="938"/>
      <c r="AF452" s="938"/>
      <c r="AG452" s="938"/>
      <c r="AH452" s="938"/>
    </row>
    <row r="453" spans="1:34" ht="17.25" customHeight="1" x14ac:dyDescent="0.35">
      <c r="A453" s="938"/>
      <c r="B453" s="938"/>
      <c r="C453" s="941"/>
      <c r="D453" s="1047"/>
      <c r="E453" s="941"/>
      <c r="F453" s="938"/>
      <c r="G453" s="976">
        <f t="shared" si="8"/>
        <v>450</v>
      </c>
      <c r="H453" s="1000"/>
      <c r="I453" s="1001" t="s">
        <v>1059</v>
      </c>
      <c r="J453" s="1031" t="s">
        <v>1496</v>
      </c>
      <c r="K453" s="1002">
        <f>IF(I!K453="","",$D$2*I!K453)</f>
        <v>1.219323865</v>
      </c>
      <c r="L453" s="981"/>
      <c r="M453" s="982"/>
      <c r="N453" s="1003"/>
      <c r="O453" s="1004">
        <f>IF(I!O453="","",$D$2*I!O453)</f>
        <v>2.77</v>
      </c>
      <c r="P453" s="1005">
        <f>IF(I!P453="","",$D$2*I!P453)</f>
        <v>67.419249926469007</v>
      </c>
      <c r="Q453" s="1006">
        <f>IF(I!Q453="","",$D$2*I!Q453)</f>
        <v>3.0563856999999999E-9</v>
      </c>
      <c r="R453" s="982"/>
      <c r="S453" s="1003"/>
      <c r="T453" s="938"/>
      <c r="U453" s="1008" t="s">
        <v>1059</v>
      </c>
      <c r="V453" s="1018" t="s">
        <v>6307</v>
      </c>
      <c r="W453" s="1019">
        <f>IF(I!W453="","",$D$2*I!W453)</f>
        <v>6.6070093450000006E-2</v>
      </c>
      <c r="X453" s="990">
        <f>IF(I!X453="","",$D$2*I!X453)</f>
        <v>5.4785068074E-2</v>
      </c>
      <c r="Y453" s="1010">
        <f>IF(I!Y453="","",$D$2*I!Y453)</f>
        <v>9.7971384450000004E-2</v>
      </c>
      <c r="Z453" s="938"/>
      <c r="AA453" s="938"/>
      <c r="AB453" s="938"/>
      <c r="AC453" s="938"/>
      <c r="AD453" s="1058"/>
      <c r="AE453" s="938"/>
      <c r="AF453" s="938"/>
      <c r="AG453" s="938"/>
      <c r="AH453" s="938"/>
    </row>
    <row r="454" spans="1:34" ht="17.25" customHeight="1" x14ac:dyDescent="0.35">
      <c r="A454" s="938"/>
      <c r="B454" s="938"/>
      <c r="C454" s="941"/>
      <c r="D454" s="1047"/>
      <c r="E454" s="941"/>
      <c r="F454" s="938"/>
      <c r="G454" s="976">
        <f t="shared" ref="G454:G517" si="9">G453+1</f>
        <v>451</v>
      </c>
      <c r="H454" s="942"/>
      <c r="I454" s="1001" t="s">
        <v>1059</v>
      </c>
      <c r="J454" s="1031" t="s">
        <v>1497</v>
      </c>
      <c r="K454" s="1002">
        <f>IF(I!K454="","",$D$2*I!K454)</f>
        <v>0.32634681160000001</v>
      </c>
      <c r="L454" s="981"/>
      <c r="M454" s="982"/>
      <c r="N454" s="1003"/>
      <c r="O454" s="1004">
        <f>IF(I!O454="","",$D$2*I!O454)</f>
        <v>1.1299999999999999</v>
      </c>
      <c r="P454" s="1005">
        <f>IF(I!P454="","",$D$2*I!P454)</f>
        <v>0.28768884246999998</v>
      </c>
      <c r="Q454" s="1006">
        <f>IF(I!Q454="","",$D$2*I!Q454)</f>
        <v>5.0163587000000004E-10</v>
      </c>
      <c r="R454" s="982"/>
      <c r="S454" s="1003"/>
      <c r="T454" s="938"/>
      <c r="U454" s="1008" t="s">
        <v>1059</v>
      </c>
      <c r="V454" s="1018" t="s">
        <v>6308</v>
      </c>
      <c r="W454" s="1019">
        <f>IF(I!W454="","",$D$2*I!W454)</f>
        <v>4.9461846999999996E-2</v>
      </c>
      <c r="X454" s="990">
        <f>IF(I!X454="","",$D$2*I!X454)</f>
        <v>4.0572369721E-2</v>
      </c>
      <c r="Y454" s="1010">
        <f>IF(I!Y454="","",$D$2*I!Y454)</f>
        <v>7.7310872000000003E-2</v>
      </c>
      <c r="Z454" s="938"/>
      <c r="AA454" s="938"/>
      <c r="AB454" s="938"/>
      <c r="AC454" s="938"/>
      <c r="AD454" s="1058"/>
      <c r="AE454" s="938"/>
      <c r="AF454" s="938"/>
      <c r="AG454" s="938"/>
      <c r="AH454" s="938"/>
    </row>
    <row r="455" spans="1:34" ht="17.25" customHeight="1" x14ac:dyDescent="0.35">
      <c r="A455" s="938"/>
      <c r="B455" s="938"/>
      <c r="C455" s="941"/>
      <c r="D455" s="1047"/>
      <c r="E455" s="941"/>
      <c r="F455" s="938"/>
      <c r="G455" s="976">
        <f t="shared" si="9"/>
        <v>452</v>
      </c>
      <c r="H455" s="942"/>
      <c r="I455" s="1001" t="s">
        <v>1059</v>
      </c>
      <c r="J455" s="1031" t="s">
        <v>1498</v>
      </c>
      <c r="K455" s="1002">
        <f>IF(I!K455="","",$D$2*I!K455)</f>
        <v>4.701902832</v>
      </c>
      <c r="L455" s="981"/>
      <c r="M455" s="982"/>
      <c r="N455" s="1003"/>
      <c r="O455" s="1004">
        <f>IF(I!O455="","",$D$2*I!O455)</f>
        <v>10.08</v>
      </c>
      <c r="P455" s="1005">
        <f>IF(I!P455="","",$D$2*I!P455)</f>
        <v>63.825557304648996</v>
      </c>
      <c r="Q455" s="1006">
        <f>IF(I!Q455="","",$D$2*I!Q455)</f>
        <v>3.0334552000000001E-9</v>
      </c>
      <c r="R455" s="982"/>
      <c r="S455" s="1003"/>
      <c r="T455" s="938"/>
      <c r="U455" s="1008" t="s">
        <v>1059</v>
      </c>
      <c r="V455" s="1018" t="s">
        <v>6309</v>
      </c>
      <c r="W455" s="1019">
        <f>IF(I!W455="","",$D$2*I!W455)</f>
        <v>7.5515225120000001E-2</v>
      </c>
      <c r="X455" s="990">
        <f>IF(I!X455="","",$D$2*I!X455)</f>
        <v>8.4136831699999998E-2</v>
      </c>
      <c r="Y455" s="1010">
        <f>IF(I!Y455="","",$D$2*I!Y455)</f>
        <v>0.11729780212</v>
      </c>
      <c r="Z455" s="938"/>
      <c r="AA455" s="938"/>
      <c r="AB455" s="938"/>
      <c r="AC455" s="938"/>
      <c r="AD455" s="1058"/>
      <c r="AE455" s="938"/>
      <c r="AF455" s="938"/>
      <c r="AG455" s="938"/>
      <c r="AH455" s="938"/>
    </row>
    <row r="456" spans="1:34" ht="17.25" customHeight="1" x14ac:dyDescent="0.35">
      <c r="A456" s="938"/>
      <c r="B456" s="938"/>
      <c r="C456" s="941"/>
      <c r="D456" s="1047"/>
      <c r="E456" s="941"/>
      <c r="F456" s="938"/>
      <c r="G456" s="976">
        <f t="shared" si="9"/>
        <v>453</v>
      </c>
      <c r="H456" s="1000"/>
      <c r="I456" s="1060"/>
      <c r="J456" s="1054"/>
      <c r="K456" s="1002" t="str">
        <f>IF(I!K456="","",$D$2*I!K456)</f>
        <v/>
      </c>
      <c r="L456" s="981"/>
      <c r="M456" s="982"/>
      <c r="N456" s="1003"/>
      <c r="O456" s="1004" t="str">
        <f>IF(I!O456="","",$D$2*I!O456)</f>
        <v/>
      </c>
      <c r="P456" s="1005" t="str">
        <f>IF(I!P456="","",$D$2*I!P456)</f>
        <v/>
      </c>
      <c r="Q456" s="1006" t="str">
        <f>IF(I!Q456="","",$D$2*I!Q456)</f>
        <v/>
      </c>
      <c r="R456" s="982"/>
      <c r="S456" s="1003"/>
      <c r="T456" s="938"/>
      <c r="U456" s="1008" t="s">
        <v>1059</v>
      </c>
      <c r="V456" s="1018" t="s">
        <v>6310</v>
      </c>
      <c r="W456" s="1019">
        <f>IF(I!W456="","",$D$2*I!W456)</f>
        <v>4.8690149749999995E-2</v>
      </c>
      <c r="X456" s="990">
        <f>IF(I!X456="","",$D$2*I!X456)</f>
        <v>4.5374880867999998E-2</v>
      </c>
      <c r="Y456" s="1010">
        <f>IF(I!Y456="","",$D$2*I!Y456)</f>
        <v>7.5536573750000002E-2</v>
      </c>
      <c r="Z456" s="938"/>
      <c r="AA456" s="938"/>
      <c r="AB456" s="938"/>
      <c r="AC456" s="938"/>
      <c r="AD456" s="1058"/>
      <c r="AE456" s="938"/>
      <c r="AF456" s="938"/>
      <c r="AG456" s="938"/>
      <c r="AH456" s="938"/>
    </row>
    <row r="457" spans="1:34" ht="17.25" customHeight="1" x14ac:dyDescent="0.35">
      <c r="A457" s="938"/>
      <c r="B457" s="938"/>
      <c r="C457" s="941"/>
      <c r="D457" s="1047"/>
      <c r="E457" s="941"/>
      <c r="F457" s="938"/>
      <c r="G457" s="976">
        <f t="shared" si="9"/>
        <v>454</v>
      </c>
      <c r="H457" s="942" t="s">
        <v>1499</v>
      </c>
      <c r="I457" s="1060"/>
      <c r="J457" s="1027"/>
      <c r="K457" s="1002" t="str">
        <f>IF(I!K457="","",$D$2*I!K457)</f>
        <v/>
      </c>
      <c r="L457" s="981"/>
      <c r="M457" s="982"/>
      <c r="N457" s="1003"/>
      <c r="O457" s="1004" t="str">
        <f>IF(I!O457="","",$D$2*I!O457)</f>
        <v/>
      </c>
      <c r="P457" s="1005" t="str">
        <f>IF(I!P457="","",$D$2*I!P457)</f>
        <v/>
      </c>
      <c r="Q457" s="1006" t="str">
        <f>IF(I!Q457="","",$D$2*I!Q457)</f>
        <v/>
      </c>
      <c r="R457" s="982"/>
      <c r="S457" s="1003"/>
      <c r="T457" s="938"/>
      <c r="U457" s="1008" t="s">
        <v>1059</v>
      </c>
      <c r="V457" s="1018" t="s">
        <v>6311</v>
      </c>
      <c r="W457" s="1019">
        <f>IF(I!W457="","",$D$2*I!W457)</f>
        <v>8.8314458230000004E-2</v>
      </c>
      <c r="X457" s="990">
        <f>IF(I!X457="","",$D$2*I!X457)</f>
        <v>7.3138945189999999E-2</v>
      </c>
      <c r="Y457" s="1010">
        <f>IF(I!Y457="","",$D$2*I!Y457)</f>
        <v>0.12079087923000001</v>
      </c>
      <c r="Z457" s="938"/>
      <c r="AA457" s="938"/>
      <c r="AB457" s="938"/>
      <c r="AC457" s="938"/>
      <c r="AD457" s="1058"/>
      <c r="AE457" s="938"/>
      <c r="AF457" s="938"/>
      <c r="AG457" s="938"/>
      <c r="AH457" s="938"/>
    </row>
    <row r="458" spans="1:34" ht="17.25" customHeight="1" x14ac:dyDescent="0.35">
      <c r="A458" s="938"/>
      <c r="B458" s="938"/>
      <c r="C458" s="941"/>
      <c r="D458" s="1047"/>
      <c r="E458" s="941"/>
      <c r="F458" s="938"/>
      <c r="G458" s="976">
        <f t="shared" si="9"/>
        <v>455</v>
      </c>
      <c r="H458" s="1000"/>
      <c r="I458" s="1001" t="s">
        <v>1059</v>
      </c>
      <c r="J458" s="1031" t="s">
        <v>1500</v>
      </c>
      <c r="K458" s="1002">
        <f>IF(I!K458="","",$D$2*I!K458)</f>
        <v>7.1709786150000003E-3</v>
      </c>
      <c r="L458" s="981"/>
      <c r="M458" s="982"/>
      <c r="N458" s="1003"/>
      <c r="O458" s="1004">
        <f>IF(I!O458="","",$D$2*I!O458)</f>
        <v>0.04</v>
      </c>
      <c r="P458" s="1005">
        <f>IF(I!P458="","",$D$2*I!P458)</f>
        <v>5.3384330869999993E-3</v>
      </c>
      <c r="Q458" s="1006">
        <f>IF(I!Q458="","",$D$2*I!Q458)</f>
        <v>6.0413480000000002E-9</v>
      </c>
      <c r="R458" s="982"/>
      <c r="S458" s="1003"/>
      <c r="T458" s="938"/>
      <c r="U458" s="1008" t="s">
        <v>1059</v>
      </c>
      <c r="V458" s="1018" t="s">
        <v>6312</v>
      </c>
      <c r="W458" s="1019">
        <f>IF(I!W458="","",$D$2*I!W458)</f>
        <v>6.1708677609999998E-2</v>
      </c>
      <c r="X458" s="990">
        <f>IF(I!X458="","",$D$2*I!X458)</f>
        <v>7.111380292000001E-2</v>
      </c>
      <c r="Y458" s="1010">
        <f>IF(I!Y458="","",$D$2*I!Y458)</f>
        <v>9.5585869609999999E-2</v>
      </c>
      <c r="Z458" s="938"/>
      <c r="AA458" s="938"/>
      <c r="AB458" s="938"/>
      <c r="AC458" s="938"/>
      <c r="AD458" s="1058"/>
      <c r="AE458" s="938"/>
      <c r="AF458" s="938"/>
      <c r="AG458" s="938"/>
      <c r="AH458" s="938"/>
    </row>
    <row r="459" spans="1:34" ht="17.25" customHeight="1" x14ac:dyDescent="0.35">
      <c r="A459" s="938"/>
      <c r="B459" s="938"/>
      <c r="C459" s="941"/>
      <c r="D459" s="1047"/>
      <c r="E459" s="941"/>
      <c r="F459" s="938"/>
      <c r="G459" s="976">
        <f t="shared" si="9"/>
        <v>456</v>
      </c>
      <c r="H459" s="1000"/>
      <c r="I459" s="1001" t="s">
        <v>1059</v>
      </c>
      <c r="J459" s="1031" t="s">
        <v>1501</v>
      </c>
      <c r="K459" s="1002">
        <f>IF(I!K459="","",$D$2*I!K459)</f>
        <v>1.7972676850000001E-2</v>
      </c>
      <c r="L459" s="981"/>
      <c r="M459" s="982"/>
      <c r="N459" s="1003"/>
      <c r="O459" s="1004">
        <f>IF(I!O459="","",$D$2*I!O459)</f>
        <v>0.04</v>
      </c>
      <c r="P459" s="1005">
        <f>IF(I!P459="","",$D$2*I!P459)</f>
        <v>1.0187899229000002E-2</v>
      </c>
      <c r="Q459" s="1006">
        <f>IF(I!Q459="","",$D$2*I!Q459)</f>
        <v>7.2936455000000002E-9</v>
      </c>
      <c r="R459" s="982"/>
      <c r="S459" s="1003"/>
      <c r="T459" s="938"/>
      <c r="U459" s="1008" t="s">
        <v>1059</v>
      </c>
      <c r="V459" s="1018" t="s">
        <v>6313</v>
      </c>
      <c r="W459" s="1019">
        <f>IF(I!W459="","",$D$2*I!W459)</f>
        <v>6.9315629180000005E-2</v>
      </c>
      <c r="X459" s="990">
        <f>IF(I!X459="","",$D$2*I!X459)</f>
        <v>4.1625618697000002E-2</v>
      </c>
      <c r="Y459" s="1010">
        <f>IF(I!Y459="","",$D$2*I!Y459)</f>
        <v>0.10347280018</v>
      </c>
      <c r="Z459" s="938"/>
      <c r="AA459" s="938"/>
      <c r="AB459" s="938"/>
      <c r="AC459" s="938"/>
      <c r="AD459" s="1058"/>
      <c r="AE459" s="938"/>
      <c r="AF459" s="938"/>
      <c r="AG459" s="938"/>
      <c r="AH459" s="938"/>
    </row>
    <row r="460" spans="1:34" ht="17.25" customHeight="1" x14ac:dyDescent="0.35">
      <c r="A460" s="938"/>
      <c r="B460" s="938"/>
      <c r="C460" s="941"/>
      <c r="D460" s="1047"/>
      <c r="E460" s="941"/>
      <c r="F460" s="938"/>
      <c r="G460" s="976">
        <f t="shared" si="9"/>
        <v>457</v>
      </c>
      <c r="H460" s="942"/>
      <c r="I460" s="1001" t="s">
        <v>1056</v>
      </c>
      <c r="J460" s="1031" t="s">
        <v>1502</v>
      </c>
      <c r="K460" s="1002">
        <f>IF(I!K460="","",$D$2*I!K460)</f>
        <v>1.279923552E-3</v>
      </c>
      <c r="L460" s="981"/>
      <c r="M460" s="982"/>
      <c r="N460" s="1003"/>
      <c r="O460" s="1004">
        <f>IF(I!O460="","",$D$2*I!O460)</f>
        <v>0</v>
      </c>
      <c r="P460" s="1005">
        <f>IF(I!P460="","",$D$2*I!P460)</f>
        <v>7.1318857310000009E-4</v>
      </c>
      <c r="Q460" s="1006">
        <f>IF(I!Q460="","",$D$2*I!Q460)</f>
        <v>5.1058070999999997E-10</v>
      </c>
      <c r="R460" s="982"/>
      <c r="S460" s="1003"/>
      <c r="T460" s="938"/>
      <c r="U460" s="1008" t="s">
        <v>1059</v>
      </c>
      <c r="V460" s="1018" t="s">
        <v>6314</v>
      </c>
      <c r="W460" s="1019">
        <f>IF(I!W460="","",$D$2*I!W460)</f>
        <v>6.2953242310000004E-2</v>
      </c>
      <c r="X460" s="990">
        <f>IF(I!X460="","",$D$2*I!X460)</f>
        <v>6.7834885790000007E-2</v>
      </c>
      <c r="Y460" s="1010">
        <f>IF(I!Y460="","",$D$2*I!Y460)</f>
        <v>9.7408341310000007E-2</v>
      </c>
      <c r="Z460" s="938"/>
      <c r="AA460" s="938"/>
      <c r="AB460" s="938"/>
      <c r="AC460" s="938"/>
      <c r="AD460" s="1058"/>
      <c r="AE460" s="938"/>
      <c r="AF460" s="938"/>
      <c r="AG460" s="938"/>
      <c r="AH460" s="938"/>
    </row>
    <row r="461" spans="1:34" ht="17.25" customHeight="1" x14ac:dyDescent="0.35">
      <c r="A461" s="938"/>
      <c r="B461" s="938"/>
      <c r="C461" s="941"/>
      <c r="D461" s="1047"/>
      <c r="E461" s="941"/>
      <c r="F461" s="938"/>
      <c r="G461" s="976">
        <f t="shared" si="9"/>
        <v>458</v>
      </c>
      <c r="H461" s="1000"/>
      <c r="I461" s="1001" t="s">
        <v>1059</v>
      </c>
      <c r="J461" s="1031" t="s">
        <v>1503</v>
      </c>
      <c r="K461" s="1002">
        <f>IF(I!K461="","",$D$2*I!K461)</f>
        <v>1.7972676850000001E-2</v>
      </c>
      <c r="L461" s="981"/>
      <c r="M461" s="982"/>
      <c r="N461" s="1003"/>
      <c r="O461" s="1004">
        <f>IF(I!O461="","",$D$2*I!O461)</f>
        <v>0.22</v>
      </c>
      <c r="P461" s="1005">
        <f>IF(I!P461="","",$D$2*I!P461)</f>
        <v>1.0187899229000002E-2</v>
      </c>
      <c r="Q461" s="1006">
        <f>IF(I!Q461="","",$D$2*I!Q461)</f>
        <v>7.2936455000000002E-9</v>
      </c>
      <c r="R461" s="982"/>
      <c r="S461" s="1003"/>
      <c r="T461" s="938"/>
      <c r="U461" s="1008" t="s">
        <v>1059</v>
      </c>
      <c r="V461" s="1018" t="s">
        <v>6315</v>
      </c>
      <c r="W461" s="1019">
        <f>IF(I!W461="","",$D$2*I!W461)</f>
        <v>6.7771476299999994E-2</v>
      </c>
      <c r="X461" s="990">
        <f>IF(I!X461="","",$D$2*I!X461)</f>
        <v>6.5107709499999999E-2</v>
      </c>
      <c r="Y461" s="1010">
        <f>IF(I!Y461="","",$D$2*I!Y461)</f>
        <v>0.10505034029999999</v>
      </c>
      <c r="Z461" s="938"/>
      <c r="AA461" s="938"/>
      <c r="AB461" s="938"/>
      <c r="AC461" s="938"/>
      <c r="AD461" s="1058"/>
      <c r="AE461" s="938"/>
      <c r="AF461" s="938"/>
      <c r="AG461" s="938"/>
      <c r="AH461" s="938"/>
    </row>
    <row r="462" spans="1:34" ht="17.25" customHeight="1" x14ac:dyDescent="0.35">
      <c r="A462" s="938"/>
      <c r="B462" s="938"/>
      <c r="C462" s="941"/>
      <c r="D462" s="1047"/>
      <c r="E462" s="941"/>
      <c r="F462" s="938"/>
      <c r="G462" s="976">
        <f t="shared" si="9"/>
        <v>459</v>
      </c>
      <c r="H462" s="1000"/>
      <c r="I462" s="1001" t="s">
        <v>1059</v>
      </c>
      <c r="J462" s="1031" t="s">
        <v>1504</v>
      </c>
      <c r="K462" s="1002">
        <f>IF(I!K462="","",$D$2*I!K462)</f>
        <v>6.461106631E-3</v>
      </c>
      <c r="L462" s="981"/>
      <c r="M462" s="982"/>
      <c r="N462" s="1003"/>
      <c r="O462" s="1004">
        <f>IF(I!O462="","",$D$2*I!O462)</f>
        <v>0.05</v>
      </c>
      <c r="P462" s="1005">
        <f>IF(I!P462="","",$D$2*I!P462)</f>
        <v>4.2707464080000007E-3</v>
      </c>
      <c r="Q462" s="1006">
        <f>IF(I!Q462="","",$D$2*I!Q462)</f>
        <v>4.8330784000000003E-9</v>
      </c>
      <c r="R462" s="982"/>
      <c r="S462" s="1003"/>
      <c r="T462" s="938"/>
      <c r="U462" s="1008" t="s">
        <v>1059</v>
      </c>
      <c r="V462" s="1018" t="s">
        <v>6316</v>
      </c>
      <c r="W462" s="1019">
        <f>IF(I!W462="","",$D$2*I!W462)</f>
        <v>5.7070962059999994E-2</v>
      </c>
      <c r="X462" s="990">
        <f>IF(I!X462="","",$D$2*I!X462)</f>
        <v>9.3367007439999997E-2</v>
      </c>
      <c r="Y462" s="1010">
        <f>IF(I!Y462="","",$D$2*I!Y462)</f>
        <v>9.2063484059999992E-2</v>
      </c>
      <c r="Z462" s="938"/>
      <c r="AA462" s="938"/>
      <c r="AB462" s="938"/>
      <c r="AC462" s="938"/>
      <c r="AD462" s="1058"/>
      <c r="AE462" s="938"/>
      <c r="AF462" s="938"/>
      <c r="AG462" s="938"/>
      <c r="AH462" s="938"/>
    </row>
    <row r="463" spans="1:34" ht="17.25" customHeight="1" x14ac:dyDescent="0.35">
      <c r="A463" s="938"/>
      <c r="B463" s="938"/>
      <c r="C463" s="941"/>
      <c r="D463" s="1047"/>
      <c r="E463" s="941"/>
      <c r="F463" s="938"/>
      <c r="G463" s="976">
        <f t="shared" si="9"/>
        <v>460</v>
      </c>
      <c r="H463" s="1000"/>
      <c r="I463" s="1001" t="s">
        <v>1059</v>
      </c>
      <c r="J463" s="1031" t="s">
        <v>1505</v>
      </c>
      <c r="K463" s="1002">
        <f>IF(I!K463="","",$D$2*I!K463)</f>
        <v>2.8584600519999996E-2</v>
      </c>
      <c r="L463" s="981"/>
      <c r="M463" s="982"/>
      <c r="N463" s="1003"/>
      <c r="O463" s="1004">
        <f>IF(I!O463="","",$D$2*I!O463)</f>
        <v>0.17</v>
      </c>
      <c r="P463" s="1005">
        <f>IF(I!P463="","",$D$2*I!P463)</f>
        <v>1.0851536475000001E-2</v>
      </c>
      <c r="Q463" s="1006">
        <f>IF(I!Q463="","",$D$2*I!Q463)</f>
        <v>1.2082696E-8</v>
      </c>
      <c r="R463" s="982"/>
      <c r="S463" s="1003"/>
      <c r="T463" s="938"/>
      <c r="U463" s="1008" t="s">
        <v>1059</v>
      </c>
      <c r="V463" s="1018" t="s">
        <v>6317</v>
      </c>
      <c r="W463" s="1019">
        <f>IF(I!W463="","",$D$2*I!W463)</f>
        <v>5.485330553E-2</v>
      </c>
      <c r="X463" s="990">
        <f>IF(I!X463="","",$D$2*I!X463)</f>
        <v>4.0349255291000002E-2</v>
      </c>
      <c r="Y463" s="1010">
        <f>IF(I!Y463="","",$D$2*I!Y463)</f>
        <v>8.4285365530000003E-2</v>
      </c>
      <c r="Z463" s="938"/>
      <c r="AA463" s="938"/>
      <c r="AB463" s="938"/>
      <c r="AC463" s="938"/>
      <c r="AD463" s="1058"/>
      <c r="AE463" s="938"/>
      <c r="AF463" s="938"/>
      <c r="AG463" s="938"/>
      <c r="AH463" s="938"/>
    </row>
    <row r="464" spans="1:34" ht="17.25" customHeight="1" x14ac:dyDescent="0.35">
      <c r="A464" s="938"/>
      <c r="B464" s="938"/>
      <c r="C464" s="941"/>
      <c r="D464" s="1047"/>
      <c r="E464" s="941"/>
      <c r="F464" s="938"/>
      <c r="G464" s="976">
        <f t="shared" si="9"/>
        <v>461</v>
      </c>
      <c r="H464" s="1000"/>
      <c r="I464" s="1001" t="s">
        <v>1056</v>
      </c>
      <c r="J464" s="1031" t="s">
        <v>1506</v>
      </c>
      <c r="K464" s="1002">
        <f>IF(I!K464="","",$D$2*I!K464)</f>
        <v>2.28676805E-3</v>
      </c>
      <c r="L464" s="981"/>
      <c r="M464" s="982"/>
      <c r="N464" s="1003"/>
      <c r="O464" s="1004">
        <f>IF(I!O464="","",$D$2*I!O464)</f>
        <v>0.01</v>
      </c>
      <c r="P464" s="1005">
        <f>IF(I!P464="","",$D$2*I!P464)</f>
        <v>8.6812294779999998E-4</v>
      </c>
      <c r="Q464" s="1006">
        <f>IF(I!Q464="","",$D$2*I!Q464)</f>
        <v>9.666156799999999E-10</v>
      </c>
      <c r="R464" s="982"/>
      <c r="S464" s="1003"/>
      <c r="T464" s="938"/>
      <c r="U464" s="1008" t="s">
        <v>1059</v>
      </c>
      <c r="V464" s="1018" t="s">
        <v>6318</v>
      </c>
      <c r="W464" s="1019">
        <f>IF(I!W464="","",$D$2*I!W464)</f>
        <v>9.9213367960000007E-2</v>
      </c>
      <c r="X464" s="990">
        <f>IF(I!X464="","",$D$2*I!X464)</f>
        <v>1.9952451131999997E-2</v>
      </c>
      <c r="Y464" s="1010">
        <f>IF(I!Y464="","",$D$2*I!Y464)</f>
        <v>0.21677736796000002</v>
      </c>
      <c r="Z464" s="938"/>
      <c r="AA464" s="938"/>
      <c r="AB464" s="938"/>
      <c r="AC464" s="938"/>
      <c r="AD464" s="1058"/>
      <c r="AE464" s="938"/>
      <c r="AF464" s="938"/>
      <c r="AG464" s="938"/>
      <c r="AH464" s="938"/>
    </row>
    <row r="465" spans="1:34" ht="17.25" customHeight="1" x14ac:dyDescent="0.35">
      <c r="A465" s="938"/>
      <c r="B465" s="938"/>
      <c r="C465" s="941"/>
      <c r="D465" s="1047"/>
      <c r="E465" s="941"/>
      <c r="F465" s="938"/>
      <c r="G465" s="976">
        <f t="shared" si="9"/>
        <v>462</v>
      </c>
      <c r="H465" s="1000"/>
      <c r="I465" s="1001" t="s">
        <v>1059</v>
      </c>
      <c r="J465" s="1031" t="s">
        <v>1507</v>
      </c>
      <c r="K465" s="1002">
        <f>IF(I!K465="","",$D$2*I!K465)</f>
        <v>2.8584600519999996E-2</v>
      </c>
      <c r="L465" s="981"/>
      <c r="M465" s="982"/>
      <c r="N465" s="1003"/>
      <c r="O465" s="1004">
        <f>IF(I!O465="","",$D$2*I!O465)</f>
        <v>0.35</v>
      </c>
      <c r="P465" s="1005">
        <f>IF(I!P465="","",$D$2*I!P465)</f>
        <v>1.0851536475000001E-2</v>
      </c>
      <c r="Q465" s="1006">
        <f>IF(I!Q465="","",$D$2*I!Q465)</f>
        <v>1.2082696E-8</v>
      </c>
      <c r="R465" s="982"/>
      <c r="S465" s="1003"/>
      <c r="T465" s="938"/>
      <c r="U465" s="1008"/>
      <c r="V465" s="1040"/>
      <c r="W465" s="1019" t="str">
        <f>IF(I!W465="","",$D$2*I!W465)</f>
        <v/>
      </c>
      <c r="X465" s="990" t="str">
        <f>IF(I!X465="","",$D$2*I!X465)</f>
        <v/>
      </c>
      <c r="Y465" s="1010" t="str">
        <f>IF(I!Y465="","",$D$2*I!Y465)</f>
        <v/>
      </c>
      <c r="Z465" s="938"/>
      <c r="AA465" s="938"/>
      <c r="AB465" s="938"/>
      <c r="AC465" s="938"/>
      <c r="AD465" s="1058"/>
      <c r="AE465" s="938"/>
      <c r="AF465" s="938"/>
      <c r="AG465" s="938"/>
      <c r="AH465" s="938"/>
    </row>
    <row r="466" spans="1:34" ht="17.25" customHeight="1" x14ac:dyDescent="0.35">
      <c r="A466" s="938"/>
      <c r="B466" s="938"/>
      <c r="C466" s="941"/>
      <c r="D466" s="1047"/>
      <c r="E466" s="941"/>
      <c r="F466" s="938"/>
      <c r="G466" s="976">
        <f t="shared" si="9"/>
        <v>463</v>
      </c>
      <c r="H466" s="1000"/>
      <c r="I466" s="1001" t="s">
        <v>1056</v>
      </c>
      <c r="J466" s="1031" t="s">
        <v>1508</v>
      </c>
      <c r="K466" s="1002">
        <f>IF(I!K466="","",$D$2*I!K466)</f>
        <v>1.3582820339999999E-2</v>
      </c>
      <c r="L466" s="981"/>
      <c r="M466" s="982"/>
      <c r="N466" s="1003"/>
      <c r="O466" s="1004">
        <f>IF(I!O466="","",$D$2*I!O466)</f>
        <v>0.03</v>
      </c>
      <c r="P466" s="1005">
        <f>IF(I!P466="","",$D$2*I!P466)</f>
        <v>3.5804095328999995E-2</v>
      </c>
      <c r="Q466" s="1006">
        <f>IF(I!Q466="","",$D$2*I!Q466)</f>
        <v>1.6912839000000001E-4</v>
      </c>
      <c r="R466" s="982"/>
      <c r="S466" s="1003"/>
      <c r="T466" s="938"/>
      <c r="U466" s="1008"/>
      <c r="V466" s="1009" t="s">
        <v>6319</v>
      </c>
      <c r="W466" s="1019" t="str">
        <f>IF(I!W466="","",$D$2*I!W466)</f>
        <v/>
      </c>
      <c r="X466" s="990" t="str">
        <f>IF(I!X466="","",$D$2*I!X466)</f>
        <v/>
      </c>
      <c r="Y466" s="1010" t="str">
        <f>IF(I!Y466="","",$D$2*I!Y466)</f>
        <v/>
      </c>
      <c r="Z466" s="938"/>
      <c r="AA466" s="938"/>
      <c r="AB466" s="938"/>
      <c r="AC466" s="938"/>
      <c r="AD466" s="1058"/>
      <c r="AE466" s="938"/>
      <c r="AF466" s="938"/>
      <c r="AG466" s="938"/>
      <c r="AH466" s="938"/>
    </row>
    <row r="467" spans="1:34" ht="17.25" customHeight="1" x14ac:dyDescent="0.35">
      <c r="A467" s="938"/>
      <c r="B467" s="938"/>
      <c r="C467" s="941"/>
      <c r="D467" s="1047"/>
      <c r="E467" s="941"/>
      <c r="F467" s="938"/>
      <c r="G467" s="976">
        <f t="shared" si="9"/>
        <v>464</v>
      </c>
      <c r="H467" s="1000"/>
      <c r="I467" s="1001" t="s">
        <v>1059</v>
      </c>
      <c r="J467" s="1031" t="s">
        <v>1509</v>
      </c>
      <c r="K467" s="1002">
        <f>IF(I!K467="","",$D$2*I!K467)</f>
        <v>3.0735830049999999E-2</v>
      </c>
      <c r="L467" s="981"/>
      <c r="M467" s="982"/>
      <c r="N467" s="1003"/>
      <c r="O467" s="1004">
        <f>IF(I!O467="","",$D$2*I!O467)</f>
        <v>0.08</v>
      </c>
      <c r="P467" s="1005">
        <f>IF(I!P467="","",$D$2*I!P467)</f>
        <v>1.0187899229000002E-2</v>
      </c>
      <c r="Q467" s="1006">
        <f>IF(I!Q467="","",$D$2*I!Q467)</f>
        <v>7.2936455000000002E-9</v>
      </c>
      <c r="R467" s="982"/>
      <c r="S467" s="1003"/>
      <c r="T467" s="938"/>
      <c r="U467" s="1008" t="s">
        <v>1059</v>
      </c>
      <c r="V467" s="1018" t="s">
        <v>6320</v>
      </c>
      <c r="W467" s="1019">
        <f>IF(I!W467="","",$D$2*I!W467)</f>
        <v>0.10631898549999999</v>
      </c>
      <c r="X467" s="990">
        <f>IF(I!X467="","",$D$2*I!X467)</f>
        <v>9.5338913519999999E-2</v>
      </c>
      <c r="Y467" s="1010">
        <f>IF(I!Y467="","",$D$2*I!Y467)</f>
        <v>0.22343515549999998</v>
      </c>
      <c r="Z467" s="938"/>
      <c r="AA467" s="938"/>
      <c r="AB467" s="938"/>
      <c r="AC467" s="938"/>
      <c r="AD467" s="1058"/>
      <c r="AE467" s="938"/>
      <c r="AF467" s="938"/>
      <c r="AG467" s="938"/>
      <c r="AH467" s="938"/>
    </row>
    <row r="468" spans="1:34" ht="17.25" customHeight="1" x14ac:dyDescent="0.35">
      <c r="A468" s="938"/>
      <c r="B468" s="938"/>
      <c r="C468" s="941"/>
      <c r="D468" s="1047"/>
      <c r="E468" s="941"/>
      <c r="F468" s="938"/>
      <c r="G468" s="976">
        <f t="shared" si="9"/>
        <v>465</v>
      </c>
      <c r="H468" s="1000"/>
      <c r="I468" s="1001" t="s">
        <v>1059</v>
      </c>
      <c r="J468" s="1031" t="s">
        <v>1510</v>
      </c>
      <c r="K468" s="1002">
        <f>IF(I!K468="","",$D$2*I!K468)</f>
        <v>3.0735830049999999E-2</v>
      </c>
      <c r="L468" s="981"/>
      <c r="M468" s="982"/>
      <c r="N468" s="1003"/>
      <c r="O468" s="1004">
        <f>IF(I!O468="","",$D$2*I!O468)</f>
        <v>0.26</v>
      </c>
      <c r="P468" s="1005">
        <f>IF(I!P468="","",$D$2*I!P468)</f>
        <v>1.0187899229000002E-2</v>
      </c>
      <c r="Q468" s="1006">
        <f>IF(I!Q468="","",$D$2*I!Q468)</f>
        <v>7.2936455000000002E-9</v>
      </c>
      <c r="R468" s="982"/>
      <c r="S468" s="1003"/>
      <c r="T468" s="938"/>
      <c r="U468" s="1008" t="s">
        <v>1059</v>
      </c>
      <c r="V468" s="1018" t="s">
        <v>6321</v>
      </c>
      <c r="W468" s="1019">
        <f>IF(I!W468="","",$D$2*I!W468)</f>
        <v>9.3695675399999984E-2</v>
      </c>
      <c r="X468" s="990">
        <f>IF(I!X468="","",$D$2*I!X468)</f>
        <v>0.10953912952</v>
      </c>
      <c r="Y468" s="1010">
        <f>IF(I!Y468="","",$D$2*I!Y468)</f>
        <v>0.26460108539999999</v>
      </c>
      <c r="Z468" s="938"/>
      <c r="AA468" s="938"/>
      <c r="AB468" s="938"/>
      <c r="AC468" s="938"/>
      <c r="AD468" s="1058"/>
      <c r="AE468" s="938"/>
      <c r="AF468" s="938"/>
      <c r="AG468" s="938"/>
      <c r="AH468" s="938"/>
    </row>
    <row r="469" spans="1:34" ht="17.25" customHeight="1" x14ac:dyDescent="0.35">
      <c r="A469" s="938"/>
      <c r="B469" s="938"/>
      <c r="C469" s="941"/>
      <c r="D469" s="1047"/>
      <c r="E469" s="941"/>
      <c r="F469" s="938"/>
      <c r="G469" s="976">
        <f t="shared" si="9"/>
        <v>466</v>
      </c>
      <c r="H469" s="942" t="s">
        <v>1511</v>
      </c>
      <c r="I469" s="1060"/>
      <c r="J469" s="1031"/>
      <c r="K469" s="1002" t="str">
        <f>IF(I!K469="","",$D$2*I!K469)</f>
        <v/>
      </c>
      <c r="L469" s="981"/>
      <c r="M469" s="982"/>
      <c r="N469" s="1003"/>
      <c r="O469" s="1004" t="str">
        <f>IF(I!O469="","",$D$2*I!O469)</f>
        <v/>
      </c>
      <c r="P469" s="1005" t="str">
        <f>IF(I!P469="","",$D$2*I!P469)</f>
        <v/>
      </c>
      <c r="Q469" s="1006" t="str">
        <f>IF(I!Q469="","",$D$2*I!Q469)</f>
        <v/>
      </c>
      <c r="R469" s="982"/>
      <c r="S469" s="1003"/>
      <c r="T469" s="938"/>
      <c r="U469" s="1008" t="s">
        <v>1059</v>
      </c>
      <c r="V469" s="1018" t="s">
        <v>6322</v>
      </c>
      <c r="W469" s="1019">
        <f>IF(I!W469="","",$D$2*I!W469)</f>
        <v>0.1067447376</v>
      </c>
      <c r="X469" s="990">
        <f>IF(I!X469="","",$D$2*I!X469)</f>
        <v>0.10226003278000001</v>
      </c>
      <c r="Y469" s="1010">
        <f>IF(I!Y469="","",$D$2*I!Y469)</f>
        <v>0.19999822759999999</v>
      </c>
      <c r="Z469" s="938"/>
      <c r="AA469" s="938"/>
      <c r="AB469" s="938"/>
      <c r="AC469" s="938"/>
      <c r="AD469" s="1058"/>
      <c r="AE469" s="938"/>
      <c r="AF469" s="938"/>
      <c r="AG469" s="938"/>
      <c r="AH469" s="938"/>
    </row>
    <row r="470" spans="1:34" ht="17.25" customHeight="1" x14ac:dyDescent="0.35">
      <c r="A470" s="938"/>
      <c r="B470" s="938"/>
      <c r="C470" s="941"/>
      <c r="D470" s="1047"/>
      <c r="E470" s="941"/>
      <c r="F470" s="938"/>
      <c r="G470" s="976">
        <f t="shared" si="9"/>
        <v>467</v>
      </c>
      <c r="H470" s="942"/>
      <c r="I470" s="1060" t="s">
        <v>1056</v>
      </c>
      <c r="J470" s="1031" t="s">
        <v>1512</v>
      </c>
      <c r="K470" s="1002">
        <f>IF(I!K470="","",$D$2*I!K470)</f>
        <v>4.0119555428000005E-3</v>
      </c>
      <c r="L470" s="981"/>
      <c r="M470" s="982"/>
      <c r="N470" s="1003"/>
      <c r="O470" s="1004">
        <f>IF(I!O470="","",$D$2*I!O470)</f>
        <v>0.01</v>
      </c>
      <c r="P470" s="1005">
        <f>IF(I!P470="","",$D$2*I!P470)</f>
        <v>3.8374203461540003E-2</v>
      </c>
      <c r="Q470" s="1006">
        <f>IF(I!Q470="","",$D$2*I!Q470)</f>
        <v>2.8696403E-11</v>
      </c>
      <c r="R470" s="982"/>
      <c r="S470" s="1003"/>
      <c r="T470" s="938"/>
      <c r="U470" s="1008" t="s">
        <v>1059</v>
      </c>
      <c r="V470" s="1018" t="s">
        <v>6323</v>
      </c>
      <c r="W470" s="1019">
        <f>IF(I!W470="","",$D$2*I!W470)</f>
        <v>0.10623929160000001</v>
      </c>
      <c r="X470" s="990">
        <f>IF(I!X470="","",$D$2*I!X470)</f>
        <v>0.12836730674999999</v>
      </c>
      <c r="Y470" s="1010">
        <f>IF(I!Y470="","",$D$2*I!Y470)</f>
        <v>0.3704883316</v>
      </c>
      <c r="Z470" s="938"/>
      <c r="AA470" s="938"/>
      <c r="AB470" s="938"/>
      <c r="AC470" s="938"/>
      <c r="AD470" s="1058"/>
      <c r="AE470" s="938"/>
      <c r="AF470" s="938"/>
      <c r="AG470" s="938"/>
      <c r="AH470" s="938"/>
    </row>
    <row r="471" spans="1:34" ht="17.25" customHeight="1" x14ac:dyDescent="0.35">
      <c r="A471" s="938"/>
      <c r="B471" s="938"/>
      <c r="C471" s="941"/>
      <c r="D471" s="1047"/>
      <c r="E471" s="941"/>
      <c r="F471" s="938"/>
      <c r="G471" s="976">
        <f t="shared" si="9"/>
        <v>468</v>
      </c>
      <c r="H471" s="942"/>
      <c r="I471" s="1060" t="s">
        <v>1056</v>
      </c>
      <c r="J471" s="1031" t="s">
        <v>1513</v>
      </c>
      <c r="K471" s="1002">
        <f>IF(I!K471="","",$D$2*I!K471)</f>
        <v>4.2401708139000001E-3</v>
      </c>
      <c r="L471" s="981"/>
      <c r="M471" s="982"/>
      <c r="N471" s="1003"/>
      <c r="O471" s="1004">
        <f>IF(I!O471="","",$D$2*I!O471)</f>
        <v>0.02</v>
      </c>
      <c r="P471" s="1005">
        <f>IF(I!P471="","",$D$2*I!P471)</f>
        <v>3.7162386309919998E-2</v>
      </c>
      <c r="Q471" s="1006">
        <f>IF(I!Q471="","",$D$2*I!Q471)</f>
        <v>2.7790201000000001E-11</v>
      </c>
      <c r="R471" s="982"/>
      <c r="S471" s="1003"/>
      <c r="T471" s="938"/>
      <c r="U471" s="1008" t="s">
        <v>1059</v>
      </c>
      <c r="V471" s="1018" t="s">
        <v>6324</v>
      </c>
      <c r="W471" s="1019">
        <f>IF(I!W471="","",$D$2*I!W471)</f>
        <v>9.4654585799999996E-2</v>
      </c>
      <c r="X471" s="990">
        <f>IF(I!X471="","",$D$2*I!X471)</f>
        <v>0.10436319307</v>
      </c>
      <c r="Y471" s="1010">
        <f>IF(I!Y471="","",$D$2*I!Y471)</f>
        <v>0.24355433579999999</v>
      </c>
      <c r="Z471" s="938"/>
      <c r="AA471" s="938"/>
      <c r="AB471" s="938"/>
      <c r="AC471" s="938"/>
      <c r="AD471" s="1058"/>
      <c r="AE471" s="938"/>
      <c r="AF471" s="938"/>
      <c r="AG471" s="938"/>
      <c r="AH471" s="938"/>
    </row>
    <row r="472" spans="1:34" ht="17.25" customHeight="1" x14ac:dyDescent="0.35">
      <c r="A472" s="938"/>
      <c r="B472" s="938"/>
      <c r="C472" s="941"/>
      <c r="D472" s="1047"/>
      <c r="E472" s="941"/>
      <c r="F472" s="938"/>
      <c r="G472" s="976">
        <f t="shared" si="9"/>
        <v>469</v>
      </c>
      <c r="H472" s="942"/>
      <c r="I472" s="1060" t="s">
        <v>1056</v>
      </c>
      <c r="J472" s="1031" t="s">
        <v>1514</v>
      </c>
      <c r="K472" s="1002">
        <f>IF(I!K472="","",$D$2*I!K472)</f>
        <v>3.879118218E-3</v>
      </c>
      <c r="L472" s="981"/>
      <c r="M472" s="982"/>
      <c r="N472" s="1003"/>
      <c r="O472" s="1004">
        <f>IF(I!O472="","",$D$2*I!O472)</f>
        <v>0.03</v>
      </c>
      <c r="P472" s="1005">
        <f>IF(I!P472="","",$D$2*I!P472)</f>
        <v>4.5352678056620001E-2</v>
      </c>
      <c r="Q472" s="1006">
        <f>IF(I!Q472="","",$D$2*I!Q472)</f>
        <v>3.6248087999999999E-11</v>
      </c>
      <c r="R472" s="982"/>
      <c r="S472" s="1003"/>
      <c r="T472" s="938"/>
      <c r="U472" s="1008"/>
      <c r="V472" s="1040"/>
      <c r="W472" s="1019" t="str">
        <f>IF(I!W472="","",$D$2*I!W472)</f>
        <v/>
      </c>
      <c r="X472" s="990" t="str">
        <f>IF(I!X472="","",$D$2*I!X472)</f>
        <v/>
      </c>
      <c r="Y472" s="1010" t="str">
        <f>IF(I!Y472="","",$D$2*I!Y472)</f>
        <v/>
      </c>
      <c r="Z472" s="938"/>
      <c r="AA472" s="938"/>
      <c r="AB472" s="938"/>
      <c r="AC472" s="938"/>
      <c r="AD472" s="1058"/>
      <c r="AE472" s="938"/>
      <c r="AF472" s="938"/>
      <c r="AG472" s="938"/>
      <c r="AH472" s="938"/>
    </row>
    <row r="473" spans="1:34" ht="17.25" customHeight="1" x14ac:dyDescent="0.35">
      <c r="A473" s="938"/>
      <c r="B473" s="938"/>
      <c r="C473" s="941"/>
      <c r="D473" s="1047"/>
      <c r="E473" s="941"/>
      <c r="F473" s="938"/>
      <c r="G473" s="976">
        <f t="shared" si="9"/>
        <v>470</v>
      </c>
      <c r="H473" s="942"/>
      <c r="I473" s="1060" t="s">
        <v>1056</v>
      </c>
      <c r="J473" s="1031" t="s">
        <v>1515</v>
      </c>
      <c r="K473" s="1002">
        <f>IF(I!K473="","",$D$2*I!K473)</f>
        <v>1.3213689947E-2</v>
      </c>
      <c r="L473" s="981"/>
      <c r="M473" s="982"/>
      <c r="N473" s="1003"/>
      <c r="O473" s="1004">
        <f>IF(I!O473="","",$D$2*I!O473)</f>
        <v>0.06</v>
      </c>
      <c r="P473" s="1005">
        <f>IF(I!P473="","",$D$2*I!P473)</f>
        <v>4.629667874191E-2</v>
      </c>
      <c r="Q473" s="1006">
        <f>IF(I!Q473="","",$D$2*I!Q473)</f>
        <v>4.8493843000000001E-11</v>
      </c>
      <c r="R473" s="982"/>
      <c r="S473" s="1003"/>
      <c r="T473" s="938"/>
      <c r="U473" s="1008"/>
      <c r="V473" s="1009" t="s">
        <v>6325</v>
      </c>
      <c r="W473" s="1019" t="str">
        <f>IF(I!W473="","",$D$2*I!W473)</f>
        <v/>
      </c>
      <c r="X473" s="990" t="str">
        <f>IF(I!X473="","",$D$2*I!X473)</f>
        <v/>
      </c>
      <c r="Y473" s="1010" t="str">
        <f>IF(I!Y473="","",$D$2*I!Y473)</f>
        <v/>
      </c>
      <c r="Z473" s="938"/>
      <c r="AA473" s="938"/>
      <c r="AB473" s="938"/>
      <c r="AC473" s="938"/>
      <c r="AD473" s="1058"/>
      <c r="AE473" s="938"/>
      <c r="AF473" s="938"/>
      <c r="AG473" s="938"/>
      <c r="AH473" s="938"/>
    </row>
    <row r="474" spans="1:34" ht="17.25" customHeight="1" x14ac:dyDescent="0.35">
      <c r="A474" s="938"/>
      <c r="B474" s="938"/>
      <c r="C474" s="941"/>
      <c r="D474" s="1047"/>
      <c r="E474" s="941"/>
      <c r="F474" s="938"/>
      <c r="G474" s="976">
        <f t="shared" si="9"/>
        <v>471</v>
      </c>
      <c r="H474" s="942"/>
      <c r="I474" s="1060" t="s">
        <v>1056</v>
      </c>
      <c r="J474" s="1031" t="s">
        <v>1516</v>
      </c>
      <c r="K474" s="1002">
        <f>IF(I!K474="","",$D$2*I!K474)</f>
        <v>9.1177317158999995E-3</v>
      </c>
      <c r="L474" s="981"/>
      <c r="M474" s="982"/>
      <c r="N474" s="1003"/>
      <c r="O474" s="1004">
        <f>IF(I!O474="","",$D$2*I!O474)</f>
        <v>0.03</v>
      </c>
      <c r="P474" s="1005">
        <f>IF(I!P474="","",$D$2*I!P474)</f>
        <v>4.0784379965299995E-2</v>
      </c>
      <c r="Q474" s="1006">
        <f>IF(I!Q474="","",$D$2*I!Q474)</f>
        <v>4.1685301000000002E-11</v>
      </c>
      <c r="R474" s="982"/>
      <c r="S474" s="1003"/>
      <c r="T474" s="938"/>
      <c r="U474" s="1008" t="s">
        <v>1059</v>
      </c>
      <c r="V474" s="1018" t="s">
        <v>6326</v>
      </c>
      <c r="W474" s="1019">
        <f>IF(I!W474="","",$D$2*I!W474)</f>
        <v>0.21018061220000001</v>
      </c>
      <c r="X474" s="990">
        <f>IF(I!X474="","",$D$2*I!X474)</f>
        <v>0.15392053410000001</v>
      </c>
      <c r="Y474" s="1010">
        <f>IF(I!Y474="","",$D$2*I!Y474)</f>
        <v>0.35889143219999997</v>
      </c>
      <c r="Z474" s="938"/>
      <c r="AA474" s="938"/>
      <c r="AB474" s="938"/>
      <c r="AC474" s="938"/>
      <c r="AD474" s="1058"/>
      <c r="AE474" s="938"/>
      <c r="AF474" s="938"/>
      <c r="AG474" s="938"/>
      <c r="AH474" s="938"/>
    </row>
    <row r="475" spans="1:34" ht="17.25" customHeight="1" x14ac:dyDescent="0.35">
      <c r="A475" s="938"/>
      <c r="B475" s="938"/>
      <c r="C475" s="941"/>
      <c r="D475" s="1047"/>
      <c r="E475" s="941"/>
      <c r="F475" s="938"/>
      <c r="G475" s="976">
        <f t="shared" si="9"/>
        <v>472</v>
      </c>
      <c r="H475" s="942"/>
      <c r="I475" s="1060" t="s">
        <v>1056</v>
      </c>
      <c r="J475" s="1031" t="s">
        <v>1517</v>
      </c>
      <c r="K475" s="1002">
        <f>IF(I!K475="","",$D$2*I!K475)</f>
        <v>6.7904268888000002E-3</v>
      </c>
      <c r="L475" s="981"/>
      <c r="M475" s="982"/>
      <c r="N475" s="1003"/>
      <c r="O475" s="1004">
        <f>IF(I!O475="","",$D$2*I!O475)</f>
        <v>0.02</v>
      </c>
      <c r="P475" s="1005">
        <f>IF(I!P475="","",$D$2*I!P475)</f>
        <v>4.6690623425000001E-2</v>
      </c>
      <c r="Q475" s="1006">
        <f>IF(I!Q475="","",$D$2*I!Q475)</f>
        <v>3.7298097999999997E-11</v>
      </c>
      <c r="R475" s="982"/>
      <c r="S475" s="1003"/>
      <c r="T475" s="938"/>
      <c r="U475" s="1008" t="s">
        <v>1059</v>
      </c>
      <c r="V475" s="1018" t="s">
        <v>6327</v>
      </c>
      <c r="W475" s="1019">
        <f>IF(I!W475="","",$D$2*I!W475)</f>
        <v>8.0300986259999999E-2</v>
      </c>
      <c r="X475" s="990">
        <f>IF(I!X475="","",$D$2*I!X475)</f>
        <v>7.8921461109999994E-2</v>
      </c>
      <c r="Y475" s="1010">
        <f>IF(I!Y475="","",$D$2*I!Y475)</f>
        <v>0.21954096626000003</v>
      </c>
      <c r="Z475" s="938"/>
      <c r="AA475" s="938"/>
      <c r="AB475" s="938"/>
      <c r="AC475" s="938"/>
      <c r="AD475" s="1058"/>
      <c r="AE475" s="938"/>
      <c r="AF475" s="938"/>
      <c r="AG475" s="938"/>
      <c r="AH475" s="938"/>
    </row>
    <row r="476" spans="1:34" ht="17.25" customHeight="1" x14ac:dyDescent="0.35">
      <c r="A476" s="938"/>
      <c r="B476" s="938"/>
      <c r="C476" s="941"/>
      <c r="D476" s="1047"/>
      <c r="E476" s="941"/>
      <c r="F476" s="938"/>
      <c r="G476" s="976">
        <f t="shared" si="9"/>
        <v>473</v>
      </c>
      <c r="H476" s="942"/>
      <c r="I476" s="1060" t="s">
        <v>1056</v>
      </c>
      <c r="J476" s="1031" t="s">
        <v>1518</v>
      </c>
      <c r="K476" s="1002">
        <f>IF(I!K476="","",$D$2*I!K476)</f>
        <v>6.8838146414999992E-3</v>
      </c>
      <c r="L476" s="981"/>
      <c r="M476" s="982"/>
      <c r="N476" s="1003"/>
      <c r="O476" s="1004">
        <f>IF(I!O476="","",$D$2*I!O476)</f>
        <v>0.02</v>
      </c>
      <c r="P476" s="1005">
        <f>IF(I!P476="","",$D$2*I!P476)</f>
        <v>4.684114757584E-2</v>
      </c>
      <c r="Q476" s="1006">
        <f>IF(I!Q476="","",$D$2*I!Q476)</f>
        <v>3.6731395999999997E-11</v>
      </c>
      <c r="R476" s="982"/>
      <c r="S476" s="1003"/>
      <c r="T476" s="938"/>
      <c r="U476" s="1008" t="s">
        <v>1059</v>
      </c>
      <c r="V476" s="1018" t="s">
        <v>6328</v>
      </c>
      <c r="W476" s="1019">
        <f>IF(I!W476="","",$D$2*I!W476)</f>
        <v>0.12398487342999999</v>
      </c>
      <c r="X476" s="990">
        <f>IF(I!X476="","",$D$2*I!X476)</f>
        <v>2.9799461775000001E-2</v>
      </c>
      <c r="Y476" s="1010">
        <f>IF(I!Y476="","",$D$2*I!Y476)</f>
        <v>0.14906980942999998</v>
      </c>
      <c r="Z476" s="938"/>
      <c r="AA476" s="938"/>
      <c r="AB476" s="938"/>
      <c r="AC476" s="938"/>
      <c r="AD476" s="1058"/>
      <c r="AE476" s="938"/>
      <c r="AF476" s="938"/>
      <c r="AG476" s="938"/>
      <c r="AH476" s="938"/>
    </row>
    <row r="477" spans="1:34" ht="17.25" customHeight="1" x14ac:dyDescent="0.35">
      <c r="A477" s="938"/>
      <c r="B477" s="938"/>
      <c r="C477" s="941"/>
      <c r="D477" s="1047"/>
      <c r="E477" s="941"/>
      <c r="F477" s="938"/>
      <c r="G477" s="976">
        <f t="shared" si="9"/>
        <v>474</v>
      </c>
      <c r="H477" s="942"/>
      <c r="I477" s="1060" t="s">
        <v>1056</v>
      </c>
      <c r="J477" s="1031" t="s">
        <v>1519</v>
      </c>
      <c r="K477" s="1002">
        <f>IF(I!K477="","",$D$2*I!K477)</f>
        <v>1.28993821042E-2</v>
      </c>
      <c r="L477" s="981"/>
      <c r="M477" s="982"/>
      <c r="N477" s="1003"/>
      <c r="O477" s="1004">
        <f>IF(I!O477="","",$D$2*I!O477)</f>
        <v>0.04</v>
      </c>
      <c r="P477" s="1005">
        <f>IF(I!P477="","",$D$2*I!P477)</f>
        <v>4.7736785738000003E-4</v>
      </c>
      <c r="Q477" s="1006">
        <f>IF(I!Q477="","",$D$2*I!Q477)</f>
        <v>0</v>
      </c>
      <c r="R477" s="982"/>
      <c r="S477" s="1003"/>
      <c r="T477" s="938"/>
      <c r="U477" s="1008" t="s">
        <v>1059</v>
      </c>
      <c r="V477" s="1018" t="s">
        <v>6329</v>
      </c>
      <c r="W477" s="1019">
        <f>IF(I!W477="","",$D$2*I!W477)</f>
        <v>0.14250422120999998</v>
      </c>
      <c r="X477" s="990">
        <f>IF(I!X477="","",$D$2*I!X477)</f>
        <v>2.9810640710999998E-2</v>
      </c>
      <c r="Y477" s="1010">
        <f>IF(I!Y477="","",$D$2*I!Y477)</f>
        <v>0.17010454720999998</v>
      </c>
      <c r="Z477" s="938"/>
      <c r="AA477" s="938"/>
      <c r="AB477" s="938"/>
      <c r="AC477" s="938"/>
      <c r="AD477" s="1058"/>
      <c r="AE477" s="938"/>
      <c r="AF477" s="938"/>
      <c r="AG477" s="938"/>
      <c r="AH477" s="938"/>
    </row>
    <row r="478" spans="1:34" ht="17.25" customHeight="1" x14ac:dyDescent="0.35">
      <c r="A478" s="938"/>
      <c r="B478" s="938"/>
      <c r="C478" s="941"/>
      <c r="D478" s="1047"/>
      <c r="E478" s="941"/>
      <c r="F478" s="938"/>
      <c r="G478" s="976">
        <f t="shared" si="9"/>
        <v>475</v>
      </c>
      <c r="H478" s="942"/>
      <c r="I478" s="1060" t="s">
        <v>1056</v>
      </c>
      <c r="J478" s="1031" t="s">
        <v>1520</v>
      </c>
      <c r="K478" s="1002">
        <f>IF(I!K478="","",$D$2*I!K478)</f>
        <v>3.7519950852999999E-3</v>
      </c>
      <c r="L478" s="981"/>
      <c r="M478" s="982"/>
      <c r="N478" s="1003"/>
      <c r="O478" s="1004">
        <f>IF(I!O478="","",$D$2*I!O478)</f>
        <v>0.01</v>
      </c>
      <c r="P478" s="1005">
        <f>IF(I!P478="","",$D$2*I!P478)</f>
        <v>3.6758446926679997E-2</v>
      </c>
      <c r="Q478" s="1006">
        <f>IF(I!Q478="","",$D$2*I!Q478)</f>
        <v>2.7488132999999998E-11</v>
      </c>
      <c r="R478" s="982"/>
      <c r="S478" s="1003"/>
      <c r="T478" s="938"/>
      <c r="U478" s="1008" t="s">
        <v>1059</v>
      </c>
      <c r="V478" s="1018" t="s">
        <v>6330</v>
      </c>
      <c r="W478" s="1019">
        <f>IF(I!W478="","",$D$2*I!W478)</f>
        <v>1.3640730106000001E-2</v>
      </c>
      <c r="X478" s="990">
        <f>IF(I!X478="","",$D$2*I!X478)</f>
        <v>1.8970404274000003E-2</v>
      </c>
      <c r="Y478" s="1010">
        <f>IF(I!Y478="","",$D$2*I!Y478)</f>
        <v>1.9708809606000001E-2</v>
      </c>
      <c r="Z478" s="938"/>
      <c r="AA478" s="938"/>
      <c r="AB478" s="938"/>
      <c r="AC478" s="938"/>
      <c r="AD478" s="1058"/>
      <c r="AE478" s="938"/>
      <c r="AF478" s="938"/>
      <c r="AG478" s="938"/>
      <c r="AH478" s="938"/>
    </row>
    <row r="479" spans="1:34" ht="17.25" customHeight="1" x14ac:dyDescent="0.35">
      <c r="A479" s="938"/>
      <c r="B479" s="938"/>
      <c r="C479" s="941"/>
      <c r="D479" s="1047"/>
      <c r="E479" s="941"/>
      <c r="F479" s="938"/>
      <c r="G479" s="976">
        <f t="shared" si="9"/>
        <v>476</v>
      </c>
      <c r="H479" s="942"/>
      <c r="I479" s="1060" t="s">
        <v>1056</v>
      </c>
      <c r="J479" s="1031" t="s">
        <v>1521</v>
      </c>
      <c r="K479" s="1002">
        <f>IF(I!K479="","",$D$2*I!K479)</f>
        <v>9.043376518E-2</v>
      </c>
      <c r="L479" s="981"/>
      <c r="M479" s="982"/>
      <c r="N479" s="1003"/>
      <c r="O479" s="1004">
        <f>IF(I!O479="","",$D$2*I!O479)</f>
        <v>0.11</v>
      </c>
      <c r="P479" s="1005">
        <f>IF(I!P479="","",$D$2*I!P479)</f>
        <v>3.7123648457510004E-2</v>
      </c>
      <c r="Q479" s="1006">
        <f>IF(I!Q479="","",$D$2*I!Q479)</f>
        <v>3.8483387000000003E-11</v>
      </c>
      <c r="R479" s="982"/>
      <c r="S479" s="1003"/>
      <c r="T479" s="938"/>
      <c r="U479" s="1008" t="s">
        <v>1059</v>
      </c>
      <c r="V479" s="1018" t="s">
        <v>6331</v>
      </c>
      <c r="W479" s="1019">
        <f>IF(I!W479="","",$D$2*I!W479)</f>
        <v>4.4778840010000001E-2</v>
      </c>
      <c r="X479" s="990">
        <f>IF(I!X479="","",$D$2*I!X479)</f>
        <v>6.1614502878000001E-2</v>
      </c>
      <c r="Y479" s="1010">
        <f>IF(I!Y479="","",$D$2*I!Y479)</f>
        <v>0.15896019001</v>
      </c>
      <c r="Z479" s="938"/>
      <c r="AA479" s="938"/>
      <c r="AB479" s="938"/>
      <c r="AC479" s="938"/>
      <c r="AD479" s="1058"/>
      <c r="AE479" s="938"/>
      <c r="AF479" s="938"/>
      <c r="AG479" s="938"/>
      <c r="AH479" s="938"/>
    </row>
    <row r="480" spans="1:34" ht="17.25" customHeight="1" x14ac:dyDescent="0.35">
      <c r="A480" s="938"/>
      <c r="B480" s="938"/>
      <c r="C480" s="941"/>
      <c r="D480" s="1047"/>
      <c r="E480" s="941"/>
      <c r="F480" s="938"/>
      <c r="G480" s="976">
        <f t="shared" si="9"/>
        <v>477</v>
      </c>
      <c r="H480" s="942"/>
      <c r="I480" s="1060" t="s">
        <v>1056</v>
      </c>
      <c r="J480" s="1031" t="s">
        <v>1522</v>
      </c>
      <c r="K480" s="1002">
        <f>IF(I!K480="","",$D$2*I!K480)</f>
        <v>3.4436194238000001E-3</v>
      </c>
      <c r="L480" s="981"/>
      <c r="M480" s="982"/>
      <c r="N480" s="1003"/>
      <c r="O480" s="1004">
        <f>IF(I!O480="","",$D$2*I!O480)</f>
        <v>0.02</v>
      </c>
      <c r="P480" s="1005">
        <f>IF(I!P480="","",$D$2*I!P480)</f>
        <v>4.5647593299529998E-2</v>
      </c>
      <c r="Q480" s="1006">
        <f>IF(I!Q480="","",$D$2*I!Q480)</f>
        <v>3.1717077000000001E-11</v>
      </c>
      <c r="R480" s="982"/>
      <c r="S480" s="1003"/>
      <c r="T480" s="938"/>
      <c r="U480" s="1008"/>
      <c r="V480" s="1040"/>
      <c r="W480" s="1019" t="str">
        <f>IF(I!W480="","",$D$2*I!W480)</f>
        <v/>
      </c>
      <c r="X480" s="990" t="str">
        <f>IF(I!X480="","",$D$2*I!X480)</f>
        <v/>
      </c>
      <c r="Y480" s="1010" t="str">
        <f>IF(I!Y480="","",$D$2*I!Y480)</f>
        <v/>
      </c>
      <c r="Z480" s="938"/>
      <c r="AA480" s="938"/>
      <c r="AB480" s="938"/>
      <c r="AC480" s="938"/>
      <c r="AD480" s="1058"/>
      <c r="AE480" s="938"/>
      <c r="AF480" s="938"/>
      <c r="AG480" s="938"/>
      <c r="AH480" s="938"/>
    </row>
    <row r="481" spans="1:34" ht="17.25" customHeight="1" x14ac:dyDescent="0.35">
      <c r="A481" s="938"/>
      <c r="B481" s="938"/>
      <c r="C481" s="941"/>
      <c r="D481" s="1047"/>
      <c r="E481" s="941"/>
      <c r="F481" s="938"/>
      <c r="G481" s="976">
        <f t="shared" si="9"/>
        <v>478</v>
      </c>
      <c r="H481" s="942"/>
      <c r="I481" s="1060" t="s">
        <v>1056</v>
      </c>
      <c r="J481" s="1031" t="s">
        <v>1523</v>
      </c>
      <c r="K481" s="1002">
        <f>IF(I!K481="","",$D$2*I!K481)</f>
        <v>6.4848288571000001E-3</v>
      </c>
      <c r="L481" s="981"/>
      <c r="M481" s="982"/>
      <c r="N481" s="1003"/>
      <c r="O481" s="1004">
        <f>IF(I!O481="","",$D$2*I!O481)</f>
        <v>0.02</v>
      </c>
      <c r="P481" s="1005">
        <f>IF(I!P481="","",$D$2*I!P481)</f>
        <v>5.0727457732699995E-2</v>
      </c>
      <c r="Q481" s="1006">
        <f>IF(I!Q481="","",$D$2*I!Q481)</f>
        <v>4.2289436000000001E-11</v>
      </c>
      <c r="R481" s="982"/>
      <c r="S481" s="1003"/>
      <c r="T481" s="938"/>
      <c r="U481" s="1008"/>
      <c r="V481" s="1009" t="s">
        <v>6332</v>
      </c>
      <c r="W481" s="1019" t="str">
        <f>IF(I!W481="","",$D$2*I!W481)</f>
        <v/>
      </c>
      <c r="X481" s="990" t="str">
        <f>IF(I!X481="","",$D$2*I!X481)</f>
        <v/>
      </c>
      <c r="Y481" s="1010" t="str">
        <f>IF(I!Y481="","",$D$2*I!Y481)</f>
        <v/>
      </c>
      <c r="Z481" s="938"/>
      <c r="AA481" s="938"/>
      <c r="AB481" s="938"/>
      <c r="AC481" s="938"/>
      <c r="AD481" s="1058"/>
      <c r="AE481" s="938"/>
      <c r="AF481" s="938"/>
      <c r="AG481" s="938"/>
      <c r="AH481" s="938"/>
    </row>
    <row r="482" spans="1:34" ht="17.25" customHeight="1" x14ac:dyDescent="0.35">
      <c r="A482" s="938"/>
      <c r="B482" s="938"/>
      <c r="C482" s="941"/>
      <c r="D482" s="1047"/>
      <c r="E482" s="941"/>
      <c r="F482" s="938"/>
      <c r="G482" s="976">
        <f t="shared" si="9"/>
        <v>479</v>
      </c>
      <c r="H482" s="942"/>
      <c r="I482" s="1060" t="s">
        <v>1056</v>
      </c>
      <c r="J482" s="1031" t="s">
        <v>1524</v>
      </c>
      <c r="K482" s="1002">
        <f>IF(I!K482="","",$D$2*I!K482)</f>
        <v>1.088585549E-2</v>
      </c>
      <c r="L482" s="981"/>
      <c r="M482" s="982"/>
      <c r="N482" s="1003"/>
      <c r="O482" s="1004">
        <f>IF(I!O482="","",$D$2*I!O482)</f>
        <v>0.03</v>
      </c>
      <c r="P482" s="1005">
        <f>IF(I!P482="","",$D$2*I!P482)</f>
        <v>2.0581482184000001E-2</v>
      </c>
      <c r="Q482" s="1006">
        <f>IF(I!Q482="","",$D$2*I!Q482)</f>
        <v>1.5221553999999999E-4</v>
      </c>
      <c r="R482" s="982"/>
      <c r="S482" s="1003"/>
      <c r="T482" s="938"/>
      <c r="U482" s="1008" t="s">
        <v>1059</v>
      </c>
      <c r="V482" s="1018" t="s">
        <v>6333</v>
      </c>
      <c r="W482" s="1019">
        <f>IF(I!W482="","",$D$2*I!W482)</f>
        <v>0.10036125599999998</v>
      </c>
      <c r="X482" s="990">
        <f>IF(I!X482="","",$D$2*I!X482)</f>
        <v>8.4474016459999995E-2</v>
      </c>
      <c r="Y482" s="1010">
        <f>IF(I!Y482="","",$D$2*I!Y482)</f>
        <v>0.14437287199999999</v>
      </c>
      <c r="Z482" s="938"/>
      <c r="AA482" s="938"/>
      <c r="AB482" s="938"/>
      <c r="AC482" s="938"/>
      <c r="AD482" s="1058"/>
      <c r="AE482" s="938"/>
      <c r="AF482" s="938"/>
      <c r="AG482" s="938"/>
      <c r="AH482" s="938"/>
    </row>
    <row r="483" spans="1:34" ht="17.25" customHeight="1" x14ac:dyDescent="0.35">
      <c r="A483" s="938"/>
      <c r="B483" s="938"/>
      <c r="C483" s="941"/>
      <c r="D483" s="1047"/>
      <c r="E483" s="941"/>
      <c r="F483" s="938"/>
      <c r="G483" s="976">
        <f t="shared" si="9"/>
        <v>480</v>
      </c>
      <c r="H483" s="942" t="s">
        <v>1525</v>
      </c>
      <c r="I483" s="1060"/>
      <c r="J483" s="1027"/>
      <c r="K483" s="1002" t="str">
        <f>IF(I!K483="","",$D$2*I!K483)</f>
        <v/>
      </c>
      <c r="L483" s="981"/>
      <c r="M483" s="982"/>
      <c r="N483" s="1003"/>
      <c r="O483" s="1004" t="str">
        <f>IF(I!O483="","",$D$2*I!O483)</f>
        <v/>
      </c>
      <c r="P483" s="1005" t="str">
        <f>IF(I!P483="","",$D$2*I!P483)</f>
        <v/>
      </c>
      <c r="Q483" s="1006" t="str">
        <f>IF(I!Q483="","",$D$2*I!Q483)</f>
        <v/>
      </c>
      <c r="R483" s="982"/>
      <c r="S483" s="1003"/>
      <c r="T483" s="938"/>
      <c r="U483" s="1008" t="s">
        <v>1059</v>
      </c>
      <c r="V483" s="1018" t="s">
        <v>6334</v>
      </c>
      <c r="W483" s="1019">
        <f>IF(I!W483="","",$D$2*I!W483)</f>
        <v>9.8908968599999994E-2</v>
      </c>
      <c r="X483" s="990">
        <f>IF(I!X483="","",$D$2*I!X483)</f>
        <v>8.5423480400000001E-2</v>
      </c>
      <c r="Y483" s="1010">
        <f>IF(I!Y483="","",$D$2*I!Y483)</f>
        <v>0.1453982966</v>
      </c>
      <c r="Z483" s="938"/>
      <c r="AA483" s="938"/>
      <c r="AB483" s="938"/>
      <c r="AC483" s="938"/>
      <c r="AD483" s="1058"/>
      <c r="AE483" s="938"/>
      <c r="AF483" s="938"/>
      <c r="AG483" s="938"/>
      <c r="AH483" s="938"/>
    </row>
    <row r="484" spans="1:34" ht="17.25" customHeight="1" x14ac:dyDescent="0.35">
      <c r="A484" s="938"/>
      <c r="B484" s="938"/>
      <c r="C484" s="941"/>
      <c r="D484" s="1047"/>
      <c r="E484" s="941"/>
      <c r="F484" s="938"/>
      <c r="G484" s="976">
        <f t="shared" si="9"/>
        <v>481</v>
      </c>
      <c r="H484" s="942"/>
      <c r="I484" s="1060" t="s">
        <v>1151</v>
      </c>
      <c r="J484" s="1031" t="s">
        <v>1526</v>
      </c>
      <c r="K484" s="1002">
        <f>IF(I!K484="","",$D$2*I!K484)</f>
        <v>3.6845768090000001E-2</v>
      </c>
      <c r="L484" s="981"/>
      <c r="M484" s="982"/>
      <c r="N484" s="1003"/>
      <c r="O484" s="1004">
        <f>IF(I!O484="","",$D$2*I!O484)</f>
        <v>0.12</v>
      </c>
      <c r="P484" s="1005">
        <f>IF(I!P484="","",$D$2*I!P484)</f>
        <v>2.9220419997000001E-2</v>
      </c>
      <c r="Q484" s="1006">
        <f>IF(I!Q484="","",$D$2*I!Q484)</f>
        <v>1.0201248000000001E-9</v>
      </c>
      <c r="R484" s="982"/>
      <c r="S484" s="1003"/>
      <c r="T484" s="938"/>
      <c r="U484" s="1008" t="s">
        <v>1059</v>
      </c>
      <c r="V484" s="1018" t="s">
        <v>6335</v>
      </c>
      <c r="W484" s="1019">
        <f>IF(I!W484="","",$D$2*I!W484)</f>
        <v>5.1803683230000001E-2</v>
      </c>
      <c r="X484" s="990">
        <f>IF(I!X484="","",$D$2*I!X484)</f>
        <v>4.2240110306E-2</v>
      </c>
      <c r="Y484" s="1010">
        <f>IF(I!Y484="","",$D$2*I!Y484)</f>
        <v>7.6709832229999997E-2</v>
      </c>
      <c r="Z484" s="938"/>
      <c r="AA484" s="938"/>
      <c r="AB484" s="938"/>
      <c r="AC484" s="938"/>
      <c r="AD484" s="1058"/>
      <c r="AE484" s="938"/>
      <c r="AF484" s="938"/>
      <c r="AG484" s="938"/>
      <c r="AH484" s="938"/>
    </row>
    <row r="485" spans="1:34" ht="17.25" customHeight="1" x14ac:dyDescent="0.35">
      <c r="A485" s="938"/>
      <c r="B485" s="938"/>
      <c r="C485" s="941"/>
      <c r="D485" s="1047"/>
      <c r="E485" s="941"/>
      <c r="F485" s="938"/>
      <c r="G485" s="976">
        <f t="shared" si="9"/>
        <v>482</v>
      </c>
      <c r="H485" s="942"/>
      <c r="I485" s="1060" t="s">
        <v>1151</v>
      </c>
      <c r="J485" s="1031" t="s">
        <v>1527</v>
      </c>
      <c r="K485" s="1002">
        <f>IF(I!K485="","",$D$2*I!K485)</f>
        <v>1.3289551642999999E-2</v>
      </c>
      <c r="L485" s="981"/>
      <c r="M485" s="982"/>
      <c r="N485" s="1003"/>
      <c r="O485" s="1004">
        <f>IF(I!O485="","",$D$2*I!O485)</f>
        <v>0.04</v>
      </c>
      <c r="P485" s="1005">
        <f>IF(I!P485="","",$D$2*I!P485)</f>
        <v>1.0738764504999998E-2</v>
      </c>
      <c r="Q485" s="1006">
        <f>IF(I!Q485="","",$D$2*I!Q485)</f>
        <v>6.5246557999999998E-10</v>
      </c>
      <c r="R485" s="982"/>
      <c r="S485" s="1003"/>
      <c r="T485" s="938"/>
      <c r="U485" s="1008" t="s">
        <v>1059</v>
      </c>
      <c r="V485" s="1018" t="s">
        <v>6336</v>
      </c>
      <c r="W485" s="1019">
        <f>IF(I!W485="","",$D$2*I!W485)</f>
        <v>0.21453244599999999</v>
      </c>
      <c r="X485" s="990">
        <f>IF(I!X485="","",$D$2*I!X485)</f>
        <v>7.8261819910000002E-2</v>
      </c>
      <c r="Y485" s="1010">
        <f>IF(I!Y485="","",$D$2*I!Y485)</f>
        <v>0.49690474600000001</v>
      </c>
      <c r="Z485" s="938"/>
      <c r="AA485" s="938"/>
      <c r="AB485" s="938"/>
      <c r="AC485" s="938"/>
      <c r="AD485" s="1058"/>
      <c r="AE485" s="938"/>
      <c r="AF485" s="938"/>
      <c r="AG485" s="938"/>
      <c r="AH485" s="938"/>
    </row>
    <row r="486" spans="1:34" ht="17.25" customHeight="1" x14ac:dyDescent="0.35">
      <c r="A486" s="938"/>
      <c r="B486" s="938"/>
      <c r="C486" s="941"/>
      <c r="D486" s="1047"/>
      <c r="E486" s="941"/>
      <c r="F486" s="938"/>
      <c r="G486" s="976">
        <f t="shared" si="9"/>
        <v>483</v>
      </c>
      <c r="H486" s="942"/>
      <c r="I486" s="1060" t="s">
        <v>1151</v>
      </c>
      <c r="J486" s="1031" t="s">
        <v>1528</v>
      </c>
      <c r="K486" s="1002">
        <f>IF(I!K486="","",$D$2*I!K486)</f>
        <v>2.2098121029999997E-2</v>
      </c>
      <c r="L486" s="981"/>
      <c r="M486" s="982"/>
      <c r="N486" s="1003"/>
      <c r="O486" s="1004">
        <f>IF(I!O486="","",$D$2*I!O486)</f>
        <v>7.0000000000000007E-2</v>
      </c>
      <c r="P486" s="1005">
        <f>IF(I!P486="","",$D$2*I!P486)</f>
        <v>1.7615083367E-2</v>
      </c>
      <c r="Q486" s="1006">
        <f>IF(I!Q486="","",$D$2*I!Q486)</f>
        <v>7.4049665000000005E-10</v>
      </c>
      <c r="R486" s="982"/>
      <c r="S486" s="1003"/>
      <c r="T486" s="938"/>
      <c r="U486" s="1008" t="s">
        <v>1059</v>
      </c>
      <c r="V486" s="1018" t="s">
        <v>6337</v>
      </c>
      <c r="W486" s="1019">
        <f>IF(I!W486="","",$D$2*I!W486)</f>
        <v>6.4998577312000015E-4</v>
      </c>
      <c r="X486" s="990">
        <f>IF(I!X486="","",$D$2*I!X486)</f>
        <v>4.8490576634000004E-6</v>
      </c>
      <c r="Y486" s="1010">
        <f>IF(I!Y486="","",$D$2*I!Y486)</f>
        <v>1.3862461831200001E-3</v>
      </c>
      <c r="Z486" s="938"/>
      <c r="AA486" s="938"/>
      <c r="AB486" s="938"/>
      <c r="AC486" s="938"/>
      <c r="AD486" s="1058"/>
      <c r="AE486" s="938"/>
      <c r="AF486" s="938"/>
      <c r="AG486" s="938"/>
      <c r="AH486" s="938"/>
    </row>
    <row r="487" spans="1:34" ht="17.25" customHeight="1" x14ac:dyDescent="0.35">
      <c r="A487" s="938"/>
      <c r="B487" s="938"/>
      <c r="C487" s="941"/>
      <c r="D487" s="1047"/>
      <c r="E487" s="941"/>
      <c r="F487" s="938"/>
      <c r="G487" s="976">
        <f t="shared" si="9"/>
        <v>484</v>
      </c>
      <c r="H487" s="1000"/>
      <c r="I487" s="1060"/>
      <c r="J487" s="1031"/>
      <c r="K487" s="1002" t="str">
        <f>IF(I!K487="","",$D$2*I!K487)</f>
        <v/>
      </c>
      <c r="L487" s="981"/>
      <c r="M487" s="982"/>
      <c r="N487" s="1003"/>
      <c r="O487" s="1004" t="str">
        <f>IF(I!O487="","",$D$2*I!O487)</f>
        <v/>
      </c>
      <c r="P487" s="1005" t="str">
        <f>IF(I!P487="","",$D$2*I!P487)</f>
        <v/>
      </c>
      <c r="Q487" s="1006" t="str">
        <f>IF(I!Q487="","",$D$2*I!Q487)</f>
        <v/>
      </c>
      <c r="R487" s="982"/>
      <c r="S487" s="1003"/>
      <c r="T487" s="938"/>
      <c r="U487" s="1008" t="s">
        <v>1059</v>
      </c>
      <c r="V487" s="1018" t="s">
        <v>6338</v>
      </c>
      <c r="W487" s="1019">
        <f>IF(I!W487="","",$D$2*I!W487)</f>
        <v>3.2097165820000002E-2</v>
      </c>
      <c r="X487" s="990">
        <f>IF(I!X487="","",$D$2*I!X487)</f>
        <v>1.265834098025E-3</v>
      </c>
      <c r="Y487" s="1010">
        <f>IF(I!Y487="","",$D$2*I!Y487)</f>
        <v>0.10557962681999999</v>
      </c>
      <c r="Z487" s="938"/>
      <c r="AA487" s="938"/>
      <c r="AB487" s="938"/>
      <c r="AC487" s="938"/>
      <c r="AD487" s="1058"/>
      <c r="AE487" s="938"/>
      <c r="AF487" s="938"/>
      <c r="AG487" s="938"/>
      <c r="AH487" s="938"/>
    </row>
    <row r="488" spans="1:34" ht="17.25" customHeight="1" x14ac:dyDescent="0.35">
      <c r="A488" s="938"/>
      <c r="B488" s="938"/>
      <c r="C488" s="941"/>
      <c r="D488" s="1047"/>
      <c r="E488" s="941"/>
      <c r="F488" s="938"/>
      <c r="G488" s="976">
        <f t="shared" si="9"/>
        <v>485</v>
      </c>
      <c r="H488" s="942" t="s">
        <v>1529</v>
      </c>
      <c r="I488" s="1060"/>
      <c r="J488" s="1054"/>
      <c r="K488" s="1002" t="str">
        <f>IF(I!K488="","",$D$2*I!K488)</f>
        <v/>
      </c>
      <c r="L488" s="981"/>
      <c r="M488" s="982"/>
      <c r="N488" s="1003"/>
      <c r="O488" s="1004" t="str">
        <f>IF(I!O488="","",$D$2*I!O488)</f>
        <v/>
      </c>
      <c r="P488" s="1005" t="str">
        <f>IF(I!P488="","",$D$2*I!P488)</f>
        <v/>
      </c>
      <c r="Q488" s="1006" t="str">
        <f>IF(I!Q488="","",$D$2*I!Q488)</f>
        <v/>
      </c>
      <c r="R488" s="982"/>
      <c r="S488" s="1003"/>
      <c r="T488" s="938"/>
      <c r="U488" s="1008" t="s">
        <v>1059</v>
      </c>
      <c r="V488" s="1018" t="s">
        <v>6339</v>
      </c>
      <c r="W488" s="1019">
        <f>IF(I!W488="","",$D$2*I!W488)</f>
        <v>0.1110856875</v>
      </c>
      <c r="X488" s="990">
        <f>IF(I!X488="","",$D$2*I!X488)</f>
        <v>0.19726571033999998</v>
      </c>
      <c r="Y488" s="1010">
        <f>IF(I!Y488="","",$D$2*I!Y488)</f>
        <v>0.25630338750000004</v>
      </c>
      <c r="Z488" s="938"/>
      <c r="AA488" s="938"/>
      <c r="AB488" s="938"/>
      <c r="AC488" s="938"/>
      <c r="AD488" s="1058"/>
      <c r="AE488" s="938"/>
      <c r="AF488" s="938"/>
      <c r="AG488" s="938"/>
      <c r="AH488" s="938"/>
    </row>
    <row r="489" spans="1:34" ht="17.25" customHeight="1" x14ac:dyDescent="0.35">
      <c r="A489" s="938"/>
      <c r="B489" s="938"/>
      <c r="C489" s="941"/>
      <c r="D489" s="1047"/>
      <c r="E489" s="941"/>
      <c r="F489" s="938"/>
      <c r="G489" s="976">
        <f t="shared" si="9"/>
        <v>486</v>
      </c>
      <c r="H489" s="1000"/>
      <c r="I489" s="1001" t="s">
        <v>1059</v>
      </c>
      <c r="J489" s="1031" t="s">
        <v>1530</v>
      </c>
      <c r="K489" s="1002">
        <f>IF(I!K489="","",$D$2*I!K489)</f>
        <v>8.2684577141500015E-2</v>
      </c>
      <c r="L489" s="981"/>
      <c r="M489" s="982"/>
      <c r="N489" s="1003"/>
      <c r="O489" s="1004">
        <f>IF(I!O489="","",$D$2*I!O489)</f>
        <v>0.3</v>
      </c>
      <c r="P489" s="1005">
        <f>IF(I!P489="","",$D$2*I!P489)</f>
        <v>5.3384330869999991E-4</v>
      </c>
      <c r="Q489" s="1006">
        <f>IF(I!Q489="","",$D$2*I!Q489)</f>
        <v>6.0413480000000004E-10</v>
      </c>
      <c r="R489" s="982"/>
      <c r="S489" s="1003"/>
      <c r="T489" s="938"/>
      <c r="U489" s="1008" t="s">
        <v>1059</v>
      </c>
      <c r="V489" s="1018" t="s">
        <v>6340</v>
      </c>
      <c r="W489" s="1019">
        <f>IF(I!W489="","",$D$2*I!W489)</f>
        <v>0.21074112240000001</v>
      </c>
      <c r="X489" s="990">
        <f>IF(I!X489="","",$D$2*I!X489)</f>
        <v>7.5444037009999992E-2</v>
      </c>
      <c r="Y489" s="1010">
        <f>IF(I!Y489="","",$D$2*I!Y489)</f>
        <v>0.45600124240000001</v>
      </c>
      <c r="Z489" s="938"/>
      <c r="AA489" s="938"/>
      <c r="AB489" s="938"/>
      <c r="AC489" s="938"/>
      <c r="AD489" s="1058"/>
      <c r="AE489" s="938"/>
      <c r="AF489" s="938"/>
      <c r="AG489" s="938"/>
      <c r="AH489" s="938"/>
    </row>
    <row r="490" spans="1:34" ht="17.25" customHeight="1" x14ac:dyDescent="0.35">
      <c r="A490" s="938"/>
      <c r="B490" s="938"/>
      <c r="C490" s="941"/>
      <c r="D490" s="1047"/>
      <c r="E490" s="941"/>
      <c r="F490" s="938"/>
      <c r="G490" s="976">
        <f t="shared" si="9"/>
        <v>487</v>
      </c>
      <c r="H490" s="1000"/>
      <c r="I490" s="1001" t="s">
        <v>1059</v>
      </c>
      <c r="J490" s="1031" t="s">
        <v>1531</v>
      </c>
      <c r="K490" s="1002">
        <f>IF(I!K490="","",$D$2*I!K490)</f>
        <v>0.12264799214149999</v>
      </c>
      <c r="L490" s="981"/>
      <c r="M490" s="982"/>
      <c r="N490" s="1003"/>
      <c r="O490" s="1004">
        <f>IF(I!O490="","",$D$2*I!O490)</f>
        <v>0.38</v>
      </c>
      <c r="P490" s="1005">
        <f>IF(I!P490="","",$D$2*I!P490)</f>
        <v>0.4669338450387</v>
      </c>
      <c r="Q490" s="1006">
        <f>IF(I!Q490="","",$D$2*I!Q490)</f>
        <v>6.0413480000000004E-10</v>
      </c>
      <c r="R490" s="982"/>
      <c r="S490" s="1003"/>
      <c r="T490" s="938"/>
      <c r="U490" s="1008" t="s">
        <v>1059</v>
      </c>
      <c r="V490" s="1018" t="s">
        <v>6341</v>
      </c>
      <c r="W490" s="1019">
        <f>IF(I!W490="","",$D$2*I!W490)</f>
        <v>2.3394734750000003E-2</v>
      </c>
      <c r="X490" s="990">
        <f>IF(I!X490="","",$D$2*I!X490)</f>
        <v>8.6047352980000002E-3</v>
      </c>
      <c r="Y490" s="1010">
        <f>IF(I!Y490="","",$D$2*I!Y490)</f>
        <v>3.0289434750000004E-2</v>
      </c>
      <c r="Z490" s="938"/>
      <c r="AA490" s="938"/>
      <c r="AB490" s="938"/>
      <c r="AC490" s="938"/>
      <c r="AD490" s="1058"/>
      <c r="AE490" s="938"/>
      <c r="AF490" s="938"/>
      <c r="AG490" s="938"/>
      <c r="AH490" s="938"/>
    </row>
    <row r="491" spans="1:34" ht="17.25" customHeight="1" x14ac:dyDescent="0.35">
      <c r="A491" s="938"/>
      <c r="B491" s="938"/>
      <c r="C491" s="941"/>
      <c r="D491" s="1047"/>
      <c r="E491" s="941"/>
      <c r="F491" s="938"/>
      <c r="G491" s="976">
        <f t="shared" si="9"/>
        <v>488</v>
      </c>
      <c r="H491" s="1000"/>
      <c r="I491" s="1001" t="s">
        <v>1059</v>
      </c>
      <c r="J491" s="1031" t="s">
        <v>1532</v>
      </c>
      <c r="K491" s="1002">
        <f>IF(I!K491="","",$D$2*I!K491)</f>
        <v>0.11942874640000001</v>
      </c>
      <c r="L491" s="981"/>
      <c r="M491" s="982"/>
      <c r="N491" s="1003"/>
      <c r="O491" s="1004">
        <f>IF(I!O491="","",$D$2*I!O491)</f>
        <v>0.72</v>
      </c>
      <c r="P491" s="1005">
        <f>IF(I!P491="","",$D$2*I!P491)</f>
        <v>8.1056339997000008E-4</v>
      </c>
      <c r="Q491" s="1006">
        <f>IF(I!Q491="","",$D$2*I!Q491)</f>
        <v>0</v>
      </c>
      <c r="R491" s="982"/>
      <c r="S491" s="1003"/>
      <c r="T491" s="938"/>
      <c r="U491" s="1008" t="s">
        <v>1059</v>
      </c>
      <c r="V491" s="1018" t="s">
        <v>6342</v>
      </c>
      <c r="W491" s="1019">
        <f>IF(I!W491="","",$D$2*I!W491)</f>
        <v>2.274283648E-2</v>
      </c>
      <c r="X491" s="990">
        <f>IF(I!X491="","",$D$2*I!X491)</f>
        <v>8.598590897E-3</v>
      </c>
      <c r="Y491" s="1010">
        <f>IF(I!Y491="","",$D$2*I!Y491)</f>
        <v>2.888943368E-2</v>
      </c>
      <c r="Z491" s="938"/>
      <c r="AA491" s="938"/>
      <c r="AB491" s="938"/>
      <c r="AC491" s="938"/>
      <c r="AD491" s="1058"/>
      <c r="AE491" s="938"/>
      <c r="AF491" s="938"/>
      <c r="AG491" s="938"/>
      <c r="AH491" s="938"/>
    </row>
    <row r="492" spans="1:34" ht="17.25" customHeight="1" x14ac:dyDescent="0.35">
      <c r="A492" s="938"/>
      <c r="B492" s="938"/>
      <c r="C492" s="941"/>
      <c r="D492" s="1047"/>
      <c r="E492" s="941"/>
      <c r="F492" s="938"/>
      <c r="G492" s="976">
        <f t="shared" si="9"/>
        <v>489</v>
      </c>
      <c r="H492" s="1000"/>
      <c r="I492" s="1001" t="s">
        <v>1059</v>
      </c>
      <c r="J492" s="1031" t="s">
        <v>1533</v>
      </c>
      <c r="K492" s="1002">
        <f>IF(I!K492="","",$D$2*I!K492)</f>
        <v>0.18334835803999999</v>
      </c>
      <c r="L492" s="981"/>
      <c r="M492" s="982"/>
      <c r="N492" s="1003"/>
      <c r="O492" s="1004">
        <f>IF(I!O492="","",$D$2*I!O492)</f>
        <v>1.1100000000000001</v>
      </c>
      <c r="P492" s="1005">
        <f>IF(I!P492="","",$D$2*I!P492)</f>
        <v>1.2443860838E-3</v>
      </c>
      <c r="Q492" s="1006">
        <f>IF(I!Q492="","",$D$2*I!Q492)</f>
        <v>0</v>
      </c>
      <c r="R492" s="982"/>
      <c r="S492" s="1003"/>
      <c r="T492" s="938"/>
      <c r="U492" s="1008" t="s">
        <v>1059</v>
      </c>
      <c r="V492" s="1018" t="s">
        <v>6343</v>
      </c>
      <c r="W492" s="1019">
        <f>IF(I!W492="","",$D$2*I!W492)</f>
        <v>0.2339321496</v>
      </c>
      <c r="X492" s="990">
        <f>IF(I!X492="","",$D$2*I!X492)</f>
        <v>8.3149985750000002E-2</v>
      </c>
      <c r="Y492" s="1010">
        <f>IF(I!Y492="","",$D$2*I!Y492)</f>
        <v>0.44252175960000001</v>
      </c>
      <c r="Z492" s="938"/>
      <c r="AA492" s="938"/>
      <c r="AB492" s="938"/>
      <c r="AC492" s="938"/>
      <c r="AD492" s="1058"/>
      <c r="AE492" s="938"/>
      <c r="AF492" s="938"/>
      <c r="AG492" s="938"/>
      <c r="AH492" s="938"/>
    </row>
    <row r="493" spans="1:34" ht="17.25" customHeight="1" x14ac:dyDescent="0.35">
      <c r="A493" s="938"/>
      <c r="B493" s="938"/>
      <c r="C493" s="941"/>
      <c r="D493" s="1047"/>
      <c r="E493" s="941"/>
      <c r="F493" s="938"/>
      <c r="G493" s="976">
        <f t="shared" si="9"/>
        <v>490</v>
      </c>
      <c r="H493" s="1000"/>
      <c r="I493" s="1001" t="s">
        <v>1059</v>
      </c>
      <c r="J493" s="1031" t="s">
        <v>1534</v>
      </c>
      <c r="K493" s="1002">
        <f>IF(I!K493="","",$D$2*I!K493)</f>
        <v>0.10428989116000001</v>
      </c>
      <c r="L493" s="981"/>
      <c r="M493" s="982"/>
      <c r="N493" s="1003"/>
      <c r="O493" s="1004">
        <f>IF(I!O493="","",$D$2*I!O493)</f>
        <v>0.63</v>
      </c>
      <c r="P493" s="1005">
        <f>IF(I!P493="","",$D$2*I!P493)</f>
        <v>7.0781592828000005E-4</v>
      </c>
      <c r="Q493" s="1006">
        <f>IF(I!Q493="","",$D$2*I!Q493)</f>
        <v>0</v>
      </c>
      <c r="R493" s="982"/>
      <c r="S493" s="1003"/>
      <c r="T493" s="938"/>
      <c r="U493" s="1008" t="s">
        <v>1059</v>
      </c>
      <c r="V493" s="1018" t="s">
        <v>6344</v>
      </c>
      <c r="W493" s="1019">
        <f>IF(I!W493="","",$D$2*I!W493)</f>
        <v>0.1323221168</v>
      </c>
      <c r="X493" s="990">
        <f>IF(I!X493="","",$D$2*I!X493)</f>
        <v>0.57405869480000005</v>
      </c>
      <c r="Y493" s="1010">
        <f>IF(I!Y493="","",$D$2*I!Y493)</f>
        <v>0.24660207680000001</v>
      </c>
      <c r="Z493" s="938"/>
      <c r="AA493" s="938"/>
      <c r="AB493" s="938"/>
      <c r="AC493" s="938"/>
      <c r="AD493" s="1058"/>
      <c r="AE493" s="938"/>
      <c r="AF493" s="938"/>
      <c r="AG493" s="938"/>
      <c r="AH493" s="938"/>
    </row>
    <row r="494" spans="1:34" ht="17.25" customHeight="1" x14ac:dyDescent="0.35">
      <c r="A494" s="938"/>
      <c r="B494" s="938"/>
      <c r="C494" s="941"/>
      <c r="D494" s="1047"/>
      <c r="E494" s="941"/>
      <c r="F494" s="938"/>
      <c r="G494" s="976">
        <f t="shared" si="9"/>
        <v>491</v>
      </c>
      <c r="H494" s="942"/>
      <c r="I494" s="1001" t="s">
        <v>1059</v>
      </c>
      <c r="J494" s="1031" t="s">
        <v>1535</v>
      </c>
      <c r="K494" s="1002">
        <f>IF(I!K494="","",$D$2*I!K494)</f>
        <v>0.18895898999999999</v>
      </c>
      <c r="L494" s="981"/>
      <c r="M494" s="982"/>
      <c r="N494" s="1003"/>
      <c r="O494" s="1004">
        <f>IF(I!O494="","",$D$2*I!O494)</f>
        <v>0.65</v>
      </c>
      <c r="P494" s="1005">
        <f>IF(I!P494="","",$D$2*I!P494)</f>
        <v>0</v>
      </c>
      <c r="Q494" s="1006">
        <f>IF(I!Q494="","",$D$2*I!Q494)</f>
        <v>0</v>
      </c>
      <c r="R494" s="982"/>
      <c r="S494" s="1003"/>
      <c r="T494" s="938"/>
      <c r="U494" s="1008" t="s">
        <v>1059</v>
      </c>
      <c r="V494" s="1018" t="s">
        <v>6345</v>
      </c>
      <c r="W494" s="1019">
        <f>IF(I!W494="","",$D$2*I!W494)</f>
        <v>0.13716120580000002</v>
      </c>
      <c r="X494" s="990">
        <f>IF(I!X494="","",$D$2*I!X494)</f>
        <v>5.339792853E-2</v>
      </c>
      <c r="Y494" s="1010">
        <f>IF(I!Y494="","",$D$2*I!Y494)</f>
        <v>0.25557965580000003</v>
      </c>
      <c r="Z494" s="938"/>
      <c r="AA494" s="938"/>
      <c r="AB494" s="938"/>
      <c r="AC494" s="938"/>
      <c r="AD494" s="1058"/>
      <c r="AE494" s="938"/>
      <c r="AF494" s="938"/>
      <c r="AG494" s="938"/>
      <c r="AH494" s="938"/>
    </row>
    <row r="495" spans="1:34" ht="17.25" customHeight="1" x14ac:dyDescent="0.35">
      <c r="A495" s="938"/>
      <c r="B495" s="938"/>
      <c r="C495" s="941"/>
      <c r="D495" s="1047"/>
      <c r="E495" s="941"/>
      <c r="F495" s="938"/>
      <c r="G495" s="976">
        <f t="shared" si="9"/>
        <v>492</v>
      </c>
      <c r="H495" s="1000"/>
      <c r="I495" s="1001" t="s">
        <v>1059</v>
      </c>
      <c r="J495" s="1031" t="s">
        <v>1536</v>
      </c>
      <c r="K495" s="1002">
        <f>IF(I!K495="","",$D$2*I!K495)</f>
        <v>2.5231425879999998E-2</v>
      </c>
      <c r="L495" s="981"/>
      <c r="M495" s="982"/>
      <c r="N495" s="1003"/>
      <c r="O495" s="1004">
        <f>IF(I!O495="","",$D$2*I!O495)</f>
        <v>0.15</v>
      </c>
      <c r="P495" s="1005">
        <f>IF(I!P495="","",$D$2*I!P495)</f>
        <v>1.7124579281000001E-4</v>
      </c>
      <c r="Q495" s="1006">
        <f>IF(I!Q495="","",$D$2*I!Q495)</f>
        <v>0</v>
      </c>
      <c r="R495" s="982"/>
      <c r="S495" s="1003"/>
      <c r="T495" s="938"/>
      <c r="U495" s="1008" t="s">
        <v>1059</v>
      </c>
      <c r="V495" s="1018" t="s">
        <v>6346</v>
      </c>
      <c r="W495" s="1019">
        <f>IF(I!W495="","",$D$2*I!W495)</f>
        <v>6.8961230499999998E-2</v>
      </c>
      <c r="X495" s="990">
        <f>IF(I!X495="","",$D$2*I!X495)</f>
        <v>4.1049135869999996E-2</v>
      </c>
      <c r="Y495" s="1010">
        <f>IF(I!Y495="","",$D$2*I!Y495)</f>
        <v>0.11348557349999999</v>
      </c>
      <c r="Z495" s="938"/>
      <c r="AA495" s="938"/>
      <c r="AB495" s="938"/>
      <c r="AC495" s="938"/>
      <c r="AD495" s="1058"/>
      <c r="AE495" s="938"/>
      <c r="AF495" s="938"/>
      <c r="AG495" s="938"/>
      <c r="AH495" s="938"/>
    </row>
    <row r="496" spans="1:34" ht="17.25" customHeight="1" x14ac:dyDescent="0.35">
      <c r="A496" s="938"/>
      <c r="B496" s="938"/>
      <c r="C496" s="941"/>
      <c r="D496" s="1047"/>
      <c r="E496" s="941"/>
      <c r="F496" s="938"/>
      <c r="G496" s="976">
        <f t="shared" si="9"/>
        <v>493</v>
      </c>
      <c r="H496" s="942" t="s">
        <v>1537</v>
      </c>
      <c r="I496" s="1060"/>
      <c r="J496" s="1027"/>
      <c r="K496" s="1002" t="str">
        <f>IF(I!K496="","",$D$2*I!K496)</f>
        <v/>
      </c>
      <c r="L496" s="981"/>
      <c r="M496" s="982"/>
      <c r="N496" s="1003"/>
      <c r="O496" s="1004" t="str">
        <f>IF(I!O496="","",$D$2*I!O496)</f>
        <v/>
      </c>
      <c r="P496" s="1005" t="str">
        <f>IF(I!P496="","",$D$2*I!P496)</f>
        <v/>
      </c>
      <c r="Q496" s="1006" t="str">
        <f>IF(I!Q496="","",$D$2*I!Q496)</f>
        <v/>
      </c>
      <c r="R496" s="982"/>
      <c r="S496" s="1003"/>
      <c r="T496" s="938"/>
      <c r="U496" s="1008" t="s">
        <v>1059</v>
      </c>
      <c r="V496" s="1018" t="s">
        <v>6347</v>
      </c>
      <c r="W496" s="1019">
        <f>IF(I!W496="","",$D$2*I!W496)</f>
        <v>5.7713845690000001E-2</v>
      </c>
      <c r="X496" s="990">
        <f>IF(I!X496="","",$D$2*I!X496)</f>
        <v>3.2851590699999995E-2</v>
      </c>
      <c r="Y496" s="1010">
        <f>IF(I!Y496="","",$D$2*I!Y496)</f>
        <v>9.5710176690000009E-2</v>
      </c>
      <c r="Z496" s="938"/>
      <c r="AA496" s="938"/>
      <c r="AB496" s="938"/>
      <c r="AC496" s="938"/>
      <c r="AD496" s="1058"/>
      <c r="AE496" s="938"/>
      <c r="AF496" s="938"/>
      <c r="AG496" s="938"/>
      <c r="AH496" s="938"/>
    </row>
    <row r="497" spans="1:34" ht="17.25" customHeight="1" x14ac:dyDescent="0.35">
      <c r="A497" s="938"/>
      <c r="B497" s="938"/>
      <c r="C497" s="941"/>
      <c r="D497" s="1047"/>
      <c r="E497" s="941"/>
      <c r="F497" s="938"/>
      <c r="G497" s="976">
        <f t="shared" si="9"/>
        <v>494</v>
      </c>
      <c r="H497" s="942"/>
      <c r="I497" s="1001" t="s">
        <v>1059</v>
      </c>
      <c r="J497" s="1031" t="s">
        <v>1538</v>
      </c>
      <c r="K497" s="1002">
        <f>IF(I!K497="","",$D$2*I!K497)</f>
        <v>8.0810933070000007E-2</v>
      </c>
      <c r="L497" s="981"/>
      <c r="M497" s="982"/>
      <c r="N497" s="1003"/>
      <c r="O497" s="1004">
        <f>IF(I!O497="","",$D$2*I!O497)</f>
        <v>0.49</v>
      </c>
      <c r="P497" s="1005">
        <f>IF(I!P497="","",$D$2*I!P497)</f>
        <v>1.1510498458E-2</v>
      </c>
      <c r="Q497" s="1006">
        <f>IF(I!Q497="","",$D$2*I!Q497)</f>
        <v>1.2427916E-8</v>
      </c>
      <c r="R497" s="982"/>
      <c r="S497" s="1003"/>
      <c r="T497" s="938"/>
      <c r="U497" s="1008" t="s">
        <v>1059</v>
      </c>
      <c r="V497" s="1018" t="s">
        <v>6348</v>
      </c>
      <c r="W497" s="1019">
        <f>IF(I!W497="","",$D$2*I!W497)</f>
        <v>0.14927167720000001</v>
      </c>
      <c r="X497" s="990">
        <f>IF(I!X497="","",$D$2*I!X497)</f>
        <v>5.1791766030000005E-2</v>
      </c>
      <c r="Y497" s="1010">
        <f>IF(I!Y497="","",$D$2*I!Y497)</f>
        <v>0.33426446720000003</v>
      </c>
      <c r="Z497" s="938"/>
      <c r="AA497" s="938"/>
      <c r="AB497" s="938"/>
      <c r="AC497" s="938"/>
      <c r="AD497" s="1058"/>
      <c r="AE497" s="938"/>
      <c r="AF497" s="938"/>
      <c r="AG497" s="938"/>
      <c r="AH497" s="938"/>
    </row>
    <row r="498" spans="1:34" ht="17.25" customHeight="1" x14ac:dyDescent="0.35">
      <c r="A498" s="938"/>
      <c r="B498" s="938"/>
      <c r="C498" s="941"/>
      <c r="D498" s="1047"/>
      <c r="E498" s="941"/>
      <c r="F498" s="938"/>
      <c r="G498" s="976">
        <f t="shared" si="9"/>
        <v>495</v>
      </c>
      <c r="H498" s="1000"/>
      <c r="I498" s="1001" t="s">
        <v>1059</v>
      </c>
      <c r="J498" s="1031" t="s">
        <v>1539</v>
      </c>
      <c r="K498" s="1002">
        <f>IF(I!K498="","",$D$2*I!K498)</f>
        <v>6.4326401589999999E-2</v>
      </c>
      <c r="L498" s="981"/>
      <c r="M498" s="982"/>
      <c r="N498" s="1003"/>
      <c r="O498" s="1004">
        <f>IF(I!O498="","",$D$2*I!O498)</f>
        <v>0.39</v>
      </c>
      <c r="P498" s="1005">
        <f>IF(I!P498="","",$D$2*I!P498)</f>
        <v>1.1398617883999998E-2</v>
      </c>
      <c r="Q498" s="1006">
        <f>IF(I!Q498="","",$D$2*I!Q498)</f>
        <v>1.2427916E-8</v>
      </c>
      <c r="R498" s="982"/>
      <c r="S498" s="1003"/>
      <c r="T498" s="938"/>
      <c r="U498" s="1008" t="s">
        <v>1059</v>
      </c>
      <c r="V498" s="1018" t="s">
        <v>6349</v>
      </c>
      <c r="W498" s="1019">
        <f>IF(I!W498="","",$D$2*I!W498)</f>
        <v>4.641821677E-2</v>
      </c>
      <c r="X498" s="990">
        <f>IF(I!X498="","",$D$2*I!X498)</f>
        <v>2.2750758431999994E-2</v>
      </c>
      <c r="Y498" s="1010">
        <f>IF(I!Y498="","",$D$2*I!Y498)</f>
        <v>0.10626841777</v>
      </c>
      <c r="Z498" s="938"/>
      <c r="AA498" s="938"/>
      <c r="AB498" s="938"/>
      <c r="AC498" s="938"/>
      <c r="AD498" s="1058"/>
      <c r="AE498" s="938"/>
      <c r="AF498" s="938"/>
      <c r="AG498" s="938"/>
      <c r="AH498" s="938"/>
    </row>
    <row r="499" spans="1:34" ht="17.25" customHeight="1" x14ac:dyDescent="0.35">
      <c r="A499" s="938"/>
      <c r="B499" s="938"/>
      <c r="C499" s="941"/>
      <c r="D499" s="1047"/>
      <c r="E499" s="941"/>
      <c r="F499" s="938"/>
      <c r="G499" s="976">
        <f t="shared" si="9"/>
        <v>496</v>
      </c>
      <c r="H499" s="1000"/>
      <c r="I499" s="1001" t="s">
        <v>1059</v>
      </c>
      <c r="J499" s="1031" t="s">
        <v>1540</v>
      </c>
      <c r="K499" s="1002">
        <f>IF(I!K499="","",$D$2*I!K499)</f>
        <v>8.2156609450000001E-2</v>
      </c>
      <c r="L499" s="981"/>
      <c r="M499" s="982"/>
      <c r="N499" s="1003"/>
      <c r="O499" s="1004">
        <f>IF(I!O499="","",$D$2*I!O499)</f>
        <v>0.49</v>
      </c>
      <c r="P499" s="1005">
        <f>IF(I!P499="","",$D$2*I!P499)</f>
        <v>1.1519631571E-2</v>
      </c>
      <c r="Q499" s="1006">
        <f>IF(I!Q499="","",$D$2*I!Q499)</f>
        <v>1.2427916E-8</v>
      </c>
      <c r="R499" s="982"/>
      <c r="S499" s="1003"/>
      <c r="T499" s="938"/>
      <c r="U499" s="1008" t="s">
        <v>1059</v>
      </c>
      <c r="V499" s="1018" t="s">
        <v>6350</v>
      </c>
      <c r="W499" s="1019">
        <f>IF(I!W499="","",$D$2*I!W499)</f>
        <v>0.19586667670000002</v>
      </c>
      <c r="X499" s="990">
        <f>IF(I!X499="","",$D$2*I!X499)</f>
        <v>0.11465168765</v>
      </c>
      <c r="Y499" s="1010">
        <f>IF(I!Y499="","",$D$2*I!Y499)</f>
        <v>0.32435647670000001</v>
      </c>
      <c r="Z499" s="938"/>
      <c r="AA499" s="938"/>
      <c r="AB499" s="938"/>
      <c r="AC499" s="938"/>
      <c r="AD499" s="1058"/>
      <c r="AE499" s="938"/>
      <c r="AF499" s="938"/>
      <c r="AG499" s="938"/>
      <c r="AH499" s="938"/>
    </row>
    <row r="500" spans="1:34" ht="17.25" customHeight="1" x14ac:dyDescent="0.35">
      <c r="A500" s="938"/>
      <c r="B500" s="938"/>
      <c r="C500" s="941"/>
      <c r="D500" s="1047"/>
      <c r="E500" s="941"/>
      <c r="F500" s="938"/>
      <c r="G500" s="976">
        <f t="shared" si="9"/>
        <v>497</v>
      </c>
      <c r="H500" s="1000"/>
      <c r="I500" s="1001" t="s">
        <v>1059</v>
      </c>
      <c r="J500" s="1031" t="s">
        <v>1541</v>
      </c>
      <c r="K500" s="1002">
        <f>IF(I!K500="","",$D$2*I!K500)</f>
        <v>8.6193637259999997E-2</v>
      </c>
      <c r="L500" s="981"/>
      <c r="M500" s="982"/>
      <c r="N500" s="1003"/>
      <c r="O500" s="1004">
        <f>IF(I!O500="","",$D$2*I!O500)</f>
        <v>0.52</v>
      </c>
      <c r="P500" s="1005">
        <f>IF(I!P500="","",$D$2*I!P500)</f>
        <v>1.1547030899999998E-2</v>
      </c>
      <c r="Q500" s="1006">
        <f>IF(I!Q500="","",$D$2*I!Q500)</f>
        <v>1.2427916E-8</v>
      </c>
      <c r="R500" s="982"/>
      <c r="S500" s="1003"/>
      <c r="T500" s="938"/>
      <c r="U500" s="1008" t="s">
        <v>1059</v>
      </c>
      <c r="V500" s="1018" t="s">
        <v>6351</v>
      </c>
      <c r="W500" s="1019">
        <f>IF(I!W500="","",$D$2*I!W500)</f>
        <v>6.468915346000001E-2</v>
      </c>
      <c r="X500" s="990">
        <f>IF(I!X500="","",$D$2*I!X500)</f>
        <v>4.2263718040000002E-2</v>
      </c>
      <c r="Y500" s="1010">
        <f>IF(I!Y500="","",$D$2*I!Y500)</f>
        <v>9.9421280460000011E-2</v>
      </c>
      <c r="Z500" s="938"/>
      <c r="AA500" s="938"/>
      <c r="AB500" s="938"/>
      <c r="AC500" s="938"/>
      <c r="AD500" s="1058"/>
      <c r="AE500" s="938"/>
      <c r="AF500" s="938"/>
      <c r="AG500" s="938"/>
      <c r="AH500" s="938"/>
    </row>
    <row r="501" spans="1:34" ht="17.25" customHeight="1" x14ac:dyDescent="0.35">
      <c r="A501" s="938"/>
      <c r="B501" s="938"/>
      <c r="C501" s="941"/>
      <c r="D501" s="1047"/>
      <c r="E501" s="941"/>
      <c r="F501" s="938"/>
      <c r="G501" s="976">
        <f t="shared" si="9"/>
        <v>498</v>
      </c>
      <c r="H501" s="1000"/>
      <c r="I501" s="1001" t="s">
        <v>1059</v>
      </c>
      <c r="J501" s="1031" t="s">
        <v>1542</v>
      </c>
      <c r="K501" s="1002">
        <f>IF(I!K501="","",$D$2*I!K501)</f>
        <v>7.9465256799999995E-2</v>
      </c>
      <c r="L501" s="981"/>
      <c r="M501" s="982"/>
      <c r="N501" s="1003"/>
      <c r="O501" s="1004">
        <f>IF(I!O501="","",$D$2*I!O501)</f>
        <v>0.48</v>
      </c>
      <c r="P501" s="1005">
        <f>IF(I!P501="","",$D$2*I!P501)</f>
        <v>1.1501365355999998E-2</v>
      </c>
      <c r="Q501" s="1006">
        <f>IF(I!Q501="","",$D$2*I!Q501)</f>
        <v>1.2427916E-8</v>
      </c>
      <c r="R501" s="982"/>
      <c r="S501" s="1003"/>
      <c r="T501" s="938"/>
      <c r="U501" s="1008" t="s">
        <v>1059</v>
      </c>
      <c r="V501" s="1018" t="s">
        <v>6352</v>
      </c>
      <c r="W501" s="1019">
        <f>IF(I!W501="","",$D$2*I!W501)</f>
        <v>6.3216393100000004E-2</v>
      </c>
      <c r="X501" s="990">
        <f>IF(I!X501="","",$D$2*I!X501)</f>
        <v>2.4234788960000003E-2</v>
      </c>
      <c r="Y501" s="1010">
        <f>IF(I!Y501="","",$D$2*I!Y501)</f>
        <v>0.19615643310000003</v>
      </c>
      <c r="Z501" s="938"/>
      <c r="AA501" s="938"/>
      <c r="AB501" s="938"/>
      <c r="AC501" s="938"/>
      <c r="AD501" s="1058"/>
      <c r="AE501" s="938"/>
      <c r="AF501" s="938"/>
      <c r="AG501" s="938"/>
      <c r="AH501" s="938"/>
    </row>
    <row r="502" spans="1:34" ht="17.25" customHeight="1" x14ac:dyDescent="0.35">
      <c r="A502" s="938"/>
      <c r="B502" s="938"/>
      <c r="C502" s="941"/>
      <c r="D502" s="1047"/>
      <c r="E502" s="941"/>
      <c r="F502" s="938"/>
      <c r="G502" s="976">
        <f t="shared" si="9"/>
        <v>499</v>
      </c>
      <c r="H502" s="1000"/>
      <c r="I502" s="1001" t="s">
        <v>1059</v>
      </c>
      <c r="J502" s="1031" t="s">
        <v>1543</v>
      </c>
      <c r="K502" s="1002">
        <f>IF(I!K502="","",$D$2*I!K502)</f>
        <v>3.4003261440000002E-2</v>
      </c>
      <c r="L502" s="981"/>
      <c r="M502" s="982"/>
      <c r="N502" s="1003"/>
      <c r="O502" s="1004">
        <f>IF(I!O502="","",$D$2*I!O502)</f>
        <v>0.12</v>
      </c>
      <c r="P502" s="1005">
        <f>IF(I!P502="","",$D$2*I!P502)</f>
        <v>2.3651946665E-2</v>
      </c>
      <c r="Q502" s="1006">
        <f>IF(I!Q502="","",$D$2*I!Q502)</f>
        <v>2.6202188999999998E-10</v>
      </c>
      <c r="R502" s="982"/>
      <c r="S502" s="1003"/>
      <c r="T502" s="938"/>
      <c r="U502" s="1008" t="s">
        <v>1059</v>
      </c>
      <c r="V502" s="1018" t="s">
        <v>6353</v>
      </c>
      <c r="W502" s="1019">
        <f>IF(I!W502="","",$D$2*I!W502)</f>
        <v>0.14873216089999999</v>
      </c>
      <c r="X502" s="990">
        <f>IF(I!X502="","",$D$2*I!X502)</f>
        <v>8.8678894679999995E-2</v>
      </c>
      <c r="Y502" s="1010">
        <f>IF(I!Y502="","",$D$2*I!Y502)</f>
        <v>0.2433563769</v>
      </c>
      <c r="Z502" s="938"/>
      <c r="AA502" s="938"/>
      <c r="AB502" s="938"/>
      <c r="AC502" s="938"/>
      <c r="AD502" s="1058"/>
      <c r="AE502" s="938"/>
      <c r="AF502" s="938"/>
      <c r="AG502" s="938"/>
      <c r="AH502" s="938"/>
    </row>
    <row r="503" spans="1:34" ht="17.25" customHeight="1" x14ac:dyDescent="0.35">
      <c r="A503" s="938"/>
      <c r="B503" s="938"/>
      <c r="C503" s="941"/>
      <c r="D503" s="1047"/>
      <c r="E503" s="941"/>
      <c r="F503" s="938"/>
      <c r="G503" s="976">
        <f t="shared" si="9"/>
        <v>500</v>
      </c>
      <c r="H503" s="1000"/>
      <c r="I503" s="1001" t="s">
        <v>1059</v>
      </c>
      <c r="J503" s="1031" t="s">
        <v>1544</v>
      </c>
      <c r="K503" s="1002">
        <f>IF(I!K503="","",$D$2*I!K503)</f>
        <v>7.4250762249999991E-2</v>
      </c>
      <c r="L503" s="981"/>
      <c r="M503" s="982"/>
      <c r="N503" s="1003"/>
      <c r="O503" s="1004">
        <f>IF(I!O503="","",$D$2*I!O503)</f>
        <v>0.45</v>
      </c>
      <c r="P503" s="1005">
        <f>IF(I!P503="","",$D$2*I!P503)</f>
        <v>1.1465974554999999E-2</v>
      </c>
      <c r="Q503" s="1006">
        <f>IF(I!Q503="","",$D$2*I!Q503)</f>
        <v>1.2427916E-8</v>
      </c>
      <c r="R503" s="982"/>
      <c r="S503" s="1003"/>
      <c r="T503" s="938"/>
      <c r="U503" s="1008" t="s">
        <v>1059</v>
      </c>
      <c r="V503" s="1018" t="s">
        <v>6354</v>
      </c>
      <c r="W503" s="1019">
        <f>IF(I!W503="","",$D$2*I!W503)</f>
        <v>0.1754763956</v>
      </c>
      <c r="X503" s="990">
        <f>IF(I!X503="","",$D$2*I!X503)</f>
        <v>8.7335451990000007E-2</v>
      </c>
      <c r="Y503" s="1010">
        <f>IF(I!Y503="","",$D$2*I!Y503)</f>
        <v>0.23336346060000002</v>
      </c>
      <c r="Z503" s="938"/>
      <c r="AA503" s="938"/>
      <c r="AB503" s="938"/>
      <c r="AC503" s="938"/>
      <c r="AD503" s="1058"/>
      <c r="AE503" s="938"/>
      <c r="AF503" s="938"/>
      <c r="AG503" s="938"/>
      <c r="AH503" s="938"/>
    </row>
    <row r="504" spans="1:34" ht="17.25" customHeight="1" x14ac:dyDescent="0.35">
      <c r="A504" s="938"/>
      <c r="B504" s="938"/>
      <c r="C504" s="941"/>
      <c r="D504" s="1047"/>
      <c r="E504" s="941"/>
      <c r="F504" s="938"/>
      <c r="G504" s="976">
        <f t="shared" si="9"/>
        <v>501</v>
      </c>
      <c r="H504" s="1000"/>
      <c r="I504" s="1001" t="s">
        <v>1059</v>
      </c>
      <c r="J504" s="1031" t="s">
        <v>1545</v>
      </c>
      <c r="K504" s="1002">
        <f>IF(I!K504="","",$D$2*I!K504)</f>
        <v>7.4250762249999991E-2</v>
      </c>
      <c r="L504" s="981"/>
      <c r="M504" s="982"/>
      <c r="N504" s="1003"/>
      <c r="O504" s="1004">
        <f>IF(I!O504="","",$D$2*I!O504)</f>
        <v>0.45</v>
      </c>
      <c r="P504" s="1005">
        <f>IF(I!P504="","",$D$2*I!P504)</f>
        <v>1.1465974554999999E-2</v>
      </c>
      <c r="Q504" s="1006">
        <f>IF(I!Q504="","",$D$2*I!Q504)</f>
        <v>1.2427916E-8</v>
      </c>
      <c r="R504" s="982"/>
      <c r="S504" s="1003"/>
      <c r="T504" s="938"/>
      <c r="U504" s="1008" t="s">
        <v>1059</v>
      </c>
      <c r="V504" s="1018" t="s">
        <v>6355</v>
      </c>
      <c r="W504" s="1019">
        <f>IF(I!W504="","",$D$2*I!W504)</f>
        <v>9.9175038660000006E-2</v>
      </c>
      <c r="X504" s="990">
        <f>IF(I!X504="","",$D$2*I!X504)</f>
        <v>7.9968127750000007E-2</v>
      </c>
      <c r="Y504" s="1010">
        <f>IF(I!Y504="","",$D$2*I!Y504)</f>
        <v>0.15741056966</v>
      </c>
      <c r="Z504" s="938"/>
      <c r="AA504" s="938"/>
      <c r="AB504" s="938"/>
      <c r="AC504" s="938"/>
      <c r="AD504" s="1058"/>
      <c r="AE504" s="938"/>
      <c r="AF504" s="938"/>
      <c r="AG504" s="938"/>
      <c r="AH504" s="938"/>
    </row>
    <row r="505" spans="1:34" ht="17.25" customHeight="1" x14ac:dyDescent="0.35">
      <c r="A505" s="938"/>
      <c r="B505" s="938"/>
      <c r="C505" s="941"/>
      <c r="D505" s="1047"/>
      <c r="E505" s="941"/>
      <c r="F505" s="938"/>
      <c r="G505" s="976">
        <f t="shared" si="9"/>
        <v>502</v>
      </c>
      <c r="H505" s="942"/>
      <c r="I505" s="1001" t="s">
        <v>1059</v>
      </c>
      <c r="J505" s="1031" t="s">
        <v>1546</v>
      </c>
      <c r="K505" s="1002">
        <f>IF(I!K505="","",$D$2*I!K505)</f>
        <v>7.4418972770000008E-2</v>
      </c>
      <c r="L505" s="981"/>
      <c r="M505" s="982"/>
      <c r="N505" s="1003"/>
      <c r="O505" s="1004">
        <f>IF(I!O505="","",$D$2*I!O505)</f>
        <v>0.45</v>
      </c>
      <c r="P505" s="1005">
        <f>IF(I!P505="","",$D$2*I!P505)</f>
        <v>1.1467116195E-2</v>
      </c>
      <c r="Q505" s="1006">
        <f>IF(I!Q505="","",$D$2*I!Q505)</f>
        <v>1.2427916E-8</v>
      </c>
      <c r="R505" s="982"/>
      <c r="S505" s="1003"/>
      <c r="T505" s="938"/>
      <c r="U505" s="1008" t="s">
        <v>1059</v>
      </c>
      <c r="V505" s="1018" t="s">
        <v>6356</v>
      </c>
      <c r="W505" s="1019">
        <f>IF(I!W505="","",$D$2*I!W505)</f>
        <v>8.2351055030000009E-2</v>
      </c>
      <c r="X505" s="990">
        <f>IF(I!X505="","",$D$2*I!X505)</f>
        <v>2.9341937659999998E-2</v>
      </c>
      <c r="Y505" s="1010">
        <f>IF(I!Y505="","",$D$2*I!Y505)</f>
        <v>0.17817871502999999</v>
      </c>
      <c r="Z505" s="938"/>
      <c r="AA505" s="938"/>
      <c r="AB505" s="938"/>
      <c r="AC505" s="938"/>
      <c r="AD505" s="1058"/>
      <c r="AE505" s="938"/>
      <c r="AF505" s="938"/>
      <c r="AG505" s="938"/>
      <c r="AH505" s="938"/>
    </row>
    <row r="506" spans="1:34" ht="17.25" customHeight="1" x14ac:dyDescent="0.35">
      <c r="A506" s="938"/>
      <c r="B506" s="938"/>
      <c r="C506" s="941"/>
      <c r="D506" s="1047"/>
      <c r="E506" s="941"/>
      <c r="F506" s="938"/>
      <c r="G506" s="976">
        <f t="shared" si="9"/>
        <v>503</v>
      </c>
      <c r="H506" s="1000"/>
      <c r="I506" s="1001" t="s">
        <v>1059</v>
      </c>
      <c r="J506" s="1031" t="s">
        <v>1547</v>
      </c>
      <c r="K506" s="1002">
        <f>IF(I!K506="","",$D$2*I!K506)</f>
        <v>8.6193637259999997E-2</v>
      </c>
      <c r="L506" s="981"/>
      <c r="M506" s="982"/>
      <c r="N506" s="1003"/>
      <c r="O506" s="1004">
        <f>IF(I!O506="","",$D$2*I!O506)</f>
        <v>0.52</v>
      </c>
      <c r="P506" s="1005">
        <f>IF(I!P506="","",$D$2*I!P506)</f>
        <v>1.1547030899999998E-2</v>
      </c>
      <c r="Q506" s="1006">
        <f>IF(I!Q506="","",$D$2*I!Q506)</f>
        <v>1.2427916E-8</v>
      </c>
      <c r="R506" s="982"/>
      <c r="S506" s="1003"/>
      <c r="T506" s="938"/>
      <c r="U506" s="1008" t="s">
        <v>1059</v>
      </c>
      <c r="V506" s="1018" t="s">
        <v>6357</v>
      </c>
      <c r="W506" s="1019">
        <f>IF(I!W506="","",$D$2*I!W506)</f>
        <v>2.9228555518000001</v>
      </c>
      <c r="X506" s="990">
        <f>IF(I!X506="","",$D$2*I!X506)</f>
        <v>0.59420664039999993</v>
      </c>
      <c r="Y506" s="1010">
        <f>IF(I!Y506="","",$D$2*I!Y506)</f>
        <v>4.5246585518</v>
      </c>
      <c r="Z506" s="938"/>
      <c r="AA506" s="938"/>
      <c r="AB506" s="938"/>
      <c r="AC506" s="938"/>
      <c r="AD506" s="1058"/>
      <c r="AE506" s="938"/>
      <c r="AF506" s="938"/>
      <c r="AG506" s="938"/>
      <c r="AH506" s="938"/>
    </row>
    <row r="507" spans="1:34" ht="17.25" customHeight="1" x14ac:dyDescent="0.35">
      <c r="A507" s="938"/>
      <c r="B507" s="938"/>
      <c r="C507" s="941"/>
      <c r="D507" s="1047"/>
      <c r="E507" s="941"/>
      <c r="F507" s="938"/>
      <c r="G507" s="976">
        <f t="shared" si="9"/>
        <v>504</v>
      </c>
      <c r="H507" s="1000"/>
      <c r="I507" s="1001" t="s">
        <v>1059</v>
      </c>
      <c r="J507" s="1031" t="s">
        <v>1548</v>
      </c>
      <c r="K507" s="1002">
        <f>IF(I!K507="","",$D$2*I!K507)</f>
        <v>0.17282153223999999</v>
      </c>
      <c r="L507" s="981"/>
      <c r="M507" s="982"/>
      <c r="N507" s="1003"/>
      <c r="O507" s="1004">
        <f>IF(I!O507="","",$D$2*I!O507)</f>
        <v>1.04</v>
      </c>
      <c r="P507" s="1005">
        <f>IF(I!P507="","",$D$2*I!P507)</f>
        <v>1.2134974750999998E-2</v>
      </c>
      <c r="Q507" s="1006">
        <f>IF(I!Q507="","",$D$2*I!Q507)</f>
        <v>1.2427916E-8</v>
      </c>
      <c r="R507" s="982"/>
      <c r="S507" s="1003"/>
      <c r="T507" s="938"/>
      <c r="U507" s="1008" t="s">
        <v>1059</v>
      </c>
      <c r="V507" s="1018" t="s">
        <v>6358</v>
      </c>
      <c r="W507" s="1019">
        <f>IF(I!W507="","",$D$2*I!W507)</f>
        <v>2.6315017581000002</v>
      </c>
      <c r="X507" s="990">
        <f>IF(I!X507="","",$D$2*I!X507)</f>
        <v>0.53486879292</v>
      </c>
      <c r="Y507" s="1010">
        <f>IF(I!Y507="","",$D$2*I!Y507)</f>
        <v>4.0645789581000002</v>
      </c>
      <c r="Z507" s="938"/>
      <c r="AA507" s="938"/>
      <c r="AB507" s="938"/>
      <c r="AC507" s="938"/>
      <c r="AD507" s="1058"/>
      <c r="AE507" s="938"/>
      <c r="AF507" s="938"/>
      <c r="AG507" s="938"/>
      <c r="AH507" s="938"/>
    </row>
    <row r="508" spans="1:34" ht="17.25" customHeight="1" x14ac:dyDescent="0.35">
      <c r="A508" s="938"/>
      <c r="B508" s="938"/>
      <c r="C508" s="941"/>
      <c r="D508" s="1047"/>
      <c r="E508" s="941"/>
      <c r="F508" s="938"/>
      <c r="G508" s="976">
        <f t="shared" si="9"/>
        <v>505</v>
      </c>
      <c r="H508" s="1000"/>
      <c r="I508" s="1001" t="s">
        <v>1059</v>
      </c>
      <c r="J508" s="1031" t="s">
        <v>1549</v>
      </c>
      <c r="K508" s="1002">
        <f>IF(I!K508="","",$D$2*I!K508)</f>
        <v>6.8195220880000004E-2</v>
      </c>
      <c r="L508" s="981"/>
      <c r="M508" s="982"/>
      <c r="N508" s="1003"/>
      <c r="O508" s="1004">
        <f>IF(I!O508="","",$D$2*I!O508)</f>
        <v>0.41</v>
      </c>
      <c r="P508" s="1005">
        <f>IF(I!P508="","",$D$2*I!P508)</f>
        <v>1.1424875572E-2</v>
      </c>
      <c r="Q508" s="1006">
        <f>IF(I!Q508="","",$D$2*I!Q508)</f>
        <v>1.2427916E-8</v>
      </c>
      <c r="R508" s="982"/>
      <c r="S508" s="1003"/>
      <c r="T508" s="938"/>
      <c r="U508" s="1008" t="s">
        <v>1059</v>
      </c>
      <c r="V508" s="1018" t="s">
        <v>6359</v>
      </c>
      <c r="W508" s="1019">
        <f>IF(I!W508="","",$D$2*I!W508)</f>
        <v>0.19728549300000001</v>
      </c>
      <c r="X508" s="990">
        <f>IF(I!X508="","",$D$2*I!X508)</f>
        <v>0.17057185304</v>
      </c>
      <c r="Y508" s="1010">
        <f>IF(I!Y508="","",$D$2*I!Y508)</f>
        <v>0.30425027300000002</v>
      </c>
      <c r="Z508" s="938"/>
      <c r="AA508" s="938"/>
      <c r="AB508" s="938"/>
      <c r="AC508" s="938"/>
      <c r="AD508" s="1058"/>
      <c r="AE508" s="938"/>
      <c r="AF508" s="938"/>
      <c r="AG508" s="938"/>
      <c r="AH508" s="938"/>
    </row>
    <row r="509" spans="1:34" ht="17.25" customHeight="1" x14ac:dyDescent="0.35">
      <c r="A509" s="938"/>
      <c r="B509" s="938"/>
      <c r="C509" s="941"/>
      <c r="D509" s="1047"/>
      <c r="E509" s="941"/>
      <c r="F509" s="938"/>
      <c r="G509" s="976">
        <f t="shared" si="9"/>
        <v>506</v>
      </c>
      <c r="H509" s="1000"/>
      <c r="I509" s="1001" t="s">
        <v>1059</v>
      </c>
      <c r="J509" s="1031" t="s">
        <v>1550</v>
      </c>
      <c r="K509" s="1002">
        <f>IF(I!K509="","",$D$2*I!K509)</f>
        <v>6.8027010360000001E-2</v>
      </c>
      <c r="L509" s="981"/>
      <c r="M509" s="982"/>
      <c r="N509" s="1003"/>
      <c r="O509" s="1004">
        <f>IF(I!O509="","",$D$2*I!O509)</f>
        <v>0.41</v>
      </c>
      <c r="P509" s="1005">
        <f>IF(I!P509="","",$D$2*I!P509)</f>
        <v>1.1423733932E-2</v>
      </c>
      <c r="Q509" s="1006">
        <f>IF(I!Q509="","",$D$2*I!Q509)</f>
        <v>1.2427916E-8</v>
      </c>
      <c r="R509" s="982"/>
      <c r="S509" s="1003"/>
      <c r="T509" s="938"/>
      <c r="U509" s="1008" t="s">
        <v>1059</v>
      </c>
      <c r="V509" s="1018" t="s">
        <v>6360</v>
      </c>
      <c r="W509" s="1019">
        <f>IF(I!W509="","",$D$2*I!W509)</f>
        <v>0.8880823913</v>
      </c>
      <c r="X509" s="990">
        <f>IF(I!X509="","",$D$2*I!X509)</f>
        <v>0.51916486513000004</v>
      </c>
      <c r="Y509" s="1010">
        <f>IF(I!Y509="","",$D$2*I!Y509)</f>
        <v>1.0730951413000001</v>
      </c>
      <c r="Z509" s="938"/>
      <c r="AA509" s="938"/>
      <c r="AB509" s="938"/>
      <c r="AC509" s="938"/>
      <c r="AD509" s="1058"/>
      <c r="AE509" s="938"/>
      <c r="AF509" s="938"/>
      <c r="AG509" s="938"/>
      <c r="AH509" s="938"/>
    </row>
    <row r="510" spans="1:34" ht="17.25" customHeight="1" x14ac:dyDescent="0.35">
      <c r="A510" s="938"/>
      <c r="B510" s="938"/>
      <c r="C510" s="941"/>
      <c r="D510" s="1047"/>
      <c r="E510" s="941"/>
      <c r="F510" s="938"/>
      <c r="G510" s="976">
        <f t="shared" si="9"/>
        <v>507</v>
      </c>
      <c r="H510" s="942"/>
      <c r="I510" s="1001" t="s">
        <v>1059</v>
      </c>
      <c r="J510" s="1031" t="s">
        <v>1551</v>
      </c>
      <c r="K510" s="1002">
        <f>IF(I!K510="","",$D$2*I!K510)</f>
        <v>6.4494611119999989E-2</v>
      </c>
      <c r="L510" s="981"/>
      <c r="M510" s="982"/>
      <c r="N510" s="1003"/>
      <c r="O510" s="1004">
        <f>IF(I!O510="","",$D$2*I!O510)</f>
        <v>0.39</v>
      </c>
      <c r="P510" s="1005">
        <f>IF(I!P510="","",$D$2*I!P510)</f>
        <v>1.1399759513999999E-2</v>
      </c>
      <c r="Q510" s="1006">
        <f>IF(I!Q510="","",$D$2*I!Q510)</f>
        <v>1.2427916E-8</v>
      </c>
      <c r="R510" s="982"/>
      <c r="S510" s="1003"/>
      <c r="T510" s="938"/>
      <c r="U510" s="1008" t="s">
        <v>1059</v>
      </c>
      <c r="V510" s="1018" t="s">
        <v>6361</v>
      </c>
      <c r="W510" s="1019">
        <f>IF(I!W510="","",$D$2*I!W510)</f>
        <v>0.2266473188</v>
      </c>
      <c r="X510" s="990">
        <f>IF(I!X510="","",$D$2*I!X510)</f>
        <v>9.9912261599999996E-2</v>
      </c>
      <c r="Y510" s="1010">
        <f>IF(I!Y510="","",$D$2*I!Y510)</f>
        <v>0.28291440179999999</v>
      </c>
      <c r="Z510" s="938"/>
      <c r="AA510" s="938"/>
      <c r="AB510" s="938"/>
      <c r="AC510" s="938"/>
      <c r="AD510" s="1058"/>
      <c r="AE510" s="938"/>
      <c r="AF510" s="938"/>
      <c r="AG510" s="938"/>
      <c r="AH510" s="938"/>
    </row>
    <row r="511" spans="1:34" ht="17.25" customHeight="1" x14ac:dyDescent="0.35">
      <c r="A511" s="938"/>
      <c r="B511" s="938"/>
      <c r="C511" s="941"/>
      <c r="D511" s="1047"/>
      <c r="E511" s="941"/>
      <c r="F511" s="938"/>
      <c r="G511" s="976">
        <f t="shared" si="9"/>
        <v>508</v>
      </c>
      <c r="H511" s="1000"/>
      <c r="I511" s="1001" t="s">
        <v>1059</v>
      </c>
      <c r="J511" s="1031" t="s">
        <v>1552</v>
      </c>
      <c r="K511" s="1002">
        <f>IF(I!K511="","",$D$2*I!K511)</f>
        <v>7.0718363000000006E-2</v>
      </c>
      <c r="L511" s="981"/>
      <c r="M511" s="982"/>
      <c r="N511" s="1003"/>
      <c r="O511" s="1004">
        <f>IF(I!O511="","",$D$2*I!O511)</f>
        <v>0.42</v>
      </c>
      <c r="P511" s="1005">
        <f>IF(I!P511="","",$D$2*I!P511)</f>
        <v>1.1442000147E-2</v>
      </c>
      <c r="Q511" s="1006">
        <f>IF(I!Q511="","",$D$2*I!Q511)</f>
        <v>1.2427916E-8</v>
      </c>
      <c r="R511" s="982"/>
      <c r="S511" s="1003"/>
      <c r="T511" s="938"/>
      <c r="U511" s="1008" t="s">
        <v>1059</v>
      </c>
      <c r="V511" s="1018" t="s">
        <v>6362</v>
      </c>
      <c r="W511" s="1019">
        <f>IF(I!W511="","",$D$2*I!W511)</f>
        <v>6.6639041090000004E-2</v>
      </c>
      <c r="X511" s="990">
        <f>IF(I!X511="","",$D$2*I!X511)</f>
        <v>5.6872922677000004E-2</v>
      </c>
      <c r="Y511" s="1010">
        <f>IF(I!Y511="","",$D$2*I!Y511)</f>
        <v>0.10323600709</v>
      </c>
      <c r="Z511" s="938"/>
      <c r="AA511" s="938"/>
      <c r="AB511" s="938"/>
      <c r="AC511" s="938"/>
      <c r="AD511" s="1058"/>
      <c r="AE511" s="938"/>
      <c r="AF511" s="938"/>
      <c r="AG511" s="938"/>
      <c r="AH511" s="938"/>
    </row>
    <row r="512" spans="1:34" ht="17.25" customHeight="1" x14ac:dyDescent="0.35">
      <c r="A512" s="938"/>
      <c r="B512" s="938"/>
      <c r="C512" s="941"/>
      <c r="D512" s="1047"/>
      <c r="E512" s="941"/>
      <c r="F512" s="938"/>
      <c r="G512" s="976">
        <f t="shared" si="9"/>
        <v>509</v>
      </c>
      <c r="H512" s="1000"/>
      <c r="I512" s="1001" t="s">
        <v>1059</v>
      </c>
      <c r="J512" s="1031" t="s">
        <v>1553</v>
      </c>
      <c r="K512" s="1002">
        <f>IF(I!K512="","",$D$2*I!K512)</f>
        <v>6.1803259569999998E-2</v>
      </c>
      <c r="L512" s="981"/>
      <c r="M512" s="982"/>
      <c r="N512" s="1003"/>
      <c r="O512" s="1004">
        <f>IF(I!O512="","",$D$2*I!O512)</f>
        <v>0.37</v>
      </c>
      <c r="P512" s="1005">
        <f>IF(I!P512="","",$D$2*I!P512)</f>
        <v>1.1381493299E-2</v>
      </c>
      <c r="Q512" s="1006">
        <f>IF(I!Q512="","",$D$2*I!Q512)</f>
        <v>1.2427916E-8</v>
      </c>
      <c r="R512" s="982"/>
      <c r="S512" s="1003"/>
      <c r="T512" s="938"/>
      <c r="U512" s="1008" t="s">
        <v>1059</v>
      </c>
      <c r="V512" s="1018" t="s">
        <v>6363</v>
      </c>
      <c r="W512" s="1019">
        <f>IF(I!W512="","",$D$2*I!W512)</f>
        <v>0.13196226819999998</v>
      </c>
      <c r="X512" s="990">
        <f>IF(I!X512="","",$D$2*I!X512)</f>
        <v>0.11372238793</v>
      </c>
      <c r="Y512" s="1010">
        <f>IF(I!Y512="","",$D$2*I!Y512)</f>
        <v>0.20374314119999998</v>
      </c>
      <c r="Z512" s="938"/>
      <c r="AA512" s="938"/>
      <c r="AB512" s="938"/>
      <c r="AC512" s="938"/>
      <c r="AD512" s="1058"/>
      <c r="AE512" s="938"/>
      <c r="AF512" s="938"/>
      <c r="AG512" s="938"/>
      <c r="AH512" s="938"/>
    </row>
    <row r="513" spans="1:34" ht="17.25" customHeight="1" x14ac:dyDescent="0.35">
      <c r="A513" s="938"/>
      <c r="B513" s="938"/>
      <c r="C513" s="941"/>
      <c r="D513" s="1047"/>
      <c r="E513" s="941"/>
      <c r="F513" s="938"/>
      <c r="G513" s="976">
        <f t="shared" si="9"/>
        <v>510</v>
      </c>
      <c r="H513" s="1000"/>
      <c r="I513" s="1001" t="s">
        <v>1059</v>
      </c>
      <c r="J513" s="1031" t="s">
        <v>1554</v>
      </c>
      <c r="K513" s="1002">
        <f>IF(I!K513="","",$D$2*I!K513)</f>
        <v>8.7034684959999997E-2</v>
      </c>
      <c r="L513" s="981"/>
      <c r="M513" s="982"/>
      <c r="N513" s="1003"/>
      <c r="O513" s="1004">
        <f>IF(I!O513="","",$D$2*I!O513)</f>
        <v>0.52</v>
      </c>
      <c r="P513" s="1005">
        <f>IF(I!P513="","",$D$2*I!P513)</f>
        <v>1.1552739090999999E-2</v>
      </c>
      <c r="Q513" s="1006">
        <f>IF(I!Q513="","",$D$2*I!Q513)</f>
        <v>1.2427916E-8</v>
      </c>
      <c r="R513" s="982"/>
      <c r="S513" s="1003"/>
      <c r="T513" s="938"/>
      <c r="U513" s="1008" t="s">
        <v>1059</v>
      </c>
      <c r="V513" s="1018" t="s">
        <v>6364</v>
      </c>
      <c r="W513" s="1019">
        <f>IF(I!W513="","",$D$2*I!W513)</f>
        <v>0.12331573245000001</v>
      </c>
      <c r="X513" s="990">
        <f>IF(I!X513="","",$D$2*I!X513)</f>
        <v>4.9942562688999999E-2</v>
      </c>
      <c r="Y513" s="1010">
        <f>IF(I!Y513="","",$D$2*I!Y513)</f>
        <v>0.15208674345000001</v>
      </c>
      <c r="Z513" s="938"/>
      <c r="AA513" s="938"/>
      <c r="AB513" s="938"/>
      <c r="AC513" s="938"/>
      <c r="AD513" s="1058"/>
      <c r="AE513" s="938"/>
      <c r="AF513" s="938"/>
      <c r="AG513" s="938"/>
      <c r="AH513" s="938"/>
    </row>
    <row r="514" spans="1:34" ht="17.25" customHeight="1" x14ac:dyDescent="0.35">
      <c r="A514" s="938"/>
      <c r="B514" s="938"/>
      <c r="C514" s="941"/>
      <c r="D514" s="1047"/>
      <c r="E514" s="941"/>
      <c r="F514" s="938"/>
      <c r="G514" s="976">
        <f t="shared" si="9"/>
        <v>511</v>
      </c>
      <c r="H514" s="1000"/>
      <c r="I514" s="1001" t="s">
        <v>1059</v>
      </c>
      <c r="J514" s="1031" t="s">
        <v>1555</v>
      </c>
      <c r="K514" s="1002">
        <f>IF(I!K514="","",$D$2*I!K514)</f>
        <v>8.3670495240000003E-2</v>
      </c>
      <c r="L514" s="981"/>
      <c r="M514" s="982"/>
      <c r="N514" s="1003"/>
      <c r="O514" s="1004">
        <f>IF(I!O514="","",$D$2*I!O514)</f>
        <v>0.5</v>
      </c>
      <c r="P514" s="1005">
        <f>IF(I!P514="","",$D$2*I!P514)</f>
        <v>1.1529906314000001E-2</v>
      </c>
      <c r="Q514" s="1006">
        <f>IF(I!Q514="","",$D$2*I!Q514)</f>
        <v>1.2427916E-8</v>
      </c>
      <c r="R514" s="982"/>
      <c r="S514" s="1003"/>
      <c r="T514" s="938"/>
      <c r="U514" s="1008" t="s">
        <v>1059</v>
      </c>
      <c r="V514" s="1018" t="s">
        <v>6365</v>
      </c>
      <c r="W514" s="1019">
        <f>IF(I!W514="","",$D$2*I!W514)</f>
        <v>4.6470546600000003E-2</v>
      </c>
      <c r="X514" s="990">
        <f>IF(I!X514="","",$D$2*I!X514)</f>
        <v>1.7852754701999998E-2</v>
      </c>
      <c r="Y514" s="1010">
        <f>IF(I!Y514="","",$D$2*I!Y514)</f>
        <v>0.1544440966</v>
      </c>
      <c r="Z514" s="938"/>
      <c r="AA514" s="938"/>
      <c r="AB514" s="938"/>
      <c r="AC514" s="938"/>
      <c r="AD514" s="1058"/>
      <c r="AE514" s="938"/>
      <c r="AF514" s="938"/>
      <c r="AG514" s="938"/>
      <c r="AH514" s="938"/>
    </row>
    <row r="515" spans="1:34" ht="17.25" customHeight="1" x14ac:dyDescent="0.35">
      <c r="A515" s="938"/>
      <c r="B515" s="938"/>
      <c r="C515" s="941"/>
      <c r="D515" s="1047"/>
      <c r="E515" s="941"/>
      <c r="F515" s="938"/>
      <c r="G515" s="976">
        <f t="shared" si="9"/>
        <v>512</v>
      </c>
      <c r="H515" s="1000"/>
      <c r="I515" s="1001" t="s">
        <v>1059</v>
      </c>
      <c r="J515" s="1031" t="s">
        <v>1556</v>
      </c>
      <c r="K515" s="1002">
        <f>IF(I!K515="","",$D$2*I!K515)</f>
        <v>5.2383527579999999E-2</v>
      </c>
      <c r="L515" s="981"/>
      <c r="M515" s="982"/>
      <c r="N515" s="1003"/>
      <c r="O515" s="1004">
        <f>IF(I!O515="","",$D$2*I!O515)</f>
        <v>0.31</v>
      </c>
      <c r="P515" s="1005">
        <f>IF(I!P515="","",$D$2*I!P515)</f>
        <v>1.1317561538999999E-2</v>
      </c>
      <c r="Q515" s="1006">
        <f>IF(I!Q515="","",$D$2*I!Q515)</f>
        <v>1.2427916E-8</v>
      </c>
      <c r="R515" s="982"/>
      <c r="S515" s="1003"/>
      <c r="T515" s="938"/>
      <c r="U515" s="1008" t="s">
        <v>1059</v>
      </c>
      <c r="V515" s="1018" t="s">
        <v>6366</v>
      </c>
      <c r="W515" s="1019">
        <f>IF(I!W515="","",$D$2*I!W515)</f>
        <v>0.1187007944</v>
      </c>
      <c r="X515" s="990">
        <f>IF(I!X515="","",$D$2*I!X515)</f>
        <v>9.2724832349999994E-2</v>
      </c>
      <c r="Y515" s="1010">
        <f>IF(I!Y515="","",$D$2*I!Y515)</f>
        <v>0.61727050439999998</v>
      </c>
      <c r="Z515" s="938"/>
      <c r="AA515" s="938"/>
      <c r="AB515" s="938"/>
      <c r="AC515" s="938"/>
      <c r="AD515" s="1058"/>
      <c r="AE515" s="938"/>
      <c r="AF515" s="938"/>
      <c r="AG515" s="938"/>
      <c r="AH515" s="938"/>
    </row>
    <row r="516" spans="1:34" ht="17.25" customHeight="1" x14ac:dyDescent="0.35">
      <c r="A516" s="938"/>
      <c r="B516" s="938"/>
      <c r="C516" s="941"/>
      <c r="D516" s="1047"/>
      <c r="E516" s="941"/>
      <c r="F516" s="938"/>
      <c r="G516" s="976">
        <f t="shared" si="9"/>
        <v>513</v>
      </c>
      <c r="H516" s="1000"/>
      <c r="I516" s="1001" t="s">
        <v>1059</v>
      </c>
      <c r="J516" s="1031" t="s">
        <v>1557</v>
      </c>
      <c r="K516" s="1002">
        <f>IF(I!K516="","",$D$2*I!K516)</f>
        <v>5.0869642399999998E-2</v>
      </c>
      <c r="L516" s="981"/>
      <c r="M516" s="982"/>
      <c r="N516" s="1003"/>
      <c r="O516" s="1004">
        <f>IF(I!O516="","",$D$2*I!O516)</f>
        <v>0.3</v>
      </c>
      <c r="P516" s="1005">
        <f>IF(I!P516="","",$D$2*I!P516)</f>
        <v>1.1307286795999998E-2</v>
      </c>
      <c r="Q516" s="1006">
        <f>IF(I!Q516="","",$D$2*I!Q516)</f>
        <v>1.2427916E-8</v>
      </c>
      <c r="R516" s="982"/>
      <c r="S516" s="1003"/>
      <c r="T516" s="938"/>
      <c r="U516" s="1008" t="s">
        <v>1059</v>
      </c>
      <c r="V516" s="1018" t="s">
        <v>6367</v>
      </c>
      <c r="W516" s="1019">
        <f>IF(I!W516="","",$D$2*I!W516)</f>
        <v>0.18866100259999999</v>
      </c>
      <c r="X516" s="990">
        <f>IF(I!X516="","",$D$2*I!X516)</f>
        <v>0.16932549644</v>
      </c>
      <c r="Y516" s="1010">
        <f>IF(I!Y516="","",$D$2*I!Y516)</f>
        <v>1.2369789026</v>
      </c>
      <c r="Z516" s="938"/>
      <c r="AA516" s="938"/>
      <c r="AB516" s="938"/>
      <c r="AC516" s="938"/>
      <c r="AD516" s="1058"/>
      <c r="AE516" s="938"/>
      <c r="AF516" s="938"/>
      <c r="AG516" s="938"/>
      <c r="AH516" s="938"/>
    </row>
    <row r="517" spans="1:34" ht="17.25" customHeight="1" x14ac:dyDescent="0.35">
      <c r="A517" s="938"/>
      <c r="B517" s="938"/>
      <c r="C517" s="941"/>
      <c r="D517" s="1047"/>
      <c r="E517" s="941"/>
      <c r="F517" s="938"/>
      <c r="G517" s="976">
        <f t="shared" si="9"/>
        <v>514</v>
      </c>
      <c r="H517" s="1000"/>
      <c r="I517" s="1001" t="s">
        <v>1059</v>
      </c>
      <c r="J517" s="1031" t="s">
        <v>1558</v>
      </c>
      <c r="K517" s="1002">
        <f>IF(I!K517="","",$D$2*I!K517)</f>
        <v>6.7185962749999995E-2</v>
      </c>
      <c r="L517" s="981"/>
      <c r="M517" s="982"/>
      <c r="N517" s="1003"/>
      <c r="O517" s="1004">
        <f>IF(I!O517="","",$D$2*I!O517)</f>
        <v>0.4</v>
      </c>
      <c r="P517" s="1005">
        <f>IF(I!P517="","",$D$2*I!P517)</f>
        <v>1.1418025739999999E-2</v>
      </c>
      <c r="Q517" s="1006">
        <f>IF(I!Q517="","",$D$2*I!Q517)</f>
        <v>1.2427916E-8</v>
      </c>
      <c r="R517" s="982"/>
      <c r="S517" s="1003"/>
      <c r="T517" s="938"/>
      <c r="U517" s="1008" t="s">
        <v>1059</v>
      </c>
      <c r="V517" s="1018" t="s">
        <v>6368</v>
      </c>
      <c r="W517" s="1019">
        <f>IF(I!W517="","",$D$2*I!W517)</f>
        <v>0.12977387910000002</v>
      </c>
      <c r="X517" s="990">
        <f>IF(I!X517="","",$D$2*I!X517)</f>
        <v>0.35452130276999999</v>
      </c>
      <c r="Y517" s="1010">
        <f>IF(I!Y517="","",$D$2*I!Y517)</f>
        <v>0.21370441210000002</v>
      </c>
      <c r="Z517" s="938"/>
      <c r="AA517" s="938"/>
      <c r="AB517" s="938"/>
      <c r="AC517" s="938"/>
      <c r="AD517" s="1058"/>
      <c r="AE517" s="938"/>
      <c r="AF517" s="938"/>
      <c r="AG517" s="938"/>
      <c r="AH517" s="938"/>
    </row>
    <row r="518" spans="1:34" ht="17.25" customHeight="1" x14ac:dyDescent="0.35">
      <c r="A518" s="938"/>
      <c r="B518" s="938"/>
      <c r="C518" s="941"/>
      <c r="D518" s="1047"/>
      <c r="E518" s="941"/>
      <c r="F518" s="938"/>
      <c r="G518" s="976">
        <f t="shared" ref="G518:G581" si="10">G517+1</f>
        <v>515</v>
      </c>
      <c r="H518" s="1068">
        <v>1</v>
      </c>
      <c r="I518" s="1001" t="s">
        <v>1059</v>
      </c>
      <c r="J518" s="1031" t="s">
        <v>1559</v>
      </c>
      <c r="K518" s="1002">
        <f>IF(I!K518="","",$D$2*I!K518)</f>
        <v>6.3485354889999998E-2</v>
      </c>
      <c r="L518" s="981"/>
      <c r="M518" s="982"/>
      <c r="N518" s="1003"/>
      <c r="O518" s="1004">
        <f>IF(I!O518="","",$D$2*I!O518)</f>
        <v>0.38</v>
      </c>
      <c r="P518" s="1005">
        <f>IF(I!P518="","",$D$2*I!P518)</f>
        <v>1.1392909691999999E-2</v>
      </c>
      <c r="Q518" s="1006">
        <f>IF(I!Q518="","",$D$2*I!Q518)</f>
        <v>1.2427916E-8</v>
      </c>
      <c r="R518" s="982"/>
      <c r="S518" s="1003"/>
      <c r="T518" s="938"/>
      <c r="U518" s="1008" t="s">
        <v>1059</v>
      </c>
      <c r="V518" s="1018" t="s">
        <v>6369</v>
      </c>
      <c r="W518" s="1019">
        <f>IF(I!W518="","",$D$2*I!W518)</f>
        <v>9.6528391489999997E-3</v>
      </c>
      <c r="X518" s="990">
        <f>IF(I!X518="","",$D$2*I!X518)</f>
        <v>3.0410825695000002E-3</v>
      </c>
      <c r="Y518" s="1010">
        <f>IF(I!Y518="","",$D$2*I!Y518)</f>
        <v>1.7136233149000001E-2</v>
      </c>
      <c r="Z518" s="938"/>
      <c r="AA518" s="938"/>
      <c r="AB518" s="938"/>
      <c r="AC518" s="938"/>
      <c r="AD518" s="1058"/>
      <c r="AE518" s="938"/>
      <c r="AF518" s="938"/>
      <c r="AG518" s="938"/>
      <c r="AH518" s="938"/>
    </row>
    <row r="519" spans="1:34" ht="17.25" customHeight="1" x14ac:dyDescent="0.35">
      <c r="A519" s="938"/>
      <c r="B519" s="938"/>
      <c r="C519" s="941"/>
      <c r="D519" s="1047"/>
      <c r="E519" s="941"/>
      <c r="F519" s="938"/>
      <c r="G519" s="976">
        <f t="shared" si="10"/>
        <v>516</v>
      </c>
      <c r="H519" s="1000"/>
      <c r="I519" s="1001" t="s">
        <v>1059</v>
      </c>
      <c r="J519" s="1031" t="s">
        <v>1560</v>
      </c>
      <c r="K519" s="1002">
        <f>IF(I!K519="","",$D$2*I!K519)</f>
        <v>6.2644307280000006E-2</v>
      </c>
      <c r="L519" s="981"/>
      <c r="M519" s="982"/>
      <c r="N519" s="1003"/>
      <c r="O519" s="1004">
        <f>IF(I!O519="","",$D$2*I!O519)</f>
        <v>0.38</v>
      </c>
      <c r="P519" s="1005">
        <f>IF(I!P519="","",$D$2*I!P519)</f>
        <v>1.138720149E-2</v>
      </c>
      <c r="Q519" s="1006">
        <f>IF(I!Q519="","",$D$2*I!Q519)</f>
        <v>1.2427916E-8</v>
      </c>
      <c r="R519" s="982"/>
      <c r="S519" s="1003"/>
      <c r="T519" s="938"/>
      <c r="U519" s="1008" t="s">
        <v>1059</v>
      </c>
      <c r="V519" s="1018" t="s">
        <v>6370</v>
      </c>
      <c r="W519" s="1019">
        <f>IF(I!W519="","",$D$2*I!W519)</f>
        <v>0.35390296043000002</v>
      </c>
      <c r="X519" s="990">
        <f>IF(I!X519="","",$D$2*I!X519)</f>
        <v>0.12145757145999998</v>
      </c>
      <c r="Y519" s="1010">
        <f>IF(I!Y519="","",$D$2*I!Y519)</f>
        <v>0.61633258042999994</v>
      </c>
      <c r="Z519" s="938"/>
      <c r="AA519" s="938"/>
      <c r="AB519" s="938"/>
      <c r="AC519" s="938"/>
      <c r="AD519" s="1058"/>
      <c r="AE519" s="938"/>
      <c r="AF519" s="938"/>
      <c r="AG519" s="938"/>
      <c r="AH519" s="938"/>
    </row>
    <row r="520" spans="1:34" ht="17.25" customHeight="1" x14ac:dyDescent="0.35">
      <c r="A520" s="938"/>
      <c r="B520" s="938"/>
      <c r="C520" s="941"/>
      <c r="D520" s="1047"/>
      <c r="E520" s="941"/>
      <c r="F520" s="938"/>
      <c r="G520" s="976">
        <f t="shared" si="10"/>
        <v>517</v>
      </c>
      <c r="H520" s="1000"/>
      <c r="I520" s="1001" t="s">
        <v>1059</v>
      </c>
      <c r="J520" s="1031" t="s">
        <v>1561</v>
      </c>
      <c r="K520" s="1002">
        <f>IF(I!K520="","",$D$2*I!K520)</f>
        <v>1.6233068689999998E-2</v>
      </c>
      <c r="L520" s="981"/>
      <c r="M520" s="982"/>
      <c r="N520" s="1003"/>
      <c r="O520" s="1004">
        <f>IF(I!O520="","",$D$2*I!O520)</f>
        <v>0.05</v>
      </c>
      <c r="P520" s="1005">
        <f>IF(I!P520="","",$D$2*I!P520)</f>
        <v>1.6189758750999997E-2</v>
      </c>
      <c r="Q520" s="1006">
        <f>IF(I!Q520="","",$D$2*I!Q520)</f>
        <v>5.1782983000000001E-9</v>
      </c>
      <c r="R520" s="982"/>
      <c r="S520" s="1003"/>
      <c r="T520" s="938"/>
      <c r="U520" s="1008" t="s">
        <v>1059</v>
      </c>
      <c r="V520" s="1018" t="s">
        <v>6371</v>
      </c>
      <c r="W520" s="1019">
        <f>IF(I!W520="","",$D$2*I!W520)</f>
        <v>7.0463981920000007E-3</v>
      </c>
      <c r="X520" s="990">
        <f>IF(I!X520="","",$D$2*I!X520)</f>
        <v>2.1445089377999998E-3</v>
      </c>
      <c r="Y520" s="1010">
        <f>IF(I!Y520="","",$D$2*I!Y520)</f>
        <v>1.2599503092000001E-2</v>
      </c>
      <c r="Z520" s="938"/>
      <c r="AA520" s="938"/>
      <c r="AB520" s="938"/>
      <c r="AC520" s="938"/>
      <c r="AD520" s="1058"/>
      <c r="AE520" s="938"/>
      <c r="AF520" s="938"/>
      <c r="AG520" s="938"/>
      <c r="AH520" s="938"/>
    </row>
    <row r="521" spans="1:34" ht="17.25" customHeight="1" x14ac:dyDescent="0.35">
      <c r="A521" s="938"/>
      <c r="B521" s="938"/>
      <c r="C521" s="941"/>
      <c r="D521" s="1047"/>
      <c r="E521" s="941"/>
      <c r="F521" s="938"/>
      <c r="G521" s="976">
        <f t="shared" si="10"/>
        <v>518</v>
      </c>
      <c r="H521" s="942" t="s">
        <v>1562</v>
      </c>
      <c r="I521" s="1060"/>
      <c r="J521" s="1027"/>
      <c r="K521" s="1002" t="str">
        <f>IF(I!K521="","",$D$2*I!K521)</f>
        <v/>
      </c>
      <c r="L521" s="981"/>
      <c r="M521" s="982"/>
      <c r="N521" s="1003"/>
      <c r="O521" s="1004" t="str">
        <f>IF(I!O521="","",$D$2*I!O521)</f>
        <v/>
      </c>
      <c r="P521" s="1005" t="str">
        <f>IF(I!P521="","",$D$2*I!P521)</f>
        <v/>
      </c>
      <c r="Q521" s="1006" t="str">
        <f>IF(I!Q521="","",$D$2*I!Q521)</f>
        <v/>
      </c>
      <c r="R521" s="982"/>
      <c r="S521" s="1003"/>
      <c r="T521" s="938"/>
      <c r="U521" s="1008" t="s">
        <v>1059</v>
      </c>
      <c r="V521" s="1018" t="s">
        <v>6372</v>
      </c>
      <c r="W521" s="1019">
        <f>IF(I!W521="","",$D$2*I!W521)</f>
        <v>7.0463981920000007E-3</v>
      </c>
      <c r="X521" s="990">
        <f>IF(I!X521="","",$D$2*I!X521)</f>
        <v>2.1445089377999998E-3</v>
      </c>
      <c r="Y521" s="1010">
        <f>IF(I!Y521="","",$D$2*I!Y521)</f>
        <v>1.2599503092000001E-2</v>
      </c>
      <c r="Z521" s="938"/>
      <c r="AA521" s="938"/>
      <c r="AB521" s="938"/>
      <c r="AC521" s="938"/>
      <c r="AD521" s="1058"/>
      <c r="AE521" s="938"/>
      <c r="AF521" s="938"/>
      <c r="AG521" s="938"/>
      <c r="AH521" s="938"/>
    </row>
    <row r="522" spans="1:34" ht="17.25" customHeight="1" x14ac:dyDescent="0.35">
      <c r="A522" s="938"/>
      <c r="B522" s="938"/>
      <c r="C522" s="941"/>
      <c r="D522" s="1047"/>
      <c r="E522" s="941"/>
      <c r="F522" s="938"/>
      <c r="G522" s="976">
        <f t="shared" si="10"/>
        <v>519</v>
      </c>
      <c r="H522" s="1000"/>
      <c r="I522" s="1001" t="s">
        <v>1059</v>
      </c>
      <c r="J522" s="1031" t="s">
        <v>1563</v>
      </c>
      <c r="K522" s="1002">
        <f>IF(I!K522="","",$D$2*I!K522)</f>
        <v>0.22761102362800001</v>
      </c>
      <c r="L522" s="981"/>
      <c r="M522" s="982"/>
      <c r="N522" s="1003"/>
      <c r="O522" s="1004">
        <f>IF(I!O522="","",$D$2*I!O522)</f>
        <v>0.63</v>
      </c>
      <c r="P522" s="1005">
        <f>IF(I!P522="","",$D$2*I!P522)</f>
        <v>0.60076390290999993</v>
      </c>
      <c r="Q522" s="1006">
        <f>IF(I!Q522="","",$D$2*I!Q522)</f>
        <v>0</v>
      </c>
      <c r="R522" s="982"/>
      <c r="S522" s="1003"/>
      <c r="T522" s="938"/>
      <c r="U522" s="1008" t="s">
        <v>1059</v>
      </c>
      <c r="V522" s="1018" t="s">
        <v>6373</v>
      </c>
      <c r="W522" s="1019">
        <f>IF(I!W522="","",$D$2*I!W522)</f>
        <v>3.892599872E-2</v>
      </c>
      <c r="X522" s="990">
        <f>IF(I!X522="","",$D$2*I!X522)</f>
        <v>1.163285277E-2</v>
      </c>
      <c r="Y522" s="1010">
        <f>IF(I!Y522="","",$D$2*I!Y522)</f>
        <v>0.12330626872</v>
      </c>
      <c r="Z522" s="938"/>
      <c r="AA522" s="938"/>
      <c r="AB522" s="938"/>
      <c r="AC522" s="938"/>
      <c r="AD522" s="1058"/>
      <c r="AE522" s="938"/>
      <c r="AF522" s="938"/>
      <c r="AG522" s="938"/>
      <c r="AH522" s="938"/>
    </row>
    <row r="523" spans="1:34" ht="17.25" customHeight="1" x14ac:dyDescent="0.35">
      <c r="A523" s="938"/>
      <c r="B523" s="938"/>
      <c r="C523" s="941"/>
      <c r="D523" s="1047"/>
      <c r="E523" s="941"/>
      <c r="F523" s="938"/>
      <c r="G523" s="976">
        <f t="shared" si="10"/>
        <v>520</v>
      </c>
      <c r="H523" s="1000"/>
      <c r="I523" s="1001" t="s">
        <v>1059</v>
      </c>
      <c r="J523" s="1031" t="s">
        <v>1564</v>
      </c>
      <c r="K523" s="1002">
        <f>IF(I!K523="","",$D$2*I!K523)</f>
        <v>8.9728490000000008E-2</v>
      </c>
      <c r="L523" s="981"/>
      <c r="M523" s="982"/>
      <c r="N523" s="1003"/>
      <c r="O523" s="1004">
        <f>IF(I!O523="","",$D$2*I!O523)</f>
        <v>0.37</v>
      </c>
      <c r="P523" s="1005">
        <f>IF(I!P523="","",$D$2*I!P523)</f>
        <v>0.8528</v>
      </c>
      <c r="Q523" s="1006">
        <f>IF(I!Q523="","",$D$2*I!Q523)</f>
        <v>0</v>
      </c>
      <c r="R523" s="982"/>
      <c r="S523" s="1003"/>
      <c r="T523" s="938"/>
      <c r="U523" s="1008" t="s">
        <v>1059</v>
      </c>
      <c r="V523" s="1018" t="s">
        <v>6374</v>
      </c>
      <c r="W523" s="1019">
        <f>IF(I!W523="","",$D$2*I!W523)</f>
        <v>0.17732749789999996</v>
      </c>
      <c r="X523" s="990">
        <f>IF(I!X523="","",$D$2*I!X523)</f>
        <v>6.0718457070999994E-2</v>
      </c>
      <c r="Y523" s="1010">
        <f>IF(I!Y523="","",$D$2*I!Y523)</f>
        <v>0.30898809789999993</v>
      </c>
      <c r="Z523" s="938"/>
      <c r="AA523" s="938"/>
      <c r="AB523" s="938"/>
      <c r="AC523" s="938"/>
      <c r="AD523" s="1058"/>
      <c r="AE523" s="938"/>
      <c r="AF523" s="938"/>
      <c r="AG523" s="938"/>
      <c r="AH523" s="938"/>
    </row>
    <row r="524" spans="1:34" ht="17.25" customHeight="1" x14ac:dyDescent="0.35">
      <c r="A524" s="938"/>
      <c r="B524" s="938"/>
      <c r="C524" s="941"/>
      <c r="D524" s="1047"/>
      <c r="E524" s="941"/>
      <c r="F524" s="938"/>
      <c r="G524" s="976">
        <f t="shared" si="10"/>
        <v>521</v>
      </c>
      <c r="H524" s="1000"/>
      <c r="I524" s="1001" t="s">
        <v>1059</v>
      </c>
      <c r="J524" s="1031" t="s">
        <v>1565</v>
      </c>
      <c r="K524" s="1002">
        <f>IF(I!K524="","",$D$2*I!K524)</f>
        <v>6.5601705979999994E-2</v>
      </c>
      <c r="L524" s="981"/>
      <c r="M524" s="982"/>
      <c r="N524" s="1003"/>
      <c r="O524" s="1004">
        <f>IF(I!O524="","",$D$2*I!O524)</f>
        <v>0.4</v>
      </c>
      <c r="P524" s="1005">
        <f>IF(I!P524="","",$D$2*I!P524)</f>
        <v>0.5900452390573101</v>
      </c>
      <c r="Q524" s="1006">
        <f>IF(I!Q524="","",$D$2*I!Q524)</f>
        <v>0</v>
      </c>
      <c r="R524" s="982"/>
      <c r="S524" s="1003"/>
      <c r="T524" s="938"/>
      <c r="U524" s="1008" t="s">
        <v>1059</v>
      </c>
      <c r="V524" s="1018" t="s">
        <v>6375</v>
      </c>
      <c r="W524" s="1019">
        <f>IF(I!W524="","",$D$2*I!W524)</f>
        <v>0.1184980705</v>
      </c>
      <c r="X524" s="990">
        <f>IF(I!X524="","",$D$2*I!X524)</f>
        <v>0.13097511978999998</v>
      </c>
      <c r="Y524" s="1010">
        <f>IF(I!Y524="","",$D$2*I!Y524)</f>
        <v>0.21170874449999999</v>
      </c>
      <c r="Z524" s="938"/>
      <c r="AA524" s="938"/>
      <c r="AB524" s="938"/>
      <c r="AC524" s="938"/>
      <c r="AD524" s="1058"/>
      <c r="AE524" s="938"/>
      <c r="AF524" s="938"/>
      <c r="AG524" s="938"/>
      <c r="AH524" s="938"/>
    </row>
    <row r="525" spans="1:34" ht="17.25" customHeight="1" x14ac:dyDescent="0.35">
      <c r="A525" s="938"/>
      <c r="B525" s="938"/>
      <c r="C525" s="941"/>
      <c r="D525" s="1047"/>
      <c r="E525" s="941"/>
      <c r="F525" s="938"/>
      <c r="G525" s="976">
        <f t="shared" si="10"/>
        <v>522</v>
      </c>
      <c r="H525" s="1000"/>
      <c r="I525" s="1001" t="s">
        <v>1059</v>
      </c>
      <c r="J525" s="1031" t="s">
        <v>1566</v>
      </c>
      <c r="K525" s="1002">
        <f>IF(I!K525="","",$D$2*I!K525)</f>
        <v>0.12279293711</v>
      </c>
      <c r="L525" s="981"/>
      <c r="M525" s="982"/>
      <c r="N525" s="1003"/>
      <c r="O525" s="1004">
        <f>IF(I!O525="","",$D$2*I!O525)</f>
        <v>0.74</v>
      </c>
      <c r="P525" s="1005">
        <f>IF(I!P525="","",$D$2*I!P525)</f>
        <v>0.82403339617700999</v>
      </c>
      <c r="Q525" s="1006">
        <f>IF(I!Q525="","",$D$2*I!Q525)</f>
        <v>0</v>
      </c>
      <c r="R525" s="982"/>
      <c r="S525" s="1003"/>
      <c r="T525" s="938"/>
      <c r="U525" s="1008" t="s">
        <v>1059</v>
      </c>
      <c r="V525" s="1018" t="s">
        <v>6376</v>
      </c>
      <c r="W525" s="1019">
        <f>IF(I!W525="","",$D$2*I!W525)</f>
        <v>0.2350167131</v>
      </c>
      <c r="X525" s="990">
        <f>IF(I!X525="","",$D$2*I!X525)</f>
        <v>0.18225121102000003</v>
      </c>
      <c r="Y525" s="1010">
        <f>IF(I!Y525="","",$D$2*I!Y525)</f>
        <v>0.35306139310000001</v>
      </c>
      <c r="Z525" s="938"/>
      <c r="AA525" s="938"/>
      <c r="AB525" s="938"/>
      <c r="AC525" s="938"/>
      <c r="AD525" s="1058"/>
      <c r="AE525" s="938"/>
      <c r="AF525" s="938"/>
      <c r="AG525" s="938"/>
      <c r="AH525" s="938"/>
    </row>
    <row r="526" spans="1:34" ht="17.25" customHeight="1" x14ac:dyDescent="0.35">
      <c r="A526" s="938"/>
      <c r="B526" s="938"/>
      <c r="C526" s="941"/>
      <c r="D526" s="1047"/>
      <c r="E526" s="941"/>
      <c r="F526" s="938"/>
      <c r="G526" s="976">
        <f t="shared" si="10"/>
        <v>523</v>
      </c>
      <c r="H526" s="1000"/>
      <c r="I526" s="1001" t="s">
        <v>1059</v>
      </c>
      <c r="J526" s="1031" t="s">
        <v>1567</v>
      </c>
      <c r="K526" s="1002">
        <f>IF(I!K526="","",$D$2*I!K526)</f>
        <v>5.1799101E-2</v>
      </c>
      <c r="L526" s="981"/>
      <c r="M526" s="982"/>
      <c r="N526" s="1003"/>
      <c r="O526" s="1004">
        <f>IF(I!O526="","",$D$2*I!O526)</f>
        <v>0.31</v>
      </c>
      <c r="P526" s="1005">
        <f>IF(I!P526="","",$D$2*I!P526)</f>
        <v>1.1051834625569998</v>
      </c>
      <c r="Q526" s="1006">
        <f>IF(I!Q526="","",$D$2*I!Q526)</f>
        <v>8.4021935000000002E-9</v>
      </c>
      <c r="R526" s="982"/>
      <c r="S526" s="1003"/>
      <c r="T526" s="938"/>
      <c r="U526" s="1008" t="s">
        <v>1059</v>
      </c>
      <c r="V526" s="1018" t="s">
        <v>6377</v>
      </c>
      <c r="W526" s="1019">
        <f>IF(I!W526="","",$D$2*I!W526)</f>
        <v>0.1068690058</v>
      </c>
      <c r="X526" s="990">
        <f>IF(I!X526="","",$D$2*I!X526)</f>
        <v>0.11573444735999999</v>
      </c>
      <c r="Y526" s="1010">
        <f>IF(I!Y526="","",$D$2*I!Y526)</f>
        <v>0.1931890268</v>
      </c>
      <c r="Z526" s="938"/>
      <c r="AA526" s="938"/>
      <c r="AB526" s="938"/>
      <c r="AC526" s="938"/>
      <c r="AD526" s="1058"/>
      <c r="AE526" s="938"/>
      <c r="AF526" s="938"/>
      <c r="AG526" s="938"/>
      <c r="AH526" s="938"/>
    </row>
    <row r="527" spans="1:34" ht="17.25" customHeight="1" x14ac:dyDescent="0.35">
      <c r="A527" s="938"/>
      <c r="B527" s="938"/>
      <c r="C527" s="941"/>
      <c r="D527" s="1047"/>
      <c r="E527" s="941"/>
      <c r="F527" s="938"/>
      <c r="G527" s="976">
        <f t="shared" si="10"/>
        <v>524</v>
      </c>
      <c r="H527" s="1000"/>
      <c r="I527" s="1001" t="s">
        <v>1059</v>
      </c>
      <c r="J527" s="1031" t="s">
        <v>1568</v>
      </c>
      <c r="K527" s="1002">
        <f>IF(I!K527="","",$D$2*I!K527)</f>
        <v>0.22211906755499999</v>
      </c>
      <c r="L527" s="981"/>
      <c r="M527" s="982"/>
      <c r="N527" s="1003"/>
      <c r="O527" s="1004">
        <f>IF(I!O527="","",$D$2*I!O527)</f>
        <v>0.61</v>
      </c>
      <c r="P527" s="1005">
        <f>IF(I!P527="","",$D$2*I!P527)</f>
        <v>0.71492812843100007</v>
      </c>
      <c r="Q527" s="1006">
        <f>IF(I!Q527="","",$D$2*I!Q527)</f>
        <v>0</v>
      </c>
      <c r="R527" s="982"/>
      <c r="S527" s="1003"/>
      <c r="T527" s="938"/>
      <c r="U527" s="1008" t="s">
        <v>1059</v>
      </c>
      <c r="V527" s="1018" t="s">
        <v>6378</v>
      </c>
      <c r="W527" s="1019">
        <f>IF(I!W527="","",$D$2*I!W527)</f>
        <v>9.8743795699999998E-2</v>
      </c>
      <c r="X527" s="990">
        <f>IF(I!X527="","",$D$2*I!X527)</f>
        <v>3.0774914872999999E-2</v>
      </c>
      <c r="Y527" s="1010">
        <f>IF(I!Y527="","",$D$2*I!Y527)</f>
        <v>0.17481997869999999</v>
      </c>
      <c r="Z527" s="938"/>
      <c r="AA527" s="938"/>
      <c r="AB527" s="938"/>
      <c r="AC527" s="938"/>
      <c r="AD527" s="1058"/>
      <c r="AE527" s="938"/>
      <c r="AF527" s="938"/>
      <c r="AG527" s="938"/>
      <c r="AH527" s="938"/>
    </row>
    <row r="528" spans="1:34" ht="17.25" customHeight="1" x14ac:dyDescent="0.35">
      <c r="A528" s="938"/>
      <c r="B528" s="938"/>
      <c r="C528" s="941"/>
      <c r="D528" s="1047"/>
      <c r="E528" s="941"/>
      <c r="F528" s="938"/>
      <c r="G528" s="976">
        <f t="shared" si="10"/>
        <v>525</v>
      </c>
      <c r="H528" s="1000"/>
      <c r="I528" s="1001" t="s">
        <v>1059</v>
      </c>
      <c r="J528" s="1031" t="s">
        <v>1569</v>
      </c>
      <c r="K528" s="1002">
        <f>IF(I!K528="","",$D$2*I!K528)</f>
        <v>7.9058466790000004E-2</v>
      </c>
      <c r="L528" s="981"/>
      <c r="M528" s="982"/>
      <c r="N528" s="1003"/>
      <c r="O528" s="1004">
        <f>IF(I!O528="","",$D$2*I!O528)</f>
        <v>0.48</v>
      </c>
      <c r="P528" s="1005">
        <f>IF(I!P528="","",$D$2*I!P528)</f>
        <v>0.50693657014546989</v>
      </c>
      <c r="Q528" s="1006">
        <f>IF(I!Q528="","",$D$2*I!Q528)</f>
        <v>0</v>
      </c>
      <c r="R528" s="982"/>
      <c r="S528" s="1003"/>
      <c r="T528" s="938"/>
      <c r="U528" s="1008" t="s">
        <v>1059</v>
      </c>
      <c r="V528" s="1018" t="s">
        <v>6379</v>
      </c>
      <c r="W528" s="1019">
        <f>IF(I!W528="","",$D$2*I!W528)</f>
        <v>8.8685980110000007E-2</v>
      </c>
      <c r="X528" s="990">
        <f>IF(I!X528="","",$D$2*I!X528)</f>
        <v>2.7661220742E-2</v>
      </c>
      <c r="Y528" s="1010">
        <f>IF(I!Y528="","",$D$2*I!Y528)</f>
        <v>0.15590805311</v>
      </c>
      <c r="Z528" s="938"/>
      <c r="AA528" s="938"/>
      <c r="AB528" s="938"/>
      <c r="AC528" s="938"/>
      <c r="AD528" s="1058"/>
      <c r="AE528" s="938"/>
      <c r="AF528" s="938"/>
      <c r="AG528" s="938"/>
      <c r="AH528" s="938"/>
    </row>
    <row r="529" spans="1:34" ht="17.25" customHeight="1" x14ac:dyDescent="0.35">
      <c r="A529" s="938"/>
      <c r="B529" s="938"/>
      <c r="C529" s="941"/>
      <c r="D529" s="1047"/>
      <c r="E529" s="941"/>
      <c r="F529" s="938"/>
      <c r="G529" s="976">
        <f t="shared" si="10"/>
        <v>526</v>
      </c>
      <c r="H529" s="1000"/>
      <c r="I529" s="1001" t="s">
        <v>1059</v>
      </c>
      <c r="J529" s="1031" t="s">
        <v>1570</v>
      </c>
      <c r="K529" s="1002">
        <f>IF(I!K529="","",$D$2*I!K529)</f>
        <v>0.13903014796999999</v>
      </c>
      <c r="L529" s="981"/>
      <c r="M529" s="982"/>
      <c r="N529" s="1003"/>
      <c r="O529" s="1004">
        <f>IF(I!O529="","",$D$2*I!O529)</f>
        <v>0.6</v>
      </c>
      <c r="P529" s="1005">
        <f>IF(I!P529="","",$D$2*I!P529)</f>
        <v>0.76400560006999996</v>
      </c>
      <c r="Q529" s="1006">
        <f>IF(I!Q529="","",$D$2*I!Q529)</f>
        <v>0</v>
      </c>
      <c r="R529" s="982"/>
      <c r="S529" s="1003"/>
      <c r="T529" s="938"/>
      <c r="U529" s="1008" t="s">
        <v>1059</v>
      </c>
      <c r="V529" s="1018" t="s">
        <v>6380</v>
      </c>
      <c r="W529" s="1019">
        <f>IF(I!W529="","",$D$2*I!W529)</f>
        <v>5.3895414069999995E-2</v>
      </c>
      <c r="X529" s="990">
        <f>IF(I!X529="","",$D$2*I!X529)</f>
        <v>1.2168160483E-2</v>
      </c>
      <c r="Y529" s="1010">
        <f>IF(I!Y529="","",$D$2*I!Y529)</f>
        <v>8.8890199069999995E-2</v>
      </c>
      <c r="Z529" s="938"/>
      <c r="AA529" s="938"/>
      <c r="AB529" s="938"/>
      <c r="AC529" s="938"/>
      <c r="AD529" s="1058"/>
      <c r="AE529" s="938"/>
      <c r="AF529" s="938"/>
      <c r="AG529" s="938"/>
      <c r="AH529" s="938"/>
    </row>
    <row r="530" spans="1:34" ht="17.25" customHeight="1" x14ac:dyDescent="0.35">
      <c r="A530" s="938"/>
      <c r="B530" s="938"/>
      <c r="C530" s="941"/>
      <c r="D530" s="1047"/>
      <c r="E530" s="941"/>
      <c r="F530" s="938"/>
      <c r="G530" s="976">
        <f t="shared" si="10"/>
        <v>527</v>
      </c>
      <c r="H530" s="1000"/>
      <c r="I530" s="1001" t="s">
        <v>1059</v>
      </c>
      <c r="J530" s="1031" t="s">
        <v>1571</v>
      </c>
      <c r="K530" s="1002">
        <f>IF(I!K530="","",$D$2*I!K530)</f>
        <v>8.1110478259999993E-2</v>
      </c>
      <c r="L530" s="981"/>
      <c r="M530" s="982"/>
      <c r="N530" s="1003"/>
      <c r="O530" s="1004">
        <f>IF(I!O530="","",$D$2*I!O530)</f>
        <v>0.42</v>
      </c>
      <c r="P530" s="1005">
        <f>IF(I!P530="","",$D$2*I!P530)</f>
        <v>0.78480000000000005</v>
      </c>
      <c r="Q530" s="1006">
        <f>IF(I!Q530="","",$D$2*I!Q530)</f>
        <v>0</v>
      </c>
      <c r="R530" s="982"/>
      <c r="S530" s="1003"/>
      <c r="T530" s="938"/>
      <c r="U530" s="1008" t="s">
        <v>1059</v>
      </c>
      <c r="V530" s="1018" t="s">
        <v>6381</v>
      </c>
      <c r="W530" s="1019">
        <f>IF(I!W530="","",$D$2*I!W530)</f>
        <v>0.23226405779999998</v>
      </c>
      <c r="X530" s="990">
        <f>IF(I!X530="","",$D$2*I!X530)</f>
        <v>0.11520552211999999</v>
      </c>
      <c r="Y530" s="1010">
        <f>IF(I!Y530="","",$D$2*I!Y530)</f>
        <v>0.44063692779999997</v>
      </c>
      <c r="Z530" s="938"/>
      <c r="AA530" s="938"/>
      <c r="AB530" s="938"/>
      <c r="AC530" s="938"/>
      <c r="AD530" s="1058"/>
      <c r="AE530" s="938"/>
      <c r="AF530" s="938"/>
      <c r="AG530" s="938"/>
      <c r="AH530" s="938"/>
    </row>
    <row r="531" spans="1:34" ht="17.25" customHeight="1" x14ac:dyDescent="0.35">
      <c r="A531" s="938"/>
      <c r="B531" s="938"/>
      <c r="C531" s="941"/>
      <c r="D531" s="1047"/>
      <c r="E531" s="941"/>
      <c r="F531" s="938"/>
      <c r="G531" s="976">
        <f t="shared" si="10"/>
        <v>528</v>
      </c>
      <c r="H531" s="1000"/>
      <c r="I531" s="1001" t="s">
        <v>1059</v>
      </c>
      <c r="J531" s="1031" t="s">
        <v>1572</v>
      </c>
      <c r="K531" s="1002">
        <f>IF(I!K531="","",$D$2*I!K531)</f>
        <v>0.20126276465000004</v>
      </c>
      <c r="L531" s="981"/>
      <c r="M531" s="982"/>
      <c r="N531" s="1003"/>
      <c r="O531" s="1004">
        <f>IF(I!O531="","",$D$2*I!O531)</f>
        <v>0.59</v>
      </c>
      <c r="P531" s="1005">
        <f>IF(I!P531="","",$D$2*I!P531)</f>
        <v>0.62441709416999991</v>
      </c>
      <c r="Q531" s="1006">
        <f>IF(I!Q531="","",$D$2*I!Q531)</f>
        <v>0</v>
      </c>
      <c r="R531" s="982"/>
      <c r="S531" s="1003"/>
      <c r="T531" s="938"/>
      <c r="U531" s="1008" t="s">
        <v>1059</v>
      </c>
      <c r="V531" s="1018" t="s">
        <v>6382</v>
      </c>
      <c r="W531" s="1019">
        <f>IF(I!W531="","",$D$2*I!W531)</f>
        <v>0.31577857760000005</v>
      </c>
      <c r="X531" s="990">
        <f>IF(I!X531="","",$D$2*I!X531)</f>
        <v>0.14138871918999998</v>
      </c>
      <c r="Y531" s="1010">
        <f>IF(I!Y531="","",$D$2*I!Y531)</f>
        <v>0.59974652760000002</v>
      </c>
      <c r="Z531" s="938"/>
      <c r="AA531" s="938"/>
      <c r="AB531" s="938"/>
      <c r="AC531" s="938"/>
      <c r="AD531" s="1058"/>
      <c r="AE531" s="938"/>
      <c r="AF531" s="938"/>
      <c r="AG531" s="938"/>
      <c r="AH531" s="938"/>
    </row>
    <row r="532" spans="1:34" ht="17.25" customHeight="1" x14ac:dyDescent="0.35">
      <c r="A532" s="938"/>
      <c r="B532" s="938"/>
      <c r="C532" s="941"/>
      <c r="D532" s="1047"/>
      <c r="E532" s="941"/>
      <c r="F532" s="938"/>
      <c r="G532" s="976">
        <f t="shared" si="10"/>
        <v>529</v>
      </c>
      <c r="H532" s="1000"/>
      <c r="I532" s="1001" t="s">
        <v>1059</v>
      </c>
      <c r="J532" s="1031" t="s">
        <v>1573</v>
      </c>
      <c r="K532" s="1002">
        <f>IF(I!K532="","",$D$2*I!K532)</f>
        <v>0.18671254776000001</v>
      </c>
      <c r="L532" s="981"/>
      <c r="M532" s="982"/>
      <c r="N532" s="1003"/>
      <c r="O532" s="1004">
        <f>IF(I!O532="","",$D$2*I!O532)</f>
        <v>1.1299999999999999</v>
      </c>
      <c r="P532" s="1005">
        <f>IF(I!P532="","",$D$2*I!P532)</f>
        <v>0.30366721889080001</v>
      </c>
      <c r="Q532" s="1006">
        <f>IF(I!Q532="","",$D$2*I!Q532)</f>
        <v>0</v>
      </c>
      <c r="R532" s="982"/>
      <c r="S532" s="1003"/>
      <c r="T532" s="938"/>
      <c r="U532" s="1008" t="s">
        <v>1059</v>
      </c>
      <c r="V532" s="1018" t="s">
        <v>6383</v>
      </c>
      <c r="W532" s="1019">
        <f>IF(I!W532="","",$D$2*I!W532)</f>
        <v>0.10853077520000001</v>
      </c>
      <c r="X532" s="990">
        <f>IF(I!X532="","",$D$2*I!X532)</f>
        <v>0.12547421004000001</v>
      </c>
      <c r="Y532" s="1010">
        <f>IF(I!Y532="","",$D$2*I!Y532)</f>
        <v>0.16277886520000001</v>
      </c>
      <c r="Z532" s="938"/>
      <c r="AA532" s="938"/>
      <c r="AB532" s="938"/>
      <c r="AC532" s="938"/>
      <c r="AD532" s="1058"/>
      <c r="AE532" s="938"/>
      <c r="AF532" s="938"/>
      <c r="AG532" s="938"/>
      <c r="AH532" s="938"/>
    </row>
    <row r="533" spans="1:34" ht="17.25" customHeight="1" x14ac:dyDescent="0.35">
      <c r="A533" s="938"/>
      <c r="B533" s="938"/>
      <c r="C533" s="941"/>
      <c r="D533" s="1047"/>
      <c r="E533" s="941"/>
      <c r="F533" s="938"/>
      <c r="G533" s="976">
        <f t="shared" si="10"/>
        <v>530</v>
      </c>
      <c r="H533" s="942" t="s">
        <v>1574</v>
      </c>
      <c r="I533" s="1001"/>
      <c r="J533" s="1027"/>
      <c r="K533" s="1002" t="str">
        <f>IF(I!K533="","",$D$2*I!K533)</f>
        <v/>
      </c>
      <c r="L533" s="981"/>
      <c r="M533" s="982"/>
      <c r="N533" s="1003"/>
      <c r="O533" s="1004" t="str">
        <f>IF(I!O533="","",$D$2*I!O533)</f>
        <v/>
      </c>
      <c r="P533" s="1005" t="str">
        <f>IF(I!P533="","",$D$2*I!P533)</f>
        <v/>
      </c>
      <c r="Q533" s="1006" t="str">
        <f>IF(I!Q533="","",$D$2*I!Q533)</f>
        <v/>
      </c>
      <c r="R533" s="982"/>
      <c r="S533" s="1003"/>
      <c r="T533" s="938"/>
      <c r="U533" s="1008" t="s">
        <v>1059</v>
      </c>
      <c r="V533" s="1018" t="s">
        <v>6384</v>
      </c>
      <c r="W533" s="1019">
        <f>IF(I!W533="","",$D$2*I!W533)</f>
        <v>0.1013880112</v>
      </c>
      <c r="X533" s="990">
        <f>IF(I!X533="","",$D$2*I!X533)</f>
        <v>0.10539886749000001</v>
      </c>
      <c r="Y533" s="1010">
        <f>IF(I!Y533="","",$D$2*I!Y533)</f>
        <v>0.16888654920000001</v>
      </c>
      <c r="Z533" s="938"/>
      <c r="AA533" s="938"/>
      <c r="AB533" s="938"/>
      <c r="AC533" s="938"/>
      <c r="AD533" s="1058"/>
      <c r="AE533" s="938"/>
      <c r="AF533" s="938"/>
      <c r="AG533" s="938"/>
      <c r="AH533" s="938"/>
    </row>
    <row r="534" spans="1:34" ht="17.25" customHeight="1" x14ac:dyDescent="0.35">
      <c r="A534" s="938"/>
      <c r="B534" s="938"/>
      <c r="C534" s="941"/>
      <c r="D534" s="1047"/>
      <c r="E534" s="941"/>
      <c r="F534" s="938"/>
      <c r="G534" s="976">
        <f t="shared" si="10"/>
        <v>531</v>
      </c>
      <c r="H534" s="1000"/>
      <c r="I534" s="1001" t="s">
        <v>1059</v>
      </c>
      <c r="J534" s="1031" t="s">
        <v>1575</v>
      </c>
      <c r="K534" s="1002">
        <f>IF(I!K534="","",$D$2*I!K534)</f>
        <v>7.7287037412800019E-2</v>
      </c>
      <c r="L534" s="981"/>
      <c r="M534" s="982"/>
      <c r="N534" s="1003"/>
      <c r="O534" s="1004">
        <f>IF(I!O534="","",$D$2*I!O534)</f>
        <v>0.44</v>
      </c>
      <c r="P534" s="1005">
        <f>IF(I!P534="","",$D$2*I!P534)</f>
        <v>0.79653384503869995</v>
      </c>
      <c r="Q534" s="1006">
        <f>IF(I!Q534="","",$D$2*I!Q534)</f>
        <v>6.0413480000000004E-10</v>
      </c>
      <c r="R534" s="982"/>
      <c r="S534" s="1003"/>
      <c r="T534" s="938"/>
      <c r="U534" s="1008" t="s">
        <v>1059</v>
      </c>
      <c r="V534" s="1018" t="s">
        <v>6385</v>
      </c>
      <c r="W534" s="1019">
        <f>IF(I!W534="","",$D$2*I!W534)</f>
        <v>5.9597910160000003E-2</v>
      </c>
      <c r="X534" s="990">
        <f>IF(I!X534="","",$D$2*I!X534)</f>
        <v>7.8573764490000003E-2</v>
      </c>
      <c r="Y534" s="1010">
        <f>IF(I!Y534="","",$D$2*I!Y534)</f>
        <v>9.231660416000001E-2</v>
      </c>
      <c r="Z534" s="938"/>
      <c r="AA534" s="938"/>
      <c r="AB534" s="938"/>
      <c r="AC534" s="938"/>
      <c r="AD534" s="1058"/>
      <c r="AE534" s="938"/>
      <c r="AF534" s="938"/>
      <c r="AG534" s="938"/>
      <c r="AH534" s="938"/>
    </row>
    <row r="535" spans="1:34" ht="17.25" customHeight="1" x14ac:dyDescent="0.35">
      <c r="A535" s="938"/>
      <c r="B535" s="938"/>
      <c r="C535" s="941"/>
      <c r="D535" s="1047"/>
      <c r="E535" s="941"/>
      <c r="F535" s="938"/>
      <c r="G535" s="976">
        <f t="shared" si="10"/>
        <v>532</v>
      </c>
      <c r="H535" s="1000"/>
      <c r="I535" s="1001" t="s">
        <v>1059</v>
      </c>
      <c r="J535" s="1031" t="s">
        <v>1576</v>
      </c>
      <c r="K535" s="1002">
        <f>IF(I!K535="","",$D$2*I!K535)</f>
        <v>8.4779602879899996E-2</v>
      </c>
      <c r="L535" s="981"/>
      <c r="M535" s="982"/>
      <c r="N535" s="1003"/>
      <c r="O535" s="1004">
        <f>IF(I!O535="","",$D$2*I!O535)</f>
        <v>0.41</v>
      </c>
      <c r="P535" s="1005">
        <f>IF(I!P535="","",$D$2*I!P535)</f>
        <v>0.60343777364349993</v>
      </c>
      <c r="Q535" s="1006">
        <f>IF(I!Q535="","",$D$2*I!Q535)</f>
        <v>4.2289436000000001E-10</v>
      </c>
      <c r="R535" s="982"/>
      <c r="S535" s="1003"/>
      <c r="T535" s="938"/>
      <c r="U535" s="1008" t="s">
        <v>1059</v>
      </c>
      <c r="V535" s="1018" t="s">
        <v>6386</v>
      </c>
      <c r="W535" s="1019">
        <f>IF(I!W535="","",$D$2*I!W535)</f>
        <v>0.1178274778</v>
      </c>
      <c r="X535" s="990">
        <f>IF(I!X535="","",$D$2*I!X535)</f>
        <v>0.17016315348</v>
      </c>
      <c r="Y535" s="1010">
        <f>IF(I!Y535="","",$D$2*I!Y535)</f>
        <v>0.2478082278</v>
      </c>
      <c r="Z535" s="938"/>
      <c r="AA535" s="938"/>
      <c r="AB535" s="938"/>
      <c r="AC535" s="938"/>
      <c r="AD535" s="1058"/>
      <c r="AE535" s="938"/>
      <c r="AF535" s="938"/>
      <c r="AG535" s="938"/>
      <c r="AH535" s="938"/>
    </row>
    <row r="536" spans="1:34" ht="17.25" customHeight="1" x14ac:dyDescent="0.35">
      <c r="A536" s="938"/>
      <c r="B536" s="938"/>
      <c r="C536" s="941"/>
      <c r="D536" s="1047"/>
      <c r="E536" s="941"/>
      <c r="F536" s="938"/>
      <c r="G536" s="976">
        <f t="shared" si="10"/>
        <v>533</v>
      </c>
      <c r="H536" s="1000"/>
      <c r="I536" s="1001" t="s">
        <v>1059</v>
      </c>
      <c r="J536" s="1031" t="s">
        <v>1577</v>
      </c>
      <c r="K536" s="1002">
        <f>IF(I!K536="","",$D$2*I!K536)</f>
        <v>0.11774665204000001</v>
      </c>
      <c r="L536" s="981"/>
      <c r="M536" s="982"/>
      <c r="N536" s="1003"/>
      <c r="O536" s="1004">
        <f>IF(I!O536="","",$D$2*I!O536)</f>
        <v>0.71</v>
      </c>
      <c r="P536" s="1005">
        <f>IF(I!P536="","",$D$2*I!P536)</f>
        <v>0.80079914701645005</v>
      </c>
      <c r="Q536" s="1006">
        <f>IF(I!Q536="","",$D$2*I!Q536)</f>
        <v>0</v>
      </c>
      <c r="R536" s="982"/>
      <c r="S536" s="1003"/>
      <c r="T536" s="938"/>
      <c r="U536" s="1008" t="s">
        <v>1059</v>
      </c>
      <c r="V536" s="1018" t="s">
        <v>6387</v>
      </c>
      <c r="W536" s="1019">
        <f>IF(I!W536="","",$D$2*I!W536)</f>
        <v>0.19140262130000002</v>
      </c>
      <c r="X536" s="990">
        <f>IF(I!X536="","",$D$2*I!X536)</f>
        <v>0.31004463191999998</v>
      </c>
      <c r="Y536" s="1010">
        <f>IF(I!Y536="","",$D$2*I!Y536)</f>
        <v>1.0282329112999999</v>
      </c>
      <c r="Z536" s="938"/>
      <c r="AA536" s="938"/>
      <c r="AB536" s="938"/>
      <c r="AC536" s="938"/>
      <c r="AD536" s="1058"/>
      <c r="AE536" s="938"/>
      <c r="AF536" s="938"/>
      <c r="AG536" s="938"/>
      <c r="AH536" s="938"/>
    </row>
    <row r="537" spans="1:34" ht="17.25" customHeight="1" x14ac:dyDescent="0.35">
      <c r="A537" s="938"/>
      <c r="B537" s="938"/>
      <c r="C537" s="941"/>
      <c r="D537" s="1047"/>
      <c r="E537" s="941"/>
      <c r="F537" s="938"/>
      <c r="G537" s="976">
        <f t="shared" si="10"/>
        <v>534</v>
      </c>
      <c r="H537" s="1000"/>
      <c r="I537" s="1001" t="s">
        <v>1059</v>
      </c>
      <c r="J537" s="1031" t="s">
        <v>1578</v>
      </c>
      <c r="K537" s="1002">
        <f>IF(I!K537="","",$D$2*I!K537)</f>
        <v>0.1201433231415</v>
      </c>
      <c r="L537" s="981"/>
      <c r="M537" s="982"/>
      <c r="N537" s="1003"/>
      <c r="O537" s="1004">
        <f>IF(I!O537="","",$D$2*I!O537)</f>
        <v>0.9</v>
      </c>
      <c r="P537" s="1005">
        <f>IF(I!P537="","",$D$2*I!P537)</f>
        <v>0.62853384503870002</v>
      </c>
      <c r="Q537" s="1006">
        <f>IF(I!Q537="","",$D$2*I!Q537)</f>
        <v>6.0413480000000004E-10</v>
      </c>
      <c r="R537" s="982"/>
      <c r="S537" s="1003"/>
      <c r="T537" s="938"/>
      <c r="U537" s="1008" t="s">
        <v>1059</v>
      </c>
      <c r="V537" s="1018" t="s">
        <v>6388</v>
      </c>
      <c r="W537" s="1019">
        <f>IF(I!W537="","",$D$2*I!W537)</f>
        <v>7.8682390599999999E-2</v>
      </c>
      <c r="X537" s="990">
        <f>IF(I!X537="","",$D$2*I!X537)</f>
        <v>0.20734121564000002</v>
      </c>
      <c r="Y537" s="1010">
        <f>IF(I!Y537="","",$D$2*I!Y537)</f>
        <v>0.60326587060000003</v>
      </c>
      <c r="Z537" s="938"/>
      <c r="AA537" s="938"/>
      <c r="AB537" s="938"/>
      <c r="AC537" s="938"/>
      <c r="AD537" s="1058"/>
      <c r="AE537" s="938"/>
      <c r="AF537" s="938"/>
      <c r="AG537" s="938"/>
      <c r="AH537" s="938"/>
    </row>
    <row r="538" spans="1:34" ht="17.25" customHeight="1" x14ac:dyDescent="0.35">
      <c r="A538" s="938"/>
      <c r="B538" s="938"/>
      <c r="C538" s="941"/>
      <c r="D538" s="1047"/>
      <c r="E538" s="941"/>
      <c r="F538" s="938"/>
      <c r="G538" s="976">
        <f t="shared" si="10"/>
        <v>535</v>
      </c>
      <c r="H538" s="1000"/>
      <c r="I538" s="1001" t="s">
        <v>1059</v>
      </c>
      <c r="J538" s="1031" t="s">
        <v>1579</v>
      </c>
      <c r="K538" s="1002">
        <f>IF(I!K538="","",$D$2*I!K538)</f>
        <v>0.11477900520000001</v>
      </c>
      <c r="L538" s="981"/>
      <c r="M538" s="982"/>
      <c r="N538" s="1003"/>
      <c r="O538" s="1004">
        <f>IF(I!O538="","",$D$2*I!O538)</f>
        <v>0.73</v>
      </c>
      <c r="P538" s="1005">
        <f>IF(I!P538="","",$D$2*I!P538)</f>
        <v>0.4858377736435</v>
      </c>
      <c r="Q538" s="1006">
        <f>IF(I!Q538="","",$D$2*I!Q538)</f>
        <v>4.2289436000000001E-10</v>
      </c>
      <c r="R538" s="982"/>
      <c r="S538" s="1003"/>
      <c r="T538" s="938"/>
      <c r="U538" s="1008" t="s">
        <v>1059</v>
      </c>
      <c r="V538" s="1018" t="s">
        <v>6389</v>
      </c>
      <c r="W538" s="1019">
        <f>IF(I!W538="","",$D$2*I!W538)</f>
        <v>5.3612591599999995E-2</v>
      </c>
      <c r="X538" s="990">
        <f>IF(I!X538="","",$D$2*I!X538)</f>
        <v>0.11337447990000001</v>
      </c>
      <c r="Y538" s="1010">
        <f>IF(I!Y538="","",$D$2*I!Y538)</f>
        <v>0.33847286160000001</v>
      </c>
      <c r="Z538" s="938"/>
      <c r="AA538" s="938"/>
      <c r="AB538" s="938"/>
      <c r="AC538" s="938"/>
      <c r="AD538" s="1058"/>
      <c r="AE538" s="938"/>
      <c r="AF538" s="938"/>
      <c r="AG538" s="938"/>
      <c r="AH538" s="938"/>
    </row>
    <row r="539" spans="1:34" ht="17.25" customHeight="1" x14ac:dyDescent="0.35">
      <c r="A539" s="938"/>
      <c r="B539" s="938"/>
      <c r="C539" s="941"/>
      <c r="D539" s="1047"/>
      <c r="E539" s="941"/>
      <c r="F539" s="938"/>
      <c r="G539" s="976">
        <f t="shared" si="10"/>
        <v>536</v>
      </c>
      <c r="H539" s="1000"/>
      <c r="I539" s="1001" t="s">
        <v>1059</v>
      </c>
      <c r="J539" s="1031" t="s">
        <v>1580</v>
      </c>
      <c r="K539" s="1002">
        <f>IF(I!K539="","",$D$2*I!K539)</f>
        <v>0.12844292314149999</v>
      </c>
      <c r="L539" s="981"/>
      <c r="M539" s="982"/>
      <c r="N539" s="1003"/>
      <c r="O539" s="1004">
        <f>IF(I!O539="","",$D$2*I!O539)</f>
        <v>0.87</v>
      </c>
      <c r="P539" s="1005">
        <f>IF(I!P539="","",$D$2*I!P539)</f>
        <v>0.62853384503870002</v>
      </c>
      <c r="Q539" s="1006">
        <f>IF(I!Q539="","",$D$2*I!Q539)</f>
        <v>6.0413480000000004E-10</v>
      </c>
      <c r="R539" s="982"/>
      <c r="S539" s="1003"/>
      <c r="T539" s="938"/>
      <c r="U539" s="1008" t="s">
        <v>1059</v>
      </c>
      <c r="V539" s="1018" t="s">
        <v>6390</v>
      </c>
      <c r="W539" s="1019">
        <f>IF(I!W539="","",$D$2*I!W539)</f>
        <v>8.3911905999999994E-2</v>
      </c>
      <c r="X539" s="990">
        <f>IF(I!X539="","",$D$2*I!X539)</f>
        <v>0.20554223229999999</v>
      </c>
      <c r="Y539" s="1010">
        <f>IF(I!Y539="","",$D$2*I!Y539)</f>
        <v>0.614535516</v>
      </c>
      <c r="Z539" s="938"/>
      <c r="AA539" s="938"/>
      <c r="AB539" s="938"/>
      <c r="AC539" s="938"/>
      <c r="AD539" s="1058"/>
      <c r="AE539" s="938"/>
      <c r="AF539" s="938"/>
      <c r="AG539" s="938"/>
      <c r="AH539" s="938"/>
    </row>
    <row r="540" spans="1:34" ht="17.25" customHeight="1" x14ac:dyDescent="0.35">
      <c r="A540" s="938"/>
      <c r="B540" s="938"/>
      <c r="C540" s="941"/>
      <c r="D540" s="1047"/>
      <c r="E540" s="941"/>
      <c r="F540" s="938"/>
      <c r="G540" s="976">
        <f t="shared" si="10"/>
        <v>537</v>
      </c>
      <c r="H540" s="1000"/>
      <c r="I540" s="1001" t="s">
        <v>1059</v>
      </c>
      <c r="J540" s="1031" t="s">
        <v>1581</v>
      </c>
      <c r="K540" s="1002">
        <f>IF(I!K540="","",$D$2*I!K540)</f>
        <v>0.1205887252</v>
      </c>
      <c r="L540" s="981"/>
      <c r="M540" s="982"/>
      <c r="N540" s="1003"/>
      <c r="O540" s="1004">
        <f>IF(I!O540="","",$D$2*I!O540)</f>
        <v>0.71</v>
      </c>
      <c r="P540" s="1005">
        <f>IF(I!P540="","",$D$2*I!P540)</f>
        <v>0.4858377736435</v>
      </c>
      <c r="Q540" s="1006">
        <f>IF(I!Q540="","",$D$2*I!Q540)</f>
        <v>4.2289436000000001E-10</v>
      </c>
      <c r="R540" s="982"/>
      <c r="S540" s="1003"/>
      <c r="T540" s="938"/>
      <c r="U540" s="1008" t="s">
        <v>1059</v>
      </c>
      <c r="V540" s="1018" t="s">
        <v>6391</v>
      </c>
      <c r="W540" s="1019">
        <f>IF(I!W540="","",$D$2*I!W540)</f>
        <v>0.10841230020000001</v>
      </c>
      <c r="X540" s="990">
        <f>IF(I!X540="","",$D$2*I!X540)</f>
        <v>0.24970645406</v>
      </c>
      <c r="Y540" s="1010">
        <f>IF(I!Y540="","",$D$2*I!Y540)</f>
        <v>0.72781915019999999</v>
      </c>
      <c r="Z540" s="938"/>
      <c r="AA540" s="938"/>
      <c r="AB540" s="938"/>
      <c r="AC540" s="938"/>
      <c r="AD540" s="1058"/>
      <c r="AE540" s="938"/>
      <c r="AF540" s="938"/>
      <c r="AG540" s="938"/>
      <c r="AH540" s="938"/>
    </row>
    <row r="541" spans="1:34" ht="17.25" customHeight="1" x14ac:dyDescent="0.35">
      <c r="A541" s="938"/>
      <c r="B541" s="938"/>
      <c r="C541" s="941"/>
      <c r="D541" s="1047"/>
      <c r="E541" s="941"/>
      <c r="F541" s="938"/>
      <c r="G541" s="976">
        <f t="shared" si="10"/>
        <v>538</v>
      </c>
      <c r="H541" s="1000"/>
      <c r="I541" s="1001" t="s">
        <v>1059</v>
      </c>
      <c r="J541" s="1031" t="s">
        <v>1582</v>
      </c>
      <c r="K541" s="1002">
        <f>IF(I!K541="","",$D$2*I!K541)</f>
        <v>0.26922094462970003</v>
      </c>
      <c r="L541" s="981"/>
      <c r="M541" s="982"/>
      <c r="N541" s="1003"/>
      <c r="O541" s="1004">
        <f>IF(I!O541="","",$D$2*I!O541)</f>
        <v>0.73</v>
      </c>
      <c r="P541" s="1005">
        <f>IF(I!P541="","",$D$2*I!P541)</f>
        <v>0.86238475490300004</v>
      </c>
      <c r="Q541" s="1006">
        <f>IF(I!Q541="","",$D$2*I!Q541)</f>
        <v>0</v>
      </c>
      <c r="R541" s="982"/>
      <c r="S541" s="1003"/>
      <c r="T541" s="938"/>
      <c r="U541" s="1008" t="s">
        <v>1059</v>
      </c>
      <c r="V541" s="1018" t="s">
        <v>6392</v>
      </c>
      <c r="W541" s="1019">
        <f>IF(I!W541="","",$D$2*I!W541)</f>
        <v>9.09563751E-2</v>
      </c>
      <c r="X541" s="990">
        <f>IF(I!X541="","",$D$2*I!X541)</f>
        <v>0.26706530032000003</v>
      </c>
      <c r="Y541" s="1010">
        <f>IF(I!Y541="","",$D$2*I!Y541)</f>
        <v>0.56912499510000003</v>
      </c>
      <c r="Z541" s="938"/>
      <c r="AA541" s="938"/>
      <c r="AB541" s="938"/>
      <c r="AC541" s="938"/>
      <c r="AD541" s="1058"/>
      <c r="AE541" s="938"/>
      <c r="AF541" s="938"/>
      <c r="AG541" s="938"/>
      <c r="AH541" s="938"/>
    </row>
    <row r="542" spans="1:34" ht="17.25" customHeight="1" x14ac:dyDescent="0.35">
      <c r="A542" s="938"/>
      <c r="B542" s="938"/>
      <c r="C542" s="941"/>
      <c r="D542" s="1047"/>
      <c r="E542" s="941"/>
      <c r="F542" s="938"/>
      <c r="G542" s="976">
        <f t="shared" si="10"/>
        <v>539</v>
      </c>
      <c r="H542" s="1000"/>
      <c r="I542" s="1001" t="s">
        <v>1059</v>
      </c>
      <c r="J542" s="1031" t="s">
        <v>1583</v>
      </c>
      <c r="K542" s="1002">
        <f>IF(I!K542="","",$D$2*I!K542)</f>
        <v>5.5158922141499991E-2</v>
      </c>
      <c r="L542" s="981"/>
      <c r="M542" s="982"/>
      <c r="N542" s="1003"/>
      <c r="O542" s="1004">
        <f>IF(I!O542="","",$D$2*I!O542)</f>
        <v>0.45</v>
      </c>
      <c r="P542" s="1005">
        <f>IF(I!P542="","",$D$2*I!P542)</f>
        <v>0.74853384503870002</v>
      </c>
      <c r="Q542" s="1006">
        <f>IF(I!Q542="","",$D$2*I!Q542)</f>
        <v>6.0413480000000004E-10</v>
      </c>
      <c r="R542" s="982"/>
      <c r="S542" s="1003"/>
      <c r="T542" s="938"/>
      <c r="U542" s="1008" t="s">
        <v>1059</v>
      </c>
      <c r="V542" s="1018" t="s">
        <v>6393</v>
      </c>
      <c r="W542" s="1019">
        <f>IF(I!W542="","",$D$2*I!W542)</f>
        <v>9.1011017499999985E-2</v>
      </c>
      <c r="X542" s="990">
        <f>IF(I!X542="","",$D$2*I!X542)</f>
        <v>0.26706832586000001</v>
      </c>
      <c r="Y542" s="1010">
        <f>IF(I!Y542="","",$D$2*I!Y542)</f>
        <v>0.56965574750000003</v>
      </c>
      <c r="Z542" s="938"/>
      <c r="AA542" s="938"/>
      <c r="AB542" s="938"/>
      <c r="AC542" s="938"/>
      <c r="AD542" s="1058"/>
      <c r="AE542" s="938"/>
      <c r="AF542" s="938"/>
      <c r="AG542" s="938"/>
      <c r="AH542" s="938"/>
    </row>
    <row r="543" spans="1:34" ht="17.25" customHeight="1" x14ac:dyDescent="0.35">
      <c r="A543" s="938"/>
      <c r="B543" s="938"/>
      <c r="C543" s="941"/>
      <c r="D543" s="1047"/>
      <c r="E543" s="941"/>
      <c r="F543" s="938"/>
      <c r="G543" s="976">
        <f t="shared" si="10"/>
        <v>540</v>
      </c>
      <c r="H543" s="1000"/>
      <c r="I543" s="1001" t="s">
        <v>1059</v>
      </c>
      <c r="J543" s="1031" t="s">
        <v>1584</v>
      </c>
      <c r="K543" s="1002">
        <f>IF(I!K543="","",$D$2*I!K543)</f>
        <v>6.9289922200000006E-2</v>
      </c>
      <c r="L543" s="981"/>
      <c r="M543" s="982"/>
      <c r="N543" s="1003"/>
      <c r="O543" s="1004">
        <f>IF(I!O543="","",$D$2*I!O543)</f>
        <v>0.42</v>
      </c>
      <c r="P543" s="1005">
        <f>IF(I!P543="","",$D$2*I!P543)</f>
        <v>0.56983777364349997</v>
      </c>
      <c r="Q543" s="1006">
        <f>IF(I!Q543="","",$D$2*I!Q543)</f>
        <v>4.2289436000000001E-10</v>
      </c>
      <c r="R543" s="982"/>
      <c r="S543" s="1003"/>
      <c r="T543" s="938"/>
      <c r="U543" s="1008" t="s">
        <v>1059</v>
      </c>
      <c r="V543" s="1018" t="s">
        <v>6394</v>
      </c>
      <c r="W543" s="1019">
        <f>IF(I!W543="","",$D$2*I!W543)</f>
        <v>3.4496711619999995E-2</v>
      </c>
      <c r="X543" s="990">
        <f>IF(I!X543="","",$D$2*I!X543)</f>
        <v>1.2978081225E-2</v>
      </c>
      <c r="Y543" s="1010">
        <f>IF(I!Y543="","",$D$2*I!Y543)</f>
        <v>5.4057434619999997E-2</v>
      </c>
      <c r="Z543" s="938"/>
      <c r="AA543" s="938"/>
      <c r="AB543" s="938"/>
      <c r="AC543" s="938"/>
      <c r="AD543" s="1058"/>
      <c r="AE543" s="938"/>
      <c r="AF543" s="938"/>
      <c r="AG543" s="938"/>
      <c r="AH543" s="938"/>
    </row>
    <row r="544" spans="1:34" ht="17.25" customHeight="1" x14ac:dyDescent="0.35">
      <c r="A544" s="938"/>
      <c r="B544" s="938"/>
      <c r="C544" s="941"/>
      <c r="D544" s="1047"/>
      <c r="E544" s="941"/>
      <c r="F544" s="938"/>
      <c r="G544" s="976">
        <f t="shared" si="10"/>
        <v>541</v>
      </c>
      <c r="H544" s="1000"/>
      <c r="I544" s="1001" t="s">
        <v>1059</v>
      </c>
      <c r="J544" s="1031" t="s">
        <v>1585</v>
      </c>
      <c r="K544" s="1002">
        <f>IF(I!K544="","",$D$2*I!K544)</f>
        <v>7.4969172441500004E-2</v>
      </c>
      <c r="L544" s="981"/>
      <c r="M544" s="982"/>
      <c r="N544" s="1003"/>
      <c r="O544" s="1004">
        <f>IF(I!O544="","",$D$2*I!O544)</f>
        <v>0.28000000000000003</v>
      </c>
      <c r="P544" s="1005">
        <f>IF(I!P544="","",$D$2*I!P544)</f>
        <v>0.80053384503869995</v>
      </c>
      <c r="Q544" s="1006">
        <f>IF(I!Q544="","",$D$2*I!Q544)</f>
        <v>6.0413480000000004E-10</v>
      </c>
      <c r="R544" s="982"/>
      <c r="S544" s="1003"/>
      <c r="T544" s="938"/>
      <c r="U544" s="1008" t="s">
        <v>1059</v>
      </c>
      <c r="V544" s="1018" t="s">
        <v>6395</v>
      </c>
      <c r="W544" s="1019">
        <f>IF(I!W544="","",$D$2*I!W544)</f>
        <v>4.9740067090000006E-3</v>
      </c>
      <c r="X544" s="990">
        <f>IF(I!X544="","",$D$2*I!X544)</f>
        <v>2.8297918108E-4</v>
      </c>
      <c r="Y544" s="1010">
        <f>IF(I!Y544="","",$D$2*I!Y544)</f>
        <v>5.5988718708999997E-2</v>
      </c>
      <c r="Z544" s="938"/>
      <c r="AA544" s="938"/>
      <c r="AB544" s="938"/>
      <c r="AC544" s="938"/>
      <c r="AD544" s="1058"/>
      <c r="AE544" s="938"/>
      <c r="AF544" s="938"/>
      <c r="AG544" s="938"/>
      <c r="AH544" s="938"/>
    </row>
    <row r="545" spans="1:34" ht="17.25" customHeight="1" x14ac:dyDescent="0.35">
      <c r="A545" s="938"/>
      <c r="B545" s="938"/>
      <c r="C545" s="941"/>
      <c r="D545" s="1047"/>
      <c r="E545" s="941"/>
      <c r="F545" s="938"/>
      <c r="G545" s="976">
        <f t="shared" si="10"/>
        <v>542</v>
      </c>
      <c r="H545" s="1000"/>
      <c r="I545" s="1001" t="s">
        <v>1059</v>
      </c>
      <c r="J545" s="1031" t="s">
        <v>1586</v>
      </c>
      <c r="K545" s="1002">
        <f>IF(I!K545="","",$D$2*I!K545)</f>
        <v>8.2684577141500015E-2</v>
      </c>
      <c r="L545" s="981"/>
      <c r="M545" s="982"/>
      <c r="N545" s="1003"/>
      <c r="O545" s="1004">
        <f>IF(I!O545="","",$D$2*I!O545)</f>
        <v>0.3</v>
      </c>
      <c r="P545" s="1005">
        <f>IF(I!P545="","",$D$2*I!P545)</f>
        <v>0.80053384503869995</v>
      </c>
      <c r="Q545" s="1006">
        <f>IF(I!Q545="","",$D$2*I!Q545)</f>
        <v>6.0413480000000004E-10</v>
      </c>
      <c r="R545" s="982"/>
      <c r="S545" s="1003"/>
      <c r="T545" s="938"/>
      <c r="U545" s="1008" t="s">
        <v>1059</v>
      </c>
      <c r="V545" s="1018" t="s">
        <v>6396</v>
      </c>
      <c r="W545" s="1019">
        <f>IF(I!W545="","",$D$2*I!W545)</f>
        <v>8.5237472924999994E-4</v>
      </c>
      <c r="X545" s="990">
        <f>IF(I!X545="","",$D$2*I!X545)</f>
        <v>1.38649005361E-5</v>
      </c>
      <c r="Y545" s="1010">
        <f>IF(I!Y545="","",$D$2*I!Y545)</f>
        <v>1.81828334925E-3</v>
      </c>
      <c r="Z545" s="938"/>
      <c r="AA545" s="938"/>
      <c r="AB545" s="938"/>
      <c r="AC545" s="938"/>
      <c r="AD545" s="1058"/>
      <c r="AE545" s="938"/>
      <c r="AF545" s="938"/>
      <c r="AG545" s="938"/>
      <c r="AH545" s="938"/>
    </row>
    <row r="546" spans="1:34" ht="17.25" customHeight="1" x14ac:dyDescent="0.35">
      <c r="A546" s="938"/>
      <c r="B546" s="938"/>
      <c r="C546" s="941"/>
      <c r="D546" s="1047"/>
      <c r="E546" s="941"/>
      <c r="F546" s="938"/>
      <c r="G546" s="976">
        <f t="shared" si="10"/>
        <v>543</v>
      </c>
      <c r="H546" s="1000"/>
      <c r="I546" s="1001" t="s">
        <v>1059</v>
      </c>
      <c r="J546" s="1031" t="s">
        <v>1587</v>
      </c>
      <c r="K546" s="1002">
        <f>IF(I!K546="","",$D$2*I!K546)</f>
        <v>7.4279232441500004E-2</v>
      </c>
      <c r="L546" s="981"/>
      <c r="M546" s="982"/>
      <c r="N546" s="1003"/>
      <c r="O546" s="1004">
        <f>IF(I!O546="","",$D$2*I!O546)</f>
        <v>0.28000000000000003</v>
      </c>
      <c r="P546" s="1005">
        <f>IF(I!P546="","",$D$2*I!P546)</f>
        <v>0.80053384503869995</v>
      </c>
      <c r="Q546" s="1006">
        <f>IF(I!Q546="","",$D$2*I!Q546)</f>
        <v>6.0413480000000004E-10</v>
      </c>
      <c r="R546" s="982"/>
      <c r="S546" s="1003"/>
      <c r="T546" s="938"/>
      <c r="U546" s="1008" t="s">
        <v>1059</v>
      </c>
      <c r="V546" s="1018" t="s">
        <v>6397</v>
      </c>
      <c r="W546" s="1019">
        <f>IF(I!W546="","",$D$2*I!W546)</f>
        <v>2.3382027980000001E-2</v>
      </c>
      <c r="X546" s="990">
        <f>IF(I!X546="","",$D$2*I!X546)</f>
        <v>8.682352677999999E-3</v>
      </c>
      <c r="Y546" s="1010">
        <f>IF(I!Y546="","",$D$2*I!Y546)</f>
        <v>3.0379369080000003E-2</v>
      </c>
      <c r="Z546" s="938"/>
      <c r="AA546" s="938"/>
      <c r="AB546" s="938"/>
      <c r="AC546" s="938"/>
      <c r="AD546" s="1058"/>
      <c r="AE546" s="938"/>
      <c r="AF546" s="938"/>
      <c r="AG546" s="938"/>
      <c r="AH546" s="938"/>
    </row>
    <row r="547" spans="1:34" ht="17.25" customHeight="1" x14ac:dyDescent="0.35">
      <c r="A547" s="938"/>
      <c r="B547" s="938"/>
      <c r="C547" s="941"/>
      <c r="D547" s="1047"/>
      <c r="E547" s="941"/>
      <c r="F547" s="938"/>
      <c r="G547" s="976">
        <f t="shared" si="10"/>
        <v>544</v>
      </c>
      <c r="H547" s="1000">
        <v>1</v>
      </c>
      <c r="I547" s="1001" t="s">
        <v>1059</v>
      </c>
      <c r="J547" s="1031" t="s">
        <v>1588</v>
      </c>
      <c r="K547" s="1002">
        <f>IF(I!K547="","",$D$2*I!K547)</f>
        <v>9.0939243228000011E-2</v>
      </c>
      <c r="L547" s="981"/>
      <c r="M547" s="982"/>
      <c r="N547" s="1003"/>
      <c r="O547" s="1004">
        <f>IF(I!O547="","",$D$2*I!O547)</f>
        <v>0.36</v>
      </c>
      <c r="P547" s="1005">
        <f>IF(I!P547="","",$D$2*I!P547)</f>
        <v>0.8028572179115</v>
      </c>
      <c r="Q547" s="1006">
        <f>IF(I!Q547="","",$D$2*I!Q547)</f>
        <v>6.0413480000000004E-10</v>
      </c>
      <c r="R547" s="982"/>
      <c r="S547" s="1003"/>
      <c r="T547" s="938"/>
      <c r="U547" s="1008" t="s">
        <v>1059</v>
      </c>
      <c r="V547" s="1018" t="s">
        <v>6398</v>
      </c>
      <c r="W547" s="1019">
        <f>IF(I!W547="","",$D$2*I!W547)</f>
        <v>4.6861101488999996E-2</v>
      </c>
      <c r="X547" s="990">
        <f>IF(I!X547="","",$D$2*I!X547)</f>
        <v>1.9083114114999994E-2</v>
      </c>
      <c r="Y547" s="1010">
        <f>IF(I!Y547="","",$D$2*I!Y547)</f>
        <v>8.2172891489000005E-2</v>
      </c>
      <c r="Z547" s="938"/>
      <c r="AA547" s="938"/>
      <c r="AB547" s="938"/>
      <c r="AC547" s="938"/>
      <c r="AD547" s="1058"/>
      <c r="AE547" s="938"/>
      <c r="AF547" s="938"/>
      <c r="AG547" s="938"/>
      <c r="AH547" s="938"/>
    </row>
    <row r="548" spans="1:34" ht="17.25" customHeight="1" x14ac:dyDescent="0.35">
      <c r="A548" s="938"/>
      <c r="B548" s="938"/>
      <c r="C548" s="941"/>
      <c r="D548" s="1047"/>
      <c r="E548" s="941"/>
      <c r="F548" s="938"/>
      <c r="G548" s="976">
        <f t="shared" si="10"/>
        <v>545</v>
      </c>
      <c r="H548" s="1000"/>
      <c r="I548" s="1001" t="s">
        <v>1059</v>
      </c>
      <c r="J548" s="1031" t="s">
        <v>1589</v>
      </c>
      <c r="K548" s="1002">
        <f>IF(I!K548="","",$D$2*I!K548)</f>
        <v>0.44743727650000004</v>
      </c>
      <c r="L548" s="981"/>
      <c r="M548" s="982"/>
      <c r="N548" s="1003"/>
      <c r="O548" s="1004">
        <f>IF(I!O548="","",$D$2*I!O548)</f>
        <v>2.71</v>
      </c>
      <c r="P548" s="1005">
        <f>IF(I!P548="","",$D$2*I!P548)</f>
        <v>0.71823675863649994</v>
      </c>
      <c r="Q548" s="1006">
        <f>IF(I!Q548="","",$D$2*I!Q548)</f>
        <v>0</v>
      </c>
      <c r="R548" s="982"/>
      <c r="S548" s="1003"/>
      <c r="T548" s="938"/>
      <c r="U548" s="1008" t="s">
        <v>1059</v>
      </c>
      <c r="V548" s="1018" t="s">
        <v>6399</v>
      </c>
      <c r="W548" s="1019">
        <f>IF(I!W548="","",$D$2*I!W548)</f>
        <v>4.4879858815E-2</v>
      </c>
      <c r="X548" s="990">
        <f>IF(I!X548="","",$D$2*I!X548)</f>
        <v>1.5725341705999998E-2</v>
      </c>
      <c r="Y548" s="1010">
        <f>IF(I!Y548="","",$D$2*I!Y548)</f>
        <v>8.1887790815E-2</v>
      </c>
      <c r="Z548" s="938"/>
      <c r="AA548" s="938"/>
      <c r="AB548" s="938"/>
      <c r="AC548" s="938"/>
      <c r="AD548" s="1058"/>
      <c r="AE548" s="938"/>
      <c r="AF548" s="938"/>
      <c r="AG548" s="938"/>
      <c r="AH548" s="938"/>
    </row>
    <row r="549" spans="1:34" ht="17.25" customHeight="1" x14ac:dyDescent="0.35">
      <c r="A549" s="938"/>
      <c r="B549" s="938"/>
      <c r="C549" s="941"/>
      <c r="D549" s="1047"/>
      <c r="E549" s="941"/>
      <c r="F549" s="938"/>
      <c r="G549" s="976">
        <f t="shared" si="10"/>
        <v>546</v>
      </c>
      <c r="H549" s="1000"/>
      <c r="I549" s="1001" t="s">
        <v>1059</v>
      </c>
      <c r="J549" s="1031" t="s">
        <v>1590</v>
      </c>
      <c r="K549" s="1002">
        <f>IF(I!K549="","",$D$2*I!K549)</f>
        <v>0.1165322709</v>
      </c>
      <c r="L549" s="981"/>
      <c r="M549" s="982"/>
      <c r="N549" s="1003"/>
      <c r="O549" s="1004">
        <f>IF(I!O549="","",$D$2*I!O549)</f>
        <v>0.37</v>
      </c>
      <c r="P549" s="1005">
        <f>IF(I!P549="","",$D$2*I!P549)</f>
        <v>0.4544777736435</v>
      </c>
      <c r="Q549" s="1006">
        <f>IF(I!Q549="","",$D$2*I!Q549)</f>
        <v>4.2289436000000001E-10</v>
      </c>
      <c r="R549" s="982"/>
      <c r="S549" s="1003"/>
      <c r="T549" s="938"/>
      <c r="U549" s="1008" t="s">
        <v>1059</v>
      </c>
      <c r="V549" s="1018" t="s">
        <v>6400</v>
      </c>
      <c r="W549" s="1019">
        <f>IF(I!W549="","",$D$2*I!W549)</f>
        <v>0.13193890877</v>
      </c>
      <c r="X549" s="990">
        <f>IF(I!X549="","",$D$2*I!X549)</f>
        <v>5.1104257719999997E-2</v>
      </c>
      <c r="Y549" s="1010">
        <f>IF(I!Y549="","",$D$2*I!Y549)</f>
        <v>0.20602026776999999</v>
      </c>
      <c r="Z549" s="938"/>
      <c r="AA549" s="938"/>
      <c r="AB549" s="938"/>
      <c r="AC549" s="938"/>
      <c r="AD549" s="1058"/>
      <c r="AE549" s="938"/>
      <c r="AF549" s="938"/>
      <c r="AG549" s="938"/>
      <c r="AH549" s="938"/>
    </row>
    <row r="550" spans="1:34" ht="17.25" customHeight="1" x14ac:dyDescent="0.35">
      <c r="A550" s="938"/>
      <c r="B550" s="938"/>
      <c r="C550" s="941"/>
      <c r="D550" s="1047"/>
      <c r="E550" s="941"/>
      <c r="F550" s="938"/>
      <c r="G550" s="976">
        <f t="shared" si="10"/>
        <v>547</v>
      </c>
      <c r="H550" s="1000"/>
      <c r="I550" s="1001" t="s">
        <v>1059</v>
      </c>
      <c r="J550" s="1031" t="s">
        <v>1591</v>
      </c>
      <c r="K550" s="1002">
        <f>IF(I!K550="","",$D$2*I!K550)</f>
        <v>0.118508580738</v>
      </c>
      <c r="L550" s="981"/>
      <c r="M550" s="982"/>
      <c r="N550" s="1003"/>
      <c r="O550" s="1004">
        <f>IF(I!O550="","",$D$2*I!O550)</f>
        <v>0.36</v>
      </c>
      <c r="P550" s="1005">
        <f>IF(I!P550="","",$D$2*I!P550)</f>
        <v>0.58343090013160015</v>
      </c>
      <c r="Q550" s="1006">
        <f>IF(I!Q550="","",$D$2*I!Q550)</f>
        <v>6.0413480000000004E-10</v>
      </c>
      <c r="R550" s="982"/>
      <c r="S550" s="1003"/>
      <c r="T550" s="938"/>
      <c r="U550" s="1008" t="s">
        <v>1059</v>
      </c>
      <c r="V550" s="1018" t="s">
        <v>6401</v>
      </c>
      <c r="W550" s="1019">
        <f>IF(I!W550="","",$D$2*I!W550)</f>
        <v>0.1893683746</v>
      </c>
      <c r="X550" s="990">
        <f>IF(I!X550="","",$D$2*I!X550)</f>
        <v>0.58702743407000002</v>
      </c>
      <c r="Y550" s="1010">
        <f>IF(I!Y550="","",$D$2*I!Y550)</f>
        <v>0.35283175459999999</v>
      </c>
      <c r="Z550" s="938"/>
      <c r="AA550" s="938"/>
      <c r="AB550" s="938"/>
      <c r="AC550" s="938"/>
      <c r="AD550" s="1058"/>
      <c r="AE550" s="938"/>
      <c r="AF550" s="938"/>
      <c r="AG550" s="938"/>
      <c r="AH550" s="938"/>
    </row>
    <row r="551" spans="1:34" ht="17.25" customHeight="1" x14ac:dyDescent="0.35">
      <c r="A551" s="938"/>
      <c r="B551" s="938"/>
      <c r="C551" s="941"/>
      <c r="D551" s="1047"/>
      <c r="E551" s="941"/>
      <c r="F551" s="938"/>
      <c r="G551" s="976">
        <f t="shared" si="10"/>
        <v>548</v>
      </c>
      <c r="H551" s="1000"/>
      <c r="I551" s="1001" t="s">
        <v>1059</v>
      </c>
      <c r="J551" s="1031" t="s">
        <v>1592</v>
      </c>
      <c r="K551" s="1002">
        <f>IF(I!K551="","",$D$2*I!K551)</f>
        <v>0.12264799214149999</v>
      </c>
      <c r="L551" s="981"/>
      <c r="M551" s="982"/>
      <c r="N551" s="1003"/>
      <c r="O551" s="1004">
        <f>IF(I!O551="","",$D$2*I!O551)</f>
        <v>0.38</v>
      </c>
      <c r="P551" s="1005">
        <f>IF(I!P551="","",$D$2*I!P551)</f>
        <v>0.58373384503869996</v>
      </c>
      <c r="Q551" s="1006">
        <f>IF(I!Q551="","",$D$2*I!Q551)</f>
        <v>6.0413480000000004E-10</v>
      </c>
      <c r="R551" s="982"/>
      <c r="S551" s="1003"/>
      <c r="T551" s="938"/>
      <c r="U551" s="1008" t="s">
        <v>1059</v>
      </c>
      <c r="V551" s="1018" t="s">
        <v>6402</v>
      </c>
      <c r="W551" s="1019">
        <f>IF(I!W551="","",$D$2*I!W551)</f>
        <v>0.10195733879999999</v>
      </c>
      <c r="X551" s="990">
        <f>IF(I!X551="","",$D$2*I!X551)</f>
        <v>0.25749106652000003</v>
      </c>
      <c r="Y551" s="1010">
        <f>IF(I!Y551="","",$D$2*I!Y551)</f>
        <v>0.19727587879999997</v>
      </c>
      <c r="Z551" s="938"/>
      <c r="AA551" s="938"/>
      <c r="AB551" s="938"/>
      <c r="AC551" s="938"/>
      <c r="AD551" s="1058"/>
      <c r="AE551" s="938"/>
      <c r="AF551" s="938"/>
      <c r="AG551" s="938"/>
      <c r="AH551" s="938"/>
    </row>
    <row r="552" spans="1:34" ht="17.25" customHeight="1" x14ac:dyDescent="0.35">
      <c r="A552" s="938"/>
      <c r="B552" s="938"/>
      <c r="C552" s="941"/>
      <c r="D552" s="1047"/>
      <c r="E552" s="941"/>
      <c r="F552" s="938"/>
      <c r="G552" s="976">
        <f t="shared" si="10"/>
        <v>549</v>
      </c>
      <c r="H552" s="1000"/>
      <c r="I552" s="1001" t="s">
        <v>1059</v>
      </c>
      <c r="J552" s="1031" t="s">
        <v>1593</v>
      </c>
      <c r="K552" s="1002">
        <f>IF(I!K552="","",$D$2*I!K552)</f>
        <v>0.16456223314150001</v>
      </c>
      <c r="L552" s="981"/>
      <c r="M552" s="982"/>
      <c r="N552" s="1003"/>
      <c r="O552" s="1004">
        <f>IF(I!O552="","",$D$2*I!O552)</f>
        <v>0.6</v>
      </c>
      <c r="P552" s="1005">
        <f>IF(I!P552="","",$D$2*I!P552)</f>
        <v>0.56053384503869996</v>
      </c>
      <c r="Q552" s="1006">
        <f>IF(I!Q552="","",$D$2*I!Q552)</f>
        <v>6.0413480000000004E-10</v>
      </c>
      <c r="R552" s="982"/>
      <c r="S552" s="1003"/>
      <c r="T552" s="938"/>
      <c r="U552" s="1008" t="s">
        <v>1059</v>
      </c>
      <c r="V552" s="1018" t="s">
        <v>6403</v>
      </c>
      <c r="W552" s="1019">
        <f>IF(I!W552="","",$D$2*I!W552)</f>
        <v>9.3670494499999993E-2</v>
      </c>
      <c r="X552" s="990">
        <f>IF(I!X552="","",$D$2*I!X552)</f>
        <v>0.22028160503999999</v>
      </c>
      <c r="Y552" s="1010">
        <f>IF(I!Y552="","",$D$2*I!Y552)</f>
        <v>0.18009461449999997</v>
      </c>
      <c r="Z552" s="938"/>
      <c r="AA552" s="938"/>
      <c r="AB552" s="938"/>
      <c r="AC552" s="938"/>
      <c r="AD552" s="1058"/>
      <c r="AE552" s="938"/>
      <c r="AF552" s="938"/>
      <c r="AG552" s="938"/>
      <c r="AH552" s="938"/>
    </row>
    <row r="553" spans="1:34" ht="17.25" customHeight="1" x14ac:dyDescent="0.35">
      <c r="A553" s="938"/>
      <c r="B553" s="938"/>
      <c r="C553" s="941"/>
      <c r="D553" s="1047"/>
      <c r="E553" s="941"/>
      <c r="F553" s="938"/>
      <c r="G553" s="976">
        <f t="shared" si="10"/>
        <v>550</v>
      </c>
      <c r="H553" s="1000"/>
      <c r="I553" s="1001" t="s">
        <v>1059</v>
      </c>
      <c r="J553" s="1031" t="s">
        <v>1594</v>
      </c>
      <c r="K553" s="1002">
        <f>IF(I!K553="","",$D$2*I!K553)</f>
        <v>5.4563750000000001E-2</v>
      </c>
      <c r="L553" s="981"/>
      <c r="M553" s="982"/>
      <c r="N553" s="1003"/>
      <c r="O553" s="1004">
        <f>IF(I!O553="","",$D$2*I!O553)</f>
        <v>0.43</v>
      </c>
      <c r="P553" s="1005">
        <f>IF(I!P553="","",$D$2*I!P553)</f>
        <v>0.37359999999999999</v>
      </c>
      <c r="Q553" s="1006">
        <f>IF(I!Q553="","",$D$2*I!Q553)</f>
        <v>0</v>
      </c>
      <c r="R553" s="982"/>
      <c r="S553" s="1003"/>
      <c r="T553" s="938"/>
      <c r="U553" s="1008" t="s">
        <v>1059</v>
      </c>
      <c r="V553" s="1018" t="s">
        <v>6404</v>
      </c>
      <c r="W553" s="1019">
        <f>IF(I!W553="","",$D$2*I!W553)</f>
        <v>0.1589555882</v>
      </c>
      <c r="X553" s="990">
        <f>IF(I!X553="","",$D$2*I!X553)</f>
        <v>0.46267062832</v>
      </c>
      <c r="Y553" s="1010">
        <f>IF(I!Y553="","",$D$2*I!Y553)</f>
        <v>0.30272408819999996</v>
      </c>
      <c r="Z553" s="938"/>
      <c r="AA553" s="938"/>
      <c r="AB553" s="938"/>
      <c r="AC553" s="938"/>
      <c r="AD553" s="1058"/>
      <c r="AE553" s="938"/>
      <c r="AF553" s="938"/>
      <c r="AG553" s="938"/>
      <c r="AH553" s="938"/>
    </row>
    <row r="554" spans="1:34" ht="17.25" customHeight="1" x14ac:dyDescent="0.35">
      <c r="A554" s="938"/>
      <c r="B554" s="938"/>
      <c r="C554" s="941"/>
      <c r="D554" s="1047"/>
      <c r="E554" s="941"/>
      <c r="F554" s="938"/>
      <c r="G554" s="976">
        <f t="shared" si="10"/>
        <v>551</v>
      </c>
      <c r="H554" s="1000"/>
      <c r="I554" s="1001" t="s">
        <v>1059</v>
      </c>
      <c r="J554" s="1031" t="s">
        <v>1595</v>
      </c>
      <c r="K554" s="1002">
        <f>IF(I!K554="","",$D$2*I!K554)</f>
        <v>7.2968382441500002E-2</v>
      </c>
      <c r="L554" s="981"/>
      <c r="M554" s="982"/>
      <c r="N554" s="1003"/>
      <c r="O554" s="1004">
        <f>IF(I!O554="","",$D$2*I!O554)</f>
        <v>0.26</v>
      </c>
      <c r="P554" s="1005">
        <f>IF(I!P554="","",$D$2*I!P554)</f>
        <v>0.80053384503859992</v>
      </c>
      <c r="Q554" s="1006">
        <f>IF(I!Q554="","",$D$2*I!Q554)</f>
        <v>6.0413480000000004E-10</v>
      </c>
      <c r="R554" s="982"/>
      <c r="S554" s="1003"/>
      <c r="T554" s="938"/>
      <c r="U554" s="1008" t="s">
        <v>1059</v>
      </c>
      <c r="V554" s="1018" t="s">
        <v>6405</v>
      </c>
      <c r="W554" s="1019">
        <f>IF(I!W554="","",$D$2*I!W554)</f>
        <v>0.17654144599999999</v>
      </c>
      <c r="X554" s="990">
        <f>IF(I!X554="","",$D$2*I!X554)</f>
        <v>0.34554703961</v>
      </c>
      <c r="Y554" s="1010">
        <f>IF(I!Y554="","",$D$2*I!Y554)</f>
        <v>0.29233362600000001</v>
      </c>
      <c r="Z554" s="938"/>
      <c r="AA554" s="938"/>
      <c r="AB554" s="938"/>
      <c r="AC554" s="938"/>
      <c r="AD554" s="1058"/>
      <c r="AE554" s="938"/>
      <c r="AF554" s="938"/>
      <c r="AG554" s="938"/>
      <c r="AH554" s="938"/>
    </row>
    <row r="555" spans="1:34" ht="17.25" customHeight="1" x14ac:dyDescent="0.35">
      <c r="A555" s="938"/>
      <c r="B555" s="938"/>
      <c r="C555" s="941"/>
      <c r="D555" s="1047"/>
      <c r="E555" s="941"/>
      <c r="F555" s="938"/>
      <c r="G555" s="976">
        <f t="shared" si="10"/>
        <v>552</v>
      </c>
      <c r="H555" s="1000"/>
      <c r="I555" s="1001" t="s">
        <v>1059</v>
      </c>
      <c r="J555" s="1031" t="s">
        <v>1596</v>
      </c>
      <c r="K555" s="1002">
        <f>IF(I!K555="","",$D$2*I!K555)</f>
        <v>8.1756543899999992E-2</v>
      </c>
      <c r="L555" s="981"/>
      <c r="M555" s="982"/>
      <c r="N555" s="1003"/>
      <c r="O555" s="1004">
        <f>IF(I!O555="","",$D$2*I!O555)</f>
        <v>0.28999999999999998</v>
      </c>
      <c r="P555" s="1005">
        <f>IF(I!P555="","",$D$2*I!P555)</f>
        <v>0.60623777364349996</v>
      </c>
      <c r="Q555" s="1006">
        <f>IF(I!Q555="","",$D$2*I!Q555)</f>
        <v>4.2289436000000001E-10</v>
      </c>
      <c r="R555" s="982"/>
      <c r="S555" s="1003"/>
      <c r="T555" s="938"/>
      <c r="U555" s="1008" t="s">
        <v>1059</v>
      </c>
      <c r="V555" s="1018" t="s">
        <v>6406</v>
      </c>
      <c r="W555" s="1019">
        <f>IF(I!W555="","",$D$2*I!W555)</f>
        <v>9.2179985239999998E-2</v>
      </c>
      <c r="X555" s="990">
        <f>IF(I!X555="","",$D$2*I!X555)</f>
        <v>0.10221472865</v>
      </c>
      <c r="Y555" s="1010">
        <f>IF(I!Y555="","",$D$2*I!Y555)</f>
        <v>0.19266835523999998</v>
      </c>
      <c r="Z555" s="938"/>
      <c r="AA555" s="938"/>
      <c r="AB555" s="938"/>
      <c r="AC555" s="938"/>
      <c r="AD555" s="1058"/>
      <c r="AE555" s="938"/>
      <c r="AF555" s="938"/>
      <c r="AG555" s="938"/>
      <c r="AH555" s="938"/>
    </row>
    <row r="556" spans="1:34" ht="17.25" customHeight="1" x14ac:dyDescent="0.35">
      <c r="A556" s="938"/>
      <c r="B556" s="938"/>
      <c r="C556" s="941"/>
      <c r="D556" s="1047"/>
      <c r="E556" s="941"/>
      <c r="F556" s="938"/>
      <c r="G556" s="976">
        <f t="shared" si="10"/>
        <v>553</v>
      </c>
      <c r="H556" s="1000">
        <v>1</v>
      </c>
      <c r="I556" s="1001" t="s">
        <v>1059</v>
      </c>
      <c r="J556" s="1031" t="s">
        <v>1597</v>
      </c>
      <c r="K556" s="1002">
        <f>IF(I!K556="","",$D$2*I!K556)</f>
        <v>6.7609956012799996E-2</v>
      </c>
      <c r="L556" s="981"/>
      <c r="M556" s="982"/>
      <c r="N556" s="1003"/>
      <c r="O556" s="1004">
        <f>IF(I!O556="","",$D$2*I!O556)</f>
        <v>0.34</v>
      </c>
      <c r="P556" s="1005">
        <f>IF(I!P556="","",$D$2*I!P556)</f>
        <v>0.86213384503869994</v>
      </c>
      <c r="Q556" s="1006">
        <f>IF(I!Q556="","",$D$2*I!Q556)</f>
        <v>6.0413480000000004E-10</v>
      </c>
      <c r="R556" s="982"/>
      <c r="S556" s="1003"/>
      <c r="T556" s="938"/>
      <c r="U556" s="1008" t="s">
        <v>1059</v>
      </c>
      <c r="V556" s="1018" t="s">
        <v>6407</v>
      </c>
      <c r="W556" s="1019">
        <f>IF(I!W556="","",$D$2*I!W556)</f>
        <v>0.13919741369999999</v>
      </c>
      <c r="X556" s="990">
        <f>IF(I!X556="","",$D$2*I!X556)</f>
        <v>9.7398196310000004E-2</v>
      </c>
      <c r="Y556" s="1010">
        <f>IF(I!Y556="","",$D$2*I!Y556)</f>
        <v>0.1990207567</v>
      </c>
      <c r="Z556" s="938"/>
      <c r="AA556" s="938"/>
      <c r="AB556" s="938"/>
      <c r="AC556" s="938"/>
      <c r="AD556" s="1058"/>
      <c r="AE556" s="938"/>
      <c r="AF556" s="938"/>
      <c r="AG556" s="938"/>
      <c r="AH556" s="938"/>
    </row>
    <row r="557" spans="1:34" ht="17.25" customHeight="1" x14ac:dyDescent="0.35">
      <c r="A557" s="938"/>
      <c r="B557" s="938"/>
      <c r="C557" s="941"/>
      <c r="D557" s="1047"/>
      <c r="E557" s="941"/>
      <c r="F557" s="938"/>
      <c r="G557" s="976">
        <f t="shared" si="10"/>
        <v>554</v>
      </c>
      <c r="H557" s="1000"/>
      <c r="I557" s="1001" t="s">
        <v>1059</v>
      </c>
      <c r="J557" s="1031" t="s">
        <v>1598</v>
      </c>
      <c r="K557" s="1002">
        <f>IF(I!K557="","",$D$2*I!K557)</f>
        <v>5.6099702141499994E-2</v>
      </c>
      <c r="L557" s="981"/>
      <c r="M557" s="982"/>
      <c r="N557" s="1003"/>
      <c r="O557" s="1004">
        <f>IF(I!O557="","",$D$2*I!O557)</f>
        <v>0.32</v>
      </c>
      <c r="P557" s="1005">
        <f>IF(I!P557="","",$D$2*I!P557)</f>
        <v>0.86213384503869994</v>
      </c>
      <c r="Q557" s="1006">
        <f>IF(I!Q557="","",$D$2*I!Q557)</f>
        <v>6.0413480000000004E-10</v>
      </c>
      <c r="R557" s="982"/>
      <c r="S557" s="1003"/>
      <c r="T557" s="938"/>
      <c r="U557" s="1008" t="s">
        <v>1059</v>
      </c>
      <c r="V557" s="1018" t="s">
        <v>6408</v>
      </c>
      <c r="W557" s="1019">
        <f>IF(I!W557="","",$D$2*I!W557)</f>
        <v>6.6128695779999996E-2</v>
      </c>
      <c r="X557" s="990">
        <f>IF(I!X557="","",$D$2*I!X557)</f>
        <v>3.9263886417999994E-2</v>
      </c>
      <c r="Y557" s="1010">
        <f>IF(I!Y557="","",$D$2*I!Y557)</f>
        <v>0.12772269478000001</v>
      </c>
      <c r="Z557" s="938"/>
      <c r="AA557" s="938"/>
      <c r="AB557" s="938"/>
      <c r="AC557" s="938"/>
      <c r="AD557" s="1058"/>
      <c r="AE557" s="938"/>
      <c r="AF557" s="938"/>
      <c r="AG557" s="938"/>
      <c r="AH557" s="938"/>
    </row>
    <row r="558" spans="1:34" ht="17.25" customHeight="1" x14ac:dyDescent="0.35">
      <c r="A558" s="938"/>
      <c r="B558" s="938"/>
      <c r="C558" s="941"/>
      <c r="D558" s="1047"/>
      <c r="E558" s="941"/>
      <c r="F558" s="938"/>
      <c r="G558" s="976">
        <f t="shared" si="10"/>
        <v>555</v>
      </c>
      <c r="H558" s="1000"/>
      <c r="I558" s="1001" t="s">
        <v>1059</v>
      </c>
      <c r="J558" s="1031" t="s">
        <v>1599</v>
      </c>
      <c r="K558" s="1002">
        <f>IF(I!K558="","",$D$2*I!K558)</f>
        <v>5.89142771415E-2</v>
      </c>
      <c r="L558" s="981"/>
      <c r="M558" s="982"/>
      <c r="N558" s="1003"/>
      <c r="O558" s="1004">
        <f>IF(I!O558="","",$D$2*I!O558)</f>
        <v>0.34</v>
      </c>
      <c r="P558" s="1005">
        <f>IF(I!P558="","",$D$2*I!P558)</f>
        <v>0.86213384503869994</v>
      </c>
      <c r="Q558" s="1006">
        <f>IF(I!Q558="","",$D$2*I!Q558)</f>
        <v>6.0413480000000004E-10</v>
      </c>
      <c r="R558" s="982"/>
      <c r="S558" s="1003"/>
      <c r="T558" s="938"/>
      <c r="U558" s="1008" t="s">
        <v>1059</v>
      </c>
      <c r="V558" s="1018" t="s">
        <v>6409</v>
      </c>
      <c r="W558" s="1019">
        <f>IF(I!W558="","",$D$2*I!W558)</f>
        <v>6.746841876000001E-2</v>
      </c>
      <c r="X558" s="990">
        <f>IF(I!X558="","",$D$2*I!X558)</f>
        <v>4.1721712296000003E-2</v>
      </c>
      <c r="Y558" s="1010">
        <f>IF(I!Y558="","",$D$2*I!Y558)</f>
        <v>0.10163199176000001</v>
      </c>
      <c r="Z558" s="938"/>
      <c r="AA558" s="938"/>
      <c r="AB558" s="938"/>
      <c r="AC558" s="938"/>
      <c r="AD558" s="1058"/>
      <c r="AE558" s="938"/>
      <c r="AF558" s="938"/>
      <c r="AG558" s="938"/>
      <c r="AH558" s="938"/>
    </row>
    <row r="559" spans="1:34" ht="17.25" customHeight="1" x14ac:dyDescent="0.35">
      <c r="A559" s="938"/>
      <c r="B559" s="938"/>
      <c r="C559" s="941"/>
      <c r="D559" s="1047"/>
      <c r="E559" s="941"/>
      <c r="F559" s="938"/>
      <c r="G559" s="976">
        <f t="shared" si="10"/>
        <v>556</v>
      </c>
      <c r="H559" s="1000"/>
      <c r="I559" s="1001" t="s">
        <v>1059</v>
      </c>
      <c r="J559" s="1031" t="s">
        <v>1600</v>
      </c>
      <c r="K559" s="1002">
        <f>IF(I!K559="","",$D$2*I!K559)</f>
        <v>0.18334835803999999</v>
      </c>
      <c r="L559" s="981"/>
      <c r="M559" s="982"/>
      <c r="N559" s="1003"/>
      <c r="O559" s="1004">
        <f>IF(I!O559="","",$D$2*I!O559)</f>
        <v>1.1100000000000001</v>
      </c>
      <c r="P559" s="1005">
        <f>IF(I!P559="","",$D$2*I!P559)</f>
        <v>0.5220443860838001</v>
      </c>
      <c r="Q559" s="1006">
        <f>IF(I!Q559="","",$D$2*I!Q559)</f>
        <v>0</v>
      </c>
      <c r="R559" s="982"/>
      <c r="S559" s="1003"/>
      <c r="T559" s="938"/>
      <c r="U559" s="1008" t="s">
        <v>1059</v>
      </c>
      <c r="V559" s="1018" t="s">
        <v>6410</v>
      </c>
      <c r="W559" s="1019">
        <f>IF(I!W559="","",$D$2*I!W559)</f>
        <v>0.20335233820000001</v>
      </c>
      <c r="X559" s="990">
        <f>IF(I!X559="","",$D$2*I!X559)</f>
        <v>0.12696048215</v>
      </c>
      <c r="Y559" s="1010">
        <f>IF(I!Y559="","",$D$2*I!Y559)</f>
        <v>0.30509179819999999</v>
      </c>
      <c r="Z559" s="938"/>
      <c r="AA559" s="938"/>
      <c r="AB559" s="938"/>
      <c r="AC559" s="938"/>
      <c r="AD559" s="1058"/>
      <c r="AE559" s="938"/>
      <c r="AF559" s="938"/>
      <c r="AG559" s="938"/>
      <c r="AH559" s="938"/>
    </row>
    <row r="560" spans="1:34" ht="17.25" customHeight="1" x14ac:dyDescent="0.35">
      <c r="A560" s="938"/>
      <c r="B560" s="938"/>
      <c r="C560" s="941"/>
      <c r="D560" s="1047"/>
      <c r="E560" s="941"/>
      <c r="F560" s="938"/>
      <c r="G560" s="976">
        <f t="shared" si="10"/>
        <v>557</v>
      </c>
      <c r="H560" s="1000"/>
      <c r="I560" s="1001" t="s">
        <v>1059</v>
      </c>
      <c r="J560" s="1031" t="s">
        <v>1601</v>
      </c>
      <c r="K560" s="1002">
        <f>IF(I!K560="","",$D$2*I!K560)</f>
        <v>7.8385628700000001E-2</v>
      </c>
      <c r="L560" s="981"/>
      <c r="M560" s="982"/>
      <c r="N560" s="1003"/>
      <c r="O560" s="1004">
        <f>IF(I!O560="","",$D$2*I!O560)</f>
        <v>0.48</v>
      </c>
      <c r="P560" s="1005">
        <f>IF(I!P560="","",$D$2*I!P560)</f>
        <v>0.43573200358406</v>
      </c>
      <c r="Q560" s="1006">
        <f>IF(I!Q560="","",$D$2*I!Q560)</f>
        <v>0</v>
      </c>
      <c r="R560" s="982"/>
      <c r="S560" s="1003"/>
      <c r="T560" s="938"/>
      <c r="U560" s="1008" t="s">
        <v>1059</v>
      </c>
      <c r="V560" s="1018" t="s">
        <v>6411</v>
      </c>
      <c r="W560" s="1019">
        <f>IF(I!W560="","",$D$2*I!W560)</f>
        <v>9.09317865E-2</v>
      </c>
      <c r="X560" s="990">
        <f>IF(I!X560="","",$D$2*I!X560)</f>
        <v>5.4206811610000002E-2</v>
      </c>
      <c r="Y560" s="1010">
        <f>IF(I!Y560="","",$D$2*I!Y560)</f>
        <v>0.17555824650000001</v>
      </c>
      <c r="Z560" s="938"/>
      <c r="AA560" s="938"/>
      <c r="AB560" s="938"/>
      <c r="AC560" s="938"/>
      <c r="AD560" s="1058"/>
      <c r="AE560" s="938"/>
      <c r="AF560" s="938"/>
      <c r="AG560" s="938"/>
      <c r="AH560" s="938"/>
    </row>
    <row r="561" spans="1:34" ht="17.25" customHeight="1" x14ac:dyDescent="0.35">
      <c r="A561" s="938"/>
      <c r="B561" s="938"/>
      <c r="C561" s="941"/>
      <c r="D561" s="1047"/>
      <c r="E561" s="941"/>
      <c r="F561" s="938"/>
      <c r="G561" s="976">
        <f t="shared" si="10"/>
        <v>558</v>
      </c>
      <c r="H561" s="1000">
        <v>1</v>
      </c>
      <c r="I561" s="1001" t="s">
        <v>1059</v>
      </c>
      <c r="J561" s="1031" t="s">
        <v>1602</v>
      </c>
      <c r="K561" s="1002">
        <f>IF(I!K561="","",$D$2*I!K561)</f>
        <v>0.33452050799999999</v>
      </c>
      <c r="L561" s="981"/>
      <c r="M561" s="982"/>
      <c r="N561" s="1003"/>
      <c r="O561" s="1004">
        <f>IF(I!O561="","",$D$2*I!O561)</f>
        <v>0.71</v>
      </c>
      <c r="P561" s="1005">
        <f>IF(I!P561="","",$D$2*I!P561)</f>
        <v>0.54548247200000011</v>
      </c>
      <c r="Q561" s="1006">
        <f>IF(I!Q561="","",$D$2*I!Q561)</f>
        <v>0</v>
      </c>
      <c r="R561" s="982"/>
      <c r="S561" s="1003"/>
      <c r="T561" s="938"/>
      <c r="U561" s="1008" t="s">
        <v>1059</v>
      </c>
      <c r="V561" s="1018" t="s">
        <v>6412</v>
      </c>
      <c r="W561" s="1019">
        <f>IF(I!W561="","",$D$2*I!W561)</f>
        <v>0.43622088790000002</v>
      </c>
      <c r="X561" s="990">
        <f>IF(I!X561="","",$D$2*I!X561)</f>
        <v>0.26223046088999996</v>
      </c>
      <c r="Y561" s="1010">
        <f>IF(I!Y561="","",$D$2*I!Y561)</f>
        <v>0.84148714790000001</v>
      </c>
      <c r="Z561" s="938"/>
      <c r="AA561" s="938"/>
      <c r="AB561" s="938"/>
      <c r="AC561" s="938"/>
      <c r="AD561" s="1058"/>
      <c r="AE561" s="938"/>
      <c r="AF561" s="938"/>
      <c r="AG561" s="938"/>
      <c r="AH561" s="938"/>
    </row>
    <row r="562" spans="1:34" ht="17.25" customHeight="1" x14ac:dyDescent="0.35">
      <c r="A562" s="938"/>
      <c r="B562" s="938"/>
      <c r="C562" s="941"/>
      <c r="D562" s="1047"/>
      <c r="E562" s="941"/>
      <c r="F562" s="938"/>
      <c r="G562" s="976">
        <f t="shared" si="10"/>
        <v>559</v>
      </c>
      <c r="H562" s="1000"/>
      <c r="I562" s="1001" t="s">
        <v>1059</v>
      </c>
      <c r="J562" s="1031" t="s">
        <v>1603</v>
      </c>
      <c r="K562" s="1002">
        <f>IF(I!K562="","",$D$2*I!K562)</f>
        <v>0.10596133744149999</v>
      </c>
      <c r="L562" s="981"/>
      <c r="M562" s="982"/>
      <c r="N562" s="1003"/>
      <c r="O562" s="1004">
        <f>IF(I!O562="","",$D$2*I!O562)</f>
        <v>0.4</v>
      </c>
      <c r="P562" s="1005">
        <f>IF(I!P562="","",$D$2*I!P562)</f>
        <v>0.35893384503860004</v>
      </c>
      <c r="Q562" s="1006">
        <f>IF(I!Q562="","",$D$2*I!Q562)</f>
        <v>6.0413480000000004E-10</v>
      </c>
      <c r="R562" s="982"/>
      <c r="S562" s="1003"/>
      <c r="T562" s="938"/>
      <c r="U562" s="1008" t="s">
        <v>1059</v>
      </c>
      <c r="V562" s="1018" t="s">
        <v>6413</v>
      </c>
      <c r="W562" s="1019">
        <f>IF(I!W562="","",$D$2*I!W562)</f>
        <v>0.10230931579999999</v>
      </c>
      <c r="X562" s="990">
        <f>IF(I!X562="","",$D$2*I!X562)</f>
        <v>6.7073981059999996E-2</v>
      </c>
      <c r="Y562" s="1010">
        <f>IF(I!Y562="","",$D$2*I!Y562)</f>
        <v>0.14747749979999999</v>
      </c>
      <c r="Z562" s="938"/>
      <c r="AA562" s="938"/>
      <c r="AB562" s="938"/>
      <c r="AC562" s="938"/>
      <c r="AD562" s="1058"/>
      <c r="AE562" s="938"/>
      <c r="AF562" s="938"/>
      <c r="AG562" s="938"/>
      <c r="AH562" s="938"/>
    </row>
    <row r="563" spans="1:34" ht="17.25" customHeight="1" x14ac:dyDescent="0.35">
      <c r="A563" s="938"/>
      <c r="B563" s="938"/>
      <c r="C563" s="941"/>
      <c r="D563" s="1047"/>
      <c r="E563" s="941"/>
      <c r="F563" s="938"/>
      <c r="G563" s="976">
        <f t="shared" si="10"/>
        <v>560</v>
      </c>
      <c r="H563" s="1000"/>
      <c r="I563" s="1001" t="s">
        <v>1059</v>
      </c>
      <c r="J563" s="1031" t="s">
        <v>1604</v>
      </c>
      <c r="K563" s="1002">
        <f>IF(I!K563="","",$D$2*I!K563)</f>
        <v>8.00363674415E-2</v>
      </c>
      <c r="L563" s="981"/>
      <c r="M563" s="982"/>
      <c r="N563" s="1003"/>
      <c r="O563" s="1004">
        <f>IF(I!O563="","",$D$2*I!O563)</f>
        <v>0.31</v>
      </c>
      <c r="P563" s="1005">
        <f>IF(I!P563="","",$D$2*I!P563)</f>
        <v>0.35893384503870002</v>
      </c>
      <c r="Q563" s="1006">
        <f>IF(I!Q563="","",$D$2*I!Q563)</f>
        <v>6.0413480000000004E-10</v>
      </c>
      <c r="R563" s="982"/>
      <c r="S563" s="1003"/>
      <c r="T563" s="938"/>
      <c r="U563" s="1008" t="s">
        <v>1059</v>
      </c>
      <c r="V563" s="1018" t="s">
        <v>6414</v>
      </c>
      <c r="W563" s="1019">
        <f>IF(I!W563="","",$D$2*I!W563)</f>
        <v>0.10923548937999999</v>
      </c>
      <c r="X563" s="990">
        <f>IF(I!X563="","",$D$2*I!X563)</f>
        <v>7.4437515369999999E-2</v>
      </c>
      <c r="Y563" s="1010">
        <f>IF(I!Y563="","",$D$2*I!Y563)</f>
        <v>0.15953526237999999</v>
      </c>
      <c r="Z563" s="938"/>
      <c r="AA563" s="938"/>
      <c r="AB563" s="938"/>
      <c r="AC563" s="938"/>
      <c r="AD563" s="1058"/>
      <c r="AE563" s="938"/>
      <c r="AF563" s="938"/>
      <c r="AG563" s="938"/>
      <c r="AH563" s="938"/>
    </row>
    <row r="564" spans="1:34" ht="17.25" customHeight="1" x14ac:dyDescent="0.35">
      <c r="A564" s="938"/>
      <c r="B564" s="938"/>
      <c r="C564" s="941"/>
      <c r="D564" s="1047"/>
      <c r="E564" s="941"/>
      <c r="F564" s="938"/>
      <c r="G564" s="976">
        <f t="shared" si="10"/>
        <v>561</v>
      </c>
      <c r="H564" s="1000">
        <v>1</v>
      </c>
      <c r="I564" s="1001" t="s">
        <v>1059</v>
      </c>
      <c r="J564" s="1031" t="s">
        <v>1605</v>
      </c>
      <c r="K564" s="1002">
        <f>IF(I!K564="","",$D$2*I!K564)</f>
        <v>8.5221365341500002E-2</v>
      </c>
      <c r="L564" s="981"/>
      <c r="M564" s="982"/>
      <c r="N564" s="1003"/>
      <c r="O564" s="1004">
        <f>IF(I!O564="","",$D$2*I!O564)</f>
        <v>0.33</v>
      </c>
      <c r="P564" s="1005">
        <f>IF(I!P564="","",$D$2*I!P564)</f>
        <v>0.35893308503870003</v>
      </c>
      <c r="Q564" s="1006">
        <f>IF(I!Q564="","",$D$2*I!Q564)</f>
        <v>6.0413480000000004E-10</v>
      </c>
      <c r="R564" s="982"/>
      <c r="S564" s="1003"/>
      <c r="T564" s="938"/>
      <c r="U564" s="1008" t="s">
        <v>1059</v>
      </c>
      <c r="V564" s="1018" t="s">
        <v>6415</v>
      </c>
      <c r="W564" s="1019">
        <f>IF(I!W564="","",$D$2*I!W564)</f>
        <v>1.298612172E-2</v>
      </c>
      <c r="X564" s="990">
        <f>IF(I!X564="","",$D$2*I!X564)</f>
        <v>6.798670788E-3</v>
      </c>
      <c r="Y564" s="1010">
        <f>IF(I!Y564="","",$D$2*I!Y564)</f>
        <v>2.856924072E-2</v>
      </c>
      <c r="Z564" s="938"/>
      <c r="AA564" s="938"/>
      <c r="AB564" s="938"/>
      <c r="AC564" s="938"/>
      <c r="AD564" s="1058"/>
      <c r="AE564" s="938"/>
      <c r="AF564" s="938"/>
      <c r="AG564" s="938"/>
      <c r="AH564" s="938"/>
    </row>
    <row r="565" spans="1:34" ht="17.25" customHeight="1" x14ac:dyDescent="0.35">
      <c r="A565" s="938"/>
      <c r="B565" s="938"/>
      <c r="C565" s="941"/>
      <c r="D565" s="1047"/>
      <c r="E565" s="941"/>
      <c r="F565" s="938"/>
      <c r="G565" s="976">
        <f t="shared" si="10"/>
        <v>562</v>
      </c>
      <c r="H565" s="1000"/>
      <c r="I565" s="1001" t="s">
        <v>1059</v>
      </c>
      <c r="J565" s="1031" t="s">
        <v>1606</v>
      </c>
      <c r="K565" s="1002">
        <f>IF(I!K565="","",$D$2*I!K565)</f>
        <v>2.9207718819599995</v>
      </c>
      <c r="L565" s="981"/>
      <c r="M565" s="982"/>
      <c r="N565" s="1003"/>
      <c r="O565" s="1004">
        <f>IF(I!O565="","",$D$2*I!O565)</f>
        <v>3.45</v>
      </c>
      <c r="P565" s="1005">
        <f>IF(I!P565="","",$D$2*I!P565)</f>
        <v>0.32912230711219997</v>
      </c>
      <c r="Q565" s="1006">
        <f>IF(I!Q565="","",$D$2*I!Q565)</f>
        <v>6.0413480000000004E-10</v>
      </c>
      <c r="R565" s="982"/>
      <c r="S565" s="1003"/>
      <c r="T565" s="938"/>
      <c r="U565" s="1008" t="s">
        <v>1059</v>
      </c>
      <c r="V565" s="1018" t="s">
        <v>6416</v>
      </c>
      <c r="W565" s="1019">
        <f>IF(I!W565="","",$D$2*I!W565)</f>
        <v>0.10241834761999999</v>
      </c>
      <c r="X565" s="990">
        <f>IF(I!X565="","",$D$2*I!X565)</f>
        <v>3.3414909577000003E-2</v>
      </c>
      <c r="Y565" s="1010">
        <f>IF(I!Y565="","",$D$2*I!Y565)</f>
        <v>0.13261610861999998</v>
      </c>
      <c r="Z565" s="938"/>
      <c r="AA565" s="938"/>
      <c r="AB565" s="938"/>
      <c r="AC565" s="938"/>
      <c r="AD565" s="1058"/>
      <c r="AE565" s="938"/>
      <c r="AF565" s="938"/>
      <c r="AG565" s="938"/>
      <c r="AH565" s="938"/>
    </row>
    <row r="566" spans="1:34" ht="17.25" customHeight="1" x14ac:dyDescent="0.35">
      <c r="A566" s="938"/>
      <c r="B566" s="938"/>
      <c r="C566" s="941"/>
      <c r="D566" s="1047"/>
      <c r="E566" s="941"/>
      <c r="F566" s="938"/>
      <c r="G566" s="976">
        <f t="shared" si="10"/>
        <v>563</v>
      </c>
      <c r="H566" s="942" t="s">
        <v>1607</v>
      </c>
      <c r="I566" s="1060"/>
      <c r="J566" s="1031"/>
      <c r="K566" s="1002" t="str">
        <f>IF(I!K566="","",$D$2*I!K566)</f>
        <v/>
      </c>
      <c r="L566" s="981"/>
      <c r="M566" s="982"/>
      <c r="N566" s="1003"/>
      <c r="O566" s="1004" t="str">
        <f>IF(I!O566="","",$D$2*I!O566)</f>
        <v/>
      </c>
      <c r="P566" s="1005" t="str">
        <f>IF(I!P566="","",$D$2*I!P566)</f>
        <v/>
      </c>
      <c r="Q566" s="1006" t="str">
        <f>IF(I!Q566="","",$D$2*I!Q566)</f>
        <v/>
      </c>
      <c r="R566" s="982"/>
      <c r="S566" s="1003"/>
      <c r="T566" s="938"/>
      <c r="U566" s="1008"/>
      <c r="V566" s="1040"/>
      <c r="W566" s="1019" t="str">
        <f>IF(I!W566="","",$D$2*I!W566)</f>
        <v/>
      </c>
      <c r="X566" s="990" t="str">
        <f>IF(I!X566="","",$D$2*I!X566)</f>
        <v/>
      </c>
      <c r="Y566" s="1010" t="str">
        <f>IF(I!Y566="","",$D$2*I!Y566)</f>
        <v/>
      </c>
      <c r="Z566" s="938"/>
      <c r="AA566" s="938"/>
      <c r="AB566" s="938"/>
      <c r="AC566" s="938"/>
      <c r="AD566" s="1058"/>
      <c r="AE566" s="938"/>
      <c r="AF566" s="938"/>
      <c r="AG566" s="938"/>
      <c r="AH566" s="938"/>
    </row>
    <row r="567" spans="1:34" ht="17.25" customHeight="1" x14ac:dyDescent="0.35">
      <c r="A567" s="938"/>
      <c r="B567" s="938"/>
      <c r="C567" s="941"/>
      <c r="D567" s="1047"/>
      <c r="E567" s="941"/>
      <c r="F567" s="938"/>
      <c r="G567" s="976">
        <f t="shared" si="10"/>
        <v>564</v>
      </c>
      <c r="H567" s="1000"/>
      <c r="I567" s="1001" t="s">
        <v>1059</v>
      </c>
      <c r="J567" s="1031" t="s">
        <v>1608</v>
      </c>
      <c r="K567" s="1002">
        <f>IF(I!K567="","",$D$2*I!K567)</f>
        <v>0.69324066290000008</v>
      </c>
      <c r="L567" s="981"/>
      <c r="M567" s="982"/>
      <c r="N567" s="1003"/>
      <c r="O567" s="1004">
        <f>IF(I!O567="","",$D$2*I!O567)</f>
        <v>2.2599999999999998</v>
      </c>
      <c r="P567" s="1005">
        <f>IF(I!P567="","",$D$2*I!P567)</f>
        <v>0.71375906909999998</v>
      </c>
      <c r="Q567" s="1006">
        <f>IF(I!Q567="","",$D$2*I!Q567)</f>
        <v>1.6350165999999999E-11</v>
      </c>
      <c r="R567" s="982"/>
      <c r="S567" s="1003"/>
      <c r="T567" s="938"/>
      <c r="U567" s="1008"/>
      <c r="V567" s="1009" t="s">
        <v>6417</v>
      </c>
      <c r="W567" s="1019" t="str">
        <f>IF(I!W567="","",$D$2*I!W567)</f>
        <v/>
      </c>
      <c r="X567" s="990" t="str">
        <f>IF(I!X567="","",$D$2*I!X567)</f>
        <v/>
      </c>
      <c r="Y567" s="1010" t="str">
        <f>IF(I!Y567="","",$D$2*I!Y567)</f>
        <v/>
      </c>
      <c r="Z567" s="938"/>
      <c r="AA567" s="938"/>
      <c r="AB567" s="938"/>
      <c r="AC567" s="938"/>
      <c r="AD567" s="1058"/>
      <c r="AE567" s="938"/>
      <c r="AF567" s="938"/>
      <c r="AG567" s="938"/>
      <c r="AH567" s="938"/>
    </row>
    <row r="568" spans="1:34" ht="17.25" customHeight="1" x14ac:dyDescent="0.35">
      <c r="A568" s="938"/>
      <c r="B568" s="938"/>
      <c r="C568" s="941"/>
      <c r="D568" s="1047"/>
      <c r="E568" s="941"/>
      <c r="F568" s="938"/>
      <c r="G568" s="976">
        <f t="shared" si="10"/>
        <v>565</v>
      </c>
      <c r="H568" s="1000">
        <v>1</v>
      </c>
      <c r="I568" s="1001" t="s">
        <v>1059</v>
      </c>
      <c r="J568" s="1031" t="s">
        <v>1609</v>
      </c>
      <c r="K568" s="1002">
        <f>IF(I!K568="","",$D$2*I!K568)</f>
        <v>3.2902834102200004E-2</v>
      </c>
      <c r="L568" s="981"/>
      <c r="M568" s="982"/>
      <c r="N568" s="1003"/>
      <c r="O568" s="1004">
        <f>IF(I!O568="","",$D$2*I!O568)</f>
        <v>0.28999999999999998</v>
      </c>
      <c r="P568" s="1005">
        <f>IF(I!P568="","",$D$2*I!P568)</f>
        <v>0.73033800506580004</v>
      </c>
      <c r="Q568" s="1006">
        <f>IF(I!Q568="","",$D$2*I!Q568)</f>
        <v>1.0253030999999999E-9</v>
      </c>
      <c r="R568" s="982"/>
      <c r="S568" s="1003"/>
      <c r="T568" s="938"/>
      <c r="U568" s="1008" t="s">
        <v>1059</v>
      </c>
      <c r="V568" s="1018" t="s">
        <v>6418</v>
      </c>
      <c r="W568" s="1019">
        <f>IF(I!W568="","",$D$2*I!W568)</f>
        <v>9.9729283700000004E-2</v>
      </c>
      <c r="X568" s="990">
        <f>IF(I!X568="","",$D$2*I!X568)</f>
        <v>9.7827726820000002E-2</v>
      </c>
      <c r="Y568" s="1010">
        <f>IF(I!Y568="","",$D$2*I!Y568)</f>
        <v>0.22012574369999999</v>
      </c>
      <c r="Z568" s="938"/>
      <c r="AA568" s="938"/>
      <c r="AB568" s="938"/>
      <c r="AC568" s="938"/>
      <c r="AD568" s="1058"/>
      <c r="AE568" s="938"/>
      <c r="AF568" s="938"/>
      <c r="AG568" s="938"/>
      <c r="AH568" s="938"/>
    </row>
    <row r="569" spans="1:34" ht="17.25" customHeight="1" x14ac:dyDescent="0.35">
      <c r="A569" s="938"/>
      <c r="B569" s="938"/>
      <c r="C569" s="941"/>
      <c r="D569" s="1047"/>
      <c r="E569" s="941"/>
      <c r="F569" s="938"/>
      <c r="G569" s="976">
        <f t="shared" si="10"/>
        <v>566</v>
      </c>
      <c r="H569" s="1000"/>
      <c r="I569" s="1001" t="s">
        <v>1059</v>
      </c>
      <c r="J569" s="1031" t="s">
        <v>1610</v>
      </c>
      <c r="K569" s="1002">
        <f>IF(I!K569="","",$D$2*I!K569)</f>
        <v>7.9014618941280007E-2</v>
      </c>
      <c r="L569" s="981"/>
      <c r="M569" s="982"/>
      <c r="N569" s="1003"/>
      <c r="O569" s="1004">
        <f>IF(I!O569="","",$D$2*I!O569)</f>
        <v>0.28000000000000003</v>
      </c>
      <c r="P569" s="1005">
        <f>IF(I!P569="","",$D$2*I!P569)</f>
        <v>0.45600000000000002</v>
      </c>
      <c r="Q569" s="1006">
        <f>IF(I!Q569="","",$D$2*I!Q569)</f>
        <v>0</v>
      </c>
      <c r="R569" s="982"/>
      <c r="S569" s="1003"/>
      <c r="T569" s="938"/>
      <c r="U569" s="1008" t="s">
        <v>1059</v>
      </c>
      <c r="V569" s="1018" t="s">
        <v>6419</v>
      </c>
      <c r="W569" s="1019">
        <f>IF(I!W569="","",$D$2*I!W569)</f>
        <v>0.1005779059</v>
      </c>
      <c r="X569" s="990">
        <f>IF(I!X569="","",$D$2*I!X569)</f>
        <v>0.10836378936999999</v>
      </c>
      <c r="Y569" s="1010">
        <f>IF(I!Y569="","",$D$2*I!Y569)</f>
        <v>0.25302637589999999</v>
      </c>
      <c r="Z569" s="938"/>
      <c r="AA569" s="938"/>
      <c r="AB569" s="938"/>
      <c r="AC569" s="938"/>
      <c r="AD569" s="1058"/>
      <c r="AE569" s="938"/>
      <c r="AF569" s="938"/>
      <c r="AG569" s="938"/>
      <c r="AH569" s="938"/>
    </row>
    <row r="570" spans="1:34" ht="17.25" customHeight="1" x14ac:dyDescent="0.35">
      <c r="A570" s="938"/>
      <c r="B570" s="938"/>
      <c r="C570" s="941"/>
      <c r="D570" s="1047"/>
      <c r="E570" s="941"/>
      <c r="F570" s="938"/>
      <c r="G570" s="976">
        <f t="shared" si="10"/>
        <v>567</v>
      </c>
      <c r="H570" s="1000"/>
      <c r="I570" s="1001" t="s">
        <v>1059</v>
      </c>
      <c r="J570" s="1031" t="s">
        <v>1611</v>
      </c>
      <c r="K570" s="1002">
        <f>IF(I!K570="","",$D$2*I!K570)</f>
        <v>7.1096233554869395E-2</v>
      </c>
      <c r="L570" s="981"/>
      <c r="M570" s="982"/>
      <c r="N570" s="1003"/>
      <c r="O570" s="1004">
        <f>IF(I!O570="","",$D$2*I!O570)</f>
        <v>0.23</v>
      </c>
      <c r="P570" s="1005">
        <f>IF(I!P570="","",$D$2*I!P570)</f>
        <v>0.56559999999999999</v>
      </c>
      <c r="Q570" s="1006">
        <f>IF(I!Q570="","",$D$2*I!Q570)</f>
        <v>0</v>
      </c>
      <c r="R570" s="982"/>
      <c r="S570" s="1003"/>
      <c r="T570" s="938"/>
      <c r="U570" s="1008" t="s">
        <v>1059</v>
      </c>
      <c r="V570" s="1018" t="s">
        <v>6420</v>
      </c>
      <c r="W570" s="1019">
        <f>IF(I!W570="","",$D$2*I!W570)</f>
        <v>8.4385045400000011E-2</v>
      </c>
      <c r="X570" s="990">
        <f>IF(I!X570="","",$D$2*I!X570)</f>
        <v>7.919450045000001E-2</v>
      </c>
      <c r="Y570" s="1010">
        <f>IF(I!Y570="","",$D$2*I!Y570)</f>
        <v>0.19464285540000001</v>
      </c>
      <c r="Z570" s="938"/>
      <c r="AA570" s="938"/>
      <c r="AB570" s="938"/>
      <c r="AC570" s="938"/>
      <c r="AD570" s="1058"/>
      <c r="AE570" s="938"/>
      <c r="AF570" s="938"/>
      <c r="AG570" s="938"/>
      <c r="AH570" s="938"/>
    </row>
    <row r="571" spans="1:34" ht="17.25" customHeight="1" x14ac:dyDescent="0.35">
      <c r="A571" s="938"/>
      <c r="B571" s="938"/>
      <c r="C571" s="941"/>
      <c r="D571" s="1047"/>
      <c r="E571" s="941"/>
      <c r="F571" s="938"/>
      <c r="G571" s="976">
        <f t="shared" si="10"/>
        <v>568</v>
      </c>
      <c r="H571" s="1000"/>
      <c r="I571" s="1001" t="s">
        <v>1059</v>
      </c>
      <c r="J571" s="1031" t="s">
        <v>1612</v>
      </c>
      <c r="K571" s="1002">
        <f>IF(I!K571="","",$D$2*I!K571)</f>
        <v>0.11619933261</v>
      </c>
      <c r="L571" s="981"/>
      <c r="M571" s="982"/>
      <c r="N571" s="1003"/>
      <c r="O571" s="1004">
        <f>IF(I!O571="","",$D$2*I!O571)</f>
        <v>0.36</v>
      </c>
      <c r="P571" s="1005">
        <f>IF(I!P571="","",$D$2*I!P571)</f>
        <v>0.65037270670500003</v>
      </c>
      <c r="Q571" s="1006">
        <f>IF(I!Q571="","",$D$2*I!Q571)</f>
        <v>0</v>
      </c>
      <c r="R571" s="982"/>
      <c r="S571" s="1003"/>
      <c r="T571" s="938"/>
      <c r="U571" s="1008" t="s">
        <v>1059</v>
      </c>
      <c r="V571" s="1018" t="s">
        <v>6421</v>
      </c>
      <c r="W571" s="1019">
        <f>IF(I!W571="","",$D$2*I!W571)</f>
        <v>0.10415031050000001</v>
      </c>
      <c r="X571" s="990">
        <f>IF(I!X571="","",$D$2*I!X571)</f>
        <v>8.1248403169999997E-2</v>
      </c>
      <c r="Y571" s="1010">
        <f>IF(I!Y571="","",$D$2*I!Y571)</f>
        <v>0.2012839085</v>
      </c>
      <c r="Z571" s="938"/>
      <c r="AA571" s="938"/>
      <c r="AB571" s="938"/>
      <c r="AC571" s="938"/>
      <c r="AD571" s="1058"/>
      <c r="AE571" s="938"/>
      <c r="AF571" s="938"/>
      <c r="AG571" s="938"/>
      <c r="AH571" s="938"/>
    </row>
    <row r="572" spans="1:34" ht="17.25" customHeight="1" x14ac:dyDescent="0.35">
      <c r="A572" s="938"/>
      <c r="B572" s="938"/>
      <c r="C572" s="941"/>
      <c r="D572" s="1047"/>
      <c r="E572" s="941"/>
      <c r="F572" s="938"/>
      <c r="G572" s="976">
        <f t="shared" si="10"/>
        <v>569</v>
      </c>
      <c r="H572" s="1000"/>
      <c r="I572" s="1001" t="s">
        <v>1059</v>
      </c>
      <c r="J572" s="1031" t="s">
        <v>1613</v>
      </c>
      <c r="K572" s="1002">
        <f>IF(I!K572="","",$D$2*I!K572)</f>
        <v>7.6959493769999998E-2</v>
      </c>
      <c r="L572" s="981"/>
      <c r="M572" s="982"/>
      <c r="N572" s="1003"/>
      <c r="O572" s="1004">
        <f>IF(I!O572="","",$D$2*I!O572)</f>
        <v>0.36</v>
      </c>
      <c r="P572" s="1005">
        <f>IF(I!P572="","",$D$2*I!P572)</f>
        <v>0.70580748887300004</v>
      </c>
      <c r="Q572" s="1006">
        <f>IF(I!Q572="","",$D$2*I!Q572)</f>
        <v>1.3625137999999999E-10</v>
      </c>
      <c r="R572" s="982"/>
      <c r="S572" s="1003"/>
      <c r="T572" s="938"/>
      <c r="U572" s="1008"/>
      <c r="V572" s="1040"/>
      <c r="W572" s="1019" t="str">
        <f>IF(I!W572="","",$D$2*I!W572)</f>
        <v/>
      </c>
      <c r="X572" s="990" t="str">
        <f>IF(I!X572="","",$D$2*I!X572)</f>
        <v/>
      </c>
      <c r="Y572" s="1010" t="str">
        <f>IF(I!Y572="","",$D$2*I!Y572)</f>
        <v/>
      </c>
      <c r="Z572" s="938"/>
      <c r="AA572" s="938"/>
      <c r="AB572" s="938"/>
      <c r="AC572" s="938"/>
      <c r="AD572" s="1058"/>
      <c r="AE572" s="938"/>
      <c r="AF572" s="938"/>
      <c r="AG572" s="938"/>
      <c r="AH572" s="938"/>
    </row>
    <row r="573" spans="1:34" ht="17.25" customHeight="1" x14ac:dyDescent="0.35">
      <c r="A573" s="938"/>
      <c r="B573" s="938"/>
      <c r="C573" s="941"/>
      <c r="D573" s="1047"/>
      <c r="E573" s="941"/>
      <c r="F573" s="938"/>
      <c r="G573" s="976">
        <f t="shared" si="10"/>
        <v>570</v>
      </c>
      <c r="H573" s="1000"/>
      <c r="I573" s="1001" t="s">
        <v>1059</v>
      </c>
      <c r="J573" s="1031" t="s">
        <v>1614</v>
      </c>
      <c r="K573" s="1002">
        <f>IF(I!K573="","",$D$2*I!K573)</f>
        <v>0.34004687998600003</v>
      </c>
      <c r="L573" s="981"/>
      <c r="M573" s="982"/>
      <c r="N573" s="1003"/>
      <c r="O573" s="1004">
        <f>IF(I!O573="","",$D$2*I!O573)</f>
        <v>0.68</v>
      </c>
      <c r="P573" s="1005">
        <f>IF(I!P573="","",$D$2*I!P573)</f>
        <v>0.69013581981999994</v>
      </c>
      <c r="Q573" s="1006">
        <f>IF(I!Q573="","",$D$2*I!Q573)</f>
        <v>6.0413480000000002E-13</v>
      </c>
      <c r="R573" s="982"/>
      <c r="S573" s="1003"/>
      <c r="T573" s="938"/>
      <c r="U573" s="1008"/>
      <c r="V573" s="1009" t="s">
        <v>6422</v>
      </c>
      <c r="W573" s="1019" t="str">
        <f>IF(I!W573="","",$D$2*I!W573)</f>
        <v/>
      </c>
      <c r="X573" s="990" t="str">
        <f>IF(I!X573="","",$D$2*I!X573)</f>
        <v/>
      </c>
      <c r="Y573" s="1010" t="str">
        <f>IF(I!Y573="","",$D$2*I!Y573)</f>
        <v/>
      </c>
      <c r="Z573" s="938"/>
      <c r="AA573" s="938"/>
      <c r="AB573" s="938"/>
      <c r="AC573" s="938"/>
      <c r="AD573" s="1058"/>
      <c r="AE573" s="938"/>
      <c r="AF573" s="938"/>
      <c r="AG573" s="938"/>
      <c r="AH573" s="938"/>
    </row>
    <row r="574" spans="1:34" ht="17.25" customHeight="1" x14ac:dyDescent="0.35">
      <c r="A574" s="938"/>
      <c r="B574" s="938"/>
      <c r="C574" s="941"/>
      <c r="D574" s="1047"/>
      <c r="E574" s="941"/>
      <c r="F574" s="938"/>
      <c r="G574" s="976">
        <f t="shared" si="10"/>
        <v>571</v>
      </c>
      <c r="H574" s="1000"/>
      <c r="I574" s="1001" t="s">
        <v>1059</v>
      </c>
      <c r="J574" s="1031" t="s">
        <v>1615</v>
      </c>
      <c r="K574" s="1002">
        <f>IF(I!K574="","",$D$2*I!K574)</f>
        <v>6.7346896892599997E-2</v>
      </c>
      <c r="L574" s="981"/>
      <c r="M574" s="982"/>
      <c r="N574" s="1003"/>
      <c r="O574" s="1004">
        <f>IF(I!O574="","",$D$2*I!O574)</f>
        <v>0.48</v>
      </c>
      <c r="P574" s="1005">
        <f>IF(I!P574="","",$D$2*I!P574)</f>
        <v>0.56365758003299993</v>
      </c>
      <c r="Q574" s="1006">
        <f>IF(I!Q574="","",$D$2*I!Q574)</f>
        <v>5.1782983000000003E-10</v>
      </c>
      <c r="R574" s="982"/>
      <c r="S574" s="1003"/>
      <c r="T574" s="938"/>
      <c r="U574" s="1062" t="s">
        <v>1176</v>
      </c>
      <c r="V574" s="1018" t="s">
        <v>6423</v>
      </c>
      <c r="W574" s="1019">
        <f>IF(I!W574="","",$D$2*I!W574)</f>
        <v>3.2103438130000002</v>
      </c>
      <c r="X574" s="990">
        <f>IF(I!X574="","",$D$2*I!X574)</f>
        <v>0.96081786420000004</v>
      </c>
      <c r="Y574" s="1010">
        <f>IF(I!Y574="","",$D$2*I!Y574)</f>
        <v>4.6397388130000001</v>
      </c>
      <c r="Z574" s="938"/>
      <c r="AA574" s="938"/>
      <c r="AB574" s="938"/>
      <c r="AC574" s="938"/>
      <c r="AD574" s="1058"/>
      <c r="AE574" s="938"/>
      <c r="AF574" s="938"/>
      <c r="AG574" s="938"/>
      <c r="AH574" s="938"/>
    </row>
    <row r="575" spans="1:34" ht="17.25" customHeight="1" x14ac:dyDescent="0.35">
      <c r="A575" s="938"/>
      <c r="B575" s="938"/>
      <c r="C575" s="941"/>
      <c r="D575" s="1047"/>
      <c r="E575" s="941"/>
      <c r="F575" s="938"/>
      <c r="G575" s="976">
        <f t="shared" si="10"/>
        <v>572</v>
      </c>
      <c r="H575" s="1000"/>
      <c r="I575" s="1001" t="s">
        <v>1059</v>
      </c>
      <c r="J575" s="1031" t="s">
        <v>1616</v>
      </c>
      <c r="K575" s="1002">
        <f>IF(I!K575="","",$D$2*I!K575)</f>
        <v>0.34141969438600006</v>
      </c>
      <c r="L575" s="981"/>
      <c r="M575" s="982"/>
      <c r="N575" s="1003"/>
      <c r="O575" s="1004">
        <f>IF(I!O575="","",$D$2*I!O575)</f>
        <v>0.68</v>
      </c>
      <c r="P575" s="1005">
        <f>IF(I!P575="","",$D$2*I!P575)</f>
        <v>0.69774753348000007</v>
      </c>
      <c r="Q575" s="1006">
        <f>IF(I!Q575="","",$D$2*I!Q575)</f>
        <v>6.0413480000000004E-10</v>
      </c>
      <c r="R575" s="982"/>
      <c r="S575" s="1003"/>
      <c r="T575" s="938"/>
      <c r="U575" s="1008" t="s">
        <v>1059</v>
      </c>
      <c r="V575" s="1018" t="s">
        <v>6424</v>
      </c>
      <c r="W575" s="1019">
        <f>IF(I!W575="","",$D$2*I!W575)</f>
        <v>0.28598326229999999</v>
      </c>
      <c r="X575" s="990">
        <f>IF(I!X575="","",$D$2*I!X575)</f>
        <v>8.7221285300000007E-2</v>
      </c>
      <c r="Y575" s="1010">
        <f>IF(I!Y575="","",$D$2*I!Y575)</f>
        <v>0.38508778129999999</v>
      </c>
      <c r="Z575" s="938"/>
      <c r="AA575" s="938"/>
      <c r="AB575" s="938"/>
      <c r="AC575" s="938"/>
      <c r="AD575" s="1058"/>
      <c r="AE575" s="938"/>
      <c r="AF575" s="938"/>
      <c r="AG575" s="938"/>
      <c r="AH575" s="938"/>
    </row>
    <row r="576" spans="1:34" ht="17.25" customHeight="1" x14ac:dyDescent="0.35">
      <c r="A576" s="938"/>
      <c r="B576" s="938"/>
      <c r="C576" s="941"/>
      <c r="D576" s="1047"/>
      <c r="E576" s="941"/>
      <c r="F576" s="938"/>
      <c r="G576" s="976">
        <f t="shared" si="10"/>
        <v>573</v>
      </c>
      <c r="H576" s="1000"/>
      <c r="I576" s="1001" t="s">
        <v>1059</v>
      </c>
      <c r="J576" s="1031" t="s">
        <v>1617</v>
      </c>
      <c r="K576" s="1002">
        <f>IF(I!K576="","",$D$2*I!K576)</f>
        <v>0.34103611048600002</v>
      </c>
      <c r="L576" s="981"/>
      <c r="M576" s="982"/>
      <c r="N576" s="1003"/>
      <c r="O576" s="1004">
        <f>IF(I!O576="","",$D$2*I!O576)</f>
        <v>0.67</v>
      </c>
      <c r="P576" s="1005">
        <f>IF(I!P576="","",$D$2*I!P576)</f>
        <v>0.72655233348000003</v>
      </c>
      <c r="Q576" s="1006">
        <f>IF(I!Q576="","",$D$2*I!Q576)</f>
        <v>6.0413480000000004E-10</v>
      </c>
      <c r="R576" s="982"/>
      <c r="S576" s="1003"/>
      <c r="T576" s="938"/>
      <c r="U576" s="1008" t="s">
        <v>1059</v>
      </c>
      <c r="V576" s="1018" t="s">
        <v>6425</v>
      </c>
      <c r="W576" s="1019">
        <f>IF(I!W576="","",$D$2*I!W576)</f>
        <v>0.52523958059999998</v>
      </c>
      <c r="X576" s="990">
        <f>IF(I!X576="","",$D$2*I!X576)</f>
        <v>0.23714075415000002</v>
      </c>
      <c r="Y576" s="1010">
        <f>IF(I!Y576="","",$D$2*I!Y576)</f>
        <v>1.0179369206</v>
      </c>
      <c r="Z576" s="938"/>
      <c r="AA576" s="938"/>
      <c r="AB576" s="938"/>
      <c r="AC576" s="938"/>
      <c r="AD576" s="1058"/>
      <c r="AE576" s="938"/>
      <c r="AF576" s="938"/>
      <c r="AG576" s="938"/>
      <c r="AH576" s="938"/>
    </row>
    <row r="577" spans="1:34" ht="17.25" customHeight="1" x14ac:dyDescent="0.35">
      <c r="A577" s="938"/>
      <c r="B577" s="938"/>
      <c r="C577" s="941"/>
      <c r="D577" s="1047"/>
      <c r="E577" s="941"/>
      <c r="F577" s="938"/>
      <c r="G577" s="976">
        <f t="shared" si="10"/>
        <v>574</v>
      </c>
      <c r="H577" s="1069">
        <v>1</v>
      </c>
      <c r="I577" s="1001" t="s">
        <v>1059</v>
      </c>
      <c r="J577" s="1031" t="s">
        <v>1618</v>
      </c>
      <c r="K577" s="1002">
        <f>IF(I!K577="","",$D$2*I!K577)</f>
        <v>0.28068885276599997</v>
      </c>
      <c r="L577" s="981"/>
      <c r="M577" s="982"/>
      <c r="N577" s="1003"/>
      <c r="O577" s="1004">
        <f>IF(I!O577="","",$D$2*I!O577)</f>
        <v>0.6</v>
      </c>
      <c r="P577" s="1005">
        <f>IF(I!P577="","",$D$2*I!P577)</f>
        <v>0.71308615374999995</v>
      </c>
      <c r="Q577" s="1006">
        <f>IF(I!Q577="","",$D$2*I!Q577)</f>
        <v>6.0413480000000004E-10</v>
      </c>
      <c r="R577" s="982"/>
      <c r="S577" s="1003"/>
      <c r="T577" s="938"/>
      <c r="U577" s="1062" t="s">
        <v>1176</v>
      </c>
      <c r="V577" s="1018" t="s">
        <v>6426</v>
      </c>
      <c r="W577" s="1019">
        <f>IF(I!W577="","",$D$2*I!W577)</f>
        <v>0.1188958165</v>
      </c>
      <c r="X577" s="990">
        <f>IF(I!X577="","",$D$2*I!X577)</f>
        <v>3.62617228E-2</v>
      </c>
      <c r="Y577" s="1010">
        <f>IF(I!Y577="","",$D$2*I!Y577)</f>
        <v>0.16009792150000002</v>
      </c>
      <c r="Z577" s="938"/>
      <c r="AA577" s="938"/>
      <c r="AB577" s="938"/>
      <c r="AC577" s="938"/>
      <c r="AD577" s="1058"/>
      <c r="AE577" s="938"/>
      <c r="AF577" s="938"/>
      <c r="AG577" s="938"/>
      <c r="AH577" s="938"/>
    </row>
    <row r="578" spans="1:34" ht="17.25" customHeight="1" x14ac:dyDescent="0.35">
      <c r="A578" s="938"/>
      <c r="B578" s="938"/>
      <c r="C578" s="941"/>
      <c r="D578" s="1047"/>
      <c r="E578" s="941"/>
      <c r="F578" s="938"/>
      <c r="G578" s="976">
        <f t="shared" si="10"/>
        <v>575</v>
      </c>
      <c r="H578" s="1000"/>
      <c r="I578" s="1001" t="s">
        <v>1059</v>
      </c>
      <c r="J578" s="1031" t="s">
        <v>1619</v>
      </c>
      <c r="K578" s="1002">
        <f>IF(I!K578="","",$D$2*I!K578)</f>
        <v>6.33995262E-2</v>
      </c>
      <c r="L578" s="981"/>
      <c r="M578" s="982"/>
      <c r="N578" s="1003"/>
      <c r="O578" s="1004">
        <f>IF(I!O578="","",$D$2*I!O578)</f>
        <v>0.27</v>
      </c>
      <c r="P578" s="1005">
        <f>IF(I!P578="","",$D$2*I!P578)</f>
        <v>0.24493591276070001</v>
      </c>
      <c r="Q578" s="1006">
        <f>IF(I!Q578="","",$D$2*I!Q578)</f>
        <v>1.6350165999999999E-11</v>
      </c>
      <c r="R578" s="982"/>
      <c r="S578" s="1003"/>
      <c r="T578" s="938"/>
      <c r="U578" s="1062" t="s">
        <v>1176</v>
      </c>
      <c r="V578" s="1018" t="s">
        <v>6427</v>
      </c>
      <c r="W578" s="1019">
        <f>IF(I!W578="","",$D$2*I!W578)</f>
        <v>1.6752963057999999</v>
      </c>
      <c r="X578" s="990">
        <f>IF(I!X578="","",$D$2*I!X578)</f>
        <v>0.57879761399999996</v>
      </c>
      <c r="Y578" s="1010">
        <f>IF(I!Y578="","",$D$2*I!Y578)</f>
        <v>2.6528573457999998</v>
      </c>
      <c r="Z578" s="938"/>
      <c r="AA578" s="938"/>
      <c r="AB578" s="938"/>
      <c r="AC578" s="938"/>
      <c r="AD578" s="1058"/>
      <c r="AE578" s="938"/>
      <c r="AF578" s="938"/>
      <c r="AG578" s="938"/>
      <c r="AH578" s="938"/>
    </row>
    <row r="579" spans="1:34" ht="17.25" customHeight="1" x14ac:dyDescent="0.35">
      <c r="A579" s="938"/>
      <c r="B579" s="938"/>
      <c r="C579" s="941"/>
      <c r="D579" s="1047"/>
      <c r="E579" s="941"/>
      <c r="F579" s="938"/>
      <c r="G579" s="976">
        <f t="shared" si="10"/>
        <v>576</v>
      </c>
      <c r="H579" s="1000"/>
      <c r="I579" s="1001" t="s">
        <v>1059</v>
      </c>
      <c r="J579" s="1031" t="s">
        <v>1620</v>
      </c>
      <c r="K579" s="1002">
        <f>IF(I!K579="","",$D$2*I!K579)</f>
        <v>7.9318468899999994E-2</v>
      </c>
      <c r="L579" s="981"/>
      <c r="M579" s="982"/>
      <c r="N579" s="1003"/>
      <c r="O579" s="1004">
        <f>IF(I!O579="","",$D$2*I!O579)</f>
        <v>0.31</v>
      </c>
      <c r="P579" s="1005">
        <f>IF(I!P579="","",$D$2*I!P579)</f>
        <v>0.24792423456899998</v>
      </c>
      <c r="Q579" s="1006">
        <f>IF(I!Q579="","",$D$2*I!Q579)</f>
        <v>1.4987652E-11</v>
      </c>
      <c r="R579" s="982"/>
      <c r="S579" s="1003"/>
      <c r="T579" s="938"/>
      <c r="U579" s="1008" t="s">
        <v>1059</v>
      </c>
      <c r="V579" s="1018" t="s">
        <v>6428</v>
      </c>
      <c r="W579" s="1019">
        <f>IF(I!W579="","",$D$2*I!W579)</f>
        <v>0.14698974633</v>
      </c>
      <c r="X579" s="990">
        <f>IF(I!X579="","",$D$2*I!X579)</f>
        <v>5.4151664799999999E-2</v>
      </c>
      <c r="Y579" s="1010">
        <f>IF(I!Y579="","",$D$2*I!Y579)</f>
        <v>0.23060480233</v>
      </c>
      <c r="Z579" s="938"/>
      <c r="AA579" s="938"/>
      <c r="AB579" s="938"/>
      <c r="AC579" s="938"/>
      <c r="AD579" s="1058"/>
      <c r="AE579" s="938"/>
      <c r="AF579" s="938"/>
      <c r="AG579" s="938"/>
      <c r="AH579" s="938"/>
    </row>
    <row r="580" spans="1:34" ht="17.25" customHeight="1" x14ac:dyDescent="0.35">
      <c r="A580" s="938"/>
      <c r="B580" s="938"/>
      <c r="C580" s="941"/>
      <c r="D580" s="1047"/>
      <c r="E580" s="941"/>
      <c r="F580" s="938"/>
      <c r="G580" s="976">
        <f t="shared" si="10"/>
        <v>577</v>
      </c>
      <c r="H580" s="1000">
        <v>1</v>
      </c>
      <c r="I580" s="1001" t="s">
        <v>1059</v>
      </c>
      <c r="J580" s="1031" t="s">
        <v>1621</v>
      </c>
      <c r="K580" s="1002">
        <f>IF(I!K580="","",$D$2*I!K580)</f>
        <v>9.3125787852930908E-2</v>
      </c>
      <c r="L580" s="981"/>
      <c r="M580" s="982"/>
      <c r="N580" s="1003"/>
      <c r="O580" s="1004">
        <f>IF(I!O580="","",$D$2*I!O580)</f>
        <v>0.28000000000000003</v>
      </c>
      <c r="P580" s="1005">
        <f>IF(I!P580="","",$D$2*I!P580)</f>
        <v>0.42080000000000001</v>
      </c>
      <c r="Q580" s="1006">
        <f>IF(I!Q580="","",$D$2*I!Q580)</f>
        <v>0</v>
      </c>
      <c r="R580" s="982"/>
      <c r="S580" s="1003"/>
      <c r="T580" s="938"/>
      <c r="U580" s="1062" t="s">
        <v>1176</v>
      </c>
      <c r="V580" s="1018" t="s">
        <v>6429</v>
      </c>
      <c r="W580" s="1019">
        <f>IF(I!W580="","",$D$2*I!W580)</f>
        <v>0.14893525823000001</v>
      </c>
      <c r="X580" s="990">
        <f>IF(I!X580="","",$D$2*I!X580)</f>
        <v>4.5399409830000001E-2</v>
      </c>
      <c r="Y580" s="1010">
        <f>IF(I!Y580="","",$D$2*I!Y580)</f>
        <v>0.20472130223000001</v>
      </c>
      <c r="Z580" s="938"/>
      <c r="AA580" s="938"/>
      <c r="AB580" s="938"/>
      <c r="AC580" s="938"/>
      <c r="AD580" s="1058"/>
      <c r="AE580" s="938"/>
      <c r="AF580" s="938"/>
      <c r="AG580" s="938"/>
      <c r="AH580" s="938"/>
    </row>
    <row r="581" spans="1:34" ht="17.25" customHeight="1" x14ac:dyDescent="0.35">
      <c r="A581" s="938"/>
      <c r="B581" s="938"/>
      <c r="C581" s="941"/>
      <c r="D581" s="1047"/>
      <c r="E581" s="941"/>
      <c r="F581" s="938"/>
      <c r="G581" s="976">
        <f t="shared" si="10"/>
        <v>578</v>
      </c>
      <c r="H581" s="942" t="s">
        <v>1622</v>
      </c>
      <c r="I581" s="1060"/>
      <c r="J581" s="1031"/>
      <c r="K581" s="1002" t="str">
        <f>IF(I!K581="","",$D$2*I!K581)</f>
        <v/>
      </c>
      <c r="L581" s="981"/>
      <c r="M581" s="982"/>
      <c r="N581" s="1003"/>
      <c r="O581" s="1004" t="str">
        <f>IF(I!O581="","",$D$2*I!O581)</f>
        <v/>
      </c>
      <c r="P581" s="1005" t="str">
        <f>IF(I!P581="","",$D$2*I!P581)</f>
        <v/>
      </c>
      <c r="Q581" s="1006" t="str">
        <f>IF(I!Q581="","",$D$2*I!Q581)</f>
        <v/>
      </c>
      <c r="R581" s="982"/>
      <c r="S581" s="1003"/>
      <c r="T581" s="938"/>
      <c r="U581" s="1008"/>
      <c r="V581" s="1040"/>
      <c r="W581" s="1019" t="str">
        <f>IF(I!W581="","",$D$2*I!W581)</f>
        <v/>
      </c>
      <c r="X581" s="990" t="str">
        <f>IF(I!X581="","",$D$2*I!X581)</f>
        <v/>
      </c>
      <c r="Y581" s="1010" t="str">
        <f>IF(I!Y581="","",$D$2*I!Y581)</f>
        <v/>
      </c>
      <c r="Z581" s="938"/>
      <c r="AA581" s="938"/>
      <c r="AB581" s="938"/>
      <c r="AC581" s="938"/>
      <c r="AD581" s="1058"/>
      <c r="AE581" s="938"/>
      <c r="AF581" s="938"/>
      <c r="AG581" s="938"/>
      <c r="AH581" s="938"/>
    </row>
    <row r="582" spans="1:34" ht="17.25" customHeight="1" x14ac:dyDescent="0.35">
      <c r="A582" s="938"/>
      <c r="B582" s="938"/>
      <c r="C582" s="941"/>
      <c r="D582" s="1047"/>
      <c r="E582" s="941"/>
      <c r="F582" s="938"/>
      <c r="G582" s="976">
        <f t="shared" ref="G582:G645" si="11">G581+1</f>
        <v>579</v>
      </c>
      <c r="H582" s="1000"/>
      <c r="I582" s="1060" t="s">
        <v>1059</v>
      </c>
      <c r="J582" s="1031" t="s">
        <v>1623</v>
      </c>
      <c r="K582" s="1002">
        <f>IF(I!K582="","",$D$2*I!K582)</f>
        <v>3.3113105892599998E-2</v>
      </c>
      <c r="L582" s="981"/>
      <c r="M582" s="982"/>
      <c r="N582" s="1003"/>
      <c r="O582" s="1004">
        <f>IF(I!O582="","",$D$2*I!O582)</f>
        <v>0.3</v>
      </c>
      <c r="P582" s="1005">
        <f>IF(I!P582="","",$D$2*I!P582)</f>
        <v>0.73725758003300002</v>
      </c>
      <c r="Q582" s="1006">
        <f>IF(I!Q582="","",$D$2*I!Q582)</f>
        <v>5.1782983000000003E-10</v>
      </c>
      <c r="R582" s="982"/>
      <c r="S582" s="1003"/>
      <c r="T582" s="938"/>
      <c r="U582" s="1008"/>
      <c r="V582" s="1009" t="s">
        <v>6430</v>
      </c>
      <c r="W582" s="1019" t="str">
        <f>IF(I!W582="","",$D$2*I!W582)</f>
        <v/>
      </c>
      <c r="X582" s="990" t="str">
        <f>IF(I!X582="","",$D$2*I!X582)</f>
        <v/>
      </c>
      <c r="Y582" s="1010" t="str">
        <f>IF(I!Y582="","",$D$2*I!Y582)</f>
        <v/>
      </c>
      <c r="Z582" s="938"/>
      <c r="AA582" s="938"/>
      <c r="AB582" s="938"/>
      <c r="AC582" s="938"/>
      <c r="AD582" s="1058"/>
      <c r="AE582" s="938"/>
      <c r="AF582" s="938"/>
      <c r="AG582" s="938"/>
      <c r="AH582" s="938"/>
    </row>
    <row r="583" spans="1:34" ht="17.25" customHeight="1" x14ac:dyDescent="0.35">
      <c r="A583" s="938"/>
      <c r="B583" s="938"/>
      <c r="C583" s="941"/>
      <c r="D583" s="1047"/>
      <c r="E583" s="941"/>
      <c r="F583" s="938"/>
      <c r="G583" s="976">
        <f t="shared" si="11"/>
        <v>580</v>
      </c>
      <c r="H583" s="1000"/>
      <c r="I583" s="1060" t="s">
        <v>1059</v>
      </c>
      <c r="J583" s="1031" t="s">
        <v>1624</v>
      </c>
      <c r="K583" s="1002">
        <f>IF(I!K583="","",$D$2*I!K583)</f>
        <v>0.17428717469999999</v>
      </c>
      <c r="L583" s="981"/>
      <c r="M583" s="982"/>
      <c r="N583" s="1003"/>
      <c r="O583" s="1004">
        <f>IF(I!O583="","",$D$2*I!O583)</f>
        <v>0.65</v>
      </c>
      <c r="P583" s="1005">
        <f>IF(I!P583="","",$D$2*I!P583)</f>
        <v>0.70007436665209988</v>
      </c>
      <c r="Q583" s="1006">
        <f>IF(I!Q583="","",$D$2*I!Q583)</f>
        <v>2.3422273000000002E-3</v>
      </c>
      <c r="R583" s="982"/>
      <c r="S583" s="1003"/>
      <c r="T583" s="938"/>
      <c r="U583" s="1008" t="s">
        <v>1059</v>
      </c>
      <c r="V583" s="1018" t="s">
        <v>6431</v>
      </c>
      <c r="W583" s="1019">
        <f>IF(I!W583="","",$D$2*I!W583)</f>
        <v>4.2723873499999998</v>
      </c>
      <c r="X583" s="990">
        <f>IF(I!X583="","",$D$2*I!X583)</f>
        <v>1.7485588416</v>
      </c>
      <c r="Y583" s="1010">
        <f>IF(I!Y583="","",$D$2*I!Y583)</f>
        <v>6.1982732499999997</v>
      </c>
      <c r="Z583" s="938"/>
      <c r="AA583" s="938"/>
      <c r="AB583" s="938"/>
      <c r="AC583" s="938"/>
      <c r="AD583" s="1058"/>
      <c r="AE583" s="938"/>
      <c r="AF583" s="938"/>
      <c r="AG583" s="938"/>
      <c r="AH583" s="938"/>
    </row>
    <row r="584" spans="1:34" ht="17.25" customHeight="1" x14ac:dyDescent="0.35">
      <c r="A584" s="938"/>
      <c r="B584" s="938"/>
      <c r="C584" s="941"/>
      <c r="D584" s="1047"/>
      <c r="E584" s="941"/>
      <c r="F584" s="938"/>
      <c r="G584" s="976">
        <f t="shared" si="11"/>
        <v>581</v>
      </c>
      <c r="H584" s="1000"/>
      <c r="I584" s="1060" t="s">
        <v>1059</v>
      </c>
      <c r="J584" s="1031" t="s">
        <v>1625</v>
      </c>
      <c r="K584" s="1002">
        <f>IF(I!K584="","",$D$2*I!K584)</f>
        <v>5.5503949999999996E-2</v>
      </c>
      <c r="L584" s="981"/>
      <c r="M584" s="982"/>
      <c r="N584" s="1003"/>
      <c r="O584" s="1004">
        <f>IF(I!O584="","",$D$2*I!O584)</f>
        <v>0.31</v>
      </c>
      <c r="P584" s="1005">
        <f>IF(I!P584="","",$D$2*I!P584)</f>
        <v>0.69679999999999997</v>
      </c>
      <c r="Q584" s="1006">
        <f>IF(I!Q584="","",$D$2*I!Q584)</f>
        <v>0</v>
      </c>
      <c r="R584" s="982"/>
      <c r="S584" s="1003"/>
      <c r="T584" s="938"/>
      <c r="U584" s="1008" t="s">
        <v>1059</v>
      </c>
      <c r="V584" s="1018" t="s">
        <v>6432</v>
      </c>
      <c r="W584" s="1019">
        <f>IF(I!W584="","",$D$2*I!W584)</f>
        <v>3.4977144399999993</v>
      </c>
      <c r="X584" s="990">
        <f>IF(I!X584="","",$D$2*I!X584)</f>
        <v>1.7485588416</v>
      </c>
      <c r="Y584" s="1010">
        <f>IF(I!Y584="","",$D$2*I!Y584)</f>
        <v>5.4236003399999992</v>
      </c>
      <c r="Z584" s="938"/>
      <c r="AA584" s="938"/>
      <c r="AB584" s="938"/>
      <c r="AC584" s="938"/>
      <c r="AD584" s="1058"/>
      <c r="AE584" s="938"/>
      <c r="AF584" s="938"/>
      <c r="AG584" s="938"/>
      <c r="AH584" s="938"/>
    </row>
    <row r="585" spans="1:34" ht="17.25" customHeight="1" x14ac:dyDescent="0.35">
      <c r="A585" s="938"/>
      <c r="B585" s="938"/>
      <c r="C585" s="941"/>
      <c r="D585" s="1047"/>
      <c r="E585" s="941"/>
      <c r="F585" s="938"/>
      <c r="G585" s="976">
        <f t="shared" si="11"/>
        <v>582</v>
      </c>
      <c r="H585" s="1000"/>
      <c r="I585" s="1060" t="s">
        <v>1059</v>
      </c>
      <c r="J585" s="1031" t="s">
        <v>1626</v>
      </c>
      <c r="K585" s="1002">
        <f>IF(I!K585="","",$D$2*I!K585)</f>
        <v>0.37465414499999999</v>
      </c>
      <c r="L585" s="981"/>
      <c r="M585" s="982"/>
      <c r="N585" s="1003"/>
      <c r="O585" s="1004">
        <f>IF(I!O585="","",$D$2*I!O585)</f>
        <v>1.41</v>
      </c>
      <c r="P585" s="1005">
        <f>IF(I!P585="","",$D$2*I!P585)</f>
        <v>0.36320000000000002</v>
      </c>
      <c r="Q585" s="1006">
        <f>IF(I!Q585="","",$D$2*I!Q585)</f>
        <v>0</v>
      </c>
      <c r="R585" s="982"/>
      <c r="S585" s="1003"/>
      <c r="T585" s="938"/>
      <c r="U585" s="1008" t="s">
        <v>1059</v>
      </c>
      <c r="V585" s="1018" t="s">
        <v>6433</v>
      </c>
      <c r="W585" s="1019">
        <f>IF(I!W585="","",$D$2*I!W585)</f>
        <v>2.0956021688000002</v>
      </c>
      <c r="X585" s="990">
        <f>IF(I!X585="","",$D$2*I!X585)</f>
        <v>0.42870715970000001</v>
      </c>
      <c r="Y585" s="1010">
        <f>IF(I!Y585="","",$D$2*I!Y585)</f>
        <v>3.1853689688000002</v>
      </c>
      <c r="Z585" s="938"/>
      <c r="AA585" s="938"/>
      <c r="AB585" s="938"/>
      <c r="AC585" s="938"/>
      <c r="AD585" s="1058"/>
      <c r="AE585" s="938"/>
      <c r="AF585" s="938"/>
      <c r="AG585" s="938"/>
      <c r="AH585" s="938"/>
    </row>
    <row r="586" spans="1:34" ht="17.25" customHeight="1" x14ac:dyDescent="0.35">
      <c r="A586" s="938"/>
      <c r="B586" s="938"/>
      <c r="C586" s="941"/>
      <c r="D586" s="1047"/>
      <c r="E586" s="941"/>
      <c r="F586" s="938"/>
      <c r="G586" s="976">
        <f t="shared" si="11"/>
        <v>583</v>
      </c>
      <c r="H586" s="1000"/>
      <c r="I586" s="1060" t="s">
        <v>1059</v>
      </c>
      <c r="J586" s="1031" t="s">
        <v>1627</v>
      </c>
      <c r="K586" s="1002">
        <f>IF(I!K586="","",$D$2*I!K586)</f>
        <v>1.5011469886</v>
      </c>
      <c r="L586" s="981"/>
      <c r="M586" s="982"/>
      <c r="N586" s="1003"/>
      <c r="O586" s="1004">
        <f>IF(I!O586="","",$D$2*I!O586)</f>
        <v>9.1</v>
      </c>
      <c r="P586" s="1005">
        <f>IF(I!P586="","",$D$2*I!P586)</f>
        <v>0.6337320859940001</v>
      </c>
      <c r="Q586" s="1006">
        <f>IF(I!Q586="","",$D$2*I!Q586)</f>
        <v>3.0823883E-9</v>
      </c>
      <c r="R586" s="982"/>
      <c r="S586" s="1003"/>
      <c r="T586" s="938"/>
      <c r="U586" s="1008" t="s">
        <v>1059</v>
      </c>
      <c r="V586" s="1018" t="s">
        <v>6434</v>
      </c>
      <c r="W586" s="1019">
        <f>IF(I!W586="","",$D$2*I!W586)</f>
        <v>3.2211583500000001</v>
      </c>
      <c r="X586" s="990">
        <f>IF(I!X586="","",$D$2*I!X586)</f>
        <v>0.65566976860000004</v>
      </c>
      <c r="Y586" s="1010">
        <f>IF(I!Y586="","",$D$2*I!Y586)</f>
        <v>4.8878605500000001</v>
      </c>
      <c r="Z586" s="938"/>
      <c r="AA586" s="938"/>
      <c r="AB586" s="938"/>
      <c r="AC586" s="938"/>
      <c r="AD586" s="1058"/>
      <c r="AE586" s="938"/>
      <c r="AF586" s="938"/>
      <c r="AG586" s="938"/>
      <c r="AH586" s="938"/>
    </row>
    <row r="587" spans="1:34" ht="17.25" customHeight="1" x14ac:dyDescent="0.35">
      <c r="A587" s="938"/>
      <c r="B587" s="938"/>
      <c r="C587" s="941"/>
      <c r="D587" s="1047"/>
      <c r="E587" s="941"/>
      <c r="F587" s="938"/>
      <c r="G587" s="976">
        <f t="shared" si="11"/>
        <v>584</v>
      </c>
      <c r="H587" s="1000"/>
      <c r="I587" s="1001" t="s">
        <v>1059</v>
      </c>
      <c r="J587" s="1031" t="s">
        <v>1628</v>
      </c>
      <c r="K587" s="1002">
        <f>IF(I!K587="","",$D$2*I!K587)</f>
        <v>8.376168078E-2</v>
      </c>
      <c r="L587" s="981"/>
      <c r="M587" s="982"/>
      <c r="N587" s="1003"/>
      <c r="O587" s="1004">
        <f>IF(I!O587="","",$D$2*I!O587)</f>
        <v>0.24</v>
      </c>
      <c r="P587" s="1005">
        <f>IF(I!P587="","",$D$2*I!P587)</f>
        <v>0.37438977000000001</v>
      </c>
      <c r="Q587" s="1006">
        <f>IF(I!Q587="","",$D$2*I!Q587)</f>
        <v>0</v>
      </c>
      <c r="R587" s="982"/>
      <c r="S587" s="1003"/>
      <c r="T587" s="938"/>
      <c r="U587" s="1008" t="s">
        <v>1059</v>
      </c>
      <c r="V587" s="1018" t="s">
        <v>6435</v>
      </c>
      <c r="W587" s="1019">
        <f>IF(I!W587="","",$D$2*I!W587)</f>
        <v>2.0880556188000003</v>
      </c>
      <c r="X587" s="990">
        <f>IF(I!X587="","",$D$2*I!X587)</f>
        <v>0.42716332829999998</v>
      </c>
      <c r="Y587" s="1010">
        <f>IF(I!Y587="","",$D$2*I!Y587)</f>
        <v>3.1738980188000001</v>
      </c>
      <c r="Z587" s="938"/>
      <c r="AA587" s="938"/>
      <c r="AB587" s="938"/>
      <c r="AC587" s="938"/>
      <c r="AD587" s="1058"/>
      <c r="AE587" s="938"/>
      <c r="AF587" s="938"/>
      <c r="AG587" s="938"/>
      <c r="AH587" s="938"/>
    </row>
    <row r="588" spans="1:34" ht="17.25" customHeight="1" x14ac:dyDescent="0.35">
      <c r="A588" s="938"/>
      <c r="B588" s="938"/>
      <c r="C588" s="941"/>
      <c r="D588" s="1047"/>
      <c r="E588" s="941"/>
      <c r="F588" s="938"/>
      <c r="G588" s="976">
        <f t="shared" si="11"/>
        <v>585</v>
      </c>
      <c r="H588" s="1000"/>
      <c r="I588" s="1001" t="s">
        <v>1059</v>
      </c>
      <c r="J588" s="1031" t="s">
        <v>1629</v>
      </c>
      <c r="K588" s="1002">
        <f>IF(I!K588="","",$D$2*I!K588)</f>
        <v>4.4212120000000001E-2</v>
      </c>
      <c r="L588" s="981"/>
      <c r="M588" s="982"/>
      <c r="N588" s="1003"/>
      <c r="O588" s="1004">
        <f>IF(I!O588="","",$D$2*I!O588)</f>
        <v>0.32</v>
      </c>
      <c r="P588" s="1005">
        <f>IF(I!P588="","",$D$2*I!P588)</f>
        <v>0.67200000000000004</v>
      </c>
      <c r="Q588" s="1006">
        <f>IF(I!Q588="","",$D$2*I!Q588)</f>
        <v>0</v>
      </c>
      <c r="R588" s="982"/>
      <c r="S588" s="1003"/>
      <c r="T588" s="938"/>
      <c r="U588" s="1008" t="s">
        <v>1059</v>
      </c>
      <c r="V588" s="1018" t="s">
        <v>6436</v>
      </c>
      <c r="W588" s="1019">
        <f>IF(I!W588="","",$D$2*I!W588)</f>
        <v>0.88360318810000005</v>
      </c>
      <c r="X588" s="990">
        <f>IF(I!X588="","",$D$2*I!X588)</f>
        <v>0.17985824651000001</v>
      </c>
      <c r="Y588" s="1010">
        <f>IF(I!Y588="","",$D$2*I!Y588)</f>
        <v>1.3407999981000001</v>
      </c>
      <c r="Z588" s="938"/>
      <c r="AA588" s="938"/>
      <c r="AB588" s="938"/>
      <c r="AC588" s="938"/>
      <c r="AD588" s="1058"/>
      <c r="AE588" s="938"/>
      <c r="AF588" s="938"/>
      <c r="AG588" s="938"/>
      <c r="AH588" s="938"/>
    </row>
    <row r="589" spans="1:34" ht="17.25" customHeight="1" x14ac:dyDescent="0.35">
      <c r="A589" s="938"/>
      <c r="B589" s="938"/>
      <c r="C589" s="941"/>
      <c r="D589" s="1047"/>
      <c r="E589" s="941"/>
      <c r="F589" s="938"/>
      <c r="G589" s="976">
        <f t="shared" si="11"/>
        <v>586</v>
      </c>
      <c r="H589" s="1000"/>
      <c r="I589" s="1001" t="s">
        <v>1059</v>
      </c>
      <c r="J589" s="1031" t="s">
        <v>1630</v>
      </c>
      <c r="K589" s="1002">
        <f>IF(I!K589="","",$D$2*I!K589)</f>
        <v>0.24909905609999999</v>
      </c>
      <c r="L589" s="981"/>
      <c r="M589" s="982"/>
      <c r="N589" s="1003"/>
      <c r="O589" s="1004">
        <f>IF(I!O589="","",$D$2*I!O589)</f>
        <v>0.66</v>
      </c>
      <c r="P589" s="1005">
        <f>IF(I!P589="","",$D$2*I!P589)</f>
        <v>0.59526614724000004</v>
      </c>
      <c r="Q589" s="1006">
        <f>IF(I!Q589="","",$D$2*I!Q589)</f>
        <v>0</v>
      </c>
      <c r="R589" s="982"/>
      <c r="S589" s="1003"/>
      <c r="T589" s="938"/>
      <c r="U589" s="1008" t="s">
        <v>1059</v>
      </c>
      <c r="V589" s="1018" t="s">
        <v>6437</v>
      </c>
      <c r="W589" s="1019">
        <f>IF(I!W589="","",$D$2*I!W589)</f>
        <v>0.31679461490000005</v>
      </c>
      <c r="X589" s="990">
        <f>IF(I!X589="","",$D$2*I!X589)</f>
        <v>6.4808160700000006E-2</v>
      </c>
      <c r="Y589" s="1010">
        <f>IF(I!Y589="","",$D$2*I!Y589)</f>
        <v>0.48153593490000002</v>
      </c>
      <c r="Z589" s="938"/>
      <c r="AA589" s="938"/>
      <c r="AB589" s="938"/>
      <c r="AC589" s="938"/>
      <c r="AD589" s="1058"/>
      <c r="AE589" s="938"/>
      <c r="AF589" s="938"/>
      <c r="AG589" s="938"/>
      <c r="AH589" s="938"/>
    </row>
    <row r="590" spans="1:34" ht="17.25" customHeight="1" x14ac:dyDescent="0.35">
      <c r="A590" s="938"/>
      <c r="B590" s="938"/>
      <c r="C590" s="941"/>
      <c r="D590" s="1047"/>
      <c r="E590" s="941"/>
      <c r="F590" s="938"/>
      <c r="G590" s="976">
        <f t="shared" si="11"/>
        <v>587</v>
      </c>
      <c r="H590" s="1000"/>
      <c r="I590" s="1001" t="s">
        <v>1059</v>
      </c>
      <c r="J590" s="1031" t="s">
        <v>1631</v>
      </c>
      <c r="K590" s="1002">
        <f>IF(I!K590="","",$D$2*I!K590)</f>
        <v>3.6716763649999997</v>
      </c>
      <c r="L590" s="981"/>
      <c r="M590" s="982"/>
      <c r="N590" s="1003"/>
      <c r="O590" s="1004">
        <f>IF(I!O590="","",$D$2*I!O590)</f>
        <v>100.07</v>
      </c>
      <c r="P590" s="1005">
        <f>IF(I!P590="","",$D$2*I!P590)</f>
        <v>0.1968</v>
      </c>
      <c r="Q590" s="1006">
        <f>IF(I!Q590="","",$D$2*I!Q590)</f>
        <v>0</v>
      </c>
      <c r="R590" s="982"/>
      <c r="S590" s="1003"/>
      <c r="T590" s="938"/>
      <c r="U590" s="1008" t="s">
        <v>1059</v>
      </c>
      <c r="V590" s="1018" t="s">
        <v>6438</v>
      </c>
      <c r="W590" s="1019">
        <f>IF(I!W590="","",$D$2*I!W590)</f>
        <v>0.34154006339999998</v>
      </c>
      <c r="X590" s="990">
        <f>IF(I!X590="","",$D$2*I!X590)</f>
        <v>6.9520795660000009E-2</v>
      </c>
      <c r="Y590" s="1010">
        <f>IF(I!Y590="","",$D$2*I!Y590)</f>
        <v>0.51826082340000001</v>
      </c>
      <c r="Z590" s="938"/>
      <c r="AA590" s="938"/>
      <c r="AB590" s="938"/>
      <c r="AC590" s="938"/>
      <c r="AD590" s="1058"/>
      <c r="AE590" s="938"/>
      <c r="AF590" s="938"/>
      <c r="AG590" s="938"/>
      <c r="AH590" s="938"/>
    </row>
    <row r="591" spans="1:34" ht="17.25" customHeight="1" x14ac:dyDescent="0.35">
      <c r="A591" s="938"/>
      <c r="B591" s="938"/>
      <c r="C591" s="941"/>
      <c r="D591" s="1047"/>
      <c r="E591" s="941"/>
      <c r="F591" s="938"/>
      <c r="G591" s="976">
        <f t="shared" si="11"/>
        <v>588</v>
      </c>
      <c r="H591" s="1000"/>
      <c r="I591" s="1001" t="s">
        <v>1059</v>
      </c>
      <c r="J591" s="1031" t="s">
        <v>1632</v>
      </c>
      <c r="K591" s="1002">
        <f>IF(I!K591="","",$D$2*I!K591)</f>
        <v>0.28416555560000001</v>
      </c>
      <c r="L591" s="981"/>
      <c r="M591" s="982"/>
      <c r="N591" s="1003"/>
      <c r="O591" s="1004">
        <f>IF(I!O591="","",$D$2*I!O591)</f>
        <v>0.39</v>
      </c>
      <c r="P591" s="1005">
        <f>IF(I!P591="","",$D$2*I!P591)</f>
        <v>4.1055064402000005E-2</v>
      </c>
      <c r="Q591" s="1006">
        <f>IF(I!Q591="","",$D$2*I!Q591)</f>
        <v>1.4398021E-3</v>
      </c>
      <c r="R591" s="982"/>
      <c r="S591" s="1003"/>
      <c r="T591" s="938"/>
      <c r="U591" s="1008"/>
      <c r="V591" s="1040"/>
      <c r="W591" s="1019" t="str">
        <f>IF(I!W591="","",$D$2*I!W591)</f>
        <v/>
      </c>
      <c r="X591" s="990" t="str">
        <f>IF(I!X591="","",$D$2*I!X591)</f>
        <v/>
      </c>
      <c r="Y591" s="1010" t="str">
        <f>IF(I!Y591="","",$D$2*I!Y591)</f>
        <v/>
      </c>
      <c r="Z591" s="938"/>
      <c r="AA591" s="938"/>
      <c r="AB591" s="938"/>
      <c r="AC591" s="938"/>
      <c r="AD591" s="1058"/>
      <c r="AE591" s="938"/>
      <c r="AF591" s="938"/>
      <c r="AG591" s="938"/>
      <c r="AH591" s="938"/>
    </row>
    <row r="592" spans="1:34" ht="17.25" customHeight="1" x14ac:dyDescent="0.35">
      <c r="A592" s="938"/>
      <c r="B592" s="938"/>
      <c r="C592" s="941"/>
      <c r="D592" s="1047"/>
      <c r="E592" s="941"/>
      <c r="F592" s="938"/>
      <c r="G592" s="976">
        <f t="shared" si="11"/>
        <v>589</v>
      </c>
      <c r="H592" s="1000"/>
      <c r="I592" s="1001" t="s">
        <v>1059</v>
      </c>
      <c r="J592" s="1031" t="s">
        <v>1633</v>
      </c>
      <c r="K592" s="1002">
        <f>IF(I!K592="","",$D$2*I!K592)</f>
        <v>5.9533648790000004E-2</v>
      </c>
      <c r="L592" s="981"/>
      <c r="M592" s="982"/>
      <c r="N592" s="1003"/>
      <c r="O592" s="1004">
        <f>IF(I!O592="","",$D$2*I!O592)</f>
        <v>0.18</v>
      </c>
      <c r="P592" s="1005">
        <f>IF(I!P592="","",$D$2*I!P592)</f>
        <v>0.10337100755399999</v>
      </c>
      <c r="Q592" s="1006">
        <f>IF(I!Q592="","",$D$2*I!Q592)</f>
        <v>0</v>
      </c>
      <c r="R592" s="982"/>
      <c r="S592" s="1003"/>
      <c r="T592" s="938"/>
      <c r="U592" s="1008"/>
      <c r="V592" s="1009" t="s">
        <v>6439</v>
      </c>
      <c r="W592" s="1019" t="str">
        <f>IF(I!W592="","",$D$2*I!W592)</f>
        <v/>
      </c>
      <c r="X592" s="990" t="str">
        <f>IF(I!X592="","",$D$2*I!X592)</f>
        <v/>
      </c>
      <c r="Y592" s="1010" t="str">
        <f>IF(I!Y592="","",$D$2*I!Y592)</f>
        <v/>
      </c>
      <c r="Z592" s="938"/>
      <c r="AA592" s="938"/>
      <c r="AB592" s="938"/>
      <c r="AC592" s="938"/>
      <c r="AD592" s="1058"/>
      <c r="AE592" s="938"/>
      <c r="AF592" s="938"/>
      <c r="AG592" s="938"/>
      <c r="AH592" s="938"/>
    </row>
    <row r="593" spans="1:34" ht="17.25" customHeight="1" x14ac:dyDescent="0.35">
      <c r="A593" s="938"/>
      <c r="B593" s="938"/>
      <c r="C593" s="941"/>
      <c r="D593" s="1047"/>
      <c r="E593" s="941"/>
      <c r="F593" s="938"/>
      <c r="G593" s="976">
        <f t="shared" si="11"/>
        <v>590</v>
      </c>
      <c r="H593" s="1000"/>
      <c r="I593" s="1001" t="s">
        <v>1059</v>
      </c>
      <c r="J593" s="1031" t="s">
        <v>1634</v>
      </c>
      <c r="K593" s="1002">
        <f>IF(I!K593="","",$D$2*I!K593)</f>
        <v>6.6738390000000009E-2</v>
      </c>
      <c r="L593" s="981"/>
      <c r="M593" s="982"/>
      <c r="N593" s="1003"/>
      <c r="O593" s="1004">
        <f>IF(I!O593="","",$D$2*I!O593)</f>
        <v>0.36</v>
      </c>
      <c r="P593" s="1005">
        <f>IF(I!P593="","",$D$2*I!P593)</f>
        <v>0.72240000000000004</v>
      </c>
      <c r="Q593" s="1006">
        <f>IF(I!Q593="","",$D$2*I!Q593)</f>
        <v>0</v>
      </c>
      <c r="R593" s="982"/>
      <c r="S593" s="1003"/>
      <c r="T593" s="938"/>
      <c r="U593" s="1008">
        <v>1</v>
      </c>
      <c r="V593" s="1018" t="s">
        <v>6440</v>
      </c>
      <c r="W593" s="1019">
        <f>IF(I!W593="","",$D$2*I!W593)</f>
        <v>14.152381635000001</v>
      </c>
      <c r="X593" s="990">
        <f>IF(I!X593="","",$D$2*I!X593)</f>
        <v>6.010878505</v>
      </c>
      <c r="Y593" s="1010">
        <f>IF(I!Y593="","",$D$2*I!Y593)</f>
        <v>25.612940635000001</v>
      </c>
      <c r="Z593" s="938"/>
      <c r="AA593" s="938"/>
      <c r="AB593" s="938"/>
      <c r="AC593" s="938"/>
      <c r="AD593" s="1058"/>
      <c r="AE593" s="938"/>
      <c r="AF593" s="938"/>
      <c r="AG593" s="938"/>
      <c r="AH593" s="938"/>
    </row>
    <row r="594" spans="1:34" ht="17.25" customHeight="1" x14ac:dyDescent="0.35">
      <c r="A594" s="938"/>
      <c r="B594" s="938"/>
      <c r="C594" s="941"/>
      <c r="D594" s="1047"/>
      <c r="E594" s="941"/>
      <c r="F594" s="938"/>
      <c r="G594" s="976">
        <f t="shared" si="11"/>
        <v>591</v>
      </c>
      <c r="H594" s="1000"/>
      <c r="I594" s="1001" t="s">
        <v>1059</v>
      </c>
      <c r="J594" s="1031" t="s">
        <v>1635</v>
      </c>
      <c r="K594" s="1002">
        <f>IF(I!K594="","",$D$2*I!K594)</f>
        <v>0.75586882399999999</v>
      </c>
      <c r="L594" s="981"/>
      <c r="M594" s="982"/>
      <c r="N594" s="1003"/>
      <c r="O594" s="1004">
        <f>IF(I!O594="","",$D$2*I!O594)</f>
        <v>1.56</v>
      </c>
      <c r="P594" s="1005">
        <f>IF(I!P594="","",$D$2*I!P594)</f>
        <v>0.72733415470999996</v>
      </c>
      <c r="Q594" s="1006">
        <f>IF(I!Q594="","",$D$2*I!Q594)</f>
        <v>3.2686066E-2</v>
      </c>
      <c r="R594" s="982"/>
      <c r="S594" s="1003"/>
      <c r="T594" s="938"/>
      <c r="U594" s="1008" t="s">
        <v>1059</v>
      </c>
      <c r="V594" s="1018" t="s">
        <v>6441</v>
      </c>
      <c r="W594" s="1019">
        <f>IF(I!W594="","",$D$2*I!W594)</f>
        <v>0.53455129300000004</v>
      </c>
      <c r="X594" s="990">
        <f>IF(I!X594="","",$D$2*I!X594)</f>
        <v>0.20170595927000001</v>
      </c>
      <c r="Y594" s="1010">
        <f>IF(I!Y594="","",$D$2*I!Y594)</f>
        <v>0.91167055299999999</v>
      </c>
      <c r="Z594" s="938"/>
      <c r="AA594" s="938"/>
      <c r="AB594" s="938"/>
      <c r="AC594" s="938"/>
      <c r="AD594" s="1058"/>
      <c r="AE594" s="938"/>
      <c r="AF594" s="938"/>
      <c r="AG594" s="938"/>
      <c r="AH594" s="938"/>
    </row>
    <row r="595" spans="1:34" ht="17.25" customHeight="1" x14ac:dyDescent="0.35">
      <c r="A595" s="938"/>
      <c r="B595" s="938"/>
      <c r="C595" s="941"/>
      <c r="D595" s="1047"/>
      <c r="E595" s="941"/>
      <c r="F595" s="938"/>
      <c r="G595" s="976">
        <f t="shared" si="11"/>
        <v>592</v>
      </c>
      <c r="H595" s="1000"/>
      <c r="I595" s="1001" t="s">
        <v>1059</v>
      </c>
      <c r="J595" s="1031" t="s">
        <v>1636</v>
      </c>
      <c r="K595" s="1002">
        <f>IF(I!K595="","",$D$2*I!K595)</f>
        <v>0.33452050799999999</v>
      </c>
      <c r="L595" s="981"/>
      <c r="M595" s="982"/>
      <c r="N595" s="1003"/>
      <c r="O595" s="1004">
        <f>IF(I!O595="","",$D$2*I!O595)</f>
        <v>0.71</v>
      </c>
      <c r="P595" s="1005">
        <f>IF(I!P595="","",$D$2*I!P595)</f>
        <v>0.54548247200000011</v>
      </c>
      <c r="Q595" s="1006">
        <f>IF(I!Q595="","",$D$2*I!Q595)</f>
        <v>0</v>
      </c>
      <c r="R595" s="982"/>
      <c r="S595" s="1003"/>
      <c r="T595" s="938"/>
      <c r="U595" s="1008" t="s">
        <v>1059</v>
      </c>
      <c r="V595" s="1018" t="s">
        <v>6442</v>
      </c>
      <c r="W595" s="1019">
        <f>IF(I!W595="","",$D$2*I!W595)</f>
        <v>0.59655615110000004</v>
      </c>
      <c r="X595" s="990">
        <f>IF(I!X595="","",$D$2*I!X595)</f>
        <v>0.25255920317000002</v>
      </c>
      <c r="Y595" s="1010">
        <f>IF(I!Y595="","",$D$2*I!Y595)</f>
        <v>1.0188821911000001</v>
      </c>
      <c r="Z595" s="938"/>
      <c r="AA595" s="938"/>
      <c r="AB595" s="938"/>
      <c r="AC595" s="938"/>
      <c r="AD595" s="1058"/>
      <c r="AE595" s="938"/>
      <c r="AF595" s="938"/>
      <c r="AG595" s="938"/>
      <c r="AH595" s="938"/>
    </row>
    <row r="596" spans="1:34" ht="17.25" customHeight="1" x14ac:dyDescent="0.35">
      <c r="A596" s="938"/>
      <c r="B596" s="938"/>
      <c r="C596" s="941"/>
      <c r="D596" s="1047"/>
      <c r="E596" s="941"/>
      <c r="F596" s="938"/>
      <c r="G596" s="976">
        <f t="shared" si="11"/>
        <v>593</v>
      </c>
      <c r="H596" s="1000"/>
      <c r="I596" s="1001" t="s">
        <v>1059</v>
      </c>
      <c r="J596" s="1031" t="s">
        <v>1637</v>
      </c>
      <c r="K596" s="1002">
        <f>IF(I!K596="","",$D$2*I!K596)</f>
        <v>4.0263519999999997E-2</v>
      </c>
      <c r="L596" s="981"/>
      <c r="M596" s="982"/>
      <c r="N596" s="1003"/>
      <c r="O596" s="1004">
        <f>IF(I!O596="","",$D$2*I!O596)</f>
        <v>0.35</v>
      </c>
      <c r="P596" s="1005">
        <f>IF(I!P596="","",$D$2*I!P596)</f>
        <v>0.56320000000000003</v>
      </c>
      <c r="Q596" s="1006">
        <f>IF(I!Q596="","",$D$2*I!Q596)</f>
        <v>0</v>
      </c>
      <c r="R596" s="982"/>
      <c r="S596" s="1003"/>
      <c r="T596" s="938"/>
      <c r="U596" s="1008" t="s">
        <v>1059</v>
      </c>
      <c r="V596" s="1018" t="s">
        <v>6443</v>
      </c>
      <c r="W596" s="1019">
        <f>IF(I!W596="","",$D$2*I!W596)</f>
        <v>0.32924505199999998</v>
      </c>
      <c r="X596" s="990">
        <f>IF(I!X596="","",$D$2*I!X596)</f>
        <v>0.13983879153000001</v>
      </c>
      <c r="Y596" s="1010">
        <f>IF(I!Y596="","",$D$2*I!Y596)</f>
        <v>0.59586676199999999</v>
      </c>
      <c r="Z596" s="938"/>
      <c r="AA596" s="938"/>
      <c r="AB596" s="938"/>
      <c r="AC596" s="938"/>
      <c r="AD596" s="1058"/>
      <c r="AE596" s="938"/>
      <c r="AF596" s="938"/>
      <c r="AG596" s="938"/>
      <c r="AH596" s="938"/>
    </row>
    <row r="597" spans="1:34" ht="17.25" customHeight="1" x14ac:dyDescent="0.35">
      <c r="A597" s="938"/>
      <c r="B597" s="938"/>
      <c r="C597" s="941"/>
      <c r="D597" s="1047"/>
      <c r="E597" s="941"/>
      <c r="F597" s="938"/>
      <c r="G597" s="976">
        <f t="shared" si="11"/>
        <v>594</v>
      </c>
      <c r="H597" s="1000"/>
      <c r="I597" s="1060"/>
      <c r="J597" s="1031"/>
      <c r="K597" s="1002" t="str">
        <f>IF(I!K597="","",$D$2*I!K597)</f>
        <v/>
      </c>
      <c r="L597" s="981"/>
      <c r="M597" s="982"/>
      <c r="N597" s="1003"/>
      <c r="O597" s="1004" t="str">
        <f>IF(I!O597="","",$D$2*I!O597)</f>
        <v/>
      </c>
      <c r="P597" s="1005" t="str">
        <f>IF(I!P597="","",$D$2*I!P597)</f>
        <v/>
      </c>
      <c r="Q597" s="1006" t="str">
        <f>IF(I!Q597="","",$D$2*I!Q597)</f>
        <v/>
      </c>
      <c r="R597" s="982"/>
      <c r="S597" s="1003"/>
      <c r="T597" s="938"/>
      <c r="U597" s="1008" t="s">
        <v>1059</v>
      </c>
      <c r="V597" s="1018" t="s">
        <v>6444</v>
      </c>
      <c r="W597" s="1019">
        <f>IF(I!W597="","",$D$2*I!W597)</f>
        <v>0.33586664469999999</v>
      </c>
      <c r="X597" s="990">
        <f>IF(I!X597="","",$D$2*I!X597)</f>
        <v>0.12673490073999999</v>
      </c>
      <c r="Y597" s="1010">
        <f>IF(I!Y597="","",$D$2*I!Y597)</f>
        <v>0.57281636469999997</v>
      </c>
      <c r="Z597" s="938"/>
      <c r="AA597" s="938"/>
      <c r="AB597" s="938"/>
      <c r="AC597" s="938"/>
      <c r="AD597" s="1058"/>
      <c r="AE597" s="938"/>
      <c r="AF597" s="938"/>
      <c r="AG597" s="938"/>
      <c r="AH597" s="938"/>
    </row>
    <row r="598" spans="1:34" ht="17.25" customHeight="1" x14ac:dyDescent="0.35">
      <c r="A598" s="938"/>
      <c r="B598" s="938"/>
      <c r="C598" s="941"/>
      <c r="D598" s="1047"/>
      <c r="E598" s="941"/>
      <c r="F598" s="938"/>
      <c r="G598" s="976">
        <f t="shared" si="11"/>
        <v>595</v>
      </c>
      <c r="H598" s="942" t="s">
        <v>1638</v>
      </c>
      <c r="I598" s="1060"/>
      <c r="J598" s="1027"/>
      <c r="K598" s="1002" t="str">
        <f>IF(I!K598="","",$D$2*I!K598)</f>
        <v/>
      </c>
      <c r="L598" s="981"/>
      <c r="M598" s="982"/>
      <c r="N598" s="1003"/>
      <c r="O598" s="1004" t="str">
        <f>IF(I!O598="","",$D$2*I!O598)</f>
        <v/>
      </c>
      <c r="P598" s="1005" t="str">
        <f>IF(I!P598="","",$D$2*I!P598)</f>
        <v/>
      </c>
      <c r="Q598" s="1006" t="str">
        <f>IF(I!Q598="","",$D$2*I!Q598)</f>
        <v/>
      </c>
      <c r="R598" s="982"/>
      <c r="S598" s="1003"/>
      <c r="T598" s="938"/>
      <c r="U598" s="1008"/>
      <c r="V598" s="1040"/>
      <c r="W598" s="1019" t="str">
        <f>IF(I!W598="","",$D$2*I!W598)</f>
        <v/>
      </c>
      <c r="X598" s="990" t="str">
        <f>IF(I!X598="","",$D$2*I!X598)</f>
        <v/>
      </c>
      <c r="Y598" s="1010" t="str">
        <f>IF(I!Y598="","",$D$2*I!Y598)</f>
        <v/>
      </c>
      <c r="Z598" s="938"/>
      <c r="AA598" s="938"/>
      <c r="AB598" s="938"/>
      <c r="AC598" s="938"/>
      <c r="AD598" s="1058"/>
      <c r="AE598" s="938"/>
      <c r="AF598" s="938"/>
      <c r="AG598" s="938"/>
      <c r="AH598" s="938"/>
    </row>
    <row r="599" spans="1:34" ht="17.25" customHeight="1" x14ac:dyDescent="0.35">
      <c r="A599" s="938"/>
      <c r="B599" s="938"/>
      <c r="C599" s="941"/>
      <c r="D599" s="1047"/>
      <c r="E599" s="941"/>
      <c r="F599" s="938"/>
      <c r="G599" s="976">
        <f t="shared" si="11"/>
        <v>596</v>
      </c>
      <c r="H599" s="1000"/>
      <c r="I599" s="1001" t="s">
        <v>1059</v>
      </c>
      <c r="J599" s="1031" t="s">
        <v>1639</v>
      </c>
      <c r="K599" s="1002">
        <f>IF(I!K599="","",$D$2*I!K599)</f>
        <v>0.14026837879999998</v>
      </c>
      <c r="L599" s="981"/>
      <c r="M599" s="982"/>
      <c r="N599" s="1003"/>
      <c r="O599" s="1004">
        <f>IF(I!O599="","",$D$2*I!O599)</f>
        <v>0.41</v>
      </c>
      <c r="P599" s="1005">
        <f>IF(I!P599="","",$D$2*I!P599)</f>
        <v>0.64324501000000001</v>
      </c>
      <c r="Q599" s="1006">
        <f>IF(I!Q599="","",$D$2*I!Q599)</f>
        <v>0</v>
      </c>
      <c r="R599" s="982"/>
      <c r="S599" s="1003"/>
      <c r="T599" s="938"/>
      <c r="U599" s="1008"/>
      <c r="V599" s="1009" t="s">
        <v>6445</v>
      </c>
      <c r="W599" s="1019" t="str">
        <f>IF(I!W599="","",$D$2*I!W599)</f>
        <v/>
      </c>
      <c r="X599" s="990" t="str">
        <f>IF(I!X599="","",$D$2*I!X599)</f>
        <v/>
      </c>
      <c r="Y599" s="1010" t="str">
        <f>IF(I!Y599="","",$D$2*I!Y599)</f>
        <v/>
      </c>
      <c r="Z599" s="938"/>
      <c r="AA599" s="938"/>
      <c r="AB599" s="938"/>
      <c r="AC599" s="938"/>
      <c r="AD599" s="1058"/>
      <c r="AE599" s="938"/>
      <c r="AF599" s="938"/>
      <c r="AG599" s="938"/>
      <c r="AH599" s="938"/>
    </row>
    <row r="600" spans="1:34" ht="17.25" customHeight="1" x14ac:dyDescent="0.35">
      <c r="A600" s="938"/>
      <c r="B600" s="938"/>
      <c r="C600" s="941"/>
      <c r="D600" s="1047"/>
      <c r="E600" s="941"/>
      <c r="F600" s="938"/>
      <c r="G600" s="976">
        <f t="shared" si="11"/>
        <v>597</v>
      </c>
      <c r="H600" s="1000"/>
      <c r="I600" s="1001" t="s">
        <v>1059</v>
      </c>
      <c r="J600" s="1031" t="s">
        <v>1640</v>
      </c>
      <c r="K600" s="1002">
        <f>IF(I!K600="","",$D$2*I!K600)</f>
        <v>8.0753872020000006E-2</v>
      </c>
      <c r="L600" s="981"/>
      <c r="M600" s="982"/>
      <c r="N600" s="1003"/>
      <c r="O600" s="1004">
        <f>IF(I!O600="","",$D$2*I!O600)</f>
        <v>0.49</v>
      </c>
      <c r="P600" s="1005">
        <f>IF(I!P600="","",$D$2*I!P600)</f>
        <v>5.1874191962300031E-3</v>
      </c>
      <c r="Q600" s="1006">
        <f>IF(I!Q600="","",$D$2*I!Q600)</f>
        <v>0.98293335999999998</v>
      </c>
      <c r="R600" s="982"/>
      <c r="S600" s="1003"/>
      <c r="T600" s="938"/>
      <c r="U600" s="1008" t="s">
        <v>1059</v>
      </c>
      <c r="V600" s="1018" t="s">
        <v>6446</v>
      </c>
      <c r="W600" s="1019">
        <f>IF(I!W600="","",$D$2*I!W600)</f>
        <v>0</v>
      </c>
      <c r="X600" s="990">
        <f>IF(I!X600="","",$D$2*I!X600)</f>
        <v>0</v>
      </c>
      <c r="Y600" s="1010">
        <f>IF(I!Y600="","",$D$2*I!Y600)</f>
        <v>0</v>
      </c>
      <c r="Z600" s="938"/>
      <c r="AA600" s="938"/>
      <c r="AB600" s="938"/>
      <c r="AC600" s="938"/>
      <c r="AD600" s="1058"/>
      <c r="AE600" s="938"/>
      <c r="AF600" s="938"/>
      <c r="AG600" s="938"/>
      <c r="AH600" s="938"/>
    </row>
    <row r="601" spans="1:34" ht="17.25" customHeight="1" x14ac:dyDescent="0.35">
      <c r="A601" s="938"/>
      <c r="B601" s="938"/>
      <c r="C601" s="941"/>
      <c r="D601" s="1047"/>
      <c r="E601" s="941"/>
      <c r="F601" s="938"/>
      <c r="G601" s="976">
        <f t="shared" si="11"/>
        <v>598</v>
      </c>
      <c r="H601" s="1000"/>
      <c r="I601" s="1001" t="s">
        <v>1059</v>
      </c>
      <c r="J601" s="1031" t="s">
        <v>1641</v>
      </c>
      <c r="K601" s="1002">
        <f>IF(I!K601="","",$D$2*I!K601)</f>
        <v>9.7255814035000013E-2</v>
      </c>
      <c r="L601" s="981"/>
      <c r="M601" s="982"/>
      <c r="N601" s="1003"/>
      <c r="O601" s="1004">
        <f>IF(I!O601="","",$D$2*I!O601)</f>
        <v>0.86</v>
      </c>
      <c r="P601" s="1005">
        <f>IF(I!P601="","",$D$2*I!P601)</f>
        <v>1.007204264799999E-2</v>
      </c>
      <c r="Q601" s="1006">
        <f>IF(I!Q601="","",$D$2*I!Q601)</f>
        <v>0.72576003</v>
      </c>
      <c r="R601" s="982"/>
      <c r="S601" s="1003"/>
      <c r="T601" s="938"/>
      <c r="U601" s="1008" t="s">
        <v>1059</v>
      </c>
      <c r="V601" s="1018" t="s">
        <v>6447</v>
      </c>
      <c r="W601" s="1019">
        <f>IF(I!W601="","",$D$2*I!W601)</f>
        <v>0</v>
      </c>
      <c r="X601" s="990">
        <f>IF(I!X601="","",$D$2*I!X601)</f>
        <v>0</v>
      </c>
      <c r="Y601" s="1010">
        <f>IF(I!Y601="","",$D$2*I!Y601)</f>
        <v>0</v>
      </c>
      <c r="Z601" s="938"/>
      <c r="AA601" s="938"/>
      <c r="AB601" s="938"/>
      <c r="AC601" s="938"/>
      <c r="AD601" s="1058"/>
      <c r="AE601" s="938"/>
      <c r="AF601" s="938"/>
      <c r="AG601" s="938"/>
      <c r="AH601" s="938"/>
    </row>
    <row r="602" spans="1:34" ht="17.25" customHeight="1" x14ac:dyDescent="0.35">
      <c r="A602" s="938"/>
      <c r="B602" s="938"/>
      <c r="C602" s="941"/>
      <c r="D602" s="1047"/>
      <c r="E602" s="941"/>
      <c r="F602" s="938"/>
      <c r="G602" s="976">
        <f t="shared" si="11"/>
        <v>599</v>
      </c>
      <c r="H602" s="1000"/>
      <c r="I602" s="1001" t="s">
        <v>1059</v>
      </c>
      <c r="J602" s="1031" t="s">
        <v>1642</v>
      </c>
      <c r="K602" s="1002">
        <f>IF(I!K602="","",$D$2*I!K602)</f>
        <v>0.23218196599000002</v>
      </c>
      <c r="L602" s="981"/>
      <c r="M602" s="982"/>
      <c r="N602" s="1003"/>
      <c r="O602" s="1004">
        <f>IF(I!O602="","",$D$2*I!O602)</f>
        <v>1.04</v>
      </c>
      <c r="P602" s="1005">
        <f>IF(I!P602="","",$D$2*I!P602)</f>
        <v>4.1007933720000111E-2</v>
      </c>
      <c r="Q602" s="1006">
        <f>IF(I!Q602="","",$D$2*I!Q602)</f>
        <v>0.98293335999999998</v>
      </c>
      <c r="R602" s="982"/>
      <c r="S602" s="1003"/>
      <c r="T602" s="938"/>
      <c r="U602" s="1008" t="s">
        <v>1059</v>
      </c>
      <c r="V602" s="1018" t="s">
        <v>6448</v>
      </c>
      <c r="W602" s="1019">
        <f>IF(I!W602="","",$D$2*I!W602)</f>
        <v>0.48932774970000004</v>
      </c>
      <c r="X602" s="990">
        <f>IF(I!X602="","",$D$2*I!X602)</f>
        <v>0.19998203441000001</v>
      </c>
      <c r="Y602" s="1010">
        <f>IF(I!Y602="","",$D$2*I!Y602)</f>
        <v>0.71294856969999998</v>
      </c>
      <c r="Z602" s="938"/>
      <c r="AA602" s="938"/>
      <c r="AB602" s="938"/>
      <c r="AC602" s="938"/>
      <c r="AD602" s="1058"/>
      <c r="AE602" s="938"/>
      <c r="AF602" s="938"/>
      <c r="AG602" s="938"/>
      <c r="AH602" s="938"/>
    </row>
    <row r="603" spans="1:34" ht="17.25" customHeight="1" x14ac:dyDescent="0.35">
      <c r="A603" s="938"/>
      <c r="B603" s="938"/>
      <c r="C603" s="941"/>
      <c r="D603" s="1047"/>
      <c r="E603" s="941"/>
      <c r="F603" s="938"/>
      <c r="G603" s="976">
        <f t="shared" si="11"/>
        <v>600</v>
      </c>
      <c r="H603" s="1000"/>
      <c r="I603" s="1001" t="s">
        <v>1059</v>
      </c>
      <c r="J603" s="1031" t="s">
        <v>1643</v>
      </c>
      <c r="K603" s="1002">
        <f>IF(I!K603="","",$D$2*I!K603)</f>
        <v>0.22174329619000002</v>
      </c>
      <c r="L603" s="981"/>
      <c r="M603" s="982"/>
      <c r="N603" s="1003"/>
      <c r="O603" s="1004">
        <f>IF(I!O603="","",$D$2*I!O603)</f>
        <v>1.29</v>
      </c>
      <c r="P603" s="1005">
        <f>IF(I!P603="","",$D$2*I!P603)</f>
        <v>3.5358264720000032E-2</v>
      </c>
      <c r="Q603" s="1006">
        <f>IF(I!Q603="","",$D$2*I!Q603)</f>
        <v>0.72576003</v>
      </c>
      <c r="R603" s="982"/>
      <c r="S603" s="1003"/>
      <c r="T603" s="938"/>
      <c r="U603" s="1008" t="s">
        <v>1059</v>
      </c>
      <c r="V603" s="1018" t="s">
        <v>6449</v>
      </c>
      <c r="W603" s="1019">
        <f>IF(I!W603="","",$D$2*I!W603)</f>
        <v>0.23968984571999999</v>
      </c>
      <c r="X603" s="990">
        <f>IF(I!X603="","",$D$2*I!X603)</f>
        <v>4.8965409394000001E-2</v>
      </c>
      <c r="Y603" s="1010">
        <f>IF(I!Y603="","",$D$2*I!Y603)</f>
        <v>0.36730568572</v>
      </c>
      <c r="Z603" s="938"/>
      <c r="AA603" s="938"/>
      <c r="AB603" s="938"/>
      <c r="AC603" s="938"/>
      <c r="AD603" s="1058"/>
      <c r="AE603" s="938"/>
      <c r="AF603" s="938"/>
      <c r="AG603" s="938"/>
      <c r="AH603" s="938"/>
    </row>
    <row r="604" spans="1:34" ht="17.25" customHeight="1" x14ac:dyDescent="0.35">
      <c r="A604" s="938"/>
      <c r="B604" s="938"/>
      <c r="C604" s="941"/>
      <c r="D604" s="1047"/>
      <c r="E604" s="941"/>
      <c r="F604" s="938"/>
      <c r="G604" s="976">
        <f t="shared" si="11"/>
        <v>601</v>
      </c>
      <c r="H604" s="1000">
        <v>1</v>
      </c>
      <c r="I604" s="1001" t="s">
        <v>1059</v>
      </c>
      <c r="J604" s="1031" t="s">
        <v>1644</v>
      </c>
      <c r="K604" s="1002">
        <f>IF(I!K604="","",$D$2*I!K604)</f>
        <v>0.23009422599000001</v>
      </c>
      <c r="L604" s="981"/>
      <c r="M604" s="982"/>
      <c r="N604" s="1003"/>
      <c r="O604" s="1004">
        <f>IF(I!O604="","",$D$2*I!O604)</f>
        <v>1.0900000000000001</v>
      </c>
      <c r="P604" s="1005">
        <f>IF(I!P604="","",$D$2*I!P604)</f>
        <v>3.9877999719999835E-2</v>
      </c>
      <c r="Q604" s="1006">
        <f>IF(I!Q604="","",$D$2*I!Q604)</f>
        <v>2.3471814000000002</v>
      </c>
      <c r="R604" s="982"/>
      <c r="S604" s="1003"/>
      <c r="T604" s="938"/>
      <c r="U604" s="1008" t="s">
        <v>1059</v>
      </c>
      <c r="V604" s="1018" t="s">
        <v>6450</v>
      </c>
      <c r="W604" s="1019">
        <f>IF(I!W604="","",$D$2*I!W604)</f>
        <v>2.1408088849999998</v>
      </c>
      <c r="X604" s="990">
        <f>IF(I!X604="","",$D$2*I!X604)</f>
        <v>0.87492139940000002</v>
      </c>
      <c r="Y604" s="1010">
        <f>IF(I!Y604="","",$D$2*I!Y604)</f>
        <v>3.1191499549999997</v>
      </c>
      <c r="Z604" s="938"/>
      <c r="AA604" s="938"/>
      <c r="AB604" s="938"/>
      <c r="AC604" s="938"/>
      <c r="AD604" s="1058"/>
      <c r="AE604" s="938"/>
      <c r="AF604" s="938"/>
      <c r="AG604" s="938"/>
      <c r="AH604" s="938"/>
    </row>
    <row r="605" spans="1:34" ht="17.25" customHeight="1" x14ac:dyDescent="0.35">
      <c r="A605" s="938"/>
      <c r="B605" s="938"/>
      <c r="C605" s="941"/>
      <c r="D605" s="1047"/>
      <c r="E605" s="941"/>
      <c r="F605" s="938"/>
      <c r="G605" s="976">
        <f t="shared" si="11"/>
        <v>602</v>
      </c>
      <c r="H605" s="1000"/>
      <c r="I605" s="1001" t="s">
        <v>1059</v>
      </c>
      <c r="J605" s="1031" t="s">
        <v>1645</v>
      </c>
      <c r="K605" s="1002">
        <f>IF(I!K605="","",$D$2*I!K605)</f>
        <v>0.34141969438600006</v>
      </c>
      <c r="L605" s="981"/>
      <c r="M605" s="982"/>
      <c r="N605" s="1003"/>
      <c r="O605" s="1004">
        <f>IF(I!O605="","",$D$2*I!O605)</f>
        <v>0.68</v>
      </c>
      <c r="P605" s="1005">
        <f>IF(I!P605="","",$D$2*I!P605)</f>
        <v>0.69774753348000007</v>
      </c>
      <c r="Q605" s="1006">
        <f>IF(I!Q605="","",$D$2*I!Q605)</f>
        <v>6.0413480000000004E-10</v>
      </c>
      <c r="R605" s="982"/>
      <c r="S605" s="1003"/>
      <c r="T605" s="938"/>
      <c r="U605" s="1008" t="s">
        <v>1059</v>
      </c>
      <c r="V605" s="1018" t="s">
        <v>6451</v>
      </c>
      <c r="W605" s="1019">
        <f>IF(I!W605="","",$D$2*I!W605)</f>
        <v>1.0486430687999999</v>
      </c>
      <c r="X605" s="990">
        <f>IF(I!X605="","",$D$2*I!X605)</f>
        <v>0.21422366750999999</v>
      </c>
      <c r="Y605" s="1010">
        <f>IF(I!Y605="","",$D$2*I!Y605)</f>
        <v>1.6069623888</v>
      </c>
      <c r="Z605" s="938"/>
      <c r="AA605" s="938"/>
      <c r="AB605" s="938"/>
      <c r="AC605" s="938"/>
      <c r="AD605" s="1058"/>
      <c r="AE605" s="938"/>
      <c r="AF605" s="938"/>
      <c r="AG605" s="938"/>
      <c r="AH605" s="938"/>
    </row>
    <row r="606" spans="1:34" ht="17.25" customHeight="1" x14ac:dyDescent="0.35">
      <c r="A606" s="938"/>
      <c r="B606" s="938"/>
      <c r="C606" s="941"/>
      <c r="D606" s="1047"/>
      <c r="E606" s="941"/>
      <c r="F606" s="938"/>
      <c r="G606" s="976">
        <f t="shared" si="11"/>
        <v>603</v>
      </c>
      <c r="H606" s="1000"/>
      <c r="I606" s="1001" t="s">
        <v>1059</v>
      </c>
      <c r="J606" s="1031" t="s">
        <v>1646</v>
      </c>
      <c r="K606" s="1002">
        <f>IF(I!K606="","",$D$2*I!K606)</f>
        <v>0.26512807429999996</v>
      </c>
      <c r="L606" s="981"/>
      <c r="M606" s="982"/>
      <c r="N606" s="1003"/>
      <c r="O606" s="1004">
        <f>IF(I!O606="","",$D$2*I!O606)</f>
        <v>1.27</v>
      </c>
      <c r="P606" s="1005">
        <f>IF(I!P606="","",$D$2*I!P606)</f>
        <v>0.12999109867</v>
      </c>
      <c r="Q606" s="1006">
        <f>IF(I!Q606="","",$D$2*I!Q606)</f>
        <v>4.8676004E-8</v>
      </c>
      <c r="R606" s="982"/>
      <c r="S606" s="1003"/>
      <c r="T606" s="938"/>
      <c r="U606" s="1008" t="s">
        <v>1059</v>
      </c>
      <c r="V606" s="1018" t="s">
        <v>6452</v>
      </c>
      <c r="W606" s="1019">
        <f>IF(I!W606="","",$D$2*I!W606)</f>
        <v>0</v>
      </c>
      <c r="X606" s="990">
        <f>IF(I!X606="","",$D$2*I!X606)</f>
        <v>0</v>
      </c>
      <c r="Y606" s="1010">
        <f>IF(I!Y606="","",$D$2*I!Y606)</f>
        <v>0</v>
      </c>
      <c r="Z606" s="938"/>
      <c r="AA606" s="938"/>
      <c r="AB606" s="938"/>
      <c r="AC606" s="938"/>
      <c r="AD606" s="1058"/>
      <c r="AE606" s="938"/>
      <c r="AF606" s="938"/>
      <c r="AG606" s="938"/>
      <c r="AH606" s="938"/>
    </row>
    <row r="607" spans="1:34" ht="17.25" customHeight="1" x14ac:dyDescent="0.35">
      <c r="A607" s="938"/>
      <c r="B607" s="938"/>
      <c r="C607" s="941"/>
      <c r="D607" s="1047"/>
      <c r="E607" s="941"/>
      <c r="F607" s="938"/>
      <c r="G607" s="976">
        <f t="shared" si="11"/>
        <v>604</v>
      </c>
      <c r="H607" s="1000"/>
      <c r="I607" s="1001" t="s">
        <v>1059</v>
      </c>
      <c r="J607" s="1031" t="s">
        <v>1647</v>
      </c>
      <c r="K607" s="1002">
        <f>IF(I!K607="","",$D$2*I!K607)</f>
        <v>8.1865177129999994E-2</v>
      </c>
      <c r="L607" s="981"/>
      <c r="M607" s="982"/>
      <c r="N607" s="1003"/>
      <c r="O607" s="1004">
        <f>IF(I!O607="","",$D$2*I!O607)</f>
        <v>0.49</v>
      </c>
      <c r="P607" s="1005">
        <f>IF(I!P607="","",$D$2*I!P607)</f>
        <v>5.1523525870000003E-2</v>
      </c>
      <c r="Q607" s="1006">
        <f>IF(I!Q607="","",$D$2*I!Q607)</f>
        <v>0.14771906000000001</v>
      </c>
      <c r="R607" s="982"/>
      <c r="S607" s="1003"/>
      <c r="T607" s="938"/>
      <c r="U607" s="1008" t="s">
        <v>1059</v>
      </c>
      <c r="V607" s="1018" t="s">
        <v>6453</v>
      </c>
      <c r="W607" s="1019">
        <f>IF(I!W607="","",$D$2*I!W607)</f>
        <v>0</v>
      </c>
      <c r="X607" s="990">
        <f>IF(I!X607="","",$D$2*I!X607)</f>
        <v>0</v>
      </c>
      <c r="Y607" s="1010">
        <f>IF(I!Y607="","",$D$2*I!Y607)</f>
        <v>0</v>
      </c>
      <c r="Z607" s="938"/>
      <c r="AA607" s="938"/>
      <c r="AB607" s="938"/>
      <c r="AC607" s="938"/>
      <c r="AD607" s="1058"/>
      <c r="AE607" s="938"/>
      <c r="AF607" s="938"/>
      <c r="AG607" s="938"/>
      <c r="AH607" s="938"/>
    </row>
    <row r="608" spans="1:34" ht="17.25" customHeight="1" x14ac:dyDescent="0.35">
      <c r="A608" s="938"/>
      <c r="B608" s="938"/>
      <c r="C608" s="941"/>
      <c r="D608" s="1047"/>
      <c r="E608" s="941"/>
      <c r="F608" s="938"/>
      <c r="G608" s="976">
        <f t="shared" si="11"/>
        <v>605</v>
      </c>
      <c r="H608" s="1000"/>
      <c r="I608" s="1001" t="s">
        <v>1059</v>
      </c>
      <c r="J608" s="1031" t="s">
        <v>1648</v>
      </c>
      <c r="K608" s="1002">
        <f>IF(I!K608="","",$D$2*I!K608)</f>
        <v>8.1865177129999994E-2</v>
      </c>
      <c r="L608" s="981"/>
      <c r="M608" s="982"/>
      <c r="N608" s="1003"/>
      <c r="O608" s="1004">
        <f>IF(I!O608="","",$D$2*I!O608)</f>
        <v>0.49</v>
      </c>
      <c r="P608" s="1005">
        <f>IF(I!P608="","",$D$2*I!P608)</f>
        <v>5.1523525869999975E-2</v>
      </c>
      <c r="Q608" s="1006">
        <f>IF(I!Q608="","",$D$2*I!Q608)</f>
        <v>0.73270217000000004</v>
      </c>
      <c r="R608" s="982"/>
      <c r="S608" s="1003"/>
      <c r="T608" s="938"/>
      <c r="U608" s="1008" t="s">
        <v>1059</v>
      </c>
      <c r="V608" s="1018" t="s">
        <v>6454</v>
      </c>
      <c r="W608" s="1019">
        <f>IF(I!W608="","",$D$2*I!W608)</f>
        <v>5.5516130480000001</v>
      </c>
      <c r="X608" s="990">
        <f>IF(I!X608="","",$D$2*I!X608)</f>
        <v>2.5461287534000001</v>
      </c>
      <c r="Y608" s="1010">
        <f>IF(I!Y608="","",$D$2*I!Y608)</f>
        <v>8.6389550479999997</v>
      </c>
      <c r="Z608" s="938"/>
      <c r="AA608" s="938"/>
      <c r="AB608" s="938"/>
      <c r="AC608" s="938"/>
      <c r="AD608" s="1058"/>
      <c r="AE608" s="938"/>
      <c r="AF608" s="938"/>
      <c r="AG608" s="938"/>
      <c r="AH608" s="938"/>
    </row>
    <row r="609" spans="1:34" ht="17.25" customHeight="1" x14ac:dyDescent="0.35">
      <c r="A609" s="938"/>
      <c r="B609" s="938"/>
      <c r="C609" s="941"/>
      <c r="D609" s="1047"/>
      <c r="E609" s="941"/>
      <c r="F609" s="938"/>
      <c r="G609" s="976">
        <f t="shared" si="11"/>
        <v>606</v>
      </c>
      <c r="H609" s="1000"/>
      <c r="I609" s="1001" t="s">
        <v>1059</v>
      </c>
      <c r="J609" s="1031" t="s">
        <v>1649</v>
      </c>
      <c r="K609" s="1002">
        <f>IF(I!K609="","",$D$2*I!K609)</f>
        <v>0.12353352522</v>
      </c>
      <c r="L609" s="981"/>
      <c r="M609" s="982"/>
      <c r="N609" s="1003"/>
      <c r="O609" s="1004">
        <f>IF(I!O609="","",$D$2*I!O609)</f>
        <v>0.54</v>
      </c>
      <c r="P609" s="1005">
        <f>IF(I!P609="","",$D$2*I!P609)</f>
        <v>0.10607483001</v>
      </c>
      <c r="Q609" s="1006">
        <f>IF(I!Q609="","",$D$2*I!Q609)</f>
        <v>9.9385301999999995E-2</v>
      </c>
      <c r="R609" s="982"/>
      <c r="S609" s="1003"/>
      <c r="T609" s="938"/>
      <c r="U609" s="1008" t="s">
        <v>1059</v>
      </c>
      <c r="V609" s="1018" t="s">
        <v>6455</v>
      </c>
      <c r="W609" s="1019">
        <f>IF(I!W609="","",$D$2*I!W609)</f>
        <v>4.9661539269999999E-2</v>
      </c>
      <c r="X609" s="990">
        <f>IF(I!X609="","",$D$2*I!X609)</f>
        <v>2.2134709687000001E-2</v>
      </c>
      <c r="Y609" s="1010">
        <f>IF(I!Y609="","",$D$2*I!Y609)</f>
        <v>9.8539387270000001E-2</v>
      </c>
      <c r="Z609" s="938"/>
      <c r="AA609" s="938"/>
      <c r="AB609" s="938"/>
      <c r="AC609" s="938"/>
      <c r="AD609" s="1058"/>
      <c r="AE609" s="938"/>
      <c r="AF609" s="938"/>
      <c r="AG609" s="938"/>
      <c r="AH609" s="938"/>
    </row>
    <row r="610" spans="1:34" ht="17.25" customHeight="1" x14ac:dyDescent="0.35">
      <c r="A610" s="938"/>
      <c r="B610" s="938"/>
      <c r="C610" s="941"/>
      <c r="D610" s="1047"/>
      <c r="E610" s="941"/>
      <c r="F610" s="938"/>
      <c r="G610" s="976">
        <f t="shared" si="11"/>
        <v>607</v>
      </c>
      <c r="H610" s="1000"/>
      <c r="I610" s="1001" t="s">
        <v>1059</v>
      </c>
      <c r="J610" s="1031" t="s">
        <v>1650</v>
      </c>
      <c r="K610" s="1002">
        <f>IF(I!K610="","",$D$2*I!K610)</f>
        <v>8.9023282930000003E-2</v>
      </c>
      <c r="L610" s="981"/>
      <c r="M610" s="982"/>
      <c r="N610" s="1003"/>
      <c r="O610" s="1004">
        <f>IF(I!O610="","",$D$2*I!O610)</f>
        <v>0.38</v>
      </c>
      <c r="P610" s="1005">
        <f>IF(I!P610="","",$D$2*I!P610)</f>
        <v>6.1385459570000023E-2</v>
      </c>
      <c r="Q610" s="1006">
        <f>IF(I!Q610="","",$D$2*I!Q610)</f>
        <v>0.36760683</v>
      </c>
      <c r="R610" s="982"/>
      <c r="S610" s="1003"/>
      <c r="T610" s="938"/>
      <c r="U610" s="1008" t="s">
        <v>1059</v>
      </c>
      <c r="V610" s="1018" t="s">
        <v>6456</v>
      </c>
      <c r="W610" s="1019">
        <f>IF(I!W610="","",$D$2*I!W610)</f>
        <v>8.0067529400000004E-3</v>
      </c>
      <c r="X610" s="990">
        <f>IF(I!X610="","",$D$2*I!X610)</f>
        <v>1.9860812857999999E-2</v>
      </c>
      <c r="Y610" s="1010">
        <f>IF(I!Y610="","",$D$2*I!Y610)</f>
        <v>2.1969006940000001E-2</v>
      </c>
      <c r="Z610" s="938"/>
      <c r="AA610" s="938"/>
      <c r="AB610" s="938"/>
      <c r="AC610" s="938"/>
      <c r="AD610" s="1058"/>
      <c r="AE610" s="938"/>
      <c r="AF610" s="938"/>
      <c r="AG610" s="938"/>
      <c r="AH610" s="938"/>
    </row>
    <row r="611" spans="1:34" ht="17.25" customHeight="1" x14ac:dyDescent="0.35">
      <c r="A611" s="938"/>
      <c r="B611" s="938"/>
      <c r="C611" s="941"/>
      <c r="D611" s="1047"/>
      <c r="E611" s="941"/>
      <c r="F611" s="938"/>
      <c r="G611" s="976">
        <f t="shared" si="11"/>
        <v>608</v>
      </c>
      <c r="H611" s="1000"/>
      <c r="I611" s="1001" t="s">
        <v>1059</v>
      </c>
      <c r="J611" s="1031" t="s">
        <v>1651</v>
      </c>
      <c r="K611" s="1002">
        <f>IF(I!K611="","",$D$2*I!K611)</f>
        <v>5.9923038269999993E-2</v>
      </c>
      <c r="L611" s="981"/>
      <c r="M611" s="982"/>
      <c r="N611" s="1003"/>
      <c r="O611" s="1004">
        <f>IF(I!O611="","",$D$2*I!O611)</f>
        <v>0.21</v>
      </c>
      <c r="P611" s="1005">
        <f>IF(I!P611="","",$D$2*I!P611)</f>
        <v>6.1187956099999996E-2</v>
      </c>
      <c r="Q611" s="1006">
        <f>IF(I!Q611="","",$D$2*I!Q611)</f>
        <v>0.31409445000000003</v>
      </c>
      <c r="R611" s="982"/>
      <c r="S611" s="1003"/>
      <c r="T611" s="938"/>
      <c r="U611" s="1008" t="s">
        <v>1059</v>
      </c>
      <c r="V611" s="1018" t="s">
        <v>6457</v>
      </c>
      <c r="W611" s="1019">
        <f>IF(I!W611="","",$D$2*I!W611)</f>
        <v>7.3258201370000001E-3</v>
      </c>
      <c r="X611" s="990">
        <f>IF(I!X611="","",$D$2*I!X611)</f>
        <v>2.3037185356000002E-2</v>
      </c>
      <c r="Y611" s="1010">
        <f>IF(I!Y611="","",$D$2*I!Y611)</f>
        <v>1.4044577036999999E-2</v>
      </c>
      <c r="Z611" s="938"/>
      <c r="AA611" s="938"/>
      <c r="AB611" s="938"/>
      <c r="AC611" s="938"/>
      <c r="AD611" s="1058"/>
      <c r="AE611" s="938"/>
      <c r="AF611" s="938"/>
      <c r="AG611" s="938"/>
      <c r="AH611" s="938"/>
    </row>
    <row r="612" spans="1:34" ht="17.25" customHeight="1" x14ac:dyDescent="0.35">
      <c r="A612" s="938"/>
      <c r="B612" s="938"/>
      <c r="C612" s="941"/>
      <c r="D612" s="1047"/>
      <c r="E612" s="941"/>
      <c r="F612" s="938"/>
      <c r="G612" s="976">
        <f t="shared" si="11"/>
        <v>609</v>
      </c>
      <c r="H612" s="1000"/>
      <c r="I612" s="1001" t="s">
        <v>1059</v>
      </c>
      <c r="J612" s="1031" t="s">
        <v>1652</v>
      </c>
      <c r="K612" s="1002">
        <f>IF(I!K612="","",$D$2*I!K612)</f>
        <v>0.12429312314150001</v>
      </c>
      <c r="L612" s="981"/>
      <c r="M612" s="982"/>
      <c r="N612" s="1003"/>
      <c r="O612" s="1004">
        <f>IF(I!O612="","",$D$2*I!O612)</f>
        <v>0.88</v>
      </c>
      <c r="P612" s="1005">
        <f>IF(I!P612="","",$D$2*I!P612)</f>
        <v>0.62853384503870002</v>
      </c>
      <c r="Q612" s="1006">
        <f>IF(I!Q612="","",$D$2*I!Q612)</f>
        <v>6.0413480000000004E-10</v>
      </c>
      <c r="R612" s="982"/>
      <c r="S612" s="1003"/>
      <c r="T612" s="938"/>
      <c r="U612" s="1008" t="s">
        <v>1059</v>
      </c>
      <c r="V612" s="1018" t="s">
        <v>6458</v>
      </c>
      <c r="W612" s="1019">
        <f>IF(I!W612="","",$D$2*I!W612)</f>
        <v>9.9436887400000014E-3</v>
      </c>
      <c r="X612" s="990">
        <f>IF(I!X612="","",$D$2*I!X612)</f>
        <v>2.8177129217999999E-2</v>
      </c>
      <c r="Y612" s="1010">
        <f>IF(I!Y612="","",$D$2*I!Y612)</f>
        <v>1.7976227740000003E-2</v>
      </c>
      <c r="Z612" s="938"/>
      <c r="AA612" s="938"/>
      <c r="AB612" s="938"/>
      <c r="AC612" s="938"/>
      <c r="AD612" s="1058"/>
      <c r="AE612" s="938"/>
      <c r="AF612" s="938"/>
      <c r="AG612" s="938"/>
      <c r="AH612" s="938"/>
    </row>
    <row r="613" spans="1:34" ht="17.25" customHeight="1" x14ac:dyDescent="0.35">
      <c r="A613" s="938"/>
      <c r="B613" s="938"/>
      <c r="C613" s="941"/>
      <c r="D613" s="1047"/>
      <c r="E613" s="941"/>
      <c r="F613" s="938"/>
      <c r="G613" s="976">
        <f t="shared" si="11"/>
        <v>610</v>
      </c>
      <c r="H613" s="1000"/>
      <c r="I613" s="1001" t="s">
        <v>1059</v>
      </c>
      <c r="J613" s="1031" t="s">
        <v>1653</v>
      </c>
      <c r="K613" s="1002">
        <f>IF(I!K613="","",$D$2*I!K613)</f>
        <v>0.118508580738</v>
      </c>
      <c r="L613" s="981"/>
      <c r="M613" s="982"/>
      <c r="N613" s="1003"/>
      <c r="O613" s="1004">
        <f>IF(I!O613="","",$D$2*I!O613)</f>
        <v>0.36</v>
      </c>
      <c r="P613" s="1005">
        <f>IF(I!P613="","",$D$2*I!P613)</f>
        <v>0.58343090013160015</v>
      </c>
      <c r="Q613" s="1006">
        <f>IF(I!Q613="","",$D$2*I!Q613)</f>
        <v>6.0413480000000004E-10</v>
      </c>
      <c r="R613" s="982"/>
      <c r="S613" s="1003"/>
      <c r="T613" s="938"/>
      <c r="U613" s="1008" t="s">
        <v>1059</v>
      </c>
      <c r="V613" s="1018" t="s">
        <v>6459</v>
      </c>
      <c r="W613" s="1019">
        <f>IF(I!W613="","",$D$2*I!W613)</f>
        <v>7.2091661099999996E-2</v>
      </c>
      <c r="X613" s="990">
        <f>IF(I!X613="","",$D$2*I!X613)</f>
        <v>0.17882392514000001</v>
      </c>
      <c r="Y613" s="1010">
        <f>IF(I!Y613="","",$D$2*I!Y613)</f>
        <v>0.19780580110000001</v>
      </c>
      <c r="Z613" s="938"/>
      <c r="AA613" s="938"/>
      <c r="AB613" s="938"/>
      <c r="AC613" s="938"/>
      <c r="AD613" s="1058"/>
      <c r="AE613" s="938"/>
      <c r="AF613" s="938"/>
      <c r="AG613" s="938"/>
      <c r="AH613" s="938"/>
    </row>
    <row r="614" spans="1:34" ht="17.25" customHeight="1" x14ac:dyDescent="0.35">
      <c r="A614" s="938"/>
      <c r="B614" s="938"/>
      <c r="C614" s="941"/>
      <c r="D614" s="1047"/>
      <c r="E614" s="941"/>
      <c r="F614" s="938"/>
      <c r="G614" s="976">
        <f t="shared" si="11"/>
        <v>611</v>
      </c>
      <c r="H614" s="1000"/>
      <c r="I614" s="1001" t="s">
        <v>1059</v>
      </c>
      <c r="J614" s="1031" t="s">
        <v>1654</v>
      </c>
      <c r="K614" s="1002">
        <f>IF(I!K614="","",$D$2*I!K614)</f>
        <v>0.18895898999999999</v>
      </c>
      <c r="L614" s="981"/>
      <c r="M614" s="982"/>
      <c r="N614" s="1003"/>
      <c r="O614" s="1004">
        <f>IF(I!O614="","",$D$2*I!O614)</f>
        <v>0.65</v>
      </c>
      <c r="P614" s="1005">
        <f>IF(I!P614="","",$D$2*I!P614)</f>
        <v>0</v>
      </c>
      <c r="Q614" s="1006">
        <f>IF(I!Q614="","",$D$2*I!Q614)</f>
        <v>0</v>
      </c>
      <c r="R614" s="982"/>
      <c r="S614" s="1003"/>
      <c r="T614" s="938"/>
      <c r="U614" s="1008" t="s">
        <v>1059</v>
      </c>
      <c r="V614" s="1018" t="s">
        <v>6460</v>
      </c>
      <c r="W614" s="1019">
        <f>IF(I!W614="","",$D$2*I!W614)</f>
        <v>6.5960639899999993E-2</v>
      </c>
      <c r="X614" s="990">
        <f>IF(I!X614="","",$D$2*I!X614)</f>
        <v>0.20742352701</v>
      </c>
      <c r="Y614" s="1010">
        <f>IF(I!Y614="","",$D$2*I!Y614)</f>
        <v>0.12645536889999998</v>
      </c>
      <c r="Z614" s="938"/>
      <c r="AA614" s="938"/>
      <c r="AB614" s="938"/>
      <c r="AC614" s="938"/>
      <c r="AD614" s="1058"/>
      <c r="AE614" s="938"/>
      <c r="AF614" s="938"/>
      <c r="AG614" s="938"/>
      <c r="AH614" s="938"/>
    </row>
    <row r="615" spans="1:34" ht="17.25" customHeight="1" x14ac:dyDescent="0.35">
      <c r="A615" s="938"/>
      <c r="B615" s="938"/>
      <c r="C615" s="941"/>
      <c r="D615" s="1047"/>
      <c r="E615" s="941"/>
      <c r="F615" s="938"/>
      <c r="G615" s="976">
        <f t="shared" si="11"/>
        <v>612</v>
      </c>
      <c r="H615" s="1000"/>
      <c r="I615" s="1001" t="s">
        <v>1059</v>
      </c>
      <c r="J615" s="1031" t="s">
        <v>1655</v>
      </c>
      <c r="K615" s="1002">
        <f>IF(I!K615="","",$D$2*I!K615)</f>
        <v>7.8385628700000001E-2</v>
      </c>
      <c r="L615" s="981"/>
      <c r="M615" s="982"/>
      <c r="N615" s="1003"/>
      <c r="O615" s="1004">
        <f>IF(I!O615="","",$D$2*I!O615)</f>
        <v>0.48</v>
      </c>
      <c r="P615" s="1005">
        <f>IF(I!P615="","",$D$2*I!P615)</f>
        <v>0.43573200358406</v>
      </c>
      <c r="Q615" s="1006">
        <f>IF(I!Q615="","",$D$2*I!Q615)</f>
        <v>0</v>
      </c>
      <c r="R615" s="982"/>
      <c r="S615" s="1003"/>
      <c r="T615" s="938"/>
      <c r="U615" s="1008" t="s">
        <v>1059</v>
      </c>
      <c r="V615" s="1018" t="s">
        <v>6461</v>
      </c>
      <c r="W615" s="1019">
        <f>IF(I!W615="","",$D$2*I!W615)</f>
        <v>8.9531554200000002E-2</v>
      </c>
      <c r="X615" s="990">
        <f>IF(I!X615="","",$D$2*I!X615)</f>
        <v>0.25370284312000002</v>
      </c>
      <c r="Y615" s="1010">
        <f>IF(I!Y615="","",$D$2*I!Y615)</f>
        <v>0.1618553892</v>
      </c>
      <c r="Z615" s="938"/>
      <c r="AA615" s="938"/>
      <c r="AB615" s="938"/>
      <c r="AC615" s="938"/>
      <c r="AD615" s="1058"/>
      <c r="AE615" s="938"/>
      <c r="AF615" s="938"/>
      <c r="AG615" s="938"/>
      <c r="AH615" s="938"/>
    </row>
    <row r="616" spans="1:34" ht="17.25" customHeight="1" x14ac:dyDescent="0.35">
      <c r="A616" s="938"/>
      <c r="B616" s="938"/>
      <c r="C616" s="941"/>
      <c r="D616" s="1047"/>
      <c r="E616" s="941"/>
      <c r="F616" s="938"/>
      <c r="G616" s="976">
        <f t="shared" si="11"/>
        <v>613</v>
      </c>
      <c r="H616" s="1000"/>
      <c r="I616" s="1001" t="s">
        <v>1059</v>
      </c>
      <c r="J616" s="1031" t="s">
        <v>1656</v>
      </c>
      <c r="K616" s="1002">
        <f>IF(I!K616="","",$D$2*I!K616)</f>
        <v>0.11389575</v>
      </c>
      <c r="L616" s="981"/>
      <c r="M616" s="982"/>
      <c r="N616" s="1003"/>
      <c r="O616" s="1004">
        <f>IF(I!O616="","",$D$2*I!O616)</f>
        <v>0.28999999999999998</v>
      </c>
      <c r="P616" s="1005">
        <f>IF(I!P616="","",$D$2*I!P616)</f>
        <v>0</v>
      </c>
      <c r="Q616" s="1006">
        <f>IF(I!Q616="","",$D$2*I!Q616)</f>
        <v>0</v>
      </c>
      <c r="R616" s="982"/>
      <c r="S616" s="1003"/>
      <c r="T616" s="938"/>
      <c r="U616" s="1008" t="s">
        <v>1059</v>
      </c>
      <c r="V616" s="1018" t="s">
        <v>6462</v>
      </c>
      <c r="W616" s="1019">
        <f>IF(I!W616="","",$D$2*I!W616)</f>
        <v>0.50545411029999998</v>
      </c>
      <c r="X616" s="990">
        <f>IF(I!X616="","",$D$2*I!X616)</f>
        <v>1.1356997205000001</v>
      </c>
      <c r="Y616" s="1010">
        <f>IF(I!Y616="","",$D$2*I!Y616)</f>
        <v>1.4439285403</v>
      </c>
      <c r="Z616" s="938"/>
      <c r="AA616" s="938"/>
      <c r="AB616" s="938"/>
      <c r="AC616" s="938"/>
      <c r="AD616" s="1058"/>
      <c r="AE616" s="938"/>
      <c r="AF616" s="938"/>
      <c r="AG616" s="938"/>
      <c r="AH616" s="938"/>
    </row>
    <row r="617" spans="1:34" ht="17.25" customHeight="1" x14ac:dyDescent="0.35">
      <c r="A617" s="938"/>
      <c r="B617" s="938"/>
      <c r="C617" s="941"/>
      <c r="D617" s="1047"/>
      <c r="E617" s="941"/>
      <c r="F617" s="938"/>
      <c r="G617" s="976">
        <f t="shared" si="11"/>
        <v>614</v>
      </c>
      <c r="H617" s="1000"/>
      <c r="I617" s="1001" t="s">
        <v>1059</v>
      </c>
      <c r="J617" s="1031" t="s">
        <v>1657</v>
      </c>
      <c r="K617" s="1002">
        <f>IF(I!K617="","",$D$2*I!K617)</f>
        <v>3.5225117704909996</v>
      </c>
      <c r="L617" s="981"/>
      <c r="M617" s="982"/>
      <c r="N617" s="1003"/>
      <c r="O617" s="1004">
        <f>IF(I!O617="","",$D$2*I!O617)</f>
        <v>6.05</v>
      </c>
      <c r="P617" s="1005">
        <f>IF(I!P617="","",$D$2*I!P617)</f>
        <v>0.32266726545230001</v>
      </c>
      <c r="Q617" s="1006">
        <f>IF(I!Q617="","",$D$2*I!Q617)</f>
        <v>2.2360538999999999E-9</v>
      </c>
      <c r="R617" s="982"/>
      <c r="S617" s="1003"/>
      <c r="T617" s="938"/>
      <c r="U617" s="1008" t="s">
        <v>1059</v>
      </c>
      <c r="V617" s="1018" t="s">
        <v>6463</v>
      </c>
      <c r="W617" s="1019">
        <f>IF(I!W617="","",$D$2*I!W617)</f>
        <v>0.4763868161</v>
      </c>
      <c r="X617" s="990">
        <f>IF(I!X617="","",$D$2*I!X617)</f>
        <v>1.3174624831000001</v>
      </c>
      <c r="Y617" s="1010">
        <f>IF(I!Y617="","",$D$2*I!Y617)</f>
        <v>1.0046353960999999</v>
      </c>
      <c r="Z617" s="938"/>
      <c r="AA617" s="938"/>
      <c r="AB617" s="938"/>
      <c r="AC617" s="938"/>
      <c r="AD617" s="1058"/>
      <c r="AE617" s="938"/>
      <c r="AF617" s="938"/>
      <c r="AG617" s="938"/>
      <c r="AH617" s="938"/>
    </row>
    <row r="618" spans="1:34" ht="17.25" customHeight="1" x14ac:dyDescent="0.35">
      <c r="A618" s="938"/>
      <c r="B618" s="938"/>
      <c r="C618" s="941"/>
      <c r="D618" s="1047"/>
      <c r="E618" s="941"/>
      <c r="F618" s="938"/>
      <c r="G618" s="976">
        <f t="shared" si="11"/>
        <v>615</v>
      </c>
      <c r="H618" s="1000"/>
      <c r="I618" s="1001" t="s">
        <v>1059</v>
      </c>
      <c r="J618" s="1031" t="s">
        <v>1658</v>
      </c>
      <c r="K618" s="1002">
        <f>IF(I!K618="","",$D$2*I!K618)</f>
        <v>0.4257206322</v>
      </c>
      <c r="L618" s="981"/>
      <c r="M618" s="982"/>
      <c r="N618" s="1003"/>
      <c r="O618" s="1004">
        <f>IF(I!O618="","",$D$2*I!O618)</f>
        <v>0.64</v>
      </c>
      <c r="P618" s="1005">
        <f>IF(I!P618="","",$D$2*I!P618)</f>
        <v>7.6003111740000004E-2</v>
      </c>
      <c r="Q618" s="1006">
        <f>IF(I!Q618="","",$D$2*I!Q618)</f>
        <v>0</v>
      </c>
      <c r="R618" s="982"/>
      <c r="S618" s="1003"/>
      <c r="T618" s="938"/>
      <c r="U618" s="1008" t="s">
        <v>1059</v>
      </c>
      <c r="V618" s="1018" t="s">
        <v>6464</v>
      </c>
      <c r="W618" s="1019">
        <f>IF(I!W618="","",$D$2*I!W618)</f>
        <v>0.61372106000000004</v>
      </c>
      <c r="X618" s="990">
        <f>IF(I!X618="","",$D$2*I!X618)</f>
        <v>1.610379776</v>
      </c>
      <c r="Y618" s="1010">
        <f>IF(I!Y618="","",$D$2*I!Y618)</f>
        <v>1.2105193299999999</v>
      </c>
      <c r="Z618" s="938"/>
      <c r="AA618" s="938"/>
      <c r="AB618" s="938"/>
      <c r="AC618" s="938"/>
      <c r="AD618" s="1058"/>
      <c r="AE618" s="938"/>
      <c r="AF618" s="938"/>
      <c r="AG618" s="938"/>
      <c r="AH618" s="938"/>
    </row>
    <row r="619" spans="1:34" ht="17.25" customHeight="1" x14ac:dyDescent="0.35">
      <c r="A619" s="938"/>
      <c r="B619" s="938"/>
      <c r="C619" s="941"/>
      <c r="D619" s="1047"/>
      <c r="E619" s="941"/>
      <c r="F619" s="938"/>
      <c r="G619" s="976">
        <f t="shared" si="11"/>
        <v>616</v>
      </c>
      <c r="H619" s="1000"/>
      <c r="I619" s="1001" t="s">
        <v>1059</v>
      </c>
      <c r="J619" s="1031" t="s">
        <v>1659</v>
      </c>
      <c r="K619" s="1002">
        <f>IF(I!K619="","",$D$2*I!K619)</f>
        <v>9.8242015089999996E-2</v>
      </c>
      <c r="L619" s="981"/>
      <c r="M619" s="982"/>
      <c r="N619" s="1003"/>
      <c r="O619" s="1004">
        <f>IF(I!O619="","",$D$2*I!O619)</f>
        <v>0.31</v>
      </c>
      <c r="P619" s="1005">
        <f>IF(I!P619="","",$D$2*I!P619)</f>
        <v>7.6003111740000004E-2</v>
      </c>
      <c r="Q619" s="1006">
        <f>IF(I!Q619="","",$D$2*I!Q619)</f>
        <v>0</v>
      </c>
      <c r="R619" s="982"/>
      <c r="S619" s="1003"/>
      <c r="T619" s="938"/>
      <c r="U619" s="1008" t="s">
        <v>1059</v>
      </c>
      <c r="V619" s="1018" t="s">
        <v>6465</v>
      </c>
      <c r="W619" s="1019">
        <f>IF(I!W619="","",$D$2*I!W619)</f>
        <v>0.46824389400000005</v>
      </c>
      <c r="X619" s="990">
        <f>IF(I!X619="","",$D$2*I!X619)</f>
        <v>0.3457036986</v>
      </c>
      <c r="Y619" s="1010">
        <f>IF(I!Y619="","",$D$2*I!Y619)</f>
        <v>0.85388700400000006</v>
      </c>
      <c r="Z619" s="938"/>
      <c r="AA619" s="938"/>
      <c r="AB619" s="938"/>
      <c r="AC619" s="938"/>
      <c r="AD619" s="1058"/>
      <c r="AE619" s="938"/>
      <c r="AF619" s="938"/>
      <c r="AG619" s="938"/>
      <c r="AH619" s="938"/>
    </row>
    <row r="620" spans="1:34" ht="17.25" customHeight="1" x14ac:dyDescent="0.35">
      <c r="A620" s="938"/>
      <c r="B620" s="938"/>
      <c r="C620" s="941"/>
      <c r="D620" s="1047"/>
      <c r="E620" s="941"/>
      <c r="F620" s="938"/>
      <c r="G620" s="976">
        <f t="shared" si="11"/>
        <v>617</v>
      </c>
      <c r="H620" s="1000"/>
      <c r="I620" s="1001" t="s">
        <v>1059</v>
      </c>
      <c r="J620" s="1031" t="s">
        <v>1660</v>
      </c>
      <c r="K620" s="1002">
        <f>IF(I!K620="","",$D$2*I!K620)</f>
        <v>3.9738343250000002E-2</v>
      </c>
      <c r="L620" s="981"/>
      <c r="M620" s="982"/>
      <c r="N620" s="1003"/>
      <c r="O620" s="1004">
        <f>IF(I!O620="","",$D$2*I!O620)</f>
        <v>0.13</v>
      </c>
      <c r="P620" s="1005">
        <f>IF(I!P620="","",$D$2*I!P620)</f>
        <v>3.0742832089E-2</v>
      </c>
      <c r="Q620" s="1006">
        <f>IF(I!Q620="","",$D$2*I!Q620)</f>
        <v>0</v>
      </c>
      <c r="R620" s="982"/>
      <c r="S620" s="1003"/>
      <c r="T620" s="938"/>
      <c r="U620" s="1008" t="s">
        <v>1059</v>
      </c>
      <c r="V620" s="1018" t="s">
        <v>6466</v>
      </c>
      <c r="W620" s="1019">
        <f>IF(I!W620="","",$D$2*I!W620)</f>
        <v>0.45162545500000006</v>
      </c>
      <c r="X620" s="990">
        <f>IF(I!X620="","",$D$2*I!X620)</f>
        <v>0.37367411080000001</v>
      </c>
      <c r="Y620" s="1010">
        <f>IF(I!Y620="","",$D$2*I!Y620)</f>
        <v>0.77600153500000002</v>
      </c>
      <c r="Z620" s="938"/>
      <c r="AA620" s="938"/>
      <c r="AB620" s="938"/>
      <c r="AC620" s="938"/>
      <c r="AD620" s="1058"/>
      <c r="AE620" s="938"/>
      <c r="AF620" s="938"/>
      <c r="AG620" s="938"/>
      <c r="AH620" s="938"/>
    </row>
    <row r="621" spans="1:34" ht="17.25" customHeight="1" x14ac:dyDescent="0.35">
      <c r="A621" s="938"/>
      <c r="B621" s="938"/>
      <c r="C621" s="941"/>
      <c r="D621" s="1047"/>
      <c r="E621" s="941"/>
      <c r="F621" s="938"/>
      <c r="G621" s="976">
        <f t="shared" si="11"/>
        <v>618</v>
      </c>
      <c r="H621" s="1000"/>
      <c r="I621" s="1001" t="s">
        <v>1059</v>
      </c>
      <c r="J621" s="1031" t="s">
        <v>1661</v>
      </c>
      <c r="K621" s="1002">
        <f>IF(I!K621="","",$D$2*I!K621)</f>
        <v>1.1259197233999998E-2</v>
      </c>
      <c r="L621" s="981"/>
      <c r="M621" s="982"/>
      <c r="N621" s="1003"/>
      <c r="O621" s="1004">
        <f>IF(I!O621="","",$D$2*I!O621)</f>
        <v>0.04</v>
      </c>
      <c r="P621" s="1005">
        <f>IF(I!P621="","",$D$2*I!P621)</f>
        <v>8.7104689290000009E-3</v>
      </c>
      <c r="Q621" s="1006">
        <f>IF(I!Q621="","",$D$2*I!Q621)</f>
        <v>0</v>
      </c>
      <c r="R621" s="982"/>
      <c r="S621" s="1003"/>
      <c r="T621" s="938"/>
      <c r="U621" s="1008" t="s">
        <v>1059</v>
      </c>
      <c r="V621" s="1018" t="s">
        <v>6467</v>
      </c>
      <c r="W621" s="1019">
        <f>IF(I!W621="","",$D$2*I!W621)</f>
        <v>0.50055591320000004</v>
      </c>
      <c r="X621" s="990">
        <f>IF(I!X621="","",$D$2*I!X621)</f>
        <v>0.42574425699999996</v>
      </c>
      <c r="Y621" s="1010">
        <f>IF(I!Y621="","",$D$2*I!Y621)</f>
        <v>0.94354446320000007</v>
      </c>
      <c r="Z621" s="938"/>
      <c r="AA621" s="938"/>
      <c r="AB621" s="938"/>
      <c r="AC621" s="938"/>
      <c r="AD621" s="1058"/>
      <c r="AE621" s="938"/>
      <c r="AF621" s="938"/>
      <c r="AG621" s="938"/>
      <c r="AH621" s="938"/>
    </row>
    <row r="622" spans="1:34" ht="17.25" customHeight="1" x14ac:dyDescent="0.35">
      <c r="A622" s="938"/>
      <c r="B622" s="938"/>
      <c r="C622" s="941"/>
      <c r="D622" s="1047"/>
      <c r="E622" s="941"/>
      <c r="F622" s="938"/>
      <c r="G622" s="976">
        <f t="shared" si="11"/>
        <v>619</v>
      </c>
      <c r="H622" s="1000"/>
      <c r="I622" s="1001" t="s">
        <v>1059</v>
      </c>
      <c r="J622" s="1031" t="s">
        <v>1662</v>
      </c>
      <c r="K622" s="1002">
        <f>IF(I!K622="","",$D$2*I!K622)</f>
        <v>4.6361400760000001E-3</v>
      </c>
      <c r="L622" s="981"/>
      <c r="M622" s="982"/>
      <c r="N622" s="1003"/>
      <c r="O622" s="1004">
        <f>IF(I!O622="","",$D$2*I!O622)</f>
        <v>0.01</v>
      </c>
      <c r="P622" s="1005">
        <f>IF(I!P622="","",$D$2*I!P622)</f>
        <v>3.5866636914999995E-3</v>
      </c>
      <c r="Q622" s="1006">
        <f>IF(I!Q622="","",$D$2*I!Q622)</f>
        <v>0</v>
      </c>
      <c r="R622" s="982"/>
      <c r="S622" s="1003"/>
      <c r="T622" s="938"/>
      <c r="U622" s="1008" t="s">
        <v>1059</v>
      </c>
      <c r="V622" s="1018" t="s">
        <v>6468</v>
      </c>
      <c r="W622" s="1019">
        <f>IF(I!W622="","",$D$2*I!W622)</f>
        <v>0.77798019699999998</v>
      </c>
      <c r="X622" s="990">
        <f>IF(I!X622="","",$D$2*I!X622)</f>
        <v>0.35880174819999999</v>
      </c>
      <c r="Y622" s="1010">
        <f>IF(I!Y622="","",$D$2*I!Y622)</f>
        <v>1.139125857</v>
      </c>
      <c r="Z622" s="938"/>
      <c r="AA622" s="938"/>
      <c r="AB622" s="938"/>
      <c r="AC622" s="938"/>
      <c r="AD622" s="1058"/>
      <c r="AE622" s="938"/>
      <c r="AF622" s="938"/>
      <c r="AG622" s="938"/>
      <c r="AH622" s="938"/>
    </row>
    <row r="623" spans="1:34" ht="17.25" customHeight="1" x14ac:dyDescent="0.35">
      <c r="A623" s="938"/>
      <c r="B623" s="938"/>
      <c r="C623" s="941"/>
      <c r="D623" s="1047"/>
      <c r="E623" s="941"/>
      <c r="F623" s="938"/>
      <c r="G623" s="976">
        <f t="shared" si="11"/>
        <v>620</v>
      </c>
      <c r="H623" s="1000"/>
      <c r="I623" s="1001" t="s">
        <v>1059</v>
      </c>
      <c r="J623" s="1031" t="s">
        <v>1663</v>
      </c>
      <c r="K623" s="1002">
        <f>IF(I!K623="","",$D$2*I!K623)</f>
        <v>3.0907600569999999E-3</v>
      </c>
      <c r="L623" s="981"/>
      <c r="M623" s="982"/>
      <c r="N623" s="1003"/>
      <c r="O623" s="1004">
        <f>IF(I!O623="","",$D$2*I!O623)</f>
        <v>0.01</v>
      </c>
      <c r="P623" s="1005">
        <f>IF(I!P623="","",$D$2*I!P623)</f>
        <v>2.3911091317000001E-3</v>
      </c>
      <c r="Q623" s="1006">
        <f>IF(I!Q623="","",$D$2*I!Q623)</f>
        <v>0</v>
      </c>
      <c r="R623" s="982"/>
      <c r="S623" s="1003"/>
      <c r="T623" s="938"/>
      <c r="U623" s="1008" t="s">
        <v>1059</v>
      </c>
      <c r="V623" s="1018" t="s">
        <v>6469</v>
      </c>
      <c r="W623" s="1019">
        <f>IF(I!W623="","",$D$2*I!W623)</f>
        <v>0.39689769309999995</v>
      </c>
      <c r="X623" s="990">
        <f>IF(I!X623="","",$D$2*I!X623)</f>
        <v>0.28286587060000001</v>
      </c>
      <c r="Y623" s="1010">
        <f>IF(I!Y623="","",$D$2*I!Y623)</f>
        <v>0.72863299309999996</v>
      </c>
      <c r="Z623" s="938"/>
      <c r="AA623" s="938"/>
      <c r="AB623" s="938"/>
      <c r="AC623" s="938"/>
      <c r="AD623" s="1058"/>
      <c r="AE623" s="938"/>
      <c r="AF623" s="938"/>
      <c r="AG623" s="938"/>
      <c r="AH623" s="938"/>
    </row>
    <row r="624" spans="1:34" ht="17.25" customHeight="1" x14ac:dyDescent="0.35">
      <c r="A624" s="938"/>
      <c r="B624" s="938"/>
      <c r="C624" s="941"/>
      <c r="D624" s="1047"/>
      <c r="E624" s="941"/>
      <c r="F624" s="938"/>
      <c r="G624" s="976">
        <f t="shared" si="11"/>
        <v>621</v>
      </c>
      <c r="H624" s="1000"/>
      <c r="I624" s="1001" t="s">
        <v>1059</v>
      </c>
      <c r="J624" s="1031" t="s">
        <v>1664</v>
      </c>
      <c r="K624" s="1002">
        <f>IF(I!K624="","",$D$2*I!K624)</f>
        <v>5.519214393E-2</v>
      </c>
      <c r="L624" s="981"/>
      <c r="M624" s="982"/>
      <c r="N624" s="1003"/>
      <c r="O624" s="1004">
        <f>IF(I!O624="","",$D$2*I!O624)</f>
        <v>0.17</v>
      </c>
      <c r="P624" s="1005">
        <f>IF(I!P624="","",$D$2*I!P624)</f>
        <v>4.2698377697000002E-2</v>
      </c>
      <c r="Q624" s="1006">
        <f>IF(I!Q624="","",$D$2*I!Q624)</f>
        <v>0</v>
      </c>
      <c r="R624" s="982"/>
      <c r="S624" s="1003"/>
      <c r="T624" s="938"/>
      <c r="U624" s="1008" t="s">
        <v>1059</v>
      </c>
      <c r="V624" s="1018" t="s">
        <v>6470</v>
      </c>
      <c r="W624" s="1019">
        <f>IF(I!W624="","",$D$2*I!W624)</f>
        <v>0.38530823980000001</v>
      </c>
      <c r="X624" s="990">
        <f>IF(I!X624="","",$D$2*I!X624)</f>
        <v>0.30436321129999999</v>
      </c>
      <c r="Y624" s="1010">
        <f>IF(I!Y624="","",$D$2*I!Y624)</f>
        <v>0.67009224979999993</v>
      </c>
      <c r="Z624" s="938"/>
      <c r="AA624" s="938"/>
      <c r="AB624" s="938"/>
      <c r="AC624" s="938"/>
      <c r="AD624" s="1058"/>
      <c r="AE624" s="938"/>
      <c r="AF624" s="938"/>
      <c r="AG624" s="938"/>
      <c r="AH624" s="938"/>
    </row>
    <row r="625" spans="1:34" ht="17.25" customHeight="1" x14ac:dyDescent="0.35">
      <c r="A625" s="938"/>
      <c r="B625" s="938"/>
      <c r="C625" s="941"/>
      <c r="D625" s="1047"/>
      <c r="E625" s="941"/>
      <c r="F625" s="938"/>
      <c r="G625" s="976">
        <f t="shared" si="11"/>
        <v>622</v>
      </c>
      <c r="H625" s="1000"/>
      <c r="I625" s="1001" t="s">
        <v>1059</v>
      </c>
      <c r="J625" s="1031" t="s">
        <v>1665</v>
      </c>
      <c r="K625" s="1002">
        <f>IF(I!K625="","",$D$2*I!K625)</f>
        <v>0.49540467470000005</v>
      </c>
      <c r="L625" s="981"/>
      <c r="M625" s="982"/>
      <c r="N625" s="1003"/>
      <c r="O625" s="1004">
        <f>IF(I!O625="","",$D$2*I!O625)</f>
        <v>1.56</v>
      </c>
      <c r="P625" s="1005">
        <f>IF(I!P625="","",$D$2*I!P625)</f>
        <v>0.38326063123999998</v>
      </c>
      <c r="Q625" s="1006">
        <f>IF(I!Q625="","",$D$2*I!Q625)</f>
        <v>0</v>
      </c>
      <c r="R625" s="982"/>
      <c r="S625" s="1003"/>
      <c r="T625" s="938"/>
      <c r="U625" s="1008" t="s">
        <v>1059</v>
      </c>
      <c r="V625" s="1018" t="s">
        <v>6471</v>
      </c>
      <c r="W625" s="1019">
        <f>IF(I!W625="","",$D$2*I!W625)</f>
        <v>0.42318273690000002</v>
      </c>
      <c r="X625" s="990">
        <f>IF(I!X625="","",$D$2*I!X625)</f>
        <v>0.34915012639999998</v>
      </c>
      <c r="Y625" s="1010">
        <f>IF(I!Y625="","",$D$2*I!Y625)</f>
        <v>0.80062574689999999</v>
      </c>
      <c r="Z625" s="938"/>
      <c r="AA625" s="938"/>
      <c r="AB625" s="938"/>
      <c r="AC625" s="938"/>
      <c r="AD625" s="1058"/>
      <c r="AE625" s="938"/>
      <c r="AF625" s="938"/>
      <c r="AG625" s="938"/>
      <c r="AH625" s="938"/>
    </row>
    <row r="626" spans="1:34" ht="17.25" customHeight="1" x14ac:dyDescent="0.35">
      <c r="A626" s="938"/>
      <c r="B626" s="938"/>
      <c r="C626" s="941"/>
      <c r="D626" s="1047"/>
      <c r="E626" s="941"/>
      <c r="F626" s="938"/>
      <c r="G626" s="976">
        <f t="shared" si="11"/>
        <v>623</v>
      </c>
      <c r="H626" s="1000"/>
      <c r="I626" s="1001" t="s">
        <v>1059</v>
      </c>
      <c r="J626" s="1031" t="s">
        <v>1666</v>
      </c>
      <c r="K626" s="1002">
        <f>IF(I!K626="","",$D$2*I!K626)</f>
        <v>0.31856904949999998</v>
      </c>
      <c r="L626" s="981"/>
      <c r="M626" s="982"/>
      <c r="N626" s="1003"/>
      <c r="O626" s="1004">
        <f>IF(I!O626="","",$D$2*I!O626)</f>
        <v>1.01</v>
      </c>
      <c r="P626" s="1005">
        <f>IF(I!P626="","",$D$2*I!P626)</f>
        <v>0.24645503500999999</v>
      </c>
      <c r="Q626" s="1006">
        <f>IF(I!Q626="","",$D$2*I!Q626)</f>
        <v>0</v>
      </c>
      <c r="R626" s="982"/>
      <c r="S626" s="1003"/>
      <c r="T626" s="938"/>
      <c r="U626" s="1008" t="s">
        <v>1059</v>
      </c>
      <c r="V626" s="1018" t="s">
        <v>6472</v>
      </c>
      <c r="W626" s="1019">
        <f>IF(I!W626="","",$D$2*I!W626)</f>
        <v>0.64870486099999991</v>
      </c>
      <c r="X626" s="990">
        <f>IF(I!X626="","",$D$2*I!X626)</f>
        <v>0.2940533501</v>
      </c>
      <c r="Y626" s="1010">
        <f>IF(I!Y626="","",$D$2*I!Y626)</f>
        <v>0.96006432099999994</v>
      </c>
      <c r="Z626" s="938"/>
      <c r="AA626" s="938"/>
      <c r="AB626" s="938"/>
      <c r="AC626" s="938"/>
      <c r="AD626" s="1058"/>
      <c r="AE626" s="938"/>
      <c r="AF626" s="938"/>
      <c r="AG626" s="938"/>
      <c r="AH626" s="938"/>
    </row>
    <row r="627" spans="1:34" ht="17.25" customHeight="1" x14ac:dyDescent="0.35">
      <c r="A627" s="938"/>
      <c r="B627" s="938"/>
      <c r="C627" s="941"/>
      <c r="D627" s="1047"/>
      <c r="E627" s="941"/>
      <c r="F627" s="938"/>
      <c r="G627" s="976">
        <f t="shared" si="11"/>
        <v>624</v>
      </c>
      <c r="H627" s="1000"/>
      <c r="I627" s="1001" t="s">
        <v>1059</v>
      </c>
      <c r="J627" s="1031" t="s">
        <v>1667</v>
      </c>
      <c r="K627" s="1002">
        <f>IF(I!K627="","",$D$2*I!K627)</f>
        <v>0.22297625840000002</v>
      </c>
      <c r="L627" s="981"/>
      <c r="M627" s="982"/>
      <c r="N627" s="1003"/>
      <c r="O627" s="1004">
        <f>IF(I!O627="","",$D$2*I!O627)</f>
        <v>0.7</v>
      </c>
      <c r="P627" s="1005">
        <f>IF(I!P627="","",$D$2*I!P627)</f>
        <v>0.17250144106000004</v>
      </c>
      <c r="Q627" s="1006">
        <f>IF(I!Q627="","",$D$2*I!Q627)</f>
        <v>0</v>
      </c>
      <c r="R627" s="982"/>
      <c r="S627" s="1003"/>
      <c r="T627" s="938"/>
      <c r="U627" s="1008" t="s">
        <v>1059</v>
      </c>
      <c r="V627" s="1018" t="s">
        <v>6473</v>
      </c>
      <c r="W627" s="1019">
        <f>IF(I!W627="","",$D$2*I!W627)</f>
        <v>0.21033439349999999</v>
      </c>
      <c r="X627" s="990">
        <f>IF(I!X627="","",$D$2*I!X627)</f>
        <v>0.20657059802</v>
      </c>
      <c r="Y627" s="1010">
        <f>IF(I!Y627="","",$D$2*I!Y627)</f>
        <v>1.8071590934999999</v>
      </c>
      <c r="Z627" s="938"/>
      <c r="AA627" s="938"/>
      <c r="AB627" s="938"/>
      <c r="AC627" s="938"/>
      <c r="AD627" s="1058"/>
      <c r="AE627" s="938"/>
      <c r="AF627" s="938"/>
      <c r="AG627" s="938"/>
      <c r="AH627" s="938"/>
    </row>
    <row r="628" spans="1:34" ht="17.25" customHeight="1" x14ac:dyDescent="0.35">
      <c r="A628" s="938"/>
      <c r="B628" s="938"/>
      <c r="C628" s="941"/>
      <c r="D628" s="1047"/>
      <c r="E628" s="941"/>
      <c r="F628" s="938"/>
      <c r="G628" s="976">
        <f t="shared" si="11"/>
        <v>625</v>
      </c>
      <c r="H628" s="1000"/>
      <c r="I628" s="1001" t="s">
        <v>1059</v>
      </c>
      <c r="J628" s="1031" t="s">
        <v>1668</v>
      </c>
      <c r="K628" s="1002">
        <f>IF(I!K628="","",$D$2*I!K628)</f>
        <v>0.14857725139</v>
      </c>
      <c r="L628" s="981"/>
      <c r="M628" s="982"/>
      <c r="N628" s="1003"/>
      <c r="O628" s="1004">
        <f>IF(I!O628="","",$D$2*I!O628)</f>
        <v>0.47</v>
      </c>
      <c r="P628" s="1005">
        <f>IF(I!P628="","",$D$2*I!P628)</f>
        <v>0.11494403141000001</v>
      </c>
      <c r="Q628" s="1006">
        <f>IF(I!Q628="","",$D$2*I!Q628)</f>
        <v>0</v>
      </c>
      <c r="R628" s="982"/>
      <c r="S628" s="1003"/>
      <c r="T628" s="938"/>
      <c r="U628" s="1008" t="s">
        <v>1059</v>
      </c>
      <c r="V628" s="1018" t="s">
        <v>6474</v>
      </c>
      <c r="W628" s="1019">
        <f>IF(I!W628="","",$D$2*I!W628)</f>
        <v>0.20765271600000001</v>
      </c>
      <c r="X628" s="990">
        <f>IF(I!X628="","",$D$2*I!X628)</f>
        <v>0.16742077024999999</v>
      </c>
      <c r="Y628" s="1010">
        <f>IF(I!Y628="","",$D$2*I!Y628)</f>
        <v>0.95316039600000002</v>
      </c>
      <c r="Z628" s="938"/>
      <c r="AA628" s="938"/>
      <c r="AB628" s="938"/>
      <c r="AC628" s="938"/>
      <c r="AD628" s="1058"/>
      <c r="AE628" s="938"/>
      <c r="AF628" s="938"/>
      <c r="AG628" s="938"/>
      <c r="AH628" s="938"/>
    </row>
    <row r="629" spans="1:34" ht="17.25" customHeight="1" x14ac:dyDescent="0.35">
      <c r="A629" s="938"/>
      <c r="B629" s="938"/>
      <c r="C629" s="941"/>
      <c r="D629" s="1047"/>
      <c r="E629" s="941"/>
      <c r="F629" s="938"/>
      <c r="G629" s="976">
        <f t="shared" si="11"/>
        <v>626</v>
      </c>
      <c r="H629" s="1000"/>
      <c r="I629" s="1001" t="s">
        <v>1059</v>
      </c>
      <c r="J629" s="1031" t="s">
        <v>1669</v>
      </c>
      <c r="K629" s="1002">
        <f>IF(I!K629="","",$D$2*I!K629)</f>
        <v>0.1114881303</v>
      </c>
      <c r="L629" s="981"/>
      <c r="M629" s="982"/>
      <c r="N629" s="1003"/>
      <c r="O629" s="1004">
        <f>IF(I!O629="","",$D$2*I!O629)</f>
        <v>0.35</v>
      </c>
      <c r="P629" s="1005">
        <f>IF(I!P629="","",$D$2*I!P629)</f>
        <v>8.625072243000001E-2</v>
      </c>
      <c r="Q629" s="1006">
        <f>IF(I!Q629="","",$D$2*I!Q629)</f>
        <v>0</v>
      </c>
      <c r="R629" s="982"/>
      <c r="S629" s="1003"/>
      <c r="T629" s="938"/>
      <c r="U629" s="1008" t="s">
        <v>1059</v>
      </c>
      <c r="V629" s="1018" t="s">
        <v>6475</v>
      </c>
      <c r="W629" s="1019">
        <f>IF(I!W629="","",$D$2*I!W629)</f>
        <v>0.16418878860000002</v>
      </c>
      <c r="X629" s="990">
        <f>IF(I!X629="","",$D$2*I!X629)</f>
        <v>0.18700188947999999</v>
      </c>
      <c r="Y629" s="1010">
        <f>IF(I!Y629="","",$D$2*I!Y629)</f>
        <v>1.5858989885999999</v>
      </c>
      <c r="Z629" s="938"/>
      <c r="AA629" s="938"/>
      <c r="AB629" s="938"/>
      <c r="AC629" s="938"/>
      <c r="AD629" s="1058"/>
      <c r="AE629" s="938"/>
      <c r="AF629" s="938"/>
      <c r="AG629" s="938"/>
      <c r="AH629" s="938"/>
    </row>
    <row r="630" spans="1:34" ht="17.25" customHeight="1" x14ac:dyDescent="0.35">
      <c r="A630" s="938"/>
      <c r="B630" s="938"/>
      <c r="C630" s="941"/>
      <c r="D630" s="1047"/>
      <c r="E630" s="941"/>
      <c r="F630" s="938"/>
      <c r="G630" s="976">
        <f t="shared" si="11"/>
        <v>627</v>
      </c>
      <c r="H630" s="1000"/>
      <c r="I630" s="1001" t="s">
        <v>1059</v>
      </c>
      <c r="J630" s="1031" t="s">
        <v>1670</v>
      </c>
      <c r="K630" s="1002">
        <f>IF(I!K630="","",$D$2*I!K630)</f>
        <v>7.4399009520000003E-2</v>
      </c>
      <c r="L630" s="981"/>
      <c r="M630" s="982"/>
      <c r="N630" s="1003"/>
      <c r="O630" s="1004">
        <f>IF(I!O630="","",$D$2*I!O630)</f>
        <v>0.23</v>
      </c>
      <c r="P630" s="1005">
        <f>IF(I!P630="","",$D$2*I!P630)</f>
        <v>5.7557412489999994E-2</v>
      </c>
      <c r="Q630" s="1006">
        <f>IF(I!Q630="","",$D$2*I!Q630)</f>
        <v>0</v>
      </c>
      <c r="R630" s="982"/>
      <c r="S630" s="1003"/>
      <c r="T630" s="938"/>
      <c r="U630" s="1008" t="s">
        <v>1059</v>
      </c>
      <c r="V630" s="1018" t="s">
        <v>6476</v>
      </c>
      <c r="W630" s="1019">
        <f>IF(I!W630="","",$D$2*I!W630)</f>
        <v>0.1602821337</v>
      </c>
      <c r="X630" s="990">
        <f>IF(I!X630="","",$D$2*I!X630)</f>
        <v>0.15155748048000001</v>
      </c>
      <c r="Y630" s="1010">
        <f>IF(I!Y630="","",$D$2*I!Y630)</f>
        <v>0.81007343369999996</v>
      </c>
      <c r="Z630" s="938"/>
      <c r="AA630" s="938"/>
      <c r="AB630" s="938"/>
      <c r="AC630" s="938"/>
      <c r="AD630" s="1058"/>
      <c r="AE630" s="938"/>
      <c r="AF630" s="938"/>
      <c r="AG630" s="938"/>
      <c r="AH630" s="938"/>
    </row>
    <row r="631" spans="1:34" ht="17.25" customHeight="1" x14ac:dyDescent="0.35">
      <c r="A631" s="938"/>
      <c r="B631" s="938"/>
      <c r="C631" s="941"/>
      <c r="D631" s="1047"/>
      <c r="E631" s="941"/>
      <c r="F631" s="938"/>
      <c r="G631" s="976">
        <f t="shared" si="11"/>
        <v>628</v>
      </c>
      <c r="H631" s="1000"/>
      <c r="I631" s="1001" t="s">
        <v>1059</v>
      </c>
      <c r="J631" s="1031" t="s">
        <v>1671</v>
      </c>
      <c r="K631" s="1002">
        <f>IF(I!K631="","",$D$2*I!K631)</f>
        <v>5.5854448980000006E-2</v>
      </c>
      <c r="L631" s="981"/>
      <c r="M631" s="982"/>
      <c r="N631" s="1003"/>
      <c r="O631" s="1004">
        <f>IF(I!O631="","",$D$2*I!O631)</f>
        <v>0.18</v>
      </c>
      <c r="P631" s="1005">
        <f>IF(I!P631="","",$D$2*I!P631)</f>
        <v>4.3210757481999998E-2</v>
      </c>
      <c r="Q631" s="1006">
        <f>IF(I!Q631="","",$D$2*I!Q631)</f>
        <v>0</v>
      </c>
      <c r="R631" s="982"/>
      <c r="S631" s="1003"/>
      <c r="T631" s="938"/>
      <c r="U631" s="1008" t="s">
        <v>1059</v>
      </c>
      <c r="V631" s="1018" t="s">
        <v>6477</v>
      </c>
      <c r="W631" s="1019">
        <f>IF(I!W631="","",$D$2*I!W631)</f>
        <v>0.58064836239999995</v>
      </c>
      <c r="X631" s="990">
        <f>IF(I!X631="","",$D$2*I!X631)</f>
        <v>0.77193112600000002</v>
      </c>
      <c r="Y631" s="1010">
        <f>IF(I!Y631="","",$D$2*I!Y631)</f>
        <v>1.1772897923999999</v>
      </c>
      <c r="Z631" s="938"/>
      <c r="AA631" s="938"/>
      <c r="AB631" s="938"/>
      <c r="AC631" s="938"/>
      <c r="AD631" s="1058"/>
      <c r="AE631" s="938"/>
      <c r="AF631" s="938"/>
      <c r="AG631" s="938"/>
      <c r="AH631" s="938"/>
    </row>
    <row r="632" spans="1:34" ht="17.25" customHeight="1" x14ac:dyDescent="0.35">
      <c r="A632" s="938"/>
      <c r="B632" s="938"/>
      <c r="C632" s="941"/>
      <c r="D632" s="1047"/>
      <c r="E632" s="941"/>
      <c r="F632" s="938"/>
      <c r="G632" s="976">
        <f t="shared" si="11"/>
        <v>629</v>
      </c>
      <c r="H632" s="1000"/>
      <c r="I632" s="1001" t="s">
        <v>1059</v>
      </c>
      <c r="J632" s="1031" t="s">
        <v>1672</v>
      </c>
      <c r="K632" s="1002">
        <f>IF(I!K632="","",$D$2*I!K632)</f>
        <v>4.459525198E-2</v>
      </c>
      <c r="L632" s="981"/>
      <c r="M632" s="982"/>
      <c r="N632" s="1003"/>
      <c r="O632" s="1004">
        <f>IF(I!O632="","",$D$2*I!O632)</f>
        <v>0.14000000000000001</v>
      </c>
      <c r="P632" s="1005">
        <f>IF(I!P632="","",$D$2*I!P632)</f>
        <v>3.4500289202999995E-2</v>
      </c>
      <c r="Q632" s="1006">
        <f>IF(I!Q632="","",$D$2*I!Q632)</f>
        <v>0</v>
      </c>
      <c r="R632" s="982"/>
      <c r="S632" s="1003"/>
      <c r="T632" s="938"/>
      <c r="U632" s="1008" t="s">
        <v>1059</v>
      </c>
      <c r="V632" s="1018" t="s">
        <v>6478</v>
      </c>
      <c r="W632" s="1019">
        <f>IF(I!W632="","",$D$2*I!W632)</f>
        <v>0.53787989410000003</v>
      </c>
      <c r="X632" s="990">
        <f>IF(I!X632="","",$D$2*I!X632)</f>
        <v>0.51527456816000006</v>
      </c>
      <c r="Y632" s="1010">
        <f>IF(I!Y632="","",$D$2*I!Y632)</f>
        <v>0.86370233410000008</v>
      </c>
      <c r="Z632" s="938"/>
      <c r="AA632" s="938"/>
      <c r="AB632" s="938"/>
      <c r="AC632" s="938"/>
      <c r="AD632" s="1058"/>
      <c r="AE632" s="938"/>
      <c r="AF632" s="938"/>
      <c r="AG632" s="938"/>
      <c r="AH632" s="938"/>
    </row>
    <row r="633" spans="1:34" ht="17.25" customHeight="1" x14ac:dyDescent="0.35">
      <c r="A633" s="938"/>
      <c r="B633" s="938"/>
      <c r="C633" s="941"/>
      <c r="D633" s="1047"/>
      <c r="E633" s="941"/>
      <c r="F633" s="938"/>
      <c r="G633" s="976">
        <f t="shared" si="11"/>
        <v>630</v>
      </c>
      <c r="H633" s="1000"/>
      <c r="I633" s="1001" t="s">
        <v>1059</v>
      </c>
      <c r="J633" s="1031" t="s">
        <v>1673</v>
      </c>
      <c r="K633" s="1002">
        <f>IF(I!K633="","",$D$2*I!K633)</f>
        <v>3.918642193E-2</v>
      </c>
      <c r="L633" s="981"/>
      <c r="M633" s="982"/>
      <c r="N633" s="1003"/>
      <c r="O633" s="1004">
        <f>IF(I!O633="","",$D$2*I!O633)</f>
        <v>0.12</v>
      </c>
      <c r="P633" s="1005">
        <f>IF(I!P633="","",$D$2*I!P633)</f>
        <v>3.0315848079999999E-2</v>
      </c>
      <c r="Q633" s="1006">
        <f>IF(I!Q633="","",$D$2*I!Q633)</f>
        <v>0</v>
      </c>
      <c r="R633" s="982"/>
      <c r="S633" s="1003"/>
      <c r="T633" s="938"/>
      <c r="U633" s="1008" t="s">
        <v>1059</v>
      </c>
      <c r="V633" s="1018" t="s">
        <v>6479</v>
      </c>
      <c r="W633" s="1019">
        <f>IF(I!W633="","",$D$2*I!W633)</f>
        <v>0.56179640909999995</v>
      </c>
      <c r="X633" s="990">
        <f>IF(I!X633="","",$D$2*I!X633)</f>
        <v>0.76976389468999995</v>
      </c>
      <c r="Y633" s="1010">
        <f>IF(I!Y633="","",$D$2*I!Y633)</f>
        <v>1.1409603791</v>
      </c>
      <c r="Z633" s="938"/>
      <c r="AA633" s="938"/>
      <c r="AB633" s="938"/>
      <c r="AC633" s="938"/>
      <c r="AD633" s="1058"/>
      <c r="AE633" s="938"/>
      <c r="AF633" s="938"/>
      <c r="AG633" s="938"/>
      <c r="AH633" s="938"/>
    </row>
    <row r="634" spans="1:34" ht="17.25" customHeight="1" x14ac:dyDescent="0.35">
      <c r="A634" s="938"/>
      <c r="B634" s="938"/>
      <c r="C634" s="941"/>
      <c r="D634" s="1047"/>
      <c r="E634" s="941"/>
      <c r="F634" s="938"/>
      <c r="G634" s="976">
        <f t="shared" si="11"/>
        <v>631</v>
      </c>
      <c r="H634" s="1000"/>
      <c r="I634" s="1001" t="s">
        <v>1059</v>
      </c>
      <c r="J634" s="1031" t="s">
        <v>1674</v>
      </c>
      <c r="K634" s="1002">
        <f>IF(I!K634="","",$D$2*I!K634)</f>
        <v>9.7414132259999991E-3</v>
      </c>
      <c r="L634" s="981"/>
      <c r="M634" s="982"/>
      <c r="N634" s="1003"/>
      <c r="O634" s="1004">
        <f>IF(I!O634="","",$D$2*I!O634)</f>
        <v>0.03</v>
      </c>
      <c r="P634" s="1005">
        <f>IF(I!P634="","",$D$2*I!P634)</f>
        <v>7.53626357E-3</v>
      </c>
      <c r="Q634" s="1006">
        <f>IF(I!Q634="","",$D$2*I!Q634)</f>
        <v>0</v>
      </c>
      <c r="R634" s="982"/>
      <c r="S634" s="1003"/>
      <c r="T634" s="938"/>
      <c r="U634" s="1008" t="s">
        <v>1059</v>
      </c>
      <c r="V634" s="1018" t="s">
        <v>6480</v>
      </c>
      <c r="W634" s="1019">
        <f>IF(I!W634="","",$D$2*I!W634)</f>
        <v>0.38738441420000003</v>
      </c>
      <c r="X634" s="990">
        <f>IF(I!X634="","",$D$2*I!X634)</f>
        <v>0.45771899106999997</v>
      </c>
      <c r="Y634" s="1010">
        <f>IF(I!Y634="","",$D$2*I!Y634)</f>
        <v>0.6272066342</v>
      </c>
      <c r="Z634" s="938"/>
      <c r="AA634" s="938"/>
      <c r="AB634" s="938"/>
      <c r="AC634" s="938"/>
      <c r="AD634" s="1058"/>
      <c r="AE634" s="938"/>
      <c r="AF634" s="938"/>
      <c r="AG634" s="938"/>
      <c r="AH634" s="938"/>
    </row>
    <row r="635" spans="1:34" ht="17.25" customHeight="1" x14ac:dyDescent="0.35">
      <c r="A635" s="938"/>
      <c r="B635" s="938"/>
      <c r="C635" s="941"/>
      <c r="D635" s="1047"/>
      <c r="E635" s="941"/>
      <c r="F635" s="938"/>
      <c r="G635" s="976">
        <f t="shared" si="11"/>
        <v>632</v>
      </c>
      <c r="H635" s="1000"/>
      <c r="I635" s="1001" t="s">
        <v>1059</v>
      </c>
      <c r="J635" s="1031" t="s">
        <v>1675</v>
      </c>
      <c r="K635" s="1002">
        <f>IF(I!K635="","",$D$2*I!K635)</f>
        <v>2.2076857289999998E-2</v>
      </c>
      <c r="L635" s="981"/>
      <c r="M635" s="982"/>
      <c r="N635" s="1003"/>
      <c r="O635" s="1004">
        <f>IF(I!O635="","",$D$2*I!O635)</f>
        <v>7.0000000000000007E-2</v>
      </c>
      <c r="P635" s="1005">
        <f>IF(I!P635="","",$D$2*I!P635)</f>
        <v>1.7079350434999998E-2</v>
      </c>
      <c r="Q635" s="1006">
        <f>IF(I!Q635="","",$D$2*I!Q635)</f>
        <v>0</v>
      </c>
      <c r="R635" s="982"/>
      <c r="S635" s="1003"/>
      <c r="T635" s="938"/>
      <c r="U635" s="1008" t="s">
        <v>1059</v>
      </c>
      <c r="V635" s="1018" t="s">
        <v>6481</v>
      </c>
      <c r="W635" s="1019">
        <f>IF(I!W635="","",$D$2*I!W635)</f>
        <v>0.49625380470000002</v>
      </c>
      <c r="X635" s="990">
        <f>IF(I!X635="","",$D$2*I!X635)</f>
        <v>0.64601911868999995</v>
      </c>
      <c r="Y635" s="1010">
        <f>IF(I!Y635="","",$D$2*I!Y635)</f>
        <v>1.0136511747000001</v>
      </c>
      <c r="Z635" s="938"/>
      <c r="AA635" s="938"/>
      <c r="AB635" s="938"/>
      <c r="AC635" s="938"/>
      <c r="AD635" s="1058"/>
      <c r="AE635" s="938"/>
      <c r="AF635" s="938"/>
      <c r="AG635" s="938"/>
      <c r="AH635" s="938"/>
    </row>
    <row r="636" spans="1:34" ht="17.25" customHeight="1" x14ac:dyDescent="0.35">
      <c r="A636" s="938"/>
      <c r="B636" s="938"/>
      <c r="C636" s="941"/>
      <c r="D636" s="1047"/>
      <c r="E636" s="941"/>
      <c r="F636" s="938"/>
      <c r="G636" s="976">
        <f t="shared" si="11"/>
        <v>633</v>
      </c>
      <c r="H636" s="1000"/>
      <c r="I636" s="1001" t="s">
        <v>1059</v>
      </c>
      <c r="J636" s="1031" t="s">
        <v>1676</v>
      </c>
      <c r="K636" s="1002">
        <f>IF(I!K636="","",$D$2*I!K636)</f>
        <v>2.1783235169999999</v>
      </c>
      <c r="L636" s="981"/>
      <c r="M636" s="982"/>
      <c r="N636" s="1003"/>
      <c r="O636" s="1004">
        <f>IF(I!O636="","",$D$2*I!O636)</f>
        <v>6.87</v>
      </c>
      <c r="P636" s="1005">
        <f>IF(I!P636="","",$D$2*I!P636)</f>
        <v>1.6852195894999999</v>
      </c>
      <c r="Q636" s="1006">
        <f>IF(I!Q636="","",$D$2*I!Q636)</f>
        <v>0</v>
      </c>
      <c r="R636" s="982"/>
      <c r="S636" s="1003"/>
      <c r="T636" s="938"/>
      <c r="U636" s="1008" t="s">
        <v>1059</v>
      </c>
      <c r="V636" s="1018" t="s">
        <v>6482</v>
      </c>
      <c r="W636" s="1019">
        <f>IF(I!W636="","",$D$2*I!W636)</f>
        <v>0.45373846580000005</v>
      </c>
      <c r="X636" s="990">
        <f>IF(I!X636="","",$D$2*I!X636)</f>
        <v>0.42639763546000004</v>
      </c>
      <c r="Y636" s="1010">
        <f>IF(I!Y636="","",$D$2*I!Y636)</f>
        <v>0.66639293580000003</v>
      </c>
      <c r="Z636" s="938"/>
      <c r="AA636" s="938"/>
      <c r="AB636" s="938"/>
      <c r="AC636" s="938"/>
      <c r="AD636" s="1058"/>
      <c r="AE636" s="938"/>
      <c r="AF636" s="938"/>
      <c r="AG636" s="938"/>
      <c r="AH636" s="938"/>
    </row>
    <row r="637" spans="1:34" ht="17.25" customHeight="1" x14ac:dyDescent="0.35">
      <c r="A637" s="938"/>
      <c r="B637" s="938"/>
      <c r="C637" s="941"/>
      <c r="D637" s="1047"/>
      <c r="E637" s="941"/>
      <c r="F637" s="938"/>
      <c r="G637" s="976">
        <f t="shared" si="11"/>
        <v>634</v>
      </c>
      <c r="H637" s="1000"/>
      <c r="I637" s="1001" t="s">
        <v>1059</v>
      </c>
      <c r="J637" s="1031" t="s">
        <v>1677</v>
      </c>
      <c r="K637" s="1002">
        <f>IF(I!K637="","",$D$2*I!K637)</f>
        <v>1.0890513723000002</v>
      </c>
      <c r="L637" s="981"/>
      <c r="M637" s="982"/>
      <c r="N637" s="1003"/>
      <c r="O637" s="1004">
        <f>IF(I!O637="","",$D$2*I!O637)</f>
        <v>3.44</v>
      </c>
      <c r="P637" s="1005">
        <f>IF(I!P637="","",$D$2*I!P637)</f>
        <v>0.84252438140000008</v>
      </c>
      <c r="Q637" s="1006">
        <f>IF(I!Q637="","",$D$2*I!Q637)</f>
        <v>0</v>
      </c>
      <c r="R637" s="982"/>
      <c r="S637" s="1003"/>
      <c r="T637" s="938"/>
      <c r="U637" s="1008" t="s">
        <v>1059</v>
      </c>
      <c r="V637" s="1018" t="s">
        <v>6483</v>
      </c>
      <c r="W637" s="1019">
        <f>IF(I!W637="","",$D$2*I!W637)</f>
        <v>0.45918605160000003</v>
      </c>
      <c r="X637" s="990">
        <f>IF(I!X637="","",$D$2*I!X637)</f>
        <v>0.43150695526999999</v>
      </c>
      <c r="Y637" s="1010">
        <f>IF(I!Y637="","",$D$2*I!Y637)</f>
        <v>0.74890548160000003</v>
      </c>
      <c r="Z637" s="938"/>
      <c r="AA637" s="938"/>
      <c r="AB637" s="938"/>
      <c r="AC637" s="938"/>
      <c r="AD637" s="1058"/>
      <c r="AE637" s="938"/>
      <c r="AF637" s="938"/>
      <c r="AG637" s="938"/>
      <c r="AH637" s="938"/>
    </row>
    <row r="638" spans="1:34" ht="17.25" customHeight="1" x14ac:dyDescent="0.35">
      <c r="A638" s="938"/>
      <c r="B638" s="938"/>
      <c r="C638" s="941"/>
      <c r="D638" s="1047"/>
      <c r="E638" s="941"/>
      <c r="F638" s="938"/>
      <c r="G638" s="976">
        <f t="shared" si="11"/>
        <v>635</v>
      </c>
      <c r="H638" s="1000"/>
      <c r="I638" s="1001" t="s">
        <v>1059</v>
      </c>
      <c r="J638" s="1031" t="s">
        <v>1678</v>
      </c>
      <c r="K638" s="1002">
        <f>IF(I!K638="","",$D$2*I!K638)</f>
        <v>0.72610783779999999</v>
      </c>
      <c r="L638" s="981"/>
      <c r="M638" s="982"/>
      <c r="N638" s="1003"/>
      <c r="O638" s="1004">
        <f>IF(I!O638="","",$D$2*I!O638)</f>
        <v>2.29</v>
      </c>
      <c r="P638" s="1005">
        <f>IF(I!P638="","",$D$2*I!P638)</f>
        <v>0.56173984700000001</v>
      </c>
      <c r="Q638" s="1006">
        <f>IF(I!Q638="","",$D$2*I!Q638)</f>
        <v>0</v>
      </c>
      <c r="R638" s="982"/>
      <c r="S638" s="1003"/>
      <c r="T638" s="938"/>
      <c r="U638" s="1008" t="s">
        <v>1059</v>
      </c>
      <c r="V638" s="1018" t="s">
        <v>6484</v>
      </c>
      <c r="W638" s="1019">
        <f>IF(I!W638="","",$D$2*I!W638)</f>
        <v>0.46381314379999999</v>
      </c>
      <c r="X638" s="990">
        <f>IF(I!X638="","",$D$2*I!X638)</f>
        <v>0.40668824446000001</v>
      </c>
      <c r="Y638" s="1010">
        <f>IF(I!Y638="","",$D$2*I!Y638)</f>
        <v>0.68707106379999994</v>
      </c>
      <c r="Z638" s="938"/>
      <c r="AA638" s="938"/>
      <c r="AB638" s="938"/>
      <c r="AC638" s="938"/>
      <c r="AD638" s="1058"/>
      <c r="AE638" s="938"/>
      <c r="AF638" s="938"/>
      <c r="AG638" s="938"/>
      <c r="AH638" s="938"/>
    </row>
    <row r="639" spans="1:34" ht="17.25" customHeight="1" x14ac:dyDescent="0.35">
      <c r="A639" s="938"/>
      <c r="B639" s="938"/>
      <c r="C639" s="941"/>
      <c r="D639" s="1047"/>
      <c r="E639" s="941"/>
      <c r="F639" s="938"/>
      <c r="G639" s="976">
        <f t="shared" si="11"/>
        <v>636</v>
      </c>
      <c r="H639" s="1000"/>
      <c r="I639" s="1001" t="s">
        <v>1059</v>
      </c>
      <c r="J639" s="1031" t="s">
        <v>1679</v>
      </c>
      <c r="K639" s="1002">
        <f>IF(I!K639="","",$D$2*I!K639)</f>
        <v>0.46670476259999999</v>
      </c>
      <c r="L639" s="981"/>
      <c r="M639" s="982"/>
      <c r="N639" s="1003"/>
      <c r="O639" s="1004">
        <f>IF(I!O639="","",$D$2*I!O639)</f>
        <v>1.47</v>
      </c>
      <c r="P639" s="1005">
        <f>IF(I!P639="","",$D$2*I!P639)</f>
        <v>0.36105747392999998</v>
      </c>
      <c r="Q639" s="1006">
        <f>IF(I!Q639="","",$D$2*I!Q639)</f>
        <v>0</v>
      </c>
      <c r="R639" s="982"/>
      <c r="S639" s="1003"/>
      <c r="T639" s="938"/>
      <c r="U639" s="1008" t="s">
        <v>1059</v>
      </c>
      <c r="V639" s="1018" t="s">
        <v>6485</v>
      </c>
      <c r="W639" s="1019">
        <f>IF(I!W639="","",$D$2*I!W639)</f>
        <v>0.44624838680000001</v>
      </c>
      <c r="X639" s="990">
        <f>IF(I!X639="","",$D$2*I!X639)</f>
        <v>0.43977450841000004</v>
      </c>
      <c r="Y639" s="1010">
        <f>IF(I!Y639="","",$D$2*I!Y639)</f>
        <v>0.76160018679999997</v>
      </c>
      <c r="Z639" s="938"/>
      <c r="AA639" s="938"/>
      <c r="AB639" s="938"/>
      <c r="AC639" s="938"/>
      <c r="AD639" s="1058"/>
      <c r="AE639" s="938"/>
      <c r="AF639" s="938"/>
      <c r="AG639" s="938"/>
      <c r="AH639" s="938"/>
    </row>
    <row r="640" spans="1:34" ht="17.25" customHeight="1" x14ac:dyDescent="0.35">
      <c r="A640" s="938"/>
      <c r="B640" s="938"/>
      <c r="C640" s="941"/>
      <c r="D640" s="1047"/>
      <c r="E640" s="941"/>
      <c r="F640" s="938"/>
      <c r="G640" s="976">
        <f t="shared" si="11"/>
        <v>637</v>
      </c>
      <c r="H640" s="1000"/>
      <c r="I640" s="1001" t="s">
        <v>1059</v>
      </c>
      <c r="J640" s="1031" t="s">
        <v>1680</v>
      </c>
      <c r="K640" s="1002">
        <f>IF(I!K640="","",$D$2*I!K640)</f>
        <v>0.3267374925</v>
      </c>
      <c r="L640" s="981"/>
      <c r="M640" s="982"/>
      <c r="N640" s="1003"/>
      <c r="O640" s="1004">
        <f>IF(I!O640="","",$D$2*I!O640)</f>
        <v>1.03</v>
      </c>
      <c r="P640" s="1005">
        <f>IF(I!P640="","",$D$2*I!P640)</f>
        <v>0.25277439029000004</v>
      </c>
      <c r="Q640" s="1006">
        <f>IF(I!Q640="","",$D$2*I!Q640)</f>
        <v>0</v>
      </c>
      <c r="R640" s="982"/>
      <c r="S640" s="1003"/>
      <c r="T640" s="938"/>
      <c r="U640" s="1008" t="s">
        <v>1059</v>
      </c>
      <c r="V640" s="1018" t="s">
        <v>6486</v>
      </c>
      <c r="W640" s="1019">
        <f>IF(I!W640="","",$D$2*I!W640)</f>
        <v>0.47895050479999995</v>
      </c>
      <c r="X640" s="990">
        <f>IF(I!X640="","",$D$2*I!X640)</f>
        <v>0.64532518661999994</v>
      </c>
      <c r="Y640" s="1010">
        <f>IF(I!Y640="","",$D$2*I!Y640)</f>
        <v>0.97982174479999995</v>
      </c>
      <c r="Z640" s="938"/>
      <c r="AA640" s="938"/>
      <c r="AB640" s="938"/>
      <c r="AC640" s="938"/>
      <c r="AD640" s="1058"/>
      <c r="AE640" s="938"/>
      <c r="AF640" s="938"/>
      <c r="AG640" s="938"/>
      <c r="AH640" s="938"/>
    </row>
    <row r="641" spans="1:34" ht="17.25" customHeight="1" x14ac:dyDescent="0.35">
      <c r="A641" s="938"/>
      <c r="B641" s="938"/>
      <c r="C641" s="941"/>
      <c r="D641" s="1047"/>
      <c r="E641" s="941"/>
      <c r="F641" s="938"/>
      <c r="G641" s="976">
        <f t="shared" si="11"/>
        <v>638</v>
      </c>
      <c r="H641" s="1000"/>
      <c r="I641" s="1001" t="s">
        <v>1059</v>
      </c>
      <c r="J641" s="1031" t="s">
        <v>1681</v>
      </c>
      <c r="K641" s="1002">
        <f>IF(I!K641="","",$D$2*I!K641)</f>
        <v>0.21789858150000002</v>
      </c>
      <c r="L641" s="981"/>
      <c r="M641" s="982"/>
      <c r="N641" s="1003"/>
      <c r="O641" s="1004">
        <f>IF(I!O641="","",$D$2*I!O641)</f>
        <v>0.69</v>
      </c>
      <c r="P641" s="1005">
        <f>IF(I!P641="","",$D$2*I!P641)</f>
        <v>0.16857319045999997</v>
      </c>
      <c r="Q641" s="1006">
        <f>IF(I!Q641="","",$D$2*I!Q641)</f>
        <v>0</v>
      </c>
      <c r="R641" s="982"/>
      <c r="S641" s="1003"/>
      <c r="T641" s="938"/>
      <c r="U641" s="1008" t="s">
        <v>1059</v>
      </c>
      <c r="V641" s="1018" t="s">
        <v>6487</v>
      </c>
      <c r="W641" s="1019">
        <f>IF(I!W641="","",$D$2*I!W641)</f>
        <v>0.5229928103</v>
      </c>
      <c r="X641" s="990">
        <f>IF(I!X641="","",$D$2*I!X641)</f>
        <v>0.52289338636000005</v>
      </c>
      <c r="Y641" s="1010">
        <f>IF(I!Y641="","",$D$2*I!Y641)</f>
        <v>0.78078037030000003</v>
      </c>
      <c r="Z641" s="938"/>
      <c r="AA641" s="938"/>
      <c r="AB641" s="938"/>
      <c r="AC641" s="938"/>
      <c r="AD641" s="1058"/>
      <c r="AE641" s="938"/>
      <c r="AF641" s="938"/>
      <c r="AG641" s="938"/>
      <c r="AH641" s="938"/>
    </row>
    <row r="642" spans="1:34" ht="17.25" customHeight="1" x14ac:dyDescent="0.35">
      <c r="A642" s="938"/>
      <c r="B642" s="938"/>
      <c r="C642" s="941"/>
      <c r="D642" s="1047"/>
      <c r="E642" s="941"/>
      <c r="F642" s="938"/>
      <c r="G642" s="976">
        <f t="shared" si="11"/>
        <v>639</v>
      </c>
      <c r="H642" s="1000"/>
      <c r="I642" s="1001" t="s">
        <v>1059</v>
      </c>
      <c r="J642" s="1031" t="s">
        <v>1682</v>
      </c>
      <c r="K642" s="1002">
        <f>IF(I!K642="","",$D$2*I!K642)</f>
        <v>0.16336874372999999</v>
      </c>
      <c r="L642" s="981"/>
      <c r="M642" s="982"/>
      <c r="N642" s="1003"/>
      <c r="O642" s="1004">
        <f>IF(I!O642="","",$D$2*I!O642)</f>
        <v>0.52</v>
      </c>
      <c r="P642" s="1005">
        <f>IF(I!P642="","",$D$2*I!P642)</f>
        <v>0.12638720065</v>
      </c>
      <c r="Q642" s="1006">
        <f>IF(I!Q642="","",$D$2*I!Q642)</f>
        <v>0</v>
      </c>
      <c r="R642" s="982"/>
      <c r="S642" s="1003"/>
      <c r="T642" s="938"/>
      <c r="U642" s="1008" t="s">
        <v>1059</v>
      </c>
      <c r="V642" s="1018" t="s">
        <v>6488</v>
      </c>
      <c r="W642" s="1019">
        <f>IF(I!W642="","",$D$2*I!W642)</f>
        <v>0.51305645359999996</v>
      </c>
      <c r="X642" s="990">
        <f>IF(I!X642="","",$D$2*I!X642)</f>
        <v>0.38937823976000002</v>
      </c>
      <c r="Y642" s="1010">
        <f>IF(I!Y642="","",$D$2*I!Y642)</f>
        <v>0.75501628359999995</v>
      </c>
      <c r="Z642" s="938"/>
      <c r="AA642" s="938"/>
      <c r="AB642" s="938"/>
      <c r="AC642" s="938"/>
      <c r="AD642" s="1058"/>
      <c r="AE642" s="938"/>
      <c r="AF642" s="938"/>
      <c r="AG642" s="938"/>
      <c r="AH642" s="938"/>
    </row>
    <row r="643" spans="1:34" ht="17.25" customHeight="1" x14ac:dyDescent="0.35">
      <c r="A643" s="938"/>
      <c r="B643" s="938"/>
      <c r="C643" s="941"/>
      <c r="D643" s="1047"/>
      <c r="E643" s="941"/>
      <c r="F643" s="938"/>
      <c r="G643" s="976">
        <f t="shared" si="11"/>
        <v>640</v>
      </c>
      <c r="H643" s="1000"/>
      <c r="I643" s="1001" t="s">
        <v>1059</v>
      </c>
      <c r="J643" s="1031" t="s">
        <v>1683</v>
      </c>
      <c r="K643" s="1002">
        <f>IF(I!K643="","",$D$2*I!K643)</f>
        <v>0.10883890724</v>
      </c>
      <c r="L643" s="981"/>
      <c r="M643" s="982"/>
      <c r="N643" s="1003"/>
      <c r="O643" s="1004">
        <f>IF(I!O643="","",$D$2*I!O643)</f>
        <v>0.34</v>
      </c>
      <c r="P643" s="1005">
        <f>IF(I!P643="","",$D$2*I!P643)</f>
        <v>8.4201200229999995E-2</v>
      </c>
      <c r="Q643" s="1006">
        <f>IF(I!Q643="","",$D$2*I!Q643)</f>
        <v>0</v>
      </c>
      <c r="R643" s="982"/>
      <c r="S643" s="1003"/>
      <c r="T643" s="938"/>
      <c r="U643" s="1008" t="s">
        <v>1059</v>
      </c>
      <c r="V643" s="1018" t="s">
        <v>6489</v>
      </c>
      <c r="W643" s="1019">
        <f>IF(I!W643="","",$D$2*I!W643)</f>
        <v>0.87169691539999994</v>
      </c>
      <c r="X643" s="990">
        <f>IF(I!X643="","",$D$2*I!X643)</f>
        <v>0.70343879029</v>
      </c>
      <c r="Y643" s="1010">
        <f>IF(I!Y643="","",$D$2*I!Y643)</f>
        <v>1.3120581454</v>
      </c>
      <c r="Z643" s="938"/>
      <c r="AA643" s="938"/>
      <c r="AB643" s="938"/>
      <c r="AC643" s="938"/>
      <c r="AD643" s="1058"/>
      <c r="AE643" s="938"/>
      <c r="AF643" s="938"/>
      <c r="AG643" s="938"/>
      <c r="AH643" s="938"/>
    </row>
    <row r="644" spans="1:34" ht="17.25" customHeight="1" x14ac:dyDescent="0.35">
      <c r="A644" s="938"/>
      <c r="B644" s="938"/>
      <c r="C644" s="941"/>
      <c r="D644" s="1047"/>
      <c r="E644" s="941"/>
      <c r="F644" s="938"/>
      <c r="G644" s="976">
        <f t="shared" si="11"/>
        <v>641</v>
      </c>
      <c r="H644" s="1000"/>
      <c r="I644" s="1001" t="s">
        <v>1059</v>
      </c>
      <c r="J644" s="1031" t="s">
        <v>1684</v>
      </c>
      <c r="K644" s="1002">
        <f>IF(I!K644="","",$D$2*I!K644)</f>
        <v>8.1684373469999988E-2</v>
      </c>
      <c r="L644" s="981"/>
      <c r="M644" s="982"/>
      <c r="N644" s="1003"/>
      <c r="O644" s="1004">
        <f>IF(I!O644="","",$D$2*I!O644)</f>
        <v>0.26</v>
      </c>
      <c r="P644" s="1005">
        <f>IF(I!P644="","",$D$2*I!P644)</f>
        <v>6.3193598069999996E-2</v>
      </c>
      <c r="Q644" s="1006">
        <f>IF(I!Q644="","",$D$2*I!Q644)</f>
        <v>0</v>
      </c>
      <c r="R644" s="982"/>
      <c r="S644" s="1003"/>
      <c r="T644" s="938"/>
      <c r="U644" s="1008" t="s">
        <v>1059</v>
      </c>
      <c r="V644" s="1018" t="s">
        <v>6490</v>
      </c>
      <c r="W644" s="1019">
        <f>IF(I!W644="","",$D$2*I!W644)</f>
        <v>0.59016211679999997</v>
      </c>
      <c r="X644" s="990">
        <f>IF(I!X644="","",$D$2*I!X644)</f>
        <v>0.26125818203000006</v>
      </c>
      <c r="Y644" s="1010">
        <f>IF(I!Y644="","",$D$2*I!Y644)</f>
        <v>1.1380036067999999</v>
      </c>
      <c r="Z644" s="938"/>
      <c r="AA644" s="938"/>
      <c r="AB644" s="938"/>
      <c r="AC644" s="938"/>
      <c r="AD644" s="1058"/>
      <c r="AE644" s="938"/>
      <c r="AF644" s="938"/>
      <c r="AG644" s="938"/>
      <c r="AH644" s="938"/>
    </row>
    <row r="645" spans="1:34" ht="17.25" customHeight="1" x14ac:dyDescent="0.35">
      <c r="A645" s="938"/>
      <c r="B645" s="938"/>
      <c r="C645" s="941"/>
      <c r="D645" s="1047"/>
      <c r="E645" s="941"/>
      <c r="F645" s="938"/>
      <c r="G645" s="976">
        <f t="shared" si="11"/>
        <v>642</v>
      </c>
      <c r="H645" s="1000"/>
      <c r="I645" s="1001" t="s">
        <v>1059</v>
      </c>
      <c r="J645" s="1031" t="s">
        <v>1685</v>
      </c>
      <c r="K645" s="1002">
        <f>IF(I!K645="","",$D$2*I!K645)</f>
        <v>6.5347497290000001E-2</v>
      </c>
      <c r="L645" s="981"/>
      <c r="M645" s="982"/>
      <c r="N645" s="1003"/>
      <c r="O645" s="1004">
        <f>IF(I!O645="","",$D$2*I!O645)</f>
        <v>0.21</v>
      </c>
      <c r="P645" s="1005">
        <f>IF(I!P645="","",$D$2*I!P645)</f>
        <v>5.0554879059000003E-2</v>
      </c>
      <c r="Q645" s="1006">
        <f>IF(I!Q645="","",$D$2*I!Q645)</f>
        <v>0</v>
      </c>
      <c r="R645" s="982"/>
      <c r="S645" s="1003"/>
      <c r="T645" s="938"/>
      <c r="U645" s="1008" t="s">
        <v>1059</v>
      </c>
      <c r="V645" s="1018" t="s">
        <v>6491</v>
      </c>
      <c r="W645" s="1019">
        <f>IF(I!W645="","",$D$2*I!W645)</f>
        <v>0.1409641707</v>
      </c>
      <c r="X645" s="990">
        <f>IF(I!X645="","",$D$2*I!X645)</f>
        <v>0.67138647935000006</v>
      </c>
      <c r="Y645" s="1010">
        <f>IF(I!Y645="","",$D$2*I!Y645)</f>
        <v>2.0097915707</v>
      </c>
      <c r="Z645" s="938"/>
      <c r="AA645" s="938"/>
      <c r="AB645" s="938"/>
      <c r="AC645" s="938"/>
      <c r="AD645" s="1058"/>
      <c r="AE645" s="938"/>
      <c r="AF645" s="938"/>
      <c r="AG645" s="938"/>
      <c r="AH645" s="938"/>
    </row>
    <row r="646" spans="1:34" ht="17.25" customHeight="1" x14ac:dyDescent="0.35">
      <c r="A646" s="938"/>
      <c r="B646" s="938"/>
      <c r="C646" s="941"/>
      <c r="D646" s="1047"/>
      <c r="E646" s="941"/>
      <c r="F646" s="938"/>
      <c r="G646" s="976">
        <f t="shared" ref="G646:G709" si="12">G645+1</f>
        <v>643</v>
      </c>
      <c r="H646" s="1000">
        <v>1</v>
      </c>
      <c r="I646" s="1001" t="s">
        <v>1059</v>
      </c>
      <c r="J646" s="1031" t="s">
        <v>1686</v>
      </c>
      <c r="K646" s="1002">
        <f>IF(I!K646="","",$D$2*I!K646)</f>
        <v>0.17750230172000001</v>
      </c>
      <c r="L646" s="981"/>
      <c r="M646" s="982"/>
      <c r="N646" s="1003"/>
      <c r="O646" s="1004">
        <f>IF(I!O646="","",$D$2*I!O646)</f>
        <v>0.59</v>
      </c>
      <c r="P646" s="1005">
        <f>IF(I!P646="","",$D$2*I!P646)</f>
        <v>0.88140456819000002</v>
      </c>
      <c r="Q646" s="1006">
        <f>IF(I!Q646="","",$D$2*I!Q646)</f>
        <v>6.0413480000000004E-10</v>
      </c>
      <c r="R646" s="982"/>
      <c r="S646" s="1003"/>
      <c r="T646" s="938"/>
      <c r="U646" s="1008" t="s">
        <v>1059</v>
      </c>
      <c r="V646" s="1018" t="s">
        <v>6492</v>
      </c>
      <c r="W646" s="1019">
        <f>IF(I!W646="","",$D$2*I!W646)</f>
        <v>0.2299448268</v>
      </c>
      <c r="X646" s="990">
        <f>IF(I!X646="","",$D$2*I!X646)</f>
        <v>0.60822011103000007</v>
      </c>
      <c r="Y646" s="1010">
        <f>IF(I!Y646="","",$D$2*I!Y646)</f>
        <v>1.7293663267999999</v>
      </c>
      <c r="Z646" s="938"/>
      <c r="AA646" s="938"/>
      <c r="AB646" s="938"/>
      <c r="AC646" s="938"/>
      <c r="AD646" s="1058"/>
      <c r="AE646" s="938"/>
      <c r="AF646" s="938"/>
      <c r="AG646" s="938"/>
      <c r="AH646" s="938"/>
    </row>
    <row r="647" spans="1:34" ht="17.25" customHeight="1" x14ac:dyDescent="0.35">
      <c r="A647" s="938"/>
      <c r="B647" s="938"/>
      <c r="C647" s="941"/>
      <c r="D647" s="1047"/>
      <c r="E647" s="941"/>
      <c r="F647" s="938"/>
      <c r="G647" s="976">
        <f t="shared" si="12"/>
        <v>644</v>
      </c>
      <c r="H647" s="1000"/>
      <c r="I647" s="1060"/>
      <c r="J647" s="1054"/>
      <c r="K647" s="1002" t="str">
        <f>IF(I!K647="","",$D$2*I!K647)</f>
        <v/>
      </c>
      <c r="L647" s="981"/>
      <c r="M647" s="982"/>
      <c r="N647" s="1003"/>
      <c r="O647" s="1004" t="str">
        <f>IF(I!O647="","",$D$2*I!O647)</f>
        <v/>
      </c>
      <c r="P647" s="1005" t="str">
        <f>IF(I!P647="","",$D$2*I!P647)</f>
        <v/>
      </c>
      <c r="Q647" s="1006" t="str">
        <f>IF(I!Q647="","",$D$2*I!Q647)</f>
        <v/>
      </c>
      <c r="R647" s="982"/>
      <c r="S647" s="1003"/>
      <c r="T647" s="938"/>
      <c r="U647" s="1008" t="s">
        <v>1059</v>
      </c>
      <c r="V647" s="1018" t="s">
        <v>6493</v>
      </c>
      <c r="W647" s="1019">
        <f>IF(I!W647="","",$D$2*I!W647)</f>
        <v>0.2326341375</v>
      </c>
      <c r="X647" s="990">
        <f>IF(I!X647="","",$D$2*I!X647)</f>
        <v>0.63501476357999997</v>
      </c>
      <c r="Y647" s="1010">
        <f>IF(I!Y647="","",$D$2*I!Y647)</f>
        <v>1.0767007275</v>
      </c>
      <c r="Z647" s="938"/>
      <c r="AA647" s="938"/>
      <c r="AB647" s="938"/>
      <c r="AC647" s="938"/>
      <c r="AD647" s="1058"/>
      <c r="AE647" s="938"/>
      <c r="AF647" s="938"/>
      <c r="AG647" s="938"/>
      <c r="AH647" s="938"/>
    </row>
    <row r="648" spans="1:34" ht="17.25" customHeight="1" x14ac:dyDescent="0.35">
      <c r="A648" s="938"/>
      <c r="B648" s="938"/>
      <c r="C648" s="941"/>
      <c r="D648" s="1047"/>
      <c r="E648" s="941"/>
      <c r="F648" s="938"/>
      <c r="G648" s="976">
        <f t="shared" si="12"/>
        <v>645</v>
      </c>
      <c r="H648" s="1070" t="s">
        <v>1687</v>
      </c>
      <c r="I648" s="1060"/>
      <c r="J648" s="1054"/>
      <c r="K648" s="1002" t="str">
        <f>IF(I!K648="","",$D$2*I!K648)</f>
        <v/>
      </c>
      <c r="L648" s="981"/>
      <c r="M648" s="982"/>
      <c r="N648" s="1003"/>
      <c r="O648" s="1004" t="str">
        <f>IF(I!O648="","",$D$2*I!O648)</f>
        <v/>
      </c>
      <c r="P648" s="1005" t="str">
        <f>IF(I!P648="","",$D$2*I!P648)</f>
        <v/>
      </c>
      <c r="Q648" s="1006" t="str">
        <f>IF(I!Q648="","",$D$2*I!Q648)</f>
        <v/>
      </c>
      <c r="R648" s="982"/>
      <c r="S648" s="1003"/>
      <c r="T648" s="938"/>
      <c r="U648" s="1008" t="s">
        <v>1059</v>
      </c>
      <c r="V648" s="1018" t="s">
        <v>6494</v>
      </c>
      <c r="W648" s="1019">
        <f>IF(I!W648="","",$D$2*I!W648)</f>
        <v>0.32498967900000003</v>
      </c>
      <c r="X648" s="990">
        <f>IF(I!X648="","",$D$2*I!X648)</f>
        <v>0.63804997949999998</v>
      </c>
      <c r="Y648" s="1010">
        <f>IF(I!Y648="","",$D$2*I!Y648)</f>
        <v>1.5529925789999999</v>
      </c>
      <c r="Z648" s="938"/>
      <c r="AA648" s="938"/>
      <c r="AB648" s="938"/>
      <c r="AC648" s="938"/>
      <c r="AD648" s="1058"/>
      <c r="AE648" s="938"/>
      <c r="AF648" s="938"/>
      <c r="AG648" s="938"/>
      <c r="AH648" s="938"/>
    </row>
    <row r="649" spans="1:34" ht="17.25" customHeight="1" x14ac:dyDescent="0.35">
      <c r="A649" s="938"/>
      <c r="B649" s="938"/>
      <c r="C649" s="941"/>
      <c r="D649" s="1047"/>
      <c r="E649" s="941"/>
      <c r="F649" s="938"/>
      <c r="G649" s="976">
        <f t="shared" si="12"/>
        <v>646</v>
      </c>
      <c r="H649" s="942" t="s">
        <v>1688</v>
      </c>
      <c r="I649" s="1060"/>
      <c r="J649" s="1027"/>
      <c r="K649" s="1002" t="str">
        <f>IF(I!K649="","",$D$2*I!K649)</f>
        <v/>
      </c>
      <c r="L649" s="981"/>
      <c r="M649" s="982"/>
      <c r="N649" s="1003"/>
      <c r="O649" s="1004" t="str">
        <f>IF(I!O649="","",$D$2*I!O649)</f>
        <v/>
      </c>
      <c r="P649" s="1005" t="str">
        <f>IF(I!P649="","",$D$2*I!P649)</f>
        <v/>
      </c>
      <c r="Q649" s="1006" t="str">
        <f>IF(I!Q649="","",$D$2*I!Q649)</f>
        <v/>
      </c>
      <c r="R649" s="982"/>
      <c r="S649" s="1003"/>
      <c r="T649" s="938"/>
      <c r="U649" s="1008" t="s">
        <v>1059</v>
      </c>
      <c r="V649" s="1018" t="s">
        <v>6495</v>
      </c>
      <c r="W649" s="1019">
        <f>IF(I!W649="","",$D$2*I!W649)</f>
        <v>0.24332987740000001</v>
      </c>
      <c r="X649" s="990">
        <f>IF(I!X649="","",$D$2*I!X649)</f>
        <v>0.63495248341999999</v>
      </c>
      <c r="Y649" s="1010">
        <f>IF(I!Y649="","",$D$2*I!Y649)</f>
        <v>0.9858394774</v>
      </c>
      <c r="Z649" s="938"/>
      <c r="AA649" s="938"/>
      <c r="AB649" s="938"/>
      <c r="AC649" s="938"/>
      <c r="AD649" s="1058"/>
      <c r="AE649" s="938"/>
      <c r="AF649" s="938"/>
      <c r="AG649" s="938"/>
      <c r="AH649" s="938"/>
    </row>
    <row r="650" spans="1:34" ht="17.25" customHeight="1" x14ac:dyDescent="0.35">
      <c r="A650" s="938"/>
      <c r="B650" s="938"/>
      <c r="C650" s="941"/>
      <c r="D650" s="1047"/>
      <c r="E650" s="941"/>
      <c r="F650" s="938"/>
      <c r="G650" s="976">
        <f t="shared" si="12"/>
        <v>647</v>
      </c>
      <c r="H650" s="1000"/>
      <c r="I650" s="1001" t="s">
        <v>1059</v>
      </c>
      <c r="J650" s="1031" t="s">
        <v>1689</v>
      </c>
      <c r="K650" s="1002">
        <f>IF(I!K650="","",$D$2*I!K650)</f>
        <v>4.0417944110000001E-3</v>
      </c>
      <c r="L650" s="981"/>
      <c r="M650" s="982"/>
      <c r="N650" s="1003"/>
      <c r="O650" s="1004">
        <f>IF(I!O650="","",$D$2*I!O650)</f>
        <v>0.02</v>
      </c>
      <c r="P650" s="1005">
        <f>IF(I!P650="","",$D$2*I!P650)</f>
        <v>1.4287988675E-2</v>
      </c>
      <c r="Q650" s="1006" t="str">
        <f>IF(I!Q650="","",$D$2*I!Q650)</f>
        <v/>
      </c>
      <c r="R650" s="982"/>
      <c r="S650" s="1003"/>
      <c r="T650" s="938"/>
      <c r="U650" s="1008" t="s">
        <v>1059</v>
      </c>
      <c r="V650" s="1018" t="s">
        <v>6496</v>
      </c>
      <c r="W650" s="1019">
        <f>IF(I!W650="","",$D$2*I!W650)</f>
        <v>0.3356151718</v>
      </c>
      <c r="X650" s="990">
        <f>IF(I!X650="","",$D$2*I!X650)</f>
        <v>0.57492889657000001</v>
      </c>
      <c r="Y650" s="1010">
        <f>IF(I!Y650="","",$D$2*I!Y650)</f>
        <v>1.0717684618000001</v>
      </c>
      <c r="Z650" s="938"/>
      <c r="AA650" s="938"/>
      <c r="AB650" s="938"/>
      <c r="AC650" s="938"/>
      <c r="AD650" s="1058"/>
      <c r="AE650" s="938"/>
      <c r="AF650" s="938"/>
      <c r="AG650" s="938"/>
      <c r="AH650" s="938"/>
    </row>
    <row r="651" spans="1:34" ht="17.25" customHeight="1" x14ac:dyDescent="0.35">
      <c r="A651" s="938"/>
      <c r="B651" s="938"/>
      <c r="C651" s="941"/>
      <c r="D651" s="1047"/>
      <c r="E651" s="941"/>
      <c r="F651" s="938"/>
      <c r="G651" s="976">
        <f t="shared" si="12"/>
        <v>648</v>
      </c>
      <c r="H651" s="1000"/>
      <c r="I651" s="1001" t="s">
        <v>1059</v>
      </c>
      <c r="J651" s="1031" t="s">
        <v>1690</v>
      </c>
      <c r="K651" s="1002">
        <f>IF(I!K651="","",$D$2*I!K651)</f>
        <v>4.0417944110000001E-3</v>
      </c>
      <c r="L651" s="981"/>
      <c r="M651" s="982"/>
      <c r="N651" s="1003"/>
      <c r="O651" s="1004">
        <f>IF(I!O651="","",$D$2*I!O651)</f>
        <v>0.42</v>
      </c>
      <c r="P651" s="1005">
        <f>IF(I!P651="","",$D$2*I!P651)</f>
        <v>4.2135380285039998</v>
      </c>
      <c r="Q651" s="1006" t="str">
        <f>IF(I!Q651="","",$D$2*I!Q651)</f>
        <v/>
      </c>
      <c r="R651" s="982"/>
      <c r="S651" s="1003"/>
      <c r="T651" s="938"/>
      <c r="U651" s="1008" t="s">
        <v>1059</v>
      </c>
      <c r="V651" s="1018" t="s">
        <v>6497</v>
      </c>
      <c r="W651" s="1019">
        <f>IF(I!W651="","",$D$2*I!W651)</f>
        <v>0.238620585</v>
      </c>
      <c r="X651" s="990">
        <f>IF(I!X651="","",$D$2*I!X651)</f>
        <v>0.63049900164000006</v>
      </c>
      <c r="Y651" s="1010">
        <f>IF(I!Y651="","",$D$2*I!Y651)</f>
        <v>1.1617185050000001</v>
      </c>
      <c r="Z651" s="938"/>
      <c r="AA651" s="938"/>
      <c r="AB651" s="938"/>
      <c r="AC651" s="938"/>
      <c r="AD651" s="1058"/>
      <c r="AE651" s="938"/>
      <c r="AF651" s="938"/>
      <c r="AG651" s="938"/>
      <c r="AH651" s="938"/>
    </row>
    <row r="652" spans="1:34" ht="17.25" customHeight="1" x14ac:dyDescent="0.35">
      <c r="A652" s="938"/>
      <c r="B652" s="938"/>
      <c r="C652" s="941"/>
      <c r="D652" s="1047"/>
      <c r="E652" s="941"/>
      <c r="F652" s="938"/>
      <c r="G652" s="976">
        <f t="shared" si="12"/>
        <v>649</v>
      </c>
      <c r="H652" s="1000"/>
      <c r="I652" s="1001" t="s">
        <v>1059</v>
      </c>
      <c r="J652" s="1031" t="s">
        <v>1691</v>
      </c>
      <c r="K652" s="1002">
        <f>IF(I!K652="","",$D$2*I!K652)</f>
        <v>3.7632896100000006E-3</v>
      </c>
      <c r="L652" s="981"/>
      <c r="M652" s="982"/>
      <c r="N652" s="1003"/>
      <c r="O652" s="1004">
        <f>IF(I!O652="","",$D$2*I!O652)</f>
        <v>0.02</v>
      </c>
      <c r="P652" s="1005">
        <f>IF(I!P652="","",$D$2*I!P652)</f>
        <v>1.3269882516E-2</v>
      </c>
      <c r="Q652" s="1006" t="str">
        <f>IF(I!Q652="","",$D$2*I!Q652)</f>
        <v/>
      </c>
      <c r="R652" s="982"/>
      <c r="S652" s="1003"/>
      <c r="T652" s="938"/>
      <c r="U652" s="1008" t="s">
        <v>1059</v>
      </c>
      <c r="V652" s="1018" t="s">
        <v>6498</v>
      </c>
      <c r="W652" s="1019">
        <f>IF(I!W652="","",$D$2*I!W652)</f>
        <v>0.2443276291</v>
      </c>
      <c r="X652" s="990">
        <f>IF(I!X652="","",$D$2*I!X652)</f>
        <v>0.62845867871000005</v>
      </c>
      <c r="Y652" s="1010">
        <f>IF(I!Y652="","",$D$2*I!Y652)</f>
        <v>1.3174509291000001</v>
      </c>
      <c r="Z652" s="938"/>
      <c r="AA652" s="938"/>
      <c r="AB652" s="938"/>
      <c r="AC652" s="938"/>
      <c r="AD652" s="1058"/>
      <c r="AE652" s="938"/>
      <c r="AF652" s="938"/>
      <c r="AG652" s="938"/>
      <c r="AH652" s="938"/>
    </row>
    <row r="653" spans="1:34" ht="17.25" customHeight="1" x14ac:dyDescent="0.35">
      <c r="A653" s="938"/>
      <c r="B653" s="938"/>
      <c r="C653" s="941"/>
      <c r="D653" s="1047"/>
      <c r="E653" s="941"/>
      <c r="F653" s="938"/>
      <c r="G653" s="976">
        <f t="shared" si="12"/>
        <v>650</v>
      </c>
      <c r="H653" s="1000"/>
      <c r="I653" s="1001" t="s">
        <v>1059</v>
      </c>
      <c r="J653" s="1031" t="s">
        <v>1692</v>
      </c>
      <c r="K653" s="1002">
        <f>IF(I!K653="","",$D$2*I!K653)</f>
        <v>3.7632896100000006E-3</v>
      </c>
      <c r="L653" s="981"/>
      <c r="M653" s="982"/>
      <c r="N653" s="1003"/>
      <c r="O653" s="1004">
        <f>IF(I!O653="","",$D$2*I!O653)</f>
        <v>0.42</v>
      </c>
      <c r="P653" s="1005">
        <f>IF(I!P653="","",$D$2*I!P653)</f>
        <v>5.2332699081409997</v>
      </c>
      <c r="Q653" s="1006" t="str">
        <f>IF(I!Q653="","",$D$2*I!Q653)</f>
        <v/>
      </c>
      <c r="R653" s="982"/>
      <c r="S653" s="1003"/>
      <c r="T653" s="938"/>
      <c r="U653" s="1008" t="s">
        <v>1059</v>
      </c>
      <c r="V653" s="1018" t="s">
        <v>6499</v>
      </c>
      <c r="W653" s="1019">
        <f>IF(I!W653="","",$D$2*I!W653)</f>
        <v>0.25209696850000002</v>
      </c>
      <c r="X653" s="990">
        <f>IF(I!X653="","",$D$2*I!X653)</f>
        <v>0.61951331066000004</v>
      </c>
      <c r="Y653" s="1010">
        <f>IF(I!Y653="","",$D$2*I!Y653)</f>
        <v>1.5119321685</v>
      </c>
      <c r="Z653" s="938"/>
      <c r="AA653" s="938"/>
      <c r="AB653" s="938"/>
      <c r="AC653" s="938"/>
      <c r="AD653" s="1058"/>
      <c r="AE653" s="938"/>
      <c r="AF653" s="938"/>
      <c r="AG653" s="938"/>
      <c r="AH653" s="938"/>
    </row>
    <row r="654" spans="1:34" ht="17.25" customHeight="1" x14ac:dyDescent="0.35">
      <c r="A654" s="938"/>
      <c r="B654" s="938"/>
      <c r="C654" s="941"/>
      <c r="D654" s="1047"/>
      <c r="E654" s="941"/>
      <c r="F654" s="938"/>
      <c r="G654" s="976">
        <f t="shared" si="12"/>
        <v>651</v>
      </c>
      <c r="H654" s="1000"/>
      <c r="I654" s="1001" t="s">
        <v>1059</v>
      </c>
      <c r="J654" s="1031" t="s">
        <v>1693</v>
      </c>
      <c r="K654" s="1002">
        <f>IF(I!K654="","",$D$2*I!K654)</f>
        <v>3.614753776E-3</v>
      </c>
      <c r="L654" s="981"/>
      <c r="M654" s="982"/>
      <c r="N654" s="1003"/>
      <c r="O654" s="1004">
        <f>IF(I!O654="","",$D$2*I!O654)</f>
        <v>0.02</v>
      </c>
      <c r="P654" s="1005">
        <f>IF(I!P654="","",$D$2*I!P654)</f>
        <v>1.2726891625999999E-2</v>
      </c>
      <c r="Q654" s="1006" t="str">
        <f>IF(I!Q654="","",$D$2*I!Q654)</f>
        <v/>
      </c>
      <c r="R654" s="982"/>
      <c r="S654" s="1003"/>
      <c r="T654" s="938"/>
      <c r="U654" s="1008" t="s">
        <v>1059</v>
      </c>
      <c r="V654" s="1018" t="s">
        <v>6500</v>
      </c>
      <c r="W654" s="1019">
        <f>IF(I!W654="","",$D$2*I!W654)</f>
        <v>0.14499131279999999</v>
      </c>
      <c r="X654" s="990">
        <f>IF(I!X654="","",$D$2*I!X654)</f>
        <v>0.60228118019999999</v>
      </c>
      <c r="Y654" s="1010">
        <f>IF(I!Y654="","",$D$2*I!Y654)</f>
        <v>1.8532834128</v>
      </c>
      <c r="Z654" s="938"/>
      <c r="AA654" s="938"/>
      <c r="AB654" s="938"/>
      <c r="AC654" s="938"/>
      <c r="AD654" s="1058"/>
      <c r="AE654" s="938"/>
      <c r="AF654" s="938"/>
      <c r="AG654" s="938"/>
      <c r="AH654" s="938"/>
    </row>
    <row r="655" spans="1:34" ht="17.25" customHeight="1" x14ac:dyDescent="0.35">
      <c r="A655" s="938"/>
      <c r="B655" s="938"/>
      <c r="C655" s="941"/>
      <c r="D655" s="1047"/>
      <c r="E655" s="941"/>
      <c r="F655" s="938"/>
      <c r="G655" s="976">
        <f t="shared" si="12"/>
        <v>652</v>
      </c>
      <c r="H655" s="1000"/>
      <c r="I655" s="1001" t="s">
        <v>1059</v>
      </c>
      <c r="J655" s="1031" t="s">
        <v>1694</v>
      </c>
      <c r="K655" s="1002">
        <f>IF(I!K655="","",$D$2*I!K655)</f>
        <v>3.614753776E-3</v>
      </c>
      <c r="L655" s="981"/>
      <c r="M655" s="982"/>
      <c r="N655" s="1003"/>
      <c r="O655" s="1004">
        <f>IF(I!O655="","",$D$2*I!O655)</f>
        <v>0.42</v>
      </c>
      <c r="P655" s="1005">
        <f>IF(I!P655="","",$D$2*I!P655)</f>
        <v>2.577726863009</v>
      </c>
      <c r="Q655" s="1006" t="str">
        <f>IF(I!Q655="","",$D$2*I!Q655)</f>
        <v/>
      </c>
      <c r="R655" s="982"/>
      <c r="S655" s="1003"/>
      <c r="T655" s="938"/>
      <c r="U655" s="1008" t="s">
        <v>1059</v>
      </c>
      <c r="V655" s="1018" t="s">
        <v>6501</v>
      </c>
      <c r="W655" s="1019">
        <f>IF(I!W655="","",$D$2*I!W655)</f>
        <v>0.22174271030000001</v>
      </c>
      <c r="X655" s="990">
        <f>IF(I!X655="","",$D$2*I!X655)</f>
        <v>0.54555033873000003</v>
      </c>
      <c r="Y655" s="1010">
        <f>IF(I!Y655="","",$D$2*I!Y655)</f>
        <v>1.5946644103000001</v>
      </c>
      <c r="Z655" s="938"/>
      <c r="AA655" s="938"/>
      <c r="AB655" s="938"/>
      <c r="AC655" s="938"/>
      <c r="AD655" s="1058"/>
      <c r="AE655" s="938"/>
      <c r="AF655" s="938"/>
      <c r="AG655" s="938"/>
      <c r="AH655" s="938"/>
    </row>
    <row r="656" spans="1:34" ht="17.25" customHeight="1" x14ac:dyDescent="0.35">
      <c r="A656" s="938"/>
      <c r="B656" s="938"/>
      <c r="C656" s="941"/>
      <c r="D656" s="1047"/>
      <c r="E656" s="941"/>
      <c r="F656" s="938"/>
      <c r="G656" s="976">
        <f t="shared" si="12"/>
        <v>653</v>
      </c>
      <c r="H656" s="1000"/>
      <c r="I656" s="1001" t="s">
        <v>1059</v>
      </c>
      <c r="J656" s="1031" t="s">
        <v>1695</v>
      </c>
      <c r="K656" s="1002">
        <f>IF(I!K656="","",$D$2*I!K656)</f>
        <v>4.4317010110000001E-3</v>
      </c>
      <c r="L656" s="981"/>
      <c r="M656" s="982"/>
      <c r="N656" s="1003"/>
      <c r="O656" s="1004">
        <f>IF(I!O656="","",$D$2*I!O656)</f>
        <v>0.02</v>
      </c>
      <c r="P656" s="1005">
        <f>IF(I!P656="","",$D$2*I!P656)</f>
        <v>1.5713337506999998E-2</v>
      </c>
      <c r="Q656" s="1006" t="str">
        <f>IF(I!Q656="","",$D$2*I!Q656)</f>
        <v/>
      </c>
      <c r="R656" s="982"/>
      <c r="S656" s="1003"/>
      <c r="T656" s="938"/>
      <c r="U656" s="1008" t="s">
        <v>1059</v>
      </c>
      <c r="V656" s="1018" t="s">
        <v>6502</v>
      </c>
      <c r="W656" s="1019">
        <f>IF(I!W656="","",$D$2*I!W656)</f>
        <v>0.20055638250000002</v>
      </c>
      <c r="X656" s="990">
        <f>IF(I!X656="","",$D$2*I!X656)</f>
        <v>0.51972501915000002</v>
      </c>
      <c r="Y656" s="1010">
        <f>IF(I!Y656="","",$D$2*I!Y656)</f>
        <v>0.90920922249999991</v>
      </c>
      <c r="Z656" s="938"/>
      <c r="AA656" s="938"/>
      <c r="AB656" s="938"/>
      <c r="AC656" s="938"/>
      <c r="AD656" s="1058"/>
      <c r="AE656" s="938"/>
      <c r="AF656" s="938"/>
      <c r="AG656" s="938"/>
      <c r="AH656" s="938"/>
    </row>
    <row r="657" spans="1:34" ht="17.25" customHeight="1" x14ac:dyDescent="0.35">
      <c r="A657" s="938"/>
      <c r="B657" s="938"/>
      <c r="C657" s="941"/>
      <c r="D657" s="1047"/>
      <c r="E657" s="941"/>
      <c r="F657" s="938"/>
      <c r="G657" s="976">
        <f t="shared" si="12"/>
        <v>654</v>
      </c>
      <c r="H657" s="1000"/>
      <c r="I657" s="1001" t="s">
        <v>1059</v>
      </c>
      <c r="J657" s="1031" t="s">
        <v>1696</v>
      </c>
      <c r="K657" s="1002">
        <f>IF(I!K657="","",$D$2*I!K657)</f>
        <v>4.4317010110000001E-3</v>
      </c>
      <c r="L657" s="981"/>
      <c r="M657" s="982"/>
      <c r="N657" s="1003"/>
      <c r="O657" s="1004">
        <f>IF(I!O657="","",$D$2*I!O657)</f>
        <v>0.42</v>
      </c>
      <c r="P657" s="1005">
        <f>IF(I!P657="","",$D$2*I!P657)</f>
        <v>4.1407133572219994</v>
      </c>
      <c r="Q657" s="1006" t="str">
        <f>IF(I!Q657="","",$D$2*I!Q657)</f>
        <v/>
      </c>
      <c r="R657" s="982"/>
      <c r="S657" s="1003"/>
      <c r="T657" s="938"/>
      <c r="U657" s="1008" t="s">
        <v>1059</v>
      </c>
      <c r="V657" s="1018" t="s">
        <v>6503</v>
      </c>
      <c r="W657" s="1019">
        <f>IF(I!W657="","",$D$2*I!W657)</f>
        <v>0.27637402599999999</v>
      </c>
      <c r="X657" s="990">
        <f>IF(I!X657="","",$D$2*I!X657)</f>
        <v>0.52219796686999997</v>
      </c>
      <c r="Y657" s="1010">
        <f>IF(I!Y657="","",$D$2*I!Y657)</f>
        <v>1.299029926</v>
      </c>
      <c r="Z657" s="938"/>
      <c r="AA657" s="938"/>
      <c r="AB657" s="938"/>
      <c r="AC657" s="938"/>
      <c r="AD657" s="1058"/>
      <c r="AE657" s="938"/>
      <c r="AF657" s="938"/>
      <c r="AG657" s="938"/>
      <c r="AH657" s="938"/>
    </row>
    <row r="658" spans="1:34" ht="17.25" customHeight="1" x14ac:dyDescent="0.35">
      <c r="A658" s="938"/>
      <c r="B658" s="938"/>
      <c r="C658" s="941"/>
      <c r="D658" s="1047"/>
      <c r="E658" s="941"/>
      <c r="F658" s="938"/>
      <c r="G658" s="976">
        <f t="shared" si="12"/>
        <v>655</v>
      </c>
      <c r="H658" s="1000"/>
      <c r="I658" s="1001" t="s">
        <v>1059</v>
      </c>
      <c r="J658" s="1031" t="s">
        <v>1697</v>
      </c>
      <c r="K658" s="1002">
        <f>IF(I!K658="","",$D$2*I!K658)</f>
        <v>4.0974953069999997E-3</v>
      </c>
      <c r="L658" s="981"/>
      <c r="M658" s="982"/>
      <c r="N658" s="1003"/>
      <c r="O658" s="1004">
        <f>IF(I!O658="","",$D$2*I!O658)</f>
        <v>0.02</v>
      </c>
      <c r="P658" s="1005">
        <f>IF(I!P658="","",$D$2*I!P658)</f>
        <v>1.4491609511E-2</v>
      </c>
      <c r="Q658" s="1006" t="str">
        <f>IF(I!Q658="","",$D$2*I!Q658)</f>
        <v/>
      </c>
      <c r="R658" s="982"/>
      <c r="S658" s="1003"/>
      <c r="T658" s="938"/>
      <c r="U658" s="1008" t="s">
        <v>1059</v>
      </c>
      <c r="V658" s="1018" t="s">
        <v>6504</v>
      </c>
      <c r="W658" s="1019">
        <f>IF(I!W658="","",$D$2*I!W658)</f>
        <v>0.209711648</v>
      </c>
      <c r="X658" s="990">
        <f>IF(I!X658="","",$D$2*I!X658)</f>
        <v>0.52012222395000007</v>
      </c>
      <c r="Y658" s="1010">
        <f>IF(I!Y658="","",$D$2*I!Y658)</f>
        <v>0.83567766799999998</v>
      </c>
      <c r="Z658" s="938"/>
      <c r="AA658" s="938"/>
      <c r="AB658" s="938"/>
      <c r="AC658" s="938"/>
      <c r="AD658" s="1058"/>
      <c r="AE658" s="938"/>
      <c r="AF658" s="938"/>
      <c r="AG658" s="938"/>
      <c r="AH658" s="938"/>
    </row>
    <row r="659" spans="1:34" ht="17.25" customHeight="1" x14ac:dyDescent="0.35">
      <c r="A659" s="938"/>
      <c r="B659" s="938"/>
      <c r="C659" s="941"/>
      <c r="D659" s="1047"/>
      <c r="E659" s="941"/>
      <c r="F659" s="938"/>
      <c r="G659" s="976">
        <f t="shared" si="12"/>
        <v>656</v>
      </c>
      <c r="H659" s="1000"/>
      <c r="I659" s="1001" t="s">
        <v>1059</v>
      </c>
      <c r="J659" s="1031" t="s">
        <v>1698</v>
      </c>
      <c r="K659" s="1002">
        <f>IF(I!K659="","",$D$2*I!K659)</f>
        <v>4.0974953069999997E-3</v>
      </c>
      <c r="L659" s="981"/>
      <c r="M659" s="982"/>
      <c r="N659" s="1003"/>
      <c r="O659" s="1004">
        <f>IF(I!O659="","",$D$2*I!O659)</f>
        <v>0.42</v>
      </c>
      <c r="P659" s="1005">
        <f>IF(I!P659="","",$D$2*I!P659)</f>
        <v>4.0644916321810003</v>
      </c>
      <c r="Q659" s="1006" t="str">
        <f>IF(I!Q659="","",$D$2*I!Q659)</f>
        <v/>
      </c>
      <c r="R659" s="982"/>
      <c r="S659" s="1003"/>
      <c r="T659" s="938"/>
      <c r="U659" s="1008" t="s">
        <v>1059</v>
      </c>
      <c r="V659" s="1018" t="s">
        <v>6505</v>
      </c>
      <c r="W659" s="1019">
        <f>IF(I!W659="","",$D$2*I!W659)</f>
        <v>0.28465405919999998</v>
      </c>
      <c r="X659" s="990">
        <f>IF(I!X659="","",$D$2*I!X659)</f>
        <v>0.47041736279000002</v>
      </c>
      <c r="Y659" s="1010">
        <f>IF(I!Y659="","",$D$2*I!Y659)</f>
        <v>0.90654344919999996</v>
      </c>
      <c r="Z659" s="938"/>
      <c r="AA659" s="938"/>
      <c r="AB659" s="938"/>
      <c r="AC659" s="938"/>
      <c r="AD659" s="1058"/>
      <c r="AE659" s="938"/>
      <c r="AF659" s="938"/>
      <c r="AG659" s="938"/>
      <c r="AH659" s="938"/>
    </row>
    <row r="660" spans="1:34" ht="17.25" customHeight="1" x14ac:dyDescent="0.35">
      <c r="A660" s="938"/>
      <c r="B660" s="938"/>
      <c r="C660" s="941"/>
      <c r="D660" s="1047"/>
      <c r="E660" s="941"/>
      <c r="F660" s="938"/>
      <c r="G660" s="976">
        <f t="shared" si="12"/>
        <v>657</v>
      </c>
      <c r="H660" s="1000"/>
      <c r="I660" s="1001" t="s">
        <v>1059</v>
      </c>
      <c r="J660" s="1031" t="s">
        <v>1699</v>
      </c>
      <c r="K660" s="1002">
        <f>IF(I!K660="","",$D$2*I!K660)</f>
        <v>4.283165177E-3</v>
      </c>
      <c r="L660" s="981"/>
      <c r="M660" s="982"/>
      <c r="N660" s="1003"/>
      <c r="O660" s="1004">
        <f>IF(I!O660="","",$D$2*I!O660)</f>
        <v>0.02</v>
      </c>
      <c r="P660" s="1005">
        <f>IF(I!P660="","",$D$2*I!P660)</f>
        <v>1.5170347617E-2</v>
      </c>
      <c r="Q660" s="1006" t="str">
        <f>IF(I!Q660="","",$D$2*I!Q660)</f>
        <v/>
      </c>
      <c r="R660" s="982"/>
      <c r="S660" s="1003"/>
      <c r="T660" s="938"/>
      <c r="U660" s="1008" t="s">
        <v>1059</v>
      </c>
      <c r="V660" s="1018" t="s">
        <v>6506</v>
      </c>
      <c r="W660" s="1019">
        <f>IF(I!W660="","",$D$2*I!W660)</f>
        <v>0.20366478710000002</v>
      </c>
      <c r="X660" s="990">
        <f>IF(I!X660="","",$D$2*I!X660)</f>
        <v>0.51585474065000003</v>
      </c>
      <c r="Y660" s="1010">
        <f>IF(I!Y660="","",$D$2*I!Y660)</f>
        <v>0.97548307710000004</v>
      </c>
      <c r="Z660" s="938"/>
      <c r="AA660" s="938"/>
      <c r="AB660" s="938"/>
      <c r="AC660" s="938"/>
      <c r="AD660" s="1058"/>
      <c r="AE660" s="938"/>
      <c r="AF660" s="938"/>
      <c r="AG660" s="938"/>
      <c r="AH660" s="938"/>
    </row>
    <row r="661" spans="1:34" ht="17.25" customHeight="1" x14ac:dyDescent="0.35">
      <c r="A661" s="938"/>
      <c r="B661" s="938"/>
      <c r="C661" s="941"/>
      <c r="D661" s="1047"/>
      <c r="E661" s="941"/>
      <c r="F661" s="938"/>
      <c r="G661" s="976">
        <f t="shared" si="12"/>
        <v>658</v>
      </c>
      <c r="H661" s="1000"/>
      <c r="I661" s="1001" t="s">
        <v>1059</v>
      </c>
      <c r="J661" s="1031" t="s">
        <v>1700</v>
      </c>
      <c r="K661" s="1002">
        <f>IF(I!K661="","",$D$2*I!K661)</f>
        <v>4.283165177E-3</v>
      </c>
      <c r="L661" s="981"/>
      <c r="M661" s="982"/>
      <c r="N661" s="1003"/>
      <c r="O661" s="1004">
        <f>IF(I!O661="","",$D$2*I!O661)</f>
        <v>0.42</v>
      </c>
      <c r="P661" s="1005">
        <f>IF(I!P661="","",$D$2*I!P661)</f>
        <v>4.75892031309</v>
      </c>
      <c r="Q661" s="1006" t="str">
        <f>IF(I!Q661="","",$D$2*I!Q661)</f>
        <v/>
      </c>
      <c r="R661" s="982"/>
      <c r="S661" s="1003"/>
      <c r="T661" s="938"/>
      <c r="U661" s="1008" t="s">
        <v>1059</v>
      </c>
      <c r="V661" s="1018" t="s">
        <v>6507</v>
      </c>
      <c r="W661" s="1019">
        <f>IF(I!W661="","",$D$2*I!W661)</f>
        <v>0.21046557640000002</v>
      </c>
      <c r="X661" s="990">
        <f>IF(I!X661="","",$D$2*I!X661)</f>
        <v>0.51410265563000002</v>
      </c>
      <c r="Y661" s="1010">
        <f>IF(I!Y661="","",$D$2*I!Y661)</f>
        <v>1.1084829264</v>
      </c>
      <c r="Z661" s="938"/>
      <c r="AA661" s="938"/>
      <c r="AB661" s="938"/>
      <c r="AC661" s="938"/>
      <c r="AD661" s="1058"/>
      <c r="AE661" s="938"/>
      <c r="AF661" s="938"/>
      <c r="AG661" s="938"/>
      <c r="AH661" s="938"/>
    </row>
    <row r="662" spans="1:34" ht="17.25" customHeight="1" x14ac:dyDescent="0.35">
      <c r="A662" s="938"/>
      <c r="B662" s="938"/>
      <c r="C662" s="941"/>
      <c r="D662" s="1047"/>
      <c r="E662" s="941"/>
      <c r="F662" s="938"/>
      <c r="G662" s="976">
        <f t="shared" si="12"/>
        <v>659</v>
      </c>
      <c r="H662" s="1000"/>
      <c r="I662" s="1001" t="s">
        <v>1059</v>
      </c>
      <c r="J662" s="1031" t="s">
        <v>1701</v>
      </c>
      <c r="K662" s="1002">
        <f>IF(I!K662="","",$D$2*I!K662)</f>
        <v>3.781856668E-3</v>
      </c>
      <c r="L662" s="981"/>
      <c r="M662" s="982"/>
      <c r="N662" s="1003"/>
      <c r="O662" s="1004">
        <f>IF(I!O662="","",$D$2*I!O662)</f>
        <v>0.02</v>
      </c>
      <c r="P662" s="1005">
        <f>IF(I!P662="","",$D$2*I!P662)</f>
        <v>1.3337756125000001E-2</v>
      </c>
      <c r="Q662" s="1006" t="str">
        <f>IF(I!Q662="","",$D$2*I!Q662)</f>
        <v/>
      </c>
      <c r="R662" s="982"/>
      <c r="S662" s="1003"/>
      <c r="T662" s="938"/>
      <c r="U662" s="1008" t="s">
        <v>1059</v>
      </c>
      <c r="V662" s="1018" t="s">
        <v>6508</v>
      </c>
      <c r="W662" s="1019">
        <f>IF(I!W662="","",$D$2*I!W662)</f>
        <v>0.21512740260000002</v>
      </c>
      <c r="X662" s="990">
        <f>IF(I!X662="","",$D$2*I!X662)</f>
        <v>0.50696203349000002</v>
      </c>
      <c r="Y662" s="1010">
        <f>IF(I!Y662="","",$D$2*I!Y662)</f>
        <v>1.2627768026000001</v>
      </c>
      <c r="Z662" s="938"/>
      <c r="AA662" s="938"/>
      <c r="AB662" s="938"/>
      <c r="AC662" s="938"/>
      <c r="AD662" s="1058"/>
      <c r="AE662" s="938"/>
      <c r="AF662" s="938"/>
      <c r="AG662" s="938"/>
      <c r="AH662" s="938"/>
    </row>
    <row r="663" spans="1:34" ht="17.25" customHeight="1" x14ac:dyDescent="0.35">
      <c r="A663" s="938"/>
      <c r="B663" s="938"/>
      <c r="C663" s="941"/>
      <c r="D663" s="1047"/>
      <c r="E663" s="941"/>
      <c r="F663" s="938"/>
      <c r="G663" s="976">
        <f t="shared" si="12"/>
        <v>660</v>
      </c>
      <c r="H663" s="1000"/>
      <c r="I663" s="1001" t="s">
        <v>1059</v>
      </c>
      <c r="J663" s="1031" t="s">
        <v>1702</v>
      </c>
      <c r="K663" s="1002">
        <f>IF(I!K663="","",$D$2*I!K663)</f>
        <v>3.781856668E-3</v>
      </c>
      <c r="L663" s="981"/>
      <c r="M663" s="982"/>
      <c r="N663" s="1003"/>
      <c r="O663" s="1004">
        <f>IF(I!O663="","",$D$2*I!O663)</f>
        <v>0.42</v>
      </c>
      <c r="P663" s="1005">
        <f>IF(I!P663="","",$D$2*I!P663)</f>
        <v>5.2333377760299999</v>
      </c>
      <c r="Q663" s="1006" t="str">
        <f>IF(I!Q663="","",$D$2*I!Q663)</f>
        <v/>
      </c>
      <c r="R663" s="982"/>
      <c r="S663" s="1003"/>
      <c r="T663" s="938"/>
      <c r="U663" s="1008" t="s">
        <v>1059</v>
      </c>
      <c r="V663" s="1018" t="s">
        <v>6509</v>
      </c>
      <c r="W663" s="1019">
        <f>IF(I!W663="","",$D$2*I!W663)</f>
        <v>0.21155516820000003</v>
      </c>
      <c r="X663" s="990">
        <f>IF(I!X663="","",$D$2*I!X663)</f>
        <v>0.60363342453000013</v>
      </c>
      <c r="Y663" s="1010">
        <f>IF(I!Y663="","",$D$2*I!Y663)</f>
        <v>0.37416371820000005</v>
      </c>
      <c r="Z663" s="938"/>
      <c r="AA663" s="938"/>
      <c r="AB663" s="938"/>
      <c r="AC663" s="938"/>
      <c r="AD663" s="1058"/>
      <c r="AE663" s="938"/>
      <c r="AF663" s="938"/>
      <c r="AG663" s="938"/>
      <c r="AH663" s="938"/>
    </row>
    <row r="664" spans="1:34" ht="17.25" customHeight="1" x14ac:dyDescent="0.35">
      <c r="A664" s="938"/>
      <c r="B664" s="938"/>
      <c r="C664" s="941"/>
      <c r="D664" s="1047"/>
      <c r="E664" s="941"/>
      <c r="F664" s="938"/>
      <c r="G664" s="976">
        <f t="shared" si="12"/>
        <v>661</v>
      </c>
      <c r="H664" s="1000"/>
      <c r="I664" s="1001" t="s">
        <v>1059</v>
      </c>
      <c r="J664" s="1031" t="s">
        <v>1703</v>
      </c>
      <c r="K664" s="1002">
        <f>IF(I!K664="","",$D$2*I!K664)</f>
        <v>3.9489594810000004E-3</v>
      </c>
      <c r="L664" s="981"/>
      <c r="M664" s="982"/>
      <c r="N664" s="1003"/>
      <c r="O664" s="1004">
        <f>IF(I!O664="","",$D$2*I!O664)</f>
        <v>0.02</v>
      </c>
      <c r="P664" s="1005">
        <f>IF(I!P664="","",$D$2*I!P664)</f>
        <v>1.3948619622000001E-2</v>
      </c>
      <c r="Q664" s="1006" t="str">
        <f>IF(I!Q664="","",$D$2*I!Q664)</f>
        <v/>
      </c>
      <c r="R664" s="982"/>
      <c r="S664" s="1003"/>
      <c r="T664" s="938"/>
      <c r="U664" s="1008" t="s">
        <v>1059</v>
      </c>
      <c r="V664" s="1018" t="s">
        <v>6510</v>
      </c>
      <c r="W664" s="1019">
        <f>IF(I!W664="","",$D$2*I!W664)</f>
        <v>5.0158547339999998E-2</v>
      </c>
      <c r="X664" s="990">
        <f>IF(I!X664="","",$D$2*I!X664)</f>
        <v>0.10334227447</v>
      </c>
      <c r="Y664" s="1010">
        <f>IF(I!Y664="","",$D$2*I!Y664)</f>
        <v>0.35825946734000003</v>
      </c>
      <c r="Z664" s="938"/>
      <c r="AA664" s="938"/>
      <c r="AB664" s="938"/>
      <c r="AC664" s="938"/>
      <c r="AD664" s="1058"/>
      <c r="AE664" s="938"/>
      <c r="AF664" s="938"/>
      <c r="AG664" s="938"/>
      <c r="AH664" s="938"/>
    </row>
    <row r="665" spans="1:34" ht="17.25" customHeight="1" x14ac:dyDescent="0.35">
      <c r="A665" s="938"/>
      <c r="B665" s="938"/>
      <c r="C665" s="941"/>
      <c r="D665" s="1047"/>
      <c r="E665" s="941"/>
      <c r="F665" s="938"/>
      <c r="G665" s="976">
        <f t="shared" si="12"/>
        <v>662</v>
      </c>
      <c r="H665" s="1000"/>
      <c r="I665" s="1001" t="s">
        <v>1059</v>
      </c>
      <c r="J665" s="1031" t="s">
        <v>1704</v>
      </c>
      <c r="K665" s="1002">
        <f>IF(I!K665="","",$D$2*I!K665)</f>
        <v>3.9489594810000004E-3</v>
      </c>
      <c r="L665" s="981"/>
      <c r="M665" s="982"/>
      <c r="N665" s="1003"/>
      <c r="O665" s="1004">
        <f>IF(I!O665="","",$D$2*I!O665)</f>
        <v>0.42</v>
      </c>
      <c r="P665" s="1005">
        <f>IF(I!P665="","",$D$2*I!P665)</f>
        <v>5.7739485880499997</v>
      </c>
      <c r="Q665" s="1006" t="str">
        <f>IF(I!Q665="","",$D$2*I!Q665)</f>
        <v/>
      </c>
      <c r="R665" s="982"/>
      <c r="S665" s="1003"/>
      <c r="T665" s="938"/>
      <c r="U665" s="1008" t="s">
        <v>1059</v>
      </c>
      <c r="V665" s="1018" t="s">
        <v>6511</v>
      </c>
      <c r="W665" s="1019">
        <f>IF(I!W665="","",$D$2*I!W665)</f>
        <v>5.9144971800000001E-2</v>
      </c>
      <c r="X665" s="990">
        <f>IF(I!X665="","",$D$2*I!X665)</f>
        <v>9.3515828160000009E-2</v>
      </c>
      <c r="Y665" s="1010">
        <f>IF(I!Y665="","",$D$2*I!Y665)</f>
        <v>0.30425347180000001</v>
      </c>
      <c r="Z665" s="938"/>
      <c r="AA665" s="938"/>
      <c r="AB665" s="938"/>
      <c r="AC665" s="938"/>
      <c r="AD665" s="1058"/>
      <c r="AE665" s="938"/>
      <c r="AF665" s="938"/>
      <c r="AG665" s="938"/>
      <c r="AH665" s="938"/>
    </row>
    <row r="666" spans="1:34" ht="17.25" customHeight="1" x14ac:dyDescent="0.35">
      <c r="A666" s="938"/>
      <c r="B666" s="938"/>
      <c r="C666" s="941"/>
      <c r="D666" s="1047"/>
      <c r="E666" s="941"/>
      <c r="F666" s="938"/>
      <c r="G666" s="976">
        <f t="shared" si="12"/>
        <v>663</v>
      </c>
      <c r="H666" s="1000"/>
      <c r="I666" s="1001" t="s">
        <v>1059</v>
      </c>
      <c r="J666" s="1031" t="s">
        <v>1705</v>
      </c>
      <c r="K666" s="1002">
        <f>IF(I!K666="","",$D$2*I!K666)</f>
        <v>3.5961868070000002E-3</v>
      </c>
      <c r="L666" s="981"/>
      <c r="M666" s="982"/>
      <c r="N666" s="1003"/>
      <c r="O666" s="1004">
        <f>IF(I!O666="","",$D$2*I!O666)</f>
        <v>0.02</v>
      </c>
      <c r="P666" s="1005">
        <f>IF(I!P666="","",$D$2*I!P666)</f>
        <v>1.2659018018E-2</v>
      </c>
      <c r="Q666" s="1006" t="str">
        <f>IF(I!Q666="","",$D$2*I!Q666)</f>
        <v/>
      </c>
      <c r="R666" s="982"/>
      <c r="S666" s="1003"/>
      <c r="T666" s="938"/>
      <c r="U666" s="1008" t="s">
        <v>1059</v>
      </c>
      <c r="V666" s="1018" t="s">
        <v>6512</v>
      </c>
      <c r="W666" s="1019">
        <f>IF(I!W666="","",$D$2*I!W666)</f>
        <v>6.0354380210000003E-2</v>
      </c>
      <c r="X666" s="990">
        <f>IF(I!X666="","",$D$2*I!X666)</f>
        <v>0.10006108249000001</v>
      </c>
      <c r="Y666" s="1010">
        <f>IF(I!Y666="","",$D$2*I!Y666)</f>
        <v>0.21210040021000001</v>
      </c>
      <c r="Z666" s="938"/>
      <c r="AA666" s="938"/>
      <c r="AB666" s="938"/>
      <c r="AC666" s="938"/>
      <c r="AD666" s="1058"/>
      <c r="AE666" s="938"/>
      <c r="AF666" s="938"/>
      <c r="AG666" s="938"/>
      <c r="AH666" s="938"/>
    </row>
    <row r="667" spans="1:34" ht="17.25" customHeight="1" x14ac:dyDescent="0.35">
      <c r="A667" s="938"/>
      <c r="B667" s="938"/>
      <c r="C667" s="941"/>
      <c r="D667" s="1047"/>
      <c r="E667" s="941"/>
      <c r="F667" s="938"/>
      <c r="G667" s="976">
        <f t="shared" si="12"/>
        <v>664</v>
      </c>
      <c r="H667" s="1000"/>
      <c r="I667" s="1001" t="s">
        <v>1059</v>
      </c>
      <c r="J667" s="1031" t="s">
        <v>1706</v>
      </c>
      <c r="K667" s="1002">
        <f>IF(I!K667="","",$D$2*I!K667)</f>
        <v>2.1225565860000001E-3</v>
      </c>
      <c r="L667" s="981"/>
      <c r="M667" s="982"/>
      <c r="N667" s="1003"/>
      <c r="O667" s="1004">
        <f>IF(I!O667="","",$D$2*I!O667)</f>
        <v>0.41</v>
      </c>
      <c r="P667" s="1005">
        <f>IF(I!P667="","",$D$2*I!P667)</f>
        <v>3.7915189291194</v>
      </c>
      <c r="Q667" s="1006" t="str">
        <f>IF(I!Q667="","",$D$2*I!Q667)</f>
        <v/>
      </c>
      <c r="R667" s="982"/>
      <c r="S667" s="1003"/>
      <c r="T667" s="938"/>
      <c r="U667" s="1008" t="s">
        <v>1059</v>
      </c>
      <c r="V667" s="1018" t="s">
        <v>6513</v>
      </c>
      <c r="W667" s="1019">
        <f>IF(I!W667="","",$D$2*I!W667)</f>
        <v>7.8380788000000007E-2</v>
      </c>
      <c r="X667" s="990">
        <f>IF(I!X667="","",$D$2*I!X667)</f>
        <v>0.10039854261</v>
      </c>
      <c r="Y667" s="1010">
        <f>IF(I!Y667="","",$D$2*I!Y667)</f>
        <v>0.28871303800000003</v>
      </c>
      <c r="Z667" s="938"/>
      <c r="AA667" s="938"/>
      <c r="AB667" s="938"/>
      <c r="AC667" s="938"/>
      <c r="AD667" s="1058"/>
      <c r="AE667" s="938"/>
      <c r="AF667" s="938"/>
      <c r="AG667" s="938"/>
      <c r="AH667" s="938"/>
    </row>
    <row r="668" spans="1:34" ht="17.25" customHeight="1" x14ac:dyDescent="0.35">
      <c r="A668" s="938"/>
      <c r="B668" s="938"/>
      <c r="C668" s="941"/>
      <c r="D668" s="1047"/>
      <c r="E668" s="941"/>
      <c r="F668" s="938"/>
      <c r="G668" s="976">
        <f t="shared" si="12"/>
        <v>665</v>
      </c>
      <c r="H668" s="1000"/>
      <c r="I668" s="1001" t="s">
        <v>1059</v>
      </c>
      <c r="J668" s="1031" t="s">
        <v>1707</v>
      </c>
      <c r="K668" s="1002">
        <f>IF(I!K668="","",$D$2*I!K668)</f>
        <v>3.894224094E-3</v>
      </c>
      <c r="L668" s="981"/>
      <c r="M668" s="982"/>
      <c r="N668" s="1003"/>
      <c r="O668" s="1004">
        <f>IF(I!O668="","",$D$2*I!O668)</f>
        <v>0.02</v>
      </c>
      <c r="P668" s="1005">
        <f>IF(I!P668="","",$D$2*I!P668)</f>
        <v>1.3906732072999998E-2</v>
      </c>
      <c r="Q668" s="1006" t="str">
        <f>IF(I!Q668="","",$D$2*I!Q668)</f>
        <v/>
      </c>
      <c r="R668" s="982"/>
      <c r="S668" s="1003"/>
      <c r="T668" s="938"/>
      <c r="U668" s="1008" t="s">
        <v>1059</v>
      </c>
      <c r="V668" s="1018" t="s">
        <v>6514</v>
      </c>
      <c r="W668" s="1019">
        <f>IF(I!W668="","",$D$2*I!W668)</f>
        <v>6.0965109220000008E-2</v>
      </c>
      <c r="X668" s="990">
        <f>IF(I!X668="","",$D$2*I!X668)</f>
        <v>0.10452774519999999</v>
      </c>
      <c r="Y668" s="1010">
        <f>IF(I!Y668="","",$D$2*I!Y668)</f>
        <v>0.19070497922000001</v>
      </c>
      <c r="Z668" s="938"/>
      <c r="AA668" s="938"/>
      <c r="AB668" s="938"/>
      <c r="AC668" s="938"/>
      <c r="AD668" s="1058"/>
      <c r="AE668" s="938"/>
      <c r="AF668" s="938"/>
      <c r="AG668" s="938"/>
      <c r="AH668" s="938"/>
    </row>
    <row r="669" spans="1:34" ht="17.25" customHeight="1" x14ac:dyDescent="0.35">
      <c r="A669" s="938"/>
      <c r="B669" s="938"/>
      <c r="C669" s="941"/>
      <c r="D669" s="1047"/>
      <c r="E669" s="941"/>
      <c r="F669" s="938"/>
      <c r="G669" s="976">
        <f t="shared" si="12"/>
        <v>666</v>
      </c>
      <c r="H669" s="1000"/>
      <c r="I669" s="1001" t="s">
        <v>1059</v>
      </c>
      <c r="J669" s="1031" t="s">
        <v>1708</v>
      </c>
      <c r="K669" s="1002">
        <f>IF(I!K669="","",$D$2*I!K669)</f>
        <v>6.121296436E-3</v>
      </c>
      <c r="L669" s="981"/>
      <c r="M669" s="982"/>
      <c r="N669" s="1003"/>
      <c r="O669" s="1004">
        <f>IF(I!O669="","",$D$2*I!O669)</f>
        <v>0.03</v>
      </c>
      <c r="P669" s="1005">
        <f>IF(I!P669="","",$D$2*I!P669)</f>
        <v>2.1889849074000003E-2</v>
      </c>
      <c r="Q669" s="1006" t="str">
        <f>IF(I!Q669="","",$D$2*I!Q669)</f>
        <v/>
      </c>
      <c r="R669" s="982"/>
      <c r="S669" s="1003"/>
      <c r="T669" s="938"/>
      <c r="U669" s="1008" t="s">
        <v>1059</v>
      </c>
      <c r="V669" s="1018" t="s">
        <v>6515</v>
      </c>
      <c r="W669" s="1019">
        <f>IF(I!W669="","",$D$2*I!W669)</f>
        <v>7.8310029000000003E-2</v>
      </c>
      <c r="X669" s="990">
        <f>IF(I!X669="","",$D$2*I!X669)</f>
        <v>8.9023745840000001E-2</v>
      </c>
      <c r="Y669" s="1010">
        <f>IF(I!Y669="","",$D$2*I!Y669)</f>
        <v>0.213870809</v>
      </c>
      <c r="Z669" s="938"/>
      <c r="AA669" s="938"/>
      <c r="AB669" s="938"/>
      <c r="AC669" s="938"/>
      <c r="AD669" s="1058"/>
      <c r="AE669" s="938"/>
      <c r="AF669" s="938"/>
      <c r="AG669" s="938"/>
      <c r="AH669" s="938"/>
    </row>
    <row r="670" spans="1:34" ht="17.25" customHeight="1" x14ac:dyDescent="0.35">
      <c r="A670" s="938"/>
      <c r="B670" s="938"/>
      <c r="C670" s="941"/>
      <c r="D670" s="1047"/>
      <c r="E670" s="941"/>
      <c r="F670" s="938"/>
      <c r="G670" s="976">
        <f t="shared" si="12"/>
        <v>667</v>
      </c>
      <c r="H670" s="1000"/>
      <c r="I670" s="1001" t="s">
        <v>1059</v>
      </c>
      <c r="J670" s="1031" t="s">
        <v>1709</v>
      </c>
      <c r="K670" s="1002">
        <f>IF(I!K670="","",$D$2*I!K670)</f>
        <v>6.121296436E-3</v>
      </c>
      <c r="L670" s="981"/>
      <c r="M670" s="982"/>
      <c r="N670" s="1003"/>
      <c r="O670" s="1004">
        <f>IF(I!O670="","",$D$2*I!O670)</f>
        <v>0.43</v>
      </c>
      <c r="P670" s="1005">
        <f>IF(I!P670="","",$D$2*I!P670)</f>
        <v>4.0343898482930003</v>
      </c>
      <c r="Q670" s="1006" t="str">
        <f>IF(I!Q670="","",$D$2*I!Q670)</f>
        <v/>
      </c>
      <c r="R670" s="982"/>
      <c r="S670" s="1003"/>
      <c r="T670" s="938"/>
      <c r="U670" s="1008" t="s">
        <v>1059</v>
      </c>
      <c r="V670" s="1018" t="s">
        <v>6516</v>
      </c>
      <c r="W670" s="1019">
        <f>IF(I!W670="","",$D$2*I!W670)</f>
        <v>6.0383665330000003E-2</v>
      </c>
      <c r="X670" s="990">
        <f>IF(I!X670="","",$D$2*I!X670)</f>
        <v>9.7604634940000004E-2</v>
      </c>
      <c r="Y670" s="1010">
        <f>IF(I!Y670="","",$D$2*I!Y670)</f>
        <v>0.22423612533000001</v>
      </c>
      <c r="Z670" s="938"/>
      <c r="AA670" s="938"/>
      <c r="AB670" s="938"/>
      <c r="AC670" s="938"/>
      <c r="AD670" s="1058"/>
      <c r="AE670" s="938"/>
      <c r="AF670" s="938"/>
      <c r="AG670" s="938"/>
      <c r="AH670" s="938"/>
    </row>
    <row r="671" spans="1:34" ht="17.25" customHeight="1" x14ac:dyDescent="0.35">
      <c r="A671" s="938"/>
      <c r="B671" s="938"/>
      <c r="C671" s="941"/>
      <c r="D671" s="1047"/>
      <c r="E671" s="941"/>
      <c r="F671" s="938"/>
      <c r="G671" s="976">
        <f t="shared" si="12"/>
        <v>668</v>
      </c>
      <c r="H671" s="942" t="s">
        <v>1710</v>
      </c>
      <c r="I671" s="1060"/>
      <c r="J671" s="1027"/>
      <c r="K671" s="1002" t="str">
        <f>IF(I!K671="","",$D$2*I!K671)</f>
        <v/>
      </c>
      <c r="L671" s="981"/>
      <c r="M671" s="982"/>
      <c r="N671" s="1003"/>
      <c r="O671" s="1004" t="str">
        <f>IF(I!O671="","",$D$2*I!O671)</f>
        <v/>
      </c>
      <c r="P671" s="1005" t="str">
        <f>IF(I!P671="","",$D$2*I!P671)</f>
        <v/>
      </c>
      <c r="Q671" s="1006" t="str">
        <f>IF(I!Q671="","",$D$2*I!Q671)</f>
        <v/>
      </c>
      <c r="R671" s="982"/>
      <c r="S671" s="1003"/>
      <c r="T671" s="938"/>
      <c r="U671" s="1008" t="s">
        <v>1059</v>
      </c>
      <c r="V671" s="1018" t="s">
        <v>6517</v>
      </c>
      <c r="W671" s="1019">
        <f>IF(I!W671="","",$D$2*I!W671)</f>
        <v>6.6916286800000002E-2</v>
      </c>
      <c r="X671" s="990">
        <f>IF(I!X671="","",$D$2*I!X671)</f>
        <v>9.646229395E-2</v>
      </c>
      <c r="Y671" s="1010">
        <f>IF(I!Y671="","",$D$2*I!Y671)</f>
        <v>0.25519084680000004</v>
      </c>
      <c r="Z671" s="938"/>
      <c r="AA671" s="938"/>
      <c r="AB671" s="938"/>
      <c r="AC671" s="938"/>
      <c r="AD671" s="1058"/>
      <c r="AE671" s="938"/>
      <c r="AF671" s="938"/>
      <c r="AG671" s="938"/>
      <c r="AH671" s="938"/>
    </row>
    <row r="672" spans="1:34" ht="17.25" customHeight="1" x14ac:dyDescent="0.35">
      <c r="A672" s="938"/>
      <c r="B672" s="938"/>
      <c r="C672" s="941"/>
      <c r="D672" s="1047"/>
      <c r="E672" s="941"/>
      <c r="F672" s="938"/>
      <c r="G672" s="976">
        <f t="shared" si="12"/>
        <v>669</v>
      </c>
      <c r="H672" s="1000"/>
      <c r="I672" s="1001" t="s">
        <v>1059</v>
      </c>
      <c r="J672" s="1031" t="s">
        <v>1711</v>
      </c>
      <c r="K672" s="1002">
        <f>IF(I!K672="","",$D$2*I!K672)</f>
        <v>4.7844736850000003E-3</v>
      </c>
      <c r="L672" s="981"/>
      <c r="M672" s="982"/>
      <c r="N672" s="1003"/>
      <c r="O672" s="1004">
        <f>IF(I!O672="","",$D$2*I!O672)</f>
        <v>0.02</v>
      </c>
      <c r="P672" s="1005">
        <f>IF(I!P672="","",$D$2*I!P672)</f>
        <v>1.7002939110999999E-2</v>
      </c>
      <c r="Q672" s="1006" t="str">
        <f>IF(I!Q672="","",$D$2*I!Q672)</f>
        <v/>
      </c>
      <c r="R672" s="982"/>
      <c r="S672" s="1003"/>
      <c r="T672" s="938"/>
      <c r="U672" s="1008" t="s">
        <v>1059</v>
      </c>
      <c r="V672" s="1018" t="s">
        <v>6518</v>
      </c>
      <c r="W672" s="1019">
        <f>IF(I!W672="","",$D$2*I!W672)</f>
        <v>6.5507110199999996E-2</v>
      </c>
      <c r="X672" s="990">
        <f>IF(I!X672="","",$D$2*I!X672)</f>
        <v>9.7225184359999994E-2</v>
      </c>
      <c r="Y672" s="1010">
        <f>IF(I!Y672="","",$D$2*I!Y672)</f>
        <v>0.2801362302</v>
      </c>
      <c r="Z672" s="938"/>
      <c r="AA672" s="938"/>
      <c r="AB672" s="938"/>
      <c r="AC672" s="938"/>
      <c r="AD672" s="1058"/>
      <c r="AE672" s="938"/>
      <c r="AF672" s="938"/>
      <c r="AG672" s="938"/>
      <c r="AH672" s="938"/>
    </row>
    <row r="673" spans="1:34" ht="17.25" customHeight="1" x14ac:dyDescent="0.35">
      <c r="A673" s="938"/>
      <c r="B673" s="938"/>
      <c r="C673" s="941"/>
      <c r="D673" s="1047"/>
      <c r="E673" s="941"/>
      <c r="F673" s="938"/>
      <c r="G673" s="976">
        <f t="shared" si="12"/>
        <v>670</v>
      </c>
      <c r="H673" s="1000"/>
      <c r="I673" s="1001" t="s">
        <v>1059</v>
      </c>
      <c r="J673" s="1031" t="s">
        <v>1712</v>
      </c>
      <c r="K673" s="1002">
        <f>IF(I!K673="","",$D$2*I!K673)</f>
        <v>4.7844736850000003E-3</v>
      </c>
      <c r="L673" s="981"/>
      <c r="M673" s="982"/>
      <c r="N673" s="1003"/>
      <c r="O673" s="1004">
        <f>IF(I!O673="","",$D$2*I!O673)</f>
        <v>0.42</v>
      </c>
      <c r="P673" s="1005">
        <f>IF(I!P673="","",$D$2*I!P673)</f>
        <v>8.5970029501509995</v>
      </c>
      <c r="Q673" s="1006" t="str">
        <f>IF(I!Q673="","",$D$2*I!Q673)</f>
        <v/>
      </c>
      <c r="R673" s="982"/>
      <c r="S673" s="1003"/>
      <c r="T673" s="938"/>
      <c r="U673" s="1008" t="s">
        <v>1059</v>
      </c>
      <c r="V673" s="1018" t="s">
        <v>6519</v>
      </c>
      <c r="W673" s="1019">
        <f>IF(I!W673="","",$D$2*I!W673)</f>
        <v>0.32007226639999997</v>
      </c>
      <c r="X673" s="990">
        <f>IF(I!X673="","",$D$2*I!X673)</f>
        <v>1.2848299013000002</v>
      </c>
      <c r="Y673" s="1010">
        <f>IF(I!Y673="","",$D$2*I!Y673)</f>
        <v>0.71483211639999999</v>
      </c>
      <c r="Z673" s="938"/>
      <c r="AA673" s="938"/>
      <c r="AB673" s="938"/>
      <c r="AC673" s="938"/>
      <c r="AD673" s="1058"/>
      <c r="AE673" s="938"/>
      <c r="AF673" s="938"/>
      <c r="AG673" s="938"/>
      <c r="AH673" s="938"/>
    </row>
    <row r="674" spans="1:34" ht="17.25" customHeight="1" x14ac:dyDescent="0.35">
      <c r="A674" s="938"/>
      <c r="B674" s="938"/>
      <c r="C674" s="941"/>
      <c r="D674" s="1047"/>
      <c r="E674" s="941"/>
      <c r="F674" s="938"/>
      <c r="G674" s="976">
        <f t="shared" si="12"/>
        <v>671</v>
      </c>
      <c r="H674" s="1000"/>
      <c r="I674" s="1001" t="s">
        <v>1059</v>
      </c>
      <c r="J674" s="1031" t="s">
        <v>1713</v>
      </c>
      <c r="K674" s="1002">
        <f>IF(I!K674="","",$D$2*I!K674)</f>
        <v>3.7632896100000006E-3</v>
      </c>
      <c r="L674" s="981"/>
      <c r="M674" s="982"/>
      <c r="N674" s="1003"/>
      <c r="O674" s="1004">
        <f>IF(I!O674="","",$D$2*I!O674)</f>
        <v>0.02</v>
      </c>
      <c r="P674" s="1005">
        <f>IF(I!P674="","",$D$2*I!P674)</f>
        <v>1.3269882516E-2</v>
      </c>
      <c r="Q674" s="1006" t="str">
        <f>IF(I!Q674="","",$D$2*I!Q674)</f>
        <v/>
      </c>
      <c r="R674" s="982"/>
      <c r="S674" s="1003"/>
      <c r="T674" s="938"/>
      <c r="U674" s="1008" t="s">
        <v>1059</v>
      </c>
      <c r="V674" s="1018" t="s">
        <v>6520</v>
      </c>
      <c r="W674" s="1019">
        <f>IF(I!W674="","",$D$2*I!W674)</f>
        <v>0.91712532999999996</v>
      </c>
      <c r="X674" s="990">
        <f>IF(I!X674="","",$D$2*I!X674)</f>
        <v>0.92384323899999998</v>
      </c>
      <c r="Y674" s="1010">
        <f>IF(I!Y674="","",$D$2*I!Y674)</f>
        <v>1.4402941600000001</v>
      </c>
      <c r="Z674" s="938"/>
      <c r="AA674" s="938"/>
      <c r="AB674" s="938"/>
      <c r="AC674" s="938"/>
      <c r="AD674" s="1058"/>
      <c r="AE674" s="938"/>
      <c r="AF674" s="938"/>
      <c r="AG674" s="938"/>
      <c r="AH674" s="938"/>
    </row>
    <row r="675" spans="1:34" ht="17.25" customHeight="1" x14ac:dyDescent="0.35">
      <c r="A675" s="938"/>
      <c r="B675" s="938"/>
      <c r="C675" s="941"/>
      <c r="D675" s="1047"/>
      <c r="E675" s="941"/>
      <c r="F675" s="938"/>
      <c r="G675" s="976">
        <f t="shared" si="12"/>
        <v>672</v>
      </c>
      <c r="H675" s="1000"/>
      <c r="I675" s="1001" t="s">
        <v>1059</v>
      </c>
      <c r="J675" s="1031" t="s">
        <v>1714</v>
      </c>
      <c r="K675" s="1002">
        <f>IF(I!K675="","",$D$2*I!K675)</f>
        <v>3.7632896100000006E-3</v>
      </c>
      <c r="L675" s="981"/>
      <c r="M675" s="982"/>
      <c r="N675" s="1003"/>
      <c r="O675" s="1004">
        <f>IF(I!O675="","",$D$2*I!O675)</f>
        <v>0.42</v>
      </c>
      <c r="P675" s="1005">
        <f>IF(I!P675="","",$D$2*I!P675)</f>
        <v>4.3782699081410001</v>
      </c>
      <c r="Q675" s="1006" t="str">
        <f>IF(I!Q675="","",$D$2*I!Q675)</f>
        <v/>
      </c>
      <c r="R675" s="982"/>
      <c r="S675" s="1003"/>
      <c r="T675" s="938"/>
      <c r="U675" s="1008" t="s">
        <v>1059</v>
      </c>
      <c r="V675" s="1018" t="s">
        <v>6521</v>
      </c>
      <c r="W675" s="1019">
        <f>IF(I!W675="","",$D$2*I!W675)</f>
        <v>0.57329538699999993</v>
      </c>
      <c r="X675" s="990">
        <f>IF(I!X675="","",$D$2*I!X675)</f>
        <v>1.3048360899</v>
      </c>
      <c r="Y675" s="1010">
        <f>IF(I!Y675="","",$D$2*I!Y675)</f>
        <v>1.1560774569999999</v>
      </c>
      <c r="Z675" s="938"/>
      <c r="AA675" s="938"/>
      <c r="AB675" s="938"/>
      <c r="AC675" s="938"/>
      <c r="AD675" s="1058"/>
      <c r="AE675" s="938"/>
      <c r="AF675" s="938"/>
      <c r="AG675" s="938"/>
      <c r="AH675" s="938"/>
    </row>
    <row r="676" spans="1:34" ht="17.25" customHeight="1" x14ac:dyDescent="0.35">
      <c r="A676" s="938"/>
      <c r="B676" s="938"/>
      <c r="C676" s="941"/>
      <c r="D676" s="1047"/>
      <c r="E676" s="941"/>
      <c r="F676" s="938"/>
      <c r="G676" s="976">
        <f t="shared" si="12"/>
        <v>673</v>
      </c>
      <c r="H676" s="1000">
        <v>1</v>
      </c>
      <c r="I676" s="1001" t="s">
        <v>1059</v>
      </c>
      <c r="J676" s="1031" t="s">
        <v>1715</v>
      </c>
      <c r="K676" s="1002">
        <f>IF(I!K676="","",$D$2*I!K676)</f>
        <v>3.6890217380000003E-3</v>
      </c>
      <c r="L676" s="981"/>
      <c r="M676" s="982"/>
      <c r="N676" s="1003"/>
      <c r="O676" s="1004">
        <f>IF(I!O676="","",$D$2*I!O676)</f>
        <v>0.02</v>
      </c>
      <c r="P676" s="1005">
        <f>IF(I!P676="","",$D$2*I!P676)</f>
        <v>1.2998387070999999E-2</v>
      </c>
      <c r="Q676" s="1006" t="str">
        <f>IF(I!Q676="","",$D$2*I!Q676)</f>
        <v/>
      </c>
      <c r="R676" s="982"/>
      <c r="S676" s="1003"/>
      <c r="T676" s="938"/>
      <c r="U676" s="1008" t="s">
        <v>1059</v>
      </c>
      <c r="V676" s="1018" t="s">
        <v>6522</v>
      </c>
      <c r="W676" s="1019">
        <f>IF(I!W676="","",$D$2*I!W676)</f>
        <v>0.29183278480000002</v>
      </c>
      <c r="X676" s="990">
        <f>IF(I!X676="","",$D$2*I!X676)</f>
        <v>1.0991800927000002</v>
      </c>
      <c r="Y676" s="1010">
        <f>IF(I!Y676="","",$D$2*I!Y676)</f>
        <v>0.64778662480000004</v>
      </c>
      <c r="Z676" s="938"/>
      <c r="AA676" s="938"/>
      <c r="AB676" s="938"/>
      <c r="AC676" s="938"/>
      <c r="AD676" s="1058"/>
      <c r="AE676" s="938"/>
      <c r="AF676" s="938"/>
      <c r="AG676" s="938"/>
      <c r="AH676" s="938"/>
    </row>
    <row r="677" spans="1:34" ht="17.25" customHeight="1" x14ac:dyDescent="0.35">
      <c r="A677" s="938"/>
      <c r="B677" s="938"/>
      <c r="C677" s="941"/>
      <c r="D677" s="1047"/>
      <c r="E677" s="941"/>
      <c r="F677" s="938"/>
      <c r="G677" s="976">
        <f t="shared" si="12"/>
        <v>674</v>
      </c>
      <c r="H677" s="1000">
        <v>1</v>
      </c>
      <c r="I677" s="1001" t="s">
        <v>1059</v>
      </c>
      <c r="J677" s="1031" t="s">
        <v>1716</v>
      </c>
      <c r="K677" s="1002">
        <f>IF(I!K677="","",$D$2*I!K677)</f>
        <v>3.6890217380000003E-3</v>
      </c>
      <c r="L677" s="981"/>
      <c r="M677" s="982"/>
      <c r="N677" s="1003"/>
      <c r="O677" s="1004">
        <f>IF(I!O677="","",$D$2*I!O677)</f>
        <v>0.42</v>
      </c>
      <c r="P677" s="1005">
        <f>IF(I!P677="","",$D$2*I!P677)</f>
        <v>4.0329984355749993</v>
      </c>
      <c r="Q677" s="1006" t="str">
        <f>IF(I!Q677="","",$D$2*I!Q677)</f>
        <v/>
      </c>
      <c r="R677" s="982"/>
      <c r="S677" s="1003"/>
      <c r="T677" s="938"/>
      <c r="U677" s="1008" t="s">
        <v>1059</v>
      </c>
      <c r="V677" s="1018" t="s">
        <v>6523</v>
      </c>
      <c r="W677" s="1019">
        <f>IF(I!W677="","",$D$2*I!W677)</f>
        <v>0.60025908109999992</v>
      </c>
      <c r="X677" s="990">
        <f>IF(I!X677="","",$D$2*I!X677)</f>
        <v>0.98511635880000004</v>
      </c>
      <c r="Y677" s="1010">
        <f>IF(I!Y677="","",$D$2*I!Y677)</f>
        <v>1.0952626810999999</v>
      </c>
      <c r="Z677" s="938"/>
      <c r="AA677" s="938"/>
      <c r="AB677" s="938"/>
      <c r="AC677" s="938"/>
      <c r="AD677" s="1058"/>
      <c r="AE677" s="938"/>
      <c r="AF677" s="938"/>
      <c r="AG677" s="938"/>
      <c r="AH677" s="938"/>
    </row>
    <row r="678" spans="1:34" ht="17.25" customHeight="1" x14ac:dyDescent="0.35">
      <c r="A678" s="938"/>
      <c r="B678" s="938"/>
      <c r="C678" s="941"/>
      <c r="D678" s="1047"/>
      <c r="E678" s="941"/>
      <c r="F678" s="938"/>
      <c r="G678" s="976">
        <f t="shared" si="12"/>
        <v>675</v>
      </c>
      <c r="H678" s="1000"/>
      <c r="I678" s="1001" t="s">
        <v>1059</v>
      </c>
      <c r="J678" s="1031" t="s">
        <v>1717</v>
      </c>
      <c r="K678" s="1002">
        <f>IF(I!K678="","",$D$2*I!K678)</f>
        <v>4.4502679800000004E-3</v>
      </c>
      <c r="L678" s="981"/>
      <c r="M678" s="982"/>
      <c r="N678" s="1003"/>
      <c r="O678" s="1004">
        <f>IF(I!O678="","",$D$2*I!O678)</f>
        <v>0.02</v>
      </c>
      <c r="P678" s="1005">
        <f>IF(I!P678="","",$D$2*I!P678)</f>
        <v>1.5781211116000001E-2</v>
      </c>
      <c r="Q678" s="1006" t="str">
        <f>IF(I!Q678="","",$D$2*I!Q678)</f>
        <v/>
      </c>
      <c r="R678" s="982"/>
      <c r="S678" s="1003"/>
      <c r="T678" s="938"/>
      <c r="U678" s="1008" t="s">
        <v>1059</v>
      </c>
      <c r="V678" s="1018" t="s">
        <v>6524</v>
      </c>
      <c r="W678" s="1019">
        <f>IF(I!W678="","",$D$2*I!W678)</f>
        <v>0.8055736993</v>
      </c>
      <c r="X678" s="990">
        <f>IF(I!X678="","",$D$2*I!X678)</f>
        <v>0.78954354460000009</v>
      </c>
      <c r="Y678" s="1010">
        <f>IF(I!Y678="","",$D$2*I!Y678)</f>
        <v>1.2728449193</v>
      </c>
      <c r="Z678" s="938"/>
      <c r="AA678" s="938"/>
      <c r="AB678" s="938"/>
      <c r="AC678" s="938"/>
      <c r="AD678" s="1058"/>
      <c r="AE678" s="938"/>
      <c r="AF678" s="938"/>
      <c r="AG678" s="938"/>
      <c r="AH678" s="938"/>
    </row>
    <row r="679" spans="1:34" ht="17.25" customHeight="1" x14ac:dyDescent="0.35">
      <c r="A679" s="938"/>
      <c r="B679" s="938"/>
      <c r="C679" s="941"/>
      <c r="D679" s="1047"/>
      <c r="E679" s="941"/>
      <c r="F679" s="938"/>
      <c r="G679" s="976">
        <f t="shared" si="12"/>
        <v>676</v>
      </c>
      <c r="H679" s="1000"/>
      <c r="I679" s="1001" t="s">
        <v>1059</v>
      </c>
      <c r="J679" s="1031" t="s">
        <v>1718</v>
      </c>
      <c r="K679" s="1002">
        <f>IF(I!K679="","",$D$2*I!K679)</f>
        <v>4.4502679800000004E-3</v>
      </c>
      <c r="L679" s="981"/>
      <c r="M679" s="982"/>
      <c r="N679" s="1003"/>
      <c r="O679" s="1004">
        <f>IF(I!O679="","",$D$2*I!O679)</f>
        <v>0.42</v>
      </c>
      <c r="P679" s="1005">
        <f>IF(I!P679="","",$D$2*I!P679)</f>
        <v>7.4557812251110001</v>
      </c>
      <c r="Q679" s="1006" t="str">
        <f>IF(I!Q679="","",$D$2*I!Q679)</f>
        <v/>
      </c>
      <c r="R679" s="982"/>
      <c r="S679" s="1003"/>
      <c r="T679" s="938"/>
      <c r="U679" s="1008" t="s">
        <v>1059</v>
      </c>
      <c r="V679" s="1018" t="s">
        <v>6525</v>
      </c>
      <c r="W679" s="1019">
        <f>IF(I!W679="","",$D$2*I!W679)</f>
        <v>0.51456858189999999</v>
      </c>
      <c r="X679" s="990">
        <f>IF(I!X679="","",$D$2*I!X679)</f>
        <v>0.92008146020000003</v>
      </c>
      <c r="Y679" s="1010">
        <f>IF(I!Y679="","",$D$2*I!Y679)</f>
        <v>0.95032152189999997</v>
      </c>
      <c r="Z679" s="938"/>
      <c r="AA679" s="938"/>
      <c r="AB679" s="938"/>
      <c r="AC679" s="938"/>
      <c r="AD679" s="1058"/>
      <c r="AE679" s="938"/>
      <c r="AF679" s="938"/>
      <c r="AG679" s="938"/>
      <c r="AH679" s="938"/>
    </row>
    <row r="680" spans="1:34" ht="17.25" customHeight="1" x14ac:dyDescent="0.35">
      <c r="A680" s="938"/>
      <c r="B680" s="938"/>
      <c r="C680" s="941"/>
      <c r="D680" s="1047"/>
      <c r="E680" s="941"/>
      <c r="F680" s="938"/>
      <c r="G680" s="976">
        <f t="shared" si="12"/>
        <v>677</v>
      </c>
      <c r="H680" s="1000"/>
      <c r="I680" s="1001" t="s">
        <v>1059</v>
      </c>
      <c r="J680" s="1031" t="s">
        <v>1719</v>
      </c>
      <c r="K680" s="1002">
        <f>IF(I!K680="","",$D$2*I!K680)</f>
        <v>3.7447226419999998E-3</v>
      </c>
      <c r="L680" s="981"/>
      <c r="M680" s="982"/>
      <c r="N680" s="1003"/>
      <c r="O680" s="1004">
        <f>IF(I!O680="","",$D$2*I!O680)</f>
        <v>0.02</v>
      </c>
      <c r="P680" s="1005">
        <f>IF(I!P680="","",$D$2*I!P680)</f>
        <v>1.3202007906999999E-2</v>
      </c>
      <c r="Q680" s="1006" t="str">
        <f>IF(I!Q680="","",$D$2*I!Q680)</f>
        <v/>
      </c>
      <c r="R680" s="982"/>
      <c r="S680" s="1003"/>
      <c r="T680" s="938"/>
      <c r="U680" s="1008" t="s">
        <v>1059</v>
      </c>
      <c r="V680" s="1018" t="s">
        <v>6526</v>
      </c>
      <c r="W680" s="1019">
        <f>IF(I!W680="","",$D$2*I!W680)</f>
        <v>0.64471368699999998</v>
      </c>
      <c r="X680" s="990">
        <f>IF(I!X680="","",$D$2*I!X680)</f>
        <v>1.5252529394999998</v>
      </c>
      <c r="Y680" s="1010">
        <f>IF(I!Y680="","",$D$2*I!Y680)</f>
        <v>1.0975338670000001</v>
      </c>
      <c r="Z680" s="938"/>
      <c r="AA680" s="938"/>
      <c r="AB680" s="938"/>
      <c r="AC680" s="938"/>
      <c r="AD680" s="1058"/>
      <c r="AE680" s="938"/>
      <c r="AF680" s="938"/>
      <c r="AG680" s="938"/>
      <c r="AH680" s="938"/>
    </row>
    <row r="681" spans="1:34" ht="17.25" customHeight="1" x14ac:dyDescent="0.35">
      <c r="A681" s="938"/>
      <c r="B681" s="938"/>
      <c r="C681" s="941"/>
      <c r="D681" s="1047"/>
      <c r="E681" s="941"/>
      <c r="F681" s="938"/>
      <c r="G681" s="976">
        <f t="shared" si="12"/>
        <v>678</v>
      </c>
      <c r="H681" s="1000"/>
      <c r="I681" s="1001" t="s">
        <v>1059</v>
      </c>
      <c r="J681" s="1031" t="s">
        <v>1720</v>
      </c>
      <c r="K681" s="1002">
        <f>IF(I!K681="","",$D$2*I!K681)</f>
        <v>3.7447226419999998E-3</v>
      </c>
      <c r="L681" s="981"/>
      <c r="M681" s="982"/>
      <c r="N681" s="1003"/>
      <c r="O681" s="1004">
        <f>IF(I!O681="","",$D$2*I!O681)</f>
        <v>0.42</v>
      </c>
      <c r="P681" s="1005">
        <f>IF(I!P681="","",$D$2*I!P681)</f>
        <v>5.1732020392519997</v>
      </c>
      <c r="Q681" s="1006" t="str">
        <f>IF(I!Q681="","",$D$2*I!Q681)</f>
        <v/>
      </c>
      <c r="R681" s="982"/>
      <c r="S681" s="1003"/>
      <c r="T681" s="938"/>
      <c r="U681" s="1008" t="s">
        <v>1059</v>
      </c>
      <c r="V681" s="1018" t="s">
        <v>6527</v>
      </c>
      <c r="W681" s="1019">
        <f>IF(I!W681="","",$D$2*I!W681)</f>
        <v>0.4165494253</v>
      </c>
      <c r="X681" s="990">
        <f>IF(I!X681="","",$D$2*I!X681)</f>
        <v>0.8975700056</v>
      </c>
      <c r="Y681" s="1010">
        <f>IF(I!Y681="","",$D$2*I!Y681)</f>
        <v>0.72780522530000002</v>
      </c>
      <c r="Z681" s="938"/>
      <c r="AA681" s="938"/>
      <c r="AB681" s="938"/>
      <c r="AC681" s="938"/>
      <c r="AD681" s="1058"/>
      <c r="AE681" s="938"/>
      <c r="AF681" s="938"/>
      <c r="AG681" s="938"/>
      <c r="AH681" s="938"/>
    </row>
    <row r="682" spans="1:34" ht="17.25" customHeight="1" x14ac:dyDescent="0.35">
      <c r="A682" s="938"/>
      <c r="B682" s="938"/>
      <c r="C682" s="941"/>
      <c r="D682" s="1047"/>
      <c r="E682" s="941"/>
      <c r="F682" s="938"/>
      <c r="G682" s="976">
        <f t="shared" si="12"/>
        <v>679</v>
      </c>
      <c r="H682" s="1000">
        <v>1</v>
      </c>
      <c r="I682" s="1001" t="s">
        <v>1059</v>
      </c>
      <c r="J682" s="1031" t="s">
        <v>1721</v>
      </c>
      <c r="K682" s="1002">
        <f>IF(I!K682="","",$D$2*I!K682)</f>
        <v>5.0072774809999995E-3</v>
      </c>
      <c r="L682" s="981"/>
      <c r="M682" s="982"/>
      <c r="N682" s="1003"/>
      <c r="O682" s="1004">
        <f>IF(I!O682="","",$D$2*I!O682)</f>
        <v>0.02</v>
      </c>
      <c r="P682" s="1005">
        <f>IF(I!P682="","",$D$2*I!P682)</f>
        <v>1.7817423434999997E-2</v>
      </c>
      <c r="Q682" s="1006" t="str">
        <f>IF(I!Q682="","",$D$2*I!Q682)</f>
        <v/>
      </c>
      <c r="R682" s="982"/>
      <c r="S682" s="1003"/>
      <c r="T682" s="938"/>
      <c r="U682" s="1008" t="s">
        <v>1059</v>
      </c>
      <c r="V682" s="1018" t="s">
        <v>6528</v>
      </c>
      <c r="W682" s="1019">
        <f>IF(I!W682="","",$D$2*I!W682)</f>
        <v>0.48146761989999998</v>
      </c>
      <c r="X682" s="990">
        <f>IF(I!X682="","",$D$2*I!X682)</f>
        <v>0.8755917204</v>
      </c>
      <c r="Y682" s="1010">
        <f>IF(I!Y682="","",$D$2*I!Y682)</f>
        <v>0.90648955990000002</v>
      </c>
      <c r="Z682" s="938"/>
      <c r="AA682" s="938"/>
      <c r="AB682" s="938"/>
      <c r="AC682" s="938"/>
      <c r="AD682" s="1058"/>
      <c r="AE682" s="938"/>
      <c r="AF682" s="938"/>
      <c r="AG682" s="938"/>
      <c r="AH682" s="938"/>
    </row>
    <row r="683" spans="1:34" ht="17.25" customHeight="1" x14ac:dyDescent="0.35">
      <c r="A683" s="938"/>
      <c r="B683" s="938"/>
      <c r="C683" s="941"/>
      <c r="D683" s="1047"/>
      <c r="E683" s="941"/>
      <c r="F683" s="938"/>
      <c r="G683" s="976">
        <f t="shared" si="12"/>
        <v>680</v>
      </c>
      <c r="H683" s="1000">
        <v>1</v>
      </c>
      <c r="I683" s="1001" t="s">
        <v>1059</v>
      </c>
      <c r="J683" s="1031" t="s">
        <v>1722</v>
      </c>
      <c r="K683" s="1002">
        <f>IF(I!K683="","",$D$2*I!K683)</f>
        <v>5.0072774809999995E-3</v>
      </c>
      <c r="L683" s="981"/>
      <c r="M683" s="982"/>
      <c r="N683" s="1003"/>
      <c r="O683" s="1004">
        <f>IF(I!O683="","",$D$2*I!O683)</f>
        <v>0.42</v>
      </c>
      <c r="P683" s="1005">
        <f>IF(I!P683="","",$D$2*I!P683)</f>
        <v>7.6513174658379999</v>
      </c>
      <c r="Q683" s="1006" t="str">
        <f>IF(I!Q683="","",$D$2*I!Q683)</f>
        <v/>
      </c>
      <c r="R683" s="982"/>
      <c r="S683" s="1003"/>
      <c r="T683" s="938"/>
      <c r="U683" s="1008" t="s">
        <v>1059</v>
      </c>
      <c r="V683" s="1018" t="s">
        <v>6529</v>
      </c>
      <c r="W683" s="1019">
        <f>IF(I!W683="","",$D$2*I!W683)</f>
        <v>0.62462534400000003</v>
      </c>
      <c r="X683" s="990">
        <f>IF(I!X683="","",$D$2*I!X683)</f>
        <v>0.96187648420000005</v>
      </c>
      <c r="Y683" s="1010">
        <f>IF(I!Y683="","",$D$2*I!Y683)</f>
        <v>1.0829920340000001</v>
      </c>
      <c r="Z683" s="938"/>
      <c r="AA683" s="938"/>
      <c r="AB683" s="938"/>
      <c r="AC683" s="938"/>
      <c r="AD683" s="1058"/>
      <c r="AE683" s="938"/>
      <c r="AF683" s="938"/>
      <c r="AG683" s="938"/>
      <c r="AH683" s="938"/>
    </row>
    <row r="684" spans="1:34" ht="17.25" customHeight="1" x14ac:dyDescent="0.35">
      <c r="A684" s="938"/>
      <c r="B684" s="938"/>
      <c r="C684" s="941"/>
      <c r="D684" s="1047"/>
      <c r="E684" s="941"/>
      <c r="F684" s="938"/>
      <c r="G684" s="976">
        <f t="shared" si="12"/>
        <v>681</v>
      </c>
      <c r="H684" s="1000"/>
      <c r="I684" s="1001" t="s">
        <v>1059</v>
      </c>
      <c r="J684" s="1031" t="s">
        <v>1723</v>
      </c>
      <c r="K684" s="1002">
        <f>IF(I!K684="","",$D$2*I!K684)</f>
        <v>5.1150297600000005E-3</v>
      </c>
      <c r="L684" s="981"/>
      <c r="M684" s="982"/>
      <c r="N684" s="1003"/>
      <c r="O684" s="1004">
        <f>IF(I!O684="","",$D$2*I!O684)</f>
        <v>0</v>
      </c>
      <c r="P684" s="1005">
        <f>IF(I!P684="","",$D$2*I!P684)</f>
        <v>1.8482532396999998E-2</v>
      </c>
      <c r="Q684" s="1006" t="str">
        <f>IF(I!Q684="","",$D$2*I!Q684)</f>
        <v/>
      </c>
      <c r="R684" s="982"/>
      <c r="S684" s="1003"/>
      <c r="T684" s="938"/>
      <c r="U684" s="1008" t="s">
        <v>1059</v>
      </c>
      <c r="V684" s="1018" t="s">
        <v>6530</v>
      </c>
      <c r="W684" s="1019">
        <f>IF(I!W684="","",$D$2*I!W684)</f>
        <v>0.55096338980000004</v>
      </c>
      <c r="X684" s="990">
        <f>IF(I!X684="","",$D$2*I!X684)</f>
        <v>0.96379088489999998</v>
      </c>
      <c r="Y684" s="1010">
        <f>IF(I!Y684="","",$D$2*I!Y684)</f>
        <v>1.0179044398000001</v>
      </c>
      <c r="Z684" s="938"/>
      <c r="AA684" s="938"/>
      <c r="AB684" s="938"/>
      <c r="AC684" s="938"/>
      <c r="AD684" s="1058"/>
      <c r="AE684" s="938"/>
      <c r="AF684" s="938"/>
      <c r="AG684" s="938"/>
      <c r="AH684" s="938"/>
    </row>
    <row r="685" spans="1:34" ht="17.25" customHeight="1" x14ac:dyDescent="0.35">
      <c r="A685" s="938"/>
      <c r="B685" s="938"/>
      <c r="C685" s="941"/>
      <c r="D685" s="1047"/>
      <c r="E685" s="941"/>
      <c r="F685" s="938"/>
      <c r="G685" s="976">
        <f t="shared" si="12"/>
        <v>682</v>
      </c>
      <c r="H685" s="1000"/>
      <c r="I685" s="1001" t="s">
        <v>1059</v>
      </c>
      <c r="J685" s="1031" t="s">
        <v>1724</v>
      </c>
      <c r="K685" s="1002">
        <f>IF(I!K685="","",$D$2*I!K685)</f>
        <v>5.5271529480000001E-3</v>
      </c>
      <c r="L685" s="981"/>
      <c r="M685" s="982"/>
      <c r="N685" s="1003"/>
      <c r="O685" s="1004">
        <f>IF(I!O685="","",$D$2*I!O685)</f>
        <v>0.02</v>
      </c>
      <c r="P685" s="1005">
        <f>IF(I!P685="","",$D$2*I!P685)</f>
        <v>1.9717888537999998E-2</v>
      </c>
      <c r="Q685" s="1006" t="str">
        <f>IF(I!Q685="","",$D$2*I!Q685)</f>
        <v/>
      </c>
      <c r="R685" s="982"/>
      <c r="S685" s="1003"/>
      <c r="T685" s="938"/>
      <c r="U685" s="1008" t="s">
        <v>1059</v>
      </c>
      <c r="V685" s="1018" t="s">
        <v>6531</v>
      </c>
      <c r="W685" s="1019">
        <f>IF(I!W685="","",$D$2*I!W685)</f>
        <v>0.64101696500000005</v>
      </c>
      <c r="X685" s="990">
        <f>IF(I!X685="","",$D$2*I!X685)</f>
        <v>1.0986690003999999</v>
      </c>
      <c r="Y685" s="1010">
        <f>IF(I!Y685="","",$D$2*I!Y685)</f>
        <v>1.171949855</v>
      </c>
      <c r="Z685" s="938"/>
      <c r="AA685" s="938"/>
      <c r="AB685" s="938"/>
      <c r="AC685" s="938"/>
      <c r="AD685" s="1058"/>
      <c r="AE685" s="938"/>
      <c r="AF685" s="938"/>
      <c r="AG685" s="938"/>
      <c r="AH685" s="938"/>
    </row>
    <row r="686" spans="1:34" ht="17.25" customHeight="1" x14ac:dyDescent="0.35">
      <c r="A686" s="938"/>
      <c r="B686" s="938"/>
      <c r="C686" s="941"/>
      <c r="D686" s="1047"/>
      <c r="E686" s="941"/>
      <c r="F686" s="938"/>
      <c r="G686" s="976">
        <f t="shared" si="12"/>
        <v>683</v>
      </c>
      <c r="H686" s="942"/>
      <c r="I686" s="1001" t="s">
        <v>1059</v>
      </c>
      <c r="J686" s="1031" t="s">
        <v>1725</v>
      </c>
      <c r="K686" s="1002">
        <f>IF(I!K686="","",$D$2*I!K686)</f>
        <v>5.5271529480000001E-3</v>
      </c>
      <c r="L686" s="981"/>
      <c r="M686" s="982"/>
      <c r="N686" s="1003"/>
      <c r="O686" s="1004">
        <f>IF(I!O686="","",$D$2*I!O686)</f>
        <v>0.42</v>
      </c>
      <c r="P686" s="1005">
        <f>IF(I!P686="","",$D$2*I!P686)</f>
        <v>4.9697178707880001</v>
      </c>
      <c r="Q686" s="1006" t="str">
        <f>IF(I!Q686="","",$D$2*I!Q686)</f>
        <v/>
      </c>
      <c r="R686" s="982"/>
      <c r="S686" s="1003"/>
      <c r="T686" s="938"/>
      <c r="U686" s="1008" t="s">
        <v>1059</v>
      </c>
      <c r="V686" s="1018" t="s">
        <v>6532</v>
      </c>
      <c r="W686" s="1019">
        <f>IF(I!W686="","",$D$2*I!W686)</f>
        <v>0.50792431809999994</v>
      </c>
      <c r="X686" s="990">
        <f>IF(I!X686="","",$D$2*I!X686)</f>
        <v>1.1159410943000001</v>
      </c>
      <c r="Y686" s="1010">
        <f>IF(I!Y686="","",$D$2*I!Y686)</f>
        <v>1.0246844880999999</v>
      </c>
      <c r="Z686" s="938"/>
      <c r="AA686" s="938"/>
      <c r="AB686" s="938"/>
      <c r="AC686" s="938"/>
      <c r="AD686" s="1058"/>
      <c r="AE686" s="938"/>
      <c r="AF686" s="938"/>
      <c r="AG686" s="938"/>
      <c r="AH686" s="938"/>
    </row>
    <row r="687" spans="1:34" ht="17.25" customHeight="1" x14ac:dyDescent="0.35">
      <c r="A687" s="938"/>
      <c r="B687" s="938"/>
      <c r="C687" s="941"/>
      <c r="D687" s="1047"/>
      <c r="E687" s="941"/>
      <c r="F687" s="938"/>
      <c r="G687" s="976">
        <f t="shared" si="12"/>
        <v>684</v>
      </c>
      <c r="H687" s="1000"/>
      <c r="I687" s="1001" t="s">
        <v>1059</v>
      </c>
      <c r="J687" s="1031" t="s">
        <v>1726</v>
      </c>
      <c r="K687" s="1002">
        <f>IF(I!K687="","",$D$2*I!K687)</f>
        <v>4.1903302459999998E-3</v>
      </c>
      <c r="L687" s="981"/>
      <c r="M687" s="982"/>
      <c r="N687" s="1003"/>
      <c r="O687" s="1004">
        <f>IF(I!O687="","",$D$2*I!O687)</f>
        <v>0.02</v>
      </c>
      <c r="P687" s="1005">
        <f>IF(I!P687="","",$D$2*I!P687)</f>
        <v>1.4830978565000002E-2</v>
      </c>
      <c r="Q687" s="1006" t="str">
        <f>IF(I!Q687="","",$D$2*I!Q687)</f>
        <v/>
      </c>
      <c r="R687" s="982"/>
      <c r="S687" s="1003"/>
      <c r="T687" s="938"/>
      <c r="U687" s="1008" t="s">
        <v>1059</v>
      </c>
      <c r="V687" s="1018" t="s">
        <v>6533</v>
      </c>
      <c r="W687" s="1019">
        <f>IF(I!W687="","",$D$2*I!W687)</f>
        <v>0.44316333250000001</v>
      </c>
      <c r="X687" s="990">
        <f>IF(I!X687="","",$D$2*I!X687)</f>
        <v>0.21921229044000001</v>
      </c>
      <c r="Y687" s="1010">
        <f>IF(I!Y687="","",$D$2*I!Y687)</f>
        <v>0.65382859250000003</v>
      </c>
      <c r="Z687" s="938"/>
      <c r="AA687" s="938"/>
      <c r="AB687" s="938"/>
      <c r="AC687" s="938"/>
      <c r="AD687" s="1058"/>
      <c r="AE687" s="938"/>
      <c r="AF687" s="938"/>
      <c r="AG687" s="938"/>
      <c r="AH687" s="938"/>
    </row>
    <row r="688" spans="1:34" ht="17.25" customHeight="1" x14ac:dyDescent="0.35">
      <c r="A688" s="938"/>
      <c r="B688" s="938"/>
      <c r="C688" s="941"/>
      <c r="D688" s="1047"/>
      <c r="E688" s="941"/>
      <c r="F688" s="938"/>
      <c r="G688" s="976">
        <f t="shared" si="12"/>
        <v>685</v>
      </c>
      <c r="H688" s="1000"/>
      <c r="I688" s="1001" t="s">
        <v>1059</v>
      </c>
      <c r="J688" s="1031" t="s">
        <v>1727</v>
      </c>
      <c r="K688" s="1002">
        <f>IF(I!K688="","",$D$2*I!K688)</f>
        <v>4.1903302459999998E-3</v>
      </c>
      <c r="L688" s="981"/>
      <c r="M688" s="982"/>
      <c r="N688" s="1003"/>
      <c r="O688" s="1004">
        <f>IF(I!O688="","",$D$2*I!O688)</f>
        <v>0.42</v>
      </c>
      <c r="P688" s="1005">
        <f>IF(I!P688="","",$D$2*I!P688)</f>
        <v>3.9148309726360004</v>
      </c>
      <c r="Q688" s="1006" t="str">
        <f>IF(I!Q688="","",$D$2*I!Q688)</f>
        <v/>
      </c>
      <c r="R688" s="982"/>
      <c r="S688" s="1003"/>
      <c r="T688" s="938"/>
      <c r="U688" s="1008" t="s">
        <v>1059</v>
      </c>
      <c r="V688" s="1018" t="s">
        <v>6534</v>
      </c>
      <c r="W688" s="1019">
        <f>IF(I!W688="","",$D$2*I!W688)</f>
        <v>4.5532095299999995E-3</v>
      </c>
      <c r="X688" s="990">
        <f>IF(I!X688="","",$D$2*I!X688)</f>
        <v>9.2556660249999993E-4</v>
      </c>
      <c r="Y688" s="1010">
        <f>IF(I!Y688="","",$D$2*I!Y688)</f>
        <v>6.9489910299999997E-3</v>
      </c>
      <c r="Z688" s="938"/>
      <c r="AA688" s="938"/>
      <c r="AB688" s="938"/>
      <c r="AC688" s="938"/>
      <c r="AD688" s="1058"/>
      <c r="AE688" s="938"/>
      <c r="AF688" s="938"/>
      <c r="AG688" s="938"/>
      <c r="AH688" s="938"/>
    </row>
    <row r="689" spans="1:34" ht="17.25" customHeight="1" x14ac:dyDescent="0.35">
      <c r="A689" s="938"/>
      <c r="B689" s="938"/>
      <c r="C689" s="941"/>
      <c r="D689" s="1047"/>
      <c r="E689" s="941"/>
      <c r="F689" s="938"/>
      <c r="G689" s="976">
        <f t="shared" si="12"/>
        <v>686</v>
      </c>
      <c r="H689" s="1000">
        <v>1</v>
      </c>
      <c r="I689" s="1001" t="s">
        <v>1059</v>
      </c>
      <c r="J689" s="1031" t="s">
        <v>1728</v>
      </c>
      <c r="K689" s="1002">
        <f>IF(I!K689="","",$D$2*I!K689)</f>
        <v>3.7261556749999996E-3</v>
      </c>
      <c r="L689" s="981"/>
      <c r="M689" s="982"/>
      <c r="N689" s="1003"/>
      <c r="O689" s="1004">
        <f>IF(I!O689="","",$D$2*I!O689)</f>
        <v>0.02</v>
      </c>
      <c r="P689" s="1005">
        <f>IF(I!P689="","",$D$2*I!P689)</f>
        <v>1.3134134298E-2</v>
      </c>
      <c r="Q689" s="1006" t="str">
        <f>IF(I!Q689="","",$D$2*I!Q689)</f>
        <v/>
      </c>
      <c r="R689" s="982"/>
      <c r="S689" s="1003"/>
      <c r="T689" s="938"/>
      <c r="U689" s="1008" t="s">
        <v>1059</v>
      </c>
      <c r="V689" s="1018" t="s">
        <v>6535</v>
      </c>
      <c r="W689" s="1019">
        <f>IF(I!W689="","",$D$2*I!W689)</f>
        <v>2.3591993579999998E-2</v>
      </c>
      <c r="X689" s="990">
        <f>IF(I!X689="","",$D$2*I!X689)</f>
        <v>1.9473573334999997E-2</v>
      </c>
      <c r="Y689" s="1010">
        <f>IF(I!Y689="","",$D$2*I!Y689)</f>
        <v>3.8793190579999998E-2</v>
      </c>
      <c r="Z689" s="938"/>
      <c r="AA689" s="938"/>
      <c r="AB689" s="938"/>
      <c r="AC689" s="938"/>
      <c r="AD689" s="1058"/>
      <c r="AE689" s="938"/>
      <c r="AF689" s="938"/>
      <c r="AG689" s="938"/>
      <c r="AH689" s="938"/>
    </row>
    <row r="690" spans="1:34" ht="17.25" customHeight="1" x14ac:dyDescent="0.35">
      <c r="A690" s="938"/>
      <c r="B690" s="938"/>
      <c r="C690" s="941"/>
      <c r="D690" s="1047"/>
      <c r="E690" s="941"/>
      <c r="F690" s="938"/>
      <c r="G690" s="976">
        <f t="shared" si="12"/>
        <v>687</v>
      </c>
      <c r="H690" s="1000">
        <v>1</v>
      </c>
      <c r="I690" s="1001" t="s">
        <v>1059</v>
      </c>
      <c r="J690" s="1031" t="s">
        <v>1729</v>
      </c>
      <c r="K690" s="1002">
        <f>IF(I!K690="","",$D$2*I!K690)</f>
        <v>3.7261556749999996E-3</v>
      </c>
      <c r="L690" s="981"/>
      <c r="M690" s="982"/>
      <c r="N690" s="1003"/>
      <c r="O690" s="1004">
        <f>IF(I!O690="","",$D$2*I!O690)</f>
        <v>0.42</v>
      </c>
      <c r="P690" s="1005">
        <f>IF(I!P690="","",$D$2*I!P690)</f>
        <v>2.902134171363</v>
      </c>
      <c r="Q690" s="1006" t="str">
        <f>IF(I!Q690="","",$D$2*I!Q690)</f>
        <v/>
      </c>
      <c r="R690" s="982"/>
      <c r="S690" s="1003"/>
      <c r="T690" s="938"/>
      <c r="U690" s="1008" t="s">
        <v>1059</v>
      </c>
      <c r="V690" s="1018" t="s">
        <v>6536</v>
      </c>
      <c r="W690" s="1019">
        <f>IF(I!W690="","",$D$2*I!W690)</f>
        <v>2.2568110440000001E-2</v>
      </c>
      <c r="X690" s="990">
        <f>IF(I!X690="","",$D$2*I!X690)</f>
        <v>2.0232437480999999E-2</v>
      </c>
      <c r="Y690" s="1010">
        <f>IF(I!Y690="","",$D$2*I!Y690)</f>
        <v>3.5281015440000001E-2</v>
      </c>
      <c r="Z690" s="938"/>
      <c r="AA690" s="938"/>
      <c r="AB690" s="938"/>
      <c r="AC690" s="938"/>
      <c r="AD690" s="1058"/>
      <c r="AE690" s="938"/>
      <c r="AF690" s="938"/>
      <c r="AG690" s="938"/>
      <c r="AH690" s="938"/>
    </row>
    <row r="691" spans="1:34" ht="17.25" customHeight="1" x14ac:dyDescent="0.35">
      <c r="A691" s="938"/>
      <c r="B691" s="938"/>
      <c r="C691" s="941"/>
      <c r="D691" s="1047"/>
      <c r="E691" s="941"/>
      <c r="F691" s="938"/>
      <c r="G691" s="976">
        <f t="shared" si="12"/>
        <v>688</v>
      </c>
      <c r="H691" s="1000">
        <v>1</v>
      </c>
      <c r="I691" s="1001" t="s">
        <v>1059</v>
      </c>
      <c r="J691" s="1031" t="s">
        <v>1730</v>
      </c>
      <c r="K691" s="1002">
        <f>IF(I!K691="","",$D$2*I!K691)</f>
        <v>6.5297700939999995E-3</v>
      </c>
      <c r="L691" s="981"/>
      <c r="M691" s="982"/>
      <c r="N691" s="1003"/>
      <c r="O691" s="1004">
        <f>IF(I!O691="","",$D$2*I!O691)</f>
        <v>0.03</v>
      </c>
      <c r="P691" s="1005">
        <f>IF(I!P691="","",$D$2*I!P691)</f>
        <v>2.3383071515000003E-2</v>
      </c>
      <c r="Q691" s="1006" t="str">
        <f>IF(I!Q691="","",$D$2*I!Q691)</f>
        <v/>
      </c>
      <c r="R691" s="982"/>
      <c r="S691" s="1003"/>
      <c r="T691" s="938"/>
      <c r="U691" s="1008" t="s">
        <v>1059</v>
      </c>
      <c r="V691" s="1018" t="s">
        <v>6537</v>
      </c>
      <c r="W691" s="1019">
        <f>IF(I!W691="","",$D$2*I!W691)</f>
        <v>2.5720544969999998E-2</v>
      </c>
      <c r="X691" s="990">
        <f>IF(I!X691="","",$D$2*I!X691)</f>
        <v>2.4467346505000001E-2</v>
      </c>
      <c r="Y691" s="1010">
        <f>IF(I!Y691="","",$D$2*I!Y691)</f>
        <v>4.4452547969999999E-2</v>
      </c>
      <c r="Z691" s="938"/>
      <c r="AA691" s="938"/>
      <c r="AB691" s="938"/>
      <c r="AC691" s="938"/>
      <c r="AD691" s="1058"/>
      <c r="AE691" s="938"/>
      <c r="AF691" s="938"/>
      <c r="AG691" s="938"/>
      <c r="AH691" s="938"/>
    </row>
    <row r="692" spans="1:34" ht="17.25" customHeight="1" x14ac:dyDescent="0.35">
      <c r="A692" s="938"/>
      <c r="B692" s="938"/>
      <c r="C692" s="941"/>
      <c r="D692" s="1047"/>
      <c r="E692" s="941"/>
      <c r="F692" s="938"/>
      <c r="G692" s="976">
        <f t="shared" si="12"/>
        <v>689</v>
      </c>
      <c r="H692" s="1000">
        <v>1</v>
      </c>
      <c r="I692" s="1001" t="s">
        <v>1059</v>
      </c>
      <c r="J692" s="1031" t="s">
        <v>1731</v>
      </c>
      <c r="K692" s="1002">
        <f>IF(I!K692="","",$D$2*I!K692)</f>
        <v>6.5297700939999995E-3</v>
      </c>
      <c r="L692" s="981"/>
      <c r="M692" s="982"/>
      <c r="N692" s="1003"/>
      <c r="O692" s="1004">
        <f>IF(I!O692="","",$D$2*I!O692)</f>
        <v>0.43</v>
      </c>
      <c r="P692" s="1005">
        <f>IF(I!P692="","",$D$2*I!P692)</f>
        <v>6.6833830448990001</v>
      </c>
      <c r="Q692" s="1006" t="str">
        <f>IF(I!Q692="","",$D$2*I!Q692)</f>
        <v/>
      </c>
      <c r="R692" s="982"/>
      <c r="S692" s="1003"/>
      <c r="T692" s="938"/>
      <c r="U692" s="1008" t="s">
        <v>1059</v>
      </c>
      <c r="V692" s="1018" t="s">
        <v>6538</v>
      </c>
      <c r="W692" s="1019">
        <f>IF(I!W692="","",$D$2*I!W692)</f>
        <v>3.9527935870000003E-2</v>
      </c>
      <c r="X692" s="990">
        <f>IF(I!X692="","",$D$2*I!X692)</f>
        <v>2.0458016174999996E-2</v>
      </c>
      <c r="Y692" s="1010">
        <f>IF(I!Y692="","",$D$2*I!Y692)</f>
        <v>5.3056505870000006E-2</v>
      </c>
      <c r="Z692" s="938"/>
      <c r="AA692" s="938"/>
      <c r="AB692" s="938"/>
      <c r="AC692" s="938"/>
      <c r="AD692" s="1058"/>
      <c r="AE692" s="938"/>
      <c r="AF692" s="938"/>
      <c r="AG692" s="938"/>
      <c r="AH692" s="938"/>
    </row>
    <row r="693" spans="1:34" ht="17.25" customHeight="1" x14ac:dyDescent="0.35">
      <c r="A693" s="938"/>
      <c r="B693" s="938"/>
      <c r="C693" s="941"/>
      <c r="D693" s="1047"/>
      <c r="E693" s="941"/>
      <c r="F693" s="938"/>
      <c r="G693" s="976">
        <f t="shared" si="12"/>
        <v>690</v>
      </c>
      <c r="H693" s="1000">
        <v>1</v>
      </c>
      <c r="I693" s="1001" t="s">
        <v>1059</v>
      </c>
      <c r="J693" s="1031" t="s">
        <v>1732</v>
      </c>
      <c r="K693" s="1002">
        <f>IF(I!K693="","",$D$2*I!K693)</f>
        <v>5.6571217839999997E-3</v>
      </c>
      <c r="L693" s="981"/>
      <c r="M693" s="982"/>
      <c r="N693" s="1003"/>
      <c r="O693" s="1004">
        <f>IF(I!O693="","",$D$2*I!O693)</f>
        <v>0.02</v>
      </c>
      <c r="P693" s="1005">
        <f>IF(I!P693="","",$D$2*I!P693)</f>
        <v>2.0193005807999997E-2</v>
      </c>
      <c r="Q693" s="1006" t="str">
        <f>IF(I!Q693="","",$D$2*I!Q693)</f>
        <v/>
      </c>
      <c r="R693" s="982"/>
      <c r="S693" s="1003"/>
      <c r="T693" s="938"/>
      <c r="U693" s="1008" t="s">
        <v>1059</v>
      </c>
      <c r="V693" s="1018" t="s">
        <v>6539</v>
      </c>
      <c r="W693" s="1019">
        <f>IF(I!W693="","",$D$2*I!W693)</f>
        <v>2.665728811E-2</v>
      </c>
      <c r="X693" s="990">
        <f>IF(I!X693="","",$D$2*I!X693)</f>
        <v>2.0282554301999999E-2</v>
      </c>
      <c r="Y693" s="1010">
        <f>IF(I!Y693="","",$D$2*I!Y693)</f>
        <v>5.0770253109999997E-2</v>
      </c>
      <c r="Z693" s="938"/>
      <c r="AA693" s="938"/>
      <c r="AB693" s="938"/>
      <c r="AC693" s="938"/>
      <c r="AD693" s="1058"/>
      <c r="AE693" s="938"/>
      <c r="AF693" s="938"/>
      <c r="AG693" s="938"/>
      <c r="AH693" s="938"/>
    </row>
    <row r="694" spans="1:34" ht="17.25" customHeight="1" x14ac:dyDescent="0.35">
      <c r="A694" s="938"/>
      <c r="B694" s="938"/>
      <c r="C694" s="941"/>
      <c r="D694" s="1047"/>
      <c r="E694" s="941"/>
      <c r="F694" s="938"/>
      <c r="G694" s="976">
        <f t="shared" si="12"/>
        <v>691</v>
      </c>
      <c r="H694" s="1000">
        <v>1</v>
      </c>
      <c r="I694" s="1001" t="s">
        <v>1059</v>
      </c>
      <c r="J694" s="1031" t="s">
        <v>1733</v>
      </c>
      <c r="K694" s="1002">
        <f>IF(I!K694="","",$D$2*I!K694)</f>
        <v>5.6571217839999997E-3</v>
      </c>
      <c r="L694" s="981"/>
      <c r="M694" s="982"/>
      <c r="N694" s="1003"/>
      <c r="O694" s="1004">
        <f>IF(I!O694="","",$D$2*I!O694)</f>
        <v>0.43</v>
      </c>
      <c r="P694" s="1005">
        <f>IF(I!P694="","",$D$2*I!P694)</f>
        <v>5.3601930480200002</v>
      </c>
      <c r="Q694" s="1006" t="str">
        <f>IF(I!Q694="","",$D$2*I!Q694)</f>
        <v/>
      </c>
      <c r="R694" s="982"/>
      <c r="S694" s="1003"/>
      <c r="T694" s="938"/>
      <c r="U694" s="1008" t="s">
        <v>1059</v>
      </c>
      <c r="V694" s="1018" t="s">
        <v>6540</v>
      </c>
      <c r="W694" s="1019">
        <f>IF(I!W694="","",$D$2*I!W694)</f>
        <v>2.5315054909999999E-2</v>
      </c>
      <c r="X694" s="990">
        <f>IF(I!X694="","",$D$2*I!X694)</f>
        <v>2.2124672870999999E-2</v>
      </c>
      <c r="Y694" s="1010">
        <f>IF(I!Y694="","",$D$2*I!Y694)</f>
        <v>4.5318423910000002E-2</v>
      </c>
      <c r="Z694" s="938"/>
      <c r="AA694" s="938"/>
      <c r="AB694" s="938"/>
      <c r="AC694" s="938"/>
      <c r="AD694" s="1058"/>
      <c r="AE694" s="938"/>
      <c r="AF694" s="938"/>
      <c r="AG694" s="938"/>
      <c r="AH694" s="938"/>
    </row>
    <row r="695" spans="1:34" ht="17.25" customHeight="1" x14ac:dyDescent="0.35">
      <c r="A695" s="938"/>
      <c r="B695" s="938"/>
      <c r="C695" s="941"/>
      <c r="D695" s="1047"/>
      <c r="E695" s="941"/>
      <c r="F695" s="938"/>
      <c r="G695" s="976">
        <f t="shared" si="12"/>
        <v>692</v>
      </c>
      <c r="H695" s="1000">
        <v>1</v>
      </c>
      <c r="I695" s="1001" t="s">
        <v>1059</v>
      </c>
      <c r="J695" s="1031" t="s">
        <v>1734</v>
      </c>
      <c r="K695" s="1002">
        <f>IF(I!K695="","",$D$2*I!K695)</f>
        <v>3.1617406779999996E-3</v>
      </c>
      <c r="L695" s="981"/>
      <c r="M695" s="982"/>
      <c r="N695" s="1003"/>
      <c r="O695" s="1004">
        <f>IF(I!O695="","",$D$2*I!O695)</f>
        <v>0.01</v>
      </c>
      <c r="P695" s="1005">
        <f>IF(I!P695="","",$D$2*I!P695)</f>
        <v>1.1161252868E-2</v>
      </c>
      <c r="Q695" s="1006" t="str">
        <f>IF(I!Q695="","",$D$2*I!Q695)</f>
        <v/>
      </c>
      <c r="R695" s="982"/>
      <c r="S695" s="1003"/>
      <c r="T695" s="938"/>
      <c r="U695" s="1008" t="s">
        <v>1059</v>
      </c>
      <c r="V695" s="1018" t="s">
        <v>6541</v>
      </c>
      <c r="W695" s="1019">
        <f>IF(I!W695="","",$D$2*I!W695)</f>
        <v>2.8599581499999999E-2</v>
      </c>
      <c r="X695" s="990">
        <f>IF(I!X695="","",$D$2*I!X695)</f>
        <v>2.4865624950000002E-2</v>
      </c>
      <c r="Y695" s="1010">
        <f>IF(I!Y695="","",$D$2*I!Y695)</f>
        <v>5.6314305499999995E-2</v>
      </c>
      <c r="Z695" s="938"/>
      <c r="AA695" s="938"/>
      <c r="AB695" s="938"/>
      <c r="AC695" s="938"/>
      <c r="AD695" s="1058"/>
      <c r="AE695" s="938"/>
      <c r="AF695" s="938"/>
      <c r="AG695" s="938"/>
      <c r="AH695" s="938"/>
    </row>
    <row r="696" spans="1:34" ht="17.25" customHeight="1" x14ac:dyDescent="0.35">
      <c r="A696" s="938"/>
      <c r="B696" s="938"/>
      <c r="C696" s="941"/>
      <c r="D696" s="1047"/>
      <c r="E696" s="941"/>
      <c r="F696" s="938"/>
      <c r="G696" s="976">
        <f t="shared" si="12"/>
        <v>693</v>
      </c>
      <c r="H696" s="942"/>
      <c r="I696" s="1001" t="s">
        <v>1059</v>
      </c>
      <c r="J696" s="1031" t="s">
        <v>1735</v>
      </c>
      <c r="K696" s="1002">
        <f>IF(I!K696="","",$D$2*I!K696)</f>
        <v>3.5776198399999999E-3</v>
      </c>
      <c r="L696" s="981"/>
      <c r="M696" s="982"/>
      <c r="N696" s="1003"/>
      <c r="O696" s="1004">
        <f>IF(I!O696="","",$D$2*I!O696)</f>
        <v>0.02</v>
      </c>
      <c r="P696" s="1005">
        <f>IF(I!P696="","",$D$2*I!P696)</f>
        <v>1.2591144408999999E-2</v>
      </c>
      <c r="Q696" s="1006" t="str">
        <f>IF(I!Q696="","",$D$2*I!Q696)</f>
        <v/>
      </c>
      <c r="R696" s="982"/>
      <c r="S696" s="1003"/>
      <c r="T696" s="938"/>
      <c r="U696" s="1008" t="s">
        <v>1059</v>
      </c>
      <c r="V696" s="1018" t="s">
        <v>6542</v>
      </c>
      <c r="W696" s="1019">
        <f>IF(I!W696="","",$D$2*I!W696)</f>
        <v>4.5033878919999999E-2</v>
      </c>
      <c r="X696" s="990">
        <f>IF(I!X696="","",$D$2*I!X696)</f>
        <v>2.0981290242000003E-2</v>
      </c>
      <c r="Y696" s="1010">
        <f>IF(I!Y696="","",$D$2*I!Y696)</f>
        <v>6.7751402919999995E-2</v>
      </c>
      <c r="Z696" s="938"/>
      <c r="AA696" s="938"/>
      <c r="AB696" s="938"/>
      <c r="AC696" s="938"/>
      <c r="AD696" s="1058"/>
      <c r="AE696" s="938"/>
      <c r="AF696" s="938"/>
      <c r="AG696" s="938"/>
      <c r="AH696" s="938"/>
    </row>
    <row r="697" spans="1:34" ht="17.25" customHeight="1" x14ac:dyDescent="0.35">
      <c r="A697" s="938"/>
      <c r="B697" s="938"/>
      <c r="C697" s="941"/>
      <c r="D697" s="1047"/>
      <c r="E697" s="941"/>
      <c r="F697" s="938"/>
      <c r="G697" s="976">
        <f t="shared" si="12"/>
        <v>694</v>
      </c>
      <c r="H697" s="1000"/>
      <c r="I697" s="1001" t="s">
        <v>1059</v>
      </c>
      <c r="J697" s="1031" t="s">
        <v>1736</v>
      </c>
      <c r="K697" s="1002">
        <f>IF(I!K697="","",$D$2*I!K697)</f>
        <v>3.5776198399999999E-3</v>
      </c>
      <c r="L697" s="981"/>
      <c r="M697" s="982"/>
      <c r="N697" s="1003"/>
      <c r="O697" s="1004">
        <f>IF(I!O697="","",$D$2*I!O697)</f>
        <v>0.42</v>
      </c>
      <c r="P697" s="1005">
        <f>IF(I!P697="","",$D$2*I!P697)</f>
        <v>3.7925911272319999</v>
      </c>
      <c r="Q697" s="1006" t="str">
        <f>IF(I!Q697="","",$D$2*I!Q697)</f>
        <v/>
      </c>
      <c r="R697" s="982"/>
      <c r="S697" s="1003"/>
      <c r="T697" s="938"/>
      <c r="U697" s="1008" t="s">
        <v>1059</v>
      </c>
      <c r="V697" s="1018" t="s">
        <v>6543</v>
      </c>
      <c r="W697" s="1019">
        <f>IF(I!W697="","",$D$2*I!W697)</f>
        <v>1.5125871340000001E-2</v>
      </c>
      <c r="X697" s="990">
        <f>IF(I!X697="","",$D$2*I!X697)</f>
        <v>1.2354680966E-2</v>
      </c>
      <c r="Y697" s="1010">
        <f>IF(I!Y697="","",$D$2*I!Y697)</f>
        <v>2.5696647340000003E-2</v>
      </c>
      <c r="Z697" s="938"/>
      <c r="AA697" s="938"/>
      <c r="AB697" s="938"/>
      <c r="AC697" s="938"/>
      <c r="AD697" s="1058"/>
      <c r="AE697" s="938"/>
      <c r="AF697" s="938"/>
      <c r="AG697" s="938"/>
      <c r="AH697" s="938"/>
    </row>
    <row r="698" spans="1:34" ht="17.25" customHeight="1" x14ac:dyDescent="0.35">
      <c r="A698" s="938"/>
      <c r="B698" s="938"/>
      <c r="C698" s="941"/>
      <c r="D698" s="1047"/>
      <c r="E698" s="941"/>
      <c r="F698" s="938"/>
      <c r="G698" s="976">
        <f t="shared" si="12"/>
        <v>695</v>
      </c>
      <c r="H698" s="1000"/>
      <c r="I698" s="1001" t="s">
        <v>1059</v>
      </c>
      <c r="J698" s="1031" t="s">
        <v>1737</v>
      </c>
      <c r="K698" s="1002">
        <f>IF(I!K698="","",$D$2*I!K698)</f>
        <v>9.3547417549999998E-3</v>
      </c>
      <c r="L698" s="981"/>
      <c r="M698" s="982"/>
      <c r="N698" s="1003"/>
      <c r="O698" s="1004">
        <f>IF(I!O698="","",$D$2*I!O698)</f>
        <v>0.04</v>
      </c>
      <c r="P698" s="1005">
        <f>IF(I!P698="","",$D$2*I!P698)</f>
        <v>3.3732684472E-2</v>
      </c>
      <c r="Q698" s="1006" t="str">
        <f>IF(I!Q698="","",$D$2*I!Q698)</f>
        <v/>
      </c>
      <c r="R698" s="982"/>
      <c r="S698" s="1003"/>
      <c r="T698" s="938"/>
      <c r="U698" s="1008" t="s">
        <v>1059</v>
      </c>
      <c r="V698" s="1018" t="s">
        <v>6544</v>
      </c>
      <c r="W698" s="1019">
        <f>IF(I!W698="","",$D$2*I!W698)</f>
        <v>1.4419080110000001E-2</v>
      </c>
      <c r="X698" s="990">
        <f>IF(I!X698="","",$D$2*I!X698)</f>
        <v>1.3052680510000001E-2</v>
      </c>
      <c r="Y698" s="1010">
        <f>IF(I!Y698="","",$D$2*I!Y698)</f>
        <v>2.3097957710000002E-2</v>
      </c>
      <c r="Z698" s="938"/>
      <c r="AA698" s="938"/>
      <c r="AB698" s="938"/>
      <c r="AC698" s="938"/>
      <c r="AD698" s="1058"/>
      <c r="AE698" s="938"/>
      <c r="AF698" s="938"/>
      <c r="AG698" s="938"/>
      <c r="AH698" s="938"/>
    </row>
    <row r="699" spans="1:34" ht="17.25" customHeight="1" x14ac:dyDescent="0.35">
      <c r="A699" s="938"/>
      <c r="B699" s="938"/>
      <c r="C699" s="941"/>
      <c r="D699" s="1047"/>
      <c r="E699" s="941"/>
      <c r="F699" s="938"/>
      <c r="G699" s="976">
        <f t="shared" si="12"/>
        <v>696</v>
      </c>
      <c r="H699" s="942"/>
      <c r="I699" s="1001" t="s">
        <v>1059</v>
      </c>
      <c r="J699" s="1031" t="s">
        <v>1738</v>
      </c>
      <c r="K699" s="1002">
        <f>IF(I!K699="","",$D$2*I!K699)</f>
        <v>4.2274641819999995E-3</v>
      </c>
      <c r="L699" s="981"/>
      <c r="M699" s="982"/>
      <c r="N699" s="1003"/>
      <c r="O699" s="1004">
        <f>IF(I!O699="","",$D$2*I!O699)</f>
        <v>0.02</v>
      </c>
      <c r="P699" s="1005">
        <f>IF(I!P699="","",$D$2*I!P699)</f>
        <v>1.4966725782E-2</v>
      </c>
      <c r="Q699" s="1006" t="str">
        <f>IF(I!Q699="","",$D$2*I!Q699)</f>
        <v/>
      </c>
      <c r="R699" s="982"/>
      <c r="S699" s="1003"/>
      <c r="T699" s="938"/>
      <c r="U699" s="1008" t="s">
        <v>1059</v>
      </c>
      <c r="V699" s="1018" t="s">
        <v>6545</v>
      </c>
      <c r="W699" s="1019">
        <f>IF(I!W699="","",$D$2*I!W699)</f>
        <v>1.6420908519999999E-2</v>
      </c>
      <c r="X699" s="990">
        <f>IF(I!X699="","",$D$2*I!X699)</f>
        <v>1.5398354906000002E-2</v>
      </c>
      <c r="Y699" s="1010">
        <f>IF(I!Y699="","",$D$2*I!Y699)</f>
        <v>2.9217957519999997E-2</v>
      </c>
      <c r="Z699" s="938"/>
      <c r="AA699" s="938"/>
      <c r="AB699" s="938"/>
      <c r="AC699" s="938"/>
      <c r="AD699" s="1058"/>
      <c r="AE699" s="938"/>
      <c r="AF699" s="938"/>
      <c r="AG699" s="938"/>
      <c r="AH699" s="938"/>
    </row>
    <row r="700" spans="1:34" ht="17.25" customHeight="1" x14ac:dyDescent="0.35">
      <c r="A700" s="938"/>
      <c r="B700" s="938"/>
      <c r="C700" s="941"/>
      <c r="D700" s="1047"/>
      <c r="E700" s="941"/>
      <c r="F700" s="938"/>
      <c r="G700" s="976">
        <f t="shared" si="12"/>
        <v>697</v>
      </c>
      <c r="H700" s="1000"/>
      <c r="I700" s="1001" t="s">
        <v>1059</v>
      </c>
      <c r="J700" s="1031" t="s">
        <v>1739</v>
      </c>
      <c r="K700" s="1002">
        <f>IF(I!K700="","",$D$2*I!K700)</f>
        <v>4.2274641819999995E-3</v>
      </c>
      <c r="L700" s="981"/>
      <c r="M700" s="982"/>
      <c r="N700" s="1003"/>
      <c r="O700" s="1004">
        <f>IF(I!O700="","",$D$2*I!O700)</f>
        <v>0.42</v>
      </c>
      <c r="P700" s="1005">
        <f>IF(I!P700="","",$D$2*I!P700)</f>
        <v>4.6102167084140007</v>
      </c>
      <c r="Q700" s="1006" t="str">
        <f>IF(I!Q700="","",$D$2*I!Q700)</f>
        <v/>
      </c>
      <c r="R700" s="982"/>
      <c r="S700" s="1003"/>
      <c r="T700" s="938"/>
      <c r="U700" s="1008" t="s">
        <v>1059</v>
      </c>
      <c r="V700" s="1018" t="s">
        <v>6546</v>
      </c>
      <c r="W700" s="1019">
        <f>IF(I!W700="","",$D$2*I!W700)</f>
        <v>2.5609753709999999E-2</v>
      </c>
      <c r="X700" s="990">
        <f>IF(I!X700="","",$D$2*I!X700)</f>
        <v>1.2912610263E-2</v>
      </c>
      <c r="Y700" s="1010">
        <f>IF(I!Y700="","",$D$2*I!Y700)</f>
        <v>3.5189771809999999E-2</v>
      </c>
      <c r="Z700" s="938"/>
      <c r="AA700" s="938"/>
      <c r="AB700" s="938"/>
      <c r="AC700" s="938"/>
      <c r="AD700" s="1058"/>
      <c r="AE700" s="938"/>
      <c r="AF700" s="938"/>
      <c r="AG700" s="938"/>
      <c r="AH700" s="938"/>
    </row>
    <row r="701" spans="1:34" ht="17.25" customHeight="1" x14ac:dyDescent="0.35">
      <c r="A701" s="938"/>
      <c r="B701" s="938"/>
      <c r="C701" s="941"/>
      <c r="D701" s="1047"/>
      <c r="E701" s="941"/>
      <c r="F701" s="938"/>
      <c r="G701" s="976">
        <f t="shared" si="12"/>
        <v>698</v>
      </c>
      <c r="H701" s="1000"/>
      <c r="I701" s="1001" t="s">
        <v>1059</v>
      </c>
      <c r="J701" s="1031" t="s">
        <v>1740</v>
      </c>
      <c r="K701" s="1002">
        <f>IF(I!K701="","",$D$2*I!K701)</f>
        <v>3.7447226419999998E-3</v>
      </c>
      <c r="L701" s="981"/>
      <c r="M701" s="982"/>
      <c r="N701" s="1003"/>
      <c r="O701" s="1004">
        <f>IF(I!O701="","",$D$2*I!O701)</f>
        <v>0.02</v>
      </c>
      <c r="P701" s="1005">
        <f>IF(I!P701="","",$D$2*I!P701)</f>
        <v>1.3202007906999999E-2</v>
      </c>
      <c r="Q701" s="1006" t="str">
        <f>IF(I!Q701="","",$D$2*I!Q701)</f>
        <v/>
      </c>
      <c r="R701" s="982"/>
      <c r="S701" s="1003"/>
      <c r="T701" s="938"/>
      <c r="U701" s="1008" t="s">
        <v>1059</v>
      </c>
      <c r="V701" s="1018" t="s">
        <v>6547</v>
      </c>
      <c r="W701" s="1019">
        <f>IF(I!W701="","",$D$2*I!W701)</f>
        <v>8.8486196199999992E-2</v>
      </c>
      <c r="X701" s="990">
        <f>IF(I!X701="","",$D$2*I!X701)</f>
        <v>7.3039286930000002E-2</v>
      </c>
      <c r="Y701" s="1010">
        <f>IF(I!Y701="","",$D$2*I!Y701)</f>
        <v>0.14550113719999999</v>
      </c>
      <c r="Z701" s="938"/>
      <c r="AA701" s="938"/>
      <c r="AB701" s="938"/>
      <c r="AC701" s="938"/>
      <c r="AD701" s="1058"/>
      <c r="AE701" s="938"/>
      <c r="AF701" s="938"/>
      <c r="AG701" s="938"/>
      <c r="AH701" s="938"/>
    </row>
    <row r="702" spans="1:34" ht="17.25" customHeight="1" x14ac:dyDescent="0.35">
      <c r="A702" s="938"/>
      <c r="B702" s="938"/>
      <c r="C702" s="941"/>
      <c r="D702" s="1047"/>
      <c r="E702" s="941"/>
      <c r="F702" s="938"/>
      <c r="G702" s="976">
        <f t="shared" si="12"/>
        <v>699</v>
      </c>
      <c r="H702" s="1000"/>
      <c r="I702" s="1001" t="s">
        <v>1059</v>
      </c>
      <c r="J702" s="1031" t="s">
        <v>1741</v>
      </c>
      <c r="K702" s="1002">
        <f>IF(I!K702="","",$D$2*I!K702)</f>
        <v>3.7447226419999998E-3</v>
      </c>
      <c r="L702" s="981"/>
      <c r="M702" s="982"/>
      <c r="N702" s="1003"/>
      <c r="O702" s="1004">
        <f>IF(I!O702="","",$D$2*I!O702)</f>
        <v>0.42</v>
      </c>
      <c r="P702" s="1005">
        <f>IF(I!P702="","",$D$2*I!P702)</f>
        <v>5.1732020392519997</v>
      </c>
      <c r="Q702" s="1006" t="str">
        <f>IF(I!Q702="","",$D$2*I!Q702)</f>
        <v/>
      </c>
      <c r="R702" s="982"/>
      <c r="S702" s="1003"/>
      <c r="T702" s="938"/>
      <c r="U702" s="1008" t="s">
        <v>1059</v>
      </c>
      <c r="V702" s="1018" t="s">
        <v>6548</v>
      </c>
      <c r="W702" s="1019">
        <f>IF(I!W702="","",$D$2*I!W702)</f>
        <v>8.4645928790000005E-2</v>
      </c>
      <c r="X702" s="990">
        <f>IF(I!X702="","",$D$2*I!X702)</f>
        <v>7.5885549050000001E-2</v>
      </c>
      <c r="Y702" s="1010">
        <f>IF(I!Y702="","",$D$2*I!Y702)</f>
        <v>0.13232806379000001</v>
      </c>
      <c r="Z702" s="938"/>
      <c r="AA702" s="938"/>
      <c r="AB702" s="938"/>
      <c r="AC702" s="938"/>
      <c r="AD702" s="1058"/>
      <c r="AE702" s="938"/>
      <c r="AF702" s="938"/>
      <c r="AG702" s="938"/>
      <c r="AH702" s="938"/>
    </row>
    <row r="703" spans="1:34" ht="17.25" customHeight="1" x14ac:dyDescent="0.35">
      <c r="A703" s="938"/>
      <c r="B703" s="938"/>
      <c r="C703" s="941"/>
      <c r="D703" s="1047"/>
      <c r="E703" s="941"/>
      <c r="F703" s="938"/>
      <c r="G703" s="976">
        <f t="shared" si="12"/>
        <v>700</v>
      </c>
      <c r="H703" s="942" t="s">
        <v>1742</v>
      </c>
      <c r="I703" s="1060"/>
      <c r="J703" s="1027"/>
      <c r="K703" s="1002" t="str">
        <f>IF(I!K703="","",$D$2*I!K703)</f>
        <v/>
      </c>
      <c r="L703" s="981"/>
      <c r="M703" s="982"/>
      <c r="N703" s="1003"/>
      <c r="O703" s="1004" t="str">
        <f>IF(I!O703="","",$D$2*I!O703)</f>
        <v/>
      </c>
      <c r="P703" s="1005" t="str">
        <f>IF(I!P703="","",$D$2*I!P703)</f>
        <v/>
      </c>
      <c r="Q703" s="1006" t="str">
        <f>IF(I!Q703="","",$D$2*I!Q703)</f>
        <v/>
      </c>
      <c r="R703" s="982"/>
      <c r="S703" s="1003"/>
      <c r="T703" s="938"/>
      <c r="U703" s="1008" t="s">
        <v>1059</v>
      </c>
      <c r="V703" s="1018" t="s">
        <v>6549</v>
      </c>
      <c r="W703" s="1019">
        <f>IF(I!W703="","",$D$2*I!W703)</f>
        <v>9.6469726259999999E-2</v>
      </c>
      <c r="X703" s="990">
        <f>IF(I!X703="","",$D$2*I!X703)</f>
        <v>9.1769369330000003E-2</v>
      </c>
      <c r="Y703" s="1010">
        <f>IF(I!Y703="","",$D$2*I!Y703)</f>
        <v>0.16672761526000002</v>
      </c>
      <c r="Z703" s="938"/>
      <c r="AA703" s="938"/>
      <c r="AB703" s="938"/>
      <c r="AC703" s="938"/>
      <c r="AD703" s="1058"/>
      <c r="AE703" s="938"/>
      <c r="AF703" s="938"/>
      <c r="AG703" s="938"/>
      <c r="AH703" s="938"/>
    </row>
    <row r="704" spans="1:34" ht="17.25" customHeight="1" x14ac:dyDescent="0.35">
      <c r="A704" s="938"/>
      <c r="B704" s="938"/>
      <c r="C704" s="941"/>
      <c r="D704" s="1047"/>
      <c r="E704" s="941"/>
      <c r="F704" s="938"/>
      <c r="G704" s="976">
        <f t="shared" si="12"/>
        <v>701</v>
      </c>
      <c r="H704" s="1000"/>
      <c r="I704" s="1001" t="s">
        <v>1059</v>
      </c>
      <c r="J704" s="1031" t="s">
        <v>1743</v>
      </c>
      <c r="K704" s="1002">
        <f>IF(I!K704="","",$D$2*I!K704)</f>
        <v>4.1717632790000004E-3</v>
      </c>
      <c r="L704" s="981"/>
      <c r="M704" s="982"/>
      <c r="N704" s="1003"/>
      <c r="O704" s="1004">
        <f>IF(I!O704="","",$D$2*I!O704)</f>
        <v>0.02</v>
      </c>
      <c r="P704" s="1005">
        <f>IF(I!P704="","",$D$2*I!P704)</f>
        <v>1.4763104956000001E-2</v>
      </c>
      <c r="Q704" s="1006" t="str">
        <f>IF(I!Q704="","",$D$2*I!Q704)</f>
        <v/>
      </c>
      <c r="R704" s="982"/>
      <c r="S704" s="1003"/>
      <c r="T704" s="938"/>
      <c r="U704" s="1008" t="s">
        <v>1059</v>
      </c>
      <c r="V704" s="1018" t="s">
        <v>6550</v>
      </c>
      <c r="W704" s="1019">
        <f>IF(I!W704="","",$D$2*I!W704)</f>
        <v>0.14825693470000001</v>
      </c>
      <c r="X704" s="990">
        <f>IF(I!X704="","",$D$2*I!X704)</f>
        <v>7.6731624329999998E-2</v>
      </c>
      <c r="Y704" s="1010">
        <f>IF(I!Y704="","",$D$2*I!Y704)</f>
        <v>0.19899837370000001</v>
      </c>
      <c r="Z704" s="938"/>
      <c r="AA704" s="938"/>
      <c r="AB704" s="938"/>
      <c r="AC704" s="938"/>
      <c r="AD704" s="1058"/>
      <c r="AE704" s="938"/>
      <c r="AF704" s="938"/>
      <c r="AG704" s="938"/>
      <c r="AH704" s="938"/>
    </row>
    <row r="705" spans="1:34" ht="17.25" customHeight="1" x14ac:dyDescent="0.35">
      <c r="A705" s="938"/>
      <c r="B705" s="938"/>
      <c r="C705" s="941"/>
      <c r="D705" s="1047"/>
      <c r="E705" s="941"/>
      <c r="F705" s="938"/>
      <c r="G705" s="976">
        <f t="shared" si="12"/>
        <v>702</v>
      </c>
      <c r="H705" s="1000"/>
      <c r="I705" s="1001" t="s">
        <v>1059</v>
      </c>
      <c r="J705" s="1031" t="s">
        <v>1744</v>
      </c>
      <c r="K705" s="1002">
        <f>IF(I!K705="","",$D$2*I!K705)</f>
        <v>4.1717632790000004E-3</v>
      </c>
      <c r="L705" s="981"/>
      <c r="M705" s="982"/>
      <c r="N705" s="1003"/>
      <c r="O705" s="1004">
        <f>IF(I!O705="","",$D$2*I!O705)</f>
        <v>0.42</v>
      </c>
      <c r="P705" s="1005">
        <f>IF(I!P705="","",$D$2*I!P705)</f>
        <v>5.2797631047470004</v>
      </c>
      <c r="Q705" s="1006" t="str">
        <f>IF(I!Q705="","",$D$2*I!Q705)</f>
        <v/>
      </c>
      <c r="R705" s="982"/>
      <c r="S705" s="1003"/>
      <c r="T705" s="938"/>
      <c r="U705" s="1008" t="s">
        <v>1059</v>
      </c>
      <c r="V705" s="1018" t="s">
        <v>6551</v>
      </c>
      <c r="W705" s="1019">
        <f>IF(I!W705="","",$D$2*I!W705)</f>
        <v>4.6925902490000004E-2</v>
      </c>
      <c r="X705" s="990">
        <f>IF(I!X705="","",$D$2*I!X705)</f>
        <v>3.8378264539999998E-2</v>
      </c>
      <c r="Y705" s="1010">
        <f>IF(I!Y705="","",$D$2*I!Y705)</f>
        <v>8.0407582490000004E-2</v>
      </c>
      <c r="Z705" s="938"/>
      <c r="AA705" s="938"/>
      <c r="AB705" s="938"/>
      <c r="AC705" s="938"/>
      <c r="AD705" s="1058"/>
      <c r="AE705" s="938"/>
      <c r="AF705" s="938"/>
      <c r="AG705" s="938"/>
      <c r="AH705" s="938"/>
    </row>
    <row r="706" spans="1:34" ht="17.25" customHeight="1" x14ac:dyDescent="0.35">
      <c r="A706" s="938"/>
      <c r="B706" s="938"/>
      <c r="C706" s="941"/>
      <c r="D706" s="1047"/>
      <c r="E706" s="941"/>
      <c r="F706" s="938"/>
      <c r="G706" s="976">
        <f t="shared" si="12"/>
        <v>703</v>
      </c>
      <c r="H706" s="1000"/>
      <c r="I706" s="1001" t="s">
        <v>1059</v>
      </c>
      <c r="J706" s="1031" t="s">
        <v>1745</v>
      </c>
      <c r="K706" s="1002">
        <f>IF(I!K706="","",$D$2*I!K706)</f>
        <v>4.5616698770000004E-3</v>
      </c>
      <c r="L706" s="981"/>
      <c r="M706" s="982"/>
      <c r="N706" s="1003"/>
      <c r="O706" s="1004">
        <f>IF(I!O706="","",$D$2*I!O706)</f>
        <v>0.02</v>
      </c>
      <c r="P706" s="1005">
        <f>IF(I!P706="","",$D$2*I!P706)</f>
        <v>1.6188453776999998E-2</v>
      </c>
      <c r="Q706" s="1006" t="str">
        <f>IF(I!Q706="","",$D$2*I!Q706)</f>
        <v/>
      </c>
      <c r="R706" s="982"/>
      <c r="S706" s="1003"/>
      <c r="T706" s="938"/>
      <c r="U706" s="1008" t="s">
        <v>1059</v>
      </c>
      <c r="V706" s="1018" t="s">
        <v>6552</v>
      </c>
      <c r="W706" s="1019">
        <f>IF(I!W706="","",$D$2*I!W706)</f>
        <v>4.464082942E-2</v>
      </c>
      <c r="X706" s="990">
        <f>IF(I!X706="","",$D$2*I!X706)</f>
        <v>4.0883873740000007E-2</v>
      </c>
      <c r="Y706" s="1010">
        <f>IF(I!Y706="","",$D$2*I!Y706)</f>
        <v>7.1756899419999992E-2</v>
      </c>
      <c r="Z706" s="938"/>
      <c r="AA706" s="938"/>
      <c r="AB706" s="938"/>
      <c r="AC706" s="938"/>
      <c r="AD706" s="1058"/>
      <c r="AE706" s="938"/>
      <c r="AF706" s="938"/>
      <c r="AG706" s="938"/>
      <c r="AH706" s="938"/>
    </row>
    <row r="707" spans="1:34" ht="17.25" customHeight="1" x14ac:dyDescent="0.35">
      <c r="A707" s="938"/>
      <c r="B707" s="938"/>
      <c r="C707" s="941"/>
      <c r="D707" s="1047"/>
      <c r="E707" s="941"/>
      <c r="F707" s="938"/>
      <c r="G707" s="976">
        <f t="shared" si="12"/>
        <v>704</v>
      </c>
      <c r="H707" s="1000"/>
      <c r="I707" s="1001" t="s">
        <v>1059</v>
      </c>
      <c r="J707" s="1031" t="s">
        <v>1746</v>
      </c>
      <c r="K707" s="1002">
        <f>IF(I!K707="","",$D$2*I!K707)</f>
        <v>4.5616698770000004E-3</v>
      </c>
      <c r="L707" s="981"/>
      <c r="M707" s="982"/>
      <c r="N707" s="1003"/>
      <c r="O707" s="1004">
        <f>IF(I!O707="","",$D$2*I!O707)</f>
        <v>0.42</v>
      </c>
      <c r="P707" s="1005">
        <f>IF(I!P707="","",$D$2*I!P707)</f>
        <v>7.8161884334540002</v>
      </c>
      <c r="Q707" s="1006" t="str">
        <f>IF(I!Q707="","",$D$2*I!Q707)</f>
        <v/>
      </c>
      <c r="R707" s="982"/>
      <c r="S707" s="1003"/>
      <c r="T707" s="938"/>
      <c r="U707" s="1008" t="s">
        <v>1059</v>
      </c>
      <c r="V707" s="1018" t="s">
        <v>6553</v>
      </c>
      <c r="W707" s="1019">
        <f>IF(I!W707="","",$D$2*I!W707)</f>
        <v>5.0863601869999997E-2</v>
      </c>
      <c r="X707" s="990">
        <f>IF(I!X707="","",$D$2*I!X707)</f>
        <v>4.7641643550000001E-2</v>
      </c>
      <c r="Y707" s="1010">
        <f>IF(I!Y707="","",$D$2*I!Y707)</f>
        <v>9.1241156870000006E-2</v>
      </c>
      <c r="Z707" s="938"/>
      <c r="AA707" s="938"/>
      <c r="AB707" s="938"/>
      <c r="AC707" s="938"/>
      <c r="AD707" s="1058"/>
      <c r="AE707" s="938"/>
      <c r="AF707" s="938"/>
      <c r="AG707" s="938"/>
      <c r="AH707" s="938"/>
    </row>
    <row r="708" spans="1:34" ht="17.25" customHeight="1" x14ac:dyDescent="0.35">
      <c r="A708" s="938"/>
      <c r="B708" s="938"/>
      <c r="C708" s="941"/>
      <c r="D708" s="1047"/>
      <c r="E708" s="941"/>
      <c r="F708" s="938"/>
      <c r="G708" s="976">
        <f t="shared" si="12"/>
        <v>705</v>
      </c>
      <c r="H708" s="942"/>
      <c r="I708" s="1001" t="s">
        <v>1059</v>
      </c>
      <c r="J708" s="1031" t="s">
        <v>1747</v>
      </c>
      <c r="K708" s="1002">
        <f>IF(I!K708="","",$D$2*I!K708)</f>
        <v>7.9222937469999987E-3</v>
      </c>
      <c r="L708" s="981"/>
      <c r="M708" s="982"/>
      <c r="N708" s="1003"/>
      <c r="O708" s="1004">
        <f>IF(I!O708="","",$D$2*I!O708)</f>
        <v>0.03</v>
      </c>
      <c r="P708" s="1005">
        <f>IF(I!P708="","",$D$2*I!P708)</f>
        <v>2.8473603324000001E-2</v>
      </c>
      <c r="Q708" s="1006" t="str">
        <f>IF(I!Q708="","",$D$2*I!Q708)</f>
        <v/>
      </c>
      <c r="R708" s="982"/>
      <c r="S708" s="1003"/>
      <c r="T708" s="938"/>
      <c r="U708" s="1008" t="s">
        <v>1059</v>
      </c>
      <c r="V708" s="1018" t="s">
        <v>6554</v>
      </c>
      <c r="W708" s="1019">
        <f>IF(I!W708="","",$D$2*I!W708)</f>
        <v>8.0081804919999999E-2</v>
      </c>
      <c r="X708" s="990">
        <f>IF(I!X708="","",$D$2*I!X708)</f>
        <v>4.0008180186000004E-2</v>
      </c>
      <c r="Y708" s="1010">
        <f>IF(I!Y708="","",$D$2*I!Y708)</f>
        <v>0.11059459092</v>
      </c>
      <c r="Z708" s="938"/>
      <c r="AA708" s="938"/>
      <c r="AB708" s="938"/>
      <c r="AC708" s="938"/>
      <c r="AD708" s="1058"/>
      <c r="AE708" s="938"/>
      <c r="AF708" s="938"/>
      <c r="AG708" s="938"/>
      <c r="AH708" s="938"/>
    </row>
    <row r="709" spans="1:34" ht="17.25" customHeight="1" x14ac:dyDescent="0.35">
      <c r="A709" s="938"/>
      <c r="B709" s="938"/>
      <c r="C709" s="941"/>
      <c r="D709" s="1047"/>
      <c r="E709" s="941"/>
      <c r="F709" s="938"/>
      <c r="G709" s="976">
        <f t="shared" si="12"/>
        <v>706</v>
      </c>
      <c r="H709" s="1000"/>
      <c r="I709" s="1001" t="s">
        <v>1059</v>
      </c>
      <c r="J709" s="1031" t="s">
        <v>1748</v>
      </c>
      <c r="K709" s="1002">
        <f>IF(I!K709="","",$D$2*I!K709)</f>
        <v>7.9222937469999987E-3</v>
      </c>
      <c r="L709" s="981"/>
      <c r="M709" s="982"/>
      <c r="N709" s="1003"/>
      <c r="O709" s="1004">
        <f>IF(I!O709="","",$D$2*I!O709)</f>
        <v>0.44</v>
      </c>
      <c r="P709" s="1005">
        <f>IF(I!P709="","",$D$2*I!P709)</f>
        <v>8.8484736477279995</v>
      </c>
      <c r="Q709" s="1006" t="str">
        <f>IF(I!Q709="","",$D$2*I!Q709)</f>
        <v/>
      </c>
      <c r="R709" s="982"/>
      <c r="S709" s="1003"/>
      <c r="T709" s="938"/>
      <c r="U709" s="1008" t="s">
        <v>1059</v>
      </c>
      <c r="V709" s="1018" t="s">
        <v>6555</v>
      </c>
      <c r="W709" s="1019">
        <f>IF(I!W709="","",$D$2*I!W709)</f>
        <v>2.8887502190000001E-2</v>
      </c>
      <c r="X709" s="990">
        <f>IF(I!X709="","",$D$2*I!X709)</f>
        <v>2.3595061952999999E-2</v>
      </c>
      <c r="Y709" s="1010">
        <f>IF(I!Y709="","",$D$2*I!Y709)</f>
        <v>4.9075649190000001E-2</v>
      </c>
      <c r="Z709" s="938"/>
      <c r="AA709" s="938"/>
      <c r="AB709" s="938"/>
      <c r="AC709" s="938"/>
      <c r="AD709" s="1058"/>
      <c r="AE709" s="938"/>
      <c r="AF709" s="938"/>
      <c r="AG709" s="938"/>
      <c r="AH709" s="938"/>
    </row>
    <row r="710" spans="1:34" ht="17.25" customHeight="1" x14ac:dyDescent="0.35">
      <c r="A710" s="938"/>
      <c r="B710" s="938"/>
      <c r="C710" s="941"/>
      <c r="D710" s="1047"/>
      <c r="E710" s="941"/>
      <c r="F710" s="938"/>
      <c r="G710" s="976">
        <f t="shared" ref="G710:G773" si="13">G709+1</f>
        <v>707</v>
      </c>
      <c r="H710" s="1000"/>
      <c r="I710" s="1001" t="s">
        <v>1059</v>
      </c>
      <c r="J710" s="1031" t="s">
        <v>1749</v>
      </c>
      <c r="K710" s="1002">
        <f>IF(I!K710="","",$D$2*I!K710)</f>
        <v>3.837557583E-3</v>
      </c>
      <c r="L710" s="981"/>
      <c r="M710" s="982"/>
      <c r="N710" s="1003"/>
      <c r="O710" s="1004">
        <f>IF(I!O710="","",$D$2*I!O710)</f>
        <v>0.02</v>
      </c>
      <c r="P710" s="1005">
        <f>IF(I!P710="","",$D$2*I!P710)</f>
        <v>1.354137696E-2</v>
      </c>
      <c r="Q710" s="1006" t="str">
        <f>IF(I!Q710="","",$D$2*I!Q710)</f>
        <v/>
      </c>
      <c r="R710" s="982"/>
      <c r="S710" s="1003"/>
      <c r="T710" s="938"/>
      <c r="U710" s="1008" t="s">
        <v>1059</v>
      </c>
      <c r="V710" s="1018" t="s">
        <v>6556</v>
      </c>
      <c r="W710" s="1019">
        <f>IF(I!W710="","",$D$2*I!W710)</f>
        <v>2.7537666650000004E-2</v>
      </c>
      <c r="X710" s="990">
        <f>IF(I!X710="","",$D$2*I!X710)</f>
        <v>2.4928107174E-2</v>
      </c>
      <c r="Y710" s="1010">
        <f>IF(I!Y710="","",$D$2*I!Y710)</f>
        <v>4.4112651650000001E-2</v>
      </c>
      <c r="Z710" s="938"/>
      <c r="AA710" s="938"/>
      <c r="AB710" s="938"/>
      <c r="AC710" s="938"/>
      <c r="AD710" s="1058"/>
      <c r="AE710" s="938"/>
      <c r="AF710" s="938"/>
      <c r="AG710" s="938"/>
      <c r="AH710" s="938"/>
    </row>
    <row r="711" spans="1:34" ht="17.25" customHeight="1" x14ac:dyDescent="0.35">
      <c r="A711" s="938"/>
      <c r="B711" s="938"/>
      <c r="C711" s="941"/>
      <c r="D711" s="1047"/>
      <c r="E711" s="941"/>
      <c r="F711" s="938"/>
      <c r="G711" s="976">
        <f t="shared" si="13"/>
        <v>708</v>
      </c>
      <c r="H711" s="1000"/>
      <c r="I711" s="1001" t="s">
        <v>1059</v>
      </c>
      <c r="J711" s="1031" t="s">
        <v>1750</v>
      </c>
      <c r="K711" s="1002">
        <f>IF(I!K711="","",$D$2*I!K711)</f>
        <v>3.837557583E-3</v>
      </c>
      <c r="L711" s="981"/>
      <c r="M711" s="982"/>
      <c r="N711" s="1003"/>
      <c r="O711" s="1004">
        <f>IF(I!O711="","",$D$2*I!O711)</f>
        <v>0.42</v>
      </c>
      <c r="P711" s="1005">
        <f>IF(I!P711="","",$D$2*I!P711)</f>
        <v>2.8275413797060001</v>
      </c>
      <c r="Q711" s="1006" t="str">
        <f>IF(I!Q711="","",$D$2*I!Q711)</f>
        <v/>
      </c>
      <c r="R711" s="982"/>
      <c r="S711" s="1003"/>
      <c r="T711" s="938"/>
      <c r="U711" s="1008" t="s">
        <v>1059</v>
      </c>
      <c r="V711" s="1018" t="s">
        <v>6557</v>
      </c>
      <c r="W711" s="1019">
        <f>IF(I!W711="","",$D$2*I!W711)</f>
        <v>3.1360773029999997E-2</v>
      </c>
      <c r="X711" s="990">
        <f>IF(I!X711="","",$D$2*I!X711)</f>
        <v>2.9407893745E-2</v>
      </c>
      <c r="Y711" s="1010">
        <f>IF(I!Y711="","",$D$2*I!Y711)</f>
        <v>5.5800672029999998E-2</v>
      </c>
      <c r="Z711" s="938"/>
      <c r="AA711" s="938"/>
      <c r="AB711" s="938"/>
      <c r="AC711" s="938"/>
      <c r="AD711" s="1058"/>
      <c r="AE711" s="938"/>
      <c r="AF711" s="938"/>
      <c r="AG711" s="938"/>
      <c r="AH711" s="938"/>
    </row>
    <row r="712" spans="1:34" ht="17.25" customHeight="1" x14ac:dyDescent="0.35">
      <c r="A712" s="938"/>
      <c r="B712" s="938"/>
      <c r="C712" s="941"/>
      <c r="D712" s="1047"/>
      <c r="E712" s="941"/>
      <c r="F712" s="938"/>
      <c r="G712" s="976">
        <f t="shared" si="13"/>
        <v>709</v>
      </c>
      <c r="H712" s="1000"/>
      <c r="I712" s="1001" t="s">
        <v>1059</v>
      </c>
      <c r="J712" s="1031" t="s">
        <v>1751</v>
      </c>
      <c r="K712" s="1002">
        <f>IF(I!K712="","",$D$2*I!K712)</f>
        <v>3.837557583E-3</v>
      </c>
      <c r="L712" s="981"/>
      <c r="M712" s="982"/>
      <c r="N712" s="1003"/>
      <c r="O712" s="1004">
        <f>IF(I!O712="","",$D$2*I!O712)</f>
        <v>0.02</v>
      </c>
      <c r="P712" s="1005">
        <f>IF(I!P712="","",$D$2*I!P712)</f>
        <v>1.354137696E-2</v>
      </c>
      <c r="Q712" s="1006" t="str">
        <f>IF(I!Q712="","",$D$2*I!Q712)</f>
        <v/>
      </c>
      <c r="R712" s="982"/>
      <c r="S712" s="1003"/>
      <c r="T712" s="938"/>
      <c r="U712" s="1008" t="s">
        <v>1059</v>
      </c>
      <c r="V712" s="1018" t="s">
        <v>6558</v>
      </c>
      <c r="W712" s="1019">
        <f>IF(I!W712="","",$D$2*I!W712)</f>
        <v>4.8909698859999996E-2</v>
      </c>
      <c r="X712" s="990">
        <f>IF(I!X712="","",$D$2*I!X712)</f>
        <v>2.4660600336999999E-2</v>
      </c>
      <c r="Y712" s="1010">
        <f>IF(I!Y712="","",$D$2*I!Y712)</f>
        <v>6.7205688860000001E-2</v>
      </c>
      <c r="Z712" s="938"/>
      <c r="AA712" s="938"/>
      <c r="AB712" s="938"/>
      <c r="AC712" s="938"/>
      <c r="AD712" s="1058"/>
      <c r="AE712" s="938"/>
      <c r="AF712" s="938"/>
      <c r="AG712" s="938"/>
      <c r="AH712" s="938"/>
    </row>
    <row r="713" spans="1:34" ht="17.25" customHeight="1" x14ac:dyDescent="0.35">
      <c r="A713" s="938"/>
      <c r="B713" s="938"/>
      <c r="C713" s="941"/>
      <c r="D713" s="1047"/>
      <c r="E713" s="941"/>
      <c r="F713" s="938"/>
      <c r="G713" s="976">
        <f t="shared" si="13"/>
        <v>710</v>
      </c>
      <c r="H713" s="1000"/>
      <c r="I713" s="1001" t="s">
        <v>1059</v>
      </c>
      <c r="J713" s="1031" t="s">
        <v>1752</v>
      </c>
      <c r="K713" s="1002">
        <f>IF(I!K713="","",$D$2*I!K713)</f>
        <v>4.2274641819999995E-3</v>
      </c>
      <c r="L713" s="981"/>
      <c r="M713" s="982"/>
      <c r="N713" s="1003"/>
      <c r="O713" s="1004">
        <f>IF(I!O713="","",$D$2*I!O713)</f>
        <v>0.02</v>
      </c>
      <c r="P713" s="1005">
        <f>IF(I!P713="","",$D$2*I!P713)</f>
        <v>1.4966725782E-2</v>
      </c>
      <c r="Q713" s="1006" t="str">
        <f>IF(I!Q713="","",$D$2*I!Q713)</f>
        <v/>
      </c>
      <c r="R713" s="982"/>
      <c r="S713" s="1003"/>
      <c r="T713" s="938"/>
      <c r="U713" s="1008" t="s">
        <v>1059</v>
      </c>
      <c r="V713" s="1018" t="s">
        <v>6559</v>
      </c>
      <c r="W713" s="1019">
        <f>IF(I!W713="","",$D$2*I!W713)</f>
        <v>2.6393012850000001E-2</v>
      </c>
      <c r="X713" s="990">
        <f>IF(I!X713="","",$D$2*I!X713)</f>
        <v>2.1585478565999999E-2</v>
      </c>
      <c r="Y713" s="1010">
        <f>IF(I!Y713="","",$D$2*I!Y713)</f>
        <v>4.5224455849999998E-2</v>
      </c>
      <c r="Z713" s="938"/>
      <c r="AA713" s="938"/>
      <c r="AB713" s="938"/>
      <c r="AC713" s="938"/>
      <c r="AD713" s="1058"/>
      <c r="AE713" s="938"/>
      <c r="AF713" s="938"/>
      <c r="AG713" s="938"/>
      <c r="AH713" s="938"/>
    </row>
    <row r="714" spans="1:34" ht="17.25" customHeight="1" x14ac:dyDescent="0.35">
      <c r="A714" s="938"/>
      <c r="B714" s="938"/>
      <c r="C714" s="941"/>
      <c r="D714" s="1047"/>
      <c r="E714" s="941"/>
      <c r="F714" s="938"/>
      <c r="G714" s="976">
        <f t="shared" si="13"/>
        <v>711</v>
      </c>
      <c r="H714" s="1000"/>
      <c r="I714" s="1001" t="s">
        <v>1059</v>
      </c>
      <c r="J714" s="1031" t="s">
        <v>1753</v>
      </c>
      <c r="K714" s="1002">
        <f>IF(I!K714="","",$D$2*I!K714)</f>
        <v>4.2274641819999995E-3</v>
      </c>
      <c r="L714" s="981"/>
      <c r="M714" s="982"/>
      <c r="N714" s="1003"/>
      <c r="O714" s="1004">
        <f>IF(I!O714="","",$D$2*I!O714)</f>
        <v>0.42</v>
      </c>
      <c r="P714" s="1005">
        <f>IF(I!P714="","",$D$2*I!P714)</f>
        <v>6.6749667084139999</v>
      </c>
      <c r="Q714" s="1006" t="str">
        <f>IF(I!Q714="","",$D$2*I!Q714)</f>
        <v/>
      </c>
      <c r="R714" s="982"/>
      <c r="S714" s="1003"/>
      <c r="T714" s="938"/>
      <c r="U714" s="1008" t="s">
        <v>1059</v>
      </c>
      <c r="V714" s="1018" t="s">
        <v>6560</v>
      </c>
      <c r="W714" s="1019">
        <f>IF(I!W714="","",$D$2*I!W714)</f>
        <v>2.510779644E-2</v>
      </c>
      <c r="X714" s="990">
        <f>IF(I!X714="","",$D$2*I!X714)</f>
        <v>2.2994733682000001E-2</v>
      </c>
      <c r="Y714" s="1010">
        <f>IF(I!Y714="","",$D$2*I!Y714)</f>
        <v>4.0358964439999999E-2</v>
      </c>
      <c r="Z714" s="938"/>
      <c r="AA714" s="938"/>
      <c r="AB714" s="938"/>
      <c r="AC714" s="938"/>
      <c r="AD714" s="1058"/>
      <c r="AE714" s="938"/>
      <c r="AF714" s="938"/>
      <c r="AG714" s="938"/>
      <c r="AH714" s="938"/>
    </row>
    <row r="715" spans="1:34" ht="17.25" customHeight="1" x14ac:dyDescent="0.35">
      <c r="A715" s="938"/>
      <c r="B715" s="938"/>
      <c r="C715" s="941"/>
      <c r="D715" s="1047"/>
      <c r="E715" s="941"/>
      <c r="F715" s="938"/>
      <c r="G715" s="976">
        <f t="shared" si="13"/>
        <v>712</v>
      </c>
      <c r="H715" s="1000"/>
      <c r="I715" s="1001" t="s">
        <v>1059</v>
      </c>
      <c r="J715" s="1031" t="s">
        <v>1754</v>
      </c>
      <c r="K715" s="1002">
        <f>IF(I!K715="","",$D$2*I!K715)</f>
        <v>3.7447226419999998E-3</v>
      </c>
      <c r="L715" s="981"/>
      <c r="M715" s="982"/>
      <c r="N715" s="1003"/>
      <c r="O715" s="1004">
        <f>IF(I!O715="","",$D$2*I!O715)</f>
        <v>0.02</v>
      </c>
      <c r="P715" s="1005">
        <f>IF(I!P715="","",$D$2*I!P715)</f>
        <v>1.3202007906999999E-2</v>
      </c>
      <c r="Q715" s="1006" t="str">
        <f>IF(I!Q715="","",$D$2*I!Q715)</f>
        <v/>
      </c>
      <c r="R715" s="982"/>
      <c r="S715" s="1003"/>
      <c r="T715" s="938"/>
      <c r="U715" s="1008" t="s">
        <v>1059</v>
      </c>
      <c r="V715" s="1018" t="s">
        <v>6561</v>
      </c>
      <c r="W715" s="1019">
        <f>IF(I!W715="","",$D$2*I!W715)</f>
        <v>2.8607733490000002E-2</v>
      </c>
      <c r="X715" s="990">
        <f>IF(I!X715="","",$D$2*I!X715)</f>
        <v>2.6795575113999999E-2</v>
      </c>
      <c r="Y715" s="1010">
        <f>IF(I!Y715="","",$D$2*I!Y715)</f>
        <v>5.1317693490000003E-2</v>
      </c>
      <c r="Z715" s="938"/>
      <c r="AA715" s="938"/>
      <c r="AB715" s="938"/>
      <c r="AC715" s="938"/>
      <c r="AD715" s="1058"/>
      <c r="AE715" s="938"/>
      <c r="AF715" s="938"/>
      <c r="AG715" s="938"/>
      <c r="AH715" s="938"/>
    </row>
    <row r="716" spans="1:34" ht="17.25" customHeight="1" x14ac:dyDescent="0.35">
      <c r="A716" s="938"/>
      <c r="B716" s="938"/>
      <c r="C716" s="941"/>
      <c r="D716" s="1047"/>
      <c r="E716" s="941"/>
      <c r="F716" s="938"/>
      <c r="G716" s="976">
        <f t="shared" si="13"/>
        <v>713</v>
      </c>
      <c r="H716" s="1000"/>
      <c r="I716" s="1001" t="s">
        <v>1059</v>
      </c>
      <c r="J716" s="1031" t="s">
        <v>1755</v>
      </c>
      <c r="K716" s="1002">
        <f>IF(I!K716="","",$D$2*I!K716)</f>
        <v>3.7447226419999998E-3</v>
      </c>
      <c r="L716" s="981"/>
      <c r="M716" s="982"/>
      <c r="N716" s="1003"/>
      <c r="O716" s="1004">
        <f>IF(I!O716="","",$D$2*I!O716)</f>
        <v>0.42</v>
      </c>
      <c r="P716" s="1005">
        <f>IF(I!P716="","",$D$2*I!P716)</f>
        <v>2.263202039252</v>
      </c>
      <c r="Q716" s="1006" t="str">
        <f>IF(I!Q716="","",$D$2*I!Q716)</f>
        <v/>
      </c>
      <c r="R716" s="982"/>
      <c r="S716" s="1003"/>
      <c r="T716" s="938"/>
      <c r="U716" s="1008" t="s">
        <v>1059</v>
      </c>
      <c r="V716" s="1018" t="s">
        <v>6562</v>
      </c>
      <c r="W716" s="1019">
        <f>IF(I!W716="","",$D$2*I!W716)</f>
        <v>4.5041225790000007E-2</v>
      </c>
      <c r="X716" s="990">
        <f>IF(I!X716="","",$D$2*I!X716)</f>
        <v>2.2502208397999997E-2</v>
      </c>
      <c r="Y716" s="1010">
        <f>IF(I!Y716="","",$D$2*I!Y716)</f>
        <v>6.2202842790000004E-2</v>
      </c>
      <c r="Z716" s="938"/>
      <c r="AA716" s="938"/>
      <c r="AB716" s="938"/>
      <c r="AC716" s="938"/>
      <c r="AD716" s="1058"/>
      <c r="AE716" s="938"/>
      <c r="AF716" s="938"/>
      <c r="AG716" s="938"/>
      <c r="AH716" s="938"/>
    </row>
    <row r="717" spans="1:34" ht="17.25" customHeight="1" x14ac:dyDescent="0.35">
      <c r="A717" s="938"/>
      <c r="B717" s="938"/>
      <c r="C717" s="941"/>
      <c r="D717" s="1047"/>
      <c r="E717" s="941"/>
      <c r="F717" s="938"/>
      <c r="G717" s="976">
        <f t="shared" si="13"/>
        <v>714</v>
      </c>
      <c r="H717" s="942"/>
      <c r="I717" s="1001" t="s">
        <v>1059</v>
      </c>
      <c r="J717" s="1031" t="s">
        <v>1756</v>
      </c>
      <c r="K717" s="1002">
        <f>IF(I!K717="","",$D$2*I!K717)</f>
        <v>3.9675264390000003E-3</v>
      </c>
      <c r="L717" s="981"/>
      <c r="M717" s="982"/>
      <c r="N717" s="1003"/>
      <c r="O717" s="1004">
        <f>IF(I!O717="","",$D$2*I!O717)</f>
        <v>0.02</v>
      </c>
      <c r="P717" s="1005">
        <f>IF(I!P717="","",$D$2*I!P717)</f>
        <v>1.4016493231E-2</v>
      </c>
      <c r="Q717" s="1006" t="str">
        <f>IF(I!Q717="","",$D$2*I!Q717)</f>
        <v/>
      </c>
      <c r="R717" s="982"/>
      <c r="S717" s="1003"/>
      <c r="T717" s="938"/>
      <c r="U717" s="1008" t="s">
        <v>1059</v>
      </c>
      <c r="V717" s="1018" t="s">
        <v>6563</v>
      </c>
      <c r="W717" s="1019">
        <f>IF(I!W717="","",$D$2*I!W717)</f>
        <v>5.0690664379999997E-3</v>
      </c>
      <c r="X717" s="990">
        <f>IF(I!X717="","",$D$2*I!X717)</f>
        <v>4.179204919E-3</v>
      </c>
      <c r="Y717" s="1010">
        <f>IF(I!Y717="","",$D$2*I!Y717)</f>
        <v>8.2799427379999999E-3</v>
      </c>
      <c r="Z717" s="938"/>
      <c r="AA717" s="938"/>
      <c r="AB717" s="938"/>
      <c r="AC717" s="938"/>
      <c r="AD717" s="1058"/>
      <c r="AE717" s="938"/>
      <c r="AF717" s="938"/>
      <c r="AG717" s="938"/>
      <c r="AH717" s="938"/>
    </row>
    <row r="718" spans="1:34" ht="17.25" customHeight="1" x14ac:dyDescent="0.35">
      <c r="A718" s="938"/>
      <c r="B718" s="938"/>
      <c r="C718" s="941"/>
      <c r="D718" s="1047"/>
      <c r="E718" s="941"/>
      <c r="F718" s="938"/>
      <c r="G718" s="976">
        <f t="shared" si="13"/>
        <v>715</v>
      </c>
      <c r="H718" s="1000"/>
      <c r="I718" s="1001" t="s">
        <v>1059</v>
      </c>
      <c r="J718" s="1031" t="s">
        <v>1757</v>
      </c>
      <c r="K718" s="1002">
        <f>IF(I!K718="","",$D$2*I!K718)</f>
        <v>3.9675264390000003E-3</v>
      </c>
      <c r="L718" s="981"/>
      <c r="M718" s="982"/>
      <c r="N718" s="1003"/>
      <c r="O718" s="1004">
        <f>IF(I!O718="","",$D$2*I!O718)</f>
        <v>0.42</v>
      </c>
      <c r="P718" s="1005">
        <f>IF(I!P718="","",$D$2*I!P718)</f>
        <v>2.624016455939</v>
      </c>
      <c r="Q718" s="1006" t="str">
        <f>IF(I!Q718="","",$D$2*I!Q718)</f>
        <v/>
      </c>
      <c r="R718" s="982"/>
      <c r="S718" s="1003"/>
      <c r="T718" s="938"/>
      <c r="U718" s="1008" t="s">
        <v>1059</v>
      </c>
      <c r="V718" s="1018" t="s">
        <v>6564</v>
      </c>
      <c r="W718" s="1019">
        <f>IF(I!W718="","",$D$2*I!W718)</f>
        <v>4.8576372450000009E-3</v>
      </c>
      <c r="X718" s="990">
        <f>IF(I!X718="","",$D$2*I!X718)</f>
        <v>4.3107693740000001E-3</v>
      </c>
      <c r="Y718" s="1010">
        <f>IF(I!Y718="","",$D$2*I!Y718)</f>
        <v>7.5798367450000004E-3</v>
      </c>
      <c r="Z718" s="938"/>
      <c r="AA718" s="938"/>
      <c r="AB718" s="938"/>
      <c r="AC718" s="938"/>
      <c r="AD718" s="1058"/>
      <c r="AE718" s="938"/>
      <c r="AF718" s="938"/>
      <c r="AG718" s="938"/>
      <c r="AH718" s="938"/>
    </row>
    <row r="719" spans="1:34" ht="17.25" customHeight="1" x14ac:dyDescent="0.35">
      <c r="A719" s="938"/>
      <c r="B719" s="938"/>
      <c r="C719" s="941"/>
      <c r="D719" s="1047"/>
      <c r="E719" s="941"/>
      <c r="F719" s="938"/>
      <c r="G719" s="976">
        <f t="shared" si="13"/>
        <v>716</v>
      </c>
      <c r="H719" s="1000"/>
      <c r="I719" s="1001" t="s">
        <v>1059</v>
      </c>
      <c r="J719" s="1031" t="s">
        <v>1758</v>
      </c>
      <c r="K719" s="1002">
        <f>IF(I!K719="","",$D$2*I!K719)</f>
        <v>3.7447226419999998E-3</v>
      </c>
      <c r="L719" s="981"/>
      <c r="M719" s="982"/>
      <c r="N719" s="1003"/>
      <c r="O719" s="1004">
        <f>IF(I!O719="","",$D$2*I!O719)</f>
        <v>0.02</v>
      </c>
      <c r="P719" s="1005">
        <f>IF(I!P719="","",$D$2*I!P719)</f>
        <v>1.3202007906999999E-2</v>
      </c>
      <c r="Q719" s="1006" t="str">
        <f>IF(I!Q719="","",$D$2*I!Q719)</f>
        <v/>
      </c>
      <c r="R719" s="982"/>
      <c r="S719" s="1003"/>
      <c r="T719" s="938"/>
      <c r="U719" s="1008" t="s">
        <v>1059</v>
      </c>
      <c r="V719" s="1018" t="s">
        <v>6565</v>
      </c>
      <c r="W719" s="1019">
        <f>IF(I!W719="","",$D$2*I!W719)</f>
        <v>5.5337679780000006E-3</v>
      </c>
      <c r="X719" s="990">
        <f>IF(I!X719="","",$D$2*I!X719)</f>
        <v>5.2686572660000002E-3</v>
      </c>
      <c r="Y719" s="1010">
        <f>IF(I!Y719="","",$D$2*I!Y719)</f>
        <v>9.5042117779999997E-3</v>
      </c>
      <c r="Z719" s="938"/>
      <c r="AA719" s="938"/>
      <c r="AB719" s="938"/>
      <c r="AC719" s="938"/>
      <c r="AD719" s="1058"/>
      <c r="AE719" s="938"/>
      <c r="AF719" s="938"/>
      <c r="AG719" s="938"/>
      <c r="AH719" s="938"/>
    </row>
    <row r="720" spans="1:34" ht="17.25" customHeight="1" x14ac:dyDescent="0.35">
      <c r="A720" s="938"/>
      <c r="B720" s="938"/>
      <c r="C720" s="941"/>
      <c r="D720" s="1047"/>
      <c r="E720" s="941"/>
      <c r="F720" s="938"/>
      <c r="G720" s="976">
        <f t="shared" si="13"/>
        <v>717</v>
      </c>
      <c r="H720" s="1000"/>
      <c r="I720" s="1001" t="s">
        <v>1059</v>
      </c>
      <c r="J720" s="1031" t="s">
        <v>1759</v>
      </c>
      <c r="K720" s="1002">
        <f>IF(I!K720="","",$D$2*I!K720)</f>
        <v>3.7447226419999998E-3</v>
      </c>
      <c r="L720" s="981"/>
      <c r="M720" s="982"/>
      <c r="N720" s="1003"/>
      <c r="O720" s="1004">
        <f>IF(I!O720="","",$D$2*I!O720)</f>
        <v>0.42</v>
      </c>
      <c r="P720" s="1005">
        <f>IF(I!P720="","",$D$2*I!P720)</f>
        <v>3.013202039252</v>
      </c>
      <c r="Q720" s="1006" t="str">
        <f>IF(I!Q720="","",$D$2*I!Q720)</f>
        <v/>
      </c>
      <c r="R720" s="982"/>
      <c r="S720" s="1003"/>
      <c r="T720" s="938"/>
      <c r="U720" s="1008" t="s">
        <v>1059</v>
      </c>
      <c r="V720" s="1018" t="s">
        <v>6566</v>
      </c>
      <c r="W720" s="1019">
        <f>IF(I!W720="","",$D$2*I!W720)</f>
        <v>8.4343887100000008E-3</v>
      </c>
      <c r="X720" s="990">
        <f>IF(I!X720="","",$D$2*I!X720)</f>
        <v>4.4000476761000005E-3</v>
      </c>
      <c r="Y720" s="1010">
        <f>IF(I!Y720="","",$D$2*I!Y720)</f>
        <v>1.127621841E-2</v>
      </c>
      <c r="Z720" s="938"/>
      <c r="AA720" s="938"/>
      <c r="AB720" s="938"/>
      <c r="AC720" s="938"/>
      <c r="AD720" s="1058"/>
      <c r="AE720" s="938"/>
      <c r="AF720" s="938"/>
      <c r="AG720" s="938"/>
      <c r="AH720" s="938"/>
    </row>
    <row r="721" spans="1:34" ht="17.25" customHeight="1" x14ac:dyDescent="0.35">
      <c r="A721" s="938"/>
      <c r="B721" s="938"/>
      <c r="C721" s="941"/>
      <c r="D721" s="1047"/>
      <c r="E721" s="941"/>
      <c r="F721" s="938"/>
      <c r="G721" s="976">
        <f t="shared" si="13"/>
        <v>718</v>
      </c>
      <c r="H721" s="1000"/>
      <c r="I721" s="1001" t="s">
        <v>1059</v>
      </c>
      <c r="J721" s="1031" t="s">
        <v>1760</v>
      </c>
      <c r="K721" s="1002">
        <f>IF(I!K721="","",$D$2*I!K721)</f>
        <v>4.8773086150000009E-3</v>
      </c>
      <c r="L721" s="981"/>
      <c r="M721" s="982"/>
      <c r="N721" s="1003"/>
      <c r="O721" s="1004">
        <f>IF(I!O721="","",$D$2*I!O721)</f>
        <v>0.02</v>
      </c>
      <c r="P721" s="1005">
        <f>IF(I!P721="","",$D$2*I!P721)</f>
        <v>1.7342307165000001E-2</v>
      </c>
      <c r="Q721" s="1006" t="str">
        <f>IF(I!Q721="","",$D$2*I!Q721)</f>
        <v/>
      </c>
      <c r="R721" s="982"/>
      <c r="S721" s="1003"/>
      <c r="T721" s="938"/>
      <c r="U721" s="1008" t="s">
        <v>1059</v>
      </c>
      <c r="V721" s="1018" t="s">
        <v>6567</v>
      </c>
      <c r="W721" s="1019">
        <f>IF(I!W721="","",$D$2*I!W721)</f>
        <v>4.690889619E-2</v>
      </c>
      <c r="X721" s="990">
        <f>IF(I!X721="","",$D$2*I!X721)</f>
        <v>3.8674160720000003E-2</v>
      </c>
      <c r="Y721" s="1010">
        <f>IF(I!Y721="","",$D$2*I!Y721)</f>
        <v>7.6622190189999995E-2</v>
      </c>
      <c r="Z721" s="938"/>
      <c r="AA721" s="938"/>
      <c r="AB721" s="938"/>
      <c r="AC721" s="938"/>
      <c r="AD721" s="1058"/>
      <c r="AE721" s="938"/>
      <c r="AF721" s="938"/>
      <c r="AG721" s="938"/>
      <c r="AH721" s="938"/>
    </row>
    <row r="722" spans="1:34" ht="17.25" customHeight="1" x14ac:dyDescent="0.35">
      <c r="A722" s="938"/>
      <c r="B722" s="938"/>
      <c r="C722" s="941"/>
      <c r="D722" s="1047"/>
      <c r="E722" s="941"/>
      <c r="F722" s="938"/>
      <c r="G722" s="976">
        <f t="shared" si="13"/>
        <v>719</v>
      </c>
      <c r="H722" s="1000"/>
      <c r="I722" s="1001" t="s">
        <v>1059</v>
      </c>
      <c r="J722" s="1031" t="s">
        <v>1761</v>
      </c>
      <c r="K722" s="1002">
        <f>IF(I!K722="","",$D$2*I!K722)</f>
        <v>4.8773086150000009E-3</v>
      </c>
      <c r="L722" s="981"/>
      <c r="M722" s="982"/>
      <c r="N722" s="1003"/>
      <c r="O722" s="1004">
        <f>IF(I!O722="","",$D$2*I!O722)</f>
        <v>0.42</v>
      </c>
      <c r="P722" s="1005">
        <f>IF(I!P722="","",$D$2*I!P722)</f>
        <v>8.837342289606001</v>
      </c>
      <c r="Q722" s="1006" t="str">
        <f>IF(I!Q722="","",$D$2*I!Q722)</f>
        <v/>
      </c>
      <c r="R722" s="982"/>
      <c r="S722" s="1003"/>
      <c r="T722" s="938"/>
      <c r="U722" s="1008" t="s">
        <v>1059</v>
      </c>
      <c r="V722" s="1018" t="s">
        <v>6568</v>
      </c>
      <c r="W722" s="1019">
        <f>IF(I!W722="","",$D$2*I!W722)</f>
        <v>4.4952340909999992E-2</v>
      </c>
      <c r="X722" s="990">
        <f>IF(I!X722="","",$D$2*I!X722)</f>
        <v>3.9891651709999996E-2</v>
      </c>
      <c r="Y722" s="1010">
        <f>IF(I!Y722="","",$D$2*I!Y722)</f>
        <v>7.0143443909999992E-2</v>
      </c>
      <c r="Z722" s="938"/>
      <c r="AA722" s="938"/>
      <c r="AB722" s="938"/>
      <c r="AC722" s="938"/>
      <c r="AD722" s="1058"/>
      <c r="AE722" s="938"/>
      <c r="AF722" s="938"/>
      <c r="AG722" s="938"/>
      <c r="AH722" s="938"/>
    </row>
    <row r="723" spans="1:34" ht="17.25" customHeight="1" x14ac:dyDescent="0.35">
      <c r="A723" s="938"/>
      <c r="B723" s="938"/>
      <c r="C723" s="941"/>
      <c r="D723" s="1047"/>
      <c r="E723" s="941"/>
      <c r="F723" s="938"/>
      <c r="G723" s="976">
        <f t="shared" si="13"/>
        <v>720</v>
      </c>
      <c r="H723" s="1000"/>
      <c r="I723" s="1001" t="s">
        <v>1059</v>
      </c>
      <c r="J723" s="1031" t="s">
        <v>1762</v>
      </c>
      <c r="K723" s="1002">
        <f>IF(I!K723="","",$D$2*I!K723)</f>
        <v>7.2538823360000001E-3</v>
      </c>
      <c r="L723" s="981"/>
      <c r="M723" s="982"/>
      <c r="N723" s="1003"/>
      <c r="O723" s="1004">
        <f>IF(I!O723="","",$D$2*I!O723)</f>
        <v>0.01</v>
      </c>
      <c r="P723" s="1005">
        <f>IF(I!P723="","",$D$2*I!P723)</f>
        <v>2.6030148332E-2</v>
      </c>
      <c r="Q723" s="1006" t="str">
        <f>IF(I!Q723="","",$D$2*I!Q723)</f>
        <v/>
      </c>
      <c r="R723" s="982"/>
      <c r="S723" s="1003"/>
      <c r="T723" s="938"/>
      <c r="U723" s="1008" t="s">
        <v>1059</v>
      </c>
      <c r="V723" s="1018" t="s">
        <v>6569</v>
      </c>
      <c r="W723" s="1019">
        <f>IF(I!W723="","",$D$2*I!W723)</f>
        <v>5.1209221570000005E-2</v>
      </c>
      <c r="X723" s="990">
        <f>IF(I!X723="","",$D$2*I!X723)</f>
        <v>4.8755900300000002E-2</v>
      </c>
      <c r="Y723" s="1010">
        <f>IF(I!Y723="","",$D$2*I!Y723)</f>
        <v>8.7951517569999998E-2</v>
      </c>
      <c r="Z723" s="938"/>
      <c r="AA723" s="938"/>
      <c r="AB723" s="938"/>
      <c r="AC723" s="938"/>
      <c r="AD723" s="1058"/>
      <c r="AE723" s="938"/>
      <c r="AF723" s="938"/>
      <c r="AG723" s="938"/>
      <c r="AH723" s="938"/>
    </row>
    <row r="724" spans="1:34" ht="17.25" customHeight="1" x14ac:dyDescent="0.35">
      <c r="A724" s="938"/>
      <c r="B724" s="938"/>
      <c r="C724" s="941"/>
      <c r="D724" s="1047"/>
      <c r="E724" s="941"/>
      <c r="F724" s="938"/>
      <c r="G724" s="976">
        <f t="shared" si="13"/>
        <v>721</v>
      </c>
      <c r="H724" s="942"/>
      <c r="I724" s="1001" t="s">
        <v>1059</v>
      </c>
      <c r="J724" s="1031" t="s">
        <v>1763</v>
      </c>
      <c r="K724" s="1002">
        <f>IF(I!K724="","",$D$2*I!K724)</f>
        <v>7.2538823360000001E-3</v>
      </c>
      <c r="L724" s="981"/>
      <c r="M724" s="982"/>
      <c r="N724" s="1003"/>
      <c r="O724" s="1004">
        <f>IF(I!O724="","",$D$2*I!O724)</f>
        <v>0.01</v>
      </c>
      <c r="P724" s="1005">
        <f>IF(I!P724="","",$D$2*I!P724)</f>
        <v>3.1985300986470002</v>
      </c>
      <c r="Q724" s="1006" t="str">
        <f>IF(I!Q724="","",$D$2*I!Q724)</f>
        <v/>
      </c>
      <c r="R724" s="982"/>
      <c r="S724" s="1003"/>
      <c r="T724" s="938"/>
      <c r="U724" s="1008" t="s">
        <v>1059</v>
      </c>
      <c r="V724" s="1018" t="s">
        <v>6570</v>
      </c>
      <c r="W724" s="1019">
        <f>IF(I!W724="","",$D$2*I!W724)</f>
        <v>7.8051426279999989E-2</v>
      </c>
      <c r="X724" s="990">
        <f>IF(I!X724="","",$D$2*I!X724)</f>
        <v>4.0717828742999999E-2</v>
      </c>
      <c r="Y724" s="1010">
        <f>IF(I!Y724="","",$D$2*I!Y724)</f>
        <v>0.10434958127999999</v>
      </c>
      <c r="Z724" s="938"/>
      <c r="AA724" s="938"/>
      <c r="AB724" s="938"/>
      <c r="AC724" s="938"/>
      <c r="AD724" s="1058"/>
      <c r="AE724" s="938"/>
      <c r="AF724" s="938"/>
      <c r="AG724" s="938"/>
      <c r="AH724" s="938"/>
    </row>
    <row r="725" spans="1:34" ht="17.25" customHeight="1" x14ac:dyDescent="0.35">
      <c r="A725" s="938"/>
      <c r="B725" s="938"/>
      <c r="C725" s="941"/>
      <c r="D725" s="1047"/>
      <c r="E725" s="941"/>
      <c r="F725" s="938"/>
      <c r="G725" s="976">
        <f t="shared" si="13"/>
        <v>722</v>
      </c>
      <c r="H725" s="942"/>
      <c r="I725" s="1001" t="s">
        <v>1059</v>
      </c>
      <c r="J725" s="1031" t="s">
        <v>1764</v>
      </c>
      <c r="K725" s="1002">
        <f>IF(I!K725="","",$D$2*I!K725)</f>
        <v>4.0417944110000001E-3</v>
      </c>
      <c r="L725" s="981"/>
      <c r="M725" s="982"/>
      <c r="N725" s="1003"/>
      <c r="O725" s="1004">
        <f>IF(I!O725="","",$D$2*I!O725)</f>
        <v>0.02</v>
      </c>
      <c r="P725" s="1005">
        <f>IF(I!P725="","",$D$2*I!P725)</f>
        <v>1.4287988675E-2</v>
      </c>
      <c r="Q725" s="1006" t="str">
        <f>IF(I!Q725="","",$D$2*I!Q725)</f>
        <v/>
      </c>
      <c r="R725" s="982"/>
      <c r="S725" s="1003"/>
      <c r="T725" s="938"/>
      <c r="U725" s="1008" t="s">
        <v>1059</v>
      </c>
      <c r="V725" s="1018" t="s">
        <v>6571</v>
      </c>
      <c r="W725" s="1019">
        <f>IF(I!W725="","",$D$2*I!W725)</f>
        <v>0.43527459910000005</v>
      </c>
      <c r="X725" s="990">
        <f>IF(I!X725="","",$D$2*I!X725)</f>
        <v>0.14176802909999997</v>
      </c>
      <c r="Y725" s="1010">
        <f>IF(I!Y725="","",$D$2*I!Y725)</f>
        <v>1.0878678291000001</v>
      </c>
      <c r="Z725" s="938"/>
      <c r="AA725" s="938"/>
      <c r="AB725" s="938"/>
      <c r="AC725" s="938"/>
      <c r="AD725" s="1058"/>
      <c r="AE725" s="938"/>
      <c r="AF725" s="938"/>
      <c r="AG725" s="938"/>
      <c r="AH725" s="938"/>
    </row>
    <row r="726" spans="1:34" ht="17.25" customHeight="1" x14ac:dyDescent="0.35">
      <c r="A726" s="938"/>
      <c r="B726" s="938"/>
      <c r="C726" s="941"/>
      <c r="D726" s="1047"/>
      <c r="E726" s="941"/>
      <c r="F726" s="938"/>
      <c r="G726" s="976">
        <f t="shared" si="13"/>
        <v>723</v>
      </c>
      <c r="H726" s="942"/>
      <c r="I726" s="1001" t="s">
        <v>1059</v>
      </c>
      <c r="J726" s="1031" t="s">
        <v>1765</v>
      </c>
      <c r="K726" s="1002">
        <f>IF(I!K726="","",$D$2*I!K726)</f>
        <v>4.0417944110000001E-3</v>
      </c>
      <c r="L726" s="981"/>
      <c r="M726" s="982"/>
      <c r="N726" s="1003"/>
      <c r="O726" s="1004">
        <f>IF(I!O726="","",$D$2*I!O726)</f>
        <v>0.42</v>
      </c>
      <c r="P726" s="1005">
        <f>IF(I!P726="","",$D$2*I!P726)</f>
        <v>4.289288028504</v>
      </c>
      <c r="Q726" s="1006" t="str">
        <f>IF(I!Q726="","",$D$2*I!Q726)</f>
        <v/>
      </c>
      <c r="R726" s="982"/>
      <c r="S726" s="1003"/>
      <c r="T726" s="938"/>
      <c r="U726" s="1008" t="s">
        <v>1059</v>
      </c>
      <c r="V726" s="1018" t="s">
        <v>6572</v>
      </c>
      <c r="W726" s="1019">
        <f>IF(I!W726="","",$D$2*I!W726)</f>
        <v>9.5790813040000006E-2</v>
      </c>
      <c r="X726" s="990">
        <f>IF(I!X726="","",$D$2*I!X726)</f>
        <v>3.6237450546E-2</v>
      </c>
      <c r="Y726" s="1010">
        <f>IF(I!Y726="","",$D$2*I!Y726)</f>
        <v>0.21202234304000001</v>
      </c>
      <c r="Z726" s="938"/>
      <c r="AA726" s="938"/>
      <c r="AB726" s="938"/>
      <c r="AC726" s="938"/>
      <c r="AD726" s="1058"/>
      <c r="AE726" s="938"/>
      <c r="AF726" s="938"/>
      <c r="AG726" s="938"/>
      <c r="AH726" s="938"/>
    </row>
    <row r="727" spans="1:34" ht="17.25" customHeight="1" x14ac:dyDescent="0.35">
      <c r="A727" s="938"/>
      <c r="B727" s="938"/>
      <c r="C727" s="941"/>
      <c r="D727" s="1047"/>
      <c r="E727" s="941"/>
      <c r="F727" s="938"/>
      <c r="G727" s="976">
        <f t="shared" si="13"/>
        <v>724</v>
      </c>
      <c r="H727" s="942"/>
      <c r="I727" s="1001" t="s">
        <v>1059</v>
      </c>
      <c r="J727" s="1031" t="s">
        <v>1766</v>
      </c>
      <c r="K727" s="1002">
        <f>IF(I!K727="","",$D$2*I!K727)</f>
        <v>4.0417944110000001E-3</v>
      </c>
      <c r="L727" s="981"/>
      <c r="M727" s="982"/>
      <c r="N727" s="1003"/>
      <c r="O727" s="1004">
        <f>IF(I!O727="","",$D$2*I!O727)</f>
        <v>0.02</v>
      </c>
      <c r="P727" s="1005">
        <f>IF(I!P727="","",$D$2*I!P727)</f>
        <v>1.4287988675E-2</v>
      </c>
      <c r="Q727" s="1006" t="str">
        <f>IF(I!Q727="","",$D$2*I!Q727)</f>
        <v/>
      </c>
      <c r="R727" s="982"/>
      <c r="S727" s="1003"/>
      <c r="T727" s="938"/>
      <c r="U727" s="1008" t="s">
        <v>1059</v>
      </c>
      <c r="V727" s="1018" t="s">
        <v>6573</v>
      </c>
      <c r="W727" s="1019">
        <f>IF(I!W727="","",$D$2*I!W727)</f>
        <v>5.5133740050000005E-2</v>
      </c>
      <c r="X727" s="990">
        <f>IF(I!X727="","",$D$2*I!X727)</f>
        <v>3.4979584179999995E-2</v>
      </c>
      <c r="Y727" s="1010">
        <f>IF(I!Y727="","",$D$2*I!Y727)</f>
        <v>0.13500756105</v>
      </c>
      <c r="Z727" s="938"/>
      <c r="AA727" s="938"/>
      <c r="AB727" s="938"/>
      <c r="AC727" s="938"/>
      <c r="AD727" s="1058"/>
      <c r="AE727" s="938"/>
      <c r="AF727" s="938"/>
      <c r="AG727" s="938"/>
      <c r="AH727" s="938"/>
    </row>
    <row r="728" spans="1:34" ht="17.25" customHeight="1" x14ac:dyDescent="0.35">
      <c r="A728" s="938"/>
      <c r="B728" s="938"/>
      <c r="C728" s="941"/>
      <c r="D728" s="1047"/>
      <c r="E728" s="941"/>
      <c r="F728" s="938"/>
      <c r="G728" s="976">
        <f t="shared" si="13"/>
        <v>725</v>
      </c>
      <c r="H728" s="1000"/>
      <c r="I728" s="1001" t="s">
        <v>1059</v>
      </c>
      <c r="J728" s="1031" t="s">
        <v>1767</v>
      </c>
      <c r="K728" s="1002">
        <f>IF(I!K728="","",$D$2*I!K728)</f>
        <v>4.0417944110000001E-3</v>
      </c>
      <c r="L728" s="981"/>
      <c r="M728" s="982"/>
      <c r="N728" s="1003"/>
      <c r="O728" s="1004">
        <f>IF(I!O728="","",$D$2*I!O728)</f>
        <v>0.42</v>
      </c>
      <c r="P728" s="1005">
        <f>IF(I!P728="","",$D$2*I!P728)</f>
        <v>5.7142880285039999</v>
      </c>
      <c r="Q728" s="1006" t="str">
        <f>IF(I!Q728="","",$D$2*I!Q728)</f>
        <v/>
      </c>
      <c r="R728" s="982"/>
      <c r="S728" s="1003"/>
      <c r="T728" s="938"/>
      <c r="U728" s="1008" t="s">
        <v>1059</v>
      </c>
      <c r="V728" s="1018" t="s">
        <v>6574</v>
      </c>
      <c r="W728" s="1019">
        <f>IF(I!W728="","",$D$2*I!W728)</f>
        <v>4.3012404839999997E-2</v>
      </c>
      <c r="X728" s="990">
        <f>IF(I!X728="","",$D$2*I!X728)</f>
        <v>2.5730831272000002E-2</v>
      </c>
      <c r="Y728" s="1010">
        <f>IF(I!Y728="","",$D$2*I!Y728)</f>
        <v>0.11195909883999999</v>
      </c>
      <c r="Z728" s="938"/>
      <c r="AA728" s="938"/>
      <c r="AB728" s="938"/>
      <c r="AC728" s="938"/>
      <c r="AD728" s="1058"/>
      <c r="AE728" s="938"/>
      <c r="AF728" s="938"/>
      <c r="AG728" s="938"/>
      <c r="AH728" s="938"/>
    </row>
    <row r="729" spans="1:34" ht="17.25" customHeight="1" x14ac:dyDescent="0.35">
      <c r="A729" s="938"/>
      <c r="B729" s="938"/>
      <c r="C729" s="941"/>
      <c r="D729" s="1047"/>
      <c r="E729" s="941"/>
      <c r="F729" s="938"/>
      <c r="G729" s="976">
        <f t="shared" si="13"/>
        <v>726</v>
      </c>
      <c r="H729" s="1000"/>
      <c r="I729" s="1001" t="s">
        <v>1059</v>
      </c>
      <c r="J729" s="1031" t="s">
        <v>1768</v>
      </c>
      <c r="K729" s="1002">
        <f>IF(I!K729="","",$D$2*I!K729)</f>
        <v>4.1903302459999998E-3</v>
      </c>
      <c r="L729" s="981"/>
      <c r="M729" s="982"/>
      <c r="N729" s="1003"/>
      <c r="O729" s="1004">
        <f>IF(I!O729="","",$D$2*I!O729)</f>
        <v>0.02</v>
      </c>
      <c r="P729" s="1005">
        <f>IF(I!P729="","",$D$2*I!P729)</f>
        <v>1.4830978565000002E-2</v>
      </c>
      <c r="Q729" s="1006" t="str">
        <f>IF(I!Q729="","",$D$2*I!Q729)</f>
        <v/>
      </c>
      <c r="R729" s="982"/>
      <c r="S729" s="1003"/>
      <c r="T729" s="938"/>
      <c r="U729" s="1008" t="s">
        <v>1059</v>
      </c>
      <c r="V729" s="1018" t="s">
        <v>6575</v>
      </c>
      <c r="W729" s="1019">
        <f>IF(I!W729="","",$D$2*I!W729)</f>
        <v>9.4861020200000007E-2</v>
      </c>
      <c r="X729" s="990">
        <f>IF(I!X729="","",$D$2*I!X729)</f>
        <v>0.1080414153</v>
      </c>
      <c r="Y729" s="1010">
        <f>IF(I!Y729="","",$D$2*I!Y729)</f>
        <v>0.91626231019999993</v>
      </c>
      <c r="Z729" s="938"/>
      <c r="AA729" s="938"/>
      <c r="AB729" s="938"/>
      <c r="AC729" s="938"/>
      <c r="AD729" s="1058"/>
      <c r="AE729" s="938"/>
      <c r="AF729" s="938"/>
      <c r="AG729" s="938"/>
      <c r="AH729" s="938"/>
    </row>
    <row r="730" spans="1:34" ht="17.25" customHeight="1" x14ac:dyDescent="0.35">
      <c r="A730" s="938"/>
      <c r="B730" s="938"/>
      <c r="C730" s="941"/>
      <c r="D730" s="1047"/>
      <c r="E730" s="941"/>
      <c r="F730" s="938"/>
      <c r="G730" s="976">
        <f t="shared" si="13"/>
        <v>727</v>
      </c>
      <c r="H730" s="1000"/>
      <c r="I730" s="1001" t="s">
        <v>1059</v>
      </c>
      <c r="J730" s="1031" t="s">
        <v>1769</v>
      </c>
      <c r="K730" s="1002">
        <f>IF(I!K730="","",$D$2*I!K730)</f>
        <v>4.1903302459999998E-3</v>
      </c>
      <c r="L730" s="981"/>
      <c r="M730" s="982"/>
      <c r="N730" s="1003"/>
      <c r="O730" s="1004">
        <f>IF(I!O730="","",$D$2*I!O730)</f>
        <v>0.42</v>
      </c>
      <c r="P730" s="1005">
        <f>IF(I!P730="","",$D$2*I!P730)</f>
        <v>6.6148309726359997</v>
      </c>
      <c r="Q730" s="1006" t="str">
        <f>IF(I!Q730="","",$D$2*I!Q730)</f>
        <v/>
      </c>
      <c r="R730" s="982"/>
      <c r="S730" s="1003"/>
      <c r="T730" s="938"/>
      <c r="U730" s="1008" t="s">
        <v>1059</v>
      </c>
      <c r="V730" s="1018" t="s">
        <v>6576</v>
      </c>
      <c r="W730" s="1019">
        <f>IF(I!W730="","",$D$2*I!W730)</f>
        <v>9.2603928700000004E-2</v>
      </c>
      <c r="X730" s="990">
        <f>IF(I!X730="","",$D$2*I!X730)</f>
        <v>8.7563209210000006E-2</v>
      </c>
      <c r="Y730" s="1010">
        <f>IF(I!Y730="","",$D$2*I!Y730)</f>
        <v>0.46802459870000002</v>
      </c>
      <c r="Z730" s="938"/>
      <c r="AA730" s="938"/>
      <c r="AB730" s="938"/>
      <c r="AC730" s="938"/>
      <c r="AD730" s="1058"/>
      <c r="AE730" s="938"/>
      <c r="AF730" s="938"/>
      <c r="AG730" s="938"/>
      <c r="AH730" s="938"/>
    </row>
    <row r="731" spans="1:34" ht="17.25" customHeight="1" x14ac:dyDescent="0.35">
      <c r="A731" s="938"/>
      <c r="B731" s="938"/>
      <c r="C731" s="941"/>
      <c r="D731" s="1047"/>
      <c r="E731" s="941"/>
      <c r="F731" s="938"/>
      <c r="G731" s="976">
        <f t="shared" si="13"/>
        <v>728</v>
      </c>
      <c r="H731" s="1000">
        <v>1</v>
      </c>
      <c r="I731" s="1001" t="s">
        <v>1059</v>
      </c>
      <c r="J731" s="1031" t="s">
        <v>1770</v>
      </c>
      <c r="K731" s="1002">
        <f>IF(I!K731="","",$D$2*I!K731)</f>
        <v>2.5357138760000002E-3</v>
      </c>
      <c r="L731" s="981"/>
      <c r="M731" s="982"/>
      <c r="N731" s="1003"/>
      <c r="O731" s="1004">
        <f>IF(I!O731="","",$D$2*I!O731)</f>
        <v>0.01</v>
      </c>
      <c r="P731" s="1005">
        <f>IF(I!P731="","",$D$2*I!P731)</f>
        <v>8.6535132439999989E-3</v>
      </c>
      <c r="Q731" s="1006" t="str">
        <f>IF(I!Q731="","",$D$2*I!Q731)</f>
        <v/>
      </c>
      <c r="R731" s="982"/>
      <c r="S731" s="1003"/>
      <c r="T731" s="938"/>
      <c r="U731" s="1008" t="s">
        <v>1059</v>
      </c>
      <c r="V731" s="1018" t="s">
        <v>6577</v>
      </c>
      <c r="W731" s="1019">
        <f>IF(I!W731="","",$D$2*I!W731)</f>
        <v>0</v>
      </c>
      <c r="X731" s="990">
        <f>IF(I!X731="","",$D$2*I!X731)</f>
        <v>0</v>
      </c>
      <c r="Y731" s="1010">
        <f>IF(I!Y731="","",$D$2*I!Y731)</f>
        <v>0</v>
      </c>
      <c r="Z731" s="938"/>
      <c r="AA731" s="938"/>
      <c r="AB731" s="938"/>
      <c r="AC731" s="938"/>
      <c r="AD731" s="1058"/>
      <c r="AE731" s="938"/>
      <c r="AF731" s="938"/>
      <c r="AG731" s="938"/>
      <c r="AH731" s="938"/>
    </row>
    <row r="732" spans="1:34" ht="17.25" customHeight="1" x14ac:dyDescent="0.35">
      <c r="A732" s="938"/>
      <c r="B732" s="938"/>
      <c r="C732" s="941"/>
      <c r="D732" s="1047"/>
      <c r="E732" s="941"/>
      <c r="F732" s="938"/>
      <c r="G732" s="976">
        <f t="shared" si="13"/>
        <v>729</v>
      </c>
      <c r="H732" s="1000"/>
      <c r="I732" s="1001" t="s">
        <v>1059</v>
      </c>
      <c r="J732" s="1031" t="s">
        <v>1771</v>
      </c>
      <c r="K732" s="1002">
        <f>IF(I!K732="","",$D$2*I!K732)</f>
        <v>4.2460311399999994E-3</v>
      </c>
      <c r="L732" s="981"/>
      <c r="M732" s="982"/>
      <c r="N732" s="1003"/>
      <c r="O732" s="1004">
        <f>IF(I!O732="","",$D$2*I!O732)</f>
        <v>0.02</v>
      </c>
      <c r="P732" s="1005">
        <f>IF(I!P732="","",$D$2*I!P732)</f>
        <v>1.5034599401000001E-2</v>
      </c>
      <c r="Q732" s="1006" t="str">
        <f>IF(I!Q732="","",$D$2*I!Q732)</f>
        <v/>
      </c>
      <c r="R732" s="982"/>
      <c r="S732" s="1003"/>
      <c r="T732" s="938"/>
      <c r="U732" s="1008" t="s">
        <v>1059</v>
      </c>
      <c r="V732" s="1018" t="s">
        <v>6578</v>
      </c>
      <c r="W732" s="1019">
        <f>IF(I!W732="","",$D$2*I!W732)</f>
        <v>0.20467577909999998</v>
      </c>
      <c r="X732" s="990">
        <f>IF(I!X732="","",$D$2*I!X732)</f>
        <v>0.24786253387999999</v>
      </c>
      <c r="Y732" s="1010">
        <f>IF(I!Y732="","",$D$2*I!Y732)</f>
        <v>0.32234724910000001</v>
      </c>
      <c r="Z732" s="938"/>
      <c r="AA732" s="938"/>
      <c r="AB732" s="938"/>
      <c r="AC732" s="938"/>
      <c r="AD732" s="1058"/>
      <c r="AE732" s="938"/>
      <c r="AF732" s="938"/>
      <c r="AG732" s="938"/>
      <c r="AH732" s="938"/>
    </row>
    <row r="733" spans="1:34" ht="17.25" customHeight="1" x14ac:dyDescent="0.35">
      <c r="A733" s="938"/>
      <c r="B733" s="938"/>
      <c r="C733" s="941"/>
      <c r="D733" s="1047"/>
      <c r="E733" s="941"/>
      <c r="F733" s="938"/>
      <c r="G733" s="976">
        <f t="shared" si="13"/>
        <v>730</v>
      </c>
      <c r="H733" s="1000"/>
      <c r="I733" s="1001" t="s">
        <v>1059</v>
      </c>
      <c r="J733" s="1031" t="s">
        <v>1772</v>
      </c>
      <c r="K733" s="1002">
        <f>IF(I!K733="","",$D$2*I!K733)</f>
        <v>4.2460311399999994E-3</v>
      </c>
      <c r="L733" s="981"/>
      <c r="M733" s="982"/>
      <c r="N733" s="1003"/>
      <c r="O733" s="1004">
        <f>IF(I!O733="","",$D$2*I!O733)</f>
        <v>0.42</v>
      </c>
      <c r="P733" s="1005">
        <f>IF(I!P733="","",$D$2*I!P733)</f>
        <v>4.6762845763129999</v>
      </c>
      <c r="Q733" s="1006" t="str">
        <f>IF(I!Q733="","",$D$2*I!Q733)</f>
        <v/>
      </c>
      <c r="R733" s="982"/>
      <c r="S733" s="1003"/>
      <c r="T733" s="938"/>
      <c r="U733" s="1008" t="s">
        <v>1059</v>
      </c>
      <c r="V733" s="1018" t="s">
        <v>6579</v>
      </c>
      <c r="W733" s="1019">
        <f>IF(I!W733="","",$D$2*I!W733)</f>
        <v>0.26280305729999998</v>
      </c>
      <c r="X733" s="990">
        <f>IF(I!X733="","",$D$2*I!X733)</f>
        <v>0.34768243647999997</v>
      </c>
      <c r="Y733" s="1010">
        <f>IF(I!Y733="","",$D$2*I!Y733)</f>
        <v>0.53115177729999996</v>
      </c>
      <c r="Z733" s="938"/>
      <c r="AA733" s="938"/>
      <c r="AB733" s="938"/>
      <c r="AC733" s="938"/>
      <c r="AD733" s="1058"/>
      <c r="AE733" s="938"/>
      <c r="AF733" s="938"/>
      <c r="AG733" s="938"/>
      <c r="AH733" s="938"/>
    </row>
    <row r="734" spans="1:34" ht="17.25" customHeight="1" x14ac:dyDescent="0.35">
      <c r="A734" s="938"/>
      <c r="B734" s="938"/>
      <c r="C734" s="941"/>
      <c r="D734" s="1047"/>
      <c r="E734" s="941"/>
      <c r="F734" s="938"/>
      <c r="G734" s="976">
        <f t="shared" si="13"/>
        <v>731</v>
      </c>
      <c r="H734" s="1000"/>
      <c r="I734" s="1001" t="s">
        <v>1059</v>
      </c>
      <c r="J734" s="1031" t="s">
        <v>1773</v>
      </c>
      <c r="K734" s="1002">
        <f>IF(I!K734="","",$D$2*I!K734)</f>
        <v>4.4317010110000001E-3</v>
      </c>
      <c r="L734" s="981"/>
      <c r="M734" s="982"/>
      <c r="N734" s="1003"/>
      <c r="O734" s="1004">
        <f>IF(I!O734="","",$D$2*I!O734)</f>
        <v>0.02</v>
      </c>
      <c r="P734" s="1005">
        <f>IF(I!P734="","",$D$2*I!P734)</f>
        <v>1.5713337506999998E-2</v>
      </c>
      <c r="Q734" s="1006" t="str">
        <f>IF(I!Q734="","",$D$2*I!Q734)</f>
        <v/>
      </c>
      <c r="R734" s="982"/>
      <c r="S734" s="1003"/>
      <c r="T734" s="938"/>
      <c r="U734" s="1008" t="s">
        <v>1059</v>
      </c>
      <c r="V734" s="1018" t="s">
        <v>6580</v>
      </c>
      <c r="W734" s="1019">
        <f>IF(I!W734="","",$D$2*I!W734)</f>
        <v>0.2314177201</v>
      </c>
      <c r="X734" s="990">
        <f>IF(I!X734="","",$D$2*I!X734)</f>
        <v>0.22994233567</v>
      </c>
      <c r="Y734" s="1010">
        <f>IF(I!Y734="","",$D$2*I!Y734)</f>
        <v>0.33178239009999999</v>
      </c>
      <c r="Z734" s="938"/>
      <c r="AA734" s="938"/>
      <c r="AB734" s="938"/>
      <c r="AC734" s="938"/>
      <c r="AD734" s="1058"/>
      <c r="AE734" s="938"/>
      <c r="AF734" s="938"/>
      <c r="AG734" s="938"/>
      <c r="AH734" s="938"/>
    </row>
    <row r="735" spans="1:34" ht="17.25" customHeight="1" x14ac:dyDescent="0.35">
      <c r="A735" s="938"/>
      <c r="B735" s="938"/>
      <c r="C735" s="941"/>
      <c r="D735" s="1047"/>
      <c r="E735" s="941"/>
      <c r="F735" s="938"/>
      <c r="G735" s="976">
        <f t="shared" si="13"/>
        <v>732</v>
      </c>
      <c r="H735" s="1000"/>
      <c r="I735" s="1001" t="s">
        <v>1059</v>
      </c>
      <c r="J735" s="1031" t="s">
        <v>1774</v>
      </c>
      <c r="K735" s="1002">
        <f>IF(I!K735="","",$D$2*I!K735)</f>
        <v>4.4317010110000001E-3</v>
      </c>
      <c r="L735" s="981"/>
      <c r="M735" s="982"/>
      <c r="N735" s="1003"/>
      <c r="O735" s="1004">
        <f>IF(I!O735="","",$D$2*I!O735)</f>
        <v>0.42</v>
      </c>
      <c r="P735" s="1005">
        <f>IF(I!P735="","",$D$2*I!P735)</f>
        <v>7.6357133572219995</v>
      </c>
      <c r="Q735" s="1006" t="str">
        <f>IF(I!Q735="","",$D$2*I!Q735)</f>
        <v/>
      </c>
      <c r="R735" s="982"/>
      <c r="S735" s="1003"/>
      <c r="T735" s="938"/>
      <c r="U735" s="1008" t="s">
        <v>1059</v>
      </c>
      <c r="V735" s="1018" t="s">
        <v>6581</v>
      </c>
      <c r="W735" s="1019">
        <f>IF(I!W735="","",$D$2*I!W735)</f>
        <v>0.24311445749999999</v>
      </c>
      <c r="X735" s="990">
        <f>IF(I!X735="","",$D$2*I!X735)</f>
        <v>0.23256996525000001</v>
      </c>
      <c r="Y735" s="1010">
        <f>IF(I!Y735="","",$D$2*I!Y735)</f>
        <v>0.38650248749999999</v>
      </c>
      <c r="Z735" s="938"/>
      <c r="AA735" s="938"/>
      <c r="AB735" s="938"/>
      <c r="AC735" s="938"/>
      <c r="AD735" s="1058"/>
      <c r="AE735" s="938"/>
      <c r="AF735" s="938"/>
      <c r="AG735" s="938"/>
      <c r="AH735" s="938"/>
    </row>
    <row r="736" spans="1:34" ht="17.25" customHeight="1" x14ac:dyDescent="0.35">
      <c r="A736" s="938"/>
      <c r="B736" s="938"/>
      <c r="C736" s="941"/>
      <c r="D736" s="1047"/>
      <c r="E736" s="941"/>
      <c r="F736" s="938"/>
      <c r="G736" s="976">
        <f t="shared" si="13"/>
        <v>733</v>
      </c>
      <c r="H736" s="1000"/>
      <c r="I736" s="1001" t="s">
        <v>1059</v>
      </c>
      <c r="J736" s="1031" t="s">
        <v>1775</v>
      </c>
      <c r="K736" s="1002">
        <f>IF(I!K736="","",$D$2*I!K736)</f>
        <v>5.1150297600000005E-3</v>
      </c>
      <c r="L736" s="981"/>
      <c r="M736" s="982"/>
      <c r="N736" s="1003"/>
      <c r="O736" s="1004">
        <f>IF(I!O736="","",$D$2*I!O736)</f>
        <v>0.02</v>
      </c>
      <c r="P736" s="1005">
        <f>IF(I!P736="","",$D$2*I!P736)</f>
        <v>1.8482532396999998E-2</v>
      </c>
      <c r="Q736" s="1006" t="str">
        <f>IF(I!Q736="","",$D$2*I!Q736)</f>
        <v/>
      </c>
      <c r="R736" s="982"/>
      <c r="S736" s="1003"/>
      <c r="T736" s="938"/>
      <c r="U736" s="1008" t="s">
        <v>1059</v>
      </c>
      <c r="V736" s="1018" t="s">
        <v>6582</v>
      </c>
      <c r="W736" s="1019">
        <f>IF(I!W736="","",$D$2*I!W736)</f>
        <v>0.24584642720000002</v>
      </c>
      <c r="X736" s="990">
        <f>IF(I!X736="","",$D$2*I!X736)</f>
        <v>0.22023883809</v>
      </c>
      <c r="Y736" s="1010">
        <f>IF(I!Y736="","",$D$2*I!Y736)</f>
        <v>0.35319563720000002</v>
      </c>
      <c r="Z736" s="938"/>
      <c r="AA736" s="938"/>
      <c r="AB736" s="938"/>
      <c r="AC736" s="938"/>
      <c r="AD736" s="1058"/>
      <c r="AE736" s="938"/>
      <c r="AF736" s="938"/>
      <c r="AG736" s="938"/>
      <c r="AH736" s="938"/>
    </row>
    <row r="737" spans="1:34" ht="17.25" customHeight="1" x14ac:dyDescent="0.35">
      <c r="A737" s="938"/>
      <c r="B737" s="938"/>
      <c r="C737" s="941"/>
      <c r="D737" s="1047"/>
      <c r="E737" s="941"/>
      <c r="F737" s="938"/>
      <c r="G737" s="976">
        <f t="shared" si="13"/>
        <v>734</v>
      </c>
      <c r="H737" s="1000"/>
      <c r="I737" s="1001" t="s">
        <v>1059</v>
      </c>
      <c r="J737" s="1031" t="s">
        <v>1776</v>
      </c>
      <c r="K737" s="1002">
        <f>IF(I!K737="","",$D$2*I!K737)</f>
        <v>5.675688842E-3</v>
      </c>
      <c r="L737" s="981"/>
      <c r="M737" s="982"/>
      <c r="N737" s="1003"/>
      <c r="O737" s="1004">
        <f>IF(I!O737="","",$D$2*I!O737)</f>
        <v>0.02</v>
      </c>
      <c r="P737" s="1005">
        <f>IF(I!P737="","",$D$2*I!P737)</f>
        <v>2.0260879427E-2</v>
      </c>
      <c r="Q737" s="1006" t="str">
        <f>IF(I!Q737="","",$D$2*I!Q737)</f>
        <v/>
      </c>
      <c r="R737" s="982"/>
      <c r="S737" s="1003"/>
      <c r="T737" s="938"/>
      <c r="U737" s="1008" t="s">
        <v>1059</v>
      </c>
      <c r="V737" s="1018" t="s">
        <v>6583</v>
      </c>
      <c r="W737" s="1019">
        <f>IF(I!W737="","",$D$2*I!W737)</f>
        <v>0.23605172800000002</v>
      </c>
      <c r="X737" s="990">
        <f>IF(I!X737="","",$D$2*I!X737)</f>
        <v>0.23524152737999998</v>
      </c>
      <c r="Y737" s="1010">
        <f>IF(I!Y737="","",$D$2*I!Y737)</f>
        <v>0.39593545800000002</v>
      </c>
      <c r="Z737" s="938"/>
      <c r="AA737" s="938"/>
      <c r="AB737" s="938"/>
      <c r="AC737" s="938"/>
      <c r="AD737" s="1058"/>
      <c r="AE737" s="938"/>
      <c r="AF737" s="938"/>
      <c r="AG737" s="938"/>
      <c r="AH737" s="938"/>
    </row>
    <row r="738" spans="1:34" ht="17.25" customHeight="1" x14ac:dyDescent="0.35">
      <c r="A738" s="938"/>
      <c r="B738" s="938"/>
      <c r="C738" s="941"/>
      <c r="D738" s="1047"/>
      <c r="E738" s="941"/>
      <c r="F738" s="938"/>
      <c r="G738" s="976">
        <f t="shared" si="13"/>
        <v>735</v>
      </c>
      <c r="H738" s="1000"/>
      <c r="I738" s="1001" t="s">
        <v>1059</v>
      </c>
      <c r="J738" s="1031" t="s">
        <v>1777</v>
      </c>
      <c r="K738" s="1002">
        <f>IF(I!K738="","",$D$2*I!K738)</f>
        <v>5.675688842E-3</v>
      </c>
      <c r="L738" s="981"/>
      <c r="M738" s="982"/>
      <c r="N738" s="1003"/>
      <c r="O738" s="1004">
        <f>IF(I!O738="","",$D$2*I!O738)</f>
        <v>0.43</v>
      </c>
      <c r="P738" s="1005">
        <f>IF(I!P738="","",$D$2*I!P738)</f>
        <v>3.5827609159190001</v>
      </c>
      <c r="Q738" s="1006" t="str">
        <f>IF(I!Q738="","",$D$2*I!Q738)</f>
        <v/>
      </c>
      <c r="R738" s="982"/>
      <c r="S738" s="1003"/>
      <c r="T738" s="938"/>
      <c r="U738" s="1008" t="s">
        <v>1059</v>
      </c>
      <c r="V738" s="1018" t="s">
        <v>6584</v>
      </c>
      <c r="W738" s="1019">
        <f>IF(I!W738="","",$D$2*I!W738)</f>
        <v>0.25441019309999996</v>
      </c>
      <c r="X738" s="990">
        <f>IF(I!X738="","",$D$2*I!X738)</f>
        <v>0.34911821617</v>
      </c>
      <c r="Y738" s="1010">
        <f>IF(I!Y738="","",$D$2*I!Y738)</f>
        <v>0.51273669309999992</v>
      </c>
      <c r="Z738" s="938"/>
      <c r="AA738" s="938"/>
      <c r="AB738" s="938"/>
      <c r="AC738" s="938"/>
      <c r="AD738" s="1058"/>
      <c r="AE738" s="938"/>
      <c r="AF738" s="938"/>
      <c r="AG738" s="938"/>
      <c r="AH738" s="938"/>
    </row>
    <row r="739" spans="1:34" ht="17.25" customHeight="1" x14ac:dyDescent="0.35">
      <c r="A739" s="938"/>
      <c r="B739" s="938"/>
      <c r="C739" s="941"/>
      <c r="D739" s="1047"/>
      <c r="E739" s="941"/>
      <c r="F739" s="938"/>
      <c r="G739" s="976">
        <f t="shared" si="13"/>
        <v>736</v>
      </c>
      <c r="H739" s="942" t="s">
        <v>1778</v>
      </c>
      <c r="I739" s="1060"/>
      <c r="J739" s="1027"/>
      <c r="K739" s="1002" t="str">
        <f>IF(I!K739="","",$D$2*I!K739)</f>
        <v/>
      </c>
      <c r="L739" s="981"/>
      <c r="M739" s="982"/>
      <c r="N739" s="1003"/>
      <c r="O739" s="1004" t="str">
        <f>IF(I!O739="","",$D$2*I!O739)</f>
        <v/>
      </c>
      <c r="P739" s="1005" t="str">
        <f>IF(I!P739="","",$D$2*I!P739)</f>
        <v/>
      </c>
      <c r="Q739" s="1006" t="str">
        <f>IF(I!Q739="","",$D$2*I!Q739)</f>
        <v/>
      </c>
      <c r="R739" s="982"/>
      <c r="S739" s="1003"/>
      <c r="T739" s="938"/>
      <c r="U739" s="1008" t="s">
        <v>1059</v>
      </c>
      <c r="V739" s="1018" t="s">
        <v>6585</v>
      </c>
      <c r="W739" s="1019">
        <f>IF(I!W739="","",$D$2*I!W739)</f>
        <v>0.27108915090000002</v>
      </c>
      <c r="X739" s="990">
        <f>IF(I!X739="","",$D$2*I!X739)</f>
        <v>0.28315892340999999</v>
      </c>
      <c r="Y739" s="1010">
        <f>IF(I!Y739="","",$D$2*I!Y739)</f>
        <v>0.39479338090000005</v>
      </c>
      <c r="Z739" s="938"/>
      <c r="AA739" s="938"/>
      <c r="AB739" s="938"/>
      <c r="AC739" s="938"/>
      <c r="AD739" s="1058"/>
      <c r="AE739" s="938"/>
      <c r="AF739" s="938"/>
      <c r="AG739" s="938"/>
      <c r="AH739" s="938"/>
    </row>
    <row r="740" spans="1:34" ht="17.25" customHeight="1" x14ac:dyDescent="0.35">
      <c r="A740" s="938"/>
      <c r="B740" s="938"/>
      <c r="C740" s="941"/>
      <c r="D740" s="1047"/>
      <c r="E740" s="941"/>
      <c r="F740" s="938"/>
      <c r="G740" s="976">
        <f t="shared" si="13"/>
        <v>737</v>
      </c>
      <c r="H740" s="1000"/>
      <c r="I740" s="1001" t="s">
        <v>1059</v>
      </c>
      <c r="J740" s="1031" t="s">
        <v>1779</v>
      </c>
      <c r="K740" s="1002">
        <f>IF(I!K740="","",$D$2*I!K740)</f>
        <v>4.0789283480000002E-3</v>
      </c>
      <c r="L740" s="981"/>
      <c r="M740" s="982"/>
      <c r="N740" s="1003"/>
      <c r="O740" s="1004">
        <f>IF(I!O740="","",$D$2*I!O740)</f>
        <v>0.02</v>
      </c>
      <c r="P740" s="1005">
        <f>IF(I!P740="","",$D$2*I!P740)</f>
        <v>1.4423735901999999E-2</v>
      </c>
      <c r="Q740" s="1006" t="str">
        <f>IF(I!Q740="","",$D$2*I!Q740)</f>
        <v/>
      </c>
      <c r="R740" s="982"/>
      <c r="S740" s="1003"/>
      <c r="T740" s="938"/>
      <c r="U740" s="1008" t="s">
        <v>1059</v>
      </c>
      <c r="V740" s="1018" t="s">
        <v>6586</v>
      </c>
      <c r="W740" s="1019">
        <f>IF(I!W740="","",$D$2*I!W740)</f>
        <v>0.27155730140000006</v>
      </c>
      <c r="X740" s="990">
        <f>IF(I!X740="","",$D$2*I!X740)</f>
        <v>0.20995154445</v>
      </c>
      <c r="Y740" s="1010">
        <f>IF(I!Y740="","",$D$2*I!Y740)</f>
        <v>0.38972197140000009</v>
      </c>
      <c r="Z740" s="938"/>
      <c r="AA740" s="938"/>
      <c r="AB740" s="938"/>
      <c r="AC740" s="938"/>
      <c r="AD740" s="1058"/>
      <c r="AE740" s="938"/>
      <c r="AF740" s="938"/>
      <c r="AG740" s="938"/>
      <c r="AH740" s="938"/>
    </row>
    <row r="741" spans="1:34" ht="17.25" customHeight="1" x14ac:dyDescent="0.35">
      <c r="A741" s="938"/>
      <c r="B741" s="938"/>
      <c r="C741" s="941"/>
      <c r="D741" s="1047"/>
      <c r="E741" s="941"/>
      <c r="F741" s="938"/>
      <c r="G741" s="976">
        <f t="shared" si="13"/>
        <v>738</v>
      </c>
      <c r="H741" s="1000"/>
      <c r="I741" s="1001" t="s">
        <v>1059</v>
      </c>
      <c r="J741" s="1031" t="s">
        <v>1780</v>
      </c>
      <c r="K741" s="1002">
        <f>IF(I!K741="","",$D$2*I!K741)</f>
        <v>4.0789283480000002E-3</v>
      </c>
      <c r="L741" s="981"/>
      <c r="M741" s="982"/>
      <c r="N741" s="1003"/>
      <c r="O741" s="1004">
        <f>IF(I!O741="","",$D$2*I!O741)</f>
        <v>0.42</v>
      </c>
      <c r="P741" s="1005">
        <f>IF(I!P741="","",$D$2*I!P741)</f>
        <v>3.7044237642919997</v>
      </c>
      <c r="Q741" s="1006" t="str">
        <f>IF(I!Q741="","",$D$2*I!Q741)</f>
        <v/>
      </c>
      <c r="R741" s="982"/>
      <c r="S741" s="1003"/>
      <c r="T741" s="938"/>
      <c r="U741" s="1008" t="s">
        <v>1059</v>
      </c>
      <c r="V741" s="1018" t="s">
        <v>6587</v>
      </c>
      <c r="W741" s="1019">
        <f>IF(I!W741="","",$D$2*I!W741)</f>
        <v>0.47693711979999998</v>
      </c>
      <c r="X741" s="990">
        <f>IF(I!X741="","",$D$2*I!X741)</f>
        <v>0.39460208579</v>
      </c>
      <c r="Y741" s="1010">
        <f>IF(I!Y741="","",$D$2*I!Y741)</f>
        <v>0.70523870979999992</v>
      </c>
      <c r="Z741" s="938"/>
      <c r="AA741" s="938"/>
      <c r="AB741" s="938"/>
      <c r="AC741" s="938"/>
      <c r="AD741" s="1058"/>
      <c r="AE741" s="938"/>
      <c r="AF741" s="938"/>
      <c r="AG741" s="938"/>
      <c r="AH741" s="938"/>
    </row>
    <row r="742" spans="1:34" ht="17.25" customHeight="1" x14ac:dyDescent="0.35">
      <c r="A742" s="938"/>
      <c r="B742" s="938"/>
      <c r="C742" s="941"/>
      <c r="D742" s="1047"/>
      <c r="E742" s="941"/>
      <c r="F742" s="938"/>
      <c r="G742" s="976">
        <f t="shared" si="13"/>
        <v>739</v>
      </c>
      <c r="H742" s="1000"/>
      <c r="I742" s="1001" t="s">
        <v>1059</v>
      </c>
      <c r="J742" s="1031" t="s">
        <v>1781</v>
      </c>
      <c r="K742" s="1002">
        <f>IF(I!K742="","",$D$2*I!K742)</f>
        <v>4.1903302459999998E-3</v>
      </c>
      <c r="L742" s="981"/>
      <c r="M742" s="982"/>
      <c r="N742" s="1003"/>
      <c r="O742" s="1004">
        <f>IF(I!O742="","",$D$2*I!O742)</f>
        <v>0.02</v>
      </c>
      <c r="P742" s="1005">
        <f>IF(I!P742="","",$D$2*I!P742)</f>
        <v>1.4830978565000002E-2</v>
      </c>
      <c r="Q742" s="1006" t="str">
        <f>IF(I!Q742="","",$D$2*I!Q742)</f>
        <v/>
      </c>
      <c r="R742" s="982"/>
      <c r="S742" s="1003"/>
      <c r="T742" s="938"/>
      <c r="U742" s="1008" t="s">
        <v>1059</v>
      </c>
      <c r="V742" s="1018" t="s">
        <v>6588</v>
      </c>
      <c r="W742" s="1019">
        <f>IF(I!W742="","",$D$2*I!W742)</f>
        <v>0.1353066963</v>
      </c>
      <c r="X742" s="990">
        <f>IF(I!X742="","",$D$2*I!X742)</f>
        <v>6.2949944419999987E-2</v>
      </c>
      <c r="Y742" s="1010">
        <f>IF(I!Y742="","",$D$2*I!Y742)</f>
        <v>0.26201007630000001</v>
      </c>
      <c r="Z742" s="938"/>
      <c r="AA742" s="938"/>
      <c r="AB742" s="938"/>
      <c r="AC742" s="938"/>
      <c r="AD742" s="1058"/>
      <c r="AE742" s="938"/>
      <c r="AF742" s="938"/>
      <c r="AG742" s="938"/>
      <c r="AH742" s="938"/>
    </row>
    <row r="743" spans="1:34" ht="17.25" customHeight="1" x14ac:dyDescent="0.35">
      <c r="A743" s="938"/>
      <c r="B743" s="938"/>
      <c r="C743" s="941"/>
      <c r="D743" s="1047"/>
      <c r="E743" s="941"/>
      <c r="F743" s="938"/>
      <c r="G743" s="976">
        <f t="shared" si="13"/>
        <v>740</v>
      </c>
      <c r="H743" s="1000"/>
      <c r="I743" s="1001" t="s">
        <v>1059</v>
      </c>
      <c r="J743" s="1031" t="s">
        <v>1782</v>
      </c>
      <c r="K743" s="1002">
        <f>IF(I!K743="","",$D$2*I!K743)</f>
        <v>4.1903302459999998E-3</v>
      </c>
      <c r="L743" s="981"/>
      <c r="M743" s="982"/>
      <c r="N743" s="1003"/>
      <c r="O743" s="1004">
        <f>IF(I!O743="","",$D$2*I!O743)</f>
        <v>0.42</v>
      </c>
      <c r="P743" s="1005">
        <f>IF(I!P743="","",$D$2*I!P743)</f>
        <v>3.9148309726360004</v>
      </c>
      <c r="Q743" s="1006" t="str">
        <f>IF(I!Q743="","",$D$2*I!Q743)</f>
        <v/>
      </c>
      <c r="R743" s="982"/>
      <c r="S743" s="1003"/>
      <c r="T743" s="938"/>
      <c r="U743" s="1008" t="s">
        <v>1059</v>
      </c>
      <c r="V743" s="1018" t="s">
        <v>6589</v>
      </c>
      <c r="W743" s="1019">
        <f>IF(I!W743="","",$D$2*I!W743)</f>
        <v>0.15224112649999999</v>
      </c>
      <c r="X743" s="990">
        <f>IF(I!X743="","",$D$2*I!X743)</f>
        <v>6.3334710269999983E-2</v>
      </c>
      <c r="Y743" s="1010">
        <f>IF(I!Y743="","",$D$2*I!Y743)</f>
        <v>0.29360723649999998</v>
      </c>
      <c r="Z743" s="938"/>
      <c r="AA743" s="938"/>
      <c r="AB743" s="938"/>
      <c r="AC743" s="938"/>
      <c r="AD743" s="1058"/>
      <c r="AE743" s="938"/>
      <c r="AF743" s="938"/>
      <c r="AG743" s="938"/>
      <c r="AH743" s="938"/>
    </row>
    <row r="744" spans="1:34" ht="17.25" customHeight="1" x14ac:dyDescent="0.35">
      <c r="A744" s="938"/>
      <c r="B744" s="938"/>
      <c r="C744" s="941"/>
      <c r="D744" s="1047"/>
      <c r="E744" s="941"/>
      <c r="F744" s="938"/>
      <c r="G744" s="976">
        <f t="shared" si="13"/>
        <v>741</v>
      </c>
      <c r="H744" s="1000"/>
      <c r="I744" s="1001" t="s">
        <v>1059</v>
      </c>
      <c r="J744" s="1031" t="s">
        <v>1783</v>
      </c>
      <c r="K744" s="1002">
        <f>IF(I!K744="","",$D$2*I!K744)</f>
        <v>1.366727151E-2</v>
      </c>
      <c r="L744" s="981"/>
      <c r="M744" s="982"/>
      <c r="N744" s="1003"/>
      <c r="O744" s="1004">
        <f>IF(I!O744="","",$D$2*I!O744)</f>
        <v>0.06</v>
      </c>
      <c r="P744" s="1005">
        <f>IF(I!P744="","",$D$2*I!P744)</f>
        <v>4.9793704982000003E-2</v>
      </c>
      <c r="Q744" s="1006" t="str">
        <f>IF(I!Q744="","",$D$2*I!Q744)</f>
        <v/>
      </c>
      <c r="R744" s="982"/>
      <c r="S744" s="1003"/>
      <c r="T744" s="938"/>
      <c r="U744" s="1008" t="s">
        <v>1059</v>
      </c>
      <c r="V744" s="1018" t="s">
        <v>6590</v>
      </c>
      <c r="W744" s="1019">
        <f>IF(I!W744="","",$D$2*I!W744)</f>
        <v>0.11857114120000001</v>
      </c>
      <c r="X744" s="990">
        <f>IF(I!X744="","",$D$2*I!X744)</f>
        <v>6.2492300320000013E-2</v>
      </c>
      <c r="Y744" s="1010">
        <f>IF(I!Y744="","",$D$2*I!Y744)</f>
        <v>0.23077165120000001</v>
      </c>
      <c r="Z744" s="938"/>
      <c r="AA744" s="938"/>
      <c r="AB744" s="938"/>
      <c r="AC744" s="938"/>
      <c r="AD744" s="1058"/>
      <c r="AE744" s="938"/>
      <c r="AF744" s="938"/>
      <c r="AG744" s="938"/>
      <c r="AH744" s="938"/>
    </row>
    <row r="745" spans="1:34" ht="17.25" customHeight="1" x14ac:dyDescent="0.35">
      <c r="A745" s="938"/>
      <c r="B745" s="938"/>
      <c r="C745" s="941"/>
      <c r="D745" s="1047"/>
      <c r="E745" s="941"/>
      <c r="F745" s="938"/>
      <c r="G745" s="976">
        <f t="shared" si="13"/>
        <v>742</v>
      </c>
      <c r="H745" s="1000"/>
      <c r="I745" s="1001" t="s">
        <v>1059</v>
      </c>
      <c r="J745" s="1031" t="s">
        <v>1784</v>
      </c>
      <c r="K745" s="1002">
        <f>IF(I!K745="","",$D$2*I!K745)</f>
        <v>1.366727151E-2</v>
      </c>
      <c r="L745" s="981"/>
      <c r="M745" s="982"/>
      <c r="N745" s="1003"/>
      <c r="O745" s="1004">
        <f>IF(I!O745="","",$D$2*I!O745)</f>
        <v>0.46</v>
      </c>
      <c r="P745" s="1005">
        <f>IF(I!P745="","",$D$2*I!P745)</f>
        <v>35.674794077762002</v>
      </c>
      <c r="Q745" s="1006" t="str">
        <f>IF(I!Q745="","",$D$2*I!Q745)</f>
        <v/>
      </c>
      <c r="R745" s="982"/>
      <c r="S745" s="1003"/>
      <c r="T745" s="938"/>
      <c r="U745" s="1008" t="s">
        <v>1059</v>
      </c>
      <c r="V745" s="1018" t="s">
        <v>6591</v>
      </c>
      <c r="W745" s="1019">
        <f>IF(I!W745="","",$D$2*I!W745)</f>
        <v>1.0819561289999998E-2</v>
      </c>
      <c r="X745" s="990">
        <f>IF(I!X745="","",$D$2*I!X745)</f>
        <v>5.0336811672999993E-3</v>
      </c>
      <c r="Y745" s="1010">
        <f>IF(I!Y745="","",$D$2*I!Y745)</f>
        <v>2.095117329E-2</v>
      </c>
      <c r="Z745" s="938"/>
      <c r="AA745" s="938"/>
      <c r="AB745" s="938"/>
      <c r="AC745" s="938"/>
      <c r="AD745" s="1058"/>
      <c r="AE745" s="938"/>
      <c r="AF745" s="938"/>
      <c r="AG745" s="938"/>
      <c r="AH745" s="938"/>
    </row>
    <row r="746" spans="1:34" ht="17.25" customHeight="1" x14ac:dyDescent="0.35">
      <c r="A746" s="938"/>
      <c r="B746" s="938"/>
      <c r="C746" s="941"/>
      <c r="D746" s="1047"/>
      <c r="E746" s="941"/>
      <c r="F746" s="938"/>
      <c r="G746" s="976">
        <f t="shared" si="13"/>
        <v>743</v>
      </c>
      <c r="H746" s="1000"/>
      <c r="I746" s="1001" t="s">
        <v>1059</v>
      </c>
      <c r="J746" s="1031" t="s">
        <v>1785</v>
      </c>
      <c r="K746" s="1002">
        <f>IF(I!K746="","",$D$2*I!K746)</f>
        <v>5.1150297600000005E-3</v>
      </c>
      <c r="L746" s="981"/>
      <c r="M746" s="982"/>
      <c r="N746" s="1003"/>
      <c r="O746" s="1004">
        <f>IF(I!O746="","",$D$2*I!O746)</f>
        <v>0.02</v>
      </c>
      <c r="P746" s="1005">
        <f>IF(I!P746="","",$D$2*I!P746)</f>
        <v>1.8482532396999998E-2</v>
      </c>
      <c r="Q746" s="1006" t="str">
        <f>IF(I!Q746="","",$D$2*I!Q746)</f>
        <v/>
      </c>
      <c r="R746" s="982"/>
      <c r="S746" s="1003"/>
      <c r="T746" s="938"/>
      <c r="U746" s="1008" t="s">
        <v>1059</v>
      </c>
      <c r="V746" s="1018" t="s">
        <v>6592</v>
      </c>
      <c r="W746" s="1019">
        <f>IF(I!W746="","",$D$2*I!W746)</f>
        <v>1.2129100639999998E-2</v>
      </c>
      <c r="X746" s="990">
        <f>IF(I!X746="","",$D$2*I!X746)</f>
        <v>5.0458972576000001E-3</v>
      </c>
      <c r="Y746" s="1010">
        <f>IF(I!Y746="","",$D$2*I!Y746)</f>
        <v>2.3391784639999996E-2</v>
      </c>
      <c r="Z746" s="938"/>
      <c r="AA746" s="938"/>
      <c r="AB746" s="938"/>
      <c r="AC746" s="938"/>
      <c r="AD746" s="1058"/>
      <c r="AE746" s="938"/>
      <c r="AF746" s="938"/>
      <c r="AG746" s="938"/>
      <c r="AH746" s="938"/>
    </row>
    <row r="747" spans="1:34" ht="17.25" customHeight="1" x14ac:dyDescent="0.35">
      <c r="A747" s="938"/>
      <c r="B747" s="938"/>
      <c r="C747" s="941"/>
      <c r="D747" s="1047"/>
      <c r="E747" s="941"/>
      <c r="F747" s="938"/>
      <c r="G747" s="976">
        <f t="shared" si="13"/>
        <v>744</v>
      </c>
      <c r="H747" s="1000"/>
      <c r="I747" s="1001" t="s">
        <v>1059</v>
      </c>
      <c r="J747" s="1031" t="s">
        <v>1786</v>
      </c>
      <c r="K747" s="1002">
        <f>IF(I!K747="","",$D$2*I!K747)</f>
        <v>5.1150297600000005E-3</v>
      </c>
      <c r="L747" s="981"/>
      <c r="M747" s="982"/>
      <c r="N747" s="1003"/>
      <c r="O747" s="1004">
        <f>IF(I!O747="","",$D$2*I!O747)</f>
        <v>0.02</v>
      </c>
      <c r="P747" s="1005">
        <f>IF(I!P747="","",$D$2*I!P747)</f>
        <v>1.8482532396999998E-2</v>
      </c>
      <c r="Q747" s="1006" t="str">
        <f>IF(I!Q747="","",$D$2*I!Q747)</f>
        <v/>
      </c>
      <c r="R747" s="982"/>
      <c r="S747" s="1003"/>
      <c r="T747" s="938"/>
      <c r="U747" s="1008" t="s">
        <v>1059</v>
      </c>
      <c r="V747" s="1018" t="s">
        <v>6593</v>
      </c>
      <c r="W747" s="1019">
        <f>IF(I!W747="","",$D$2*I!W747)</f>
        <v>9.5163185680000005E-3</v>
      </c>
      <c r="X747" s="990">
        <f>IF(I!X747="","",$D$2*I!X747)</f>
        <v>5.0155259570999989E-3</v>
      </c>
      <c r="Y747" s="1010">
        <f>IF(I!Y747="","",$D$2*I!Y747)</f>
        <v>1.8521341067999998E-2</v>
      </c>
      <c r="Z747" s="938"/>
      <c r="AA747" s="938"/>
      <c r="AB747" s="938"/>
      <c r="AC747" s="938"/>
      <c r="AD747" s="1058"/>
      <c r="AE747" s="938"/>
      <c r="AF747" s="938"/>
      <c r="AG747" s="938"/>
      <c r="AH747" s="938"/>
    </row>
    <row r="748" spans="1:34" ht="17.25" customHeight="1" x14ac:dyDescent="0.35">
      <c r="A748" s="938"/>
      <c r="B748" s="938"/>
      <c r="C748" s="941"/>
      <c r="D748" s="1047"/>
      <c r="E748" s="941"/>
      <c r="F748" s="938"/>
      <c r="G748" s="976">
        <f t="shared" si="13"/>
        <v>745</v>
      </c>
      <c r="H748" s="1000"/>
      <c r="I748" s="1001" t="s">
        <v>1059</v>
      </c>
      <c r="J748" s="1031" t="s">
        <v>1787</v>
      </c>
      <c r="K748" s="1002">
        <f>IF(I!K748="","",$D$2*I!K748)</f>
        <v>4.4502679800000004E-3</v>
      </c>
      <c r="L748" s="981"/>
      <c r="M748" s="982"/>
      <c r="N748" s="1003"/>
      <c r="O748" s="1004">
        <f>IF(I!O748="","",$D$2*I!O748)</f>
        <v>0.02</v>
      </c>
      <c r="P748" s="1005">
        <f>IF(I!P748="","",$D$2*I!P748)</f>
        <v>1.5781211116000001E-2</v>
      </c>
      <c r="Q748" s="1006" t="str">
        <f>IF(I!Q748="","",$D$2*I!Q748)</f>
        <v/>
      </c>
      <c r="R748" s="982"/>
      <c r="S748" s="1003"/>
      <c r="T748" s="938"/>
      <c r="U748" s="1008" t="s">
        <v>1059</v>
      </c>
      <c r="V748" s="1018" t="s">
        <v>6594</v>
      </c>
      <c r="W748" s="1019">
        <f>IF(I!W748="","",$D$2*I!W748)</f>
        <v>0.17587310880000001</v>
      </c>
      <c r="X748" s="990">
        <f>IF(I!X748="","",$D$2*I!X748)</f>
        <v>0.38911945730000003</v>
      </c>
      <c r="Y748" s="1010">
        <f>IF(I!Y748="","",$D$2*I!Y748)</f>
        <v>0.50204019880000006</v>
      </c>
      <c r="Z748" s="938"/>
      <c r="AA748" s="938"/>
      <c r="AB748" s="938"/>
      <c r="AC748" s="938"/>
      <c r="AD748" s="1058"/>
      <c r="AE748" s="938"/>
      <c r="AF748" s="938"/>
      <c r="AG748" s="938"/>
      <c r="AH748" s="938"/>
    </row>
    <row r="749" spans="1:34" ht="17.25" customHeight="1" x14ac:dyDescent="0.35">
      <c r="A749" s="938"/>
      <c r="B749" s="938"/>
      <c r="C749" s="941"/>
      <c r="D749" s="1047"/>
      <c r="E749" s="941"/>
      <c r="F749" s="938"/>
      <c r="G749" s="976">
        <f t="shared" si="13"/>
        <v>746</v>
      </c>
      <c r="H749" s="1000"/>
      <c r="I749" s="1001" t="s">
        <v>1059</v>
      </c>
      <c r="J749" s="1031" t="s">
        <v>1788</v>
      </c>
      <c r="K749" s="1002">
        <f>IF(I!K749="","",$D$2*I!K749)</f>
        <v>4.4502679800000004E-3</v>
      </c>
      <c r="L749" s="981"/>
      <c r="M749" s="982"/>
      <c r="N749" s="1003"/>
      <c r="O749" s="1004">
        <f>IF(I!O749="","",$D$2*I!O749)</f>
        <v>0.42</v>
      </c>
      <c r="P749" s="1005">
        <f>IF(I!P749="","",$D$2*I!P749)</f>
        <v>6.2257812251109996</v>
      </c>
      <c r="Q749" s="1006" t="str">
        <f>IF(I!Q749="","",$D$2*I!Q749)</f>
        <v/>
      </c>
      <c r="R749" s="982"/>
      <c r="S749" s="1003"/>
      <c r="T749" s="938"/>
      <c r="U749" s="1008" t="s">
        <v>1059</v>
      </c>
      <c r="V749" s="1018" t="s">
        <v>6595</v>
      </c>
      <c r="W749" s="1019">
        <f>IF(I!W749="","",$D$2*I!W749)</f>
        <v>0.16674558450000002</v>
      </c>
      <c r="X749" s="990">
        <f>IF(I!X749="","",$D$2*I!X749)</f>
        <v>0.45140873966</v>
      </c>
      <c r="Y749" s="1010">
        <f>IF(I!Y749="","",$D$2*I!Y749)</f>
        <v>0.35268981450000003</v>
      </c>
      <c r="Z749" s="938"/>
      <c r="AA749" s="938"/>
      <c r="AB749" s="938"/>
      <c r="AC749" s="938"/>
      <c r="AD749" s="1058"/>
      <c r="AE749" s="938"/>
      <c r="AF749" s="938"/>
      <c r="AG749" s="938"/>
      <c r="AH749" s="938"/>
    </row>
    <row r="750" spans="1:34" ht="17.25" customHeight="1" x14ac:dyDescent="0.35">
      <c r="A750" s="938"/>
      <c r="B750" s="938"/>
      <c r="C750" s="941"/>
      <c r="D750" s="1047"/>
      <c r="E750" s="941"/>
      <c r="F750" s="938"/>
      <c r="G750" s="976">
        <f t="shared" si="13"/>
        <v>747</v>
      </c>
      <c r="H750" s="1000"/>
      <c r="I750" s="1001" t="s">
        <v>1059</v>
      </c>
      <c r="J750" s="1031" t="s">
        <v>1789</v>
      </c>
      <c r="K750" s="1002">
        <f>IF(I!K750="","",$D$2*I!K750)</f>
        <v>7.420985146E-3</v>
      </c>
      <c r="L750" s="981"/>
      <c r="M750" s="982"/>
      <c r="N750" s="1003"/>
      <c r="O750" s="1004">
        <f>IF(I!O750="","",$D$2*I!O750)</f>
        <v>0.03</v>
      </c>
      <c r="P750" s="1005">
        <f>IF(I!P750="","",$D$2*I!P750)</f>
        <v>2.6641011829999998E-2</v>
      </c>
      <c r="Q750" s="1006" t="str">
        <f>IF(I!Q750="","",$D$2*I!Q750)</f>
        <v/>
      </c>
      <c r="R750" s="982"/>
      <c r="S750" s="1003"/>
      <c r="T750" s="938"/>
      <c r="U750" s="1008" t="s">
        <v>1059</v>
      </c>
      <c r="V750" s="1018" t="s">
        <v>6596</v>
      </c>
      <c r="W750" s="1019">
        <f>IF(I!W750="","",$D$2*I!W750)</f>
        <v>0.21275917420000001</v>
      </c>
      <c r="X750" s="990">
        <f>IF(I!X750="","",$D$2*I!X750)</f>
        <v>0.55168855066</v>
      </c>
      <c r="Y750" s="1010">
        <f>IF(I!Y750="","",$D$2*I!Y750)</f>
        <v>0.42163670419999999</v>
      </c>
      <c r="Z750" s="938"/>
      <c r="AA750" s="938"/>
      <c r="AB750" s="938"/>
      <c r="AC750" s="938"/>
      <c r="AD750" s="1058"/>
      <c r="AE750" s="938"/>
      <c r="AF750" s="938"/>
      <c r="AG750" s="938"/>
      <c r="AH750" s="938"/>
    </row>
    <row r="751" spans="1:34" ht="17.25" customHeight="1" x14ac:dyDescent="0.35">
      <c r="A751" s="938"/>
      <c r="B751" s="938"/>
      <c r="C751" s="941"/>
      <c r="D751" s="1047"/>
      <c r="E751" s="941"/>
      <c r="F751" s="938"/>
      <c r="G751" s="976">
        <f t="shared" si="13"/>
        <v>748</v>
      </c>
      <c r="H751" s="1000"/>
      <c r="I751" s="1001" t="s">
        <v>1059</v>
      </c>
      <c r="J751" s="1031" t="s">
        <v>1790</v>
      </c>
      <c r="K751" s="1002">
        <f>IF(I!K751="","",$D$2*I!K751)</f>
        <v>3.4311263000000002E-3</v>
      </c>
      <c r="L751" s="981"/>
      <c r="M751" s="982"/>
      <c r="N751" s="1003"/>
      <c r="O751" s="1004">
        <f>IF(I!O751="","",$D$2*I!O751)</f>
        <v>0.01</v>
      </c>
      <c r="P751" s="1005">
        <f>IF(I!P751="","",$D$2*I!P751)</f>
        <v>1.2055620765E-2</v>
      </c>
      <c r="Q751" s="1006" t="str">
        <f>IF(I!Q751="","",$D$2*I!Q751)</f>
        <v/>
      </c>
      <c r="R751" s="982"/>
      <c r="S751" s="1003"/>
      <c r="T751" s="938"/>
      <c r="U751" s="1008" t="s">
        <v>1059</v>
      </c>
      <c r="V751" s="1018" t="s">
        <v>6597</v>
      </c>
      <c r="W751" s="1019">
        <f>IF(I!W751="","",$D$2*I!W751)</f>
        <v>0.16167392511000001</v>
      </c>
      <c r="X751" s="990">
        <f>IF(I!X751="","",$D$2*I!X751)</f>
        <v>0.11890683655999999</v>
      </c>
      <c r="Y751" s="1010">
        <f>IF(I!Y751="","",$D$2*I!Y751)</f>
        <v>0.29798855511</v>
      </c>
      <c r="Z751" s="938"/>
      <c r="AA751" s="938"/>
      <c r="AB751" s="938"/>
      <c r="AC751" s="938"/>
      <c r="AD751" s="1058"/>
      <c r="AE751" s="938"/>
      <c r="AF751" s="938"/>
      <c r="AG751" s="938"/>
      <c r="AH751" s="938"/>
    </row>
    <row r="752" spans="1:34" ht="17.25" customHeight="1" x14ac:dyDescent="0.35">
      <c r="A752" s="938"/>
      <c r="B752" s="938"/>
      <c r="C752" s="941"/>
      <c r="D752" s="1047"/>
      <c r="E752" s="941"/>
      <c r="F752" s="938"/>
      <c r="G752" s="976">
        <f t="shared" si="13"/>
        <v>749</v>
      </c>
      <c r="H752" s="1000"/>
      <c r="I752" s="1001" t="s">
        <v>1059</v>
      </c>
      <c r="J752" s="1031" t="s">
        <v>1791</v>
      </c>
      <c r="K752" s="1002">
        <f>IF(I!K752="","",$D$2*I!K752)</f>
        <v>4.1531963100000001E-3</v>
      </c>
      <c r="L752" s="981"/>
      <c r="M752" s="982"/>
      <c r="N752" s="1003"/>
      <c r="O752" s="1004">
        <f>IF(I!O752="","",$D$2*I!O752)</f>
        <v>0.02</v>
      </c>
      <c r="P752" s="1005">
        <f>IF(I!P752="","",$D$2*I!P752)</f>
        <v>1.4695231346999999E-2</v>
      </c>
      <c r="Q752" s="1006" t="str">
        <f>IF(I!Q752="","",$D$2*I!Q752)</f>
        <v/>
      </c>
      <c r="R752" s="982"/>
      <c r="S752" s="1003"/>
      <c r="T752" s="938"/>
      <c r="U752" s="1008" t="s">
        <v>1059</v>
      </c>
      <c r="V752" s="1018" t="s">
        <v>6598</v>
      </c>
      <c r="W752" s="1019">
        <f>IF(I!W752="","",$D$2*I!W752)</f>
        <v>0.15581263331999998</v>
      </c>
      <c r="X752" s="990">
        <f>IF(I!X752="","",$D$2*I!X752)</f>
        <v>0.12906869399999998</v>
      </c>
      <c r="Y752" s="1010">
        <f>IF(I!Y752="","",$D$2*I!Y752)</f>
        <v>0.27027494331999996</v>
      </c>
      <c r="Z752" s="938"/>
      <c r="AA752" s="938"/>
      <c r="AB752" s="938"/>
      <c r="AC752" s="938"/>
      <c r="AD752" s="1058"/>
      <c r="AE752" s="938"/>
      <c r="AF752" s="938"/>
      <c r="AG752" s="938"/>
      <c r="AH752" s="938"/>
    </row>
    <row r="753" spans="1:34" ht="17.25" customHeight="1" x14ac:dyDescent="0.35">
      <c r="A753" s="938"/>
      <c r="B753" s="938"/>
      <c r="C753" s="941"/>
      <c r="D753" s="1047"/>
      <c r="E753" s="941"/>
      <c r="F753" s="938"/>
      <c r="G753" s="976">
        <f t="shared" si="13"/>
        <v>750</v>
      </c>
      <c r="H753" s="1000"/>
      <c r="I753" s="1001" t="s">
        <v>1059</v>
      </c>
      <c r="J753" s="1031" t="s">
        <v>1792</v>
      </c>
      <c r="K753" s="1002">
        <f>IF(I!K753="","",$D$2*I!K753)</f>
        <v>4.1531963100000001E-3</v>
      </c>
      <c r="L753" s="981"/>
      <c r="M753" s="982"/>
      <c r="N753" s="1003"/>
      <c r="O753" s="1004">
        <f>IF(I!O753="","",$D$2*I!O753)</f>
        <v>0.42</v>
      </c>
      <c r="P753" s="1005">
        <f>IF(I!P753="","",$D$2*I!P753)</f>
        <v>3.8246952368580001</v>
      </c>
      <c r="Q753" s="1006" t="str">
        <f>IF(I!Q753="","",$D$2*I!Q753)</f>
        <v/>
      </c>
      <c r="R753" s="982"/>
      <c r="S753" s="1003"/>
      <c r="T753" s="938"/>
      <c r="U753" s="1008" t="s">
        <v>1059</v>
      </c>
      <c r="V753" s="1018" t="s">
        <v>6599</v>
      </c>
      <c r="W753" s="1019">
        <f>IF(I!W753="","",$D$2*I!W753)</f>
        <v>0.17263611399999998</v>
      </c>
      <c r="X753" s="990">
        <f>IF(I!X753="","",$D$2*I!X753)</f>
        <v>0.14608923411000002</v>
      </c>
      <c r="Y753" s="1010">
        <f>IF(I!Y753="","",$D$2*I!Y753)</f>
        <v>0.32862260399999998</v>
      </c>
      <c r="Z753" s="938"/>
      <c r="AA753" s="938"/>
      <c r="AB753" s="938"/>
      <c r="AC753" s="938"/>
      <c r="AD753" s="1058"/>
      <c r="AE753" s="938"/>
      <c r="AF753" s="938"/>
      <c r="AG753" s="938"/>
      <c r="AH753" s="938"/>
    </row>
    <row r="754" spans="1:34" ht="17.25" customHeight="1" x14ac:dyDescent="0.35">
      <c r="A754" s="938"/>
      <c r="B754" s="938"/>
      <c r="C754" s="941"/>
      <c r="D754" s="1047"/>
      <c r="E754" s="941"/>
      <c r="F754" s="938"/>
      <c r="G754" s="976">
        <f t="shared" si="13"/>
        <v>751</v>
      </c>
      <c r="H754" s="1000"/>
      <c r="I754" s="1001" t="s">
        <v>1059</v>
      </c>
      <c r="J754" s="1031" t="s">
        <v>1793</v>
      </c>
      <c r="K754" s="1002">
        <f>IF(I!K754="","",$D$2*I!K754)</f>
        <v>5.8799256209999991E-3</v>
      </c>
      <c r="L754" s="981"/>
      <c r="M754" s="982"/>
      <c r="N754" s="1003"/>
      <c r="O754" s="1004">
        <f>IF(I!O754="","",$D$2*I!O754)</f>
        <v>0.03</v>
      </c>
      <c r="P754" s="1005">
        <f>IF(I!P754="","",$D$2*I!P754)</f>
        <v>2.1007490141999995E-2</v>
      </c>
      <c r="Q754" s="1006" t="str">
        <f>IF(I!Q754="","",$D$2*I!Q754)</f>
        <v/>
      </c>
      <c r="R754" s="982"/>
      <c r="S754" s="1003"/>
      <c r="T754" s="938"/>
      <c r="U754" s="1008" t="s">
        <v>1059</v>
      </c>
      <c r="V754" s="1018" t="s">
        <v>6600</v>
      </c>
      <c r="W754" s="1019">
        <f>IF(I!W754="","",$D$2*I!W754)</f>
        <v>0.2684795968</v>
      </c>
      <c r="X754" s="990">
        <f>IF(I!X754="","",$D$2*I!X754)</f>
        <v>0.12323390718</v>
      </c>
      <c r="Y754" s="1010">
        <f>IF(I!Y754="","",$D$2*I!Y754)</f>
        <v>0.39651778679999999</v>
      </c>
      <c r="Z754" s="938"/>
      <c r="AA754" s="938"/>
      <c r="AB754" s="938"/>
      <c r="AC754" s="938"/>
      <c r="AD754" s="1058"/>
      <c r="AE754" s="938"/>
      <c r="AF754" s="938"/>
      <c r="AG754" s="938"/>
      <c r="AH754" s="938"/>
    </row>
    <row r="755" spans="1:34" ht="17.25" customHeight="1" x14ac:dyDescent="0.35">
      <c r="A755" s="938"/>
      <c r="B755" s="938"/>
      <c r="C755" s="941"/>
      <c r="D755" s="1047"/>
      <c r="E755" s="941"/>
      <c r="F755" s="938"/>
      <c r="G755" s="976">
        <f t="shared" si="13"/>
        <v>752</v>
      </c>
      <c r="H755" s="1000"/>
      <c r="I755" s="1001" t="s">
        <v>1059</v>
      </c>
      <c r="J755" s="1031" t="s">
        <v>1794</v>
      </c>
      <c r="K755" s="1002">
        <f>IF(I!K755="","",$D$2*I!K755)</f>
        <v>5.8799256209999991E-3</v>
      </c>
      <c r="L755" s="981"/>
      <c r="M755" s="982"/>
      <c r="N755" s="1003"/>
      <c r="O755" s="1004">
        <f>IF(I!O755="","",$D$2*I!O755)</f>
        <v>0.43</v>
      </c>
      <c r="P755" s="1005">
        <f>IF(I!P755="","",$D$2*I!P755)</f>
        <v>3.7710074637169999</v>
      </c>
      <c r="Q755" s="1006" t="str">
        <f>IF(I!Q755="","",$D$2*I!Q755)</f>
        <v/>
      </c>
      <c r="R755" s="982"/>
      <c r="S755" s="1003"/>
      <c r="T755" s="938"/>
      <c r="U755" s="1008" t="s">
        <v>1059</v>
      </c>
      <c r="V755" s="1018" t="s">
        <v>6601</v>
      </c>
      <c r="W755" s="1019">
        <f>IF(I!W755="","",$D$2*I!W755)</f>
        <v>0.13723890882999998</v>
      </c>
      <c r="X755" s="990">
        <f>IF(I!X755="","",$D$2*I!X755)</f>
        <v>9.7385808560000009E-2</v>
      </c>
      <c r="Y755" s="1010">
        <f>IF(I!Y755="","",$D$2*I!Y755)</f>
        <v>0.25509090882999996</v>
      </c>
      <c r="Z755" s="938"/>
      <c r="AA755" s="938"/>
      <c r="AB755" s="938"/>
      <c r="AC755" s="938"/>
      <c r="AD755" s="1058"/>
      <c r="AE755" s="938"/>
      <c r="AF755" s="938"/>
      <c r="AG755" s="938"/>
      <c r="AH755" s="938"/>
    </row>
    <row r="756" spans="1:34" ht="17.25" customHeight="1" x14ac:dyDescent="0.35">
      <c r="A756" s="938"/>
      <c r="B756" s="938"/>
      <c r="C756" s="941"/>
      <c r="D756" s="1047"/>
      <c r="E756" s="941"/>
      <c r="F756" s="938"/>
      <c r="G756" s="976">
        <f t="shared" si="13"/>
        <v>753</v>
      </c>
      <c r="H756" s="1000"/>
      <c r="I756" s="1001" t="s">
        <v>1059</v>
      </c>
      <c r="J756" s="1031" t="s">
        <v>1795</v>
      </c>
      <c r="K756" s="1002">
        <f>IF(I!K756="","",$D$2*I!K756)</f>
        <v>6.2698323309999995E-3</v>
      </c>
      <c r="L756" s="981"/>
      <c r="M756" s="982"/>
      <c r="N756" s="1003"/>
      <c r="O756" s="1004">
        <f>IF(I!O756="","",$D$2*I!O756)</f>
        <v>0.03</v>
      </c>
      <c r="P756" s="1005">
        <f>IF(I!P756="","",$D$2*I!P756)</f>
        <v>2.2432838962999999E-2</v>
      </c>
      <c r="Q756" s="1006" t="str">
        <f>IF(I!Q756="","",$D$2*I!Q756)</f>
        <v/>
      </c>
      <c r="R756" s="982"/>
      <c r="S756" s="1003"/>
      <c r="T756" s="938"/>
      <c r="U756" s="1008" t="s">
        <v>1059</v>
      </c>
      <c r="V756" s="1018" t="s">
        <v>6602</v>
      </c>
      <c r="W756" s="1019">
        <f>IF(I!W756="","",$D$2*I!W756)</f>
        <v>0.13309996902000001</v>
      </c>
      <c r="X756" s="990">
        <f>IF(I!X756="","",$D$2*I!X756)</f>
        <v>0.10533074206000001</v>
      </c>
      <c r="Y756" s="1010">
        <f>IF(I!Y756="","",$D$2*I!Y756)</f>
        <v>0.23400257902000002</v>
      </c>
      <c r="Z756" s="938"/>
      <c r="AA756" s="938"/>
      <c r="AB756" s="938"/>
      <c r="AC756" s="938"/>
      <c r="AD756" s="1058"/>
      <c r="AE756" s="938"/>
      <c r="AF756" s="938"/>
      <c r="AG756" s="938"/>
      <c r="AH756" s="938"/>
    </row>
    <row r="757" spans="1:34" ht="17.25" customHeight="1" x14ac:dyDescent="0.35">
      <c r="A757" s="938"/>
      <c r="B757" s="938"/>
      <c r="C757" s="941"/>
      <c r="D757" s="1047"/>
      <c r="E757" s="941"/>
      <c r="F757" s="938"/>
      <c r="G757" s="976">
        <f t="shared" si="13"/>
        <v>754</v>
      </c>
      <c r="H757" s="1000"/>
      <c r="I757" s="1001" t="s">
        <v>1059</v>
      </c>
      <c r="J757" s="1031" t="s">
        <v>1796</v>
      </c>
      <c r="K757" s="1002">
        <f>IF(I!K757="","",$D$2*I!K757)</f>
        <v>6.2698323309999995E-3</v>
      </c>
      <c r="L757" s="981"/>
      <c r="M757" s="982"/>
      <c r="N757" s="1003"/>
      <c r="O757" s="1004">
        <f>IF(I!O757="","",$D$2*I!O757)</f>
        <v>0.43</v>
      </c>
      <c r="P757" s="1005">
        <f>IF(I!P757="","",$D$2*I!P757)</f>
        <v>4.1849327924240001</v>
      </c>
      <c r="Q757" s="1006" t="str">
        <f>IF(I!Q757="","",$D$2*I!Q757)</f>
        <v/>
      </c>
      <c r="R757" s="982"/>
      <c r="S757" s="1003"/>
      <c r="T757" s="938"/>
      <c r="U757" s="1008" t="s">
        <v>1059</v>
      </c>
      <c r="V757" s="1018" t="s">
        <v>6603</v>
      </c>
      <c r="W757" s="1019">
        <f>IF(I!W757="","",$D$2*I!W757)</f>
        <v>0.14613694789999998</v>
      </c>
      <c r="X757" s="990">
        <f>IF(I!X757="","",$D$2*I!X757)</f>
        <v>0.11985688484000001</v>
      </c>
      <c r="Y757" s="1010">
        <f>IF(I!Y757="","",$D$2*I!Y757)</f>
        <v>0.27967505789999997</v>
      </c>
      <c r="Z757" s="938"/>
      <c r="AA757" s="938"/>
      <c r="AB757" s="938"/>
      <c r="AC757" s="938"/>
      <c r="AD757" s="1058"/>
      <c r="AE757" s="938"/>
      <c r="AF757" s="938"/>
      <c r="AG757" s="938"/>
      <c r="AH757" s="938"/>
    </row>
    <row r="758" spans="1:34" ht="17.25" customHeight="1" x14ac:dyDescent="0.35">
      <c r="A758" s="938"/>
      <c r="B758" s="938"/>
      <c r="C758" s="941"/>
      <c r="D758" s="1047"/>
      <c r="E758" s="941"/>
      <c r="F758" s="938"/>
      <c r="G758" s="976">
        <f t="shared" si="13"/>
        <v>755</v>
      </c>
      <c r="H758" s="1000">
        <v>1</v>
      </c>
      <c r="I758" s="1001" t="s">
        <v>1059</v>
      </c>
      <c r="J758" s="1031" t="s">
        <v>1797</v>
      </c>
      <c r="K758" s="1002">
        <f>IF(I!K758="","",$D$2*I!K758)</f>
        <v>5.1372463380000002E-3</v>
      </c>
      <c r="L758" s="981"/>
      <c r="M758" s="982"/>
      <c r="N758" s="1003"/>
      <c r="O758" s="1004">
        <f>IF(I!O758="","",$D$2*I!O758)</f>
        <v>0.02</v>
      </c>
      <c r="P758" s="1005">
        <f>IF(I!P758="","",$D$2*I!P758)</f>
        <v>1.8292539704999999E-2</v>
      </c>
      <c r="Q758" s="1006" t="str">
        <f>IF(I!Q758="","",$D$2*I!Q758)</f>
        <v/>
      </c>
      <c r="R758" s="982"/>
      <c r="S758" s="1003"/>
      <c r="T758" s="938"/>
      <c r="U758" s="1008" t="s">
        <v>1059</v>
      </c>
      <c r="V758" s="1018" t="s">
        <v>6604</v>
      </c>
      <c r="W758" s="1019">
        <f>IF(I!W758="","",$D$2*I!W758)</f>
        <v>0.22420470879999999</v>
      </c>
      <c r="X758" s="990">
        <f>IF(I!X758="","",$D$2*I!X758)</f>
        <v>0.101058539</v>
      </c>
      <c r="Y758" s="1010">
        <f>IF(I!Y758="","",$D$2*I!Y758)</f>
        <v>0.33519185880000002</v>
      </c>
      <c r="Z758" s="938"/>
      <c r="AA758" s="938"/>
      <c r="AB758" s="938"/>
      <c r="AC758" s="938"/>
      <c r="AD758" s="1058"/>
      <c r="AE758" s="938"/>
      <c r="AF758" s="938"/>
      <c r="AG758" s="938"/>
      <c r="AH758" s="938"/>
    </row>
    <row r="759" spans="1:34" ht="17.25" customHeight="1" x14ac:dyDescent="0.35">
      <c r="A759" s="938"/>
      <c r="B759" s="938"/>
      <c r="C759" s="941"/>
      <c r="D759" s="1047"/>
      <c r="E759" s="941"/>
      <c r="F759" s="938"/>
      <c r="G759" s="976">
        <f t="shared" si="13"/>
        <v>756</v>
      </c>
      <c r="H759" s="1000">
        <v>1</v>
      </c>
      <c r="I759" s="1001" t="s">
        <v>1059</v>
      </c>
      <c r="J759" s="1031" t="s">
        <v>1798</v>
      </c>
      <c r="K759" s="1002">
        <f>IF(I!K759="","",$D$2*I!K759)</f>
        <v>5.1372463380000002E-3</v>
      </c>
      <c r="L759" s="981"/>
      <c r="M759" s="982"/>
      <c r="N759" s="1003"/>
      <c r="O759" s="1004">
        <f>IF(I!O759="","",$D$2*I!O759)</f>
        <v>0.42</v>
      </c>
      <c r="P759" s="1005">
        <f>IF(I!P759="","",$D$2*I!P759)</f>
        <v>9.7382925420700008</v>
      </c>
      <c r="Q759" s="1006" t="str">
        <f>IF(I!Q759="","",$D$2*I!Q759)</f>
        <v/>
      </c>
      <c r="R759" s="982"/>
      <c r="S759" s="1003"/>
      <c r="T759" s="938"/>
      <c r="U759" s="1008" t="s">
        <v>1059</v>
      </c>
      <c r="V759" s="1018" t="s">
        <v>6605</v>
      </c>
      <c r="W759" s="1019">
        <f>IF(I!W759="","",$D$2*I!W759)</f>
        <v>7.7000523799999998E-2</v>
      </c>
      <c r="X759" s="990">
        <f>IF(I!X759="","",$D$2*I!X759)</f>
        <v>7.2102457480000007E-2</v>
      </c>
      <c r="Y759" s="1010">
        <f>IF(I!Y759="","",$D$2*I!Y759)</f>
        <v>0.6382716638</v>
      </c>
      <c r="Z759" s="938"/>
      <c r="AA759" s="938"/>
      <c r="AB759" s="938"/>
      <c r="AC759" s="938"/>
      <c r="AD759" s="1058"/>
      <c r="AE759" s="938"/>
      <c r="AF759" s="938"/>
      <c r="AG759" s="938"/>
      <c r="AH759" s="938"/>
    </row>
    <row r="760" spans="1:34" ht="17.25" customHeight="1" x14ac:dyDescent="0.35">
      <c r="A760" s="938"/>
      <c r="B760" s="938"/>
      <c r="C760" s="941"/>
      <c r="D760" s="1047"/>
      <c r="E760" s="941"/>
      <c r="F760" s="938"/>
      <c r="G760" s="976">
        <f t="shared" si="13"/>
        <v>757</v>
      </c>
      <c r="H760" s="942"/>
      <c r="I760" s="1001" t="s">
        <v>1059</v>
      </c>
      <c r="J760" s="1031" t="s">
        <v>1799</v>
      </c>
      <c r="K760" s="1002">
        <f>IF(I!K760="","",$D$2*I!K760)</f>
        <v>4.4131340430000002E-3</v>
      </c>
      <c r="L760" s="981"/>
      <c r="M760" s="982"/>
      <c r="N760" s="1003"/>
      <c r="O760" s="1004">
        <f>IF(I!O760="","",$D$2*I!O760)</f>
        <v>0.02</v>
      </c>
      <c r="P760" s="1005">
        <f>IF(I!P760="","",$D$2*I!P760)</f>
        <v>1.5645463889E-2</v>
      </c>
      <c r="Q760" s="1006" t="str">
        <f>IF(I!Q760="","",$D$2*I!Q760)</f>
        <v/>
      </c>
      <c r="R760" s="982"/>
      <c r="S760" s="1003"/>
      <c r="T760" s="938"/>
      <c r="U760" s="1008" t="s">
        <v>1059</v>
      </c>
      <c r="V760" s="1018" t="s">
        <v>6606</v>
      </c>
      <c r="W760" s="1019">
        <f>IF(I!W760="","",$D$2*I!W760)</f>
        <v>7.6181109509999997E-2</v>
      </c>
      <c r="X760" s="990">
        <f>IF(I!X760="","",$D$2*I!X760)</f>
        <v>5.8464983970000002E-2</v>
      </c>
      <c r="Y760" s="1010">
        <f>IF(I!Y760="","",$D$2*I!Y760)</f>
        <v>0.34099523950999999</v>
      </c>
      <c r="Z760" s="938"/>
      <c r="AA760" s="938"/>
      <c r="AB760" s="938"/>
      <c r="AC760" s="938"/>
      <c r="AD760" s="1058"/>
      <c r="AE760" s="938"/>
      <c r="AF760" s="938"/>
      <c r="AG760" s="938"/>
      <c r="AH760" s="938"/>
    </row>
    <row r="761" spans="1:34" ht="17.25" customHeight="1" x14ac:dyDescent="0.35">
      <c r="A761" s="938"/>
      <c r="B761" s="938"/>
      <c r="C761" s="941"/>
      <c r="D761" s="1047"/>
      <c r="E761" s="941"/>
      <c r="F761" s="938"/>
      <c r="G761" s="976">
        <f t="shared" si="13"/>
        <v>758</v>
      </c>
      <c r="H761" s="1000"/>
      <c r="I761" s="1001" t="s">
        <v>1059</v>
      </c>
      <c r="J761" s="1031" t="s">
        <v>1800</v>
      </c>
      <c r="K761" s="1002">
        <f>IF(I!K761="","",$D$2*I!K761)</f>
        <v>4.4131340430000002E-3</v>
      </c>
      <c r="L761" s="981"/>
      <c r="M761" s="982"/>
      <c r="N761" s="1003"/>
      <c r="O761" s="1004">
        <f>IF(I!O761="","",$D$2*I!O761)</f>
        <v>0.42</v>
      </c>
      <c r="P761" s="1005">
        <f>IF(I!P761="","",$D$2*I!P761)</f>
        <v>5.9556454893230004</v>
      </c>
      <c r="Q761" s="1006" t="str">
        <f>IF(I!Q761="","",$D$2*I!Q761)</f>
        <v/>
      </c>
      <c r="R761" s="982"/>
      <c r="S761" s="1003"/>
      <c r="T761" s="938"/>
      <c r="U761" s="1008" t="s">
        <v>1059</v>
      </c>
      <c r="V761" s="1018" t="s">
        <v>6607</v>
      </c>
      <c r="W761" s="1019">
        <f>IF(I!W761="","",$D$2*I!W761)</f>
        <v>0.14127705609999999</v>
      </c>
      <c r="X761" s="990">
        <f>IF(I!X761="","",$D$2*I!X761)</f>
        <v>0.18762670179999999</v>
      </c>
      <c r="Y761" s="1010">
        <f>IF(I!Y761="","",$D$2*I!Y761)</f>
        <v>0.28750901610000001</v>
      </c>
      <c r="Z761" s="938"/>
      <c r="AA761" s="938"/>
      <c r="AB761" s="938"/>
      <c r="AC761" s="938"/>
      <c r="AD761" s="1058"/>
      <c r="AE761" s="938"/>
      <c r="AF761" s="938"/>
      <c r="AG761" s="938"/>
      <c r="AH761" s="938"/>
    </row>
    <row r="762" spans="1:34" ht="17.25" customHeight="1" x14ac:dyDescent="0.35">
      <c r="A762" s="938"/>
      <c r="B762" s="938"/>
      <c r="C762" s="941"/>
      <c r="D762" s="1047"/>
      <c r="E762" s="941"/>
      <c r="F762" s="938"/>
      <c r="G762" s="976">
        <f t="shared" si="13"/>
        <v>759</v>
      </c>
      <c r="H762" s="1000"/>
      <c r="I762" s="1001" t="s">
        <v>1059</v>
      </c>
      <c r="J762" s="1031" t="s">
        <v>1801</v>
      </c>
      <c r="K762" s="1002">
        <f>IF(I!K762="","",$D$2*I!K762)</f>
        <v>9.3890853189999984E-3</v>
      </c>
      <c r="L762" s="981"/>
      <c r="M762" s="982"/>
      <c r="N762" s="1003"/>
      <c r="O762" s="1004">
        <f>IF(I!O762="","",$D$2*I!O762)</f>
        <v>0.04</v>
      </c>
      <c r="P762" s="1005">
        <f>IF(I!P762="","",$D$2*I!P762)</f>
        <v>3.3835630566999994E-2</v>
      </c>
      <c r="Q762" s="1006" t="str">
        <f>IF(I!Q762="","",$D$2*I!Q762)</f>
        <v/>
      </c>
      <c r="R762" s="982"/>
      <c r="S762" s="1003"/>
      <c r="T762" s="938"/>
      <c r="U762" s="1008" t="s">
        <v>1059</v>
      </c>
      <c r="V762" s="1018" t="s">
        <v>6608</v>
      </c>
      <c r="W762" s="1019">
        <f>IF(I!W762="","",$D$2*I!W762)</f>
        <v>0.13093484039999997</v>
      </c>
      <c r="X762" s="990">
        <f>IF(I!X762="","",$D$2*I!X762)</f>
        <v>0.12521513807000001</v>
      </c>
      <c r="Y762" s="1010">
        <f>IF(I!Y762="","",$D$2*I!Y762)</f>
        <v>0.21171064339999995</v>
      </c>
      <c r="Z762" s="938"/>
      <c r="AA762" s="938"/>
      <c r="AB762" s="938"/>
      <c r="AC762" s="938"/>
      <c r="AD762" s="1058"/>
      <c r="AE762" s="938"/>
      <c r="AF762" s="938"/>
      <c r="AG762" s="938"/>
      <c r="AH762" s="938"/>
    </row>
    <row r="763" spans="1:34" ht="17.25" customHeight="1" x14ac:dyDescent="0.35">
      <c r="A763" s="938"/>
      <c r="B763" s="938"/>
      <c r="C763" s="941"/>
      <c r="D763" s="1047"/>
      <c r="E763" s="941"/>
      <c r="F763" s="938"/>
      <c r="G763" s="976">
        <f t="shared" si="13"/>
        <v>760</v>
      </c>
      <c r="H763" s="1000"/>
      <c r="I763" s="1001" t="s">
        <v>1059</v>
      </c>
      <c r="J763" s="1031" t="s">
        <v>1802</v>
      </c>
      <c r="K763" s="1002">
        <f>IF(I!K763="","",$D$2*I!K763)</f>
        <v>5.1150297600000005E-3</v>
      </c>
      <c r="L763" s="981"/>
      <c r="M763" s="982"/>
      <c r="N763" s="1003"/>
      <c r="O763" s="1004">
        <f>IF(I!O763="","",$D$2*I!O763)</f>
        <v>0.02</v>
      </c>
      <c r="P763" s="1005">
        <f>IF(I!P763="","",$D$2*I!P763)</f>
        <v>1.8482532396999998E-2</v>
      </c>
      <c r="Q763" s="1006" t="str">
        <f>IF(I!Q763="","",$D$2*I!Q763)</f>
        <v/>
      </c>
      <c r="R763" s="982"/>
      <c r="S763" s="1003"/>
      <c r="T763" s="938"/>
      <c r="U763" s="1008" t="s">
        <v>1059</v>
      </c>
      <c r="V763" s="1018" t="s">
        <v>6609</v>
      </c>
      <c r="W763" s="1019">
        <f>IF(I!W763="","",$D$2*I!W763)</f>
        <v>0.1366856749</v>
      </c>
      <c r="X763" s="990">
        <f>IF(I!X763="","",$D$2*I!X763)</f>
        <v>0.18682470527</v>
      </c>
      <c r="Y763" s="1010">
        <f>IF(I!Y763="","",$D$2*I!Y763)</f>
        <v>0.2789169849</v>
      </c>
      <c r="Z763" s="938"/>
      <c r="AA763" s="938"/>
      <c r="AB763" s="938"/>
      <c r="AC763" s="938"/>
      <c r="AD763" s="1058"/>
      <c r="AE763" s="938"/>
      <c r="AF763" s="938"/>
      <c r="AG763" s="938"/>
      <c r="AH763" s="938"/>
    </row>
    <row r="764" spans="1:34" ht="17.25" customHeight="1" x14ac:dyDescent="0.35">
      <c r="A764" s="938"/>
      <c r="B764" s="938"/>
      <c r="C764" s="941"/>
      <c r="D764" s="1047"/>
      <c r="E764" s="941"/>
      <c r="F764" s="938"/>
      <c r="G764" s="976">
        <f t="shared" si="13"/>
        <v>761</v>
      </c>
      <c r="H764" s="1000"/>
      <c r="I764" s="1001" t="s">
        <v>1059</v>
      </c>
      <c r="J764" s="1031" t="s">
        <v>1803</v>
      </c>
      <c r="K764" s="1002">
        <f>IF(I!K764="","",$D$2*I!K764)</f>
        <v>3.894224094E-3</v>
      </c>
      <c r="L764" s="981"/>
      <c r="M764" s="982"/>
      <c r="N764" s="1003"/>
      <c r="O764" s="1004">
        <f>IF(I!O764="","",$D$2*I!O764)</f>
        <v>0.02</v>
      </c>
      <c r="P764" s="1005">
        <f>IF(I!P764="","",$D$2*I!P764)</f>
        <v>1.3906732072999998E-2</v>
      </c>
      <c r="Q764" s="1006" t="str">
        <f>IF(I!Q764="","",$D$2*I!Q764)</f>
        <v/>
      </c>
      <c r="R764" s="982"/>
      <c r="S764" s="1003"/>
      <c r="T764" s="938"/>
      <c r="U764" s="1008" t="s">
        <v>1059</v>
      </c>
      <c r="V764" s="1018" t="s">
        <v>6610</v>
      </c>
      <c r="W764" s="1019">
        <f>IF(I!W764="","",$D$2*I!W764)</f>
        <v>0.1208096888</v>
      </c>
      <c r="X764" s="990">
        <f>IF(I!X764="","",$D$2*I!X764)</f>
        <v>0.15709051978999999</v>
      </c>
      <c r="Y764" s="1010">
        <f>IF(I!Y764="","",$D$2*I!Y764)</f>
        <v>0.24782337879999999</v>
      </c>
      <c r="Z764" s="938"/>
      <c r="AA764" s="938"/>
      <c r="AB764" s="938"/>
      <c r="AC764" s="938"/>
      <c r="AD764" s="1058"/>
      <c r="AE764" s="938"/>
      <c r="AF764" s="938"/>
      <c r="AG764" s="938"/>
      <c r="AH764" s="938"/>
    </row>
    <row r="765" spans="1:34" ht="17.25" customHeight="1" x14ac:dyDescent="0.35">
      <c r="A765" s="938"/>
      <c r="B765" s="938"/>
      <c r="C765" s="941"/>
      <c r="D765" s="1047"/>
      <c r="E765" s="941"/>
      <c r="F765" s="938"/>
      <c r="G765" s="976">
        <f t="shared" si="13"/>
        <v>762</v>
      </c>
      <c r="H765" s="1000">
        <v>1</v>
      </c>
      <c r="I765" s="1001" t="s">
        <v>1059</v>
      </c>
      <c r="J765" s="1031" t="s">
        <v>1804</v>
      </c>
      <c r="K765" s="1002">
        <f>IF(I!K765="","",$D$2*I!K765)</f>
        <v>1.6474588040000001E-3</v>
      </c>
      <c r="L765" s="981"/>
      <c r="M765" s="982"/>
      <c r="N765" s="1003"/>
      <c r="O765" s="1004">
        <f>IF(I!O765="","",$D$2*I!O765)</f>
        <v>0.01</v>
      </c>
      <c r="P765" s="1005">
        <f>IF(I!P765="","",$D$2*I!P765)</f>
        <v>5.4063939189999992E-3</v>
      </c>
      <c r="Q765" s="1006" t="str">
        <f>IF(I!Q765="","",$D$2*I!Q765)</f>
        <v/>
      </c>
      <c r="R765" s="982"/>
      <c r="S765" s="1003"/>
      <c r="T765" s="938"/>
      <c r="U765" s="1008" t="s">
        <v>1059</v>
      </c>
      <c r="V765" s="1018" t="s">
        <v>6611</v>
      </c>
      <c r="W765" s="1019">
        <f>IF(I!W765="","",$D$2*I!W765)</f>
        <v>0.11185001071</v>
      </c>
      <c r="X765" s="990">
        <f>IF(I!X765="","",$D$2*I!X765)</f>
        <v>0.10489981692</v>
      </c>
      <c r="Y765" s="1010">
        <f>IF(I!Y765="","",$D$2*I!Y765)</f>
        <v>0.18387011171000001</v>
      </c>
      <c r="Z765" s="938"/>
      <c r="AA765" s="938"/>
      <c r="AB765" s="938"/>
      <c r="AC765" s="938"/>
      <c r="AD765" s="1058"/>
      <c r="AE765" s="938"/>
      <c r="AF765" s="938"/>
      <c r="AG765" s="938"/>
      <c r="AH765" s="938"/>
    </row>
    <row r="766" spans="1:34" ht="17.25" customHeight="1" x14ac:dyDescent="0.35">
      <c r="A766" s="938"/>
      <c r="B766" s="938"/>
      <c r="C766" s="941"/>
      <c r="D766" s="1047"/>
      <c r="E766" s="941"/>
      <c r="F766" s="938"/>
      <c r="G766" s="976">
        <f t="shared" si="13"/>
        <v>763</v>
      </c>
      <c r="H766" s="1000"/>
      <c r="I766" s="1001" t="s">
        <v>1059</v>
      </c>
      <c r="J766" s="1031" t="s">
        <v>1805</v>
      </c>
      <c r="K766" s="1002">
        <f>IF(I!K766="","",$D$2*I!K766)</f>
        <v>2.909208418E-3</v>
      </c>
      <c r="L766" s="981"/>
      <c r="M766" s="982"/>
      <c r="N766" s="1003"/>
      <c r="O766" s="1004">
        <f>IF(I!O766="","",$D$2*I!O766)</f>
        <v>0.01</v>
      </c>
      <c r="P766" s="1005">
        <f>IF(I!P766="","",$D$2*I!P766)</f>
        <v>1.0147689327E-2</v>
      </c>
      <c r="Q766" s="1006" t="str">
        <f>IF(I!Q766="","",$D$2*I!Q766)</f>
        <v/>
      </c>
      <c r="R766" s="982"/>
      <c r="S766" s="1003"/>
      <c r="T766" s="938"/>
      <c r="U766" s="1008" t="s">
        <v>1059</v>
      </c>
      <c r="V766" s="1018" t="s">
        <v>6612</v>
      </c>
      <c r="W766" s="1019">
        <f>IF(I!W766="","",$D$2*I!W766)</f>
        <v>0.11659388429999999</v>
      </c>
      <c r="X766" s="990">
        <f>IF(I!X766="","",$D$2*I!X766)</f>
        <v>0.15664582449</v>
      </c>
      <c r="Y766" s="1010">
        <f>IF(I!Y766="","",$D$2*I!Y766)</f>
        <v>0.23983764429999999</v>
      </c>
      <c r="Z766" s="938"/>
      <c r="AA766" s="938"/>
      <c r="AB766" s="938"/>
      <c r="AC766" s="938"/>
      <c r="AD766" s="1058"/>
      <c r="AE766" s="938"/>
      <c r="AF766" s="938"/>
      <c r="AG766" s="938"/>
      <c r="AH766" s="938"/>
    </row>
    <row r="767" spans="1:34" ht="17.25" customHeight="1" x14ac:dyDescent="0.35">
      <c r="A767" s="938"/>
      <c r="B767" s="938"/>
      <c r="C767" s="941"/>
      <c r="D767" s="1047"/>
      <c r="E767" s="941"/>
      <c r="F767" s="938"/>
      <c r="G767" s="976">
        <f t="shared" si="13"/>
        <v>764</v>
      </c>
      <c r="H767" s="942" t="s">
        <v>1806</v>
      </c>
      <c r="I767" s="1060"/>
      <c r="J767" s="1027"/>
      <c r="K767" s="1002" t="str">
        <f>IF(I!K767="","",$D$2*I!K767)</f>
        <v/>
      </c>
      <c r="L767" s="981"/>
      <c r="M767" s="982"/>
      <c r="N767" s="1003"/>
      <c r="O767" s="1004" t="str">
        <f>IF(I!O767="","",$D$2*I!O767)</f>
        <v/>
      </c>
      <c r="P767" s="1005" t="str">
        <f>IF(I!P767="","",$D$2*I!P767)</f>
        <v/>
      </c>
      <c r="Q767" s="1006" t="str">
        <f>IF(I!Q767="","",$D$2*I!Q767)</f>
        <v/>
      </c>
      <c r="R767" s="982"/>
      <c r="S767" s="1003"/>
      <c r="T767" s="938"/>
      <c r="U767" s="1008" t="s">
        <v>1059</v>
      </c>
      <c r="V767" s="1018" t="s">
        <v>6613</v>
      </c>
      <c r="W767" s="1019">
        <f>IF(I!W767="","",$D$2*I!W767)</f>
        <v>0.21186215580000001</v>
      </c>
      <c r="X767" s="990">
        <f>IF(I!X767="","",$D$2*I!X767)</f>
        <v>0.17101594014000002</v>
      </c>
      <c r="Y767" s="1010">
        <f>IF(I!Y767="","",$D$2*I!Y767)</f>
        <v>0.32019304580000002</v>
      </c>
      <c r="Z767" s="938"/>
      <c r="AA767" s="938"/>
      <c r="AB767" s="938"/>
      <c r="AC767" s="938"/>
      <c r="AD767" s="1058"/>
      <c r="AE767" s="938"/>
      <c r="AF767" s="938"/>
      <c r="AG767" s="938"/>
      <c r="AH767" s="938"/>
    </row>
    <row r="768" spans="1:34" ht="17.25" customHeight="1" x14ac:dyDescent="0.35">
      <c r="A768" s="938"/>
      <c r="B768" s="938"/>
      <c r="C768" s="941"/>
      <c r="D768" s="1047"/>
      <c r="E768" s="941"/>
      <c r="F768" s="938"/>
      <c r="G768" s="976">
        <f t="shared" si="13"/>
        <v>765</v>
      </c>
      <c r="H768" s="1000"/>
      <c r="I768" s="1001" t="s">
        <v>1059</v>
      </c>
      <c r="J768" s="1031" t="s">
        <v>1807</v>
      </c>
      <c r="K768" s="1002">
        <f>IF(I!K768="","",$D$2*I!K768)</f>
        <v>4.8030406430000002E-3</v>
      </c>
      <c r="L768" s="981"/>
      <c r="M768" s="982"/>
      <c r="N768" s="1003"/>
      <c r="O768" s="1004">
        <f>IF(I!O768="","",$D$2*I!O768)</f>
        <v>0.02</v>
      </c>
      <c r="P768" s="1005">
        <f>IF(I!P768="","",$D$2*I!P768)</f>
        <v>1.7070812720000002E-2</v>
      </c>
      <c r="Q768" s="1006" t="str">
        <f>IF(I!Q768="","",$D$2*I!Q768)</f>
        <v/>
      </c>
      <c r="R768" s="982"/>
      <c r="S768" s="1003"/>
      <c r="T768" s="938"/>
      <c r="U768" s="1008" t="s">
        <v>1059</v>
      </c>
      <c r="V768" s="1018" t="s">
        <v>6614</v>
      </c>
      <c r="W768" s="1019">
        <f>IF(I!W768="","",$D$2*I!W768)</f>
        <v>0.2056845601</v>
      </c>
      <c r="X768" s="990">
        <f>IF(I!X768="","",$D$2*I!X768)</f>
        <v>8.9655299630000004E-2</v>
      </c>
      <c r="Y768" s="1010">
        <f>IF(I!Y768="","",$D$2*I!Y768)</f>
        <v>0.3982415601</v>
      </c>
      <c r="Z768" s="938"/>
      <c r="AA768" s="938"/>
      <c r="AB768" s="938"/>
      <c r="AC768" s="938"/>
      <c r="AD768" s="1058"/>
      <c r="AE768" s="938"/>
      <c r="AF768" s="938"/>
      <c r="AG768" s="938"/>
      <c r="AH768" s="938"/>
    </row>
    <row r="769" spans="1:34" ht="17.25" customHeight="1" x14ac:dyDescent="0.35">
      <c r="A769" s="938"/>
      <c r="B769" s="938"/>
      <c r="C769" s="941"/>
      <c r="D769" s="1047"/>
      <c r="E769" s="941"/>
      <c r="F769" s="938"/>
      <c r="G769" s="976">
        <f t="shared" si="13"/>
        <v>766</v>
      </c>
      <c r="H769" s="1000"/>
      <c r="I769" s="1001" t="s">
        <v>1059</v>
      </c>
      <c r="J769" s="1031" t="s">
        <v>1808</v>
      </c>
      <c r="K769" s="1002">
        <f>IF(I!K769="","",$D$2*I!K769)</f>
        <v>4.8030406430000002E-3</v>
      </c>
      <c r="L769" s="981"/>
      <c r="M769" s="982"/>
      <c r="N769" s="1003"/>
      <c r="O769" s="1004">
        <f>IF(I!O769="","",$D$2*I!O769)</f>
        <v>0.42</v>
      </c>
      <c r="P769" s="1005">
        <f>IF(I!P769="","",$D$2*I!P769)</f>
        <v>4.7795708180399998</v>
      </c>
      <c r="Q769" s="1006" t="str">
        <f>IF(I!Q769="","",$D$2*I!Q769)</f>
        <v/>
      </c>
      <c r="R769" s="982"/>
      <c r="S769" s="1003"/>
      <c r="T769" s="938"/>
      <c r="U769" s="1008" t="s">
        <v>1059</v>
      </c>
      <c r="V769" s="1018" t="s">
        <v>6615</v>
      </c>
      <c r="W769" s="1019">
        <f>IF(I!W769="","",$D$2*I!W769)</f>
        <v>6.4794911799999994E-2</v>
      </c>
      <c r="X769" s="990">
        <f>IF(I!X769="","",$D$2*I!X769)</f>
        <v>0.30023454411</v>
      </c>
      <c r="Y769" s="1010">
        <f>IF(I!Y769="","",$D$2*I!Y769)</f>
        <v>0.90407356179999998</v>
      </c>
      <c r="Z769" s="938"/>
      <c r="AA769" s="938"/>
      <c r="AB769" s="938"/>
      <c r="AC769" s="938"/>
      <c r="AD769" s="1058"/>
      <c r="AE769" s="938"/>
      <c r="AF769" s="938"/>
      <c r="AG769" s="938"/>
      <c r="AH769" s="938"/>
    </row>
    <row r="770" spans="1:34" ht="17.25" customHeight="1" x14ac:dyDescent="0.35">
      <c r="A770" s="938"/>
      <c r="B770" s="938"/>
      <c r="C770" s="941"/>
      <c r="D770" s="1047"/>
      <c r="E770" s="941"/>
      <c r="F770" s="938"/>
      <c r="G770" s="976">
        <f t="shared" si="13"/>
        <v>767</v>
      </c>
      <c r="H770" s="1000"/>
      <c r="I770" s="1001" t="s">
        <v>1059</v>
      </c>
      <c r="J770" s="1031" t="s">
        <v>1809</v>
      </c>
      <c r="K770" s="1002">
        <f>IF(I!K770="","",$D$2*I!K770)</f>
        <v>5.1150297600000005E-3</v>
      </c>
      <c r="L770" s="981"/>
      <c r="M770" s="982"/>
      <c r="N770" s="1003"/>
      <c r="O770" s="1004">
        <f>IF(I!O770="","",$D$2*I!O770)</f>
        <v>0.02</v>
      </c>
      <c r="P770" s="1005">
        <f>IF(I!P770="","",$D$2*I!P770)</f>
        <v>1.8482532396999998E-2</v>
      </c>
      <c r="Q770" s="1006" t="str">
        <f>IF(I!Q770="","",$D$2*I!Q770)</f>
        <v/>
      </c>
      <c r="R770" s="982"/>
      <c r="S770" s="1003"/>
      <c r="T770" s="938"/>
      <c r="U770" s="1008" t="s">
        <v>1059</v>
      </c>
      <c r="V770" s="1018" t="s">
        <v>6616</v>
      </c>
      <c r="W770" s="1019">
        <f>IF(I!W770="","",$D$2*I!W770)</f>
        <v>0.1037743626</v>
      </c>
      <c r="X770" s="990">
        <f>IF(I!X770="","",$D$2*I!X770)</f>
        <v>0.27198366482000003</v>
      </c>
      <c r="Y770" s="1010">
        <f>IF(I!Y770="","",$D$2*I!Y770)</f>
        <v>0.77690835260000002</v>
      </c>
      <c r="Z770" s="938"/>
      <c r="AA770" s="938"/>
      <c r="AB770" s="938"/>
      <c r="AC770" s="938"/>
      <c r="AD770" s="1058"/>
      <c r="AE770" s="938"/>
      <c r="AF770" s="938"/>
      <c r="AG770" s="938"/>
      <c r="AH770" s="938"/>
    </row>
    <row r="771" spans="1:34" ht="17.25" customHeight="1" x14ac:dyDescent="0.35">
      <c r="A771" s="938"/>
      <c r="B771" s="938"/>
      <c r="C771" s="941"/>
      <c r="D771" s="1047"/>
      <c r="E771" s="941"/>
      <c r="F771" s="938"/>
      <c r="G771" s="976">
        <f t="shared" si="13"/>
        <v>768</v>
      </c>
      <c r="H771" s="1000"/>
      <c r="I771" s="1001" t="s">
        <v>1059</v>
      </c>
      <c r="J771" s="1031" t="s">
        <v>1810</v>
      </c>
      <c r="K771" s="1002">
        <f>IF(I!K771="","",$D$2*I!K771)</f>
        <v>5.1150297600000005E-3</v>
      </c>
      <c r="L771" s="981"/>
      <c r="M771" s="982"/>
      <c r="N771" s="1003"/>
      <c r="O771" s="1004">
        <f>IF(I!O771="","",$D$2*I!O771)</f>
        <v>0.02</v>
      </c>
      <c r="P771" s="1005">
        <f>IF(I!P771="","",$D$2*I!P771)</f>
        <v>1.8482532396999998E-2</v>
      </c>
      <c r="Q771" s="1006" t="str">
        <f>IF(I!Q771="","",$D$2*I!Q771)</f>
        <v/>
      </c>
      <c r="R771" s="982"/>
      <c r="S771" s="1003"/>
      <c r="T771" s="938"/>
      <c r="U771" s="1008" t="s">
        <v>1059</v>
      </c>
      <c r="V771" s="1018" t="s">
        <v>6617</v>
      </c>
      <c r="W771" s="1019">
        <f>IF(I!W771="","",$D$2*I!W771)</f>
        <v>0.1038068919</v>
      </c>
      <c r="X771" s="990">
        <f>IF(I!X771="","",$D$2*I!X771)</f>
        <v>0.27209981513000003</v>
      </c>
      <c r="Y771" s="1010">
        <f>IF(I!Y771="","",$D$2*I!Y771)</f>
        <v>0.7781327119</v>
      </c>
      <c r="Z771" s="938"/>
      <c r="AA771" s="938"/>
      <c r="AB771" s="938"/>
      <c r="AC771" s="938"/>
      <c r="AD771" s="1058"/>
      <c r="AE771" s="938"/>
      <c r="AF771" s="938"/>
      <c r="AG771" s="938"/>
      <c r="AH771" s="938"/>
    </row>
    <row r="772" spans="1:34" ht="17.25" customHeight="1" x14ac:dyDescent="0.35">
      <c r="A772" s="938"/>
      <c r="B772" s="938"/>
      <c r="C772" s="941"/>
      <c r="D772" s="1047"/>
      <c r="E772" s="941"/>
      <c r="F772" s="938"/>
      <c r="G772" s="976">
        <f t="shared" si="13"/>
        <v>769</v>
      </c>
      <c r="H772" s="1000"/>
      <c r="I772" s="1001" t="s">
        <v>1059</v>
      </c>
      <c r="J772" s="1031" t="s">
        <v>1811</v>
      </c>
      <c r="K772" s="1002">
        <f>IF(I!K772="","",$D$2*I!K772)</f>
        <v>4.6545048079999997E-3</v>
      </c>
      <c r="L772" s="981"/>
      <c r="M772" s="982"/>
      <c r="N772" s="1003"/>
      <c r="O772" s="1004">
        <f>IF(I!O772="","",$D$2*I!O772)</f>
        <v>0.02</v>
      </c>
      <c r="P772" s="1005">
        <f>IF(I!P772="","",$D$2*I!P772)</f>
        <v>1.6527822830999999E-2</v>
      </c>
      <c r="Q772" s="1006" t="str">
        <f>IF(I!Q772="","",$D$2*I!Q772)</f>
        <v/>
      </c>
      <c r="R772" s="982"/>
      <c r="S772" s="1003"/>
      <c r="T772" s="938"/>
      <c r="U772" s="1008" t="s">
        <v>1059</v>
      </c>
      <c r="V772" s="1018" t="s">
        <v>6618</v>
      </c>
      <c r="W772" s="1019">
        <f>IF(I!W772="","",$D$2*I!W772)</f>
        <v>2.507168962E-2</v>
      </c>
      <c r="X772" s="990">
        <f>IF(I!X772="","",$D$2*I!X772)</f>
        <v>4.6466784999000005E-2</v>
      </c>
      <c r="Y772" s="1010">
        <f>IF(I!Y772="","",$D$2*I!Y772)</f>
        <v>0.16938435962000001</v>
      </c>
      <c r="Z772" s="938"/>
      <c r="AA772" s="938"/>
      <c r="AB772" s="938"/>
      <c r="AC772" s="938"/>
      <c r="AD772" s="1058"/>
      <c r="AE772" s="938"/>
      <c r="AF772" s="938"/>
      <c r="AG772" s="938"/>
      <c r="AH772" s="938"/>
    </row>
    <row r="773" spans="1:34" ht="17.25" customHeight="1" x14ac:dyDescent="0.35">
      <c r="A773" s="938"/>
      <c r="B773" s="938"/>
      <c r="C773" s="941"/>
      <c r="D773" s="1047"/>
      <c r="E773" s="941"/>
      <c r="F773" s="938"/>
      <c r="G773" s="976">
        <f t="shared" si="13"/>
        <v>770</v>
      </c>
      <c r="H773" s="1000"/>
      <c r="I773" s="1001" t="s">
        <v>1059</v>
      </c>
      <c r="J773" s="1031" t="s">
        <v>1812</v>
      </c>
      <c r="K773" s="1002">
        <f>IF(I!K773="","",$D$2*I!K773)</f>
        <v>4.6545048079999997E-3</v>
      </c>
      <c r="L773" s="981"/>
      <c r="M773" s="982"/>
      <c r="N773" s="1003"/>
      <c r="O773" s="1004">
        <f>IF(I!O773="","",$D$2*I!O773)</f>
        <v>0.42</v>
      </c>
      <c r="P773" s="1005">
        <f>IF(I!P773="","",$D$2*I!P773)</f>
        <v>4.8165277739090007</v>
      </c>
      <c r="Q773" s="1006" t="str">
        <f>IF(I!Q773="","",$D$2*I!Q773)</f>
        <v/>
      </c>
      <c r="R773" s="982"/>
      <c r="S773" s="1003"/>
      <c r="T773" s="938"/>
      <c r="U773" s="1008" t="s">
        <v>1059</v>
      </c>
      <c r="V773" s="1018" t="s">
        <v>6619</v>
      </c>
      <c r="W773" s="1019">
        <f>IF(I!W773="","",$D$2*I!W773)</f>
        <v>2.8310413990000002E-2</v>
      </c>
      <c r="X773" s="990">
        <f>IF(I!X773="","",$D$2*I!X773)</f>
        <v>4.2047715188000004E-2</v>
      </c>
      <c r="Y773" s="1010">
        <f>IF(I!Y773="","",$D$2*I!Y773)</f>
        <v>0.14338129398999999</v>
      </c>
      <c r="Z773" s="938"/>
      <c r="AA773" s="938"/>
      <c r="AB773" s="938"/>
      <c r="AC773" s="938"/>
      <c r="AD773" s="1058"/>
      <c r="AE773" s="938"/>
      <c r="AF773" s="938"/>
      <c r="AG773" s="938"/>
      <c r="AH773" s="938"/>
    </row>
    <row r="774" spans="1:34" ht="17.25" customHeight="1" x14ac:dyDescent="0.35">
      <c r="A774" s="938"/>
      <c r="B774" s="938"/>
      <c r="C774" s="941"/>
      <c r="D774" s="1047"/>
      <c r="E774" s="941"/>
      <c r="F774" s="938"/>
      <c r="G774" s="976">
        <f t="shared" ref="G774:G837" si="14">G773+1</f>
        <v>771</v>
      </c>
      <c r="H774" s="1000"/>
      <c r="I774" s="1001" t="s">
        <v>1059</v>
      </c>
      <c r="J774" s="1031" t="s">
        <v>1813</v>
      </c>
      <c r="K774" s="1002">
        <f>IF(I!K774="","",$D$2*I!K774)</f>
        <v>5.1150297600000005E-3</v>
      </c>
      <c r="L774" s="981"/>
      <c r="M774" s="982"/>
      <c r="N774" s="1003"/>
      <c r="O774" s="1004">
        <f>IF(I!O774="","",$D$2*I!O774)</f>
        <v>0.02</v>
      </c>
      <c r="P774" s="1005">
        <f>IF(I!P774="","",$D$2*I!P774)</f>
        <v>1.8482532396999998E-2</v>
      </c>
      <c r="Q774" s="1006" t="str">
        <f>IF(I!Q774="","",$D$2*I!Q774)</f>
        <v/>
      </c>
      <c r="R774" s="982"/>
      <c r="S774" s="1003"/>
      <c r="T774" s="938"/>
      <c r="U774" s="1008" t="s">
        <v>1059</v>
      </c>
      <c r="V774" s="1018" t="s">
        <v>6620</v>
      </c>
      <c r="W774" s="1019">
        <f>IF(I!W774="","",$D$2*I!W774)</f>
        <v>2.9017349389999999E-2</v>
      </c>
      <c r="X774" s="990">
        <f>IF(I!X774="","",$D$2*I!X774)</f>
        <v>4.5384512814000001E-2</v>
      </c>
      <c r="Y774" s="1010">
        <f>IF(I!Y774="","",$D$2*I!Y774)</f>
        <v>0.10352548239000001</v>
      </c>
      <c r="Z774" s="938"/>
      <c r="AA774" s="938"/>
      <c r="AB774" s="938"/>
      <c r="AC774" s="938"/>
      <c r="AD774" s="1058"/>
      <c r="AE774" s="938"/>
      <c r="AF774" s="938"/>
      <c r="AG774" s="938"/>
      <c r="AH774" s="938"/>
    </row>
    <row r="775" spans="1:34" ht="17.25" customHeight="1" x14ac:dyDescent="0.35">
      <c r="A775" s="938"/>
      <c r="B775" s="938"/>
      <c r="C775" s="941"/>
      <c r="D775" s="1047"/>
      <c r="E775" s="941"/>
      <c r="F775" s="938"/>
      <c r="G775" s="976">
        <f t="shared" si="14"/>
        <v>772</v>
      </c>
      <c r="H775" s="1000"/>
      <c r="I775" s="1001" t="s">
        <v>1059</v>
      </c>
      <c r="J775" s="1031" t="s">
        <v>1814</v>
      </c>
      <c r="K775" s="1002">
        <f>IF(I!K775="","",$D$2*I!K775)</f>
        <v>6.335835578E-3</v>
      </c>
      <c r="L775" s="981"/>
      <c r="M775" s="982"/>
      <c r="N775" s="1003"/>
      <c r="O775" s="1004">
        <f>IF(I!O775="","",$D$2*I!O775)</f>
        <v>0.03</v>
      </c>
      <c r="P775" s="1005">
        <f>IF(I!P775="","",$D$2*I!P775)</f>
        <v>2.3058331725000002E-2</v>
      </c>
      <c r="Q775" s="1006" t="str">
        <f>IF(I!Q775="","",$D$2*I!Q775)</f>
        <v/>
      </c>
      <c r="R775" s="982"/>
      <c r="S775" s="1003"/>
      <c r="T775" s="938"/>
      <c r="U775" s="1008" t="s">
        <v>1059</v>
      </c>
      <c r="V775" s="1018" t="s">
        <v>6621</v>
      </c>
      <c r="W775" s="1019">
        <f>IF(I!W775="","",$D$2*I!W775)</f>
        <v>3.7694952859999999E-2</v>
      </c>
      <c r="X775" s="990">
        <f>IF(I!X775="","",$D$2*I!X775)</f>
        <v>4.5513490768000001E-2</v>
      </c>
      <c r="Y775" s="1010">
        <f>IF(I!Y775="","",$D$2*I!Y775)</f>
        <v>0.13830411285999999</v>
      </c>
      <c r="Z775" s="938"/>
      <c r="AA775" s="938"/>
      <c r="AB775" s="938"/>
      <c r="AC775" s="938"/>
      <c r="AD775" s="1058"/>
      <c r="AE775" s="938"/>
      <c r="AF775" s="938"/>
      <c r="AG775" s="938"/>
      <c r="AH775" s="938"/>
    </row>
    <row r="776" spans="1:34" ht="17.25" customHeight="1" x14ac:dyDescent="0.35">
      <c r="A776" s="938"/>
      <c r="B776" s="938"/>
      <c r="C776" s="941"/>
      <c r="D776" s="1047"/>
      <c r="E776" s="941"/>
      <c r="F776" s="938"/>
      <c r="G776" s="976">
        <f t="shared" si="14"/>
        <v>773</v>
      </c>
      <c r="H776" s="1000"/>
      <c r="I776" s="1001" t="s">
        <v>1059</v>
      </c>
      <c r="J776" s="1031" t="s">
        <v>1815</v>
      </c>
      <c r="K776" s="1002">
        <f>IF(I!K776="","",$D$2*I!K776)</f>
        <v>9.4364310069999999E-3</v>
      </c>
      <c r="L776" s="981"/>
      <c r="M776" s="982"/>
      <c r="N776" s="1003"/>
      <c r="O776" s="1004">
        <f>IF(I!O776="","",$D$2*I!O776)</f>
        <v>0.04</v>
      </c>
      <c r="P776" s="1005">
        <f>IF(I!P776="","",$D$2*I!P776)</f>
        <v>3.4038842263000003E-2</v>
      </c>
      <c r="Q776" s="1006" t="str">
        <f>IF(I!Q776="","",$D$2*I!Q776)</f>
        <v/>
      </c>
      <c r="R776" s="982"/>
      <c r="S776" s="1003"/>
      <c r="T776" s="938"/>
      <c r="U776" s="1008" t="s">
        <v>1059</v>
      </c>
      <c r="V776" s="1018" t="s">
        <v>6622</v>
      </c>
      <c r="W776" s="1019">
        <f>IF(I!W776="","",$D$2*I!W776)</f>
        <v>3.7387700949999998E-2</v>
      </c>
      <c r="X776" s="990">
        <f>IF(I!X776="","",$D$2*I!X776)</f>
        <v>4.0141725320999994E-2</v>
      </c>
      <c r="Y776" s="1010">
        <f>IF(I!Y776="","",$D$2*I!Y776)</f>
        <v>0.10467157094999999</v>
      </c>
      <c r="Z776" s="938"/>
      <c r="AA776" s="938"/>
      <c r="AB776" s="938"/>
      <c r="AC776" s="938"/>
      <c r="AD776" s="1058"/>
      <c r="AE776" s="938"/>
      <c r="AF776" s="938"/>
      <c r="AG776" s="938"/>
      <c r="AH776" s="938"/>
    </row>
    <row r="777" spans="1:34" ht="17.25" customHeight="1" x14ac:dyDescent="0.35">
      <c r="A777" s="938"/>
      <c r="B777" s="938"/>
      <c r="C777" s="941"/>
      <c r="D777" s="1047"/>
      <c r="E777" s="941"/>
      <c r="F777" s="938"/>
      <c r="G777" s="976">
        <f t="shared" si="14"/>
        <v>774</v>
      </c>
      <c r="H777" s="1000"/>
      <c r="I777" s="1001" t="s">
        <v>1059</v>
      </c>
      <c r="J777" s="1031" t="s">
        <v>1816</v>
      </c>
      <c r="K777" s="1002">
        <f>IF(I!K777="","",$D$2*I!K777)</f>
        <v>9.4364310069999999E-3</v>
      </c>
      <c r="L777" s="981"/>
      <c r="M777" s="982"/>
      <c r="N777" s="1003"/>
      <c r="O777" s="1004">
        <f>IF(I!O777="","",$D$2*I!O777)</f>
        <v>0.44</v>
      </c>
      <c r="P777" s="1005">
        <f>IF(I!P777="","",$D$2*I!P777)</f>
        <v>7.8640388103579992</v>
      </c>
      <c r="Q777" s="1006" t="str">
        <f>IF(I!Q777="","",$D$2*I!Q777)</f>
        <v/>
      </c>
      <c r="R777" s="982"/>
      <c r="S777" s="1003"/>
      <c r="T777" s="938"/>
      <c r="U777" s="1008" t="s">
        <v>1059</v>
      </c>
      <c r="V777" s="1018" t="s">
        <v>6623</v>
      </c>
      <c r="W777" s="1019">
        <f>IF(I!W777="","",$D$2*I!W777)</f>
        <v>2.889638035E-2</v>
      </c>
      <c r="X777" s="990">
        <f>IF(I!X777="","",$D$2*I!X777)</f>
        <v>4.3990708646999999E-2</v>
      </c>
      <c r="Y777" s="1010">
        <f>IF(I!Y777="","",$D$2*I!Y777)</f>
        <v>0.10885460235</v>
      </c>
      <c r="Z777" s="938"/>
      <c r="AA777" s="938"/>
      <c r="AB777" s="938"/>
      <c r="AC777" s="938"/>
      <c r="AD777" s="1058"/>
      <c r="AE777" s="938"/>
      <c r="AF777" s="938"/>
      <c r="AG777" s="938"/>
      <c r="AH777" s="938"/>
    </row>
    <row r="778" spans="1:34" ht="17.25" customHeight="1" x14ac:dyDescent="0.35">
      <c r="A778" s="938"/>
      <c r="B778" s="938"/>
      <c r="C778" s="941"/>
      <c r="D778" s="1047"/>
      <c r="E778" s="941"/>
      <c r="F778" s="938"/>
      <c r="G778" s="976">
        <f t="shared" si="14"/>
        <v>775</v>
      </c>
      <c r="H778" s="1000"/>
      <c r="I778" s="1001" t="s">
        <v>1059</v>
      </c>
      <c r="J778" s="1031" t="s">
        <v>1817</v>
      </c>
      <c r="K778" s="1002">
        <f>IF(I!K778="","",$D$2*I!K778)</f>
        <v>1.7700221970000001E-3</v>
      </c>
      <c r="L778" s="981"/>
      <c r="M778" s="982"/>
      <c r="N778" s="1003"/>
      <c r="O778" s="1004">
        <f>IF(I!O778="","",$D$2*I!O778)</f>
        <v>0.01</v>
      </c>
      <c r="P778" s="1005">
        <f>IF(I!P778="","",$D$2*I!P778)</f>
        <v>5.9448408920000006E-3</v>
      </c>
      <c r="Q778" s="1006" t="str">
        <f>IF(I!Q778="","",$D$2*I!Q778)</f>
        <v/>
      </c>
      <c r="R778" s="982"/>
      <c r="S778" s="1003"/>
      <c r="T778" s="938"/>
      <c r="U778" s="1008" t="s">
        <v>1059</v>
      </c>
      <c r="V778" s="1018" t="s">
        <v>6624</v>
      </c>
      <c r="W778" s="1019">
        <f>IF(I!W778="","",$D$2*I!W778)</f>
        <v>3.2719834170000003E-2</v>
      </c>
      <c r="X778" s="990">
        <f>IF(I!X778="","",$D$2*I!X778)</f>
        <v>4.3341225454000001E-2</v>
      </c>
      <c r="Y778" s="1010">
        <f>IF(I!Y778="","",$D$2*I!Y778)</f>
        <v>0.12374662517</v>
      </c>
      <c r="Z778" s="938"/>
      <c r="AA778" s="938"/>
      <c r="AB778" s="938"/>
      <c r="AC778" s="938"/>
      <c r="AD778" s="1058"/>
      <c r="AE778" s="938"/>
      <c r="AF778" s="938"/>
      <c r="AG778" s="938"/>
      <c r="AH778" s="938"/>
    </row>
    <row r="779" spans="1:34" ht="17.25" customHeight="1" x14ac:dyDescent="0.35">
      <c r="A779" s="938"/>
      <c r="B779" s="938"/>
      <c r="C779" s="941"/>
      <c r="D779" s="1047"/>
      <c r="E779" s="941"/>
      <c r="F779" s="938"/>
      <c r="G779" s="976">
        <f t="shared" si="14"/>
        <v>776</v>
      </c>
      <c r="H779" s="1000"/>
      <c r="I779" s="1001" t="s">
        <v>1059</v>
      </c>
      <c r="J779" s="1031" t="s">
        <v>1818</v>
      </c>
      <c r="K779" s="1002">
        <f>IF(I!K779="","",$D$2*I!K779)</f>
        <v>5.1150297600000005E-3</v>
      </c>
      <c r="L779" s="981"/>
      <c r="M779" s="982"/>
      <c r="N779" s="1003"/>
      <c r="O779" s="1004">
        <f>IF(I!O779="","",$D$2*I!O779)</f>
        <v>0.02</v>
      </c>
      <c r="P779" s="1005">
        <f>IF(I!P779="","",$D$2*I!P779)</f>
        <v>1.8482532396999998E-2</v>
      </c>
      <c r="Q779" s="1006" t="str">
        <f>IF(I!Q779="","",$D$2*I!Q779)</f>
        <v/>
      </c>
      <c r="R779" s="982"/>
      <c r="S779" s="1003"/>
      <c r="T779" s="938"/>
      <c r="U779" s="1008" t="s">
        <v>1059</v>
      </c>
      <c r="V779" s="1018" t="s">
        <v>6625</v>
      </c>
      <c r="W779" s="1019">
        <f>IF(I!W779="","",$D$2*I!W779)</f>
        <v>3.1694916980000001E-2</v>
      </c>
      <c r="X779" s="990">
        <f>IF(I!X779="","",$D$2*I!X779)</f>
        <v>4.4039924402000004E-2</v>
      </c>
      <c r="Y779" s="1010">
        <f>IF(I!Y779="","",$D$2*I!Y779)</f>
        <v>0.13420975697999998</v>
      </c>
      <c r="Z779" s="938"/>
      <c r="AA779" s="938"/>
      <c r="AB779" s="938"/>
      <c r="AC779" s="938"/>
      <c r="AD779" s="1058"/>
      <c r="AE779" s="938"/>
      <c r="AF779" s="938"/>
      <c r="AG779" s="938"/>
      <c r="AH779" s="938"/>
    </row>
    <row r="780" spans="1:34" ht="17.25" customHeight="1" x14ac:dyDescent="0.35">
      <c r="A780" s="938"/>
      <c r="B780" s="938"/>
      <c r="C780" s="941"/>
      <c r="D780" s="1047"/>
      <c r="E780" s="941"/>
      <c r="F780" s="938"/>
      <c r="G780" s="976">
        <f t="shared" si="14"/>
        <v>777</v>
      </c>
      <c r="H780" s="942"/>
      <c r="I780" s="1001" t="s">
        <v>1059</v>
      </c>
      <c r="J780" s="1031" t="s">
        <v>1819</v>
      </c>
      <c r="K780" s="1002">
        <f>IF(I!K780="","",$D$2*I!K780)</f>
        <v>5.9913275E-3</v>
      </c>
      <c r="L780" s="981"/>
      <c r="M780" s="982"/>
      <c r="N780" s="1003"/>
      <c r="O780" s="1004">
        <f>IF(I!O780="","",$D$2*I!O780)</f>
        <v>0.03</v>
      </c>
      <c r="P780" s="1005">
        <f>IF(I!P780="","",$D$2*I!P780)</f>
        <v>2.1414732804000001E-2</v>
      </c>
      <c r="Q780" s="1006" t="str">
        <f>IF(I!Q780="","",$D$2*I!Q780)</f>
        <v/>
      </c>
      <c r="R780" s="982"/>
      <c r="S780" s="1003"/>
      <c r="T780" s="938"/>
      <c r="U780" s="1008" t="s">
        <v>1059</v>
      </c>
      <c r="V780" s="1018" t="s">
        <v>6626</v>
      </c>
      <c r="W780" s="1019">
        <f>IF(I!W780="","",$D$2*I!W780)</f>
        <v>6.6594202599999999E-2</v>
      </c>
      <c r="X780" s="990">
        <f>IF(I!X780="","",$D$2*I!X780)</f>
        <v>0.26935889769000004</v>
      </c>
      <c r="Y780" s="1010">
        <f>IF(I!Y780="","",$D$2*I!Y780)</f>
        <v>0.83414709260000008</v>
      </c>
      <c r="Z780" s="938"/>
      <c r="AA780" s="938"/>
      <c r="AB780" s="938"/>
      <c r="AC780" s="938"/>
      <c r="AD780" s="1058"/>
      <c r="AE780" s="938"/>
      <c r="AF780" s="938"/>
      <c r="AG780" s="938"/>
      <c r="AH780" s="938"/>
    </row>
    <row r="781" spans="1:34" ht="17.25" customHeight="1" x14ac:dyDescent="0.35">
      <c r="A781" s="938"/>
      <c r="B781" s="938"/>
      <c r="C781" s="941"/>
      <c r="D781" s="1047"/>
      <c r="E781" s="941"/>
      <c r="F781" s="938"/>
      <c r="G781" s="976">
        <f t="shared" si="14"/>
        <v>778</v>
      </c>
      <c r="H781" s="942"/>
      <c r="I781" s="1001" t="s">
        <v>1059</v>
      </c>
      <c r="J781" s="1031" t="s">
        <v>1820</v>
      </c>
      <c r="K781" s="1002">
        <f>IF(I!K781="","",$D$2*I!K781)</f>
        <v>5.9913275E-3</v>
      </c>
      <c r="L781" s="981"/>
      <c r="M781" s="982"/>
      <c r="N781" s="1003"/>
      <c r="O781" s="1004">
        <f>IF(I!O781="","",$D$2*I!O781)</f>
        <v>0.43</v>
      </c>
      <c r="P781" s="1005">
        <f>IF(I!P781="","",$D$2*I!P781)</f>
        <v>1.2064147720610001</v>
      </c>
      <c r="Q781" s="1006" t="str">
        <f>IF(I!Q781="","",$D$2*I!Q781)</f>
        <v/>
      </c>
      <c r="R781" s="982"/>
      <c r="S781" s="1003"/>
      <c r="T781" s="938"/>
      <c r="U781" s="1008" t="s">
        <v>1059</v>
      </c>
      <c r="V781" s="1018" t="s">
        <v>6627</v>
      </c>
      <c r="W781" s="1019">
        <f>IF(I!W781="","",$D$2*I!W781)</f>
        <v>0.10010973070000001</v>
      </c>
      <c r="X781" s="990">
        <f>IF(I!X781="","",$D$2*I!X781)</f>
        <v>0.24398336198999998</v>
      </c>
      <c r="Y781" s="1010">
        <f>IF(I!Y781="","",$D$2*I!Y781)</f>
        <v>0.71672473069999998</v>
      </c>
      <c r="Z781" s="938"/>
      <c r="AA781" s="938"/>
      <c r="AB781" s="938"/>
      <c r="AC781" s="938"/>
      <c r="AD781" s="1058"/>
      <c r="AE781" s="938"/>
      <c r="AF781" s="938"/>
      <c r="AG781" s="938"/>
      <c r="AH781" s="938"/>
    </row>
    <row r="782" spans="1:34" ht="17.25" customHeight="1" x14ac:dyDescent="0.35">
      <c r="A782" s="938"/>
      <c r="B782" s="938"/>
      <c r="C782" s="941"/>
      <c r="D782" s="1047"/>
      <c r="E782" s="941"/>
      <c r="F782" s="938"/>
      <c r="G782" s="976">
        <f t="shared" si="14"/>
        <v>779</v>
      </c>
      <c r="H782" s="942"/>
      <c r="I782" s="1001" t="s">
        <v>1059</v>
      </c>
      <c r="J782" s="1031" t="s">
        <v>1821</v>
      </c>
      <c r="K782" s="1002">
        <f>IF(I!K782="","",$D$2*I!K782)</f>
        <v>3.7447226419999998E-3</v>
      </c>
      <c r="L782" s="981"/>
      <c r="M782" s="982"/>
      <c r="N782" s="1003"/>
      <c r="O782" s="1004">
        <f>IF(I!O782="","",$D$2*I!O782)</f>
        <v>0.02</v>
      </c>
      <c r="P782" s="1005">
        <f>IF(I!P782="","",$D$2*I!P782)</f>
        <v>1.3202007906999999E-2</v>
      </c>
      <c r="Q782" s="1006" t="str">
        <f>IF(I!Q782="","",$D$2*I!Q782)</f>
        <v/>
      </c>
      <c r="R782" s="982"/>
      <c r="S782" s="1003"/>
      <c r="T782" s="938"/>
      <c r="U782" s="1008" t="s">
        <v>1059</v>
      </c>
      <c r="V782" s="1018" t="s">
        <v>6628</v>
      </c>
      <c r="W782" s="1019">
        <f>IF(I!W782="","",$D$2*I!W782)</f>
        <v>9.2065197399999993E-2</v>
      </c>
      <c r="X782" s="990">
        <f>IF(I!X782="","",$D$2*I!X782)</f>
        <v>0.23083176871</v>
      </c>
      <c r="Y782" s="1010">
        <f>IF(I!Y782="","",$D$2*I!Y782)</f>
        <v>0.44130423740000002</v>
      </c>
      <c r="Z782" s="938"/>
      <c r="AA782" s="938"/>
      <c r="AB782" s="938"/>
      <c r="AC782" s="938"/>
      <c r="AD782" s="1058"/>
      <c r="AE782" s="938"/>
      <c r="AF782" s="938"/>
      <c r="AG782" s="938"/>
      <c r="AH782" s="938"/>
    </row>
    <row r="783" spans="1:34" ht="17.25" customHeight="1" x14ac:dyDescent="0.35">
      <c r="A783" s="938"/>
      <c r="B783" s="938"/>
      <c r="C783" s="941"/>
      <c r="D783" s="1047"/>
      <c r="E783" s="941"/>
      <c r="F783" s="938"/>
      <c r="G783" s="976">
        <f t="shared" si="14"/>
        <v>780</v>
      </c>
      <c r="H783" s="942"/>
      <c r="I783" s="1001" t="s">
        <v>1059</v>
      </c>
      <c r="J783" s="1031" t="s">
        <v>1822</v>
      </c>
      <c r="K783" s="1002">
        <f>IF(I!K783="","",$D$2*I!K783)</f>
        <v>3.7447226419999998E-3</v>
      </c>
      <c r="L783" s="981"/>
      <c r="M783" s="982"/>
      <c r="N783" s="1003"/>
      <c r="O783" s="1004">
        <f>IF(I!O783="","",$D$2*I!O783)</f>
        <v>0.42</v>
      </c>
      <c r="P783" s="1005">
        <f>IF(I!P783="","",$D$2*I!P783)</f>
        <v>5.1732020392519997</v>
      </c>
      <c r="Q783" s="1006" t="str">
        <f>IF(I!Q783="","",$D$2*I!Q783)</f>
        <v/>
      </c>
      <c r="R783" s="982"/>
      <c r="S783" s="1003"/>
      <c r="T783" s="938"/>
      <c r="U783" s="1008" t="s">
        <v>1059</v>
      </c>
      <c r="V783" s="1018" t="s">
        <v>6629</v>
      </c>
      <c r="W783" s="1019">
        <f>IF(I!W783="","",$D$2*I!W783)</f>
        <v>0.113320907</v>
      </c>
      <c r="X783" s="990">
        <f>IF(I!X783="","",$D$2*I!X783)</f>
        <v>0.44329555566000001</v>
      </c>
      <c r="Y783" s="1010">
        <f>IF(I!Y783="","",$D$2*I!Y783)</f>
        <v>0.25630543699999997</v>
      </c>
      <c r="Z783" s="938"/>
      <c r="AA783" s="938"/>
      <c r="AB783" s="938"/>
      <c r="AC783" s="938"/>
      <c r="AD783" s="1058"/>
      <c r="AE783" s="938"/>
      <c r="AF783" s="938"/>
      <c r="AG783" s="938"/>
      <c r="AH783" s="938"/>
    </row>
    <row r="784" spans="1:34" ht="17.25" customHeight="1" x14ac:dyDescent="0.35">
      <c r="A784" s="938"/>
      <c r="B784" s="938"/>
      <c r="C784" s="941"/>
      <c r="D784" s="1047"/>
      <c r="E784" s="941"/>
      <c r="F784" s="938"/>
      <c r="G784" s="976">
        <f t="shared" si="14"/>
        <v>781</v>
      </c>
      <c r="H784" s="942"/>
      <c r="I784" s="1001" t="s">
        <v>1059</v>
      </c>
      <c r="J784" s="1031" t="s">
        <v>1823</v>
      </c>
      <c r="K784" s="1002">
        <f>IF(I!K784="","",$D$2*I!K784)</f>
        <v>4.3017321549999998E-3</v>
      </c>
      <c r="L784" s="981"/>
      <c r="M784" s="982"/>
      <c r="N784" s="1003"/>
      <c r="O784" s="1004">
        <f>IF(I!O784="","",$D$2*I!O784)</f>
        <v>0.02</v>
      </c>
      <c r="P784" s="1005">
        <f>IF(I!P784="","",$D$2*I!P784)</f>
        <v>1.5238221226E-2</v>
      </c>
      <c r="Q784" s="1006" t="str">
        <f>IF(I!Q784="","",$D$2*I!Q784)</f>
        <v/>
      </c>
      <c r="R784" s="982"/>
      <c r="S784" s="1003"/>
      <c r="T784" s="938"/>
      <c r="U784" s="1008" t="s">
        <v>1059</v>
      </c>
      <c r="V784" s="1018" t="s">
        <v>6630</v>
      </c>
      <c r="W784" s="1019">
        <f>IF(I!W784="","",$D$2*I!W784)</f>
        <v>0.32159292629999997</v>
      </c>
      <c r="X784" s="990">
        <f>IF(I!X784="","",$D$2*I!X784)</f>
        <v>0.31878107014000001</v>
      </c>
      <c r="Y784" s="1010">
        <f>IF(I!Y784="","",$D$2*I!Y784)</f>
        <v>0.50984318629999992</v>
      </c>
      <c r="Z784" s="938"/>
      <c r="AA784" s="938"/>
      <c r="AB784" s="938"/>
      <c r="AC784" s="938"/>
      <c r="AD784" s="1058"/>
      <c r="AE784" s="938"/>
      <c r="AF784" s="938"/>
      <c r="AG784" s="938"/>
      <c r="AH784" s="938"/>
    </row>
    <row r="785" spans="1:34" ht="17.25" customHeight="1" x14ac:dyDescent="0.35">
      <c r="A785" s="938"/>
      <c r="B785" s="938"/>
      <c r="C785" s="941"/>
      <c r="D785" s="1047"/>
      <c r="E785" s="941"/>
      <c r="F785" s="938"/>
      <c r="G785" s="976">
        <f t="shared" si="14"/>
        <v>782</v>
      </c>
      <c r="H785" s="942"/>
      <c r="I785" s="1001" t="s">
        <v>1059</v>
      </c>
      <c r="J785" s="1031" t="s">
        <v>1824</v>
      </c>
      <c r="K785" s="1002">
        <f>IF(I!K785="","",$D$2*I!K785)</f>
        <v>4.3017321549999998E-3</v>
      </c>
      <c r="L785" s="981"/>
      <c r="M785" s="982"/>
      <c r="N785" s="1003"/>
      <c r="O785" s="1004">
        <f>IF(I!O785="","",$D$2*I!O785)</f>
        <v>0.42</v>
      </c>
      <c r="P785" s="1005">
        <f>IF(I!P785="","",$D$2*I!P785)</f>
        <v>0.50123822097899995</v>
      </c>
      <c r="Q785" s="1006" t="str">
        <f>IF(I!Q785="","",$D$2*I!Q785)</f>
        <v/>
      </c>
      <c r="R785" s="982"/>
      <c r="S785" s="1003"/>
      <c r="T785" s="938"/>
      <c r="U785" s="1008" t="s">
        <v>1059</v>
      </c>
      <c r="V785" s="1018" t="s">
        <v>6631</v>
      </c>
      <c r="W785" s="1019">
        <f>IF(I!W785="","",$D$2*I!W785)</f>
        <v>0.20163789500000001</v>
      </c>
      <c r="X785" s="990">
        <f>IF(I!X785="","",$D$2*I!X785)</f>
        <v>0.45087542041000001</v>
      </c>
      <c r="Y785" s="1010">
        <f>IF(I!Y785="","",$D$2*I!Y785)</f>
        <v>0.409512975</v>
      </c>
      <c r="Z785" s="938"/>
      <c r="AA785" s="938"/>
      <c r="AB785" s="938"/>
      <c r="AC785" s="938"/>
      <c r="AD785" s="1058"/>
      <c r="AE785" s="938"/>
      <c r="AF785" s="938"/>
      <c r="AG785" s="938"/>
      <c r="AH785" s="938"/>
    </row>
    <row r="786" spans="1:34" ht="17.25" customHeight="1" x14ac:dyDescent="0.35">
      <c r="A786" s="938"/>
      <c r="B786" s="938"/>
      <c r="C786" s="941"/>
      <c r="D786" s="1047"/>
      <c r="E786" s="941"/>
      <c r="F786" s="938"/>
      <c r="G786" s="976">
        <f t="shared" si="14"/>
        <v>783</v>
      </c>
      <c r="H786" s="942"/>
      <c r="I786" s="1001" t="s">
        <v>1059</v>
      </c>
      <c r="J786" s="1031" t="s">
        <v>1825</v>
      </c>
      <c r="K786" s="1002">
        <f>IF(I!K786="","",$D$2*I!K786)</f>
        <v>2.6734183690000001E-3</v>
      </c>
      <c r="L786" s="981"/>
      <c r="M786" s="982"/>
      <c r="N786" s="1003"/>
      <c r="O786" s="1004">
        <f>IF(I!O786="","",$D$2*I!O786)</f>
        <v>0.01</v>
      </c>
      <c r="P786" s="1005">
        <f>IF(I!P786="","",$D$2*I!P786)</f>
        <v>9.3309327390000002E-3</v>
      </c>
      <c r="Q786" s="1006" t="str">
        <f>IF(I!Q786="","",$D$2*I!Q786)</f>
        <v/>
      </c>
      <c r="R786" s="982"/>
      <c r="S786" s="1003"/>
      <c r="T786" s="938"/>
      <c r="U786" s="1008" t="s">
        <v>1059</v>
      </c>
      <c r="V786" s="1018" t="s">
        <v>6632</v>
      </c>
      <c r="W786" s="1019">
        <f>IF(I!W786="","",$D$2*I!W786)</f>
        <v>0.1035836826</v>
      </c>
      <c r="X786" s="990">
        <f>IF(I!X786="","",$D$2*I!X786)</f>
        <v>0.37928184094</v>
      </c>
      <c r="Y786" s="1010">
        <f>IF(I!Y786="","",$D$2*I!Y786)</f>
        <v>0.23318754259999999</v>
      </c>
      <c r="Z786" s="938"/>
      <c r="AA786" s="938"/>
      <c r="AB786" s="938"/>
      <c r="AC786" s="938"/>
      <c r="AD786" s="1058"/>
      <c r="AE786" s="938"/>
      <c r="AF786" s="938"/>
      <c r="AG786" s="938"/>
      <c r="AH786" s="938"/>
    </row>
    <row r="787" spans="1:34" ht="17.25" customHeight="1" x14ac:dyDescent="0.35">
      <c r="A787" s="938"/>
      <c r="B787" s="938"/>
      <c r="C787" s="941"/>
      <c r="D787" s="1047"/>
      <c r="E787" s="941"/>
      <c r="F787" s="938"/>
      <c r="G787" s="976">
        <f t="shared" si="14"/>
        <v>784</v>
      </c>
      <c r="H787" s="942"/>
      <c r="I787" s="1001" t="s">
        <v>1059</v>
      </c>
      <c r="J787" s="1031" t="s">
        <v>1826</v>
      </c>
      <c r="K787" s="1002">
        <f>IF(I!K787="","",$D$2*I!K787)</f>
        <v>2.6734183690000001E-3</v>
      </c>
      <c r="L787" s="981"/>
      <c r="M787" s="982"/>
      <c r="N787" s="1003"/>
      <c r="O787" s="1004">
        <f>IF(I!O787="","",$D$2*I!O787)</f>
        <v>0.01</v>
      </c>
      <c r="P787" s="1005">
        <f>IF(I!P787="","",$D$2*I!P787)</f>
        <v>9.3309327390000002E-3</v>
      </c>
      <c r="Q787" s="1006" t="str">
        <f>IF(I!Q787="","",$D$2*I!Q787)</f>
        <v/>
      </c>
      <c r="R787" s="982"/>
      <c r="S787" s="1003"/>
      <c r="T787" s="938"/>
      <c r="U787" s="1008" t="s">
        <v>1059</v>
      </c>
      <c r="V787" s="1018" t="s">
        <v>6633</v>
      </c>
      <c r="W787" s="1019">
        <f>IF(I!W787="","",$D$2*I!W787)</f>
        <v>0.28312891550000002</v>
      </c>
      <c r="X787" s="990">
        <f>IF(I!X787="","",$D$2*I!X787)</f>
        <v>0.27247333314</v>
      </c>
      <c r="Y787" s="1010">
        <f>IF(I!Y787="","",$D$2*I!Y787)</f>
        <v>0.45210517550000001</v>
      </c>
      <c r="Z787" s="938"/>
      <c r="AA787" s="938"/>
      <c r="AB787" s="938"/>
      <c r="AC787" s="938"/>
      <c r="AD787" s="1058"/>
      <c r="AE787" s="938"/>
      <c r="AF787" s="938"/>
      <c r="AG787" s="938"/>
      <c r="AH787" s="938"/>
    </row>
    <row r="788" spans="1:34" ht="17.25" customHeight="1" x14ac:dyDescent="0.35">
      <c r="A788" s="938"/>
      <c r="B788" s="938"/>
      <c r="C788" s="941"/>
      <c r="D788" s="1047"/>
      <c r="E788" s="941"/>
      <c r="F788" s="938"/>
      <c r="G788" s="976">
        <f t="shared" si="14"/>
        <v>785</v>
      </c>
      <c r="H788" s="942"/>
      <c r="I788" s="1001" t="s">
        <v>1059</v>
      </c>
      <c r="J788" s="1031" t="s">
        <v>1827</v>
      </c>
      <c r="K788" s="1002">
        <f>IF(I!K788="","",$D$2*I!K788)</f>
        <v>4.8958755839999995E-3</v>
      </c>
      <c r="L788" s="981"/>
      <c r="M788" s="982"/>
      <c r="N788" s="1003"/>
      <c r="O788" s="1004">
        <f>IF(I!O788="","",$D$2*I!O788)</f>
        <v>0.02</v>
      </c>
      <c r="P788" s="1005">
        <f>IF(I!P788="","",$D$2*I!P788)</f>
        <v>1.7410181773999996E-2</v>
      </c>
      <c r="Q788" s="1006" t="str">
        <f>IF(I!Q788="","",$D$2*I!Q788)</f>
        <v/>
      </c>
      <c r="R788" s="982"/>
      <c r="S788" s="1003"/>
      <c r="T788" s="938"/>
      <c r="U788" s="1008" t="s">
        <v>1059</v>
      </c>
      <c r="V788" s="1018" t="s">
        <v>6634</v>
      </c>
      <c r="W788" s="1019">
        <f>IF(I!W788="","",$D$2*I!W788)</f>
        <v>0.17909735870000001</v>
      </c>
      <c r="X788" s="990">
        <f>IF(I!X788="","",$D$2*I!X788)</f>
        <v>0.38574275277999998</v>
      </c>
      <c r="Y788" s="1010">
        <f>IF(I!Y788="","",$D$2*I!Y788)</f>
        <v>0.36420749870000002</v>
      </c>
      <c r="Z788" s="938"/>
      <c r="AA788" s="938"/>
      <c r="AB788" s="938"/>
      <c r="AC788" s="938"/>
      <c r="AD788" s="1058"/>
      <c r="AE788" s="938"/>
      <c r="AF788" s="938"/>
      <c r="AG788" s="938"/>
      <c r="AH788" s="938"/>
    </row>
    <row r="789" spans="1:34" ht="17.25" customHeight="1" x14ac:dyDescent="0.35">
      <c r="A789" s="938"/>
      <c r="B789" s="938"/>
      <c r="C789" s="941"/>
      <c r="D789" s="1047"/>
      <c r="E789" s="941"/>
      <c r="F789" s="938"/>
      <c r="G789" s="976">
        <f t="shared" si="14"/>
        <v>786</v>
      </c>
      <c r="H789" s="942"/>
      <c r="I789" s="1001" t="s">
        <v>1059</v>
      </c>
      <c r="J789" s="1031" t="s">
        <v>1828</v>
      </c>
      <c r="K789" s="1002">
        <f>IF(I!K789="","",$D$2*I!K789)</f>
        <v>4.8958755839999995E-3</v>
      </c>
      <c r="L789" s="981"/>
      <c r="M789" s="982"/>
      <c r="N789" s="1003"/>
      <c r="O789" s="1004">
        <f>IF(I!O789="","",$D$2*I!O789)</f>
        <v>0.42</v>
      </c>
      <c r="P789" s="1005">
        <f>IF(I!P789="","",$D$2*I!P789)</f>
        <v>5.6049101584950005</v>
      </c>
      <c r="Q789" s="1006" t="str">
        <f>IF(I!Q789="","",$D$2*I!Q789)</f>
        <v/>
      </c>
      <c r="R789" s="982"/>
      <c r="S789" s="1003"/>
      <c r="T789" s="938"/>
      <c r="U789" s="1008" t="s">
        <v>1059</v>
      </c>
      <c r="V789" s="1018" t="s">
        <v>6635</v>
      </c>
      <c r="W789" s="1019">
        <f>IF(I!W789="","",$D$2*I!W789)</f>
        <v>0.1330814958</v>
      </c>
      <c r="X789" s="990">
        <f>IF(I!X789="","",$D$2*I!X789)</f>
        <v>0.27418944806000001</v>
      </c>
      <c r="Y789" s="1010">
        <f>IF(I!Y789="","",$D$2*I!Y789)</f>
        <v>0.95053999580000004</v>
      </c>
      <c r="Z789" s="938"/>
      <c r="AA789" s="938"/>
      <c r="AB789" s="938"/>
      <c r="AC789" s="938"/>
      <c r="AD789" s="1058"/>
      <c r="AE789" s="938"/>
      <c r="AF789" s="938"/>
      <c r="AG789" s="938"/>
      <c r="AH789" s="938"/>
    </row>
    <row r="790" spans="1:34" ht="17.25" customHeight="1" x14ac:dyDescent="0.35">
      <c r="A790" s="938"/>
      <c r="B790" s="938"/>
      <c r="C790" s="941"/>
      <c r="D790" s="1047"/>
      <c r="E790" s="941"/>
      <c r="F790" s="938"/>
      <c r="G790" s="976">
        <f t="shared" si="14"/>
        <v>787</v>
      </c>
      <c r="H790" s="942"/>
      <c r="I790" s="1001" t="s">
        <v>1059</v>
      </c>
      <c r="J790" s="1031" t="s">
        <v>1829</v>
      </c>
      <c r="K790" s="1002">
        <f>IF(I!K790="","",$D$2*I!K790)</f>
        <v>4.1531963100000001E-3</v>
      </c>
      <c r="L790" s="981"/>
      <c r="M790" s="982"/>
      <c r="N790" s="1003"/>
      <c r="O790" s="1004">
        <f>IF(I!O790="","",$D$2*I!O790)</f>
        <v>0.02</v>
      </c>
      <c r="P790" s="1005">
        <f>IF(I!P790="","",$D$2*I!P790)</f>
        <v>1.4695231346999999E-2</v>
      </c>
      <c r="Q790" s="1006" t="str">
        <f>IF(I!Q790="","",$D$2*I!Q790)</f>
        <v/>
      </c>
      <c r="R790" s="982"/>
      <c r="S790" s="1003"/>
      <c r="T790" s="938"/>
      <c r="U790" s="1008" t="s">
        <v>1059</v>
      </c>
      <c r="V790" s="1018" t="s">
        <v>6636</v>
      </c>
      <c r="W790" s="1019">
        <f>IF(I!W790="","",$D$2*I!W790)</f>
        <v>0.15692442550000002</v>
      </c>
      <c r="X790" s="990">
        <f>IF(I!X790="","",$D$2*I!X790)</f>
        <v>0.24811775068</v>
      </c>
      <c r="Y790" s="1010">
        <f>IF(I!Y790="","",$D$2*I!Y790)</f>
        <v>0.80725037550000001</v>
      </c>
      <c r="Z790" s="938"/>
      <c r="AA790" s="938"/>
      <c r="AB790" s="938"/>
      <c r="AC790" s="938"/>
      <c r="AD790" s="1058"/>
      <c r="AE790" s="938"/>
      <c r="AF790" s="938"/>
      <c r="AG790" s="938"/>
      <c r="AH790" s="938"/>
    </row>
    <row r="791" spans="1:34" ht="17.25" customHeight="1" x14ac:dyDescent="0.35">
      <c r="A791" s="938"/>
      <c r="B791" s="938"/>
      <c r="C791" s="941"/>
      <c r="D791" s="1047"/>
      <c r="E791" s="941"/>
      <c r="F791" s="938"/>
      <c r="G791" s="976">
        <f t="shared" si="14"/>
        <v>788</v>
      </c>
      <c r="H791" s="942"/>
      <c r="I791" s="1001" t="s">
        <v>1059</v>
      </c>
      <c r="J791" s="1031" t="s">
        <v>1830</v>
      </c>
      <c r="K791" s="1002">
        <f>IF(I!K791="","",$D$2*I!K791)</f>
        <v>4.1531963100000001E-3</v>
      </c>
      <c r="L791" s="981"/>
      <c r="M791" s="982"/>
      <c r="N791" s="1003"/>
      <c r="O791" s="1004">
        <f>IF(I!O791="","",$D$2*I!O791)</f>
        <v>0.42</v>
      </c>
      <c r="P791" s="1005">
        <f>IF(I!P791="","",$D$2*I!P791)</f>
        <v>3.8246952368580001</v>
      </c>
      <c r="Q791" s="1006" t="str">
        <f>IF(I!Q791="","",$D$2*I!Q791)</f>
        <v/>
      </c>
      <c r="R791" s="982"/>
      <c r="S791" s="1003"/>
      <c r="T791" s="938"/>
      <c r="U791" s="1008" t="s">
        <v>1059</v>
      </c>
      <c r="V791" s="1018" t="s">
        <v>6637</v>
      </c>
      <c r="W791" s="1019">
        <f>IF(I!W791="","",$D$2*I!W791)</f>
        <v>0.16013324640000001</v>
      </c>
      <c r="X791" s="990">
        <f>IF(I!X791="","",$D$2*I!X791)</f>
        <v>0.26548373189999996</v>
      </c>
      <c r="Y791" s="1010">
        <f>IF(I!Y791="","",$D$2*I!Y791)</f>
        <v>0.56274830640000006</v>
      </c>
      <c r="Z791" s="938"/>
      <c r="AA791" s="938"/>
      <c r="AB791" s="938"/>
      <c r="AC791" s="938"/>
      <c r="AD791" s="1058"/>
      <c r="AE791" s="938"/>
      <c r="AF791" s="938"/>
      <c r="AG791" s="938"/>
      <c r="AH791" s="938"/>
    </row>
    <row r="792" spans="1:34" ht="17.25" customHeight="1" x14ac:dyDescent="0.35">
      <c r="A792" s="938"/>
      <c r="B792" s="938"/>
      <c r="C792" s="941"/>
      <c r="D792" s="1047"/>
      <c r="E792" s="941"/>
      <c r="F792" s="938"/>
      <c r="G792" s="976">
        <f t="shared" si="14"/>
        <v>789</v>
      </c>
      <c r="H792" s="942"/>
      <c r="I792" s="1001" t="s">
        <v>1059</v>
      </c>
      <c r="J792" s="1031" t="s">
        <v>1831</v>
      </c>
      <c r="K792" s="1002">
        <f>IF(I!K792="","",$D$2*I!K792)</f>
        <v>2.6734183690000001E-3</v>
      </c>
      <c r="L792" s="981"/>
      <c r="M792" s="982"/>
      <c r="N792" s="1003"/>
      <c r="O792" s="1004">
        <f>IF(I!O792="","",$D$2*I!O792)</f>
        <v>0.01</v>
      </c>
      <c r="P792" s="1005">
        <f>IF(I!P792="","",$D$2*I!P792)</f>
        <v>9.3309327390000002E-3</v>
      </c>
      <c r="Q792" s="1006" t="str">
        <f>IF(I!Q792="","",$D$2*I!Q792)</f>
        <v/>
      </c>
      <c r="R792" s="982"/>
      <c r="S792" s="1003"/>
      <c r="T792" s="938"/>
      <c r="U792" s="1008" t="s">
        <v>1059</v>
      </c>
      <c r="V792" s="1018" t="s">
        <v>6638</v>
      </c>
      <c r="W792" s="1019">
        <f>IF(I!W792="","",$D$2*I!W792)</f>
        <v>0.20796121249999999</v>
      </c>
      <c r="X792" s="990">
        <f>IF(I!X792="","",$D$2*I!X792)</f>
        <v>0.26637908440000002</v>
      </c>
      <c r="Y792" s="1010">
        <f>IF(I!Y792="","",$D$2*I!Y792)</f>
        <v>0.76601824249999995</v>
      </c>
      <c r="Z792" s="938"/>
      <c r="AA792" s="938"/>
      <c r="AB792" s="938"/>
      <c r="AC792" s="938"/>
      <c r="AD792" s="1058"/>
      <c r="AE792" s="938"/>
      <c r="AF792" s="938"/>
      <c r="AG792" s="938"/>
      <c r="AH792" s="938"/>
    </row>
    <row r="793" spans="1:34" ht="17.25" customHeight="1" x14ac:dyDescent="0.35">
      <c r="A793" s="938"/>
      <c r="B793" s="938"/>
      <c r="C793" s="941"/>
      <c r="D793" s="1047"/>
      <c r="E793" s="941"/>
      <c r="F793" s="938"/>
      <c r="G793" s="976">
        <f t="shared" si="14"/>
        <v>790</v>
      </c>
      <c r="H793" s="942"/>
      <c r="I793" s="1001" t="s">
        <v>1059</v>
      </c>
      <c r="J793" s="1031" t="s">
        <v>1832</v>
      </c>
      <c r="K793" s="1002">
        <f>IF(I!K793="","",$D$2*I!K793)</f>
        <v>2.6734183690000001E-3</v>
      </c>
      <c r="L793" s="981"/>
      <c r="M793" s="982"/>
      <c r="N793" s="1003"/>
      <c r="O793" s="1004">
        <f>IF(I!O793="","",$D$2*I!O793)</f>
        <v>0.01</v>
      </c>
      <c r="P793" s="1005">
        <f>IF(I!P793="","",$D$2*I!P793)</f>
        <v>9.3309327390000002E-3</v>
      </c>
      <c r="Q793" s="1006" t="str">
        <f>IF(I!Q793="","",$D$2*I!Q793)</f>
        <v/>
      </c>
      <c r="R793" s="982"/>
      <c r="S793" s="1003"/>
      <c r="T793" s="938"/>
      <c r="U793" s="1008" t="s">
        <v>1059</v>
      </c>
      <c r="V793" s="1018" t="s">
        <v>6639</v>
      </c>
      <c r="W793" s="1019">
        <f>IF(I!W793="","",$D$2*I!W793)</f>
        <v>0.1617536437</v>
      </c>
      <c r="X793" s="990">
        <f>IF(I!X793="","",$D$2*I!X793)</f>
        <v>0.27733475741000002</v>
      </c>
      <c r="Y793" s="1010">
        <f>IF(I!Y793="","",$D$2*I!Y793)</f>
        <v>0.50598162369999999</v>
      </c>
      <c r="Z793" s="938"/>
      <c r="AA793" s="938"/>
      <c r="AB793" s="938"/>
      <c r="AC793" s="938"/>
      <c r="AD793" s="1058"/>
      <c r="AE793" s="938"/>
      <c r="AF793" s="938"/>
      <c r="AG793" s="938"/>
      <c r="AH793" s="938"/>
    </row>
    <row r="794" spans="1:34" ht="17.25" customHeight="1" x14ac:dyDescent="0.35">
      <c r="A794" s="938"/>
      <c r="B794" s="938"/>
      <c r="C794" s="941"/>
      <c r="D794" s="1047"/>
      <c r="E794" s="941"/>
      <c r="F794" s="938"/>
      <c r="G794" s="976">
        <f t="shared" si="14"/>
        <v>791</v>
      </c>
      <c r="H794" s="942"/>
      <c r="I794" s="1001" t="s">
        <v>1059</v>
      </c>
      <c r="J794" s="1031" t="s">
        <v>1833</v>
      </c>
      <c r="K794" s="1002">
        <f>IF(I!K794="","",$D$2*I!K794)</f>
        <v>2.6734183690000001E-3</v>
      </c>
      <c r="L794" s="981"/>
      <c r="M794" s="982"/>
      <c r="N794" s="1003"/>
      <c r="O794" s="1004">
        <f>IF(I!O794="","",$D$2*I!O794)</f>
        <v>0.01</v>
      </c>
      <c r="P794" s="1005">
        <f>IF(I!P794="","",$D$2*I!P794)</f>
        <v>9.3309327390000002E-3</v>
      </c>
      <c r="Q794" s="1006" t="str">
        <f>IF(I!Q794="","",$D$2*I!Q794)</f>
        <v/>
      </c>
      <c r="R794" s="982"/>
      <c r="S794" s="1003"/>
      <c r="T794" s="938"/>
      <c r="U794" s="1008" t="s">
        <v>1059</v>
      </c>
      <c r="V794" s="1018" t="s">
        <v>6640</v>
      </c>
      <c r="W794" s="1019">
        <f>IF(I!W794="","",$D$2*I!W794)</f>
        <v>0.20777347459999998</v>
      </c>
      <c r="X794" s="990">
        <f>IF(I!X794="","",$D$2*I!X794)</f>
        <v>0.23619929094</v>
      </c>
      <c r="Y794" s="1010">
        <f>IF(I!Y794="","",$D$2*I!Y794)</f>
        <v>0.56744561459999998</v>
      </c>
      <c r="Z794" s="938"/>
      <c r="AA794" s="938"/>
      <c r="AB794" s="938"/>
      <c r="AC794" s="938"/>
      <c r="AD794" s="1058"/>
      <c r="AE794" s="938"/>
      <c r="AF794" s="938"/>
      <c r="AG794" s="938"/>
      <c r="AH794" s="938"/>
    </row>
    <row r="795" spans="1:34" ht="17.25" customHeight="1" x14ac:dyDescent="0.35">
      <c r="A795" s="938"/>
      <c r="B795" s="938"/>
      <c r="C795" s="941"/>
      <c r="D795" s="1047"/>
      <c r="E795" s="941"/>
      <c r="F795" s="938"/>
      <c r="G795" s="976">
        <f t="shared" si="14"/>
        <v>792</v>
      </c>
      <c r="H795" s="942"/>
      <c r="I795" s="1001" t="s">
        <v>1059</v>
      </c>
      <c r="J795" s="1031" t="s">
        <v>1834</v>
      </c>
      <c r="K795" s="1002">
        <f>IF(I!K795="","",$D$2*I!K795)</f>
        <v>6.3441001729999998E-3</v>
      </c>
      <c r="L795" s="981"/>
      <c r="M795" s="982"/>
      <c r="N795" s="1003"/>
      <c r="O795" s="1004">
        <f>IF(I!O795="","",$D$2*I!O795)</f>
        <v>0.03</v>
      </c>
      <c r="P795" s="1005">
        <f>IF(I!P795="","",$D$2*I!P795)</f>
        <v>2.2704334407999998E-2</v>
      </c>
      <c r="Q795" s="1006" t="str">
        <f>IF(I!Q795="","",$D$2*I!Q795)</f>
        <v/>
      </c>
      <c r="R795" s="982"/>
      <c r="S795" s="1003"/>
      <c r="T795" s="938"/>
      <c r="U795" s="1008" t="s">
        <v>1059</v>
      </c>
      <c r="V795" s="1018" t="s">
        <v>6641</v>
      </c>
      <c r="W795" s="1019">
        <f>IF(I!W795="","",$D$2*I!W795)</f>
        <v>0.1602109454</v>
      </c>
      <c r="X795" s="990">
        <f>IF(I!X795="","",$D$2*I!X795)</f>
        <v>0.25896624738000001</v>
      </c>
      <c r="Y795" s="1010">
        <f>IF(I!Y795="","",$D$2*I!Y795)</f>
        <v>0.5949470254</v>
      </c>
      <c r="Z795" s="938"/>
      <c r="AA795" s="938"/>
      <c r="AB795" s="938"/>
      <c r="AC795" s="938"/>
      <c r="AD795" s="1058"/>
      <c r="AE795" s="938"/>
      <c r="AF795" s="938"/>
      <c r="AG795" s="938"/>
      <c r="AH795" s="938"/>
    </row>
    <row r="796" spans="1:34" ht="17.25" customHeight="1" x14ac:dyDescent="0.35">
      <c r="A796" s="938"/>
      <c r="B796" s="938"/>
      <c r="C796" s="941"/>
      <c r="D796" s="1047"/>
      <c r="E796" s="941"/>
      <c r="F796" s="938"/>
      <c r="G796" s="976">
        <f t="shared" si="14"/>
        <v>793</v>
      </c>
      <c r="H796" s="942"/>
      <c r="I796" s="1001" t="s">
        <v>1059</v>
      </c>
      <c r="J796" s="1031" t="s">
        <v>1835</v>
      </c>
      <c r="K796" s="1002">
        <f>IF(I!K796="","",$D$2*I!K796)</f>
        <v>5.6492336389999996E-3</v>
      </c>
      <c r="L796" s="981"/>
      <c r="M796" s="982"/>
      <c r="N796" s="1003"/>
      <c r="O796" s="1004">
        <f>IF(I!O796="","",$D$2*I!O796)</f>
        <v>0.02</v>
      </c>
      <c r="P796" s="1005">
        <f>IF(I!P796="","",$D$2*I!P796)</f>
        <v>2.0175468563999998E-2</v>
      </c>
      <c r="Q796" s="1006" t="str">
        <f>IF(I!Q796="","",$D$2*I!Q796)</f>
        <v/>
      </c>
      <c r="R796" s="982"/>
      <c r="S796" s="1003"/>
      <c r="T796" s="938"/>
      <c r="U796" s="1008" t="s">
        <v>1059</v>
      </c>
      <c r="V796" s="1018" t="s">
        <v>6642</v>
      </c>
      <c r="W796" s="1019">
        <f>IF(I!W796="","",$D$2*I!W796)</f>
        <v>0.17754340839999999</v>
      </c>
      <c r="X796" s="990">
        <f>IF(I!X796="","",$D$2*I!X796)</f>
        <v>0.25593536451999999</v>
      </c>
      <c r="Y796" s="1010">
        <f>IF(I!Y796="","",$D$2*I!Y796)</f>
        <v>0.67707660839999995</v>
      </c>
      <c r="Z796" s="938"/>
      <c r="AA796" s="938"/>
      <c r="AB796" s="938"/>
      <c r="AC796" s="938"/>
      <c r="AD796" s="1058"/>
      <c r="AE796" s="938"/>
      <c r="AF796" s="938"/>
      <c r="AG796" s="938"/>
      <c r="AH796" s="938"/>
    </row>
    <row r="797" spans="1:34" ht="17.25" customHeight="1" x14ac:dyDescent="0.35">
      <c r="A797" s="938"/>
      <c r="B797" s="938"/>
      <c r="C797" s="941"/>
      <c r="D797" s="1047"/>
      <c r="E797" s="941"/>
      <c r="F797" s="938"/>
      <c r="G797" s="976">
        <f t="shared" si="14"/>
        <v>794</v>
      </c>
      <c r="H797" s="942"/>
      <c r="I797" s="1001" t="s">
        <v>1059</v>
      </c>
      <c r="J797" s="1031" t="s">
        <v>1836</v>
      </c>
      <c r="K797" s="1002">
        <f>IF(I!K797="","",$D$2*I!K797)</f>
        <v>5.6492336389999996E-3</v>
      </c>
      <c r="L797" s="981"/>
      <c r="M797" s="982"/>
      <c r="N797" s="1003"/>
      <c r="O797" s="1004">
        <f>IF(I!O797="","",$D$2*I!O797)</f>
        <v>0.42</v>
      </c>
      <c r="P797" s="1005">
        <f>IF(I!P797="","",$D$2*I!P797)</f>
        <v>6.8826754720070005</v>
      </c>
      <c r="Q797" s="1006" t="str">
        <f>IF(I!Q797="","",$D$2*I!Q797)</f>
        <v/>
      </c>
      <c r="R797" s="982"/>
      <c r="S797" s="1003"/>
      <c r="T797" s="938"/>
      <c r="U797" s="1008" t="s">
        <v>1059</v>
      </c>
      <c r="V797" s="1018" t="s">
        <v>6643</v>
      </c>
      <c r="W797" s="1019">
        <f>IF(I!W797="","",$D$2*I!W797)</f>
        <v>0.17380455569999997</v>
      </c>
      <c r="X797" s="990">
        <f>IF(I!X797="","",$D$2*I!X797)</f>
        <v>0.25795947457000001</v>
      </c>
      <c r="Y797" s="1010">
        <f>IF(I!Y797="","",$D$2*I!Y797)</f>
        <v>0.74326210569999995</v>
      </c>
      <c r="Z797" s="938"/>
      <c r="AA797" s="938"/>
      <c r="AB797" s="938"/>
      <c r="AC797" s="938"/>
      <c r="AD797" s="1058"/>
      <c r="AE797" s="938"/>
      <c r="AF797" s="938"/>
      <c r="AG797" s="938"/>
      <c r="AH797" s="938"/>
    </row>
    <row r="798" spans="1:34" ht="17.25" customHeight="1" x14ac:dyDescent="0.35">
      <c r="A798" s="938"/>
      <c r="B798" s="938"/>
      <c r="C798" s="941"/>
      <c r="D798" s="1047"/>
      <c r="E798" s="941"/>
      <c r="F798" s="938"/>
      <c r="G798" s="976">
        <f t="shared" si="14"/>
        <v>795</v>
      </c>
      <c r="H798" s="942"/>
      <c r="I798" s="1001" t="s">
        <v>1059</v>
      </c>
      <c r="J798" s="1031" t="s">
        <v>1837</v>
      </c>
      <c r="K798" s="1002">
        <f>IF(I!K798="","",$D$2*I!K798)</f>
        <v>1.452612713E-3</v>
      </c>
      <c r="L798" s="981"/>
      <c r="M798" s="982"/>
      <c r="N798" s="1003"/>
      <c r="O798" s="1004">
        <f>IF(I!O798="","",$D$2*I!O798)</f>
        <v>0.01</v>
      </c>
      <c r="P798" s="1005">
        <f>IF(I!P798="","",$D$2*I!P798)</f>
        <v>4.7551329059999994E-3</v>
      </c>
      <c r="Q798" s="1006" t="str">
        <f>IF(I!Q798="","",$D$2*I!Q798)</f>
        <v/>
      </c>
      <c r="R798" s="982"/>
      <c r="S798" s="1003"/>
      <c r="T798" s="938"/>
      <c r="U798" s="1008" t="s">
        <v>1059</v>
      </c>
      <c r="V798" s="1018" t="s">
        <v>6644</v>
      </c>
      <c r="W798" s="1019">
        <f>IF(I!W798="","",$D$2*I!W798)</f>
        <v>3.3039507590000003E-2</v>
      </c>
      <c r="X798" s="990">
        <f>IF(I!X798="","",$D$2*I!X798)</f>
        <v>1.4868817211E-2</v>
      </c>
      <c r="Y798" s="1010">
        <f>IF(I!Y798="","",$D$2*I!Y798)</f>
        <v>5.627418159E-2</v>
      </c>
      <c r="Z798" s="938"/>
      <c r="AA798" s="938"/>
      <c r="AB798" s="938"/>
      <c r="AC798" s="938"/>
      <c r="AD798" s="1058"/>
      <c r="AE798" s="938"/>
      <c r="AF798" s="938"/>
      <c r="AG798" s="938"/>
      <c r="AH798" s="938"/>
    </row>
    <row r="799" spans="1:34" ht="17.25" customHeight="1" x14ac:dyDescent="0.35">
      <c r="A799" s="938"/>
      <c r="B799" s="938"/>
      <c r="C799" s="941"/>
      <c r="D799" s="1047"/>
      <c r="E799" s="941"/>
      <c r="F799" s="938"/>
      <c r="G799" s="976">
        <f t="shared" si="14"/>
        <v>796</v>
      </c>
      <c r="H799" s="942" t="s">
        <v>1838</v>
      </c>
      <c r="I799" s="1060"/>
      <c r="J799" s="1027"/>
      <c r="K799" s="1002" t="str">
        <f>IF(I!K799="","",$D$2*I!K799)</f>
        <v/>
      </c>
      <c r="L799" s="981"/>
      <c r="M799" s="982"/>
      <c r="N799" s="1003"/>
      <c r="O799" s="1004" t="str">
        <f>IF(I!O799="","",$D$2*I!O799)</f>
        <v/>
      </c>
      <c r="P799" s="1005" t="str">
        <f>IF(I!P799="","",$D$2*I!P799)</f>
        <v/>
      </c>
      <c r="Q799" s="1006" t="str">
        <f>IF(I!Q799="","",$D$2*I!Q799)</f>
        <v/>
      </c>
      <c r="R799" s="982"/>
      <c r="S799" s="1003"/>
      <c r="T799" s="938"/>
      <c r="U799" s="1008" t="s">
        <v>1059</v>
      </c>
      <c r="V799" s="1018" t="s">
        <v>6645</v>
      </c>
      <c r="W799" s="1019">
        <f>IF(I!W799="","",$D$2*I!W799)</f>
        <v>2.2119831900000001E-2</v>
      </c>
      <c r="X799" s="990">
        <f>IF(I!X799="","",$D$2*I!X799)</f>
        <v>1.6077477215999999E-2</v>
      </c>
      <c r="Y799" s="1010">
        <f>IF(I!Y799="","",$D$2*I!Y799)</f>
        <v>4.3033319900000006E-2</v>
      </c>
      <c r="Z799" s="938"/>
      <c r="AA799" s="938"/>
      <c r="AB799" s="938"/>
      <c r="AC799" s="938"/>
      <c r="AD799" s="1058"/>
      <c r="AE799" s="938"/>
      <c r="AF799" s="938"/>
      <c r="AG799" s="938"/>
      <c r="AH799" s="938"/>
    </row>
    <row r="800" spans="1:34" ht="17.25" customHeight="1" x14ac:dyDescent="0.35">
      <c r="A800" s="938"/>
      <c r="B800" s="938"/>
      <c r="C800" s="941"/>
      <c r="D800" s="1047"/>
      <c r="E800" s="941"/>
      <c r="F800" s="938"/>
      <c r="G800" s="976">
        <f t="shared" si="14"/>
        <v>797</v>
      </c>
      <c r="H800" s="942"/>
      <c r="I800" s="1001" t="s">
        <v>1059</v>
      </c>
      <c r="J800" s="1031" t="s">
        <v>1839</v>
      </c>
      <c r="K800" s="1002">
        <f>IF(I!K800="","",$D$2*I!K800)</f>
        <v>3.503351867E-3</v>
      </c>
      <c r="L800" s="981"/>
      <c r="M800" s="982"/>
      <c r="N800" s="1003"/>
      <c r="O800" s="1004">
        <f>IF(I!O800="","",$D$2*I!O800)</f>
        <v>0.02</v>
      </c>
      <c r="P800" s="1005">
        <f>IF(I!P800="","",$D$2*I!P800)</f>
        <v>1.2319649965E-2</v>
      </c>
      <c r="Q800" s="1006" t="str">
        <f>IF(I!Q800="","",$D$2*I!Q800)</f>
        <v/>
      </c>
      <c r="R800" s="982"/>
      <c r="S800" s="1003"/>
      <c r="T800" s="938"/>
      <c r="U800" s="1008" t="s">
        <v>1059</v>
      </c>
      <c r="V800" s="1018" t="s">
        <v>6646</v>
      </c>
      <c r="W800" s="1019">
        <f>IF(I!W800="","",$D$2*I!W800)</f>
        <v>2.10805601E-2</v>
      </c>
      <c r="X800" s="990">
        <f>IF(I!X800="","",$D$2*I!X800)</f>
        <v>1.2956320455000003E-2</v>
      </c>
      <c r="Y800" s="1010">
        <f>IF(I!Y800="","",$D$2*I!Y800)</f>
        <v>4.2483551100000003E-2</v>
      </c>
      <c r="Z800" s="938"/>
      <c r="AA800" s="938"/>
      <c r="AB800" s="938"/>
      <c r="AC800" s="938"/>
      <c r="AD800" s="1058"/>
      <c r="AE800" s="938"/>
      <c r="AF800" s="938"/>
      <c r="AG800" s="938"/>
      <c r="AH800" s="938"/>
    </row>
    <row r="801" spans="1:34" ht="17.25" customHeight="1" x14ac:dyDescent="0.35">
      <c r="A801" s="938"/>
      <c r="B801" s="938"/>
      <c r="C801" s="941"/>
      <c r="D801" s="1047"/>
      <c r="E801" s="941"/>
      <c r="F801" s="938"/>
      <c r="G801" s="976">
        <f t="shared" si="14"/>
        <v>798</v>
      </c>
      <c r="H801" s="942"/>
      <c r="I801" s="1001" t="s">
        <v>1059</v>
      </c>
      <c r="J801" s="1031" t="s">
        <v>1840</v>
      </c>
      <c r="K801" s="1002">
        <f>IF(I!K801="","",$D$2*I!K801)</f>
        <v>3.503351867E-3</v>
      </c>
      <c r="L801" s="981"/>
      <c r="M801" s="982"/>
      <c r="N801" s="1003"/>
      <c r="O801" s="1004">
        <f>IF(I!O801="","",$D$2*I!O801)</f>
        <v>0.42</v>
      </c>
      <c r="P801" s="1005">
        <f>IF(I!P801="","",$D$2*I!P801)</f>
        <v>2.2923196556660002</v>
      </c>
      <c r="Q801" s="1006" t="str">
        <f>IF(I!Q801="","",$D$2*I!Q801)</f>
        <v/>
      </c>
      <c r="R801" s="982"/>
      <c r="S801" s="1003"/>
      <c r="T801" s="938"/>
      <c r="U801" s="1008" t="s">
        <v>1059</v>
      </c>
      <c r="V801" s="1018" t="s">
        <v>6647</v>
      </c>
      <c r="W801" s="1019">
        <f>IF(I!W801="","",$D$2*I!W801)</f>
        <v>1.768861876E-2</v>
      </c>
      <c r="X801" s="990">
        <f>IF(I!X801="","",$D$2*I!X801)</f>
        <v>1.3474810538000001E-2</v>
      </c>
      <c r="Y801" s="1010">
        <f>IF(I!Y801="","",$D$2*I!Y801)</f>
        <v>3.7358728760000001E-2</v>
      </c>
      <c r="Z801" s="938"/>
      <c r="AA801" s="938"/>
      <c r="AB801" s="938"/>
      <c r="AC801" s="938"/>
      <c r="AD801" s="1058"/>
      <c r="AE801" s="938"/>
      <c r="AF801" s="938"/>
      <c r="AG801" s="938"/>
      <c r="AH801" s="938"/>
    </row>
    <row r="802" spans="1:34" ht="17.25" customHeight="1" x14ac:dyDescent="0.35">
      <c r="A802" s="938"/>
      <c r="B802" s="938"/>
      <c r="C802" s="941"/>
      <c r="D802" s="1047"/>
      <c r="E802" s="941"/>
      <c r="F802" s="938"/>
      <c r="G802" s="976">
        <f t="shared" si="14"/>
        <v>799</v>
      </c>
      <c r="H802" s="942"/>
      <c r="I802" s="1001" t="s">
        <v>1059</v>
      </c>
      <c r="J802" s="1031" t="s">
        <v>1841</v>
      </c>
      <c r="K802" s="1002">
        <f>IF(I!K802="","",$D$2*I!K802)</f>
        <v>5.2857821420000005E-3</v>
      </c>
      <c r="L802" s="981"/>
      <c r="M802" s="982"/>
      <c r="N802" s="1003"/>
      <c r="O802" s="1004">
        <f>IF(I!O802="","",$D$2*I!O802)</f>
        <v>0.02</v>
      </c>
      <c r="P802" s="1005">
        <f>IF(I!P802="","",$D$2*I!P802)</f>
        <v>1.8835530595E-2</v>
      </c>
      <c r="Q802" s="1006" t="str">
        <f>IF(I!Q802="","",$D$2*I!Q802)</f>
        <v/>
      </c>
      <c r="R802" s="982"/>
      <c r="S802" s="1003"/>
      <c r="T802" s="938"/>
      <c r="U802" s="1008" t="s">
        <v>1059</v>
      </c>
      <c r="V802" s="1018" t="s">
        <v>6648</v>
      </c>
      <c r="W802" s="1019">
        <f>IF(I!W802="","",$D$2*I!W802)</f>
        <v>2.2771950239999998E-2</v>
      </c>
      <c r="X802" s="990">
        <f>IF(I!X802="","",$D$2*I!X802)</f>
        <v>1.9322294197000003E-2</v>
      </c>
      <c r="Y802" s="1010">
        <f>IF(I!Y802="","",$D$2*I!Y802)</f>
        <v>4.5581175239999994E-2</v>
      </c>
      <c r="Z802" s="938"/>
      <c r="AA802" s="938"/>
      <c r="AB802" s="938"/>
      <c r="AC802" s="938"/>
      <c r="AD802" s="1058"/>
      <c r="AE802" s="938"/>
      <c r="AF802" s="938"/>
      <c r="AG802" s="938"/>
      <c r="AH802" s="938"/>
    </row>
    <row r="803" spans="1:34" ht="17.25" customHeight="1" x14ac:dyDescent="0.35">
      <c r="A803" s="938"/>
      <c r="B803" s="938"/>
      <c r="C803" s="941"/>
      <c r="D803" s="1047"/>
      <c r="E803" s="941"/>
      <c r="F803" s="938"/>
      <c r="G803" s="976">
        <f t="shared" si="14"/>
        <v>800</v>
      </c>
      <c r="H803" s="1000"/>
      <c r="I803" s="1001" t="s">
        <v>1059</v>
      </c>
      <c r="J803" s="1031" t="s">
        <v>1842</v>
      </c>
      <c r="K803" s="1002">
        <f>IF(I!K803="","",$D$2*I!K803)</f>
        <v>5.2857821420000005E-3</v>
      </c>
      <c r="L803" s="981"/>
      <c r="M803" s="982"/>
      <c r="N803" s="1003"/>
      <c r="O803" s="1004">
        <f>IF(I!O803="","",$D$2*I!O803)</f>
        <v>0.42</v>
      </c>
      <c r="P803" s="1005">
        <f>IF(I!P803="","",$D$2*I!P803)</f>
        <v>4.8938354872020007</v>
      </c>
      <c r="Q803" s="1006" t="str">
        <f>IF(I!Q803="","",$D$2*I!Q803)</f>
        <v/>
      </c>
      <c r="R803" s="982"/>
      <c r="S803" s="1003"/>
      <c r="T803" s="938"/>
      <c r="U803" s="1008" t="s">
        <v>1059</v>
      </c>
      <c r="V803" s="1018" t="s">
        <v>6649</v>
      </c>
      <c r="W803" s="1019">
        <f>IF(I!W803="","",$D$2*I!W803)</f>
        <v>8.5625170930000008E-2</v>
      </c>
      <c r="X803" s="990">
        <f>IF(I!X803="","",$D$2*I!X803)</f>
        <v>1.9215878097000001E-2</v>
      </c>
      <c r="Y803" s="1010">
        <f>IF(I!Y803="","",$D$2*I!Y803)</f>
        <v>0.11148535793</v>
      </c>
      <c r="Z803" s="938"/>
      <c r="AA803" s="938"/>
      <c r="AB803" s="938"/>
      <c r="AC803" s="938"/>
      <c r="AD803" s="1058"/>
      <c r="AE803" s="938"/>
      <c r="AF803" s="938"/>
      <c r="AG803" s="938"/>
      <c r="AH803" s="938"/>
    </row>
    <row r="804" spans="1:34" ht="17.25" customHeight="1" x14ac:dyDescent="0.35">
      <c r="A804" s="938"/>
      <c r="B804" s="938"/>
      <c r="C804" s="941"/>
      <c r="D804" s="1047"/>
      <c r="E804" s="941"/>
      <c r="F804" s="938"/>
      <c r="G804" s="976">
        <f t="shared" si="14"/>
        <v>801</v>
      </c>
      <c r="H804" s="1000"/>
      <c r="I804" s="1001" t="s">
        <v>1059</v>
      </c>
      <c r="J804" s="1031" t="s">
        <v>1843</v>
      </c>
      <c r="K804" s="1002">
        <f>IF(I!K804="","",$D$2*I!K804)</f>
        <v>4.0789283480000002E-3</v>
      </c>
      <c r="L804" s="981"/>
      <c r="M804" s="982"/>
      <c r="N804" s="1003"/>
      <c r="O804" s="1004">
        <f>IF(I!O804="","",$D$2*I!O804)</f>
        <v>0.02</v>
      </c>
      <c r="P804" s="1005">
        <f>IF(I!P804="","",$D$2*I!P804)</f>
        <v>1.4423735901999999E-2</v>
      </c>
      <c r="Q804" s="1006" t="str">
        <f>IF(I!Q804="","",$D$2*I!Q804)</f>
        <v/>
      </c>
      <c r="R804" s="982"/>
      <c r="S804" s="1003"/>
      <c r="T804" s="938"/>
      <c r="U804" s="1008" t="s">
        <v>1059</v>
      </c>
      <c r="V804" s="1018" t="s">
        <v>6650</v>
      </c>
      <c r="W804" s="1019">
        <f>IF(I!W804="","",$D$2*I!W804)</f>
        <v>1.997782369E-2</v>
      </c>
      <c r="X804" s="990">
        <f>IF(I!X804="","",$D$2*I!X804)</f>
        <v>1.6296686070999999E-2</v>
      </c>
      <c r="Y804" s="1010">
        <f>IF(I!Y804="","",$D$2*I!Y804)</f>
        <v>4.140385269E-2</v>
      </c>
      <c r="Z804" s="938"/>
      <c r="AA804" s="938"/>
      <c r="AB804" s="938"/>
      <c r="AC804" s="938"/>
      <c r="AD804" s="1058"/>
      <c r="AE804" s="938"/>
      <c r="AF804" s="938"/>
      <c r="AG804" s="938"/>
      <c r="AH804" s="938"/>
    </row>
    <row r="805" spans="1:34" ht="17.25" customHeight="1" x14ac:dyDescent="0.35">
      <c r="A805" s="938"/>
      <c r="B805" s="938"/>
      <c r="C805" s="941"/>
      <c r="D805" s="1047"/>
      <c r="E805" s="941"/>
      <c r="F805" s="938"/>
      <c r="G805" s="976">
        <f t="shared" si="14"/>
        <v>802</v>
      </c>
      <c r="H805" s="1000"/>
      <c r="I805" s="1001" t="s">
        <v>1059</v>
      </c>
      <c r="J805" s="1031" t="s">
        <v>1844</v>
      </c>
      <c r="K805" s="1002">
        <f>IF(I!K805="","",$D$2*I!K805)</f>
        <v>4.0789283480000002E-3</v>
      </c>
      <c r="L805" s="981"/>
      <c r="M805" s="982"/>
      <c r="N805" s="1003"/>
      <c r="O805" s="1004">
        <f>IF(I!O805="","",$D$2*I!O805)</f>
        <v>0.42</v>
      </c>
      <c r="P805" s="1005">
        <f>IF(I!P805="","",$D$2*I!P805)</f>
        <v>6.1944237642919999</v>
      </c>
      <c r="Q805" s="1006" t="str">
        <f>IF(I!Q805="","",$D$2*I!Q805)</f>
        <v/>
      </c>
      <c r="R805" s="982"/>
      <c r="S805" s="1003"/>
      <c r="T805" s="938"/>
      <c r="U805" s="1008" t="s">
        <v>1059</v>
      </c>
      <c r="V805" s="1018" t="s">
        <v>6651</v>
      </c>
      <c r="W805" s="1019">
        <f>IF(I!W805="","",$D$2*I!W805)</f>
        <v>3.4924837309999991E-2</v>
      </c>
      <c r="X805" s="990">
        <f>IF(I!X805="","",$D$2*I!X805)</f>
        <v>1.2618298231999999E-2</v>
      </c>
      <c r="Y805" s="1010">
        <f>IF(I!Y805="","",$D$2*I!Y805)</f>
        <v>5.3262021309999991E-2</v>
      </c>
      <c r="Z805" s="938"/>
      <c r="AA805" s="938"/>
      <c r="AB805" s="938"/>
      <c r="AC805" s="938"/>
      <c r="AD805" s="1058"/>
      <c r="AE805" s="938"/>
      <c r="AF805" s="938"/>
      <c r="AG805" s="938"/>
      <c r="AH805" s="938"/>
    </row>
    <row r="806" spans="1:34" ht="17.25" customHeight="1" x14ac:dyDescent="0.35">
      <c r="A806" s="938"/>
      <c r="B806" s="938"/>
      <c r="C806" s="941"/>
      <c r="D806" s="1047"/>
      <c r="E806" s="941"/>
      <c r="F806" s="938"/>
      <c r="G806" s="976">
        <f t="shared" si="14"/>
        <v>803</v>
      </c>
      <c r="H806" s="1000"/>
      <c r="I806" s="1001" t="s">
        <v>1059</v>
      </c>
      <c r="J806" s="1031" t="s">
        <v>1845</v>
      </c>
      <c r="K806" s="1002">
        <f>IF(I!K806="","",$D$2*I!K806)</f>
        <v>5.5416416120000001E-3</v>
      </c>
      <c r="L806" s="981"/>
      <c r="M806" s="982"/>
      <c r="N806" s="1003"/>
      <c r="O806" s="1004">
        <f>IF(I!O806="","",$D$2*I!O806)</f>
        <v>0.02</v>
      </c>
      <c r="P806" s="1005">
        <f>IF(I!P806="","",$D$2*I!P806)</f>
        <v>1.9797974457E-2</v>
      </c>
      <c r="Q806" s="1006" t="str">
        <f>IF(I!Q806="","",$D$2*I!Q806)</f>
        <v/>
      </c>
      <c r="R806" s="982"/>
      <c r="S806" s="1003"/>
      <c r="T806" s="938"/>
      <c r="U806" s="1008" t="s">
        <v>1059</v>
      </c>
      <c r="V806" s="1018" t="s">
        <v>6652</v>
      </c>
      <c r="W806" s="1019">
        <f>IF(I!W806="","",$D$2*I!W806)</f>
        <v>1.9023318929999998E-2</v>
      </c>
      <c r="X806" s="990">
        <f>IF(I!X806="","",$D$2*I!X806)</f>
        <v>1.3423885921000002E-2</v>
      </c>
      <c r="Y806" s="1010">
        <f>IF(I!Y806="","",$D$2*I!Y806)</f>
        <v>3.6619791929999999E-2</v>
      </c>
      <c r="Z806" s="938"/>
      <c r="AA806" s="938"/>
      <c r="AB806" s="938"/>
      <c r="AC806" s="938"/>
      <c r="AD806" s="1058"/>
      <c r="AE806" s="938"/>
      <c r="AF806" s="938"/>
      <c r="AG806" s="938"/>
      <c r="AH806" s="938"/>
    </row>
    <row r="807" spans="1:34" ht="17.25" customHeight="1" x14ac:dyDescent="0.35">
      <c r="A807" s="938"/>
      <c r="B807" s="938"/>
      <c r="C807" s="941"/>
      <c r="D807" s="1047"/>
      <c r="E807" s="941"/>
      <c r="F807" s="938"/>
      <c r="G807" s="976">
        <f t="shared" si="14"/>
        <v>804</v>
      </c>
      <c r="H807" s="1000"/>
      <c r="I807" s="1001" t="s">
        <v>1059</v>
      </c>
      <c r="J807" s="1031" t="s">
        <v>1846</v>
      </c>
      <c r="K807" s="1002">
        <f>IF(I!K807="","",$D$2*I!K807)</f>
        <v>5.5416416120000001E-3</v>
      </c>
      <c r="L807" s="981"/>
      <c r="M807" s="982"/>
      <c r="N807" s="1003"/>
      <c r="O807" s="1004">
        <f>IF(I!O807="","",$D$2*I!O807)</f>
        <v>0.42</v>
      </c>
      <c r="P807" s="1005">
        <f>IF(I!P807="","",$D$2*I!P807)</f>
        <v>5.9597979733650002</v>
      </c>
      <c r="Q807" s="1006" t="str">
        <f>IF(I!Q807="","",$D$2*I!Q807)</f>
        <v/>
      </c>
      <c r="R807" s="982"/>
      <c r="S807" s="1003"/>
      <c r="T807" s="938"/>
      <c r="U807" s="1008" t="s">
        <v>1059</v>
      </c>
      <c r="V807" s="1018" t="s">
        <v>6653</v>
      </c>
      <c r="W807" s="1019">
        <f>IF(I!W807="","",$D$2*I!W807)</f>
        <v>2.0997620947000001E-2</v>
      </c>
      <c r="X807" s="990">
        <f>IF(I!X807="","",$D$2*I!X807)</f>
        <v>1.4394600782999999E-2</v>
      </c>
      <c r="Y807" s="1010">
        <f>IF(I!Y807="","",$D$2*I!Y807)</f>
        <v>6.5185874947000011E-2</v>
      </c>
      <c r="Z807" s="938"/>
      <c r="AA807" s="938"/>
      <c r="AB807" s="938"/>
      <c r="AC807" s="938"/>
      <c r="AD807" s="1058"/>
      <c r="AE807" s="938"/>
      <c r="AF807" s="938"/>
      <c r="AG807" s="938"/>
      <c r="AH807" s="938"/>
    </row>
    <row r="808" spans="1:34" ht="17.25" customHeight="1" x14ac:dyDescent="0.35">
      <c r="A808" s="938"/>
      <c r="B808" s="938"/>
      <c r="C808" s="941"/>
      <c r="D808" s="1047"/>
      <c r="E808" s="941"/>
      <c r="F808" s="938"/>
      <c r="G808" s="976">
        <f t="shared" si="14"/>
        <v>805</v>
      </c>
      <c r="H808" s="1000"/>
      <c r="I808" s="1001" t="s">
        <v>1059</v>
      </c>
      <c r="J808" s="1031" t="s">
        <v>1847</v>
      </c>
      <c r="K808" s="1002">
        <f>IF(I!K808="","",$D$2*I!K808)</f>
        <v>8.3844290809999989E-3</v>
      </c>
      <c r="L808" s="981"/>
      <c r="M808" s="982"/>
      <c r="N808" s="1003"/>
      <c r="O808" s="1004">
        <f>IF(I!O808="","",$D$2*I!O808)</f>
        <v>0.04</v>
      </c>
      <c r="P808" s="1005">
        <f>IF(I!P808="","",$D$2*I!P808)</f>
        <v>3.0176553744999998E-2</v>
      </c>
      <c r="Q808" s="1006" t="str">
        <f>IF(I!Q808="","",$D$2*I!Q808)</f>
        <v/>
      </c>
      <c r="R808" s="982"/>
      <c r="S808" s="1003"/>
      <c r="T808" s="938"/>
      <c r="U808" s="1008" t="s">
        <v>1059</v>
      </c>
      <c r="V808" s="1018" t="s">
        <v>6654</v>
      </c>
      <c r="W808" s="1019">
        <f>IF(I!W808="","",$D$2*I!W808)</f>
        <v>2.4867012399999999E-2</v>
      </c>
      <c r="X808" s="990">
        <f>IF(I!X808="","",$D$2*I!X808)</f>
        <v>1.6403493335999997E-2</v>
      </c>
      <c r="Y808" s="1010">
        <f>IF(I!Y808="","",$D$2*I!Y808)</f>
        <v>4.5401085399999999E-2</v>
      </c>
      <c r="Z808" s="938"/>
      <c r="AA808" s="938"/>
      <c r="AB808" s="938"/>
      <c r="AC808" s="938"/>
      <c r="AD808" s="1058"/>
      <c r="AE808" s="938"/>
      <c r="AF808" s="938"/>
      <c r="AG808" s="938"/>
      <c r="AH808" s="938"/>
    </row>
    <row r="809" spans="1:34" ht="17.25" customHeight="1" x14ac:dyDescent="0.35">
      <c r="A809" s="938"/>
      <c r="B809" s="938"/>
      <c r="C809" s="941"/>
      <c r="D809" s="1047"/>
      <c r="E809" s="941"/>
      <c r="F809" s="938"/>
      <c r="G809" s="976">
        <f t="shared" si="14"/>
        <v>806</v>
      </c>
      <c r="H809" s="1000"/>
      <c r="I809" s="1001" t="s">
        <v>1059</v>
      </c>
      <c r="J809" s="1031" t="s">
        <v>1848</v>
      </c>
      <c r="K809" s="1002">
        <f>IF(I!K809="","",$D$2*I!K809)</f>
        <v>2.0297216690000003E-3</v>
      </c>
      <c r="L809" s="981"/>
      <c r="M809" s="982"/>
      <c r="N809" s="1003"/>
      <c r="O809" s="1004">
        <f>IF(I!O809="","",$D$2*I!O809)</f>
        <v>0.01</v>
      </c>
      <c r="P809" s="1005">
        <f>IF(I!P809="","",$D$2*I!P809)</f>
        <v>1.1179602420799999E-2</v>
      </c>
      <c r="Q809" s="1006" t="str">
        <f>IF(I!Q809="","",$D$2*I!Q809)</f>
        <v/>
      </c>
      <c r="R809" s="982"/>
      <c r="S809" s="1003"/>
      <c r="T809" s="938"/>
      <c r="U809" s="1008" t="s">
        <v>1059</v>
      </c>
      <c r="V809" s="1018" t="s">
        <v>6655</v>
      </c>
      <c r="W809" s="1019">
        <f>IF(I!W809="","",$D$2*I!W809)</f>
        <v>3.3595180959999998E-2</v>
      </c>
      <c r="X809" s="990">
        <f>IF(I!X809="","",$D$2*I!X809)</f>
        <v>2.1712637156000025E-2</v>
      </c>
      <c r="Y809" s="1010">
        <f>IF(I!Y809="","",$D$2*I!Y809)</f>
        <v>6.9330231959999988E-2</v>
      </c>
      <c r="Z809" s="938"/>
      <c r="AA809" s="938"/>
      <c r="AB809" s="938"/>
      <c r="AC809" s="938"/>
      <c r="AD809" s="1058"/>
      <c r="AE809" s="938"/>
      <c r="AF809" s="938"/>
      <c r="AG809" s="938"/>
      <c r="AH809" s="938"/>
    </row>
    <row r="810" spans="1:34" ht="17.25" customHeight="1" x14ac:dyDescent="0.35">
      <c r="A810" s="938"/>
      <c r="B810" s="938"/>
      <c r="C810" s="941"/>
      <c r="D810" s="1047"/>
      <c r="E810" s="941"/>
      <c r="F810" s="938"/>
      <c r="G810" s="976">
        <f t="shared" si="14"/>
        <v>807</v>
      </c>
      <c r="H810" s="942"/>
      <c r="I810" s="1001" t="s">
        <v>1059</v>
      </c>
      <c r="J810" s="1031" t="s">
        <v>1849</v>
      </c>
      <c r="K810" s="1002">
        <f>IF(I!K810="","",$D$2*I!K810)</f>
        <v>2.0297216690000003E-3</v>
      </c>
      <c r="L810" s="981"/>
      <c r="M810" s="982"/>
      <c r="N810" s="1003"/>
      <c r="O810" s="1004">
        <f>IF(I!O810="","",$D$2*I!O810)</f>
        <v>0.41</v>
      </c>
      <c r="P810" s="1005">
        <f>IF(I!P810="","",$D$2*I!P810)</f>
        <v>2.3811795886638003</v>
      </c>
      <c r="Q810" s="1006" t="str">
        <f>IF(I!Q810="","",$D$2*I!Q810)</f>
        <v/>
      </c>
      <c r="R810" s="982"/>
      <c r="S810" s="1003"/>
      <c r="T810" s="938"/>
      <c r="U810" s="1008" t="s">
        <v>1059</v>
      </c>
      <c r="V810" s="1018" t="s">
        <v>6656</v>
      </c>
      <c r="W810" s="1019">
        <f>IF(I!W810="","",$D$2*I!W810)</f>
        <v>1.4960036154999998E-2</v>
      </c>
      <c r="X810" s="990">
        <f>IF(I!X810="","",$D$2*I!X810)</f>
        <v>1.1496261105000002E-2</v>
      </c>
      <c r="Y810" s="1010">
        <f>IF(I!Y810="","",$D$2*I!Y810)</f>
        <v>3.1380741155000003E-2</v>
      </c>
      <c r="Z810" s="938"/>
      <c r="AA810" s="938"/>
      <c r="AB810" s="938"/>
      <c r="AC810" s="938"/>
      <c r="AD810" s="1058"/>
      <c r="AE810" s="938"/>
      <c r="AF810" s="938"/>
      <c r="AG810" s="938"/>
      <c r="AH810" s="938"/>
    </row>
    <row r="811" spans="1:34" ht="17.25" customHeight="1" x14ac:dyDescent="0.35">
      <c r="A811" s="938"/>
      <c r="B811" s="938"/>
      <c r="C811" s="941"/>
      <c r="D811" s="1047"/>
      <c r="E811" s="941"/>
      <c r="F811" s="938"/>
      <c r="G811" s="976">
        <f t="shared" si="14"/>
        <v>808</v>
      </c>
      <c r="H811" s="1000"/>
      <c r="I811" s="1001" t="s">
        <v>1059</v>
      </c>
      <c r="J811" s="1031" t="s">
        <v>1850</v>
      </c>
      <c r="K811" s="1002">
        <f>IF(I!K811="","",$D$2*I!K811)</f>
        <v>2.6734183690000001E-3</v>
      </c>
      <c r="L811" s="981"/>
      <c r="M811" s="982"/>
      <c r="N811" s="1003"/>
      <c r="O811" s="1004">
        <f>IF(I!O811="","",$D$2*I!O811)</f>
        <v>0.01</v>
      </c>
      <c r="P811" s="1005">
        <f>IF(I!P811="","",$D$2*I!P811)</f>
        <v>9.3309327390000002E-3</v>
      </c>
      <c r="Q811" s="1006" t="str">
        <f>IF(I!Q811="","",$D$2*I!Q811)</f>
        <v/>
      </c>
      <c r="R811" s="982"/>
      <c r="S811" s="1003"/>
      <c r="T811" s="938"/>
      <c r="U811" s="1008" t="s">
        <v>1059</v>
      </c>
      <c r="V811" s="1018" t="s">
        <v>6657</v>
      </c>
      <c r="W811" s="1019">
        <f>IF(I!W811="","",$D$2*I!W811)</f>
        <v>2.3972366241999998E-2</v>
      </c>
      <c r="X811" s="990">
        <f>IF(I!X811="","",$D$2*I!X811)</f>
        <v>1.4866182443E-2</v>
      </c>
      <c r="Y811" s="1010">
        <f>IF(I!Y811="","",$D$2*I!Y811)</f>
        <v>4.2880923241999998E-2</v>
      </c>
      <c r="Z811" s="938"/>
      <c r="AA811" s="938"/>
      <c r="AB811" s="938"/>
      <c r="AC811" s="938"/>
      <c r="AD811" s="1058"/>
      <c r="AE811" s="938"/>
      <c r="AF811" s="938"/>
      <c r="AG811" s="938"/>
      <c r="AH811" s="938"/>
    </row>
    <row r="812" spans="1:34" ht="17.25" customHeight="1" x14ac:dyDescent="0.35">
      <c r="A812" s="938"/>
      <c r="B812" s="938"/>
      <c r="C812" s="941"/>
      <c r="D812" s="1047"/>
      <c r="E812" s="941"/>
      <c r="F812" s="938"/>
      <c r="G812" s="976">
        <f t="shared" si="14"/>
        <v>809</v>
      </c>
      <c r="H812" s="1000"/>
      <c r="I812" s="1001" t="s">
        <v>1059</v>
      </c>
      <c r="J812" s="1031" t="s">
        <v>1851</v>
      </c>
      <c r="K812" s="1002">
        <f>IF(I!K812="","",$D$2*I!K812)</f>
        <v>3.076311331E-3</v>
      </c>
      <c r="L812" s="981"/>
      <c r="M812" s="982"/>
      <c r="N812" s="1003"/>
      <c r="O812" s="1004">
        <f>IF(I!O812="","",$D$2*I!O812)</f>
        <v>0.01</v>
      </c>
      <c r="P812" s="1005">
        <f>IF(I!P812="","",$D$2*I!P812)</f>
        <v>1.0758552915000002E-2</v>
      </c>
      <c r="Q812" s="1006" t="str">
        <f>IF(I!Q812="","",$D$2*I!Q812)</f>
        <v/>
      </c>
      <c r="R812" s="982"/>
      <c r="S812" s="1003"/>
      <c r="T812" s="938"/>
      <c r="U812" s="1008" t="s">
        <v>1059</v>
      </c>
      <c r="V812" s="1018" t="s">
        <v>6658</v>
      </c>
      <c r="W812" s="1019">
        <f>IF(I!W812="","",$D$2*I!W812)</f>
        <v>0.1293634531</v>
      </c>
      <c r="X812" s="990">
        <f>IF(I!X812="","",$D$2*I!X812)</f>
        <v>0.60300812175999996</v>
      </c>
      <c r="Y812" s="1010">
        <f>IF(I!Y812="","",$D$2*I!Y812)</f>
        <v>0.26205931309999997</v>
      </c>
      <c r="Z812" s="938"/>
      <c r="AA812" s="938"/>
      <c r="AB812" s="938"/>
      <c r="AC812" s="938"/>
      <c r="AD812" s="1058"/>
      <c r="AE812" s="938"/>
      <c r="AF812" s="938"/>
      <c r="AG812" s="938"/>
      <c r="AH812" s="938"/>
    </row>
    <row r="813" spans="1:34" ht="17.25" customHeight="1" x14ac:dyDescent="0.35">
      <c r="A813" s="938"/>
      <c r="B813" s="938"/>
      <c r="C813" s="941"/>
      <c r="D813" s="1047"/>
      <c r="E813" s="941"/>
      <c r="F813" s="938"/>
      <c r="G813" s="976">
        <f t="shared" si="14"/>
        <v>810</v>
      </c>
      <c r="H813" s="1000"/>
      <c r="I813" s="1001" t="s">
        <v>1059</v>
      </c>
      <c r="J813" s="1031" t="s">
        <v>1852</v>
      </c>
      <c r="K813" s="1002">
        <f>IF(I!K813="","",$D$2*I!K813)</f>
        <v>3.076311331E-3</v>
      </c>
      <c r="L813" s="981"/>
      <c r="M813" s="982"/>
      <c r="N813" s="1003"/>
      <c r="O813" s="1004">
        <f>IF(I!O813="","",$D$2*I!O813)</f>
        <v>0.41</v>
      </c>
      <c r="P813" s="1005">
        <f>IF(I!P813="","",$D$2*I!P813)</f>
        <v>2.5907585901710002</v>
      </c>
      <c r="Q813" s="1006" t="str">
        <f>IF(I!Q813="","",$D$2*I!Q813)</f>
        <v/>
      </c>
      <c r="R813" s="982"/>
      <c r="S813" s="1003"/>
      <c r="T813" s="938"/>
      <c r="U813" s="1008" t="s">
        <v>1059</v>
      </c>
      <c r="V813" s="1018" t="s">
        <v>6659</v>
      </c>
      <c r="W813" s="1019">
        <f>IF(I!W813="","",$D$2*I!W813)</f>
        <v>0.40984012530000002</v>
      </c>
      <c r="X813" s="990">
        <f>IF(I!X813="","",$D$2*I!X813)</f>
        <v>0.43353909927000006</v>
      </c>
      <c r="Y813" s="1010">
        <f>IF(I!Y813="","",$D$2*I!Y813)</f>
        <v>0.64012294530000002</v>
      </c>
      <c r="Z813" s="938"/>
      <c r="AA813" s="938"/>
      <c r="AB813" s="938"/>
      <c r="AC813" s="938"/>
      <c r="AD813" s="1058"/>
      <c r="AE813" s="938"/>
      <c r="AF813" s="938"/>
      <c r="AG813" s="938"/>
      <c r="AH813" s="938"/>
    </row>
    <row r="814" spans="1:34" ht="17.25" customHeight="1" x14ac:dyDescent="0.35">
      <c r="A814" s="938"/>
      <c r="B814" s="938"/>
      <c r="C814" s="941"/>
      <c r="D814" s="1047"/>
      <c r="E814" s="941"/>
      <c r="F814" s="938"/>
      <c r="G814" s="976">
        <f t="shared" si="14"/>
        <v>811</v>
      </c>
      <c r="H814" s="1000"/>
      <c r="I814" s="1001" t="s">
        <v>1059</v>
      </c>
      <c r="J814" s="1031" t="s">
        <v>1853</v>
      </c>
      <c r="K814" s="1002">
        <f>IF(I!K814="","",$D$2*I!K814)</f>
        <v>3.7261556749999996E-3</v>
      </c>
      <c r="L814" s="981"/>
      <c r="M814" s="982"/>
      <c r="N814" s="1003"/>
      <c r="O814" s="1004">
        <f>IF(I!O814="","",$D$2*I!O814)</f>
        <v>0.02</v>
      </c>
      <c r="P814" s="1005">
        <f>IF(I!P814="","",$D$2*I!P814)</f>
        <v>1.3134134298E-2</v>
      </c>
      <c r="Q814" s="1006" t="str">
        <f>IF(I!Q814="","",$D$2*I!Q814)</f>
        <v/>
      </c>
      <c r="R814" s="982"/>
      <c r="S814" s="1003"/>
      <c r="T814" s="938"/>
      <c r="U814" s="1008" t="s">
        <v>1059</v>
      </c>
      <c r="V814" s="1018" t="s">
        <v>6660</v>
      </c>
      <c r="W814" s="1019">
        <f>IF(I!W814="","",$D$2*I!W814)</f>
        <v>0.26326606070000003</v>
      </c>
      <c r="X814" s="990">
        <f>IF(I!X814="","",$D$2*I!X814)</f>
        <v>0.61240746533000001</v>
      </c>
      <c r="Y814" s="1010">
        <f>IF(I!Y814="","",$D$2*I!Y814)</f>
        <v>0.53062092070000011</v>
      </c>
      <c r="Z814" s="938"/>
      <c r="AA814" s="938"/>
      <c r="AB814" s="938"/>
      <c r="AC814" s="938"/>
      <c r="AD814" s="1058"/>
      <c r="AE814" s="938"/>
      <c r="AF814" s="938"/>
      <c r="AG814" s="938"/>
      <c r="AH814" s="938"/>
    </row>
    <row r="815" spans="1:34" ht="17.25" customHeight="1" x14ac:dyDescent="0.35">
      <c r="A815" s="938"/>
      <c r="B815" s="938"/>
      <c r="C815" s="941"/>
      <c r="D815" s="1047"/>
      <c r="E815" s="941"/>
      <c r="F815" s="938"/>
      <c r="G815" s="976">
        <f t="shared" si="14"/>
        <v>812</v>
      </c>
      <c r="H815" s="1000"/>
      <c r="I815" s="1001" t="s">
        <v>1059</v>
      </c>
      <c r="J815" s="1031" t="s">
        <v>1854</v>
      </c>
      <c r="K815" s="1002">
        <f>IF(I!K815="","",$D$2*I!K815)</f>
        <v>3.7261556749999996E-3</v>
      </c>
      <c r="L815" s="981"/>
      <c r="M815" s="982"/>
      <c r="N815" s="1003"/>
      <c r="O815" s="1004">
        <f>IF(I!O815="","",$D$2*I!O815)</f>
        <v>0.42</v>
      </c>
      <c r="P815" s="1005">
        <f>IF(I!P815="","",$D$2*I!P815)</f>
        <v>5.0531341713630002</v>
      </c>
      <c r="Q815" s="1006" t="str">
        <f>IF(I!Q815="","",$D$2*I!Q815)</f>
        <v/>
      </c>
      <c r="R815" s="982"/>
      <c r="S815" s="1003"/>
      <c r="T815" s="938"/>
      <c r="U815" s="1008" t="s">
        <v>1059</v>
      </c>
      <c r="V815" s="1018" t="s">
        <v>6661</v>
      </c>
      <c r="W815" s="1019">
        <f>IF(I!W815="","",$D$2*I!W815)</f>
        <v>0.1098339274</v>
      </c>
      <c r="X815" s="990">
        <f>IF(I!X815="","",$D$2*I!X815)</f>
        <v>0.47535313244999999</v>
      </c>
      <c r="Y815" s="1010">
        <f>IF(I!Y815="","",$D$2*I!Y815)</f>
        <v>0.2346559674</v>
      </c>
      <c r="Z815" s="938"/>
      <c r="AA815" s="938"/>
      <c r="AB815" s="938"/>
      <c r="AC815" s="938"/>
      <c r="AD815" s="1058"/>
      <c r="AE815" s="938"/>
      <c r="AF815" s="938"/>
      <c r="AG815" s="938"/>
      <c r="AH815" s="938"/>
    </row>
    <row r="816" spans="1:34" ht="17.25" customHeight="1" x14ac:dyDescent="0.35">
      <c r="A816" s="938"/>
      <c r="B816" s="938"/>
      <c r="C816" s="941"/>
      <c r="D816" s="1047"/>
      <c r="E816" s="941"/>
      <c r="F816" s="938"/>
      <c r="G816" s="976">
        <f t="shared" si="14"/>
        <v>813</v>
      </c>
      <c r="H816" s="1000"/>
      <c r="I816" s="1001" t="s">
        <v>1059</v>
      </c>
      <c r="J816" s="1031" t="s">
        <v>1855</v>
      </c>
      <c r="K816" s="1002">
        <f>IF(I!K816="","",$D$2*I!K816)</f>
        <v>4.5616698770000004E-3</v>
      </c>
      <c r="L816" s="981"/>
      <c r="M816" s="982"/>
      <c r="N816" s="1003"/>
      <c r="O816" s="1004">
        <f>IF(I!O816="","",$D$2*I!O816)</f>
        <v>0.02</v>
      </c>
      <c r="P816" s="1005">
        <f>IF(I!P816="","",$D$2*I!P816)</f>
        <v>1.6188453776999998E-2</v>
      </c>
      <c r="Q816" s="1006" t="str">
        <f>IF(I!Q816="","",$D$2*I!Q816)</f>
        <v/>
      </c>
      <c r="R816" s="982"/>
      <c r="S816" s="1003"/>
      <c r="T816" s="938"/>
      <c r="U816" s="1008" t="s">
        <v>1059</v>
      </c>
      <c r="V816" s="1018" t="s">
        <v>6662</v>
      </c>
      <c r="W816" s="1019">
        <f>IF(I!W816="","",$D$2*I!W816)</f>
        <v>0.32034854469999996</v>
      </c>
      <c r="X816" s="990">
        <f>IF(I!X816="","",$D$2*I!X816)</f>
        <v>0.34134593337000008</v>
      </c>
      <c r="Y816" s="1010">
        <f>IF(I!Y816="","",$D$2*I!Y816)</f>
        <v>0.48758409469999997</v>
      </c>
      <c r="Z816" s="938"/>
      <c r="AA816" s="938"/>
      <c r="AB816" s="938"/>
      <c r="AC816" s="938"/>
      <c r="AD816" s="1058"/>
      <c r="AE816" s="938"/>
      <c r="AF816" s="938"/>
      <c r="AG816" s="938"/>
      <c r="AH816" s="938"/>
    </row>
    <row r="817" spans="1:34" ht="17.25" customHeight="1" x14ac:dyDescent="0.35">
      <c r="A817" s="938"/>
      <c r="B817" s="938"/>
      <c r="C817" s="941"/>
      <c r="D817" s="1047"/>
      <c r="E817" s="941"/>
      <c r="F817" s="938"/>
      <c r="G817" s="976">
        <f t="shared" si="14"/>
        <v>814</v>
      </c>
      <c r="H817" s="1000"/>
      <c r="I817" s="1001" t="s">
        <v>1059</v>
      </c>
      <c r="J817" s="1031" t="s">
        <v>1856</v>
      </c>
      <c r="K817" s="1002">
        <f>IF(I!K817="","",$D$2*I!K817)</f>
        <v>4.5616698770000004E-3</v>
      </c>
      <c r="L817" s="981"/>
      <c r="M817" s="982"/>
      <c r="N817" s="1003"/>
      <c r="O817" s="1004">
        <f>IF(I!O817="","",$D$2*I!O817)</f>
        <v>0.42</v>
      </c>
      <c r="P817" s="1005">
        <f>IF(I!P817="","",$D$2*I!P817)</f>
        <v>7.8161884334540002</v>
      </c>
      <c r="Q817" s="1006" t="str">
        <f>IF(I!Q817="","",$D$2*I!Q817)</f>
        <v/>
      </c>
      <c r="R817" s="982"/>
      <c r="S817" s="1003"/>
      <c r="T817" s="938"/>
      <c r="U817" s="1008" t="s">
        <v>1059</v>
      </c>
      <c r="V817" s="1018" t="s">
        <v>6663</v>
      </c>
      <c r="W817" s="1019">
        <f>IF(I!W817="","",$D$2*I!W817)</f>
        <v>0.20486594830000002</v>
      </c>
      <c r="X817" s="990">
        <f>IF(I!X817="","",$D$2*I!X817)</f>
        <v>0.48227251395000004</v>
      </c>
      <c r="Y817" s="1010">
        <f>IF(I!Y817="","",$D$2*I!Y817)</f>
        <v>0.40130976829999998</v>
      </c>
      <c r="Z817" s="938"/>
      <c r="AA817" s="938"/>
      <c r="AB817" s="938"/>
      <c r="AC817" s="938"/>
      <c r="AD817" s="1058"/>
      <c r="AE817" s="938"/>
      <c r="AF817" s="938"/>
      <c r="AG817" s="938"/>
      <c r="AH817" s="938"/>
    </row>
    <row r="818" spans="1:34" ht="17.25" customHeight="1" x14ac:dyDescent="0.35">
      <c r="A818" s="938"/>
      <c r="B818" s="938"/>
      <c r="C818" s="941"/>
      <c r="D818" s="1047"/>
      <c r="E818" s="941"/>
      <c r="F818" s="938"/>
      <c r="G818" s="976">
        <f t="shared" si="14"/>
        <v>815</v>
      </c>
      <c r="H818" s="1000"/>
      <c r="I818" s="1001" t="s">
        <v>1059</v>
      </c>
      <c r="J818" s="1031" t="s">
        <v>1857</v>
      </c>
      <c r="K818" s="1002">
        <f>IF(I!K818="","",$D$2*I!K818)</f>
        <v>3.8746915089999997E-3</v>
      </c>
      <c r="L818" s="981"/>
      <c r="M818" s="982"/>
      <c r="N818" s="1003"/>
      <c r="O818" s="1004">
        <f>IF(I!O818="","",$D$2*I!O818)</f>
        <v>0.02</v>
      </c>
      <c r="P818" s="1005">
        <f>IF(I!P818="","",$D$2*I!P818)</f>
        <v>1.3677125177E-2</v>
      </c>
      <c r="Q818" s="1006" t="str">
        <f>IF(I!Q818="","",$D$2*I!Q818)</f>
        <v/>
      </c>
      <c r="R818" s="982"/>
      <c r="S818" s="1003"/>
      <c r="T818" s="938"/>
      <c r="U818" s="1008" t="s">
        <v>1059</v>
      </c>
      <c r="V818" s="1018" t="s">
        <v>6664</v>
      </c>
      <c r="W818" s="1019">
        <f>IF(I!W818="","",$D$2*I!W818)</f>
        <v>0.21673584669999998</v>
      </c>
      <c r="X818" s="990">
        <f>IF(I!X818="","",$D$2*I!X818)</f>
        <v>0.13528344479000001</v>
      </c>
      <c r="Y818" s="1010">
        <f>IF(I!Y818="","",$D$2*I!Y818)</f>
        <v>1.4602713466999999</v>
      </c>
      <c r="Z818" s="938"/>
      <c r="AA818" s="938"/>
      <c r="AB818" s="938"/>
      <c r="AC818" s="938"/>
      <c r="AD818" s="1058"/>
      <c r="AE818" s="938"/>
      <c r="AF818" s="938"/>
      <c r="AG818" s="938"/>
      <c r="AH818" s="938"/>
    </row>
    <row r="819" spans="1:34" ht="17.25" customHeight="1" x14ac:dyDescent="0.35">
      <c r="A819" s="938"/>
      <c r="B819" s="938"/>
      <c r="C819" s="941"/>
      <c r="D819" s="1047"/>
      <c r="E819" s="941"/>
      <c r="F819" s="938"/>
      <c r="G819" s="976">
        <f t="shared" si="14"/>
        <v>816</v>
      </c>
      <c r="H819" s="1000"/>
      <c r="I819" s="1001" t="s">
        <v>1059</v>
      </c>
      <c r="J819" s="1031" t="s">
        <v>1858</v>
      </c>
      <c r="K819" s="1002">
        <f>IF(I!K819="","",$D$2*I!K819)</f>
        <v>3.8746915089999997E-3</v>
      </c>
      <c r="L819" s="981"/>
      <c r="M819" s="982"/>
      <c r="N819" s="1003"/>
      <c r="O819" s="1004">
        <f>IF(I!O819="","",$D$2*I!O819)</f>
        <v>0.42</v>
      </c>
      <c r="P819" s="1005">
        <f>IF(I!P819="","",$D$2*I!P819)</f>
        <v>2.4886771164840003</v>
      </c>
      <c r="Q819" s="1006" t="str">
        <f>IF(I!Q819="","",$D$2*I!Q819)</f>
        <v/>
      </c>
      <c r="R819" s="982"/>
      <c r="S819" s="1003"/>
      <c r="T819" s="938"/>
      <c r="U819" s="1008" t="s">
        <v>1059</v>
      </c>
      <c r="V819" s="1018" t="s">
        <v>6665</v>
      </c>
      <c r="W819" s="1019">
        <f>IF(I!W819="","",$D$2*I!W819)</f>
        <v>1.066153435E-2</v>
      </c>
      <c r="X819" s="990">
        <f>IF(I!X819="","",$D$2*I!X819)</f>
        <v>7.8441301670000001E-3</v>
      </c>
      <c r="Y819" s="1010">
        <f>IF(I!Y819="","",$D$2*I!Y819)</f>
        <v>1.9939914449999999E-2</v>
      </c>
      <c r="Z819" s="938"/>
      <c r="AA819" s="938"/>
      <c r="AB819" s="938"/>
      <c r="AC819" s="938"/>
      <c r="AD819" s="1058"/>
      <c r="AE819" s="938"/>
      <c r="AF819" s="938"/>
      <c r="AG819" s="938"/>
      <c r="AH819" s="938"/>
    </row>
    <row r="820" spans="1:34" ht="17.25" customHeight="1" x14ac:dyDescent="0.35">
      <c r="A820" s="938"/>
      <c r="B820" s="938"/>
      <c r="C820" s="941"/>
      <c r="D820" s="1047"/>
      <c r="E820" s="941"/>
      <c r="F820" s="938"/>
      <c r="G820" s="976">
        <f t="shared" si="14"/>
        <v>817</v>
      </c>
      <c r="H820" s="1000"/>
      <c r="I820" s="1001" t="s">
        <v>1059</v>
      </c>
      <c r="J820" s="1031" t="s">
        <v>1859</v>
      </c>
      <c r="K820" s="1002">
        <f>IF(I!K820="","",$D$2*I!K820)</f>
        <v>1.0297525463000001E-2</v>
      </c>
      <c r="L820" s="981"/>
      <c r="M820" s="982"/>
      <c r="N820" s="1003"/>
      <c r="O820" s="1004">
        <f>IF(I!O820="","",$D$2*I!O820)</f>
        <v>0.05</v>
      </c>
      <c r="P820" s="1005">
        <f>IF(I!P820="","",$D$2*I!P820)</f>
        <v>3.7371244779000001E-2</v>
      </c>
      <c r="Q820" s="1006" t="str">
        <f>IF(I!Q820="","",$D$2*I!Q820)</f>
        <v/>
      </c>
      <c r="R820" s="982"/>
      <c r="S820" s="1003"/>
      <c r="T820" s="938"/>
      <c r="U820" s="1008" t="s">
        <v>1059</v>
      </c>
      <c r="V820" s="1018" t="s">
        <v>6666</v>
      </c>
      <c r="W820" s="1019">
        <f>IF(I!W820="","",$D$2*I!W820)</f>
        <v>8.806782103E-3</v>
      </c>
      <c r="X820" s="990">
        <f>IF(I!X820="","",$D$2*I!X820)</f>
        <v>6.8302508729999999E-3</v>
      </c>
      <c r="Y820" s="1010">
        <f>IF(I!Y820="","",$D$2*I!Y820)</f>
        <v>1.8654383303E-2</v>
      </c>
      <c r="Z820" s="938"/>
      <c r="AA820" s="938"/>
      <c r="AB820" s="938"/>
      <c r="AC820" s="938"/>
      <c r="AD820" s="1058"/>
      <c r="AE820" s="938"/>
      <c r="AF820" s="938"/>
      <c r="AG820" s="938"/>
      <c r="AH820" s="938"/>
    </row>
    <row r="821" spans="1:34" ht="17.25" customHeight="1" x14ac:dyDescent="0.35">
      <c r="A821" s="938"/>
      <c r="B821" s="938"/>
      <c r="C821" s="941"/>
      <c r="D821" s="1047"/>
      <c r="E821" s="941"/>
      <c r="F821" s="938"/>
      <c r="G821" s="976">
        <f t="shared" si="14"/>
        <v>818</v>
      </c>
      <c r="H821" s="1000"/>
      <c r="I821" s="1001" t="s">
        <v>1059</v>
      </c>
      <c r="J821" s="1031" t="s">
        <v>1860</v>
      </c>
      <c r="K821" s="1002">
        <f>IF(I!K821="","",$D$2*I!K821)</f>
        <v>1.0297525463000001E-2</v>
      </c>
      <c r="L821" s="981"/>
      <c r="M821" s="982"/>
      <c r="N821" s="1003"/>
      <c r="O821" s="1004">
        <f>IF(I!O821="","",$D$2*I!O821)</f>
        <v>0.45</v>
      </c>
      <c r="P821" s="1005">
        <f>IF(I!P821="","",$D$2*I!P821)</f>
        <v>11.287370874680001</v>
      </c>
      <c r="Q821" s="1006" t="str">
        <f>IF(I!Q821="","",$D$2*I!Q821)</f>
        <v/>
      </c>
      <c r="R821" s="982"/>
      <c r="S821" s="1003"/>
      <c r="T821" s="938"/>
      <c r="U821" s="1008" t="s">
        <v>1059</v>
      </c>
      <c r="V821" s="1018" t="s">
        <v>6667</v>
      </c>
      <c r="W821" s="1019">
        <f>IF(I!W821="","",$D$2*I!W821)</f>
        <v>1.3808601209999999E-2</v>
      </c>
      <c r="X821" s="990">
        <f>IF(I!X821="","",$D$2*I!X821)</f>
        <v>1.3492917891E-2</v>
      </c>
      <c r="Y821" s="1010">
        <f>IF(I!Y821="","",$D$2*I!Y821)</f>
        <v>2.606986721E-2</v>
      </c>
      <c r="Z821" s="938"/>
      <c r="AA821" s="938"/>
      <c r="AB821" s="938"/>
      <c r="AC821" s="938"/>
      <c r="AD821" s="1058"/>
      <c r="AE821" s="938"/>
      <c r="AF821" s="938"/>
      <c r="AG821" s="938"/>
      <c r="AH821" s="938"/>
    </row>
    <row r="822" spans="1:34" ht="17.25" customHeight="1" x14ac:dyDescent="0.35">
      <c r="A822" s="938"/>
      <c r="B822" s="938"/>
      <c r="C822" s="941"/>
      <c r="D822" s="1047"/>
      <c r="E822" s="941"/>
      <c r="F822" s="938"/>
      <c r="G822" s="976">
        <f t="shared" si="14"/>
        <v>819</v>
      </c>
      <c r="H822" s="1000"/>
      <c r="I822" s="1001" t="s">
        <v>1059</v>
      </c>
      <c r="J822" s="1031" t="s">
        <v>1861</v>
      </c>
      <c r="K822" s="1002">
        <f>IF(I!K822="","",$D$2*I!K822)</f>
        <v>3.0803537179999998E-3</v>
      </c>
      <c r="L822" s="981"/>
      <c r="M822" s="982"/>
      <c r="N822" s="1003"/>
      <c r="O822" s="1004">
        <f>IF(I!O822="","",$D$2*I!O822)</f>
        <v>0.01</v>
      </c>
      <c r="P822" s="1005">
        <f>IF(I!P822="","",$D$2*I!P822)</f>
        <v>1.0856198854E-2</v>
      </c>
      <c r="Q822" s="1006" t="str">
        <f>IF(I!Q822="","",$D$2*I!Q822)</f>
        <v/>
      </c>
      <c r="R822" s="982"/>
      <c r="S822" s="1003"/>
      <c r="T822" s="938"/>
      <c r="U822" s="1008" t="s">
        <v>1059</v>
      </c>
      <c r="V822" s="1018" t="s">
        <v>6668</v>
      </c>
      <c r="W822" s="1019">
        <f>IF(I!W822="","",$D$2*I!W822)</f>
        <v>8.7099002400000004E-3</v>
      </c>
      <c r="X822" s="990">
        <f>IF(I!X822="","",$D$2*I!X822)</f>
        <v>8.533794606000001E-3</v>
      </c>
      <c r="Y822" s="1010">
        <f>IF(I!Y822="","",$D$2*I!Y822)</f>
        <v>1.717660914E-2</v>
      </c>
      <c r="Z822" s="938"/>
      <c r="AA822" s="938"/>
      <c r="AB822" s="938"/>
      <c r="AC822" s="938"/>
      <c r="AD822" s="1058"/>
      <c r="AE822" s="938"/>
      <c r="AF822" s="938"/>
      <c r="AG822" s="938"/>
      <c r="AH822" s="938"/>
    </row>
    <row r="823" spans="1:34" ht="17.25" customHeight="1" x14ac:dyDescent="0.35">
      <c r="A823" s="938"/>
      <c r="B823" s="938"/>
      <c r="C823" s="941"/>
      <c r="D823" s="1047"/>
      <c r="E823" s="941"/>
      <c r="F823" s="938"/>
      <c r="G823" s="976">
        <f t="shared" si="14"/>
        <v>820</v>
      </c>
      <c r="H823" s="1000"/>
      <c r="I823" s="1001" t="s">
        <v>1059</v>
      </c>
      <c r="J823" s="1031" t="s">
        <v>1862</v>
      </c>
      <c r="K823" s="1002">
        <f>IF(I!K823="","",$D$2*I!K823)</f>
        <v>3.614753776E-3</v>
      </c>
      <c r="L823" s="981"/>
      <c r="M823" s="982"/>
      <c r="N823" s="1003"/>
      <c r="O823" s="1004">
        <f>IF(I!O823="","",$D$2*I!O823)</f>
        <v>0.02</v>
      </c>
      <c r="P823" s="1005">
        <f>IF(I!P823="","",$D$2*I!P823)</f>
        <v>1.2726891625999999E-2</v>
      </c>
      <c r="Q823" s="1006" t="str">
        <f>IF(I!Q823="","",$D$2*I!Q823)</f>
        <v/>
      </c>
      <c r="R823" s="982"/>
      <c r="S823" s="1003"/>
      <c r="T823" s="938"/>
      <c r="U823" s="1008" t="s">
        <v>1059</v>
      </c>
      <c r="V823" s="1018" t="s">
        <v>6669</v>
      </c>
      <c r="W823" s="1019">
        <f>IF(I!W823="","",$D$2*I!W823)</f>
        <v>1.128156045E-2</v>
      </c>
      <c r="X823" s="990">
        <f>IF(I!X823="","",$D$2*I!X823)</f>
        <v>1.1124998376999999E-2</v>
      </c>
      <c r="Y823" s="1010">
        <f>IF(I!Y823="","",$D$2*I!Y823)</f>
        <v>2.2353689449999999E-2</v>
      </c>
      <c r="Z823" s="938"/>
      <c r="AA823" s="938"/>
      <c r="AB823" s="938"/>
      <c r="AC823" s="938"/>
      <c r="AD823" s="1058"/>
      <c r="AE823" s="938"/>
      <c r="AF823" s="938"/>
      <c r="AG823" s="938"/>
      <c r="AH823" s="938"/>
    </row>
    <row r="824" spans="1:34" ht="17.25" customHeight="1" x14ac:dyDescent="0.35">
      <c r="A824" s="938"/>
      <c r="B824" s="938"/>
      <c r="C824" s="941"/>
      <c r="D824" s="1047"/>
      <c r="E824" s="941"/>
      <c r="F824" s="938"/>
      <c r="G824" s="976">
        <f t="shared" si="14"/>
        <v>821</v>
      </c>
      <c r="H824" s="1000"/>
      <c r="I824" s="1001" t="s">
        <v>1059</v>
      </c>
      <c r="J824" s="1031" t="s">
        <v>1863</v>
      </c>
      <c r="K824" s="1002">
        <f>IF(I!K824="","",$D$2*I!K824)</f>
        <v>3.614753776E-3</v>
      </c>
      <c r="L824" s="981"/>
      <c r="M824" s="982"/>
      <c r="N824" s="1003"/>
      <c r="O824" s="1004">
        <f>IF(I!O824="","",$D$2*I!O824)</f>
        <v>0.42</v>
      </c>
      <c r="P824" s="1005">
        <f>IF(I!P824="","",$D$2*I!P824)</f>
        <v>2.577726863009</v>
      </c>
      <c r="Q824" s="1006" t="str">
        <f>IF(I!Q824="","",$D$2*I!Q824)</f>
        <v/>
      </c>
      <c r="R824" s="982"/>
      <c r="S824" s="1003"/>
      <c r="T824" s="938"/>
      <c r="U824" s="1008" t="s">
        <v>1059</v>
      </c>
      <c r="V824" s="1018" t="s">
        <v>6670</v>
      </c>
      <c r="W824" s="1019">
        <f>IF(I!W824="","",$D$2*I!W824)</f>
        <v>1.158928819E-2</v>
      </c>
      <c r="X824" s="990">
        <f>IF(I!X824="","",$D$2*I!X824)</f>
        <v>6.6139267050000002E-3</v>
      </c>
      <c r="Y824" s="1010">
        <f>IF(I!Y824="","",$D$2*I!Y824)</f>
        <v>2.222031419E-2</v>
      </c>
      <c r="Z824" s="938"/>
      <c r="AA824" s="938"/>
      <c r="AB824" s="938"/>
      <c r="AC824" s="938"/>
      <c r="AD824" s="1058"/>
      <c r="AE824" s="938"/>
      <c r="AF824" s="938"/>
      <c r="AG824" s="938"/>
      <c r="AH824" s="938"/>
    </row>
    <row r="825" spans="1:34" ht="17.25" customHeight="1" x14ac:dyDescent="0.35">
      <c r="A825" s="938"/>
      <c r="B825" s="938"/>
      <c r="C825" s="941"/>
      <c r="D825" s="1047"/>
      <c r="E825" s="941"/>
      <c r="F825" s="938"/>
      <c r="G825" s="976">
        <f t="shared" si="14"/>
        <v>822</v>
      </c>
      <c r="H825" s="1000"/>
      <c r="I825" s="1001" t="s">
        <v>1059</v>
      </c>
      <c r="J825" s="1031" t="s">
        <v>1864</v>
      </c>
      <c r="K825" s="1002">
        <f>IF(I!K825="","",$D$2*I!K825)</f>
        <v>3.3733830110000002E-3</v>
      </c>
      <c r="L825" s="981"/>
      <c r="M825" s="982"/>
      <c r="N825" s="1003"/>
      <c r="O825" s="1004">
        <f>IF(I!O825="","",$D$2*I!O825)</f>
        <v>0.01</v>
      </c>
      <c r="P825" s="1005">
        <f>IF(I!P825="","",$D$2*I!P825)</f>
        <v>1.1844533694000001E-2</v>
      </c>
      <c r="Q825" s="1006" t="str">
        <f>IF(I!Q825="","",$D$2*I!Q825)</f>
        <v/>
      </c>
      <c r="R825" s="982"/>
      <c r="S825" s="1003"/>
      <c r="T825" s="938"/>
      <c r="U825" s="1008" t="s">
        <v>1059</v>
      </c>
      <c r="V825" s="1018" t="s">
        <v>6671</v>
      </c>
      <c r="W825" s="1019">
        <f>IF(I!W825="","",$D$2*I!W825)</f>
        <v>1.004825963E-2</v>
      </c>
      <c r="X825" s="990">
        <f>IF(I!X825="","",$D$2*I!X825)</f>
        <v>6.6926359500000003E-3</v>
      </c>
      <c r="Y825" s="1010">
        <f>IF(I!Y825="","",$D$2*I!Y825)</f>
        <v>1.987106143E-2</v>
      </c>
      <c r="Z825" s="938"/>
      <c r="AA825" s="938"/>
      <c r="AB825" s="938"/>
      <c r="AC825" s="938"/>
      <c r="AD825" s="1058"/>
      <c r="AE825" s="938"/>
      <c r="AF825" s="938"/>
      <c r="AG825" s="938"/>
      <c r="AH825" s="938"/>
    </row>
    <row r="826" spans="1:34" ht="17.25" customHeight="1" x14ac:dyDescent="0.35">
      <c r="A826" s="938"/>
      <c r="B826" s="938"/>
      <c r="C826" s="941"/>
      <c r="D826" s="1047"/>
      <c r="E826" s="941"/>
      <c r="F826" s="938"/>
      <c r="G826" s="976">
        <f t="shared" si="14"/>
        <v>823</v>
      </c>
      <c r="H826" s="1000"/>
      <c r="I826" s="1001" t="s">
        <v>1059</v>
      </c>
      <c r="J826" s="1031" t="s">
        <v>1865</v>
      </c>
      <c r="K826" s="1002">
        <f>IF(I!K826="","",$D$2*I!K826)</f>
        <v>3.7632896100000006E-3</v>
      </c>
      <c r="L826" s="981"/>
      <c r="M826" s="982"/>
      <c r="N826" s="1003"/>
      <c r="O826" s="1004">
        <f>IF(I!O826="","",$D$2*I!O826)</f>
        <v>0.02</v>
      </c>
      <c r="P826" s="1005">
        <f>IF(I!P826="","",$D$2*I!P826)</f>
        <v>1.3269882516E-2</v>
      </c>
      <c r="Q826" s="1006" t="str">
        <f>IF(I!Q826="","",$D$2*I!Q826)</f>
        <v/>
      </c>
      <c r="R826" s="982"/>
      <c r="S826" s="1003"/>
      <c r="T826" s="938"/>
      <c r="U826" s="1008"/>
      <c r="V826" s="1040"/>
      <c r="W826" s="1019" t="str">
        <f>IF(I!W826="","",$D$2*I!W826)</f>
        <v/>
      </c>
      <c r="X826" s="990" t="str">
        <f>IF(I!X826="","",$D$2*I!X826)</f>
        <v/>
      </c>
      <c r="Y826" s="1010" t="str">
        <f>IF(I!Y826="","",$D$2*I!Y826)</f>
        <v/>
      </c>
      <c r="Z826" s="938"/>
      <c r="AA826" s="938"/>
      <c r="AB826" s="938"/>
      <c r="AC826" s="938"/>
      <c r="AD826" s="1058"/>
      <c r="AE826" s="938"/>
      <c r="AF826" s="938"/>
      <c r="AG826" s="938"/>
      <c r="AH826" s="938"/>
    </row>
    <row r="827" spans="1:34" ht="17.25" customHeight="1" x14ac:dyDescent="0.35">
      <c r="A827" s="938"/>
      <c r="B827" s="938"/>
      <c r="C827" s="941"/>
      <c r="D827" s="1047"/>
      <c r="E827" s="941"/>
      <c r="F827" s="938"/>
      <c r="G827" s="976">
        <f t="shared" si="14"/>
        <v>824</v>
      </c>
      <c r="H827" s="1000"/>
      <c r="I827" s="1001" t="s">
        <v>1059</v>
      </c>
      <c r="J827" s="1031" t="s">
        <v>1866</v>
      </c>
      <c r="K827" s="1002">
        <f>IF(I!K827="","",$D$2*I!K827)</f>
        <v>3.7632896100000006E-3</v>
      </c>
      <c r="L827" s="981"/>
      <c r="M827" s="982"/>
      <c r="N827" s="1003"/>
      <c r="O827" s="1004">
        <f>IF(I!O827="","",$D$2*I!O827)</f>
        <v>0.42</v>
      </c>
      <c r="P827" s="1005">
        <f>IF(I!P827="","",$D$2*I!P827)</f>
        <v>3.073269908141</v>
      </c>
      <c r="Q827" s="1006" t="str">
        <f>IF(I!Q827="","",$D$2*I!Q827)</f>
        <v/>
      </c>
      <c r="R827" s="982"/>
      <c r="S827" s="1003"/>
      <c r="T827" s="938"/>
      <c r="U827" s="1008"/>
      <c r="V827" s="1009" t="s">
        <v>6672</v>
      </c>
      <c r="W827" s="1019" t="str">
        <f>IF(I!W827="","",$D$2*I!W827)</f>
        <v/>
      </c>
      <c r="X827" s="990" t="str">
        <f>IF(I!X827="","",$D$2*I!X827)</f>
        <v/>
      </c>
      <c r="Y827" s="1010" t="str">
        <f>IF(I!Y827="","",$D$2*I!Y827)</f>
        <v/>
      </c>
      <c r="Z827" s="938"/>
      <c r="AA827" s="938"/>
      <c r="AB827" s="938"/>
      <c r="AC827" s="938"/>
      <c r="AD827" s="1058"/>
      <c r="AE827" s="938"/>
      <c r="AF827" s="938"/>
      <c r="AG827" s="938"/>
      <c r="AH827" s="938"/>
    </row>
    <row r="828" spans="1:34" ht="17.25" customHeight="1" x14ac:dyDescent="0.35">
      <c r="A828" s="938"/>
      <c r="B828" s="938"/>
      <c r="C828" s="941"/>
      <c r="D828" s="1047"/>
      <c r="E828" s="941"/>
      <c r="F828" s="938"/>
      <c r="G828" s="976">
        <f t="shared" si="14"/>
        <v>825</v>
      </c>
      <c r="H828" s="1000"/>
      <c r="I828" s="1001" t="s">
        <v>1059</v>
      </c>
      <c r="J828" s="1031" t="s">
        <v>1867</v>
      </c>
      <c r="K828" s="1002">
        <f>IF(I!K828="","",$D$2*I!K828)</f>
        <v>3.503351867E-3</v>
      </c>
      <c r="L828" s="981"/>
      <c r="M828" s="982"/>
      <c r="N828" s="1003"/>
      <c r="O828" s="1004">
        <f>IF(I!O828="","",$D$2*I!O828)</f>
        <v>0.02</v>
      </c>
      <c r="P828" s="1005">
        <f>IF(I!P828="","",$D$2*I!P828)</f>
        <v>1.2319649965E-2</v>
      </c>
      <c r="Q828" s="1006" t="str">
        <f>IF(I!Q828="","",$D$2*I!Q828)</f>
        <v/>
      </c>
      <c r="R828" s="982"/>
      <c r="S828" s="1003"/>
      <c r="T828" s="938"/>
      <c r="U828" s="1008" t="s">
        <v>1059</v>
      </c>
      <c r="V828" s="1018" t="s">
        <v>6673</v>
      </c>
      <c r="W828" s="1019">
        <f>IF(I!W828="","",$D$2*I!W828)</f>
        <v>0.10035750679000002</v>
      </c>
      <c r="X828" s="990">
        <f>IF(I!X828="","",$D$2*I!X828)</f>
        <v>8.2833260880000009E-2</v>
      </c>
      <c r="Y828" s="1010">
        <f>IF(I!Y828="","",$D$2*I!Y828)</f>
        <v>0.16173394379000003</v>
      </c>
      <c r="Z828" s="938"/>
      <c r="AA828" s="938"/>
      <c r="AB828" s="938"/>
      <c r="AC828" s="938"/>
      <c r="AD828" s="1058"/>
      <c r="AE828" s="938"/>
      <c r="AF828" s="938"/>
      <c r="AG828" s="938"/>
      <c r="AH828" s="938"/>
    </row>
    <row r="829" spans="1:34" ht="17.25" customHeight="1" x14ac:dyDescent="0.35">
      <c r="A829" s="938"/>
      <c r="B829" s="938"/>
      <c r="C829" s="941"/>
      <c r="D829" s="1047"/>
      <c r="E829" s="941"/>
      <c r="F829" s="938"/>
      <c r="G829" s="976">
        <f t="shared" si="14"/>
        <v>826</v>
      </c>
      <c r="H829" s="942"/>
      <c r="I829" s="1001" t="s">
        <v>1059</v>
      </c>
      <c r="J829" s="1031" t="s">
        <v>1868</v>
      </c>
      <c r="K829" s="1002">
        <f>IF(I!K829="","",$D$2*I!K829)</f>
        <v>3.503351867E-3</v>
      </c>
      <c r="L829" s="981"/>
      <c r="M829" s="982"/>
      <c r="N829" s="1003"/>
      <c r="O829" s="1004">
        <f>IF(I!O829="","",$D$2*I!O829)</f>
        <v>0.42</v>
      </c>
      <c r="P829" s="1005">
        <f>IF(I!P829="","",$D$2*I!P829)</f>
        <v>2.382319655666</v>
      </c>
      <c r="Q829" s="1006" t="str">
        <f>IF(I!Q829="","",$D$2*I!Q829)</f>
        <v/>
      </c>
      <c r="R829" s="982"/>
      <c r="S829" s="1003"/>
      <c r="T829" s="938"/>
      <c r="U829" s="1008" t="s">
        <v>1059</v>
      </c>
      <c r="V829" s="1018" t="s">
        <v>6674</v>
      </c>
      <c r="W829" s="1019">
        <f>IF(I!W829="","",$D$2*I!W829)</f>
        <v>9.6067772150000008E-2</v>
      </c>
      <c r="X829" s="990">
        <f>IF(I!X829="","",$D$2*I!X829)</f>
        <v>8.5058294800000003E-2</v>
      </c>
      <c r="Y829" s="1010">
        <f>IF(I!Y829="","",$D$2*I!Y829)</f>
        <v>0.14817019815000002</v>
      </c>
      <c r="Z829" s="938"/>
      <c r="AA829" s="938"/>
      <c r="AB829" s="938"/>
      <c r="AC829" s="938"/>
      <c r="AD829" s="1058"/>
      <c r="AE829" s="938"/>
      <c r="AF829" s="938"/>
      <c r="AG829" s="938"/>
      <c r="AH829" s="938"/>
    </row>
    <row r="830" spans="1:34" ht="17.25" customHeight="1" x14ac:dyDescent="0.35">
      <c r="A830" s="938"/>
      <c r="B830" s="938"/>
      <c r="C830" s="941"/>
      <c r="D830" s="1047"/>
      <c r="E830" s="941"/>
      <c r="F830" s="938"/>
      <c r="G830" s="976">
        <f t="shared" si="14"/>
        <v>827</v>
      </c>
      <c r="H830" s="942" t="s">
        <v>1869</v>
      </c>
      <c r="I830" s="1060"/>
      <c r="J830" s="1031"/>
      <c r="K830" s="1002" t="str">
        <f>IF(I!K830="","",$D$2*I!K830)</f>
        <v/>
      </c>
      <c r="L830" s="981"/>
      <c r="M830" s="982"/>
      <c r="N830" s="1003"/>
      <c r="O830" s="1004" t="str">
        <f>IF(I!O830="","",$D$2*I!O830)</f>
        <v/>
      </c>
      <c r="P830" s="1005" t="str">
        <f>IF(I!P830="","",$D$2*I!P830)</f>
        <v/>
      </c>
      <c r="Q830" s="1006" t="str">
        <f>IF(I!Q830="","",$D$2*I!Q830)</f>
        <v/>
      </c>
      <c r="R830" s="982"/>
      <c r="S830" s="1003"/>
      <c r="T830" s="938"/>
      <c r="U830" s="1008" t="s">
        <v>1059</v>
      </c>
      <c r="V830" s="1018" t="s">
        <v>6675</v>
      </c>
      <c r="W830" s="1019">
        <f>IF(I!W830="","",$D$2*I!W830)</f>
        <v>0.11217748146999999</v>
      </c>
      <c r="X830" s="990">
        <f>IF(I!X830="","",$D$2*I!X830)</f>
        <v>8.4779360249999991E-2</v>
      </c>
      <c r="Y830" s="1010">
        <f>IF(I!Y830="","",$D$2*I!Y830)</f>
        <v>0.17768563746999999</v>
      </c>
      <c r="Z830" s="938"/>
      <c r="AA830" s="938"/>
      <c r="AB830" s="938"/>
      <c r="AC830" s="938"/>
      <c r="AD830" s="1058"/>
      <c r="AE830" s="938"/>
      <c r="AF830" s="938"/>
      <c r="AG830" s="938"/>
      <c r="AH830" s="938"/>
    </row>
    <row r="831" spans="1:34" ht="17.25" customHeight="1" x14ac:dyDescent="0.35">
      <c r="A831" s="938"/>
      <c r="B831" s="938"/>
      <c r="C831" s="941"/>
      <c r="D831" s="1047"/>
      <c r="E831" s="941"/>
      <c r="F831" s="938"/>
      <c r="G831" s="976">
        <f t="shared" si="14"/>
        <v>828</v>
      </c>
      <c r="H831" s="942"/>
      <c r="I831" s="1001" t="s">
        <v>1059</v>
      </c>
      <c r="J831" s="1031" t="s">
        <v>1870</v>
      </c>
      <c r="K831" s="1002">
        <f>IF(I!K831="","",$D$2*I!K831)</f>
        <v>3.614753776E-3</v>
      </c>
      <c r="L831" s="981"/>
      <c r="M831" s="982"/>
      <c r="N831" s="1003"/>
      <c r="O831" s="1004">
        <f>IF(I!O831="","",$D$2*I!O831)</f>
        <v>0.02</v>
      </c>
      <c r="P831" s="1005">
        <f>IF(I!P831="","",$D$2*I!P831)</f>
        <v>1.2726891625999999E-2</v>
      </c>
      <c r="Q831" s="1006" t="str">
        <f>IF(I!Q831="","",$D$2*I!Q831)</f>
        <v/>
      </c>
      <c r="R831" s="982"/>
      <c r="S831" s="1003"/>
      <c r="T831" s="938"/>
      <c r="U831" s="1008" t="s">
        <v>1059</v>
      </c>
      <c r="V831" s="1018" t="s">
        <v>6676</v>
      </c>
      <c r="W831" s="1019">
        <f>IF(I!W831="","",$D$2*I!W831)</f>
        <v>0.10972539112999999</v>
      </c>
      <c r="X831" s="990">
        <f>IF(I!X831="","",$D$2*I!X831)</f>
        <v>0.10464057287</v>
      </c>
      <c r="Y831" s="1010">
        <f>IF(I!Y831="","",$D$2*I!Y831)</f>
        <v>0.18633628812999997</v>
      </c>
      <c r="Z831" s="938"/>
      <c r="AA831" s="938"/>
      <c r="AB831" s="938"/>
      <c r="AC831" s="938"/>
      <c r="AD831" s="1058"/>
      <c r="AE831" s="938"/>
      <c r="AF831" s="938"/>
      <c r="AG831" s="938"/>
      <c r="AH831" s="938"/>
    </row>
    <row r="832" spans="1:34" ht="17.25" customHeight="1" x14ac:dyDescent="0.35">
      <c r="A832" s="938"/>
      <c r="B832" s="938"/>
      <c r="C832" s="941"/>
      <c r="D832" s="1047"/>
      <c r="E832" s="941"/>
      <c r="F832" s="938"/>
      <c r="G832" s="976">
        <f t="shared" si="14"/>
        <v>829</v>
      </c>
      <c r="H832" s="942"/>
      <c r="I832" s="1001" t="s">
        <v>1059</v>
      </c>
      <c r="J832" s="1031" t="s">
        <v>1871</v>
      </c>
      <c r="K832" s="1002">
        <f>IF(I!K832="","",$D$2*I!K832)</f>
        <v>3.614753776E-3</v>
      </c>
      <c r="L832" s="981"/>
      <c r="M832" s="982"/>
      <c r="N832" s="1003"/>
      <c r="O832" s="1004">
        <f>IF(I!O832="","",$D$2*I!O832)</f>
        <v>0.3</v>
      </c>
      <c r="P832" s="1005">
        <f>IF(I!P832="","",$D$2*I!P832)</f>
        <v>2.2627268630090001</v>
      </c>
      <c r="Q832" s="1006" t="str">
        <f>IF(I!Q832="","",$D$2*I!Q832)</f>
        <v/>
      </c>
      <c r="R832" s="982"/>
      <c r="S832" s="1003"/>
      <c r="T832" s="938"/>
      <c r="U832" s="1008" t="s">
        <v>1059</v>
      </c>
      <c r="V832" s="1018" t="s">
        <v>6677</v>
      </c>
      <c r="W832" s="1019">
        <f>IF(I!W832="","",$D$2*I!W832)</f>
        <v>0.14658701099999999</v>
      </c>
      <c r="X832" s="990">
        <f>IF(I!X832="","",$D$2*I!X832)</f>
        <v>0.10659203483</v>
      </c>
      <c r="Y832" s="1010">
        <f>IF(I!Y832="","",$D$2*I!Y832)</f>
        <v>0.23462149499999999</v>
      </c>
      <c r="Z832" s="938"/>
      <c r="AA832" s="938"/>
      <c r="AB832" s="938"/>
      <c r="AC832" s="938"/>
      <c r="AD832" s="1058"/>
      <c r="AE832" s="938"/>
      <c r="AF832" s="938"/>
      <c r="AG832" s="938"/>
      <c r="AH832" s="938"/>
    </row>
    <row r="833" spans="1:34" ht="17.25" customHeight="1" x14ac:dyDescent="0.35">
      <c r="A833" s="938"/>
      <c r="B833" s="938"/>
      <c r="C833" s="941"/>
      <c r="D833" s="1047"/>
      <c r="E833" s="941"/>
      <c r="F833" s="938"/>
      <c r="G833" s="976">
        <f t="shared" si="14"/>
        <v>830</v>
      </c>
      <c r="H833" s="942"/>
      <c r="I833" s="1001" t="s">
        <v>1059</v>
      </c>
      <c r="J833" s="1031" t="s">
        <v>1872</v>
      </c>
      <c r="K833" s="1002">
        <f>IF(I!K833="","",$D$2*I!K833)</f>
        <v>3.614753776E-3</v>
      </c>
      <c r="L833" s="981"/>
      <c r="M833" s="982"/>
      <c r="N833" s="1003"/>
      <c r="O833" s="1004">
        <f>IF(I!O833="","",$D$2*I!O833)</f>
        <v>0.02</v>
      </c>
      <c r="P833" s="1005">
        <f>IF(I!P833="","",$D$2*I!P833)</f>
        <v>1.2726891625999999E-2</v>
      </c>
      <c r="Q833" s="1006" t="str">
        <f>IF(I!Q833="","",$D$2*I!Q833)</f>
        <v/>
      </c>
      <c r="R833" s="982"/>
      <c r="S833" s="1003"/>
      <c r="T833" s="938"/>
      <c r="U833" s="1008" t="s">
        <v>1059</v>
      </c>
      <c r="V833" s="1018" t="s">
        <v>6678</v>
      </c>
      <c r="W833" s="1019">
        <f>IF(I!W833="","",$D$2*I!W833)</f>
        <v>0.1662868045</v>
      </c>
      <c r="X833" s="990">
        <f>IF(I!X833="","",$D$2*I!X833)</f>
        <v>8.7321387090000008E-2</v>
      </c>
      <c r="Y833" s="1010">
        <f>IF(I!Y833="","",$D$2*I!Y833)</f>
        <v>0.2202118575</v>
      </c>
      <c r="Z833" s="938"/>
      <c r="AA833" s="938"/>
      <c r="AB833" s="938"/>
      <c r="AC833" s="938"/>
      <c r="AD833" s="1058"/>
      <c r="AE833" s="938"/>
      <c r="AF833" s="938"/>
      <c r="AG833" s="938"/>
      <c r="AH833" s="938"/>
    </row>
    <row r="834" spans="1:34" ht="17.25" customHeight="1" x14ac:dyDescent="0.35">
      <c r="A834" s="938"/>
      <c r="B834" s="938"/>
      <c r="C834" s="941"/>
      <c r="D834" s="1047"/>
      <c r="E834" s="941"/>
      <c r="F834" s="938"/>
      <c r="G834" s="976">
        <f t="shared" si="14"/>
        <v>831</v>
      </c>
      <c r="H834" s="942"/>
      <c r="I834" s="1001" t="s">
        <v>1059</v>
      </c>
      <c r="J834" s="1031" t="s">
        <v>1873</v>
      </c>
      <c r="K834" s="1002">
        <f>IF(I!K834="","",$D$2*I!K834)</f>
        <v>3.614753776E-3</v>
      </c>
      <c r="L834" s="981"/>
      <c r="M834" s="982"/>
      <c r="N834" s="1003"/>
      <c r="O834" s="1004">
        <f>IF(I!O834="","",$D$2*I!O834)</f>
        <v>0.37</v>
      </c>
      <c r="P834" s="1005">
        <f>IF(I!P834="","",$D$2*I!P834)</f>
        <v>2.6677268630089999</v>
      </c>
      <c r="Q834" s="1006" t="str">
        <f>IF(I!Q834="","",$D$2*I!Q834)</f>
        <v/>
      </c>
      <c r="R834" s="982"/>
      <c r="S834" s="1003"/>
      <c r="T834" s="938"/>
      <c r="U834" s="1008" t="s">
        <v>1059</v>
      </c>
      <c r="V834" s="1018" t="s">
        <v>6679</v>
      </c>
      <c r="W834" s="1019">
        <f>IF(I!W834="","",$D$2*I!W834)</f>
        <v>0.14168756459999998</v>
      </c>
      <c r="X834" s="990">
        <f>IF(I!X834="","",$D$2*I!X834)</f>
        <v>0.12950787215000001</v>
      </c>
      <c r="Y834" s="1010">
        <f>IF(I!Y834="","",$D$2*I!Y834)</f>
        <v>0.2120639976</v>
      </c>
      <c r="Z834" s="938"/>
      <c r="AA834" s="938"/>
      <c r="AB834" s="938"/>
      <c r="AC834" s="938"/>
      <c r="AD834" s="1058"/>
      <c r="AE834" s="938"/>
      <c r="AF834" s="938"/>
      <c r="AG834" s="938"/>
      <c r="AH834" s="938"/>
    </row>
    <row r="835" spans="1:34" ht="17.25" customHeight="1" x14ac:dyDescent="0.35">
      <c r="A835" s="938"/>
      <c r="B835" s="938"/>
      <c r="C835" s="941"/>
      <c r="D835" s="1047"/>
      <c r="E835" s="941"/>
      <c r="F835" s="938"/>
      <c r="G835" s="976">
        <f t="shared" si="14"/>
        <v>832</v>
      </c>
      <c r="H835" s="942"/>
      <c r="I835" s="1001" t="s">
        <v>1059</v>
      </c>
      <c r="J835" s="1031" t="s">
        <v>1874</v>
      </c>
      <c r="K835" s="1002">
        <f>IF(I!K835="","",$D$2*I!K835)</f>
        <v>3.614753776E-3</v>
      </c>
      <c r="L835" s="981"/>
      <c r="M835" s="982"/>
      <c r="N835" s="1003"/>
      <c r="O835" s="1004">
        <f>IF(I!O835="","",$D$2*I!O835)</f>
        <v>0.02</v>
      </c>
      <c r="P835" s="1005">
        <f>IF(I!P835="","",$D$2*I!P835)</f>
        <v>1.2726891625999999E-2</v>
      </c>
      <c r="Q835" s="1006" t="str">
        <f>IF(I!Q835="","",$D$2*I!Q835)</f>
        <v/>
      </c>
      <c r="R835" s="982"/>
      <c r="S835" s="1003"/>
      <c r="T835" s="938"/>
      <c r="U835" s="1008" t="s">
        <v>1059</v>
      </c>
      <c r="V835" s="1018" t="s">
        <v>6680</v>
      </c>
      <c r="W835" s="1019">
        <f>IF(I!W835="","",$D$2*I!W835)</f>
        <v>0.16826476840000001</v>
      </c>
      <c r="X835" s="990">
        <f>IF(I!X835="","",$D$2*I!X835)</f>
        <v>0.13832277041999999</v>
      </c>
      <c r="Y835" s="1010">
        <f>IF(I!Y835="","",$D$2*I!Y835)</f>
        <v>0.25105646840000001</v>
      </c>
      <c r="Z835" s="938"/>
      <c r="AA835" s="938"/>
      <c r="AB835" s="938"/>
      <c r="AC835" s="938"/>
      <c r="AD835" s="1058"/>
      <c r="AE835" s="938"/>
      <c r="AF835" s="938"/>
      <c r="AG835" s="938"/>
      <c r="AH835" s="938"/>
    </row>
    <row r="836" spans="1:34" ht="17.25" customHeight="1" x14ac:dyDescent="0.35">
      <c r="A836" s="938"/>
      <c r="B836" s="938"/>
      <c r="C836" s="941"/>
      <c r="D836" s="1047"/>
      <c r="E836" s="941"/>
      <c r="F836" s="938"/>
      <c r="G836" s="976">
        <f t="shared" si="14"/>
        <v>833</v>
      </c>
      <c r="H836" s="942"/>
      <c r="I836" s="1001" t="s">
        <v>1059</v>
      </c>
      <c r="J836" s="1031" t="s">
        <v>1875</v>
      </c>
      <c r="K836" s="1002">
        <f>IF(I!K836="","",$D$2*I!K836)</f>
        <v>3.614753776E-3</v>
      </c>
      <c r="L836" s="981"/>
      <c r="M836" s="982"/>
      <c r="N836" s="1003"/>
      <c r="O836" s="1004">
        <f>IF(I!O836="","",$D$2*I!O836)</f>
        <v>0.37</v>
      </c>
      <c r="P836" s="1005">
        <f>IF(I!P836="","",$D$2*I!P836)</f>
        <v>2.6677268630089999</v>
      </c>
      <c r="Q836" s="1006" t="str">
        <f>IF(I!Q836="","",$D$2*I!Q836)</f>
        <v/>
      </c>
      <c r="R836" s="982"/>
      <c r="S836" s="1003"/>
      <c r="T836" s="938"/>
      <c r="U836" s="1008" t="s">
        <v>1059</v>
      </c>
      <c r="V836" s="1018" t="s">
        <v>6681</v>
      </c>
      <c r="W836" s="1019">
        <f>IF(I!W836="","",$D$2*I!W836)</f>
        <v>0.1219405165</v>
      </c>
      <c r="X836" s="990">
        <f>IF(I!X836="","",$D$2*I!X836)</f>
        <v>0.12509068057</v>
      </c>
      <c r="Y836" s="1010">
        <f>IF(I!Y836="","",$D$2*I!Y836)</f>
        <v>0.1853460465</v>
      </c>
      <c r="Z836" s="938"/>
      <c r="AA836" s="938"/>
      <c r="AB836" s="938"/>
      <c r="AC836" s="938"/>
      <c r="AD836" s="1058"/>
      <c r="AE836" s="938"/>
      <c r="AF836" s="938"/>
      <c r="AG836" s="938"/>
      <c r="AH836" s="938"/>
    </row>
    <row r="837" spans="1:34" ht="17.25" customHeight="1" x14ac:dyDescent="0.35">
      <c r="A837" s="938"/>
      <c r="B837" s="938"/>
      <c r="C837" s="941"/>
      <c r="D837" s="1047"/>
      <c r="E837" s="941"/>
      <c r="F837" s="938"/>
      <c r="G837" s="976">
        <f t="shared" si="14"/>
        <v>834</v>
      </c>
      <c r="H837" s="942"/>
      <c r="I837" s="1001" t="s">
        <v>1059</v>
      </c>
      <c r="J837" s="1031" t="s">
        <v>1876</v>
      </c>
      <c r="K837" s="1002">
        <f>IF(I!K837="","",$D$2*I!K837)</f>
        <v>3.503351867E-3</v>
      </c>
      <c r="L837" s="981"/>
      <c r="M837" s="982"/>
      <c r="N837" s="1003"/>
      <c r="O837" s="1004">
        <f>IF(I!O837="","",$D$2*I!O837)</f>
        <v>0.02</v>
      </c>
      <c r="P837" s="1005">
        <f>IF(I!P837="","",$D$2*I!P837)</f>
        <v>1.2319649965E-2</v>
      </c>
      <c r="Q837" s="1006" t="str">
        <f>IF(I!Q837="","",$D$2*I!Q837)</f>
        <v/>
      </c>
      <c r="R837" s="982"/>
      <c r="S837" s="1003"/>
      <c r="T837" s="938"/>
      <c r="U837" s="1008" t="s">
        <v>1059</v>
      </c>
      <c r="V837" s="1018" t="s">
        <v>6682</v>
      </c>
      <c r="W837" s="1019">
        <f>IF(I!W837="","",$D$2*I!W837)</f>
        <v>0.10253026570000001</v>
      </c>
      <c r="X837" s="990">
        <f>IF(I!X837="","",$D$2*I!X837)</f>
        <v>0.11088881053999999</v>
      </c>
      <c r="Y837" s="1010">
        <f>IF(I!Y837="","",$D$2*I!Y837)</f>
        <v>0.15021062570000002</v>
      </c>
      <c r="Z837" s="938"/>
      <c r="AA837" s="938"/>
      <c r="AB837" s="938"/>
      <c r="AC837" s="938"/>
      <c r="AD837" s="1058"/>
      <c r="AE837" s="938"/>
      <c r="AF837" s="938"/>
      <c r="AG837" s="938"/>
      <c r="AH837" s="938"/>
    </row>
    <row r="838" spans="1:34" ht="17.25" customHeight="1" x14ac:dyDescent="0.35">
      <c r="A838" s="938"/>
      <c r="B838" s="938"/>
      <c r="C838" s="941"/>
      <c r="D838" s="1047"/>
      <c r="E838" s="941"/>
      <c r="F838" s="938"/>
      <c r="G838" s="976">
        <f t="shared" ref="G838:G901" si="15">G837+1</f>
        <v>835</v>
      </c>
      <c r="H838" s="942"/>
      <c r="I838" s="1001" t="s">
        <v>1059</v>
      </c>
      <c r="J838" s="1031" t="s">
        <v>1877</v>
      </c>
      <c r="K838" s="1002">
        <f>IF(I!K838="","",$D$2*I!K838)</f>
        <v>3.503351867E-3</v>
      </c>
      <c r="L838" s="981"/>
      <c r="M838" s="982"/>
      <c r="N838" s="1003"/>
      <c r="O838" s="1004">
        <f>IF(I!O838="","",$D$2*I!O838)</f>
        <v>0.36</v>
      </c>
      <c r="P838" s="1005">
        <f>IF(I!P838="","",$D$2*I!P838)</f>
        <v>1.9923196556659999</v>
      </c>
      <c r="Q838" s="1006" t="str">
        <f>IF(I!Q838="","",$D$2*I!Q838)</f>
        <v/>
      </c>
      <c r="R838" s="982"/>
      <c r="S838" s="1003"/>
      <c r="T838" s="938"/>
      <c r="U838" s="1008" t="s">
        <v>1059</v>
      </c>
      <c r="V838" s="1018" t="s">
        <v>6683</v>
      </c>
      <c r="W838" s="1019">
        <f>IF(I!W838="","",$D$2*I!W838)</f>
        <v>0.13323470430000001</v>
      </c>
      <c r="X838" s="990">
        <f>IF(I!X838="","",$D$2*I!X838)</f>
        <v>0.14059379862999999</v>
      </c>
      <c r="Y838" s="1010">
        <f>IF(I!Y838="","",$D$2*I!Y838)</f>
        <v>0.21461690529999999</v>
      </c>
      <c r="Z838" s="938"/>
      <c r="AA838" s="938"/>
      <c r="AB838" s="938"/>
      <c r="AC838" s="938"/>
      <c r="AD838" s="1058"/>
      <c r="AE838" s="938"/>
      <c r="AF838" s="938"/>
      <c r="AG838" s="938"/>
      <c r="AH838" s="938"/>
    </row>
    <row r="839" spans="1:34" ht="17.25" customHeight="1" x14ac:dyDescent="0.35">
      <c r="A839" s="938"/>
      <c r="B839" s="938"/>
      <c r="C839" s="941"/>
      <c r="D839" s="1047"/>
      <c r="E839" s="941"/>
      <c r="F839" s="938"/>
      <c r="G839" s="976">
        <f t="shared" si="15"/>
        <v>836</v>
      </c>
      <c r="H839" s="942"/>
      <c r="I839" s="1001" t="s">
        <v>1059</v>
      </c>
      <c r="J839" s="1031" t="s">
        <v>1878</v>
      </c>
      <c r="K839" s="1002">
        <f>IF(I!K839="","",$D$2*I!K839)</f>
        <v>3.614753776E-3</v>
      </c>
      <c r="L839" s="981"/>
      <c r="M839" s="982"/>
      <c r="N839" s="1003"/>
      <c r="O839" s="1004">
        <f>IF(I!O839="","",$D$2*I!O839)</f>
        <v>0.02</v>
      </c>
      <c r="P839" s="1005">
        <f>IF(I!P839="","",$D$2*I!P839)</f>
        <v>1.2726891625999999E-2</v>
      </c>
      <c r="Q839" s="1006" t="str">
        <f>IF(I!Q839="","",$D$2*I!Q839)</f>
        <v/>
      </c>
      <c r="R839" s="982"/>
      <c r="S839" s="1003"/>
      <c r="T839" s="938"/>
      <c r="U839" s="1008" t="s">
        <v>1059</v>
      </c>
      <c r="V839" s="1018" t="s">
        <v>6684</v>
      </c>
      <c r="W839" s="1019">
        <f>IF(I!W839="","",$D$2*I!W839)</f>
        <v>0.11411668150000001</v>
      </c>
      <c r="X839" s="990">
        <f>IF(I!X839="","",$D$2*I!X839)</f>
        <v>7.8667693319999996E-2</v>
      </c>
      <c r="Y839" s="1010">
        <f>IF(I!Y839="","",$D$2*I!Y839)</f>
        <v>0.16419484250000002</v>
      </c>
      <c r="Z839" s="938"/>
      <c r="AA839" s="938"/>
      <c r="AB839" s="938"/>
      <c r="AC839" s="938"/>
      <c r="AD839" s="1058"/>
      <c r="AE839" s="938"/>
      <c r="AF839" s="938"/>
      <c r="AG839" s="938"/>
      <c r="AH839" s="938"/>
    </row>
    <row r="840" spans="1:34" ht="17.25" customHeight="1" x14ac:dyDescent="0.35">
      <c r="A840" s="938"/>
      <c r="B840" s="938"/>
      <c r="C840" s="941"/>
      <c r="D840" s="1047"/>
      <c r="E840" s="941"/>
      <c r="F840" s="938"/>
      <c r="G840" s="976">
        <f t="shared" si="15"/>
        <v>837</v>
      </c>
      <c r="H840" s="942"/>
      <c r="I840" s="1001" t="s">
        <v>1059</v>
      </c>
      <c r="J840" s="1031" t="s">
        <v>1879</v>
      </c>
      <c r="K840" s="1002">
        <f>IF(I!K840="","",$D$2*I!K840)</f>
        <v>3.614753776E-3</v>
      </c>
      <c r="L840" s="981"/>
      <c r="M840" s="982"/>
      <c r="N840" s="1003"/>
      <c r="O840" s="1004">
        <f>IF(I!O840="","",$D$2*I!O840)</f>
        <v>0.3</v>
      </c>
      <c r="P840" s="1005">
        <f>IF(I!P840="","",$D$2*I!P840)</f>
        <v>2.9827268630089998</v>
      </c>
      <c r="Q840" s="1006" t="str">
        <f>IF(I!Q840="","",$D$2*I!Q840)</f>
        <v/>
      </c>
      <c r="R840" s="982"/>
      <c r="S840" s="1003"/>
      <c r="T840" s="938"/>
      <c r="U840" s="1008" t="s">
        <v>1059</v>
      </c>
      <c r="V840" s="1018" t="s">
        <v>6685</v>
      </c>
      <c r="W840" s="1019">
        <f>IF(I!W840="","",$D$2*I!W840)</f>
        <v>0.109073922</v>
      </c>
      <c r="X840" s="990">
        <f>IF(I!X840="","",$D$2*I!X840)</f>
        <v>0.10266190577000001</v>
      </c>
      <c r="Y840" s="1010">
        <f>IF(I!Y840="","",$D$2*I!Y840)</f>
        <v>0.159703437</v>
      </c>
      <c r="Z840" s="938"/>
      <c r="AA840" s="938"/>
      <c r="AB840" s="938"/>
      <c r="AC840" s="938"/>
      <c r="AD840" s="1058"/>
      <c r="AE840" s="938"/>
      <c r="AF840" s="938"/>
      <c r="AG840" s="938"/>
      <c r="AH840" s="938"/>
    </row>
    <row r="841" spans="1:34" ht="17.25" customHeight="1" x14ac:dyDescent="0.35">
      <c r="A841" s="938"/>
      <c r="B841" s="938"/>
      <c r="C841" s="941"/>
      <c r="D841" s="1047"/>
      <c r="E841" s="941"/>
      <c r="F841" s="938"/>
      <c r="G841" s="976">
        <f t="shared" si="15"/>
        <v>838</v>
      </c>
      <c r="H841" s="942" t="s">
        <v>1880</v>
      </c>
      <c r="I841" s="1060"/>
      <c r="J841" s="1027"/>
      <c r="K841" s="1002" t="str">
        <f>IF(I!K841="","",$D$2*I!K841)</f>
        <v/>
      </c>
      <c r="L841" s="981"/>
      <c r="M841" s="982"/>
      <c r="N841" s="1003"/>
      <c r="O841" s="1004" t="str">
        <f>IF(I!O841="","",$D$2*I!O841)</f>
        <v/>
      </c>
      <c r="P841" s="1005" t="str">
        <f>IF(I!P841="","",$D$2*I!P841)</f>
        <v/>
      </c>
      <c r="Q841" s="1006" t="str">
        <f>IF(I!Q841="","",$D$2*I!Q841)</f>
        <v/>
      </c>
      <c r="R841" s="982"/>
      <c r="S841" s="1003"/>
      <c r="T841" s="938"/>
      <c r="U841" s="1008" t="s">
        <v>1059</v>
      </c>
      <c r="V841" s="1018" t="s">
        <v>6686</v>
      </c>
      <c r="W841" s="1019">
        <f>IF(I!W841="","",$D$2*I!W841)</f>
        <v>9.2144270579999993E-2</v>
      </c>
      <c r="X841" s="990">
        <f>IF(I!X841="","",$D$2*I!X841)</f>
        <v>7.5271816679999992E-2</v>
      </c>
      <c r="Y841" s="1010">
        <f>IF(I!Y841="","",$D$2*I!Y841)</f>
        <v>0.13617144957999999</v>
      </c>
      <c r="Z841" s="938"/>
      <c r="AA841" s="938"/>
      <c r="AB841" s="938"/>
      <c r="AC841" s="938"/>
      <c r="AD841" s="1058"/>
      <c r="AE841" s="938"/>
      <c r="AF841" s="938"/>
      <c r="AG841" s="938"/>
      <c r="AH841" s="938"/>
    </row>
    <row r="842" spans="1:34" ht="17.25" customHeight="1" x14ac:dyDescent="0.35">
      <c r="A842" s="938"/>
      <c r="B842" s="938"/>
      <c r="C842" s="941"/>
      <c r="D842" s="1047"/>
      <c r="E842" s="941"/>
      <c r="F842" s="938"/>
      <c r="G842" s="976">
        <f t="shared" si="15"/>
        <v>839</v>
      </c>
      <c r="H842" s="1000">
        <v>1</v>
      </c>
      <c r="I842" s="1001" t="s">
        <v>1059</v>
      </c>
      <c r="J842" s="1031" t="s">
        <v>1881</v>
      </c>
      <c r="K842" s="1002">
        <f>IF(I!K842="","",$D$2*I!K842)</f>
        <v>5.0892825799999999E-2</v>
      </c>
      <c r="L842" s="981"/>
      <c r="M842" s="982"/>
      <c r="N842" s="1003"/>
      <c r="O842" s="1004">
        <f>IF(I!O842="","",$D$2*I!O842)</f>
        <v>0.1</v>
      </c>
      <c r="P842" s="1005">
        <f>IF(I!P842="","",$D$2*I!P842)</f>
        <v>9.5162667000000006E-2</v>
      </c>
      <c r="Q842" s="1006" t="str">
        <f>IF(I!Q842="","",$D$2*I!Q842)</f>
        <v/>
      </c>
      <c r="R842" s="982"/>
      <c r="S842" s="1003"/>
      <c r="T842" s="938"/>
      <c r="U842" s="1008" t="s">
        <v>1059</v>
      </c>
      <c r="V842" s="1018" t="s">
        <v>6687</v>
      </c>
      <c r="W842" s="1019">
        <f>IF(I!W842="","",$D$2*I!W842)</f>
        <v>0.13881620660000002</v>
      </c>
      <c r="X842" s="990">
        <f>IF(I!X842="","",$D$2*I!X842)</f>
        <v>0.15851008879</v>
      </c>
      <c r="Y842" s="1010">
        <f>IF(I!Y842="","",$D$2*I!Y842)</f>
        <v>0.20956259860000004</v>
      </c>
      <c r="Z842" s="938"/>
      <c r="AA842" s="938"/>
      <c r="AB842" s="938"/>
      <c r="AC842" s="938"/>
      <c r="AD842" s="1058"/>
      <c r="AE842" s="938"/>
      <c r="AF842" s="938"/>
      <c r="AG842" s="938"/>
      <c r="AH842" s="938"/>
    </row>
    <row r="843" spans="1:34" ht="17.25" customHeight="1" x14ac:dyDescent="0.35">
      <c r="A843" s="938"/>
      <c r="B843" s="938"/>
      <c r="C843" s="941"/>
      <c r="D843" s="1047"/>
      <c r="E843" s="941"/>
      <c r="F843" s="938"/>
      <c r="G843" s="976">
        <f t="shared" si="15"/>
        <v>840</v>
      </c>
      <c r="H843" s="1000">
        <v>1</v>
      </c>
      <c r="I843" s="1001" t="s">
        <v>1059</v>
      </c>
      <c r="J843" s="1031" t="s">
        <v>1882</v>
      </c>
      <c r="K843" s="1002">
        <f>IF(I!K843="","",$D$2*I!K843)</f>
        <v>5.4072343000000009E-3</v>
      </c>
      <c r="L843" s="981"/>
      <c r="M843" s="982"/>
      <c r="N843" s="1003"/>
      <c r="O843" s="1004">
        <f>IF(I!O843="","",$D$2*I!O843)</f>
        <v>-0.02</v>
      </c>
      <c r="P843" s="1005">
        <f>IF(I!P843="","",$D$2*I!P843)</f>
        <v>0.10362696</v>
      </c>
      <c r="Q843" s="1006" t="str">
        <f>IF(I!Q843="","",$D$2*I!Q843)</f>
        <v/>
      </c>
      <c r="R843" s="982"/>
      <c r="S843" s="1003"/>
      <c r="T843" s="938"/>
      <c r="U843" s="1008" t="s">
        <v>1059</v>
      </c>
      <c r="V843" s="1018" t="s">
        <v>6688</v>
      </c>
      <c r="W843" s="1019">
        <f>IF(I!W843="","",$D$2*I!W843)</f>
        <v>9.1515350849999996E-2</v>
      </c>
      <c r="X843" s="990">
        <f>IF(I!X843="","",$D$2*I!X843)</f>
        <v>8.0917234970000002E-2</v>
      </c>
      <c r="Y843" s="1010">
        <f>IF(I!Y843="","",$D$2*I!Y843)</f>
        <v>0.13875317085</v>
      </c>
      <c r="Z843" s="938"/>
      <c r="AA843" s="938"/>
      <c r="AB843" s="938"/>
      <c r="AC843" s="938"/>
      <c r="AD843" s="1058"/>
      <c r="AE843" s="938"/>
      <c r="AF843" s="938"/>
      <c r="AG843" s="938"/>
      <c r="AH843" s="938"/>
    </row>
    <row r="844" spans="1:34" ht="17.25" customHeight="1" x14ac:dyDescent="0.35">
      <c r="A844" s="938"/>
      <c r="B844" s="938"/>
      <c r="C844" s="941"/>
      <c r="D844" s="1047"/>
      <c r="E844" s="941"/>
      <c r="F844" s="938"/>
      <c r="G844" s="976">
        <f t="shared" si="15"/>
        <v>841</v>
      </c>
      <c r="H844" s="1071"/>
      <c r="I844" s="1001" t="s">
        <v>1059</v>
      </c>
      <c r="J844" s="1031" t="s">
        <v>1883</v>
      </c>
      <c r="K844" s="1002">
        <f>IF(I!K844="","",$D$2*I!K844)</f>
        <v>4.0152823080000007E-3</v>
      </c>
      <c r="L844" s="981"/>
      <c r="M844" s="982"/>
      <c r="N844" s="1003"/>
      <c r="O844" s="1004">
        <f>IF(I!O844="","",$D$2*I!O844)</f>
        <v>0.02</v>
      </c>
      <c r="P844" s="1005">
        <f>IF(I!P844="","",$D$2*I!P844)</f>
        <v>1.1465106627999998E-2</v>
      </c>
      <c r="Q844" s="1006" t="str">
        <f>IF(I!Q844="","",$D$2*I!Q844)</f>
        <v/>
      </c>
      <c r="R844" s="982"/>
      <c r="S844" s="1003"/>
      <c r="T844" s="938"/>
      <c r="U844" s="1008" t="s">
        <v>1059</v>
      </c>
      <c r="V844" s="1018" t="s">
        <v>6689</v>
      </c>
      <c r="W844" s="1019">
        <f>IF(I!W844="","",$D$2*I!W844)</f>
        <v>0.16108174619999999</v>
      </c>
      <c r="X844" s="990">
        <f>IF(I!X844="","",$D$2*I!X844)</f>
        <v>0.13643492388</v>
      </c>
      <c r="Y844" s="1010">
        <f>IF(I!Y844="","",$D$2*I!Y844)</f>
        <v>0.21401903719999998</v>
      </c>
      <c r="Z844" s="938"/>
      <c r="AA844" s="938"/>
      <c r="AB844" s="938"/>
      <c r="AC844" s="938"/>
      <c r="AD844" s="1058"/>
      <c r="AE844" s="938"/>
      <c r="AF844" s="938"/>
      <c r="AG844" s="938"/>
      <c r="AH844" s="938"/>
    </row>
    <row r="845" spans="1:34" ht="17.25" customHeight="1" x14ac:dyDescent="0.35">
      <c r="A845" s="938"/>
      <c r="B845" s="938"/>
      <c r="C845" s="941"/>
      <c r="D845" s="1047"/>
      <c r="E845" s="941"/>
      <c r="F845" s="938"/>
      <c r="G845" s="976">
        <f t="shared" si="15"/>
        <v>842</v>
      </c>
      <c r="H845" s="1072"/>
      <c r="I845" s="1001" t="s">
        <v>1059</v>
      </c>
      <c r="J845" s="1031" t="s">
        <v>1884</v>
      </c>
      <c r="K845" s="1002">
        <f>IF(I!K845="","",$D$2*I!K845)</f>
        <v>1.71856860229</v>
      </c>
      <c r="L845" s="981"/>
      <c r="M845" s="982"/>
      <c r="N845" s="1003"/>
      <c r="O845" s="1004">
        <f>IF(I!O845="","",$D$2*I!O845)</f>
        <v>1.74</v>
      </c>
      <c r="P845" s="1005">
        <f>IF(I!P845="","",$D$2*I!P845)</f>
        <v>2.1441384970999997E-2</v>
      </c>
      <c r="Q845" s="1006" t="str">
        <f>IF(I!Q845="","",$D$2*I!Q845)</f>
        <v/>
      </c>
      <c r="R845" s="982"/>
      <c r="S845" s="1003"/>
      <c r="T845" s="938"/>
      <c r="U845" s="1008" t="s">
        <v>1059</v>
      </c>
      <c r="V845" s="1018" t="s">
        <v>6690</v>
      </c>
      <c r="W845" s="1019">
        <f>IF(I!W845="","",$D$2*I!W845)</f>
        <v>0.11379400960000001</v>
      </c>
      <c r="X845" s="990">
        <f>IF(I!X845="","",$D$2*I!X845)</f>
        <v>0.13501465022</v>
      </c>
      <c r="Y845" s="1010">
        <f>IF(I!Y845="","",$D$2*I!Y845)</f>
        <v>0.1691177036</v>
      </c>
      <c r="Z845" s="938"/>
      <c r="AA845" s="938"/>
      <c r="AB845" s="938"/>
      <c r="AC845" s="938"/>
      <c r="AD845" s="1058"/>
      <c r="AE845" s="938"/>
      <c r="AF845" s="938"/>
      <c r="AG845" s="938"/>
      <c r="AH845" s="938"/>
    </row>
    <row r="846" spans="1:34" ht="17.25" customHeight="1" x14ac:dyDescent="0.35">
      <c r="A846" s="938"/>
      <c r="B846" s="938"/>
      <c r="C846" s="941"/>
      <c r="D846" s="1047"/>
      <c r="E846" s="941"/>
      <c r="F846" s="938"/>
      <c r="G846" s="976">
        <f t="shared" si="15"/>
        <v>843</v>
      </c>
      <c r="H846" s="1072"/>
      <c r="I846" s="1001" t="s">
        <v>1059</v>
      </c>
      <c r="J846" s="1031" t="s">
        <v>1885</v>
      </c>
      <c r="K846" s="1002">
        <f>IF(I!K846="","",$D$2*I!K846)</f>
        <v>1.1974574734E-2</v>
      </c>
      <c r="L846" s="981"/>
      <c r="M846" s="982"/>
      <c r="N846" s="1003"/>
      <c r="O846" s="1004">
        <f>IF(I!O846="","",$D$2*I!O846)</f>
        <v>0.04</v>
      </c>
      <c r="P846" s="1005">
        <f>IF(I!P846="","",$D$2*I!P846)</f>
        <v>5.9049791745999995E-2</v>
      </c>
      <c r="Q846" s="1006" t="str">
        <f>IF(I!Q846="","",$D$2*I!Q846)</f>
        <v/>
      </c>
      <c r="R846" s="982"/>
      <c r="S846" s="1003"/>
      <c r="T846" s="938"/>
      <c r="U846" s="1008" t="s">
        <v>1059</v>
      </c>
      <c r="V846" s="1018" t="s">
        <v>6691</v>
      </c>
      <c r="W846" s="1019">
        <f>IF(I!W846="","",$D$2*I!W846)</f>
        <v>0.130718052</v>
      </c>
      <c r="X846" s="990">
        <f>IF(I!X846="","",$D$2*I!X846)</f>
        <v>7.8671105919999998E-2</v>
      </c>
      <c r="Y846" s="1010">
        <f>IF(I!Y846="","",$D$2*I!Y846)</f>
        <v>0.186733553</v>
      </c>
      <c r="Z846" s="938"/>
      <c r="AA846" s="938"/>
      <c r="AB846" s="938"/>
      <c r="AC846" s="938"/>
      <c r="AD846" s="1058"/>
      <c r="AE846" s="938"/>
      <c r="AF846" s="938"/>
      <c r="AG846" s="938"/>
      <c r="AH846" s="938"/>
    </row>
    <row r="847" spans="1:34" ht="17.25" customHeight="1" x14ac:dyDescent="0.35">
      <c r="A847" s="938"/>
      <c r="B847" s="938"/>
      <c r="C847" s="941"/>
      <c r="D847" s="1047"/>
      <c r="E847" s="941"/>
      <c r="F847" s="938"/>
      <c r="G847" s="976">
        <f t="shared" si="15"/>
        <v>844</v>
      </c>
      <c r="H847" s="1072"/>
      <c r="I847" s="1001" t="s">
        <v>1059</v>
      </c>
      <c r="J847" s="1031" t="s">
        <v>1886</v>
      </c>
      <c r="K847" s="1002">
        <f>IF(I!K847="","",$D$2*I!K847)</f>
        <v>9.2399700000000001E-3</v>
      </c>
      <c r="L847" s="981"/>
      <c r="M847" s="982"/>
      <c r="N847" s="1003"/>
      <c r="O847" s="1004">
        <f>IF(I!O847="","",$D$2*I!O847)</f>
        <v>0.03</v>
      </c>
      <c r="P847" s="1005">
        <f>IF(I!P847="","",$D$2*I!P847)</f>
        <v>4.8800000000000003E-2</v>
      </c>
      <c r="Q847" s="1006" t="str">
        <f>IF(I!Q847="","",$D$2*I!Q847)</f>
        <v/>
      </c>
      <c r="R847" s="982"/>
      <c r="S847" s="1003"/>
      <c r="T847" s="938"/>
      <c r="U847" s="1008" t="s">
        <v>1059</v>
      </c>
      <c r="V847" s="1018" t="s">
        <v>6692</v>
      </c>
      <c r="W847" s="1019">
        <f>IF(I!W847="","",$D$2*I!W847)</f>
        <v>0.1059046491</v>
      </c>
      <c r="X847" s="990">
        <f>IF(I!X847="","",$D$2*I!X847)</f>
        <v>0.12943548472999999</v>
      </c>
      <c r="Y847" s="1010">
        <f>IF(I!Y847="","",$D$2*I!Y847)</f>
        <v>0.1579987601</v>
      </c>
      <c r="Z847" s="938"/>
      <c r="AA847" s="938"/>
      <c r="AB847" s="938"/>
      <c r="AC847" s="938"/>
      <c r="AD847" s="1058"/>
      <c r="AE847" s="938"/>
      <c r="AF847" s="938"/>
      <c r="AG847" s="938"/>
      <c r="AH847" s="938"/>
    </row>
    <row r="848" spans="1:34" ht="17.25" customHeight="1" x14ac:dyDescent="0.35">
      <c r="A848" s="938"/>
      <c r="B848" s="938"/>
      <c r="C848" s="941"/>
      <c r="D848" s="1047"/>
      <c r="E848" s="941"/>
      <c r="F848" s="938"/>
      <c r="G848" s="976">
        <f t="shared" si="15"/>
        <v>845</v>
      </c>
      <c r="H848" s="1072"/>
      <c r="I848" s="1001" t="s">
        <v>1059</v>
      </c>
      <c r="J848" s="1031" t="s">
        <v>1887</v>
      </c>
      <c r="K848" s="1002">
        <f>IF(I!K848="","",$D$2*I!K848)</f>
        <v>8.7081610259999997E-3</v>
      </c>
      <c r="L848" s="981"/>
      <c r="M848" s="982"/>
      <c r="N848" s="1003"/>
      <c r="O848" s="1004">
        <f>IF(I!O848="","",$D$2*I!O848)</f>
        <v>0.03</v>
      </c>
      <c r="P848" s="1005">
        <f>IF(I!P848="","",$D$2*I!P848)</f>
        <v>8.9622425640000017E-3</v>
      </c>
      <c r="Q848" s="1006" t="str">
        <f>IF(I!Q848="","",$D$2*I!Q848)</f>
        <v/>
      </c>
      <c r="R848" s="982"/>
      <c r="S848" s="1003"/>
      <c r="T848" s="938"/>
      <c r="U848" s="1008" t="s">
        <v>1059</v>
      </c>
      <c r="V848" s="1018" t="s">
        <v>6693</v>
      </c>
      <c r="W848" s="1019">
        <f>IF(I!W848="","",$D$2*I!W848)</f>
        <v>0.123355496</v>
      </c>
      <c r="X848" s="990">
        <f>IF(I!X848="","",$D$2*I!X848)</f>
        <v>0.12413731590000002</v>
      </c>
      <c r="Y848" s="1010">
        <f>IF(I!Y848="","",$D$2*I!Y848)</f>
        <v>0.184233335</v>
      </c>
      <c r="Z848" s="938"/>
      <c r="AA848" s="938"/>
      <c r="AB848" s="938"/>
      <c r="AC848" s="938"/>
      <c r="AD848" s="1058"/>
      <c r="AE848" s="938"/>
      <c r="AF848" s="938"/>
      <c r="AG848" s="938"/>
      <c r="AH848" s="938"/>
    </row>
    <row r="849" spans="1:34" ht="17.25" customHeight="1" x14ac:dyDescent="0.35">
      <c r="A849" s="938"/>
      <c r="B849" s="938"/>
      <c r="C849" s="941"/>
      <c r="D849" s="1047"/>
      <c r="E849" s="941"/>
      <c r="F849" s="938"/>
      <c r="G849" s="976">
        <f t="shared" si="15"/>
        <v>846</v>
      </c>
      <c r="H849" s="1072"/>
      <c r="I849" s="1001" t="s">
        <v>1059</v>
      </c>
      <c r="J849" s="1031" t="s">
        <v>1888</v>
      </c>
      <c r="K849" s="1002">
        <f>IF(I!K849="","",$D$2*I!K849)</f>
        <v>4.044091583E-2</v>
      </c>
      <c r="L849" s="981"/>
      <c r="M849" s="982"/>
      <c r="N849" s="1003"/>
      <c r="O849" s="1004">
        <f>IF(I!O849="","",$D$2*I!O849)</f>
        <v>0.13</v>
      </c>
      <c r="P849" s="1005">
        <f>IF(I!P849="","",$D$2*I!P849)</f>
        <v>8.9229001710000005E-2</v>
      </c>
      <c r="Q849" s="1006" t="str">
        <f>IF(I!Q849="","",$D$2*I!Q849)</f>
        <v/>
      </c>
      <c r="R849" s="982"/>
      <c r="S849" s="1003"/>
      <c r="T849" s="938"/>
      <c r="U849" s="1008" t="s">
        <v>1059</v>
      </c>
      <c r="V849" s="1018" t="s">
        <v>6694</v>
      </c>
      <c r="W849" s="1019">
        <f>IF(I!W849="","",$D$2*I!W849)</f>
        <v>8.8678376399999981E-2</v>
      </c>
      <c r="X849" s="990">
        <f>IF(I!X849="","",$D$2*I!X849)</f>
        <v>0.17734765784000001</v>
      </c>
      <c r="Y849" s="1010">
        <f>IF(I!Y849="","",$D$2*I!Y849)</f>
        <v>0.14273420739999998</v>
      </c>
      <c r="Z849" s="938"/>
      <c r="AA849" s="938"/>
      <c r="AB849" s="938"/>
      <c r="AC849" s="938"/>
      <c r="AD849" s="1058"/>
      <c r="AE849" s="938"/>
      <c r="AF849" s="938"/>
      <c r="AG849" s="938"/>
      <c r="AH849" s="938"/>
    </row>
    <row r="850" spans="1:34" ht="17.25" customHeight="1" x14ac:dyDescent="0.35">
      <c r="A850" s="938"/>
      <c r="B850" s="938"/>
      <c r="C850" s="941"/>
      <c r="D850" s="1047"/>
      <c r="E850" s="941"/>
      <c r="F850" s="938"/>
      <c r="G850" s="976">
        <f t="shared" si="15"/>
        <v>847</v>
      </c>
      <c r="H850" s="1072"/>
      <c r="I850" s="1001" t="s">
        <v>1059</v>
      </c>
      <c r="J850" s="1031" t="s">
        <v>1889</v>
      </c>
      <c r="K850" s="1002">
        <f>IF(I!K850="","",$D$2*I!K850)</f>
        <v>1.7261659500000002E-2</v>
      </c>
      <c r="L850" s="981"/>
      <c r="M850" s="982"/>
      <c r="N850" s="1003"/>
      <c r="O850" s="1004">
        <f>IF(I!O850="","",$D$2*I!O850)</f>
        <v>7.0000000000000007E-2</v>
      </c>
      <c r="P850" s="1005">
        <f>IF(I!P850="","",$D$2*I!P850)</f>
        <v>7.9968239999999996E-3</v>
      </c>
      <c r="Q850" s="1006" t="str">
        <f>IF(I!Q850="","",$D$2*I!Q850)</f>
        <v/>
      </c>
      <c r="R850" s="982"/>
      <c r="S850" s="1003"/>
      <c r="T850" s="938"/>
      <c r="U850" s="1008" t="s">
        <v>1059</v>
      </c>
      <c r="V850" s="1018" t="s">
        <v>6695</v>
      </c>
      <c r="W850" s="1019">
        <f>IF(I!W850="","",$D$2*I!W850)</f>
        <v>0.10071216528</v>
      </c>
      <c r="X850" s="990">
        <f>IF(I!X850="","",$D$2*I!X850)</f>
        <v>7.5212252009999994E-2</v>
      </c>
      <c r="Y850" s="1010">
        <f>IF(I!Y850="","",$D$2*I!Y850)</f>
        <v>0.14826994428000001</v>
      </c>
      <c r="Z850" s="938"/>
      <c r="AA850" s="938"/>
      <c r="AB850" s="938"/>
      <c r="AC850" s="938"/>
      <c r="AD850" s="1058"/>
      <c r="AE850" s="938"/>
      <c r="AF850" s="938"/>
      <c r="AG850" s="938"/>
      <c r="AH850" s="938"/>
    </row>
    <row r="851" spans="1:34" ht="17.25" customHeight="1" x14ac:dyDescent="0.35">
      <c r="A851" s="938"/>
      <c r="B851" s="938"/>
      <c r="C851" s="941"/>
      <c r="D851" s="1047"/>
      <c r="E851" s="941"/>
      <c r="F851" s="938"/>
      <c r="G851" s="976">
        <f t="shared" si="15"/>
        <v>848</v>
      </c>
      <c r="H851" s="1072"/>
      <c r="I851" s="1001" t="s">
        <v>1059</v>
      </c>
      <c r="J851" s="1031" t="s">
        <v>1890</v>
      </c>
      <c r="K851" s="1002">
        <f>IF(I!K851="","",$D$2*I!K851)</f>
        <v>3.9715051129999998E-2</v>
      </c>
      <c r="L851" s="981"/>
      <c r="M851" s="982"/>
      <c r="N851" s="1003"/>
      <c r="O851" s="1004">
        <f>IF(I!O851="","",$D$2*I!O851)</f>
        <v>0.14000000000000001</v>
      </c>
      <c r="P851" s="1005">
        <f>IF(I!P851="","",$D$2*I!P851)</f>
        <v>8.7850407968000005E-2</v>
      </c>
      <c r="Q851" s="1006" t="str">
        <f>IF(I!Q851="","",$D$2*I!Q851)</f>
        <v/>
      </c>
      <c r="R851" s="982"/>
      <c r="S851" s="1003"/>
      <c r="T851" s="938"/>
      <c r="U851" s="1008"/>
      <c r="V851" s="1040"/>
      <c r="W851" s="1019" t="str">
        <f>IF(I!W851="","",$D$2*I!W851)</f>
        <v/>
      </c>
      <c r="X851" s="990" t="str">
        <f>IF(I!X851="","",$D$2*I!X851)</f>
        <v/>
      </c>
      <c r="Y851" s="1010" t="str">
        <f>IF(I!Y851="","",$D$2*I!Y851)</f>
        <v/>
      </c>
      <c r="Z851" s="938"/>
      <c r="AA851" s="938"/>
      <c r="AB851" s="938"/>
      <c r="AC851" s="938"/>
      <c r="AD851" s="1058"/>
      <c r="AE851" s="938"/>
      <c r="AF851" s="938"/>
      <c r="AG851" s="938"/>
      <c r="AH851" s="938"/>
    </row>
    <row r="852" spans="1:34" ht="17.25" customHeight="1" x14ac:dyDescent="0.35">
      <c r="A852" s="938"/>
      <c r="B852" s="938"/>
      <c r="C852" s="941"/>
      <c r="D852" s="1047"/>
      <c r="E852" s="941"/>
      <c r="F852" s="938"/>
      <c r="G852" s="976">
        <f t="shared" si="15"/>
        <v>849</v>
      </c>
      <c r="H852" s="1000">
        <v>1</v>
      </c>
      <c r="I852" s="1001" t="s">
        <v>1059</v>
      </c>
      <c r="J852" s="1031" t="s">
        <v>1891</v>
      </c>
      <c r="K852" s="1002">
        <f>IF(I!K852="","",$D$2*I!K852)</f>
        <v>4.2460942899999993E-2</v>
      </c>
      <c r="L852" s="981"/>
      <c r="M852" s="982"/>
      <c r="N852" s="1003"/>
      <c r="O852" s="1004">
        <f>IF(I!O852="","",$D$2*I!O852)</f>
        <v>0.15</v>
      </c>
      <c r="P852" s="1005">
        <f>IF(I!P852="","",$D$2*I!P852)</f>
        <v>5.5921370790000006E-3</v>
      </c>
      <c r="Q852" s="1006" t="str">
        <f>IF(I!Q852="","",$D$2*I!Q852)</f>
        <v/>
      </c>
      <c r="R852" s="982"/>
      <c r="S852" s="1003"/>
      <c r="T852" s="938"/>
      <c r="U852" s="1008"/>
      <c r="V852" s="1009" t="s">
        <v>6696</v>
      </c>
      <c r="W852" s="1019" t="str">
        <f>IF(I!W852="","",$D$2*I!W852)</f>
        <v/>
      </c>
      <c r="X852" s="990" t="str">
        <f>IF(I!X852="","",$D$2*I!X852)</f>
        <v/>
      </c>
      <c r="Y852" s="1010" t="str">
        <f>IF(I!Y852="","",$D$2*I!Y852)</f>
        <v/>
      </c>
      <c r="Z852" s="938"/>
      <c r="AA852" s="938"/>
      <c r="AB852" s="938"/>
      <c r="AC852" s="938"/>
      <c r="AD852" s="1058"/>
      <c r="AE852" s="938"/>
      <c r="AF852" s="938"/>
      <c r="AG852" s="938"/>
      <c r="AH852" s="938"/>
    </row>
    <row r="853" spans="1:34" ht="17.25" customHeight="1" x14ac:dyDescent="0.35">
      <c r="A853" s="938"/>
      <c r="B853" s="938"/>
      <c r="C853" s="941"/>
      <c r="D853" s="1047"/>
      <c r="E853" s="941"/>
      <c r="F853" s="938"/>
      <c r="G853" s="976">
        <f t="shared" si="15"/>
        <v>850</v>
      </c>
      <c r="H853" s="1000">
        <v>1</v>
      </c>
      <c r="I853" s="1001" t="s">
        <v>1059</v>
      </c>
      <c r="J853" s="1031" t="s">
        <v>1892</v>
      </c>
      <c r="K853" s="1002">
        <f>IF(I!K853="","",$D$2*I!K853)</f>
        <v>3.344378647E-2</v>
      </c>
      <c r="L853" s="981"/>
      <c r="M853" s="982"/>
      <c r="N853" s="1003"/>
      <c r="O853" s="1004">
        <f>IF(I!O853="","",$D$2*I!O853)</f>
        <v>0.14000000000000001</v>
      </c>
      <c r="P853" s="1005">
        <f>IF(I!P853="","",$D$2*I!P853)</f>
        <v>5.5977984979999999E-3</v>
      </c>
      <c r="Q853" s="1006" t="str">
        <f>IF(I!Q853="","",$D$2*I!Q853)</f>
        <v/>
      </c>
      <c r="R853" s="982"/>
      <c r="S853" s="1003"/>
      <c r="T853" s="938"/>
      <c r="U853" s="1008" t="s">
        <v>1059</v>
      </c>
      <c r="V853" s="1018" t="s">
        <v>6697</v>
      </c>
      <c r="W853" s="1019">
        <f>IF(I!W853="","",$D$2*I!W853)</f>
        <v>5.6105220300000001E-2</v>
      </c>
      <c r="X853" s="990">
        <f>IF(I!X853="","",$D$2*I!X853)</f>
        <v>0.27558463934999999</v>
      </c>
      <c r="Y853" s="1010">
        <f>IF(I!Y853="","",$D$2*I!Y853)</f>
        <v>0.81958819029999996</v>
      </c>
      <c r="Z853" s="938"/>
      <c r="AA853" s="938"/>
      <c r="AB853" s="938"/>
      <c r="AC853" s="938"/>
      <c r="AD853" s="1058"/>
      <c r="AE853" s="938"/>
      <c r="AF853" s="938"/>
      <c r="AG853" s="938"/>
      <c r="AH853" s="938"/>
    </row>
    <row r="854" spans="1:34" ht="17.25" customHeight="1" x14ac:dyDescent="0.35">
      <c r="A854" s="938"/>
      <c r="B854" s="938"/>
      <c r="C854" s="941"/>
      <c r="D854" s="1047"/>
      <c r="E854" s="941"/>
      <c r="F854" s="938"/>
      <c r="G854" s="976">
        <f t="shared" si="15"/>
        <v>851</v>
      </c>
      <c r="H854" s="1000">
        <v>1</v>
      </c>
      <c r="I854" s="1001" t="s">
        <v>1059</v>
      </c>
      <c r="J854" s="1031" t="s">
        <v>1893</v>
      </c>
      <c r="K854" s="1002">
        <f>IF(I!K854="","",$D$2*I!K854)</f>
        <v>9.6017433500000006E-3</v>
      </c>
      <c r="L854" s="981"/>
      <c r="M854" s="982"/>
      <c r="N854" s="1003"/>
      <c r="O854" s="1004">
        <f>IF(I!O854="","",$D$2*I!O854)</f>
        <v>0.04</v>
      </c>
      <c r="P854" s="1005">
        <f>IF(I!P854="","",$D$2*I!P854)</f>
        <v>1.3699335182E-2</v>
      </c>
      <c r="Q854" s="1006" t="str">
        <f>IF(I!Q854="","",$D$2*I!Q854)</f>
        <v/>
      </c>
      <c r="R854" s="982"/>
      <c r="S854" s="1003"/>
      <c r="T854" s="938"/>
      <c r="U854" s="1008" t="s">
        <v>1059</v>
      </c>
      <c r="V854" s="1018" t="s">
        <v>6698</v>
      </c>
      <c r="W854" s="1019">
        <f>IF(I!W854="","",$D$2*I!W854)</f>
        <v>9.3774831099999983E-2</v>
      </c>
      <c r="X854" s="990">
        <f>IF(I!X854="","",$D$2*I!X854)</f>
        <v>0.24968529926999999</v>
      </c>
      <c r="Y854" s="1010">
        <f>IF(I!Y854="","",$D$2*I!Y854)</f>
        <v>0.70714440109999999</v>
      </c>
      <c r="Z854" s="938"/>
      <c r="AA854" s="938"/>
      <c r="AB854" s="938"/>
      <c r="AC854" s="938"/>
      <c r="AD854" s="1058"/>
      <c r="AE854" s="938"/>
      <c r="AF854" s="938"/>
      <c r="AG854" s="938"/>
      <c r="AH854" s="938"/>
    </row>
    <row r="855" spans="1:34" ht="17.25" customHeight="1" x14ac:dyDescent="0.35">
      <c r="A855" s="938"/>
      <c r="B855" s="938"/>
      <c r="C855" s="941"/>
      <c r="D855" s="1047"/>
      <c r="E855" s="941"/>
      <c r="F855" s="938"/>
      <c r="G855" s="976">
        <f t="shared" si="15"/>
        <v>852</v>
      </c>
      <c r="H855" s="1000">
        <v>1</v>
      </c>
      <c r="I855" s="1001" t="s">
        <v>1059</v>
      </c>
      <c r="J855" s="1031" t="s">
        <v>1894</v>
      </c>
      <c r="K855" s="1002">
        <f>IF(I!K855="","",$D$2*I!K855)</f>
        <v>3.745867848E-2</v>
      </c>
      <c r="L855" s="981"/>
      <c r="M855" s="982"/>
      <c r="N855" s="1003"/>
      <c r="O855" s="1004">
        <f>IF(I!O855="","",$D$2*I!O855)</f>
        <v>0.05</v>
      </c>
      <c r="P855" s="1005">
        <f>IF(I!P855="","",$D$2*I!P855)</f>
        <v>7.3969450330000006E-2</v>
      </c>
      <c r="Q855" s="1006" t="str">
        <f>IF(I!Q855="","",$D$2*I!Q855)</f>
        <v/>
      </c>
      <c r="R855" s="982"/>
      <c r="S855" s="1003"/>
      <c r="T855" s="938"/>
      <c r="U855" s="1008" t="s">
        <v>1059</v>
      </c>
      <c r="V855" s="1018" t="s">
        <v>6699</v>
      </c>
      <c r="W855" s="1019">
        <f>IF(I!W855="","",$D$2*I!W855)</f>
        <v>9.4637390799999999E-2</v>
      </c>
      <c r="X855" s="990">
        <f>IF(I!X855="","",$D$2*I!X855)</f>
        <v>0.26009039999</v>
      </c>
      <c r="Y855" s="1010">
        <f>IF(I!Y855="","",$D$2*I!Y855)</f>
        <v>0.4371963908</v>
      </c>
      <c r="Z855" s="938"/>
      <c r="AA855" s="938"/>
      <c r="AB855" s="938"/>
      <c r="AC855" s="938"/>
      <c r="AD855" s="1058"/>
      <c r="AE855" s="938"/>
      <c r="AF855" s="938"/>
      <c r="AG855" s="938"/>
      <c r="AH855" s="938"/>
    </row>
    <row r="856" spans="1:34" ht="17.25" customHeight="1" x14ac:dyDescent="0.35">
      <c r="A856" s="938"/>
      <c r="B856" s="938"/>
      <c r="C856" s="941"/>
      <c r="D856" s="1047"/>
      <c r="E856" s="941"/>
      <c r="F856" s="938"/>
      <c r="G856" s="976">
        <f t="shared" si="15"/>
        <v>853</v>
      </c>
      <c r="H856" s="1000">
        <v>1</v>
      </c>
      <c r="I856" s="1001" t="s">
        <v>1059</v>
      </c>
      <c r="J856" s="1031" t="s">
        <v>1895</v>
      </c>
      <c r="K856" s="1002">
        <f>IF(I!K856="","",$D$2*I!K856)</f>
        <v>2.6339216572000002E-2</v>
      </c>
      <c r="L856" s="981"/>
      <c r="M856" s="982"/>
      <c r="N856" s="1003"/>
      <c r="O856" s="1004">
        <f>IF(I!O856="","",$D$2*I!O856)</f>
        <v>0.08</v>
      </c>
      <c r="P856" s="1005">
        <f>IF(I!P856="","",$D$2*I!P856)</f>
        <v>7.4420846865000001E-2</v>
      </c>
      <c r="Q856" s="1006" t="str">
        <f>IF(I!Q856="","",$D$2*I!Q856)</f>
        <v/>
      </c>
      <c r="R856" s="982"/>
      <c r="S856" s="1003"/>
      <c r="T856" s="938"/>
      <c r="U856" s="1008" t="s">
        <v>1059</v>
      </c>
      <c r="V856" s="1018" t="s">
        <v>6700</v>
      </c>
      <c r="W856" s="1019">
        <f>IF(I!W856="","",$D$2*I!W856)</f>
        <v>0.13166032</v>
      </c>
      <c r="X856" s="990">
        <f>IF(I!X856="","",$D$2*I!X856)</f>
        <v>0.26136854475999999</v>
      </c>
      <c r="Y856" s="1010">
        <f>IF(I!Y856="","",$D$2*I!Y856)</f>
        <v>0.63200195999999997</v>
      </c>
      <c r="Z856" s="938"/>
      <c r="AA856" s="938"/>
      <c r="AB856" s="938"/>
      <c r="AC856" s="938"/>
      <c r="AD856" s="1058"/>
      <c r="AE856" s="938"/>
      <c r="AF856" s="938"/>
      <c r="AG856" s="938"/>
      <c r="AH856" s="938"/>
    </row>
    <row r="857" spans="1:34" ht="17.25" customHeight="1" x14ac:dyDescent="0.35">
      <c r="A857" s="938"/>
      <c r="B857" s="938"/>
      <c r="C857" s="941"/>
      <c r="D857" s="1047"/>
      <c r="E857" s="941"/>
      <c r="F857" s="938"/>
      <c r="G857" s="976">
        <f t="shared" si="15"/>
        <v>854</v>
      </c>
      <c r="H857" s="1000">
        <v>1</v>
      </c>
      <c r="I857" s="1001" t="s">
        <v>1059</v>
      </c>
      <c r="J857" s="1031" t="s">
        <v>1896</v>
      </c>
      <c r="K857" s="1002">
        <f>IF(I!K857="","",$D$2*I!K857)</f>
        <v>2.9191273979999998E-2</v>
      </c>
      <c r="L857" s="981"/>
      <c r="M857" s="982"/>
      <c r="N857" s="1003"/>
      <c r="O857" s="1004">
        <f>IF(I!O857="","",$D$2*I!O857)</f>
        <v>0.1</v>
      </c>
      <c r="P857" s="1005">
        <f>IF(I!P857="","",$D$2*I!P857)</f>
        <v>9.5768204726999998E-2</v>
      </c>
      <c r="Q857" s="1006" t="str">
        <f>IF(I!Q857="","",$D$2*I!Q857)</f>
        <v/>
      </c>
      <c r="R857" s="982"/>
      <c r="S857" s="1003"/>
      <c r="T857" s="938"/>
      <c r="U857" s="1008" t="s">
        <v>1059</v>
      </c>
      <c r="V857" s="1018" t="s">
        <v>6701</v>
      </c>
      <c r="W857" s="1019">
        <f>IF(I!W857="","",$D$2*I!W857)</f>
        <v>9.9346942800000004E-2</v>
      </c>
      <c r="X857" s="990">
        <f>IF(I!X857="","",$D$2*I!X857)</f>
        <v>0.25897684930999998</v>
      </c>
      <c r="Y857" s="1010">
        <f>IF(I!Y857="","",$D$2*I!Y857)</f>
        <v>0.40182259279999999</v>
      </c>
      <c r="Z857" s="938"/>
      <c r="AA857" s="938"/>
      <c r="AB857" s="938"/>
      <c r="AC857" s="938"/>
      <c r="AD857" s="1058"/>
      <c r="AE857" s="938"/>
      <c r="AF857" s="938"/>
      <c r="AG857" s="938"/>
      <c r="AH857" s="938"/>
    </row>
    <row r="858" spans="1:34" ht="17.25" customHeight="1" x14ac:dyDescent="0.35">
      <c r="A858" s="938"/>
      <c r="B858" s="938"/>
      <c r="C858" s="941"/>
      <c r="D858" s="1047"/>
      <c r="E858" s="941"/>
      <c r="F858" s="938"/>
      <c r="G858" s="976">
        <f t="shared" si="15"/>
        <v>855</v>
      </c>
      <c r="H858" s="1000"/>
      <c r="I858" s="1060"/>
      <c r="J858" s="1054"/>
      <c r="K858" s="1002" t="str">
        <f>IF(I!K858="","",$D$2*I!K858)</f>
        <v/>
      </c>
      <c r="L858" s="981"/>
      <c r="M858" s="982"/>
      <c r="N858" s="1003"/>
      <c r="O858" s="1004" t="str">
        <f>IF(I!O858="","",$D$2*I!O858)</f>
        <v/>
      </c>
      <c r="P858" s="1005" t="str">
        <f>IF(I!P858="","",$D$2*I!P858)</f>
        <v/>
      </c>
      <c r="Q858" s="1006" t="str">
        <f>IF(I!Q858="","",$D$2*I!Q858)</f>
        <v/>
      </c>
      <c r="R858" s="982"/>
      <c r="S858" s="1003"/>
      <c r="T858" s="938"/>
      <c r="U858" s="1008" t="s">
        <v>1059</v>
      </c>
      <c r="V858" s="1018" t="s">
        <v>6702</v>
      </c>
      <c r="W858" s="1019">
        <f>IF(I!W858="","",$D$2*I!W858)</f>
        <v>0.1364242054</v>
      </c>
      <c r="X858" s="990">
        <f>IF(I!X858="","",$D$2*I!X858)</f>
        <v>0.23586664187999998</v>
      </c>
      <c r="Y858" s="1010">
        <f>IF(I!Y858="","",$D$2*I!Y858)</f>
        <v>0.43465523540000001</v>
      </c>
      <c r="Z858" s="938"/>
      <c r="AA858" s="938"/>
      <c r="AB858" s="938"/>
      <c r="AC858" s="938"/>
      <c r="AD858" s="1058"/>
      <c r="AE858" s="938"/>
      <c r="AF858" s="938"/>
      <c r="AG858" s="938"/>
      <c r="AH858" s="938"/>
    </row>
    <row r="859" spans="1:34" ht="17.25" customHeight="1" x14ac:dyDescent="0.35">
      <c r="A859" s="938"/>
      <c r="B859" s="938"/>
      <c r="C859" s="941"/>
      <c r="D859" s="1047"/>
      <c r="E859" s="941"/>
      <c r="F859" s="938"/>
      <c r="G859" s="976">
        <f t="shared" si="15"/>
        <v>856</v>
      </c>
      <c r="H859" s="942" t="s">
        <v>1897</v>
      </c>
      <c r="I859" s="1073"/>
      <c r="J859" s="1054"/>
      <c r="K859" s="1002" t="str">
        <f>IF(I!K859="","",$D$2*I!K859)</f>
        <v/>
      </c>
      <c r="L859" s="981"/>
      <c r="M859" s="982"/>
      <c r="N859" s="1003"/>
      <c r="O859" s="1004" t="str">
        <f>IF(I!O859="","",$D$2*I!O859)</f>
        <v/>
      </c>
      <c r="P859" s="1005" t="str">
        <f>IF(I!P859="","",$D$2*I!P859)</f>
        <v/>
      </c>
      <c r="Q859" s="1006" t="str">
        <f>IF(I!Q859="","",$D$2*I!Q859)</f>
        <v/>
      </c>
      <c r="R859" s="982"/>
      <c r="S859" s="1003"/>
      <c r="T859" s="938"/>
      <c r="U859" s="1008" t="s">
        <v>1059</v>
      </c>
      <c r="V859" s="1018" t="s">
        <v>6703</v>
      </c>
      <c r="W859" s="1019">
        <f>IF(I!W859="","",$D$2*I!W859)</f>
        <v>9.7290540699999983E-2</v>
      </c>
      <c r="X859" s="990">
        <f>IF(I!X859="","",$D$2*I!X859)</f>
        <v>0.25866608668000002</v>
      </c>
      <c r="Y859" s="1010">
        <f>IF(I!Y859="","",$D$2*I!Y859)</f>
        <v>0.47224635069999998</v>
      </c>
      <c r="Z859" s="938"/>
      <c r="AA859" s="938"/>
      <c r="AB859" s="938"/>
      <c r="AC859" s="938"/>
      <c r="AD859" s="1058"/>
      <c r="AE859" s="938"/>
      <c r="AF859" s="938"/>
      <c r="AG859" s="938"/>
      <c r="AH859" s="938"/>
    </row>
    <row r="860" spans="1:34" ht="17.25" customHeight="1" x14ac:dyDescent="0.35">
      <c r="A860" s="938"/>
      <c r="B860" s="938"/>
      <c r="C860" s="941"/>
      <c r="D860" s="1047"/>
      <c r="E860" s="941"/>
      <c r="F860" s="938"/>
      <c r="G860" s="976">
        <f t="shared" si="15"/>
        <v>857</v>
      </c>
      <c r="H860" s="1074"/>
      <c r="I860" s="1075" t="s">
        <v>1227</v>
      </c>
      <c r="J860" s="1031" t="s">
        <v>1898</v>
      </c>
      <c r="K860" s="1002">
        <f>IF(I!K860="","",$D$2*I!K860)</f>
        <v>2.759607177E-3</v>
      </c>
      <c r="L860" s="981"/>
      <c r="M860" s="982"/>
      <c r="N860" s="1003"/>
      <c r="O860" s="1004" t="str">
        <f>IF(I!O860="","",$D$2*I!O860)</f>
        <v/>
      </c>
      <c r="P860" s="1005">
        <f>IF(I!P860="","",$D$2*I!P860)</f>
        <v>2.1349188343999996E-3</v>
      </c>
      <c r="Q860" s="1006" t="str">
        <f>IF(I!Q860="","",$D$2*I!Q860)</f>
        <v/>
      </c>
      <c r="R860" s="982"/>
      <c r="S860" s="1003"/>
      <c r="T860" s="938"/>
      <c r="U860" s="1008" t="s">
        <v>1059</v>
      </c>
      <c r="V860" s="1018" t="s">
        <v>6704</v>
      </c>
      <c r="W860" s="1019">
        <f>IF(I!W860="","",$D$2*I!W860)</f>
        <v>9.8320600899999999E-2</v>
      </c>
      <c r="X860" s="990">
        <f>IF(I!X860="","",$D$2*I!X860)</f>
        <v>0.25803014148999998</v>
      </c>
      <c r="Y860" s="1010">
        <f>IF(I!Y860="","",$D$2*I!Y860)</f>
        <v>0.53466054090000004</v>
      </c>
      <c r="Z860" s="938"/>
      <c r="AA860" s="938"/>
      <c r="AB860" s="938"/>
      <c r="AC860" s="938"/>
      <c r="AD860" s="1058"/>
      <c r="AE860" s="938"/>
      <c r="AF860" s="938"/>
      <c r="AG860" s="938"/>
      <c r="AH860" s="938"/>
    </row>
    <row r="861" spans="1:34" ht="17.25" customHeight="1" x14ac:dyDescent="0.35">
      <c r="A861" s="938"/>
      <c r="B861" s="938"/>
      <c r="C861" s="941"/>
      <c r="D861" s="1047"/>
      <c r="E861" s="941"/>
      <c r="F861" s="938"/>
      <c r="G861" s="976">
        <f t="shared" si="15"/>
        <v>858</v>
      </c>
      <c r="H861" s="1000">
        <v>1</v>
      </c>
      <c r="I861" s="1075" t="s">
        <v>1227</v>
      </c>
      <c r="J861" s="1031" t="s">
        <v>1899</v>
      </c>
      <c r="K861" s="1002">
        <f>IF(I!K861="","",$D$2*I!K861)</f>
        <v>3.1719622930000001E-3</v>
      </c>
      <c r="L861" s="981"/>
      <c r="M861" s="982"/>
      <c r="N861" s="1003"/>
      <c r="O861" s="1004" t="str">
        <f>IF(I!O861="","",$D$2*I!O861)</f>
        <v/>
      </c>
      <c r="P861" s="1005">
        <f>IF(I!P861="","",$D$2*I!P861)</f>
        <v>2.4539297308999999E-3</v>
      </c>
      <c r="Q861" s="1006" t="str">
        <f>IF(I!Q861="","",$D$2*I!Q861)</f>
        <v/>
      </c>
      <c r="R861" s="982"/>
      <c r="S861" s="1003"/>
      <c r="T861" s="938"/>
      <c r="U861" s="1008" t="s">
        <v>1059</v>
      </c>
      <c r="V861" s="1018" t="s">
        <v>6705</v>
      </c>
      <c r="W861" s="1019">
        <f>IF(I!W861="","",$D$2*I!W861)</f>
        <v>0.10208529329999999</v>
      </c>
      <c r="X861" s="990">
        <f>IF(I!X861="","",$D$2*I!X861)</f>
        <v>0.25383687817</v>
      </c>
      <c r="Y861" s="1010">
        <f>IF(I!Y861="","",$D$2*I!Y861)</f>
        <v>0.61552025329999993</v>
      </c>
      <c r="Z861" s="938"/>
      <c r="AA861" s="938"/>
      <c r="AB861" s="938"/>
      <c r="AC861" s="938"/>
      <c r="AD861" s="1058"/>
      <c r="AE861" s="938"/>
      <c r="AF861" s="938"/>
      <c r="AG861" s="938"/>
      <c r="AH861" s="938"/>
    </row>
    <row r="862" spans="1:34" ht="17.25" customHeight="1" x14ac:dyDescent="0.35">
      <c r="A862" s="938"/>
      <c r="B862" s="938"/>
      <c r="C862" s="941"/>
      <c r="D862" s="1047"/>
      <c r="E862" s="941"/>
      <c r="F862" s="938"/>
      <c r="G862" s="976">
        <f t="shared" si="15"/>
        <v>859</v>
      </c>
      <c r="H862" s="1074"/>
      <c r="I862" s="1075" t="s">
        <v>1227</v>
      </c>
      <c r="J862" s="1031" t="s">
        <v>1900</v>
      </c>
      <c r="K862" s="1002">
        <f>IF(I!K862="","",$D$2*I!K862)</f>
        <v>1.6820950380999999E-3</v>
      </c>
      <c r="L862" s="981"/>
      <c r="M862" s="982"/>
      <c r="N862" s="1003"/>
      <c r="O862" s="1004" t="str">
        <f>IF(I!O862="","",$D$2*I!O862)</f>
        <v/>
      </c>
      <c r="P862" s="1005">
        <f>IF(I!P862="","",$D$2*I!P862)</f>
        <v>1.1416385521E-5</v>
      </c>
      <c r="Q862" s="1006" t="str">
        <f>IF(I!Q862="","",$D$2*I!Q862)</f>
        <v/>
      </c>
      <c r="R862" s="982"/>
      <c r="S862" s="1003"/>
      <c r="T862" s="938"/>
      <c r="U862" s="1008" t="s">
        <v>1059</v>
      </c>
      <c r="V862" s="1018" t="s">
        <v>6706</v>
      </c>
      <c r="W862" s="1019">
        <f>IF(I!W862="","",$D$2*I!W862)</f>
        <v>8.3223281900000001E-2</v>
      </c>
      <c r="X862" s="990">
        <f>IF(I!X862="","",$D$2*I!X862)</f>
        <v>0.27561230438999995</v>
      </c>
      <c r="Y862" s="1010">
        <f>IF(I!Y862="","",$D$2*I!Y862)</f>
        <v>0.13772272290000001</v>
      </c>
      <c r="Z862" s="938"/>
      <c r="AA862" s="938"/>
      <c r="AB862" s="938"/>
      <c r="AC862" s="938"/>
      <c r="AD862" s="1058"/>
      <c r="AE862" s="938"/>
      <c r="AF862" s="938"/>
      <c r="AG862" s="938"/>
      <c r="AH862" s="938"/>
    </row>
    <row r="863" spans="1:34" ht="17.25" customHeight="1" x14ac:dyDescent="0.35">
      <c r="A863" s="938"/>
      <c r="B863" s="938"/>
      <c r="C863" s="941"/>
      <c r="D863" s="1047"/>
      <c r="E863" s="941"/>
      <c r="F863" s="938"/>
      <c r="G863" s="976">
        <f t="shared" si="15"/>
        <v>860</v>
      </c>
      <c r="H863" s="1074"/>
      <c r="I863" s="1075" t="s">
        <v>1227</v>
      </c>
      <c r="J863" s="1031" t="s">
        <v>1901</v>
      </c>
      <c r="K863" s="1002">
        <f>IF(I!K863="","",$D$2*I!K863)</f>
        <v>9.7750058500000007E-3</v>
      </c>
      <c r="L863" s="981"/>
      <c r="M863" s="982"/>
      <c r="N863" s="1003"/>
      <c r="O863" s="1004" t="str">
        <f>IF(I!O863="","",$D$2*I!O863)</f>
        <v/>
      </c>
      <c r="P863" s="1005">
        <f>IF(I!P863="","",$D$2*I!P863)</f>
        <v>1.1964371300000001E-5</v>
      </c>
      <c r="Q863" s="1006" t="str">
        <f>IF(I!Q863="","",$D$2*I!Q863)</f>
        <v/>
      </c>
      <c r="R863" s="982"/>
      <c r="S863" s="1003"/>
      <c r="T863" s="938"/>
      <c r="U863" s="1008"/>
      <c r="V863" s="1066"/>
      <c r="W863" s="1019" t="str">
        <f>IF(I!W863="","",$D$2*I!W863)</f>
        <v/>
      </c>
      <c r="X863" s="990" t="str">
        <f>IF(I!X863="","",$D$2*I!X863)</f>
        <v/>
      </c>
      <c r="Y863" s="1010" t="str">
        <f>IF(I!Y863="","",$D$2*I!Y863)</f>
        <v/>
      </c>
      <c r="Z863" s="938"/>
      <c r="AA863" s="938"/>
      <c r="AB863" s="938"/>
      <c r="AC863" s="938"/>
      <c r="AD863" s="1058"/>
      <c r="AE863" s="938"/>
      <c r="AF863" s="938"/>
      <c r="AG863" s="938"/>
      <c r="AH863" s="938"/>
    </row>
    <row r="864" spans="1:34" ht="17.25" customHeight="1" x14ac:dyDescent="0.35">
      <c r="A864" s="938"/>
      <c r="B864" s="938"/>
      <c r="C864" s="941"/>
      <c r="D864" s="1047"/>
      <c r="E864" s="941"/>
      <c r="F864" s="938"/>
      <c r="G864" s="976">
        <f t="shared" si="15"/>
        <v>861</v>
      </c>
      <c r="H864" s="1074"/>
      <c r="I864" s="1075" t="s">
        <v>1227</v>
      </c>
      <c r="J864" s="1031" t="s">
        <v>1902</v>
      </c>
      <c r="K864" s="1002">
        <f>IF(I!K864="","",$D$2*I!K864)</f>
        <v>1.6820950380999999E-3</v>
      </c>
      <c r="L864" s="981"/>
      <c r="M864" s="982"/>
      <c r="N864" s="1003"/>
      <c r="O864" s="1004" t="str">
        <f>IF(I!O864="","",$D$2*I!O864)</f>
        <v/>
      </c>
      <c r="P864" s="1005">
        <f>IF(I!P864="","",$D$2*I!P864)</f>
        <v>1.1416385521E-5</v>
      </c>
      <c r="Q864" s="1006" t="str">
        <f>IF(I!Q864="","",$D$2*I!Q864)</f>
        <v/>
      </c>
      <c r="R864" s="982"/>
      <c r="S864" s="1003"/>
      <c r="T864" s="938"/>
      <c r="U864" s="1008"/>
      <c r="V864" s="1009" t="s">
        <v>6707</v>
      </c>
      <c r="W864" s="1019" t="str">
        <f>IF(I!W864="","",$D$2*I!W864)</f>
        <v/>
      </c>
      <c r="X864" s="990" t="str">
        <f>IF(I!X864="","",$D$2*I!X864)</f>
        <v/>
      </c>
      <c r="Y864" s="1010" t="str">
        <f>IF(I!Y864="","",$D$2*I!Y864)</f>
        <v/>
      </c>
      <c r="Z864" s="938"/>
      <c r="AA864" s="938"/>
      <c r="AB864" s="938"/>
      <c r="AC864" s="938"/>
      <c r="AD864" s="1058"/>
      <c r="AE864" s="938"/>
      <c r="AF864" s="938"/>
      <c r="AG864" s="938"/>
      <c r="AH864" s="938"/>
    </row>
    <row r="865" spans="1:34" ht="17.25" customHeight="1" x14ac:dyDescent="0.35">
      <c r="A865" s="938"/>
      <c r="B865" s="938"/>
      <c r="C865" s="941"/>
      <c r="D865" s="1047"/>
      <c r="E865" s="941"/>
      <c r="F865" s="938"/>
      <c r="G865" s="976">
        <f t="shared" si="15"/>
        <v>862</v>
      </c>
      <c r="H865" s="1074"/>
      <c r="I865" s="1075" t="s">
        <v>1059</v>
      </c>
      <c r="J865" s="1031" t="s">
        <v>1903</v>
      </c>
      <c r="K865" s="1002">
        <f>IF(I!K865="","",$D$2*I!K865)</f>
        <v>-5.519214393E-2</v>
      </c>
      <c r="L865" s="981"/>
      <c r="M865" s="982"/>
      <c r="N865" s="1003"/>
      <c r="O865" s="1004" t="str">
        <f>IF(I!O865="","",$D$2*I!O865)</f>
        <v/>
      </c>
      <c r="P865" s="1005">
        <f>IF(I!P865="","",$D$2*I!P865)</f>
        <v>-4.2698377697000002E-2</v>
      </c>
      <c r="Q865" s="1006" t="str">
        <f>IF(I!Q865="","",$D$2*I!Q865)</f>
        <v/>
      </c>
      <c r="R865" s="982"/>
      <c r="S865" s="1003"/>
      <c r="T865" s="938"/>
      <c r="U865" s="1008" t="s">
        <v>1059</v>
      </c>
      <c r="V865" s="1018" t="s">
        <v>6708</v>
      </c>
      <c r="W865" s="1019">
        <f>IF(I!W865="","",$D$2*I!W865)</f>
        <v>0.1970351602</v>
      </c>
      <c r="X865" s="990">
        <f>IF(I!X865="","",$D$2*I!X865)</f>
        <v>0.23892886186999998</v>
      </c>
      <c r="Y865" s="1010">
        <f>IF(I!Y865="","",$D$2*I!Y865)</f>
        <v>0.30861954019999999</v>
      </c>
      <c r="Z865" s="938"/>
      <c r="AA865" s="938"/>
      <c r="AB865" s="938"/>
      <c r="AC865" s="938"/>
      <c r="AD865" s="1058"/>
      <c r="AE865" s="938"/>
      <c r="AF865" s="938"/>
      <c r="AG865" s="938"/>
      <c r="AH865" s="938"/>
    </row>
    <row r="866" spans="1:34" ht="17.25" customHeight="1" x14ac:dyDescent="0.35">
      <c r="A866" s="938"/>
      <c r="B866" s="938"/>
      <c r="C866" s="941"/>
      <c r="D866" s="1047"/>
      <c r="E866" s="941"/>
      <c r="F866" s="938"/>
      <c r="G866" s="976">
        <f t="shared" si="15"/>
        <v>863</v>
      </c>
      <c r="H866" s="1074"/>
      <c r="I866" s="1075" t="s">
        <v>1059</v>
      </c>
      <c r="J866" s="1031" t="s">
        <v>1904</v>
      </c>
      <c r="K866" s="1002">
        <f>IF(I!K866="","",$D$2*I!K866)</f>
        <v>-4.7741204000000002E-2</v>
      </c>
      <c r="L866" s="981"/>
      <c r="M866" s="982"/>
      <c r="N866" s="1003"/>
      <c r="O866" s="1004" t="str">
        <f>IF(I!O866="","",$D$2*I!O866)</f>
        <v/>
      </c>
      <c r="P866" s="1005">
        <f>IF(I!P866="","",$D$2*I!P866)</f>
        <v>-3.6934095846999998E-2</v>
      </c>
      <c r="Q866" s="1006" t="str">
        <f>IF(I!Q866="","",$D$2*I!Q866)</f>
        <v/>
      </c>
      <c r="R866" s="982"/>
      <c r="S866" s="1003"/>
      <c r="T866" s="938"/>
      <c r="U866" s="1008" t="s">
        <v>1059</v>
      </c>
      <c r="V866" s="1018" t="s">
        <v>6709</v>
      </c>
      <c r="W866" s="1019">
        <f>IF(I!W866="","",$D$2*I!W866)</f>
        <v>0.25281712589999999</v>
      </c>
      <c r="X866" s="990">
        <f>IF(I!X866="","",$D$2*I!X866)</f>
        <v>0.33413345583000004</v>
      </c>
      <c r="Y866" s="1010">
        <f>IF(I!Y866="","",$D$2*I!Y866)</f>
        <v>0.50959161590000002</v>
      </c>
      <c r="Z866" s="938"/>
      <c r="AA866" s="938"/>
      <c r="AB866" s="938"/>
      <c r="AC866" s="938"/>
      <c r="AD866" s="1058"/>
      <c r="AE866" s="938"/>
      <c r="AF866" s="938"/>
      <c r="AG866" s="938"/>
      <c r="AH866" s="938"/>
    </row>
    <row r="867" spans="1:34" ht="17.25" customHeight="1" x14ac:dyDescent="0.35">
      <c r="A867" s="938"/>
      <c r="B867" s="938"/>
      <c r="C867" s="941"/>
      <c r="D867" s="1047"/>
      <c r="E867" s="941"/>
      <c r="F867" s="938"/>
      <c r="G867" s="976">
        <f t="shared" si="15"/>
        <v>864</v>
      </c>
      <c r="H867" s="1074"/>
      <c r="I867" s="1075" t="s">
        <v>1059</v>
      </c>
      <c r="J867" s="1031" t="s">
        <v>1905</v>
      </c>
      <c r="K867" s="1002">
        <f>IF(I!K867="","",$D$2*I!K867)</f>
        <v>-2.4560503570000003E-2</v>
      </c>
      <c r="L867" s="981"/>
      <c r="M867" s="982"/>
      <c r="N867" s="1003"/>
      <c r="O867" s="1004" t="str">
        <f>IF(I!O867="","",$D$2*I!O867)</f>
        <v/>
      </c>
      <c r="P867" s="1005">
        <f>IF(I!P867="","",$D$2*I!P867)</f>
        <v>-1.9000777385000001E-2</v>
      </c>
      <c r="Q867" s="1006" t="str">
        <f>IF(I!Q867="","",$D$2*I!Q867)</f>
        <v/>
      </c>
      <c r="R867" s="982"/>
      <c r="S867" s="1003"/>
      <c r="T867" s="938"/>
      <c r="U867" s="1008" t="s">
        <v>1059</v>
      </c>
      <c r="V867" s="1018" t="s">
        <v>6710</v>
      </c>
      <c r="W867" s="1019">
        <f>IF(I!W867="","",$D$2*I!W867)</f>
        <v>0.21886572240000002</v>
      </c>
      <c r="X867" s="990">
        <f>IF(I!X867="","",$D$2*I!X867)</f>
        <v>0.22120869431999998</v>
      </c>
      <c r="Y867" s="1010">
        <f>IF(I!Y867="","",$D$2*I!Y867)</f>
        <v>0.31264534440000002</v>
      </c>
      <c r="Z867" s="938"/>
      <c r="AA867" s="938"/>
      <c r="AB867" s="938"/>
      <c r="AC867" s="938"/>
      <c r="AD867" s="1058"/>
      <c r="AE867" s="938"/>
      <c r="AF867" s="938"/>
      <c r="AG867" s="938"/>
      <c r="AH867" s="938"/>
    </row>
    <row r="868" spans="1:34" ht="17.25" customHeight="1" x14ac:dyDescent="0.35">
      <c r="A868" s="938"/>
      <c r="B868" s="938"/>
      <c r="C868" s="941"/>
      <c r="D868" s="1047"/>
      <c r="E868" s="941"/>
      <c r="F868" s="938"/>
      <c r="G868" s="976">
        <f t="shared" si="15"/>
        <v>865</v>
      </c>
      <c r="H868" s="1074"/>
      <c r="I868" s="1073"/>
      <c r="J868" s="1054"/>
      <c r="K868" s="1002" t="str">
        <f>IF(I!K868="","",$D$2*I!K868)</f>
        <v/>
      </c>
      <c r="L868" s="981"/>
      <c r="M868" s="982"/>
      <c r="N868" s="1003"/>
      <c r="O868" s="1004" t="str">
        <f>IF(I!O868="","",$D$2*I!O868)</f>
        <v/>
      </c>
      <c r="P868" s="1005" t="str">
        <f>IF(I!P868="","",$D$2*I!P868)</f>
        <v/>
      </c>
      <c r="Q868" s="1006" t="str">
        <f>IF(I!Q868="","",$D$2*I!Q868)</f>
        <v/>
      </c>
      <c r="R868" s="982"/>
      <c r="S868" s="1003"/>
      <c r="T868" s="938"/>
      <c r="U868" s="1008" t="s">
        <v>1059</v>
      </c>
      <c r="V868" s="1018" t="s">
        <v>6711</v>
      </c>
      <c r="W868" s="1019">
        <f>IF(I!W868="","",$D$2*I!W868)</f>
        <v>0.23383247409999997</v>
      </c>
      <c r="X868" s="990">
        <f>IF(I!X868="","",$D$2*I!X868)</f>
        <v>0.22367702369</v>
      </c>
      <c r="Y868" s="1010">
        <f>IF(I!Y868="","",$D$2*I!Y868)</f>
        <v>0.36943539409999993</v>
      </c>
      <c r="Z868" s="938"/>
      <c r="AA868" s="938"/>
      <c r="AB868" s="938"/>
      <c r="AC868" s="938"/>
      <c r="AD868" s="1058"/>
      <c r="AE868" s="938"/>
      <c r="AF868" s="938"/>
      <c r="AG868" s="938"/>
      <c r="AH868" s="938"/>
    </row>
    <row r="869" spans="1:34" ht="17.25" customHeight="1" x14ac:dyDescent="0.35">
      <c r="A869" s="938"/>
      <c r="B869" s="938"/>
      <c r="C869" s="941"/>
      <c r="D869" s="1047"/>
      <c r="E869" s="941"/>
      <c r="F869" s="938"/>
      <c r="G869" s="976">
        <f t="shared" si="15"/>
        <v>866</v>
      </c>
      <c r="H869" s="942" t="s">
        <v>1906</v>
      </c>
      <c r="I869" s="1060"/>
      <c r="J869" s="1027"/>
      <c r="K869" s="1002" t="str">
        <f>IF(I!K869="","",$D$2*I!K869)</f>
        <v/>
      </c>
      <c r="L869" s="981"/>
      <c r="M869" s="982"/>
      <c r="N869" s="1003"/>
      <c r="O869" s="1004" t="str">
        <f>IF(I!O869="","",$D$2*I!O869)</f>
        <v/>
      </c>
      <c r="P869" s="1005" t="str">
        <f>IF(I!P869="","",$D$2*I!P869)</f>
        <v/>
      </c>
      <c r="Q869" s="1006" t="str">
        <f>IF(I!Q869="","",$D$2*I!Q869)</f>
        <v/>
      </c>
      <c r="R869" s="982"/>
      <c r="S869" s="1003"/>
      <c r="T869" s="938"/>
      <c r="U869" s="1008" t="s">
        <v>1059</v>
      </c>
      <c r="V869" s="1018" t="s">
        <v>6712</v>
      </c>
      <c r="W869" s="1019">
        <f>IF(I!W869="","",$D$2*I!W869)</f>
        <v>0.23651453040000001</v>
      </c>
      <c r="X869" s="990">
        <f>IF(I!X869="","",$D$2*I!X869)</f>
        <v>0.21230456046000001</v>
      </c>
      <c r="Y869" s="1010">
        <f>IF(I!Y869="","",$D$2*I!Y869)</f>
        <v>0.33724370040000001</v>
      </c>
      <c r="Z869" s="938"/>
      <c r="AA869" s="938"/>
      <c r="AB869" s="938"/>
      <c r="AC869" s="938"/>
      <c r="AD869" s="1058"/>
      <c r="AE869" s="938"/>
      <c r="AF869" s="938"/>
      <c r="AG869" s="938"/>
      <c r="AH869" s="938"/>
    </row>
    <row r="870" spans="1:34" ht="17.25" customHeight="1" x14ac:dyDescent="0.35">
      <c r="A870" s="938"/>
      <c r="B870" s="938"/>
      <c r="C870" s="941"/>
      <c r="D870" s="1047"/>
      <c r="E870" s="941"/>
      <c r="F870" s="938"/>
      <c r="G870" s="976">
        <f t="shared" si="15"/>
        <v>867</v>
      </c>
      <c r="H870" s="1000"/>
      <c r="I870" s="1073" t="s">
        <v>1907</v>
      </c>
      <c r="J870" s="1031" t="s">
        <v>1908</v>
      </c>
      <c r="K870" s="1002">
        <f>IF(I!K870="","",$D$2*I!K870)</f>
        <v>1.6195559309000001E-2</v>
      </c>
      <c r="L870" s="981"/>
      <c r="M870" s="982"/>
      <c r="N870" s="1003"/>
      <c r="O870" s="1004" t="str">
        <f>IF(I!O870="","",$D$2*I!O870)</f>
        <v/>
      </c>
      <c r="P870" s="1005">
        <f>IF(I!P870="","",$D$2*I!P870)</f>
        <v>0.1760801305079</v>
      </c>
      <c r="Q870" s="1006" t="str">
        <f>IF(I!Q870="","",$D$2*I!Q870)</f>
        <v/>
      </c>
      <c r="R870" s="982"/>
      <c r="S870" s="1003"/>
      <c r="T870" s="938"/>
      <c r="U870" s="1008" t="s">
        <v>1059</v>
      </c>
      <c r="V870" s="1018" t="s">
        <v>6713</v>
      </c>
      <c r="W870" s="1019">
        <f>IF(I!W870="","",$D$2*I!W870)</f>
        <v>0.22714795809999999</v>
      </c>
      <c r="X870" s="990">
        <f>IF(I!X870="","",$D$2*I!X870)</f>
        <v>0.22539658088</v>
      </c>
      <c r="Y870" s="1010">
        <f>IF(I!Y870="","",$D$2*I!Y870)</f>
        <v>0.3798409781</v>
      </c>
      <c r="Z870" s="938"/>
      <c r="AA870" s="938"/>
      <c r="AB870" s="938"/>
      <c r="AC870" s="938"/>
      <c r="AD870" s="1058"/>
      <c r="AE870" s="938"/>
      <c r="AF870" s="938"/>
      <c r="AG870" s="938"/>
      <c r="AH870" s="938"/>
    </row>
    <row r="871" spans="1:34" ht="17.25" customHeight="1" x14ac:dyDescent="0.35">
      <c r="A871" s="938"/>
      <c r="B871" s="938"/>
      <c r="C871" s="941"/>
      <c r="D871" s="1047"/>
      <c r="E871" s="941"/>
      <c r="F871" s="938"/>
      <c r="G871" s="976">
        <f t="shared" si="15"/>
        <v>868</v>
      </c>
      <c r="H871" s="1000"/>
      <c r="I871" s="1073" t="s">
        <v>1907</v>
      </c>
      <c r="J871" s="1031" t="s">
        <v>1909</v>
      </c>
      <c r="K871" s="1002">
        <f>IF(I!K871="","",$D$2*I!K871)</f>
        <v>1.8951901596E-2</v>
      </c>
      <c r="L871" s="981"/>
      <c r="M871" s="982"/>
      <c r="N871" s="1003"/>
      <c r="O871" s="1004" t="str">
        <f>IF(I!O871="","",$D$2*I!O871)</f>
        <v/>
      </c>
      <c r="P871" s="1005">
        <f>IF(I!P871="","",$D$2*I!P871)</f>
        <v>7.1899386956999989E-2</v>
      </c>
      <c r="Q871" s="1006" t="str">
        <f>IF(I!Q871="","",$D$2*I!Q871)</f>
        <v/>
      </c>
      <c r="R871" s="982"/>
      <c r="S871" s="1003"/>
      <c r="T871" s="938"/>
      <c r="U871" s="1008" t="s">
        <v>1059</v>
      </c>
      <c r="V871" s="1018" t="s">
        <v>6714</v>
      </c>
      <c r="W871" s="1019">
        <f>IF(I!W871="","",$D$2*I!W871)</f>
        <v>0.2449127374</v>
      </c>
      <c r="X871" s="990">
        <f>IF(I!X871="","",$D$2*I!X871)</f>
        <v>0.33636624450000002</v>
      </c>
      <c r="Y871" s="1010">
        <f>IF(I!Y871="","",$D$2*I!Y871)</f>
        <v>0.49136783740000001</v>
      </c>
      <c r="Z871" s="938"/>
      <c r="AA871" s="938"/>
      <c r="AB871" s="938"/>
      <c r="AC871" s="938"/>
      <c r="AD871" s="1058"/>
      <c r="AE871" s="938"/>
      <c r="AF871" s="938"/>
      <c r="AG871" s="938"/>
      <c r="AH871" s="938"/>
    </row>
    <row r="872" spans="1:34" ht="17.25" customHeight="1" x14ac:dyDescent="0.35">
      <c r="A872" s="938"/>
      <c r="B872" s="938"/>
      <c r="C872" s="941"/>
      <c r="D872" s="1047"/>
      <c r="E872" s="941"/>
      <c r="F872" s="938"/>
      <c r="G872" s="976">
        <f t="shared" si="15"/>
        <v>869</v>
      </c>
      <c r="H872" s="1000"/>
      <c r="I872" s="1075" t="s">
        <v>1910</v>
      </c>
      <c r="J872" s="1065" t="s">
        <v>1911</v>
      </c>
      <c r="K872" s="1002">
        <f>IF(I!K872="","",$D$2*I!K872)</f>
        <v>2.7046584046030004E-3</v>
      </c>
      <c r="L872" s="981"/>
      <c r="M872" s="982"/>
      <c r="N872" s="1003"/>
      <c r="O872" s="1004" t="str">
        <f>IF(I!O872="","",$D$2*I!O872)</f>
        <v/>
      </c>
      <c r="P872" s="1005">
        <f>IF(I!P872="","",$D$2*I!P872)</f>
        <v>2.9405381794819302E-2</v>
      </c>
      <c r="Q872" s="1006" t="str">
        <f>IF(I!Q872="","",$D$2*I!Q872)</f>
        <v/>
      </c>
      <c r="R872" s="982"/>
      <c r="S872" s="1003"/>
      <c r="T872" s="938"/>
      <c r="U872" s="1008" t="s">
        <v>1059</v>
      </c>
      <c r="V872" s="1018" t="s">
        <v>6715</v>
      </c>
      <c r="W872" s="1019">
        <f>IF(I!W872="","",$D$2*I!W872)</f>
        <v>0.25778412210000001</v>
      </c>
      <c r="X872" s="990">
        <f>IF(I!X872="","",$D$2*I!X872)</f>
        <v>0.27296203045</v>
      </c>
      <c r="Y872" s="1010">
        <f>IF(I!Y872="","",$D$2*I!Y872)</f>
        <v>0.37330141210000001</v>
      </c>
      <c r="Z872" s="938"/>
      <c r="AA872" s="938"/>
      <c r="AB872" s="938"/>
      <c r="AC872" s="938"/>
      <c r="AD872" s="1058"/>
      <c r="AE872" s="938"/>
      <c r="AF872" s="938"/>
      <c r="AG872" s="938"/>
      <c r="AH872" s="938"/>
    </row>
    <row r="873" spans="1:34" ht="17.25" customHeight="1" x14ac:dyDescent="0.35">
      <c r="A873" s="938"/>
      <c r="B873" s="938"/>
      <c r="C873" s="941"/>
      <c r="D873" s="1047"/>
      <c r="E873" s="941"/>
      <c r="F873" s="938"/>
      <c r="G873" s="976">
        <f t="shared" si="15"/>
        <v>870</v>
      </c>
      <c r="H873" s="1000"/>
      <c r="I873" s="1075" t="s">
        <v>1910</v>
      </c>
      <c r="J873" s="1065" t="s">
        <v>1912</v>
      </c>
      <c r="K873" s="1002">
        <f>IF(I!K873="","",$D$2*I!K873)</f>
        <v>3.164967566532E-3</v>
      </c>
      <c r="L873" s="981"/>
      <c r="M873" s="982"/>
      <c r="N873" s="1003"/>
      <c r="O873" s="1004" t="str">
        <f>IF(I!O873="","",$D$2*I!O873)</f>
        <v/>
      </c>
      <c r="P873" s="1005">
        <f>IF(I!P873="","",$D$2*I!P873)</f>
        <v>1.2007197621818998E-2</v>
      </c>
      <c r="Q873" s="1006" t="str">
        <f>IF(I!Q873="","",$D$2*I!Q873)</f>
        <v/>
      </c>
      <c r="R873" s="982"/>
      <c r="S873" s="1003"/>
      <c r="T873" s="938"/>
      <c r="U873" s="1008" t="s">
        <v>1059</v>
      </c>
      <c r="V873" s="1018" t="s">
        <v>6716</v>
      </c>
      <c r="W873" s="1019">
        <f>IF(I!W873="","",$D$2*I!W873)</f>
        <v>0.26085166809999999</v>
      </c>
      <c r="X873" s="990">
        <f>IF(I!X873="","",$D$2*I!X873)</f>
        <v>0.20196282398000001</v>
      </c>
      <c r="Y873" s="1010">
        <f>IF(I!Y873="","",$D$2*I!Y873)</f>
        <v>0.37230417809999999</v>
      </c>
      <c r="Z873" s="938"/>
      <c r="AA873" s="938"/>
      <c r="AB873" s="938"/>
      <c r="AC873" s="938"/>
      <c r="AD873" s="1058"/>
      <c r="AE873" s="938"/>
      <c r="AF873" s="938"/>
      <c r="AG873" s="938"/>
      <c r="AH873" s="938"/>
    </row>
    <row r="874" spans="1:34" ht="17.25" customHeight="1" x14ac:dyDescent="0.35">
      <c r="A874" s="938"/>
      <c r="B874" s="938"/>
      <c r="C874" s="941"/>
      <c r="D874" s="1047"/>
      <c r="E874" s="941"/>
      <c r="F874" s="938"/>
      <c r="G874" s="976">
        <f t="shared" si="15"/>
        <v>871</v>
      </c>
      <c r="H874" s="942" t="s">
        <v>1913</v>
      </c>
      <c r="I874" s="1060"/>
      <c r="J874" s="1054"/>
      <c r="K874" s="1002" t="str">
        <f>IF(I!K874="","",$D$2*I!K874)</f>
        <v/>
      </c>
      <c r="L874" s="981"/>
      <c r="M874" s="982"/>
      <c r="N874" s="1003"/>
      <c r="O874" s="1004" t="str">
        <f>IF(I!O874="","",$D$2*I!O874)</f>
        <v/>
      </c>
      <c r="P874" s="1005" t="str">
        <f>IF(I!P874="","",$D$2*I!P874)</f>
        <v/>
      </c>
      <c r="Q874" s="1006" t="str">
        <f>IF(I!Q874="","",$D$2*I!Q874)</f>
        <v/>
      </c>
      <c r="R874" s="982"/>
      <c r="S874" s="1003"/>
      <c r="T874" s="938"/>
      <c r="U874" s="1008" t="s">
        <v>1059</v>
      </c>
      <c r="V874" s="1018" t="s">
        <v>6717</v>
      </c>
      <c r="W874" s="1019">
        <f>IF(I!W874="","",$D$2*I!W874)</f>
        <v>0.45728207590000003</v>
      </c>
      <c r="X874" s="990">
        <f>IF(I!X874="","",$D$2*I!X874)</f>
        <v>0.38010106701999996</v>
      </c>
      <c r="Y874" s="1010">
        <f>IF(I!Y874="","",$D$2*I!Y874)</f>
        <v>0.67450929590000008</v>
      </c>
      <c r="Z874" s="938"/>
      <c r="AA874" s="938"/>
      <c r="AB874" s="938"/>
      <c r="AC874" s="938"/>
      <c r="AD874" s="1058"/>
      <c r="AE874" s="938"/>
      <c r="AF874" s="938"/>
      <c r="AG874" s="938"/>
      <c r="AH874" s="938"/>
    </row>
    <row r="875" spans="1:34" ht="17.25" customHeight="1" x14ac:dyDescent="0.35">
      <c r="A875" s="938"/>
      <c r="B875" s="938"/>
      <c r="C875" s="941"/>
      <c r="D875" s="1047"/>
      <c r="E875" s="941"/>
      <c r="F875" s="938"/>
      <c r="G875" s="976">
        <f t="shared" si="15"/>
        <v>872</v>
      </c>
      <c r="H875" s="1072"/>
      <c r="I875" s="1076" t="s">
        <v>1907</v>
      </c>
      <c r="J875" s="1031" t="s">
        <v>1914</v>
      </c>
      <c r="K875" s="1002">
        <f>IF(I!K875="","",$D$2*I!K875)</f>
        <v>6.2560343553000001E-3</v>
      </c>
      <c r="L875" s="981"/>
      <c r="M875" s="982"/>
      <c r="N875" s="1003"/>
      <c r="O875" s="1004" t="str">
        <f>IF(I!O875="","",$D$2*I!O875)</f>
        <v/>
      </c>
      <c r="P875" s="1005">
        <f>IF(I!P875="","",$D$2*I!P875)</f>
        <v>2.6078531999999999E-3</v>
      </c>
      <c r="Q875" s="1006" t="str">
        <f>IF(I!Q875="","",$D$2*I!Q875)</f>
        <v/>
      </c>
      <c r="R875" s="982"/>
      <c r="S875" s="1003"/>
      <c r="T875" s="938"/>
      <c r="U875" s="1008" t="s">
        <v>1059</v>
      </c>
      <c r="V875" s="1018" t="s">
        <v>6718</v>
      </c>
      <c r="W875" s="1019">
        <f>IF(I!W875="","",$D$2*I!W875)</f>
        <v>9.2924930400000008E-2</v>
      </c>
      <c r="X875" s="990">
        <f>IF(I!X875="","",$D$2*I!X875)</f>
        <v>0.39199734785000001</v>
      </c>
      <c r="Y875" s="1010">
        <f>IF(I!Y875="","",$D$2*I!Y875)</f>
        <v>0.18920250440000003</v>
      </c>
      <c r="Z875" s="938"/>
      <c r="AA875" s="938"/>
      <c r="AB875" s="938"/>
      <c r="AC875" s="938"/>
      <c r="AD875" s="1058"/>
      <c r="AE875" s="938"/>
      <c r="AF875" s="938"/>
      <c r="AG875" s="938"/>
      <c r="AH875" s="938"/>
    </row>
    <row r="876" spans="1:34" ht="17.25" customHeight="1" x14ac:dyDescent="0.35">
      <c r="A876" s="938"/>
      <c r="B876" s="938"/>
      <c r="C876" s="941"/>
      <c r="D876" s="1047"/>
      <c r="E876" s="941"/>
      <c r="F876" s="938"/>
      <c r="G876" s="976">
        <f t="shared" si="15"/>
        <v>873</v>
      </c>
      <c r="H876" s="1072"/>
      <c r="I876" s="1076" t="s">
        <v>1907</v>
      </c>
      <c r="J876" s="1031" t="s">
        <v>1915</v>
      </c>
      <c r="K876" s="1002">
        <f>IF(I!K876="","",$D$2*I!K876)</f>
        <v>2.1796403015000004E-3</v>
      </c>
      <c r="L876" s="981"/>
      <c r="M876" s="982"/>
      <c r="N876" s="1003"/>
      <c r="O876" s="1004" t="str">
        <f>IF(I!O876="","",$D$2*I!O876)</f>
        <v/>
      </c>
      <c r="P876" s="1005">
        <f>IF(I!P876="","",$D$2*I!P876)</f>
        <v>1.9310836999999998E-6</v>
      </c>
      <c r="Q876" s="1006" t="str">
        <f>IF(I!Q876="","",$D$2*I!Q876)</f>
        <v/>
      </c>
      <c r="R876" s="982"/>
      <c r="S876" s="1003"/>
      <c r="T876" s="938"/>
      <c r="U876" s="1008" t="s">
        <v>1059</v>
      </c>
      <c r="V876" s="1018" t="s">
        <v>6719</v>
      </c>
      <c r="W876" s="1019">
        <f>IF(I!W876="","",$D$2*I!W876)</f>
        <v>0.19998035980000001</v>
      </c>
      <c r="X876" s="990">
        <f>IF(I!X876="","",$D$2*I!X876)</f>
        <v>0.35087216362999996</v>
      </c>
      <c r="Y876" s="1010">
        <f>IF(I!Y876="","",$D$2*I!Y876)</f>
        <v>0.34557284980000003</v>
      </c>
      <c r="Z876" s="938"/>
      <c r="AA876" s="938"/>
      <c r="AB876" s="938"/>
      <c r="AC876" s="938"/>
      <c r="AD876" s="1058"/>
      <c r="AE876" s="938"/>
      <c r="AF876" s="938"/>
      <c r="AG876" s="938"/>
      <c r="AH876" s="938"/>
    </row>
    <row r="877" spans="1:34" ht="17.25" customHeight="1" x14ac:dyDescent="0.35">
      <c r="A877" s="938"/>
      <c r="B877" s="938"/>
      <c r="C877" s="941"/>
      <c r="D877" s="1047"/>
      <c r="E877" s="941"/>
      <c r="F877" s="938"/>
      <c r="G877" s="976">
        <f t="shared" si="15"/>
        <v>874</v>
      </c>
      <c r="H877" s="942" t="s">
        <v>1916</v>
      </c>
      <c r="I877" s="1060"/>
      <c r="J877" s="1027"/>
      <c r="K877" s="1002" t="str">
        <f>IF(I!K877="","",$D$2*I!K877)</f>
        <v/>
      </c>
      <c r="L877" s="981"/>
      <c r="M877" s="982"/>
      <c r="N877" s="1003"/>
      <c r="O877" s="1004" t="str">
        <f>IF(I!O877="","",$D$2*I!O877)</f>
        <v/>
      </c>
      <c r="P877" s="1005" t="str">
        <f>IF(I!P877="","",$D$2*I!P877)</f>
        <v/>
      </c>
      <c r="Q877" s="1006" t="str">
        <f>IF(I!Q877="","",$D$2*I!Q877)</f>
        <v/>
      </c>
      <c r="R877" s="982"/>
      <c r="S877" s="1003"/>
      <c r="T877" s="938"/>
      <c r="U877" s="1008" t="s">
        <v>1059</v>
      </c>
      <c r="V877" s="1018" t="s">
        <v>6720</v>
      </c>
      <c r="W877" s="1019">
        <f>IF(I!W877="","",$D$2*I!W877)</f>
        <v>0.27535947560000001</v>
      </c>
      <c r="X877" s="990">
        <f>IF(I!X877="","",$D$2*I!X877)</f>
        <v>0.28145845348999998</v>
      </c>
      <c r="Y877" s="1010">
        <f>IF(I!Y877="","",$D$2*I!Y877)</f>
        <v>0.41097228559999999</v>
      </c>
      <c r="Z877" s="938"/>
      <c r="AA877" s="938"/>
      <c r="AB877" s="938"/>
      <c r="AC877" s="938"/>
      <c r="AD877" s="1058"/>
      <c r="AE877" s="938"/>
      <c r="AF877" s="938"/>
      <c r="AG877" s="938"/>
      <c r="AH877" s="938"/>
    </row>
    <row r="878" spans="1:34" ht="17.25" customHeight="1" x14ac:dyDescent="0.35">
      <c r="A878" s="938"/>
      <c r="B878" s="938"/>
      <c r="C878" s="941"/>
      <c r="D878" s="1047"/>
      <c r="E878" s="941"/>
      <c r="F878" s="938"/>
      <c r="G878" s="976">
        <f t="shared" si="15"/>
        <v>875</v>
      </c>
      <c r="H878" s="1000">
        <v>1</v>
      </c>
      <c r="I878" s="1077" t="s">
        <v>1907</v>
      </c>
      <c r="J878" s="1031" t="s">
        <v>1917</v>
      </c>
      <c r="K878" s="1002">
        <f>IF(I!K878="","",$D$2*I!K878)</f>
        <v>2.9838841710000002E-3</v>
      </c>
      <c r="L878" s="981"/>
      <c r="M878" s="982"/>
      <c r="N878" s="1003"/>
      <c r="O878" s="1004" t="str">
        <f>IF(I!O878="","",$D$2*I!O878)</f>
        <v/>
      </c>
      <c r="P878" s="1005">
        <f>IF(I!P878="","",$D$2*I!P878)</f>
        <v>2.7360721487999999E-2</v>
      </c>
      <c r="Q878" s="1006" t="str">
        <f>IF(I!Q878="","",$D$2*I!Q878)</f>
        <v/>
      </c>
      <c r="R878" s="982"/>
      <c r="S878" s="1003"/>
      <c r="T878" s="938"/>
      <c r="U878" s="1008" t="s">
        <v>1059</v>
      </c>
      <c r="V878" s="1018" t="s">
        <v>6721</v>
      </c>
      <c r="W878" s="1019">
        <f>IF(I!W878="","",$D$2*I!W878)</f>
        <v>0.17307740909999997</v>
      </c>
      <c r="X878" s="990">
        <f>IF(I!X878="","",$D$2*I!X878)</f>
        <v>0.32788741380999997</v>
      </c>
      <c r="Y878" s="1010">
        <f>IF(I!Y878="","",$D$2*I!Y878)</f>
        <v>0.29786991909999994</v>
      </c>
      <c r="Z878" s="938"/>
      <c r="AA878" s="938"/>
      <c r="AB878" s="938"/>
      <c r="AC878" s="938"/>
      <c r="AD878" s="1058"/>
      <c r="AE878" s="938"/>
      <c r="AF878" s="938"/>
      <c r="AG878" s="938"/>
      <c r="AH878" s="938"/>
    </row>
    <row r="879" spans="1:34" ht="17.25" customHeight="1" x14ac:dyDescent="0.35">
      <c r="A879" s="938"/>
      <c r="B879" s="938"/>
      <c r="C879" s="941"/>
      <c r="D879" s="1047"/>
      <c r="E879" s="941"/>
      <c r="F879" s="938"/>
      <c r="G879" s="976">
        <f t="shared" si="15"/>
        <v>876</v>
      </c>
      <c r="H879" s="1000">
        <v>1</v>
      </c>
      <c r="I879" s="1078" t="s">
        <v>1918</v>
      </c>
      <c r="J879" s="1031" t="s">
        <v>1919</v>
      </c>
      <c r="K879" s="1002">
        <f>IF(I!K879="","",$D$2*I!K879)</f>
        <v>3.5789794200000001E-5</v>
      </c>
      <c r="L879" s="981"/>
      <c r="M879" s="982"/>
      <c r="N879" s="1003"/>
      <c r="O879" s="1004" t="str">
        <f>IF(I!O879="","",$D$2*I!O879)</f>
        <v/>
      </c>
      <c r="P879" s="1005">
        <f>IF(I!P879="","",$D$2*I!P879)</f>
        <v>1.2842041357000002E-4</v>
      </c>
      <c r="Q879" s="1006" t="str">
        <f>IF(I!Q879="","",$D$2*I!Q879)</f>
        <v/>
      </c>
      <c r="R879" s="982"/>
      <c r="S879" s="1003"/>
      <c r="T879" s="938"/>
      <c r="U879" s="1008" t="s">
        <v>1059</v>
      </c>
      <c r="V879" s="1018" t="s">
        <v>6722</v>
      </c>
      <c r="W879" s="1019">
        <f>IF(I!W879="","",$D$2*I!W879)</f>
        <v>0.21889875340000001</v>
      </c>
      <c r="X879" s="990">
        <f>IF(I!X879="","",$D$2*I!X879)</f>
        <v>0.54396969053999988</v>
      </c>
      <c r="Y879" s="1010">
        <f>IF(I!Y879="","",$D$2*I!Y879)</f>
        <v>0.34918142340000002</v>
      </c>
      <c r="Z879" s="938"/>
      <c r="AA879" s="938"/>
      <c r="AB879" s="938"/>
      <c r="AC879" s="938"/>
      <c r="AD879" s="1058"/>
      <c r="AE879" s="938"/>
      <c r="AF879" s="938"/>
      <c r="AG879" s="938"/>
      <c r="AH879" s="938"/>
    </row>
    <row r="880" spans="1:34" ht="17.25" customHeight="1" x14ac:dyDescent="0.35">
      <c r="A880" s="938"/>
      <c r="B880" s="938"/>
      <c r="C880" s="941"/>
      <c r="D880" s="1047"/>
      <c r="E880" s="941"/>
      <c r="F880" s="938"/>
      <c r="G880" s="976">
        <f t="shared" si="15"/>
        <v>877</v>
      </c>
      <c r="H880" s="1000">
        <v>1</v>
      </c>
      <c r="I880" s="1076" t="s">
        <v>1907</v>
      </c>
      <c r="J880" s="1031" t="s">
        <v>1920</v>
      </c>
      <c r="K880" s="1002">
        <f>IF(I!K880="","",$D$2*I!K880)</f>
        <v>2.556413869E-3</v>
      </c>
      <c r="L880" s="981"/>
      <c r="M880" s="982"/>
      <c r="N880" s="1003"/>
      <c r="O880" s="1004" t="str">
        <f>IF(I!O880="","",$D$2*I!O880)</f>
        <v/>
      </c>
      <c r="P880" s="1005">
        <f>IF(I!P880="","",$D$2*I!P880)</f>
        <v>9.172886735E-3</v>
      </c>
      <c r="Q880" s="1006" t="str">
        <f>IF(I!Q880="","",$D$2*I!Q880)</f>
        <v/>
      </c>
      <c r="R880" s="982"/>
      <c r="S880" s="1003"/>
      <c r="T880" s="938"/>
      <c r="U880" s="1008" t="s">
        <v>1059</v>
      </c>
      <c r="V880" s="1018" t="s">
        <v>6723</v>
      </c>
      <c r="W880" s="1019">
        <f>IF(I!W880="","",$D$2*I!W880)</f>
        <v>0.1376634702</v>
      </c>
      <c r="X880" s="990">
        <f>IF(I!X880="","",$D$2*I!X880)</f>
        <v>0.31948309120999996</v>
      </c>
      <c r="Y880" s="1010">
        <f>IF(I!Y880="","",$D$2*I!Y880)</f>
        <v>0.21817962120000001</v>
      </c>
      <c r="Z880" s="938"/>
      <c r="AA880" s="938"/>
      <c r="AB880" s="938"/>
      <c r="AC880" s="938"/>
      <c r="AD880" s="1058"/>
      <c r="AE880" s="938"/>
      <c r="AF880" s="938"/>
      <c r="AG880" s="938"/>
      <c r="AH880" s="938"/>
    </row>
    <row r="881" spans="1:34" ht="17.25" customHeight="1" x14ac:dyDescent="0.35">
      <c r="A881" s="938"/>
      <c r="B881" s="938"/>
      <c r="C881" s="941"/>
      <c r="D881" s="1047"/>
      <c r="E881" s="941"/>
      <c r="F881" s="938"/>
      <c r="G881" s="976">
        <f t="shared" si="15"/>
        <v>878</v>
      </c>
      <c r="H881" s="1000">
        <v>1</v>
      </c>
      <c r="I881" s="1076" t="s">
        <v>1907</v>
      </c>
      <c r="J881" s="1031" t="s">
        <v>1921</v>
      </c>
      <c r="K881" s="1002">
        <f>IF(I!K881="","",$D$2*I!K881)</f>
        <v>2.9824828910000002E-3</v>
      </c>
      <c r="L881" s="981"/>
      <c r="M881" s="982"/>
      <c r="N881" s="1003"/>
      <c r="O881" s="1004" t="str">
        <f>IF(I!O881="","",$D$2*I!O881)</f>
        <v/>
      </c>
      <c r="P881" s="1005">
        <f>IF(I!P881="","",$D$2*I!P881)</f>
        <v>1.0701701133999998E-2</v>
      </c>
      <c r="Q881" s="1006" t="str">
        <f>IF(I!Q881="","",$D$2*I!Q881)</f>
        <v/>
      </c>
      <c r="R881" s="982"/>
      <c r="S881" s="1003"/>
      <c r="T881" s="938"/>
      <c r="U881" s="1008" t="s">
        <v>1059</v>
      </c>
      <c r="V881" s="1018" t="s">
        <v>6724</v>
      </c>
      <c r="W881" s="1019">
        <f>IF(I!W881="","",$D$2*I!W881)</f>
        <v>0.16020481860000002</v>
      </c>
      <c r="X881" s="990">
        <f>IF(I!X881="","",$D$2*I!X881)</f>
        <v>0.31189733116000001</v>
      </c>
      <c r="Y881" s="1010">
        <f>IF(I!Y881="","",$D$2*I!Y881)</f>
        <v>0.2807605286</v>
      </c>
      <c r="Z881" s="938"/>
      <c r="AA881" s="938"/>
      <c r="AB881" s="938"/>
      <c r="AC881" s="938"/>
      <c r="AD881" s="1058"/>
      <c r="AE881" s="938"/>
      <c r="AF881" s="938"/>
      <c r="AG881" s="938"/>
      <c r="AH881" s="938"/>
    </row>
    <row r="882" spans="1:34" ht="17.25" customHeight="1" x14ac:dyDescent="0.35">
      <c r="A882" s="938"/>
      <c r="B882" s="938"/>
      <c r="C882" s="941"/>
      <c r="D882" s="1047"/>
      <c r="E882" s="941"/>
      <c r="F882" s="938"/>
      <c r="G882" s="976">
        <f t="shared" si="15"/>
        <v>879</v>
      </c>
      <c r="H882" s="1000">
        <v>1</v>
      </c>
      <c r="I882" s="1076" t="s">
        <v>1910</v>
      </c>
      <c r="J882" s="1079" t="s">
        <v>1922</v>
      </c>
      <c r="K882" s="1002">
        <f>IF(I!K882="","",$D$2*I!K882)</f>
        <v>1.0481296862899999E-3</v>
      </c>
      <c r="L882" s="981"/>
      <c r="M882" s="982"/>
      <c r="N882" s="1003"/>
      <c r="O882" s="1004" t="str">
        <f>IF(I!O882="","",$D$2*I!O882)</f>
        <v/>
      </c>
      <c r="P882" s="1005">
        <f>IF(I!P882="","",$D$2*I!P882)</f>
        <v>3.7608835613499995E-3</v>
      </c>
      <c r="Q882" s="1006" t="str">
        <f>IF(I!Q882="","",$D$2*I!Q882)</f>
        <v/>
      </c>
      <c r="R882" s="982"/>
      <c r="S882" s="1003"/>
      <c r="T882" s="938"/>
      <c r="U882" s="1008" t="s">
        <v>1059</v>
      </c>
      <c r="V882" s="1018" t="s">
        <v>6725</v>
      </c>
      <c r="W882" s="1019">
        <f>IF(I!W882="","",$D$2*I!W882)</f>
        <v>0.21195122350000001</v>
      </c>
      <c r="X882" s="990">
        <f>IF(I!X882="","",$D$2*I!X882)</f>
        <v>0.34294810038000001</v>
      </c>
      <c r="Y882" s="1010">
        <f>IF(I!Y882="","",$D$2*I!Y882)</f>
        <v>0.3443145635</v>
      </c>
      <c r="Z882" s="938"/>
      <c r="AA882" s="938"/>
      <c r="AB882" s="938"/>
      <c r="AC882" s="938"/>
      <c r="AD882" s="1058"/>
      <c r="AE882" s="938"/>
      <c r="AF882" s="938"/>
      <c r="AG882" s="938"/>
      <c r="AH882" s="938"/>
    </row>
    <row r="883" spans="1:34" ht="17.25" customHeight="1" x14ac:dyDescent="0.35">
      <c r="A883" s="938"/>
      <c r="B883" s="938"/>
      <c r="C883" s="941"/>
      <c r="D883" s="1047"/>
      <c r="E883" s="941"/>
      <c r="F883" s="938"/>
      <c r="G883" s="976">
        <f t="shared" si="15"/>
        <v>880</v>
      </c>
      <c r="H883" s="1000">
        <v>1</v>
      </c>
      <c r="I883" s="1076" t="s">
        <v>1910</v>
      </c>
      <c r="J883" s="1079" t="s">
        <v>1923</v>
      </c>
      <c r="K883" s="1002">
        <f>IF(I!K883="","",$D$2*I!K883)</f>
        <v>9.5439452512000012E-4</v>
      </c>
      <c r="L883" s="981"/>
      <c r="M883" s="982"/>
      <c r="N883" s="1003"/>
      <c r="O883" s="1004" t="str">
        <f>IF(I!O883="","",$D$2*I!O883)</f>
        <v/>
      </c>
      <c r="P883" s="1005">
        <f>IF(I!P883="","",$D$2*I!P883)</f>
        <v>3.4245443628799993E-3</v>
      </c>
      <c r="Q883" s="1006" t="str">
        <f>IF(I!Q883="","",$D$2*I!Q883)</f>
        <v/>
      </c>
      <c r="R883" s="982"/>
      <c r="S883" s="1003"/>
      <c r="T883" s="938"/>
      <c r="U883" s="1008" t="s">
        <v>1059</v>
      </c>
      <c r="V883" s="1018" t="s">
        <v>6726</v>
      </c>
      <c r="W883" s="1019">
        <f>IF(I!W883="","",$D$2*I!W883)</f>
        <v>0.18629645799999997</v>
      </c>
      <c r="X883" s="990">
        <f>IF(I!X883="","",$D$2*I!X883)</f>
        <v>0.34363179535999999</v>
      </c>
      <c r="Y883" s="1010">
        <f>IF(I!Y883="","",$D$2*I!Y883)</f>
        <v>0.32261458799999998</v>
      </c>
      <c r="Z883" s="938"/>
      <c r="AA883" s="938"/>
      <c r="AB883" s="938"/>
      <c r="AC883" s="938"/>
      <c r="AD883" s="1058"/>
      <c r="AE883" s="938"/>
      <c r="AF883" s="938"/>
      <c r="AG883" s="938"/>
      <c r="AH883" s="938"/>
    </row>
    <row r="884" spans="1:34" ht="17.25" customHeight="1" x14ac:dyDescent="0.35">
      <c r="A884" s="938"/>
      <c r="B884" s="938"/>
      <c r="C884" s="941"/>
      <c r="D884" s="1047"/>
      <c r="E884" s="941"/>
      <c r="F884" s="938"/>
      <c r="G884" s="976">
        <f t="shared" si="15"/>
        <v>881</v>
      </c>
      <c r="H884" s="942" t="s">
        <v>1924</v>
      </c>
      <c r="I884" s="1001"/>
      <c r="J884" s="1027"/>
      <c r="K884" s="1002" t="str">
        <f>IF(I!K884="","",$D$2*I!K884)</f>
        <v/>
      </c>
      <c r="L884" s="981"/>
      <c r="M884" s="982"/>
      <c r="N884" s="1003"/>
      <c r="O884" s="1004" t="str">
        <f>IF(I!O884="","",$D$2*I!O884)</f>
        <v/>
      </c>
      <c r="P884" s="1005" t="str">
        <f>IF(I!P884="","",$D$2*I!P884)</f>
        <v/>
      </c>
      <c r="Q884" s="1006" t="str">
        <f>IF(I!Q884="","",$D$2*I!Q884)</f>
        <v/>
      </c>
      <c r="R884" s="982"/>
      <c r="S884" s="1003"/>
      <c r="T884" s="938"/>
      <c r="U884" s="1008" t="s">
        <v>1059</v>
      </c>
      <c r="V884" s="1018" t="s">
        <v>6727</v>
      </c>
      <c r="W884" s="1019">
        <f>IF(I!W884="","",$D$2*I!W884)</f>
        <v>0.21540549419999999</v>
      </c>
      <c r="X884" s="990">
        <f>IF(I!X884="","",$D$2*I!X884)</f>
        <v>0.39177708849000004</v>
      </c>
      <c r="Y884" s="1010">
        <f>IF(I!Y884="","",$D$2*I!Y884)</f>
        <v>0.37396848419999995</v>
      </c>
      <c r="Z884" s="938"/>
      <c r="AA884" s="938"/>
      <c r="AB884" s="938"/>
      <c r="AC884" s="938"/>
      <c r="AD884" s="1058"/>
      <c r="AE884" s="938"/>
      <c r="AF884" s="938"/>
      <c r="AG884" s="938"/>
      <c r="AH884" s="938"/>
    </row>
    <row r="885" spans="1:34" ht="17.25" customHeight="1" x14ac:dyDescent="0.35">
      <c r="A885" s="938"/>
      <c r="B885" s="938"/>
      <c r="C885" s="941"/>
      <c r="D885" s="1047"/>
      <c r="E885" s="941"/>
      <c r="F885" s="938"/>
      <c r="G885" s="976">
        <f t="shared" si="15"/>
        <v>882</v>
      </c>
      <c r="H885" s="1000">
        <v>1</v>
      </c>
      <c r="I885" s="1075" t="s">
        <v>1907</v>
      </c>
      <c r="J885" s="1031" t="s">
        <v>1925</v>
      </c>
      <c r="K885" s="1002">
        <f>IF(I!K885="","",$D$2*I!K885)</f>
        <v>3.6922867690000001E-4</v>
      </c>
      <c r="L885" s="981"/>
      <c r="M885" s="982"/>
      <c r="N885" s="1003"/>
      <c r="O885" s="1004" t="str">
        <f>IF(I!O885="","",$D$2*I!O885)</f>
        <v/>
      </c>
      <c r="P885" s="1005">
        <f>IF(I!P885="","",$D$2*I!P885)</f>
        <v>2.4935584108999997E-3</v>
      </c>
      <c r="Q885" s="1006" t="str">
        <f>IF(I!Q885="","",$D$2*I!Q885)</f>
        <v/>
      </c>
      <c r="R885" s="982"/>
      <c r="S885" s="1003"/>
      <c r="T885" s="938"/>
      <c r="U885" s="1008" t="s">
        <v>1059</v>
      </c>
      <c r="V885" s="1018" t="s">
        <v>6728</v>
      </c>
      <c r="W885" s="1019">
        <f>IF(I!W885="","",$D$2*I!W885)</f>
        <v>0.16966421980000002</v>
      </c>
      <c r="X885" s="990">
        <f>IF(I!X885="","",$D$2*I!X885)</f>
        <v>0.39769872995</v>
      </c>
      <c r="Y885" s="1010">
        <f>IF(I!Y885="","",$D$2*I!Y885)</f>
        <v>0.32333379979999999</v>
      </c>
      <c r="Z885" s="938"/>
      <c r="AA885" s="938"/>
      <c r="AB885" s="938"/>
      <c r="AC885" s="938"/>
      <c r="AD885" s="1058"/>
      <c r="AE885" s="938"/>
      <c r="AF885" s="938"/>
      <c r="AG885" s="938"/>
      <c r="AH885" s="938"/>
    </row>
    <row r="886" spans="1:34" ht="17.25" customHeight="1" x14ac:dyDescent="0.35">
      <c r="A886" s="938"/>
      <c r="B886" s="938"/>
      <c r="C886" s="941"/>
      <c r="D886" s="1047"/>
      <c r="E886" s="941"/>
      <c r="F886" s="938"/>
      <c r="G886" s="976">
        <f t="shared" si="15"/>
        <v>883</v>
      </c>
      <c r="H886" s="1074"/>
      <c r="I886" s="1075" t="s">
        <v>1907</v>
      </c>
      <c r="J886" s="1031" t="s">
        <v>1926</v>
      </c>
      <c r="K886" s="1002">
        <f>IF(I!K886="","",$D$2*I!K886)</f>
        <v>1.8566982757999999E-4</v>
      </c>
      <c r="L886" s="981"/>
      <c r="M886" s="982"/>
      <c r="N886" s="1003"/>
      <c r="O886" s="1004" t="str">
        <f>IF(I!O886="","",$D$2*I!O886)</f>
        <v/>
      </c>
      <c r="P886" s="1005">
        <f>IF(I!P886="","",$D$2*I!P886)</f>
        <v>6.7873756712999987E-4</v>
      </c>
      <c r="Q886" s="1006" t="str">
        <f>IF(I!Q886="","",$D$2*I!Q886)</f>
        <v/>
      </c>
      <c r="R886" s="982"/>
      <c r="S886" s="1003"/>
      <c r="T886" s="938"/>
      <c r="U886" s="1062"/>
      <c r="V886" s="1040"/>
      <c r="W886" s="1019" t="str">
        <f>IF(I!W886="","",$D$2*I!W886)</f>
        <v/>
      </c>
      <c r="X886" s="990" t="str">
        <f>IF(I!X886="","",$D$2*I!X886)</f>
        <v/>
      </c>
      <c r="Y886" s="1010" t="str">
        <f>IF(I!Y886="","",$D$2*I!Y886)</f>
        <v/>
      </c>
      <c r="Z886" s="938"/>
      <c r="AA886" s="938"/>
      <c r="AB886" s="938"/>
      <c r="AC886" s="938"/>
      <c r="AD886" s="1058"/>
      <c r="AE886" s="938"/>
      <c r="AF886" s="938"/>
      <c r="AG886" s="938"/>
      <c r="AH886" s="938"/>
    </row>
    <row r="887" spans="1:34" ht="17.25" customHeight="1" x14ac:dyDescent="0.35">
      <c r="A887" s="938"/>
      <c r="B887" s="938"/>
      <c r="C887" s="941"/>
      <c r="D887" s="1047"/>
      <c r="E887" s="941"/>
      <c r="F887" s="938"/>
      <c r="G887" s="976">
        <f t="shared" si="15"/>
        <v>884</v>
      </c>
      <c r="H887" s="1074"/>
      <c r="I887" s="1075" t="s">
        <v>1907</v>
      </c>
      <c r="J887" s="1031" t="s">
        <v>1927</v>
      </c>
      <c r="K887" s="1002">
        <f>IF(I!K887="","",$D$2*I!K887)</f>
        <v>1.1124402200000001E-4</v>
      </c>
      <c r="L887" s="981"/>
      <c r="M887" s="982"/>
      <c r="N887" s="1003"/>
      <c r="O887" s="1004" t="str">
        <f>IF(I!O887="","",$D$2*I!O887)</f>
        <v/>
      </c>
      <c r="P887" s="1005">
        <f>IF(I!P887="","",$D$2*I!P887)</f>
        <v>4.0666541944799994E-4</v>
      </c>
      <c r="Q887" s="1006" t="str">
        <f>IF(I!Q887="","",$D$2*I!Q887)</f>
        <v/>
      </c>
      <c r="R887" s="982"/>
      <c r="S887" s="1003"/>
      <c r="T887" s="938"/>
      <c r="U887" s="1062"/>
      <c r="V887" s="1009" t="s">
        <v>6729</v>
      </c>
      <c r="W887" s="1019" t="str">
        <f>IF(I!W887="","",$D$2*I!W887)</f>
        <v/>
      </c>
      <c r="X887" s="990" t="str">
        <f>IF(I!X887="","",$D$2*I!X887)</f>
        <v/>
      </c>
      <c r="Y887" s="1010" t="str">
        <f>IF(I!Y887="","",$D$2*I!Y887)</f>
        <v/>
      </c>
      <c r="Z887" s="938"/>
      <c r="AA887" s="938"/>
      <c r="AB887" s="938"/>
      <c r="AC887" s="938"/>
      <c r="AD887" s="1058"/>
      <c r="AE887" s="938"/>
      <c r="AF887" s="938"/>
      <c r="AG887" s="938"/>
      <c r="AH887" s="938"/>
    </row>
    <row r="888" spans="1:34" ht="17.25" customHeight="1" x14ac:dyDescent="0.35">
      <c r="A888" s="938"/>
      <c r="B888" s="938"/>
      <c r="C888" s="941"/>
      <c r="D888" s="1047"/>
      <c r="E888" s="941"/>
      <c r="F888" s="938"/>
      <c r="G888" s="976">
        <f t="shared" si="15"/>
        <v>885</v>
      </c>
      <c r="H888" s="1074"/>
      <c r="I888" s="1075" t="s">
        <v>1907</v>
      </c>
      <c r="J888" s="1031" t="s">
        <v>1928</v>
      </c>
      <c r="K888" s="1002">
        <f>IF(I!K888="","",$D$2*I!K888)</f>
        <v>4.3558406785000001E-4</v>
      </c>
      <c r="L888" s="981"/>
      <c r="M888" s="982"/>
      <c r="N888" s="1003"/>
      <c r="O888" s="1004" t="str">
        <f>IF(I!O888="","",$D$2*I!O888)</f>
        <v/>
      </c>
      <c r="P888" s="1005">
        <f>IF(I!P888="","",$D$2*I!P888)</f>
        <v>1.5923280541599999E-3</v>
      </c>
      <c r="Q888" s="1006" t="str">
        <f>IF(I!Q888="","",$D$2*I!Q888)</f>
        <v/>
      </c>
      <c r="R888" s="982"/>
      <c r="S888" s="1003"/>
      <c r="T888" s="938"/>
      <c r="U888" s="1008" t="s">
        <v>1059</v>
      </c>
      <c r="V888" s="1018" t="s">
        <v>6730</v>
      </c>
      <c r="W888" s="1019">
        <f>IF(I!W888="","",$D$2*I!W888)</f>
        <v>4.6061185630000001E-2</v>
      </c>
      <c r="X888" s="990">
        <f>IF(I!X888="","",$D$2*I!X888)</f>
        <v>0.11682546196</v>
      </c>
      <c r="Y888" s="1010">
        <f>IF(I!Y888="","",$D$2*I!Y888)</f>
        <v>0.12750932063000001</v>
      </c>
      <c r="Z888" s="938"/>
      <c r="AA888" s="938"/>
      <c r="AB888" s="938"/>
      <c r="AC888" s="938"/>
      <c r="AD888" s="1058"/>
      <c r="AE888" s="938"/>
      <c r="AF888" s="938"/>
      <c r="AG888" s="938"/>
      <c r="AH888" s="938"/>
    </row>
    <row r="889" spans="1:34" ht="17.25" customHeight="1" x14ac:dyDescent="0.35">
      <c r="A889" s="938"/>
      <c r="B889" s="938"/>
      <c r="C889" s="941"/>
      <c r="D889" s="1047"/>
      <c r="E889" s="941"/>
      <c r="F889" s="938"/>
      <c r="G889" s="976">
        <f t="shared" si="15"/>
        <v>886</v>
      </c>
      <c r="H889" s="1074"/>
      <c r="I889" s="1075" t="s">
        <v>1907</v>
      </c>
      <c r="J889" s="1031" t="s">
        <v>1929</v>
      </c>
      <c r="K889" s="1002">
        <f>IF(I!K889="","",$D$2*I!K889)</f>
        <v>3.8040602203000002E-4</v>
      </c>
      <c r="L889" s="981"/>
      <c r="M889" s="982"/>
      <c r="N889" s="1003"/>
      <c r="O889" s="1004" t="str">
        <f>IF(I!O889="","",$D$2*I!O889)</f>
        <v/>
      </c>
      <c r="P889" s="1005">
        <f>IF(I!P889="","",$D$2*I!P889)</f>
        <v>1.3906182628700002E-3</v>
      </c>
      <c r="Q889" s="1006" t="str">
        <f>IF(I!Q889="","",$D$2*I!Q889)</f>
        <v/>
      </c>
      <c r="R889" s="982"/>
      <c r="S889" s="1003"/>
      <c r="T889" s="938"/>
      <c r="U889" s="1008" t="s">
        <v>1059</v>
      </c>
      <c r="V889" s="1018" t="s">
        <v>6731</v>
      </c>
      <c r="W889" s="1019">
        <f>IF(I!W889="","",$D$2*I!W889)</f>
        <v>4.2055698570000001E-2</v>
      </c>
      <c r="X889" s="990">
        <f>IF(I!X889="","",$D$2*I!X889)</f>
        <v>0.13551000374</v>
      </c>
      <c r="Y889" s="1010">
        <f>IF(I!Y889="","",$D$2*I!Y889)</f>
        <v>8.089502657E-2</v>
      </c>
      <c r="Z889" s="938"/>
      <c r="AA889" s="938"/>
      <c r="AB889" s="938"/>
      <c r="AC889" s="938"/>
      <c r="AD889" s="1058"/>
      <c r="AE889" s="938"/>
      <c r="AF889" s="938"/>
      <c r="AG889" s="938"/>
      <c r="AH889" s="938"/>
    </row>
    <row r="890" spans="1:34" ht="17.25" customHeight="1" x14ac:dyDescent="0.35">
      <c r="A890" s="938"/>
      <c r="B890" s="938"/>
      <c r="C890" s="941"/>
      <c r="D890" s="1047"/>
      <c r="E890" s="941"/>
      <c r="F890" s="938"/>
      <c r="G890" s="976">
        <f t="shared" si="15"/>
        <v>887</v>
      </c>
      <c r="H890" s="1074"/>
      <c r="I890" s="1075" t="s">
        <v>1907</v>
      </c>
      <c r="J890" s="1031" t="s">
        <v>1930</v>
      </c>
      <c r="K890" s="1002">
        <f>IF(I!K890="","",$D$2*I!K890)</f>
        <v>1.6159715212000001E-4</v>
      </c>
      <c r="L890" s="981"/>
      <c r="M890" s="982"/>
      <c r="N890" s="1003"/>
      <c r="O890" s="1004" t="str">
        <f>IF(I!O890="","",$D$2*I!O890)</f>
        <v/>
      </c>
      <c r="P890" s="1005">
        <f>IF(I!P890="","",$D$2*I!P890)</f>
        <v>5.9073711835100004E-4</v>
      </c>
      <c r="Q890" s="1006" t="str">
        <f>IF(I!Q890="","",$D$2*I!Q890)</f>
        <v/>
      </c>
      <c r="R890" s="982"/>
      <c r="S890" s="1003"/>
      <c r="T890" s="938"/>
      <c r="U890" s="1008" t="s">
        <v>1059</v>
      </c>
      <c r="V890" s="1018" t="s">
        <v>6732</v>
      </c>
      <c r="W890" s="1019">
        <f>IF(I!W890="","",$D$2*I!W890)</f>
        <v>5.7454925699999992E-2</v>
      </c>
      <c r="X890" s="990">
        <f>IF(I!X890="","",$D$2*I!X890)</f>
        <v>0.16574496353000001</v>
      </c>
      <c r="Y890" s="1010">
        <f>IF(I!Y890="","",$D$2*I!Y890)</f>
        <v>0.1040223837</v>
      </c>
      <c r="Z890" s="938"/>
      <c r="AA890" s="938"/>
      <c r="AB890" s="938"/>
      <c r="AC890" s="938"/>
      <c r="AD890" s="1058"/>
      <c r="AE890" s="938"/>
      <c r="AF890" s="938"/>
      <c r="AG890" s="938"/>
      <c r="AH890" s="938"/>
    </row>
    <row r="891" spans="1:34" ht="17.25" customHeight="1" x14ac:dyDescent="0.35">
      <c r="A891" s="938"/>
      <c r="B891" s="938"/>
      <c r="C891" s="941"/>
      <c r="D891" s="1047"/>
      <c r="E891" s="941"/>
      <c r="F891" s="938"/>
      <c r="G891" s="976">
        <f t="shared" si="15"/>
        <v>888</v>
      </c>
      <c r="H891" s="1074"/>
      <c r="I891" s="1075" t="s">
        <v>1907</v>
      </c>
      <c r="J891" s="1031" t="s">
        <v>1931</v>
      </c>
      <c r="K891" s="1002">
        <f>IF(I!K891="","",$D$2*I!K891)</f>
        <v>9.7557749549999977E-5</v>
      </c>
      <c r="L891" s="981"/>
      <c r="M891" s="982"/>
      <c r="N891" s="1003"/>
      <c r="O891" s="1004" t="str">
        <f>IF(I!O891="","",$D$2*I!O891)</f>
        <v/>
      </c>
      <c r="P891" s="1005">
        <f>IF(I!P891="","",$D$2*I!P891)</f>
        <v>3.5663366418299997E-4</v>
      </c>
      <c r="Q891" s="1006" t="str">
        <f>IF(I!Q891="","",$D$2*I!Q891)</f>
        <v/>
      </c>
      <c r="R891" s="982"/>
      <c r="S891" s="1003"/>
      <c r="T891" s="938"/>
      <c r="U891" s="1008" t="s">
        <v>1059</v>
      </c>
      <c r="V891" s="1018" t="s">
        <v>6733</v>
      </c>
      <c r="W891" s="1019">
        <f>IF(I!W891="","",$D$2*I!W891)</f>
        <v>0.84021290399999993</v>
      </c>
      <c r="X891" s="990">
        <f>IF(I!X891="","",$D$2*I!X891)</f>
        <v>0.92917397869999996</v>
      </c>
      <c r="Y891" s="1010">
        <f>IF(I!Y891="","",$D$2*I!Y891)</f>
        <v>1.2674854339999999</v>
      </c>
      <c r="Z891" s="938"/>
      <c r="AA891" s="938"/>
      <c r="AB891" s="938"/>
      <c r="AC891" s="938"/>
      <c r="AD891" s="1058"/>
      <c r="AE891" s="938"/>
      <c r="AF891" s="938"/>
      <c r="AG891" s="938"/>
      <c r="AH891" s="938"/>
    </row>
    <row r="892" spans="1:34" ht="17.25" customHeight="1" x14ac:dyDescent="0.35">
      <c r="A892" s="938"/>
      <c r="B892" s="938"/>
      <c r="C892" s="941"/>
      <c r="D892" s="1047"/>
      <c r="E892" s="941"/>
      <c r="F892" s="938"/>
      <c r="G892" s="976">
        <f t="shared" si="15"/>
        <v>889</v>
      </c>
      <c r="H892" s="1074"/>
      <c r="I892" s="1075" t="s">
        <v>1910</v>
      </c>
      <c r="J892" s="1080" t="s">
        <v>1932</v>
      </c>
      <c r="K892" s="1002">
        <f>IF(I!K892="","",$D$2*I!K892)</f>
        <v>6.6254832369199993E-5</v>
      </c>
      <c r="L892" s="981"/>
      <c r="M892" s="982"/>
      <c r="N892" s="1003"/>
      <c r="O892" s="1004" t="str">
        <f>IF(I!O892="","",$D$2*I!O892)</f>
        <v/>
      </c>
      <c r="P892" s="1005">
        <f>IF(I!P892="","",$D$2*I!P892)</f>
        <v>2.4220221852391002E-4</v>
      </c>
      <c r="Q892" s="1006" t="str">
        <f>IF(I!Q892="","",$D$2*I!Q892)</f>
        <v/>
      </c>
      <c r="R892" s="982"/>
      <c r="S892" s="1003"/>
      <c r="T892" s="938"/>
      <c r="U892" s="1008" t="s">
        <v>1059</v>
      </c>
      <c r="V892" s="1018" t="s">
        <v>6734</v>
      </c>
      <c r="W892" s="1019">
        <f>IF(I!W892="","",$D$2*I!W892)</f>
        <v>0.53171717909999994</v>
      </c>
      <c r="X892" s="990">
        <f>IF(I!X892="","",$D$2*I!X892)</f>
        <v>0.631022851</v>
      </c>
      <c r="Y892" s="1010">
        <f>IF(I!Y892="","",$D$2*I!Y892)</f>
        <v>0.84027443909999988</v>
      </c>
      <c r="Z892" s="938"/>
      <c r="AA892" s="938"/>
      <c r="AB892" s="938"/>
      <c r="AC892" s="938"/>
      <c r="AD892" s="1058"/>
      <c r="AE892" s="938"/>
      <c r="AF892" s="938"/>
      <c r="AG892" s="938"/>
      <c r="AH892" s="938"/>
    </row>
    <row r="893" spans="1:34" ht="17.25" customHeight="1" x14ac:dyDescent="0.35">
      <c r="A893" s="938"/>
      <c r="B893" s="938"/>
      <c r="C893" s="941"/>
      <c r="D893" s="1047"/>
      <c r="E893" s="941"/>
      <c r="F893" s="938"/>
      <c r="G893" s="976">
        <f t="shared" si="15"/>
        <v>890</v>
      </c>
      <c r="H893" s="1000"/>
      <c r="I893" s="1075"/>
      <c r="J893" s="1027"/>
      <c r="K893" s="1002" t="str">
        <f>IF(I!K893="","",$D$2*I!K893)</f>
        <v/>
      </c>
      <c r="L893" s="981"/>
      <c r="M893" s="982"/>
      <c r="N893" s="1003"/>
      <c r="O893" s="1004" t="str">
        <f>IF(I!O893="","",$D$2*I!O893)</f>
        <v/>
      </c>
      <c r="P893" s="1005" t="str">
        <f>IF(I!P893="","",$D$2*I!P893)</f>
        <v/>
      </c>
      <c r="Q893" s="1006" t="str">
        <f>IF(I!Q893="","",$D$2*I!Q893)</f>
        <v/>
      </c>
      <c r="R893" s="982"/>
      <c r="S893" s="1003"/>
      <c r="T893" s="938"/>
      <c r="U893" s="1008" t="s">
        <v>1059</v>
      </c>
      <c r="V893" s="1018" t="s">
        <v>6735</v>
      </c>
      <c r="W893" s="1019">
        <f>IF(I!W893="","",$D$2*I!W893)</f>
        <v>1.1094520560000001</v>
      </c>
      <c r="X893" s="990">
        <f>IF(I!X893="","",$D$2*I!X893)</f>
        <v>0.42933422700000001</v>
      </c>
      <c r="Y893" s="1010">
        <f>IF(I!Y893="","",$D$2*I!Y893)</f>
        <v>1.5343701160000001</v>
      </c>
      <c r="Z893" s="938"/>
      <c r="AA893" s="938"/>
      <c r="AB893" s="938"/>
      <c r="AC893" s="938"/>
      <c r="AD893" s="1058"/>
      <c r="AE893" s="938"/>
      <c r="AF893" s="938"/>
      <c r="AG893" s="938"/>
      <c r="AH893" s="938"/>
    </row>
    <row r="894" spans="1:34" ht="17.25" customHeight="1" x14ac:dyDescent="0.35">
      <c r="A894" s="938"/>
      <c r="B894" s="938"/>
      <c r="C894" s="941"/>
      <c r="D894" s="1047"/>
      <c r="E894" s="941"/>
      <c r="F894" s="938"/>
      <c r="G894" s="976">
        <f t="shared" si="15"/>
        <v>891</v>
      </c>
      <c r="H894" s="942" t="s">
        <v>1933</v>
      </c>
      <c r="I894" s="1060"/>
      <c r="J894" s="1027"/>
      <c r="K894" s="1002" t="str">
        <f>IF(I!K894="","",$D$2*I!K894)</f>
        <v/>
      </c>
      <c r="L894" s="981"/>
      <c r="M894" s="982"/>
      <c r="N894" s="1003"/>
      <c r="O894" s="1004" t="str">
        <f>IF(I!O894="","",$D$2*I!O894)</f>
        <v/>
      </c>
      <c r="P894" s="1005" t="str">
        <f>IF(I!P894="","",$D$2*I!P894)</f>
        <v/>
      </c>
      <c r="Q894" s="1006" t="str">
        <f>IF(I!Q894="","",$D$2*I!Q894)</f>
        <v/>
      </c>
      <c r="R894" s="982"/>
      <c r="S894" s="1003"/>
      <c r="T894" s="938"/>
      <c r="U894" s="1008" t="s">
        <v>1059</v>
      </c>
      <c r="V894" s="1018" t="s">
        <v>6736</v>
      </c>
      <c r="W894" s="1019">
        <f>IF(I!W894="","",$D$2*I!W894)</f>
        <v>0.95902888100000006</v>
      </c>
      <c r="X894" s="990">
        <f>IF(I!X894="","",$D$2*I!X894)</f>
        <v>0.43909195330000017</v>
      </c>
      <c r="Y894" s="1010">
        <f>IF(I!Y894="","",$D$2*I!Y894)</f>
        <v>1.4103384010000002</v>
      </c>
      <c r="Z894" s="938"/>
      <c r="AA894" s="938"/>
      <c r="AB894" s="938"/>
      <c r="AC894" s="938"/>
      <c r="AD894" s="1058"/>
      <c r="AE894" s="938"/>
      <c r="AF894" s="938"/>
      <c r="AG894" s="938"/>
      <c r="AH894" s="938"/>
    </row>
    <row r="895" spans="1:34" ht="17.25" customHeight="1" x14ac:dyDescent="0.35">
      <c r="A895" s="938"/>
      <c r="B895" s="938"/>
      <c r="C895" s="941"/>
      <c r="D895" s="1047"/>
      <c r="E895" s="941"/>
      <c r="F895" s="938"/>
      <c r="G895" s="976">
        <f t="shared" si="15"/>
        <v>892</v>
      </c>
      <c r="H895" s="942"/>
      <c r="I895" s="1060" t="s">
        <v>1059</v>
      </c>
      <c r="J895" s="1031" t="s">
        <v>1934</v>
      </c>
      <c r="K895" s="1002">
        <f>IF(I!K895="","",$D$2*I!K895)</f>
        <v>2.250612967E-2</v>
      </c>
      <c r="L895" s="981"/>
      <c r="M895" s="982"/>
      <c r="N895" s="1003"/>
      <c r="O895" s="1004">
        <f>IF(I!O895="","",$D$2*I!O895)</f>
        <v>7.1021998670000003E-2</v>
      </c>
      <c r="P895" s="1005">
        <f>IF(I!P895="","",$D$2*I!P895)</f>
        <v>1.7411449161999999E-2</v>
      </c>
      <c r="Q895" s="1006" t="str">
        <f>IF(I!Q895="","",$D$2*I!Q895)</f>
        <v/>
      </c>
      <c r="R895" s="982"/>
      <c r="S895" s="1003"/>
      <c r="T895" s="938"/>
      <c r="U895" s="1008" t="s">
        <v>1059</v>
      </c>
      <c r="V895" s="1018" t="s">
        <v>6737</v>
      </c>
      <c r="W895" s="1019">
        <f>IF(I!W895="","",$D$2*I!W895)</f>
        <v>0.76892472700000003</v>
      </c>
      <c r="X895" s="990">
        <f>IF(I!X895="","",$D$2*I!X895)</f>
        <v>0.80500378699999997</v>
      </c>
      <c r="Y895" s="1010">
        <f>IF(I!Y895="","",$D$2*I!Y895)</f>
        <v>1.196732677</v>
      </c>
      <c r="Z895" s="938"/>
      <c r="AA895" s="938"/>
      <c r="AB895" s="938"/>
      <c r="AC895" s="938"/>
      <c r="AD895" s="1058"/>
      <c r="AE895" s="938"/>
      <c r="AF895" s="938"/>
      <c r="AG895" s="938"/>
      <c r="AH895" s="938"/>
    </row>
    <row r="896" spans="1:34" ht="17.25" customHeight="1" x14ac:dyDescent="0.35">
      <c r="A896" s="938"/>
      <c r="B896" s="938"/>
      <c r="C896" s="941"/>
      <c r="D896" s="1047"/>
      <c r="E896" s="941"/>
      <c r="F896" s="938"/>
      <c r="G896" s="976">
        <f t="shared" si="15"/>
        <v>893</v>
      </c>
      <c r="H896" s="1000"/>
      <c r="I896" s="1060" t="s">
        <v>1059</v>
      </c>
      <c r="J896" s="1031" t="s">
        <v>1935</v>
      </c>
      <c r="K896" s="1002">
        <f>IF(I!K896="","",$D$2*I!K896)</f>
        <v>2.6553553300000001E-2</v>
      </c>
      <c r="L896" s="981"/>
      <c r="M896" s="982"/>
      <c r="N896" s="1003"/>
      <c r="O896" s="1004">
        <f>IF(I!O896="","",$D$2*I!O896)</f>
        <v>8.3794346300000003E-2</v>
      </c>
      <c r="P896" s="1005">
        <f>IF(I!P896="","",$D$2*I!P896)</f>
        <v>2.0542664067000001E-2</v>
      </c>
      <c r="Q896" s="1006" t="str">
        <f>IF(I!Q896="","",$D$2*I!Q896)</f>
        <v/>
      </c>
      <c r="R896" s="982"/>
      <c r="S896" s="1003"/>
      <c r="T896" s="938"/>
      <c r="U896" s="1008" t="s">
        <v>1059</v>
      </c>
      <c r="V896" s="1018" t="s">
        <v>6738</v>
      </c>
      <c r="W896" s="1019">
        <f>IF(I!W896="","",$D$2*I!W896)</f>
        <v>0.55340128120000009</v>
      </c>
      <c r="X896" s="990">
        <f>IF(I!X896="","",$D$2*I!X896)</f>
        <v>0.70208335209999995</v>
      </c>
      <c r="Y896" s="1010">
        <f>IF(I!Y896="","",$D$2*I!Y896)</f>
        <v>0.89938104120000006</v>
      </c>
      <c r="Z896" s="938"/>
      <c r="AA896" s="938"/>
      <c r="AB896" s="938"/>
      <c r="AC896" s="938"/>
      <c r="AD896" s="1058"/>
      <c r="AE896" s="938"/>
      <c r="AF896" s="938"/>
      <c r="AG896" s="938"/>
      <c r="AH896" s="938"/>
    </row>
    <row r="897" spans="1:34" ht="17.25" customHeight="1" x14ac:dyDescent="0.35">
      <c r="A897" s="938"/>
      <c r="B897" s="938"/>
      <c r="C897" s="941"/>
      <c r="D897" s="1047"/>
      <c r="E897" s="941"/>
      <c r="F897" s="938"/>
      <c r="G897" s="976">
        <f t="shared" si="15"/>
        <v>894</v>
      </c>
      <c r="H897" s="942" t="s">
        <v>1936</v>
      </c>
      <c r="I897" s="1060"/>
      <c r="J897" s="1027"/>
      <c r="K897" s="1002" t="str">
        <f>IF(I!K897="","",$D$2*I!K897)</f>
        <v/>
      </c>
      <c r="L897" s="981"/>
      <c r="M897" s="982"/>
      <c r="N897" s="1003"/>
      <c r="O897" s="1004" t="str">
        <f>IF(I!O897="","",$D$2*I!O897)</f>
        <v/>
      </c>
      <c r="P897" s="1005" t="str">
        <f>IF(I!P897="","",$D$2*I!P897)</f>
        <v/>
      </c>
      <c r="Q897" s="1006" t="str">
        <f>IF(I!Q897="","",$D$2*I!Q897)</f>
        <v/>
      </c>
      <c r="R897" s="982"/>
      <c r="S897" s="1003"/>
      <c r="T897" s="938"/>
      <c r="U897" s="1008" t="s">
        <v>1059</v>
      </c>
      <c r="V897" s="1018" t="s">
        <v>6739</v>
      </c>
      <c r="W897" s="1019">
        <f>IF(I!W897="","",$D$2*I!W897)</f>
        <v>0.52786633039999997</v>
      </c>
      <c r="X897" s="990">
        <f>IF(I!X897="","",$D$2*I!X897)</f>
        <v>0.63323726079999987</v>
      </c>
      <c r="Y897" s="1010">
        <f>IF(I!Y897="","",$D$2*I!Y897)</f>
        <v>0.82969987040000004</v>
      </c>
      <c r="Z897" s="938"/>
      <c r="AA897" s="938"/>
      <c r="AB897" s="938"/>
      <c r="AC897" s="938"/>
      <c r="AD897" s="1058"/>
      <c r="AE897" s="938"/>
      <c r="AF897" s="938"/>
      <c r="AG897" s="938"/>
      <c r="AH897" s="938"/>
    </row>
    <row r="898" spans="1:34" ht="17.25" customHeight="1" x14ac:dyDescent="0.35">
      <c r="A898" s="938"/>
      <c r="B898" s="938"/>
      <c r="C898" s="941"/>
      <c r="D898" s="1047"/>
      <c r="E898" s="941"/>
      <c r="F898" s="938"/>
      <c r="G898" s="976">
        <f t="shared" si="15"/>
        <v>895</v>
      </c>
      <c r="H898" s="1000"/>
      <c r="I898" s="1060" t="s">
        <v>1059</v>
      </c>
      <c r="J898" s="1031" t="s">
        <v>1937</v>
      </c>
      <c r="K898" s="1002">
        <f>IF(I!K898="","",$D$2*I!K898)</f>
        <v>3.0355679149999997E-3</v>
      </c>
      <c r="L898" s="981"/>
      <c r="M898" s="982"/>
      <c r="N898" s="1003"/>
      <c r="O898" s="1004">
        <f>IF(I!O898="","",$D$2*I!O898)</f>
        <v>9.579261415E-3</v>
      </c>
      <c r="P898" s="1005">
        <f>IF(I!P898="","",$D$2*I!P898)</f>
        <v>2.3484107297999999E-3</v>
      </c>
      <c r="Q898" s="1006" t="str">
        <f>IF(I!Q898="","",$D$2*I!Q898)</f>
        <v/>
      </c>
      <c r="R898" s="982"/>
      <c r="S898" s="1003"/>
      <c r="T898" s="938"/>
      <c r="U898" s="1008" t="s">
        <v>1059</v>
      </c>
      <c r="V898" s="1018" t="s">
        <v>6740</v>
      </c>
      <c r="W898" s="1019">
        <f>IF(I!W898="","",$D$2*I!W898)</f>
        <v>0.61560267209999997</v>
      </c>
      <c r="X898" s="990">
        <f>IF(I!X898="","",$D$2*I!X898)</f>
        <v>0.63711933050000003</v>
      </c>
      <c r="Y898" s="1010">
        <f>IF(I!Y898="","",$D$2*I!Y898)</f>
        <v>0.94344248210000003</v>
      </c>
      <c r="Z898" s="938"/>
      <c r="AA898" s="938"/>
      <c r="AB898" s="938"/>
      <c r="AC898" s="938"/>
      <c r="AD898" s="1058"/>
      <c r="AE898" s="938"/>
      <c r="AF898" s="938"/>
      <c r="AG898" s="938"/>
      <c r="AH898" s="938"/>
    </row>
    <row r="899" spans="1:34" ht="17.25" customHeight="1" x14ac:dyDescent="0.35">
      <c r="A899" s="938"/>
      <c r="B899" s="938"/>
      <c r="C899" s="941"/>
      <c r="D899" s="1047"/>
      <c r="E899" s="941"/>
      <c r="F899" s="938"/>
      <c r="G899" s="976">
        <f t="shared" si="15"/>
        <v>896</v>
      </c>
      <c r="H899" s="1000"/>
      <c r="I899" s="1060" t="s">
        <v>1059</v>
      </c>
      <c r="J899" s="1031" t="s">
        <v>1938</v>
      </c>
      <c r="K899" s="1002">
        <f>IF(I!K899="","",$D$2*I!K899)</f>
        <v>3.0355679149999997E-3</v>
      </c>
      <c r="L899" s="981"/>
      <c r="M899" s="982"/>
      <c r="N899" s="1003"/>
      <c r="O899" s="1004">
        <f>IF(I!O899="","",$D$2*I!O899)</f>
        <v>9.579261415E-3</v>
      </c>
      <c r="P899" s="1005">
        <f>IF(I!P899="","",$D$2*I!P899)</f>
        <v>2.3484107297999999E-3</v>
      </c>
      <c r="Q899" s="1006" t="str">
        <f>IF(I!Q899="","",$D$2*I!Q899)</f>
        <v/>
      </c>
      <c r="R899" s="982"/>
      <c r="S899" s="1003"/>
      <c r="T899" s="938"/>
      <c r="U899" s="1008" t="s">
        <v>1059</v>
      </c>
      <c r="V899" s="1018" t="s">
        <v>6741</v>
      </c>
      <c r="W899" s="1019">
        <f>IF(I!W899="","",$D$2*I!W899)</f>
        <v>0.60257046999999997</v>
      </c>
      <c r="X899" s="990">
        <f>IF(I!X899="","",$D$2*I!X899)</f>
        <v>0.79591202049999998</v>
      </c>
      <c r="Y899" s="1010">
        <f>IF(I!Y899="","",$D$2*I!Y899)</f>
        <v>0.95011076999999999</v>
      </c>
      <c r="Z899" s="938"/>
      <c r="AA899" s="938"/>
      <c r="AB899" s="938"/>
      <c r="AC899" s="938"/>
      <c r="AD899" s="1058"/>
      <c r="AE899" s="938"/>
      <c r="AF899" s="938"/>
      <c r="AG899" s="938"/>
      <c r="AH899" s="938"/>
    </row>
    <row r="900" spans="1:34" ht="17.25" customHeight="1" x14ac:dyDescent="0.35">
      <c r="A900" s="938"/>
      <c r="B900" s="938"/>
      <c r="C900" s="941"/>
      <c r="D900" s="1047"/>
      <c r="E900" s="941"/>
      <c r="F900" s="938"/>
      <c r="G900" s="976">
        <f t="shared" si="15"/>
        <v>897</v>
      </c>
      <c r="H900" s="1000"/>
      <c r="I900" s="1060" t="s">
        <v>1059</v>
      </c>
      <c r="J900" s="1031" t="s">
        <v>1939</v>
      </c>
      <c r="K900" s="1002">
        <f>IF(I!K900="","",$D$2*I!K900)</f>
        <v>3.0355679149999997E-3</v>
      </c>
      <c r="L900" s="981"/>
      <c r="M900" s="982"/>
      <c r="N900" s="1003"/>
      <c r="O900" s="1004">
        <f>IF(I!O900="","",$D$2*I!O900)</f>
        <v>9.579261415E-3</v>
      </c>
      <c r="P900" s="1005">
        <f>IF(I!P900="","",$D$2*I!P900)</f>
        <v>2.3484107297999999E-3</v>
      </c>
      <c r="Q900" s="1006" t="str">
        <f>IF(I!Q900="","",$D$2*I!Q900)</f>
        <v/>
      </c>
      <c r="R900" s="982"/>
      <c r="S900" s="1003"/>
      <c r="T900" s="938"/>
      <c r="U900" s="1008" t="s">
        <v>1059</v>
      </c>
      <c r="V900" s="1018" t="s">
        <v>6742</v>
      </c>
      <c r="W900" s="1019">
        <f>IF(I!W900="","",$D$2*I!W900)</f>
        <v>0.70336990099999985</v>
      </c>
      <c r="X900" s="990">
        <f>IF(I!X900="","",$D$2*I!X900)</f>
        <v>0.81827710480000004</v>
      </c>
      <c r="Y900" s="1010">
        <f>IF(I!Y900="","",$D$2*I!Y900)</f>
        <v>1.080737391</v>
      </c>
      <c r="Z900" s="938"/>
      <c r="AA900" s="938"/>
      <c r="AB900" s="938"/>
      <c r="AC900" s="938"/>
      <c r="AD900" s="1058"/>
      <c r="AE900" s="938"/>
      <c r="AF900" s="938"/>
      <c r="AG900" s="938"/>
      <c r="AH900" s="938"/>
    </row>
    <row r="901" spans="1:34" ht="17.25" customHeight="1" x14ac:dyDescent="0.35">
      <c r="A901" s="938"/>
      <c r="B901" s="938"/>
      <c r="C901" s="941"/>
      <c r="D901" s="1047"/>
      <c r="E901" s="941"/>
      <c r="F901" s="938"/>
      <c r="G901" s="976">
        <f t="shared" si="15"/>
        <v>898</v>
      </c>
      <c r="H901" s="942" t="s">
        <v>1940</v>
      </c>
      <c r="I901" s="1026"/>
      <c r="J901" s="1054"/>
      <c r="K901" s="1002" t="str">
        <f>IF(I!K901="","",$D$2*I!K901)</f>
        <v/>
      </c>
      <c r="L901" s="981"/>
      <c r="M901" s="982"/>
      <c r="N901" s="1003"/>
      <c r="O901" s="1004" t="str">
        <f>IF(I!O901="","",$D$2*I!O901)</f>
        <v/>
      </c>
      <c r="P901" s="1005" t="str">
        <f>IF(I!P901="","",$D$2*I!P901)</f>
        <v/>
      </c>
      <c r="Q901" s="1006" t="str">
        <f>IF(I!Q901="","",$D$2*I!Q901)</f>
        <v/>
      </c>
      <c r="R901" s="982"/>
      <c r="S901" s="1003"/>
      <c r="T901" s="938"/>
      <c r="U901" s="1008" t="s">
        <v>1059</v>
      </c>
      <c r="V901" s="1018" t="s">
        <v>6743</v>
      </c>
      <c r="W901" s="1019">
        <f>IF(I!W901="","",$D$2*I!W901)</f>
        <v>0.71696313899999997</v>
      </c>
      <c r="X901" s="990">
        <f>IF(I!X901="","",$D$2*I!X901)</f>
        <v>0.82942232049999998</v>
      </c>
      <c r="Y901" s="1010">
        <f>IF(I!Y901="","",$D$2*I!Y901)</f>
        <v>1.120361299</v>
      </c>
      <c r="Z901" s="938"/>
      <c r="AA901" s="938"/>
      <c r="AB901" s="938"/>
      <c r="AC901" s="938"/>
      <c r="AD901" s="1058"/>
      <c r="AE901" s="938"/>
      <c r="AF901" s="938"/>
      <c r="AG901" s="938"/>
      <c r="AH901" s="938"/>
    </row>
    <row r="902" spans="1:34" ht="17.25" customHeight="1" x14ac:dyDescent="0.35">
      <c r="A902" s="938"/>
      <c r="B902" s="938"/>
      <c r="C902" s="941"/>
      <c r="D902" s="1047"/>
      <c r="E902" s="941"/>
      <c r="F902" s="938"/>
      <c r="G902" s="976">
        <f t="shared" ref="G902:G965" si="16">G901+1</f>
        <v>899</v>
      </c>
      <c r="H902" s="942"/>
      <c r="I902" s="1060" t="s">
        <v>1056</v>
      </c>
      <c r="J902" s="1031" t="s">
        <v>1941</v>
      </c>
      <c r="K902" s="1002">
        <f>IF(I!K902="","",$D$2*I!K902)</f>
        <v>0.31636336510000002</v>
      </c>
      <c r="L902" s="981"/>
      <c r="M902" s="982"/>
      <c r="N902" s="1003"/>
      <c r="O902" s="1004">
        <f>IF(I!O902="","",$D$2*I!O902)</f>
        <v>0.76978825510000004</v>
      </c>
      <c r="P902" s="1005">
        <f>IF(I!P902="","",$D$2*I!P902)</f>
        <v>0.34955828289199997</v>
      </c>
      <c r="Q902" s="1006" t="str">
        <f>IF(I!Q902="","",$D$2*I!Q902)</f>
        <v/>
      </c>
      <c r="R902" s="982"/>
      <c r="S902" s="1003"/>
      <c r="T902" s="938"/>
      <c r="U902" s="1008" t="s">
        <v>1059</v>
      </c>
      <c r="V902" s="1018" t="s">
        <v>6744</v>
      </c>
      <c r="W902" s="1019">
        <f>IF(I!W902="","",$D$2*I!W902)</f>
        <v>0.6534082283</v>
      </c>
      <c r="X902" s="990">
        <f>IF(I!X902="","",$D$2*I!X902)</f>
        <v>1.2048645899000001</v>
      </c>
      <c r="Y902" s="1010">
        <f>IF(I!Y902="","",$D$2*I!Y902)</f>
        <v>1.0724290383000001</v>
      </c>
      <c r="Z902" s="938"/>
      <c r="AA902" s="938"/>
      <c r="AB902" s="938"/>
      <c r="AC902" s="938"/>
      <c r="AD902" s="1058"/>
      <c r="AE902" s="938"/>
      <c r="AF902" s="938"/>
      <c r="AG902" s="938"/>
      <c r="AH902" s="938"/>
    </row>
    <row r="903" spans="1:34" ht="17.25" customHeight="1" x14ac:dyDescent="0.35">
      <c r="A903" s="938"/>
      <c r="B903" s="938"/>
      <c r="C903" s="941"/>
      <c r="D903" s="1047"/>
      <c r="E903" s="941"/>
      <c r="F903" s="938"/>
      <c r="G903" s="976">
        <f t="shared" si="16"/>
        <v>900</v>
      </c>
      <c r="H903" s="942"/>
      <c r="I903" s="1060" t="s">
        <v>1056</v>
      </c>
      <c r="J903" s="1031" t="s">
        <v>1942</v>
      </c>
      <c r="K903" s="1002">
        <f>IF(I!K903="","",$D$2*I!K903)</f>
        <v>0.34227294680000003</v>
      </c>
      <c r="L903" s="981"/>
      <c r="M903" s="982"/>
      <c r="N903" s="1003"/>
      <c r="O903" s="1004">
        <f>IF(I!O903="","",$D$2*I!O903)</f>
        <v>0.8170718468</v>
      </c>
      <c r="P903" s="1005">
        <f>IF(I!P903="","",$D$2*I!P903)</f>
        <v>0.48659940917099997</v>
      </c>
      <c r="Q903" s="1006" t="str">
        <f>IF(I!Q903="","",$D$2*I!Q903)</f>
        <v/>
      </c>
      <c r="R903" s="982"/>
      <c r="S903" s="1003"/>
      <c r="T903" s="938"/>
      <c r="U903" s="1008" t="s">
        <v>1059</v>
      </c>
      <c r="V903" s="1018" t="s">
        <v>6745</v>
      </c>
      <c r="W903" s="1019">
        <f>IF(I!W903="","",$D$2*I!W903)</f>
        <v>0.70570133300000004</v>
      </c>
      <c r="X903" s="990">
        <f>IF(I!X903="","",$D$2*I!X903)</f>
        <v>0.82518198350000027</v>
      </c>
      <c r="Y903" s="1010">
        <f>IF(I!Y903="","",$D$2*I!Y903)</f>
        <v>1.0985698130000001</v>
      </c>
      <c r="Z903" s="938"/>
      <c r="AA903" s="938"/>
      <c r="AB903" s="938"/>
      <c r="AC903" s="938"/>
      <c r="AD903" s="1058"/>
      <c r="AE903" s="938"/>
      <c r="AF903" s="938"/>
      <c r="AG903" s="938"/>
      <c r="AH903" s="938"/>
    </row>
    <row r="904" spans="1:34" ht="17.25" customHeight="1" x14ac:dyDescent="0.35">
      <c r="A904" s="938"/>
      <c r="B904" s="938"/>
      <c r="C904" s="941"/>
      <c r="D904" s="1047"/>
      <c r="E904" s="941"/>
      <c r="F904" s="938"/>
      <c r="G904" s="976">
        <f t="shared" si="16"/>
        <v>901</v>
      </c>
      <c r="H904" s="1000">
        <v>1</v>
      </c>
      <c r="I904" s="1060" t="s">
        <v>1056</v>
      </c>
      <c r="J904" s="1031" t="s">
        <v>1943</v>
      </c>
      <c r="K904" s="1002">
        <f>IF(I!K904="","",$D$2*I!K904)</f>
        <v>0.65662575889999997</v>
      </c>
      <c r="L904" s="981"/>
      <c r="M904" s="982"/>
      <c r="N904" s="1003"/>
      <c r="O904" s="1004">
        <f>IF(I!O904="","",$D$2*I!O904)</f>
        <v>0.93858774889999996</v>
      </c>
      <c r="P904" s="1005">
        <f>IF(I!P904="","",$D$2*I!P904)</f>
        <v>0.17358318743000001</v>
      </c>
      <c r="Q904" s="1006" t="str">
        <f>IF(I!Q904="","",$D$2*I!Q904)</f>
        <v/>
      </c>
      <c r="R904" s="982"/>
      <c r="S904" s="1003"/>
      <c r="T904" s="938"/>
      <c r="U904" s="1008" t="s">
        <v>1059</v>
      </c>
      <c r="V904" s="1018" t="s">
        <v>6746</v>
      </c>
      <c r="W904" s="1019">
        <f>IF(I!W904="","",$D$2*I!W904)</f>
        <v>0.15126896409999999</v>
      </c>
      <c r="X904" s="990">
        <f>IF(I!X904="","",$D$2*I!X904)</f>
        <v>0.16728519740999998</v>
      </c>
      <c r="Y904" s="1010">
        <f>IF(I!Y904="","",$D$2*I!Y904)</f>
        <v>0.22819360109999998</v>
      </c>
      <c r="Z904" s="938"/>
      <c r="AA904" s="938"/>
      <c r="AB904" s="938"/>
      <c r="AC904" s="938"/>
      <c r="AD904" s="1058"/>
      <c r="AE904" s="938"/>
      <c r="AF904" s="938"/>
      <c r="AG904" s="938"/>
      <c r="AH904" s="938"/>
    </row>
    <row r="905" spans="1:34" ht="17.25" customHeight="1" x14ac:dyDescent="0.35">
      <c r="A905" s="938"/>
      <c r="B905" s="938"/>
      <c r="C905" s="941"/>
      <c r="D905" s="1047"/>
      <c r="E905" s="941"/>
      <c r="F905" s="938"/>
      <c r="G905" s="976">
        <f t="shared" si="16"/>
        <v>902</v>
      </c>
      <c r="H905" s="1000">
        <v>1</v>
      </c>
      <c r="I905" s="1060" t="s">
        <v>1056</v>
      </c>
      <c r="J905" s="1031" t="s">
        <v>1944</v>
      </c>
      <c r="K905" s="1002">
        <f>IF(I!K905="","",$D$2*I!K905)</f>
        <v>0.16425618855999999</v>
      </c>
      <c r="L905" s="981"/>
      <c r="M905" s="982"/>
      <c r="N905" s="1003"/>
      <c r="O905" s="1004">
        <f>IF(I!O905="","",$D$2*I!O905)</f>
        <v>0.30560732855999995</v>
      </c>
      <c r="P905" s="1005">
        <f>IF(I!P905="","",$D$2*I!P905)</f>
        <v>8.6924433694000006E-2</v>
      </c>
      <c r="Q905" s="1006" t="str">
        <f>IF(I!Q905="","",$D$2*I!Q905)</f>
        <v/>
      </c>
      <c r="R905" s="982"/>
      <c r="S905" s="1003"/>
      <c r="T905" s="938"/>
      <c r="U905" s="1008" t="s">
        <v>1059</v>
      </c>
      <c r="V905" s="1018" t="s">
        <v>6747</v>
      </c>
      <c r="W905" s="1019">
        <f>IF(I!W905="","",$D$2*I!W905)</f>
        <v>9.5714926100000014E-2</v>
      </c>
      <c r="X905" s="990">
        <f>IF(I!X905="","",$D$2*I!X905)</f>
        <v>0.11359103587999998</v>
      </c>
      <c r="Y905" s="1010">
        <f>IF(I!Y905="","",$D$2*I!Y905)</f>
        <v>0.15125862010000002</v>
      </c>
      <c r="Z905" s="938"/>
      <c r="AA905" s="938"/>
      <c r="AB905" s="938"/>
      <c r="AC905" s="938"/>
      <c r="AD905" s="1058"/>
      <c r="AE905" s="938"/>
      <c r="AF905" s="938"/>
      <c r="AG905" s="938"/>
      <c r="AH905" s="938"/>
    </row>
    <row r="906" spans="1:34" ht="17.25" customHeight="1" x14ac:dyDescent="0.35">
      <c r="A906" s="938"/>
      <c r="B906" s="938"/>
      <c r="C906" s="941"/>
      <c r="D906" s="1047"/>
      <c r="E906" s="941"/>
      <c r="F906" s="938"/>
      <c r="G906" s="976">
        <f t="shared" si="16"/>
        <v>903</v>
      </c>
      <c r="H906" s="1000">
        <v>1</v>
      </c>
      <c r="I906" s="1060" t="s">
        <v>1056</v>
      </c>
      <c r="J906" s="1031" t="s">
        <v>1945</v>
      </c>
      <c r="K906" s="1002">
        <f>IF(I!K906="","",$D$2*I!K906)</f>
        <v>0.38936105839999996</v>
      </c>
      <c r="L906" s="981"/>
      <c r="M906" s="982"/>
      <c r="N906" s="1003"/>
      <c r="O906" s="1004">
        <f>IF(I!O906="","",$D$2*I!O906)</f>
        <v>1.0768816384</v>
      </c>
      <c r="P906" s="1005">
        <f>IF(I!P906="","",$D$2*I!P906)</f>
        <v>0.74946229601999992</v>
      </c>
      <c r="Q906" s="1006" t="str">
        <f>IF(I!Q906="","",$D$2*I!Q906)</f>
        <v/>
      </c>
      <c r="R906" s="982"/>
      <c r="S906" s="1003"/>
      <c r="T906" s="938"/>
      <c r="U906" s="1008" t="s">
        <v>1059</v>
      </c>
      <c r="V906" s="1018" t="s">
        <v>6748</v>
      </c>
      <c r="W906" s="1019">
        <f>IF(I!W906="","",$D$2*I!W906)</f>
        <v>0.19967459100000001</v>
      </c>
      <c r="X906" s="990">
        <f>IF(I!X906="","",$D$2*I!X906)</f>
        <v>7.7269796249999967E-2</v>
      </c>
      <c r="Y906" s="1010">
        <f>IF(I!Y906="","",$D$2*I!Y906)</f>
        <v>0.27614958500000003</v>
      </c>
      <c r="Z906" s="938"/>
      <c r="AA906" s="938"/>
      <c r="AB906" s="938"/>
      <c r="AC906" s="938"/>
      <c r="AD906" s="1058"/>
      <c r="AE906" s="938"/>
      <c r="AF906" s="938"/>
      <c r="AG906" s="938"/>
      <c r="AH906" s="938"/>
    </row>
    <row r="907" spans="1:34" ht="17.25" customHeight="1" x14ac:dyDescent="0.35">
      <c r="A907" s="938"/>
      <c r="B907" s="938"/>
      <c r="C907" s="941"/>
      <c r="D907" s="1047"/>
      <c r="E907" s="941"/>
      <c r="F907" s="938"/>
      <c r="G907" s="976">
        <f t="shared" si="16"/>
        <v>904</v>
      </c>
      <c r="H907" s="1068"/>
      <c r="I907" s="1060" t="s">
        <v>1056</v>
      </c>
      <c r="J907" s="1031" t="s">
        <v>1946</v>
      </c>
      <c r="K907" s="1002">
        <f>IF(I!K907="","",$D$2*I!K907)</f>
        <v>4.0361963349999995E-2</v>
      </c>
      <c r="L907" s="981"/>
      <c r="M907" s="982"/>
      <c r="N907" s="1003"/>
      <c r="O907" s="1004">
        <f>IF(I!O907="","",$D$2*I!O907)</f>
        <v>0.10527975435</v>
      </c>
      <c r="P907" s="1005">
        <f>IF(I!P907="","",$D$2*I!P907)</f>
        <v>2.3251261641000002E-2</v>
      </c>
      <c r="Q907" s="1006" t="str">
        <f>IF(I!Q907="","",$D$2*I!Q907)</f>
        <v/>
      </c>
      <c r="R907" s="982"/>
      <c r="S907" s="1003"/>
      <c r="T907" s="938"/>
      <c r="U907" s="1008" t="s">
        <v>1059</v>
      </c>
      <c r="V907" s="1018" t="s">
        <v>6749</v>
      </c>
      <c r="W907" s="1019">
        <f>IF(I!W907="","",$D$2*I!W907)</f>
        <v>0.17261274460000001</v>
      </c>
      <c r="X907" s="990">
        <f>IF(I!X907="","",$D$2*I!X907)</f>
        <v>7.9030851860000029E-2</v>
      </c>
      <c r="Y907" s="1010">
        <f>IF(I!Y907="","",$D$2*I!Y907)</f>
        <v>0.25384259860000002</v>
      </c>
      <c r="Z907" s="938"/>
      <c r="AA907" s="938"/>
      <c r="AB907" s="938"/>
      <c r="AC907" s="938"/>
      <c r="AD907" s="1058"/>
      <c r="AE907" s="938"/>
      <c r="AF907" s="938"/>
      <c r="AG907" s="938"/>
      <c r="AH907" s="938"/>
    </row>
    <row r="908" spans="1:34" ht="17.25" customHeight="1" x14ac:dyDescent="0.35">
      <c r="A908" s="938"/>
      <c r="B908" s="938"/>
      <c r="C908" s="941"/>
      <c r="D908" s="1047"/>
      <c r="E908" s="941"/>
      <c r="F908" s="938"/>
      <c r="G908" s="976">
        <f t="shared" si="16"/>
        <v>905</v>
      </c>
      <c r="H908" s="942"/>
      <c r="I908" s="1060" t="s">
        <v>1056</v>
      </c>
      <c r="J908" s="1031" t="s">
        <v>1947</v>
      </c>
      <c r="K908" s="1002">
        <f>IF(I!K908="","",$D$2*I!K908)</f>
        <v>2.4869352484999999E-2</v>
      </c>
      <c r="L908" s="981"/>
      <c r="M908" s="982"/>
      <c r="N908" s="1003"/>
      <c r="O908" s="1004">
        <f>IF(I!O908="","",$D$2*I!O908)</f>
        <v>2.6194698284999998E-2</v>
      </c>
      <c r="P908" s="1005">
        <f>IF(I!P908="","",$D$2*I!P908)</f>
        <v>3.1477106775859996E-3</v>
      </c>
      <c r="Q908" s="1006" t="str">
        <f>IF(I!Q908="","",$D$2*I!Q908)</f>
        <v/>
      </c>
      <c r="R908" s="982"/>
      <c r="S908" s="1003"/>
      <c r="T908" s="938"/>
      <c r="U908" s="1008" t="s">
        <v>1059</v>
      </c>
      <c r="V908" s="1018" t="s">
        <v>6750</v>
      </c>
      <c r="W908" s="1019">
        <f>IF(I!W908="","",$D$2*I!W908)</f>
        <v>0.13842429939999998</v>
      </c>
      <c r="X908" s="990">
        <f>IF(I!X908="","",$D$2*I!X908)</f>
        <v>0.1449193667</v>
      </c>
      <c r="Y908" s="1010">
        <f>IF(I!Y908="","",$D$2*I!Y908)</f>
        <v>0.21543965939999998</v>
      </c>
      <c r="Z908" s="938"/>
      <c r="AA908" s="938"/>
      <c r="AB908" s="938"/>
      <c r="AC908" s="938"/>
      <c r="AD908" s="1058"/>
      <c r="AE908" s="938"/>
      <c r="AF908" s="938"/>
      <c r="AG908" s="938"/>
      <c r="AH908" s="938"/>
    </row>
    <row r="909" spans="1:34" ht="17.25" customHeight="1" x14ac:dyDescent="0.35">
      <c r="A909" s="938"/>
      <c r="B909" s="938"/>
      <c r="C909" s="941"/>
      <c r="D909" s="1047"/>
      <c r="E909" s="941"/>
      <c r="F909" s="938"/>
      <c r="G909" s="976">
        <f t="shared" si="16"/>
        <v>906</v>
      </c>
      <c r="H909" s="942"/>
      <c r="I909" s="1060" t="s">
        <v>1056</v>
      </c>
      <c r="J909" s="1031" t="s">
        <v>1948</v>
      </c>
      <c r="K909" s="1002">
        <f>IF(I!K909="","",$D$2*I!K909)</f>
        <v>1.1055069847999999E-2</v>
      </c>
      <c r="L909" s="981"/>
      <c r="M909" s="982"/>
      <c r="N909" s="1003"/>
      <c r="O909" s="1004">
        <f>IF(I!O909="","",$D$2*I!O909)</f>
        <v>1.1712287517999999E-2</v>
      </c>
      <c r="P909" s="1005">
        <f>IF(I!P909="","",$D$2*I!P909)</f>
        <v>1.5736873954130001E-3</v>
      </c>
      <c r="Q909" s="1006" t="str">
        <f>IF(I!Q909="","",$D$2*I!Q909)</f>
        <v/>
      </c>
      <c r="R909" s="982"/>
      <c r="S909" s="1003"/>
      <c r="T909" s="938"/>
      <c r="U909" s="1008" t="s">
        <v>1059</v>
      </c>
      <c r="V909" s="1018" t="s">
        <v>6751</v>
      </c>
      <c r="W909" s="1019">
        <f>IF(I!W909="","",$D$2*I!W909)</f>
        <v>9.9660666799999992E-2</v>
      </c>
      <c r="X909" s="990">
        <f>IF(I!X909="","",$D$2*I!X909)</f>
        <v>0.12643645225</v>
      </c>
      <c r="Y909" s="1010">
        <f>IF(I!Y909="","",$D$2*I!Y909)</f>
        <v>0.16196730479999999</v>
      </c>
      <c r="Z909" s="938"/>
      <c r="AA909" s="938"/>
      <c r="AB909" s="938"/>
      <c r="AC909" s="938"/>
      <c r="AD909" s="1058"/>
      <c r="AE909" s="938"/>
      <c r="AF909" s="938"/>
      <c r="AG909" s="938"/>
      <c r="AH909" s="938"/>
    </row>
    <row r="910" spans="1:34" ht="17.25" customHeight="1" x14ac:dyDescent="0.35">
      <c r="A910" s="938"/>
      <c r="B910" s="938"/>
      <c r="C910" s="941"/>
      <c r="D910" s="1047"/>
      <c r="E910" s="941"/>
      <c r="F910" s="938"/>
      <c r="G910" s="976">
        <f t="shared" si="16"/>
        <v>907</v>
      </c>
      <c r="H910" s="942"/>
      <c r="I910" s="1060" t="s">
        <v>1056</v>
      </c>
      <c r="J910" s="1031" t="s">
        <v>1949</v>
      </c>
      <c r="K910" s="1002">
        <f>IF(I!K910="","",$D$2*I!K910)</f>
        <v>0.12530154669999999</v>
      </c>
      <c r="L910" s="981"/>
      <c r="M910" s="982"/>
      <c r="N910" s="1003"/>
      <c r="O910" s="1004">
        <f>IF(I!O910="","",$D$2*I!O910)</f>
        <v>0.41325925669999997</v>
      </c>
      <c r="P910" s="1005">
        <f>IF(I!P910="","",$D$2*I!P910)</f>
        <v>0.24263162685</v>
      </c>
      <c r="Q910" s="1006" t="str">
        <f>IF(I!Q910="","",$D$2*I!Q910)</f>
        <v/>
      </c>
      <c r="R910" s="982"/>
      <c r="S910" s="1003"/>
      <c r="T910" s="938"/>
      <c r="U910" s="1008" t="s">
        <v>1059</v>
      </c>
      <c r="V910" s="1018" t="s">
        <v>6752</v>
      </c>
      <c r="W910" s="1019">
        <f>IF(I!W910="","",$D$2*I!W910)</f>
        <v>9.5018052969999989E-2</v>
      </c>
      <c r="X910" s="990">
        <f>IF(I!X910="","",$D$2*I!X910)</f>
        <v>0.11398523942000001</v>
      </c>
      <c r="Y910" s="1010">
        <f>IF(I!Y910="","",$D$2*I!Y910)</f>
        <v>0.14934929896999999</v>
      </c>
      <c r="Z910" s="938"/>
      <c r="AA910" s="938"/>
      <c r="AB910" s="938"/>
      <c r="AC910" s="938"/>
      <c r="AD910" s="1058"/>
      <c r="AE910" s="938"/>
      <c r="AF910" s="938"/>
      <c r="AG910" s="938"/>
      <c r="AH910" s="938"/>
    </row>
    <row r="911" spans="1:34" ht="17.25" customHeight="1" x14ac:dyDescent="0.35">
      <c r="A911" s="938"/>
      <c r="B911" s="938"/>
      <c r="C911" s="941"/>
      <c r="D911" s="1047"/>
      <c r="E911" s="941"/>
      <c r="F911" s="938"/>
      <c r="G911" s="976">
        <f t="shared" si="16"/>
        <v>908</v>
      </c>
      <c r="H911" s="942"/>
      <c r="I911" s="1060" t="s">
        <v>1056</v>
      </c>
      <c r="J911" s="1031" t="s">
        <v>1950</v>
      </c>
      <c r="K911" s="1002">
        <f>IF(I!K911="","",$D$2*I!K911)</f>
        <v>0.12499690449999999</v>
      </c>
      <c r="L911" s="981"/>
      <c r="M911" s="982"/>
      <c r="N911" s="1003"/>
      <c r="O911" s="1004">
        <f>IF(I!O911="","",$D$2*I!O911)</f>
        <v>0.41551123449999999</v>
      </c>
      <c r="P911" s="1005">
        <f>IF(I!P911="","",$D$2*I!P911)</f>
        <v>0.30803416368999997</v>
      </c>
      <c r="Q911" s="1006" t="str">
        <f>IF(I!Q911="","",$D$2*I!Q911)</f>
        <v/>
      </c>
      <c r="R911" s="982"/>
      <c r="S911" s="1003"/>
      <c r="T911" s="938"/>
      <c r="U911" s="1008" t="s">
        <v>1059</v>
      </c>
      <c r="V911" s="1018" t="s">
        <v>6753</v>
      </c>
      <c r="W911" s="1019">
        <f>IF(I!W911="","",$D$2*I!W911)</f>
        <v>0.1108090317</v>
      </c>
      <c r="X911" s="990">
        <f>IF(I!X911="","",$D$2*I!X911)</f>
        <v>0.11468204856</v>
      </c>
      <c r="Y911" s="1010">
        <f>IF(I!Y911="","",$D$2*I!Y911)</f>
        <v>0.16982048970000002</v>
      </c>
      <c r="Z911" s="938"/>
      <c r="AA911" s="938"/>
      <c r="AB911" s="938"/>
      <c r="AC911" s="938"/>
      <c r="AD911" s="1058"/>
      <c r="AE911" s="938"/>
      <c r="AF911" s="938"/>
      <c r="AG911" s="938"/>
      <c r="AH911" s="938"/>
    </row>
    <row r="912" spans="1:34" ht="17.25" customHeight="1" x14ac:dyDescent="0.35">
      <c r="A912" s="938"/>
      <c r="B912" s="938"/>
      <c r="C912" s="941"/>
      <c r="D912" s="1047"/>
      <c r="E912" s="941"/>
      <c r="F912" s="938"/>
      <c r="G912" s="976">
        <f t="shared" si="16"/>
        <v>909</v>
      </c>
      <c r="H912" s="942" t="s">
        <v>1951</v>
      </c>
      <c r="I912" s="1001"/>
      <c r="J912" s="1027"/>
      <c r="K912" s="1002" t="str">
        <f>IF(I!K912="","",$D$2*I!K912)</f>
        <v/>
      </c>
      <c r="L912" s="981"/>
      <c r="M912" s="982"/>
      <c r="N912" s="1003"/>
      <c r="O912" s="1004" t="str">
        <f>IF(I!O912="","",$D$2*I!O912)</f>
        <v/>
      </c>
      <c r="P912" s="1005" t="str">
        <f>IF(I!P912="","",$D$2*I!P912)</f>
        <v/>
      </c>
      <c r="Q912" s="1006" t="str">
        <f>IF(I!Q912="","",$D$2*I!Q912)</f>
        <v/>
      </c>
      <c r="R912" s="982"/>
      <c r="S912" s="1003"/>
      <c r="T912" s="938"/>
      <c r="U912" s="1008" t="s">
        <v>1059</v>
      </c>
      <c r="V912" s="1018" t="s">
        <v>6754</v>
      </c>
      <c r="W912" s="1019">
        <f>IF(I!W912="","",$D$2*I!W912)</f>
        <v>0.10849330319999999</v>
      </c>
      <c r="X912" s="990">
        <f>IF(I!X912="","",$D$2*I!X912)</f>
        <v>0.14330460907000001</v>
      </c>
      <c r="Y912" s="1010">
        <f>IF(I!Y912="","",$D$2*I!Y912)</f>
        <v>0.17106821619999998</v>
      </c>
      <c r="Z912" s="938"/>
      <c r="AA912" s="938"/>
      <c r="AB912" s="938"/>
      <c r="AC912" s="938"/>
      <c r="AD912" s="1058"/>
      <c r="AE912" s="938"/>
      <c r="AF912" s="938"/>
      <c r="AG912" s="938"/>
      <c r="AH912" s="938"/>
    </row>
    <row r="913" spans="1:34" ht="17.25" customHeight="1" x14ac:dyDescent="0.35">
      <c r="A913" s="938"/>
      <c r="B913" s="938"/>
      <c r="C913" s="941"/>
      <c r="D913" s="1047"/>
      <c r="E913" s="941"/>
      <c r="F913" s="938"/>
      <c r="G913" s="976">
        <f t="shared" si="16"/>
        <v>910</v>
      </c>
      <c r="H913" s="942"/>
      <c r="I913" s="1001" t="s">
        <v>1918</v>
      </c>
      <c r="J913" s="1031" t="s">
        <v>1952</v>
      </c>
      <c r="K913" s="1002">
        <f>IF(I!K913="","",$D$2*I!K913)</f>
        <v>4.9490670300000005E-2</v>
      </c>
      <c r="L913" s="981"/>
      <c r="M913" s="982"/>
      <c r="N913" s="1003"/>
      <c r="O913" s="1004">
        <f>IF(I!O913="","",$D$2*I!O913)</f>
        <v>0.1756067603</v>
      </c>
      <c r="P913" s="1005">
        <f>IF(I!P913="","",$D$2*I!P913)</f>
        <v>4.2491671268999998E-2</v>
      </c>
      <c r="Q913" s="1006" t="str">
        <f>IF(I!Q913="","",$D$2*I!Q913)</f>
        <v/>
      </c>
      <c r="R913" s="982"/>
      <c r="S913" s="1003"/>
      <c r="T913" s="938"/>
      <c r="U913" s="1008" t="s">
        <v>1059</v>
      </c>
      <c r="V913" s="1018" t="s">
        <v>6755</v>
      </c>
      <c r="W913" s="1019">
        <f>IF(I!W913="","",$D$2*I!W913)</f>
        <v>0.1266028515</v>
      </c>
      <c r="X913" s="990">
        <f>IF(I!X913="","",$D$2*I!X913)</f>
        <v>0.14728553444</v>
      </c>
      <c r="Y913" s="1010">
        <f>IF(I!Y913="","",$D$2*I!Y913)</f>
        <v>0.19452699750000002</v>
      </c>
      <c r="Z913" s="938"/>
      <c r="AA913" s="938"/>
      <c r="AB913" s="938"/>
      <c r="AC913" s="938"/>
      <c r="AD913" s="1058"/>
      <c r="AE913" s="938"/>
      <c r="AF913" s="938"/>
      <c r="AG913" s="938"/>
      <c r="AH913" s="938"/>
    </row>
    <row r="914" spans="1:34" ht="17.25" customHeight="1" x14ac:dyDescent="0.35">
      <c r="A914" s="938"/>
      <c r="B914" s="938"/>
      <c r="C914" s="941"/>
      <c r="D914" s="1047"/>
      <c r="E914" s="941"/>
      <c r="F914" s="938"/>
      <c r="G914" s="976">
        <f t="shared" si="16"/>
        <v>911</v>
      </c>
      <c r="H914" s="942"/>
      <c r="I914" s="1001" t="s">
        <v>1059</v>
      </c>
      <c r="J914" s="1031" t="s">
        <v>1953</v>
      </c>
      <c r="K914" s="1002">
        <f>IF(I!K914="","",$D$2*I!K914)</f>
        <v>7.2013781010000004</v>
      </c>
      <c r="L914" s="981"/>
      <c r="M914" s="982"/>
      <c r="N914" s="1003"/>
      <c r="O914" s="1004">
        <f>IF(I!O914="","",$D$2*I!O914)</f>
        <v>22.803902101000002</v>
      </c>
      <c r="P914" s="1005">
        <f>IF(I!P914="","",$D$2*I!P914)</f>
        <v>5.6340767080000003</v>
      </c>
      <c r="Q914" s="1006" t="str">
        <f>IF(I!Q914="","",$D$2*I!Q914)</f>
        <v/>
      </c>
      <c r="R914" s="982"/>
      <c r="S914" s="1003"/>
      <c r="T914" s="938"/>
      <c r="U914" s="1008" t="s">
        <v>1059</v>
      </c>
      <c r="V914" s="1018" t="s">
        <v>6756</v>
      </c>
      <c r="W914" s="1019">
        <f>IF(I!W914="","",$D$2*I!W914)</f>
        <v>0.12904135010000001</v>
      </c>
      <c r="X914" s="990">
        <f>IF(I!X914="","",$D$2*I!X914)</f>
        <v>0.14928212198999999</v>
      </c>
      <c r="Y914" s="1010">
        <f>IF(I!Y914="","",$D$2*I!Y914)</f>
        <v>0.2016462581</v>
      </c>
      <c r="Z914" s="938"/>
      <c r="AA914" s="938"/>
      <c r="AB914" s="938"/>
      <c r="AC914" s="938"/>
      <c r="AD914" s="1058"/>
      <c r="AE914" s="938"/>
      <c r="AF914" s="938"/>
      <c r="AG914" s="938"/>
      <c r="AH914" s="938"/>
    </row>
    <row r="915" spans="1:34" ht="17.25" customHeight="1" x14ac:dyDescent="0.35">
      <c r="A915" s="938"/>
      <c r="B915" s="938"/>
      <c r="C915" s="941"/>
      <c r="D915" s="1047"/>
      <c r="E915" s="941"/>
      <c r="F915" s="938"/>
      <c r="G915" s="976">
        <f t="shared" si="16"/>
        <v>912</v>
      </c>
      <c r="H915" s="1000">
        <v>1</v>
      </c>
      <c r="I915" s="1001" t="s">
        <v>1918</v>
      </c>
      <c r="J915" s="1031" t="s">
        <v>1954</v>
      </c>
      <c r="K915" s="1002">
        <f>IF(I!K915="","",$D$2*I!K915)</f>
        <v>1.1177297059999999E-2</v>
      </c>
      <c r="L915" s="981"/>
      <c r="M915" s="982"/>
      <c r="N915" s="1003"/>
      <c r="O915" s="1004">
        <f>IF(I!O915="","",$D$2*I!O915)</f>
        <v>4.2635726060000004E-2</v>
      </c>
      <c r="P915" s="1005">
        <f>IF(I!P915="","",$D$2*I!P915)</f>
        <v>2.2974187351E-2</v>
      </c>
      <c r="Q915" s="1006" t="str">
        <f>IF(I!Q915="","",$D$2*I!Q915)</f>
        <v/>
      </c>
      <c r="R915" s="982"/>
      <c r="S915" s="1003"/>
      <c r="T915" s="938"/>
      <c r="U915" s="1008" t="s">
        <v>1059</v>
      </c>
      <c r="V915" s="1018" t="s">
        <v>6757</v>
      </c>
      <c r="W915" s="1019">
        <f>IF(I!W915="","",$D$2*I!W915)</f>
        <v>0.11758162750000001</v>
      </c>
      <c r="X915" s="990">
        <f>IF(I!X915="","",$D$2*I!X915)</f>
        <v>0.21681689551000002</v>
      </c>
      <c r="Y915" s="1010">
        <f>IF(I!Y915="","",$D$2*I!Y915)</f>
        <v>0.1929849455</v>
      </c>
      <c r="Z915" s="938"/>
      <c r="AA915" s="938"/>
      <c r="AB915" s="938"/>
      <c r="AC915" s="938"/>
      <c r="AD915" s="1058"/>
      <c r="AE915" s="938"/>
      <c r="AF915" s="938"/>
      <c r="AG915" s="938"/>
      <c r="AH915" s="938"/>
    </row>
    <row r="916" spans="1:34" ht="17.25" customHeight="1" x14ac:dyDescent="0.35">
      <c r="A916" s="938"/>
      <c r="B916" s="938"/>
      <c r="C916" s="941"/>
      <c r="D916" s="1047"/>
      <c r="E916" s="941"/>
      <c r="F916" s="938"/>
      <c r="G916" s="976">
        <f t="shared" si="16"/>
        <v>913</v>
      </c>
      <c r="H916" s="1000">
        <v>1</v>
      </c>
      <c r="I916" s="1001" t="s">
        <v>1918</v>
      </c>
      <c r="J916" s="1031" t="s">
        <v>1955</v>
      </c>
      <c r="K916" s="1002">
        <f>IF(I!K916="","",$D$2*I!K916)</f>
        <v>9.6921111300000001E-3</v>
      </c>
      <c r="L916" s="981"/>
      <c r="M916" s="982"/>
      <c r="N916" s="1003"/>
      <c r="O916" s="1004">
        <f>IF(I!O916="","",$D$2*I!O916)</f>
        <v>3.8374504130000001E-2</v>
      </c>
      <c r="P916" s="1005">
        <f>IF(I!P916="","",$D$2*I!P916)</f>
        <v>2.1392249048890002E-2</v>
      </c>
      <c r="Q916" s="1006" t="str">
        <f>IF(I!Q916="","",$D$2*I!Q916)</f>
        <v/>
      </c>
      <c r="R916" s="982"/>
      <c r="S916" s="1003"/>
      <c r="T916" s="938"/>
      <c r="U916" s="1008" t="s">
        <v>1059</v>
      </c>
      <c r="V916" s="1018" t="s">
        <v>6758</v>
      </c>
      <c r="W916" s="1019">
        <f>IF(I!W916="","",$D$2*I!W916)</f>
        <v>0.1270212047</v>
      </c>
      <c r="X916" s="990">
        <f>IF(I!X916="","",$D$2*I!X916)</f>
        <v>0.14852248624000003</v>
      </c>
      <c r="Y916" s="1010">
        <f>IF(I!Y916="","",$D$2*I!Y916)</f>
        <v>0.1977344087</v>
      </c>
      <c r="Z916" s="938"/>
      <c r="AA916" s="938"/>
      <c r="AB916" s="938"/>
      <c r="AC916" s="938"/>
      <c r="AD916" s="1058"/>
      <c r="AE916" s="938"/>
      <c r="AF916" s="938"/>
      <c r="AG916" s="938"/>
      <c r="AH916" s="938"/>
    </row>
    <row r="917" spans="1:34" ht="17.25" customHeight="1" x14ac:dyDescent="0.35">
      <c r="A917" s="938"/>
      <c r="B917" s="938"/>
      <c r="C917" s="941"/>
      <c r="D917" s="1047"/>
      <c r="E917" s="941"/>
      <c r="F917" s="938"/>
      <c r="G917" s="976">
        <f t="shared" si="16"/>
        <v>914</v>
      </c>
      <c r="H917" s="942" t="s">
        <v>1956</v>
      </c>
      <c r="I917" s="1026"/>
      <c r="J917" s="1027"/>
      <c r="K917" s="1002" t="str">
        <f>IF(I!K917="","",$D$2*I!K917)</f>
        <v/>
      </c>
      <c r="L917" s="981"/>
      <c r="M917" s="982"/>
      <c r="N917" s="1003"/>
      <c r="O917" s="1004" t="str">
        <f>IF(I!O917="","",$D$2*I!O917)</f>
        <v/>
      </c>
      <c r="P917" s="1005" t="str">
        <f>IF(I!P917="","",$D$2*I!P917)</f>
        <v/>
      </c>
      <c r="Q917" s="1006" t="str">
        <f>IF(I!Q917="","",$D$2*I!Q917)</f>
        <v/>
      </c>
      <c r="R917" s="982"/>
      <c r="S917" s="1003"/>
      <c r="T917" s="938"/>
      <c r="U917" s="1008" t="s">
        <v>1059</v>
      </c>
      <c r="V917" s="1018" t="s">
        <v>6759</v>
      </c>
      <c r="W917" s="1019">
        <f>IF(I!W917="","",$D$2*I!W917)</f>
        <v>2.2092850930000001E-2</v>
      </c>
      <c r="X917" s="990">
        <f>IF(I!X917="","",$D$2*I!X917)</f>
        <v>8.5937418389999999E-3</v>
      </c>
      <c r="Y917" s="1010">
        <f>IF(I!Y917="","",$D$2*I!Y917)</f>
        <v>2.7503187730000003E-2</v>
      </c>
      <c r="Z917" s="938"/>
      <c r="AA917" s="938"/>
      <c r="AB917" s="938"/>
      <c r="AC917" s="938"/>
      <c r="AD917" s="1058"/>
      <c r="AE917" s="938"/>
      <c r="AF917" s="938"/>
      <c r="AG917" s="938"/>
      <c r="AH917" s="938"/>
    </row>
    <row r="918" spans="1:34" ht="17.25" customHeight="1" x14ac:dyDescent="0.35">
      <c r="A918" s="938"/>
      <c r="B918" s="938"/>
      <c r="C918" s="941"/>
      <c r="D918" s="1047"/>
      <c r="E918" s="941"/>
      <c r="F918" s="938"/>
      <c r="G918" s="976">
        <f t="shared" si="16"/>
        <v>915</v>
      </c>
      <c r="H918" s="1000"/>
      <c r="I918" s="1001" t="s">
        <v>1056</v>
      </c>
      <c r="J918" s="1031" t="s">
        <v>1957</v>
      </c>
      <c r="K918" s="1002">
        <f>IF(I!K918="","",$D$2*I!K918)</f>
        <v>5.7221233799999993E-2</v>
      </c>
      <c r="L918" s="981"/>
      <c r="M918" s="982"/>
      <c r="N918" s="1003"/>
      <c r="O918" s="1004">
        <f>IF(I!O918="","",$D$2*I!O918)</f>
        <v>0.26539846379999998</v>
      </c>
      <c r="P918" s="1005">
        <f>IF(I!P918="","",$D$2*I!P918)</f>
        <v>3.4268002759999999E-2</v>
      </c>
      <c r="Q918" s="1006" t="str">
        <f>IF(I!Q918="","",$D$2*I!Q918)</f>
        <v/>
      </c>
      <c r="R918" s="982"/>
      <c r="S918" s="1003"/>
      <c r="T918" s="938"/>
      <c r="U918" s="1008" t="s">
        <v>1059</v>
      </c>
      <c r="V918" s="1018" t="s">
        <v>6760</v>
      </c>
      <c r="W918" s="1019">
        <f>IF(I!W918="","",$D$2*I!W918)</f>
        <v>4.2000364243E-2</v>
      </c>
      <c r="X918" s="990">
        <f>IF(I!X918="","",$D$2*I!X918)</f>
        <v>1.00939618532E-2</v>
      </c>
      <c r="Y918" s="1010">
        <f>IF(I!Y918="","",$D$2*I!Y918)</f>
        <v>5.0212442043000002E-2</v>
      </c>
      <c r="Z918" s="938"/>
      <c r="AA918" s="938"/>
      <c r="AB918" s="938"/>
      <c r="AC918" s="938"/>
      <c r="AD918" s="1058"/>
      <c r="AE918" s="938"/>
      <c r="AF918" s="938"/>
      <c r="AG918" s="938"/>
      <c r="AH918" s="938"/>
    </row>
    <row r="919" spans="1:34" ht="17.25" customHeight="1" x14ac:dyDescent="0.35">
      <c r="A919" s="938"/>
      <c r="B919" s="938"/>
      <c r="C919" s="941"/>
      <c r="D919" s="1047"/>
      <c r="E919" s="941"/>
      <c r="F919" s="938"/>
      <c r="G919" s="976">
        <f t="shared" si="16"/>
        <v>916</v>
      </c>
      <c r="H919" s="1000"/>
      <c r="I919" s="1001" t="s">
        <v>1181</v>
      </c>
      <c r="J919" s="1031" t="s">
        <v>1958</v>
      </c>
      <c r="K919" s="1002">
        <f>IF(I!K919="","",$D$2*I!K919)</f>
        <v>2.6663938120000001E-2</v>
      </c>
      <c r="L919" s="981"/>
      <c r="M919" s="982"/>
      <c r="N919" s="1003"/>
      <c r="O919" s="1004">
        <f>IF(I!O919="","",$D$2*I!O919)</f>
        <v>8.4142684120000005E-2</v>
      </c>
      <c r="P919" s="1005">
        <f>IF(I!P919="","",$D$2*I!P919)</f>
        <v>2.0628060853000004E-2</v>
      </c>
      <c r="Q919" s="1006" t="str">
        <f>IF(I!Q919="","",$D$2*I!Q919)</f>
        <v/>
      </c>
      <c r="R919" s="982"/>
      <c r="S919" s="1003"/>
      <c r="T919" s="938"/>
      <c r="U919" s="1008" t="s">
        <v>1059</v>
      </c>
      <c r="V919" s="1018" t="s">
        <v>6761</v>
      </c>
      <c r="W919" s="1019">
        <f>IF(I!W919="","",$D$2*I!W919)</f>
        <v>4.8296941399999994E-2</v>
      </c>
      <c r="X919" s="990">
        <f>IF(I!X919="","",$D$2*I!X919)</f>
        <v>1.00977626911E-2</v>
      </c>
      <c r="Y919" s="1010">
        <f>IF(I!Y919="","",$D$2*I!Y919)</f>
        <v>5.7364251799999995E-2</v>
      </c>
      <c r="Z919" s="938"/>
      <c r="AA919" s="938"/>
      <c r="AB919" s="938"/>
      <c r="AC919" s="938"/>
      <c r="AD919" s="1058"/>
      <c r="AE919" s="938"/>
      <c r="AF919" s="938"/>
      <c r="AG919" s="938"/>
      <c r="AH919" s="938"/>
    </row>
    <row r="920" spans="1:34" ht="17.25" customHeight="1" x14ac:dyDescent="0.35">
      <c r="A920" s="938"/>
      <c r="B920" s="938"/>
      <c r="C920" s="941"/>
      <c r="D920" s="1047"/>
      <c r="E920" s="941"/>
      <c r="F920" s="938"/>
      <c r="G920" s="976">
        <f t="shared" si="16"/>
        <v>917</v>
      </c>
      <c r="H920" s="1000"/>
      <c r="I920" s="1001" t="s">
        <v>1181</v>
      </c>
      <c r="J920" s="1031" t="s">
        <v>1959</v>
      </c>
      <c r="K920" s="1002">
        <f>IF(I!K920="","",$D$2*I!K920)</f>
        <v>7.2724848049999999E-2</v>
      </c>
      <c r="L920" s="981"/>
      <c r="M920" s="982"/>
      <c r="N920" s="1003"/>
      <c r="O920" s="1004">
        <f>IF(I!O920="","",$D$2*I!O920)</f>
        <v>0.22949587804999999</v>
      </c>
      <c r="P920" s="1005">
        <f>IF(I!P920="","",$D$2*I!P920)</f>
        <v>5.6262228650000003E-2</v>
      </c>
      <c r="Q920" s="1006" t="str">
        <f>IF(I!Q920="","",$D$2*I!Q920)</f>
        <v/>
      </c>
      <c r="R920" s="982"/>
      <c r="S920" s="1003"/>
      <c r="T920" s="938"/>
      <c r="U920" s="1008" t="s">
        <v>1059</v>
      </c>
      <c r="V920" s="1018" t="s">
        <v>6762</v>
      </c>
      <c r="W920" s="1019">
        <f>IF(I!W920="","",$D$2*I!W920)</f>
        <v>6.4629555699999994E-2</v>
      </c>
      <c r="X920" s="990">
        <f>IF(I!X920="","",$D$2*I!X920)</f>
        <v>0.27810665610000002</v>
      </c>
      <c r="Y920" s="1010">
        <f>IF(I!Y920="","",$D$2*I!Y920)</f>
        <v>0.65229440569999997</v>
      </c>
      <c r="Z920" s="938"/>
      <c r="AA920" s="938"/>
      <c r="AB920" s="938"/>
      <c r="AC920" s="938"/>
      <c r="AD920" s="1058"/>
      <c r="AE920" s="938"/>
      <c r="AF920" s="938"/>
      <c r="AG920" s="938"/>
      <c r="AH920" s="938"/>
    </row>
    <row r="921" spans="1:34" ht="17.25" customHeight="1" x14ac:dyDescent="0.35">
      <c r="A921" s="938"/>
      <c r="B921" s="938"/>
      <c r="C921" s="941"/>
      <c r="D921" s="1047"/>
      <c r="E921" s="941"/>
      <c r="F921" s="938"/>
      <c r="G921" s="976">
        <f t="shared" si="16"/>
        <v>918</v>
      </c>
      <c r="H921" s="1000"/>
      <c r="I921" s="1001" t="s">
        <v>1181</v>
      </c>
      <c r="J921" s="1031" t="s">
        <v>1960</v>
      </c>
      <c r="K921" s="1002">
        <f>IF(I!K921="","",$D$2*I!K921)</f>
        <v>0.11393498084000001</v>
      </c>
      <c r="L921" s="981"/>
      <c r="M921" s="982"/>
      <c r="N921" s="1003"/>
      <c r="O921" s="1004">
        <f>IF(I!O921="","",$D$2*I!O921)</f>
        <v>0.35954161084000003</v>
      </c>
      <c r="P921" s="1005">
        <f>IF(I!P921="","",$D$2*I!P921)</f>
        <v>8.814368420999999E-2</v>
      </c>
      <c r="Q921" s="1006" t="str">
        <f>IF(I!Q921="","",$D$2*I!Q921)</f>
        <v/>
      </c>
      <c r="R921" s="982"/>
      <c r="S921" s="1003"/>
      <c r="T921" s="938"/>
      <c r="U921" s="1008" t="s">
        <v>1059</v>
      </c>
      <c r="V921" s="1018" t="s">
        <v>6763</v>
      </c>
      <c r="W921" s="1019">
        <f>IF(I!W921="","",$D$2*I!W921)</f>
        <v>0.16217126091999998</v>
      </c>
      <c r="X921" s="990">
        <f>IF(I!X921="","",$D$2*I!X921)</f>
        <v>0.20614135124999999</v>
      </c>
      <c r="Y921" s="1010">
        <f>IF(I!Y921="","",$D$2*I!Y921)</f>
        <v>0.23863440991999996</v>
      </c>
      <c r="Z921" s="938"/>
      <c r="AA921" s="938"/>
      <c r="AB921" s="938"/>
      <c r="AC921" s="938"/>
      <c r="AD921" s="1058"/>
      <c r="AE921" s="938"/>
      <c r="AF921" s="938"/>
      <c r="AG921" s="938"/>
      <c r="AH921" s="938"/>
    </row>
    <row r="922" spans="1:34" ht="17.25" customHeight="1" x14ac:dyDescent="0.35">
      <c r="A922" s="938"/>
      <c r="B922" s="938"/>
      <c r="C922" s="941"/>
      <c r="D922" s="1047"/>
      <c r="E922" s="941"/>
      <c r="F922" s="938"/>
      <c r="G922" s="976">
        <f t="shared" si="16"/>
        <v>919</v>
      </c>
      <c r="H922" s="1000"/>
      <c r="I922" s="1001" t="s">
        <v>1059</v>
      </c>
      <c r="J922" s="1031" t="s">
        <v>1961</v>
      </c>
      <c r="K922" s="1002">
        <f>IF(I!K922="","",$D$2*I!K922)</f>
        <v>4.488961031E-3</v>
      </c>
      <c r="L922" s="981"/>
      <c r="M922" s="982"/>
      <c r="N922" s="1003"/>
      <c r="O922" s="1004">
        <f>IF(I!O922="","",$D$2*I!O922)</f>
        <v>1.4165695631000001E-2</v>
      </c>
      <c r="P922" s="1005">
        <f>IF(I!P922="","",$D$2*I!P922)</f>
        <v>3.4728013921999997E-3</v>
      </c>
      <c r="Q922" s="1006" t="str">
        <f>IF(I!Q922="","",$D$2*I!Q922)</f>
        <v/>
      </c>
      <c r="R922" s="982"/>
      <c r="S922" s="1003"/>
      <c r="T922" s="938"/>
      <c r="U922" s="1008" t="s">
        <v>1059</v>
      </c>
      <c r="V922" s="1018" t="s">
        <v>6764</v>
      </c>
      <c r="W922" s="1019">
        <f>IF(I!W922="","",$D$2*I!W922)</f>
        <v>0.1414916148</v>
      </c>
      <c r="X922" s="990">
        <f>IF(I!X922="","",$D$2*I!X922)</f>
        <v>0.45195429053999997</v>
      </c>
      <c r="Y922" s="1010">
        <f>IF(I!Y922="","",$D$2*I!Y922)</f>
        <v>0.2382950368</v>
      </c>
      <c r="Z922" s="938"/>
      <c r="AA922" s="938"/>
      <c r="AB922" s="938"/>
      <c r="AC922" s="938"/>
      <c r="AD922" s="1058"/>
      <c r="AE922" s="938"/>
      <c r="AF922" s="938"/>
      <c r="AG922" s="938"/>
      <c r="AH922" s="938"/>
    </row>
    <row r="923" spans="1:34" ht="17.25" customHeight="1" x14ac:dyDescent="0.35">
      <c r="A923" s="938"/>
      <c r="B923" s="938"/>
      <c r="C923" s="941"/>
      <c r="D923" s="1047"/>
      <c r="E923" s="941"/>
      <c r="F923" s="938"/>
      <c r="G923" s="976">
        <f t="shared" si="16"/>
        <v>920</v>
      </c>
      <c r="H923" s="1000"/>
      <c r="I923" s="1001" t="s">
        <v>1056</v>
      </c>
      <c r="J923" s="1031" t="s">
        <v>1962</v>
      </c>
      <c r="K923" s="1002">
        <f>IF(I!K923="","",$D$2*I!K923)</f>
        <v>7.2730979549999993E-3</v>
      </c>
      <c r="L923" s="981"/>
      <c r="M923" s="982"/>
      <c r="N923" s="1003"/>
      <c r="O923" s="1004">
        <f>IF(I!O923="","",$D$2*I!O923)</f>
        <v>2.2951522954999998E-2</v>
      </c>
      <c r="P923" s="1005">
        <f>IF(I!P923="","",$D$2*I!P923)</f>
        <v>5.6266972950000009E-3</v>
      </c>
      <c r="Q923" s="1006" t="str">
        <f>IF(I!Q923="","",$D$2*I!Q923)</f>
        <v/>
      </c>
      <c r="R923" s="982"/>
      <c r="S923" s="1003"/>
      <c r="T923" s="938"/>
      <c r="U923" s="1008" t="s">
        <v>1059</v>
      </c>
      <c r="V923" s="1018" t="s">
        <v>6765</v>
      </c>
      <c r="W923" s="1019">
        <f>IF(I!W923="","",$D$2*I!W923)</f>
        <v>0.14034110220000001</v>
      </c>
      <c r="X923" s="990">
        <f>IF(I!X923="","",$D$2*I!X923)</f>
        <v>0.55374002878999995</v>
      </c>
      <c r="Y923" s="1010">
        <f>IF(I!Y923="","",$D$2*I!Y923)</f>
        <v>0.25583398220000003</v>
      </c>
      <c r="Z923" s="938"/>
      <c r="AA923" s="938"/>
      <c r="AB923" s="938"/>
      <c r="AC923" s="938"/>
      <c r="AD923" s="1058"/>
      <c r="AE923" s="938"/>
      <c r="AF923" s="938"/>
      <c r="AG923" s="938"/>
      <c r="AH923" s="938"/>
    </row>
    <row r="924" spans="1:34" ht="17.25" customHeight="1" x14ac:dyDescent="0.35">
      <c r="A924" s="938"/>
      <c r="B924" s="938"/>
      <c r="C924" s="941"/>
      <c r="D924" s="1047"/>
      <c r="E924" s="941"/>
      <c r="F924" s="938"/>
      <c r="G924" s="976">
        <f t="shared" si="16"/>
        <v>921</v>
      </c>
      <c r="H924" s="1000"/>
      <c r="I924" s="1001" t="s">
        <v>1056</v>
      </c>
      <c r="J924" s="1031" t="s">
        <v>1963</v>
      </c>
      <c r="K924" s="1002">
        <f>IF(I!K924="","",$D$2*I!K924)</f>
        <v>2.7271051299999998E-2</v>
      </c>
      <c r="L924" s="981"/>
      <c r="M924" s="982"/>
      <c r="N924" s="1003"/>
      <c r="O924" s="1004">
        <f>IF(I!O924="","",$D$2*I!O924)</f>
        <v>8.6058536300000002E-2</v>
      </c>
      <c r="P924" s="1005">
        <f>IF(I!P924="","",$D$2*I!P924)</f>
        <v>2.1097742204E-2</v>
      </c>
      <c r="Q924" s="1006" t="str">
        <f>IF(I!Q924="","",$D$2*I!Q924)</f>
        <v/>
      </c>
      <c r="R924" s="982"/>
      <c r="S924" s="1003"/>
      <c r="T924" s="938"/>
      <c r="U924" s="1008" t="s">
        <v>1059</v>
      </c>
      <c r="V924" s="1018" t="s">
        <v>6766</v>
      </c>
      <c r="W924" s="1019">
        <f>IF(I!W924="","",$D$2*I!W924)</f>
        <v>0.262528818</v>
      </c>
      <c r="X924" s="990">
        <f>IF(I!X924="","",$D$2*I!X924)</f>
        <v>0.44445084346999997</v>
      </c>
      <c r="Y924" s="1010">
        <f>IF(I!Y924="","",$D$2*I!Y924)</f>
        <v>0.38783978799999996</v>
      </c>
      <c r="Z924" s="938"/>
      <c r="AA924" s="938"/>
      <c r="AB924" s="938"/>
      <c r="AC924" s="938"/>
      <c r="AD924" s="1058"/>
      <c r="AE924" s="938"/>
      <c r="AF924" s="938"/>
      <c r="AG924" s="938"/>
      <c r="AH924" s="938"/>
    </row>
    <row r="925" spans="1:34" ht="17.25" customHeight="1" x14ac:dyDescent="0.35">
      <c r="A925" s="938"/>
      <c r="B925" s="938"/>
      <c r="C925" s="941"/>
      <c r="D925" s="1047"/>
      <c r="E925" s="941"/>
      <c r="F925" s="938"/>
      <c r="G925" s="976">
        <f t="shared" si="16"/>
        <v>922</v>
      </c>
      <c r="H925" s="1000"/>
      <c r="I925" s="1001" t="s">
        <v>1059</v>
      </c>
      <c r="J925" s="1031" t="s">
        <v>1964</v>
      </c>
      <c r="K925" s="1002">
        <f>IF(I!K925="","",$D$2*I!K925)</f>
        <v>2.925183562E-3</v>
      </c>
      <c r="L925" s="981"/>
      <c r="M925" s="982"/>
      <c r="N925" s="1003"/>
      <c r="O925" s="1004">
        <f>IF(I!O925="","",$D$2*I!O925)</f>
        <v>9.2309245620000001E-3</v>
      </c>
      <c r="P925" s="1005">
        <f>IF(I!P925="","",$D$2*I!P925)</f>
        <v>2.2630140280000001E-3</v>
      </c>
      <c r="Q925" s="1006" t="str">
        <f>IF(I!Q925="","",$D$2*I!Q925)</f>
        <v/>
      </c>
      <c r="R925" s="982"/>
      <c r="S925" s="1003"/>
      <c r="T925" s="938"/>
      <c r="U925" s="1008" t="s">
        <v>1059</v>
      </c>
      <c r="V925" s="1018" t="s">
        <v>6767</v>
      </c>
      <c r="W925" s="1019">
        <f>IF(I!W925="","",$D$2*I!W925)</f>
        <v>0.11703130540000001</v>
      </c>
      <c r="X925" s="990">
        <f>IF(I!X925="","",$D$2*I!X925)</f>
        <v>0.96783352933999989</v>
      </c>
      <c r="Y925" s="1010">
        <f>IF(I!Y925="","",$D$2*I!Y925)</f>
        <v>2.6941838053999998</v>
      </c>
      <c r="Z925" s="938"/>
      <c r="AA925" s="938"/>
      <c r="AB925" s="938"/>
      <c r="AC925" s="938"/>
      <c r="AD925" s="1058"/>
      <c r="AE925" s="938"/>
      <c r="AF925" s="938"/>
      <c r="AG925" s="938"/>
      <c r="AH925" s="938"/>
    </row>
    <row r="926" spans="1:34" ht="17.25" customHeight="1" x14ac:dyDescent="0.35">
      <c r="A926" s="938"/>
      <c r="B926" s="938"/>
      <c r="C926" s="941"/>
      <c r="D926" s="1047"/>
      <c r="E926" s="941"/>
      <c r="F926" s="938"/>
      <c r="G926" s="976">
        <f t="shared" si="16"/>
        <v>923</v>
      </c>
      <c r="H926" s="1000"/>
      <c r="I926" s="1001" t="s">
        <v>1059</v>
      </c>
      <c r="J926" s="1031" t="s">
        <v>1965</v>
      </c>
      <c r="K926" s="1002">
        <f>IF(I!K926="","",$D$2*I!K926)</f>
        <v>4.3211078857000006E-2</v>
      </c>
      <c r="L926" s="981"/>
      <c r="M926" s="982"/>
      <c r="N926" s="1003"/>
      <c r="O926" s="1004">
        <f>IF(I!O926="","",$D$2*I!O926)</f>
        <v>0.121326978857</v>
      </c>
      <c r="P926" s="1005">
        <f>IF(I!P926="","",$D$2*I!P926)</f>
        <v>8.6294355410000013E-3</v>
      </c>
      <c r="Q926" s="1006" t="str">
        <f>IF(I!Q926="","",$D$2*I!Q926)</f>
        <v/>
      </c>
      <c r="R926" s="982"/>
      <c r="S926" s="1003"/>
      <c r="T926" s="938"/>
      <c r="U926" s="1008" t="s">
        <v>1059</v>
      </c>
      <c r="V926" s="1018" t="s">
        <v>6768</v>
      </c>
      <c r="W926" s="1019">
        <f>IF(I!W926="","",$D$2*I!W926)</f>
        <v>0.15760179249999998</v>
      </c>
      <c r="X926" s="990">
        <f>IF(I!X926="","",$D$2*I!X926)</f>
        <v>0.99817269384000007</v>
      </c>
      <c r="Y926" s="1010">
        <f>IF(I!Y926="","",$D$2*I!Y926)</f>
        <v>0.27110302249999996</v>
      </c>
      <c r="Z926" s="938"/>
      <c r="AA926" s="938"/>
      <c r="AB926" s="938"/>
      <c r="AC926" s="938"/>
      <c r="AD926" s="1058"/>
      <c r="AE926" s="938"/>
      <c r="AF926" s="938"/>
      <c r="AG926" s="938"/>
      <c r="AH926" s="938"/>
    </row>
    <row r="927" spans="1:34" ht="17.25" customHeight="1" x14ac:dyDescent="0.35">
      <c r="A927" s="938"/>
      <c r="B927" s="938"/>
      <c r="C927" s="941"/>
      <c r="D927" s="1047"/>
      <c r="E927" s="941"/>
      <c r="F927" s="938"/>
      <c r="G927" s="976">
        <f t="shared" si="16"/>
        <v>924</v>
      </c>
      <c r="H927" s="1000"/>
      <c r="I927" s="1001" t="s">
        <v>1059</v>
      </c>
      <c r="J927" s="1031" t="s">
        <v>1966</v>
      </c>
      <c r="K927" s="1002">
        <f>IF(I!K927="","",$D$2*I!K927)</f>
        <v>9.8732611440000007E-3</v>
      </c>
      <c r="L927" s="981"/>
      <c r="M927" s="982"/>
      <c r="N927" s="1003"/>
      <c r="O927" s="1004">
        <f>IF(I!O927="","",$D$2*I!O927)</f>
        <v>3.1156789144E-2</v>
      </c>
      <c r="P927" s="1005">
        <f>IF(I!P927="","",$D$2*I!P927)</f>
        <v>7.638265299000001E-3</v>
      </c>
      <c r="Q927" s="1006" t="str">
        <f>IF(I!Q927="","",$D$2*I!Q927)</f>
        <v/>
      </c>
      <c r="R927" s="982"/>
      <c r="S927" s="1003"/>
      <c r="T927" s="938"/>
      <c r="U927" s="1008" t="s">
        <v>1059</v>
      </c>
      <c r="V927" s="1018" t="s">
        <v>6769</v>
      </c>
      <c r="W927" s="1019">
        <f>IF(I!W927="","",$D$2*I!W927)</f>
        <v>0.18379348680000002</v>
      </c>
      <c r="X927" s="990">
        <f>IF(I!X927="","",$D$2*I!X927)</f>
        <v>1.0664723870300001</v>
      </c>
      <c r="Y927" s="1010">
        <f>IF(I!Y927="","",$D$2*I!Y927)</f>
        <v>1.6418665868</v>
      </c>
      <c r="Z927" s="938"/>
      <c r="AA927" s="938"/>
      <c r="AB927" s="938"/>
      <c r="AC927" s="938"/>
      <c r="AD927" s="1058"/>
      <c r="AE927" s="938"/>
      <c r="AF927" s="938"/>
      <c r="AG927" s="938"/>
      <c r="AH927" s="938"/>
    </row>
    <row r="928" spans="1:34" ht="17.25" customHeight="1" x14ac:dyDescent="0.35">
      <c r="A928" s="938"/>
      <c r="B928" s="938"/>
      <c r="C928" s="941"/>
      <c r="D928" s="1047"/>
      <c r="E928" s="941"/>
      <c r="F928" s="938"/>
      <c r="G928" s="976">
        <f t="shared" si="16"/>
        <v>925</v>
      </c>
      <c r="H928" s="1000"/>
      <c r="I928" s="1001" t="s">
        <v>1059</v>
      </c>
      <c r="J928" s="1031" t="s">
        <v>1967</v>
      </c>
      <c r="K928" s="1002">
        <f>IF(I!K928="","",$D$2*I!K928)</f>
        <v>3.59362174E-3</v>
      </c>
      <c r="L928" s="981"/>
      <c r="M928" s="982"/>
      <c r="N928" s="1003"/>
      <c r="O928" s="1004">
        <f>IF(I!O928="","",$D$2*I!O928)</f>
        <v>1.134029724E-2</v>
      </c>
      <c r="P928" s="1005">
        <f>IF(I!P928="","",$D$2*I!P928)</f>
        <v>2.7801387857999994E-3</v>
      </c>
      <c r="Q928" s="1006" t="str">
        <f>IF(I!Q928="","",$D$2*I!Q928)</f>
        <v/>
      </c>
      <c r="R928" s="982"/>
      <c r="S928" s="1003"/>
      <c r="T928" s="938"/>
      <c r="U928" s="1008" t="s">
        <v>1059</v>
      </c>
      <c r="V928" s="1018" t="s">
        <v>6770</v>
      </c>
      <c r="W928" s="1019">
        <f>IF(I!W928="","",$D$2*I!W928)</f>
        <v>0.12500821179999999</v>
      </c>
      <c r="X928" s="990">
        <f>IF(I!X928="","",$D$2*I!X928)</f>
        <v>0.26885770692000005</v>
      </c>
      <c r="Y928" s="1010">
        <f>IF(I!Y928="","",$D$2*I!Y928)</f>
        <v>0.22072018879999999</v>
      </c>
      <c r="Z928" s="938"/>
      <c r="AA928" s="938"/>
      <c r="AB928" s="938"/>
      <c r="AC928" s="938"/>
      <c r="AD928" s="1058"/>
      <c r="AE928" s="938"/>
      <c r="AF928" s="938"/>
      <c r="AG928" s="938"/>
      <c r="AH928" s="938"/>
    </row>
    <row r="929" spans="1:34" ht="17.25" customHeight="1" x14ac:dyDescent="0.35">
      <c r="A929" s="938"/>
      <c r="B929" s="938"/>
      <c r="C929" s="941"/>
      <c r="D929" s="1047"/>
      <c r="E929" s="941"/>
      <c r="F929" s="938"/>
      <c r="G929" s="976">
        <f t="shared" si="16"/>
        <v>926</v>
      </c>
      <c r="H929" s="1000"/>
      <c r="I929" s="1001" t="s">
        <v>1181</v>
      </c>
      <c r="J929" s="1031" t="s">
        <v>1968</v>
      </c>
      <c r="K929" s="1002">
        <f>IF(I!K929="","",$D$2*I!K929)</f>
        <v>0.15029433831</v>
      </c>
      <c r="L929" s="981"/>
      <c r="M929" s="982"/>
      <c r="N929" s="1003"/>
      <c r="O929" s="1004">
        <f>IF(I!O929="","",$D$2*I!O929)</f>
        <v>0.47427986831000002</v>
      </c>
      <c r="P929" s="1005">
        <f>IF(I!P929="","",$D$2*I!P929)</f>
        <v>0.11627242168</v>
      </c>
      <c r="Q929" s="1006" t="str">
        <f>IF(I!Q929="","",$D$2*I!Q929)</f>
        <v/>
      </c>
      <c r="R929" s="982"/>
      <c r="S929" s="1003"/>
      <c r="T929" s="938"/>
      <c r="U929" s="1008" t="s">
        <v>1059</v>
      </c>
      <c r="V929" s="1018" t="s">
        <v>6771</v>
      </c>
      <c r="W929" s="1019">
        <f>IF(I!W929="","",$D$2*I!W929)</f>
        <v>0.1266364039</v>
      </c>
      <c r="X929" s="990">
        <f>IF(I!X929="","",$D$2*I!X929)</f>
        <v>0.26911989022000005</v>
      </c>
      <c r="Y929" s="1010">
        <f>IF(I!Y929="","",$D$2*I!Y929)</f>
        <v>0.2365491139</v>
      </c>
      <c r="Z929" s="938"/>
      <c r="AA929" s="938"/>
      <c r="AB929" s="938"/>
      <c r="AC929" s="938"/>
      <c r="AD929" s="1058"/>
      <c r="AE929" s="938"/>
      <c r="AF929" s="938"/>
      <c r="AG929" s="938"/>
      <c r="AH929" s="938"/>
    </row>
    <row r="930" spans="1:34" ht="17.25" customHeight="1" x14ac:dyDescent="0.35">
      <c r="A930" s="938"/>
      <c r="B930" s="938"/>
      <c r="C930" s="941"/>
      <c r="D930" s="1047"/>
      <c r="E930" s="941"/>
      <c r="F930" s="938"/>
      <c r="G930" s="976">
        <f t="shared" si="16"/>
        <v>927</v>
      </c>
      <c r="H930" s="1000"/>
      <c r="I930" s="1001" t="s">
        <v>1181</v>
      </c>
      <c r="J930" s="1031" t="s">
        <v>1969</v>
      </c>
      <c r="K930" s="1002">
        <f>IF(I!K930="","",$D$2*I!K930)</f>
        <v>0.26424771859999996</v>
      </c>
      <c r="L930" s="981"/>
      <c r="M930" s="982"/>
      <c r="N930" s="1003"/>
      <c r="O930" s="1004">
        <f>IF(I!O930="","",$D$2*I!O930)</f>
        <v>0.83387953859999997</v>
      </c>
      <c r="P930" s="1005">
        <f>IF(I!P930="","",$D$2*I!P930)</f>
        <v>0.20443034476999999</v>
      </c>
      <c r="Q930" s="1006" t="str">
        <f>IF(I!Q930="","",$D$2*I!Q930)</f>
        <v/>
      </c>
      <c r="R930" s="982"/>
      <c r="S930" s="1003"/>
      <c r="T930" s="938"/>
      <c r="U930" s="1008" t="s">
        <v>1059</v>
      </c>
      <c r="V930" s="1018" t="s">
        <v>6772</v>
      </c>
      <c r="W930" s="1019">
        <f>IF(I!W930="","",$D$2*I!W930)</f>
        <v>0.10237118520000001</v>
      </c>
      <c r="X930" s="990">
        <f>IF(I!X930="","",$D$2*I!X930)</f>
        <v>0.24049085107000001</v>
      </c>
      <c r="Y930" s="1010">
        <f>IF(I!Y930="","",$D$2*I!Y930)</f>
        <v>0.19991427020000002</v>
      </c>
      <c r="Z930" s="938"/>
      <c r="AA930" s="938"/>
      <c r="AB930" s="938"/>
      <c r="AC930" s="938"/>
      <c r="AD930" s="1058"/>
      <c r="AE930" s="938"/>
      <c r="AF930" s="938"/>
      <c r="AG930" s="938"/>
      <c r="AH930" s="938"/>
    </row>
    <row r="931" spans="1:34" ht="17.25" customHeight="1" x14ac:dyDescent="0.35">
      <c r="A931" s="938"/>
      <c r="B931" s="938"/>
      <c r="C931" s="941"/>
      <c r="D931" s="1047"/>
      <c r="E931" s="941"/>
      <c r="F931" s="938"/>
      <c r="G931" s="976">
        <f t="shared" si="16"/>
        <v>928</v>
      </c>
      <c r="H931" s="1000"/>
      <c r="I931" s="1001" t="s">
        <v>1181</v>
      </c>
      <c r="J931" s="1031" t="s">
        <v>1970</v>
      </c>
      <c r="K931" s="1002">
        <f>IF(I!K931="","",$D$2*I!K931)</f>
        <v>2.9092392039999998E-2</v>
      </c>
      <c r="L931" s="981"/>
      <c r="M931" s="982"/>
      <c r="N931" s="1003"/>
      <c r="O931" s="1004">
        <f>IF(I!O931="","",$D$2*I!O931)</f>
        <v>9.1806093039999995E-2</v>
      </c>
      <c r="P931" s="1005">
        <f>IF(I!P931="","",$D$2*I!P931)</f>
        <v>2.2506789360000001E-2</v>
      </c>
      <c r="Q931" s="1006" t="str">
        <f>IF(I!Q931="","",$D$2*I!Q931)</f>
        <v/>
      </c>
      <c r="R931" s="982"/>
      <c r="S931" s="1003"/>
      <c r="T931" s="938"/>
      <c r="U931" s="1008" t="s">
        <v>1059</v>
      </c>
      <c r="V931" s="1018" t="s">
        <v>6773</v>
      </c>
      <c r="W931" s="1019">
        <f>IF(I!W931="","",$D$2*I!W931)</f>
        <v>0.1012018041</v>
      </c>
      <c r="X931" s="990">
        <f>IF(I!X931="","",$D$2*I!X931)</f>
        <v>0.23696573786</v>
      </c>
      <c r="Y931" s="1010">
        <f>IF(I!Y931="","",$D$2*I!Y931)</f>
        <v>0.2008259711</v>
      </c>
      <c r="Z931" s="938"/>
      <c r="AA931" s="938"/>
      <c r="AB931" s="938"/>
      <c r="AC931" s="938"/>
      <c r="AD931" s="1058"/>
      <c r="AE931" s="938"/>
      <c r="AF931" s="938"/>
      <c r="AG931" s="938"/>
      <c r="AH931" s="938"/>
    </row>
    <row r="932" spans="1:34" ht="17.25" customHeight="1" x14ac:dyDescent="0.35">
      <c r="A932" s="938"/>
      <c r="B932" s="938"/>
      <c r="C932" s="941"/>
      <c r="D932" s="1047"/>
      <c r="E932" s="941"/>
      <c r="F932" s="938"/>
      <c r="G932" s="976">
        <f t="shared" si="16"/>
        <v>929</v>
      </c>
      <c r="H932" s="1000"/>
      <c r="I932" s="1001" t="s">
        <v>1181</v>
      </c>
      <c r="J932" s="1031" t="s">
        <v>1971</v>
      </c>
      <c r="K932" s="1002">
        <f>IF(I!K932="","",$D$2*I!K932)</f>
        <v>6.3041693410000002E-2</v>
      </c>
      <c r="L932" s="981"/>
      <c r="M932" s="982"/>
      <c r="N932" s="1003"/>
      <c r="O932" s="1004">
        <f>IF(I!O932="","",$D$2*I!O932)</f>
        <v>0.19893900340999998</v>
      </c>
      <c r="P932" s="1005">
        <f>IF(I!P932="","",$D$2*I!P932)</f>
        <v>4.8771035833000007E-2</v>
      </c>
      <c r="Q932" s="1006" t="str">
        <f>IF(I!Q932="","",$D$2*I!Q932)</f>
        <v/>
      </c>
      <c r="R932" s="982"/>
      <c r="S932" s="1003"/>
      <c r="T932" s="938"/>
      <c r="U932" s="1008" t="s">
        <v>1059</v>
      </c>
      <c r="V932" s="1018" t="s">
        <v>6774</v>
      </c>
      <c r="W932" s="1019">
        <f>IF(I!W932="","",$D$2*I!W932)</f>
        <v>0.20272058209999999</v>
      </c>
      <c r="X932" s="990">
        <f>IF(I!X932="","",$D$2*I!X932)</f>
        <v>0.22851863763000002</v>
      </c>
      <c r="Y932" s="1010">
        <f>IF(I!Y932="","",$D$2*I!Y932)</f>
        <v>0.34578433209999998</v>
      </c>
      <c r="Z932" s="938"/>
      <c r="AA932" s="938"/>
      <c r="AB932" s="938"/>
      <c r="AC932" s="938"/>
      <c r="AD932" s="1058"/>
      <c r="AE932" s="938"/>
      <c r="AF932" s="938"/>
      <c r="AG932" s="938"/>
      <c r="AH932" s="938"/>
    </row>
    <row r="933" spans="1:34" ht="17.25" customHeight="1" x14ac:dyDescent="0.35">
      <c r="A933" s="938"/>
      <c r="B933" s="938"/>
      <c r="C933" s="941"/>
      <c r="D933" s="1047"/>
      <c r="E933" s="941"/>
      <c r="F933" s="938"/>
      <c r="G933" s="976">
        <f t="shared" si="16"/>
        <v>930</v>
      </c>
      <c r="H933" s="1000"/>
      <c r="I933" s="1001" t="s">
        <v>1181</v>
      </c>
      <c r="J933" s="1031" t="s">
        <v>1972</v>
      </c>
      <c r="K933" s="1002">
        <f>IF(I!K933="","",$D$2*I!K933)</f>
        <v>9.4562538769999996E-2</v>
      </c>
      <c r="L933" s="981"/>
      <c r="M933" s="982"/>
      <c r="N933" s="1003"/>
      <c r="O933" s="1004">
        <f>IF(I!O933="","",$D$2*I!O933)</f>
        <v>0.29840850876999997</v>
      </c>
      <c r="P933" s="1005">
        <f>IF(I!P933="","",$D$2*I!P933)</f>
        <v>7.3156552779999981E-2</v>
      </c>
      <c r="Q933" s="1006" t="str">
        <f>IF(I!Q933="","",$D$2*I!Q933)</f>
        <v/>
      </c>
      <c r="R933" s="982"/>
      <c r="S933" s="1003"/>
      <c r="T933" s="938"/>
      <c r="U933" s="1008" t="s">
        <v>1059</v>
      </c>
      <c r="V933" s="1018" t="s">
        <v>6775</v>
      </c>
      <c r="W933" s="1019">
        <f>IF(I!W933="","",$D$2*I!W933)</f>
        <v>0.131644331</v>
      </c>
      <c r="X933" s="990">
        <f>IF(I!X933="","",$D$2*I!X933)</f>
        <v>0.24276295112000001</v>
      </c>
      <c r="Y933" s="1010">
        <f>IF(I!Y933="","",$D$2*I!Y933)</f>
        <v>0.241045071</v>
      </c>
      <c r="Z933" s="938"/>
      <c r="AA933" s="938"/>
      <c r="AB933" s="938"/>
      <c r="AC933" s="938"/>
      <c r="AD933" s="1058"/>
      <c r="AE933" s="938"/>
      <c r="AF933" s="938"/>
      <c r="AG933" s="938"/>
      <c r="AH933" s="938"/>
    </row>
    <row r="934" spans="1:34" ht="17.25" customHeight="1" x14ac:dyDescent="0.35">
      <c r="A934" s="938"/>
      <c r="B934" s="938"/>
      <c r="C934" s="941"/>
      <c r="D934" s="1047"/>
      <c r="E934" s="941"/>
      <c r="F934" s="938"/>
      <c r="G934" s="976">
        <f t="shared" si="16"/>
        <v>931</v>
      </c>
      <c r="H934" s="1000"/>
      <c r="I934" s="1001" t="s">
        <v>1181</v>
      </c>
      <c r="J934" s="1031" t="s">
        <v>1973</v>
      </c>
      <c r="K934" s="1002">
        <f>IF(I!K934="","",$D$2*I!K934)</f>
        <v>0.11222402533</v>
      </c>
      <c r="L934" s="981"/>
      <c r="M934" s="982"/>
      <c r="N934" s="1003"/>
      <c r="O934" s="1004">
        <f>IF(I!O934="","",$D$2*I!O934)</f>
        <v>0.35414239533000003</v>
      </c>
      <c r="P934" s="1005">
        <f>IF(I!P934="","",$D$2*I!P934)</f>
        <v>8.6820033399999996E-2</v>
      </c>
      <c r="Q934" s="1006" t="str">
        <f>IF(I!Q934="","",$D$2*I!Q934)</f>
        <v/>
      </c>
      <c r="R934" s="982"/>
      <c r="S934" s="1003"/>
      <c r="T934" s="938"/>
      <c r="U934" s="1008" t="s">
        <v>1059</v>
      </c>
      <c r="V934" s="1018" t="s">
        <v>6776</v>
      </c>
      <c r="W934" s="1019">
        <f>IF(I!W934="","",$D$2*I!W934)</f>
        <v>2.7545303409999999E-2</v>
      </c>
      <c r="X934" s="990">
        <f>IF(I!X934="","",$D$2*I!X934)</f>
        <v>4.2737119559999995E-2</v>
      </c>
      <c r="Y934" s="1010">
        <f>IF(I!Y934="","",$D$2*I!Y934)</f>
        <v>0.29633983340999998</v>
      </c>
      <c r="Z934" s="938"/>
      <c r="AA934" s="938"/>
      <c r="AB934" s="938"/>
      <c r="AC934" s="938"/>
      <c r="AD934" s="1058"/>
      <c r="AE934" s="938"/>
      <c r="AF934" s="938"/>
      <c r="AG934" s="938"/>
      <c r="AH934" s="938"/>
    </row>
    <row r="935" spans="1:34" ht="17.25" customHeight="1" x14ac:dyDescent="0.35">
      <c r="A935" s="938"/>
      <c r="B935" s="938"/>
      <c r="C935" s="941"/>
      <c r="D935" s="1047"/>
      <c r="E935" s="941"/>
      <c r="F935" s="938"/>
      <c r="G935" s="976">
        <f t="shared" si="16"/>
        <v>932</v>
      </c>
      <c r="H935" s="1000"/>
      <c r="I935" s="1001" t="s">
        <v>1181</v>
      </c>
      <c r="J935" s="1031" t="s">
        <v>1974</v>
      </c>
      <c r="K935" s="1002">
        <f>IF(I!K935="","",$D$2*I!K935)</f>
        <v>0.14300897495999998</v>
      </c>
      <c r="L935" s="981"/>
      <c r="M935" s="982"/>
      <c r="N935" s="1003"/>
      <c r="O935" s="1004">
        <f>IF(I!O935="","",$D$2*I!O935)</f>
        <v>0.45128964495999996</v>
      </c>
      <c r="P935" s="1005">
        <f>IF(I!P935="","",$D$2*I!P935)</f>
        <v>0.11063623945999999</v>
      </c>
      <c r="Q935" s="1006" t="str">
        <f>IF(I!Q935="","",$D$2*I!Q935)</f>
        <v/>
      </c>
      <c r="R935" s="982"/>
      <c r="S935" s="1003"/>
      <c r="T935" s="938"/>
      <c r="U935" s="1008" t="s">
        <v>1059</v>
      </c>
      <c r="V935" s="1018" t="s">
        <v>6777</v>
      </c>
      <c r="W935" s="1019">
        <f>IF(I!W935="","",$D$2*I!W935)</f>
        <v>2.6634711319999997E-2</v>
      </c>
      <c r="X935" s="990">
        <f>IF(I!X935="","",$D$2*I!X935)</f>
        <v>3.4521830419000005E-2</v>
      </c>
      <c r="Y935" s="1010">
        <f>IF(I!Y935="","",$D$2*I!Y935)</f>
        <v>0.11650584831999999</v>
      </c>
      <c r="Z935" s="938"/>
      <c r="AA935" s="938"/>
      <c r="AB935" s="938"/>
      <c r="AC935" s="938"/>
      <c r="AD935" s="1058"/>
      <c r="AE935" s="938"/>
      <c r="AF935" s="938"/>
      <c r="AG935" s="938"/>
      <c r="AH935" s="938"/>
    </row>
    <row r="936" spans="1:34" ht="17.25" customHeight="1" x14ac:dyDescent="0.35">
      <c r="A936" s="938"/>
      <c r="B936" s="938"/>
      <c r="C936" s="941"/>
      <c r="D936" s="1047"/>
      <c r="E936" s="941"/>
      <c r="F936" s="938"/>
      <c r="G936" s="976">
        <f t="shared" si="16"/>
        <v>933</v>
      </c>
      <c r="H936" s="1000"/>
      <c r="I936" s="1001" t="s">
        <v>1059</v>
      </c>
      <c r="J936" s="1031" t="s">
        <v>1975</v>
      </c>
      <c r="K936" s="1002">
        <f>IF(I!K936="","",$D$2*I!K936)</f>
        <v>2.925183562E-3</v>
      </c>
      <c r="L936" s="981"/>
      <c r="M936" s="982"/>
      <c r="N936" s="1003"/>
      <c r="O936" s="1004">
        <f>IF(I!O936="","",$D$2*I!O936)</f>
        <v>9.2309245620000001E-3</v>
      </c>
      <c r="P936" s="1005">
        <f>IF(I!P936="","",$D$2*I!P936)</f>
        <v>2.2630140280000001E-3</v>
      </c>
      <c r="Q936" s="1006" t="str">
        <f>IF(I!Q936="","",$D$2*I!Q936)</f>
        <v/>
      </c>
      <c r="R936" s="982"/>
      <c r="S936" s="1003"/>
      <c r="T936" s="938"/>
      <c r="U936" s="1008" t="s">
        <v>1176</v>
      </c>
      <c r="V936" s="1018" t="s">
        <v>6778</v>
      </c>
      <c r="W936" s="1019">
        <f>IF(I!W936="","",$D$2*I!W936)</f>
        <v>1.139425858E-2</v>
      </c>
      <c r="X936" s="990">
        <f>IF(I!X936="","",$D$2*I!X936)</f>
        <v>2.5309269478000003E-2</v>
      </c>
      <c r="Y936" s="1010">
        <f>IF(I!Y936="","",$D$2*I!Y936)</f>
        <v>0.16719881858000002</v>
      </c>
      <c r="Z936" s="938"/>
      <c r="AA936" s="938"/>
      <c r="AB936" s="938"/>
      <c r="AC936" s="938"/>
      <c r="AD936" s="1058"/>
      <c r="AE936" s="938"/>
      <c r="AF936" s="938"/>
      <c r="AG936" s="938"/>
      <c r="AH936" s="938"/>
    </row>
    <row r="937" spans="1:34" ht="17.25" customHeight="1" x14ac:dyDescent="0.35">
      <c r="A937" s="938"/>
      <c r="B937" s="938"/>
      <c r="C937" s="941"/>
      <c r="D937" s="1047"/>
      <c r="E937" s="941"/>
      <c r="F937" s="938"/>
      <c r="G937" s="976">
        <f t="shared" si="16"/>
        <v>934</v>
      </c>
      <c r="H937" s="1000"/>
      <c r="I937" s="1001" t="s">
        <v>1059</v>
      </c>
      <c r="J937" s="1031" t="s">
        <v>1976</v>
      </c>
      <c r="K937" s="1002">
        <f>IF(I!K937="","",$D$2*I!K937)</f>
        <v>3.9974237199999998E-2</v>
      </c>
      <c r="L937" s="981"/>
      <c r="M937" s="982"/>
      <c r="N937" s="1003"/>
      <c r="O937" s="1004">
        <f>IF(I!O937="","",$D$2*I!O937)</f>
        <v>0.1382976142</v>
      </c>
      <c r="P937" s="1005">
        <f>IF(I!P937="","",$D$2*I!P937)</f>
        <v>1.3494898846999998E-2</v>
      </c>
      <c r="Q937" s="1006" t="str">
        <f>IF(I!Q937="","",$D$2*I!Q937)</f>
        <v/>
      </c>
      <c r="R937" s="982"/>
      <c r="S937" s="1003"/>
      <c r="T937" s="938"/>
      <c r="U937" s="1008" t="s">
        <v>1176</v>
      </c>
      <c r="V937" s="1018" t="s">
        <v>6779</v>
      </c>
      <c r="W937" s="1019">
        <f>IF(I!W937="","",$D$2*I!W937)</f>
        <v>1.2002690490000001E-2</v>
      </c>
      <c r="X937" s="990">
        <f>IF(I!X937="","",$D$2*I!X937)</f>
        <v>2.5308943116000002E-2</v>
      </c>
      <c r="Y937" s="1010">
        <f>IF(I!Y937="","",$D$2*I!Y937)</f>
        <v>7.5969755489999999E-2</v>
      </c>
      <c r="Z937" s="938"/>
      <c r="AA937" s="938"/>
      <c r="AB937" s="938"/>
      <c r="AC937" s="938"/>
      <c r="AD937" s="1058"/>
      <c r="AE937" s="938"/>
      <c r="AF937" s="938"/>
      <c r="AG937" s="938"/>
      <c r="AH937" s="938"/>
    </row>
    <row r="938" spans="1:34" ht="17.25" customHeight="1" x14ac:dyDescent="0.35">
      <c r="A938" s="938"/>
      <c r="B938" s="938"/>
      <c r="C938" s="941"/>
      <c r="D938" s="1047"/>
      <c r="E938" s="941"/>
      <c r="F938" s="938"/>
      <c r="G938" s="976">
        <f t="shared" si="16"/>
        <v>935</v>
      </c>
      <c r="H938" s="1000"/>
      <c r="I938" s="1001" t="s">
        <v>1059</v>
      </c>
      <c r="J938" s="1031" t="s">
        <v>1977</v>
      </c>
      <c r="K938" s="1002">
        <f>IF(I!K938="","",$D$2*I!K938)</f>
        <v>3.0991579101999997E-2</v>
      </c>
      <c r="L938" s="981"/>
      <c r="M938" s="982"/>
      <c r="N938" s="1003"/>
      <c r="O938" s="1004">
        <f>IF(I!O938="","",$D$2*I!O938)</f>
        <v>0.113468907102</v>
      </c>
      <c r="P938" s="1005">
        <f>IF(I!P938="","",$D$2*I!P938)</f>
        <v>8.7466618629999989E-3</v>
      </c>
      <c r="Q938" s="1006" t="str">
        <f>IF(I!Q938="","",$D$2*I!Q938)</f>
        <v/>
      </c>
      <c r="R938" s="982"/>
      <c r="S938" s="1003"/>
      <c r="T938" s="938"/>
      <c r="U938" s="1062"/>
      <c r="V938" s="1018"/>
      <c r="W938" s="1019" t="str">
        <f>IF(I!W938="","",$D$2*I!W938)</f>
        <v/>
      </c>
      <c r="X938" s="990" t="str">
        <f>IF(I!X938="","",$D$2*I!X938)</f>
        <v/>
      </c>
      <c r="Y938" s="1010" t="str">
        <f>IF(I!Y938="","",$D$2*I!Y938)</f>
        <v/>
      </c>
      <c r="Z938" s="938"/>
      <c r="AA938" s="938"/>
      <c r="AB938" s="938"/>
      <c r="AC938" s="938"/>
      <c r="AD938" s="1058"/>
      <c r="AE938" s="938"/>
      <c r="AF938" s="938"/>
      <c r="AG938" s="938"/>
      <c r="AH938" s="938"/>
    </row>
    <row r="939" spans="1:34" ht="17.25" customHeight="1" x14ac:dyDescent="0.35">
      <c r="A939" s="938"/>
      <c r="B939" s="938"/>
      <c r="C939" s="941"/>
      <c r="D939" s="1047"/>
      <c r="E939" s="941"/>
      <c r="F939" s="938"/>
      <c r="G939" s="976">
        <f t="shared" si="16"/>
        <v>936</v>
      </c>
      <c r="H939" s="1000"/>
      <c r="I939" s="1001" t="s">
        <v>1059</v>
      </c>
      <c r="J939" s="1031" t="s">
        <v>1978</v>
      </c>
      <c r="K939" s="1002">
        <f>IF(I!K939="","",$D$2*I!K939)</f>
        <v>1.8816311734600001E-2</v>
      </c>
      <c r="L939" s="981"/>
      <c r="M939" s="982"/>
      <c r="N939" s="1003"/>
      <c r="O939" s="1004">
        <f>IF(I!O939="","",$D$2*I!O939)</f>
        <v>6.29900987346E-2</v>
      </c>
      <c r="P939" s="1005">
        <f>IF(I!P939="","",$D$2*I!P939)</f>
        <v>6.9930389390000002E-3</v>
      </c>
      <c r="Q939" s="1006" t="str">
        <f>IF(I!Q939="","",$D$2*I!Q939)</f>
        <v/>
      </c>
      <c r="R939" s="982"/>
      <c r="S939" s="1003"/>
      <c r="T939" s="938"/>
      <c r="U939" s="1062"/>
      <c r="V939" s="1009" t="s">
        <v>6780</v>
      </c>
      <c r="W939" s="1019" t="str">
        <f>IF(I!W939="","",$D$2*I!W939)</f>
        <v/>
      </c>
      <c r="X939" s="990" t="str">
        <f>IF(I!X939="","",$D$2*I!X939)</f>
        <v/>
      </c>
      <c r="Y939" s="1010" t="str">
        <f>IF(I!Y939="","",$D$2*I!Y939)</f>
        <v/>
      </c>
      <c r="Z939" s="938"/>
      <c r="AA939" s="938"/>
      <c r="AB939" s="938"/>
      <c r="AC939" s="938"/>
      <c r="AD939" s="1058"/>
      <c r="AE939" s="938"/>
      <c r="AF939" s="938"/>
      <c r="AG939" s="938"/>
      <c r="AH939" s="938"/>
    </row>
    <row r="940" spans="1:34" ht="17.25" customHeight="1" x14ac:dyDescent="0.35">
      <c r="A940" s="938"/>
      <c r="B940" s="938"/>
      <c r="C940" s="941"/>
      <c r="D940" s="1047"/>
      <c r="E940" s="941"/>
      <c r="F940" s="938"/>
      <c r="G940" s="976">
        <f t="shared" si="16"/>
        <v>937</v>
      </c>
      <c r="H940" s="1000"/>
      <c r="I940" s="1001" t="s">
        <v>1056</v>
      </c>
      <c r="J940" s="1031" t="s">
        <v>1979</v>
      </c>
      <c r="K940" s="1002">
        <f>IF(I!K940="","",$D$2*I!K940)</f>
        <v>1.8182745038000003E-2</v>
      </c>
      <c r="L940" s="981"/>
      <c r="M940" s="982"/>
      <c r="N940" s="1003"/>
      <c r="O940" s="1004">
        <f>IF(I!O940="","",$D$2*I!O940)</f>
        <v>5.7378808038000009E-2</v>
      </c>
      <c r="P940" s="1005">
        <f>IF(I!P940="","",$D$2*I!P940)</f>
        <v>1.4066743242E-2</v>
      </c>
      <c r="Q940" s="1006" t="str">
        <f>IF(I!Q940="","",$D$2*I!Q940)</f>
        <v/>
      </c>
      <c r="R940" s="982"/>
      <c r="S940" s="1003"/>
      <c r="T940" s="938"/>
      <c r="U940" s="1008" t="s">
        <v>1059</v>
      </c>
      <c r="V940" s="1018" t="s">
        <v>6781</v>
      </c>
      <c r="W940" s="1019">
        <f>IF(I!W940="","",$D$2*I!W940)</f>
        <v>2.1813916611999998E-2</v>
      </c>
      <c r="X940" s="990">
        <f>IF(I!X940="","",$D$2*I!X940)</f>
        <v>1.70992254117E-2</v>
      </c>
      <c r="Y940" s="1010">
        <f>IF(I!Y940="","",$D$2*I!Y940)</f>
        <v>3.2120930611999998E-2</v>
      </c>
      <c r="Z940" s="938"/>
      <c r="AA940" s="938"/>
      <c r="AB940" s="938"/>
      <c r="AC940" s="938"/>
      <c r="AD940" s="1058"/>
      <c r="AE940" s="938"/>
      <c r="AF940" s="938"/>
      <c r="AG940" s="938"/>
      <c r="AH940" s="938"/>
    </row>
    <row r="941" spans="1:34" ht="17.25" customHeight="1" x14ac:dyDescent="0.35">
      <c r="A941" s="938"/>
      <c r="B941" s="938"/>
      <c r="C941" s="941"/>
      <c r="D941" s="1047"/>
      <c r="E941" s="941"/>
      <c r="F941" s="938"/>
      <c r="G941" s="976">
        <f t="shared" si="16"/>
        <v>938</v>
      </c>
      <c r="H941" s="1000"/>
      <c r="I941" s="1001" t="s">
        <v>1056</v>
      </c>
      <c r="J941" s="1031" t="s">
        <v>1980</v>
      </c>
      <c r="K941" s="1002">
        <f>IF(I!K941="","",$D$2*I!K941)</f>
        <v>3.6365490280000003E-2</v>
      </c>
      <c r="L941" s="981"/>
      <c r="M941" s="982"/>
      <c r="N941" s="1003"/>
      <c r="O941" s="1004">
        <f>IF(I!O941="","",$D$2*I!O941)</f>
        <v>0.11475761628</v>
      </c>
      <c r="P941" s="1005">
        <f>IF(I!P941="","",$D$2*I!P941)</f>
        <v>2.8133486475E-2</v>
      </c>
      <c r="Q941" s="1006" t="str">
        <f>IF(I!Q941="","",$D$2*I!Q941)</f>
        <v/>
      </c>
      <c r="R941" s="982"/>
      <c r="S941" s="1003"/>
      <c r="T941" s="938"/>
      <c r="U941" s="1008" t="s">
        <v>1059</v>
      </c>
      <c r="V941" s="1018" t="s">
        <v>6782</v>
      </c>
      <c r="W941" s="1019">
        <f>IF(I!W941="","",$D$2*I!W941)</f>
        <v>4.502009547E-2</v>
      </c>
      <c r="X941" s="990">
        <f>IF(I!X941="","",$D$2*I!X941)</f>
        <v>1.6580715002700003E-2</v>
      </c>
      <c r="Y941" s="1010">
        <f>IF(I!Y941="","",$D$2*I!Y941)</f>
        <v>5.9552106469999998E-2</v>
      </c>
      <c r="Z941" s="938"/>
      <c r="AA941" s="938"/>
      <c r="AB941" s="938"/>
      <c r="AC941" s="938"/>
      <c r="AD941" s="1058"/>
      <c r="AE941" s="938"/>
      <c r="AF941" s="938"/>
      <c r="AG941" s="938"/>
      <c r="AH941" s="938"/>
    </row>
    <row r="942" spans="1:34" ht="17.25" customHeight="1" x14ac:dyDescent="0.35">
      <c r="A942" s="938"/>
      <c r="B942" s="938"/>
      <c r="C942" s="941"/>
      <c r="D942" s="1047"/>
      <c r="E942" s="941"/>
      <c r="F942" s="938"/>
      <c r="G942" s="976">
        <f t="shared" si="16"/>
        <v>939</v>
      </c>
      <c r="H942" s="1000"/>
      <c r="I942" s="1001" t="s">
        <v>1059</v>
      </c>
      <c r="J942" s="1031" t="s">
        <v>1981</v>
      </c>
      <c r="K942" s="1002">
        <f>IF(I!K942="","",$D$2*I!K942)</f>
        <v>3.8143903370000003E-2</v>
      </c>
      <c r="L942" s="981"/>
      <c r="M942" s="982"/>
      <c r="N942" s="1003"/>
      <c r="O942" s="1004">
        <f>IF(I!O942="","",$D$2*I!O942)</f>
        <v>0.12036970836999999</v>
      </c>
      <c r="P942" s="1005">
        <f>IF(I!P942="","",$D$2*I!P942)</f>
        <v>2.9509322802999997E-2</v>
      </c>
      <c r="Q942" s="1006" t="str">
        <f>IF(I!Q942="","",$D$2*I!Q942)</f>
        <v/>
      </c>
      <c r="R942" s="982"/>
      <c r="S942" s="1003"/>
      <c r="T942" s="938"/>
      <c r="U942" s="1062"/>
      <c r="V942" s="1040"/>
      <c r="W942" s="1019" t="str">
        <f>IF(I!W942="","",$D$2*I!W942)</f>
        <v/>
      </c>
      <c r="X942" s="990" t="str">
        <f>IF(I!X942="","",$D$2*I!X942)</f>
        <v/>
      </c>
      <c r="Y942" s="1010" t="str">
        <f>IF(I!Y942="","",$D$2*I!Y942)</f>
        <v/>
      </c>
      <c r="Z942" s="938"/>
      <c r="AA942" s="938"/>
      <c r="AB942" s="938"/>
      <c r="AC942" s="938"/>
      <c r="AD942" s="1058"/>
      <c r="AE942" s="938"/>
      <c r="AF942" s="938"/>
      <c r="AG942" s="938"/>
      <c r="AH942" s="938"/>
    </row>
    <row r="943" spans="1:34" ht="17.25" customHeight="1" x14ac:dyDescent="0.35">
      <c r="A943" s="938"/>
      <c r="B943" s="938"/>
      <c r="C943" s="941"/>
      <c r="D943" s="1047"/>
      <c r="E943" s="941"/>
      <c r="F943" s="938"/>
      <c r="G943" s="976">
        <f t="shared" si="16"/>
        <v>940</v>
      </c>
      <c r="H943" s="1000"/>
      <c r="I943" s="1001" t="s">
        <v>1181</v>
      </c>
      <c r="J943" s="1031" t="s">
        <v>1982</v>
      </c>
      <c r="K943" s="1002">
        <f>IF(I!K943="","",$D$2*I!K943)</f>
        <v>0.12120808008</v>
      </c>
      <c r="L943" s="981"/>
      <c r="M943" s="982"/>
      <c r="N943" s="1003"/>
      <c r="O943" s="1004">
        <f>IF(I!O943="","",$D$2*I!O943)</f>
        <v>0.38249313008000002</v>
      </c>
      <c r="P943" s="1005">
        <f>IF(I!P943="","",$D$2*I!P943)</f>
        <v>9.3770381220000004E-2</v>
      </c>
      <c r="Q943" s="1006" t="str">
        <f>IF(I!Q943="","",$D$2*I!Q943)</f>
        <v/>
      </c>
      <c r="R943" s="982"/>
      <c r="S943" s="1003"/>
      <c r="T943" s="938"/>
      <c r="U943" s="1062"/>
      <c r="V943" s="1009" t="s">
        <v>6783</v>
      </c>
      <c r="W943" s="1019" t="str">
        <f>IF(I!W943="","",$D$2*I!W943)</f>
        <v/>
      </c>
      <c r="X943" s="990" t="str">
        <f>IF(I!X943="","",$D$2*I!X943)</f>
        <v/>
      </c>
      <c r="Y943" s="1010" t="str">
        <f>IF(I!Y943="","",$D$2*I!Y943)</f>
        <v/>
      </c>
      <c r="Z943" s="938"/>
      <c r="AA943" s="938"/>
      <c r="AB943" s="938"/>
      <c r="AC943" s="938"/>
      <c r="AD943" s="1058"/>
      <c r="AE943" s="938"/>
      <c r="AF943" s="938"/>
      <c r="AG943" s="938"/>
      <c r="AH943" s="938"/>
    </row>
    <row r="944" spans="1:34" ht="17.25" customHeight="1" x14ac:dyDescent="0.35">
      <c r="A944" s="938"/>
      <c r="B944" s="938"/>
      <c r="C944" s="941"/>
      <c r="D944" s="1047"/>
      <c r="E944" s="941"/>
      <c r="F944" s="938"/>
      <c r="G944" s="976">
        <f t="shared" si="16"/>
        <v>941</v>
      </c>
      <c r="H944" s="1000"/>
      <c r="I944" s="1001" t="s">
        <v>1181</v>
      </c>
      <c r="J944" s="1031" t="s">
        <v>1983</v>
      </c>
      <c r="K944" s="1002">
        <f>IF(I!K944="","",$D$2*I!K944)</f>
        <v>0.38786585099999998</v>
      </c>
      <c r="L944" s="981"/>
      <c r="M944" s="982"/>
      <c r="N944" s="1003"/>
      <c r="O944" s="1004">
        <f>IF(I!O944="","",$D$2*I!O944)</f>
        <v>1.223978021</v>
      </c>
      <c r="P944" s="1005">
        <f>IF(I!P944="","",$D$2*I!P944)</f>
        <v>0.30006521661999996</v>
      </c>
      <c r="Q944" s="1006" t="str">
        <f>IF(I!Q944="","",$D$2*I!Q944)</f>
        <v/>
      </c>
      <c r="R944" s="982"/>
      <c r="S944" s="1003"/>
      <c r="T944" s="938"/>
      <c r="U944" s="1008" t="s">
        <v>1059</v>
      </c>
      <c r="V944" s="1018" t="s">
        <v>6784</v>
      </c>
      <c r="W944" s="1019">
        <f>IF(I!W944="","",$D$2*I!W944)</f>
        <v>6.2966801369999997E-3</v>
      </c>
      <c r="X944" s="990">
        <f>IF(I!X944="","",$D$2*I!X944)</f>
        <v>1.29500033704E-2</v>
      </c>
      <c r="Y944" s="1010">
        <f>IF(I!Y944="","",$D$2*I!Y944)</f>
        <v>9.5804629369999998E-3</v>
      </c>
      <c r="Z944" s="938"/>
      <c r="AA944" s="938"/>
      <c r="AB944" s="938"/>
      <c r="AC944" s="938"/>
      <c r="AD944" s="1058"/>
      <c r="AE944" s="938"/>
      <c r="AF944" s="938"/>
      <c r="AG944" s="938"/>
      <c r="AH944" s="938"/>
    </row>
    <row r="945" spans="1:34" ht="17.25" customHeight="1" x14ac:dyDescent="0.35">
      <c r="A945" s="938"/>
      <c r="B945" s="938"/>
      <c r="C945" s="941"/>
      <c r="D945" s="1047"/>
      <c r="E945" s="941"/>
      <c r="F945" s="938"/>
      <c r="G945" s="976">
        <f t="shared" si="16"/>
        <v>942</v>
      </c>
      <c r="H945" s="1000"/>
      <c r="I945" s="1001" t="s">
        <v>1181</v>
      </c>
      <c r="J945" s="1031" t="s">
        <v>1984</v>
      </c>
      <c r="K945" s="1002">
        <f>IF(I!K945="","",$D$2*I!K945)</f>
        <v>0.55756330269999999</v>
      </c>
      <c r="L945" s="981"/>
      <c r="M945" s="982"/>
      <c r="N945" s="1003"/>
      <c r="O945" s="1004">
        <f>IF(I!O945="","",$D$2*I!O945)</f>
        <v>1.7594878027</v>
      </c>
      <c r="P945" s="1005">
        <f>IF(I!P945="","",$D$2*I!P945)</f>
        <v>0.43134849212000004</v>
      </c>
      <c r="Q945" s="1006" t="str">
        <f>IF(I!Q945="","",$D$2*I!Q945)</f>
        <v/>
      </c>
      <c r="R945" s="982"/>
      <c r="S945" s="1003"/>
      <c r="T945" s="938"/>
      <c r="U945" s="1008" t="s">
        <v>1059</v>
      </c>
      <c r="V945" s="1018" t="s">
        <v>6785</v>
      </c>
      <c r="W945" s="1019">
        <f>IF(I!W945="","",$D$2*I!W945)</f>
        <v>3.8595992094999997E-2</v>
      </c>
      <c r="X945" s="990">
        <f>IF(I!X945="","",$D$2*I!X945)</f>
        <v>2.5519760177E-2</v>
      </c>
      <c r="Y945" s="1010">
        <f>IF(I!Y945="","",$D$2*I!Y945)</f>
        <v>5.1785497094999994E-2</v>
      </c>
      <c r="Z945" s="938"/>
      <c r="AA945" s="938"/>
      <c r="AB945" s="938"/>
      <c r="AC945" s="938"/>
      <c r="AD945" s="1058"/>
      <c r="AE945" s="938"/>
      <c r="AF945" s="938"/>
      <c r="AG945" s="938"/>
      <c r="AH945" s="938"/>
    </row>
    <row r="946" spans="1:34" ht="17.25" customHeight="1" x14ac:dyDescent="0.35">
      <c r="A946" s="938"/>
      <c r="B946" s="938"/>
      <c r="C946" s="941"/>
      <c r="D946" s="1047"/>
      <c r="E946" s="941"/>
      <c r="F946" s="938"/>
      <c r="G946" s="976">
        <f t="shared" si="16"/>
        <v>943</v>
      </c>
      <c r="H946" s="1000"/>
      <c r="I946" s="1001" t="s">
        <v>1176</v>
      </c>
      <c r="J946" s="1031" t="s">
        <v>1985</v>
      </c>
      <c r="K946" s="1002">
        <f>IF(I!K946="","",$D$2*I!K946)</f>
        <v>1.2142271622E-3</v>
      </c>
      <c r="L946" s="981"/>
      <c r="M946" s="982"/>
      <c r="N946" s="1003"/>
      <c r="O946" s="1004">
        <f>IF(I!O946="","",$D$2*I!O946)</f>
        <v>3.8317045622000001E-3</v>
      </c>
      <c r="P946" s="1005">
        <f>IF(I!P946="","",$D$2*I!P946)</f>
        <v>9.3936430450000002E-4</v>
      </c>
      <c r="Q946" s="1006" t="str">
        <f>IF(I!Q946="","",$D$2*I!Q946)</f>
        <v/>
      </c>
      <c r="R946" s="982"/>
      <c r="S946" s="1003"/>
      <c r="T946" s="938"/>
      <c r="U946" s="1062"/>
      <c r="V946" s="1040"/>
      <c r="W946" s="1019" t="str">
        <f>IF(I!W946="","",$D$2*I!W946)</f>
        <v/>
      </c>
      <c r="X946" s="990" t="str">
        <f>IF(I!X946="","",$D$2*I!X946)</f>
        <v/>
      </c>
      <c r="Y946" s="1010" t="str">
        <f>IF(I!Y946="","",$D$2*I!Y946)</f>
        <v/>
      </c>
      <c r="Z946" s="938"/>
      <c r="AA946" s="938"/>
      <c r="AB946" s="938"/>
      <c r="AC946" s="938"/>
      <c r="AD946" s="1058"/>
      <c r="AE946" s="938"/>
      <c r="AF946" s="938"/>
      <c r="AG946" s="938"/>
      <c r="AH946" s="938"/>
    </row>
    <row r="947" spans="1:34" ht="17.25" customHeight="1" x14ac:dyDescent="0.35">
      <c r="A947" s="938"/>
      <c r="B947" s="938"/>
      <c r="C947" s="941"/>
      <c r="D947" s="1047"/>
      <c r="E947" s="941"/>
      <c r="F947" s="938"/>
      <c r="G947" s="976">
        <f t="shared" si="16"/>
        <v>944</v>
      </c>
      <c r="H947" s="1000"/>
      <c r="I947" s="1001" t="s">
        <v>1176</v>
      </c>
      <c r="J947" s="1031" t="s">
        <v>1986</v>
      </c>
      <c r="K947" s="1002">
        <f>IF(I!K947="","",$D$2*I!K947)</f>
        <v>2.4241615420000002E-3</v>
      </c>
      <c r="L947" s="981"/>
      <c r="M947" s="982"/>
      <c r="N947" s="1003"/>
      <c r="O947" s="1004">
        <f>IF(I!O947="","",$D$2*I!O947)</f>
        <v>7.6498626420000004E-3</v>
      </c>
      <c r="P947" s="1005">
        <f>IF(I!P947="","",$D$2*I!P947)</f>
        <v>1.8754076553999998E-3</v>
      </c>
      <c r="Q947" s="1006" t="str">
        <f>IF(I!Q947="","",$D$2*I!Q947)</f>
        <v/>
      </c>
      <c r="R947" s="982"/>
      <c r="S947" s="1003"/>
      <c r="T947" s="938"/>
      <c r="U947" s="1062"/>
      <c r="V947" s="1009" t="s">
        <v>6786</v>
      </c>
      <c r="W947" s="1019" t="str">
        <f>IF(I!W947="","",$D$2*I!W947)</f>
        <v/>
      </c>
      <c r="X947" s="990" t="str">
        <f>IF(I!X947="","",$D$2*I!X947)</f>
        <v/>
      </c>
      <c r="Y947" s="1010" t="str">
        <f>IF(I!Y947="","",$D$2*I!Y947)</f>
        <v/>
      </c>
      <c r="Z947" s="938"/>
      <c r="AA947" s="938"/>
      <c r="AB947" s="938"/>
      <c r="AC947" s="938"/>
      <c r="AD947" s="1058"/>
      <c r="AE947" s="938"/>
      <c r="AF947" s="938"/>
      <c r="AG947" s="938"/>
      <c r="AH947" s="938"/>
    </row>
    <row r="948" spans="1:34" ht="17.25" customHeight="1" x14ac:dyDescent="0.35">
      <c r="A948" s="938"/>
      <c r="B948" s="938"/>
      <c r="C948" s="941"/>
      <c r="D948" s="1047"/>
      <c r="E948" s="941"/>
      <c r="F948" s="938"/>
      <c r="G948" s="976">
        <f t="shared" si="16"/>
        <v>945</v>
      </c>
      <c r="H948" s="1000"/>
      <c r="I948" s="1001" t="s">
        <v>1176</v>
      </c>
      <c r="J948" s="1031" t="s">
        <v>1987</v>
      </c>
      <c r="K948" s="1002">
        <f>IF(I!K948="","",$D$2*I!K948)</f>
        <v>4.8507761760000004E-3</v>
      </c>
      <c r="L948" s="981"/>
      <c r="M948" s="982"/>
      <c r="N948" s="1003"/>
      <c r="O948" s="1004">
        <f>IF(I!O948="","",$D$2*I!O948)</f>
        <v>1.5307466176E-2</v>
      </c>
      <c r="P948" s="1005">
        <f>IF(I!P948="","",$D$2*I!P948)</f>
        <v>3.7527129219999998E-3</v>
      </c>
      <c r="Q948" s="1006" t="str">
        <f>IF(I!Q948="","",$D$2*I!Q948)</f>
        <v/>
      </c>
      <c r="R948" s="982"/>
      <c r="S948" s="1003"/>
      <c r="T948" s="938"/>
      <c r="U948" s="1008" t="s">
        <v>1059</v>
      </c>
      <c r="V948" s="1018" t="s">
        <v>6787</v>
      </c>
      <c r="W948" s="1019">
        <f>IF(I!W948="","",$D$2*I!W948)</f>
        <v>1.9983020939999999E-2</v>
      </c>
      <c r="X948" s="990">
        <f>IF(I!X948="","",$D$2*I!X948)</f>
        <v>8.9606379349999998E-3</v>
      </c>
      <c r="Y948" s="1010">
        <f>IF(I!Y948="","",$D$2*I!Y948)</f>
        <v>2.8518245339999998E-2</v>
      </c>
      <c r="Z948" s="938"/>
      <c r="AA948" s="938"/>
      <c r="AB948" s="938"/>
      <c r="AC948" s="938"/>
      <c r="AD948" s="1058"/>
      <c r="AE948" s="938"/>
      <c r="AF948" s="938"/>
      <c r="AG948" s="938"/>
      <c r="AH948" s="938"/>
    </row>
    <row r="949" spans="1:34" ht="17.25" customHeight="1" x14ac:dyDescent="0.35">
      <c r="A949" s="938"/>
      <c r="B949" s="938"/>
      <c r="C949" s="941"/>
      <c r="D949" s="1047"/>
      <c r="E949" s="941"/>
      <c r="F949" s="938"/>
      <c r="G949" s="976">
        <f t="shared" si="16"/>
        <v>946</v>
      </c>
      <c r="H949" s="1000"/>
      <c r="I949" s="1001" t="s">
        <v>1176</v>
      </c>
      <c r="J949" s="1031" t="s">
        <v>1988</v>
      </c>
      <c r="K949" s="1002">
        <f>IF(I!K949="","",$D$2*I!K949)</f>
        <v>1.1394111315E-2</v>
      </c>
      <c r="L949" s="981"/>
      <c r="M949" s="982"/>
      <c r="N949" s="1003"/>
      <c r="O949" s="1004">
        <f>IF(I!O949="","",$D$2*I!O949)</f>
        <v>3.5956096315000005E-2</v>
      </c>
      <c r="P949" s="1005">
        <f>IF(I!P949="","",$D$2*I!P949)</f>
        <v>8.8148427869999997E-3</v>
      </c>
      <c r="Q949" s="1006" t="str">
        <f>IF(I!Q949="","",$D$2*I!Q949)</f>
        <v/>
      </c>
      <c r="R949" s="982"/>
      <c r="S949" s="1003"/>
      <c r="T949" s="938"/>
      <c r="U949" s="1008" t="s">
        <v>1059</v>
      </c>
      <c r="V949" s="1018" t="s">
        <v>6788</v>
      </c>
      <c r="W949" s="1019">
        <f>IF(I!W949="","",$D$2*I!W949)</f>
        <v>1.28931614E-2</v>
      </c>
      <c r="X949" s="990">
        <f>IF(I!X949="","",$D$2*I!X949)</f>
        <v>9.9907852390000006E-3</v>
      </c>
      <c r="Y949" s="1010">
        <f>IF(I!Y949="","",$D$2*I!Y949)</f>
        <v>1.95971697E-2</v>
      </c>
      <c r="Z949" s="938"/>
      <c r="AA949" s="938"/>
      <c r="AB949" s="938"/>
      <c r="AC949" s="938"/>
      <c r="AD949" s="1058"/>
      <c r="AE949" s="938"/>
      <c r="AF949" s="938"/>
      <c r="AG949" s="938"/>
      <c r="AH949" s="938"/>
    </row>
    <row r="950" spans="1:34" ht="17.25" customHeight="1" x14ac:dyDescent="0.35">
      <c r="A950" s="938"/>
      <c r="B950" s="938"/>
      <c r="C950" s="941"/>
      <c r="D950" s="1047"/>
      <c r="E950" s="941"/>
      <c r="F950" s="938"/>
      <c r="G950" s="976">
        <f t="shared" si="16"/>
        <v>947</v>
      </c>
      <c r="H950" s="1000"/>
      <c r="I950" s="1001" t="s">
        <v>1059</v>
      </c>
      <c r="J950" s="1031" t="s">
        <v>1989</v>
      </c>
      <c r="K950" s="1002">
        <f>IF(I!K950="","",$D$2*I!K950)</f>
        <v>2.925183562E-3</v>
      </c>
      <c r="L950" s="981"/>
      <c r="M950" s="982"/>
      <c r="N950" s="1003"/>
      <c r="O950" s="1004">
        <f>IF(I!O950="","",$D$2*I!O950)</f>
        <v>9.2309245620000001E-3</v>
      </c>
      <c r="P950" s="1005">
        <f>IF(I!P950="","",$D$2*I!P950)</f>
        <v>2.2630140280000001E-3</v>
      </c>
      <c r="Q950" s="1006" t="str">
        <f>IF(I!Q950="","",$D$2*I!Q950)</f>
        <v/>
      </c>
      <c r="R950" s="982"/>
      <c r="S950" s="1003"/>
      <c r="T950" s="938"/>
      <c r="U950" s="1008" t="s">
        <v>1059</v>
      </c>
      <c r="V950" s="1018" t="s">
        <v>6789</v>
      </c>
      <c r="W950" s="1019">
        <f>IF(I!W950="","",$D$2*I!W950)</f>
        <v>1.187860187E-2</v>
      </c>
      <c r="X950" s="990">
        <f>IF(I!X950="","",$D$2*I!X950)</f>
        <v>7.9891618020000027E-3</v>
      </c>
      <c r="Y950" s="1010">
        <f>IF(I!Y950="","",$D$2*I!Y950)</f>
        <v>1.8939684469999999E-2</v>
      </c>
      <c r="Z950" s="938"/>
      <c r="AA950" s="938"/>
      <c r="AB950" s="938"/>
      <c r="AC950" s="938"/>
      <c r="AD950" s="1058"/>
      <c r="AE950" s="938"/>
      <c r="AF950" s="938"/>
      <c r="AG950" s="938"/>
      <c r="AH950" s="938"/>
    </row>
    <row r="951" spans="1:34" ht="17.25" customHeight="1" x14ac:dyDescent="0.35">
      <c r="A951" s="938"/>
      <c r="B951" s="938"/>
      <c r="C951" s="941"/>
      <c r="D951" s="1047"/>
      <c r="E951" s="941"/>
      <c r="F951" s="938"/>
      <c r="G951" s="976">
        <f t="shared" si="16"/>
        <v>948</v>
      </c>
      <c r="H951" s="1000"/>
      <c r="I951" s="1001" t="s">
        <v>1181</v>
      </c>
      <c r="J951" s="1031" t="s">
        <v>1990</v>
      </c>
      <c r="K951" s="1002">
        <f>IF(I!K951="","",$D$2*I!K951)</f>
        <v>1.203833876E-2</v>
      </c>
      <c r="L951" s="981"/>
      <c r="M951" s="982"/>
      <c r="N951" s="1003"/>
      <c r="O951" s="1004">
        <f>IF(I!O951="","",$D$2*I!O951)</f>
        <v>3.009477176E-2</v>
      </c>
      <c r="P951" s="1005">
        <f>IF(I!P951="","",$D$2*I!P951)</f>
        <v>2.2213071285000004E-2</v>
      </c>
      <c r="Q951" s="1006" t="str">
        <f>IF(I!Q951="","",$D$2*I!Q951)</f>
        <v/>
      </c>
      <c r="R951" s="982"/>
      <c r="S951" s="1003"/>
      <c r="T951" s="938"/>
      <c r="U951" s="1008" t="s">
        <v>1059</v>
      </c>
      <c r="V951" s="1018" t="s">
        <v>6790</v>
      </c>
      <c r="W951" s="1019">
        <f>IF(I!W951="","",$D$2*I!W951)</f>
        <v>1.0154793839999999E-2</v>
      </c>
      <c r="X951" s="990">
        <f>IF(I!X951="","",$D$2*I!X951)</f>
        <v>7.898213539999999E-3</v>
      </c>
      <c r="Y951" s="1010">
        <f>IF(I!Y951="","",$D$2*I!Y951)</f>
        <v>1.667368114E-2</v>
      </c>
      <c r="Z951" s="938"/>
      <c r="AA951" s="938"/>
      <c r="AB951" s="938"/>
      <c r="AC951" s="938"/>
      <c r="AD951" s="1058"/>
      <c r="AE951" s="938"/>
      <c r="AF951" s="938"/>
      <c r="AG951" s="938"/>
      <c r="AH951" s="938"/>
    </row>
    <row r="952" spans="1:34" ht="17.25" customHeight="1" x14ac:dyDescent="0.35">
      <c r="A952" s="938"/>
      <c r="B952" s="938"/>
      <c r="C952" s="941"/>
      <c r="D952" s="1047"/>
      <c r="E952" s="941"/>
      <c r="F952" s="938"/>
      <c r="G952" s="976">
        <f t="shared" si="16"/>
        <v>949</v>
      </c>
      <c r="H952" s="942" t="s">
        <v>1991</v>
      </c>
      <c r="I952" s="1001"/>
      <c r="J952" s="1027"/>
      <c r="K952" s="1002" t="str">
        <f>IF(I!K952="","",$D$2*I!K952)</f>
        <v/>
      </c>
      <c r="L952" s="981"/>
      <c r="M952" s="982"/>
      <c r="N952" s="1003"/>
      <c r="O952" s="1004" t="str">
        <f>IF(I!O952="","",$D$2*I!O952)</f>
        <v/>
      </c>
      <c r="P952" s="1005" t="str">
        <f>IF(I!P952="","",$D$2*I!P952)</f>
        <v/>
      </c>
      <c r="Q952" s="1006" t="str">
        <f>IF(I!Q952="","",$D$2*I!Q952)</f>
        <v/>
      </c>
      <c r="R952" s="982"/>
      <c r="S952" s="1003"/>
      <c r="T952" s="938"/>
      <c r="U952" s="1008" t="s">
        <v>1059</v>
      </c>
      <c r="V952" s="1018" t="s">
        <v>6791</v>
      </c>
      <c r="W952" s="1019">
        <f>IF(I!W952="","",$D$2*I!W952)</f>
        <v>1.312190936E-2</v>
      </c>
      <c r="X952" s="990">
        <f>IF(I!X952="","",$D$2*I!X952)</f>
        <v>1.2256036983000002E-2</v>
      </c>
      <c r="Y952" s="1010">
        <f>IF(I!Y952="","",$D$2*I!Y952)</f>
        <v>2.104502456E-2</v>
      </c>
      <c r="Z952" s="938"/>
      <c r="AA952" s="938"/>
      <c r="AB952" s="938"/>
      <c r="AC952" s="938"/>
      <c r="AD952" s="1058"/>
      <c r="AE952" s="938"/>
      <c r="AF952" s="938"/>
      <c r="AG952" s="938"/>
      <c r="AH952" s="938"/>
    </row>
    <row r="953" spans="1:34" ht="17.25" customHeight="1" x14ac:dyDescent="0.35">
      <c r="A953" s="938"/>
      <c r="B953" s="938"/>
      <c r="C953" s="941"/>
      <c r="D953" s="1047"/>
      <c r="E953" s="941"/>
      <c r="F953" s="938"/>
      <c r="G953" s="976">
        <f t="shared" si="16"/>
        <v>950</v>
      </c>
      <c r="H953" s="1000"/>
      <c r="I953" s="1001" t="s">
        <v>1059</v>
      </c>
      <c r="J953" s="1031" t="s">
        <v>1992</v>
      </c>
      <c r="K953" s="1002">
        <f>IF(I!K953="","",$D$2*I!K953)</f>
        <v>9.4930486780000004E-3</v>
      </c>
      <c r="L953" s="981"/>
      <c r="M953" s="982"/>
      <c r="N953" s="1003"/>
      <c r="O953" s="1004">
        <f>IF(I!O953="","",$D$2*I!O953)</f>
        <v>2.9956962678E-2</v>
      </c>
      <c r="P953" s="1005">
        <f>IF(I!P953="","",$D$2*I!P953)</f>
        <v>7.3441208770000004E-3</v>
      </c>
      <c r="Q953" s="1006" t="str">
        <f>IF(I!Q953="","",$D$2*I!Q953)</f>
        <v/>
      </c>
      <c r="R953" s="982"/>
      <c r="S953" s="1003"/>
      <c r="T953" s="938"/>
      <c r="U953" s="1008" t="s">
        <v>1059</v>
      </c>
      <c r="V953" s="1018" t="s">
        <v>6792</v>
      </c>
      <c r="W953" s="1019">
        <f>IF(I!W953="","",$D$2*I!W953)</f>
        <v>2.3382075250000002E-2</v>
      </c>
      <c r="X953" s="990">
        <f>IF(I!X953="","",$D$2*I!X953)</f>
        <v>8.6823529499999996E-3</v>
      </c>
      <c r="Y953" s="1010">
        <f>IF(I!Y953="","",$D$2*I!Y953)</f>
        <v>3.0379465850000002E-2</v>
      </c>
      <c r="Z953" s="938"/>
      <c r="AA953" s="938"/>
      <c r="AB953" s="938"/>
      <c r="AC953" s="938"/>
      <c r="AD953" s="1058"/>
      <c r="AE953" s="938"/>
      <c r="AF953" s="938"/>
      <c r="AG953" s="938"/>
      <c r="AH953" s="938"/>
    </row>
    <row r="954" spans="1:34" ht="17.25" customHeight="1" x14ac:dyDescent="0.35">
      <c r="A954" s="938"/>
      <c r="B954" s="938"/>
      <c r="C954" s="941"/>
      <c r="D954" s="1047"/>
      <c r="E954" s="941"/>
      <c r="F954" s="938"/>
      <c r="G954" s="976">
        <f t="shared" si="16"/>
        <v>951</v>
      </c>
      <c r="H954" s="1000"/>
      <c r="I954" s="1001" t="s">
        <v>1059</v>
      </c>
      <c r="J954" s="1031" t="s">
        <v>1993</v>
      </c>
      <c r="K954" s="1002">
        <f>IF(I!K954="","",$D$2*I!K954)</f>
        <v>4.9231392069999998E-2</v>
      </c>
      <c r="L954" s="981"/>
      <c r="M954" s="982"/>
      <c r="N954" s="1003"/>
      <c r="O954" s="1004">
        <f>IF(I!O954="","",$D$2*I!O954)</f>
        <v>0.15535820207000001</v>
      </c>
      <c r="P954" s="1005">
        <f>IF(I!P954="","",$D$2*I!P954)</f>
        <v>3.8086952654999999E-2</v>
      </c>
      <c r="Q954" s="1006" t="str">
        <f>IF(I!Q954="","",$D$2*I!Q954)</f>
        <v/>
      </c>
      <c r="R954" s="982"/>
      <c r="S954" s="1003"/>
      <c r="T954" s="938"/>
      <c r="U954" s="1008" t="s">
        <v>1059</v>
      </c>
      <c r="V954" s="1018" t="s">
        <v>6793</v>
      </c>
      <c r="W954" s="1019">
        <f>IF(I!W954="","",$D$2*I!W954)</f>
        <v>5.2483026359999997E-2</v>
      </c>
      <c r="X954" s="990">
        <f>IF(I!X954="","",$D$2*I!X954)</f>
        <v>1.2267018641000001E-2</v>
      </c>
      <c r="Y954" s="1010">
        <f>IF(I!Y954="","",$D$2*I!Y954)</f>
        <v>6.1846867859999995E-2</v>
      </c>
      <c r="Z954" s="938"/>
      <c r="AA954" s="938"/>
      <c r="AB954" s="938"/>
      <c r="AC954" s="938"/>
      <c r="AD954" s="1058"/>
      <c r="AE954" s="938"/>
      <c r="AF954" s="938"/>
      <c r="AG954" s="938"/>
      <c r="AH954" s="938"/>
    </row>
    <row r="955" spans="1:34" ht="17.25" customHeight="1" x14ac:dyDescent="0.35">
      <c r="A955" s="938"/>
      <c r="B955" s="938"/>
      <c r="C955" s="941"/>
      <c r="D955" s="1047"/>
      <c r="E955" s="941"/>
      <c r="F955" s="938"/>
      <c r="G955" s="976">
        <f t="shared" si="16"/>
        <v>952</v>
      </c>
      <c r="H955" s="1000">
        <v>1</v>
      </c>
      <c r="I955" s="1001" t="s">
        <v>1059</v>
      </c>
      <c r="J955" s="1031" t="s">
        <v>1994</v>
      </c>
      <c r="K955" s="1002">
        <f>IF(I!K955="","",$D$2*I!K955)</f>
        <v>5.5192143930000003E-3</v>
      </c>
      <c r="L955" s="981"/>
      <c r="M955" s="982"/>
      <c r="N955" s="1003"/>
      <c r="O955" s="1004">
        <f>IF(I!O955="","",$D$2*I!O955)</f>
        <v>1.7416839393000001E-2</v>
      </c>
      <c r="P955" s="1005">
        <f>IF(I!P955="","",$D$2*I!P955)</f>
        <v>4.2698377697000002E-3</v>
      </c>
      <c r="Q955" s="1006" t="str">
        <f>IF(I!Q955="","",$D$2*I!Q955)</f>
        <v/>
      </c>
      <c r="R955" s="982"/>
      <c r="S955" s="1003"/>
      <c r="T955" s="938"/>
      <c r="U955" s="1008" t="s">
        <v>1059</v>
      </c>
      <c r="V955" s="1018" t="s">
        <v>6794</v>
      </c>
      <c r="W955" s="1019">
        <f>IF(I!W955="","",$D$2*I!W955)</f>
        <v>1.1304102009999999E-2</v>
      </c>
      <c r="X955" s="990">
        <f>IF(I!X955="","",$D$2*I!X955)</f>
        <v>1.0174990714E-2</v>
      </c>
      <c r="Y955" s="1010">
        <f>IF(I!Y955="","",$D$2*I!Y955)</f>
        <v>1.838784551E-2</v>
      </c>
      <c r="Z955" s="938"/>
      <c r="AA955" s="938"/>
      <c r="AB955" s="938"/>
      <c r="AC955" s="938"/>
      <c r="AD955" s="1058"/>
      <c r="AE955" s="938"/>
      <c r="AF955" s="938"/>
      <c r="AG955" s="938"/>
      <c r="AH955" s="938"/>
    </row>
    <row r="956" spans="1:34" ht="17.25" customHeight="1" x14ac:dyDescent="0.35">
      <c r="A956" s="938"/>
      <c r="B956" s="938"/>
      <c r="C956" s="941"/>
      <c r="D956" s="1047"/>
      <c r="E956" s="941"/>
      <c r="F956" s="938"/>
      <c r="G956" s="976">
        <f t="shared" si="16"/>
        <v>953</v>
      </c>
      <c r="H956" s="1000">
        <v>1</v>
      </c>
      <c r="I956" s="1001" t="s">
        <v>1059</v>
      </c>
      <c r="J956" s="1031" t="s">
        <v>1995</v>
      </c>
      <c r="K956" s="1002">
        <f>IF(I!K956="","",$D$2*I!K956)</f>
        <v>1.5012262992000001E-2</v>
      </c>
      <c r="L956" s="981"/>
      <c r="M956" s="982"/>
      <c r="N956" s="1003"/>
      <c r="O956" s="1004">
        <f>IF(I!O956="","",$D$2*I!O956)</f>
        <v>4.7373801992000003E-2</v>
      </c>
      <c r="P956" s="1005">
        <f>IF(I!P956="","",$D$2*I!P956)</f>
        <v>1.1613958475E-2</v>
      </c>
      <c r="Q956" s="1006" t="str">
        <f>IF(I!Q956="","",$D$2*I!Q956)</f>
        <v/>
      </c>
      <c r="R956" s="982"/>
      <c r="S956" s="1003"/>
      <c r="T956" s="938"/>
      <c r="U956" s="1062"/>
      <c r="V956" s="1040"/>
      <c r="W956" s="1019" t="str">
        <f>IF(I!W956="","",$D$2*I!W956)</f>
        <v/>
      </c>
      <c r="X956" s="990" t="str">
        <f>IF(I!X956="","",$D$2*I!X956)</f>
        <v/>
      </c>
      <c r="Y956" s="1010" t="str">
        <f>IF(I!Y956="","",$D$2*I!Y956)</f>
        <v/>
      </c>
      <c r="Z956" s="938"/>
      <c r="AA956" s="938"/>
      <c r="AB956" s="938"/>
      <c r="AC956" s="938"/>
      <c r="AD956" s="1058"/>
      <c r="AE956" s="938"/>
      <c r="AF956" s="938"/>
      <c r="AG956" s="938"/>
      <c r="AH956" s="938"/>
    </row>
    <row r="957" spans="1:34" ht="17.25" customHeight="1" x14ac:dyDescent="0.35">
      <c r="A957" s="938"/>
      <c r="B957" s="938"/>
      <c r="C957" s="941"/>
      <c r="D957" s="1047"/>
      <c r="E957" s="941"/>
      <c r="F957" s="938"/>
      <c r="G957" s="976">
        <f t="shared" si="16"/>
        <v>954</v>
      </c>
      <c r="H957" s="1000"/>
      <c r="I957" s="1001" t="s">
        <v>1059</v>
      </c>
      <c r="J957" s="1031" t="s">
        <v>1996</v>
      </c>
      <c r="K957" s="1002">
        <f>IF(I!K957="","",$D$2*I!K957)</f>
        <v>2.0531477265E-2</v>
      </c>
      <c r="L957" s="981"/>
      <c r="M957" s="982"/>
      <c r="N957" s="1003"/>
      <c r="O957" s="1004">
        <f>IF(I!O957="","",$D$2*I!O957)</f>
        <v>6.4790640265000005E-2</v>
      </c>
      <c r="P957" s="1005">
        <f>IF(I!P957="","",$D$2*I!P957)</f>
        <v>1.5883796284000003E-2</v>
      </c>
      <c r="Q957" s="1006" t="str">
        <f>IF(I!Q957="","",$D$2*I!Q957)</f>
        <v/>
      </c>
      <c r="R957" s="982"/>
      <c r="S957" s="1003"/>
      <c r="T957" s="938"/>
      <c r="U957" s="1062"/>
      <c r="V957" s="1009" t="s">
        <v>6795</v>
      </c>
      <c r="W957" s="1019" t="str">
        <f>IF(I!W957="","",$D$2*I!W957)</f>
        <v/>
      </c>
      <c r="X957" s="990" t="str">
        <f>IF(I!X957="","",$D$2*I!X957)</f>
        <v/>
      </c>
      <c r="Y957" s="1010" t="str">
        <f>IF(I!Y957="","",$D$2*I!Y957)</f>
        <v/>
      </c>
      <c r="Z957" s="938"/>
      <c r="AA957" s="938"/>
      <c r="AB957" s="938"/>
      <c r="AC957" s="938"/>
      <c r="AD957" s="1058"/>
      <c r="AE957" s="938"/>
      <c r="AF957" s="938"/>
      <c r="AG957" s="938"/>
      <c r="AH957" s="938"/>
    </row>
    <row r="958" spans="1:34" ht="17.25" customHeight="1" x14ac:dyDescent="0.35">
      <c r="A958" s="938"/>
      <c r="B958" s="938"/>
      <c r="C958" s="941"/>
      <c r="D958" s="1047"/>
      <c r="E958" s="941"/>
      <c r="F958" s="938"/>
      <c r="G958" s="976">
        <f t="shared" si="16"/>
        <v>955</v>
      </c>
      <c r="H958" s="1000"/>
      <c r="I958" s="1001" t="s">
        <v>1059</v>
      </c>
      <c r="J958" s="1031" t="s">
        <v>1997</v>
      </c>
      <c r="K958" s="1002">
        <f>IF(I!K958="","",$D$2*I!K958)</f>
        <v>5.2322152219999994E-2</v>
      </c>
      <c r="L958" s="981"/>
      <c r="M958" s="982"/>
      <c r="N958" s="1003"/>
      <c r="O958" s="1004">
        <f>IF(I!O958="","",$D$2*I!O958)</f>
        <v>0.16511163222</v>
      </c>
      <c r="P958" s="1005">
        <f>IF(I!P958="","",$D$2*I!P958)</f>
        <v>4.0478061957000003E-2</v>
      </c>
      <c r="Q958" s="1006" t="str">
        <f>IF(I!Q958="","",$D$2*I!Q958)</f>
        <v/>
      </c>
      <c r="R958" s="982"/>
      <c r="S958" s="1003"/>
      <c r="T958" s="938"/>
      <c r="U958" s="1008" t="s">
        <v>1059</v>
      </c>
      <c r="V958" s="1018" t="s">
        <v>6796</v>
      </c>
      <c r="W958" s="1019">
        <f>IF(I!W958="","",$D$2*I!W958)</f>
        <v>8.5137728052999996E-3</v>
      </c>
      <c r="X958" s="990">
        <f>IF(I!X958="","",$D$2*I!X958)</f>
        <v>1.1306515502000002E-2</v>
      </c>
      <c r="Y958" s="1010">
        <f>IF(I!Y958="","",$D$2*I!Y958)</f>
        <v>2.5341699805299999E-2</v>
      </c>
      <c r="Z958" s="938"/>
      <c r="AA958" s="938"/>
      <c r="AB958" s="938"/>
      <c r="AC958" s="938"/>
      <c r="AD958" s="1058"/>
      <c r="AE958" s="938"/>
      <c r="AF958" s="938"/>
      <c r="AG958" s="938"/>
      <c r="AH958" s="938"/>
    </row>
    <row r="959" spans="1:34" ht="17.25" customHeight="1" x14ac:dyDescent="0.35">
      <c r="A959" s="938"/>
      <c r="B959" s="938"/>
      <c r="C959" s="941"/>
      <c r="D959" s="1047"/>
      <c r="E959" s="941"/>
      <c r="F959" s="938"/>
      <c r="G959" s="976">
        <f t="shared" si="16"/>
        <v>956</v>
      </c>
      <c r="H959" s="1000"/>
      <c r="I959" s="1001" t="s">
        <v>1059</v>
      </c>
      <c r="J959" s="1031" t="s">
        <v>1998</v>
      </c>
      <c r="K959" s="1002">
        <f>IF(I!K959="","",$D$2*I!K959)</f>
        <v>1.3471783713999999E-2</v>
      </c>
      <c r="L959" s="981"/>
      <c r="M959" s="982"/>
      <c r="N959" s="1003"/>
      <c r="O959" s="1004">
        <f>IF(I!O959="","",$D$2*I!O959)</f>
        <v>5.3360449714000002E-2</v>
      </c>
      <c r="P959" s="1005">
        <f>IF(I!P959="","",$D$2*I!P959)</f>
        <v>7.7681500410000008E-3</v>
      </c>
      <c r="Q959" s="1006" t="str">
        <f>IF(I!Q959="","",$D$2*I!Q959)</f>
        <v/>
      </c>
      <c r="R959" s="982"/>
      <c r="S959" s="1003"/>
      <c r="T959" s="938"/>
      <c r="U959" s="1008" t="s">
        <v>1059</v>
      </c>
      <c r="V959" s="1018" t="s">
        <v>6797</v>
      </c>
      <c r="W959" s="1019">
        <f>IF(I!W959="","",$D$2*I!W959)</f>
        <v>7.5925045010000001E-3</v>
      </c>
      <c r="X959" s="990">
        <f>IF(I!X959="","",$D$2*I!X959)</f>
        <v>8.8951325919999977E-3</v>
      </c>
      <c r="Y959" s="1010">
        <f>IF(I!Y959="","",$D$2*I!Y959)</f>
        <v>1.3248298101E-2</v>
      </c>
      <c r="Z959" s="938"/>
      <c r="AA959" s="938"/>
      <c r="AB959" s="938"/>
      <c r="AC959" s="938"/>
      <c r="AD959" s="1058"/>
      <c r="AE959" s="938"/>
      <c r="AF959" s="938"/>
      <c r="AG959" s="938"/>
      <c r="AH959" s="938"/>
    </row>
    <row r="960" spans="1:34" ht="17.25" customHeight="1" x14ac:dyDescent="0.35">
      <c r="A960" s="938"/>
      <c r="B960" s="938"/>
      <c r="C960" s="941"/>
      <c r="D960" s="1047"/>
      <c r="E960" s="941"/>
      <c r="F960" s="938"/>
      <c r="G960" s="976">
        <f t="shared" si="16"/>
        <v>957</v>
      </c>
      <c r="H960" s="1000"/>
      <c r="I960" s="1001" t="s">
        <v>1059</v>
      </c>
      <c r="J960" s="1031" t="s">
        <v>1999</v>
      </c>
      <c r="K960" s="1002">
        <f>IF(I!K960="","",$D$2*I!K960)</f>
        <v>9.7138171950000001E-3</v>
      </c>
      <c r="L960" s="981"/>
      <c r="M960" s="982"/>
      <c r="N960" s="1003"/>
      <c r="O960" s="1004">
        <f>IF(I!O960="","",$D$2*I!O960)</f>
        <v>3.0653636195E-2</v>
      </c>
      <c r="P960" s="1005">
        <f>IF(I!P960="","",$D$2*I!P960)</f>
        <v>7.5149143679999995E-3</v>
      </c>
      <c r="Q960" s="1006" t="str">
        <f>IF(I!Q960="","",$D$2*I!Q960)</f>
        <v/>
      </c>
      <c r="R960" s="982"/>
      <c r="S960" s="1003"/>
      <c r="T960" s="938"/>
      <c r="U960" s="1008" t="s">
        <v>1059</v>
      </c>
      <c r="V960" s="1018" t="s">
        <v>6798</v>
      </c>
      <c r="W960" s="1019">
        <f>IF(I!W960="","",$D$2*I!W960)</f>
        <v>8.920126195000001E-3</v>
      </c>
      <c r="X960" s="990">
        <f>IF(I!X960="","",$D$2*I!X960)</f>
        <v>9.5478907779999993E-3</v>
      </c>
      <c r="Y960" s="1010">
        <f>IF(I!Y960="","",$D$2*I!Y960)</f>
        <v>3.2457594195000002E-2</v>
      </c>
      <c r="Z960" s="938"/>
      <c r="AA960" s="938"/>
      <c r="AB960" s="938"/>
      <c r="AC960" s="938"/>
      <c r="AD960" s="1058"/>
      <c r="AE960" s="938"/>
      <c r="AF960" s="938"/>
      <c r="AG960" s="938"/>
      <c r="AH960" s="938"/>
    </row>
    <row r="961" spans="1:34" ht="17.25" customHeight="1" x14ac:dyDescent="0.35">
      <c r="A961" s="938"/>
      <c r="B961" s="938"/>
      <c r="C961" s="941"/>
      <c r="D961" s="1047"/>
      <c r="E961" s="941"/>
      <c r="F961" s="938"/>
      <c r="G961" s="976">
        <f t="shared" si="16"/>
        <v>958</v>
      </c>
      <c r="H961" s="1000"/>
      <c r="I961" s="1001" t="s">
        <v>1059</v>
      </c>
      <c r="J961" s="1031" t="s">
        <v>2000</v>
      </c>
      <c r="K961" s="1002">
        <f>IF(I!K961="","",$D$2*I!K961)</f>
        <v>1.9869171724E-2</v>
      </c>
      <c r="L961" s="981"/>
      <c r="M961" s="982"/>
      <c r="N961" s="1003"/>
      <c r="O961" s="1004">
        <f>IF(I!O961="","",$D$2*I!O961)</f>
        <v>6.2700619723999998E-2</v>
      </c>
      <c r="P961" s="1005">
        <f>IF(I!P961="","",$D$2*I!P961)</f>
        <v>1.5371415489E-2</v>
      </c>
      <c r="Q961" s="1006" t="str">
        <f>IF(I!Q961="","",$D$2*I!Q961)</f>
        <v/>
      </c>
      <c r="R961" s="982"/>
      <c r="S961" s="1003"/>
      <c r="T961" s="938"/>
      <c r="U961" s="1008" t="s">
        <v>1059</v>
      </c>
      <c r="V961" s="1018" t="s">
        <v>6799</v>
      </c>
      <c r="W961" s="1019">
        <f>IF(I!W961="","",$D$2*I!W961)</f>
        <v>2.0175395509999999E-2</v>
      </c>
      <c r="X961" s="990">
        <f>IF(I!X961="","",$D$2*I!X961)</f>
        <v>1.0789876162999999E-2</v>
      </c>
      <c r="Y961" s="1010">
        <f>IF(I!Y961="","",$D$2*I!Y961)</f>
        <v>3.015465011E-2</v>
      </c>
      <c r="Z961" s="938"/>
      <c r="AA961" s="938"/>
      <c r="AB961" s="938"/>
      <c r="AC961" s="938"/>
      <c r="AD961" s="1058"/>
      <c r="AE961" s="938"/>
      <c r="AF961" s="938"/>
      <c r="AG961" s="938"/>
      <c r="AH961" s="938"/>
    </row>
    <row r="962" spans="1:34" ht="17.25" customHeight="1" x14ac:dyDescent="0.35">
      <c r="A962" s="938"/>
      <c r="B962" s="938"/>
      <c r="C962" s="941"/>
      <c r="D962" s="1047"/>
      <c r="E962" s="941"/>
      <c r="F962" s="938"/>
      <c r="G962" s="976">
        <f t="shared" si="16"/>
        <v>959</v>
      </c>
      <c r="H962" s="942" t="s">
        <v>2001</v>
      </c>
      <c r="I962" s="1001"/>
      <c r="J962" s="1027"/>
      <c r="K962" s="1002" t="str">
        <f>IF(I!K962="","",$D$2*I!K962)</f>
        <v/>
      </c>
      <c r="L962" s="981"/>
      <c r="M962" s="982"/>
      <c r="N962" s="1003"/>
      <c r="O962" s="1004" t="str">
        <f>IF(I!O962="","",$D$2*I!O962)</f>
        <v/>
      </c>
      <c r="P962" s="1005" t="str">
        <f>IF(I!P962="","",$D$2*I!P962)</f>
        <v/>
      </c>
      <c r="Q962" s="1006" t="str">
        <f>IF(I!Q962="","",$D$2*I!Q962)</f>
        <v/>
      </c>
      <c r="R962" s="982"/>
      <c r="S962" s="1003"/>
      <c r="T962" s="938"/>
      <c r="U962" s="1008" t="s">
        <v>1059</v>
      </c>
      <c r="V962" s="1018" t="s">
        <v>6800</v>
      </c>
      <c r="W962" s="1019">
        <f>IF(I!W962="","",$D$2*I!W962)</f>
        <v>8.7193352979999996E-3</v>
      </c>
      <c r="X962" s="990">
        <f>IF(I!X962="","",$D$2*I!X962)</f>
        <v>8.2119994140000003E-3</v>
      </c>
      <c r="Y962" s="1010">
        <f>IF(I!Y962="","",$D$2*I!Y962)</f>
        <v>1.4455559898000001E-2</v>
      </c>
      <c r="Z962" s="938"/>
      <c r="AA962" s="938"/>
      <c r="AB962" s="938"/>
      <c r="AC962" s="938"/>
      <c r="AD962" s="1058"/>
      <c r="AE962" s="938"/>
      <c r="AF962" s="938"/>
      <c r="AG962" s="938"/>
      <c r="AH962" s="938"/>
    </row>
    <row r="963" spans="1:34" ht="17.25" customHeight="1" x14ac:dyDescent="0.35">
      <c r="A963" s="938"/>
      <c r="B963" s="938"/>
      <c r="C963" s="941"/>
      <c r="D963" s="1047"/>
      <c r="E963" s="941"/>
      <c r="F963" s="938"/>
      <c r="G963" s="976">
        <f t="shared" si="16"/>
        <v>960</v>
      </c>
      <c r="H963" s="1081"/>
      <c r="I963" s="1082" t="s">
        <v>2002</v>
      </c>
      <c r="J963" s="1031" t="s">
        <v>2003</v>
      </c>
      <c r="K963" s="1002">
        <f>IF(I!K963="","",$D$2*I!K963)</f>
        <v>4.6858362435999999E-5</v>
      </c>
      <c r="L963" s="981"/>
      <c r="M963" s="982"/>
      <c r="N963" s="1003"/>
      <c r="O963" s="1004">
        <f>IF(I!O963="","",$D$2*I!O963)</f>
        <v>1.33601369436E-4</v>
      </c>
      <c r="P963" s="1005">
        <f>IF(I!P963="","",$D$2*I!P963)</f>
        <v>8.2137097220999985E-5</v>
      </c>
      <c r="Q963" s="1006" t="str">
        <f>IF(I!Q963="","",$D$2*I!Q963)</f>
        <v/>
      </c>
      <c r="R963" s="982"/>
      <c r="S963" s="1003"/>
      <c r="T963" s="938"/>
      <c r="U963" s="1008" t="s">
        <v>1059</v>
      </c>
      <c r="V963" s="1018" t="s">
        <v>6801</v>
      </c>
      <c r="W963" s="1019">
        <f>IF(I!W963="","",$D$2*I!W963)</f>
        <v>1.3956512900419996E-2</v>
      </c>
      <c r="X963" s="990">
        <f>IF(I!X963="","",$D$2*I!X963)</f>
        <v>1.2298957932999996E-2</v>
      </c>
      <c r="Y963" s="1010">
        <f>IF(I!Y963="","",$D$2*I!Y963)</f>
        <v>2.6786054900419996E-2</v>
      </c>
      <c r="Z963" s="938"/>
      <c r="AA963" s="938"/>
      <c r="AB963" s="938"/>
      <c r="AC963" s="938"/>
      <c r="AD963" s="1058"/>
      <c r="AE963" s="938"/>
      <c r="AF963" s="938"/>
      <c r="AG963" s="938"/>
      <c r="AH963" s="938"/>
    </row>
    <row r="964" spans="1:34" ht="17.25" customHeight="1" x14ac:dyDescent="0.35">
      <c r="A964" s="938"/>
      <c r="B964" s="938"/>
      <c r="C964" s="941"/>
      <c r="D964" s="1047"/>
      <c r="E964" s="941"/>
      <c r="F964" s="938"/>
      <c r="G964" s="976">
        <f t="shared" si="16"/>
        <v>961</v>
      </c>
      <c r="H964" s="1081"/>
      <c r="I964" s="1082" t="s">
        <v>2002</v>
      </c>
      <c r="J964" s="1031" t="s">
        <v>2004</v>
      </c>
      <c r="K964" s="1002">
        <f>IF(I!K964="","",$D$2*I!K964)</f>
        <v>3.0487360100000001E-5</v>
      </c>
      <c r="L964" s="981"/>
      <c r="M964" s="982"/>
      <c r="N964" s="1003"/>
      <c r="O964" s="1004">
        <f>IF(I!O964="","",$D$2*I!O964)</f>
        <v>2.5699265010000003E-4</v>
      </c>
      <c r="P964" s="1005">
        <f>IF(I!P964="","",$D$2*I!P964)</f>
        <v>2.72039882601E-4</v>
      </c>
      <c r="Q964" s="1006" t="str">
        <f>IF(I!Q964="","",$D$2*I!Q964)</f>
        <v/>
      </c>
      <c r="R964" s="982"/>
      <c r="S964" s="1003"/>
      <c r="T964" s="938"/>
      <c r="U964" s="1008" t="s">
        <v>1059</v>
      </c>
      <c r="V964" s="1018" t="s">
        <v>6802</v>
      </c>
      <c r="W964" s="1019">
        <f>IF(I!W964="","",$D$2*I!W964)</f>
        <v>1.1522102875000001E-2</v>
      </c>
      <c r="X964" s="990">
        <f>IF(I!X964="","",$D$2*I!X964)</f>
        <v>1.0898772670000001E-2</v>
      </c>
      <c r="Y964" s="1010">
        <f>IF(I!Y964="","",$D$2*I!Y964)</f>
        <v>1.9153289375E-2</v>
      </c>
      <c r="Z964" s="938"/>
      <c r="AA964" s="938"/>
      <c r="AB964" s="938"/>
      <c r="AC964" s="938"/>
      <c r="AD964" s="1058"/>
      <c r="AE964" s="938"/>
      <c r="AF964" s="938"/>
      <c r="AG964" s="938"/>
      <c r="AH964" s="938"/>
    </row>
    <row r="965" spans="1:34" ht="17.25" customHeight="1" x14ac:dyDescent="0.35">
      <c r="A965" s="938"/>
      <c r="B965" s="938"/>
      <c r="C965" s="941"/>
      <c r="D965" s="1047"/>
      <c r="E965" s="941"/>
      <c r="F965" s="938"/>
      <c r="G965" s="976">
        <f t="shared" si="16"/>
        <v>962</v>
      </c>
      <c r="H965" s="1081"/>
      <c r="I965" s="1082" t="s">
        <v>1059</v>
      </c>
      <c r="J965" s="1031" t="s">
        <v>2005</v>
      </c>
      <c r="K965" s="1002">
        <f>IF(I!K965="","",$D$2*I!K965)</f>
        <v>3.3641900160000003E-3</v>
      </c>
      <c r="L965" s="981"/>
      <c r="M965" s="982"/>
      <c r="N965" s="1003"/>
      <c r="O965" s="1004">
        <f>IF(I!O965="","",$D$2*I!O965)</f>
        <v>2.0405968016E-2</v>
      </c>
      <c r="P965" s="1005">
        <f>IF(I!P965="","",$D$2*I!P965)</f>
        <v>2.2832772041000002E-5</v>
      </c>
      <c r="Q965" s="1006" t="str">
        <f>IF(I!Q965="","",$D$2*I!Q965)</f>
        <v/>
      </c>
      <c r="R965" s="982"/>
      <c r="S965" s="1003"/>
      <c r="T965" s="938"/>
      <c r="U965" s="1008" t="s">
        <v>1059</v>
      </c>
      <c r="V965" s="1018" t="s">
        <v>6803</v>
      </c>
      <c r="W965" s="1019">
        <f>IF(I!W965="","",$D$2*I!W965)</f>
        <v>1.7391370162999999E-2</v>
      </c>
      <c r="X965" s="990">
        <f>IF(I!X965="","",$D$2*I!X965)</f>
        <v>1.4468912219999991E-2</v>
      </c>
      <c r="Y965" s="1010">
        <f>IF(I!Y965="","",$D$2*I!Y965)</f>
        <v>3.5244472163000001E-2</v>
      </c>
      <c r="Z965" s="938"/>
      <c r="AA965" s="938"/>
      <c r="AB965" s="938"/>
      <c r="AC965" s="938"/>
      <c r="AD965" s="1058"/>
      <c r="AE965" s="938"/>
      <c r="AF965" s="938"/>
      <c r="AG965" s="938"/>
      <c r="AH965" s="938"/>
    </row>
    <row r="966" spans="1:34" ht="17.25" customHeight="1" x14ac:dyDescent="0.35">
      <c r="A966" s="938"/>
      <c r="B966" s="938"/>
      <c r="C966" s="941"/>
      <c r="D966" s="1047"/>
      <c r="E966" s="941"/>
      <c r="F966" s="938"/>
      <c r="G966" s="976">
        <f t="shared" ref="G966:G1029" si="17">G965+1</f>
        <v>963</v>
      </c>
      <c r="H966" s="1081"/>
      <c r="I966" s="1082" t="s">
        <v>1059</v>
      </c>
      <c r="J966" s="1031" t="s">
        <v>2006</v>
      </c>
      <c r="K966" s="1002">
        <f>IF(I!K966="","",$D$2*I!K966)</f>
        <v>2.5651948710000002E-3</v>
      </c>
      <c r="L966" s="981"/>
      <c r="M966" s="982"/>
      <c r="N966" s="1003"/>
      <c r="O966" s="1004">
        <f>IF(I!O966="","",$D$2*I!O966)</f>
        <v>1.5559550871E-2</v>
      </c>
      <c r="P966" s="1005">
        <f>IF(I!P966="","",$D$2*I!P966)</f>
        <v>1.7409988869E-5</v>
      </c>
      <c r="Q966" s="1006" t="str">
        <f>IF(I!Q966="","",$D$2*I!Q966)</f>
        <v/>
      </c>
      <c r="R966" s="982"/>
      <c r="S966" s="1003"/>
      <c r="T966" s="938"/>
      <c r="U966" s="1008" t="s">
        <v>1059</v>
      </c>
      <c r="V966" s="1018" t="s">
        <v>6804</v>
      </c>
      <c r="W966" s="1019">
        <f>IF(I!W966="","",$D$2*I!W966)</f>
        <v>4.8601451354E-3</v>
      </c>
      <c r="X966" s="990">
        <f>IF(I!X966="","",$D$2*I!X966)</f>
        <v>7.5988987848999989E-3</v>
      </c>
      <c r="Y966" s="1010">
        <f>IF(I!Y966="","",$D$2*I!Y966)</f>
        <v>9.7252923353999994E-3</v>
      </c>
      <c r="Z966" s="938"/>
      <c r="AA966" s="938"/>
      <c r="AB966" s="938"/>
      <c r="AC966" s="938"/>
      <c r="AD966" s="1058"/>
      <c r="AE966" s="938"/>
      <c r="AF966" s="938"/>
      <c r="AG966" s="938"/>
      <c r="AH966" s="938"/>
    </row>
    <row r="967" spans="1:34" ht="17.25" customHeight="1" x14ac:dyDescent="0.35">
      <c r="A967" s="938"/>
      <c r="B967" s="938"/>
      <c r="C967" s="941"/>
      <c r="D967" s="1047"/>
      <c r="E967" s="941"/>
      <c r="F967" s="938"/>
      <c r="G967" s="976">
        <f t="shared" si="17"/>
        <v>964</v>
      </c>
      <c r="H967" s="942"/>
      <c r="I967" s="1001"/>
      <c r="J967" s="1027"/>
      <c r="K967" s="1002" t="str">
        <f>IF(I!K967="","",$D$2*I!K967)</f>
        <v/>
      </c>
      <c r="L967" s="981"/>
      <c r="M967" s="982"/>
      <c r="N967" s="1003"/>
      <c r="O967" s="1004" t="str">
        <f>IF(I!O967="","",$D$2*I!O967)</f>
        <v/>
      </c>
      <c r="P967" s="1005" t="str">
        <f>IF(I!P967="","",$D$2*I!P967)</f>
        <v/>
      </c>
      <c r="Q967" s="1006" t="str">
        <f>IF(I!Q967="","",$D$2*I!Q967)</f>
        <v/>
      </c>
      <c r="R967" s="982"/>
      <c r="S967" s="1003"/>
      <c r="T967" s="938"/>
      <c r="U967" s="1008" t="s">
        <v>1059</v>
      </c>
      <c r="V967" s="1018" t="s">
        <v>6805</v>
      </c>
      <c r="W967" s="1019">
        <f>IF(I!W967="","",$D$2*I!W967)</f>
        <v>6.3712620200000007E-3</v>
      </c>
      <c r="X967" s="990">
        <f>IF(I!X967="","",$D$2*I!X967)</f>
        <v>9.7880288680000007E-3</v>
      </c>
      <c r="Y967" s="1010">
        <f>IF(I!Y967="","",$D$2*I!Y967)</f>
        <v>1.2016424720000002E-2</v>
      </c>
      <c r="Z967" s="938"/>
      <c r="AA967" s="938"/>
      <c r="AB967" s="938"/>
      <c r="AC967" s="938"/>
      <c r="AD967" s="1058"/>
      <c r="AE967" s="938"/>
      <c r="AF967" s="938"/>
      <c r="AG967" s="938"/>
      <c r="AH967" s="938"/>
    </row>
    <row r="968" spans="1:34" ht="17.25" customHeight="1" x14ac:dyDescent="0.35">
      <c r="A968" s="938"/>
      <c r="B968" s="938"/>
      <c r="C968" s="941"/>
      <c r="D968" s="1047"/>
      <c r="E968" s="941"/>
      <c r="F968" s="938"/>
      <c r="G968" s="976">
        <f t="shared" si="17"/>
        <v>965</v>
      </c>
      <c r="H968" s="1000"/>
      <c r="I968" s="1060"/>
      <c r="J968" s="1065"/>
      <c r="K968" s="1002" t="str">
        <f>IF(I!K968="","",$D$2*I!K968)</f>
        <v/>
      </c>
      <c r="L968" s="981"/>
      <c r="M968" s="982"/>
      <c r="N968" s="1003"/>
      <c r="O968" s="1004" t="str">
        <f>IF(I!O968="","",$D$2*I!O968)</f>
        <v/>
      </c>
      <c r="P968" s="1005" t="str">
        <f>IF(I!P968="","",$D$2*I!P968)</f>
        <v/>
      </c>
      <c r="Q968" s="1006" t="str">
        <f>IF(I!Q968="","",$D$2*I!Q968)</f>
        <v/>
      </c>
      <c r="R968" s="982"/>
      <c r="S968" s="1003"/>
      <c r="T968" s="938"/>
      <c r="U968" s="1008" t="s">
        <v>1059</v>
      </c>
      <c r="V968" s="1018" t="s">
        <v>6806</v>
      </c>
      <c r="W968" s="1019">
        <f>IF(I!W968="","",$D$2*I!W968)</f>
        <v>1.0920497322000001E-2</v>
      </c>
      <c r="X968" s="990">
        <f>IF(I!X968="","",$D$2*I!X968)</f>
        <v>9.8650062810000019E-3</v>
      </c>
      <c r="Y968" s="1010">
        <f>IF(I!Y968="","",$D$2*I!Y968)</f>
        <v>1.7458603722000001E-2</v>
      </c>
      <c r="Z968" s="938"/>
      <c r="AA968" s="938"/>
      <c r="AB968" s="938"/>
      <c r="AC968" s="938"/>
      <c r="AD968" s="1058"/>
      <c r="AE968" s="938"/>
      <c r="AF968" s="938"/>
      <c r="AG968" s="938"/>
      <c r="AH968" s="938"/>
    </row>
    <row r="969" spans="1:34" ht="17.25" customHeight="1" x14ac:dyDescent="0.35">
      <c r="A969" s="938"/>
      <c r="B969" s="938"/>
      <c r="C969" s="941"/>
      <c r="D969" s="1047"/>
      <c r="E969" s="941"/>
      <c r="F969" s="938"/>
      <c r="G969" s="976">
        <f t="shared" si="17"/>
        <v>966</v>
      </c>
      <c r="H969" s="942" t="s">
        <v>2007</v>
      </c>
      <c r="I969" s="1001"/>
      <c r="J969" s="1065"/>
      <c r="K969" s="1002" t="str">
        <f>IF(I!K969="","",$D$2*I!K969)</f>
        <v/>
      </c>
      <c r="L969" s="981"/>
      <c r="M969" s="982"/>
      <c r="N969" s="1003"/>
      <c r="O969" s="1004" t="str">
        <f>IF(I!O969="","",$D$2*I!O969)</f>
        <v/>
      </c>
      <c r="P969" s="1005" t="str">
        <f>IF(I!P969="","",$D$2*I!P969)</f>
        <v/>
      </c>
      <c r="Q969" s="1006" t="str">
        <f>IF(I!Q969="","",$D$2*I!Q969)</f>
        <v/>
      </c>
      <c r="R969" s="982"/>
      <c r="S969" s="1003"/>
      <c r="T969" s="938"/>
      <c r="U969" s="1008" t="s">
        <v>1059</v>
      </c>
      <c r="V969" s="1018" t="s">
        <v>6807</v>
      </c>
      <c r="W969" s="1019">
        <f>IF(I!W969="","",$D$2*I!W969)</f>
        <v>1.4051780149E-2</v>
      </c>
      <c r="X969" s="990">
        <f>IF(I!X969="","",$D$2*I!X969)</f>
        <v>1.0647445170999999E-2</v>
      </c>
      <c r="Y969" s="1010">
        <f>IF(I!Y969="","",$D$2*I!Y969)</f>
        <v>2.1398005049E-2</v>
      </c>
      <c r="Z969" s="938"/>
      <c r="AA969" s="938"/>
      <c r="AB969" s="938"/>
      <c r="AC969" s="938"/>
      <c r="AD969" s="1058"/>
      <c r="AE969" s="938"/>
      <c r="AF969" s="938"/>
      <c r="AG969" s="938"/>
      <c r="AH969" s="938"/>
    </row>
    <row r="970" spans="1:34" ht="17.25" customHeight="1" x14ac:dyDescent="0.35">
      <c r="A970" s="938"/>
      <c r="B970" s="938"/>
      <c r="C970" s="941"/>
      <c r="D970" s="1047"/>
      <c r="E970" s="941"/>
      <c r="F970" s="938"/>
      <c r="G970" s="976">
        <f t="shared" si="17"/>
        <v>967</v>
      </c>
      <c r="H970" s="942" t="s">
        <v>2008</v>
      </c>
      <c r="I970" s="1060"/>
      <c r="J970" s="1065"/>
      <c r="K970" s="1002" t="str">
        <f>IF(I!K970="","",$D$2*I!K970)</f>
        <v/>
      </c>
      <c r="L970" s="981"/>
      <c r="M970" s="982"/>
      <c r="N970" s="1003"/>
      <c r="O970" s="1004" t="str">
        <f>IF(I!O970="","",$D$2*I!O970)</f>
        <v/>
      </c>
      <c r="P970" s="1005" t="str">
        <f>IF(I!P970="","",$D$2*I!P970)</f>
        <v/>
      </c>
      <c r="Q970" s="1006" t="str">
        <f>IF(I!Q970="","",$D$2*I!Q970)</f>
        <v/>
      </c>
      <c r="R970" s="982"/>
      <c r="S970" s="1003"/>
      <c r="T970" s="938"/>
      <c r="U970" s="1008"/>
      <c r="V970" s="1009"/>
      <c r="W970" s="1019" t="str">
        <f>IF(I!W970="","",$D$2*I!W970)</f>
        <v/>
      </c>
      <c r="X970" s="990" t="str">
        <f>IF(I!X970="","",$D$2*I!X970)</f>
        <v/>
      </c>
      <c r="Y970" s="1010" t="str">
        <f>IF(I!Y970="","",$D$2*I!Y970)</f>
        <v/>
      </c>
      <c r="Z970" s="938"/>
      <c r="AA970" s="938"/>
      <c r="AB970" s="938"/>
      <c r="AC970" s="938"/>
      <c r="AD970" s="1058"/>
      <c r="AE970" s="938"/>
      <c r="AF970" s="938"/>
      <c r="AG970" s="938"/>
      <c r="AH970" s="938"/>
    </row>
    <row r="971" spans="1:34" ht="17.25" customHeight="1" x14ac:dyDescent="0.35">
      <c r="A971" s="938"/>
      <c r="B971" s="938"/>
      <c r="C971" s="941"/>
      <c r="D971" s="1047"/>
      <c r="E971" s="941"/>
      <c r="F971" s="938"/>
      <c r="G971" s="976">
        <f t="shared" si="17"/>
        <v>968</v>
      </c>
      <c r="H971" s="1000"/>
      <c r="I971" s="1001" t="s">
        <v>1059</v>
      </c>
      <c r="J971" s="1065" t="s">
        <v>2009</v>
      </c>
      <c r="K971" s="1002">
        <f>IF(I!K971="","",$D$2*I!K971)</f>
        <v>5.493389734000001E-2</v>
      </c>
      <c r="L971" s="981"/>
      <c r="M971" s="982"/>
      <c r="N971" s="1003"/>
      <c r="O971" s="1004">
        <f>IF(I!O971="","",$D$2*I!O971)</f>
        <v>0.11459260134000002</v>
      </c>
      <c r="P971" s="1005">
        <f>IF(I!P971="","",$D$2*I!P971)</f>
        <v>2.1318366227999999E-2</v>
      </c>
      <c r="Q971" s="1006" t="str">
        <f>IF(I!Q971="","",$D$2*I!Q971)</f>
        <v/>
      </c>
      <c r="R971" s="982"/>
      <c r="S971" s="1003"/>
      <c r="T971" s="938"/>
      <c r="U971" s="1062"/>
      <c r="V971" s="1009" t="s">
        <v>6808</v>
      </c>
      <c r="W971" s="1019" t="str">
        <f>IF(I!W971="","",$D$2*I!W971)</f>
        <v/>
      </c>
      <c r="X971" s="990" t="str">
        <f>IF(I!X971="","",$D$2*I!X971)</f>
        <v/>
      </c>
      <c r="Y971" s="1010" t="str">
        <f>IF(I!Y971="","",$D$2*I!Y971)</f>
        <v/>
      </c>
      <c r="Z971" s="938"/>
      <c r="AA971" s="938"/>
      <c r="AB971" s="938"/>
      <c r="AC971" s="938"/>
      <c r="AD971" s="1058"/>
      <c r="AE971" s="938"/>
      <c r="AF971" s="938"/>
      <c r="AG971" s="938"/>
      <c r="AH971" s="938"/>
    </row>
    <row r="972" spans="1:34" ht="17.25" customHeight="1" x14ac:dyDescent="0.35">
      <c r="A972" s="938"/>
      <c r="B972" s="938"/>
      <c r="C972" s="941"/>
      <c r="D972" s="1047"/>
      <c r="E972" s="941"/>
      <c r="F972" s="938"/>
      <c r="G972" s="976">
        <f t="shared" si="17"/>
        <v>969</v>
      </c>
      <c r="H972" s="1000"/>
      <c r="I972" s="1001" t="s">
        <v>1059</v>
      </c>
      <c r="J972" s="1065" t="s">
        <v>2010</v>
      </c>
      <c r="K972" s="1002">
        <f>IF(I!K972="","",$D$2*I!K972)</f>
        <v>5.969843457E-2</v>
      </c>
      <c r="L972" s="981"/>
      <c r="M972" s="982"/>
      <c r="N972" s="1003"/>
      <c r="O972" s="1004">
        <f>IF(I!O972="","",$D$2*I!O972)</f>
        <v>0.12517967857000001</v>
      </c>
      <c r="P972" s="1005">
        <f>IF(I!P972="","",$D$2*I!P972)</f>
        <v>1.7914172739999998E-2</v>
      </c>
      <c r="Q972" s="1006" t="str">
        <f>IF(I!Q972="","",$D$2*I!Q972)</f>
        <v/>
      </c>
      <c r="R972" s="982"/>
      <c r="S972" s="1003"/>
      <c r="T972" s="938"/>
      <c r="U972" s="1008" t="s">
        <v>1059</v>
      </c>
      <c r="V972" s="1018" t="s">
        <v>6809</v>
      </c>
      <c r="W972" s="1019">
        <f>IF(I!W972="","",$D$2*I!W972)</f>
        <v>5.9480379800000004E-2</v>
      </c>
      <c r="X972" s="990">
        <f>IF(I!X972="","",$D$2*I!X972)</f>
        <v>4.0177409093999999E-2</v>
      </c>
      <c r="Y972" s="1010">
        <f>IF(I!Y972="","",$D$2*I!Y972)</f>
        <v>9.7077088800000003E-2</v>
      </c>
      <c r="Z972" s="938"/>
      <c r="AA972" s="938"/>
      <c r="AB972" s="938"/>
      <c r="AC972" s="938"/>
      <c r="AD972" s="1058"/>
      <c r="AE972" s="938"/>
      <c r="AF972" s="938"/>
      <c r="AG972" s="938"/>
      <c r="AH972" s="938"/>
    </row>
    <row r="973" spans="1:34" ht="17.25" customHeight="1" x14ac:dyDescent="0.35">
      <c r="A973" s="938"/>
      <c r="B973" s="938"/>
      <c r="C973" s="941"/>
      <c r="D973" s="1047"/>
      <c r="E973" s="941"/>
      <c r="F973" s="938"/>
      <c r="G973" s="976">
        <f t="shared" si="17"/>
        <v>970</v>
      </c>
      <c r="H973" s="1000"/>
      <c r="I973" s="1001" t="s">
        <v>1059</v>
      </c>
      <c r="J973" s="1065" t="s">
        <v>2011</v>
      </c>
      <c r="K973" s="1002">
        <f>IF(I!K973="","",$D$2*I!K973)</f>
        <v>7.2172682539999991E-2</v>
      </c>
      <c r="L973" s="981"/>
      <c r="M973" s="982"/>
      <c r="N973" s="1003"/>
      <c r="O973" s="1004">
        <f>IF(I!O973="","",$D$2*I!O973)</f>
        <v>0.13896037553999999</v>
      </c>
      <c r="P973" s="1005">
        <f>IF(I!P973="","",$D$2*I!P973)</f>
        <v>3.0943656752999999E-2</v>
      </c>
      <c r="Q973" s="1006" t="str">
        <f>IF(I!Q973="","",$D$2*I!Q973)</f>
        <v/>
      </c>
      <c r="R973" s="982"/>
      <c r="S973" s="1003"/>
      <c r="T973" s="938"/>
      <c r="U973" s="1008" t="s">
        <v>1059</v>
      </c>
      <c r="V973" s="1018" t="s">
        <v>6810</v>
      </c>
      <c r="W973" s="1019">
        <f>IF(I!W973="","",$D$2*I!W973)</f>
        <v>0.20482424145999997</v>
      </c>
      <c r="X973" s="990">
        <f>IF(I!X973="","",$D$2*I!X973)</f>
        <v>5.6850863255000002E-2</v>
      </c>
      <c r="Y973" s="1010">
        <f>IF(I!Y973="","",$D$2*I!Y973)</f>
        <v>0.27505971445999999</v>
      </c>
      <c r="Z973" s="938"/>
      <c r="AA973" s="938"/>
      <c r="AB973" s="938"/>
      <c r="AC973" s="938"/>
      <c r="AD973" s="1058"/>
      <c r="AE973" s="938"/>
      <c r="AF973" s="938"/>
      <c r="AG973" s="938"/>
      <c r="AH973" s="938"/>
    </row>
    <row r="974" spans="1:34" ht="17.25" customHeight="1" x14ac:dyDescent="0.35">
      <c r="A974" s="938"/>
      <c r="B974" s="938"/>
      <c r="C974" s="941"/>
      <c r="D974" s="1047"/>
      <c r="E974" s="941"/>
      <c r="F974" s="938"/>
      <c r="G974" s="976">
        <f t="shared" si="17"/>
        <v>971</v>
      </c>
      <c r="H974" s="1000"/>
      <c r="I974" s="1001" t="s">
        <v>1059</v>
      </c>
      <c r="J974" s="1065" t="s">
        <v>2012</v>
      </c>
      <c r="K974" s="1002">
        <f>IF(I!K974="","",$D$2*I!K974)</f>
        <v>8.1701755040000018E-2</v>
      </c>
      <c r="L974" s="981"/>
      <c r="M974" s="982"/>
      <c r="N974" s="1003"/>
      <c r="O974" s="1004">
        <f>IF(I!O974="","",$D$2*I!O974)</f>
        <v>0.16013452704000003</v>
      </c>
      <c r="P974" s="1005">
        <f>IF(I!P974="","",$D$2*I!P974)</f>
        <v>2.4135269777999999E-2</v>
      </c>
      <c r="Q974" s="1006" t="str">
        <f>IF(I!Q974="","",$D$2*I!Q974)</f>
        <v/>
      </c>
      <c r="R974" s="982"/>
      <c r="S974" s="1003"/>
      <c r="T974" s="938"/>
      <c r="U974" s="1008" t="s">
        <v>1059</v>
      </c>
      <c r="V974" s="1018" t="s">
        <v>6811</v>
      </c>
      <c r="W974" s="1019">
        <f>IF(I!W974="","",$D$2*I!W974)</f>
        <v>1.9615488055000001E-2</v>
      </c>
      <c r="X974" s="990">
        <f>IF(I!X974="","",$D$2*I!X974)</f>
        <v>1.1864105781899999E-2</v>
      </c>
      <c r="Y974" s="1010">
        <f>IF(I!Y974="","",$D$2*I!Y974)</f>
        <v>2.6490505755000001E-2</v>
      </c>
      <c r="Z974" s="938"/>
      <c r="AA974" s="938"/>
      <c r="AB974" s="938"/>
      <c r="AC974" s="938"/>
      <c r="AD974" s="1058"/>
      <c r="AE974" s="938"/>
      <c r="AF974" s="938"/>
      <c r="AG974" s="938"/>
      <c r="AH974" s="938"/>
    </row>
    <row r="975" spans="1:34" ht="17.25" customHeight="1" x14ac:dyDescent="0.35">
      <c r="A975" s="938"/>
      <c r="B975" s="938"/>
      <c r="C975" s="941"/>
      <c r="D975" s="1047"/>
      <c r="E975" s="941"/>
      <c r="F975" s="938"/>
      <c r="G975" s="976">
        <f t="shared" si="17"/>
        <v>972</v>
      </c>
      <c r="H975" s="1000"/>
      <c r="I975" s="1001" t="s">
        <v>1059</v>
      </c>
      <c r="J975" s="1065" t="s">
        <v>2013</v>
      </c>
      <c r="K975" s="1002">
        <f>IF(I!K975="","",$D$2*I!K975)</f>
        <v>6.2101946820000004E-2</v>
      </c>
      <c r="L975" s="981"/>
      <c r="M975" s="982"/>
      <c r="N975" s="1003"/>
      <c r="O975" s="1004">
        <f>IF(I!O975="","",$D$2*I!O975)</f>
        <v>0.13774513082000001</v>
      </c>
      <c r="P975" s="1005">
        <f>IF(I!P975="","",$D$2*I!P975)</f>
        <v>1.8003374999E-2</v>
      </c>
      <c r="Q975" s="1006" t="str">
        <f>IF(I!Q975="","",$D$2*I!Q975)</f>
        <v/>
      </c>
      <c r="R975" s="982"/>
      <c r="S975" s="1003"/>
      <c r="T975" s="938"/>
      <c r="U975" s="1008" t="s">
        <v>1059</v>
      </c>
      <c r="V975" s="1018" t="s">
        <v>6812</v>
      </c>
      <c r="W975" s="1019">
        <f>IF(I!W975="","",$D$2*I!W975)</f>
        <v>3.3076457354999998E-2</v>
      </c>
      <c r="X975" s="990">
        <f>IF(I!X975="","",$D$2*I!X975)</f>
        <v>1.29924838103E-2</v>
      </c>
      <c r="Y975" s="1010">
        <f>IF(I!Y975="","",$D$2*I!Y975)</f>
        <v>4.2466344454999999E-2</v>
      </c>
      <c r="Z975" s="938"/>
      <c r="AA975" s="938"/>
      <c r="AB975" s="938"/>
      <c r="AC975" s="938"/>
      <c r="AD975" s="1058"/>
      <c r="AE975" s="938"/>
      <c r="AF975" s="938"/>
      <c r="AG975" s="938"/>
      <c r="AH975" s="938"/>
    </row>
    <row r="976" spans="1:34" ht="17.25" customHeight="1" x14ac:dyDescent="0.35">
      <c r="A976" s="938"/>
      <c r="B976" s="938"/>
      <c r="C976" s="941"/>
      <c r="D976" s="1047"/>
      <c r="E976" s="941"/>
      <c r="F976" s="938"/>
      <c r="G976" s="976">
        <f t="shared" si="17"/>
        <v>973</v>
      </c>
      <c r="H976" s="1000"/>
      <c r="I976" s="1001" t="s">
        <v>1059</v>
      </c>
      <c r="J976" s="1065" t="s">
        <v>2014</v>
      </c>
      <c r="K976" s="1002">
        <f>IF(I!K976="","",$D$2*I!K976)</f>
        <v>6.2101946820000004E-2</v>
      </c>
      <c r="L976" s="981"/>
      <c r="M976" s="982"/>
      <c r="N976" s="1003"/>
      <c r="O976" s="1004">
        <f>IF(I!O976="","",$D$2*I!O976)</f>
        <v>0.13774513082000001</v>
      </c>
      <c r="P976" s="1005">
        <f>IF(I!P976="","",$D$2*I!P976)</f>
        <v>1.8003374999E-2</v>
      </c>
      <c r="Q976" s="1006" t="str">
        <f>IF(I!Q976="","",$D$2*I!Q976)</f>
        <v/>
      </c>
      <c r="R976" s="982"/>
      <c r="S976" s="1003"/>
      <c r="T976" s="938"/>
      <c r="U976" s="1008" t="s">
        <v>1059</v>
      </c>
      <c r="V976" s="1018" t="s">
        <v>6813</v>
      </c>
      <c r="W976" s="1019">
        <f>IF(I!W976="","",$D$2*I!W976)</f>
        <v>5.3676323344999992E-2</v>
      </c>
      <c r="X976" s="990">
        <f>IF(I!X976="","",$D$2*I!X976)</f>
        <v>4.0370777728000004E-2</v>
      </c>
      <c r="Y976" s="1010">
        <f>IF(I!Y976="","",$D$2*I!Y976)</f>
        <v>8.1812976344999996E-2</v>
      </c>
      <c r="Z976" s="938"/>
      <c r="AA976" s="938"/>
      <c r="AB976" s="938"/>
      <c r="AC976" s="938"/>
      <c r="AD976" s="1058"/>
      <c r="AE976" s="938"/>
      <c r="AF976" s="938"/>
      <c r="AG976" s="938"/>
      <c r="AH976" s="938"/>
    </row>
    <row r="977" spans="1:34" ht="17.25" customHeight="1" x14ac:dyDescent="0.35">
      <c r="A977" s="938"/>
      <c r="B977" s="938"/>
      <c r="C977" s="941"/>
      <c r="D977" s="1047"/>
      <c r="E977" s="941"/>
      <c r="F977" s="938"/>
      <c r="G977" s="976">
        <f t="shared" si="17"/>
        <v>974</v>
      </c>
      <c r="H977" s="942" t="s">
        <v>2015</v>
      </c>
      <c r="I977" s="1060"/>
      <c r="J977" s="1065"/>
      <c r="K977" s="1002" t="str">
        <f>IF(I!K977="","",$D$2*I!K977)</f>
        <v/>
      </c>
      <c r="L977" s="981"/>
      <c r="M977" s="982"/>
      <c r="N977" s="1003"/>
      <c r="O977" s="1004" t="str">
        <f>IF(I!O977="","",$D$2*I!O977)</f>
        <v/>
      </c>
      <c r="P977" s="1005" t="str">
        <f>IF(I!P977="","",$D$2*I!P977)</f>
        <v/>
      </c>
      <c r="Q977" s="1006" t="str">
        <f>IF(I!Q977="","",$D$2*I!Q977)</f>
        <v/>
      </c>
      <c r="R977" s="982"/>
      <c r="S977" s="1003"/>
      <c r="T977" s="938"/>
      <c r="U977" s="1008" t="s">
        <v>1059</v>
      </c>
      <c r="V977" s="1018" t="s">
        <v>6814</v>
      </c>
      <c r="W977" s="1019">
        <f>IF(I!W977="","",$D$2*I!W977)</f>
        <v>0.17067827464000002</v>
      </c>
      <c r="X977" s="990">
        <f>IF(I!X977="","",$D$2*I!X977)</f>
        <v>5.6766814573999999E-2</v>
      </c>
      <c r="Y977" s="1010">
        <f>IF(I!Y977="","",$D$2*I!Y977)</f>
        <v>0.21755991664000002</v>
      </c>
      <c r="Z977" s="938"/>
      <c r="AA977" s="938"/>
      <c r="AB977" s="938"/>
      <c r="AC977" s="938"/>
      <c r="AD977" s="1058"/>
      <c r="AE977" s="938"/>
      <c r="AF977" s="938"/>
      <c r="AG977" s="938"/>
      <c r="AH977" s="938"/>
    </row>
    <row r="978" spans="1:34" ht="17.25" customHeight="1" x14ac:dyDescent="0.35">
      <c r="A978" s="938"/>
      <c r="B978" s="938"/>
      <c r="C978" s="941"/>
      <c r="D978" s="1047"/>
      <c r="E978" s="941"/>
      <c r="F978" s="938"/>
      <c r="G978" s="976">
        <f t="shared" si="17"/>
        <v>975</v>
      </c>
      <c r="H978" s="1000"/>
      <c r="I978" s="1001" t="s">
        <v>1059</v>
      </c>
      <c r="J978" s="1065" t="s">
        <v>2016</v>
      </c>
      <c r="K978" s="1002">
        <f>IF(I!K978="","",$D$2*I!K978)</f>
        <v>2.3442352452999997</v>
      </c>
      <c r="L978" s="981"/>
      <c r="M978" s="982"/>
      <c r="N978" s="1003"/>
      <c r="O978" s="1004">
        <f>IF(I!O978="","",$D$2*I!O978)</f>
        <v>3.5777114452999994</v>
      </c>
      <c r="P978" s="1005">
        <f>IF(I!P978="","",$D$2*I!P978)</f>
        <v>1.5891516440000003E-2</v>
      </c>
      <c r="Q978" s="1006" t="str">
        <f>IF(I!Q978="","",$D$2*I!Q978)</f>
        <v/>
      </c>
      <c r="R978" s="982"/>
      <c r="S978" s="1003"/>
      <c r="T978" s="938"/>
      <c r="U978" s="1008" t="s">
        <v>1059</v>
      </c>
      <c r="V978" s="1018" t="s">
        <v>6815</v>
      </c>
      <c r="W978" s="1019">
        <f>IF(I!W978="","",$D$2*I!W978)</f>
        <v>2.6247805369E-2</v>
      </c>
      <c r="X978" s="990">
        <f>IF(I!X978="","",$D$2*I!X978)</f>
        <v>2.1053938991900001E-2</v>
      </c>
      <c r="Y978" s="1010">
        <f>IF(I!Y978="","",$D$2*I!Y978)</f>
        <v>3.9580764369000002E-2</v>
      </c>
      <c r="Z978" s="938"/>
      <c r="AA978" s="938"/>
      <c r="AB978" s="938"/>
      <c r="AC978" s="938"/>
      <c r="AD978" s="1058"/>
      <c r="AE978" s="938"/>
      <c r="AF978" s="938"/>
      <c r="AG978" s="938"/>
      <c r="AH978" s="938"/>
    </row>
    <row r="979" spans="1:34" ht="17.25" customHeight="1" x14ac:dyDescent="0.35">
      <c r="A979" s="938"/>
      <c r="B979" s="938"/>
      <c r="C979" s="941"/>
      <c r="D979" s="1047"/>
      <c r="E979" s="941"/>
      <c r="F979" s="938"/>
      <c r="G979" s="976">
        <f t="shared" si="17"/>
        <v>976</v>
      </c>
      <c r="H979" s="1000"/>
      <c r="I979" s="1001" t="s">
        <v>1059</v>
      </c>
      <c r="J979" s="1065" t="s">
        <v>2017</v>
      </c>
      <c r="K979" s="1002">
        <f>IF(I!K979="","",$D$2*I!K979)</f>
        <v>0.89311583960000007</v>
      </c>
      <c r="L979" s="981"/>
      <c r="M979" s="982"/>
      <c r="N979" s="1003"/>
      <c r="O979" s="1004">
        <f>IF(I!O979="","",$D$2*I!O979)</f>
        <v>1.3570249196000002</v>
      </c>
      <c r="P979" s="1005">
        <f>IF(I!P979="","",$D$2*I!P979)</f>
        <v>5.6203654500000004E-3</v>
      </c>
      <c r="Q979" s="1006" t="str">
        <f>IF(I!Q979="","",$D$2*I!Q979)</f>
        <v/>
      </c>
      <c r="R979" s="982"/>
      <c r="S979" s="1003"/>
      <c r="T979" s="938"/>
      <c r="U979" s="1008" t="s">
        <v>1059</v>
      </c>
      <c r="V979" s="1018" t="s">
        <v>6816</v>
      </c>
      <c r="W979" s="1019">
        <f>IF(I!W979="","",$D$2*I!W979)</f>
        <v>4.4368632667000009E-2</v>
      </c>
      <c r="X979" s="990">
        <f>IF(I!X979="","",$D$2*I!X979)</f>
        <v>1.45447310372E-2</v>
      </c>
      <c r="Y979" s="1010">
        <f>IF(I!Y979="","",$D$2*I!Y979)</f>
        <v>5.8685731667000009E-2</v>
      </c>
      <c r="Z979" s="938"/>
      <c r="AA979" s="938"/>
      <c r="AB979" s="938"/>
      <c r="AC979" s="938"/>
      <c r="AD979" s="1058"/>
      <c r="AE979" s="938"/>
      <c r="AF979" s="938"/>
      <c r="AG979" s="938"/>
      <c r="AH979" s="938"/>
    </row>
    <row r="980" spans="1:34" ht="17.25" customHeight="1" x14ac:dyDescent="0.35">
      <c r="A980" s="938"/>
      <c r="B980" s="938"/>
      <c r="C980" s="941"/>
      <c r="D980" s="1047"/>
      <c r="E980" s="941"/>
      <c r="F980" s="938"/>
      <c r="G980" s="976">
        <f t="shared" si="17"/>
        <v>977</v>
      </c>
      <c r="H980" s="1000"/>
      <c r="I980" s="1001" t="s">
        <v>1059</v>
      </c>
      <c r="J980" s="1065" t="s">
        <v>2018</v>
      </c>
      <c r="K980" s="1002">
        <f>IF(I!K980="","",$D$2*I!K980)</f>
        <v>0.32699131740000004</v>
      </c>
      <c r="L980" s="981"/>
      <c r="M980" s="982"/>
      <c r="N980" s="1003"/>
      <c r="O980" s="1004">
        <f>IF(I!O980="","",$D$2*I!O980)</f>
        <v>0.49683965740000002</v>
      </c>
      <c r="P980" s="1005">
        <f>IF(I!P980="","",$D$2*I!P980)</f>
        <v>2.0577516799999999E-3</v>
      </c>
      <c r="Q980" s="1006" t="str">
        <f>IF(I!Q980="","",$D$2*I!Q980)</f>
        <v/>
      </c>
      <c r="R980" s="982"/>
      <c r="S980" s="1003"/>
      <c r="T980" s="938"/>
      <c r="U980" s="1008" t="s">
        <v>1059</v>
      </c>
      <c r="V980" s="1018" t="s">
        <v>6817</v>
      </c>
      <c r="W980" s="1019">
        <f>IF(I!W980="","",$D$2*I!W980)</f>
        <v>2.684888949E-2</v>
      </c>
      <c r="X980" s="990">
        <f>IF(I!X980="","",$D$2*I!X980)</f>
        <v>3.6674891214999998E-2</v>
      </c>
      <c r="Y980" s="1010">
        <f>IF(I!Y980="","",$D$2*I!Y980)</f>
        <v>4.2604577490000003E-2</v>
      </c>
      <c r="Z980" s="938"/>
      <c r="AA980" s="938"/>
      <c r="AB980" s="938"/>
      <c r="AC980" s="938"/>
      <c r="AD980" s="1058"/>
      <c r="AE980" s="938"/>
      <c r="AF980" s="938"/>
      <c r="AG980" s="938"/>
      <c r="AH980" s="938"/>
    </row>
    <row r="981" spans="1:34" ht="17.25" customHeight="1" x14ac:dyDescent="0.35">
      <c r="A981" s="938"/>
      <c r="B981" s="938"/>
      <c r="C981" s="941"/>
      <c r="D981" s="1047"/>
      <c r="E981" s="941"/>
      <c r="F981" s="938"/>
      <c r="G981" s="976">
        <f t="shared" si="17"/>
        <v>978</v>
      </c>
      <c r="H981" s="1000"/>
      <c r="I981" s="1001" t="s">
        <v>1059</v>
      </c>
      <c r="J981" s="1065" t="s">
        <v>2019</v>
      </c>
      <c r="K981" s="1002">
        <f>IF(I!K981="","",$D$2*I!K981)</f>
        <v>0.30362139443000002</v>
      </c>
      <c r="L981" s="981"/>
      <c r="M981" s="982"/>
      <c r="N981" s="1003"/>
      <c r="O981" s="1004">
        <f>IF(I!O981="","",$D$2*I!O981)</f>
        <v>0.46133074442999999</v>
      </c>
      <c r="P981" s="1005">
        <f>IF(I!P981="","",$D$2*I!P981)</f>
        <v>1.9106851899999997E-3</v>
      </c>
      <c r="Q981" s="1006" t="str">
        <f>IF(I!Q981="","",$D$2*I!Q981)</f>
        <v/>
      </c>
      <c r="R981" s="982"/>
      <c r="S981" s="1003"/>
      <c r="T981" s="938"/>
      <c r="U981" s="1008" t="s">
        <v>1059</v>
      </c>
      <c r="V981" s="1018" t="s">
        <v>6818</v>
      </c>
      <c r="W981" s="1019">
        <f>IF(I!W981="","",$D$2*I!W981)</f>
        <v>5.7730504300000006E-2</v>
      </c>
      <c r="X981" s="990">
        <f>IF(I!X981="","",$D$2*I!X981)</f>
        <v>3.0843689133999999E-2</v>
      </c>
      <c r="Y981" s="1010">
        <f>IF(I!Y981="","",$D$2*I!Y981)</f>
        <v>7.4471989300000013E-2</v>
      </c>
      <c r="Z981" s="938"/>
      <c r="AA981" s="938"/>
      <c r="AB981" s="938"/>
      <c r="AC981" s="938"/>
      <c r="AD981" s="1058"/>
      <c r="AE981" s="938"/>
      <c r="AF981" s="938"/>
      <c r="AG981" s="938"/>
      <c r="AH981" s="938"/>
    </row>
    <row r="982" spans="1:34" ht="17.25" customHeight="1" x14ac:dyDescent="0.35">
      <c r="A982" s="938"/>
      <c r="B982" s="938"/>
      <c r="C982" s="941"/>
      <c r="D982" s="1047"/>
      <c r="E982" s="941"/>
      <c r="F982" s="938"/>
      <c r="G982" s="976">
        <f t="shared" si="17"/>
        <v>979</v>
      </c>
      <c r="H982" s="1000"/>
      <c r="I982" s="1001" t="s">
        <v>1059</v>
      </c>
      <c r="J982" s="1065" t="s">
        <v>2020</v>
      </c>
      <c r="K982" s="1002">
        <f>IF(I!K982="","",$D$2*I!K982)</f>
        <v>2.9222055455000002</v>
      </c>
      <c r="L982" s="981"/>
      <c r="M982" s="982"/>
      <c r="N982" s="1003"/>
      <c r="O982" s="1004">
        <f>IF(I!O982="","",$D$2*I!O982)</f>
        <v>4.5232722455000003</v>
      </c>
      <c r="P982" s="1005">
        <f>IF(I!P982="","",$D$2*I!P982)</f>
        <v>2.0960161100000003E-2</v>
      </c>
      <c r="Q982" s="1006" t="str">
        <f>IF(I!Q982="","",$D$2*I!Q982)</f>
        <v/>
      </c>
      <c r="R982" s="982"/>
      <c r="S982" s="1003"/>
      <c r="T982" s="938"/>
      <c r="U982" s="1008" t="s">
        <v>1059</v>
      </c>
      <c r="V982" s="1018" t="s">
        <v>6819</v>
      </c>
      <c r="W982" s="1019">
        <f>IF(I!W982="","",$D$2*I!W982)</f>
        <v>0.12148813947000001</v>
      </c>
      <c r="X982" s="990">
        <f>IF(I!X982="","",$D$2*I!X982)</f>
        <v>4.1957432505999995E-2</v>
      </c>
      <c r="Y982" s="1010">
        <f>IF(I!Y982="","",$D$2*I!Y982)</f>
        <v>0.15284594446999999</v>
      </c>
      <c r="Z982" s="938"/>
      <c r="AA982" s="938"/>
      <c r="AB982" s="938"/>
      <c r="AC982" s="938"/>
      <c r="AD982" s="1058"/>
      <c r="AE982" s="938"/>
      <c r="AF982" s="938"/>
      <c r="AG982" s="938"/>
      <c r="AH982" s="938"/>
    </row>
    <row r="983" spans="1:34" ht="17.25" customHeight="1" x14ac:dyDescent="0.35">
      <c r="A983" s="938"/>
      <c r="B983" s="938"/>
      <c r="C983" s="941"/>
      <c r="D983" s="1047"/>
      <c r="E983" s="941"/>
      <c r="F983" s="938"/>
      <c r="G983" s="976">
        <f t="shared" si="17"/>
        <v>980</v>
      </c>
      <c r="H983" s="1000"/>
      <c r="I983" s="1001" t="s">
        <v>1059</v>
      </c>
      <c r="J983" s="1065" t="s">
        <v>2021</v>
      </c>
      <c r="K983" s="1002">
        <f>IF(I!K983="","",$D$2*I!K983)</f>
        <v>2.6308518519000001</v>
      </c>
      <c r="L983" s="981"/>
      <c r="M983" s="982"/>
      <c r="N983" s="1003"/>
      <c r="O983" s="1004">
        <f>IF(I!O983="","",$D$2*I!O983)</f>
        <v>4.0631927519</v>
      </c>
      <c r="P983" s="1005">
        <f>IF(I!P983="","",$D$2*I!P983)</f>
        <v>1.8589344640000002E-2</v>
      </c>
      <c r="Q983" s="1006" t="str">
        <f>IF(I!Q983="","",$D$2*I!Q983)</f>
        <v/>
      </c>
      <c r="R983" s="982"/>
      <c r="S983" s="1003"/>
      <c r="T983" s="938"/>
      <c r="U983" s="1062"/>
      <c r="V983" s="1040"/>
      <c r="W983" s="1019" t="str">
        <f>IF(I!W983="","",$D$2*I!W983)</f>
        <v/>
      </c>
      <c r="X983" s="990" t="str">
        <f>IF(I!X983="","",$D$2*I!X983)</f>
        <v/>
      </c>
      <c r="Y983" s="1010" t="str">
        <f>IF(I!Y983="","",$D$2*I!Y983)</f>
        <v/>
      </c>
      <c r="Z983" s="938"/>
      <c r="AA983" s="938"/>
      <c r="AB983" s="938"/>
      <c r="AC983" s="938"/>
      <c r="AD983" s="1058"/>
      <c r="AE983" s="938"/>
      <c r="AF983" s="938"/>
      <c r="AG983" s="938"/>
      <c r="AH983" s="938"/>
    </row>
    <row r="984" spans="1:34" ht="17.25" customHeight="1" x14ac:dyDescent="0.35">
      <c r="A984" s="938"/>
      <c r="B984" s="938"/>
      <c r="C984" s="941"/>
      <c r="D984" s="1047"/>
      <c r="E984" s="941"/>
      <c r="F984" s="938"/>
      <c r="G984" s="976">
        <f t="shared" si="17"/>
        <v>981</v>
      </c>
      <c r="H984" s="942" t="s">
        <v>2022</v>
      </c>
      <c r="I984" s="1060"/>
      <c r="J984" s="1065"/>
      <c r="K984" s="1002" t="str">
        <f>IF(I!K984="","",$D$2*I!K984)</f>
        <v/>
      </c>
      <c r="L984" s="981"/>
      <c r="M984" s="982"/>
      <c r="N984" s="1003"/>
      <c r="O984" s="1004" t="str">
        <f>IF(I!O984="","",$D$2*I!O984)</f>
        <v/>
      </c>
      <c r="P984" s="1005" t="str">
        <f>IF(I!P984="","",$D$2*I!P984)</f>
        <v/>
      </c>
      <c r="Q984" s="1006" t="str">
        <f>IF(I!Q984="","",$D$2*I!Q984)</f>
        <v/>
      </c>
      <c r="R984" s="982"/>
      <c r="S984" s="1003"/>
      <c r="T984" s="938"/>
      <c r="U984" s="1008"/>
      <c r="V984" s="1018"/>
      <c r="W984" s="1019" t="str">
        <f>IF(I!W984="","",$D$2*I!W984)</f>
        <v/>
      </c>
      <c r="X984" s="990" t="str">
        <f>IF(I!X984="","",$D$2*I!X984)</f>
        <v/>
      </c>
      <c r="Y984" s="1010" t="str">
        <f>IF(I!Y984="","",$D$2*I!Y984)</f>
        <v/>
      </c>
      <c r="Z984" s="938"/>
      <c r="AA984" s="938"/>
      <c r="AB984" s="938"/>
      <c r="AC984" s="938"/>
      <c r="AD984" s="1058"/>
      <c r="AE984" s="938"/>
      <c r="AF984" s="938"/>
      <c r="AG984" s="938"/>
      <c r="AH984" s="938"/>
    </row>
    <row r="985" spans="1:34" ht="17.25" customHeight="1" x14ac:dyDescent="0.35">
      <c r="A985" s="938"/>
      <c r="B985" s="938"/>
      <c r="C985" s="941"/>
      <c r="D985" s="1047"/>
      <c r="E985" s="941"/>
      <c r="F985" s="938"/>
      <c r="G985" s="976">
        <f t="shared" si="17"/>
        <v>982</v>
      </c>
      <c r="H985" s="1000"/>
      <c r="I985" s="1001" t="s">
        <v>1059</v>
      </c>
      <c r="J985" s="1065" t="s">
        <v>2023</v>
      </c>
      <c r="K985" s="1002">
        <f>IF(I!K985="","",$D$2*I!K985)</f>
        <v>8.6725532739999993E-3</v>
      </c>
      <c r="L985" s="981"/>
      <c r="M985" s="982"/>
      <c r="N985" s="1003"/>
      <c r="O985" s="1004">
        <f>IF(I!O985="","",$D$2*I!O985)</f>
        <v>2.7894160274000001E-2</v>
      </c>
      <c r="P985" s="1005">
        <f>IF(I!P985="","",$D$2*I!P985)</f>
        <v>1.0080519311E-2</v>
      </c>
      <c r="Q985" s="1006" t="str">
        <f>IF(I!Q985="","",$D$2*I!Q985)</f>
        <v/>
      </c>
      <c r="R985" s="982"/>
      <c r="S985" s="1003"/>
      <c r="T985" s="938"/>
      <c r="U985" s="1008"/>
      <c r="V985" s="1009" t="s">
        <v>6820</v>
      </c>
      <c r="W985" s="1019" t="str">
        <f>IF(I!W985="","",$D$2*I!W985)</f>
        <v/>
      </c>
      <c r="X985" s="990" t="str">
        <f>IF(I!X985="","",$D$2*I!X985)</f>
        <v/>
      </c>
      <c r="Y985" s="1010" t="str">
        <f>IF(I!Y985="","",$D$2*I!Y985)</f>
        <v/>
      </c>
      <c r="Z985" s="938"/>
      <c r="AA985" s="938"/>
      <c r="AB985" s="938"/>
      <c r="AC985" s="938"/>
      <c r="AD985" s="1058"/>
      <c r="AE985" s="938"/>
      <c r="AF985" s="938"/>
      <c r="AG985" s="938"/>
      <c r="AH985" s="938"/>
    </row>
    <row r="986" spans="1:34" ht="17.25" customHeight="1" x14ac:dyDescent="0.35">
      <c r="A986" s="938"/>
      <c r="B986" s="938"/>
      <c r="C986" s="941"/>
      <c r="D986" s="1047"/>
      <c r="E986" s="941"/>
      <c r="F986" s="938"/>
      <c r="G986" s="976">
        <f t="shared" si="17"/>
        <v>983</v>
      </c>
      <c r="H986" s="1000"/>
      <c r="I986" s="1001" t="s">
        <v>1059</v>
      </c>
      <c r="J986" s="1065" t="s">
        <v>2024</v>
      </c>
      <c r="K986" s="1002">
        <f>IF(I!K986="","",$D$2*I!K986)</f>
        <v>2.8807652352000002E-2</v>
      </c>
      <c r="L986" s="981"/>
      <c r="M986" s="982"/>
      <c r="N986" s="1003"/>
      <c r="O986" s="1004">
        <f>IF(I!O986="","",$D$2*I!O986)</f>
        <v>5.3998473352000004E-2</v>
      </c>
      <c r="P986" s="1005">
        <f>IF(I!P986="","",$D$2*I!P986)</f>
        <v>1.2778502384000023E-2</v>
      </c>
      <c r="Q986" s="1006" t="str">
        <f>IF(I!Q986="","",$D$2*I!Q986)</f>
        <v/>
      </c>
      <c r="R986" s="982"/>
      <c r="S986" s="1003"/>
      <c r="T986" s="938"/>
      <c r="U986" s="1062" t="s">
        <v>1059</v>
      </c>
      <c r="V986" s="1018" t="s">
        <v>6821</v>
      </c>
      <c r="W986" s="1019">
        <f>IF(I!W986="","",$D$2*I!W986)</f>
        <v>1.9616296260999998E-2</v>
      </c>
      <c r="X986" s="990">
        <f>IF(I!X986="","",$D$2*I!X986)</f>
        <v>2.0052621617999999E-3</v>
      </c>
      <c r="Y986" s="1010">
        <f>IF(I!Y986="","",$D$2*I!Y986)</f>
        <v>0.22531875626100001</v>
      </c>
      <c r="Z986" s="938"/>
      <c r="AA986" s="938"/>
      <c r="AB986" s="938"/>
      <c r="AC986" s="938"/>
      <c r="AD986" s="1058"/>
      <c r="AE986" s="938"/>
      <c r="AF986" s="938"/>
      <c r="AG986" s="938"/>
      <c r="AH986" s="938"/>
    </row>
    <row r="987" spans="1:34" ht="17.25" customHeight="1" x14ac:dyDescent="0.35">
      <c r="A987" s="938"/>
      <c r="B987" s="938"/>
      <c r="C987" s="941"/>
      <c r="D987" s="1047"/>
      <c r="E987" s="941"/>
      <c r="F987" s="938"/>
      <c r="G987" s="976">
        <f t="shared" si="17"/>
        <v>984</v>
      </c>
      <c r="H987" s="1000"/>
      <c r="I987" s="1001" t="s">
        <v>1059</v>
      </c>
      <c r="J987" s="1065" t="s">
        <v>2025</v>
      </c>
      <c r="K987" s="1002">
        <f>IF(I!K987="","",$D$2*I!K987)</f>
        <v>1.2767109119E-2</v>
      </c>
      <c r="L987" s="981"/>
      <c r="M987" s="982"/>
      <c r="N987" s="1003"/>
      <c r="O987" s="1004">
        <f>IF(I!O987="","",$D$2*I!O987)</f>
        <v>2.2199877018999999E-2</v>
      </c>
      <c r="P987" s="1005">
        <f>IF(I!P987="","",$D$2*I!P987)</f>
        <v>2.0294975437000003E-3</v>
      </c>
      <c r="Q987" s="1006" t="str">
        <f>IF(I!Q987="","",$D$2*I!Q987)</f>
        <v/>
      </c>
      <c r="R987" s="982"/>
      <c r="S987" s="1003"/>
      <c r="T987" s="938"/>
      <c r="U987" s="1062" t="s">
        <v>1059</v>
      </c>
      <c r="V987" s="1018" t="s">
        <v>6822</v>
      </c>
      <c r="W987" s="1019">
        <f>IF(I!W987="","",$D$2*I!W987)</f>
        <v>2.1235523820000001E-2</v>
      </c>
      <c r="X987" s="990">
        <f>IF(I!X987="","",$D$2*I!X987)</f>
        <v>2.1137343488899997E-3</v>
      </c>
      <c r="Y987" s="1010">
        <f>IF(I!Y987="","",$D$2*I!Y987)</f>
        <v>0.22900953382</v>
      </c>
      <c r="Z987" s="938"/>
      <c r="AA987" s="938"/>
      <c r="AB987" s="938"/>
      <c r="AC987" s="938"/>
      <c r="AD987" s="1058"/>
      <c r="AE987" s="938"/>
      <c r="AF987" s="938"/>
      <c r="AG987" s="938"/>
      <c r="AH987" s="938"/>
    </row>
    <row r="988" spans="1:34" ht="17.25" customHeight="1" x14ac:dyDescent="0.35">
      <c r="A988" s="938"/>
      <c r="B988" s="938"/>
      <c r="C988" s="941"/>
      <c r="D988" s="1047"/>
      <c r="E988" s="941"/>
      <c r="F988" s="938"/>
      <c r="G988" s="976">
        <f t="shared" si="17"/>
        <v>985</v>
      </c>
      <c r="H988" s="1000"/>
      <c r="I988" s="1001" t="s">
        <v>1059</v>
      </c>
      <c r="J988" s="1065" t="s">
        <v>2026</v>
      </c>
      <c r="K988" s="1002">
        <f>IF(I!K988="","",$D$2*I!K988)</f>
        <v>4.6213773920000005E-3</v>
      </c>
      <c r="L988" s="981"/>
      <c r="M988" s="982"/>
      <c r="N988" s="1003"/>
      <c r="O988" s="1004">
        <f>IF(I!O988="","",$D$2*I!O988)</f>
        <v>1.1390601592000001E-2</v>
      </c>
      <c r="P988" s="1005">
        <f>IF(I!P988="","",$D$2*I!P988)</f>
        <v>3.8860717140000028E-3</v>
      </c>
      <c r="Q988" s="1006" t="str">
        <f>IF(I!Q988="","",$D$2*I!Q988)</f>
        <v/>
      </c>
      <c r="R988" s="982"/>
      <c r="S988" s="1003"/>
      <c r="T988" s="938"/>
      <c r="U988" s="1062" t="s">
        <v>1059</v>
      </c>
      <c r="V988" s="1018" t="s">
        <v>6823</v>
      </c>
      <c r="W988" s="1019">
        <f>IF(I!W988="","",$D$2*I!W988)</f>
        <v>0.161527136668</v>
      </c>
      <c r="X988" s="990">
        <f>IF(I!X988="","",$D$2*I!X988)</f>
        <v>9.1728789436999996E-4</v>
      </c>
      <c r="Y988" s="1010">
        <f>IF(I!Y988="","",$D$2*I!Y988)</f>
        <v>0.408705996668</v>
      </c>
      <c r="Z988" s="938"/>
      <c r="AA988" s="938"/>
      <c r="AB988" s="938"/>
      <c r="AC988" s="938"/>
      <c r="AD988" s="1058"/>
      <c r="AE988" s="938"/>
      <c r="AF988" s="938"/>
      <c r="AG988" s="938"/>
      <c r="AH988" s="938"/>
    </row>
    <row r="989" spans="1:34" ht="17.25" customHeight="1" x14ac:dyDescent="0.35">
      <c r="A989" s="938"/>
      <c r="B989" s="938"/>
      <c r="C989" s="941"/>
      <c r="D989" s="1047"/>
      <c r="E989" s="941"/>
      <c r="F989" s="938"/>
      <c r="G989" s="976">
        <f t="shared" si="17"/>
        <v>986</v>
      </c>
      <c r="H989" s="1000"/>
      <c r="I989" s="1001" t="s">
        <v>1059</v>
      </c>
      <c r="J989" s="1065" t="s">
        <v>2027</v>
      </c>
      <c r="K989" s="1002">
        <f>IF(I!K989="","",$D$2*I!K989)</f>
        <v>6.3238712670000002E-3</v>
      </c>
      <c r="L989" s="981"/>
      <c r="M989" s="982"/>
      <c r="N989" s="1003"/>
      <c r="O989" s="1004">
        <f>IF(I!O989="","",$D$2*I!O989)</f>
        <v>1.6210191667000003E-2</v>
      </c>
      <c r="P989" s="1005">
        <f>IF(I!P989="","",$D$2*I!P989)</f>
        <v>4.3310645869999997E-3</v>
      </c>
      <c r="Q989" s="1006" t="str">
        <f>IF(I!Q989="","",$D$2*I!Q989)</f>
        <v/>
      </c>
      <c r="R989" s="982"/>
      <c r="S989" s="1003"/>
      <c r="T989" s="938"/>
      <c r="U989" s="1062" t="s">
        <v>1059</v>
      </c>
      <c r="V989" s="1018" t="s">
        <v>6824</v>
      </c>
      <c r="W989" s="1019">
        <f>IF(I!W989="","",$D$2*I!W989)</f>
        <v>0.16314635995999999</v>
      </c>
      <c r="X989" s="990">
        <f>IF(I!X989="","",$D$2*I!X989)</f>
        <v>1.02576005146E-3</v>
      </c>
      <c r="Y989" s="1010">
        <f>IF(I!Y989="","",$D$2*I!Y989)</f>
        <v>0.41239676995999996</v>
      </c>
      <c r="Z989" s="938"/>
      <c r="AA989" s="938"/>
      <c r="AB989" s="938"/>
      <c r="AC989" s="938"/>
      <c r="AD989" s="1058"/>
      <c r="AE989" s="938"/>
      <c r="AF989" s="938"/>
      <c r="AG989" s="938"/>
      <c r="AH989" s="938"/>
    </row>
    <row r="990" spans="1:34" ht="17.25" customHeight="1" x14ac:dyDescent="0.35">
      <c r="A990" s="938"/>
      <c r="B990" s="938"/>
      <c r="C990" s="941"/>
      <c r="D990" s="1047"/>
      <c r="E990" s="941"/>
      <c r="F990" s="938"/>
      <c r="G990" s="976">
        <f t="shared" si="17"/>
        <v>987</v>
      </c>
      <c r="H990" s="1000"/>
      <c r="I990" s="1001" t="s">
        <v>1059</v>
      </c>
      <c r="J990" s="1065" t="s">
        <v>2028</v>
      </c>
      <c r="K990" s="1002">
        <f>IF(I!K990="","",$D$2*I!K990)</f>
        <v>1.7641343367E-2</v>
      </c>
      <c r="L990" s="981"/>
      <c r="M990" s="982"/>
      <c r="N990" s="1003"/>
      <c r="O990" s="1004">
        <f>IF(I!O990="","",$D$2*I!O990)</f>
        <v>4.4047313367000004E-2</v>
      </c>
      <c r="P990" s="1005">
        <f>IF(I!P990="","",$D$2*I!P990)</f>
        <v>3.3993355000000031E-3</v>
      </c>
      <c r="Q990" s="1006" t="str">
        <f>IF(I!Q990="","",$D$2*I!Q990)</f>
        <v/>
      </c>
      <c r="R990" s="982"/>
      <c r="S990" s="1003"/>
      <c r="T990" s="938"/>
      <c r="U990" s="1062" t="s">
        <v>1059</v>
      </c>
      <c r="V990" s="1018" t="s">
        <v>6825</v>
      </c>
      <c r="W990" s="1019">
        <f>IF(I!W990="","",$D$2*I!W990)</f>
        <v>1.3436384404000001E-2</v>
      </c>
      <c r="X990" s="990">
        <f>IF(I!X990="","",$D$2*I!X990)</f>
        <v>1.2759680156E-3</v>
      </c>
      <c r="Y990" s="1010">
        <f>IF(I!Y990="","",$D$2*I!Y990)</f>
        <v>8.5565157403999989E-2</v>
      </c>
      <c r="Z990" s="938"/>
      <c r="AA990" s="938"/>
      <c r="AB990" s="938"/>
      <c r="AC990" s="938"/>
      <c r="AD990" s="1058"/>
      <c r="AE990" s="938"/>
      <c r="AF990" s="938"/>
      <c r="AG990" s="938"/>
      <c r="AH990" s="938"/>
    </row>
    <row r="991" spans="1:34" ht="17.25" customHeight="1" x14ac:dyDescent="0.35">
      <c r="A991" s="938"/>
      <c r="B991" s="938"/>
      <c r="C991" s="941"/>
      <c r="D991" s="1047"/>
      <c r="E991" s="941"/>
      <c r="F991" s="938"/>
      <c r="G991" s="976">
        <f t="shared" si="17"/>
        <v>988</v>
      </c>
      <c r="H991" s="1000"/>
      <c r="I991" s="1001" t="s">
        <v>1059</v>
      </c>
      <c r="J991" s="1065" t="s">
        <v>2029</v>
      </c>
      <c r="K991" s="1002">
        <f>IF(I!K991="","",$D$2*I!K991)</f>
        <v>6.536236380000001E-3</v>
      </c>
      <c r="L991" s="981"/>
      <c r="M991" s="982"/>
      <c r="N991" s="1003"/>
      <c r="O991" s="1004">
        <f>IF(I!O991="","",$D$2*I!O991)</f>
        <v>1.2813497980000001E-2</v>
      </c>
      <c r="P991" s="1005">
        <f>IF(I!P991="","",$D$2*I!P991)</f>
        <v>2.6584865058999997E-3</v>
      </c>
      <c r="Q991" s="1006" t="str">
        <f>IF(I!Q991="","",$D$2*I!Q991)</f>
        <v/>
      </c>
      <c r="R991" s="982"/>
      <c r="S991" s="1003"/>
      <c r="T991" s="938"/>
      <c r="U991" s="1062" t="s">
        <v>1059</v>
      </c>
      <c r="V991" s="1018" t="s">
        <v>6826</v>
      </c>
      <c r="W991" s="1019">
        <f>IF(I!W991="","",$D$2*I!W991)</f>
        <v>1.5055611369999999E-2</v>
      </c>
      <c r="X991" s="990">
        <f>IF(I!X991="","",$D$2*I!X991)</f>
        <v>1.38444009969E-3</v>
      </c>
      <c r="Y991" s="1010">
        <f>IF(I!Y991="","",$D$2*I!Y991)</f>
        <v>8.9255928370000001E-2</v>
      </c>
      <c r="Z991" s="938"/>
      <c r="AA991" s="938"/>
      <c r="AB991" s="938"/>
      <c r="AC991" s="938"/>
      <c r="AD991" s="1058"/>
      <c r="AE991" s="938"/>
      <c r="AF991" s="938"/>
      <c r="AG991" s="938"/>
      <c r="AH991" s="938"/>
    </row>
    <row r="992" spans="1:34" ht="17.25" customHeight="1" x14ac:dyDescent="0.35">
      <c r="A992" s="938"/>
      <c r="B992" s="938"/>
      <c r="C992" s="941"/>
      <c r="D992" s="1047"/>
      <c r="E992" s="941"/>
      <c r="F992" s="938"/>
      <c r="G992" s="976">
        <f t="shared" si="17"/>
        <v>989</v>
      </c>
      <c r="H992" s="1000"/>
      <c r="I992" s="1001" t="s">
        <v>1059</v>
      </c>
      <c r="J992" s="1065" t="s">
        <v>2030</v>
      </c>
      <c r="K992" s="1002">
        <f>IF(I!K992="","",$D$2*I!K992)</f>
        <v>9.3197385459999997E-3</v>
      </c>
      <c r="L992" s="981"/>
      <c r="M992" s="982"/>
      <c r="N992" s="1003"/>
      <c r="O992" s="1004">
        <f>IF(I!O992="","",$D$2*I!O992)</f>
        <v>1.7204058446000002E-2</v>
      </c>
      <c r="P992" s="1005">
        <f>IF(I!P992="","",$D$2*I!P992)</f>
        <v>2.1485382910000003E-3</v>
      </c>
      <c r="Q992" s="1006" t="str">
        <f>IF(I!Q992="","",$D$2*I!Q992)</f>
        <v/>
      </c>
      <c r="R992" s="982"/>
      <c r="S992" s="1003"/>
      <c r="T992" s="938"/>
      <c r="U992" s="1062" t="s">
        <v>1059</v>
      </c>
      <c r="V992" s="1018" t="s">
        <v>6827</v>
      </c>
      <c r="W992" s="1019">
        <f>IF(I!W992="","",$D$2*I!W992)</f>
        <v>0.122475554049</v>
      </c>
      <c r="X992" s="990">
        <f>IF(I!X992="","",$D$2*I!X992)</f>
        <v>2.2286533999999998E-3</v>
      </c>
      <c r="Y992" s="1010">
        <f>IF(I!Y992="","",$D$2*I!Y992)</f>
        <v>0.30974160404899997</v>
      </c>
      <c r="Z992" s="938"/>
      <c r="AA992" s="938"/>
      <c r="AB992" s="938"/>
      <c r="AC992" s="938"/>
      <c r="AD992" s="1058"/>
      <c r="AE992" s="938"/>
      <c r="AF992" s="938"/>
      <c r="AG992" s="938"/>
      <c r="AH992" s="938"/>
    </row>
    <row r="993" spans="1:34" ht="17.25" customHeight="1" x14ac:dyDescent="0.35">
      <c r="A993" s="938"/>
      <c r="B993" s="938"/>
      <c r="C993" s="941"/>
      <c r="D993" s="1047"/>
      <c r="E993" s="941"/>
      <c r="F993" s="938"/>
      <c r="G993" s="976">
        <f t="shared" si="17"/>
        <v>990</v>
      </c>
      <c r="H993" s="1000"/>
      <c r="I993" s="1001" t="s">
        <v>1059</v>
      </c>
      <c r="J993" s="1065" t="s">
        <v>2031</v>
      </c>
      <c r="K993" s="1002">
        <f>IF(I!K993="","",$D$2*I!K993)</f>
        <v>1.1258725002E-2</v>
      </c>
      <c r="L993" s="981"/>
      <c r="M993" s="982"/>
      <c r="N993" s="1003"/>
      <c r="O993" s="1004">
        <f>IF(I!O993="","",$D$2*I!O993)</f>
        <v>3.3751406002000002E-2</v>
      </c>
      <c r="P993" s="1005">
        <f>IF(I!P993="","",$D$2*I!P993)</f>
        <v>6.2586787200000008E-3</v>
      </c>
      <c r="Q993" s="1006" t="str">
        <f>IF(I!Q993="","",$D$2*I!Q993)</f>
        <v/>
      </c>
      <c r="R993" s="982"/>
      <c r="S993" s="1003"/>
      <c r="T993" s="938"/>
      <c r="U993" s="1062" t="s">
        <v>1059</v>
      </c>
      <c r="V993" s="1018" t="s">
        <v>6828</v>
      </c>
      <c r="W993" s="1019">
        <f>IF(I!W993="","",$D$2*I!W993)</f>
        <v>0.12409477734</v>
      </c>
      <c r="X993" s="990">
        <f>IF(I!X993="","",$D$2*I!X993)</f>
        <v>2.3371255669999997E-3</v>
      </c>
      <c r="Y993" s="1010">
        <f>IF(I!Y993="","",$D$2*I!Y993)</f>
        <v>0.31343236734000002</v>
      </c>
      <c r="Z993" s="938"/>
      <c r="AA993" s="938"/>
      <c r="AB993" s="938"/>
      <c r="AC993" s="938"/>
      <c r="AD993" s="1058"/>
      <c r="AE993" s="938"/>
      <c r="AF993" s="938"/>
      <c r="AG993" s="938"/>
      <c r="AH993" s="938"/>
    </row>
    <row r="994" spans="1:34" ht="17.25" customHeight="1" x14ac:dyDescent="0.35">
      <c r="A994" s="938"/>
      <c r="B994" s="938"/>
      <c r="C994" s="941"/>
      <c r="D994" s="1047"/>
      <c r="E994" s="941"/>
      <c r="F994" s="938"/>
      <c r="G994" s="976">
        <f t="shared" si="17"/>
        <v>991</v>
      </c>
      <c r="H994" s="1000"/>
      <c r="I994" s="1001" t="s">
        <v>1059</v>
      </c>
      <c r="J994" s="1065" t="s">
        <v>2032</v>
      </c>
      <c r="K994" s="1002">
        <f>IF(I!K994="","",$D$2*I!K994)</f>
        <v>5.7144116710000003E-3</v>
      </c>
      <c r="L994" s="981"/>
      <c r="M994" s="982"/>
      <c r="N994" s="1003"/>
      <c r="O994" s="1004">
        <f>IF(I!O994="","",$D$2*I!O994)</f>
        <v>1.1054042171000001E-2</v>
      </c>
      <c r="P994" s="1005">
        <f>IF(I!P994="","",$D$2*I!P994)</f>
        <v>1.8735706049999995E-3</v>
      </c>
      <c r="Q994" s="1006" t="str">
        <f>IF(I!Q994="","",$D$2*I!Q994)</f>
        <v/>
      </c>
      <c r="R994" s="982"/>
      <c r="S994" s="1003"/>
      <c r="T994" s="938"/>
      <c r="U994" s="1062" t="s">
        <v>1059</v>
      </c>
      <c r="V994" s="1018" t="s">
        <v>6829</v>
      </c>
      <c r="W994" s="1019">
        <f>IF(I!W994="","",$D$2*I!W994)</f>
        <v>1.1863451925999999E-2</v>
      </c>
      <c r="X994" s="990">
        <f>IF(I!X994="","",$D$2*I!X994)</f>
        <v>2.7740656100000002E-3</v>
      </c>
      <c r="Y994" s="1010">
        <f>IF(I!Y994="","",$D$2*I!Y994)</f>
        <v>7.5085231926000001E-2</v>
      </c>
      <c r="Z994" s="938"/>
      <c r="AA994" s="938"/>
      <c r="AB994" s="938"/>
      <c r="AC994" s="938"/>
      <c r="AD994" s="1058"/>
      <c r="AE994" s="938"/>
      <c r="AF994" s="938"/>
      <c r="AG994" s="938"/>
      <c r="AH994" s="938"/>
    </row>
    <row r="995" spans="1:34" ht="17.25" customHeight="1" x14ac:dyDescent="0.35">
      <c r="A995" s="938"/>
      <c r="B995" s="938"/>
      <c r="C995" s="941"/>
      <c r="D995" s="1047"/>
      <c r="E995" s="941"/>
      <c r="F995" s="938"/>
      <c r="G995" s="976">
        <f t="shared" si="17"/>
        <v>992</v>
      </c>
      <c r="H995" s="1000"/>
      <c r="I995" s="1001" t="s">
        <v>1059</v>
      </c>
      <c r="J995" s="1065" t="s">
        <v>2033</v>
      </c>
      <c r="K995" s="1002">
        <f>IF(I!K995="","",$D$2*I!K995)</f>
        <v>1.1148451113E-2</v>
      </c>
      <c r="L995" s="981"/>
      <c r="M995" s="982"/>
      <c r="N995" s="1003"/>
      <c r="O995" s="1004">
        <f>IF(I!O995="","",$D$2*I!O995)</f>
        <v>3.6385148112999997E-2</v>
      </c>
      <c r="P995" s="1005">
        <f>IF(I!P995="","",$D$2*I!P995)</f>
        <v>3.6566648787E-2</v>
      </c>
      <c r="Q995" s="1006" t="str">
        <f>IF(I!Q995="","",$D$2*I!Q995)</f>
        <v/>
      </c>
      <c r="R995" s="982"/>
      <c r="S995" s="1003"/>
      <c r="T995" s="938"/>
      <c r="U995" s="1062" t="s">
        <v>1059</v>
      </c>
      <c r="V995" s="1018" t="s">
        <v>6830</v>
      </c>
      <c r="W995" s="1019">
        <f>IF(I!W995="","",$D$2*I!W995)</f>
        <v>1.9646412373846699E-2</v>
      </c>
      <c r="X995" s="990">
        <f>IF(I!X995="","",$D$2*I!X995)</f>
        <v>3.8041446E-3</v>
      </c>
      <c r="Y995" s="1010">
        <f>IF(I!Y995="","",$D$2*I!Y995)</f>
        <v>0.1135749663738467</v>
      </c>
      <c r="Z995" s="938"/>
      <c r="AA995" s="938"/>
      <c r="AB995" s="938"/>
      <c r="AC995" s="938"/>
      <c r="AD995" s="1058"/>
      <c r="AE995" s="938"/>
      <c r="AF995" s="938"/>
      <c r="AG995" s="938"/>
      <c r="AH995" s="938"/>
    </row>
    <row r="996" spans="1:34" ht="17.25" customHeight="1" x14ac:dyDescent="0.35">
      <c r="A996" s="938"/>
      <c r="B996" s="938"/>
      <c r="C996" s="941"/>
      <c r="D996" s="1047"/>
      <c r="E996" s="941"/>
      <c r="F996" s="938"/>
      <c r="G996" s="976">
        <f t="shared" si="17"/>
        <v>993</v>
      </c>
      <c r="H996" s="942" t="s">
        <v>2034</v>
      </c>
      <c r="I996" s="1060"/>
      <c r="J996" s="1065"/>
      <c r="K996" s="1002" t="str">
        <f>IF(I!K996="","",$D$2*I!K996)</f>
        <v/>
      </c>
      <c r="L996" s="981"/>
      <c r="M996" s="982"/>
      <c r="N996" s="1003"/>
      <c r="O996" s="1004" t="str">
        <f>IF(I!O996="","",$D$2*I!O996)</f>
        <v/>
      </c>
      <c r="P996" s="1005" t="str">
        <f>IF(I!P996="","",$D$2*I!P996)</f>
        <v/>
      </c>
      <c r="Q996" s="1006" t="str">
        <f>IF(I!Q996="","",$D$2*I!Q996)</f>
        <v/>
      </c>
      <c r="R996" s="982"/>
      <c r="S996" s="1003"/>
      <c r="T996" s="938"/>
      <c r="U996" s="1062" t="s">
        <v>1059</v>
      </c>
      <c r="V996" s="1018" t="s">
        <v>6831</v>
      </c>
      <c r="W996" s="1019">
        <f>IF(I!W996="","",$D$2*I!W996)</f>
        <v>6.2616702570000002E-2</v>
      </c>
      <c r="X996" s="990">
        <f>IF(I!X996="","",$D$2*I!X996)</f>
        <v>5.1582302499999996E-3</v>
      </c>
      <c r="Y996" s="1010">
        <f>IF(I!Y996="","",$D$2*I!Y996)</f>
        <v>0.19236916256999997</v>
      </c>
      <c r="Z996" s="938"/>
      <c r="AA996" s="938"/>
      <c r="AB996" s="938"/>
      <c r="AC996" s="938"/>
      <c r="AD996" s="1058"/>
      <c r="AE996" s="938"/>
      <c r="AF996" s="938"/>
      <c r="AG996" s="938"/>
      <c r="AH996" s="938"/>
    </row>
    <row r="997" spans="1:34" ht="17.25" customHeight="1" x14ac:dyDescent="0.35">
      <c r="A997" s="938"/>
      <c r="B997" s="938"/>
      <c r="C997" s="941"/>
      <c r="D997" s="1047"/>
      <c r="E997" s="941"/>
      <c r="F997" s="938"/>
      <c r="G997" s="976">
        <f t="shared" si="17"/>
        <v>994</v>
      </c>
      <c r="H997" s="1000"/>
      <c r="I997" s="1001" t="s">
        <v>1059</v>
      </c>
      <c r="J997" s="1065" t="s">
        <v>2035</v>
      </c>
      <c r="K997" s="1002">
        <f>IF(I!K997="","",$D$2*I!K997)</f>
        <v>1.2143210778</v>
      </c>
      <c r="L997" s="981"/>
      <c r="M997" s="982"/>
      <c r="N997" s="1003"/>
      <c r="O997" s="1004">
        <f>IF(I!O997="","",$D$2*I!O997)</f>
        <v>1.6155705478</v>
      </c>
      <c r="P997" s="1005">
        <f>IF(I!P997="","",$D$2*I!P997)</f>
        <v>6.65121605E-2</v>
      </c>
      <c r="Q997" s="1006" t="str">
        <f>IF(I!Q997="","",$D$2*I!Q997)</f>
        <v/>
      </c>
      <c r="R997" s="982"/>
      <c r="S997" s="1003"/>
      <c r="T997" s="938"/>
      <c r="U997" s="1062" t="s">
        <v>1059</v>
      </c>
      <c r="V997" s="1018" t="s">
        <v>6832</v>
      </c>
      <c r="W997" s="1019">
        <f>IF(I!W997="","",$D$2*I!W997)</f>
        <v>6.4235928780000007E-2</v>
      </c>
      <c r="X997" s="990">
        <f>IF(I!X997="","",$D$2*I!X997)</f>
        <v>5.2667024399999998E-3</v>
      </c>
      <c r="Y997" s="1010">
        <f>IF(I!Y997="","",$D$2*I!Y997)</f>
        <v>0.19605992878</v>
      </c>
      <c r="Z997" s="938"/>
      <c r="AA997" s="938"/>
      <c r="AB997" s="938"/>
      <c r="AC997" s="938"/>
      <c r="AD997" s="1058"/>
      <c r="AE997" s="938"/>
      <c r="AF997" s="938"/>
      <c r="AG997" s="938"/>
      <c r="AH997" s="938"/>
    </row>
    <row r="998" spans="1:34" ht="17.25" customHeight="1" x14ac:dyDescent="0.35">
      <c r="A998" s="938"/>
      <c r="B998" s="938"/>
      <c r="C998" s="941"/>
      <c r="D998" s="1047"/>
      <c r="E998" s="941"/>
      <c r="F998" s="938"/>
      <c r="G998" s="976">
        <f t="shared" si="17"/>
        <v>995</v>
      </c>
      <c r="H998" s="1000"/>
      <c r="I998" s="1001" t="s">
        <v>1059</v>
      </c>
      <c r="J998" s="1065" t="s">
        <v>2036</v>
      </c>
      <c r="K998" s="1002">
        <f>IF(I!K998="","",$D$2*I!K998)</f>
        <v>5.2459230884000005</v>
      </c>
      <c r="L998" s="981"/>
      <c r="M998" s="982"/>
      <c r="N998" s="1003"/>
      <c r="O998" s="1004">
        <f>IF(I!O998="","",$D$2*I!O998)</f>
        <v>9.5380203883999997</v>
      </c>
      <c r="P998" s="1005">
        <f>IF(I!P998="","",$D$2*I!P998)</f>
        <v>0.39770579079999996</v>
      </c>
      <c r="Q998" s="1006" t="str">
        <f>IF(I!Q998="","",$D$2*I!Q998)</f>
        <v/>
      </c>
      <c r="R998" s="982"/>
      <c r="S998" s="1003"/>
      <c r="T998" s="938"/>
      <c r="U998" s="1062" t="s">
        <v>1059</v>
      </c>
      <c r="V998" s="1018" t="s">
        <v>6833</v>
      </c>
      <c r="W998" s="1019">
        <f>IF(I!W998="","",$D$2*I!W998)</f>
        <v>6.359028051E-2</v>
      </c>
      <c r="X998" s="990">
        <f>IF(I!X998="","",$D$2*I!X998)</f>
        <v>3.3092769090000002E-2</v>
      </c>
      <c r="Y998" s="1010">
        <f>IF(I!Y998="","",$D$2*I!Y998)</f>
        <v>0.19596835051</v>
      </c>
      <c r="Z998" s="938"/>
      <c r="AA998" s="938"/>
      <c r="AB998" s="938"/>
      <c r="AC998" s="938"/>
      <c r="AD998" s="1058"/>
      <c r="AE998" s="938"/>
      <c r="AF998" s="938"/>
      <c r="AG998" s="938"/>
      <c r="AH998" s="938"/>
    </row>
    <row r="999" spans="1:34" ht="17.25" customHeight="1" x14ac:dyDescent="0.35">
      <c r="A999" s="938"/>
      <c r="B999" s="938"/>
      <c r="C999" s="941"/>
      <c r="D999" s="1047"/>
      <c r="E999" s="941"/>
      <c r="F999" s="938"/>
      <c r="G999" s="976">
        <f t="shared" si="17"/>
        <v>996</v>
      </c>
      <c r="H999" s="1000"/>
      <c r="I999" s="1001" t="s">
        <v>1059</v>
      </c>
      <c r="J999" s="1065" t="s">
        <v>2037</v>
      </c>
      <c r="K999" s="1002">
        <f>IF(I!K999="","",$D$2*I!K999)</f>
        <v>8.9974850516999982</v>
      </c>
      <c r="L999" s="981"/>
      <c r="M999" s="982"/>
      <c r="N999" s="1003"/>
      <c r="O999" s="1004">
        <f>IF(I!O999="","",$D$2*I!O999)</f>
        <v>16.357923451699996</v>
      </c>
      <c r="P999" s="1005">
        <f>IF(I!P999="","",$D$2*I!P999)</f>
        <v>0.6799187887</v>
      </c>
      <c r="Q999" s="1006" t="str">
        <f>IF(I!Q999="","",$D$2*I!Q999)</f>
        <v/>
      </c>
      <c r="R999" s="982"/>
      <c r="S999" s="1003"/>
      <c r="T999" s="938"/>
      <c r="U999" s="1062" t="s">
        <v>1059</v>
      </c>
      <c r="V999" s="1018" t="s">
        <v>6834</v>
      </c>
      <c r="W999" s="1019">
        <f>IF(I!W999="","",$D$2*I!W999)</f>
        <v>1.4760242179E-3</v>
      </c>
      <c r="X999" s="990">
        <f>IF(I!X999="","",$D$2*I!X999)</f>
        <v>6.2898065143900004E-3</v>
      </c>
      <c r="Y999" s="1010">
        <f>IF(I!Y999="","",$D$2*I!Y999)</f>
        <v>3.1061875178999996E-3</v>
      </c>
      <c r="Z999" s="938"/>
      <c r="AA999" s="938"/>
      <c r="AB999" s="938"/>
      <c r="AC999" s="938"/>
      <c r="AD999" s="1058"/>
      <c r="AE999" s="938"/>
      <c r="AF999" s="938"/>
      <c r="AG999" s="938"/>
      <c r="AH999" s="938"/>
    </row>
    <row r="1000" spans="1:34" ht="17.25" customHeight="1" x14ac:dyDescent="0.35">
      <c r="A1000" s="938"/>
      <c r="B1000" s="938"/>
      <c r="C1000" s="941"/>
      <c r="D1000" s="1047"/>
      <c r="E1000" s="941"/>
      <c r="F1000" s="938"/>
      <c r="G1000" s="976">
        <f t="shared" si="17"/>
        <v>997</v>
      </c>
      <c r="H1000" s="1000"/>
      <c r="I1000" s="1001" t="s">
        <v>1059</v>
      </c>
      <c r="J1000" s="1065" t="s">
        <v>2038</v>
      </c>
      <c r="K1000" s="1002">
        <f>IF(I!K1000="","",$D$2*I!K1000)</f>
        <v>0.54377176168999997</v>
      </c>
      <c r="L1000" s="981"/>
      <c r="M1000" s="982"/>
      <c r="N1000" s="1003"/>
      <c r="O1000" s="1004">
        <f>IF(I!O1000="","",$D$2*I!O1000)</f>
        <v>0.83024049168999992</v>
      </c>
      <c r="P1000" s="1005">
        <f>IF(I!P1000="","",$D$2*I!P1000)</f>
        <v>4.1261397390000003E-2</v>
      </c>
      <c r="Q1000" s="1006" t="str">
        <f>IF(I!Q1000="","",$D$2*I!Q1000)</f>
        <v/>
      </c>
      <c r="R1000" s="982"/>
      <c r="S1000" s="1003"/>
      <c r="T1000" s="938"/>
      <c r="U1000" s="1062" t="s">
        <v>1059</v>
      </c>
      <c r="V1000" s="1018" t="s">
        <v>6835</v>
      </c>
      <c r="W1000" s="1019">
        <f>IF(I!W1000="","",$D$2*I!W1000)</f>
        <v>3.0952512100000003E-3</v>
      </c>
      <c r="X1000" s="990">
        <f>IF(I!X1000="","",$D$2*I!X1000)</f>
        <v>6.3982786919000003E-3</v>
      </c>
      <c r="Y1000" s="1010">
        <f>IF(I!Y1000="","",$D$2*I!Y1000)</f>
        <v>6.7969578100000004E-3</v>
      </c>
      <c r="Z1000" s="938"/>
      <c r="AA1000" s="938"/>
      <c r="AB1000" s="938"/>
      <c r="AC1000" s="938"/>
      <c r="AD1000" s="1058"/>
      <c r="AE1000" s="938"/>
      <c r="AF1000" s="938"/>
      <c r="AG1000" s="938"/>
      <c r="AH1000" s="938"/>
    </row>
    <row r="1001" spans="1:34" ht="17.25" customHeight="1" x14ac:dyDescent="0.35">
      <c r="A1001" s="938"/>
      <c r="B1001" s="938"/>
      <c r="C1001" s="941"/>
      <c r="D1001" s="1047"/>
      <c r="E1001" s="941"/>
      <c r="F1001" s="938"/>
      <c r="G1001" s="976">
        <f t="shared" si="17"/>
        <v>998</v>
      </c>
      <c r="H1001" s="1000"/>
      <c r="I1001" s="1001" t="s">
        <v>1059</v>
      </c>
      <c r="J1001" s="1065" t="s">
        <v>2039</v>
      </c>
      <c r="K1001" s="1002">
        <f>IF(I!K1001="","",$D$2*I!K1001)</f>
        <v>0.56340274027999993</v>
      </c>
      <c r="L1001" s="981"/>
      <c r="M1001" s="982"/>
      <c r="N1001" s="1003"/>
      <c r="O1001" s="1004">
        <f>IF(I!O1001="","",$D$2*I!O1001)</f>
        <v>0.89207095027999994</v>
      </c>
      <c r="P1001" s="1005">
        <f>IF(I!P1001="","",$D$2*I!P1001)</f>
        <v>4.3261653359999999E-2</v>
      </c>
      <c r="Q1001" s="1006" t="str">
        <f>IF(I!Q1001="","",$D$2*I!Q1001)</f>
        <v/>
      </c>
      <c r="R1001" s="982"/>
      <c r="S1001" s="1003"/>
      <c r="T1001" s="938"/>
      <c r="U1001" s="1062" t="s">
        <v>1059</v>
      </c>
      <c r="V1001" s="1018" t="s">
        <v>6836</v>
      </c>
      <c r="W1001" s="1019">
        <f>IF(I!W1001="","",$D$2*I!W1001)</f>
        <v>1.815791362E-2</v>
      </c>
      <c r="X1001" s="990">
        <f>IF(I!X1001="","",$D$2*I!X1001)</f>
        <v>8.1716319570000005E-3</v>
      </c>
      <c r="Y1001" s="1010">
        <f>IF(I!Y1001="","",$D$2*I!Y1001)</f>
        <v>3.092726862E-2</v>
      </c>
      <c r="Z1001" s="938"/>
      <c r="AA1001" s="938"/>
      <c r="AB1001" s="938"/>
      <c r="AC1001" s="938"/>
      <c r="AD1001" s="1058"/>
      <c r="AE1001" s="938"/>
      <c r="AF1001" s="938"/>
      <c r="AG1001" s="938"/>
      <c r="AH1001" s="938"/>
    </row>
    <row r="1002" spans="1:34" ht="17.25" customHeight="1" x14ac:dyDescent="0.35">
      <c r="A1002" s="938"/>
      <c r="B1002" s="938"/>
      <c r="C1002" s="941"/>
      <c r="D1002" s="1047"/>
      <c r="E1002" s="941"/>
      <c r="F1002" s="938"/>
      <c r="G1002" s="976">
        <f t="shared" si="17"/>
        <v>999</v>
      </c>
      <c r="H1002" s="1000"/>
      <c r="I1002" s="1001" t="s">
        <v>1059</v>
      </c>
      <c r="J1002" s="1065" t="s">
        <v>2040</v>
      </c>
      <c r="K1002" s="1002">
        <f>IF(I!K1002="","",$D$2*I!K1002)</f>
        <v>1.7660230479999997E-2</v>
      </c>
      <c r="L1002" s="981"/>
      <c r="M1002" s="982"/>
      <c r="N1002" s="1003"/>
      <c r="O1002" s="1004">
        <f>IF(I!O1002="","",$D$2*I!O1002)</f>
        <v>7.8629421479999989E-2</v>
      </c>
      <c r="P1002" s="1005">
        <f>IF(I!P1002="","",$D$2*I!P1002)</f>
        <v>8.02104002E-3</v>
      </c>
      <c r="Q1002" s="1006" t="str">
        <f>IF(I!Q1002="","",$D$2*I!Q1002)</f>
        <v/>
      </c>
      <c r="R1002" s="982"/>
      <c r="S1002" s="1003"/>
      <c r="T1002" s="938"/>
      <c r="U1002" s="1062" t="s">
        <v>1059</v>
      </c>
      <c r="V1002" s="1018" t="s">
        <v>6837</v>
      </c>
      <c r="W1002" s="1019">
        <f>IF(I!W1002="","",$D$2*I!W1002)</f>
        <v>1.2156657990000002E-2</v>
      </c>
      <c r="X1002" s="990">
        <f>IF(I!X1002="","",$D$2*I!X1002)</f>
        <v>8.835889512000001E-3</v>
      </c>
      <c r="Y1002" s="1010">
        <f>IF(I!Y1002="","",$D$2*I!Y1002)</f>
        <v>2.3650330990000003E-2</v>
      </c>
      <c r="Z1002" s="938"/>
      <c r="AA1002" s="938"/>
      <c r="AB1002" s="938"/>
      <c r="AC1002" s="938"/>
      <c r="AD1002" s="1058"/>
      <c r="AE1002" s="938"/>
      <c r="AF1002" s="938"/>
      <c r="AG1002" s="938"/>
      <c r="AH1002" s="938"/>
    </row>
    <row r="1003" spans="1:34" ht="17.25" customHeight="1" x14ac:dyDescent="0.35">
      <c r="A1003" s="938"/>
      <c r="B1003" s="938"/>
      <c r="C1003" s="941"/>
      <c r="D1003" s="1047"/>
      <c r="E1003" s="941"/>
      <c r="F1003" s="938"/>
      <c r="G1003" s="976">
        <f t="shared" si="17"/>
        <v>1000</v>
      </c>
      <c r="H1003" s="1000"/>
      <c r="I1003" s="1001" t="s">
        <v>1059</v>
      </c>
      <c r="J1003" s="1065" t="s">
        <v>2041</v>
      </c>
      <c r="K1003" s="1002">
        <f>IF(I!K1003="","",$D$2*I!K1003)</f>
        <v>2.9677242615000002E-3</v>
      </c>
      <c r="L1003" s="981"/>
      <c r="M1003" s="982"/>
      <c r="N1003" s="1003"/>
      <c r="O1003" s="1004">
        <f>IF(I!O1003="","",$D$2*I!O1003)</f>
        <v>9.9213139615000005E-3</v>
      </c>
      <c r="P1003" s="1005">
        <f>IF(I!P1003="","",$D$2*I!P1003)</f>
        <v>3.362259927E-3</v>
      </c>
      <c r="Q1003" s="1006" t="str">
        <f>IF(I!Q1003="","",$D$2*I!Q1003)</f>
        <v/>
      </c>
      <c r="R1003" s="982"/>
      <c r="S1003" s="1003"/>
      <c r="T1003" s="938"/>
      <c r="U1003" s="1062" t="s">
        <v>1059</v>
      </c>
      <c r="V1003" s="1018" t="s">
        <v>6838</v>
      </c>
      <c r="W1003" s="1019">
        <f>IF(I!W1003="","",$D$2*I!W1003)</f>
        <v>1.1585493091000001E-2</v>
      </c>
      <c r="X1003" s="990">
        <f>IF(I!X1003="","",$D$2*I!X1003)</f>
        <v>7.1205582119999999E-3</v>
      </c>
      <c r="Y1003" s="1010">
        <f>IF(I!Y1003="","",$D$2*I!Y1003)</f>
        <v>2.3348188091000002E-2</v>
      </c>
      <c r="Z1003" s="938"/>
      <c r="AA1003" s="938"/>
      <c r="AB1003" s="938"/>
      <c r="AC1003" s="938"/>
      <c r="AD1003" s="1058"/>
      <c r="AE1003" s="938"/>
      <c r="AF1003" s="938"/>
      <c r="AG1003" s="938"/>
      <c r="AH1003" s="938"/>
    </row>
    <row r="1004" spans="1:34" ht="17.25" customHeight="1" x14ac:dyDescent="0.35">
      <c r="A1004" s="938"/>
      <c r="B1004" s="938"/>
      <c r="C1004" s="941"/>
      <c r="D1004" s="1047"/>
      <c r="E1004" s="941"/>
      <c r="F1004" s="938"/>
      <c r="G1004" s="976">
        <f t="shared" si="17"/>
        <v>1001</v>
      </c>
      <c r="H1004" s="1000"/>
      <c r="I1004" s="1001" t="s">
        <v>1059</v>
      </c>
      <c r="J1004" s="1065" t="s">
        <v>2042</v>
      </c>
      <c r="K1004" s="1002">
        <f>IF(I!K1004="","",$D$2*I!K1004)</f>
        <v>2.2132766920000001E-2</v>
      </c>
      <c r="L1004" s="981"/>
      <c r="M1004" s="982"/>
      <c r="N1004" s="1003"/>
      <c r="O1004" s="1004">
        <f>IF(I!O1004="","",$D$2*I!O1004)</f>
        <v>9.271418092E-2</v>
      </c>
      <c r="P1004" s="1005">
        <f>IF(I!P1004="","",$D$2*I!P1004)</f>
        <v>8.47658523E-3</v>
      </c>
      <c r="Q1004" s="1006" t="str">
        <f>IF(I!Q1004="","",$D$2*I!Q1004)</f>
        <v/>
      </c>
      <c r="R1004" s="982"/>
      <c r="S1004" s="1003"/>
      <c r="T1004" s="938"/>
      <c r="U1004" s="1062" t="s">
        <v>1059</v>
      </c>
      <c r="V1004" s="1018" t="s">
        <v>6839</v>
      </c>
      <c r="W1004" s="1019">
        <f>IF(I!W1004="","",$D$2*I!W1004)</f>
        <v>9.721343997999999E-3</v>
      </c>
      <c r="X1004" s="990">
        <f>IF(I!X1004="","",$D$2*I!X1004)</f>
        <v>7.4055112730000002E-3</v>
      </c>
      <c r="Y1004" s="1010">
        <f>IF(I!Y1004="","",$D$2*I!Y1004)</f>
        <v>2.0531678998E-2</v>
      </c>
      <c r="Z1004" s="938"/>
      <c r="AA1004" s="938"/>
      <c r="AB1004" s="938"/>
      <c r="AC1004" s="938"/>
      <c r="AD1004" s="1058"/>
      <c r="AE1004" s="938"/>
      <c r="AF1004" s="938"/>
      <c r="AG1004" s="938"/>
      <c r="AH1004" s="938"/>
    </row>
    <row r="1005" spans="1:34" ht="17.25" customHeight="1" x14ac:dyDescent="0.35">
      <c r="A1005" s="938"/>
      <c r="B1005" s="938"/>
      <c r="C1005" s="941"/>
      <c r="D1005" s="1047"/>
      <c r="E1005" s="941"/>
      <c r="F1005" s="938"/>
      <c r="G1005" s="976">
        <f t="shared" si="17"/>
        <v>1002</v>
      </c>
      <c r="H1005" s="1000"/>
      <c r="I1005" s="1001" t="s">
        <v>1059</v>
      </c>
      <c r="J1005" s="1065" t="s">
        <v>2043</v>
      </c>
      <c r="K1005" s="1002">
        <f>IF(I!K1005="","",$D$2*I!K1005)</f>
        <v>4.9803656889999999E-3</v>
      </c>
      <c r="L1005" s="981"/>
      <c r="M1005" s="982"/>
      <c r="N1005" s="1003"/>
      <c r="O1005" s="1004">
        <f>IF(I!O1005="","",$D$2*I!O1005)</f>
        <v>1.6259455689000002E-2</v>
      </c>
      <c r="P1005" s="1005">
        <f>IF(I!P1005="","",$D$2*I!P1005)</f>
        <v>3.5672552520000004E-3</v>
      </c>
      <c r="Q1005" s="1006" t="str">
        <f>IF(I!Q1005="","",$D$2*I!Q1005)</f>
        <v/>
      </c>
      <c r="R1005" s="982"/>
      <c r="S1005" s="1003"/>
      <c r="T1005" s="938"/>
      <c r="U1005" s="1062" t="s">
        <v>1059</v>
      </c>
      <c r="V1005" s="1018" t="s">
        <v>6840</v>
      </c>
      <c r="W1005" s="1019">
        <f>IF(I!W1005="","",$D$2*I!W1005)</f>
        <v>1.251505042E-2</v>
      </c>
      <c r="X1005" s="990">
        <f>IF(I!X1005="","",$D$2*I!X1005)</f>
        <v>1.0619181755999999E-2</v>
      </c>
      <c r="Y1005" s="1010">
        <f>IF(I!Y1005="","",$D$2*I!Y1005)</f>
        <v>2.505058642E-2</v>
      </c>
      <c r="Z1005" s="938"/>
      <c r="AA1005" s="938"/>
      <c r="AB1005" s="938"/>
      <c r="AC1005" s="938"/>
      <c r="AD1005" s="1058"/>
      <c r="AE1005" s="938"/>
      <c r="AF1005" s="938"/>
      <c r="AG1005" s="938"/>
      <c r="AH1005" s="938"/>
    </row>
    <row r="1006" spans="1:34" ht="17.25" customHeight="1" x14ac:dyDescent="0.35">
      <c r="A1006" s="938"/>
      <c r="B1006" s="938"/>
      <c r="C1006" s="941"/>
      <c r="D1006" s="1047"/>
      <c r="E1006" s="941"/>
      <c r="F1006" s="938"/>
      <c r="G1006" s="976">
        <f t="shared" si="17"/>
        <v>1003</v>
      </c>
      <c r="H1006" s="1000"/>
      <c r="I1006" s="1001" t="s">
        <v>1059</v>
      </c>
      <c r="J1006" s="1065" t="s">
        <v>2044</v>
      </c>
      <c r="K1006" s="1002">
        <f>IF(I!K1006="","",$D$2*I!K1006)</f>
        <v>0.62314493498000001</v>
      </c>
      <c r="L1006" s="981"/>
      <c r="M1006" s="982"/>
      <c r="N1006" s="1003"/>
      <c r="O1006" s="1004">
        <f>IF(I!O1006="","",$D$2*I!O1006)</f>
        <v>0.94919691498000003</v>
      </c>
      <c r="P1006" s="1005">
        <f>IF(I!P1006="","",$D$2*I!P1006)</f>
        <v>5.9513222380000001E-2</v>
      </c>
      <c r="Q1006" s="1006" t="str">
        <f>IF(I!Q1006="","",$D$2*I!Q1006)</f>
        <v/>
      </c>
      <c r="R1006" s="982"/>
      <c r="S1006" s="1003"/>
      <c r="T1006" s="938"/>
      <c r="U1006" s="1062" t="s">
        <v>1059</v>
      </c>
      <c r="V1006" s="1018" t="s">
        <v>6841</v>
      </c>
      <c r="W1006" s="1019">
        <f>IF(I!W1006="","",$D$2*I!W1006)</f>
        <v>4.7058038490000002E-2</v>
      </c>
      <c r="X1006" s="990">
        <f>IF(I!X1006="","",$D$2*I!X1006)</f>
        <v>1.0560697576999999E-2</v>
      </c>
      <c r="Y1006" s="1010">
        <f>IF(I!Y1006="","",$D$2*I!Y1006)</f>
        <v>6.1270327489999998E-2</v>
      </c>
      <c r="Z1006" s="938"/>
      <c r="AA1006" s="938"/>
      <c r="AB1006" s="938"/>
      <c r="AC1006" s="938"/>
      <c r="AD1006" s="1058"/>
      <c r="AE1006" s="938"/>
      <c r="AF1006" s="938"/>
      <c r="AG1006" s="938"/>
      <c r="AH1006" s="938"/>
    </row>
    <row r="1007" spans="1:34" ht="17.25" customHeight="1" x14ac:dyDescent="0.35">
      <c r="A1007" s="938"/>
      <c r="B1007" s="938"/>
      <c r="C1007" s="941"/>
      <c r="D1007" s="1047"/>
      <c r="E1007" s="941"/>
      <c r="F1007" s="938"/>
      <c r="G1007" s="976">
        <f t="shared" si="17"/>
        <v>1004</v>
      </c>
      <c r="H1007" s="1000"/>
      <c r="I1007" s="1001" t="s">
        <v>1059</v>
      </c>
      <c r="J1007" s="1065" t="s">
        <v>2045</v>
      </c>
      <c r="K1007" s="1002">
        <f>IF(I!K1007="","",$D$2*I!K1007)</f>
        <v>1.6910478119999999E-2</v>
      </c>
      <c r="L1007" s="981"/>
      <c r="M1007" s="982"/>
      <c r="N1007" s="1003"/>
      <c r="O1007" s="1004">
        <f>IF(I!O1007="","",$D$2*I!O1007)</f>
        <v>7.7125094120000001E-2</v>
      </c>
      <c r="P1007" s="1005">
        <f>IF(I!P1007="","",$D$2*I!P1007)</f>
        <v>7.3091726099999994E-3</v>
      </c>
      <c r="Q1007" s="1006" t="str">
        <f>IF(I!Q1007="","",$D$2*I!Q1007)</f>
        <v/>
      </c>
      <c r="R1007" s="982"/>
      <c r="S1007" s="1003"/>
      <c r="T1007" s="938"/>
      <c r="U1007" s="1062" t="s">
        <v>1059</v>
      </c>
      <c r="V1007" s="1018" t="s">
        <v>6842</v>
      </c>
      <c r="W1007" s="1019">
        <f>IF(I!W1007="","",$D$2*I!W1007)</f>
        <v>1.097944901E-2</v>
      </c>
      <c r="X1007" s="990">
        <f>IF(I!X1007="","",$D$2*I!X1007)</f>
        <v>8.9563626069999996E-3</v>
      </c>
      <c r="Y1007" s="1010">
        <f>IF(I!Y1007="","",$D$2*I!Y1007)</f>
        <v>2.275480501E-2</v>
      </c>
      <c r="Z1007" s="938"/>
      <c r="AA1007" s="938"/>
      <c r="AB1007" s="938"/>
      <c r="AC1007" s="938"/>
      <c r="AD1007" s="1058"/>
      <c r="AE1007" s="938"/>
      <c r="AF1007" s="938"/>
      <c r="AG1007" s="938"/>
      <c r="AH1007" s="938"/>
    </row>
    <row r="1008" spans="1:34" ht="17.25" customHeight="1" x14ac:dyDescent="0.35">
      <c r="A1008" s="938"/>
      <c r="B1008" s="938"/>
      <c r="C1008" s="941"/>
      <c r="D1008" s="1047"/>
      <c r="E1008" s="941"/>
      <c r="F1008" s="938"/>
      <c r="G1008" s="976">
        <f t="shared" si="17"/>
        <v>1005</v>
      </c>
      <c r="H1008" s="1000"/>
      <c r="I1008" s="1001" t="s">
        <v>1059</v>
      </c>
      <c r="J1008" s="1065" t="s">
        <v>2046</v>
      </c>
      <c r="K1008" s="1002">
        <f>IF(I!K1008="","",$D$2*I!K1008)</f>
        <v>1.2710313300000001E-3</v>
      </c>
      <c r="L1008" s="981"/>
      <c r="M1008" s="982"/>
      <c r="N1008" s="1003"/>
      <c r="O1008" s="1004">
        <f>IF(I!O1008="","",$D$2*I!O1008)</f>
        <v>4.5693160300000002E-3</v>
      </c>
      <c r="P1008" s="1005">
        <f>IF(I!P1008="","",$D$2*I!P1008)</f>
        <v>3.188715432E-3</v>
      </c>
      <c r="Q1008" s="1006" t="str">
        <f>IF(I!Q1008="","",$D$2*I!Q1008)</f>
        <v/>
      </c>
      <c r="R1008" s="982"/>
      <c r="S1008" s="1003"/>
      <c r="T1008" s="938"/>
      <c r="U1008" s="1062" t="s">
        <v>1059</v>
      </c>
      <c r="V1008" s="1018" t="s">
        <v>6843</v>
      </c>
      <c r="W1008" s="1019">
        <f>IF(I!W1008="","",$D$2*I!W1008)</f>
        <v>1.772176135E-3</v>
      </c>
      <c r="X1008" s="990">
        <f>IF(I!X1008="","",$D$2*I!X1008)</f>
        <v>6.4028493460000001E-4</v>
      </c>
      <c r="Y1008" s="1010">
        <f>IF(I!Y1008="","",$D$2*I!Y1008)</f>
        <v>2.702652075E-3</v>
      </c>
      <c r="Z1008" s="938"/>
      <c r="AA1008" s="938"/>
      <c r="AB1008" s="938"/>
      <c r="AC1008" s="938"/>
      <c r="AD1008" s="1058"/>
      <c r="AE1008" s="938"/>
      <c r="AF1008" s="938"/>
      <c r="AG1008" s="938"/>
      <c r="AH1008" s="938"/>
    </row>
    <row r="1009" spans="1:34" ht="17.25" customHeight="1" x14ac:dyDescent="0.35">
      <c r="A1009" s="938"/>
      <c r="B1009" s="938"/>
      <c r="C1009" s="941"/>
      <c r="D1009" s="1047"/>
      <c r="E1009" s="941"/>
      <c r="F1009" s="938"/>
      <c r="G1009" s="976">
        <f t="shared" si="17"/>
        <v>1006</v>
      </c>
      <c r="H1009" s="1000"/>
      <c r="I1009" s="1001" t="s">
        <v>1059</v>
      </c>
      <c r="J1009" s="1065" t="s">
        <v>2047</v>
      </c>
      <c r="K1009" s="1002">
        <f>IF(I!K1009="","",$D$2*I!K1009)</f>
        <v>1.6277009570000001E-2</v>
      </c>
      <c r="L1009" s="981"/>
      <c r="M1009" s="982"/>
      <c r="N1009" s="1003"/>
      <c r="O1009" s="1004">
        <f>IF(I!O1009="","",$D$2*I!O1009)</f>
        <v>7.6155703570000011E-2</v>
      </c>
      <c r="P1009" s="1005">
        <f>IF(I!P1009="","",$D$2*I!P1009)</f>
        <v>7.2256829400000003E-3</v>
      </c>
      <c r="Q1009" s="1006" t="str">
        <f>IF(I!Q1009="","",$D$2*I!Q1009)</f>
        <v/>
      </c>
      <c r="R1009" s="982"/>
      <c r="S1009" s="1003"/>
      <c r="T1009" s="938"/>
      <c r="U1009" s="1062" t="s">
        <v>1059</v>
      </c>
      <c r="V1009" s="1018" t="s">
        <v>6844</v>
      </c>
      <c r="W1009" s="1019">
        <f>IF(I!W1009="","",$D$2*I!W1009)</f>
        <v>6.5789861855999998E-2</v>
      </c>
      <c r="X1009" s="990">
        <f>IF(I!X1009="","",$D$2*I!X1009)</f>
        <v>8.6368961728000007E-4</v>
      </c>
      <c r="Y1009" s="1010">
        <f>IF(I!Y1009="","",$D$2*I!Y1009)</f>
        <v>0.18112723185599999</v>
      </c>
      <c r="Z1009" s="938"/>
      <c r="AA1009" s="938"/>
      <c r="AB1009" s="938"/>
      <c r="AC1009" s="938"/>
      <c r="AD1009" s="1058"/>
      <c r="AE1009" s="938"/>
      <c r="AF1009" s="938"/>
      <c r="AG1009" s="938"/>
      <c r="AH1009" s="938"/>
    </row>
    <row r="1010" spans="1:34" ht="17.25" customHeight="1" x14ac:dyDescent="0.35">
      <c r="A1010" s="938"/>
      <c r="B1010" s="938"/>
      <c r="C1010" s="941"/>
      <c r="D1010" s="1047"/>
      <c r="E1010" s="941"/>
      <c r="F1010" s="938"/>
      <c r="G1010" s="976">
        <f t="shared" si="17"/>
        <v>1007</v>
      </c>
      <c r="H1010" s="1000"/>
      <c r="I1010" s="1001" t="s">
        <v>1059</v>
      </c>
      <c r="J1010" s="1065" t="s">
        <v>2048</v>
      </c>
      <c r="K1010" s="1002">
        <f>IF(I!K1010="","",$D$2*I!K1010)</f>
        <v>8.387651967999999E-4</v>
      </c>
      <c r="L1010" s="981"/>
      <c r="M1010" s="982"/>
      <c r="N1010" s="1003"/>
      <c r="O1010" s="1004">
        <f>IF(I!O1010="","",$D$2*I!O1010)</f>
        <v>3.2078344967999997E-3</v>
      </c>
      <c r="P1010" s="1005">
        <f>IF(I!P1010="","",$D$2*I!P1010)</f>
        <v>3.1446706090000002E-3</v>
      </c>
      <c r="Q1010" s="1006" t="str">
        <f>IF(I!Q1010="","",$D$2*I!Q1010)</f>
        <v/>
      </c>
      <c r="R1010" s="982"/>
      <c r="S1010" s="1003"/>
      <c r="T1010" s="938"/>
      <c r="U1010" s="1062" t="s">
        <v>1059</v>
      </c>
      <c r="V1010" s="1018" t="s">
        <v>6845</v>
      </c>
      <c r="W1010" s="1019">
        <f>IF(I!W1010="","",$D$2*I!W1010)</f>
        <v>6.7409088349999993E-2</v>
      </c>
      <c r="X1010" s="990">
        <f>IF(I!X1010="","",$D$2*I!X1010)</f>
        <v>9.7216178436999997E-4</v>
      </c>
      <c r="Y1010" s="1010">
        <f>IF(I!Y1010="","",$D$2*I!Y1010)</f>
        <v>0.18481799835000001</v>
      </c>
      <c r="Z1010" s="938"/>
      <c r="AA1010" s="938"/>
      <c r="AB1010" s="938"/>
      <c r="AC1010" s="938"/>
      <c r="AD1010" s="1058"/>
      <c r="AE1010" s="938"/>
      <c r="AF1010" s="938"/>
      <c r="AG1010" s="938"/>
      <c r="AH1010" s="938"/>
    </row>
    <row r="1011" spans="1:34" ht="17.25" customHeight="1" x14ac:dyDescent="0.35">
      <c r="A1011" s="938"/>
      <c r="B1011" s="938"/>
      <c r="C1011" s="941"/>
      <c r="D1011" s="1047"/>
      <c r="E1011" s="941"/>
      <c r="F1011" s="938"/>
      <c r="G1011" s="976">
        <f t="shared" si="17"/>
        <v>1008</v>
      </c>
      <c r="H1011" s="1000"/>
      <c r="I1011" s="1001" t="s">
        <v>1059</v>
      </c>
      <c r="J1011" s="1065" t="s">
        <v>2049</v>
      </c>
      <c r="K1011" s="1002">
        <f>IF(I!K1011="","",$D$2*I!K1011)</f>
        <v>6.8409717109999999E-4</v>
      </c>
      <c r="L1011" s="981"/>
      <c r="M1011" s="982"/>
      <c r="N1011" s="1003"/>
      <c r="O1011" s="1004">
        <f>IF(I!O1011="","",$D$2*I!O1011)</f>
        <v>2.7973617710999998E-3</v>
      </c>
      <c r="P1011" s="1005">
        <f>IF(I!P1011="","",$D$2*I!P1011)</f>
        <v>3.3158600927000004E-3</v>
      </c>
      <c r="Q1011" s="1006" t="str">
        <f>IF(I!Q1011="","",$D$2*I!Q1011)</f>
        <v/>
      </c>
      <c r="R1011" s="982"/>
      <c r="S1011" s="1003"/>
      <c r="T1011" s="938"/>
      <c r="U1011" s="1062" t="s">
        <v>1059</v>
      </c>
      <c r="V1011" s="1018" t="s">
        <v>6846</v>
      </c>
      <c r="W1011" s="1019">
        <f>IF(I!W1011="","",$D$2*I!W1011)</f>
        <v>6.0510536806E-2</v>
      </c>
      <c r="X1011" s="990">
        <f>IF(I!X1011="","",$D$2*I!X1011)</f>
        <v>3.04216042E-3</v>
      </c>
      <c r="Y1011" s="1010">
        <f>IF(I!Y1011="","",$D$2*I!Y1011)</f>
        <v>0.16639929680599999</v>
      </c>
      <c r="Z1011" s="938"/>
      <c r="AA1011" s="938"/>
      <c r="AB1011" s="938"/>
      <c r="AC1011" s="938"/>
      <c r="AD1011" s="1058"/>
      <c r="AE1011" s="938"/>
      <c r="AF1011" s="938"/>
      <c r="AG1011" s="938"/>
      <c r="AH1011" s="938"/>
    </row>
    <row r="1012" spans="1:34" ht="17.25" customHeight="1" x14ac:dyDescent="0.35">
      <c r="A1012" s="938"/>
      <c r="B1012" s="938"/>
      <c r="C1012" s="941"/>
      <c r="D1012" s="1047"/>
      <c r="E1012" s="941"/>
      <c r="F1012" s="938"/>
      <c r="G1012" s="976">
        <f t="shared" si="17"/>
        <v>1009</v>
      </c>
      <c r="H1012" s="1000"/>
      <c r="I1012" s="1001" t="s">
        <v>1059</v>
      </c>
      <c r="J1012" s="1065" t="s">
        <v>2050</v>
      </c>
      <c r="K1012" s="1002">
        <f>IF(I!K1012="","",$D$2*I!K1012)</f>
        <v>0.62346321406000016</v>
      </c>
      <c r="L1012" s="981"/>
      <c r="M1012" s="982"/>
      <c r="N1012" s="1003"/>
      <c r="O1012" s="1004">
        <f>IF(I!O1012="","",$D$2*I!O1012)</f>
        <v>0.94968083406000015</v>
      </c>
      <c r="P1012" s="1005">
        <f>IF(I!P1012="","",$D$2*I!P1012)</f>
        <v>5.9542052980000003E-2</v>
      </c>
      <c r="Q1012" s="1006" t="str">
        <f>IF(I!Q1012="","",$D$2*I!Q1012)</f>
        <v/>
      </c>
      <c r="R1012" s="982"/>
      <c r="S1012" s="1003"/>
      <c r="T1012" s="938"/>
      <c r="U1012" s="1062" t="s">
        <v>1059</v>
      </c>
      <c r="V1012" s="1018" t="s">
        <v>6847</v>
      </c>
      <c r="W1012" s="1019">
        <f>IF(I!W1012="","",$D$2*I!W1012)</f>
        <v>6.2129763299999995E-2</v>
      </c>
      <c r="X1012" s="990">
        <f>IF(I!X1012="","",$D$2*I!X1012)</f>
        <v>3.1506326200000001E-3</v>
      </c>
      <c r="Y1012" s="1010">
        <f>IF(I!Y1012="","",$D$2*I!Y1012)</f>
        <v>0.17009006329999998</v>
      </c>
      <c r="Z1012" s="938"/>
      <c r="AA1012" s="938"/>
      <c r="AB1012" s="938"/>
      <c r="AC1012" s="938"/>
      <c r="AD1012" s="1058"/>
      <c r="AE1012" s="938"/>
      <c r="AF1012" s="938"/>
      <c r="AG1012" s="938"/>
      <c r="AH1012" s="938"/>
    </row>
    <row r="1013" spans="1:34" ht="17.25" customHeight="1" x14ac:dyDescent="0.35">
      <c r="A1013" s="938"/>
      <c r="B1013" s="938"/>
      <c r="C1013" s="941"/>
      <c r="D1013" s="1047"/>
      <c r="E1013" s="941"/>
      <c r="F1013" s="938"/>
      <c r="G1013" s="976">
        <f t="shared" si="17"/>
        <v>1010</v>
      </c>
      <c r="H1013" s="1000"/>
      <c r="I1013" s="1001" t="s">
        <v>1059</v>
      </c>
      <c r="J1013" s="1065" t="s">
        <v>2051</v>
      </c>
      <c r="K1013" s="1002">
        <f>IF(I!K1013="","",$D$2*I!K1013)</f>
        <v>-1.8200312994000002E-3</v>
      </c>
      <c r="L1013" s="981"/>
      <c r="M1013" s="982"/>
      <c r="N1013" s="1003"/>
      <c r="O1013" s="1004">
        <f>IF(I!O1013="","",$D$2*I!O1013)</f>
        <v>-5.2084236993999999E-3</v>
      </c>
      <c r="P1013" s="1005">
        <f>IF(I!P1013="","",$D$2*I!P1013)</f>
        <v>2.8702864260000001E-3</v>
      </c>
      <c r="Q1013" s="1006" t="str">
        <f>IF(I!Q1013="","",$D$2*I!Q1013)</f>
        <v/>
      </c>
      <c r="R1013" s="982"/>
      <c r="S1013" s="1003"/>
      <c r="T1013" s="938"/>
      <c r="U1013" s="1062" t="s">
        <v>1059</v>
      </c>
      <c r="V1013" s="1018" t="s">
        <v>6848</v>
      </c>
      <c r="W1013" s="1019">
        <f>IF(I!W1013="","",$D$2*I!W1013)</f>
        <v>9.0997364522000003E-3</v>
      </c>
      <c r="X1013" s="990">
        <f>IF(I!X1013="","",$D$2*I!X1013)</f>
        <v>3.2630756210000003E-4</v>
      </c>
      <c r="Y1013" s="1010">
        <f>IF(I!Y1013="","",$D$2*I!Y1013)</f>
        <v>1.8723091552199998E-2</v>
      </c>
      <c r="Z1013" s="938"/>
      <c r="AA1013" s="938"/>
      <c r="AB1013" s="938"/>
      <c r="AC1013" s="938"/>
      <c r="AD1013" s="1058"/>
      <c r="AE1013" s="938"/>
      <c r="AF1013" s="938"/>
      <c r="AG1013" s="938"/>
      <c r="AH1013" s="938"/>
    </row>
    <row r="1014" spans="1:34" ht="17.25" customHeight="1" x14ac:dyDescent="0.35">
      <c r="A1014" s="938"/>
      <c r="B1014" s="938"/>
      <c r="C1014" s="941"/>
      <c r="D1014" s="1047"/>
      <c r="E1014" s="941"/>
      <c r="F1014" s="938"/>
      <c r="G1014" s="976">
        <f t="shared" si="17"/>
        <v>1011</v>
      </c>
      <c r="H1014" s="1000"/>
      <c r="I1014" s="1001" t="s">
        <v>1059</v>
      </c>
      <c r="J1014" s="1065" t="s">
        <v>2052</v>
      </c>
      <c r="K1014" s="1002">
        <f>IF(I!K1014="","",$D$2*I!K1014)</f>
        <v>3.0985164599999997E-2</v>
      </c>
      <c r="L1014" s="981"/>
      <c r="M1014" s="982"/>
      <c r="N1014" s="1003"/>
      <c r="O1014" s="1004">
        <f>IF(I!O1014="","",$D$2*I!O1014)</f>
        <v>0.16859631459999999</v>
      </c>
      <c r="P1014" s="1005">
        <f>IF(I!P1014="","",$D$2*I!P1014)</f>
        <v>9.3535620899999998E-3</v>
      </c>
      <c r="Q1014" s="1006" t="str">
        <f>IF(I!Q1014="","",$D$2*I!Q1014)</f>
        <v/>
      </c>
      <c r="R1014" s="982"/>
      <c r="S1014" s="1003"/>
      <c r="T1014" s="938"/>
      <c r="U1014" s="1062" t="s">
        <v>1059</v>
      </c>
      <c r="V1014" s="1018" t="s">
        <v>6849</v>
      </c>
      <c r="W1014" s="1019">
        <f>IF(I!W1014="","",$D$2*I!W1014)</f>
        <v>2.1870203636E-2</v>
      </c>
      <c r="X1014" s="990">
        <f>IF(I!X1014="","",$D$2*I!X1014)</f>
        <v>2.3243517200000003E-3</v>
      </c>
      <c r="Y1014" s="1010">
        <f>IF(I!Y1014="","",$D$2*I!Y1014)</f>
        <v>6.1281379636E-2</v>
      </c>
      <c r="Z1014" s="938"/>
      <c r="AA1014" s="938"/>
      <c r="AB1014" s="938"/>
      <c r="AC1014" s="938"/>
      <c r="AD1014" s="1058"/>
      <c r="AE1014" s="938"/>
      <c r="AF1014" s="938"/>
      <c r="AG1014" s="938"/>
      <c r="AH1014" s="938"/>
    </row>
    <row r="1015" spans="1:34" ht="17.25" customHeight="1" x14ac:dyDescent="0.35">
      <c r="A1015" s="938"/>
      <c r="B1015" s="938"/>
      <c r="C1015" s="941"/>
      <c r="D1015" s="1047"/>
      <c r="E1015" s="941"/>
      <c r="F1015" s="938"/>
      <c r="G1015" s="976">
        <f t="shared" si="17"/>
        <v>1012</v>
      </c>
      <c r="H1015" s="1000"/>
      <c r="I1015" s="1001" t="s">
        <v>1059</v>
      </c>
      <c r="J1015" s="1065" t="s">
        <v>2053</v>
      </c>
      <c r="K1015" s="1002">
        <f>IF(I!K1015="","",$D$2*I!K1015)</f>
        <v>0.18693330146000003</v>
      </c>
      <c r="L1015" s="981"/>
      <c r="M1015" s="982"/>
      <c r="N1015" s="1003"/>
      <c r="O1015" s="1004">
        <f>IF(I!O1015="","",$D$2*I!O1015)</f>
        <v>0.53377468145999996</v>
      </c>
      <c r="P1015" s="1005">
        <f>IF(I!P1015="","",$D$2*I!P1015)</f>
        <v>3.9807163900000005E-2</v>
      </c>
      <c r="Q1015" s="1006" t="str">
        <f>IF(I!Q1015="","",$D$2*I!Q1015)</f>
        <v/>
      </c>
      <c r="R1015" s="982"/>
      <c r="S1015" s="1003"/>
      <c r="T1015" s="938"/>
      <c r="U1015" s="1062" t="s">
        <v>1059</v>
      </c>
      <c r="V1015" s="1018" t="s">
        <v>6850</v>
      </c>
      <c r="W1015" s="1019">
        <f>IF(I!W1015="","",$D$2*I!W1015)</f>
        <v>2.348943115E-2</v>
      </c>
      <c r="X1015" s="990">
        <f>IF(I!X1015="","",$D$2*I!X1015)</f>
        <v>2.4328238599999998E-3</v>
      </c>
      <c r="Y1015" s="1010">
        <f>IF(I!Y1015="","",$D$2*I!Y1015)</f>
        <v>6.4972150150000005E-2</v>
      </c>
      <c r="Z1015" s="938"/>
      <c r="AA1015" s="938"/>
      <c r="AB1015" s="938"/>
      <c r="AC1015" s="938"/>
      <c r="AD1015" s="1058"/>
      <c r="AE1015" s="938"/>
      <c r="AF1015" s="938"/>
      <c r="AG1015" s="938"/>
      <c r="AH1015" s="938"/>
    </row>
    <row r="1016" spans="1:34" ht="17.25" customHeight="1" x14ac:dyDescent="0.35">
      <c r="A1016" s="938"/>
      <c r="B1016" s="938"/>
      <c r="C1016" s="941"/>
      <c r="D1016" s="1047"/>
      <c r="E1016" s="941"/>
      <c r="F1016" s="938"/>
      <c r="G1016" s="976">
        <f t="shared" si="17"/>
        <v>1013</v>
      </c>
      <c r="H1016" s="942" t="s">
        <v>2054</v>
      </c>
      <c r="I1016" s="1060"/>
      <c r="J1016" s="1065"/>
      <c r="K1016" s="1002" t="str">
        <f>IF(I!K1016="","",$D$2*I!K1016)</f>
        <v/>
      </c>
      <c r="L1016" s="981"/>
      <c r="M1016" s="982"/>
      <c r="N1016" s="1003"/>
      <c r="O1016" s="1004" t="str">
        <f>IF(I!O1016="","",$D$2*I!O1016)</f>
        <v/>
      </c>
      <c r="P1016" s="1005" t="str">
        <f>IF(I!P1016="","",$D$2*I!P1016)</f>
        <v/>
      </c>
      <c r="Q1016" s="1006" t="str">
        <f>IF(I!Q1016="","",$D$2*I!Q1016)</f>
        <v/>
      </c>
      <c r="R1016" s="982"/>
      <c r="S1016" s="1003"/>
      <c r="T1016" s="938"/>
      <c r="U1016" s="1062" t="s">
        <v>1059</v>
      </c>
      <c r="V1016" s="1018" t="s">
        <v>6851</v>
      </c>
      <c r="W1016" s="1019">
        <f>IF(I!W1016="","",$D$2*I!W1016)</f>
        <v>4.9203130199999999E-3</v>
      </c>
      <c r="X1016" s="990">
        <f>IF(I!X1016="","",$D$2*I!X1016)</f>
        <v>1.4153006956199999E-4</v>
      </c>
      <c r="Y1016" s="1010">
        <f>IF(I!Y1016="","",$D$2*I!Y1016)</f>
        <v>3.0482980020000001E-2</v>
      </c>
      <c r="Z1016" s="938"/>
      <c r="AA1016" s="938"/>
      <c r="AB1016" s="938"/>
      <c r="AC1016" s="938"/>
      <c r="AD1016" s="1058"/>
      <c r="AE1016" s="938"/>
      <c r="AF1016" s="938"/>
      <c r="AG1016" s="938"/>
      <c r="AH1016" s="938"/>
    </row>
    <row r="1017" spans="1:34" ht="17.25" customHeight="1" x14ac:dyDescent="0.35">
      <c r="A1017" s="938"/>
      <c r="B1017" s="938"/>
      <c r="C1017" s="941"/>
      <c r="D1017" s="1047"/>
      <c r="E1017" s="941"/>
      <c r="F1017" s="938"/>
      <c r="G1017" s="976">
        <f t="shared" si="17"/>
        <v>1014</v>
      </c>
      <c r="H1017" s="1000"/>
      <c r="I1017" s="1001" t="s">
        <v>1059</v>
      </c>
      <c r="J1017" s="1065" t="s">
        <v>2055</v>
      </c>
      <c r="K1017" s="1002">
        <f>IF(I!K1017="","",$D$2*I!K1017)</f>
        <v>4.4233548589999991E-2</v>
      </c>
      <c r="L1017" s="981"/>
      <c r="M1017" s="982"/>
      <c r="N1017" s="1003"/>
      <c r="O1017" s="1004">
        <f>IF(I!O1017="","",$D$2*I!O1017)</f>
        <v>6.9395784589999995E-2</v>
      </c>
      <c r="P1017" s="1005">
        <f>IF(I!P1017="","",$D$2*I!P1017)</f>
        <v>1.0910995489999999E-3</v>
      </c>
      <c r="Q1017" s="1006" t="str">
        <f>IF(I!Q1017="","",$D$2*I!Q1017)</f>
        <v/>
      </c>
      <c r="R1017" s="982"/>
      <c r="S1017" s="1003"/>
      <c r="T1017" s="938"/>
      <c r="U1017" s="1062" t="s">
        <v>1059</v>
      </c>
      <c r="V1017" s="1018" t="s">
        <v>6852</v>
      </c>
      <c r="W1017" s="1019">
        <f>IF(I!W1017="","",$D$2*I!W1017)</f>
        <v>2.19809025E-2</v>
      </c>
      <c r="X1017" s="990">
        <f>IF(I!X1017="","",$D$2*I!X1017)</f>
        <v>2.8454755077999996E-3</v>
      </c>
      <c r="Y1017" s="1010">
        <f>IF(I!Y1017="","",$D$2*I!Y1017)</f>
        <v>6.07195715E-2</v>
      </c>
      <c r="Z1017" s="938"/>
      <c r="AA1017" s="938"/>
      <c r="AB1017" s="938"/>
      <c r="AC1017" s="938"/>
      <c r="AD1017" s="1058"/>
      <c r="AE1017" s="938"/>
      <c r="AF1017" s="938"/>
      <c r="AG1017" s="938"/>
      <c r="AH1017" s="938"/>
    </row>
    <row r="1018" spans="1:34" ht="17.25" customHeight="1" x14ac:dyDescent="0.35">
      <c r="A1018" s="938"/>
      <c r="B1018" s="938"/>
      <c r="C1018" s="941"/>
      <c r="D1018" s="1047"/>
      <c r="E1018" s="941"/>
      <c r="F1018" s="938"/>
      <c r="G1018" s="976">
        <f t="shared" si="17"/>
        <v>1015</v>
      </c>
      <c r="H1018" s="1000"/>
      <c r="I1018" s="1001" t="s">
        <v>1059</v>
      </c>
      <c r="J1018" s="1065" t="s">
        <v>2056</v>
      </c>
      <c r="K1018" s="1002">
        <f>IF(I!K1018="","",$D$2*I!K1018)</f>
        <v>0.13431677717999999</v>
      </c>
      <c r="L1018" s="981"/>
      <c r="M1018" s="982"/>
      <c r="N1018" s="1003"/>
      <c r="O1018" s="1004">
        <f>IF(I!O1018="","",$D$2*I!O1018)</f>
        <v>0.20483940917999999</v>
      </c>
      <c r="P1018" s="1005">
        <f>IF(I!P1018="","",$D$2*I!P1018)</f>
        <v>1.2999779300000001E-3</v>
      </c>
      <c r="Q1018" s="1006" t="str">
        <f>IF(I!Q1018="","",$D$2*I!Q1018)</f>
        <v/>
      </c>
      <c r="R1018" s="982"/>
      <c r="S1018" s="1003"/>
      <c r="T1018" s="938"/>
      <c r="U1018" s="1062" t="s">
        <v>1059</v>
      </c>
      <c r="V1018" s="1018" t="s">
        <v>6853</v>
      </c>
      <c r="W1018" s="1019">
        <f>IF(I!W1018="","",$D$2*I!W1018)</f>
        <v>1.823411497E-2</v>
      </c>
      <c r="X1018" s="990">
        <f>IF(I!X1018="","",$D$2*I!X1018)</f>
        <v>2.7391757453999999E-3</v>
      </c>
      <c r="Y1018" s="1010">
        <f>IF(I!Y1018="","",$D$2*I!Y1018)</f>
        <v>6.5492158969999992E-2</v>
      </c>
      <c r="Z1018" s="938"/>
      <c r="AA1018" s="938"/>
      <c r="AB1018" s="938"/>
      <c r="AC1018" s="938"/>
      <c r="AD1018" s="1058"/>
      <c r="AE1018" s="938"/>
      <c r="AF1018" s="938"/>
      <c r="AG1018" s="938"/>
      <c r="AH1018" s="938"/>
    </row>
    <row r="1019" spans="1:34" ht="17.25" customHeight="1" x14ac:dyDescent="0.35">
      <c r="A1019" s="938"/>
      <c r="B1019" s="938"/>
      <c r="C1019" s="941"/>
      <c r="D1019" s="1047"/>
      <c r="E1019" s="941"/>
      <c r="F1019" s="938"/>
      <c r="G1019" s="976">
        <f t="shared" si="17"/>
        <v>1016</v>
      </c>
      <c r="H1019" s="1000"/>
      <c r="I1019" s="1001" t="s">
        <v>1059</v>
      </c>
      <c r="J1019" s="1065" t="s">
        <v>2057</v>
      </c>
      <c r="K1019" s="1002">
        <f>IF(I!K1019="","",$D$2*I!K1019)</f>
        <v>1.5957094894000001E-2</v>
      </c>
      <c r="L1019" s="981"/>
      <c r="M1019" s="982"/>
      <c r="N1019" s="1003"/>
      <c r="O1019" s="1004">
        <f>IF(I!O1019="","",$D$2*I!O1019)</f>
        <v>3.1769918894E-2</v>
      </c>
      <c r="P1019" s="1005">
        <f>IF(I!P1019="","",$D$2*I!P1019)</f>
        <v>6.9283973010000003E-3</v>
      </c>
      <c r="Q1019" s="1006" t="str">
        <f>IF(I!Q1019="","",$D$2*I!Q1019)</f>
        <v/>
      </c>
      <c r="R1019" s="982"/>
      <c r="S1019" s="1003"/>
      <c r="T1019" s="938"/>
      <c r="U1019" s="1062" t="s">
        <v>1059</v>
      </c>
      <c r="V1019" s="1018" t="s">
        <v>6854</v>
      </c>
      <c r="W1019" s="1019">
        <f>IF(I!W1019="","",$D$2*I!W1019)</f>
        <v>1.6614888012999998E-2</v>
      </c>
      <c r="X1019" s="990">
        <f>IF(I!X1019="","",$D$2*I!X1019)</f>
        <v>2.6307035603000003E-3</v>
      </c>
      <c r="Y1019" s="1010">
        <f>IF(I!Y1019="","",$D$2*I!Y1019)</f>
        <v>6.1801389012999995E-2</v>
      </c>
      <c r="Z1019" s="938"/>
      <c r="AA1019" s="938"/>
      <c r="AB1019" s="938"/>
      <c r="AC1019" s="938"/>
      <c r="AD1019" s="1058"/>
      <c r="AE1019" s="938"/>
      <c r="AF1019" s="938"/>
      <c r="AG1019" s="938"/>
      <c r="AH1019" s="938"/>
    </row>
    <row r="1020" spans="1:34" ht="17.25" customHeight="1" x14ac:dyDescent="0.35">
      <c r="A1020" s="938"/>
      <c r="B1020" s="938"/>
      <c r="C1020" s="941"/>
      <c r="D1020" s="1047"/>
      <c r="E1020" s="941"/>
      <c r="F1020" s="938"/>
      <c r="G1020" s="976">
        <f t="shared" si="17"/>
        <v>1017</v>
      </c>
      <c r="H1020" s="1000"/>
      <c r="I1020" s="1001" t="s">
        <v>1059</v>
      </c>
      <c r="J1020" s="1065" t="s">
        <v>2058</v>
      </c>
      <c r="K1020" s="1002">
        <f>IF(I!K1020="","",$D$2*I!K1020)</f>
        <v>1.2535717938999999E-2</v>
      </c>
      <c r="L1020" s="981"/>
      <c r="M1020" s="982"/>
      <c r="N1020" s="1003"/>
      <c r="O1020" s="1004">
        <f>IF(I!O1020="","",$D$2*I!O1020)</f>
        <v>3.9482963938999999E-2</v>
      </c>
      <c r="P1020" s="1005">
        <f>IF(I!P1020="","",$D$2*I!P1020)</f>
        <v>1.27729986E-3</v>
      </c>
      <c r="Q1020" s="1006" t="str">
        <f>IF(I!Q1020="","",$D$2*I!Q1020)</f>
        <v/>
      </c>
      <c r="R1020" s="982"/>
      <c r="S1020" s="1003"/>
      <c r="T1020" s="938"/>
      <c r="U1020" s="1062" t="s">
        <v>1059</v>
      </c>
      <c r="V1020" s="1018" t="s">
        <v>6855</v>
      </c>
      <c r="W1020" s="1019">
        <f>IF(I!W1020="","",$D$2*I!W1020)</f>
        <v>1.6011217983000002E-2</v>
      </c>
      <c r="X1020" s="990">
        <f>IF(I!X1020="","",$D$2*I!X1020)</f>
        <v>7.6934315507000005E-4</v>
      </c>
      <c r="Y1020" s="1010">
        <f>IF(I!Y1020="","",$D$2*I!Y1020)</f>
        <v>4.2177861982999998E-2</v>
      </c>
      <c r="Z1020" s="938"/>
      <c r="AA1020" s="938"/>
      <c r="AB1020" s="938"/>
      <c r="AC1020" s="938"/>
      <c r="AD1020" s="1058"/>
      <c r="AE1020" s="938"/>
      <c r="AF1020" s="938"/>
      <c r="AG1020" s="938"/>
      <c r="AH1020" s="938"/>
    </row>
    <row r="1021" spans="1:34" ht="17.25" customHeight="1" x14ac:dyDescent="0.35">
      <c r="A1021" s="938"/>
      <c r="B1021" s="938"/>
      <c r="C1021" s="941"/>
      <c r="D1021" s="1047"/>
      <c r="E1021" s="941"/>
      <c r="F1021" s="938"/>
      <c r="G1021" s="976">
        <f t="shared" si="17"/>
        <v>1018</v>
      </c>
      <c r="H1021" s="1000"/>
      <c r="I1021" s="1001" t="s">
        <v>1059</v>
      </c>
      <c r="J1021" s="1065" t="s">
        <v>2059</v>
      </c>
      <c r="K1021" s="1002">
        <f>IF(I!K1021="","",$D$2*I!K1021)</f>
        <v>9.1928598630000007E-3</v>
      </c>
      <c r="L1021" s="981"/>
      <c r="M1021" s="982"/>
      <c r="N1021" s="1003"/>
      <c r="O1021" s="1004">
        <f>IF(I!O1021="","",$D$2*I!O1021)</f>
        <v>2.8954173862999998E-2</v>
      </c>
      <c r="P1021" s="1005">
        <f>IF(I!P1021="","",$D$2*I!P1021)</f>
        <v>9.3668655999999998E-4</v>
      </c>
      <c r="Q1021" s="1006" t="str">
        <f>IF(I!Q1021="","",$D$2*I!Q1021)</f>
        <v/>
      </c>
      <c r="R1021" s="982"/>
      <c r="S1021" s="1003"/>
      <c r="T1021" s="938"/>
      <c r="U1021" s="1062" t="s">
        <v>1059</v>
      </c>
      <c r="V1021" s="1018" t="s">
        <v>6856</v>
      </c>
      <c r="W1021" s="1019">
        <f>IF(I!W1021="","",$D$2*I!W1021)</f>
        <v>1.7630444969999999E-2</v>
      </c>
      <c r="X1021" s="990">
        <f>IF(I!X1021="","",$D$2*I!X1021)</f>
        <v>8.7781530220000005E-4</v>
      </c>
      <c r="Y1021" s="1010">
        <f>IF(I!Y1021="","",$D$2*I!Y1021)</f>
        <v>4.5868631970000004E-2</v>
      </c>
      <c r="Z1021" s="938"/>
      <c r="AA1021" s="938"/>
      <c r="AB1021" s="938"/>
      <c r="AC1021" s="938"/>
      <c r="AD1021" s="1058"/>
      <c r="AE1021" s="938"/>
      <c r="AF1021" s="938"/>
      <c r="AG1021" s="938"/>
      <c r="AH1021" s="938"/>
    </row>
    <row r="1022" spans="1:34" ht="17.25" customHeight="1" x14ac:dyDescent="0.35">
      <c r="A1022" s="938"/>
      <c r="B1022" s="938"/>
      <c r="C1022" s="941"/>
      <c r="D1022" s="1047"/>
      <c r="E1022" s="941"/>
      <c r="F1022" s="938"/>
      <c r="G1022" s="976">
        <f t="shared" si="17"/>
        <v>1019</v>
      </c>
      <c r="H1022" s="1000"/>
      <c r="I1022" s="1001" t="s">
        <v>1059</v>
      </c>
      <c r="J1022" s="1065" t="s">
        <v>2060</v>
      </c>
      <c r="K1022" s="1002">
        <f>IF(I!K1022="","",$D$2*I!K1022)</f>
        <v>2.5071436079E-2</v>
      </c>
      <c r="L1022" s="981"/>
      <c r="M1022" s="982"/>
      <c r="N1022" s="1003"/>
      <c r="O1022" s="1004">
        <f>IF(I!O1022="","",$D$2*I!O1022)</f>
        <v>7.8965928079000006E-2</v>
      </c>
      <c r="P1022" s="1005">
        <f>IF(I!P1022="","",$D$2*I!P1022)</f>
        <v>2.55459972E-3</v>
      </c>
      <c r="Q1022" s="1006" t="str">
        <f>IF(I!Q1022="","",$D$2*I!Q1022)</f>
        <v/>
      </c>
      <c r="R1022" s="982"/>
      <c r="S1022" s="1003"/>
      <c r="T1022" s="938"/>
      <c r="U1022" s="1062" t="s">
        <v>1059</v>
      </c>
      <c r="V1022" s="1018" t="s">
        <v>6857</v>
      </c>
      <c r="W1022" s="1019">
        <f>IF(I!W1022="","",$D$2*I!W1022)</f>
        <v>4.3247113599999998E-2</v>
      </c>
      <c r="X1022" s="990">
        <f>IF(I!X1022="","",$D$2*I!X1022)</f>
        <v>2.5542567799999999E-3</v>
      </c>
      <c r="Y1022" s="1010">
        <f>IF(I!Y1022="","",$D$2*I!Y1022)</f>
        <v>0.10820689059999999</v>
      </c>
      <c r="Z1022" s="938"/>
      <c r="AA1022" s="938"/>
      <c r="AB1022" s="938"/>
      <c r="AC1022" s="938"/>
      <c r="AD1022" s="1058"/>
      <c r="AE1022" s="938"/>
      <c r="AF1022" s="938"/>
      <c r="AG1022" s="938"/>
      <c r="AH1022" s="938"/>
    </row>
    <row r="1023" spans="1:34" ht="17.25" customHeight="1" x14ac:dyDescent="0.35">
      <c r="A1023" s="938"/>
      <c r="B1023" s="938"/>
      <c r="C1023" s="941"/>
      <c r="D1023" s="1047"/>
      <c r="E1023" s="941"/>
      <c r="F1023" s="938"/>
      <c r="G1023" s="976">
        <f t="shared" si="17"/>
        <v>1020</v>
      </c>
      <c r="H1023" s="942" t="s">
        <v>2061</v>
      </c>
      <c r="I1023" s="1060"/>
      <c r="J1023" s="1065"/>
      <c r="K1023" s="1002" t="str">
        <f>IF(I!K1023="","",$D$2*I!K1023)</f>
        <v/>
      </c>
      <c r="L1023" s="981"/>
      <c r="M1023" s="982"/>
      <c r="N1023" s="1003"/>
      <c r="O1023" s="1004" t="str">
        <f>IF(I!O1023="","",$D$2*I!O1023)</f>
        <v/>
      </c>
      <c r="P1023" s="1005" t="str">
        <f>IF(I!P1023="","",$D$2*I!P1023)</f>
        <v/>
      </c>
      <c r="Q1023" s="1006" t="str">
        <f>IF(I!Q1023="","",$D$2*I!Q1023)</f>
        <v/>
      </c>
      <c r="R1023" s="982"/>
      <c r="S1023" s="1003"/>
      <c r="T1023" s="938"/>
      <c r="U1023" s="1062" t="s">
        <v>1059</v>
      </c>
      <c r="V1023" s="1018" t="s">
        <v>6858</v>
      </c>
      <c r="W1023" s="1019">
        <f>IF(I!W1023="","",$D$2*I!W1023)</f>
        <v>4.4866340810000002E-2</v>
      </c>
      <c r="X1023" s="990">
        <f>IF(I!X1023="","",$D$2*I!X1023)</f>
        <v>2.66272887E-3</v>
      </c>
      <c r="Y1023" s="1010">
        <f>IF(I!Y1023="","",$D$2*I!Y1023)</f>
        <v>0.11189766081000001</v>
      </c>
      <c r="Z1023" s="938"/>
      <c r="AA1023" s="938"/>
      <c r="AB1023" s="938"/>
      <c r="AC1023" s="938"/>
      <c r="AD1023" s="1058"/>
      <c r="AE1023" s="938"/>
      <c r="AF1023" s="938"/>
      <c r="AG1023" s="938"/>
      <c r="AH1023" s="938"/>
    </row>
    <row r="1024" spans="1:34" ht="17.25" customHeight="1" x14ac:dyDescent="0.35">
      <c r="A1024" s="938"/>
      <c r="B1024" s="938"/>
      <c r="C1024" s="941"/>
      <c r="D1024" s="1047"/>
      <c r="E1024" s="941"/>
      <c r="F1024" s="938"/>
      <c r="G1024" s="976">
        <f t="shared" si="17"/>
        <v>1021</v>
      </c>
      <c r="H1024" s="1000"/>
      <c r="I1024" s="1001" t="s">
        <v>1059</v>
      </c>
      <c r="J1024" s="1065" t="s">
        <v>2062</v>
      </c>
      <c r="K1024" s="1002">
        <f>IF(I!K1024="","",$D$2*I!K1024)</f>
        <v>0.13135951479999999</v>
      </c>
      <c r="L1024" s="981"/>
      <c r="M1024" s="982"/>
      <c r="N1024" s="1003"/>
      <c r="O1024" s="1004">
        <f>IF(I!O1024="","",$D$2*I!O1024)</f>
        <v>0.28134877479999998</v>
      </c>
      <c r="P1024" s="1005">
        <f>IF(I!P1024="","",$D$2*I!P1024)</f>
        <v>1.4069996560000006E-2</v>
      </c>
      <c r="Q1024" s="1006" t="str">
        <f>IF(I!Q1024="","",$D$2*I!Q1024)</f>
        <v/>
      </c>
      <c r="R1024" s="982"/>
      <c r="S1024" s="1003"/>
      <c r="T1024" s="938"/>
      <c r="U1024" s="1062" t="s">
        <v>1059</v>
      </c>
      <c r="V1024" s="1018" t="s">
        <v>6859</v>
      </c>
      <c r="W1024" s="1019">
        <f>IF(I!W1024="","",$D$2*I!W1024)</f>
        <v>1.8010878324000001E-2</v>
      </c>
      <c r="X1024" s="990">
        <f>IF(I!X1024="","",$D$2*I!X1024)</f>
        <v>1.3351258058200001E-3</v>
      </c>
      <c r="Y1024" s="1010">
        <f>IF(I!Y1024="","",$D$2*I!Y1024)</f>
        <v>8.5403908324000008E-2</v>
      </c>
      <c r="Z1024" s="938"/>
      <c r="AA1024" s="938"/>
      <c r="AB1024" s="938"/>
      <c r="AC1024" s="938"/>
      <c r="AD1024" s="1058"/>
      <c r="AE1024" s="938"/>
      <c r="AF1024" s="938"/>
      <c r="AG1024" s="938"/>
      <c r="AH1024" s="938"/>
    </row>
    <row r="1025" spans="1:34" ht="17.25" customHeight="1" x14ac:dyDescent="0.35">
      <c r="A1025" s="938"/>
      <c r="B1025" s="938"/>
      <c r="C1025" s="941"/>
      <c r="D1025" s="1047"/>
      <c r="E1025" s="941"/>
      <c r="F1025" s="938"/>
      <c r="G1025" s="976">
        <f t="shared" si="17"/>
        <v>1022</v>
      </c>
      <c r="H1025" s="1000"/>
      <c r="I1025" s="1001" t="s">
        <v>1059</v>
      </c>
      <c r="J1025" s="1065" t="s">
        <v>2063</v>
      </c>
      <c r="K1025" s="1002">
        <f>IF(I!K1025="","",$D$2*I!K1025)</f>
        <v>0.20482424145999997</v>
      </c>
      <c r="L1025" s="981"/>
      <c r="M1025" s="982"/>
      <c r="N1025" s="1003"/>
      <c r="O1025" s="1004">
        <f>IF(I!O1025="","",$D$2*I!O1025)</f>
        <v>0.27505971445999999</v>
      </c>
      <c r="P1025" s="1005">
        <f>IF(I!P1025="","",$D$2*I!P1025)</f>
        <v>1.2016062550000001E-3</v>
      </c>
      <c r="Q1025" s="1006" t="str">
        <f>IF(I!Q1025="","",$D$2*I!Q1025)</f>
        <v/>
      </c>
      <c r="R1025" s="982"/>
      <c r="S1025" s="1003"/>
      <c r="T1025" s="938"/>
      <c r="U1025" s="1062" t="s">
        <v>1059</v>
      </c>
      <c r="V1025" s="1018" t="s">
        <v>6860</v>
      </c>
      <c r="W1025" s="1019">
        <f>IF(I!W1025="","",$D$2*I!W1025)</f>
        <v>1.9630105089999999E-2</v>
      </c>
      <c r="X1025" s="990">
        <f>IF(I!X1025="","",$D$2*I!X1025)</f>
        <v>1.4435978829100001E-3</v>
      </c>
      <c r="Y1025" s="1010">
        <f>IF(I!Y1025="","",$D$2*I!Y1025)</f>
        <v>8.9094678090000004E-2</v>
      </c>
      <c r="Z1025" s="938"/>
      <c r="AA1025" s="938"/>
      <c r="AB1025" s="938"/>
      <c r="AC1025" s="938"/>
      <c r="AD1025" s="1058"/>
      <c r="AE1025" s="938"/>
      <c r="AF1025" s="938"/>
      <c r="AG1025" s="938"/>
      <c r="AH1025" s="938"/>
    </row>
    <row r="1026" spans="1:34" ht="17.25" customHeight="1" x14ac:dyDescent="0.35">
      <c r="A1026" s="938"/>
      <c r="B1026" s="938"/>
      <c r="C1026" s="941"/>
      <c r="D1026" s="1047"/>
      <c r="E1026" s="941"/>
      <c r="F1026" s="938"/>
      <c r="G1026" s="976">
        <f t="shared" si="17"/>
        <v>1023</v>
      </c>
      <c r="H1026" s="1000"/>
      <c r="I1026" s="1001" t="s">
        <v>1059</v>
      </c>
      <c r="J1026" s="1065" t="s">
        <v>2064</v>
      </c>
      <c r="K1026" s="1002">
        <f>IF(I!K1026="","",$D$2*I!K1026)</f>
        <v>3.3076457354999998E-2</v>
      </c>
      <c r="L1026" s="981"/>
      <c r="M1026" s="982"/>
      <c r="N1026" s="1003"/>
      <c r="O1026" s="1004">
        <f>IF(I!O1026="","",$D$2*I!O1026)</f>
        <v>4.2466344454999999E-2</v>
      </c>
      <c r="P1026" s="1005">
        <f>IF(I!P1026="","",$D$2*I!P1026)</f>
        <v>4.0608081030000002E-4</v>
      </c>
      <c r="Q1026" s="1006" t="str">
        <f>IF(I!Q1026="","",$D$2*I!Q1026)</f>
        <v/>
      </c>
      <c r="R1026" s="982"/>
      <c r="S1026" s="1003"/>
      <c r="T1026" s="938"/>
      <c r="U1026" s="1008"/>
      <c r="V1026" s="1066"/>
      <c r="W1026" s="1019" t="str">
        <f>IF(I!W1026="","",$D$2*I!W1026)</f>
        <v/>
      </c>
      <c r="X1026" s="990" t="str">
        <f>IF(I!X1026="","",$D$2*I!X1026)</f>
        <v/>
      </c>
      <c r="Y1026" s="1010" t="str">
        <f>IF(I!Y1026="","",$D$2*I!Y1026)</f>
        <v/>
      </c>
      <c r="Z1026" s="938"/>
      <c r="AA1026" s="938"/>
      <c r="AB1026" s="938"/>
      <c r="AC1026" s="938"/>
      <c r="AD1026" s="1058"/>
      <c r="AE1026" s="938"/>
      <c r="AF1026" s="938"/>
      <c r="AG1026" s="938"/>
      <c r="AH1026" s="938"/>
    </row>
    <row r="1027" spans="1:34" ht="17.25" customHeight="1" x14ac:dyDescent="0.35">
      <c r="A1027" s="938"/>
      <c r="B1027" s="938"/>
      <c r="C1027" s="941"/>
      <c r="D1027" s="1047"/>
      <c r="E1027" s="941"/>
      <c r="F1027" s="938"/>
      <c r="G1027" s="976">
        <f t="shared" si="17"/>
        <v>1024</v>
      </c>
      <c r="H1027" s="1000"/>
      <c r="I1027" s="1001" t="s">
        <v>1059</v>
      </c>
      <c r="J1027" s="1065" t="s">
        <v>2065</v>
      </c>
      <c r="K1027" s="1002">
        <f>IF(I!K1027="","",$D$2*I!K1027)</f>
        <v>0.17067827464000002</v>
      </c>
      <c r="L1027" s="981"/>
      <c r="M1027" s="982"/>
      <c r="N1027" s="1003"/>
      <c r="O1027" s="1004">
        <f>IF(I!O1027="","",$D$2*I!O1027)</f>
        <v>0.21755991664000002</v>
      </c>
      <c r="P1027" s="1005">
        <f>IF(I!P1027="","",$D$2*I!P1027)</f>
        <v>1.117557574E-3</v>
      </c>
      <c r="Q1027" s="1006" t="str">
        <f>IF(I!Q1027="","",$D$2*I!Q1027)</f>
        <v/>
      </c>
      <c r="R1027" s="982"/>
      <c r="S1027" s="1003"/>
      <c r="T1027" s="938"/>
      <c r="U1027" s="1008"/>
      <c r="V1027" s="1061" t="s">
        <v>6861</v>
      </c>
      <c r="W1027" s="1019" t="str">
        <f>IF(I!W1027="","",$D$2*I!W1027)</f>
        <v/>
      </c>
      <c r="X1027" s="990" t="str">
        <f>IF(I!X1027="","",$D$2*I!X1027)</f>
        <v/>
      </c>
      <c r="Y1027" s="1010" t="str">
        <f>IF(I!Y1027="","",$D$2*I!Y1027)</f>
        <v/>
      </c>
      <c r="Z1027" s="938"/>
      <c r="AA1027" s="938"/>
      <c r="AB1027" s="938"/>
      <c r="AC1027" s="938"/>
      <c r="AD1027" s="1058"/>
      <c r="AE1027" s="938"/>
      <c r="AF1027" s="938"/>
      <c r="AG1027" s="938"/>
      <c r="AH1027" s="938"/>
    </row>
    <row r="1028" spans="1:34" ht="17.25" customHeight="1" x14ac:dyDescent="0.35">
      <c r="A1028" s="938"/>
      <c r="B1028" s="938"/>
      <c r="C1028" s="941"/>
      <c r="D1028" s="1047"/>
      <c r="E1028" s="941"/>
      <c r="F1028" s="938"/>
      <c r="G1028" s="976">
        <f t="shared" si="17"/>
        <v>1025</v>
      </c>
      <c r="H1028" s="1000"/>
      <c r="I1028" s="1001" t="s">
        <v>1059</v>
      </c>
      <c r="J1028" s="1065" t="s">
        <v>2066</v>
      </c>
      <c r="K1028" s="1002">
        <f>IF(I!K1028="","",$D$2*I!K1028)</f>
        <v>4.4368632667000009E-2</v>
      </c>
      <c r="L1028" s="981"/>
      <c r="M1028" s="982"/>
      <c r="N1028" s="1003"/>
      <c r="O1028" s="1004">
        <f>IF(I!O1028="","",$D$2*I!O1028)</f>
        <v>5.8685731667000009E-2</v>
      </c>
      <c r="P1028" s="1005">
        <f>IF(I!P1028="","",$D$2*I!P1028)</f>
        <v>2.9097003720000001E-4</v>
      </c>
      <c r="Q1028" s="1006" t="str">
        <f>IF(I!Q1028="","",$D$2*I!Q1028)</f>
        <v/>
      </c>
      <c r="R1028" s="982"/>
      <c r="S1028" s="1003"/>
      <c r="T1028" s="938"/>
      <c r="U1028" s="1062" t="s">
        <v>1059</v>
      </c>
      <c r="V1028" s="1018" t="s">
        <v>6862</v>
      </c>
      <c r="W1028" s="1019">
        <f>IF(I!W1028="","",$D$2*I!W1028)</f>
        <v>0.57717080900000006</v>
      </c>
      <c r="X1028" s="990">
        <f>IF(I!X1028="","",$D$2*I!X1028)</f>
        <v>0.35671025359000008</v>
      </c>
      <c r="Y1028" s="1010">
        <f>IF(I!Y1028="","",$D$2*I!Y1028)</f>
        <v>1.6346882090000001</v>
      </c>
      <c r="Z1028" s="938"/>
      <c r="AA1028" s="938"/>
      <c r="AB1028" s="938"/>
      <c r="AC1028" s="938"/>
      <c r="AD1028" s="1058"/>
      <c r="AE1028" s="938"/>
      <c r="AF1028" s="938"/>
      <c r="AG1028" s="938"/>
      <c r="AH1028" s="938"/>
    </row>
    <row r="1029" spans="1:34" ht="17.25" customHeight="1" x14ac:dyDescent="0.35">
      <c r="A1029" s="938"/>
      <c r="B1029" s="938"/>
      <c r="C1029" s="941"/>
      <c r="D1029" s="1047"/>
      <c r="E1029" s="941"/>
      <c r="F1029" s="938"/>
      <c r="G1029" s="976">
        <f t="shared" si="17"/>
        <v>1026</v>
      </c>
      <c r="H1029" s="1000"/>
      <c r="I1029" s="1001" t="s">
        <v>1059</v>
      </c>
      <c r="J1029" s="1065" t="s">
        <v>2067</v>
      </c>
      <c r="K1029" s="1002">
        <f>IF(I!K1029="","",$D$2*I!K1029)</f>
        <v>4.32956049E-2</v>
      </c>
      <c r="L1029" s="981"/>
      <c r="M1029" s="982"/>
      <c r="N1029" s="1003"/>
      <c r="O1029" s="1004">
        <f>IF(I!O1029="","",$D$2*I!O1029)</f>
        <v>0.20485970489999999</v>
      </c>
      <c r="P1029" s="1005">
        <f>IF(I!P1029="","",$D$2*I!P1029)</f>
        <v>1.3219807520000001E-2</v>
      </c>
      <c r="Q1029" s="1006" t="str">
        <f>IF(I!Q1029="","",$D$2*I!Q1029)</f>
        <v/>
      </c>
      <c r="R1029" s="982"/>
      <c r="S1029" s="1003"/>
      <c r="T1029" s="938"/>
      <c r="U1029" s="1062" t="s">
        <v>1059</v>
      </c>
      <c r="V1029" s="1018" t="s">
        <v>6863</v>
      </c>
      <c r="W1029" s="1019">
        <f>IF(I!W1029="","",$D$2*I!W1029)</f>
        <v>0.53301613599999997</v>
      </c>
      <c r="X1029" s="990">
        <f>IF(I!X1029="","",$D$2*I!X1029)</f>
        <v>0.34125791974000003</v>
      </c>
      <c r="Y1029" s="1010">
        <f>IF(I!Y1029="","",$D$2*I!Y1029)</f>
        <v>1.451759786</v>
      </c>
      <c r="Z1029" s="938"/>
      <c r="AA1029" s="938"/>
      <c r="AB1029" s="938"/>
      <c r="AC1029" s="938"/>
      <c r="AD1029" s="1058"/>
      <c r="AE1029" s="938"/>
      <c r="AF1029" s="938"/>
      <c r="AG1029" s="938"/>
      <c r="AH1029" s="938"/>
    </row>
    <row r="1030" spans="1:34" ht="17.25" customHeight="1" x14ac:dyDescent="0.35">
      <c r="A1030" s="938"/>
      <c r="B1030" s="938"/>
      <c r="C1030" s="941"/>
      <c r="D1030" s="1047"/>
      <c r="E1030" s="941"/>
      <c r="F1030" s="938"/>
      <c r="G1030" s="976">
        <f t="shared" ref="G1030:G1093" si="18">G1029+1</f>
        <v>1027</v>
      </c>
      <c r="H1030" s="1000"/>
      <c r="I1030" s="1001" t="s">
        <v>1059</v>
      </c>
      <c r="J1030" s="1065" t="s">
        <v>2068</v>
      </c>
      <c r="K1030" s="1002">
        <f>IF(I!K1030="","",$D$2*I!K1030)</f>
        <v>2.684888949E-2</v>
      </c>
      <c r="L1030" s="981"/>
      <c r="M1030" s="982"/>
      <c r="N1030" s="1003"/>
      <c r="O1030" s="1004">
        <f>IF(I!O1030="","",$D$2*I!O1030)</f>
        <v>4.2604577490000003E-2</v>
      </c>
      <c r="P1030" s="1005">
        <f>IF(I!P1030="","",$D$2*I!P1030)</f>
        <v>8.9291202150000009E-3</v>
      </c>
      <c r="Q1030" s="1006" t="str">
        <f>IF(I!Q1030="","",$D$2*I!Q1030)</f>
        <v/>
      </c>
      <c r="R1030" s="982"/>
      <c r="S1030" s="1003"/>
      <c r="T1030" s="938"/>
      <c r="U1030" s="1062" t="s">
        <v>1059</v>
      </c>
      <c r="V1030" s="1018" t="s">
        <v>6864</v>
      </c>
      <c r="W1030" s="1019">
        <f>IF(I!W1030="","",$D$2*I!W1030)</f>
        <v>1.245038595</v>
      </c>
      <c r="X1030" s="990">
        <f>IF(I!X1030="","",$D$2*I!X1030)</f>
        <v>0.64343573329999992</v>
      </c>
      <c r="Y1030" s="1010">
        <f>IF(I!Y1030="","",$D$2*I!Y1030)</f>
        <v>3.722879195</v>
      </c>
      <c r="Z1030" s="938"/>
      <c r="AA1030" s="938"/>
      <c r="AB1030" s="938"/>
      <c r="AC1030" s="938"/>
      <c r="AD1030" s="1058"/>
      <c r="AE1030" s="938"/>
      <c r="AF1030" s="938"/>
      <c r="AG1030" s="938"/>
      <c r="AH1030" s="938"/>
    </row>
    <row r="1031" spans="1:34" ht="17.25" customHeight="1" x14ac:dyDescent="0.35">
      <c r="A1031" s="938"/>
      <c r="B1031" s="938"/>
      <c r="C1031" s="941"/>
      <c r="D1031" s="1047"/>
      <c r="E1031" s="941"/>
      <c r="F1031" s="938"/>
      <c r="G1031" s="976">
        <f t="shared" si="18"/>
        <v>1028</v>
      </c>
      <c r="H1031" s="1000"/>
      <c r="I1031" s="1001" t="s">
        <v>1059</v>
      </c>
      <c r="J1031" s="1065" t="s">
        <v>2069</v>
      </c>
      <c r="K1031" s="1002">
        <f>IF(I!K1031="","",$D$2*I!K1031)</f>
        <v>8.4978787200000003E-2</v>
      </c>
      <c r="L1031" s="981"/>
      <c r="M1031" s="982"/>
      <c r="N1031" s="1003"/>
      <c r="O1031" s="1004">
        <f>IF(I!O1031="","",$D$2*I!O1031)</f>
        <v>0.2022371372</v>
      </c>
      <c r="P1031" s="1005">
        <f>IF(I!P1031="","",$D$2*I!P1031)</f>
        <v>3.2439947970000001E-2</v>
      </c>
      <c r="Q1031" s="1006" t="str">
        <f>IF(I!Q1031="","",$D$2*I!Q1031)</f>
        <v/>
      </c>
      <c r="R1031" s="982"/>
      <c r="S1031" s="1003"/>
      <c r="T1031" s="938"/>
      <c r="U1031" s="1062" t="s">
        <v>1059</v>
      </c>
      <c r="V1031" s="1018" t="s">
        <v>6865</v>
      </c>
      <c r="W1031" s="1019">
        <f>IF(I!W1031="","",$D$2*I!W1031)</f>
        <v>0.64299897400000006</v>
      </c>
      <c r="X1031" s="990">
        <f>IF(I!X1031="","",$D$2*I!X1031)</f>
        <v>0.42890402344</v>
      </c>
      <c r="Y1031" s="1010">
        <f>IF(I!Y1031="","",$D$2*I!Y1031)</f>
        <v>1.735944774</v>
      </c>
      <c r="Z1031" s="938"/>
      <c r="AA1031" s="938"/>
      <c r="AB1031" s="938"/>
      <c r="AC1031" s="938"/>
      <c r="AD1031" s="1058"/>
      <c r="AE1031" s="938"/>
      <c r="AF1031" s="938"/>
      <c r="AG1031" s="938"/>
      <c r="AH1031" s="938"/>
    </row>
    <row r="1032" spans="1:34" ht="17.25" customHeight="1" x14ac:dyDescent="0.35">
      <c r="A1032" s="938"/>
      <c r="B1032" s="938"/>
      <c r="C1032" s="941"/>
      <c r="D1032" s="1047"/>
      <c r="E1032" s="941"/>
      <c r="F1032" s="938"/>
      <c r="G1032" s="976">
        <f t="shared" si="18"/>
        <v>1029</v>
      </c>
      <c r="H1032" s="1000"/>
      <c r="I1032" s="1001" t="s">
        <v>1059</v>
      </c>
      <c r="J1032" s="1065" t="s">
        <v>2070</v>
      </c>
      <c r="K1032" s="1002">
        <f>IF(I!K1032="","",$D$2*I!K1032)</f>
        <v>0.12148813947000001</v>
      </c>
      <c r="L1032" s="981"/>
      <c r="M1032" s="982"/>
      <c r="N1032" s="1003"/>
      <c r="O1032" s="1004">
        <f>IF(I!O1032="","",$D$2*I!O1032)</f>
        <v>0.15284594446999999</v>
      </c>
      <c r="P1032" s="1005">
        <f>IF(I!P1032="","",$D$2*I!P1032)</f>
        <v>7.8549150600000007E-4</v>
      </c>
      <c r="Q1032" s="1006" t="str">
        <f>IF(I!Q1032="","",$D$2*I!Q1032)</f>
        <v/>
      </c>
      <c r="R1032" s="982"/>
      <c r="S1032" s="1003"/>
      <c r="T1032" s="938"/>
      <c r="U1032" s="1062" t="s">
        <v>1059</v>
      </c>
      <c r="V1032" s="1018" t="s">
        <v>6866</v>
      </c>
      <c r="W1032" s="1019">
        <f>IF(I!W1032="","",$D$2*I!W1032)</f>
        <v>0.92505016300000009</v>
      </c>
      <c r="X1032" s="990">
        <f>IF(I!X1032="","",$D$2*I!X1032)</f>
        <v>0.51357728424000004</v>
      </c>
      <c r="Y1032" s="1010">
        <f>IF(I!Y1032="","",$D$2*I!Y1032)</f>
        <v>2.7182372629999998</v>
      </c>
      <c r="Z1032" s="938"/>
      <c r="AA1032" s="938"/>
      <c r="AB1032" s="938"/>
      <c r="AC1032" s="938"/>
      <c r="AD1032" s="1058"/>
      <c r="AE1032" s="938"/>
      <c r="AF1032" s="938"/>
      <c r="AG1032" s="938"/>
      <c r="AH1032" s="938"/>
    </row>
    <row r="1033" spans="1:34" ht="17.25" customHeight="1" x14ac:dyDescent="0.35">
      <c r="A1033" s="938"/>
      <c r="B1033" s="938"/>
      <c r="C1033" s="941"/>
      <c r="D1033" s="1047"/>
      <c r="E1033" s="941"/>
      <c r="F1033" s="938"/>
      <c r="G1033" s="976">
        <f t="shared" si="18"/>
        <v>1030</v>
      </c>
      <c r="H1033" s="1000"/>
      <c r="I1033" s="1001" t="s">
        <v>1059</v>
      </c>
      <c r="J1033" s="1065" t="s">
        <v>2071</v>
      </c>
      <c r="K1033" s="1002">
        <f>IF(I!K1033="","",$D$2*I!K1033)</f>
        <v>9.7353189020000008E-2</v>
      </c>
      <c r="L1033" s="981"/>
      <c r="M1033" s="982"/>
      <c r="N1033" s="1003"/>
      <c r="O1033" s="1004">
        <f>IF(I!O1033="","",$D$2*I!O1033)</f>
        <v>0.36020792901999998</v>
      </c>
      <c r="P1033" s="1005">
        <f>IF(I!P1033="","",$D$2*I!P1033)</f>
        <v>2.8408394800000002E-3</v>
      </c>
      <c r="Q1033" s="1006" t="str">
        <f>IF(I!Q1033="","",$D$2*I!Q1033)</f>
        <v/>
      </c>
      <c r="R1033" s="982"/>
      <c r="S1033" s="1003"/>
      <c r="T1033" s="938"/>
      <c r="U1033" s="1062" t="s">
        <v>1059</v>
      </c>
      <c r="V1033" s="1018" t="s">
        <v>6867</v>
      </c>
      <c r="W1033" s="1019">
        <f>IF(I!W1033="","",$D$2*I!W1033)</f>
        <v>0.83132201399999994</v>
      </c>
      <c r="X1033" s="990">
        <f>IF(I!X1033="","",$D$2*I!X1033)</f>
        <v>0.52491588</v>
      </c>
      <c r="Y1033" s="1010">
        <f>IF(I!Y1033="","",$D$2*I!Y1033)</f>
        <v>2.3488585139999998</v>
      </c>
      <c r="Z1033" s="938"/>
      <c r="AA1033" s="938"/>
      <c r="AB1033" s="938"/>
      <c r="AC1033" s="938"/>
      <c r="AD1033" s="1058"/>
      <c r="AE1033" s="938"/>
      <c r="AF1033" s="938"/>
      <c r="AG1033" s="938"/>
      <c r="AH1033" s="938"/>
    </row>
    <row r="1034" spans="1:34" ht="17.25" customHeight="1" x14ac:dyDescent="0.35">
      <c r="A1034" s="938"/>
      <c r="B1034" s="938"/>
      <c r="C1034" s="941"/>
      <c r="D1034" s="1047"/>
      <c r="E1034" s="941"/>
      <c r="F1034" s="938"/>
      <c r="G1034" s="976">
        <f t="shared" si="18"/>
        <v>1031</v>
      </c>
      <c r="H1034" s="1000"/>
      <c r="I1034" s="1001" t="s">
        <v>1059</v>
      </c>
      <c r="J1034" s="1065" t="s">
        <v>2072</v>
      </c>
      <c r="K1034" s="1002">
        <f>IF(I!K1034="","",$D$2*I!K1034)</f>
        <v>3.9697731489999999E-2</v>
      </c>
      <c r="L1034" s="981"/>
      <c r="M1034" s="982"/>
      <c r="N1034" s="1003"/>
      <c r="O1034" s="1004">
        <f>IF(I!O1034="","",$D$2*I!O1034)</f>
        <v>0.18519377148999999</v>
      </c>
      <c r="P1034" s="1005">
        <f>IF(I!P1034="","",$D$2*I!P1034)</f>
        <v>6.9475336899999995E-3</v>
      </c>
      <c r="Q1034" s="1006" t="str">
        <f>IF(I!Q1034="","",$D$2*I!Q1034)</f>
        <v/>
      </c>
      <c r="R1034" s="982"/>
      <c r="S1034" s="1003"/>
      <c r="T1034" s="938"/>
      <c r="U1034" s="1062" t="s">
        <v>1059</v>
      </c>
      <c r="V1034" s="1018" t="s">
        <v>6868</v>
      </c>
      <c r="W1034" s="1019">
        <f>IF(I!W1034="","",$D$2*I!W1034)</f>
        <v>0.72420906299999999</v>
      </c>
      <c r="X1034" s="990">
        <f>IF(I!X1034="","",$D$2*I!X1034)</f>
        <v>0.40895947513999997</v>
      </c>
      <c r="Y1034" s="1010">
        <f>IF(I!Y1034="","",$D$2*I!Y1034)</f>
        <v>2.1739566630000002</v>
      </c>
      <c r="Z1034" s="938"/>
      <c r="AA1034" s="938"/>
      <c r="AB1034" s="938"/>
      <c r="AC1034" s="938"/>
      <c r="AD1034" s="1058"/>
      <c r="AE1034" s="938"/>
      <c r="AF1034" s="938"/>
      <c r="AG1034" s="938"/>
      <c r="AH1034" s="938"/>
    </row>
    <row r="1035" spans="1:34" ht="17.25" customHeight="1" x14ac:dyDescent="0.35">
      <c r="A1035" s="938"/>
      <c r="B1035" s="938"/>
      <c r="C1035" s="941"/>
      <c r="D1035" s="1047"/>
      <c r="E1035" s="941"/>
      <c r="F1035" s="938"/>
      <c r="G1035" s="976">
        <f t="shared" si="18"/>
        <v>1032</v>
      </c>
      <c r="H1035" s="1000"/>
      <c r="I1035" s="1001" t="s">
        <v>1059</v>
      </c>
      <c r="J1035" s="1065" t="s">
        <v>2073</v>
      </c>
      <c r="K1035" s="1002">
        <f>IF(I!K1035="","",$D$2*I!K1035)</f>
        <v>1.8956943316000001E-2</v>
      </c>
      <c r="L1035" s="981"/>
      <c r="M1035" s="982"/>
      <c r="N1035" s="1003"/>
      <c r="O1035" s="1004">
        <f>IF(I!O1035="","",$D$2*I!O1035)</f>
        <v>4.8057616316000001E-2</v>
      </c>
      <c r="P1035" s="1005">
        <f>IF(I!P1035="","",$D$2*I!P1035)</f>
        <v>9.6879242200000014E-3</v>
      </c>
      <c r="Q1035" s="1006" t="str">
        <f>IF(I!Q1035="","",$D$2*I!Q1035)</f>
        <v/>
      </c>
      <c r="R1035" s="982"/>
      <c r="S1035" s="1003"/>
      <c r="T1035" s="938"/>
      <c r="U1035" s="1062" t="s">
        <v>1059</v>
      </c>
      <c r="V1035" s="1018" t="s">
        <v>6869</v>
      </c>
      <c r="W1035" s="1019">
        <f>IF(I!W1035="","",$D$2*I!W1035)</f>
        <v>2.8005234430000003</v>
      </c>
      <c r="X1035" s="990">
        <f>IF(I!X1035="","",$D$2*I!X1035)</f>
        <v>1.30979843211</v>
      </c>
      <c r="Y1035" s="1010">
        <f>IF(I!Y1035="","",$D$2*I!Y1035)</f>
        <v>8.7139775430000004</v>
      </c>
      <c r="Z1035" s="938"/>
      <c r="AA1035" s="938"/>
      <c r="AB1035" s="938"/>
      <c r="AC1035" s="938"/>
      <c r="AD1035" s="1058"/>
      <c r="AE1035" s="938"/>
      <c r="AF1035" s="938"/>
      <c r="AG1035" s="938"/>
      <c r="AH1035" s="938"/>
    </row>
    <row r="1036" spans="1:34" ht="17.25" customHeight="1" x14ac:dyDescent="0.35">
      <c r="A1036" s="938"/>
      <c r="B1036" s="938"/>
      <c r="C1036" s="941"/>
      <c r="D1036" s="1047"/>
      <c r="E1036" s="941"/>
      <c r="F1036" s="938"/>
      <c r="G1036" s="976">
        <f t="shared" si="18"/>
        <v>1033</v>
      </c>
      <c r="H1036" s="1000"/>
      <c r="I1036" s="1001" t="s">
        <v>1059</v>
      </c>
      <c r="J1036" s="1065" t="s">
        <v>2074</v>
      </c>
      <c r="K1036" s="1002">
        <f>IF(I!K1036="","",$D$2*I!K1036)</f>
        <v>7.3479062709999998E-3</v>
      </c>
      <c r="L1036" s="981"/>
      <c r="M1036" s="982"/>
      <c r="N1036" s="1003"/>
      <c r="O1036" s="1004">
        <f>IF(I!O1036="","",$D$2*I!O1036)</f>
        <v>2.1631875271000002E-2</v>
      </c>
      <c r="P1036" s="1005">
        <f>IF(I!P1036="","",$D$2*I!P1036)</f>
        <v>1.9603370794E-2</v>
      </c>
      <c r="Q1036" s="1006" t="str">
        <f>IF(I!Q1036="","",$D$2*I!Q1036)</f>
        <v/>
      </c>
      <c r="R1036" s="982"/>
      <c r="S1036" s="1003"/>
      <c r="T1036" s="938"/>
      <c r="U1036" s="1062" t="s">
        <v>1059</v>
      </c>
      <c r="V1036" s="1018" t="s">
        <v>6870</v>
      </c>
      <c r="W1036" s="1019">
        <f>IF(I!W1036="","",$D$2*I!W1036)</f>
        <v>1.685577254</v>
      </c>
      <c r="X1036" s="990">
        <f>IF(I!X1036="","",$D$2*I!X1036)</f>
        <v>0.81546845894000008</v>
      </c>
      <c r="Y1036" s="1010">
        <f>IF(I!Y1036="","",$D$2*I!Y1036)</f>
        <v>5.2606974540000007</v>
      </c>
      <c r="Z1036" s="938"/>
      <c r="AA1036" s="938"/>
      <c r="AB1036" s="938"/>
      <c r="AC1036" s="938"/>
      <c r="AD1036" s="1058"/>
      <c r="AE1036" s="938"/>
      <c r="AF1036" s="938"/>
      <c r="AG1036" s="938"/>
      <c r="AH1036" s="938"/>
    </row>
    <row r="1037" spans="1:34" ht="17.25" customHeight="1" x14ac:dyDescent="0.35">
      <c r="A1037" s="938"/>
      <c r="B1037" s="938"/>
      <c r="C1037" s="941"/>
      <c r="D1037" s="1047"/>
      <c r="E1037" s="941"/>
      <c r="F1037" s="938"/>
      <c r="G1037" s="976">
        <f t="shared" si="18"/>
        <v>1034</v>
      </c>
      <c r="H1037" s="1000"/>
      <c r="I1037" s="1001" t="s">
        <v>1059</v>
      </c>
      <c r="J1037" s="1065" t="s">
        <v>2075</v>
      </c>
      <c r="K1037" s="1002">
        <f>IF(I!K1037="","",$D$2*I!K1037)</f>
        <v>4.146121874E-2</v>
      </c>
      <c r="L1037" s="981"/>
      <c r="M1037" s="982"/>
      <c r="N1037" s="1003"/>
      <c r="O1037" s="1004">
        <f>IF(I!O1037="","",$D$2*I!O1037)</f>
        <v>0.23303636874</v>
      </c>
      <c r="P1037" s="1005">
        <f>IF(I!P1037="","",$D$2*I!P1037)</f>
        <v>4.4472207089999993E-3</v>
      </c>
      <c r="Q1037" s="1006" t="str">
        <f>IF(I!Q1037="","",$D$2*I!Q1037)</f>
        <v/>
      </c>
      <c r="R1037" s="982"/>
      <c r="S1037" s="1003"/>
      <c r="T1037" s="938"/>
      <c r="U1037" s="1062" t="s">
        <v>1059</v>
      </c>
      <c r="V1037" s="1018" t="s">
        <v>6871</v>
      </c>
      <c r="W1037" s="1019">
        <f>IF(I!W1037="","",$D$2*I!W1037)</f>
        <v>0.86283318600000003</v>
      </c>
      <c r="X1037" s="990">
        <f>IF(I!X1037="","",$D$2*I!X1037)</f>
        <v>0.52146228654000004</v>
      </c>
      <c r="Y1037" s="1010">
        <f>IF(I!Y1037="","",$D$2*I!Y1037)</f>
        <v>2.499340986</v>
      </c>
      <c r="Z1037" s="938"/>
      <c r="AA1037" s="938"/>
      <c r="AB1037" s="938"/>
      <c r="AC1037" s="938"/>
      <c r="AD1037" s="1058"/>
      <c r="AE1037" s="938"/>
      <c r="AF1037" s="938"/>
      <c r="AG1037" s="938"/>
      <c r="AH1037" s="938"/>
    </row>
    <row r="1038" spans="1:34" ht="17.25" customHeight="1" x14ac:dyDescent="0.35">
      <c r="A1038" s="938"/>
      <c r="B1038" s="938"/>
      <c r="C1038" s="941"/>
      <c r="D1038" s="1047"/>
      <c r="E1038" s="941"/>
      <c r="F1038" s="938"/>
      <c r="G1038" s="976">
        <f t="shared" si="18"/>
        <v>1035</v>
      </c>
      <c r="H1038" s="1000"/>
      <c r="I1038" s="1001" t="s">
        <v>1059</v>
      </c>
      <c r="J1038" s="1065" t="s">
        <v>2076</v>
      </c>
      <c r="K1038" s="1002">
        <f>IF(I!K1038="","",$D$2*I!K1038)</f>
        <v>1.9180580302000001E-2</v>
      </c>
      <c r="L1038" s="981"/>
      <c r="M1038" s="982"/>
      <c r="N1038" s="1003"/>
      <c r="O1038" s="1004">
        <f>IF(I!O1038="","",$D$2*I!O1038)</f>
        <v>4.0990973302000001E-2</v>
      </c>
      <c r="P1038" s="1005">
        <f>IF(I!P1038="","",$D$2*I!P1038)</f>
        <v>1.6221332292999997E-2</v>
      </c>
      <c r="Q1038" s="1006" t="str">
        <f>IF(I!Q1038="","",$D$2*I!Q1038)</f>
        <v/>
      </c>
      <c r="R1038" s="982"/>
      <c r="S1038" s="1003"/>
      <c r="T1038" s="938"/>
      <c r="U1038" s="1062" t="s">
        <v>1059</v>
      </c>
      <c r="V1038" s="1018" t="s">
        <v>6872</v>
      </c>
      <c r="W1038" s="1019">
        <f>IF(I!W1038="","",$D$2*I!W1038)</f>
        <v>0.96152057499999999</v>
      </c>
      <c r="X1038" s="990">
        <f>IF(I!X1038="","",$D$2*I!X1038)</f>
        <v>0.53150023460999996</v>
      </c>
      <c r="Y1038" s="1010">
        <f>IF(I!Y1038="","",$D$2*I!Y1038)</f>
        <v>2.6353865750000001</v>
      </c>
      <c r="Z1038" s="938"/>
      <c r="AA1038" s="938"/>
      <c r="AB1038" s="938"/>
      <c r="AC1038" s="938"/>
      <c r="AD1038" s="1058"/>
      <c r="AE1038" s="938"/>
      <c r="AF1038" s="938"/>
      <c r="AG1038" s="938"/>
      <c r="AH1038" s="938"/>
    </row>
    <row r="1039" spans="1:34" ht="17.25" customHeight="1" x14ac:dyDescent="0.35">
      <c r="A1039" s="938"/>
      <c r="B1039" s="938"/>
      <c r="C1039" s="941"/>
      <c r="D1039" s="1047"/>
      <c r="E1039" s="941"/>
      <c r="F1039" s="938"/>
      <c r="G1039" s="976">
        <f t="shared" si="18"/>
        <v>1036</v>
      </c>
      <c r="H1039" s="1000"/>
      <c r="I1039" s="1001" t="s">
        <v>1059</v>
      </c>
      <c r="J1039" s="1065" t="s">
        <v>2077</v>
      </c>
      <c r="K1039" s="1002">
        <f>IF(I!K1039="","",$D$2*I!K1039)</f>
        <v>7.7809069470000006E-2</v>
      </c>
      <c r="L1039" s="981"/>
      <c r="M1039" s="982"/>
      <c r="N1039" s="1003"/>
      <c r="O1039" s="1004">
        <f>IF(I!O1039="","",$D$2*I!O1039)</f>
        <v>0.14198825146999999</v>
      </c>
      <c r="P1039" s="1005">
        <f>IF(I!P1039="","",$D$2*I!P1039)</f>
        <v>3.3346689581999996E-2</v>
      </c>
      <c r="Q1039" s="1006" t="str">
        <f>IF(I!Q1039="","",$D$2*I!Q1039)</f>
        <v/>
      </c>
      <c r="R1039" s="982"/>
      <c r="S1039" s="1003"/>
      <c r="T1039" s="938"/>
      <c r="U1039" s="1062" t="s">
        <v>1059</v>
      </c>
      <c r="V1039" s="1018" t="s">
        <v>6873</v>
      </c>
      <c r="W1039" s="1019">
        <f>IF(I!W1039="","",$D$2*I!W1039)</f>
        <v>0.34305943480000001</v>
      </c>
      <c r="X1039" s="990">
        <f>IF(I!X1039="","",$D$2*I!X1039)</f>
        <v>0.30999587202000001</v>
      </c>
      <c r="Y1039" s="1010">
        <f>IF(I!Y1039="","",$D$2*I!Y1039)</f>
        <v>0.83230214480000009</v>
      </c>
      <c r="Z1039" s="938"/>
      <c r="AA1039" s="938"/>
      <c r="AB1039" s="938"/>
      <c r="AC1039" s="938"/>
      <c r="AD1039" s="1058"/>
      <c r="AE1039" s="938"/>
      <c r="AF1039" s="938"/>
      <c r="AG1039" s="938"/>
      <c r="AH1039" s="938"/>
    </row>
    <row r="1040" spans="1:34" ht="17.25" customHeight="1" x14ac:dyDescent="0.35">
      <c r="A1040" s="938"/>
      <c r="B1040" s="938"/>
      <c r="C1040" s="941"/>
      <c r="D1040" s="1047"/>
      <c r="E1040" s="941"/>
      <c r="F1040" s="938"/>
      <c r="G1040" s="976">
        <f t="shared" si="18"/>
        <v>1037</v>
      </c>
      <c r="H1040" s="1000"/>
      <c r="I1040" s="1001" t="s">
        <v>1059</v>
      </c>
      <c r="J1040" s="1065" t="s">
        <v>2078</v>
      </c>
      <c r="K1040" s="1002">
        <f>IF(I!K1040="","",$D$2*I!K1040)</f>
        <v>7.8351572250000001E-3</v>
      </c>
      <c r="L1040" s="981"/>
      <c r="M1040" s="982"/>
      <c r="N1040" s="1003"/>
      <c r="O1040" s="1004">
        <f>IF(I!O1040="","",$D$2*I!O1040)</f>
        <v>1.8775325225E-2</v>
      </c>
      <c r="P1040" s="1005">
        <f>IF(I!P1040="","",$D$2*I!P1040)</f>
        <v>9.9839772920000004E-3</v>
      </c>
      <c r="Q1040" s="1006" t="str">
        <f>IF(I!Q1040="","",$D$2*I!Q1040)</f>
        <v/>
      </c>
      <c r="R1040" s="982"/>
      <c r="S1040" s="1003"/>
      <c r="T1040" s="938"/>
      <c r="U1040" s="1062" t="s">
        <v>1059</v>
      </c>
      <c r="V1040" s="1018" t="s">
        <v>6874</v>
      </c>
      <c r="W1040" s="1019">
        <f>IF(I!W1040="","",$D$2*I!W1040)</f>
        <v>1.106431961</v>
      </c>
      <c r="X1040" s="990">
        <f>IF(I!X1040="","",$D$2*I!X1040)</f>
        <v>0.53514222392999999</v>
      </c>
      <c r="Y1040" s="1010">
        <f>IF(I!Y1040="","",$D$2*I!Y1040)</f>
        <v>2.9176462609999998</v>
      </c>
      <c r="Z1040" s="938"/>
      <c r="AA1040" s="938"/>
      <c r="AB1040" s="938"/>
      <c r="AC1040" s="938"/>
      <c r="AD1040" s="1058"/>
      <c r="AE1040" s="938"/>
      <c r="AF1040" s="938"/>
      <c r="AG1040" s="938"/>
      <c r="AH1040" s="938"/>
    </row>
    <row r="1041" spans="1:34" ht="17.25" customHeight="1" x14ac:dyDescent="0.35">
      <c r="A1041" s="938"/>
      <c r="B1041" s="938"/>
      <c r="C1041" s="941"/>
      <c r="D1041" s="1047"/>
      <c r="E1041" s="941"/>
      <c r="F1041" s="938"/>
      <c r="G1041" s="976">
        <f t="shared" si="18"/>
        <v>1038</v>
      </c>
      <c r="H1041" s="1000"/>
      <c r="I1041" s="1001" t="s">
        <v>1059</v>
      </c>
      <c r="J1041" s="1065" t="s">
        <v>2079</v>
      </c>
      <c r="K1041" s="1002">
        <f>IF(I!K1041="","",$D$2*I!K1041)</f>
        <v>8.3969652869999994E-3</v>
      </c>
      <c r="L1041" s="981"/>
      <c r="M1041" s="982"/>
      <c r="N1041" s="1003"/>
      <c r="O1041" s="1004">
        <f>IF(I!O1041="","",$D$2*I!O1041)</f>
        <v>2.0483970286999997E-2</v>
      </c>
      <c r="P1041" s="1005">
        <f>IF(I!P1041="","",$D$2*I!P1041)</f>
        <v>1.0861051267E-2</v>
      </c>
      <c r="Q1041" s="1006" t="str">
        <f>IF(I!Q1041="","",$D$2*I!Q1041)</f>
        <v/>
      </c>
      <c r="R1041" s="982"/>
      <c r="S1041" s="1003"/>
      <c r="T1041" s="938"/>
      <c r="U1041" s="1062" t="s">
        <v>1059</v>
      </c>
      <c r="V1041" s="1018" t="s">
        <v>6875</v>
      </c>
      <c r="W1041" s="1019">
        <f>IF(I!W1041="","",$D$2*I!W1041)</f>
        <v>0.43656259689999999</v>
      </c>
      <c r="X1041" s="990">
        <f>IF(I!X1041="","",$D$2*I!X1041)</f>
        <v>0.34557851131</v>
      </c>
      <c r="Y1041" s="1010">
        <f>IF(I!Y1041="","",$D$2*I!Y1041)</f>
        <v>1.1386381469</v>
      </c>
      <c r="Z1041" s="938"/>
      <c r="AA1041" s="938"/>
      <c r="AB1041" s="938"/>
      <c r="AC1041" s="938"/>
      <c r="AD1041" s="1058"/>
      <c r="AE1041" s="938"/>
      <c r="AF1041" s="938"/>
      <c r="AG1041" s="938"/>
      <c r="AH1041" s="938"/>
    </row>
    <row r="1042" spans="1:34" ht="17.25" customHeight="1" x14ac:dyDescent="0.35">
      <c r="A1042" s="938"/>
      <c r="B1042" s="938"/>
      <c r="C1042" s="941"/>
      <c r="D1042" s="1047"/>
      <c r="E1042" s="941"/>
      <c r="F1042" s="938"/>
      <c r="G1042" s="976">
        <f t="shared" si="18"/>
        <v>1039</v>
      </c>
      <c r="H1042" s="1000"/>
      <c r="I1042" s="1001" t="s">
        <v>1059</v>
      </c>
      <c r="J1042" s="1065" t="s">
        <v>2080</v>
      </c>
      <c r="K1042" s="1002">
        <f>IF(I!K1042="","",$D$2*I!K1042)</f>
        <v>0.1195776829</v>
      </c>
      <c r="L1042" s="981"/>
      <c r="M1042" s="982"/>
      <c r="N1042" s="1003"/>
      <c r="O1042" s="1004">
        <f>IF(I!O1042="","",$D$2*I!O1042)</f>
        <v>0.51655028290000005</v>
      </c>
      <c r="P1042" s="1005">
        <f>IF(I!P1042="","",$D$2*I!P1042)</f>
        <v>5.6327700300000004E-3</v>
      </c>
      <c r="Q1042" s="1006" t="str">
        <f>IF(I!Q1042="","",$D$2*I!Q1042)</f>
        <v/>
      </c>
      <c r="R1042" s="982"/>
      <c r="S1042" s="1003"/>
      <c r="T1042" s="938"/>
      <c r="U1042" s="1062" t="s">
        <v>1059</v>
      </c>
      <c r="V1042" s="1018" t="s">
        <v>6876</v>
      </c>
      <c r="W1042" s="1019">
        <f>IF(I!W1042="","",$D$2*I!W1042)</f>
        <v>0.34305943480000001</v>
      </c>
      <c r="X1042" s="990">
        <f>IF(I!X1042="","",$D$2*I!X1042)</f>
        <v>0.30999587202000001</v>
      </c>
      <c r="Y1042" s="1010">
        <f>IF(I!Y1042="","",$D$2*I!Y1042)</f>
        <v>0.83230214480000009</v>
      </c>
      <c r="Z1042" s="938"/>
      <c r="AA1042" s="938"/>
      <c r="AB1042" s="938"/>
      <c r="AC1042" s="938"/>
      <c r="AD1042" s="1058"/>
      <c r="AE1042" s="938"/>
      <c r="AF1042" s="938"/>
      <c r="AG1042" s="938"/>
      <c r="AH1042" s="938"/>
    </row>
    <row r="1043" spans="1:34" ht="17.25" customHeight="1" x14ac:dyDescent="0.35">
      <c r="A1043" s="938"/>
      <c r="B1043" s="938"/>
      <c r="C1043" s="941"/>
      <c r="D1043" s="1047"/>
      <c r="E1043" s="941"/>
      <c r="F1043" s="938"/>
      <c r="G1043" s="976">
        <f t="shared" si="18"/>
        <v>1040</v>
      </c>
      <c r="H1043" s="1000"/>
      <c r="I1043" s="1001" t="s">
        <v>1059</v>
      </c>
      <c r="J1043" s="1065" t="s">
        <v>2081</v>
      </c>
      <c r="K1043" s="1002">
        <f>IF(I!K1043="","",$D$2*I!K1043)</f>
        <v>9.6858179730000007E-2</v>
      </c>
      <c r="L1043" s="981"/>
      <c r="M1043" s="982"/>
      <c r="N1043" s="1003"/>
      <c r="O1043" s="1004">
        <f>IF(I!O1043="","",$D$2*I!O1043)</f>
        <v>0.57446253973000005</v>
      </c>
      <c r="P1043" s="1005">
        <f>IF(I!P1043="","",$D$2*I!P1043)</f>
        <v>4.9533460580000008E-2</v>
      </c>
      <c r="Q1043" s="1006" t="str">
        <f>IF(I!Q1043="","",$D$2*I!Q1043)</f>
        <v/>
      </c>
      <c r="R1043" s="982"/>
      <c r="S1043" s="1003"/>
      <c r="T1043" s="938"/>
      <c r="U1043" s="1062" t="s">
        <v>1059</v>
      </c>
      <c r="V1043" s="1018" t="s">
        <v>6877</v>
      </c>
      <c r="W1043" s="1019">
        <f>IF(I!W1043="","",$D$2*I!W1043)</f>
        <v>1.079133345</v>
      </c>
      <c r="X1043" s="990">
        <f>IF(I!X1043="","",$D$2*I!X1043)</f>
        <v>0.57790603626000003</v>
      </c>
      <c r="Y1043" s="1010">
        <f>IF(I!Y1043="","",$D$2*I!Y1043)</f>
        <v>3.2114988450000004</v>
      </c>
      <c r="Z1043" s="938"/>
      <c r="AA1043" s="938"/>
      <c r="AB1043" s="938"/>
      <c r="AC1043" s="938"/>
      <c r="AD1043" s="1058"/>
      <c r="AE1043" s="938"/>
      <c r="AF1043" s="938"/>
      <c r="AG1043" s="938"/>
      <c r="AH1043" s="938"/>
    </row>
    <row r="1044" spans="1:34" ht="17.25" customHeight="1" x14ac:dyDescent="0.35">
      <c r="A1044" s="938"/>
      <c r="B1044" s="938"/>
      <c r="C1044" s="941"/>
      <c r="D1044" s="1047"/>
      <c r="E1044" s="941"/>
      <c r="F1044" s="938"/>
      <c r="G1044" s="976">
        <f t="shared" si="18"/>
        <v>1041</v>
      </c>
      <c r="H1044" s="1000"/>
      <c r="I1044" s="1001" t="s">
        <v>1059</v>
      </c>
      <c r="J1044" s="1065" t="s">
        <v>2082</v>
      </c>
      <c r="K1044" s="1002">
        <f>IF(I!K1044="","",$D$2*I!K1044)</f>
        <v>1.2972763606000002E-2</v>
      </c>
      <c r="L1044" s="981"/>
      <c r="M1044" s="982"/>
      <c r="N1044" s="1003"/>
      <c r="O1044" s="1004">
        <f>IF(I!O1044="","",$D$2*I!O1044)</f>
        <v>3.1984328606000006E-2</v>
      </c>
      <c r="P1044" s="1005">
        <f>IF(I!P1044="","",$D$2*I!P1044)</f>
        <v>6.1810237489999999E-3</v>
      </c>
      <c r="Q1044" s="1006" t="str">
        <f>IF(I!Q1044="","",$D$2*I!Q1044)</f>
        <v/>
      </c>
      <c r="R1044" s="982"/>
      <c r="S1044" s="1003"/>
      <c r="T1044" s="938"/>
      <c r="U1044" s="1062" t="s">
        <v>1059</v>
      </c>
      <c r="V1044" s="1018" t="s">
        <v>6878</v>
      </c>
      <c r="W1044" s="1019">
        <f>IF(I!W1044="","",$D$2*I!W1044)</f>
        <v>0.83440378599999998</v>
      </c>
      <c r="X1044" s="990">
        <f>IF(I!X1044="","",$D$2*I!X1044)</f>
        <v>0.46642634567999997</v>
      </c>
      <c r="Y1044" s="1010">
        <f>IF(I!Y1044="","",$D$2*I!Y1044)</f>
        <v>2.4845372860000001</v>
      </c>
      <c r="Z1044" s="938"/>
      <c r="AA1044" s="938"/>
      <c r="AB1044" s="938"/>
      <c r="AC1044" s="938"/>
      <c r="AD1044" s="1058"/>
      <c r="AE1044" s="938"/>
      <c r="AF1044" s="938"/>
      <c r="AG1044" s="938"/>
      <c r="AH1044" s="938"/>
    </row>
    <row r="1045" spans="1:34" ht="17.25" customHeight="1" x14ac:dyDescent="0.35">
      <c r="A1045" s="938"/>
      <c r="B1045" s="938"/>
      <c r="C1045" s="941"/>
      <c r="D1045" s="1047"/>
      <c r="E1045" s="941"/>
      <c r="F1045" s="938"/>
      <c r="G1045" s="976">
        <f t="shared" si="18"/>
        <v>1042</v>
      </c>
      <c r="H1045" s="1000"/>
      <c r="I1045" s="1001" t="s">
        <v>1059</v>
      </c>
      <c r="J1045" s="1065" t="s">
        <v>2083</v>
      </c>
      <c r="K1045" s="1002">
        <f>IF(I!K1045="","",$D$2*I!K1045)</f>
        <v>2.2627279350000001E-2</v>
      </c>
      <c r="L1045" s="981"/>
      <c r="M1045" s="982"/>
      <c r="N1045" s="1003"/>
      <c r="O1045" s="1004">
        <f>IF(I!O1045="","",$D$2*I!O1045)</f>
        <v>0.11374308135</v>
      </c>
      <c r="P1045" s="1005">
        <f>IF(I!P1045="","",$D$2*I!P1045)</f>
        <v>4.4263955520000009E-3</v>
      </c>
      <c r="Q1045" s="1006" t="str">
        <f>IF(I!Q1045="","",$D$2*I!Q1045)</f>
        <v/>
      </c>
      <c r="R1045" s="982"/>
      <c r="S1045" s="1003"/>
      <c r="T1045" s="938"/>
      <c r="U1045" s="1062" t="s">
        <v>1059</v>
      </c>
      <c r="V1045" s="1018" t="s">
        <v>6879</v>
      </c>
      <c r="W1045" s="1019">
        <f>IF(I!W1045="","",$D$2*I!W1045)</f>
        <v>0.46291953049999995</v>
      </c>
      <c r="X1045" s="990">
        <f>IF(I!X1045="","",$D$2*I!X1045)</f>
        <v>0.35812085367000002</v>
      </c>
      <c r="Y1045" s="1010">
        <f>IF(I!Y1045="","",$D$2*I!Y1045)</f>
        <v>1.2154149404999999</v>
      </c>
      <c r="Z1045" s="938"/>
      <c r="AA1045" s="938"/>
      <c r="AB1045" s="938"/>
      <c r="AC1045" s="938"/>
      <c r="AD1045" s="1058"/>
      <c r="AE1045" s="938"/>
      <c r="AF1045" s="938"/>
      <c r="AG1045" s="938"/>
      <c r="AH1045" s="938"/>
    </row>
    <row r="1046" spans="1:34" ht="17.25" customHeight="1" x14ac:dyDescent="0.35">
      <c r="A1046" s="938"/>
      <c r="B1046" s="938"/>
      <c r="C1046" s="941"/>
      <c r="D1046" s="1047"/>
      <c r="E1046" s="941"/>
      <c r="F1046" s="938"/>
      <c r="G1046" s="976">
        <f t="shared" si="18"/>
        <v>1043</v>
      </c>
      <c r="H1046" s="1000"/>
      <c r="I1046" s="1001" t="s">
        <v>1059</v>
      </c>
      <c r="J1046" s="1065" t="s">
        <v>2084</v>
      </c>
      <c r="K1046" s="1002">
        <f>IF(I!K1046="","",$D$2*I!K1046)</f>
        <v>2.1507272190000003E-2</v>
      </c>
      <c r="L1046" s="981"/>
      <c r="M1046" s="982"/>
      <c r="N1046" s="1003"/>
      <c r="O1046" s="1004">
        <f>IF(I!O1046="","",$D$2*I!O1046)</f>
        <v>0.10802457319</v>
      </c>
      <c r="P1046" s="1005">
        <f>IF(I!P1046="","",$D$2*I!P1046)</f>
        <v>4.1540288170000004E-3</v>
      </c>
      <c r="Q1046" s="1006" t="str">
        <f>IF(I!Q1046="","",$D$2*I!Q1046)</f>
        <v/>
      </c>
      <c r="R1046" s="982"/>
      <c r="S1046" s="1003"/>
      <c r="T1046" s="938"/>
      <c r="U1046" s="1062" t="s">
        <v>1059</v>
      </c>
      <c r="V1046" s="1018" t="s">
        <v>6880</v>
      </c>
      <c r="W1046" s="1019">
        <f>IF(I!W1046="","",$D$2*I!W1046)</f>
        <v>1.3287706247</v>
      </c>
      <c r="X1046" s="990">
        <f>IF(I!X1046="","",$D$2*I!X1046)</f>
        <v>0.56474894148999999</v>
      </c>
      <c r="Y1046" s="1010">
        <f>IF(I!Y1046="","",$D$2*I!Y1046)</f>
        <v>4.3228622246999997</v>
      </c>
      <c r="Z1046" s="938"/>
      <c r="AA1046" s="938"/>
      <c r="AB1046" s="938"/>
      <c r="AC1046" s="938"/>
      <c r="AD1046" s="1058"/>
      <c r="AE1046" s="938"/>
      <c r="AF1046" s="938"/>
      <c r="AG1046" s="938"/>
      <c r="AH1046" s="938"/>
    </row>
    <row r="1047" spans="1:34" ht="17.25" customHeight="1" x14ac:dyDescent="0.35">
      <c r="A1047" s="938"/>
      <c r="B1047" s="938"/>
      <c r="C1047" s="941"/>
      <c r="D1047" s="1047"/>
      <c r="E1047" s="941"/>
      <c r="F1047" s="938"/>
      <c r="G1047" s="976">
        <f t="shared" si="18"/>
        <v>1044</v>
      </c>
      <c r="H1047" s="1000"/>
      <c r="I1047" s="1001" t="s">
        <v>1059</v>
      </c>
      <c r="J1047" s="1065" t="s">
        <v>2085</v>
      </c>
      <c r="K1047" s="1002">
        <f>IF(I!K1047="","",$D$2*I!K1047)</f>
        <v>4.5995261331999999E-2</v>
      </c>
      <c r="L1047" s="981"/>
      <c r="M1047" s="982"/>
      <c r="N1047" s="1003"/>
      <c r="O1047" s="1004">
        <f>IF(I!O1047="","",$D$2*I!O1047)</f>
        <v>8.0811619331999998E-2</v>
      </c>
      <c r="P1047" s="1005">
        <f>IF(I!P1047="","",$D$2*I!P1047)</f>
        <v>1.4668359592E-2</v>
      </c>
      <c r="Q1047" s="1006" t="str">
        <f>IF(I!Q1047="","",$D$2*I!Q1047)</f>
        <v/>
      </c>
      <c r="R1047" s="982"/>
      <c r="S1047" s="1003"/>
      <c r="T1047" s="938"/>
      <c r="U1047" s="1062" t="s">
        <v>1059</v>
      </c>
      <c r="V1047" s="1018" t="s">
        <v>6881</v>
      </c>
      <c r="W1047" s="1019">
        <f>IF(I!W1047="","",$D$2*I!W1047)</f>
        <v>0.77405192619999996</v>
      </c>
      <c r="X1047" s="990">
        <f>IF(I!X1047="","",$D$2*I!X1047)</f>
        <v>0.50582710599999992</v>
      </c>
      <c r="Y1047" s="1010">
        <f>IF(I!Y1047="","",$D$2*I!Y1047)</f>
        <v>2.1699709262</v>
      </c>
      <c r="Z1047" s="938"/>
      <c r="AA1047" s="938"/>
      <c r="AB1047" s="938"/>
      <c r="AC1047" s="938"/>
      <c r="AD1047" s="1058"/>
      <c r="AE1047" s="938"/>
      <c r="AF1047" s="938"/>
      <c r="AG1047" s="938"/>
      <c r="AH1047" s="938"/>
    </row>
    <row r="1048" spans="1:34" ht="17.25" customHeight="1" x14ac:dyDescent="0.35">
      <c r="A1048" s="938"/>
      <c r="B1048" s="938"/>
      <c r="C1048" s="941"/>
      <c r="D1048" s="1047"/>
      <c r="E1048" s="941"/>
      <c r="F1048" s="938"/>
      <c r="G1048" s="976">
        <f t="shared" si="18"/>
        <v>1045</v>
      </c>
      <c r="H1048" s="1000"/>
      <c r="I1048" s="1001" t="s">
        <v>1059</v>
      </c>
      <c r="J1048" s="1065" t="s">
        <v>2086</v>
      </c>
      <c r="K1048" s="1002">
        <f>IF(I!K1048="","",$D$2*I!K1048)</f>
        <v>1.2498796479000001E-2</v>
      </c>
      <c r="L1048" s="981"/>
      <c r="M1048" s="982"/>
      <c r="N1048" s="1003"/>
      <c r="O1048" s="1004">
        <f>IF(I!O1048="","",$D$2*I!O1048)</f>
        <v>3.0972535479000002E-2</v>
      </c>
      <c r="P1048" s="1005">
        <f>IF(I!P1048="","",$D$2*I!P1048)</f>
        <v>5.6461622010000002E-3</v>
      </c>
      <c r="Q1048" s="1006" t="str">
        <f>IF(I!Q1048="","",$D$2*I!Q1048)</f>
        <v/>
      </c>
      <c r="R1048" s="982"/>
      <c r="S1048" s="1003"/>
      <c r="T1048" s="938"/>
      <c r="U1048" s="1062" t="s">
        <v>1059</v>
      </c>
      <c r="V1048" s="1018" t="s">
        <v>6882</v>
      </c>
      <c r="W1048" s="1019">
        <f>IF(I!W1048="","",$D$2*I!W1048)</f>
        <v>0.98683651999999999</v>
      </c>
      <c r="X1048" s="990">
        <f>IF(I!X1048="","",$D$2*I!X1048)</f>
        <v>0.56649832007000001</v>
      </c>
      <c r="Y1048" s="1010">
        <f>IF(I!Y1048="","",$D$2*I!Y1048)</f>
        <v>2.8724257199999998</v>
      </c>
      <c r="Z1048" s="938"/>
      <c r="AA1048" s="938"/>
      <c r="AB1048" s="938"/>
      <c r="AC1048" s="938"/>
      <c r="AD1048" s="1058"/>
      <c r="AE1048" s="938"/>
      <c r="AF1048" s="938"/>
      <c r="AG1048" s="938"/>
      <c r="AH1048" s="938"/>
    </row>
    <row r="1049" spans="1:34" ht="17.25" customHeight="1" x14ac:dyDescent="0.35">
      <c r="A1049" s="938"/>
      <c r="B1049" s="938"/>
      <c r="C1049" s="941"/>
      <c r="D1049" s="1047"/>
      <c r="E1049" s="941"/>
      <c r="F1049" s="938"/>
      <c r="G1049" s="976">
        <f t="shared" si="18"/>
        <v>1046</v>
      </c>
      <c r="H1049" s="1000"/>
      <c r="I1049" s="1001" t="s">
        <v>1059</v>
      </c>
      <c r="J1049" s="1065" t="s">
        <v>2087</v>
      </c>
      <c r="K1049" s="1002">
        <f>IF(I!K1049="","",$D$2*I!K1049)</f>
        <v>7.3678726879999991E-3</v>
      </c>
      <c r="L1049" s="981"/>
      <c r="M1049" s="982"/>
      <c r="N1049" s="1003"/>
      <c r="O1049" s="1004">
        <f>IF(I!O1049="","",$D$2*I!O1049)</f>
        <v>2.1889456687999999E-2</v>
      </c>
      <c r="P1049" s="1005">
        <f>IF(I!P1049="","",$D$2*I!P1049)</f>
        <v>2.0084312821000001E-2</v>
      </c>
      <c r="Q1049" s="1006" t="str">
        <f>IF(I!Q1049="","",$D$2*I!Q1049)</f>
        <v/>
      </c>
      <c r="R1049" s="982"/>
      <c r="S1049" s="1003"/>
      <c r="T1049" s="938"/>
      <c r="U1049" s="1062" t="s">
        <v>1059</v>
      </c>
      <c r="V1049" s="1018" t="s">
        <v>6883</v>
      </c>
      <c r="W1049" s="1019">
        <f>IF(I!W1049="","",$D$2*I!W1049)</f>
        <v>0.66534517900000001</v>
      </c>
      <c r="X1049" s="990">
        <f>IF(I!X1049="","",$D$2*I!X1049)</f>
        <v>0.42470908552000008</v>
      </c>
      <c r="Y1049" s="1010">
        <f>IF(I!Y1049="","",$D$2*I!Y1049)</f>
        <v>1.8290647790000001</v>
      </c>
      <c r="Z1049" s="938"/>
      <c r="AA1049" s="938"/>
      <c r="AB1049" s="938"/>
      <c r="AC1049" s="938"/>
      <c r="AD1049" s="1058"/>
      <c r="AE1049" s="938"/>
      <c r="AF1049" s="938"/>
      <c r="AG1049" s="938"/>
      <c r="AH1049" s="938"/>
    </row>
    <row r="1050" spans="1:34" ht="17.25" customHeight="1" x14ac:dyDescent="0.35">
      <c r="A1050" s="938"/>
      <c r="B1050" s="938"/>
      <c r="C1050" s="941"/>
      <c r="D1050" s="1047"/>
      <c r="E1050" s="941"/>
      <c r="F1050" s="938"/>
      <c r="G1050" s="976">
        <f t="shared" si="18"/>
        <v>1047</v>
      </c>
      <c r="H1050" s="1083" t="s">
        <v>2088</v>
      </c>
      <c r="I1050" s="1060"/>
      <c r="J1050" s="1084"/>
      <c r="K1050" s="1002" t="str">
        <f>IF(I!K1050="","",$D$2*I!K1050)</f>
        <v/>
      </c>
      <c r="L1050" s="981"/>
      <c r="M1050" s="982"/>
      <c r="N1050" s="1003"/>
      <c r="O1050" s="1004" t="str">
        <f>IF(I!O1050="","",$D$2*I!O1050)</f>
        <v/>
      </c>
      <c r="P1050" s="1005" t="str">
        <f>IF(I!P1050="","",$D$2*I!P1050)</f>
        <v/>
      </c>
      <c r="Q1050" s="1006" t="str">
        <f>IF(I!Q1050="","",$D$2*I!Q1050)</f>
        <v/>
      </c>
      <c r="R1050" s="982"/>
      <c r="S1050" s="1003"/>
      <c r="T1050" s="938"/>
      <c r="U1050" s="1062" t="s">
        <v>1059</v>
      </c>
      <c r="V1050" s="1018" t="s">
        <v>6884</v>
      </c>
      <c r="W1050" s="1019">
        <f>IF(I!W1050="","",$D$2*I!W1050)</f>
        <v>0.52195299400000006</v>
      </c>
      <c r="X1050" s="990">
        <f>IF(I!X1050="","",$D$2*I!X1050)</f>
        <v>0.33107277406000002</v>
      </c>
      <c r="Y1050" s="1010">
        <f>IF(I!Y1050="","",$D$2*I!Y1050)</f>
        <v>1.4798356340000001</v>
      </c>
      <c r="Z1050" s="938"/>
      <c r="AA1050" s="938"/>
      <c r="AB1050" s="938"/>
      <c r="AC1050" s="938"/>
      <c r="AD1050" s="1058"/>
      <c r="AE1050" s="938"/>
      <c r="AF1050" s="938"/>
      <c r="AG1050" s="938"/>
      <c r="AH1050" s="938"/>
    </row>
    <row r="1051" spans="1:34" ht="17.25" customHeight="1" x14ac:dyDescent="0.35">
      <c r="A1051" s="938"/>
      <c r="B1051" s="938"/>
      <c r="C1051" s="941"/>
      <c r="D1051" s="1047"/>
      <c r="E1051" s="941"/>
      <c r="F1051" s="938"/>
      <c r="G1051" s="976">
        <f t="shared" si="18"/>
        <v>1048</v>
      </c>
      <c r="H1051" s="1085"/>
      <c r="I1051" s="1060" t="s">
        <v>1059</v>
      </c>
      <c r="J1051" s="1086" t="s">
        <v>2089</v>
      </c>
      <c r="K1051" s="1002" t="str">
        <f>IF(I!K1051="","",$D$2*I!K1051)</f>
        <v/>
      </c>
      <c r="L1051" s="981"/>
      <c r="M1051" s="982"/>
      <c r="N1051" s="1003"/>
      <c r="O1051" s="1004" t="str">
        <f>IF(I!O1051="","",$D$2*I!O1051)</f>
        <v/>
      </c>
      <c r="P1051" s="1005">
        <f>IF(I!P1051="","",$D$2*I!P1051)</f>
        <v>22655.05</v>
      </c>
      <c r="Q1051" s="1006" t="str">
        <f>IF(I!Q1051="","",$D$2*I!Q1051)</f>
        <v/>
      </c>
      <c r="R1051" s="982"/>
      <c r="S1051" s="1003"/>
      <c r="T1051" s="938"/>
      <c r="U1051" s="1062" t="s">
        <v>1059</v>
      </c>
      <c r="V1051" s="1018" t="s">
        <v>6885</v>
      </c>
      <c r="W1051" s="1019">
        <f>IF(I!W1051="","",$D$2*I!W1051)</f>
        <v>1.017200595</v>
      </c>
      <c r="X1051" s="990">
        <f>IF(I!X1051="","",$D$2*I!X1051)</f>
        <v>0.55449501549000002</v>
      </c>
      <c r="Y1051" s="1010">
        <f>IF(I!Y1051="","",$D$2*I!Y1051)</f>
        <v>2.8836527949999997</v>
      </c>
      <c r="Z1051" s="938"/>
      <c r="AA1051" s="938"/>
      <c r="AB1051" s="938"/>
      <c r="AC1051" s="938"/>
      <c r="AD1051" s="1058"/>
      <c r="AE1051" s="938"/>
      <c r="AF1051" s="938"/>
      <c r="AG1051" s="938"/>
      <c r="AH1051" s="938"/>
    </row>
    <row r="1052" spans="1:34" ht="17.25" customHeight="1" x14ac:dyDescent="0.35">
      <c r="A1052" s="938"/>
      <c r="B1052" s="938"/>
      <c r="C1052" s="941"/>
      <c r="D1052" s="1047"/>
      <c r="E1052" s="941"/>
      <c r="F1052" s="938"/>
      <c r="G1052" s="976">
        <f t="shared" si="18"/>
        <v>1049</v>
      </c>
      <c r="H1052" s="1085"/>
      <c r="I1052" s="1060" t="s">
        <v>1059</v>
      </c>
      <c r="J1052" s="1086" t="s">
        <v>2090</v>
      </c>
      <c r="K1052" s="1002" t="str">
        <f>IF(I!K1052="","",$D$2*I!K1052)</f>
        <v/>
      </c>
      <c r="L1052" s="981"/>
      <c r="M1052" s="982"/>
      <c r="N1052" s="1003"/>
      <c r="O1052" s="1004" t="str">
        <f>IF(I!O1052="","",$D$2*I!O1052)</f>
        <v/>
      </c>
      <c r="P1052" s="1005">
        <f>IF(I!P1052="","",$D$2*I!P1052)</f>
        <v>22655.05</v>
      </c>
      <c r="Q1052" s="1006" t="str">
        <f>IF(I!Q1052="","",$D$2*I!Q1052)</f>
        <v/>
      </c>
      <c r="R1052" s="982"/>
      <c r="S1052" s="1003"/>
      <c r="T1052" s="938"/>
      <c r="U1052" s="1062" t="s">
        <v>1059</v>
      </c>
      <c r="V1052" s="1018" t="s">
        <v>6886</v>
      </c>
      <c r="W1052" s="1019">
        <f>IF(I!W1052="","",$D$2*I!W1052)</f>
        <v>0.68468378959999998</v>
      </c>
      <c r="X1052" s="990">
        <f>IF(I!X1052="","",$D$2*I!X1052)</f>
        <v>0.44192570774999995</v>
      </c>
      <c r="Y1052" s="1010">
        <f>IF(I!Y1052="","",$D$2*I!Y1052)</f>
        <v>1.9729097896000001</v>
      </c>
      <c r="Z1052" s="938"/>
      <c r="AA1052" s="938"/>
      <c r="AB1052" s="938"/>
      <c r="AC1052" s="938"/>
      <c r="AD1052" s="1058"/>
      <c r="AE1052" s="938"/>
      <c r="AF1052" s="938"/>
      <c r="AG1052" s="938"/>
      <c r="AH1052" s="938"/>
    </row>
    <row r="1053" spans="1:34" ht="17.25" customHeight="1" x14ac:dyDescent="0.35">
      <c r="A1053" s="938"/>
      <c r="B1053" s="938"/>
      <c r="C1053" s="941"/>
      <c r="D1053" s="1047"/>
      <c r="E1053" s="941"/>
      <c r="F1053" s="938"/>
      <c r="G1053" s="976">
        <f t="shared" si="18"/>
        <v>1050</v>
      </c>
      <c r="H1053" s="1085"/>
      <c r="I1053" s="1060" t="s">
        <v>1059</v>
      </c>
      <c r="J1053" s="1086" t="s">
        <v>2091</v>
      </c>
      <c r="K1053" s="1002" t="str">
        <f>IF(I!K1053="","",$D$2*I!K1053)</f>
        <v/>
      </c>
      <c r="L1053" s="981"/>
      <c r="M1053" s="982"/>
      <c r="N1053" s="1003"/>
      <c r="O1053" s="1004" t="str">
        <f>IF(I!O1053="","",$D$2*I!O1053)</f>
        <v/>
      </c>
      <c r="P1053" s="1005">
        <f>IF(I!P1053="","",$D$2*I!P1053)</f>
        <v>22655.05</v>
      </c>
      <c r="Q1053" s="1006" t="str">
        <f>IF(I!Q1053="","",$D$2*I!Q1053)</f>
        <v/>
      </c>
      <c r="R1053" s="982"/>
      <c r="S1053" s="1003"/>
      <c r="T1053" s="938"/>
      <c r="U1053" s="1062" t="s">
        <v>1059</v>
      </c>
      <c r="V1053" s="1018" t="s">
        <v>6887</v>
      </c>
      <c r="W1053" s="1019">
        <f>IF(I!W1053="","",$D$2*I!W1053)</f>
        <v>0.48428416299999999</v>
      </c>
      <c r="X1053" s="990">
        <f>IF(I!X1053="","",$D$2*I!X1053)</f>
        <v>0.31419901880000001</v>
      </c>
      <c r="Y1053" s="1010">
        <f>IF(I!Y1053="","",$D$2*I!Y1053)</f>
        <v>1.317537873</v>
      </c>
      <c r="Z1053" s="938"/>
      <c r="AA1053" s="938"/>
      <c r="AB1053" s="938"/>
      <c r="AC1053" s="938"/>
      <c r="AD1053" s="1058"/>
      <c r="AE1053" s="938"/>
      <c r="AF1053" s="938"/>
      <c r="AG1053" s="938"/>
      <c r="AH1053" s="938"/>
    </row>
    <row r="1054" spans="1:34" ht="17.25" customHeight="1" x14ac:dyDescent="0.35">
      <c r="A1054" s="938"/>
      <c r="B1054" s="938"/>
      <c r="C1054" s="941"/>
      <c r="D1054" s="1047"/>
      <c r="E1054" s="941"/>
      <c r="F1054" s="938"/>
      <c r="G1054" s="976">
        <f t="shared" si="18"/>
        <v>1051</v>
      </c>
      <c r="H1054" s="1085"/>
      <c r="I1054" s="1060" t="s">
        <v>1059</v>
      </c>
      <c r="J1054" s="1086" t="s">
        <v>2092</v>
      </c>
      <c r="K1054" s="1002" t="str">
        <f>IF(I!K1054="","",$D$2*I!K1054)</f>
        <v/>
      </c>
      <c r="L1054" s="981"/>
      <c r="M1054" s="982"/>
      <c r="N1054" s="1003"/>
      <c r="O1054" s="1004" t="str">
        <f>IF(I!O1054="","",$D$2*I!O1054)</f>
        <v/>
      </c>
      <c r="P1054" s="1005">
        <f>IF(I!P1054="","",$D$2*I!P1054)</f>
        <v>22655.05</v>
      </c>
      <c r="Q1054" s="1006" t="str">
        <f>IF(I!Q1054="","",$D$2*I!Q1054)</f>
        <v/>
      </c>
      <c r="R1054" s="982"/>
      <c r="S1054" s="1003"/>
      <c r="T1054" s="938"/>
      <c r="U1054" s="1062" t="s">
        <v>1059</v>
      </c>
      <c r="V1054" s="1018" t="s">
        <v>6888</v>
      </c>
      <c r="W1054" s="1019">
        <f>IF(I!W1054="","",$D$2*I!W1054)</f>
        <v>1.1481711300000002</v>
      </c>
      <c r="X1054" s="990">
        <f>IF(I!X1054="","",$D$2*I!X1054)</f>
        <v>0.60926052804000008</v>
      </c>
      <c r="Y1054" s="1010">
        <f>IF(I!Y1054="","",$D$2*I!Y1054)</f>
        <v>3.42277393</v>
      </c>
      <c r="Z1054" s="938"/>
      <c r="AA1054" s="938"/>
      <c r="AB1054" s="938"/>
      <c r="AC1054" s="938"/>
      <c r="AD1054" s="1058"/>
      <c r="AE1054" s="938"/>
      <c r="AF1054" s="938"/>
      <c r="AG1054" s="938"/>
      <c r="AH1054" s="938"/>
    </row>
    <row r="1055" spans="1:34" ht="17.25" customHeight="1" x14ac:dyDescent="0.35">
      <c r="A1055" s="938"/>
      <c r="B1055" s="938"/>
      <c r="C1055" s="941"/>
      <c r="D1055" s="1047"/>
      <c r="E1055" s="941"/>
      <c r="F1055" s="938"/>
      <c r="G1055" s="976">
        <f t="shared" si="18"/>
        <v>1052</v>
      </c>
      <c r="H1055" s="1085"/>
      <c r="I1055" s="1060" t="s">
        <v>1059</v>
      </c>
      <c r="J1055" s="1086" t="s">
        <v>2093</v>
      </c>
      <c r="K1055" s="1002" t="str">
        <f>IF(I!K1055="","",$D$2*I!K1055)</f>
        <v/>
      </c>
      <c r="L1055" s="981"/>
      <c r="M1055" s="982"/>
      <c r="N1055" s="1003"/>
      <c r="O1055" s="1004" t="str">
        <f>IF(I!O1055="","",$D$2*I!O1055)</f>
        <v/>
      </c>
      <c r="P1055" s="1005">
        <f>IF(I!P1055="","",$D$2*I!P1055)</f>
        <v>22655.05</v>
      </c>
      <c r="Q1055" s="1006" t="str">
        <f>IF(I!Q1055="","",$D$2*I!Q1055)</f>
        <v/>
      </c>
      <c r="R1055" s="982"/>
      <c r="S1055" s="1003"/>
      <c r="T1055" s="938"/>
      <c r="U1055" s="1062" t="s">
        <v>1059</v>
      </c>
      <c r="V1055" s="1018" t="s">
        <v>6889</v>
      </c>
      <c r="W1055" s="1019">
        <f>IF(I!W1055="","",$D$2*I!W1055)</f>
        <v>0.82861004540000005</v>
      </c>
      <c r="X1055" s="990">
        <f>IF(I!X1055="","",$D$2*I!X1055)</f>
        <v>0.52916378740000003</v>
      </c>
      <c r="Y1055" s="1010">
        <f>IF(I!Y1055="","",$D$2*I!Y1055)</f>
        <v>2.3320668454</v>
      </c>
      <c r="Z1055" s="938"/>
      <c r="AA1055" s="938"/>
      <c r="AB1055" s="938"/>
      <c r="AC1055" s="938"/>
      <c r="AD1055" s="1058"/>
      <c r="AE1055" s="938"/>
      <c r="AF1055" s="938"/>
      <c r="AG1055" s="938"/>
      <c r="AH1055" s="938"/>
    </row>
    <row r="1056" spans="1:34" ht="17.25" customHeight="1" x14ac:dyDescent="0.35">
      <c r="A1056" s="938"/>
      <c r="B1056" s="938"/>
      <c r="C1056" s="941"/>
      <c r="D1056" s="1047"/>
      <c r="E1056" s="941"/>
      <c r="F1056" s="938"/>
      <c r="G1056" s="976">
        <f t="shared" si="18"/>
        <v>1053</v>
      </c>
      <c r="H1056" s="1085"/>
      <c r="I1056" s="1060" t="s">
        <v>1059</v>
      </c>
      <c r="J1056" s="1086" t="s">
        <v>2094</v>
      </c>
      <c r="K1056" s="1002" t="str">
        <f>IF(I!K1056="","",$D$2*I!K1056)</f>
        <v/>
      </c>
      <c r="L1056" s="981"/>
      <c r="M1056" s="982"/>
      <c r="N1056" s="1003"/>
      <c r="O1056" s="1004" t="str">
        <f>IF(I!O1056="","",$D$2*I!O1056)</f>
        <v/>
      </c>
      <c r="P1056" s="1005">
        <f>IF(I!P1056="","",$D$2*I!P1056)</f>
        <v>22655.05</v>
      </c>
      <c r="Q1056" s="1006" t="str">
        <f>IF(I!Q1056="","",$D$2*I!Q1056)</f>
        <v/>
      </c>
      <c r="R1056" s="982"/>
      <c r="S1056" s="1003"/>
      <c r="T1056" s="938"/>
      <c r="U1056" s="1062" t="s">
        <v>1059</v>
      </c>
      <c r="V1056" s="1018" t="s">
        <v>6890</v>
      </c>
      <c r="W1056" s="1019">
        <f>IF(I!W1056="","",$D$2*I!W1056)</f>
        <v>1.0399539690000001</v>
      </c>
      <c r="X1056" s="990">
        <f>IF(I!X1056="","",$D$2*I!X1056)</f>
        <v>0.50070413221999999</v>
      </c>
      <c r="Y1056" s="1010">
        <f>IF(I!Y1056="","",$D$2*I!Y1056)</f>
        <v>3.3632308690000006</v>
      </c>
      <c r="Z1056" s="938"/>
      <c r="AA1056" s="938"/>
      <c r="AB1056" s="938"/>
      <c r="AC1056" s="938"/>
      <c r="AD1056" s="1058"/>
      <c r="AE1056" s="938"/>
      <c r="AF1056" s="938"/>
      <c r="AG1056" s="938"/>
      <c r="AH1056" s="938"/>
    </row>
    <row r="1057" spans="1:34" ht="17.25" customHeight="1" x14ac:dyDescent="0.35">
      <c r="A1057" s="938"/>
      <c r="B1057" s="938"/>
      <c r="C1057" s="941"/>
      <c r="D1057" s="1047"/>
      <c r="E1057" s="941"/>
      <c r="F1057" s="938"/>
      <c r="G1057" s="976">
        <f t="shared" si="18"/>
        <v>1054</v>
      </c>
      <c r="H1057" s="1085"/>
      <c r="I1057" s="1060" t="s">
        <v>1059</v>
      </c>
      <c r="J1057" s="1086" t="s">
        <v>2095</v>
      </c>
      <c r="K1057" s="1002" t="str">
        <f>IF(I!K1057="","",$D$2*I!K1057)</f>
        <v/>
      </c>
      <c r="L1057" s="981"/>
      <c r="M1057" s="982"/>
      <c r="N1057" s="1003"/>
      <c r="O1057" s="1004" t="str">
        <f>IF(I!O1057="","",$D$2*I!O1057)</f>
        <v/>
      </c>
      <c r="P1057" s="1005">
        <f>IF(I!P1057="","",$D$2*I!P1057)</f>
        <v>22655.05</v>
      </c>
      <c r="Q1057" s="1006" t="str">
        <f>IF(I!Q1057="","",$D$2*I!Q1057)</f>
        <v/>
      </c>
      <c r="R1057" s="982"/>
      <c r="S1057" s="1003"/>
      <c r="T1057" s="938"/>
      <c r="U1057" s="1062" t="s">
        <v>1059</v>
      </c>
      <c r="V1057" s="1018" t="s">
        <v>6891</v>
      </c>
      <c r="W1057" s="1019">
        <f>IF(I!W1057="","",$D$2*I!W1057)</f>
        <v>0.74521027699999998</v>
      </c>
      <c r="X1057" s="990">
        <f>IF(I!X1057="","",$D$2*I!X1057)</f>
        <v>0.44306653743000002</v>
      </c>
      <c r="Y1057" s="1010">
        <f>IF(I!Y1057="","",$D$2*I!Y1057)</f>
        <v>2.097917577</v>
      </c>
      <c r="Z1057" s="938"/>
      <c r="AA1057" s="938"/>
      <c r="AB1057" s="938"/>
      <c r="AC1057" s="938"/>
      <c r="AD1057" s="1058"/>
      <c r="AE1057" s="938"/>
      <c r="AF1057" s="938"/>
      <c r="AG1057" s="938"/>
      <c r="AH1057" s="938"/>
    </row>
    <row r="1058" spans="1:34" ht="17.25" customHeight="1" x14ac:dyDescent="0.35">
      <c r="A1058" s="938"/>
      <c r="B1058" s="938"/>
      <c r="C1058" s="941"/>
      <c r="D1058" s="1047"/>
      <c r="E1058" s="941"/>
      <c r="F1058" s="938"/>
      <c r="G1058" s="976">
        <f t="shared" si="18"/>
        <v>1055</v>
      </c>
      <c r="H1058" s="1085"/>
      <c r="I1058" s="1060" t="s">
        <v>1059</v>
      </c>
      <c r="J1058" s="1086" t="s">
        <v>2096</v>
      </c>
      <c r="K1058" s="1002" t="str">
        <f>IF(I!K1058="","",$D$2*I!K1058)</f>
        <v/>
      </c>
      <c r="L1058" s="981"/>
      <c r="M1058" s="982"/>
      <c r="N1058" s="1003"/>
      <c r="O1058" s="1004" t="str">
        <f>IF(I!O1058="","",$D$2*I!O1058)</f>
        <v/>
      </c>
      <c r="P1058" s="1005">
        <f>IF(I!P1058="","",$D$2*I!P1058)</f>
        <v>22655.05</v>
      </c>
      <c r="Q1058" s="1006" t="str">
        <f>IF(I!Q1058="","",$D$2*I!Q1058)</f>
        <v/>
      </c>
      <c r="R1058" s="982"/>
      <c r="S1058" s="1003"/>
      <c r="T1058" s="938"/>
      <c r="U1058" s="1062" t="s">
        <v>1059</v>
      </c>
      <c r="V1058" s="1018" t="s">
        <v>6892</v>
      </c>
      <c r="W1058" s="1019">
        <f>IF(I!W1058="","",$D$2*I!W1058)</f>
        <v>1.7867934320000001</v>
      </c>
      <c r="X1058" s="990">
        <f>IF(I!X1058="","",$D$2*I!X1058)</f>
        <v>1.0485164365999999</v>
      </c>
      <c r="Y1058" s="1010">
        <f>IF(I!Y1058="","",$D$2*I!Y1058)</f>
        <v>4.9196182319999995</v>
      </c>
      <c r="Z1058" s="938"/>
      <c r="AA1058" s="938"/>
      <c r="AB1058" s="938"/>
      <c r="AC1058" s="938"/>
      <c r="AD1058" s="1058"/>
      <c r="AE1058" s="938"/>
      <c r="AF1058" s="938"/>
      <c r="AG1058" s="938"/>
      <c r="AH1058" s="938"/>
    </row>
    <row r="1059" spans="1:34" ht="17.25" customHeight="1" x14ac:dyDescent="0.35">
      <c r="A1059" s="938"/>
      <c r="B1059" s="938"/>
      <c r="C1059" s="941"/>
      <c r="D1059" s="1047"/>
      <c r="E1059" s="941"/>
      <c r="F1059" s="938"/>
      <c r="G1059" s="976">
        <f t="shared" si="18"/>
        <v>1056</v>
      </c>
      <c r="H1059" s="1085"/>
      <c r="I1059" s="1060" t="s">
        <v>1059</v>
      </c>
      <c r="J1059" s="1086" t="s">
        <v>2097</v>
      </c>
      <c r="K1059" s="1002" t="str">
        <f>IF(I!K1059="","",$D$2*I!K1059)</f>
        <v/>
      </c>
      <c r="L1059" s="981"/>
      <c r="M1059" s="982"/>
      <c r="N1059" s="1003"/>
      <c r="O1059" s="1004" t="str">
        <f>IF(I!O1059="","",$D$2*I!O1059)</f>
        <v/>
      </c>
      <c r="P1059" s="1005">
        <f>IF(I!P1059="","",$D$2*I!P1059)</f>
        <v>22655.05</v>
      </c>
      <c r="Q1059" s="1006" t="str">
        <f>IF(I!Q1059="","",$D$2*I!Q1059)</f>
        <v/>
      </c>
      <c r="R1059" s="982"/>
      <c r="S1059" s="1003"/>
      <c r="T1059" s="938"/>
      <c r="U1059" s="1062" t="s">
        <v>1059</v>
      </c>
      <c r="V1059" s="1018" t="s">
        <v>6893</v>
      </c>
      <c r="W1059" s="1019">
        <f>IF(I!W1059="","",$D$2*I!W1059)</f>
        <v>1.005718157</v>
      </c>
      <c r="X1059" s="990">
        <f>IF(I!X1059="","",$D$2*I!X1059)</f>
        <v>0.5563802498</v>
      </c>
      <c r="Y1059" s="1010">
        <f>IF(I!Y1059="","",$D$2*I!Y1059)</f>
        <v>2.960200757</v>
      </c>
      <c r="Z1059" s="938"/>
      <c r="AA1059" s="938"/>
      <c r="AB1059" s="938"/>
      <c r="AC1059" s="938"/>
      <c r="AD1059" s="1058"/>
      <c r="AE1059" s="938"/>
      <c r="AF1059" s="938"/>
      <c r="AG1059" s="938"/>
      <c r="AH1059" s="938"/>
    </row>
    <row r="1060" spans="1:34" ht="17.25" customHeight="1" x14ac:dyDescent="0.35">
      <c r="A1060" s="938"/>
      <c r="B1060" s="938"/>
      <c r="C1060" s="941"/>
      <c r="D1060" s="1047"/>
      <c r="E1060" s="941"/>
      <c r="F1060" s="938"/>
      <c r="G1060" s="976">
        <f t="shared" si="18"/>
        <v>1057</v>
      </c>
      <c r="H1060" s="1085"/>
      <c r="I1060" s="1060" t="s">
        <v>1059</v>
      </c>
      <c r="J1060" s="1086" t="s">
        <v>2098</v>
      </c>
      <c r="K1060" s="1002" t="str">
        <f>IF(I!K1060="","",$D$2*I!K1060)</f>
        <v/>
      </c>
      <c r="L1060" s="981"/>
      <c r="M1060" s="982"/>
      <c r="N1060" s="1003"/>
      <c r="O1060" s="1004" t="str">
        <f>IF(I!O1060="","",$D$2*I!O1060)</f>
        <v/>
      </c>
      <c r="P1060" s="1005">
        <f>IF(I!P1060="","",$D$2*I!P1060)</f>
        <v>22655.05</v>
      </c>
      <c r="Q1060" s="1006" t="str">
        <f>IF(I!Q1060="","",$D$2*I!Q1060)</f>
        <v/>
      </c>
      <c r="R1060" s="982"/>
      <c r="S1060" s="1003"/>
      <c r="T1060" s="938"/>
      <c r="U1060" s="1062" t="s">
        <v>1059</v>
      </c>
      <c r="V1060" s="1018" t="s">
        <v>6894</v>
      </c>
      <c r="W1060" s="1019">
        <f>IF(I!W1060="","",$D$2*I!W1060)</f>
        <v>0.83644720699999997</v>
      </c>
      <c r="X1060" s="990">
        <f>IF(I!X1060="","",$D$2*I!X1060)</f>
        <v>0.50184095563000009</v>
      </c>
      <c r="Y1060" s="1010">
        <f>IF(I!Y1060="","",$D$2*I!Y1060)</f>
        <v>2.323286907</v>
      </c>
      <c r="Z1060" s="938"/>
      <c r="AA1060" s="938"/>
      <c r="AB1060" s="938"/>
      <c r="AC1060" s="938"/>
      <c r="AD1060" s="1058"/>
      <c r="AE1060" s="938"/>
      <c r="AF1060" s="938"/>
      <c r="AG1060" s="938"/>
      <c r="AH1060" s="938"/>
    </row>
    <row r="1061" spans="1:34" ht="17.25" customHeight="1" x14ac:dyDescent="0.35">
      <c r="A1061" s="938"/>
      <c r="B1061" s="938"/>
      <c r="C1061" s="941"/>
      <c r="D1061" s="1047"/>
      <c r="E1061" s="941"/>
      <c r="F1061" s="938"/>
      <c r="G1061" s="976">
        <f t="shared" si="18"/>
        <v>1058</v>
      </c>
      <c r="H1061" s="1085"/>
      <c r="I1061" s="1060" t="s">
        <v>1059</v>
      </c>
      <c r="J1061" s="1087" t="s">
        <v>2099</v>
      </c>
      <c r="K1061" s="1002" t="str">
        <f>IF(I!K1061="","",$D$2*I!K1061)</f>
        <v/>
      </c>
      <c r="L1061" s="981"/>
      <c r="M1061" s="982"/>
      <c r="N1061" s="1003"/>
      <c r="O1061" s="1004" t="str">
        <f>IF(I!O1061="","",$D$2*I!O1061)</f>
        <v/>
      </c>
      <c r="P1061" s="1005">
        <f>IF(I!P1061="","",$D$2*I!P1061)</f>
        <v>22655.05</v>
      </c>
      <c r="Q1061" s="1006" t="str">
        <f>IF(I!Q1061="","",$D$2*I!Q1061)</f>
        <v/>
      </c>
      <c r="R1061" s="982"/>
      <c r="S1061" s="1003"/>
      <c r="T1061" s="938"/>
      <c r="U1061" s="1062" t="s">
        <v>1059</v>
      </c>
      <c r="V1061" s="1018" t="s">
        <v>6895</v>
      </c>
      <c r="W1061" s="1019">
        <f>IF(I!W1061="","",$D$2*I!W1061)</f>
        <v>0.73626414289999997</v>
      </c>
      <c r="X1061" s="990">
        <f>IF(I!X1061="","",$D$2*I!X1061)</f>
        <v>0.41941546940999996</v>
      </c>
      <c r="Y1061" s="1010">
        <f>IF(I!Y1061="","",$D$2*I!Y1061)</f>
        <v>1.9018878428999999</v>
      </c>
      <c r="Z1061" s="938"/>
      <c r="AA1061" s="938"/>
      <c r="AB1061" s="938"/>
      <c r="AC1061" s="938"/>
      <c r="AD1061" s="1058"/>
      <c r="AE1061" s="938"/>
      <c r="AF1061" s="938"/>
      <c r="AG1061" s="938"/>
      <c r="AH1061" s="938"/>
    </row>
    <row r="1062" spans="1:34" ht="17.25" customHeight="1" x14ac:dyDescent="0.35">
      <c r="A1062" s="938"/>
      <c r="B1062" s="938"/>
      <c r="C1062" s="941"/>
      <c r="D1062" s="1047"/>
      <c r="E1062" s="941"/>
      <c r="F1062" s="938"/>
      <c r="G1062" s="976">
        <f t="shared" si="18"/>
        <v>1059</v>
      </c>
      <c r="H1062" s="1085"/>
      <c r="I1062" s="1060" t="s">
        <v>1059</v>
      </c>
      <c r="J1062" s="1086" t="s">
        <v>2100</v>
      </c>
      <c r="K1062" s="1002" t="str">
        <f>IF(I!K1062="","",$D$2*I!K1062)</f>
        <v/>
      </c>
      <c r="L1062" s="981"/>
      <c r="M1062" s="982"/>
      <c r="N1062" s="1003"/>
      <c r="O1062" s="1004" t="str">
        <f>IF(I!O1062="","",$D$2*I!O1062)</f>
        <v/>
      </c>
      <c r="P1062" s="1005">
        <f>IF(I!P1062="","",$D$2*I!P1062)</f>
        <v>22655.05</v>
      </c>
      <c r="Q1062" s="1006" t="str">
        <f>IF(I!Q1062="","",$D$2*I!Q1062)</f>
        <v/>
      </c>
      <c r="R1062" s="982"/>
      <c r="S1062" s="1003"/>
      <c r="T1062" s="938"/>
      <c r="U1062" s="1062" t="s">
        <v>1059</v>
      </c>
      <c r="V1062" s="1018" t="s">
        <v>6896</v>
      </c>
      <c r="W1062" s="1019">
        <f>IF(I!W1062="","",$D$2*I!W1062)</f>
        <v>1.226985894</v>
      </c>
      <c r="X1062" s="990">
        <f>IF(I!X1062="","",$D$2*I!X1062)</f>
        <v>0.63857099190999989</v>
      </c>
      <c r="Y1062" s="1010">
        <f>IF(I!Y1062="","",$D$2*I!Y1062)</f>
        <v>3.6909595939999997</v>
      </c>
      <c r="Z1062" s="938"/>
      <c r="AA1062" s="938"/>
      <c r="AB1062" s="938"/>
      <c r="AC1062" s="938"/>
      <c r="AD1062" s="1058"/>
      <c r="AE1062" s="938"/>
      <c r="AF1062" s="938"/>
      <c r="AG1062" s="938"/>
      <c r="AH1062" s="938"/>
    </row>
    <row r="1063" spans="1:34" ht="17.25" customHeight="1" x14ac:dyDescent="0.35">
      <c r="A1063" s="938"/>
      <c r="B1063" s="938"/>
      <c r="C1063" s="941"/>
      <c r="D1063" s="1047"/>
      <c r="E1063" s="941"/>
      <c r="F1063" s="938"/>
      <c r="G1063" s="976">
        <f t="shared" si="18"/>
        <v>1060</v>
      </c>
      <c r="H1063" s="1085"/>
      <c r="I1063" s="1060" t="s">
        <v>1059</v>
      </c>
      <c r="J1063" s="1086" t="s">
        <v>2101</v>
      </c>
      <c r="K1063" s="1002" t="str">
        <f>IF(I!K1063="","",$D$2*I!K1063)</f>
        <v/>
      </c>
      <c r="L1063" s="981"/>
      <c r="M1063" s="982"/>
      <c r="N1063" s="1003"/>
      <c r="O1063" s="1004" t="str">
        <f>IF(I!O1063="","",$D$2*I!O1063)</f>
        <v/>
      </c>
      <c r="P1063" s="1005">
        <f>IF(I!P1063="","",$D$2*I!P1063)</f>
        <v>22655.05</v>
      </c>
      <c r="Q1063" s="1006" t="str">
        <f>IF(I!Q1063="","",$D$2*I!Q1063)</f>
        <v/>
      </c>
      <c r="R1063" s="982"/>
      <c r="S1063" s="1003"/>
      <c r="T1063" s="938"/>
      <c r="U1063" s="1062" t="s">
        <v>1059</v>
      </c>
      <c r="V1063" s="1018" t="s">
        <v>6897</v>
      </c>
      <c r="W1063" s="1019">
        <f>IF(I!W1063="","",$D$2*I!W1063)</f>
        <v>1.1878582310000001</v>
      </c>
      <c r="X1063" s="990">
        <f>IF(I!X1063="","",$D$2*I!X1063)</f>
        <v>0.65786758764999997</v>
      </c>
      <c r="Y1063" s="1010">
        <f>IF(I!Y1063="","",$D$2*I!Y1063)</f>
        <v>3.3790208310000001</v>
      </c>
      <c r="Z1063" s="938"/>
      <c r="AA1063" s="938"/>
      <c r="AB1063" s="938"/>
      <c r="AC1063" s="938"/>
      <c r="AD1063" s="1058"/>
      <c r="AE1063" s="938"/>
      <c r="AF1063" s="938"/>
      <c r="AG1063" s="938"/>
      <c r="AH1063" s="938"/>
    </row>
    <row r="1064" spans="1:34" ht="17.25" customHeight="1" x14ac:dyDescent="0.35">
      <c r="A1064" s="938"/>
      <c r="B1064" s="938"/>
      <c r="C1064" s="941"/>
      <c r="D1064" s="1047"/>
      <c r="E1064" s="941"/>
      <c r="F1064" s="938"/>
      <c r="G1064" s="976">
        <f t="shared" si="18"/>
        <v>1061</v>
      </c>
      <c r="H1064" s="1085"/>
      <c r="I1064" s="1060" t="s">
        <v>1059</v>
      </c>
      <c r="J1064" s="1086" t="s">
        <v>2102</v>
      </c>
      <c r="K1064" s="1002" t="str">
        <f>IF(I!K1064="","",$D$2*I!K1064)</f>
        <v/>
      </c>
      <c r="L1064" s="981"/>
      <c r="M1064" s="982"/>
      <c r="N1064" s="1003"/>
      <c r="O1064" s="1004" t="str">
        <f>IF(I!O1064="","",$D$2*I!O1064)</f>
        <v/>
      </c>
      <c r="P1064" s="1005">
        <f>IF(I!P1064="","",$D$2*I!P1064)</f>
        <v>22655.05</v>
      </c>
      <c r="Q1064" s="1006" t="str">
        <f>IF(I!Q1064="","",$D$2*I!Q1064)</f>
        <v/>
      </c>
      <c r="R1064" s="982"/>
      <c r="S1064" s="1003"/>
      <c r="T1064" s="938"/>
      <c r="U1064" s="1062" t="s">
        <v>1059</v>
      </c>
      <c r="V1064" s="1018" t="s">
        <v>6898</v>
      </c>
      <c r="W1064" s="1019">
        <f>IF(I!W1064="","",$D$2*I!W1064)</f>
        <v>0.88855065489999996</v>
      </c>
      <c r="X1064" s="990">
        <f>IF(I!X1064="","",$D$2*I!X1064)</f>
        <v>0.40331052227999997</v>
      </c>
      <c r="Y1064" s="1010">
        <f>IF(I!Y1064="","",$D$2*I!Y1064)</f>
        <v>2.5139474549000003</v>
      </c>
      <c r="Z1064" s="938"/>
      <c r="AA1064" s="938"/>
      <c r="AB1064" s="938"/>
      <c r="AC1064" s="938"/>
      <c r="AD1064" s="1058"/>
      <c r="AE1064" s="938"/>
      <c r="AF1064" s="938"/>
      <c r="AG1064" s="938"/>
      <c r="AH1064" s="938"/>
    </row>
    <row r="1065" spans="1:34" ht="17.25" customHeight="1" x14ac:dyDescent="0.35">
      <c r="A1065" s="938"/>
      <c r="B1065" s="938"/>
      <c r="C1065" s="941"/>
      <c r="D1065" s="1047"/>
      <c r="E1065" s="941"/>
      <c r="F1065" s="938"/>
      <c r="G1065" s="976">
        <f t="shared" si="18"/>
        <v>1062</v>
      </c>
      <c r="H1065" s="1085"/>
      <c r="I1065" s="1060" t="s">
        <v>1059</v>
      </c>
      <c r="J1065" s="1086" t="s">
        <v>2103</v>
      </c>
      <c r="K1065" s="1002" t="str">
        <f>IF(I!K1065="","",$D$2*I!K1065)</f>
        <v/>
      </c>
      <c r="L1065" s="981"/>
      <c r="M1065" s="982"/>
      <c r="N1065" s="1003"/>
      <c r="O1065" s="1004" t="str">
        <f>IF(I!O1065="","",$D$2*I!O1065)</f>
        <v/>
      </c>
      <c r="P1065" s="1005">
        <f>IF(I!P1065="","",$D$2*I!P1065)</f>
        <v>22655.05</v>
      </c>
      <c r="Q1065" s="1006" t="str">
        <f>IF(I!Q1065="","",$D$2*I!Q1065)</f>
        <v/>
      </c>
      <c r="R1065" s="982"/>
      <c r="S1065" s="1003"/>
      <c r="T1065" s="938"/>
      <c r="U1065" s="1062" t="s">
        <v>1059</v>
      </c>
      <c r="V1065" s="1018" t="s">
        <v>6899</v>
      </c>
      <c r="W1065" s="1019">
        <f>IF(I!W1065="","",$D$2*I!W1065)</f>
        <v>1.294937784</v>
      </c>
      <c r="X1065" s="990">
        <f>IF(I!X1065="","",$D$2*I!X1065)</f>
        <v>0.64373436413999996</v>
      </c>
      <c r="Y1065" s="1010">
        <f>IF(I!Y1065="","",$D$2*I!Y1065)</f>
        <v>3.945552384</v>
      </c>
      <c r="Z1065" s="938"/>
      <c r="AA1065" s="938"/>
      <c r="AB1065" s="938"/>
      <c r="AC1065" s="938"/>
      <c r="AD1065" s="1058"/>
      <c r="AE1065" s="938"/>
      <c r="AF1065" s="938"/>
      <c r="AG1065" s="938"/>
      <c r="AH1065" s="938"/>
    </row>
    <row r="1066" spans="1:34" ht="17.25" customHeight="1" x14ac:dyDescent="0.35">
      <c r="A1066" s="938"/>
      <c r="B1066" s="938"/>
      <c r="C1066" s="941"/>
      <c r="D1066" s="1047"/>
      <c r="E1066" s="941"/>
      <c r="F1066" s="938"/>
      <c r="G1066" s="976">
        <f t="shared" si="18"/>
        <v>1063</v>
      </c>
      <c r="H1066" s="1085"/>
      <c r="I1066" s="1060" t="s">
        <v>1059</v>
      </c>
      <c r="J1066" s="1087" t="s">
        <v>2104</v>
      </c>
      <c r="K1066" s="1002" t="str">
        <f>IF(I!K1066="","",$D$2*I!K1066)</f>
        <v/>
      </c>
      <c r="L1066" s="981"/>
      <c r="M1066" s="982"/>
      <c r="N1066" s="1003"/>
      <c r="O1066" s="1004" t="str">
        <f>IF(I!O1066="","",$D$2*I!O1066)</f>
        <v/>
      </c>
      <c r="P1066" s="1005">
        <f>IF(I!P1066="","",$D$2*I!P1066)</f>
        <v>22655.05</v>
      </c>
      <c r="Q1066" s="1006" t="str">
        <f>IF(I!Q1066="","",$D$2*I!Q1066)</f>
        <v/>
      </c>
      <c r="R1066" s="982"/>
      <c r="S1066" s="1003"/>
      <c r="T1066" s="938"/>
      <c r="U1066" s="1062" t="s">
        <v>1059</v>
      </c>
      <c r="V1066" s="1018" t="s">
        <v>6900</v>
      </c>
      <c r="W1066" s="1019">
        <f>IF(I!W1066="","",$D$2*I!W1066)</f>
        <v>0.66463466100000002</v>
      </c>
      <c r="X1066" s="990">
        <f>IF(I!X1066="","",$D$2*I!X1066)</f>
        <v>0.42108412978999998</v>
      </c>
      <c r="Y1066" s="1010">
        <f>IF(I!Y1066="","",$D$2*I!Y1066)</f>
        <v>1.7693643610000001</v>
      </c>
      <c r="Z1066" s="938"/>
      <c r="AA1066" s="938"/>
      <c r="AB1066" s="938"/>
      <c r="AC1066" s="938"/>
      <c r="AD1066" s="1058"/>
      <c r="AE1066" s="938"/>
      <c r="AF1066" s="938"/>
      <c r="AG1066" s="938"/>
      <c r="AH1066" s="938"/>
    </row>
    <row r="1067" spans="1:34" ht="17.25" customHeight="1" x14ac:dyDescent="0.35">
      <c r="A1067" s="938"/>
      <c r="B1067" s="938"/>
      <c r="C1067" s="941"/>
      <c r="D1067" s="1047"/>
      <c r="E1067" s="941"/>
      <c r="F1067" s="938"/>
      <c r="G1067" s="976">
        <f t="shared" si="18"/>
        <v>1064</v>
      </c>
      <c r="H1067" s="1085"/>
      <c r="I1067" s="1060" t="s">
        <v>1059</v>
      </c>
      <c r="J1067" s="1086" t="s">
        <v>2105</v>
      </c>
      <c r="K1067" s="1002" t="str">
        <f>IF(I!K1067="","",$D$2*I!K1067)</f>
        <v/>
      </c>
      <c r="L1067" s="981"/>
      <c r="M1067" s="982"/>
      <c r="N1067" s="1003"/>
      <c r="O1067" s="1004" t="str">
        <f>IF(I!O1067="","",$D$2*I!O1067)</f>
        <v/>
      </c>
      <c r="P1067" s="1005">
        <f>IF(I!P1067="","",$D$2*I!P1067)</f>
        <v>22655.05</v>
      </c>
      <c r="Q1067" s="1006" t="str">
        <f>IF(I!Q1067="","",$D$2*I!Q1067)</f>
        <v/>
      </c>
      <c r="R1067" s="982"/>
      <c r="S1067" s="1003"/>
      <c r="T1067" s="938"/>
      <c r="U1067" s="1062" t="s">
        <v>1059</v>
      </c>
      <c r="V1067" s="1018" t="s">
        <v>6901</v>
      </c>
      <c r="W1067" s="1019">
        <f>IF(I!W1067="","",$D$2*I!W1067)</f>
        <v>0.55305791819999994</v>
      </c>
      <c r="X1067" s="990">
        <f>IF(I!X1067="","",$D$2*I!X1067)</f>
        <v>0.40324254491</v>
      </c>
      <c r="Y1067" s="1010">
        <f>IF(I!Y1067="","",$D$2*I!Y1067)</f>
        <v>1.4653822982</v>
      </c>
      <c r="Z1067" s="938"/>
      <c r="AA1067" s="938"/>
      <c r="AB1067" s="938"/>
      <c r="AC1067" s="938"/>
      <c r="AD1067" s="1058"/>
      <c r="AE1067" s="938"/>
      <c r="AF1067" s="938"/>
      <c r="AG1067" s="938"/>
      <c r="AH1067" s="938"/>
    </row>
    <row r="1068" spans="1:34" ht="17.25" customHeight="1" x14ac:dyDescent="0.35">
      <c r="A1068" s="938"/>
      <c r="B1068" s="938"/>
      <c r="C1068" s="941"/>
      <c r="D1068" s="1047"/>
      <c r="E1068" s="941"/>
      <c r="F1068" s="938"/>
      <c r="G1068" s="976">
        <f t="shared" si="18"/>
        <v>1065</v>
      </c>
      <c r="H1068" s="1083" t="s">
        <v>2106</v>
      </c>
      <c r="I1068" s="1088"/>
      <c r="J1068" s="1088"/>
      <c r="K1068" s="1002" t="str">
        <f>IF(I!K1068="","",$D$2*I!K1068)</f>
        <v/>
      </c>
      <c r="L1068" s="981"/>
      <c r="M1068" s="982"/>
      <c r="N1068" s="1003"/>
      <c r="O1068" s="1004" t="str">
        <f>IF(I!O1068="","",$D$2*I!O1068)</f>
        <v/>
      </c>
      <c r="P1068" s="1005" t="str">
        <f>IF(I!P1068="","",$D$2*I!P1068)</f>
        <v/>
      </c>
      <c r="Q1068" s="1006" t="str">
        <f>IF(I!Q1068="","",$D$2*I!Q1068)</f>
        <v/>
      </c>
      <c r="R1068" s="982"/>
      <c r="S1068" s="1003"/>
      <c r="T1068" s="938"/>
      <c r="U1068" s="1062" t="s">
        <v>1059</v>
      </c>
      <c r="V1068" s="1018" t="s">
        <v>6902</v>
      </c>
      <c r="W1068" s="1019">
        <f>IF(I!W1068="","",$D$2*I!W1068)</f>
        <v>0.76428267560000007</v>
      </c>
      <c r="X1068" s="990">
        <f>IF(I!X1068="","",$D$2*I!X1068)</f>
        <v>0.48994103049999999</v>
      </c>
      <c r="Y1068" s="1010">
        <f>IF(I!Y1068="","",$D$2*I!Y1068)</f>
        <v>2.1741570756000002</v>
      </c>
      <c r="Z1068" s="938"/>
      <c r="AA1068" s="938"/>
      <c r="AB1068" s="938"/>
      <c r="AC1068" s="938"/>
      <c r="AD1068" s="1058"/>
      <c r="AE1068" s="938"/>
      <c r="AF1068" s="938"/>
      <c r="AG1068" s="938"/>
      <c r="AH1068" s="938"/>
    </row>
    <row r="1069" spans="1:34" ht="17.25" customHeight="1" x14ac:dyDescent="0.35">
      <c r="A1069" s="938"/>
      <c r="B1069" s="938"/>
      <c r="C1069" s="941"/>
      <c r="D1069" s="1047"/>
      <c r="E1069" s="941"/>
      <c r="F1069" s="938"/>
      <c r="G1069" s="976">
        <f t="shared" si="18"/>
        <v>1066</v>
      </c>
      <c r="H1069" s="1085"/>
      <c r="I1069" s="1060" t="s">
        <v>1059</v>
      </c>
      <c r="J1069" s="1086" t="s">
        <v>2105</v>
      </c>
      <c r="K1069" s="1002" t="str">
        <f>IF(I!K1069="","",$D$2*I!K1069)</f>
        <v/>
      </c>
      <c r="L1069" s="981"/>
      <c r="M1069" s="982"/>
      <c r="N1069" s="1003"/>
      <c r="O1069" s="1004" t="str">
        <f>IF(I!O1069="","",$D$2*I!O1069)</f>
        <v/>
      </c>
      <c r="P1069" s="1005">
        <f>IF(I!P1069="","",$D$2*I!P1069)</f>
        <v>1530</v>
      </c>
      <c r="Q1069" s="1006" t="str">
        <f>IF(I!Q1069="","",$D$2*I!Q1069)</f>
        <v/>
      </c>
      <c r="R1069" s="982"/>
      <c r="S1069" s="1003"/>
      <c r="T1069" s="938"/>
      <c r="U1069" s="1062" t="s">
        <v>1059</v>
      </c>
      <c r="V1069" s="1018" t="s">
        <v>6903</v>
      </c>
      <c r="W1069" s="1019">
        <f>IF(I!W1069="","",$D$2*I!W1069)</f>
        <v>0.84608906800000017</v>
      </c>
      <c r="X1069" s="990">
        <f>IF(I!X1069="","",$D$2*I!X1069)</f>
        <v>0.48756501931000001</v>
      </c>
      <c r="Y1069" s="1010">
        <f>IF(I!Y1069="","",$D$2*I!Y1069)</f>
        <v>2.2907345680000004</v>
      </c>
      <c r="Z1069" s="938"/>
      <c r="AA1069" s="938"/>
      <c r="AB1069" s="938"/>
      <c r="AC1069" s="938"/>
      <c r="AD1069" s="1058"/>
      <c r="AE1069" s="938"/>
      <c r="AF1069" s="938"/>
      <c r="AG1069" s="938"/>
      <c r="AH1069" s="938"/>
    </row>
    <row r="1070" spans="1:34" ht="17.25" customHeight="1" x14ac:dyDescent="0.35">
      <c r="A1070" s="938"/>
      <c r="B1070" s="938"/>
      <c r="C1070" s="941"/>
      <c r="D1070" s="1047"/>
      <c r="E1070" s="941"/>
      <c r="F1070" s="938"/>
      <c r="G1070" s="976">
        <f t="shared" si="18"/>
        <v>1067</v>
      </c>
      <c r="H1070" s="1085"/>
      <c r="I1070" s="1060" t="s">
        <v>1059</v>
      </c>
      <c r="J1070" s="1086" t="s">
        <v>2107</v>
      </c>
      <c r="K1070" s="1002" t="str">
        <f>IF(I!K1070="","",$D$2*I!K1070)</f>
        <v/>
      </c>
      <c r="L1070" s="981"/>
      <c r="M1070" s="982"/>
      <c r="N1070" s="1003"/>
      <c r="O1070" s="1004" t="str">
        <f>IF(I!O1070="","",$D$2*I!O1070)</f>
        <v/>
      </c>
      <c r="P1070" s="1005">
        <f>IF(I!P1070="","",$D$2*I!P1070)</f>
        <v>1530</v>
      </c>
      <c r="Q1070" s="1006" t="str">
        <f>IF(I!Q1070="","",$D$2*I!Q1070)</f>
        <v/>
      </c>
      <c r="R1070" s="982"/>
      <c r="S1070" s="1003"/>
      <c r="T1070" s="938"/>
      <c r="U1070" s="1062" t="s">
        <v>1059</v>
      </c>
      <c r="V1070" s="1018" t="s">
        <v>6904</v>
      </c>
      <c r="W1070" s="1019">
        <f>IF(I!W1070="","",$D$2*I!W1070)</f>
        <v>0.77514766499999999</v>
      </c>
      <c r="X1070" s="990">
        <f>IF(I!X1070="","",$D$2*I!X1070)</f>
        <v>0.47897475634999997</v>
      </c>
      <c r="Y1070" s="1010">
        <f>IF(I!Y1070="","",$D$2*I!Y1070)</f>
        <v>2.059298165</v>
      </c>
      <c r="Z1070" s="938"/>
      <c r="AA1070" s="938"/>
      <c r="AB1070" s="938"/>
      <c r="AC1070" s="938"/>
      <c r="AD1070" s="1058"/>
      <c r="AE1070" s="938"/>
      <c r="AF1070" s="938"/>
      <c r="AG1070" s="938"/>
      <c r="AH1070" s="938"/>
    </row>
    <row r="1071" spans="1:34" ht="17.25" customHeight="1" x14ac:dyDescent="0.35">
      <c r="A1071" s="938"/>
      <c r="B1071" s="938"/>
      <c r="C1071" s="941"/>
      <c r="D1071" s="1047"/>
      <c r="E1071" s="941"/>
      <c r="F1071" s="938"/>
      <c r="G1071" s="976">
        <f t="shared" si="18"/>
        <v>1068</v>
      </c>
      <c r="H1071" s="1085"/>
      <c r="I1071" s="1060" t="s">
        <v>1059</v>
      </c>
      <c r="J1071" s="1086" t="s">
        <v>2108</v>
      </c>
      <c r="K1071" s="1002" t="str">
        <f>IF(I!K1071="","",$D$2*I!K1071)</f>
        <v/>
      </c>
      <c r="L1071" s="981"/>
      <c r="M1071" s="982"/>
      <c r="N1071" s="1003"/>
      <c r="O1071" s="1004" t="str">
        <f>IF(I!O1071="","",$D$2*I!O1071)</f>
        <v/>
      </c>
      <c r="P1071" s="1005">
        <f>IF(I!P1071="","",$D$2*I!P1071)</f>
        <v>1530</v>
      </c>
      <c r="Q1071" s="1006" t="str">
        <f>IF(I!Q1071="","",$D$2*I!Q1071)</f>
        <v/>
      </c>
      <c r="R1071" s="982"/>
      <c r="S1071" s="1003"/>
      <c r="T1071" s="938"/>
      <c r="U1071" s="1062" t="s">
        <v>1059</v>
      </c>
      <c r="V1071" s="1018" t="s">
        <v>6905</v>
      </c>
      <c r="W1071" s="1019">
        <f>IF(I!W1071="","",$D$2*I!W1071)</f>
        <v>0.64608129700000005</v>
      </c>
      <c r="X1071" s="990">
        <f>IF(I!X1071="","",$D$2*I!X1071)</f>
        <v>0.38834573885000001</v>
      </c>
      <c r="Y1071" s="1010">
        <f>IF(I!Y1071="","",$D$2*I!Y1071)</f>
        <v>1.826134097</v>
      </c>
      <c r="Z1071" s="938"/>
      <c r="AA1071" s="938"/>
      <c r="AB1071" s="938"/>
      <c r="AC1071" s="938"/>
      <c r="AD1071" s="1058"/>
      <c r="AE1071" s="938"/>
      <c r="AF1071" s="938"/>
      <c r="AG1071" s="938"/>
      <c r="AH1071" s="938"/>
    </row>
    <row r="1072" spans="1:34" ht="17.25" customHeight="1" x14ac:dyDescent="0.35">
      <c r="A1072" s="938"/>
      <c r="B1072" s="938"/>
      <c r="C1072" s="941"/>
      <c r="D1072" s="1047"/>
      <c r="E1072" s="941"/>
      <c r="F1072" s="938"/>
      <c r="G1072" s="976">
        <f t="shared" si="18"/>
        <v>1069</v>
      </c>
      <c r="H1072" s="1085"/>
      <c r="I1072" s="1060" t="s">
        <v>1059</v>
      </c>
      <c r="J1072" s="1086" t="s">
        <v>2109</v>
      </c>
      <c r="K1072" s="1002" t="str">
        <f>IF(I!K1072="","",$D$2*I!K1072)</f>
        <v/>
      </c>
      <c r="L1072" s="981"/>
      <c r="M1072" s="982"/>
      <c r="N1072" s="1003"/>
      <c r="O1072" s="1004" t="str">
        <f>IF(I!O1072="","",$D$2*I!O1072)</f>
        <v/>
      </c>
      <c r="P1072" s="1005">
        <f>IF(I!P1072="","",$D$2*I!P1072)</f>
        <v>1530</v>
      </c>
      <c r="Q1072" s="1006" t="str">
        <f>IF(I!Q1072="","",$D$2*I!Q1072)</f>
        <v/>
      </c>
      <c r="R1072" s="982"/>
      <c r="S1072" s="1003"/>
      <c r="T1072" s="938"/>
      <c r="U1072" s="1062" t="s">
        <v>1059</v>
      </c>
      <c r="V1072" s="1018" t="s">
        <v>6906</v>
      </c>
      <c r="W1072" s="1019">
        <f>IF(I!W1072="","",$D$2*I!W1072)</f>
        <v>0.72567832700000001</v>
      </c>
      <c r="X1072" s="990">
        <f>IF(I!X1072="","",$D$2*I!X1072)</f>
        <v>0.45659723675000002</v>
      </c>
      <c r="Y1072" s="1010">
        <f>IF(I!Y1072="","",$D$2*I!Y1072)</f>
        <v>1.9438865270000001</v>
      </c>
      <c r="Z1072" s="938"/>
      <c r="AA1072" s="938"/>
      <c r="AB1072" s="938"/>
      <c r="AC1072" s="938"/>
      <c r="AD1072" s="1058"/>
      <c r="AE1072" s="938"/>
      <c r="AF1072" s="938"/>
      <c r="AG1072" s="938"/>
      <c r="AH1072" s="938"/>
    </row>
    <row r="1073" spans="1:34" ht="17.25" customHeight="1" x14ac:dyDescent="0.35">
      <c r="A1073" s="938"/>
      <c r="B1073" s="938"/>
      <c r="C1073" s="941"/>
      <c r="D1073" s="1047"/>
      <c r="E1073" s="941"/>
      <c r="F1073" s="938"/>
      <c r="G1073" s="976">
        <f t="shared" si="18"/>
        <v>1070</v>
      </c>
      <c r="H1073" s="1085"/>
      <c r="I1073" s="1060" t="s">
        <v>1059</v>
      </c>
      <c r="J1073" s="1086" t="s">
        <v>2110</v>
      </c>
      <c r="K1073" s="1002" t="str">
        <f>IF(I!K1073="","",$D$2*I!K1073)</f>
        <v/>
      </c>
      <c r="L1073" s="981"/>
      <c r="M1073" s="982"/>
      <c r="N1073" s="1003"/>
      <c r="O1073" s="1004" t="str">
        <f>IF(I!O1073="","",$D$2*I!O1073)</f>
        <v/>
      </c>
      <c r="P1073" s="1005">
        <f>IF(I!P1073="","",$D$2*I!P1073)</f>
        <v>1530</v>
      </c>
      <c r="Q1073" s="1006" t="str">
        <f>IF(I!Q1073="","",$D$2*I!Q1073)</f>
        <v/>
      </c>
      <c r="R1073" s="982"/>
      <c r="S1073" s="1003"/>
      <c r="T1073" s="938"/>
      <c r="U1073" s="1062" t="s">
        <v>1059</v>
      </c>
      <c r="V1073" s="1018" t="s">
        <v>6907</v>
      </c>
      <c r="W1073" s="1019">
        <f>IF(I!W1073="","",$D$2*I!W1073)</f>
        <v>0.82817117899999992</v>
      </c>
      <c r="X1073" s="990">
        <f>IF(I!X1073="","",$D$2*I!X1073)</f>
        <v>0.48411902889999997</v>
      </c>
      <c r="Y1073" s="1010">
        <f>IF(I!Y1073="","",$D$2*I!Y1073)</f>
        <v>2.4245302789999998</v>
      </c>
      <c r="Z1073" s="938"/>
      <c r="AA1073" s="938"/>
      <c r="AB1073" s="938"/>
      <c r="AC1073" s="938"/>
      <c r="AD1073" s="1058"/>
      <c r="AE1073" s="938"/>
      <c r="AF1073" s="938"/>
      <c r="AG1073" s="938"/>
      <c r="AH1073" s="938"/>
    </row>
    <row r="1074" spans="1:34" ht="17.25" customHeight="1" x14ac:dyDescent="0.35">
      <c r="A1074" s="938"/>
      <c r="B1074" s="938"/>
      <c r="C1074" s="941"/>
      <c r="D1074" s="1047"/>
      <c r="E1074" s="941"/>
      <c r="F1074" s="938"/>
      <c r="G1074" s="976">
        <f t="shared" si="18"/>
        <v>1071</v>
      </c>
      <c r="H1074" s="1085"/>
      <c r="I1074" s="1060" t="s">
        <v>1059</v>
      </c>
      <c r="J1074" s="1086" t="s">
        <v>2111</v>
      </c>
      <c r="K1074" s="1002" t="str">
        <f>IF(I!K1074="","",$D$2*I!K1074)</f>
        <v/>
      </c>
      <c r="L1074" s="981"/>
      <c r="M1074" s="982"/>
      <c r="N1074" s="1003"/>
      <c r="O1074" s="1004" t="str">
        <f>IF(I!O1074="","",$D$2*I!O1074)</f>
        <v/>
      </c>
      <c r="P1074" s="1005">
        <f>IF(I!P1074="","",$D$2*I!P1074)</f>
        <v>1530</v>
      </c>
      <c r="Q1074" s="1006" t="str">
        <f>IF(I!Q1074="","",$D$2*I!Q1074)</f>
        <v/>
      </c>
      <c r="R1074" s="982"/>
      <c r="S1074" s="1003"/>
      <c r="T1074" s="938"/>
      <c r="U1074" s="1062" t="s">
        <v>1059</v>
      </c>
      <c r="V1074" s="1018" t="s">
        <v>6908</v>
      </c>
      <c r="W1074" s="1019">
        <f>IF(I!W1074="","",$D$2*I!W1074)</f>
        <v>0.50953936209999995</v>
      </c>
      <c r="X1074" s="990">
        <f>IF(I!X1074="","",$D$2*I!X1074)</f>
        <v>0.37929361380999999</v>
      </c>
      <c r="Y1074" s="1010">
        <f>IF(I!Y1074="","",$D$2*I!Y1074)</f>
        <v>1.3262997420999998</v>
      </c>
      <c r="Z1074" s="938"/>
      <c r="AA1074" s="938"/>
      <c r="AB1074" s="938"/>
      <c r="AC1074" s="938"/>
      <c r="AD1074" s="1058"/>
      <c r="AE1074" s="938"/>
      <c r="AF1074" s="938"/>
      <c r="AG1074" s="938"/>
      <c r="AH1074" s="938"/>
    </row>
    <row r="1075" spans="1:34" ht="17.25" customHeight="1" x14ac:dyDescent="0.35">
      <c r="A1075" s="938"/>
      <c r="B1075" s="938"/>
      <c r="C1075" s="941"/>
      <c r="D1075" s="1047"/>
      <c r="E1075" s="941"/>
      <c r="F1075" s="938"/>
      <c r="G1075" s="976">
        <f t="shared" si="18"/>
        <v>1072</v>
      </c>
      <c r="H1075" s="1085"/>
      <c r="I1075" s="1060" t="s">
        <v>1059</v>
      </c>
      <c r="J1075" s="1086" t="s">
        <v>2112</v>
      </c>
      <c r="K1075" s="1002" t="str">
        <f>IF(I!K1075="","",$D$2*I!K1075)</f>
        <v/>
      </c>
      <c r="L1075" s="981"/>
      <c r="M1075" s="982"/>
      <c r="N1075" s="1003"/>
      <c r="O1075" s="1004" t="str">
        <f>IF(I!O1075="","",$D$2*I!O1075)</f>
        <v/>
      </c>
      <c r="P1075" s="1005">
        <f>IF(I!P1075="","",$D$2*I!P1075)</f>
        <v>1339.6</v>
      </c>
      <c r="Q1075" s="1006" t="str">
        <f>IF(I!Q1075="","",$D$2*I!Q1075)</f>
        <v/>
      </c>
      <c r="R1075" s="982"/>
      <c r="S1075" s="1003"/>
      <c r="T1075" s="938"/>
      <c r="U1075" s="1062" t="s">
        <v>1059</v>
      </c>
      <c r="V1075" s="1018" t="s">
        <v>6909</v>
      </c>
      <c r="W1075" s="1019">
        <f>IF(I!W1075="","",$D$2*I!W1075)</f>
        <v>0.54921314799999998</v>
      </c>
      <c r="X1075" s="990">
        <f>IF(I!X1075="","",$D$2*I!X1075)</f>
        <v>0.38383065891000001</v>
      </c>
      <c r="Y1075" s="1010">
        <f>IF(I!Y1075="","",$D$2*I!Y1075)</f>
        <v>1.4333303079999999</v>
      </c>
      <c r="Z1075" s="938"/>
      <c r="AA1075" s="938"/>
      <c r="AB1075" s="938"/>
      <c r="AC1075" s="938"/>
      <c r="AD1075" s="1058"/>
      <c r="AE1075" s="938"/>
      <c r="AF1075" s="938"/>
      <c r="AG1075" s="938"/>
      <c r="AH1075" s="938"/>
    </row>
    <row r="1076" spans="1:34" ht="17.25" customHeight="1" x14ac:dyDescent="0.35">
      <c r="A1076" s="938"/>
      <c r="B1076" s="938"/>
      <c r="C1076" s="941"/>
      <c r="D1076" s="1047"/>
      <c r="E1076" s="941"/>
      <c r="F1076" s="938"/>
      <c r="G1076" s="976">
        <f t="shared" si="18"/>
        <v>1073</v>
      </c>
      <c r="H1076" s="1085"/>
      <c r="I1076" s="1060" t="s">
        <v>1059</v>
      </c>
      <c r="J1076" s="1086" t="s">
        <v>2113</v>
      </c>
      <c r="K1076" s="1002" t="str">
        <f>IF(I!K1076="","",$D$2*I!K1076)</f>
        <v/>
      </c>
      <c r="L1076" s="981"/>
      <c r="M1076" s="982"/>
      <c r="N1076" s="1003"/>
      <c r="O1076" s="1004" t="str">
        <f>IF(I!O1076="","",$D$2*I!O1076)</f>
        <v/>
      </c>
      <c r="P1076" s="1005">
        <f>IF(I!P1076="","",$D$2*I!P1076)</f>
        <v>1530</v>
      </c>
      <c r="Q1076" s="1006" t="str">
        <f>IF(I!Q1076="","",$D$2*I!Q1076)</f>
        <v/>
      </c>
      <c r="R1076" s="982"/>
      <c r="S1076" s="1003"/>
      <c r="T1076" s="938"/>
      <c r="U1076" s="1062" t="s">
        <v>1059</v>
      </c>
      <c r="V1076" s="1018" t="s">
        <v>6910</v>
      </c>
      <c r="W1076" s="1019">
        <f>IF(I!W1076="","",$D$2*I!W1076)</f>
        <v>1.0705232499999999</v>
      </c>
      <c r="X1076" s="990">
        <f>IF(I!X1076="","",$D$2*I!X1076)</f>
        <v>0.57720498949999999</v>
      </c>
      <c r="Y1076" s="1010">
        <f>IF(I!Y1076="","",$D$2*I!Y1076)</f>
        <v>3.10800125</v>
      </c>
      <c r="Z1076" s="938"/>
      <c r="AA1076" s="938"/>
      <c r="AB1076" s="938"/>
      <c r="AC1076" s="938"/>
      <c r="AD1076" s="1058"/>
      <c r="AE1076" s="938"/>
      <c r="AF1076" s="938"/>
      <c r="AG1076" s="938"/>
      <c r="AH1076" s="938"/>
    </row>
    <row r="1077" spans="1:34" ht="17.25" customHeight="1" x14ac:dyDescent="0.35">
      <c r="A1077" s="938"/>
      <c r="B1077" s="938"/>
      <c r="C1077" s="941"/>
      <c r="D1077" s="1047"/>
      <c r="E1077" s="941"/>
      <c r="F1077" s="938"/>
      <c r="G1077" s="976">
        <f t="shared" si="18"/>
        <v>1074</v>
      </c>
      <c r="H1077" s="1085"/>
      <c r="I1077" s="1060" t="s">
        <v>1059</v>
      </c>
      <c r="J1077" s="1086" t="s">
        <v>2114</v>
      </c>
      <c r="K1077" s="1002" t="str">
        <f>IF(I!K1077="","",$D$2*I!K1077)</f>
        <v/>
      </c>
      <c r="L1077" s="981"/>
      <c r="M1077" s="982"/>
      <c r="N1077" s="1003"/>
      <c r="O1077" s="1004" t="str">
        <f>IF(I!O1077="","",$D$2*I!O1077)</f>
        <v/>
      </c>
      <c r="P1077" s="1005">
        <f>IF(I!P1077="","",$D$2*I!P1077)</f>
        <v>1530</v>
      </c>
      <c r="Q1077" s="1006" t="str">
        <f>IF(I!Q1077="","",$D$2*I!Q1077)</f>
        <v/>
      </c>
      <c r="R1077" s="982"/>
      <c r="S1077" s="1003"/>
      <c r="T1077" s="938"/>
      <c r="U1077" s="1062" t="s">
        <v>1059</v>
      </c>
      <c r="V1077" s="1018" t="s">
        <v>6911</v>
      </c>
      <c r="W1077" s="1019">
        <f>IF(I!W1077="","",$D$2*I!W1077)</f>
        <v>0.77560229800000002</v>
      </c>
      <c r="X1077" s="990">
        <f>IF(I!X1077="","",$D$2*I!X1077)</f>
        <v>0.40448301997999997</v>
      </c>
      <c r="Y1077" s="1010">
        <f>IF(I!Y1077="","",$D$2*I!Y1077)</f>
        <v>2.1739947979999998</v>
      </c>
      <c r="Z1077" s="938"/>
      <c r="AA1077" s="938"/>
      <c r="AB1077" s="938"/>
      <c r="AC1077" s="938"/>
      <c r="AD1077" s="1058"/>
      <c r="AE1077" s="938"/>
      <c r="AF1077" s="938"/>
      <c r="AG1077" s="938"/>
      <c r="AH1077" s="938"/>
    </row>
    <row r="1078" spans="1:34" ht="17.25" customHeight="1" x14ac:dyDescent="0.35">
      <c r="A1078" s="938"/>
      <c r="B1078" s="938"/>
      <c r="C1078" s="941"/>
      <c r="D1078" s="1047"/>
      <c r="E1078" s="941"/>
      <c r="F1078" s="938"/>
      <c r="G1078" s="976">
        <f t="shared" si="18"/>
        <v>1075</v>
      </c>
      <c r="H1078" s="1085"/>
      <c r="I1078" s="1060" t="s">
        <v>1059</v>
      </c>
      <c r="J1078" s="1086" t="s">
        <v>2115</v>
      </c>
      <c r="K1078" s="1002" t="str">
        <f>IF(I!K1078="","",$D$2*I!K1078)</f>
        <v/>
      </c>
      <c r="L1078" s="981"/>
      <c r="M1078" s="982"/>
      <c r="N1078" s="1003"/>
      <c r="O1078" s="1004" t="str">
        <f>IF(I!O1078="","",$D$2*I!O1078)</f>
        <v/>
      </c>
      <c r="P1078" s="1005">
        <f>IF(I!P1078="","",$D$2*I!P1078)</f>
        <v>1530</v>
      </c>
      <c r="Q1078" s="1006" t="str">
        <f>IF(I!Q1078="","",$D$2*I!Q1078)</f>
        <v/>
      </c>
      <c r="R1078" s="982"/>
      <c r="S1078" s="1003"/>
      <c r="T1078" s="938"/>
      <c r="U1078" s="1062" t="s">
        <v>1059</v>
      </c>
      <c r="V1078" s="1018" t="s">
        <v>6912</v>
      </c>
      <c r="W1078" s="1019">
        <f>IF(I!W1078="","",$D$2*I!W1078)</f>
        <v>1.2742687619999999</v>
      </c>
      <c r="X1078" s="990">
        <f>IF(I!X1078="","",$D$2*I!X1078)</f>
        <v>0.64347745351000007</v>
      </c>
      <c r="Y1078" s="1010">
        <f>IF(I!Y1078="","",$D$2*I!Y1078)</f>
        <v>3.8660601620000001</v>
      </c>
      <c r="Z1078" s="938"/>
      <c r="AA1078" s="938"/>
      <c r="AB1078" s="938"/>
      <c r="AC1078" s="938"/>
      <c r="AD1078" s="1058"/>
      <c r="AE1078" s="938"/>
      <c r="AF1078" s="938"/>
      <c r="AG1078" s="938"/>
      <c r="AH1078" s="938"/>
    </row>
    <row r="1079" spans="1:34" ht="17.25" customHeight="1" x14ac:dyDescent="0.35">
      <c r="A1079" s="938"/>
      <c r="B1079" s="938"/>
      <c r="C1079" s="941"/>
      <c r="D1079" s="1047"/>
      <c r="E1079" s="941"/>
      <c r="F1079" s="938"/>
      <c r="G1079" s="976">
        <f t="shared" si="18"/>
        <v>1076</v>
      </c>
      <c r="H1079" s="1085"/>
      <c r="I1079" s="1060" t="s">
        <v>1059</v>
      </c>
      <c r="J1079" s="1086" t="s">
        <v>2116</v>
      </c>
      <c r="K1079" s="1002" t="str">
        <f>IF(I!K1079="","",$D$2*I!K1079)</f>
        <v/>
      </c>
      <c r="L1079" s="981"/>
      <c r="M1079" s="982"/>
      <c r="N1079" s="1003"/>
      <c r="O1079" s="1004" t="str">
        <f>IF(I!O1079="","",$D$2*I!O1079)</f>
        <v/>
      </c>
      <c r="P1079" s="1005">
        <f>IF(I!P1079="","",$D$2*I!P1079)</f>
        <v>1530</v>
      </c>
      <c r="Q1079" s="1006" t="str">
        <f>IF(I!Q1079="","",$D$2*I!Q1079)</f>
        <v/>
      </c>
      <c r="R1079" s="982"/>
      <c r="S1079" s="1003"/>
      <c r="T1079" s="938"/>
      <c r="U1079" s="1062" t="s">
        <v>1059</v>
      </c>
      <c r="V1079" s="1018" t="s">
        <v>6913</v>
      </c>
      <c r="W1079" s="1019">
        <f>IF(I!W1079="","",$D$2*I!W1079)</f>
        <v>0.91298908499999998</v>
      </c>
      <c r="X1079" s="990">
        <f>IF(I!X1079="","",$D$2*I!X1079)</f>
        <v>0.50935829778999997</v>
      </c>
      <c r="Y1079" s="1010">
        <f>IF(I!Y1079="","",$D$2*I!Y1079)</f>
        <v>2.6791533850000002</v>
      </c>
      <c r="Z1079" s="938"/>
      <c r="AA1079" s="938"/>
      <c r="AB1079" s="938"/>
      <c r="AC1079" s="938"/>
      <c r="AD1079" s="1058"/>
      <c r="AE1079" s="938"/>
      <c r="AF1079" s="938"/>
      <c r="AG1079" s="938"/>
      <c r="AH1079" s="938"/>
    </row>
    <row r="1080" spans="1:34" ht="17.25" customHeight="1" x14ac:dyDescent="0.35">
      <c r="A1080" s="938"/>
      <c r="B1080" s="938"/>
      <c r="C1080" s="941"/>
      <c r="D1080" s="1047"/>
      <c r="E1080" s="941"/>
      <c r="F1080" s="938"/>
      <c r="G1080" s="976">
        <f t="shared" si="18"/>
        <v>1077</v>
      </c>
      <c r="H1080" s="1085"/>
      <c r="I1080" s="1060" t="s">
        <v>1059</v>
      </c>
      <c r="J1080" s="1086" t="s">
        <v>2117</v>
      </c>
      <c r="K1080" s="1002" t="str">
        <f>IF(I!K1080="","",$D$2*I!K1080)</f>
        <v/>
      </c>
      <c r="L1080" s="981"/>
      <c r="M1080" s="982"/>
      <c r="N1080" s="1003"/>
      <c r="O1080" s="1004" t="str">
        <f>IF(I!O1080="","",$D$2*I!O1080)</f>
        <v/>
      </c>
      <c r="P1080" s="1005">
        <f>IF(I!P1080="","",$D$2*I!P1080)</f>
        <v>1530</v>
      </c>
      <c r="Q1080" s="1006" t="str">
        <f>IF(I!Q1080="","",$D$2*I!Q1080)</f>
        <v/>
      </c>
      <c r="R1080" s="982"/>
      <c r="S1080" s="1003"/>
      <c r="T1080" s="938"/>
      <c r="U1080" s="1062" t="s">
        <v>1059</v>
      </c>
      <c r="V1080" s="1018" t="s">
        <v>6914</v>
      </c>
      <c r="W1080" s="1019">
        <f>IF(I!W1080="","",$D$2*I!W1080)</f>
        <v>0.51734343430000007</v>
      </c>
      <c r="X1080" s="990">
        <f>IF(I!X1080="","",$D$2*I!X1080)</f>
        <v>0.38709833442999997</v>
      </c>
      <c r="Y1080" s="1010">
        <f>IF(I!Y1080="","",$D$2*I!Y1080)</f>
        <v>1.3706222942999999</v>
      </c>
      <c r="Z1080" s="938"/>
      <c r="AA1080" s="938"/>
      <c r="AB1080" s="938"/>
      <c r="AC1080" s="938"/>
      <c r="AD1080" s="1058"/>
      <c r="AE1080" s="938"/>
      <c r="AF1080" s="938"/>
      <c r="AG1080" s="938"/>
      <c r="AH1080" s="938"/>
    </row>
    <row r="1081" spans="1:34" ht="17.25" customHeight="1" x14ac:dyDescent="0.35">
      <c r="A1081" s="938"/>
      <c r="B1081" s="938"/>
      <c r="C1081" s="941"/>
      <c r="D1081" s="1047"/>
      <c r="E1081" s="941"/>
      <c r="F1081" s="938"/>
      <c r="G1081" s="976">
        <f t="shared" si="18"/>
        <v>1078</v>
      </c>
      <c r="H1081" s="1085"/>
      <c r="I1081" s="1060" t="s">
        <v>1059</v>
      </c>
      <c r="J1081" s="1086" t="s">
        <v>2118</v>
      </c>
      <c r="K1081" s="1002" t="str">
        <f>IF(I!K1081="","",$D$2*I!K1081)</f>
        <v/>
      </c>
      <c r="L1081" s="981"/>
      <c r="M1081" s="982"/>
      <c r="N1081" s="1003"/>
      <c r="O1081" s="1004" t="str">
        <f>IF(I!O1081="","",$D$2*I!O1081)</f>
        <v/>
      </c>
      <c r="P1081" s="1005">
        <f>IF(I!P1081="","",$D$2*I!P1081)</f>
        <v>1530</v>
      </c>
      <c r="Q1081" s="1006" t="str">
        <f>IF(I!Q1081="","",$D$2*I!Q1081)</f>
        <v/>
      </c>
      <c r="R1081" s="982"/>
      <c r="S1081" s="1003"/>
      <c r="T1081" s="938"/>
      <c r="U1081" s="1062" t="s">
        <v>1059</v>
      </c>
      <c r="V1081" s="1018" t="s">
        <v>6915</v>
      </c>
      <c r="W1081" s="1019">
        <f>IF(I!W1081="","",$D$2*I!W1081)</f>
        <v>0.75277272100000003</v>
      </c>
      <c r="X1081" s="990">
        <f>IF(I!X1081="","",$D$2*I!X1081)</f>
        <v>0.47764371462999999</v>
      </c>
      <c r="Y1081" s="1010">
        <f>IF(I!Y1081="","",$D$2*I!Y1081)</f>
        <v>2.1650526210000001</v>
      </c>
      <c r="Z1081" s="938"/>
      <c r="AA1081" s="938"/>
      <c r="AB1081" s="938"/>
      <c r="AC1081" s="938"/>
      <c r="AD1081" s="1058"/>
      <c r="AE1081" s="938"/>
      <c r="AF1081" s="938"/>
      <c r="AG1081" s="938"/>
      <c r="AH1081" s="938"/>
    </row>
    <row r="1082" spans="1:34" ht="17.25" customHeight="1" x14ac:dyDescent="0.35">
      <c r="A1082" s="938"/>
      <c r="B1082" s="938"/>
      <c r="C1082" s="941"/>
      <c r="D1082" s="1047"/>
      <c r="E1082" s="941"/>
      <c r="F1082" s="938"/>
      <c r="G1082" s="976">
        <f t="shared" si="18"/>
        <v>1079</v>
      </c>
      <c r="H1082" s="1085"/>
      <c r="I1082" s="1060" t="s">
        <v>1059</v>
      </c>
      <c r="J1082" s="1086" t="s">
        <v>2119</v>
      </c>
      <c r="K1082" s="1002" t="str">
        <f>IF(I!K1082="","",$D$2*I!K1082)</f>
        <v/>
      </c>
      <c r="L1082" s="981"/>
      <c r="M1082" s="982"/>
      <c r="N1082" s="1003"/>
      <c r="O1082" s="1004" t="str">
        <f>IF(I!O1082="","",$D$2*I!O1082)</f>
        <v/>
      </c>
      <c r="P1082" s="1005">
        <f>IF(I!P1082="","",$D$2*I!P1082)</f>
        <v>1530</v>
      </c>
      <c r="Q1082" s="1006" t="str">
        <f>IF(I!Q1082="","",$D$2*I!Q1082)</f>
        <v/>
      </c>
      <c r="R1082" s="982"/>
      <c r="S1082" s="1003"/>
      <c r="T1082" s="938"/>
      <c r="U1082" s="1062" t="s">
        <v>1059</v>
      </c>
      <c r="V1082" s="1018" t="s">
        <v>6916</v>
      </c>
      <c r="W1082" s="1019">
        <f>IF(I!W1082="","",$D$2*I!W1082)</f>
        <v>1.2501645251</v>
      </c>
      <c r="X1082" s="990">
        <f>IF(I!X1082="","",$D$2*I!X1082)</f>
        <v>0.58249170859999999</v>
      </c>
      <c r="Y1082" s="1010">
        <f>IF(I!Y1082="","",$D$2*I!Y1082)</f>
        <v>3.7163161250999996</v>
      </c>
      <c r="Z1082" s="938"/>
      <c r="AA1082" s="938"/>
      <c r="AB1082" s="938"/>
      <c r="AC1082" s="938"/>
      <c r="AD1082" s="1058"/>
      <c r="AE1082" s="938"/>
      <c r="AF1082" s="938"/>
      <c r="AG1082" s="938"/>
      <c r="AH1082" s="938"/>
    </row>
    <row r="1083" spans="1:34" ht="17.25" customHeight="1" x14ac:dyDescent="0.35">
      <c r="A1083" s="938"/>
      <c r="B1083" s="938"/>
      <c r="C1083" s="941"/>
      <c r="D1083" s="1047"/>
      <c r="E1083" s="941"/>
      <c r="F1083" s="938"/>
      <c r="G1083" s="976">
        <f t="shared" si="18"/>
        <v>1080</v>
      </c>
      <c r="H1083" s="1085"/>
      <c r="I1083" s="1060" t="s">
        <v>1059</v>
      </c>
      <c r="J1083" s="1086" t="s">
        <v>2120</v>
      </c>
      <c r="K1083" s="1002" t="str">
        <f>IF(I!K1083="","",$D$2*I!K1083)</f>
        <v/>
      </c>
      <c r="L1083" s="981"/>
      <c r="M1083" s="982"/>
      <c r="N1083" s="1003"/>
      <c r="O1083" s="1004" t="str">
        <f>IF(I!O1083="","",$D$2*I!O1083)</f>
        <v/>
      </c>
      <c r="P1083" s="1005">
        <f>IF(I!P1083="","",$D$2*I!P1083)</f>
        <v>1530</v>
      </c>
      <c r="Q1083" s="1006" t="str">
        <f>IF(I!Q1083="","",$D$2*I!Q1083)</f>
        <v/>
      </c>
      <c r="R1083" s="982"/>
      <c r="S1083" s="1003"/>
      <c r="T1083" s="938"/>
      <c r="U1083" s="1062" t="s">
        <v>1059</v>
      </c>
      <c r="V1083" s="1018" t="s">
        <v>6917</v>
      </c>
      <c r="W1083" s="1019">
        <f>IF(I!W1083="","",$D$2*I!W1083)</f>
        <v>0.72094057300000003</v>
      </c>
      <c r="X1083" s="990">
        <f>IF(I!X1083="","",$D$2*I!X1083)</f>
        <v>0.45661566833</v>
      </c>
      <c r="Y1083" s="1010">
        <f>IF(I!Y1083="","",$D$2*I!Y1083)</f>
        <v>1.9519801729999999</v>
      </c>
      <c r="Z1083" s="938"/>
      <c r="AA1083" s="938"/>
      <c r="AB1083" s="938"/>
      <c r="AC1083" s="938"/>
      <c r="AD1083" s="1058"/>
      <c r="AE1083" s="938"/>
      <c r="AF1083" s="938"/>
      <c r="AG1083" s="938"/>
      <c r="AH1083" s="938"/>
    </row>
    <row r="1084" spans="1:34" ht="17.25" customHeight="1" x14ac:dyDescent="0.35">
      <c r="A1084" s="938"/>
      <c r="B1084" s="938"/>
      <c r="C1084" s="941"/>
      <c r="D1084" s="1047"/>
      <c r="E1084" s="941"/>
      <c r="F1084" s="938"/>
      <c r="G1084" s="976">
        <f t="shared" si="18"/>
        <v>1081</v>
      </c>
      <c r="H1084" s="1085"/>
      <c r="I1084" s="1060" t="s">
        <v>1059</v>
      </c>
      <c r="J1084" s="1087" t="s">
        <v>2121</v>
      </c>
      <c r="K1084" s="1002" t="str">
        <f>IF(I!K1084="","",$D$2*I!K1084)</f>
        <v/>
      </c>
      <c r="L1084" s="981"/>
      <c r="M1084" s="982"/>
      <c r="N1084" s="1003"/>
      <c r="O1084" s="1004" t="str">
        <f>IF(I!O1084="","",$D$2*I!O1084)</f>
        <v/>
      </c>
      <c r="P1084" s="1005">
        <f>IF(I!P1084="","",$D$2*I!P1084)</f>
        <v>1530</v>
      </c>
      <c r="Q1084" s="1006" t="str">
        <f>IF(I!Q1084="","",$D$2*I!Q1084)</f>
        <v/>
      </c>
      <c r="R1084" s="982"/>
      <c r="S1084" s="1003"/>
      <c r="T1084" s="938"/>
      <c r="U1084" s="1062" t="s">
        <v>1059</v>
      </c>
      <c r="V1084" s="1018" t="s">
        <v>6918</v>
      </c>
      <c r="W1084" s="1019">
        <f>IF(I!W1084="","",$D$2*I!W1084)</f>
        <v>0.71315069600000003</v>
      </c>
      <c r="X1084" s="990">
        <f>IF(I!X1084="","",$D$2*I!X1084)</f>
        <v>0.44390639360999995</v>
      </c>
      <c r="Y1084" s="1010">
        <f>IF(I!Y1084="","",$D$2*I!Y1084)</f>
        <v>2.0153418959999998</v>
      </c>
      <c r="Z1084" s="938"/>
      <c r="AA1084" s="938"/>
      <c r="AB1084" s="938"/>
      <c r="AC1084" s="938"/>
      <c r="AD1084" s="1058"/>
      <c r="AE1084" s="938"/>
      <c r="AF1084" s="938"/>
      <c r="AG1084" s="938"/>
      <c r="AH1084" s="938"/>
    </row>
    <row r="1085" spans="1:34" ht="17.25" customHeight="1" x14ac:dyDescent="0.35">
      <c r="A1085" s="938"/>
      <c r="B1085" s="938"/>
      <c r="C1085" s="941"/>
      <c r="D1085" s="1047"/>
      <c r="E1085" s="941"/>
      <c r="F1085" s="938"/>
      <c r="G1085" s="976">
        <f t="shared" si="18"/>
        <v>1082</v>
      </c>
      <c r="H1085" s="1085"/>
      <c r="I1085" s="1060" t="s">
        <v>1059</v>
      </c>
      <c r="J1085" s="1087" t="s">
        <v>2122</v>
      </c>
      <c r="K1085" s="1002" t="str">
        <f>IF(I!K1085="","",$D$2*I!K1085)</f>
        <v/>
      </c>
      <c r="L1085" s="981"/>
      <c r="M1085" s="982"/>
      <c r="N1085" s="1003"/>
      <c r="O1085" s="1004" t="str">
        <f>IF(I!O1085="","",$D$2*I!O1085)</f>
        <v/>
      </c>
      <c r="P1085" s="1005">
        <f>IF(I!P1085="","",$D$2*I!P1085)</f>
        <v>1530</v>
      </c>
      <c r="Q1085" s="1006" t="str">
        <f>IF(I!Q1085="","",$D$2*I!Q1085)</f>
        <v/>
      </c>
      <c r="R1085" s="982"/>
      <c r="S1085" s="1003"/>
      <c r="T1085" s="938"/>
      <c r="U1085" s="1062" t="s">
        <v>1059</v>
      </c>
      <c r="V1085" s="1018" t="s">
        <v>6919</v>
      </c>
      <c r="W1085" s="1019">
        <f>IF(I!W1085="","",$D$2*I!W1085)</f>
        <v>0.89275809799999994</v>
      </c>
      <c r="X1085" s="990">
        <f>IF(I!X1085="","",$D$2*I!X1085)</f>
        <v>0.50234415243000008</v>
      </c>
      <c r="Y1085" s="1010">
        <f>IF(I!Y1085="","",$D$2*I!Y1085)</f>
        <v>2.5077313979999998</v>
      </c>
      <c r="Z1085" s="938"/>
      <c r="AA1085" s="938"/>
      <c r="AB1085" s="938"/>
      <c r="AC1085" s="938"/>
      <c r="AD1085" s="1058"/>
      <c r="AE1085" s="938"/>
      <c r="AF1085" s="938"/>
      <c r="AG1085" s="938"/>
      <c r="AH1085" s="938"/>
    </row>
    <row r="1086" spans="1:34" ht="17.25" customHeight="1" thickBot="1" x14ac:dyDescent="0.4">
      <c r="A1086" s="938"/>
      <c r="B1086" s="938"/>
      <c r="C1086" s="941"/>
      <c r="D1086" s="1047"/>
      <c r="E1086" s="941"/>
      <c r="F1086" s="938"/>
      <c r="G1086" s="976">
        <f t="shared" si="18"/>
        <v>1083</v>
      </c>
      <c r="H1086" s="1085"/>
      <c r="I1086" s="1060" t="s">
        <v>1059</v>
      </c>
      <c r="J1086" s="1087" t="s">
        <v>2123</v>
      </c>
      <c r="K1086" s="1002" t="str">
        <f>IF(I!K1086="","",$D$2*I!K1086)</f>
        <v/>
      </c>
      <c r="L1086" s="981"/>
      <c r="M1086" s="982"/>
      <c r="N1086" s="1003"/>
      <c r="O1086" s="1004" t="str">
        <f>IF(I!O1086="","",$D$2*I!O1086)</f>
        <v/>
      </c>
      <c r="P1086" s="1005">
        <f>IF(I!P1086="","",$D$2*I!P1086)</f>
        <v>1530</v>
      </c>
      <c r="Q1086" s="1006" t="str">
        <f>IF(I!Q1086="","",$D$2*I!Q1086)</f>
        <v/>
      </c>
      <c r="R1086" s="982"/>
      <c r="S1086" s="1003"/>
      <c r="T1086" s="938"/>
      <c r="U1086" s="1089" t="s">
        <v>1059</v>
      </c>
      <c r="V1086" s="1090" t="s">
        <v>6920</v>
      </c>
      <c r="W1086" s="1019">
        <f>IF(I!W1086="","",$D$2*I!W1086)</f>
        <v>0.57627514670000002</v>
      </c>
      <c r="X1086" s="990">
        <f>IF(I!X1086="","",$D$2*I!X1086)</f>
        <v>0.39759374210999998</v>
      </c>
      <c r="Y1086" s="1010">
        <f>IF(I!Y1086="","",$D$2*I!Y1086)</f>
        <v>1.5900247466999999</v>
      </c>
      <c r="Z1086" s="938"/>
      <c r="AA1086" s="938"/>
      <c r="AB1086" s="938"/>
      <c r="AC1086" s="938"/>
      <c r="AD1086" s="1058"/>
      <c r="AE1086" s="938"/>
      <c r="AF1086" s="938"/>
      <c r="AG1086" s="938"/>
      <c r="AH1086" s="938"/>
    </row>
    <row r="1087" spans="1:34" ht="17.25" customHeight="1" x14ac:dyDescent="0.35">
      <c r="A1087" s="938"/>
      <c r="B1087" s="938"/>
      <c r="C1087" s="941"/>
      <c r="D1087" s="1047"/>
      <c r="E1087" s="941"/>
      <c r="F1087" s="938"/>
      <c r="G1087" s="976">
        <f t="shared" si="18"/>
        <v>1084</v>
      </c>
      <c r="H1087" s="1085"/>
      <c r="I1087" s="1060" t="s">
        <v>1059</v>
      </c>
      <c r="J1087" s="1086" t="s">
        <v>2124</v>
      </c>
      <c r="K1087" s="1002" t="str">
        <f>IF(I!K1087="","",$D$2*I!K1087)</f>
        <v/>
      </c>
      <c r="L1087" s="981"/>
      <c r="M1087" s="982"/>
      <c r="N1087" s="1003"/>
      <c r="O1087" s="1004" t="str">
        <f>IF(I!O1087="","",$D$2*I!O1087)</f>
        <v/>
      </c>
      <c r="P1087" s="1005">
        <f>IF(I!P1087="","",$D$2*I!P1087)</f>
        <v>1530</v>
      </c>
      <c r="Q1087" s="1006" t="str">
        <f>IF(I!Q1087="","",$D$2*I!Q1087)</f>
        <v/>
      </c>
      <c r="R1087" s="982"/>
      <c r="S1087" s="1003"/>
      <c r="T1087" s="938"/>
      <c r="U1087" s="938"/>
      <c r="V1087" s="938"/>
      <c r="W1087" s="938"/>
      <c r="X1087" s="1091"/>
      <c r="Y1087" s="1091"/>
      <c r="Z1087" s="938"/>
      <c r="AA1087" s="938"/>
      <c r="AB1087" s="938"/>
      <c r="AC1087" s="938"/>
      <c r="AD1087" s="1058"/>
      <c r="AE1087" s="938"/>
      <c r="AF1087" s="938"/>
      <c r="AG1087" s="938"/>
      <c r="AH1087" s="938"/>
    </row>
    <row r="1088" spans="1:34" ht="17.25" customHeight="1" x14ac:dyDescent="0.35">
      <c r="A1088" s="938"/>
      <c r="B1088" s="938"/>
      <c r="C1088" s="941"/>
      <c r="D1088" s="1047"/>
      <c r="E1088" s="941"/>
      <c r="F1088" s="938"/>
      <c r="G1088" s="976">
        <f t="shared" si="18"/>
        <v>1085</v>
      </c>
      <c r="H1088" s="1085"/>
      <c r="I1088" s="1060" t="s">
        <v>1059</v>
      </c>
      <c r="J1088" s="1086" t="s">
        <v>2125</v>
      </c>
      <c r="K1088" s="1002" t="str">
        <f>IF(I!K1088="","",$D$2*I!K1088)</f>
        <v/>
      </c>
      <c r="L1088" s="981"/>
      <c r="M1088" s="982"/>
      <c r="N1088" s="1003"/>
      <c r="O1088" s="1004" t="str">
        <f>IF(I!O1088="","",$D$2*I!O1088)</f>
        <v/>
      </c>
      <c r="P1088" s="1005">
        <f>IF(I!P1088="","",$D$2*I!P1088)</f>
        <v>1530</v>
      </c>
      <c r="Q1088" s="1006" t="str">
        <f>IF(I!Q1088="","",$D$2*I!Q1088)</f>
        <v/>
      </c>
      <c r="R1088" s="982"/>
      <c r="S1088" s="1003"/>
      <c r="T1088" s="938"/>
      <c r="U1088" s="938"/>
      <c r="V1088" s="938"/>
      <c r="W1088" s="938"/>
      <c r="X1088" s="1091"/>
      <c r="Y1088" s="1091"/>
      <c r="Z1088" s="938"/>
      <c r="AA1088" s="938"/>
      <c r="AB1088" s="938"/>
      <c r="AC1088" s="938"/>
      <c r="AD1088" s="1058"/>
      <c r="AE1088" s="938"/>
      <c r="AF1088" s="938"/>
      <c r="AG1088" s="938"/>
      <c r="AH1088" s="938"/>
    </row>
    <row r="1089" spans="1:34" ht="17.25" customHeight="1" x14ac:dyDescent="0.35">
      <c r="A1089" s="938"/>
      <c r="B1089" s="938"/>
      <c r="C1089" s="941"/>
      <c r="D1089" s="1047"/>
      <c r="E1089" s="941"/>
      <c r="F1089" s="938"/>
      <c r="G1089" s="976">
        <f t="shared" si="18"/>
        <v>1086</v>
      </c>
      <c r="H1089" s="1085"/>
      <c r="I1089" s="1060" t="s">
        <v>1059</v>
      </c>
      <c r="J1089" s="1086" t="s">
        <v>2126</v>
      </c>
      <c r="K1089" s="1002" t="str">
        <f>IF(I!K1089="","",$D$2*I!K1089)</f>
        <v/>
      </c>
      <c r="L1089" s="981"/>
      <c r="M1089" s="982"/>
      <c r="N1089" s="1003"/>
      <c r="O1089" s="1004" t="str">
        <f>IF(I!O1089="","",$D$2*I!O1089)</f>
        <v/>
      </c>
      <c r="P1089" s="1005">
        <f>IF(I!P1089="","",$D$2*I!P1089)</f>
        <v>1530</v>
      </c>
      <c r="Q1089" s="1006" t="str">
        <f>IF(I!Q1089="","",$D$2*I!Q1089)</f>
        <v/>
      </c>
      <c r="R1089" s="982"/>
      <c r="S1089" s="1003"/>
      <c r="T1089" s="938"/>
      <c r="U1089" s="938"/>
      <c r="V1089" s="938"/>
      <c r="W1089" s="938"/>
      <c r="X1089" s="1091"/>
      <c r="Y1089" s="1091"/>
      <c r="Z1089" s="938"/>
      <c r="AA1089" s="938"/>
      <c r="AB1089" s="938"/>
      <c r="AC1089" s="938"/>
      <c r="AD1089" s="1058"/>
      <c r="AE1089" s="938"/>
      <c r="AF1089" s="938"/>
      <c r="AG1089" s="938"/>
      <c r="AH1089" s="938"/>
    </row>
    <row r="1090" spans="1:34" ht="17.25" customHeight="1" x14ac:dyDescent="0.35">
      <c r="A1090" s="938"/>
      <c r="B1090" s="938"/>
      <c r="C1090" s="941"/>
      <c r="D1090" s="1047"/>
      <c r="E1090" s="941"/>
      <c r="F1090" s="938"/>
      <c r="G1090" s="976">
        <f t="shared" si="18"/>
        <v>1087</v>
      </c>
      <c r="H1090" s="1085"/>
      <c r="I1090" s="1060" t="s">
        <v>1059</v>
      </c>
      <c r="J1090" s="1086" t="s">
        <v>2127</v>
      </c>
      <c r="K1090" s="1002" t="str">
        <f>IF(I!K1090="","",$D$2*I!K1090)</f>
        <v/>
      </c>
      <c r="L1090" s="981"/>
      <c r="M1090" s="982"/>
      <c r="N1090" s="1003"/>
      <c r="O1090" s="1004" t="str">
        <f>IF(I!O1090="","",$D$2*I!O1090)</f>
        <v/>
      </c>
      <c r="P1090" s="1005">
        <f>IF(I!P1090="","",$D$2*I!P1090)</f>
        <v>1530</v>
      </c>
      <c r="Q1090" s="1006" t="str">
        <f>IF(I!Q1090="","",$D$2*I!Q1090)</f>
        <v/>
      </c>
      <c r="R1090" s="982"/>
      <c r="S1090" s="1003"/>
      <c r="T1090" s="938"/>
      <c r="U1090" s="938"/>
      <c r="V1090" s="938"/>
      <c r="W1090" s="938"/>
      <c r="X1090" s="1091"/>
      <c r="Y1090" s="1091"/>
      <c r="Z1090" s="938"/>
      <c r="AA1090" s="938"/>
      <c r="AB1090" s="938"/>
      <c r="AC1090" s="938"/>
      <c r="AD1090" s="1058"/>
      <c r="AE1090" s="938"/>
      <c r="AF1090" s="938"/>
      <c r="AG1090" s="938"/>
      <c r="AH1090" s="938"/>
    </row>
    <row r="1091" spans="1:34" ht="17.25" customHeight="1" x14ac:dyDescent="0.35">
      <c r="A1091" s="938"/>
      <c r="B1091" s="938"/>
      <c r="C1091" s="941"/>
      <c r="D1091" s="1047"/>
      <c r="E1091" s="941"/>
      <c r="F1091" s="938"/>
      <c r="G1091" s="976">
        <f t="shared" si="18"/>
        <v>1088</v>
      </c>
      <c r="H1091" s="1085"/>
      <c r="I1091" s="1060" t="s">
        <v>1059</v>
      </c>
      <c r="J1091" s="1086" t="s">
        <v>2128</v>
      </c>
      <c r="K1091" s="1002" t="str">
        <f>IF(I!K1091="","",$D$2*I!K1091)</f>
        <v/>
      </c>
      <c r="L1091" s="981"/>
      <c r="M1091" s="982"/>
      <c r="N1091" s="1003"/>
      <c r="O1091" s="1004" t="str">
        <f>IF(I!O1091="","",$D$2*I!O1091)</f>
        <v/>
      </c>
      <c r="P1091" s="1005">
        <f>IF(I!P1091="","",$D$2*I!P1091)</f>
        <v>1530</v>
      </c>
      <c r="Q1091" s="1006" t="str">
        <f>IF(I!Q1091="","",$D$2*I!Q1091)</f>
        <v/>
      </c>
      <c r="R1091" s="982"/>
      <c r="S1091" s="1003"/>
      <c r="T1091" s="938"/>
      <c r="U1091" s="938"/>
      <c r="V1091" s="938"/>
      <c r="W1091" s="938"/>
      <c r="X1091" s="1091"/>
      <c r="Y1091" s="1091"/>
      <c r="Z1091" s="938"/>
      <c r="AA1091" s="938"/>
      <c r="AB1091" s="938"/>
      <c r="AC1091" s="938"/>
      <c r="AD1091" s="1058"/>
      <c r="AE1091" s="938"/>
      <c r="AF1091" s="938"/>
      <c r="AG1091" s="938"/>
      <c r="AH1091" s="938"/>
    </row>
    <row r="1092" spans="1:34" ht="17.25" customHeight="1" x14ac:dyDescent="0.35">
      <c r="A1092" s="938"/>
      <c r="B1092" s="938"/>
      <c r="C1092" s="941"/>
      <c r="D1092" s="1047"/>
      <c r="E1092" s="941"/>
      <c r="F1092" s="938"/>
      <c r="G1092" s="976">
        <f t="shared" si="18"/>
        <v>1089</v>
      </c>
      <c r="H1092" s="1085"/>
      <c r="I1092" s="1060" t="s">
        <v>1059</v>
      </c>
      <c r="J1092" s="1086" t="s">
        <v>2129</v>
      </c>
      <c r="K1092" s="1002" t="str">
        <f>IF(I!K1092="","",$D$2*I!K1092)</f>
        <v/>
      </c>
      <c r="L1092" s="981"/>
      <c r="M1092" s="982"/>
      <c r="N1092" s="1003"/>
      <c r="O1092" s="1004" t="str">
        <f>IF(I!O1092="","",$D$2*I!O1092)</f>
        <v/>
      </c>
      <c r="P1092" s="1005">
        <f>IF(I!P1092="","",$D$2*I!P1092)</f>
        <v>1530</v>
      </c>
      <c r="Q1092" s="1006" t="str">
        <f>IF(I!Q1092="","",$D$2*I!Q1092)</f>
        <v/>
      </c>
      <c r="R1092" s="982"/>
      <c r="S1092" s="1003"/>
      <c r="T1092" s="938"/>
      <c r="U1092" s="938"/>
      <c r="V1092" s="938"/>
      <c r="W1092" s="938"/>
      <c r="X1092" s="1091"/>
      <c r="Y1092" s="1091"/>
      <c r="Z1092" s="938"/>
      <c r="AA1092" s="938"/>
      <c r="AB1092" s="938"/>
      <c r="AC1092" s="938"/>
      <c r="AD1092" s="1058"/>
      <c r="AE1092" s="938"/>
      <c r="AF1092" s="938"/>
      <c r="AG1092" s="938"/>
      <c r="AH1092" s="938"/>
    </row>
    <row r="1093" spans="1:34" ht="17.25" customHeight="1" x14ac:dyDescent="0.35">
      <c r="A1093" s="938"/>
      <c r="B1093" s="938"/>
      <c r="C1093" s="941"/>
      <c r="D1093" s="1047"/>
      <c r="E1093" s="941"/>
      <c r="F1093" s="938"/>
      <c r="G1093" s="976">
        <f t="shared" si="18"/>
        <v>1090</v>
      </c>
      <c r="H1093" s="1085"/>
      <c r="I1093" s="1060" t="s">
        <v>1059</v>
      </c>
      <c r="J1093" s="1086" t="s">
        <v>2130</v>
      </c>
      <c r="K1093" s="1002" t="str">
        <f>IF(I!K1093="","",$D$2*I!K1093)</f>
        <v/>
      </c>
      <c r="L1093" s="981"/>
      <c r="M1093" s="982"/>
      <c r="N1093" s="1003"/>
      <c r="O1093" s="1004" t="str">
        <f>IF(I!O1093="","",$D$2*I!O1093)</f>
        <v/>
      </c>
      <c r="P1093" s="1005">
        <f>IF(I!P1093="","",$D$2*I!P1093)</f>
        <v>1530</v>
      </c>
      <c r="Q1093" s="1006" t="str">
        <f>IF(I!Q1093="","",$D$2*I!Q1093)</f>
        <v/>
      </c>
      <c r="R1093" s="982"/>
      <c r="S1093" s="1003"/>
      <c r="T1093" s="938"/>
      <c r="U1093" s="938"/>
      <c r="V1093" s="938"/>
      <c r="W1093" s="938"/>
      <c r="X1093" s="1091"/>
      <c r="Y1093" s="1091"/>
      <c r="Z1093" s="938"/>
      <c r="AA1093" s="938"/>
      <c r="AB1093" s="938"/>
      <c r="AC1093" s="938"/>
      <c r="AD1093" s="1058"/>
      <c r="AE1093" s="938"/>
      <c r="AF1093" s="938"/>
      <c r="AG1093" s="938"/>
      <c r="AH1093" s="938"/>
    </row>
    <row r="1094" spans="1:34" ht="17.25" customHeight="1" x14ac:dyDescent="0.35">
      <c r="A1094" s="938"/>
      <c r="B1094" s="938"/>
      <c r="C1094" s="941"/>
      <c r="D1094" s="1047"/>
      <c r="E1094" s="941"/>
      <c r="F1094" s="938"/>
      <c r="G1094" s="976">
        <f t="shared" ref="G1094:G1123" si="19">G1093+1</f>
        <v>1091</v>
      </c>
      <c r="H1094" s="1085"/>
      <c r="I1094" s="1060" t="s">
        <v>1059</v>
      </c>
      <c r="J1094" s="1087" t="s">
        <v>2131</v>
      </c>
      <c r="K1094" s="1002" t="str">
        <f>IF(I!K1094="","",$D$2*I!K1094)</f>
        <v/>
      </c>
      <c r="L1094" s="981"/>
      <c r="M1094" s="982"/>
      <c r="N1094" s="1003"/>
      <c r="O1094" s="1004" t="str">
        <f>IF(I!O1094="","",$D$2*I!O1094)</f>
        <v/>
      </c>
      <c r="P1094" s="1005"/>
      <c r="Q1094" s="1006" t="str">
        <f>IF(I!Q1094="","",$D$2*I!Q1094)</f>
        <v/>
      </c>
      <c r="R1094" s="982"/>
      <c r="S1094" s="1003"/>
      <c r="T1094" s="938"/>
      <c r="U1094" s="938"/>
      <c r="V1094" s="938"/>
      <c r="W1094" s="938"/>
      <c r="X1094" s="1091"/>
      <c r="Y1094" s="1091"/>
      <c r="Z1094" s="938"/>
      <c r="AA1094" s="938"/>
      <c r="AB1094" s="938"/>
      <c r="AC1094" s="938"/>
      <c r="AD1094" s="1058"/>
      <c r="AE1094" s="938"/>
      <c r="AF1094" s="938"/>
      <c r="AG1094" s="938"/>
      <c r="AH1094" s="938"/>
    </row>
    <row r="1095" spans="1:34" ht="17.25" customHeight="1" x14ac:dyDescent="0.35">
      <c r="A1095" s="938"/>
      <c r="B1095" s="938"/>
      <c r="C1095" s="941"/>
      <c r="D1095" s="1047"/>
      <c r="E1095" s="941"/>
      <c r="F1095" s="938"/>
      <c r="G1095" s="976">
        <f t="shared" si="19"/>
        <v>1092</v>
      </c>
      <c r="H1095" s="942" t="s">
        <v>2133</v>
      </c>
      <c r="I1095" s="943"/>
      <c r="J1095" s="943"/>
      <c r="K1095" s="1002" t="str">
        <f>IF(I!K1095="","",$D$2*I!K1095)</f>
        <v/>
      </c>
      <c r="L1095" s="981"/>
      <c r="M1095" s="982"/>
      <c r="N1095" s="1003"/>
      <c r="O1095" s="1004" t="str">
        <f>IF(I!O1095="","",$D$2*I!O1095)</f>
        <v/>
      </c>
      <c r="P1095" s="1005" t="str">
        <f>IF(I!P1095="","",$D$2*I!P1095)</f>
        <v/>
      </c>
      <c r="Q1095" s="1006" t="str">
        <f>IF(I!Q1095="","",$D$2*I!Q1095)</f>
        <v/>
      </c>
      <c r="R1095" s="982"/>
      <c r="S1095" s="1003"/>
      <c r="T1095" s="938"/>
      <c r="U1095" s="938"/>
      <c r="V1095" s="938"/>
      <c r="W1095" s="938"/>
      <c r="X1095" s="1091"/>
      <c r="Y1095" s="1091"/>
      <c r="Z1095" s="938"/>
      <c r="AA1095" s="938"/>
      <c r="AB1095" s="938"/>
      <c r="AC1095" s="938"/>
      <c r="AD1095" s="1058"/>
      <c r="AE1095" s="938"/>
      <c r="AF1095" s="938"/>
      <c r="AG1095" s="938"/>
      <c r="AH1095" s="938"/>
    </row>
    <row r="1096" spans="1:34" ht="17.25" customHeight="1" x14ac:dyDescent="0.35">
      <c r="A1096" s="938"/>
      <c r="B1096" s="938"/>
      <c r="C1096" s="941"/>
      <c r="D1096" s="1047"/>
      <c r="E1096" s="941"/>
      <c r="F1096" s="938"/>
      <c r="G1096" s="976">
        <f t="shared" si="19"/>
        <v>1093</v>
      </c>
      <c r="H1096" s="1085"/>
      <c r="I1096" s="1001" t="s">
        <v>1059</v>
      </c>
      <c r="J1096" s="1086" t="s">
        <v>2134</v>
      </c>
      <c r="K1096" s="1002" t="str">
        <f>IF(I!K1096="","",$D$2*I!K1096)</f>
        <v/>
      </c>
      <c r="L1096" s="981"/>
      <c r="M1096" s="982"/>
      <c r="N1096" s="1003"/>
      <c r="O1096" s="1004" t="str">
        <f>IF(I!O1096="","",$D$2*I!O1096)</f>
        <v/>
      </c>
      <c r="P1096" s="1005">
        <f>IF(I!P1096="","",$D$2*I!P1096)</f>
        <v>17</v>
      </c>
      <c r="Q1096" s="1006" t="str">
        <f>IF(I!Q1096="","",$D$2*I!Q1096)</f>
        <v/>
      </c>
      <c r="R1096" s="982"/>
      <c r="S1096" s="1003"/>
      <c r="T1096" s="938"/>
      <c r="U1096" s="938"/>
      <c r="V1096" s="938"/>
      <c r="W1096" s="938"/>
      <c r="X1096" s="1091"/>
      <c r="Y1096" s="1091"/>
      <c r="Z1096" s="938"/>
      <c r="AA1096" s="938"/>
      <c r="AB1096" s="938"/>
      <c r="AC1096" s="938"/>
      <c r="AD1096" s="1058"/>
      <c r="AE1096" s="938"/>
      <c r="AF1096" s="938"/>
      <c r="AG1096" s="938"/>
      <c r="AH1096" s="938"/>
    </row>
    <row r="1097" spans="1:34" ht="17.25" customHeight="1" x14ac:dyDescent="0.35">
      <c r="A1097" s="938"/>
      <c r="B1097" s="938"/>
      <c r="C1097" s="941"/>
      <c r="D1097" s="1047"/>
      <c r="E1097" s="941"/>
      <c r="F1097" s="938"/>
      <c r="G1097" s="976">
        <f t="shared" si="19"/>
        <v>1094</v>
      </c>
      <c r="H1097" s="1085"/>
      <c r="I1097" s="1060" t="s">
        <v>1059</v>
      </c>
      <c r="J1097" s="1086" t="s">
        <v>2135</v>
      </c>
      <c r="K1097" s="1002" t="str">
        <f>IF(I!K1097="","",$D$2*I!K1097)</f>
        <v/>
      </c>
      <c r="L1097" s="981"/>
      <c r="M1097" s="982"/>
      <c r="N1097" s="1003"/>
      <c r="O1097" s="1004" t="str">
        <f>IF(I!O1097="","",$D$2*I!O1097)</f>
        <v/>
      </c>
      <c r="P1097" s="1005">
        <f>IF(I!P1097="","",$D$2*I!P1097)</f>
        <v>17</v>
      </c>
      <c r="Q1097" s="1006" t="str">
        <f>IF(I!Q1097="","",$D$2*I!Q1097)</f>
        <v/>
      </c>
      <c r="R1097" s="982"/>
      <c r="S1097" s="1003"/>
      <c r="T1097" s="938"/>
      <c r="U1097" s="938"/>
      <c r="V1097" s="938"/>
      <c r="W1097" s="938"/>
      <c r="X1097" s="1091"/>
      <c r="Y1097" s="1091"/>
      <c r="Z1097" s="938"/>
      <c r="AA1097" s="938"/>
      <c r="AB1097" s="938"/>
      <c r="AC1097" s="938"/>
      <c r="AD1097" s="1058"/>
      <c r="AE1097" s="938"/>
      <c r="AF1097" s="938"/>
      <c r="AG1097" s="938"/>
      <c r="AH1097" s="938"/>
    </row>
    <row r="1098" spans="1:34" ht="17.25" customHeight="1" x14ac:dyDescent="0.35">
      <c r="A1098" s="938"/>
      <c r="B1098" s="938"/>
      <c r="C1098" s="941"/>
      <c r="D1098" s="1047"/>
      <c r="E1098" s="941"/>
      <c r="F1098" s="938"/>
      <c r="G1098" s="976">
        <f t="shared" si="19"/>
        <v>1095</v>
      </c>
      <c r="H1098" s="1085"/>
      <c r="I1098" s="1060" t="s">
        <v>1059</v>
      </c>
      <c r="J1098" s="1086" t="s">
        <v>2136</v>
      </c>
      <c r="K1098" s="1002" t="str">
        <f>IF(I!K1098="","",$D$2*I!K1098)</f>
        <v/>
      </c>
      <c r="L1098" s="981"/>
      <c r="M1098" s="982"/>
      <c r="N1098" s="1003"/>
      <c r="O1098" s="1004" t="str">
        <f>IF(I!O1098="","",$D$2*I!O1098)</f>
        <v/>
      </c>
      <c r="P1098" s="1005">
        <f>IF(I!P1098="","",$D$2*I!P1098)</f>
        <v>17</v>
      </c>
      <c r="Q1098" s="1006" t="str">
        <f>IF(I!Q1098="","",$D$2*I!Q1098)</f>
        <v/>
      </c>
      <c r="R1098" s="982"/>
      <c r="S1098" s="1003"/>
      <c r="T1098" s="938"/>
      <c r="U1098" s="938"/>
      <c r="V1098" s="938"/>
      <c r="W1098" s="938"/>
      <c r="X1098" s="1091"/>
      <c r="Y1098" s="1091"/>
      <c r="Z1098" s="938"/>
      <c r="AA1098" s="938"/>
      <c r="AB1098" s="938"/>
      <c r="AC1098" s="938"/>
      <c r="AD1098" s="1058"/>
      <c r="AE1098" s="938"/>
      <c r="AF1098" s="938"/>
      <c r="AG1098" s="938"/>
      <c r="AH1098" s="938"/>
    </row>
    <row r="1099" spans="1:34" ht="17.25" customHeight="1" x14ac:dyDescent="0.35">
      <c r="A1099" s="938"/>
      <c r="B1099" s="938"/>
      <c r="C1099" s="941"/>
      <c r="D1099" s="1047"/>
      <c r="E1099" s="941"/>
      <c r="F1099" s="938"/>
      <c r="G1099" s="976">
        <f t="shared" si="19"/>
        <v>1096</v>
      </c>
      <c r="H1099" s="1085"/>
      <c r="I1099" s="1060" t="s">
        <v>1059</v>
      </c>
      <c r="J1099" s="1086" t="s">
        <v>2135</v>
      </c>
      <c r="K1099" s="1002" t="str">
        <f>IF(I!K1099="","",$D$2*I!K1099)</f>
        <v/>
      </c>
      <c r="L1099" s="981"/>
      <c r="M1099" s="982"/>
      <c r="N1099" s="1003"/>
      <c r="O1099" s="1004" t="str">
        <f>IF(I!O1099="","",$D$2*I!O1099)</f>
        <v/>
      </c>
      <c r="P1099" s="1005">
        <f>IF(I!P1099="","",$D$2*I!P1099)</f>
        <v>17</v>
      </c>
      <c r="Q1099" s="1006" t="str">
        <f>IF(I!Q1099="","",$D$2*I!Q1099)</f>
        <v/>
      </c>
      <c r="R1099" s="982"/>
      <c r="S1099" s="1003"/>
      <c r="T1099" s="938"/>
      <c r="U1099" s="938"/>
      <c r="V1099" s="938"/>
      <c r="W1099" s="938"/>
      <c r="X1099" s="1091"/>
      <c r="Y1099" s="1091"/>
      <c r="Z1099" s="938"/>
      <c r="AA1099" s="938"/>
      <c r="AB1099" s="938"/>
      <c r="AC1099" s="938"/>
      <c r="AD1099" s="1058"/>
      <c r="AE1099" s="938"/>
      <c r="AF1099" s="938"/>
      <c r="AG1099" s="938"/>
      <c r="AH1099" s="938"/>
    </row>
    <row r="1100" spans="1:34" ht="17.25" customHeight="1" x14ac:dyDescent="0.35">
      <c r="A1100" s="938"/>
      <c r="B1100" s="938"/>
      <c r="C1100" s="941"/>
      <c r="D1100" s="1047"/>
      <c r="E1100" s="941"/>
      <c r="F1100" s="938"/>
      <c r="G1100" s="976">
        <f t="shared" si="19"/>
        <v>1097</v>
      </c>
      <c r="H1100" s="1085"/>
      <c r="I1100" s="1060" t="s">
        <v>1059</v>
      </c>
      <c r="J1100" s="1086" t="s">
        <v>2136</v>
      </c>
      <c r="K1100" s="1002" t="str">
        <f>IF(I!K1100="","",$D$2*I!K1100)</f>
        <v/>
      </c>
      <c r="L1100" s="981"/>
      <c r="M1100" s="982"/>
      <c r="N1100" s="1003"/>
      <c r="O1100" s="1004" t="str">
        <f>IF(I!O1100="","",$D$2*I!O1100)</f>
        <v/>
      </c>
      <c r="P1100" s="1005">
        <f>IF(I!P1100="","",$D$2*I!P1100)</f>
        <v>17</v>
      </c>
      <c r="Q1100" s="1006" t="str">
        <f>IF(I!Q1100="","",$D$2*I!Q1100)</f>
        <v/>
      </c>
      <c r="R1100" s="982"/>
      <c r="S1100" s="1003"/>
      <c r="T1100" s="938"/>
      <c r="U1100" s="938"/>
      <c r="V1100" s="938"/>
      <c r="W1100" s="938"/>
      <c r="X1100" s="1091"/>
      <c r="Y1100" s="1091"/>
      <c r="Z1100" s="938"/>
      <c r="AA1100" s="938"/>
      <c r="AB1100" s="938"/>
      <c r="AC1100" s="938"/>
      <c r="AD1100" s="1058"/>
      <c r="AE1100" s="938"/>
      <c r="AF1100" s="938"/>
      <c r="AG1100" s="938"/>
      <c r="AH1100" s="938"/>
    </row>
    <row r="1101" spans="1:34" ht="17.25" customHeight="1" x14ac:dyDescent="0.35">
      <c r="A1101" s="938"/>
      <c r="B1101" s="938"/>
      <c r="C1101" s="941"/>
      <c r="D1101" s="1047"/>
      <c r="E1101" s="941"/>
      <c r="F1101" s="938"/>
      <c r="G1101" s="976">
        <f t="shared" si="19"/>
        <v>1098</v>
      </c>
      <c r="H1101" s="1085"/>
      <c r="I1101" s="1060" t="s">
        <v>1059</v>
      </c>
      <c r="J1101" s="1086" t="s">
        <v>2137</v>
      </c>
      <c r="K1101" s="1002" t="str">
        <f>IF(I!K1101="","",$D$2*I!K1101)</f>
        <v/>
      </c>
      <c r="L1101" s="981"/>
      <c r="M1101" s="982"/>
      <c r="N1101" s="1003"/>
      <c r="O1101" s="1004" t="str">
        <f>IF(I!O1101="","",$D$2*I!O1101)</f>
        <v/>
      </c>
      <c r="P1101" s="1005">
        <f>IF(I!P1101="","",$D$2*I!P1101)</f>
        <v>17</v>
      </c>
      <c r="Q1101" s="1006" t="str">
        <f>IF(I!Q1101="","",$D$2*I!Q1101)</f>
        <v/>
      </c>
      <c r="R1101" s="982"/>
      <c r="S1101" s="1003"/>
      <c r="T1101" s="938"/>
      <c r="U1101" s="938"/>
      <c r="V1101" s="938"/>
      <c r="W1101" s="938"/>
      <c r="X1101" s="1091"/>
      <c r="Y1101" s="1091"/>
      <c r="Z1101" s="938"/>
      <c r="AA1101" s="938"/>
      <c r="AB1101" s="938"/>
      <c r="AC1101" s="938"/>
      <c r="AD1101" s="1058"/>
      <c r="AE1101" s="938"/>
      <c r="AF1101" s="938"/>
      <c r="AG1101" s="938"/>
      <c r="AH1101" s="938"/>
    </row>
    <row r="1102" spans="1:34" ht="17.25" customHeight="1" x14ac:dyDescent="0.35">
      <c r="A1102" s="938"/>
      <c r="B1102" s="938"/>
      <c r="C1102" s="941"/>
      <c r="D1102" s="1047"/>
      <c r="E1102" s="941"/>
      <c r="F1102" s="938"/>
      <c r="G1102" s="976">
        <f t="shared" si="19"/>
        <v>1099</v>
      </c>
      <c r="H1102" s="1085"/>
      <c r="I1102" s="1060" t="s">
        <v>1059</v>
      </c>
      <c r="J1102" s="1086" t="s">
        <v>2138</v>
      </c>
      <c r="K1102" s="1002" t="str">
        <f>IF(I!K1102="","",$D$2*I!K1102)</f>
        <v/>
      </c>
      <c r="L1102" s="981"/>
      <c r="M1102" s="982"/>
      <c r="N1102" s="1003"/>
      <c r="O1102" s="1004" t="str">
        <f>IF(I!O1102="","",$D$2*I!O1102)</f>
        <v/>
      </c>
      <c r="P1102" s="1005">
        <f>IF(I!P1102="","",$D$2*I!P1102)</f>
        <v>17</v>
      </c>
      <c r="Q1102" s="1006" t="str">
        <f>IF(I!Q1102="","",$D$2*I!Q1102)</f>
        <v/>
      </c>
      <c r="R1102" s="982"/>
      <c r="S1102" s="1003"/>
      <c r="T1102" s="938"/>
      <c r="U1102" s="938"/>
      <c r="V1102" s="938"/>
      <c r="W1102" s="938"/>
      <c r="X1102" s="1091"/>
      <c r="Y1102" s="1091"/>
      <c r="Z1102" s="938"/>
      <c r="AA1102" s="938"/>
      <c r="AB1102" s="938"/>
      <c r="AC1102" s="938"/>
      <c r="AD1102" s="1058"/>
      <c r="AE1102" s="938"/>
      <c r="AF1102" s="938"/>
      <c r="AG1102" s="938"/>
      <c r="AH1102" s="938"/>
    </row>
    <row r="1103" spans="1:34" ht="17.25" customHeight="1" x14ac:dyDescent="0.35">
      <c r="A1103" s="938"/>
      <c r="B1103" s="938"/>
      <c r="C1103" s="941"/>
      <c r="D1103" s="1047"/>
      <c r="E1103" s="941"/>
      <c r="F1103" s="938"/>
      <c r="G1103" s="976">
        <f t="shared" si="19"/>
        <v>1100</v>
      </c>
      <c r="H1103" s="1085"/>
      <c r="I1103" s="1060" t="s">
        <v>1059</v>
      </c>
      <c r="J1103" s="1086" t="s">
        <v>2139</v>
      </c>
      <c r="K1103" s="1002" t="str">
        <f>IF(I!K1103="","",$D$2*I!K1103)</f>
        <v/>
      </c>
      <c r="L1103" s="981"/>
      <c r="M1103" s="982"/>
      <c r="N1103" s="1003"/>
      <c r="O1103" s="1004" t="str">
        <f>IF(I!O1103="","",$D$2*I!O1103)</f>
        <v/>
      </c>
      <c r="P1103" s="1005">
        <f>IF(I!P1103="","",$D$2*I!P1103)</f>
        <v>17</v>
      </c>
      <c r="Q1103" s="1006" t="str">
        <f>IF(I!Q1103="","",$D$2*I!Q1103)</f>
        <v/>
      </c>
      <c r="R1103" s="982"/>
      <c r="S1103" s="1003"/>
      <c r="T1103" s="938"/>
      <c r="U1103" s="938"/>
      <c r="V1103" s="938"/>
      <c r="W1103" s="938"/>
      <c r="X1103" s="1091"/>
      <c r="Y1103" s="1091"/>
      <c r="Z1103" s="938"/>
      <c r="AA1103" s="938"/>
      <c r="AB1103" s="938"/>
      <c r="AC1103" s="938"/>
      <c r="AD1103" s="1058"/>
      <c r="AE1103" s="938"/>
      <c r="AF1103" s="938"/>
      <c r="AG1103" s="938"/>
      <c r="AH1103" s="938"/>
    </row>
    <row r="1104" spans="1:34" ht="17.25" customHeight="1" x14ac:dyDescent="0.35">
      <c r="A1104" s="938"/>
      <c r="B1104" s="938"/>
      <c r="C1104" s="941"/>
      <c r="D1104" s="1047"/>
      <c r="E1104" s="941"/>
      <c r="F1104" s="938"/>
      <c r="G1104" s="976">
        <f t="shared" si="19"/>
        <v>1101</v>
      </c>
      <c r="H1104" s="1085"/>
      <c r="I1104" s="1060" t="s">
        <v>1059</v>
      </c>
      <c r="J1104" s="1086" t="s">
        <v>2140</v>
      </c>
      <c r="K1104" s="1002" t="str">
        <f>IF(I!K1104="","",$D$2*I!K1104)</f>
        <v/>
      </c>
      <c r="L1104" s="981"/>
      <c r="M1104" s="982"/>
      <c r="N1104" s="1003"/>
      <c r="O1104" s="1004" t="str">
        <f>IF(I!O1104="","",$D$2*I!O1104)</f>
        <v/>
      </c>
      <c r="P1104" s="1005">
        <f>IF(I!P1104="","",$D$2*I!P1104)</f>
        <v>17</v>
      </c>
      <c r="Q1104" s="1006" t="str">
        <f>IF(I!Q1104="","",$D$2*I!Q1104)</f>
        <v/>
      </c>
      <c r="R1104" s="982"/>
      <c r="S1104" s="1003"/>
      <c r="T1104" s="938"/>
      <c r="U1104" s="938"/>
      <c r="V1104" s="938"/>
      <c r="W1104" s="938"/>
      <c r="X1104" s="1091"/>
      <c r="Y1104" s="1091"/>
      <c r="Z1104" s="938"/>
      <c r="AA1104" s="938"/>
      <c r="AB1104" s="938"/>
      <c r="AC1104" s="938"/>
      <c r="AD1104" s="1058"/>
      <c r="AE1104" s="938"/>
      <c r="AF1104" s="938"/>
      <c r="AG1104" s="938"/>
      <c r="AH1104" s="938"/>
    </row>
    <row r="1105" spans="1:34" ht="17.25" customHeight="1" x14ac:dyDescent="0.35">
      <c r="A1105" s="938"/>
      <c r="B1105" s="938"/>
      <c r="C1105" s="941"/>
      <c r="D1105" s="1047"/>
      <c r="E1105" s="941"/>
      <c r="F1105" s="938"/>
      <c r="G1105" s="976">
        <f t="shared" si="19"/>
        <v>1102</v>
      </c>
      <c r="H1105" s="1085"/>
      <c r="I1105" s="1060" t="s">
        <v>1059</v>
      </c>
      <c r="J1105" s="1086" t="s">
        <v>2141</v>
      </c>
      <c r="K1105" s="1002" t="str">
        <f>IF(I!K1105="","",$D$2*I!K1105)</f>
        <v/>
      </c>
      <c r="L1105" s="981"/>
      <c r="M1105" s="982"/>
      <c r="N1105" s="1003"/>
      <c r="O1105" s="1004" t="str">
        <f>IF(I!O1105="","",$D$2*I!O1105)</f>
        <v/>
      </c>
      <c r="P1105" s="1005">
        <f>IF(I!P1105="","",$D$2*I!P1105)</f>
        <v>17</v>
      </c>
      <c r="Q1105" s="1006" t="str">
        <f>IF(I!Q1105="","",$D$2*I!Q1105)</f>
        <v/>
      </c>
      <c r="R1105" s="982"/>
      <c r="S1105" s="1003"/>
      <c r="T1105" s="938"/>
      <c r="U1105" s="938"/>
      <c r="V1105" s="938"/>
      <c r="W1105" s="938"/>
      <c r="X1105" s="1091"/>
      <c r="Y1105" s="1091"/>
      <c r="Z1105" s="938"/>
      <c r="AA1105" s="938"/>
      <c r="AB1105" s="938"/>
      <c r="AC1105" s="938"/>
      <c r="AD1105" s="1058"/>
      <c r="AE1105" s="938"/>
      <c r="AF1105" s="938"/>
      <c r="AG1105" s="938"/>
      <c r="AH1105" s="938"/>
    </row>
    <row r="1106" spans="1:34" ht="17.25" customHeight="1" x14ac:dyDescent="0.35">
      <c r="A1106" s="938"/>
      <c r="B1106" s="938"/>
      <c r="C1106" s="941"/>
      <c r="D1106" s="1047"/>
      <c r="E1106" s="941"/>
      <c r="F1106" s="938"/>
      <c r="G1106" s="976">
        <f t="shared" si="19"/>
        <v>1103</v>
      </c>
      <c r="H1106" s="1085"/>
      <c r="I1106" s="1060" t="s">
        <v>1059</v>
      </c>
      <c r="J1106" s="1086" t="s">
        <v>2142</v>
      </c>
      <c r="K1106" s="1002" t="str">
        <f>IF(I!K1106="","",$D$2*I!K1106)</f>
        <v/>
      </c>
      <c r="L1106" s="981"/>
      <c r="M1106" s="982"/>
      <c r="N1106" s="1003"/>
      <c r="O1106" s="1004" t="str">
        <f>IF(I!O1106="","",$D$2*I!O1106)</f>
        <v/>
      </c>
      <c r="P1106" s="1005">
        <f>IF(I!P1106="","",$D$2*I!P1106)</f>
        <v>17</v>
      </c>
      <c r="Q1106" s="1006" t="str">
        <f>IF(I!Q1106="","",$D$2*I!Q1106)</f>
        <v/>
      </c>
      <c r="R1106" s="982"/>
      <c r="S1106" s="1003"/>
      <c r="T1106" s="938"/>
      <c r="U1106" s="938"/>
      <c r="V1106" s="938"/>
      <c r="W1106" s="938"/>
      <c r="X1106" s="1091"/>
      <c r="Y1106" s="1091"/>
      <c r="Z1106" s="938"/>
      <c r="AA1106" s="938"/>
      <c r="AB1106" s="938"/>
      <c r="AC1106" s="938"/>
      <c r="AD1106" s="1058"/>
      <c r="AE1106" s="938"/>
      <c r="AF1106" s="938"/>
      <c r="AG1106" s="938"/>
      <c r="AH1106" s="938"/>
    </row>
    <row r="1107" spans="1:34" ht="17.25" customHeight="1" x14ac:dyDescent="0.35">
      <c r="A1107" s="938"/>
      <c r="B1107" s="938"/>
      <c r="C1107" s="941"/>
      <c r="D1107" s="1047"/>
      <c r="E1107" s="941"/>
      <c r="F1107" s="938"/>
      <c r="G1107" s="976">
        <f t="shared" si="19"/>
        <v>1104</v>
      </c>
      <c r="H1107" s="1085"/>
      <c r="I1107" s="1060" t="s">
        <v>1059</v>
      </c>
      <c r="J1107" s="1086" t="s">
        <v>2143</v>
      </c>
      <c r="K1107" s="1002" t="str">
        <f>IF(I!K1107="","",$D$2*I!K1107)</f>
        <v/>
      </c>
      <c r="L1107" s="981"/>
      <c r="M1107" s="982"/>
      <c r="N1107" s="1003"/>
      <c r="O1107" s="1004" t="str">
        <f>IF(I!O1107="","",$D$2*I!O1107)</f>
        <v/>
      </c>
      <c r="P1107" s="1005">
        <f>IF(I!P1107="","",$D$2*I!P1107)</f>
        <v>17</v>
      </c>
      <c r="Q1107" s="1006" t="str">
        <f>IF(I!Q1107="","",$D$2*I!Q1107)</f>
        <v/>
      </c>
      <c r="R1107" s="982"/>
      <c r="S1107" s="1003"/>
      <c r="T1107" s="938"/>
      <c r="U1107" s="938"/>
      <c r="V1107" s="938"/>
      <c r="W1107" s="938"/>
      <c r="X1107" s="1091"/>
      <c r="Y1107" s="1091"/>
      <c r="Z1107" s="938"/>
      <c r="AA1107" s="938"/>
      <c r="AB1107" s="938"/>
      <c r="AC1107" s="938"/>
      <c r="AD1107" s="1058"/>
      <c r="AE1107" s="938"/>
      <c r="AF1107" s="938"/>
      <c r="AG1107" s="938"/>
      <c r="AH1107" s="938"/>
    </row>
    <row r="1108" spans="1:34" ht="17.25" customHeight="1" x14ac:dyDescent="0.35">
      <c r="A1108" s="938"/>
      <c r="B1108" s="938"/>
      <c r="C1108" s="941"/>
      <c r="D1108" s="1047"/>
      <c r="E1108" s="941"/>
      <c r="F1108" s="938"/>
      <c r="G1108" s="976">
        <f t="shared" si="19"/>
        <v>1105</v>
      </c>
      <c r="H1108" s="1085"/>
      <c r="I1108" s="1060" t="s">
        <v>1059</v>
      </c>
      <c r="J1108" s="1086" t="s">
        <v>2122</v>
      </c>
      <c r="K1108" s="1002" t="str">
        <f>IF(I!K1108="","",$D$2*I!K1108)</f>
        <v/>
      </c>
      <c r="L1108" s="981"/>
      <c r="M1108" s="982"/>
      <c r="N1108" s="1003"/>
      <c r="O1108" s="1004" t="str">
        <f>IF(I!O1108="","",$D$2*I!O1108)</f>
        <v/>
      </c>
      <c r="P1108" s="1005">
        <f>IF(I!P1108="","",$D$2*I!P1108)</f>
        <v>17</v>
      </c>
      <c r="Q1108" s="1006" t="str">
        <f>IF(I!Q1108="","",$D$2*I!Q1108)</f>
        <v/>
      </c>
      <c r="R1108" s="982"/>
      <c r="S1108" s="1003"/>
      <c r="T1108" s="938"/>
      <c r="U1108" s="938"/>
      <c r="V1108" s="938"/>
      <c r="W1108" s="938"/>
      <c r="X1108" s="1091"/>
      <c r="Y1108" s="1091"/>
      <c r="Z1108" s="938"/>
      <c r="AA1108" s="938"/>
      <c r="AB1108" s="938"/>
      <c r="AC1108" s="938"/>
      <c r="AD1108" s="1058"/>
      <c r="AE1108" s="938"/>
      <c r="AF1108" s="938"/>
      <c r="AG1108" s="938"/>
      <c r="AH1108" s="938"/>
    </row>
    <row r="1109" spans="1:34" ht="17.25" customHeight="1" x14ac:dyDescent="0.35">
      <c r="A1109" s="938"/>
      <c r="B1109" s="938"/>
      <c r="C1109" s="941"/>
      <c r="D1109" s="1047"/>
      <c r="E1109" s="941"/>
      <c r="F1109" s="938"/>
      <c r="G1109" s="976">
        <f t="shared" si="19"/>
        <v>1106</v>
      </c>
      <c r="H1109" s="1085"/>
      <c r="I1109" s="1060" t="s">
        <v>1059</v>
      </c>
      <c r="J1109" s="1086" t="s">
        <v>2144</v>
      </c>
      <c r="K1109" s="1002" t="str">
        <f>IF(I!K1109="","",$D$2*I!K1109)</f>
        <v/>
      </c>
      <c r="L1109" s="981"/>
      <c r="M1109" s="982"/>
      <c r="N1109" s="1003"/>
      <c r="O1109" s="1004" t="str">
        <f>IF(I!O1109="","",$D$2*I!O1109)</f>
        <v/>
      </c>
      <c r="P1109" s="1005">
        <f>IF(I!P1109="","",$D$2*I!P1109)</f>
        <v>17</v>
      </c>
      <c r="Q1109" s="1006" t="str">
        <f>IF(I!Q1109="","",$D$2*I!Q1109)</f>
        <v/>
      </c>
      <c r="R1109" s="982"/>
      <c r="S1109" s="1003"/>
      <c r="T1109" s="938"/>
      <c r="U1109" s="938"/>
      <c r="V1109" s="938"/>
      <c r="W1109" s="938"/>
      <c r="X1109" s="1091"/>
      <c r="Y1109" s="1091"/>
      <c r="Z1109" s="938"/>
      <c r="AA1109" s="938"/>
      <c r="AB1109" s="938"/>
      <c r="AC1109" s="938"/>
      <c r="AD1109" s="1058"/>
      <c r="AE1109" s="938"/>
      <c r="AF1109" s="938"/>
      <c r="AG1109" s="938"/>
      <c r="AH1109" s="938"/>
    </row>
    <row r="1110" spans="1:34" ht="17.25" customHeight="1" x14ac:dyDescent="0.35">
      <c r="A1110" s="938"/>
      <c r="B1110" s="938"/>
      <c r="C1110" s="941"/>
      <c r="D1110" s="1047"/>
      <c r="E1110" s="941"/>
      <c r="F1110" s="938"/>
      <c r="G1110" s="976">
        <f t="shared" si="19"/>
        <v>1107</v>
      </c>
      <c r="H1110" s="1085"/>
      <c r="I1110" s="1060" t="s">
        <v>1059</v>
      </c>
      <c r="J1110" s="1086" t="s">
        <v>2145</v>
      </c>
      <c r="K1110" s="1002" t="str">
        <f>IF(I!K1110="","",$D$2*I!K1110)</f>
        <v/>
      </c>
      <c r="L1110" s="981"/>
      <c r="M1110" s="982"/>
      <c r="N1110" s="1003"/>
      <c r="O1110" s="1004" t="str">
        <f>IF(I!O1110="","",$D$2*I!O1110)</f>
        <v/>
      </c>
      <c r="P1110" s="1005">
        <f>IF(I!P1110="","",$D$2*I!P1110)</f>
        <v>17</v>
      </c>
      <c r="Q1110" s="1006" t="str">
        <f>IF(I!Q1110="","",$D$2*I!Q1110)</f>
        <v/>
      </c>
      <c r="R1110" s="982"/>
      <c r="S1110" s="1003"/>
      <c r="T1110" s="938"/>
      <c r="U1110" s="938"/>
      <c r="V1110" s="938"/>
      <c r="W1110" s="938"/>
      <c r="X1110" s="1091"/>
      <c r="Y1110" s="1091"/>
      <c r="Z1110" s="938"/>
      <c r="AA1110" s="938"/>
      <c r="AB1110" s="938"/>
      <c r="AC1110" s="938"/>
      <c r="AD1110" s="1058"/>
      <c r="AE1110" s="938"/>
      <c r="AF1110" s="938"/>
      <c r="AG1110" s="938"/>
      <c r="AH1110" s="938"/>
    </row>
    <row r="1111" spans="1:34" ht="17.25" customHeight="1" x14ac:dyDescent="0.35">
      <c r="A1111" s="938"/>
      <c r="B1111" s="938"/>
      <c r="C1111" s="941"/>
      <c r="D1111" s="1047"/>
      <c r="E1111" s="941"/>
      <c r="F1111" s="938"/>
      <c r="G1111" s="976">
        <f t="shared" si="19"/>
        <v>1108</v>
      </c>
      <c r="H1111" s="1085"/>
      <c r="I1111" s="1060" t="s">
        <v>1059</v>
      </c>
      <c r="J1111" s="1086" t="s">
        <v>2146</v>
      </c>
      <c r="K1111" s="1002" t="str">
        <f>IF(I!K1111="","",$D$2*I!K1111)</f>
        <v/>
      </c>
      <c r="L1111" s="981"/>
      <c r="M1111" s="982"/>
      <c r="N1111" s="1003"/>
      <c r="O1111" s="1004" t="str">
        <f>IF(I!O1111="","",$D$2*I!O1111)</f>
        <v/>
      </c>
      <c r="P1111" s="1005">
        <f>IF(I!P1111="","",$D$2*I!P1111)</f>
        <v>17</v>
      </c>
      <c r="Q1111" s="1006" t="str">
        <f>IF(I!Q1111="","",$D$2*I!Q1111)</f>
        <v/>
      </c>
      <c r="R1111" s="982"/>
      <c r="S1111" s="1003"/>
      <c r="T1111" s="938"/>
      <c r="U1111" s="938"/>
      <c r="V1111" s="938"/>
      <c r="W1111" s="938"/>
      <c r="X1111" s="1091"/>
      <c r="Y1111" s="1091"/>
      <c r="Z1111" s="938"/>
      <c r="AA1111" s="938"/>
      <c r="AB1111" s="938"/>
      <c r="AC1111" s="938"/>
      <c r="AD1111" s="1058"/>
      <c r="AE1111" s="938"/>
      <c r="AF1111" s="938"/>
      <c r="AG1111" s="938"/>
      <c r="AH1111" s="938"/>
    </row>
    <row r="1112" spans="1:34" ht="17.25" customHeight="1" x14ac:dyDescent="0.35">
      <c r="A1112" s="938"/>
      <c r="B1112" s="938"/>
      <c r="C1112" s="941"/>
      <c r="D1112" s="1047"/>
      <c r="E1112" s="941"/>
      <c r="F1112" s="938"/>
      <c r="G1112" s="976">
        <f t="shared" si="19"/>
        <v>1109</v>
      </c>
      <c r="H1112" s="1085"/>
      <c r="I1112" s="1001" t="s">
        <v>1059</v>
      </c>
      <c r="J1112" s="1086" t="s">
        <v>2147</v>
      </c>
      <c r="K1112" s="1002" t="str">
        <f>IF(I!K1112="","",$D$2*I!K1112)</f>
        <v/>
      </c>
      <c r="L1112" s="981"/>
      <c r="M1112" s="982"/>
      <c r="N1112" s="1003"/>
      <c r="O1112" s="1004" t="str">
        <f>IF(I!O1112="","",$D$2*I!O1112)</f>
        <v/>
      </c>
      <c r="P1112" s="1005">
        <f>IF(I!P1112="","",$D$2*I!P1112)</f>
        <v>17</v>
      </c>
      <c r="Q1112" s="1006" t="str">
        <f>IF(I!Q1112="","",$D$2*I!Q1112)</f>
        <v/>
      </c>
      <c r="R1112" s="982"/>
      <c r="S1112" s="1003"/>
      <c r="T1112" s="938"/>
      <c r="U1112" s="938"/>
      <c r="V1112" s="938"/>
      <c r="W1112" s="938"/>
      <c r="X1112" s="1091"/>
      <c r="Y1112" s="1091"/>
      <c r="Z1112" s="938"/>
      <c r="AA1112" s="938"/>
      <c r="AB1112" s="938"/>
      <c r="AC1112" s="938"/>
      <c r="AD1112" s="1058"/>
      <c r="AE1112" s="938"/>
      <c r="AF1112" s="938"/>
      <c r="AG1112" s="938"/>
      <c r="AH1112" s="938"/>
    </row>
    <row r="1113" spans="1:34" ht="17.25" customHeight="1" x14ac:dyDescent="0.35">
      <c r="A1113" s="938"/>
      <c r="B1113" s="938"/>
      <c r="C1113" s="941"/>
      <c r="D1113" s="1047"/>
      <c r="E1113" s="941"/>
      <c r="F1113" s="938"/>
      <c r="G1113" s="976">
        <f t="shared" si="19"/>
        <v>1110</v>
      </c>
      <c r="H1113" s="1085"/>
      <c r="I1113" s="1060" t="s">
        <v>1059</v>
      </c>
      <c r="J1113" s="1086" t="s">
        <v>2148</v>
      </c>
      <c r="K1113" s="1002" t="str">
        <f>IF(I!K1113="","",$D$2*I!K1113)</f>
        <v/>
      </c>
      <c r="L1113" s="981"/>
      <c r="M1113" s="982"/>
      <c r="N1113" s="1003"/>
      <c r="O1113" s="1004" t="str">
        <f>IF(I!O1113="","",$D$2*I!O1113)</f>
        <v/>
      </c>
      <c r="P1113" s="1005">
        <f>IF(I!P1113="","",$D$2*I!P1113)</f>
        <v>17</v>
      </c>
      <c r="Q1113" s="1006" t="str">
        <f>IF(I!Q1113="","",$D$2*I!Q1113)</f>
        <v/>
      </c>
      <c r="R1113" s="982"/>
      <c r="S1113" s="1003"/>
      <c r="T1113" s="938"/>
      <c r="U1113" s="938"/>
      <c r="V1113" s="938"/>
      <c r="W1113" s="938"/>
      <c r="X1113" s="1091"/>
      <c r="Y1113" s="1091"/>
      <c r="Z1113" s="938"/>
      <c r="AA1113" s="938"/>
      <c r="AB1113" s="938"/>
      <c r="AC1113" s="938"/>
      <c r="AD1113" s="1058"/>
      <c r="AE1113" s="938"/>
      <c r="AF1113" s="938"/>
      <c r="AG1113" s="938"/>
      <c r="AH1113" s="938"/>
    </row>
    <row r="1114" spans="1:34" ht="17.25" customHeight="1" x14ac:dyDescent="0.35">
      <c r="A1114" s="938"/>
      <c r="B1114" s="938"/>
      <c r="C1114" s="941"/>
      <c r="D1114" s="1047"/>
      <c r="E1114" s="941"/>
      <c r="F1114" s="938"/>
      <c r="G1114" s="976">
        <f t="shared" si="19"/>
        <v>1111</v>
      </c>
      <c r="H1114" s="1737" t="s">
        <v>2149</v>
      </c>
      <c r="I1114" s="1737"/>
      <c r="J1114" s="1738"/>
      <c r="K1114" s="1002" t="str">
        <f>IF(I!K1114="","",$D$2*I!K1114)</f>
        <v/>
      </c>
      <c r="L1114" s="981"/>
      <c r="M1114" s="982"/>
      <c r="N1114" s="1003"/>
      <c r="O1114" s="1004" t="str">
        <f>IF(I!O1114="","",$D$2*I!O1114)</f>
        <v/>
      </c>
      <c r="P1114" s="1005" t="str">
        <f>IF(I!P1114="","",$D$2*I!P1114)</f>
        <v/>
      </c>
      <c r="Q1114" s="1006" t="str">
        <f>IF(I!Q1114="","",$D$2*I!Q1114)</f>
        <v/>
      </c>
      <c r="R1114" s="982"/>
      <c r="S1114" s="1003"/>
      <c r="T1114" s="938"/>
      <c r="U1114" s="938"/>
      <c r="V1114" s="938"/>
      <c r="W1114" s="938"/>
      <c r="X1114" s="1091"/>
      <c r="Y1114" s="1091"/>
      <c r="Z1114" s="938"/>
      <c r="AA1114" s="938"/>
      <c r="AB1114" s="938"/>
      <c r="AC1114" s="938"/>
      <c r="AD1114" s="1058"/>
      <c r="AE1114" s="938"/>
      <c r="AF1114" s="938"/>
      <c r="AG1114" s="938"/>
      <c r="AH1114" s="938"/>
    </row>
    <row r="1115" spans="1:34" ht="17.25" customHeight="1" x14ac:dyDescent="0.35">
      <c r="A1115" s="938"/>
      <c r="B1115" s="938"/>
      <c r="C1115" s="941"/>
      <c r="D1115" s="1047"/>
      <c r="E1115" s="941"/>
      <c r="F1115" s="938"/>
      <c r="G1115" s="976">
        <f t="shared" si="19"/>
        <v>1112</v>
      </c>
      <c r="H1115" s="1085"/>
      <c r="I1115" s="1060" t="s">
        <v>1059</v>
      </c>
      <c r="J1115" s="1086" t="s">
        <v>2150</v>
      </c>
      <c r="K1115" s="1002" t="str">
        <f>IF(I!K1115="","",$D$2*I!K1115)</f>
        <v/>
      </c>
      <c r="L1115" s="981"/>
      <c r="M1115" s="982"/>
      <c r="N1115" s="1003"/>
      <c r="O1115" s="1004" t="str">
        <f>IF(I!O1115="","",$D$2*I!O1115)</f>
        <v/>
      </c>
      <c r="P1115" s="1005">
        <f>IF(I!P1115="","",$D$2*I!P1115)</f>
        <v>10</v>
      </c>
      <c r="Q1115" s="1006" t="str">
        <f>IF(I!Q1115="","",$D$2*I!Q1115)</f>
        <v/>
      </c>
      <c r="R1115" s="982"/>
      <c r="S1115" s="1003"/>
      <c r="T1115" s="938"/>
      <c r="U1115" s="938"/>
      <c r="V1115" s="938"/>
      <c r="W1115" s="938"/>
      <c r="X1115" s="1091"/>
      <c r="Y1115" s="1091"/>
      <c r="Z1115" s="938"/>
      <c r="AA1115" s="938"/>
      <c r="AB1115" s="938"/>
      <c r="AC1115" s="938"/>
      <c r="AD1115" s="1058"/>
      <c r="AE1115" s="938"/>
      <c r="AF1115" s="938"/>
      <c r="AG1115" s="938"/>
      <c r="AH1115" s="938"/>
    </row>
    <row r="1116" spans="1:34" ht="17.25" customHeight="1" x14ac:dyDescent="0.35">
      <c r="A1116" s="938"/>
      <c r="B1116" s="938"/>
      <c r="C1116" s="941"/>
      <c r="D1116" s="1047"/>
      <c r="E1116" s="941"/>
      <c r="F1116" s="938"/>
      <c r="G1116" s="976">
        <f t="shared" si="19"/>
        <v>1113</v>
      </c>
      <c r="H1116" s="1085"/>
      <c r="I1116" s="1060" t="s">
        <v>1059</v>
      </c>
      <c r="J1116" s="1086" t="s">
        <v>2151</v>
      </c>
      <c r="K1116" s="1002" t="str">
        <f>IF(I!K1116="","",$D$2*I!K1116)</f>
        <v/>
      </c>
      <c r="L1116" s="981"/>
      <c r="M1116" s="982"/>
      <c r="N1116" s="1003"/>
      <c r="O1116" s="1004" t="str">
        <f>IF(I!O1116="","",$D$2*I!O1116)</f>
        <v/>
      </c>
      <c r="P1116" s="1005">
        <f>IF(I!P1116="","",$D$2*I!P1116)</f>
        <v>10</v>
      </c>
      <c r="Q1116" s="1006" t="str">
        <f>IF(I!Q1116="","",$D$2*I!Q1116)</f>
        <v/>
      </c>
      <c r="R1116" s="982"/>
      <c r="S1116" s="1003"/>
      <c r="T1116" s="938"/>
      <c r="U1116" s="938"/>
      <c r="V1116" s="938"/>
      <c r="W1116" s="938"/>
      <c r="X1116" s="1091"/>
      <c r="Y1116" s="1091"/>
      <c r="Z1116" s="938"/>
      <c r="AA1116" s="938"/>
      <c r="AB1116" s="938"/>
      <c r="AC1116" s="938"/>
      <c r="AD1116" s="1058"/>
      <c r="AE1116" s="938"/>
      <c r="AF1116" s="938"/>
      <c r="AG1116" s="938"/>
      <c r="AH1116" s="938"/>
    </row>
    <row r="1117" spans="1:34" ht="17.25" customHeight="1" x14ac:dyDescent="0.35">
      <c r="A1117" s="938"/>
      <c r="B1117" s="938"/>
      <c r="C1117" s="941"/>
      <c r="D1117" s="1047"/>
      <c r="E1117" s="941"/>
      <c r="F1117" s="938"/>
      <c r="G1117" s="976">
        <f t="shared" si="19"/>
        <v>1114</v>
      </c>
      <c r="H1117" s="1085"/>
      <c r="I1117" s="1060" t="s">
        <v>1059</v>
      </c>
      <c r="J1117" s="1086" t="s">
        <v>2152</v>
      </c>
      <c r="K1117" s="1002" t="str">
        <f>IF(I!K1117="","",$D$2*I!K1117)</f>
        <v/>
      </c>
      <c r="L1117" s="981"/>
      <c r="M1117" s="982"/>
      <c r="N1117" s="1003"/>
      <c r="O1117" s="1004" t="str">
        <f>IF(I!O1117="","",$D$2*I!O1117)</f>
        <v/>
      </c>
      <c r="P1117" s="1005">
        <f>IF(I!P1117="","",$D$2*I!P1117)</f>
        <v>10</v>
      </c>
      <c r="Q1117" s="1006" t="str">
        <f>IF(I!Q1117="","",$D$2*I!Q1117)</f>
        <v/>
      </c>
      <c r="R1117" s="982"/>
      <c r="S1117" s="1003"/>
      <c r="T1117" s="938"/>
      <c r="U1117" s="938"/>
      <c r="V1117" s="938"/>
      <c r="W1117" s="938"/>
      <c r="X1117" s="1091"/>
      <c r="Y1117" s="1091"/>
      <c r="Z1117" s="938"/>
      <c r="AA1117" s="938"/>
      <c r="AB1117" s="938"/>
      <c r="AC1117" s="938"/>
      <c r="AD1117" s="1058"/>
      <c r="AE1117" s="938"/>
      <c r="AF1117" s="938"/>
      <c r="AG1117" s="938"/>
      <c r="AH1117" s="938"/>
    </row>
    <row r="1118" spans="1:34" ht="17.25" customHeight="1" x14ac:dyDescent="0.35">
      <c r="A1118" s="938"/>
      <c r="B1118" s="938"/>
      <c r="C1118" s="941"/>
      <c r="D1118" s="1047"/>
      <c r="E1118" s="941"/>
      <c r="F1118" s="938"/>
      <c r="G1118" s="976">
        <f t="shared" si="19"/>
        <v>1115</v>
      </c>
      <c r="H1118" s="1085"/>
      <c r="I1118" s="1060" t="s">
        <v>1059</v>
      </c>
      <c r="J1118" s="1086" t="s">
        <v>2153</v>
      </c>
      <c r="K1118" s="1002" t="str">
        <f>IF(I!K1118="","",$D$2*I!K1118)</f>
        <v/>
      </c>
      <c r="L1118" s="981"/>
      <c r="M1118" s="982"/>
      <c r="N1118" s="1003"/>
      <c r="O1118" s="1004" t="str">
        <f>IF(I!O1118="","",$D$2*I!O1118)</f>
        <v/>
      </c>
      <c r="P1118" s="1005">
        <f>IF(I!P1118="","",$D$2*I!P1118)</f>
        <v>10</v>
      </c>
      <c r="Q1118" s="1006" t="str">
        <f>IF(I!Q1118="","",$D$2*I!Q1118)</f>
        <v/>
      </c>
      <c r="R1118" s="982"/>
      <c r="S1118" s="1003"/>
      <c r="T1118" s="938"/>
      <c r="U1118" s="938"/>
      <c r="V1118" s="938"/>
      <c r="W1118" s="938"/>
      <c r="X1118" s="1091"/>
      <c r="Y1118" s="1091"/>
      <c r="Z1118" s="938"/>
      <c r="AA1118" s="938"/>
      <c r="AB1118" s="938"/>
      <c r="AC1118" s="938"/>
      <c r="AD1118" s="1058"/>
      <c r="AE1118" s="938"/>
      <c r="AF1118" s="938"/>
      <c r="AG1118" s="938"/>
      <c r="AH1118" s="938"/>
    </row>
    <row r="1119" spans="1:34" ht="17.25" customHeight="1" x14ac:dyDescent="0.35">
      <c r="A1119" s="938"/>
      <c r="B1119" s="938"/>
      <c r="C1119" s="941"/>
      <c r="D1119" s="1047"/>
      <c r="E1119" s="941"/>
      <c r="F1119" s="938"/>
      <c r="G1119" s="976">
        <f t="shared" si="19"/>
        <v>1116</v>
      </c>
      <c r="H1119" s="1085"/>
      <c r="I1119" s="1060" t="s">
        <v>1059</v>
      </c>
      <c r="J1119" s="1086" t="s">
        <v>2154</v>
      </c>
      <c r="K1119" s="1002" t="str">
        <f>IF(I!K1119="","",$D$2*I!K1119)</f>
        <v/>
      </c>
      <c r="L1119" s="981"/>
      <c r="M1119" s="982"/>
      <c r="N1119" s="1003"/>
      <c r="O1119" s="1004" t="str">
        <f>IF(I!O1119="","",$D$2*I!O1119)</f>
        <v/>
      </c>
      <c r="P1119" s="1005">
        <f>IF(I!P1119="","",$D$2*I!P1119)</f>
        <v>10</v>
      </c>
      <c r="Q1119" s="1006" t="str">
        <f>IF(I!Q1119="","",$D$2*I!Q1119)</f>
        <v/>
      </c>
      <c r="R1119" s="982"/>
      <c r="S1119" s="1003"/>
      <c r="T1119" s="938"/>
      <c r="U1119" s="938"/>
      <c r="V1119" s="938"/>
      <c r="W1119" s="938"/>
      <c r="X1119" s="1091"/>
      <c r="Y1119" s="1091"/>
      <c r="Z1119" s="938"/>
      <c r="AA1119" s="938"/>
      <c r="AB1119" s="938"/>
      <c r="AC1119" s="938"/>
      <c r="AD1119" s="1058"/>
      <c r="AE1119" s="938"/>
      <c r="AF1119" s="938"/>
      <c r="AG1119" s="938"/>
      <c r="AH1119" s="938"/>
    </row>
    <row r="1120" spans="1:34" ht="17.25" customHeight="1" x14ac:dyDescent="0.35">
      <c r="A1120" s="938"/>
      <c r="B1120" s="938"/>
      <c r="C1120" s="941"/>
      <c r="D1120" s="1047"/>
      <c r="E1120" s="941"/>
      <c r="F1120" s="938"/>
      <c r="G1120" s="976">
        <f t="shared" si="19"/>
        <v>1117</v>
      </c>
      <c r="H1120" s="1085"/>
      <c r="I1120" s="1060" t="s">
        <v>1059</v>
      </c>
      <c r="J1120" s="1086" t="s">
        <v>2155</v>
      </c>
      <c r="K1120" s="1002" t="str">
        <f>IF(I!K1120="","",$D$2*I!K1120)</f>
        <v/>
      </c>
      <c r="L1120" s="981"/>
      <c r="M1120" s="982"/>
      <c r="N1120" s="1003"/>
      <c r="O1120" s="1004" t="str">
        <f>IF(I!O1120="","",$D$2*I!O1120)</f>
        <v/>
      </c>
      <c r="P1120" s="1005">
        <f>IF(I!P1120="","",$D$2*I!P1120)</f>
        <v>10</v>
      </c>
      <c r="Q1120" s="1006" t="str">
        <f>IF(I!Q1120="","",$D$2*I!Q1120)</f>
        <v/>
      </c>
      <c r="R1120" s="982"/>
      <c r="S1120" s="1003"/>
      <c r="T1120" s="938"/>
      <c r="U1120" s="938"/>
      <c r="V1120" s="938"/>
      <c r="W1120" s="938"/>
      <c r="X1120" s="1091"/>
      <c r="Y1120" s="1091"/>
      <c r="Z1120" s="938"/>
      <c r="AA1120" s="938"/>
      <c r="AB1120" s="938"/>
      <c r="AC1120" s="938"/>
      <c r="AD1120" s="1058"/>
      <c r="AE1120" s="938"/>
      <c r="AF1120" s="938"/>
      <c r="AG1120" s="938"/>
      <c r="AH1120" s="938"/>
    </row>
    <row r="1121" spans="1:34" ht="17.25" customHeight="1" x14ac:dyDescent="0.35">
      <c r="A1121" s="938"/>
      <c r="B1121" s="938"/>
      <c r="C1121" s="941"/>
      <c r="D1121" s="1047"/>
      <c r="E1121" s="941"/>
      <c r="F1121" s="938"/>
      <c r="G1121" s="976">
        <f t="shared" si="19"/>
        <v>1118</v>
      </c>
      <c r="H1121" s="1085"/>
      <c r="I1121" s="1060" t="s">
        <v>1059</v>
      </c>
      <c r="J1121" s="1086" t="s">
        <v>2156</v>
      </c>
      <c r="K1121" s="1002" t="str">
        <f>IF(I!K1121="","",$D$2*I!K1121)</f>
        <v/>
      </c>
      <c r="L1121" s="981"/>
      <c r="M1121" s="982"/>
      <c r="N1121" s="1003"/>
      <c r="O1121" s="1004" t="str">
        <f>IF(I!O1121="","",$D$2*I!O1121)</f>
        <v/>
      </c>
      <c r="P1121" s="1005">
        <f>IF(I!P1121="","",$D$2*I!P1121)</f>
        <v>10</v>
      </c>
      <c r="Q1121" s="1006" t="str">
        <f>IF(I!Q1121="","",$D$2*I!Q1121)</f>
        <v/>
      </c>
      <c r="R1121" s="982"/>
      <c r="S1121" s="1003"/>
      <c r="T1121" s="938"/>
      <c r="U1121" s="938"/>
      <c r="V1121" s="938"/>
      <c r="W1121" s="938"/>
      <c r="X1121" s="1091"/>
      <c r="Y1121" s="1091"/>
      <c r="Z1121" s="938"/>
      <c r="AA1121" s="938"/>
      <c r="AB1121" s="938"/>
      <c r="AC1121" s="938"/>
      <c r="AD1121" s="1058"/>
      <c r="AE1121" s="938"/>
      <c r="AF1121" s="938"/>
      <c r="AG1121" s="938"/>
      <c r="AH1121" s="938"/>
    </row>
    <row r="1122" spans="1:34" ht="17.25" customHeight="1" x14ac:dyDescent="0.35">
      <c r="A1122" s="938"/>
      <c r="B1122" s="938"/>
      <c r="C1122" s="941"/>
      <c r="D1122" s="1047"/>
      <c r="E1122" s="941"/>
      <c r="F1122" s="938"/>
      <c r="G1122" s="976">
        <f t="shared" si="19"/>
        <v>1119</v>
      </c>
      <c r="H1122" s="1085"/>
      <c r="I1122" s="1060" t="s">
        <v>1059</v>
      </c>
      <c r="J1122" s="1086" t="s">
        <v>2157</v>
      </c>
      <c r="K1122" s="1002" t="str">
        <f>IF(I!K1122="","",$D$2*I!K1122)</f>
        <v/>
      </c>
      <c r="L1122" s="981"/>
      <c r="M1122" s="982"/>
      <c r="N1122" s="1003"/>
      <c r="O1122" s="1004" t="str">
        <f>IF(I!O1122="","",$D$2*I!O1122)</f>
        <v/>
      </c>
      <c r="P1122" s="1005">
        <f>IF(I!P1122="","",$D$2*I!P1122)</f>
        <v>10</v>
      </c>
      <c r="Q1122" s="1006" t="str">
        <f>IF(I!Q1122="","",$D$2*I!Q1122)</f>
        <v/>
      </c>
      <c r="R1122" s="982"/>
      <c r="S1122" s="1003"/>
      <c r="T1122" s="938"/>
      <c r="U1122" s="938"/>
      <c r="V1122" s="938"/>
      <c r="W1122" s="938"/>
      <c r="X1122" s="1091"/>
      <c r="Y1122" s="1091"/>
      <c r="Z1122" s="938"/>
      <c r="AA1122" s="938"/>
      <c r="AB1122" s="938"/>
      <c r="AC1122" s="938"/>
      <c r="AD1122" s="1058"/>
      <c r="AE1122" s="938"/>
      <c r="AF1122" s="938"/>
      <c r="AG1122" s="938"/>
      <c r="AH1122" s="938"/>
    </row>
    <row r="1123" spans="1:34" ht="17.25" customHeight="1" x14ac:dyDescent="0.35">
      <c r="A1123" s="938"/>
      <c r="B1123" s="938"/>
      <c r="C1123" s="941"/>
      <c r="D1123" s="1047"/>
      <c r="E1123" s="941"/>
      <c r="F1123" s="938"/>
      <c r="G1123" s="1092">
        <f t="shared" si="19"/>
        <v>1120</v>
      </c>
      <c r="H1123" s="1085"/>
      <c r="I1123" s="1060" t="s">
        <v>1059</v>
      </c>
      <c r="J1123" s="1086" t="s">
        <v>2158</v>
      </c>
      <c r="K1123" s="1002" t="str">
        <f>IF(I!K1123="","",$D$2*I!K1123)</f>
        <v/>
      </c>
      <c r="L1123" s="981"/>
      <c r="M1123" s="982"/>
      <c r="N1123" s="1003"/>
      <c r="O1123" s="1004" t="str">
        <f>IF(I!O1123="","",$D$2*I!O1123)</f>
        <v/>
      </c>
      <c r="P1123" s="1005">
        <f>IF(I!P1123="","",$D$2*I!P1123)</f>
        <v>10</v>
      </c>
      <c r="Q1123" s="1006" t="str">
        <f>IF(I!Q1123="","",$D$2*I!Q1123)</f>
        <v/>
      </c>
      <c r="R1123" s="982"/>
      <c r="S1123" s="1003"/>
      <c r="T1123" s="938"/>
      <c r="U1123" s="938"/>
      <c r="V1123" s="938"/>
      <c r="W1123" s="938"/>
      <c r="X1123" s="1091"/>
      <c r="Y1123" s="1091"/>
      <c r="Z1123" s="938"/>
      <c r="AA1123" s="938"/>
      <c r="AB1123" s="938"/>
      <c r="AC1123" s="938"/>
      <c r="AD1123" s="1058"/>
      <c r="AE1123" s="938"/>
      <c r="AF1123" s="938"/>
      <c r="AG1123" s="938"/>
      <c r="AH1123" s="938"/>
    </row>
    <row r="1124" spans="1:34" ht="17.25" customHeight="1" thickBot="1" x14ac:dyDescent="0.4">
      <c r="A1124" s="938"/>
      <c r="B1124" s="938"/>
      <c r="C1124" s="941"/>
      <c r="D1124" s="1047"/>
      <c r="E1124" s="941"/>
      <c r="F1124" s="938"/>
      <c r="G1124" s="1093"/>
      <c r="H1124" s="1094"/>
      <c r="I1124" s="1095" t="s">
        <v>1059</v>
      </c>
      <c r="J1124" s="1095"/>
      <c r="K1124" s="1096"/>
      <c r="L1124" s="981"/>
      <c r="M1124" s="982"/>
      <c r="N1124" s="1003"/>
      <c r="O1124" s="1004" t="str">
        <f>IF(I!O1124="","",$D$2*I!O1124)</f>
        <v/>
      </c>
      <c r="P1124" s="1005" t="str">
        <f>IF(I!P1124="","",$D$2*I!P1124)</f>
        <v/>
      </c>
      <c r="Q1124" s="1006" t="str">
        <f>IF(I!Q1124="","",$D$2*I!Q1124)</f>
        <v/>
      </c>
      <c r="R1124" s="982"/>
      <c r="S1124" s="1003"/>
      <c r="T1124" s="938"/>
      <c r="U1124" s="938"/>
      <c r="V1124" s="938"/>
      <c r="W1124" s="938"/>
      <c r="X1124" s="1091"/>
      <c r="Y1124" s="1091"/>
      <c r="Z1124" s="938"/>
      <c r="AA1124" s="938"/>
      <c r="AB1124" s="938"/>
      <c r="AC1124" s="938"/>
      <c r="AD1124" s="1058"/>
      <c r="AE1124" s="938"/>
      <c r="AF1124" s="938"/>
      <c r="AG1124" s="938"/>
      <c r="AH1124" s="938"/>
    </row>
    <row r="1125" spans="1:34" ht="17.25" customHeight="1" x14ac:dyDescent="0.35">
      <c r="A1125" s="938"/>
      <c r="B1125" s="938"/>
      <c r="C1125" s="941"/>
      <c r="D1125" s="1047"/>
      <c r="E1125" s="941"/>
      <c r="F1125" s="938"/>
      <c r="G1125" s="938"/>
      <c r="H1125" s="938"/>
      <c r="I1125" s="941"/>
      <c r="J1125" s="941"/>
      <c r="K1125" s="1047"/>
      <c r="L1125" s="1097"/>
      <c r="M1125" s="1098"/>
      <c r="N1125" s="1047"/>
      <c r="O1125" s="1047"/>
      <c r="P1125" s="1047"/>
      <c r="Q1125" s="1097"/>
      <c r="R1125" s="1098"/>
      <c r="S1125" s="1047"/>
      <c r="T1125" s="938"/>
      <c r="U1125" s="938"/>
      <c r="V1125" s="938"/>
      <c r="W1125" s="938"/>
      <c r="X1125" s="1091"/>
      <c r="Y1125" s="1091"/>
      <c r="Z1125" s="938"/>
      <c r="AA1125" s="938"/>
      <c r="AB1125" s="938"/>
      <c r="AC1125" s="938"/>
      <c r="AD1125" s="1058"/>
      <c r="AE1125" s="938"/>
      <c r="AF1125" s="938"/>
      <c r="AG1125" s="938"/>
      <c r="AH1125" s="938"/>
    </row>
    <row r="1126" spans="1:34" ht="17.25" customHeight="1" x14ac:dyDescent="0.35">
      <c r="A1126" s="938"/>
      <c r="B1126" s="938"/>
      <c r="C1126" s="941"/>
      <c r="D1126" s="1047"/>
      <c r="E1126" s="941"/>
      <c r="F1126" s="938"/>
      <c r="G1126" s="938"/>
      <c r="H1126" s="938"/>
      <c r="I1126" s="941"/>
      <c r="J1126" s="941"/>
      <c r="K1126" s="1047"/>
      <c r="L1126" s="1097"/>
      <c r="M1126" s="1098"/>
      <c r="N1126" s="1047"/>
      <c r="O1126" s="1047"/>
      <c r="P1126" s="1047"/>
      <c r="Q1126" s="1097"/>
      <c r="R1126" s="1098"/>
      <c r="S1126" s="1047"/>
      <c r="T1126" s="938"/>
      <c r="U1126" s="938"/>
      <c r="V1126" s="938"/>
      <c r="W1126" s="938"/>
      <c r="X1126" s="1091"/>
      <c r="Y1126" s="1091"/>
      <c r="Z1126" s="938"/>
      <c r="AA1126" s="938"/>
      <c r="AB1126" s="938"/>
      <c r="AC1126" s="938"/>
      <c r="AD1126" s="1058"/>
      <c r="AE1126" s="938"/>
      <c r="AF1126" s="938"/>
      <c r="AG1126" s="938"/>
      <c r="AH1126" s="938"/>
    </row>
    <row r="1127" spans="1:34" ht="17.25" customHeight="1" x14ac:dyDescent="0.35">
      <c r="A1127" s="938"/>
      <c r="B1127" s="938"/>
      <c r="C1127" s="941"/>
      <c r="D1127" s="1047"/>
      <c r="E1127" s="941"/>
      <c r="F1127" s="938"/>
      <c r="G1127" s="938"/>
      <c r="H1127" s="938"/>
      <c r="I1127" s="941"/>
      <c r="J1127" s="941"/>
      <c r="K1127" s="1047"/>
      <c r="L1127" s="1097"/>
      <c r="M1127" s="1098"/>
      <c r="N1127" s="1047"/>
      <c r="O1127" s="1047"/>
      <c r="P1127" s="1047"/>
      <c r="Q1127" s="1097"/>
      <c r="R1127" s="1098"/>
      <c r="S1127" s="1047"/>
      <c r="T1127" s="938"/>
      <c r="U1127" s="938"/>
      <c r="V1127" s="938"/>
      <c r="W1127" s="938"/>
      <c r="X1127" s="1091"/>
      <c r="Y1127" s="1091"/>
      <c r="Z1127" s="938"/>
      <c r="AA1127" s="938"/>
      <c r="AB1127" s="938"/>
      <c r="AC1127" s="938"/>
      <c r="AD1127" s="1058"/>
      <c r="AE1127" s="938"/>
      <c r="AF1127" s="938"/>
      <c r="AG1127" s="938"/>
      <c r="AH1127" s="938"/>
    </row>
    <row r="1128" spans="1:34" ht="17.25" customHeight="1" x14ac:dyDescent="0.35">
      <c r="A1128" s="938"/>
      <c r="B1128" s="938"/>
      <c r="C1128" s="941"/>
      <c r="D1128" s="1047"/>
      <c r="E1128" s="941"/>
      <c r="F1128" s="938"/>
      <c r="G1128" s="938"/>
      <c r="H1128" s="938"/>
      <c r="I1128" s="941"/>
      <c r="J1128" s="941"/>
      <c r="K1128" s="1047"/>
      <c r="L1128" s="1097"/>
      <c r="M1128" s="1098"/>
      <c r="N1128" s="1047"/>
      <c r="O1128" s="1047"/>
      <c r="P1128" s="1047"/>
      <c r="Q1128" s="1097"/>
      <c r="R1128" s="1098"/>
      <c r="S1128" s="1047"/>
      <c r="T1128" s="938"/>
      <c r="U1128" s="938"/>
      <c r="V1128" s="938"/>
      <c r="W1128" s="938"/>
      <c r="X1128" s="1091"/>
      <c r="Y1128" s="1091"/>
      <c r="Z1128" s="938"/>
      <c r="AA1128" s="938"/>
      <c r="AB1128" s="938"/>
      <c r="AC1128" s="938"/>
      <c r="AD1128" s="1058"/>
      <c r="AE1128" s="938"/>
      <c r="AF1128" s="938"/>
      <c r="AG1128" s="938"/>
      <c r="AH1128" s="938"/>
    </row>
    <row r="1129" spans="1:34" ht="17.25" customHeight="1" x14ac:dyDescent="0.35">
      <c r="A1129" s="938"/>
      <c r="B1129" s="938"/>
      <c r="C1129" s="941"/>
      <c r="D1129" s="1047"/>
      <c r="E1129" s="941"/>
      <c r="F1129" s="938"/>
      <c r="G1129" s="938"/>
      <c r="H1129" s="938"/>
      <c r="I1129" s="941"/>
      <c r="J1129" s="941"/>
      <c r="K1129" s="1047"/>
      <c r="L1129" s="1097"/>
      <c r="M1129" s="1098"/>
      <c r="N1129" s="1047"/>
      <c r="O1129" s="1047"/>
      <c r="P1129" s="1047"/>
      <c r="Q1129" s="1097"/>
      <c r="R1129" s="1098"/>
      <c r="S1129" s="1047"/>
      <c r="T1129" s="938"/>
      <c r="U1129" s="938"/>
      <c r="V1129" s="938"/>
      <c r="W1129" s="938"/>
      <c r="X1129" s="1091"/>
      <c r="Y1129" s="1091"/>
      <c r="Z1129" s="938"/>
      <c r="AA1129" s="938"/>
      <c r="AB1129" s="938"/>
      <c r="AC1129" s="938"/>
      <c r="AD1129" s="1058"/>
      <c r="AE1129" s="938"/>
      <c r="AF1129" s="938"/>
      <c r="AG1129" s="938"/>
      <c r="AH1129" s="938"/>
    </row>
    <row r="1130" spans="1:34" ht="17.25" customHeight="1" x14ac:dyDescent="0.35">
      <c r="A1130" s="938"/>
      <c r="B1130" s="938"/>
      <c r="C1130" s="941"/>
      <c r="D1130" s="1047"/>
      <c r="E1130" s="941"/>
      <c r="F1130" s="938"/>
      <c r="G1130" s="938"/>
      <c r="H1130" s="938"/>
      <c r="I1130" s="941"/>
      <c r="J1130" s="941"/>
      <c r="K1130" s="1047"/>
      <c r="L1130" s="1097"/>
      <c r="M1130" s="1098"/>
      <c r="N1130" s="1047"/>
      <c r="O1130" s="1047"/>
      <c r="P1130" s="1047"/>
      <c r="Q1130" s="1097"/>
      <c r="R1130" s="1098"/>
      <c r="S1130" s="1047"/>
      <c r="T1130" s="938"/>
      <c r="U1130" s="938"/>
      <c r="V1130" s="938"/>
      <c r="W1130" s="938"/>
      <c r="X1130" s="1091"/>
      <c r="Y1130" s="1091"/>
      <c r="Z1130" s="938"/>
      <c r="AA1130" s="938"/>
      <c r="AB1130" s="938"/>
      <c r="AC1130" s="938"/>
      <c r="AD1130" s="1058"/>
      <c r="AE1130" s="938"/>
      <c r="AF1130" s="938"/>
      <c r="AG1130" s="938"/>
      <c r="AH1130" s="938"/>
    </row>
    <row r="1131" spans="1:34" ht="17.25" customHeight="1" x14ac:dyDescent="0.35">
      <c r="A1131" s="938"/>
      <c r="B1131" s="938"/>
      <c r="C1131" s="941"/>
      <c r="D1131" s="1047"/>
      <c r="E1131" s="941"/>
      <c r="F1131" s="938"/>
      <c r="G1131" s="938"/>
      <c r="H1131" s="938"/>
      <c r="I1131" s="941"/>
      <c r="J1131" s="941"/>
      <c r="K1131" s="1047"/>
      <c r="L1131" s="1097"/>
      <c r="M1131" s="1098"/>
      <c r="N1131" s="1047"/>
      <c r="O1131" s="1047"/>
      <c r="P1131" s="1047"/>
      <c r="Q1131" s="1097"/>
      <c r="R1131" s="1098"/>
      <c r="S1131" s="1047"/>
      <c r="T1131" s="938"/>
      <c r="U1131" s="938"/>
      <c r="V1131" s="938"/>
      <c r="W1131" s="938"/>
      <c r="X1131" s="1091"/>
      <c r="Y1131" s="1091"/>
      <c r="Z1131" s="938"/>
      <c r="AA1131" s="938"/>
      <c r="AB1131" s="938"/>
      <c r="AC1131" s="938"/>
      <c r="AD1131" s="1058"/>
      <c r="AE1131" s="938"/>
      <c r="AF1131" s="938"/>
      <c r="AG1131" s="938"/>
      <c r="AH1131" s="938"/>
    </row>
    <row r="1132" spans="1:34" ht="17.25" customHeight="1" x14ac:dyDescent="0.35">
      <c r="A1132" s="938"/>
      <c r="B1132" s="938"/>
      <c r="C1132" s="941"/>
      <c r="D1132" s="1047"/>
      <c r="E1132" s="941"/>
      <c r="F1132" s="938"/>
      <c r="G1132" s="938"/>
      <c r="H1132" s="938"/>
      <c r="I1132" s="941"/>
      <c r="J1132" s="941"/>
      <c r="K1132" s="1047"/>
      <c r="L1132" s="1097"/>
      <c r="M1132" s="1098"/>
      <c r="N1132" s="1047"/>
      <c r="O1132" s="1047"/>
      <c r="P1132" s="1047"/>
      <c r="Q1132" s="1097"/>
      <c r="R1132" s="1098"/>
      <c r="S1132" s="1047"/>
      <c r="T1132" s="938"/>
      <c r="U1132" s="938"/>
      <c r="V1132" s="938"/>
      <c r="W1132" s="938"/>
      <c r="X1132" s="1091"/>
      <c r="Y1132" s="1091"/>
      <c r="Z1132" s="938"/>
      <c r="AA1132" s="938"/>
      <c r="AB1132" s="938"/>
      <c r="AC1132" s="938"/>
      <c r="AD1132" s="1058"/>
      <c r="AE1132" s="938"/>
      <c r="AF1132" s="938"/>
      <c r="AG1132" s="938"/>
      <c r="AH1132" s="938"/>
    </row>
    <row r="1133" spans="1:34" ht="17.25" customHeight="1" x14ac:dyDescent="0.35">
      <c r="A1133" s="938"/>
      <c r="B1133" s="938"/>
      <c r="C1133" s="941"/>
      <c r="D1133" s="1047"/>
      <c r="E1133" s="941"/>
      <c r="F1133" s="938"/>
      <c r="G1133" s="938"/>
      <c r="H1133" s="938"/>
      <c r="I1133" s="941"/>
      <c r="J1133" s="941"/>
      <c r="K1133" s="1047"/>
      <c r="L1133" s="1097"/>
      <c r="M1133" s="1098"/>
      <c r="N1133" s="1047"/>
      <c r="O1133" s="1047"/>
      <c r="P1133" s="1047"/>
      <c r="Q1133" s="1097"/>
      <c r="R1133" s="1098"/>
      <c r="S1133" s="1047"/>
      <c r="T1133" s="938"/>
      <c r="U1133" s="938"/>
      <c r="V1133" s="938"/>
      <c r="W1133" s="938"/>
      <c r="X1133" s="1091"/>
      <c r="Y1133" s="1091"/>
      <c r="Z1133" s="938"/>
      <c r="AA1133" s="938"/>
      <c r="AB1133" s="938"/>
      <c r="AC1133" s="938"/>
      <c r="AD1133" s="1058"/>
      <c r="AE1133" s="938"/>
      <c r="AF1133" s="938"/>
      <c r="AG1133" s="938"/>
      <c r="AH1133" s="938"/>
    </row>
    <row r="1134" spans="1:34" ht="17.25" customHeight="1" x14ac:dyDescent="0.35">
      <c r="A1134" s="938"/>
      <c r="B1134" s="938"/>
      <c r="C1134" s="941"/>
      <c r="D1134" s="1047"/>
      <c r="E1134" s="941"/>
      <c r="F1134" s="938"/>
      <c r="G1134" s="938"/>
      <c r="H1134" s="938"/>
      <c r="I1134" s="941"/>
      <c r="J1134" s="941"/>
      <c r="K1134" s="1047"/>
      <c r="L1134" s="1097"/>
      <c r="M1134" s="1098"/>
      <c r="N1134" s="1047"/>
      <c r="O1134" s="1047"/>
      <c r="P1134" s="1047"/>
      <c r="Q1134" s="1097"/>
      <c r="R1134" s="1098"/>
      <c r="S1134" s="1047"/>
      <c r="T1134" s="938"/>
      <c r="U1134" s="938"/>
      <c r="V1134" s="938"/>
      <c r="W1134" s="938"/>
      <c r="X1134" s="1091"/>
      <c r="Y1134" s="1091"/>
      <c r="Z1134" s="938"/>
      <c r="AA1134" s="938"/>
      <c r="AB1134" s="938"/>
      <c r="AC1134" s="938"/>
      <c r="AD1134" s="1058"/>
      <c r="AE1134" s="938"/>
      <c r="AF1134" s="938"/>
      <c r="AG1134" s="938"/>
      <c r="AH1134" s="938"/>
    </row>
    <row r="1135" spans="1:34" ht="17.25" customHeight="1" x14ac:dyDescent="0.35">
      <c r="A1135" s="938"/>
      <c r="B1135" s="938"/>
      <c r="C1135" s="941"/>
      <c r="D1135" s="1047"/>
      <c r="E1135" s="941"/>
      <c r="F1135" s="938"/>
      <c r="G1135" s="938"/>
      <c r="H1135" s="938"/>
      <c r="I1135" s="941"/>
      <c r="J1135" s="941"/>
      <c r="K1135" s="1047"/>
      <c r="L1135" s="1097"/>
      <c r="M1135" s="1098"/>
      <c r="N1135" s="1047"/>
      <c r="O1135" s="1047"/>
      <c r="P1135" s="1047"/>
      <c r="Q1135" s="1097"/>
      <c r="R1135" s="1098"/>
      <c r="S1135" s="1047"/>
      <c r="T1135" s="938"/>
      <c r="U1135" s="938"/>
      <c r="V1135" s="938"/>
      <c r="W1135" s="938"/>
      <c r="X1135" s="1091"/>
      <c r="Y1135" s="1091"/>
      <c r="Z1135" s="938"/>
      <c r="AA1135" s="938"/>
      <c r="AB1135" s="938"/>
      <c r="AC1135" s="938"/>
      <c r="AD1135" s="1058"/>
      <c r="AE1135" s="938"/>
      <c r="AF1135" s="938"/>
      <c r="AG1135" s="938"/>
      <c r="AH1135" s="938"/>
    </row>
  </sheetData>
  <sheetProtection algorithmName="SHA-512" hashValue="bZbUq2prejUrPjNEh6is+LrHlksznh1PP1mct5ST3m1FtZbTg+BHQIW3bJpfq2PD4RJndo9D8BaeT1GMtAtiqw==" saltValue="BvwlbfF59Cj5paks56W24g==" spinCount="100000" sheet="1" objects="1" scenarios="1"/>
  <mergeCells count="17">
    <mergeCell ref="AD2:AE2"/>
    <mergeCell ref="AF2:AG2"/>
    <mergeCell ref="AK2:AN2"/>
    <mergeCell ref="AK1:AM1"/>
    <mergeCell ref="B1:J1"/>
    <mergeCell ref="H1114:J1114"/>
    <mergeCell ref="Q2:S2"/>
    <mergeCell ref="AC4:AE4"/>
    <mergeCell ref="AB3:AH3"/>
    <mergeCell ref="AD32:AG32"/>
    <mergeCell ref="AF4:AF5"/>
    <mergeCell ref="AG4:AG5"/>
    <mergeCell ref="AH4:AH5"/>
    <mergeCell ref="L2:M2"/>
    <mergeCell ref="N2:O2"/>
    <mergeCell ref="W2:X2"/>
    <mergeCell ref="Y2:Z2"/>
  </mergeCells>
  <pageMargins left="0.7" right="0.7" top="0.75" bottom="0.75" header="0.3" footer="0.3"/>
  <pageSetup paperSize="9" orientation="portrait" horizontalDpi="360" verticalDpi="360" r:id="rId1"/>
  <drawing r:id="rId2"/>
  <legacyDrawing r:id="rId3"/>
  <mc:AlternateContent xmlns:mc="http://schemas.openxmlformats.org/markup-compatibility/2006">
    <mc:Choice Requires="x14">
      <controls>
        <mc:AlternateContent xmlns:mc="http://schemas.openxmlformats.org/markup-compatibility/2006">
          <mc:Choice Requires="x14">
            <control shapeId="81921" r:id="rId4" name="Drop Down 1">
              <controlPr defaultSize="0" autoLine="0" autoPict="0">
                <anchor moveWithCells="1">
                  <from>
                    <xdr:col>1</xdr:col>
                    <xdr:colOff>12700</xdr:colOff>
                    <xdr:row>3</xdr:row>
                    <xdr:rowOff>25400</xdr:rowOff>
                  </from>
                  <to>
                    <xdr:col>2</xdr:col>
                    <xdr:colOff>12700</xdr:colOff>
                    <xdr:row>4</xdr:row>
                    <xdr:rowOff>0</xdr:rowOff>
                  </to>
                </anchor>
              </controlPr>
            </control>
          </mc:Choice>
        </mc:AlternateContent>
        <mc:AlternateContent xmlns:mc="http://schemas.openxmlformats.org/markup-compatibility/2006">
          <mc:Choice Requires="x14">
            <control shapeId="81967" r:id="rId5" name="Drop Down 47">
              <controlPr defaultSize="0" autoLine="0" autoPict="0">
                <anchor moveWithCells="1">
                  <from>
                    <xdr:col>1</xdr:col>
                    <xdr:colOff>12700</xdr:colOff>
                    <xdr:row>16</xdr:row>
                    <xdr:rowOff>25400</xdr:rowOff>
                  </from>
                  <to>
                    <xdr:col>2</xdr:col>
                    <xdr:colOff>0</xdr:colOff>
                    <xdr:row>17</xdr:row>
                    <xdr:rowOff>0</xdr:rowOff>
                  </to>
                </anchor>
              </controlPr>
            </control>
          </mc:Choice>
        </mc:AlternateContent>
        <mc:AlternateContent xmlns:mc="http://schemas.openxmlformats.org/markup-compatibility/2006">
          <mc:Choice Requires="x14">
            <control shapeId="81975" r:id="rId6" name="Drop Down 55">
              <controlPr defaultSize="0" autoLine="0" autoPict="0">
                <anchor moveWithCells="1">
                  <from>
                    <xdr:col>1</xdr:col>
                    <xdr:colOff>12700</xdr:colOff>
                    <xdr:row>19</xdr:row>
                    <xdr:rowOff>215900</xdr:rowOff>
                  </from>
                  <to>
                    <xdr:col>2</xdr:col>
                    <xdr:colOff>12700</xdr:colOff>
                    <xdr:row>21</xdr:row>
                    <xdr:rowOff>12700</xdr:rowOff>
                  </to>
                </anchor>
              </controlPr>
            </control>
          </mc:Choice>
        </mc:AlternateContent>
        <mc:AlternateContent xmlns:mc="http://schemas.openxmlformats.org/markup-compatibility/2006">
          <mc:Choice Requires="x14">
            <control shapeId="81982" r:id="rId7" name="Drop Down 62">
              <controlPr defaultSize="0" autoLine="0" autoPict="0">
                <anchor moveWithCells="1">
                  <from>
                    <xdr:col>1</xdr:col>
                    <xdr:colOff>12700</xdr:colOff>
                    <xdr:row>22</xdr:row>
                    <xdr:rowOff>0</xdr:rowOff>
                  </from>
                  <to>
                    <xdr:col>2</xdr:col>
                    <xdr:colOff>12700</xdr:colOff>
                    <xdr:row>23</xdr:row>
                    <xdr:rowOff>12700</xdr:rowOff>
                  </to>
                </anchor>
              </controlPr>
            </control>
          </mc:Choice>
        </mc:AlternateContent>
        <mc:AlternateContent xmlns:mc="http://schemas.openxmlformats.org/markup-compatibility/2006">
          <mc:Choice Requires="x14">
            <control shapeId="81983" r:id="rId8" name="Drop Down 63">
              <controlPr defaultSize="0" autoLine="0" autoPict="0">
                <anchor moveWithCells="1">
                  <from>
                    <xdr:col>1</xdr:col>
                    <xdr:colOff>12700</xdr:colOff>
                    <xdr:row>21</xdr:row>
                    <xdr:rowOff>0</xdr:rowOff>
                  </from>
                  <to>
                    <xdr:col>2</xdr:col>
                    <xdr:colOff>12700</xdr:colOff>
                    <xdr:row>22</xdr:row>
                    <xdr:rowOff>12700</xdr:rowOff>
                  </to>
                </anchor>
              </controlPr>
            </control>
          </mc:Choice>
        </mc:AlternateContent>
        <mc:AlternateContent xmlns:mc="http://schemas.openxmlformats.org/markup-compatibility/2006">
          <mc:Choice Requires="x14">
            <control shapeId="81984" r:id="rId9" name="Drop Down 64">
              <controlPr defaultSize="0" autoLine="0" autoPict="0">
                <anchor moveWithCells="1">
                  <from>
                    <xdr:col>1</xdr:col>
                    <xdr:colOff>25400</xdr:colOff>
                    <xdr:row>19</xdr:row>
                    <xdr:rowOff>12700</xdr:rowOff>
                  </from>
                  <to>
                    <xdr:col>2</xdr:col>
                    <xdr:colOff>12700</xdr:colOff>
                    <xdr:row>20</xdr:row>
                    <xdr:rowOff>0</xdr:rowOff>
                  </to>
                </anchor>
              </controlPr>
            </control>
          </mc:Choice>
        </mc:AlternateContent>
        <mc:AlternateContent xmlns:mc="http://schemas.openxmlformats.org/markup-compatibility/2006">
          <mc:Choice Requires="x14">
            <control shapeId="81985" r:id="rId10" name="Drop Down 65">
              <controlPr defaultSize="0" autoLine="0" autoPict="0">
                <anchor moveWithCells="1">
                  <from>
                    <xdr:col>1</xdr:col>
                    <xdr:colOff>12700</xdr:colOff>
                    <xdr:row>18</xdr:row>
                    <xdr:rowOff>0</xdr:rowOff>
                  </from>
                  <to>
                    <xdr:col>2</xdr:col>
                    <xdr:colOff>0</xdr:colOff>
                    <xdr:row>19</xdr:row>
                    <xdr:rowOff>0</xdr:rowOff>
                  </to>
                </anchor>
              </controlPr>
            </control>
          </mc:Choice>
        </mc:AlternateContent>
        <mc:AlternateContent xmlns:mc="http://schemas.openxmlformats.org/markup-compatibility/2006">
          <mc:Choice Requires="x14">
            <control shapeId="81986" r:id="rId11" name="Drop Down 66">
              <controlPr defaultSize="0" autoLine="0" autoPict="0">
                <anchor moveWithCells="1">
                  <from>
                    <xdr:col>1</xdr:col>
                    <xdr:colOff>12700</xdr:colOff>
                    <xdr:row>17</xdr:row>
                    <xdr:rowOff>0</xdr:rowOff>
                  </from>
                  <to>
                    <xdr:col>2</xdr:col>
                    <xdr:colOff>12700</xdr:colOff>
                    <xdr:row>18</xdr:row>
                    <xdr:rowOff>0</xdr:rowOff>
                  </to>
                </anchor>
              </controlPr>
            </control>
          </mc:Choice>
        </mc:AlternateContent>
        <mc:AlternateContent xmlns:mc="http://schemas.openxmlformats.org/markup-compatibility/2006">
          <mc:Choice Requires="x14">
            <control shapeId="81987" r:id="rId12" name="Drop Down 67">
              <controlPr defaultSize="0" autoLine="0" autoPict="0">
                <anchor moveWithCells="1">
                  <from>
                    <xdr:col>1</xdr:col>
                    <xdr:colOff>12700</xdr:colOff>
                    <xdr:row>15</xdr:row>
                    <xdr:rowOff>0</xdr:rowOff>
                  </from>
                  <to>
                    <xdr:col>2</xdr:col>
                    <xdr:colOff>0</xdr:colOff>
                    <xdr:row>16</xdr:row>
                    <xdr:rowOff>25400</xdr:rowOff>
                  </to>
                </anchor>
              </controlPr>
            </control>
          </mc:Choice>
        </mc:AlternateContent>
        <mc:AlternateContent xmlns:mc="http://schemas.openxmlformats.org/markup-compatibility/2006">
          <mc:Choice Requires="x14">
            <control shapeId="81988" r:id="rId13" name="Drop Down 68">
              <controlPr defaultSize="0" autoLine="0" autoPict="0">
                <anchor moveWithCells="1">
                  <from>
                    <xdr:col>1</xdr:col>
                    <xdr:colOff>12700</xdr:colOff>
                    <xdr:row>14</xdr:row>
                    <xdr:rowOff>0</xdr:rowOff>
                  </from>
                  <to>
                    <xdr:col>2</xdr:col>
                    <xdr:colOff>0</xdr:colOff>
                    <xdr:row>15</xdr:row>
                    <xdr:rowOff>25400</xdr:rowOff>
                  </to>
                </anchor>
              </controlPr>
            </control>
          </mc:Choice>
        </mc:AlternateContent>
        <mc:AlternateContent xmlns:mc="http://schemas.openxmlformats.org/markup-compatibility/2006">
          <mc:Choice Requires="x14">
            <control shapeId="81989" r:id="rId14" name="Drop Down 69">
              <controlPr defaultSize="0" autoLine="0" autoPict="0">
                <anchor moveWithCells="1">
                  <from>
                    <xdr:col>1</xdr:col>
                    <xdr:colOff>12700</xdr:colOff>
                    <xdr:row>13</xdr:row>
                    <xdr:rowOff>0</xdr:rowOff>
                  </from>
                  <to>
                    <xdr:col>2</xdr:col>
                    <xdr:colOff>25400</xdr:colOff>
                    <xdr:row>14</xdr:row>
                    <xdr:rowOff>25400</xdr:rowOff>
                  </to>
                </anchor>
              </controlPr>
            </control>
          </mc:Choice>
        </mc:AlternateContent>
        <mc:AlternateContent xmlns:mc="http://schemas.openxmlformats.org/markup-compatibility/2006">
          <mc:Choice Requires="x14">
            <control shapeId="81990" r:id="rId15" name="Drop Down 70">
              <controlPr defaultSize="0" autoLine="0" autoPict="0">
                <anchor moveWithCells="1">
                  <from>
                    <xdr:col>1</xdr:col>
                    <xdr:colOff>12700</xdr:colOff>
                    <xdr:row>12</xdr:row>
                    <xdr:rowOff>0</xdr:rowOff>
                  </from>
                  <to>
                    <xdr:col>2</xdr:col>
                    <xdr:colOff>25400</xdr:colOff>
                    <xdr:row>13</xdr:row>
                    <xdr:rowOff>25400</xdr:rowOff>
                  </to>
                </anchor>
              </controlPr>
            </control>
          </mc:Choice>
        </mc:AlternateContent>
        <mc:AlternateContent xmlns:mc="http://schemas.openxmlformats.org/markup-compatibility/2006">
          <mc:Choice Requires="x14">
            <control shapeId="81991" r:id="rId16" name="Drop Down 71">
              <controlPr defaultSize="0" autoLine="0" autoPict="0">
                <anchor moveWithCells="1">
                  <from>
                    <xdr:col>1</xdr:col>
                    <xdr:colOff>12700</xdr:colOff>
                    <xdr:row>11</xdr:row>
                    <xdr:rowOff>0</xdr:rowOff>
                  </from>
                  <to>
                    <xdr:col>2</xdr:col>
                    <xdr:colOff>25400</xdr:colOff>
                    <xdr:row>12</xdr:row>
                    <xdr:rowOff>25400</xdr:rowOff>
                  </to>
                </anchor>
              </controlPr>
            </control>
          </mc:Choice>
        </mc:AlternateContent>
        <mc:AlternateContent xmlns:mc="http://schemas.openxmlformats.org/markup-compatibility/2006">
          <mc:Choice Requires="x14">
            <control shapeId="81992" r:id="rId17" name="Drop Down 72">
              <controlPr defaultSize="0" autoLine="0" autoPict="0">
                <anchor moveWithCells="1">
                  <from>
                    <xdr:col>1</xdr:col>
                    <xdr:colOff>12700</xdr:colOff>
                    <xdr:row>10</xdr:row>
                    <xdr:rowOff>0</xdr:rowOff>
                  </from>
                  <to>
                    <xdr:col>2</xdr:col>
                    <xdr:colOff>25400</xdr:colOff>
                    <xdr:row>11</xdr:row>
                    <xdr:rowOff>25400</xdr:rowOff>
                  </to>
                </anchor>
              </controlPr>
            </control>
          </mc:Choice>
        </mc:AlternateContent>
        <mc:AlternateContent xmlns:mc="http://schemas.openxmlformats.org/markup-compatibility/2006">
          <mc:Choice Requires="x14">
            <control shapeId="81993" r:id="rId18" name="Drop Down 73">
              <controlPr defaultSize="0" autoLine="0" autoPict="0">
                <anchor moveWithCells="1">
                  <from>
                    <xdr:col>1</xdr:col>
                    <xdr:colOff>12700</xdr:colOff>
                    <xdr:row>9</xdr:row>
                    <xdr:rowOff>12700</xdr:rowOff>
                  </from>
                  <to>
                    <xdr:col>2</xdr:col>
                    <xdr:colOff>0</xdr:colOff>
                    <xdr:row>10</xdr:row>
                    <xdr:rowOff>25400</xdr:rowOff>
                  </to>
                </anchor>
              </controlPr>
            </control>
          </mc:Choice>
        </mc:AlternateContent>
        <mc:AlternateContent xmlns:mc="http://schemas.openxmlformats.org/markup-compatibility/2006">
          <mc:Choice Requires="x14">
            <control shapeId="81994" r:id="rId19" name="Drop Down 74">
              <controlPr defaultSize="0" autoLine="0" autoPict="0">
                <anchor moveWithCells="1">
                  <from>
                    <xdr:col>1</xdr:col>
                    <xdr:colOff>12700</xdr:colOff>
                    <xdr:row>8</xdr:row>
                    <xdr:rowOff>0</xdr:rowOff>
                  </from>
                  <to>
                    <xdr:col>2</xdr:col>
                    <xdr:colOff>0</xdr:colOff>
                    <xdr:row>9</xdr:row>
                    <xdr:rowOff>25400</xdr:rowOff>
                  </to>
                </anchor>
              </controlPr>
            </control>
          </mc:Choice>
        </mc:AlternateContent>
        <mc:AlternateContent xmlns:mc="http://schemas.openxmlformats.org/markup-compatibility/2006">
          <mc:Choice Requires="x14">
            <control shapeId="81995" r:id="rId20" name="Drop Down 75">
              <controlPr defaultSize="0" autoLine="0" autoPict="0">
                <anchor moveWithCells="1">
                  <from>
                    <xdr:col>1</xdr:col>
                    <xdr:colOff>12700</xdr:colOff>
                    <xdr:row>7</xdr:row>
                    <xdr:rowOff>0</xdr:rowOff>
                  </from>
                  <to>
                    <xdr:col>2</xdr:col>
                    <xdr:colOff>25400</xdr:colOff>
                    <xdr:row>8</xdr:row>
                    <xdr:rowOff>25400</xdr:rowOff>
                  </to>
                </anchor>
              </controlPr>
            </control>
          </mc:Choice>
        </mc:AlternateContent>
        <mc:AlternateContent xmlns:mc="http://schemas.openxmlformats.org/markup-compatibility/2006">
          <mc:Choice Requires="x14">
            <control shapeId="81996" r:id="rId21" name="Drop Down 76">
              <controlPr defaultSize="0" autoLine="0" autoPict="0">
                <anchor moveWithCells="1">
                  <from>
                    <xdr:col>1</xdr:col>
                    <xdr:colOff>12700</xdr:colOff>
                    <xdr:row>6</xdr:row>
                    <xdr:rowOff>0</xdr:rowOff>
                  </from>
                  <to>
                    <xdr:col>2</xdr:col>
                    <xdr:colOff>25400</xdr:colOff>
                    <xdr:row>7</xdr:row>
                    <xdr:rowOff>25400</xdr:rowOff>
                  </to>
                </anchor>
              </controlPr>
            </control>
          </mc:Choice>
        </mc:AlternateContent>
        <mc:AlternateContent xmlns:mc="http://schemas.openxmlformats.org/markup-compatibility/2006">
          <mc:Choice Requires="x14">
            <control shapeId="81997" r:id="rId22" name="Drop Down 77">
              <controlPr defaultSize="0" autoLine="0" autoPict="0">
                <anchor moveWithCells="1">
                  <from>
                    <xdr:col>1</xdr:col>
                    <xdr:colOff>12700</xdr:colOff>
                    <xdr:row>5</xdr:row>
                    <xdr:rowOff>12700</xdr:rowOff>
                  </from>
                  <to>
                    <xdr:col>2</xdr:col>
                    <xdr:colOff>25400</xdr:colOff>
                    <xdr:row>6</xdr:row>
                    <xdr:rowOff>25400</xdr:rowOff>
                  </to>
                </anchor>
              </controlPr>
            </control>
          </mc:Choice>
        </mc:AlternateContent>
        <mc:AlternateContent xmlns:mc="http://schemas.openxmlformats.org/markup-compatibility/2006">
          <mc:Choice Requires="x14">
            <control shapeId="81998" r:id="rId23" name="Drop Down 78">
              <controlPr defaultSize="0" autoLine="0" autoPict="0">
                <anchor moveWithCells="1">
                  <from>
                    <xdr:col>1</xdr:col>
                    <xdr:colOff>12700</xdr:colOff>
                    <xdr:row>4</xdr:row>
                    <xdr:rowOff>0</xdr:rowOff>
                  </from>
                  <to>
                    <xdr:col>2</xdr:col>
                    <xdr:colOff>25400</xdr:colOff>
                    <xdr:row>5</xdr:row>
                    <xdr:rowOff>25400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51">
    <tabColor rgb="FF00B050"/>
  </sheetPr>
  <dimension ref="A1:T38"/>
  <sheetViews>
    <sheetView zoomScale="90" zoomScaleNormal="90" workbookViewId="0">
      <pane ySplit="2" topLeftCell="A3" activePane="bottomLeft" state="frozen"/>
      <selection sqref="A1:XFD1048576"/>
      <selection pane="bottomLeft" sqref="A1:XFD1048576"/>
    </sheetView>
  </sheetViews>
  <sheetFormatPr defaultColWidth="9.1796875" defaultRowHeight="14.5" x14ac:dyDescent="0.35"/>
  <cols>
    <col min="1" max="1" width="7.81640625" style="1144" customWidth="1"/>
    <col min="2" max="2" width="18.6328125" style="1644" customWidth="1"/>
    <col min="3" max="3" width="88.453125" style="556" customWidth="1"/>
    <col min="4" max="4" width="18.1796875" style="565" customWidth="1"/>
    <col min="5" max="5" width="19.453125" style="1638" customWidth="1"/>
    <col min="6" max="6" width="18" style="1102" customWidth="1"/>
    <col min="7" max="7" width="14" style="556" customWidth="1"/>
    <col min="8" max="8" width="11.453125" style="556" bestFit="1" customWidth="1"/>
    <col min="9" max="9" width="9.1796875" style="1102" customWidth="1"/>
    <col min="10" max="10" width="57.6328125" style="1102" customWidth="1"/>
    <col min="11" max="11" width="17" style="1103" customWidth="1"/>
    <col min="12" max="12" width="20.6328125" style="1103" customWidth="1"/>
    <col min="13" max="13" width="14.81640625" style="1103" customWidth="1"/>
    <col min="14" max="14" width="13.1796875" style="1104" customWidth="1"/>
    <col min="15" max="16" width="12.453125" style="1103" customWidth="1"/>
    <col min="17" max="17" width="9.1796875" style="556"/>
    <col min="18" max="18" width="57.81640625" style="556" customWidth="1"/>
    <col min="19" max="19" width="18.1796875" style="556" customWidth="1"/>
    <col min="20" max="20" width="20.36328125" style="556" customWidth="1"/>
    <col min="21" max="16384" width="9.1796875" style="556"/>
  </cols>
  <sheetData>
    <row r="1" spans="1:20" ht="19.5" customHeight="1" thickBot="1" x14ac:dyDescent="0.4">
      <c r="A1" s="1100"/>
      <c r="C1" s="1633" t="s">
        <v>1040</v>
      </c>
      <c r="D1" s="1703" t="s">
        <v>8414</v>
      </c>
      <c r="E1" s="1704"/>
      <c r="F1" s="554" t="str">
        <f>LOOKUP(' Preparation'!$F$4,Data!$B$2:$B$194,Data!$C$2:$C$194)</f>
        <v>€ (Euro)</v>
      </c>
      <c r="G1" s="1101"/>
    </row>
    <row r="2" spans="1:20" s="1638" customFormat="1" ht="19" thickBot="1" x14ac:dyDescent="0.4">
      <c r="A2" s="1105" t="s">
        <v>82</v>
      </c>
      <c r="B2" s="558" t="s">
        <v>150</v>
      </c>
      <c r="C2" s="558" t="s">
        <v>707</v>
      </c>
      <c r="D2" s="558" t="s">
        <v>224</v>
      </c>
      <c r="E2" s="501" t="s">
        <v>8112</v>
      </c>
      <c r="F2" s="559" t="s">
        <v>225</v>
      </c>
      <c r="G2" s="559" t="s">
        <v>258</v>
      </c>
      <c r="K2" s="1688" t="s">
        <v>8414</v>
      </c>
      <c r="L2" s="1689"/>
      <c r="M2" s="554" t="str">
        <f>LOOKUP(' Preparation'!$F$4,Data!$B$2:$B$194,Data!$C$2:$C$194)</f>
        <v>€ (Euro)</v>
      </c>
      <c r="N2" s="1106"/>
      <c r="O2" s="1107"/>
      <c r="P2" s="1131"/>
    </row>
    <row r="3" spans="1:20" ht="21" customHeight="1" thickBot="1" x14ac:dyDescent="0.4">
      <c r="A3" s="1108"/>
      <c r="C3" s="1109" t="s">
        <v>7550</v>
      </c>
      <c r="D3" s="1110"/>
      <c r="E3" s="1110"/>
      <c r="F3" s="1110"/>
      <c r="G3" s="1111"/>
      <c r="I3" s="1750" t="s">
        <v>7551</v>
      </c>
      <c r="J3" s="1751"/>
      <c r="K3" s="1751"/>
      <c r="L3" s="1751"/>
      <c r="M3" s="1751"/>
      <c r="N3" s="1751"/>
      <c r="O3" s="1756"/>
      <c r="P3" s="1131"/>
      <c r="Q3" s="1750" t="s">
        <v>8950</v>
      </c>
      <c r="R3" s="1751"/>
      <c r="S3" s="1751"/>
      <c r="T3" s="1751"/>
    </row>
    <row r="4" spans="1:20" ht="46" customHeight="1" thickBot="1" x14ac:dyDescent="0.4">
      <c r="A4" s="1112"/>
      <c r="B4" s="563" t="s">
        <v>89</v>
      </c>
      <c r="C4" s="1757" t="s">
        <v>8691</v>
      </c>
      <c r="D4" s="1758"/>
      <c r="E4" s="1758"/>
      <c r="F4" s="1758"/>
      <c r="G4" s="1758"/>
      <c r="I4" s="1113"/>
      <c r="J4" s="754" t="s">
        <v>8299</v>
      </c>
      <c r="K4" s="688" t="s">
        <v>8298</v>
      </c>
      <c r="L4" s="688" t="s">
        <v>8949</v>
      </c>
      <c r="M4" s="688" t="s">
        <v>8371</v>
      </c>
      <c r="N4" s="1114" t="s">
        <v>7129</v>
      </c>
      <c r="O4" s="1115" t="s">
        <v>8372</v>
      </c>
      <c r="P4" s="1131"/>
      <c r="Q4" s="1113"/>
      <c r="R4" s="754" t="s">
        <v>8299</v>
      </c>
      <c r="S4" s="688" t="s">
        <v>8298</v>
      </c>
      <c r="T4" s="688" t="s">
        <v>8949</v>
      </c>
    </row>
    <row r="5" spans="1:20" ht="45" customHeight="1" x14ac:dyDescent="0.35">
      <c r="A5" s="1100" t="s">
        <v>1041</v>
      </c>
      <c r="B5" s="1116" t="s">
        <v>1045</v>
      </c>
      <c r="C5" s="727" t="s">
        <v>8062</v>
      </c>
      <c r="D5" s="1117" t="s">
        <v>1039</v>
      </c>
      <c r="E5" s="1118" t="s">
        <v>721</v>
      </c>
      <c r="F5" s="1904">
        <v>1</v>
      </c>
      <c r="G5" s="446" t="str">
        <f>IF($F$5=1,"",IF($F$5=2,"Goto MD 5","Goto MD 2"))</f>
        <v/>
      </c>
      <c r="I5" s="1113">
        <v>1</v>
      </c>
      <c r="J5" s="1905">
        <v>1</v>
      </c>
      <c r="K5" s="1906"/>
      <c r="L5" s="1119">
        <f>$K5*LOOKUP($J5, 'Idemat Data'!$G$4:$G$1123,'Idemat Data'!$P$4:$P$1123)</f>
        <v>0</v>
      </c>
      <c r="M5" s="1906"/>
      <c r="N5" s="1907"/>
      <c r="O5" s="1119">
        <f>K5*(N5*M5+(1-N5)*L5)</f>
        <v>0</v>
      </c>
      <c r="P5" s="1131"/>
      <c r="Q5" s="1113">
        <v>1</v>
      </c>
      <c r="R5" s="1905">
        <v>1</v>
      </c>
      <c r="S5" s="1906"/>
      <c r="T5" s="1119">
        <f>$K5*LOOKUP($J5, 'Idemat Data'!$G$4:$G$1123,'Idemat Data'!$Q$4:$Q$1123)</f>
        <v>0</v>
      </c>
    </row>
    <row r="6" spans="1:20" ht="45" customHeight="1" thickBot="1" x14ac:dyDescent="0.4">
      <c r="A6" s="1100" t="s">
        <v>1042</v>
      </c>
      <c r="B6" s="1116" t="s">
        <v>8292</v>
      </c>
      <c r="C6" s="727" t="s">
        <v>8936</v>
      </c>
      <c r="D6" s="1117" t="s">
        <v>8283</v>
      </c>
      <c r="E6" s="1118" t="s">
        <v>8292</v>
      </c>
      <c r="F6" s="1904">
        <v>1</v>
      </c>
      <c r="G6" s="446" t="str">
        <f>IF($F$6=1,"",IF($F$6=2,"Goto MD 3","Goto MD 4"))</f>
        <v/>
      </c>
      <c r="I6" s="1120">
        <v>2</v>
      </c>
      <c r="J6" s="1908">
        <v>1</v>
      </c>
      <c r="K6" s="1906"/>
      <c r="L6" s="1119">
        <f>$K6*LOOKUP($J6, 'Idemat Data'!$G$4:$G$1123,'Idemat Data'!$P$4:$P$1123)</f>
        <v>0</v>
      </c>
      <c r="M6" s="1906"/>
      <c r="N6" s="1907"/>
      <c r="O6" s="1119">
        <f>K6*(N6*M6+(1-N6)*L6)</f>
        <v>0</v>
      </c>
      <c r="P6" s="1131"/>
      <c r="Q6" s="1120">
        <v>2</v>
      </c>
      <c r="R6" s="1908">
        <v>1</v>
      </c>
      <c r="S6" s="1906"/>
      <c r="T6" s="1119">
        <f>$K6*LOOKUP($J6, 'Idemat Data'!$G$4:$G$1123,'Idemat Data'!$Q$4:$Q$1123)</f>
        <v>0</v>
      </c>
    </row>
    <row r="7" spans="1:20" ht="47.25" customHeight="1" thickBot="1" x14ac:dyDescent="0.4">
      <c r="A7" s="1100" t="s">
        <v>1043</v>
      </c>
      <c r="B7" s="1116" t="s">
        <v>8294</v>
      </c>
      <c r="C7" s="522" t="s">
        <v>8287</v>
      </c>
      <c r="D7" s="1117" t="s">
        <v>8282</v>
      </c>
      <c r="E7" s="1118" t="s">
        <v>8285</v>
      </c>
      <c r="F7" s="1121" t="str">
        <f>IF($F$6=1,"",IF(AND($F$6=3,$O$19&lt;&gt;0),"","Form virgin materials completed"))</f>
        <v/>
      </c>
      <c r="G7" s="446" t="str">
        <f>IF($F$6=1,"",IF($F$6=2,"Goto MD 7",""))</f>
        <v/>
      </c>
      <c r="I7" s="1120">
        <v>3</v>
      </c>
      <c r="J7" s="1909">
        <v>1</v>
      </c>
      <c r="K7" s="1906"/>
      <c r="L7" s="1119">
        <f>$K7*LOOKUP($J7, 'Idemat Data'!$G$4:$G$1123,'Idemat Data'!$P$4:$P$1123)</f>
        <v>0</v>
      </c>
      <c r="M7" s="1906"/>
      <c r="N7" s="1907"/>
      <c r="O7" s="1119">
        <f t="shared" ref="O7:O17" si="0">K7*(N7*M7+(1-N7)*L7)</f>
        <v>0</v>
      </c>
      <c r="P7" s="1131"/>
      <c r="Q7" s="1120">
        <v>3</v>
      </c>
      <c r="R7" s="1909">
        <v>1</v>
      </c>
      <c r="S7" s="1906"/>
      <c r="T7" s="1119">
        <f>$K7*LOOKUP($J7, 'Idemat Data'!$G$4:$G$1123,'Idemat Data'!$Q$4:$Q$1123)</f>
        <v>0</v>
      </c>
    </row>
    <row r="8" spans="1:20" ht="60.75" customHeight="1" thickBot="1" x14ac:dyDescent="0.4">
      <c r="A8" s="1100" t="s">
        <v>1044</v>
      </c>
      <c r="B8" s="1116" t="s">
        <v>8293</v>
      </c>
      <c r="C8" s="525" t="s">
        <v>8937</v>
      </c>
      <c r="D8" s="1118"/>
      <c r="E8" s="1118" t="s">
        <v>8286</v>
      </c>
      <c r="F8" s="1121" t="str">
        <f>IF(OR($F$5=1,F5=2),"",IF($F$6=2,"","Form completed with background data"))</f>
        <v/>
      </c>
      <c r="G8" s="446" t="str">
        <f>IF(OR($F$6=1,,$F$5=1,$F$5=2),"",IF($F$6=3,"Goto MD 7",""))</f>
        <v/>
      </c>
      <c r="I8" s="1120">
        <v>4</v>
      </c>
      <c r="J8" s="1910">
        <v>1</v>
      </c>
      <c r="K8" s="1906"/>
      <c r="L8" s="1119">
        <f>$K8*LOOKUP($J8, 'Idemat Data'!$G$4:$G$1123,'Idemat Data'!$P$4:$P$1123)</f>
        <v>0</v>
      </c>
      <c r="M8" s="1906"/>
      <c r="N8" s="1907"/>
      <c r="O8" s="1119">
        <f t="shared" si="0"/>
        <v>0</v>
      </c>
      <c r="P8" s="1131"/>
      <c r="Q8" s="1120">
        <v>4</v>
      </c>
      <c r="R8" s="1910">
        <v>1</v>
      </c>
      <c r="S8" s="1906"/>
      <c r="T8" s="1119">
        <f>$K8*LOOKUP($J8, 'Idemat Data'!$G$4:$G$1123,'Idemat Data'!$Q$4:$Q$1123)</f>
        <v>0</v>
      </c>
    </row>
    <row r="9" spans="1:20" ht="46.5" customHeight="1" thickBot="1" x14ac:dyDescent="0.4">
      <c r="A9" s="1100" t="s">
        <v>1048</v>
      </c>
      <c r="B9" s="1122" t="s">
        <v>1047</v>
      </c>
      <c r="C9" s="522" t="s">
        <v>8280</v>
      </c>
      <c r="D9" s="525" t="s">
        <v>76</v>
      </c>
      <c r="E9" s="1118" t="s">
        <v>8063</v>
      </c>
      <c r="F9" s="1121" t="str">
        <f>IF($F$5=1,"",IF($F$5=2,"Form completed with foreground data",""))</f>
        <v/>
      </c>
      <c r="G9" s="446"/>
      <c r="I9" s="1120">
        <v>5</v>
      </c>
      <c r="J9" s="1911">
        <v>1</v>
      </c>
      <c r="K9" s="1906"/>
      <c r="L9" s="1119">
        <f>$K9*LOOKUP($J9, 'Idemat Data'!$G$4:$G$1123,'Idemat Data'!$P$4:$P$1123)</f>
        <v>0</v>
      </c>
      <c r="M9" s="1906"/>
      <c r="N9" s="1907"/>
      <c r="O9" s="1119">
        <f t="shared" si="0"/>
        <v>0</v>
      </c>
      <c r="P9" s="1131"/>
      <c r="Q9" s="1120">
        <v>5</v>
      </c>
      <c r="R9" s="1911">
        <v>1</v>
      </c>
      <c r="S9" s="1906"/>
      <c r="T9" s="1119">
        <f>$K9*LOOKUP($J9, 'Idemat Data'!$G$4:$G$1123,'Idemat Data'!$Q$4:$Q$1123)</f>
        <v>0</v>
      </c>
    </row>
    <row r="10" spans="1:20" ht="61.5" customHeight="1" thickBot="1" x14ac:dyDescent="0.4">
      <c r="A10" s="1100" t="s">
        <v>1049</v>
      </c>
      <c r="B10" s="1122" t="s">
        <v>7536</v>
      </c>
      <c r="C10" s="1123" t="s">
        <v>8665</v>
      </c>
      <c r="D10" s="519" t="s">
        <v>76</v>
      </c>
      <c r="E10" s="1118" t="s">
        <v>8354</v>
      </c>
      <c r="F10" s="1124" t="str">
        <f>IF($F$9&lt;&gt;"","Mitigation costs and % added","")</f>
        <v/>
      </c>
      <c r="G10" s="446"/>
      <c r="I10" s="1120">
        <v>6</v>
      </c>
      <c r="J10" s="1912">
        <v>1</v>
      </c>
      <c r="K10" s="1906"/>
      <c r="L10" s="1119">
        <f>$K10*LOOKUP($J10, 'Idemat Data'!$G$4:$G$1123,'Idemat Data'!$P$4:$P$1123)</f>
        <v>0</v>
      </c>
      <c r="M10" s="1906"/>
      <c r="N10" s="1907"/>
      <c r="O10" s="1119">
        <f t="shared" si="0"/>
        <v>0</v>
      </c>
      <c r="P10" s="1131"/>
      <c r="Q10" s="1120">
        <v>6</v>
      </c>
      <c r="R10" s="1912">
        <v>1</v>
      </c>
      <c r="S10" s="1906"/>
      <c r="T10" s="1119">
        <f>$K10*LOOKUP($J10, 'Idemat Data'!$G$4:$G$1123,'Idemat Data'!$Q$4:$Q$1123)</f>
        <v>0</v>
      </c>
    </row>
    <row r="11" spans="1:20" ht="37.5" customHeight="1" thickBot="1" x14ac:dyDescent="0.4">
      <c r="A11" s="1100" t="s">
        <v>8281</v>
      </c>
      <c r="B11" s="1116" t="s">
        <v>7561</v>
      </c>
      <c r="C11" s="1125" t="s">
        <v>8982</v>
      </c>
      <c r="D11" s="516" t="s">
        <v>7759</v>
      </c>
      <c r="E11" s="1118" t="s">
        <v>8352</v>
      </c>
      <c r="F11" s="1121" t="str">
        <f>IF($F$5=1,"",$O$19)</f>
        <v/>
      </c>
      <c r="G11" s="446"/>
      <c r="I11" s="1120">
        <v>7</v>
      </c>
      <c r="J11" s="1913">
        <v>1</v>
      </c>
      <c r="K11" s="683"/>
      <c r="L11" s="1119">
        <f>$K11*LOOKUP($J11, 'Idemat Data'!$G$4:$G$1123,'Idemat Data'!$P$4:$P$1123)</f>
        <v>0</v>
      </c>
      <c r="M11" s="683"/>
      <c r="N11" s="1914"/>
      <c r="O11" s="981">
        <f t="shared" si="0"/>
        <v>0</v>
      </c>
      <c r="P11" s="708"/>
      <c r="Q11" s="1120">
        <v>7</v>
      </c>
      <c r="R11" s="1913">
        <v>1</v>
      </c>
      <c r="S11" s="683"/>
      <c r="T11" s="1119">
        <f>$K11*LOOKUP($J11, 'Idemat Data'!$G$4:$G$1123,'Idemat Data'!$Q$4:$Q$1123)</f>
        <v>0</v>
      </c>
    </row>
    <row r="12" spans="1:20" s="1629" customFormat="1" ht="35.25" customHeight="1" thickTop="1" thickBot="1" x14ac:dyDescent="0.4">
      <c r="A12" s="1100" t="s">
        <v>8284</v>
      </c>
      <c r="B12" s="1116" t="s">
        <v>1050</v>
      </c>
      <c r="C12" s="1126" t="s">
        <v>2161</v>
      </c>
      <c r="D12" s="1117"/>
      <c r="E12" s="1118" t="s">
        <v>8353</v>
      </c>
      <c r="F12" s="734" t="str">
        <f>IF($F$5=1,"",$F$11)</f>
        <v/>
      </c>
      <c r="G12" s="1127"/>
      <c r="I12" s="1128">
        <v>8</v>
      </c>
      <c r="J12" s="1915">
        <v>1</v>
      </c>
      <c r="K12" s="1906"/>
      <c r="L12" s="1119">
        <f>$K12*LOOKUP($J12, 'Idemat Data'!$G$4:$G$1123,'Idemat Data'!$P$4:$P$1123)</f>
        <v>0</v>
      </c>
      <c r="M12" s="1906"/>
      <c r="N12" s="1907"/>
      <c r="O12" s="1119">
        <f t="shared" si="0"/>
        <v>0</v>
      </c>
      <c r="P12" s="1131"/>
      <c r="Q12" s="1128">
        <v>8</v>
      </c>
      <c r="R12" s="1915">
        <v>1</v>
      </c>
      <c r="S12" s="1906"/>
      <c r="T12" s="1119">
        <f>$K12*LOOKUP($J12, 'Idemat Data'!$G$4:$G$1123,'Idemat Data'!$Q$4:$Q$1123)</f>
        <v>0</v>
      </c>
    </row>
    <row r="13" spans="1:20" ht="23.5" customHeight="1" thickTop="1" x14ac:dyDescent="0.35">
      <c r="A13" s="1100"/>
      <c r="B13" s="1116"/>
      <c r="C13" s="1126"/>
      <c r="D13" s="1117"/>
      <c r="E13" s="1118"/>
      <c r="F13" s="1118"/>
      <c r="G13" s="446"/>
      <c r="I13" s="1120">
        <v>9</v>
      </c>
      <c r="J13" s="1102">
        <v>1</v>
      </c>
      <c r="K13" s="1906"/>
      <c r="L13" s="1119">
        <f>$K13*LOOKUP($J13, 'Idemat Data'!$G$4:$G$1123,'Idemat Data'!$P$4:$P$1123)</f>
        <v>0</v>
      </c>
      <c r="M13" s="1906"/>
      <c r="N13" s="1907"/>
      <c r="O13" s="1119">
        <f t="shared" si="0"/>
        <v>0</v>
      </c>
      <c r="P13" s="1131"/>
      <c r="Q13" s="1120">
        <v>9</v>
      </c>
      <c r="R13" s="1102">
        <v>1</v>
      </c>
      <c r="S13" s="1906"/>
      <c r="T13" s="1119">
        <f>$K13*LOOKUP($J13, 'Idemat Data'!$G$4:$G$1123,'Idemat Data'!$Q$4:$Q$1123)</f>
        <v>0</v>
      </c>
    </row>
    <row r="14" spans="1:20" ht="29.25" customHeight="1" x14ac:dyDescent="0.35">
      <c r="A14" s="1100"/>
      <c r="B14" s="1754" t="s">
        <v>142</v>
      </c>
      <c r="C14" s="1754"/>
      <c r="D14" s="1754"/>
      <c r="E14" s="1754"/>
      <c r="F14" s="1754"/>
      <c r="G14" s="1755"/>
      <c r="I14" s="1120">
        <v>10</v>
      </c>
      <c r="J14" s="1102">
        <v>1</v>
      </c>
      <c r="K14" s="1906"/>
      <c r="L14" s="1119">
        <f>$K14*LOOKUP($J14, 'Idemat Data'!$G$4:$G$1123,'Idemat Data'!$P$4:$P$1123)</f>
        <v>0</v>
      </c>
      <c r="M14" s="1906"/>
      <c r="N14" s="1907"/>
      <c r="O14" s="1119">
        <f t="shared" si="0"/>
        <v>0</v>
      </c>
      <c r="P14" s="1131"/>
      <c r="Q14" s="1120">
        <v>10</v>
      </c>
      <c r="R14" s="1102">
        <v>1</v>
      </c>
      <c r="S14" s="1906"/>
      <c r="T14" s="1119">
        <f>$K14*LOOKUP($J14, 'Idemat Data'!$G$4:$G$1123,'Idemat Data'!$Q$4:$Q$1123)</f>
        <v>0</v>
      </c>
    </row>
    <row r="15" spans="1:20" ht="58" customHeight="1" x14ac:dyDescent="0.35">
      <c r="A15" s="1100" t="s">
        <v>226</v>
      </c>
      <c r="B15" s="1116" t="s">
        <v>721</v>
      </c>
      <c r="C15" s="727" t="s">
        <v>8947</v>
      </c>
      <c r="D15" s="1117" t="s">
        <v>1039</v>
      </c>
      <c r="E15" s="1118" t="s">
        <v>721</v>
      </c>
      <c r="F15" s="1117">
        <v>1</v>
      </c>
      <c r="G15" s="446" t="str">
        <f>IF($F$15=1,"",IF($F$15=2,"Goto WD 4","Goto WD 2"))</f>
        <v/>
      </c>
      <c r="I15" s="1120">
        <v>11</v>
      </c>
      <c r="J15" s="1102">
        <v>1</v>
      </c>
      <c r="K15" s="1906"/>
      <c r="L15" s="1119">
        <f>$K15*LOOKUP($J15, 'Idemat Data'!$G$4:$G$1123,'Idemat Data'!$P$4:$P$1123)</f>
        <v>0</v>
      </c>
      <c r="M15" s="1906"/>
      <c r="N15" s="1907"/>
      <c r="O15" s="1119">
        <f t="shared" si="0"/>
        <v>0</v>
      </c>
      <c r="P15" s="1131"/>
      <c r="Q15" s="1120">
        <v>11</v>
      </c>
      <c r="R15" s="1102">
        <v>1</v>
      </c>
      <c r="S15" s="1906"/>
      <c r="T15" s="1119">
        <f>$K15*LOOKUP($J15, 'Idemat Data'!$G$4:$G$1123,'Idemat Data'!$Q$4:$Q$1123)</f>
        <v>0</v>
      </c>
    </row>
    <row r="16" spans="1:20" ht="105.5" customHeight="1" x14ac:dyDescent="0.35">
      <c r="A16" s="1100" t="s">
        <v>227</v>
      </c>
      <c r="B16" s="1116" t="s">
        <v>8295</v>
      </c>
      <c r="C16" s="727" t="s">
        <v>8964</v>
      </c>
      <c r="D16" s="1117" t="s">
        <v>2184</v>
      </c>
      <c r="E16" s="1118" t="s">
        <v>8948</v>
      </c>
      <c r="F16" s="683"/>
      <c r="G16" s="446"/>
      <c r="I16" s="1120">
        <v>12</v>
      </c>
      <c r="J16" s="1102">
        <v>1</v>
      </c>
      <c r="K16" s="1906"/>
      <c r="L16" s="1119">
        <f>$K16*LOOKUP($J16, 'Idemat Data'!$G$4:$G$1123,'Idemat Data'!$P$4:$P$1123)</f>
        <v>0</v>
      </c>
      <c r="M16" s="1906"/>
      <c r="N16" s="1907"/>
      <c r="O16" s="1119">
        <f t="shared" si="0"/>
        <v>0</v>
      </c>
      <c r="P16" s="1131"/>
      <c r="Q16" s="1120">
        <v>12</v>
      </c>
      <c r="R16" s="1102">
        <v>1</v>
      </c>
      <c r="S16" s="1906"/>
      <c r="T16" s="1119">
        <f>$K16*LOOKUP($J16, 'Idemat Data'!$G$4:$G$1123,'Idemat Data'!$Q$4:$Q$1123)</f>
        <v>0</v>
      </c>
    </row>
    <row r="17" spans="1:20" ht="61.5" customHeight="1" thickBot="1" x14ac:dyDescent="0.4">
      <c r="A17" s="1100" t="s">
        <v>228</v>
      </c>
      <c r="B17" s="1116" t="s">
        <v>8951</v>
      </c>
      <c r="C17" s="1624" t="s">
        <v>8954</v>
      </c>
      <c r="D17" s="1117" t="s">
        <v>2190</v>
      </c>
      <c r="E17" s="1118" t="s">
        <v>8300</v>
      </c>
      <c r="F17" s="1132">
        <v>1</v>
      </c>
      <c r="G17" s="446" t="str">
        <f>IF(OR($F$15=1,$F$15=2),"","Goto WD 6")</f>
        <v/>
      </c>
      <c r="I17" s="1129">
        <v>13</v>
      </c>
      <c r="J17" s="1102">
        <v>1</v>
      </c>
      <c r="K17" s="1906"/>
      <c r="L17" s="1119">
        <f>$K17*LOOKUP($J17, 'Idemat Data'!$G$4:$G$1123,'Idemat Data'!$P$4:$P$1123)</f>
        <v>0</v>
      </c>
      <c r="M17" s="1906"/>
      <c r="N17" s="1907"/>
      <c r="O17" s="1119">
        <f t="shared" si="0"/>
        <v>0</v>
      </c>
      <c r="P17" s="1131"/>
      <c r="Q17" s="1129">
        <v>13</v>
      </c>
      <c r="R17" s="1102">
        <v>1</v>
      </c>
      <c r="S17" s="1906"/>
      <c r="T17" s="1119">
        <f>$K17*LOOKUP($J17, 'Idemat Data'!$G$4:$G$1123,'Idemat Data'!$Q$4:$Q$1123)</f>
        <v>0</v>
      </c>
    </row>
    <row r="18" spans="1:20" ht="118.5" customHeight="1" thickBot="1" x14ac:dyDescent="0.4">
      <c r="A18" s="1100" t="s">
        <v>229</v>
      </c>
      <c r="B18" s="1116" t="s">
        <v>2182</v>
      </c>
      <c r="C18" s="522" t="s">
        <v>8946</v>
      </c>
      <c r="D18" s="1117" t="s">
        <v>1039</v>
      </c>
      <c r="E18" s="1118" t="s">
        <v>8301</v>
      </c>
      <c r="F18" s="683"/>
      <c r="G18" s="446" t="str">
        <f>IF(F15=2,"Goto WD 8","")</f>
        <v/>
      </c>
      <c r="I18" s="1130"/>
      <c r="K18" s="1102"/>
      <c r="L18" s="1102"/>
      <c r="M18" s="1102"/>
      <c r="N18" s="1102"/>
      <c r="O18" s="1102"/>
      <c r="P18" s="1146"/>
      <c r="Q18" s="1130"/>
      <c r="R18" s="1102"/>
    </row>
    <row r="19" spans="1:20" ht="48.5" customHeight="1" thickBot="1" x14ac:dyDescent="0.4">
      <c r="A19" s="1135" t="s">
        <v>230</v>
      </c>
      <c r="B19" s="1116" t="s">
        <v>2183</v>
      </c>
      <c r="C19" s="1123" t="s">
        <v>8938</v>
      </c>
      <c r="D19" s="1117" t="s">
        <v>7626</v>
      </c>
      <c r="E19" s="1118" t="s">
        <v>8355</v>
      </c>
      <c r="F19" s="683"/>
      <c r="G19" s="1132"/>
      <c r="I19" s="1130"/>
      <c r="L19" s="1752" t="s">
        <v>8953</v>
      </c>
      <c r="M19" s="1753"/>
      <c r="N19" s="1133"/>
      <c r="O19" s="1134">
        <f>SUM(O5:O17)</f>
        <v>0</v>
      </c>
      <c r="P19" s="1146"/>
      <c r="Q19" s="1130"/>
      <c r="R19" s="1630" t="s">
        <v>8291</v>
      </c>
      <c r="S19" s="1133"/>
      <c r="T19" s="1134">
        <f>SUM(T5:T17)</f>
        <v>0</v>
      </c>
    </row>
    <row r="20" spans="1:20" ht="44" customHeight="1" x14ac:dyDescent="0.35">
      <c r="A20" s="1100" t="s">
        <v>231</v>
      </c>
      <c r="B20" s="1116" t="s">
        <v>8952</v>
      </c>
      <c r="C20" s="522" t="s">
        <v>8955</v>
      </c>
      <c r="D20" s="1117" t="s">
        <v>1039</v>
      </c>
      <c r="E20" s="1118" t="s">
        <v>2188</v>
      </c>
      <c r="F20" s="683"/>
      <c r="G20" s="1136"/>
      <c r="K20" s="1107"/>
    </row>
    <row r="21" spans="1:20" ht="31.5" customHeight="1" x14ac:dyDescent="0.35">
      <c r="A21" s="1100" t="s">
        <v>232</v>
      </c>
      <c r="B21" s="1116" t="s">
        <v>8288</v>
      </c>
      <c r="C21" s="727" t="s">
        <v>8983</v>
      </c>
      <c r="D21" s="1117" t="s">
        <v>8125</v>
      </c>
      <c r="E21" s="1118" t="s">
        <v>8356</v>
      </c>
      <c r="F21" s="682">
        <f>IF($F$15=2,LOOKUP(' Preparation'!F6,Pol.Data!$A$47:$A$239,Pol.Data!$C$47:$C$239),LOOKUP(F17,Pol.Data!$A$47:$A$239,Pol.Data!$C$47:$C$239))</f>
        <v>0</v>
      </c>
      <c r="G21" s="446" t="str">
        <f>IF($F$15=3,"Goto WD 10","")</f>
        <v/>
      </c>
    </row>
    <row r="22" spans="1:20" ht="31" customHeight="1" x14ac:dyDescent="0.35">
      <c r="A22" s="1100" t="s">
        <v>2179</v>
      </c>
      <c r="B22" s="1116" t="s">
        <v>8289</v>
      </c>
      <c r="C22" s="522" t="s">
        <v>8960</v>
      </c>
      <c r="D22" s="1117" t="s">
        <v>8289</v>
      </c>
      <c r="E22" s="1118" t="s">
        <v>8290</v>
      </c>
      <c r="F22" s="1137"/>
      <c r="G22" s="1132"/>
    </row>
    <row r="23" spans="1:20" ht="48.5" customHeight="1" x14ac:dyDescent="0.35">
      <c r="A23" s="1100" t="s">
        <v>2180</v>
      </c>
      <c r="B23" s="1116" t="s">
        <v>8302</v>
      </c>
      <c r="C23" s="522" t="s">
        <v>8923</v>
      </c>
      <c r="D23" s="1117" t="s">
        <v>8303</v>
      </c>
      <c r="E23" s="1118" t="s">
        <v>8290</v>
      </c>
      <c r="F23" s="1137"/>
      <c r="G23" s="1132"/>
    </row>
    <row r="24" spans="1:20" ht="27" customHeight="1" x14ac:dyDescent="0.35">
      <c r="A24" s="1100" t="s">
        <v>2181</v>
      </c>
      <c r="B24" s="1116" t="s">
        <v>2172</v>
      </c>
      <c r="C24" s="727" t="s">
        <v>8956</v>
      </c>
      <c r="D24" s="1117" t="s">
        <v>2192</v>
      </c>
      <c r="E24" s="1118" t="s">
        <v>2178</v>
      </c>
      <c r="F24" s="1858"/>
      <c r="G24" s="1132"/>
    </row>
    <row r="25" spans="1:20" ht="23" customHeight="1" x14ac:dyDescent="0.35">
      <c r="A25" s="1100" t="s">
        <v>2185</v>
      </c>
      <c r="B25" s="1116" t="s">
        <v>2171</v>
      </c>
      <c r="C25" s="727" t="s">
        <v>8957</v>
      </c>
      <c r="D25" s="1117" t="s">
        <v>2191</v>
      </c>
      <c r="E25" s="1118" t="s">
        <v>2177</v>
      </c>
      <c r="F25" s="1858"/>
      <c r="G25" s="1132"/>
    </row>
    <row r="26" spans="1:20" ht="65" customHeight="1" x14ac:dyDescent="0.35">
      <c r="A26" s="1100" t="s">
        <v>2186</v>
      </c>
      <c r="B26" s="1116" t="s">
        <v>68</v>
      </c>
      <c r="C26" s="727" t="s">
        <v>8984</v>
      </c>
      <c r="D26" s="1138" t="s">
        <v>7663</v>
      </c>
      <c r="E26" s="1118" t="s">
        <v>8064</v>
      </c>
      <c r="F26" s="574"/>
      <c r="G26" s="446" t="str">
        <f>IF($F$15=3,"Goto WD 15","")</f>
        <v/>
      </c>
    </row>
    <row r="27" spans="1:20" ht="47.5" customHeight="1" x14ac:dyDescent="0.35">
      <c r="A27" s="1100" t="s">
        <v>2189</v>
      </c>
      <c r="B27" s="1116" t="s">
        <v>5833</v>
      </c>
      <c r="C27" s="519" t="s">
        <v>8958</v>
      </c>
      <c r="D27" s="1117" t="s">
        <v>1039</v>
      </c>
      <c r="E27" s="1118" t="s">
        <v>8081</v>
      </c>
      <c r="F27" s="1137"/>
      <c r="G27" s="1132"/>
    </row>
    <row r="28" spans="1:20" ht="46.5" customHeight="1" thickBot="1" x14ac:dyDescent="0.4">
      <c r="A28" s="1100" t="s">
        <v>7664</v>
      </c>
      <c r="B28" s="1116" t="s">
        <v>8080</v>
      </c>
      <c r="C28" s="525" t="s">
        <v>8648</v>
      </c>
      <c r="D28" s="1117" t="s">
        <v>1039</v>
      </c>
      <c r="E28" s="1118" t="s">
        <v>8357</v>
      </c>
      <c r="F28" s="683"/>
      <c r="G28" s="1132"/>
    </row>
    <row r="29" spans="1:20" ht="33" customHeight="1" thickBot="1" x14ac:dyDescent="0.4">
      <c r="A29" s="1100" t="s">
        <v>8113</v>
      </c>
      <c r="B29" s="1116" t="s">
        <v>8959</v>
      </c>
      <c r="C29" s="525" t="s">
        <v>8305</v>
      </c>
      <c r="D29" s="1117"/>
      <c r="E29" s="1118" t="s">
        <v>8358</v>
      </c>
      <c r="F29" s="1121">
        <f>0.01*(($F$24*Data!$BG$9+$F$25*Data!$BG$8)*(1-$F$23))*$F$21       +(1-$F$23)*($F$24*Data!$BG$22+$F$25*Data!$BG$23)/100</f>
        <v>0</v>
      </c>
      <c r="G29" s="1132"/>
    </row>
    <row r="30" spans="1:20" ht="30.75" customHeight="1" thickBot="1" x14ac:dyDescent="0.4">
      <c r="A30" s="1100" t="s">
        <v>8114</v>
      </c>
      <c r="B30" s="1116" t="s">
        <v>8465</v>
      </c>
      <c r="C30" s="525" t="s">
        <v>8304</v>
      </c>
      <c r="D30" s="1117"/>
      <c r="E30" s="1118" t="s">
        <v>8359</v>
      </c>
      <c r="F30" s="1121">
        <f>$F$22*Data!$BG$4+(1-$F$22)*(Data!$BG$19+Data!$BG$24*$F$21)</f>
        <v>0.76</v>
      </c>
      <c r="G30" s="1132"/>
    </row>
    <row r="31" spans="1:20" ht="30" thickTop="1" thickBot="1" x14ac:dyDescent="0.4">
      <c r="A31" s="1100" t="s">
        <v>8115</v>
      </c>
      <c r="B31" s="1139" t="s">
        <v>75</v>
      </c>
      <c r="C31" s="1140" t="s">
        <v>8291</v>
      </c>
      <c r="D31" s="1141" t="s">
        <v>8125</v>
      </c>
      <c r="E31" s="1142" t="s">
        <v>8335</v>
      </c>
      <c r="F31" s="1143" t="str">
        <f>IF($F$15=1,"",(MAX(($F$26-0.1),0)*IF($F$15=3,$F$16,$F$18))*($F$29+$F$30)-$F$19)</f>
        <v/>
      </c>
      <c r="G31" s="1132"/>
    </row>
    <row r="32" spans="1:20" ht="15" thickBot="1" x14ac:dyDescent="0.4"/>
    <row r="33" spans="3:7" ht="34.5" customHeight="1" thickTop="1" thickBot="1" x14ac:dyDescent="0.4">
      <c r="C33" s="733" t="s">
        <v>7221</v>
      </c>
      <c r="F33" s="1145">
        <f>IF($F$12="",0,$F$12)+IF($F$31="",0,$F$31)</f>
        <v>0</v>
      </c>
    </row>
    <row r="34" spans="3:7" ht="38" customHeight="1" thickTop="1" x14ac:dyDescent="0.35">
      <c r="C34" s="733"/>
      <c r="F34" s="1146"/>
    </row>
    <row r="35" spans="3:7" ht="30.5" customHeight="1" x14ac:dyDescent="0.35">
      <c r="C35" s="733"/>
      <c r="D35" s="1702" t="str">
        <f>IF($F$12="","No data included for depletion of minerals, plants or animal materials","")</f>
        <v>No data included for depletion of minerals, plants or animal materials</v>
      </c>
      <c r="E35" s="1702"/>
      <c r="F35" s="1627"/>
      <c r="G35" s="1627"/>
    </row>
    <row r="36" spans="3:7" ht="27.5" customHeight="1" x14ac:dyDescent="0.35">
      <c r="C36" s="733"/>
      <c r="D36" s="1702" t="str">
        <f>IF($F$31="","No data included for depletion of water","")</f>
        <v>No data included for depletion of water</v>
      </c>
      <c r="E36" s="1702"/>
      <c r="F36" s="1627"/>
      <c r="G36" s="1627"/>
    </row>
    <row r="37" spans="3:7" x14ac:dyDescent="0.35">
      <c r="C37" s="1147"/>
    </row>
    <row r="38" spans="3:7" ht="17.25" customHeight="1" x14ac:dyDescent="0.35"/>
  </sheetData>
  <sheetProtection algorithmName="SHA-512" hashValue="mSdc0AtFGKdQBdgE89gYUyfnnx28Z2S/Sxm88mLi2NhJSn+AHmCX/y0OUFvo0OfvB2YkZSF0ejvgDlNJNdkWOw==" saltValue="f/rNj5Dbzfl9Ua375/6zzQ==" spinCount="100000" sheet="1" objects="1" scenarios="1"/>
  <mergeCells count="9">
    <mergeCell ref="Q3:T3"/>
    <mergeCell ref="D35:E35"/>
    <mergeCell ref="D36:E36"/>
    <mergeCell ref="D1:E1"/>
    <mergeCell ref="K2:L2"/>
    <mergeCell ref="L19:M19"/>
    <mergeCell ref="B14:G14"/>
    <mergeCell ref="I3:O3"/>
    <mergeCell ref="C4:G4"/>
  </mergeCells>
  <hyperlinks>
    <hyperlink ref="D26" r:id="rId1" xr:uid="{00000000-0004-0000-0800-000000000000}"/>
  </hyperlinks>
  <pageMargins left="0.7" right="0.7" top="0.75" bottom="0.75" header="0.3" footer="0.3"/>
  <pageSetup paperSize="9" orientation="portrait" horizontalDpi="4294967293" verticalDpi="360" r:id="rId2"/>
  <drawing r:id="rId3"/>
  <legacyDrawing r:id="rId4"/>
  <mc:AlternateContent xmlns:mc="http://schemas.openxmlformats.org/markup-compatibility/2006">
    <mc:Choice Requires="x14">
      <controls>
        <mc:AlternateContent xmlns:mc="http://schemas.openxmlformats.org/markup-compatibility/2006">
          <mc:Choice Requires="x14">
            <control shapeId="55307" r:id="rId5" name="Drop Down 11">
              <controlPr defaultSize="0" autoLine="0" autoPict="0">
                <anchor moveWithCells="1">
                  <from>
                    <xdr:col>9</xdr:col>
                    <xdr:colOff>12700</xdr:colOff>
                    <xdr:row>6</xdr:row>
                    <xdr:rowOff>0</xdr:rowOff>
                  </from>
                  <to>
                    <xdr:col>10</xdr:col>
                    <xdr:colOff>0</xdr:colOff>
                    <xdr:row>7</xdr:row>
                    <xdr:rowOff>12700</xdr:rowOff>
                  </to>
                </anchor>
              </controlPr>
            </control>
          </mc:Choice>
        </mc:AlternateContent>
        <mc:AlternateContent xmlns:mc="http://schemas.openxmlformats.org/markup-compatibility/2006">
          <mc:Choice Requires="x14">
            <control shapeId="55308" r:id="rId6" name="Drop Down 12">
              <controlPr defaultSize="0" autoLine="0" autoPict="0">
                <anchor moveWithCells="1">
                  <from>
                    <xdr:col>9</xdr:col>
                    <xdr:colOff>12700</xdr:colOff>
                    <xdr:row>8</xdr:row>
                    <xdr:rowOff>0</xdr:rowOff>
                  </from>
                  <to>
                    <xdr:col>10</xdr:col>
                    <xdr:colOff>0</xdr:colOff>
                    <xdr:row>9</xdr:row>
                    <xdr:rowOff>12700</xdr:rowOff>
                  </to>
                </anchor>
              </controlPr>
            </control>
          </mc:Choice>
        </mc:AlternateContent>
        <mc:AlternateContent xmlns:mc="http://schemas.openxmlformats.org/markup-compatibility/2006">
          <mc:Choice Requires="x14">
            <control shapeId="55309" r:id="rId7" name="Drop Down 13">
              <controlPr defaultSize="0" autoLine="0" autoPict="0">
                <anchor moveWithCells="1">
                  <from>
                    <xdr:col>9</xdr:col>
                    <xdr:colOff>12700</xdr:colOff>
                    <xdr:row>9</xdr:row>
                    <xdr:rowOff>12700</xdr:rowOff>
                  </from>
                  <to>
                    <xdr:col>10</xdr:col>
                    <xdr:colOff>0</xdr:colOff>
                    <xdr:row>9</xdr:row>
                    <xdr:rowOff>660400</xdr:rowOff>
                  </to>
                </anchor>
              </controlPr>
            </control>
          </mc:Choice>
        </mc:AlternateContent>
        <mc:AlternateContent xmlns:mc="http://schemas.openxmlformats.org/markup-compatibility/2006">
          <mc:Choice Requires="x14">
            <control shapeId="55310" r:id="rId8" name="Drop Down 14">
              <controlPr defaultSize="0" autoLine="0" autoPict="0">
                <anchor moveWithCells="1">
                  <from>
                    <xdr:col>9</xdr:col>
                    <xdr:colOff>12700</xdr:colOff>
                    <xdr:row>10</xdr:row>
                    <xdr:rowOff>0</xdr:rowOff>
                  </from>
                  <to>
                    <xdr:col>10</xdr:col>
                    <xdr:colOff>0</xdr:colOff>
                    <xdr:row>11</xdr:row>
                    <xdr:rowOff>12700</xdr:rowOff>
                  </to>
                </anchor>
              </controlPr>
            </control>
          </mc:Choice>
        </mc:AlternateContent>
        <mc:AlternateContent xmlns:mc="http://schemas.openxmlformats.org/markup-compatibility/2006">
          <mc:Choice Requires="x14">
            <control shapeId="55311" r:id="rId9" name="Drop Down 15">
              <controlPr defaultSize="0" autoLine="0" autoPict="0">
                <anchor moveWithCells="1">
                  <from>
                    <xdr:col>9</xdr:col>
                    <xdr:colOff>12700</xdr:colOff>
                    <xdr:row>11</xdr:row>
                    <xdr:rowOff>0</xdr:rowOff>
                  </from>
                  <to>
                    <xdr:col>10</xdr:col>
                    <xdr:colOff>0</xdr:colOff>
                    <xdr:row>12</xdr:row>
                    <xdr:rowOff>12700</xdr:rowOff>
                  </to>
                </anchor>
              </controlPr>
            </control>
          </mc:Choice>
        </mc:AlternateContent>
        <mc:AlternateContent xmlns:mc="http://schemas.openxmlformats.org/markup-compatibility/2006">
          <mc:Choice Requires="x14">
            <control shapeId="55312" r:id="rId10" name="Drop Down 16">
              <controlPr defaultSize="0" autoLine="0" autoPict="0">
                <anchor moveWithCells="1">
                  <from>
                    <xdr:col>9</xdr:col>
                    <xdr:colOff>12700</xdr:colOff>
                    <xdr:row>12</xdr:row>
                    <xdr:rowOff>12700</xdr:rowOff>
                  </from>
                  <to>
                    <xdr:col>10</xdr:col>
                    <xdr:colOff>0</xdr:colOff>
                    <xdr:row>13</xdr:row>
                    <xdr:rowOff>12700</xdr:rowOff>
                  </to>
                </anchor>
              </controlPr>
            </control>
          </mc:Choice>
        </mc:AlternateContent>
        <mc:AlternateContent xmlns:mc="http://schemas.openxmlformats.org/markup-compatibility/2006">
          <mc:Choice Requires="x14">
            <control shapeId="55314" r:id="rId11" name="Drop Down 18">
              <controlPr defaultSize="0" autoLine="0" autoPict="0">
                <anchor moveWithCells="1">
                  <from>
                    <xdr:col>9</xdr:col>
                    <xdr:colOff>12700</xdr:colOff>
                    <xdr:row>16</xdr:row>
                    <xdr:rowOff>25400</xdr:rowOff>
                  </from>
                  <to>
                    <xdr:col>10</xdr:col>
                    <xdr:colOff>0</xdr:colOff>
                    <xdr:row>16</xdr:row>
                    <xdr:rowOff>596900</xdr:rowOff>
                  </to>
                </anchor>
              </controlPr>
            </control>
          </mc:Choice>
        </mc:AlternateContent>
        <mc:AlternateContent xmlns:mc="http://schemas.openxmlformats.org/markup-compatibility/2006">
          <mc:Choice Requires="x14">
            <control shapeId="55315" r:id="rId12" name="Drop Down 19">
              <controlPr defaultSize="0" autoLine="0" autoPict="0">
                <anchor moveWithCells="1">
                  <from>
                    <xdr:col>9</xdr:col>
                    <xdr:colOff>12700</xdr:colOff>
                    <xdr:row>14</xdr:row>
                    <xdr:rowOff>12700</xdr:rowOff>
                  </from>
                  <to>
                    <xdr:col>10</xdr:col>
                    <xdr:colOff>0</xdr:colOff>
                    <xdr:row>14</xdr:row>
                    <xdr:rowOff>635000</xdr:rowOff>
                  </to>
                </anchor>
              </controlPr>
            </control>
          </mc:Choice>
        </mc:AlternateContent>
        <mc:AlternateContent xmlns:mc="http://schemas.openxmlformats.org/markup-compatibility/2006">
          <mc:Choice Requires="x14">
            <control shapeId="55316" r:id="rId13" name="Drop Down 20">
              <controlPr defaultSize="0" autoLine="0" autoPict="0">
                <anchor moveWithCells="1">
                  <from>
                    <xdr:col>5</xdr:col>
                    <xdr:colOff>12700</xdr:colOff>
                    <xdr:row>14</xdr:row>
                    <xdr:rowOff>12700</xdr:rowOff>
                  </from>
                  <to>
                    <xdr:col>6</xdr:col>
                    <xdr:colOff>12700</xdr:colOff>
                    <xdr:row>15</xdr:row>
                    <xdr:rowOff>0</xdr:rowOff>
                  </to>
                </anchor>
              </controlPr>
            </control>
          </mc:Choice>
        </mc:AlternateContent>
        <mc:AlternateContent xmlns:mc="http://schemas.openxmlformats.org/markup-compatibility/2006">
          <mc:Choice Requires="x14">
            <control shapeId="55317" r:id="rId14" name="Drop Down 21">
              <controlPr defaultSize="0" autoLine="0" autoPict="0">
                <anchor moveWithCells="1">
                  <from>
                    <xdr:col>9</xdr:col>
                    <xdr:colOff>12700</xdr:colOff>
                    <xdr:row>13</xdr:row>
                    <xdr:rowOff>12700</xdr:rowOff>
                  </from>
                  <to>
                    <xdr:col>10</xdr:col>
                    <xdr:colOff>0</xdr:colOff>
                    <xdr:row>14</xdr:row>
                    <xdr:rowOff>12700</xdr:rowOff>
                  </to>
                </anchor>
              </controlPr>
            </control>
          </mc:Choice>
        </mc:AlternateContent>
        <mc:AlternateContent xmlns:mc="http://schemas.openxmlformats.org/markup-compatibility/2006">
          <mc:Choice Requires="x14">
            <control shapeId="55319" r:id="rId15" name="Drop Down 23">
              <controlPr defaultSize="0" autoLine="0" autoPict="0">
                <anchor moveWithCells="1">
                  <from>
                    <xdr:col>5</xdr:col>
                    <xdr:colOff>0</xdr:colOff>
                    <xdr:row>4</xdr:row>
                    <xdr:rowOff>0</xdr:rowOff>
                  </from>
                  <to>
                    <xdr:col>6</xdr:col>
                    <xdr:colOff>0</xdr:colOff>
                    <xdr:row>5</xdr:row>
                    <xdr:rowOff>0</xdr:rowOff>
                  </to>
                </anchor>
              </controlPr>
            </control>
          </mc:Choice>
        </mc:AlternateContent>
        <mc:AlternateContent xmlns:mc="http://schemas.openxmlformats.org/markup-compatibility/2006">
          <mc:Choice Requires="x14">
            <control shapeId="55320" r:id="rId16" name="Drop Down 24">
              <controlPr defaultSize="0" autoLine="0" autoPict="0">
                <anchor moveWithCells="1">
                  <from>
                    <xdr:col>5</xdr:col>
                    <xdr:colOff>0</xdr:colOff>
                    <xdr:row>16</xdr:row>
                    <xdr:rowOff>0</xdr:rowOff>
                  </from>
                  <to>
                    <xdr:col>6</xdr:col>
                    <xdr:colOff>0</xdr:colOff>
                    <xdr:row>16</xdr:row>
                    <xdr:rowOff>774700</xdr:rowOff>
                  </to>
                </anchor>
              </controlPr>
            </control>
          </mc:Choice>
        </mc:AlternateContent>
        <mc:AlternateContent xmlns:mc="http://schemas.openxmlformats.org/markup-compatibility/2006">
          <mc:Choice Requires="x14">
            <control shapeId="55330" r:id="rId17" name="Drop Down 34">
              <controlPr defaultSize="0" autoLine="0" autoPict="0">
                <anchor moveWithCells="1">
                  <from>
                    <xdr:col>9</xdr:col>
                    <xdr:colOff>12700</xdr:colOff>
                    <xdr:row>4</xdr:row>
                    <xdr:rowOff>0</xdr:rowOff>
                  </from>
                  <to>
                    <xdr:col>10</xdr:col>
                    <xdr:colOff>0</xdr:colOff>
                    <xdr:row>5</xdr:row>
                    <xdr:rowOff>12700</xdr:rowOff>
                  </to>
                </anchor>
              </controlPr>
            </control>
          </mc:Choice>
        </mc:AlternateContent>
        <mc:AlternateContent xmlns:mc="http://schemas.openxmlformats.org/markup-compatibility/2006">
          <mc:Choice Requires="x14">
            <control shapeId="55331" r:id="rId18" name="Drop Down 35">
              <controlPr defaultSize="0" autoLine="0" autoPict="0">
                <anchor moveWithCells="1">
                  <from>
                    <xdr:col>5</xdr:col>
                    <xdr:colOff>0</xdr:colOff>
                    <xdr:row>5</xdr:row>
                    <xdr:rowOff>0</xdr:rowOff>
                  </from>
                  <to>
                    <xdr:col>6</xdr:col>
                    <xdr:colOff>0</xdr:colOff>
                    <xdr:row>6</xdr:row>
                    <xdr:rowOff>0</xdr:rowOff>
                  </to>
                </anchor>
              </controlPr>
            </control>
          </mc:Choice>
        </mc:AlternateContent>
        <mc:AlternateContent xmlns:mc="http://schemas.openxmlformats.org/markup-compatibility/2006">
          <mc:Choice Requires="x14">
            <control shapeId="55332" r:id="rId19" name="Drop Down 36">
              <controlPr defaultSize="0" autoLine="0" autoPict="0">
                <anchor moveWithCells="1">
                  <from>
                    <xdr:col>9</xdr:col>
                    <xdr:colOff>12700</xdr:colOff>
                    <xdr:row>5</xdr:row>
                    <xdr:rowOff>0</xdr:rowOff>
                  </from>
                  <to>
                    <xdr:col>10</xdr:col>
                    <xdr:colOff>0</xdr:colOff>
                    <xdr:row>6</xdr:row>
                    <xdr:rowOff>12700</xdr:rowOff>
                  </to>
                </anchor>
              </controlPr>
            </control>
          </mc:Choice>
        </mc:AlternateContent>
        <mc:AlternateContent xmlns:mc="http://schemas.openxmlformats.org/markup-compatibility/2006">
          <mc:Choice Requires="x14">
            <control shapeId="55333" r:id="rId20" name="Drop Down 37">
              <controlPr defaultSize="0" autoLine="0" autoPict="0">
                <anchor moveWithCells="1">
                  <from>
                    <xdr:col>9</xdr:col>
                    <xdr:colOff>12700</xdr:colOff>
                    <xdr:row>7</xdr:row>
                    <xdr:rowOff>0</xdr:rowOff>
                  </from>
                  <to>
                    <xdr:col>10</xdr:col>
                    <xdr:colOff>0</xdr:colOff>
                    <xdr:row>7</xdr:row>
                    <xdr:rowOff>609600</xdr:rowOff>
                  </to>
                </anchor>
              </controlPr>
            </control>
          </mc:Choice>
        </mc:AlternateContent>
        <mc:AlternateContent xmlns:mc="http://schemas.openxmlformats.org/markup-compatibility/2006">
          <mc:Choice Requires="x14">
            <control shapeId="55335" r:id="rId21" name="Drop Down 39">
              <controlPr defaultSize="0" autoLine="0" autoPict="0">
                <anchor moveWithCells="1">
                  <from>
                    <xdr:col>9</xdr:col>
                    <xdr:colOff>12700</xdr:colOff>
                    <xdr:row>15</xdr:row>
                    <xdr:rowOff>12700</xdr:rowOff>
                  </from>
                  <to>
                    <xdr:col>10</xdr:col>
                    <xdr:colOff>0</xdr:colOff>
                    <xdr:row>15</xdr:row>
                    <xdr:rowOff>774700</xdr:rowOff>
                  </to>
                </anchor>
              </controlPr>
            </control>
          </mc:Choice>
        </mc:AlternateContent>
        <mc:AlternateContent xmlns:mc="http://schemas.openxmlformats.org/markup-compatibility/2006">
          <mc:Choice Requires="x14">
            <control shapeId="55337" r:id="rId22" name="Drop Down 41">
              <controlPr defaultSize="0" autoLine="0" autoPict="0">
                <anchor moveWithCells="1">
                  <from>
                    <xdr:col>17</xdr:col>
                    <xdr:colOff>12700</xdr:colOff>
                    <xdr:row>6</xdr:row>
                    <xdr:rowOff>0</xdr:rowOff>
                  </from>
                  <to>
                    <xdr:col>17</xdr:col>
                    <xdr:colOff>4038600</xdr:colOff>
                    <xdr:row>7</xdr:row>
                    <xdr:rowOff>12700</xdr:rowOff>
                  </to>
                </anchor>
              </controlPr>
            </control>
          </mc:Choice>
        </mc:AlternateContent>
        <mc:AlternateContent xmlns:mc="http://schemas.openxmlformats.org/markup-compatibility/2006">
          <mc:Choice Requires="x14">
            <control shapeId="55338" r:id="rId23" name="Drop Down 42">
              <controlPr defaultSize="0" autoLine="0" autoPict="0">
                <anchor moveWithCells="1">
                  <from>
                    <xdr:col>17</xdr:col>
                    <xdr:colOff>12700</xdr:colOff>
                    <xdr:row>8</xdr:row>
                    <xdr:rowOff>0</xdr:rowOff>
                  </from>
                  <to>
                    <xdr:col>17</xdr:col>
                    <xdr:colOff>4038600</xdr:colOff>
                    <xdr:row>9</xdr:row>
                    <xdr:rowOff>12700</xdr:rowOff>
                  </to>
                </anchor>
              </controlPr>
            </control>
          </mc:Choice>
        </mc:AlternateContent>
        <mc:AlternateContent xmlns:mc="http://schemas.openxmlformats.org/markup-compatibility/2006">
          <mc:Choice Requires="x14">
            <control shapeId="55339" r:id="rId24" name="Drop Down 43">
              <controlPr defaultSize="0" autoLine="0" autoPict="0">
                <anchor moveWithCells="1">
                  <from>
                    <xdr:col>17</xdr:col>
                    <xdr:colOff>12700</xdr:colOff>
                    <xdr:row>9</xdr:row>
                    <xdr:rowOff>12700</xdr:rowOff>
                  </from>
                  <to>
                    <xdr:col>17</xdr:col>
                    <xdr:colOff>4038600</xdr:colOff>
                    <xdr:row>9</xdr:row>
                    <xdr:rowOff>660400</xdr:rowOff>
                  </to>
                </anchor>
              </controlPr>
            </control>
          </mc:Choice>
        </mc:AlternateContent>
        <mc:AlternateContent xmlns:mc="http://schemas.openxmlformats.org/markup-compatibility/2006">
          <mc:Choice Requires="x14">
            <control shapeId="55340" r:id="rId25" name="Drop Down 44">
              <controlPr defaultSize="0" autoLine="0" autoPict="0">
                <anchor moveWithCells="1">
                  <from>
                    <xdr:col>17</xdr:col>
                    <xdr:colOff>12700</xdr:colOff>
                    <xdr:row>10</xdr:row>
                    <xdr:rowOff>0</xdr:rowOff>
                  </from>
                  <to>
                    <xdr:col>17</xdr:col>
                    <xdr:colOff>4038600</xdr:colOff>
                    <xdr:row>11</xdr:row>
                    <xdr:rowOff>12700</xdr:rowOff>
                  </to>
                </anchor>
              </controlPr>
            </control>
          </mc:Choice>
        </mc:AlternateContent>
        <mc:AlternateContent xmlns:mc="http://schemas.openxmlformats.org/markup-compatibility/2006">
          <mc:Choice Requires="x14">
            <control shapeId="55341" r:id="rId26" name="Drop Down 45">
              <controlPr defaultSize="0" autoLine="0" autoPict="0">
                <anchor moveWithCells="1">
                  <from>
                    <xdr:col>17</xdr:col>
                    <xdr:colOff>12700</xdr:colOff>
                    <xdr:row>11</xdr:row>
                    <xdr:rowOff>0</xdr:rowOff>
                  </from>
                  <to>
                    <xdr:col>17</xdr:col>
                    <xdr:colOff>4038600</xdr:colOff>
                    <xdr:row>12</xdr:row>
                    <xdr:rowOff>12700</xdr:rowOff>
                  </to>
                </anchor>
              </controlPr>
            </control>
          </mc:Choice>
        </mc:AlternateContent>
        <mc:AlternateContent xmlns:mc="http://schemas.openxmlformats.org/markup-compatibility/2006">
          <mc:Choice Requires="x14">
            <control shapeId="55342" r:id="rId27" name="Drop Down 46">
              <controlPr defaultSize="0" autoLine="0" autoPict="0">
                <anchor moveWithCells="1">
                  <from>
                    <xdr:col>17</xdr:col>
                    <xdr:colOff>12700</xdr:colOff>
                    <xdr:row>12</xdr:row>
                    <xdr:rowOff>12700</xdr:rowOff>
                  </from>
                  <to>
                    <xdr:col>17</xdr:col>
                    <xdr:colOff>4038600</xdr:colOff>
                    <xdr:row>13</xdr:row>
                    <xdr:rowOff>12700</xdr:rowOff>
                  </to>
                </anchor>
              </controlPr>
            </control>
          </mc:Choice>
        </mc:AlternateContent>
        <mc:AlternateContent xmlns:mc="http://schemas.openxmlformats.org/markup-compatibility/2006">
          <mc:Choice Requires="x14">
            <control shapeId="55343" r:id="rId28" name="Drop Down 47">
              <controlPr defaultSize="0" autoLine="0" autoPict="0">
                <anchor moveWithCells="1">
                  <from>
                    <xdr:col>17</xdr:col>
                    <xdr:colOff>12700</xdr:colOff>
                    <xdr:row>16</xdr:row>
                    <xdr:rowOff>25400</xdr:rowOff>
                  </from>
                  <to>
                    <xdr:col>17</xdr:col>
                    <xdr:colOff>4038600</xdr:colOff>
                    <xdr:row>16</xdr:row>
                    <xdr:rowOff>596900</xdr:rowOff>
                  </to>
                </anchor>
              </controlPr>
            </control>
          </mc:Choice>
        </mc:AlternateContent>
        <mc:AlternateContent xmlns:mc="http://schemas.openxmlformats.org/markup-compatibility/2006">
          <mc:Choice Requires="x14">
            <control shapeId="55344" r:id="rId29" name="Drop Down 48">
              <controlPr defaultSize="0" autoLine="0" autoPict="0">
                <anchor moveWithCells="1">
                  <from>
                    <xdr:col>17</xdr:col>
                    <xdr:colOff>12700</xdr:colOff>
                    <xdr:row>14</xdr:row>
                    <xdr:rowOff>12700</xdr:rowOff>
                  </from>
                  <to>
                    <xdr:col>17</xdr:col>
                    <xdr:colOff>4038600</xdr:colOff>
                    <xdr:row>14</xdr:row>
                    <xdr:rowOff>635000</xdr:rowOff>
                  </to>
                </anchor>
              </controlPr>
            </control>
          </mc:Choice>
        </mc:AlternateContent>
        <mc:AlternateContent xmlns:mc="http://schemas.openxmlformats.org/markup-compatibility/2006">
          <mc:Choice Requires="x14">
            <control shapeId="55345" r:id="rId30" name="Drop Down 49">
              <controlPr defaultSize="0" autoLine="0" autoPict="0">
                <anchor moveWithCells="1">
                  <from>
                    <xdr:col>17</xdr:col>
                    <xdr:colOff>12700</xdr:colOff>
                    <xdr:row>13</xdr:row>
                    <xdr:rowOff>12700</xdr:rowOff>
                  </from>
                  <to>
                    <xdr:col>17</xdr:col>
                    <xdr:colOff>4038600</xdr:colOff>
                    <xdr:row>14</xdr:row>
                    <xdr:rowOff>12700</xdr:rowOff>
                  </to>
                </anchor>
              </controlPr>
            </control>
          </mc:Choice>
        </mc:AlternateContent>
        <mc:AlternateContent xmlns:mc="http://schemas.openxmlformats.org/markup-compatibility/2006">
          <mc:Choice Requires="x14">
            <control shapeId="55346" r:id="rId31" name="Drop Down 50">
              <controlPr defaultSize="0" autoLine="0" autoPict="0">
                <anchor moveWithCells="1">
                  <from>
                    <xdr:col>17</xdr:col>
                    <xdr:colOff>12700</xdr:colOff>
                    <xdr:row>4</xdr:row>
                    <xdr:rowOff>0</xdr:rowOff>
                  </from>
                  <to>
                    <xdr:col>17</xdr:col>
                    <xdr:colOff>4038600</xdr:colOff>
                    <xdr:row>5</xdr:row>
                    <xdr:rowOff>12700</xdr:rowOff>
                  </to>
                </anchor>
              </controlPr>
            </control>
          </mc:Choice>
        </mc:AlternateContent>
        <mc:AlternateContent xmlns:mc="http://schemas.openxmlformats.org/markup-compatibility/2006">
          <mc:Choice Requires="x14">
            <control shapeId="55347" r:id="rId32" name="Drop Down 51">
              <controlPr defaultSize="0" autoLine="0" autoPict="0">
                <anchor moveWithCells="1">
                  <from>
                    <xdr:col>17</xdr:col>
                    <xdr:colOff>12700</xdr:colOff>
                    <xdr:row>5</xdr:row>
                    <xdr:rowOff>0</xdr:rowOff>
                  </from>
                  <to>
                    <xdr:col>17</xdr:col>
                    <xdr:colOff>4038600</xdr:colOff>
                    <xdr:row>6</xdr:row>
                    <xdr:rowOff>12700</xdr:rowOff>
                  </to>
                </anchor>
              </controlPr>
            </control>
          </mc:Choice>
        </mc:AlternateContent>
        <mc:AlternateContent xmlns:mc="http://schemas.openxmlformats.org/markup-compatibility/2006">
          <mc:Choice Requires="x14">
            <control shapeId="55348" r:id="rId33" name="Drop Down 52">
              <controlPr defaultSize="0" autoLine="0" autoPict="0">
                <anchor moveWithCells="1">
                  <from>
                    <xdr:col>17</xdr:col>
                    <xdr:colOff>12700</xdr:colOff>
                    <xdr:row>7</xdr:row>
                    <xdr:rowOff>0</xdr:rowOff>
                  </from>
                  <to>
                    <xdr:col>17</xdr:col>
                    <xdr:colOff>4038600</xdr:colOff>
                    <xdr:row>7</xdr:row>
                    <xdr:rowOff>609600</xdr:rowOff>
                  </to>
                </anchor>
              </controlPr>
            </control>
          </mc:Choice>
        </mc:AlternateContent>
        <mc:AlternateContent xmlns:mc="http://schemas.openxmlformats.org/markup-compatibility/2006">
          <mc:Choice Requires="x14">
            <control shapeId="55349" r:id="rId34" name="Drop Down 53">
              <controlPr defaultSize="0" autoLine="0" autoPict="0">
                <anchor moveWithCells="1">
                  <from>
                    <xdr:col>17</xdr:col>
                    <xdr:colOff>12700</xdr:colOff>
                    <xdr:row>15</xdr:row>
                    <xdr:rowOff>12700</xdr:rowOff>
                  </from>
                  <to>
                    <xdr:col>17</xdr:col>
                    <xdr:colOff>4038600</xdr:colOff>
                    <xdr:row>15</xdr:row>
                    <xdr:rowOff>774700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28</vt:i4>
      </vt:variant>
    </vt:vector>
  </HeadingPairs>
  <TitlesOfParts>
    <vt:vector size="28" baseType="lpstr">
      <vt:lpstr>How does it work</vt:lpstr>
      <vt:lpstr>Def.-Instr.</vt:lpstr>
      <vt:lpstr>ESCU Matrix</vt:lpstr>
      <vt:lpstr> Preparation</vt:lpstr>
      <vt:lpstr>Suppliers</vt:lpstr>
      <vt:lpstr>Pollution &amp; Climate</vt:lpstr>
      <vt:lpstr>Pol.Data</vt:lpstr>
      <vt:lpstr>Idemat Data</vt:lpstr>
      <vt:lpstr>Depletion</vt:lpstr>
      <vt:lpstr>Land Occ.</vt:lpstr>
      <vt:lpstr>Biodiversity</vt:lpstr>
      <vt:lpstr>Disposal-Waste</vt:lpstr>
      <vt:lpstr>Public Health</vt:lpstr>
      <vt:lpstr>Labor</vt:lpstr>
      <vt:lpstr>Var.Social</vt:lpstr>
      <vt:lpstr>Economic</vt:lpstr>
      <vt:lpstr>Corr &amp; Confl.</vt:lpstr>
      <vt:lpstr>Use- Depl</vt:lpstr>
      <vt:lpstr>Use-pollution</vt:lpstr>
      <vt:lpstr>Use-Health</vt:lpstr>
      <vt:lpstr>Use-Social</vt:lpstr>
      <vt:lpstr>End-of-Life</vt:lpstr>
      <vt:lpstr>Bonus</vt:lpstr>
      <vt:lpstr>Data</vt:lpstr>
      <vt:lpstr>D</vt:lpstr>
      <vt:lpstr>P</vt:lpstr>
      <vt:lpstr>I</vt:lpstr>
      <vt:lpstr>Gov. Level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Pim Croes</dc:creator>
  <cp:lastModifiedBy>Pim Croes</cp:lastModifiedBy>
  <dcterms:created xsi:type="dcterms:W3CDTF">2016-10-31T11:49:18Z</dcterms:created>
  <dcterms:modified xsi:type="dcterms:W3CDTF">2021-11-08T20:52:59Z</dcterms:modified>
</cp:coreProperties>
</file>